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42819A6-70BA-44BA-A23B-5D6F6B33A51B}" xr6:coauthVersionLast="47" xr6:coauthVersionMax="47" xr10:uidLastSave="{00000000-0000-0000-0000-000000000000}"/>
  <bookViews>
    <workbookView xWindow="-120" yWindow="-120" windowWidth="38640" windowHeight="15720" tabRatio="648" firstSheet="1" activeTab="2"/>
  </bookViews>
  <sheets>
    <sheet name="XXXXXX" sheetId="6" state="veryHidden" r:id="rId1"/>
    <sheet name="Escalating commodity" sheetId="81" r:id="rId2"/>
    <sheet name="Summary" sheetId="55" r:id="rId3"/>
    <sheet name="ANR OK vs ML7" sheetId="50" r:id="rId4"/>
    <sheet name="ANR LA vs ML7" sheetId="64" r:id="rId5"/>
    <sheet name="PEPL vs Dawn" sheetId="65" r:id="rId6"/>
    <sheet name="ML7 vs St. Clair" sheetId="62" r:id="rId7"/>
    <sheet name="St.Clair vs Chippawa" sheetId="67" r:id="rId8"/>
    <sheet name="Ojibway vs Dawn" sheetId="63" r:id="rId9"/>
    <sheet name="Empress vs Chippewa" sheetId="77" r:id="rId10"/>
    <sheet name="Dawn vs Chippewa" sheetId="80" r:id="rId11"/>
    <sheet name="Curves" sheetId="47" r:id="rId12"/>
    <sheet name="InputOutputSheet" sheetId="54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AMC" localSheetId="2">[5]Inputs!$E$5</definedName>
    <definedName name="Avg_Load" localSheetId="2">[5]Inputs!$B$28</definedName>
    <definedName name="buckettable">[2]DateTable!$D$4:$F$288</definedName>
    <definedName name="ColGasCurve">Summary!$F$33</definedName>
    <definedName name="ColGulfCurve">Summary!$F$31</definedName>
    <definedName name="correlationone">OFFSET([1]Intracorrel!$A$2,0,0,COUNT([1]Intracorrel!$A$1:$A$65536)+2,COUNT([1]Intracorrel!$A$5:$IV$5))</definedName>
    <definedName name="correlationtwo">OFFSET([1]Intercorrel!$A$1,0,0,COUNT([1]Intercorrel!$A$1:$A$65536),COUNT([1]Intercorrel!$A$3:$IV$3))</definedName>
    <definedName name="correlfrom" localSheetId="4">OFFSET([1]Intracorrel!$A$2,0,0,1,COUNT(correlmatchline))</definedName>
    <definedName name="correlfrom" localSheetId="10">OFFSET([1]Intracorrel!$A$2,0,0,1,COUNT(correlmatchline))</definedName>
    <definedName name="correlfrom" localSheetId="9">OFFSET([1]Intracorrel!$A$2,0,0,1,COUNT(correlmatchline))</definedName>
    <definedName name="correlfrom" localSheetId="6">OFFSET([1]Intracorrel!$A$2,0,0,1,COUNT(correlmatchline))</definedName>
    <definedName name="correlfrom" localSheetId="8">OFFSET([1]Intracorrel!$A$2,0,0,1,COUNT(correlmatchline))</definedName>
    <definedName name="correlfrom" localSheetId="5">OFFSET([1]Intracorrel!$A$2,0,0,1,COUNT(correlmatchline))</definedName>
    <definedName name="correlfrom" localSheetId="7">OFFSET([1]Intracorrel!$A$2,0,0,1,COUNT(correlmatchline))</definedName>
    <definedName name="correlfrom">OFFSET([1]Intracorrel!$A$2,0,0,1,COUNT(correlmatchline))</definedName>
    <definedName name="CORRELFROM1" localSheetId="10">OFFSET([1]Intracorrel!$A$2,0,0,1,COUNT(correlmatchline))</definedName>
    <definedName name="CORRELFROM1">OFFSET([1]Intracorrel!$A$2,0,0,1,COUNT(correlmatchline))</definedName>
    <definedName name="correlmatchline">OFFSET([1]Intracorrel!$A$1,0,0,1,COUNT([1]Intracorrel!$A$1:$IV$1))</definedName>
    <definedName name="correlto" localSheetId="4">OFFSET([1]Intracorrel!$A$3,0,0,1,COUNT(correlmatchline))</definedName>
    <definedName name="correlto" localSheetId="10">OFFSET([1]Intracorrel!$A$3,0,0,1,COUNT(correlmatchline))</definedName>
    <definedName name="correlto" localSheetId="9">OFFSET([1]Intracorrel!$A$3,0,0,1,COUNT(correlmatchline))</definedName>
    <definedName name="correlto" localSheetId="6">OFFSET([1]Intracorrel!$A$3,0,0,1,COUNT(correlmatchline))</definedName>
    <definedName name="correlto" localSheetId="8">OFFSET([1]Intracorrel!$A$3,0,0,1,COUNT(correlmatchline))</definedName>
    <definedName name="correlto" localSheetId="5">OFFSET([1]Intracorrel!$A$3,0,0,1,COUNT(correlmatchline))</definedName>
    <definedName name="correlto" localSheetId="7">OFFSET([1]Intracorrel!$A$3,0,0,1,COUNT(correlmatchline))</definedName>
    <definedName name="correlto">OFFSET([1]Intracorrel!$A$3,0,0,1,COUNT(correlmatchline))</definedName>
    <definedName name="CurveCode" localSheetId="2">OFFSET([4]Curves!$C$13,0,0,1,COUNT([4]Curves!$A$17:$IV$17))</definedName>
    <definedName name="CurveCode">OFFSET(Curves!$C$13,0,0,1,COUNT(Curves!$17:$17))</definedName>
    <definedName name="CurveCodes">Curves!$C$13:$Q$13</definedName>
    <definedName name="CurveMonth">Curves!$C$8:$C$400</definedName>
    <definedName name="CurveRange">Curves!$D$11</definedName>
    <definedName name="Curves">Curves!$C$8:$BG$8</definedName>
    <definedName name="CurveTable">Curves!$C$8:$Q$400</definedName>
    <definedName name="CurveType">Curves!$C$8:$Q$8</definedName>
    <definedName name="CurveValues">Curves!$C$11:$AQ$377</definedName>
    <definedName name="curvevalues2" localSheetId="2">OFFSET([4]Curves!$C$11,0,0,COUNT([4]Curves!$C$1:$C$65536)+5,COUNT([4]Curves!$A$17:$IV$17))</definedName>
    <definedName name="curvevalues2">OFFSET(Curves!$C$11,0,0,COUNT(Curves!$C:$C)+5,COUNT(Curves!$17:$17))</definedName>
    <definedName name="CurveValuesExtra">Curves!$C$11:$Q$367</definedName>
    <definedName name="Dailydemandcharge" localSheetId="4">OFFSET('[1]Mainline to Leach'!$K$21,0,0,Enddate-'[1]Mainline to Leach'!$A$20,1)</definedName>
    <definedName name="Dailydemandcharge" localSheetId="10">OFFSET('[1]Mainline to Leach'!$K$21,0,0,Enddate-'[1]Mainline to Leach'!$A$20,1)</definedName>
    <definedName name="Dailydemandcharge" localSheetId="9">OFFSET('[1]Mainline to Leach'!$K$21,0,0,Enddate-'[1]Mainline to Leach'!$A$20,1)</definedName>
    <definedName name="Dailydemandcharge" localSheetId="6">OFFSET('[1]Mainline to Leach'!$K$21,0,0,Enddate-'[1]Mainline to Leach'!$A$20,1)</definedName>
    <definedName name="Dailydemandcharge" localSheetId="8">OFFSET('[1]Mainline to Leach'!$K$21,0,0,Enddate-'[1]Mainline to Leach'!$A$20,1)</definedName>
    <definedName name="Dailydemandcharge" localSheetId="5">OFFSET('[1]Mainline to Leach'!$K$21,0,0,Enddate-'[1]Mainline to Leach'!$A$20,1)</definedName>
    <definedName name="Dailydemandcharge" localSheetId="7">OFFSET('[1]Mainline to Leach'!$K$21,0,0,Enddate-'[1]Mainline to Leach'!$A$20,1)</definedName>
    <definedName name="Dailydemandcharge">OFFSET('[1]Mainline to Leach'!$K$21,0,0,Enddate-'[1]Mainline to Leach'!$A$20,1)</definedName>
    <definedName name="Dailydiscountedadjustedspread" localSheetId="4">OFFSET('[1]Mainline to Leach'!$M$21,0,0,Enddate-'[1]Mainline to Leach'!$A$20,1)</definedName>
    <definedName name="Dailydiscountedadjustedspread" localSheetId="10">OFFSET('[1]Mainline to Leach'!$M$21,0,0,Enddate-'[1]Mainline to Leach'!$A$20,1)</definedName>
    <definedName name="Dailydiscountedadjustedspread" localSheetId="9">OFFSET('[1]Mainline to Leach'!$M$21,0,0,Enddate-'[1]Mainline to Leach'!$A$20,1)</definedName>
    <definedName name="Dailydiscountedadjustedspread" localSheetId="6">OFFSET('[1]Mainline to Leach'!$M$21,0,0,Enddate-'[1]Mainline to Leach'!$A$20,1)</definedName>
    <definedName name="Dailydiscountedadjustedspread" localSheetId="8">OFFSET('[1]Mainline to Leach'!$M$21,0,0,Enddate-'[1]Mainline to Leach'!$A$20,1)</definedName>
    <definedName name="Dailydiscountedadjustedspread" localSheetId="5">OFFSET('[1]Mainline to Leach'!$M$21,0,0,Enddate-'[1]Mainline to Leach'!$A$20,1)</definedName>
    <definedName name="Dailydiscountedadjustedspread" localSheetId="7">OFFSET('[1]Mainline to Leach'!$M$21,0,0,Enddate-'[1]Mainline to Leach'!$A$20,1)</definedName>
    <definedName name="Dailydiscountedadjustedspread">OFFSET('[1]Mainline to Leach'!$M$21,0,0,Enddate-'[1]Mainline to Leach'!$A$20,1)</definedName>
    <definedName name="Dailydiscountedintrinsicvalue" localSheetId="4">OFFSET('[1]Mainline to Leach'!#REF!,0,0,Enddate-'[1]Mainline to Leach'!$A$20,1)</definedName>
    <definedName name="Dailydiscountedintrinsicvalue" localSheetId="10">OFFSET('[1]Mainline to Leach'!#REF!,0,0,Enddate-'[1]Mainline to Leach'!$A$20,1)</definedName>
    <definedName name="Dailydiscountedintrinsicvalue" localSheetId="9">OFFSET('[1]Mainline to Leach'!#REF!,0,0,Enddate-'[1]Mainline to Leach'!$A$20,1)</definedName>
    <definedName name="Dailydiscountedintrinsicvalue" localSheetId="6">OFFSET('[1]Mainline to Leach'!#REF!,0,0,Enddate-'[1]Mainline to Leach'!$A$20,1)</definedName>
    <definedName name="Dailydiscountedintrinsicvalue" localSheetId="8">OFFSET('[1]Mainline to Leach'!#REF!,0,0,Enddate-'[1]Mainline to Leach'!$A$20,1)</definedName>
    <definedName name="Dailydiscountedintrinsicvalue" localSheetId="5">OFFSET('[1]Mainline to Leach'!#REF!,0,0,Enddate-'[1]Mainline to Leach'!$A$20,1)</definedName>
    <definedName name="Dailydiscountedintrinsicvalue" localSheetId="7">OFFSET('[1]Mainline to Leach'!#REF!,0,0,Enddate-'[1]Mainline to Leach'!$A$20,1)</definedName>
    <definedName name="Dailydiscountedintrinsicvalue">OFFSET('[1]Mainline to Leach'!#REF!,0,0,Enddate-'[1]Mainline to Leach'!$A$20,1)</definedName>
    <definedName name="Dailydiscountedspread" localSheetId="4">OFFSET('[1]Mainline to Leach'!#REF!,0,0,Enddate-'[1]Mainline to Leach'!$A$20,1)</definedName>
    <definedName name="Dailydiscountedspread" localSheetId="10">OFFSET('[1]Mainline to Leach'!#REF!,0,0,Enddate-'[1]Mainline to Leach'!$A$20,1)</definedName>
    <definedName name="Dailydiscountedspread" localSheetId="9">OFFSET('[1]Mainline to Leach'!#REF!,0,0,Enddate-'[1]Mainline to Leach'!$A$20,1)</definedName>
    <definedName name="Dailydiscountedspread" localSheetId="6">OFFSET('[1]Mainline to Leach'!#REF!,0,0,Enddate-'[1]Mainline to Leach'!$A$20,1)</definedName>
    <definedName name="Dailydiscountedspread" localSheetId="8">OFFSET('[1]Mainline to Leach'!#REF!,0,0,Enddate-'[1]Mainline to Leach'!$A$20,1)</definedName>
    <definedName name="Dailydiscountedspread" localSheetId="5">OFFSET('[1]Mainline to Leach'!#REF!,0,0,Enddate-'[1]Mainline to Leach'!$A$20,1)</definedName>
    <definedName name="Dailydiscountedspread" localSheetId="7">OFFSET('[1]Mainline to Leach'!#REF!,0,0,Enddate-'[1]Mainline to Leach'!$A$20,1)</definedName>
    <definedName name="Dailydiscountedspread">OFFSET('[1]Mainline to Leach'!#REF!,0,0,Enddate-'[1]Mainline to Leach'!$A$20,1)</definedName>
    <definedName name="Dailyoptionprice">OFFSET('[1]Mainline to Leach'!$J$21,0,0,'[1]Mainline to Leach'!$H$6-'[1]Mainline to Leach'!$A$20,1)</definedName>
    <definedName name="days_month" localSheetId="2">[5]Inputs!$B$34</definedName>
    <definedName name="days_month">[3]Curves!$B$34</definedName>
    <definedName name="days_year" localSheetId="2">[5]Inputs!$B$33</definedName>
    <definedName name="days_year">[3]Curves!$B$33</definedName>
    <definedName name="DBase">Curves!$C$3</definedName>
    <definedName name="End_Year" localSheetId="2">[5]Inputs!$E$19</definedName>
    <definedName name="End_Year">[3]Curves!$E$19</definedName>
    <definedName name="Enddate">'[1]Mainline to Leach'!$H$6</definedName>
    <definedName name="escalator" localSheetId="2">'[6]SONAT-5YR'!#REF!</definedName>
    <definedName name="escalator">#REF!</definedName>
    <definedName name="FGTCapVolumes">#REF!</definedName>
    <definedName name="FGTSummerVolumes">#REF!</definedName>
    <definedName name="Gas_Price" localSheetId="2">[5]Inputs!$B$11</definedName>
    <definedName name="Gas_Price">[3]Curves!$B$11</definedName>
    <definedName name="Heat_Rate" localSheetId="2">[5]Inputs!$B$6</definedName>
    <definedName name="Heat_Rate">[3]Curves!$B$6</definedName>
    <definedName name="hours_year" localSheetId="2">[5]Inputs!$B$35</definedName>
    <definedName name="hours_year">[3]Curves!$B$35</definedName>
    <definedName name="HP" localSheetId="2">[5]Inputs!$B$5</definedName>
    <definedName name="HP">[3]Curves!$B$5</definedName>
    <definedName name="kW_HP" localSheetId="2">[5]Inputs!$B$40</definedName>
    <definedName name="kW_HP">[3]Curves!$B$40</definedName>
    <definedName name="Load2">Summary!#REF!</definedName>
    <definedName name="Min_Load" localSheetId="2">[5]Inputs!$B$29</definedName>
    <definedName name="Min_Load">[3]Curves!$B$29</definedName>
    <definedName name="MKTCapVolumes">#REF!</definedName>
    <definedName name="MKTCapVolumeswithSummer">#REF!</definedName>
    <definedName name="mthbeg" localSheetId="4">'ANR LA vs ML7'!$A$3</definedName>
    <definedName name="mthbeg" localSheetId="10">'Dawn vs Chippewa'!$A$3</definedName>
    <definedName name="mthbeg" localSheetId="9">'Empress vs Chippewa'!$A$3</definedName>
    <definedName name="mthbeg" localSheetId="6">'ML7 vs St. Clair'!$A$3</definedName>
    <definedName name="mthbeg" localSheetId="8">'Ojibway vs Dawn'!$A$3</definedName>
    <definedName name="mthbeg" localSheetId="5">'PEPL vs Dawn'!$A$3</definedName>
    <definedName name="mthbeg" localSheetId="7">'St.Clair vs Chippawa'!$A$3</definedName>
    <definedName name="mthbeg" localSheetId="2">#REF!</definedName>
    <definedName name="mthbeg">'ANR OK vs ML7'!$A$3</definedName>
    <definedName name="mthend" localSheetId="4">'ANR LA vs ML7'!$B$3</definedName>
    <definedName name="mthend" localSheetId="10">'Dawn vs Chippewa'!$B$3</definedName>
    <definedName name="mthend" localSheetId="9">'Empress vs Chippewa'!$B$3</definedName>
    <definedName name="mthend" localSheetId="6">'ML7 vs St. Clair'!$B$3</definedName>
    <definedName name="mthend" localSheetId="8">'Ojibway vs Dawn'!$B$3</definedName>
    <definedName name="mthend" localSheetId="5">'PEPL vs Dawn'!$B$3</definedName>
    <definedName name="mthend" localSheetId="7">'St.Clair vs Chippawa'!$B$3</definedName>
    <definedName name="mthend" localSheetId="2">#REF!</definedName>
    <definedName name="mthend">'ANR OK vs ML7'!$B$3</definedName>
    <definedName name="Password">Curves!$C$2</definedName>
    <definedName name="_xlnm.Print_Area" localSheetId="3">'ANR OK vs ML7'!$A$1:$AY$45</definedName>
    <definedName name="_xlnm.Print_Area" localSheetId="1">'Escalating commodity'!$B$23:$J$185</definedName>
    <definedName name="_xlnm.Print_Area" localSheetId="12">InputOutputSheet!$A$1:$G$44</definedName>
    <definedName name="_xlnm.Print_Area" localSheetId="2">Summary!$B$1:$AA$50</definedName>
    <definedName name="_xlnm.Print_Area">#REF!</definedName>
    <definedName name="_xlnm.Print_Titles" localSheetId="1">'Escalating commodity'!$19:$22</definedName>
    <definedName name="sencount" hidden="1">1</definedName>
    <definedName name="Start_Year" localSheetId="2">[5]Inputs!$E$18</definedName>
    <definedName name="Table" localSheetId="2">#REF!</definedName>
    <definedName name="Table">Curves!$C$17:$BG$1000</definedName>
    <definedName name="today">Curves!$A$6</definedName>
    <definedName name="UpperLeftOfCurveTable">Curves!$C$11</definedName>
    <definedName name="UserName">Curves!$C$1</definedName>
    <definedName name="weeks_month" localSheetId="2">[5]Inputs!$B$38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64" l="1"/>
  <c r="Z1" i="64"/>
  <c r="AA1" i="64"/>
  <c r="AC1" i="64"/>
  <c r="AD1" i="64"/>
  <c r="S2" i="64"/>
  <c r="A3" i="64"/>
  <c r="B3" i="64"/>
  <c r="D3" i="64"/>
  <c r="E3" i="64"/>
  <c r="I3" i="64"/>
  <c r="J3" i="64"/>
  <c r="K3" i="64"/>
  <c r="R3" i="64"/>
  <c r="S3" i="64"/>
  <c r="J4" i="64"/>
  <c r="K4" i="64"/>
  <c r="L4" i="64"/>
  <c r="M4" i="64"/>
  <c r="O4" i="64"/>
  <c r="P4" i="64"/>
  <c r="R4" i="64"/>
  <c r="S4" i="64"/>
  <c r="T4" i="64"/>
  <c r="U4" i="64"/>
  <c r="W4" i="64"/>
  <c r="X4" i="64"/>
  <c r="Z4" i="64"/>
  <c r="AA4" i="64"/>
  <c r="AC4" i="64"/>
  <c r="AD4" i="64"/>
  <c r="AF4" i="64"/>
  <c r="AF5" i="64"/>
  <c r="H6" i="64"/>
  <c r="K6" i="64"/>
  <c r="M6" i="64"/>
  <c r="P6" i="64"/>
  <c r="S6" i="64"/>
  <c r="U6" i="64"/>
  <c r="X6" i="64"/>
  <c r="AA6" i="64"/>
  <c r="AC6" i="64"/>
  <c r="D8" i="64"/>
  <c r="E8" i="64"/>
  <c r="F8" i="64"/>
  <c r="G8" i="64"/>
  <c r="H8" i="64"/>
  <c r="J8" i="64"/>
  <c r="K8" i="64"/>
  <c r="L8" i="64"/>
  <c r="M8" i="64"/>
  <c r="O8" i="64"/>
  <c r="P8" i="64"/>
  <c r="R8" i="64"/>
  <c r="S8" i="64"/>
  <c r="T8" i="64"/>
  <c r="U8" i="64"/>
  <c r="V8" i="64"/>
  <c r="W8" i="64"/>
  <c r="X8" i="64"/>
  <c r="AH8" i="64"/>
  <c r="AL8" i="64"/>
  <c r="AM8" i="64"/>
  <c r="AN8" i="64"/>
  <c r="AT8" i="64"/>
  <c r="AU8" i="64"/>
  <c r="AW8" i="64"/>
  <c r="AX8" i="64"/>
  <c r="AY8" i="64"/>
  <c r="BA8" i="64"/>
  <c r="BC8" i="64"/>
  <c r="A10" i="64"/>
  <c r="B10" i="64"/>
  <c r="D10" i="64"/>
  <c r="E10" i="64"/>
  <c r="F10" i="64"/>
  <c r="G10" i="64"/>
  <c r="H10" i="64"/>
  <c r="J10" i="64"/>
  <c r="K10" i="64"/>
  <c r="L10" i="64"/>
  <c r="M10" i="64"/>
  <c r="O10" i="64"/>
  <c r="P10" i="64"/>
  <c r="R10" i="64"/>
  <c r="S10" i="64"/>
  <c r="T10" i="64"/>
  <c r="U10" i="64"/>
  <c r="V10" i="64"/>
  <c r="W10" i="64"/>
  <c r="X10" i="64"/>
  <c r="Z10" i="64"/>
  <c r="AA10" i="64"/>
  <c r="AB10" i="64"/>
  <c r="AC10" i="64"/>
  <c r="AD10" i="64"/>
  <c r="AE10" i="64"/>
  <c r="AF10" i="64"/>
  <c r="AG10" i="64"/>
  <c r="AH10" i="64"/>
  <c r="AI10" i="64"/>
  <c r="AJ10" i="64"/>
  <c r="AK10" i="64"/>
  <c r="AL10" i="64"/>
  <c r="AM10" i="64"/>
  <c r="AN10" i="64"/>
  <c r="AO10" i="64"/>
  <c r="AP10" i="64"/>
  <c r="AQ10" i="64"/>
  <c r="AR10" i="64"/>
  <c r="AS10" i="64"/>
  <c r="AT10" i="64"/>
  <c r="AU10" i="64"/>
  <c r="AW10" i="64"/>
  <c r="AX10" i="64"/>
  <c r="AY10" i="64"/>
  <c r="BA10" i="64"/>
  <c r="BC10" i="64"/>
  <c r="A11" i="64"/>
  <c r="B11" i="64"/>
  <c r="D11" i="64"/>
  <c r="E11" i="64"/>
  <c r="F11" i="64"/>
  <c r="G11" i="64"/>
  <c r="H11" i="64"/>
  <c r="J11" i="64"/>
  <c r="K11" i="64"/>
  <c r="L11" i="64"/>
  <c r="M11" i="64"/>
  <c r="O11" i="64"/>
  <c r="P11" i="64"/>
  <c r="R11" i="64"/>
  <c r="S11" i="64"/>
  <c r="T11" i="64"/>
  <c r="U11" i="64"/>
  <c r="V11" i="64"/>
  <c r="W11" i="64"/>
  <c r="X11" i="64"/>
  <c r="Z11" i="64"/>
  <c r="AA11" i="64"/>
  <c r="AB11" i="64"/>
  <c r="AC11" i="64"/>
  <c r="AD11" i="64"/>
  <c r="AE11" i="64"/>
  <c r="AF11" i="64"/>
  <c r="AG11" i="64"/>
  <c r="AH11" i="64"/>
  <c r="AI11" i="64"/>
  <c r="AJ11" i="64"/>
  <c r="AK11" i="64"/>
  <c r="AL11" i="64"/>
  <c r="AM11" i="64"/>
  <c r="AN11" i="64"/>
  <c r="AO11" i="64"/>
  <c r="AP11" i="64"/>
  <c r="AQ11" i="64"/>
  <c r="AR11" i="64"/>
  <c r="AS11" i="64"/>
  <c r="AT11" i="64"/>
  <c r="AU11" i="64"/>
  <c r="AW11" i="64"/>
  <c r="AX11" i="64"/>
  <c r="AY11" i="64"/>
  <c r="BA11" i="64"/>
  <c r="BC11" i="64"/>
  <c r="A12" i="64"/>
  <c r="B12" i="64"/>
  <c r="D12" i="64"/>
  <c r="E12" i="64"/>
  <c r="F12" i="64"/>
  <c r="G12" i="64"/>
  <c r="H12" i="64"/>
  <c r="J12" i="64"/>
  <c r="K12" i="64"/>
  <c r="L12" i="64"/>
  <c r="M12" i="64"/>
  <c r="O12" i="64"/>
  <c r="P12" i="64"/>
  <c r="R12" i="64"/>
  <c r="S12" i="64"/>
  <c r="T12" i="64"/>
  <c r="U12" i="64"/>
  <c r="V12" i="64"/>
  <c r="W12" i="64"/>
  <c r="X12" i="64"/>
  <c r="Z12" i="64"/>
  <c r="AA12" i="64"/>
  <c r="AB12" i="64"/>
  <c r="AC12" i="64"/>
  <c r="AD12" i="64"/>
  <c r="AE12" i="64"/>
  <c r="AF12" i="64"/>
  <c r="AG12" i="64"/>
  <c r="AH12" i="64"/>
  <c r="AI12" i="64"/>
  <c r="AJ12" i="64"/>
  <c r="AK12" i="64"/>
  <c r="AL12" i="64"/>
  <c r="AM12" i="64"/>
  <c r="AN12" i="64"/>
  <c r="AO12" i="64"/>
  <c r="AP12" i="64"/>
  <c r="AQ12" i="64"/>
  <c r="AR12" i="64"/>
  <c r="AS12" i="64"/>
  <c r="AT12" i="64"/>
  <c r="AU12" i="64"/>
  <c r="AW12" i="64"/>
  <c r="AX12" i="64"/>
  <c r="AY12" i="64"/>
  <c r="BA12" i="64"/>
  <c r="BC12" i="64"/>
  <c r="A13" i="64"/>
  <c r="B13" i="64"/>
  <c r="D13" i="64"/>
  <c r="E13" i="64"/>
  <c r="F13" i="64"/>
  <c r="G13" i="64"/>
  <c r="H13" i="64"/>
  <c r="J13" i="64"/>
  <c r="K13" i="64"/>
  <c r="L13" i="64"/>
  <c r="M13" i="64"/>
  <c r="O13" i="64"/>
  <c r="P13" i="64"/>
  <c r="R13" i="64"/>
  <c r="S13" i="64"/>
  <c r="T13" i="64"/>
  <c r="U13" i="64"/>
  <c r="V13" i="64"/>
  <c r="W13" i="64"/>
  <c r="X13" i="64"/>
  <c r="Z13" i="64"/>
  <c r="AA13" i="64"/>
  <c r="AB13" i="64"/>
  <c r="AC13" i="64"/>
  <c r="AD13" i="64"/>
  <c r="AE13" i="64"/>
  <c r="AF13" i="64"/>
  <c r="AG13" i="64"/>
  <c r="AH13" i="64"/>
  <c r="AI13" i="64"/>
  <c r="AJ13" i="64"/>
  <c r="AK13" i="64"/>
  <c r="AL13" i="64"/>
  <c r="AM13" i="64"/>
  <c r="AN13" i="64"/>
  <c r="AO13" i="64"/>
  <c r="AP13" i="64"/>
  <c r="AQ13" i="64"/>
  <c r="AR13" i="64"/>
  <c r="AS13" i="64"/>
  <c r="AT13" i="64"/>
  <c r="AU13" i="64"/>
  <c r="AW13" i="64"/>
  <c r="AX13" i="64"/>
  <c r="AY13" i="64"/>
  <c r="BA13" i="64"/>
  <c r="BC13" i="64"/>
  <c r="A14" i="64"/>
  <c r="B14" i="64"/>
  <c r="D14" i="64"/>
  <c r="E14" i="64"/>
  <c r="F14" i="64"/>
  <c r="G14" i="64"/>
  <c r="H14" i="64"/>
  <c r="J14" i="64"/>
  <c r="K14" i="64"/>
  <c r="L14" i="64"/>
  <c r="M14" i="64"/>
  <c r="O14" i="64"/>
  <c r="P14" i="64"/>
  <c r="R14" i="64"/>
  <c r="S14" i="64"/>
  <c r="T14" i="64"/>
  <c r="U14" i="64"/>
  <c r="V14" i="64"/>
  <c r="W14" i="64"/>
  <c r="X14" i="64"/>
  <c r="Z14" i="64"/>
  <c r="AA14" i="64"/>
  <c r="AB14" i="64"/>
  <c r="AC14" i="64"/>
  <c r="AD14" i="64"/>
  <c r="AE14" i="64"/>
  <c r="AF14" i="64"/>
  <c r="AG14" i="64"/>
  <c r="AH14" i="64"/>
  <c r="AI14" i="64"/>
  <c r="AJ14" i="64"/>
  <c r="AK14" i="64"/>
  <c r="AL14" i="64"/>
  <c r="AM14" i="64"/>
  <c r="AN14" i="64"/>
  <c r="AO14" i="64"/>
  <c r="AP14" i="64"/>
  <c r="AQ14" i="64"/>
  <c r="AR14" i="64"/>
  <c r="AS14" i="64"/>
  <c r="AT14" i="64"/>
  <c r="AU14" i="64"/>
  <c r="AW14" i="64"/>
  <c r="AX14" i="64"/>
  <c r="AY14" i="64"/>
  <c r="BA14" i="64"/>
  <c r="BC14" i="64"/>
  <c r="A15" i="64"/>
  <c r="B15" i="64"/>
  <c r="D15" i="64"/>
  <c r="E15" i="64"/>
  <c r="F15" i="64"/>
  <c r="G15" i="64"/>
  <c r="H15" i="64"/>
  <c r="J15" i="64"/>
  <c r="K15" i="64"/>
  <c r="L15" i="64"/>
  <c r="M15" i="64"/>
  <c r="O15" i="64"/>
  <c r="P15" i="64"/>
  <c r="R15" i="64"/>
  <c r="S15" i="64"/>
  <c r="T15" i="64"/>
  <c r="U15" i="64"/>
  <c r="V15" i="64"/>
  <c r="W15" i="64"/>
  <c r="X15" i="64"/>
  <c r="Z15" i="64"/>
  <c r="AA15" i="64"/>
  <c r="AB15" i="64"/>
  <c r="AC15" i="64"/>
  <c r="AD15" i="64"/>
  <c r="AE15" i="64"/>
  <c r="AF15" i="64"/>
  <c r="AG15" i="64"/>
  <c r="AH15" i="64"/>
  <c r="AI15" i="64"/>
  <c r="AJ15" i="64"/>
  <c r="AK15" i="64"/>
  <c r="AL15" i="64"/>
  <c r="AM15" i="64"/>
  <c r="AN15" i="64"/>
  <c r="AO15" i="64"/>
  <c r="AP15" i="64"/>
  <c r="AQ15" i="64"/>
  <c r="AR15" i="64"/>
  <c r="AS15" i="64"/>
  <c r="AT15" i="64"/>
  <c r="AU15" i="64"/>
  <c r="AW15" i="64"/>
  <c r="AX15" i="64"/>
  <c r="AY15" i="64"/>
  <c r="BA15" i="64"/>
  <c r="BC15" i="64"/>
  <c r="A16" i="64"/>
  <c r="B16" i="64"/>
  <c r="D16" i="64"/>
  <c r="E16" i="64"/>
  <c r="F16" i="64"/>
  <c r="G16" i="64"/>
  <c r="H16" i="64"/>
  <c r="J16" i="64"/>
  <c r="K16" i="64"/>
  <c r="L16" i="64"/>
  <c r="M16" i="64"/>
  <c r="O16" i="64"/>
  <c r="P16" i="64"/>
  <c r="R16" i="64"/>
  <c r="S16" i="64"/>
  <c r="T16" i="64"/>
  <c r="U16" i="64"/>
  <c r="V16" i="64"/>
  <c r="W16" i="64"/>
  <c r="X16" i="64"/>
  <c r="Z16" i="64"/>
  <c r="AA16" i="64"/>
  <c r="AB16" i="64"/>
  <c r="AC16" i="64"/>
  <c r="AD16" i="64"/>
  <c r="AE16" i="64"/>
  <c r="AF16" i="64"/>
  <c r="AG16" i="64"/>
  <c r="AH16" i="64"/>
  <c r="AI16" i="64"/>
  <c r="AJ16" i="64"/>
  <c r="AK16" i="64"/>
  <c r="AL16" i="64"/>
  <c r="AM16" i="64"/>
  <c r="AN16" i="64"/>
  <c r="AO16" i="64"/>
  <c r="AP16" i="64"/>
  <c r="AQ16" i="64"/>
  <c r="AR16" i="64"/>
  <c r="AS16" i="64"/>
  <c r="AT16" i="64"/>
  <c r="AU16" i="64"/>
  <c r="AW16" i="64"/>
  <c r="AX16" i="64"/>
  <c r="AY16" i="64"/>
  <c r="BA16" i="64"/>
  <c r="BC16" i="64"/>
  <c r="A17" i="64"/>
  <c r="B17" i="64"/>
  <c r="D17" i="64"/>
  <c r="E17" i="64"/>
  <c r="F17" i="64"/>
  <c r="G17" i="64"/>
  <c r="H17" i="64"/>
  <c r="J17" i="64"/>
  <c r="K17" i="64"/>
  <c r="L17" i="64"/>
  <c r="M17" i="64"/>
  <c r="O17" i="64"/>
  <c r="P17" i="64"/>
  <c r="R17" i="64"/>
  <c r="S17" i="64"/>
  <c r="T17" i="64"/>
  <c r="U17" i="64"/>
  <c r="V17" i="64"/>
  <c r="W17" i="64"/>
  <c r="X17" i="64"/>
  <c r="Z17" i="64"/>
  <c r="AA17" i="64"/>
  <c r="AB17" i="64"/>
  <c r="AC17" i="64"/>
  <c r="AD17" i="64"/>
  <c r="AE17" i="64"/>
  <c r="AF17" i="64"/>
  <c r="AG17" i="64"/>
  <c r="AH17" i="64"/>
  <c r="AI17" i="64"/>
  <c r="AJ17" i="64"/>
  <c r="AK17" i="64"/>
  <c r="AL17" i="64"/>
  <c r="AM17" i="64"/>
  <c r="AN17" i="64"/>
  <c r="AO17" i="64"/>
  <c r="AP17" i="64"/>
  <c r="AQ17" i="64"/>
  <c r="AR17" i="64"/>
  <c r="AS17" i="64"/>
  <c r="AT17" i="64"/>
  <c r="AU17" i="64"/>
  <c r="AW17" i="64"/>
  <c r="AX17" i="64"/>
  <c r="AY17" i="64"/>
  <c r="BA17" i="64"/>
  <c r="BC17" i="64"/>
  <c r="A18" i="64"/>
  <c r="B18" i="64"/>
  <c r="D18" i="64"/>
  <c r="E18" i="64"/>
  <c r="F18" i="64"/>
  <c r="G18" i="64"/>
  <c r="H18" i="64"/>
  <c r="J18" i="64"/>
  <c r="K18" i="64"/>
  <c r="L18" i="64"/>
  <c r="M18" i="64"/>
  <c r="O18" i="64"/>
  <c r="P18" i="64"/>
  <c r="R18" i="64"/>
  <c r="S18" i="64"/>
  <c r="T18" i="64"/>
  <c r="U18" i="64"/>
  <c r="V18" i="64"/>
  <c r="W18" i="64"/>
  <c r="X18" i="64"/>
  <c r="Z18" i="64"/>
  <c r="AA18" i="64"/>
  <c r="AB18" i="64"/>
  <c r="AC18" i="64"/>
  <c r="AD18" i="64"/>
  <c r="AE18" i="64"/>
  <c r="AF18" i="64"/>
  <c r="AG18" i="64"/>
  <c r="AH18" i="64"/>
  <c r="AI18" i="64"/>
  <c r="AJ18" i="64"/>
  <c r="AK18" i="64"/>
  <c r="AL18" i="64"/>
  <c r="AM18" i="64"/>
  <c r="AN18" i="64"/>
  <c r="AO18" i="64"/>
  <c r="AP18" i="64"/>
  <c r="AQ18" i="64"/>
  <c r="AR18" i="64"/>
  <c r="AS18" i="64"/>
  <c r="AT18" i="64"/>
  <c r="AU18" i="64"/>
  <c r="AW18" i="64"/>
  <c r="AX18" i="64"/>
  <c r="AY18" i="64"/>
  <c r="BA18" i="64"/>
  <c r="BC18" i="64"/>
  <c r="A19" i="64"/>
  <c r="B19" i="64"/>
  <c r="D19" i="64"/>
  <c r="E19" i="64"/>
  <c r="F19" i="64"/>
  <c r="G19" i="64"/>
  <c r="H19" i="64"/>
  <c r="J19" i="64"/>
  <c r="K19" i="64"/>
  <c r="L19" i="64"/>
  <c r="M19" i="64"/>
  <c r="O19" i="64"/>
  <c r="P19" i="64"/>
  <c r="R19" i="64"/>
  <c r="S19" i="64"/>
  <c r="T19" i="64"/>
  <c r="U19" i="64"/>
  <c r="V19" i="64"/>
  <c r="W19" i="64"/>
  <c r="X19" i="64"/>
  <c r="Z19" i="64"/>
  <c r="AA19" i="64"/>
  <c r="AB19" i="64"/>
  <c r="AC19" i="64"/>
  <c r="AD19" i="64"/>
  <c r="AE19" i="64"/>
  <c r="AF19" i="64"/>
  <c r="AG19" i="64"/>
  <c r="AH19" i="64"/>
  <c r="AI19" i="64"/>
  <c r="AJ19" i="64"/>
  <c r="AK19" i="64"/>
  <c r="AL19" i="64"/>
  <c r="AM19" i="64"/>
  <c r="AN19" i="64"/>
  <c r="AO19" i="64"/>
  <c r="AP19" i="64"/>
  <c r="AQ19" i="64"/>
  <c r="AR19" i="64"/>
  <c r="AS19" i="64"/>
  <c r="AT19" i="64"/>
  <c r="AU19" i="64"/>
  <c r="AW19" i="64"/>
  <c r="AX19" i="64"/>
  <c r="AY19" i="64"/>
  <c r="BA19" i="64"/>
  <c r="BC19" i="64"/>
  <c r="A20" i="64"/>
  <c r="B20" i="64"/>
  <c r="D20" i="64"/>
  <c r="E20" i="64"/>
  <c r="F20" i="64"/>
  <c r="G20" i="64"/>
  <c r="H20" i="64"/>
  <c r="J20" i="64"/>
  <c r="K20" i="64"/>
  <c r="L20" i="64"/>
  <c r="M20" i="64"/>
  <c r="O20" i="64"/>
  <c r="P20" i="64"/>
  <c r="R20" i="64"/>
  <c r="S20" i="64"/>
  <c r="T20" i="64"/>
  <c r="U20" i="64"/>
  <c r="V20" i="64"/>
  <c r="W20" i="64"/>
  <c r="X20" i="64"/>
  <c r="Z20" i="64"/>
  <c r="AA20" i="64"/>
  <c r="AB20" i="64"/>
  <c r="AC20" i="64"/>
  <c r="AD20" i="64"/>
  <c r="AE20" i="64"/>
  <c r="AF20" i="64"/>
  <c r="AG20" i="64"/>
  <c r="AH20" i="64"/>
  <c r="AI20" i="64"/>
  <c r="AJ20" i="64"/>
  <c r="AK20" i="64"/>
  <c r="AL20" i="64"/>
  <c r="AM20" i="64"/>
  <c r="AN20" i="64"/>
  <c r="AO20" i="64"/>
  <c r="AP20" i="64"/>
  <c r="AQ20" i="64"/>
  <c r="AR20" i="64"/>
  <c r="AS20" i="64"/>
  <c r="AT20" i="64"/>
  <c r="AU20" i="64"/>
  <c r="AW20" i="64"/>
  <c r="AX20" i="64"/>
  <c r="AY20" i="64"/>
  <c r="BA20" i="64"/>
  <c r="BC20" i="64"/>
  <c r="A21" i="64"/>
  <c r="B21" i="64"/>
  <c r="D21" i="64"/>
  <c r="E21" i="64"/>
  <c r="F21" i="64"/>
  <c r="G21" i="64"/>
  <c r="H21" i="64"/>
  <c r="J21" i="64"/>
  <c r="K21" i="64"/>
  <c r="L21" i="64"/>
  <c r="M21" i="64"/>
  <c r="O21" i="64"/>
  <c r="P21" i="64"/>
  <c r="R21" i="64"/>
  <c r="S21" i="64"/>
  <c r="T21" i="64"/>
  <c r="U21" i="64"/>
  <c r="V21" i="64"/>
  <c r="W21" i="64"/>
  <c r="X21" i="64"/>
  <c r="Z21" i="64"/>
  <c r="AA21" i="64"/>
  <c r="AB21" i="64"/>
  <c r="AC21" i="64"/>
  <c r="AD21" i="64"/>
  <c r="AE21" i="64"/>
  <c r="AF21" i="64"/>
  <c r="AG21" i="64"/>
  <c r="AH21" i="64"/>
  <c r="AI21" i="64"/>
  <c r="AJ21" i="64"/>
  <c r="AK21" i="64"/>
  <c r="AL21" i="64"/>
  <c r="AM21" i="64"/>
  <c r="AN21" i="64"/>
  <c r="AO21" i="64"/>
  <c r="AP21" i="64"/>
  <c r="AQ21" i="64"/>
  <c r="AR21" i="64"/>
  <c r="AS21" i="64"/>
  <c r="AT21" i="64"/>
  <c r="AU21" i="64"/>
  <c r="AW21" i="64"/>
  <c r="AX21" i="64"/>
  <c r="AY21" i="64"/>
  <c r="BA21" i="64"/>
  <c r="BC21" i="64"/>
  <c r="A22" i="64"/>
  <c r="B22" i="64"/>
  <c r="D22" i="64"/>
  <c r="E22" i="64"/>
  <c r="F22" i="64"/>
  <c r="G22" i="64"/>
  <c r="H22" i="64"/>
  <c r="J22" i="64"/>
  <c r="K22" i="64"/>
  <c r="L22" i="64"/>
  <c r="M22" i="64"/>
  <c r="O22" i="64"/>
  <c r="P22" i="64"/>
  <c r="R22" i="64"/>
  <c r="S22" i="64"/>
  <c r="T22" i="64"/>
  <c r="U22" i="64"/>
  <c r="V22" i="64"/>
  <c r="W22" i="64"/>
  <c r="X22" i="64"/>
  <c r="Z22" i="64"/>
  <c r="AA22" i="64"/>
  <c r="AB22" i="64"/>
  <c r="AC22" i="64"/>
  <c r="AD22" i="64"/>
  <c r="AE22" i="64"/>
  <c r="AF22" i="64"/>
  <c r="AG22" i="64"/>
  <c r="AH22" i="64"/>
  <c r="AI22" i="64"/>
  <c r="AJ22" i="64"/>
  <c r="AK22" i="64"/>
  <c r="AL22" i="64"/>
  <c r="AM22" i="64"/>
  <c r="AN22" i="64"/>
  <c r="AO22" i="64"/>
  <c r="AP22" i="64"/>
  <c r="AQ22" i="64"/>
  <c r="AR22" i="64"/>
  <c r="AS22" i="64"/>
  <c r="AT22" i="64"/>
  <c r="AU22" i="64"/>
  <c r="AW22" i="64"/>
  <c r="AX22" i="64"/>
  <c r="AY22" i="64"/>
  <c r="BA22" i="64"/>
  <c r="BC22" i="64"/>
  <c r="A23" i="64"/>
  <c r="B23" i="64"/>
  <c r="D23" i="64"/>
  <c r="E23" i="64"/>
  <c r="F23" i="64"/>
  <c r="G23" i="64"/>
  <c r="H23" i="64"/>
  <c r="J23" i="64"/>
  <c r="K23" i="64"/>
  <c r="L23" i="64"/>
  <c r="M23" i="64"/>
  <c r="O23" i="64"/>
  <c r="P23" i="64"/>
  <c r="R23" i="64"/>
  <c r="S23" i="64"/>
  <c r="T23" i="64"/>
  <c r="U23" i="64"/>
  <c r="V23" i="64"/>
  <c r="W23" i="64"/>
  <c r="X23" i="64"/>
  <c r="Z23" i="64"/>
  <c r="AA23" i="64"/>
  <c r="AB23" i="64"/>
  <c r="AC23" i="64"/>
  <c r="AD23" i="64"/>
  <c r="AE23" i="64"/>
  <c r="AF23" i="64"/>
  <c r="AG23" i="64"/>
  <c r="AH23" i="64"/>
  <c r="AI23" i="64"/>
  <c r="AJ23" i="64"/>
  <c r="AK23" i="64"/>
  <c r="AL23" i="64"/>
  <c r="AM23" i="64"/>
  <c r="AN23" i="64"/>
  <c r="AO23" i="64"/>
  <c r="AP23" i="64"/>
  <c r="AQ23" i="64"/>
  <c r="AR23" i="64"/>
  <c r="AS23" i="64"/>
  <c r="AT23" i="64"/>
  <c r="AU23" i="64"/>
  <c r="AW23" i="64"/>
  <c r="AX23" i="64"/>
  <c r="AY23" i="64"/>
  <c r="BA23" i="64"/>
  <c r="BC23" i="64"/>
  <c r="A24" i="64"/>
  <c r="B24" i="64"/>
  <c r="D24" i="64"/>
  <c r="E24" i="64"/>
  <c r="F24" i="64"/>
  <c r="G24" i="64"/>
  <c r="H24" i="64"/>
  <c r="J24" i="64"/>
  <c r="K24" i="64"/>
  <c r="L24" i="64"/>
  <c r="M24" i="64"/>
  <c r="O24" i="64"/>
  <c r="P24" i="64"/>
  <c r="R24" i="64"/>
  <c r="S24" i="64"/>
  <c r="T24" i="64"/>
  <c r="U24" i="64"/>
  <c r="V24" i="64"/>
  <c r="W24" i="64"/>
  <c r="X24" i="64"/>
  <c r="Z24" i="64"/>
  <c r="AA24" i="64"/>
  <c r="AB24" i="64"/>
  <c r="AC24" i="64"/>
  <c r="AD24" i="64"/>
  <c r="AE24" i="64"/>
  <c r="AF24" i="64"/>
  <c r="AG24" i="64"/>
  <c r="AH24" i="64"/>
  <c r="AI24" i="64"/>
  <c r="AJ24" i="64"/>
  <c r="AK24" i="64"/>
  <c r="AL24" i="64"/>
  <c r="AM24" i="64"/>
  <c r="AN24" i="64"/>
  <c r="AO24" i="64"/>
  <c r="AP24" i="64"/>
  <c r="AQ24" i="64"/>
  <c r="AR24" i="64"/>
  <c r="AS24" i="64"/>
  <c r="AT24" i="64"/>
  <c r="AU24" i="64"/>
  <c r="AW24" i="64"/>
  <c r="AX24" i="64"/>
  <c r="AY24" i="64"/>
  <c r="BA24" i="64"/>
  <c r="BC24" i="64"/>
  <c r="A25" i="64"/>
  <c r="B25" i="64"/>
  <c r="D25" i="64"/>
  <c r="E25" i="64"/>
  <c r="F25" i="64"/>
  <c r="G25" i="64"/>
  <c r="H25" i="64"/>
  <c r="J25" i="64"/>
  <c r="K25" i="64"/>
  <c r="L25" i="64"/>
  <c r="M25" i="64"/>
  <c r="O25" i="64"/>
  <c r="P25" i="64"/>
  <c r="R25" i="64"/>
  <c r="S25" i="64"/>
  <c r="T25" i="64"/>
  <c r="U25" i="64"/>
  <c r="V25" i="64"/>
  <c r="W25" i="64"/>
  <c r="X25" i="64"/>
  <c r="Z25" i="64"/>
  <c r="AA25" i="64"/>
  <c r="AB25" i="64"/>
  <c r="AC25" i="64"/>
  <c r="AD25" i="64"/>
  <c r="AE25" i="64"/>
  <c r="AF25" i="64"/>
  <c r="AG25" i="64"/>
  <c r="AH25" i="64"/>
  <c r="AI25" i="64"/>
  <c r="AJ25" i="64"/>
  <c r="AK25" i="64"/>
  <c r="AL25" i="64"/>
  <c r="AM25" i="64"/>
  <c r="AN25" i="64"/>
  <c r="AO25" i="64"/>
  <c r="AP25" i="64"/>
  <c r="AQ25" i="64"/>
  <c r="AR25" i="64"/>
  <c r="AS25" i="64"/>
  <c r="AT25" i="64"/>
  <c r="AU25" i="64"/>
  <c r="AW25" i="64"/>
  <c r="AX25" i="64"/>
  <c r="AY25" i="64"/>
  <c r="BA25" i="64"/>
  <c r="BC25" i="64"/>
  <c r="A26" i="64"/>
  <c r="B26" i="64"/>
  <c r="D26" i="64"/>
  <c r="E26" i="64"/>
  <c r="F26" i="64"/>
  <c r="G26" i="64"/>
  <c r="H26" i="64"/>
  <c r="J26" i="64"/>
  <c r="K26" i="64"/>
  <c r="L26" i="64"/>
  <c r="M26" i="64"/>
  <c r="O26" i="64"/>
  <c r="P26" i="64"/>
  <c r="R26" i="64"/>
  <c r="S26" i="64"/>
  <c r="T26" i="64"/>
  <c r="U26" i="64"/>
  <c r="V26" i="64"/>
  <c r="W26" i="64"/>
  <c r="X26" i="64"/>
  <c r="Z26" i="64"/>
  <c r="AA26" i="64"/>
  <c r="AB26" i="64"/>
  <c r="AC26" i="64"/>
  <c r="AD26" i="64"/>
  <c r="AE26" i="64"/>
  <c r="AF26" i="64"/>
  <c r="AG26" i="64"/>
  <c r="AH26" i="64"/>
  <c r="AI26" i="64"/>
  <c r="AJ26" i="64"/>
  <c r="AK26" i="64"/>
  <c r="AL26" i="64"/>
  <c r="AM26" i="64"/>
  <c r="AN26" i="64"/>
  <c r="AO26" i="64"/>
  <c r="AP26" i="64"/>
  <c r="AQ26" i="64"/>
  <c r="AR26" i="64"/>
  <c r="AS26" i="64"/>
  <c r="AT26" i="64"/>
  <c r="AU26" i="64"/>
  <c r="AW26" i="64"/>
  <c r="AX26" i="64"/>
  <c r="AY26" i="64"/>
  <c r="BA26" i="64"/>
  <c r="BC26" i="64"/>
  <c r="A27" i="64"/>
  <c r="B27" i="64"/>
  <c r="D27" i="64"/>
  <c r="E27" i="64"/>
  <c r="F27" i="64"/>
  <c r="G27" i="64"/>
  <c r="H27" i="64"/>
  <c r="J27" i="64"/>
  <c r="K27" i="64"/>
  <c r="L27" i="64"/>
  <c r="M27" i="64"/>
  <c r="O27" i="64"/>
  <c r="P27" i="64"/>
  <c r="R27" i="64"/>
  <c r="S27" i="64"/>
  <c r="T27" i="64"/>
  <c r="U27" i="64"/>
  <c r="V27" i="64"/>
  <c r="W27" i="64"/>
  <c r="X27" i="64"/>
  <c r="Z27" i="64"/>
  <c r="AA27" i="64"/>
  <c r="AB27" i="64"/>
  <c r="AC27" i="64"/>
  <c r="AD27" i="64"/>
  <c r="AE27" i="64"/>
  <c r="AF27" i="64"/>
  <c r="AG27" i="64"/>
  <c r="AH27" i="64"/>
  <c r="AI27" i="64"/>
  <c r="AJ27" i="64"/>
  <c r="AK27" i="64"/>
  <c r="AL27" i="64"/>
  <c r="AM27" i="64"/>
  <c r="AN27" i="64"/>
  <c r="AO27" i="64"/>
  <c r="AP27" i="64"/>
  <c r="AQ27" i="64"/>
  <c r="AR27" i="64"/>
  <c r="AS27" i="64"/>
  <c r="AT27" i="64"/>
  <c r="AU27" i="64"/>
  <c r="AW27" i="64"/>
  <c r="AX27" i="64"/>
  <c r="AY27" i="64"/>
  <c r="BA27" i="64"/>
  <c r="BC27" i="64"/>
  <c r="A28" i="64"/>
  <c r="B28" i="64"/>
  <c r="D28" i="64"/>
  <c r="E28" i="64"/>
  <c r="F28" i="64"/>
  <c r="G28" i="64"/>
  <c r="H28" i="64"/>
  <c r="J28" i="64"/>
  <c r="K28" i="64"/>
  <c r="L28" i="64"/>
  <c r="M28" i="64"/>
  <c r="O28" i="64"/>
  <c r="P28" i="64"/>
  <c r="R28" i="64"/>
  <c r="S28" i="64"/>
  <c r="T28" i="64"/>
  <c r="U28" i="64"/>
  <c r="V28" i="64"/>
  <c r="W28" i="64"/>
  <c r="X28" i="64"/>
  <c r="Z28" i="64"/>
  <c r="AA28" i="64"/>
  <c r="AB28" i="64"/>
  <c r="AC28" i="64"/>
  <c r="AD28" i="64"/>
  <c r="AE28" i="64"/>
  <c r="AF28" i="64"/>
  <c r="AG28" i="64"/>
  <c r="AH28" i="64"/>
  <c r="AI28" i="64"/>
  <c r="AJ28" i="64"/>
  <c r="AK28" i="64"/>
  <c r="AL28" i="64"/>
  <c r="AM28" i="64"/>
  <c r="AN28" i="64"/>
  <c r="AO28" i="64"/>
  <c r="AP28" i="64"/>
  <c r="AQ28" i="64"/>
  <c r="AR28" i="64"/>
  <c r="AS28" i="64"/>
  <c r="AT28" i="64"/>
  <c r="AU28" i="64"/>
  <c r="AW28" i="64"/>
  <c r="AX28" i="64"/>
  <c r="AY28" i="64"/>
  <c r="BA28" i="64"/>
  <c r="BC28" i="64"/>
  <c r="A29" i="64"/>
  <c r="B29" i="64"/>
  <c r="D29" i="64"/>
  <c r="E29" i="64"/>
  <c r="F29" i="64"/>
  <c r="G29" i="64"/>
  <c r="H29" i="64"/>
  <c r="J29" i="64"/>
  <c r="K29" i="64"/>
  <c r="L29" i="64"/>
  <c r="M29" i="64"/>
  <c r="O29" i="64"/>
  <c r="P29" i="64"/>
  <c r="R29" i="64"/>
  <c r="S29" i="64"/>
  <c r="T29" i="64"/>
  <c r="U29" i="64"/>
  <c r="V29" i="64"/>
  <c r="W29" i="64"/>
  <c r="X29" i="64"/>
  <c r="Z29" i="64"/>
  <c r="AA29" i="64"/>
  <c r="AB29" i="64"/>
  <c r="AC29" i="64"/>
  <c r="AD29" i="64"/>
  <c r="AE29" i="64"/>
  <c r="AF29" i="64"/>
  <c r="AG29" i="64"/>
  <c r="AH29" i="64"/>
  <c r="AI29" i="64"/>
  <c r="AJ29" i="64"/>
  <c r="AK29" i="64"/>
  <c r="AL29" i="64"/>
  <c r="AM29" i="64"/>
  <c r="AN29" i="64"/>
  <c r="AO29" i="64"/>
  <c r="AP29" i="64"/>
  <c r="AQ29" i="64"/>
  <c r="AR29" i="64"/>
  <c r="AS29" i="64"/>
  <c r="AT29" i="64"/>
  <c r="AU29" i="64"/>
  <c r="AW29" i="64"/>
  <c r="AX29" i="64"/>
  <c r="AY29" i="64"/>
  <c r="BA29" i="64"/>
  <c r="BC29" i="64"/>
  <c r="A30" i="64"/>
  <c r="B30" i="64"/>
  <c r="D30" i="64"/>
  <c r="E30" i="64"/>
  <c r="F30" i="64"/>
  <c r="G30" i="64"/>
  <c r="H30" i="64"/>
  <c r="J30" i="64"/>
  <c r="K30" i="64"/>
  <c r="L30" i="64"/>
  <c r="M30" i="64"/>
  <c r="O30" i="64"/>
  <c r="P30" i="64"/>
  <c r="R30" i="64"/>
  <c r="S30" i="64"/>
  <c r="T30" i="64"/>
  <c r="U30" i="64"/>
  <c r="V30" i="64"/>
  <c r="W30" i="64"/>
  <c r="X30" i="64"/>
  <c r="Z30" i="64"/>
  <c r="AA30" i="64"/>
  <c r="AB30" i="64"/>
  <c r="AC30" i="64"/>
  <c r="AD30" i="64"/>
  <c r="AE30" i="64"/>
  <c r="AF30" i="64"/>
  <c r="AG30" i="64"/>
  <c r="AH30" i="64"/>
  <c r="AI30" i="64"/>
  <c r="AJ30" i="64"/>
  <c r="AK30" i="64"/>
  <c r="AL30" i="64"/>
  <c r="AM30" i="64"/>
  <c r="AN30" i="64"/>
  <c r="AO30" i="64"/>
  <c r="AP30" i="64"/>
  <c r="AQ30" i="64"/>
  <c r="AR30" i="64"/>
  <c r="AS30" i="64"/>
  <c r="AT30" i="64"/>
  <c r="AU30" i="64"/>
  <c r="AW30" i="64"/>
  <c r="AX30" i="64"/>
  <c r="AY30" i="64"/>
  <c r="BA30" i="64"/>
  <c r="BC30" i="64"/>
  <c r="A31" i="64"/>
  <c r="B31" i="64"/>
  <c r="D31" i="64"/>
  <c r="E31" i="64"/>
  <c r="F31" i="64"/>
  <c r="G31" i="64"/>
  <c r="H31" i="64"/>
  <c r="J31" i="64"/>
  <c r="K31" i="64"/>
  <c r="L31" i="64"/>
  <c r="M31" i="64"/>
  <c r="O31" i="64"/>
  <c r="P31" i="64"/>
  <c r="R31" i="64"/>
  <c r="S31" i="64"/>
  <c r="T31" i="64"/>
  <c r="U31" i="64"/>
  <c r="V31" i="64"/>
  <c r="W31" i="64"/>
  <c r="X31" i="64"/>
  <c r="Z31" i="64"/>
  <c r="AA31" i="64"/>
  <c r="AB31" i="64"/>
  <c r="AC31" i="64"/>
  <c r="AD31" i="64"/>
  <c r="AE31" i="64"/>
  <c r="AF31" i="64"/>
  <c r="AG31" i="64"/>
  <c r="AH31" i="64"/>
  <c r="AI31" i="64"/>
  <c r="AJ31" i="64"/>
  <c r="AK31" i="64"/>
  <c r="AL31" i="64"/>
  <c r="AM31" i="64"/>
  <c r="AN31" i="64"/>
  <c r="AO31" i="64"/>
  <c r="AP31" i="64"/>
  <c r="AQ31" i="64"/>
  <c r="AR31" i="64"/>
  <c r="AS31" i="64"/>
  <c r="AT31" i="64"/>
  <c r="AU31" i="64"/>
  <c r="AW31" i="64"/>
  <c r="AX31" i="64"/>
  <c r="AY31" i="64"/>
  <c r="BA31" i="64"/>
  <c r="BC31" i="64"/>
  <c r="A32" i="64"/>
  <c r="B32" i="64"/>
  <c r="D32" i="64"/>
  <c r="E32" i="64"/>
  <c r="F32" i="64"/>
  <c r="G32" i="64"/>
  <c r="H32" i="64"/>
  <c r="J32" i="64"/>
  <c r="K32" i="64"/>
  <c r="L32" i="64"/>
  <c r="M32" i="64"/>
  <c r="O32" i="64"/>
  <c r="P32" i="64"/>
  <c r="R32" i="64"/>
  <c r="S32" i="64"/>
  <c r="T32" i="64"/>
  <c r="U32" i="64"/>
  <c r="V32" i="64"/>
  <c r="W32" i="64"/>
  <c r="X32" i="64"/>
  <c r="Z32" i="64"/>
  <c r="AA32" i="64"/>
  <c r="AB32" i="64"/>
  <c r="AC32" i="64"/>
  <c r="AD32" i="64"/>
  <c r="AE32" i="64"/>
  <c r="AF32" i="64"/>
  <c r="AG32" i="64"/>
  <c r="AH32" i="64"/>
  <c r="AI32" i="64"/>
  <c r="AJ32" i="64"/>
  <c r="AK32" i="64"/>
  <c r="AL32" i="64"/>
  <c r="AM32" i="64"/>
  <c r="AN32" i="64"/>
  <c r="AO32" i="64"/>
  <c r="AP32" i="64"/>
  <c r="AQ32" i="64"/>
  <c r="AR32" i="64"/>
  <c r="AS32" i="64"/>
  <c r="AT32" i="64"/>
  <c r="AU32" i="64"/>
  <c r="AW32" i="64"/>
  <c r="AX32" i="64"/>
  <c r="AY32" i="64"/>
  <c r="BA32" i="64"/>
  <c r="BC32" i="64"/>
  <c r="A33" i="64"/>
  <c r="B33" i="64"/>
  <c r="D33" i="64"/>
  <c r="E33" i="64"/>
  <c r="F33" i="64"/>
  <c r="G33" i="64"/>
  <c r="H33" i="64"/>
  <c r="J33" i="64"/>
  <c r="K33" i="64"/>
  <c r="L33" i="64"/>
  <c r="M33" i="64"/>
  <c r="O33" i="64"/>
  <c r="P33" i="64"/>
  <c r="R33" i="64"/>
  <c r="S33" i="64"/>
  <c r="T33" i="64"/>
  <c r="U33" i="64"/>
  <c r="V33" i="64"/>
  <c r="W33" i="64"/>
  <c r="X33" i="64"/>
  <c r="Z33" i="64"/>
  <c r="AA33" i="64"/>
  <c r="AB33" i="64"/>
  <c r="AC33" i="64"/>
  <c r="AD33" i="64"/>
  <c r="AE33" i="64"/>
  <c r="AF33" i="64"/>
  <c r="AG33" i="64"/>
  <c r="AH33" i="64"/>
  <c r="AI33" i="64"/>
  <c r="AJ33" i="64"/>
  <c r="AK33" i="64"/>
  <c r="AL33" i="64"/>
  <c r="AM33" i="64"/>
  <c r="AN33" i="64"/>
  <c r="AO33" i="64"/>
  <c r="AP33" i="64"/>
  <c r="AQ33" i="64"/>
  <c r="AR33" i="64"/>
  <c r="AS33" i="64"/>
  <c r="AT33" i="64"/>
  <c r="AU33" i="64"/>
  <c r="AW33" i="64"/>
  <c r="AX33" i="64"/>
  <c r="AY33" i="64"/>
  <c r="BA33" i="64"/>
  <c r="BC33" i="64"/>
  <c r="A34" i="64"/>
  <c r="B34" i="64"/>
  <c r="D34" i="64"/>
  <c r="E34" i="64"/>
  <c r="F34" i="64"/>
  <c r="G34" i="64"/>
  <c r="H34" i="64"/>
  <c r="J34" i="64"/>
  <c r="K34" i="64"/>
  <c r="L34" i="64"/>
  <c r="M34" i="64"/>
  <c r="O34" i="64"/>
  <c r="P34" i="64"/>
  <c r="R34" i="64"/>
  <c r="S34" i="64"/>
  <c r="T34" i="64"/>
  <c r="U34" i="64"/>
  <c r="V34" i="64"/>
  <c r="W34" i="64"/>
  <c r="X34" i="64"/>
  <c r="Z34" i="64"/>
  <c r="AA34" i="64"/>
  <c r="AB34" i="64"/>
  <c r="AC34" i="64"/>
  <c r="AD34" i="64"/>
  <c r="AE34" i="64"/>
  <c r="AF34" i="64"/>
  <c r="AG34" i="64"/>
  <c r="AH34" i="64"/>
  <c r="AI34" i="64"/>
  <c r="AJ34" i="64"/>
  <c r="AK34" i="64"/>
  <c r="AL34" i="64"/>
  <c r="AM34" i="64"/>
  <c r="AN34" i="64"/>
  <c r="AO34" i="64"/>
  <c r="AP34" i="64"/>
  <c r="AQ34" i="64"/>
  <c r="AR34" i="64"/>
  <c r="AS34" i="64"/>
  <c r="AT34" i="64"/>
  <c r="AU34" i="64"/>
  <c r="AW34" i="64"/>
  <c r="AX34" i="64"/>
  <c r="AY34" i="64"/>
  <c r="BA34" i="64"/>
  <c r="BC34" i="64"/>
  <c r="A35" i="64"/>
  <c r="B35" i="64"/>
  <c r="D35" i="64"/>
  <c r="E35" i="64"/>
  <c r="F35" i="64"/>
  <c r="G35" i="64"/>
  <c r="H35" i="64"/>
  <c r="J35" i="64"/>
  <c r="K35" i="64"/>
  <c r="L35" i="64"/>
  <c r="M35" i="64"/>
  <c r="O35" i="64"/>
  <c r="P35" i="64"/>
  <c r="R35" i="64"/>
  <c r="S35" i="64"/>
  <c r="T35" i="64"/>
  <c r="U35" i="64"/>
  <c r="V35" i="64"/>
  <c r="W35" i="64"/>
  <c r="X35" i="64"/>
  <c r="Z35" i="64"/>
  <c r="AA35" i="64"/>
  <c r="AB35" i="64"/>
  <c r="AC35" i="64"/>
  <c r="AD35" i="64"/>
  <c r="AE35" i="64"/>
  <c r="AF35" i="64"/>
  <c r="AG35" i="64"/>
  <c r="AH35" i="64"/>
  <c r="AI35" i="64"/>
  <c r="AJ35" i="64"/>
  <c r="AK35" i="64"/>
  <c r="AL35" i="64"/>
  <c r="AM35" i="64"/>
  <c r="AN35" i="64"/>
  <c r="AO35" i="64"/>
  <c r="AP35" i="64"/>
  <c r="AQ35" i="64"/>
  <c r="AR35" i="64"/>
  <c r="AS35" i="64"/>
  <c r="AT35" i="64"/>
  <c r="AU35" i="64"/>
  <c r="AW35" i="64"/>
  <c r="AX35" i="64"/>
  <c r="AY35" i="64"/>
  <c r="BA35" i="64"/>
  <c r="BC35" i="64"/>
  <c r="A36" i="64"/>
  <c r="B36" i="64"/>
  <c r="D36" i="64"/>
  <c r="E36" i="64"/>
  <c r="F36" i="64"/>
  <c r="G36" i="64"/>
  <c r="H36" i="64"/>
  <c r="J36" i="64"/>
  <c r="K36" i="64"/>
  <c r="L36" i="64"/>
  <c r="M36" i="64"/>
  <c r="O36" i="64"/>
  <c r="P36" i="64"/>
  <c r="R36" i="64"/>
  <c r="S36" i="64"/>
  <c r="T36" i="64"/>
  <c r="U36" i="64"/>
  <c r="V36" i="64"/>
  <c r="W36" i="64"/>
  <c r="X36" i="64"/>
  <c r="Z36" i="64"/>
  <c r="AA36" i="64"/>
  <c r="AB36" i="64"/>
  <c r="AC36" i="64"/>
  <c r="AD36" i="64"/>
  <c r="AE36" i="64"/>
  <c r="AF36" i="64"/>
  <c r="AG36" i="64"/>
  <c r="AH36" i="64"/>
  <c r="AI36" i="64"/>
  <c r="AJ36" i="64"/>
  <c r="AK36" i="64"/>
  <c r="AL36" i="64"/>
  <c r="AM36" i="64"/>
  <c r="AN36" i="64"/>
  <c r="AO36" i="64"/>
  <c r="AP36" i="64"/>
  <c r="AQ36" i="64"/>
  <c r="AR36" i="64"/>
  <c r="AS36" i="64"/>
  <c r="AT36" i="64"/>
  <c r="AU36" i="64"/>
  <c r="AW36" i="64"/>
  <c r="AX36" i="64"/>
  <c r="AY36" i="64"/>
  <c r="BA36" i="64"/>
  <c r="BC36" i="64"/>
  <c r="A37" i="64"/>
  <c r="B37" i="64"/>
  <c r="D37" i="64"/>
  <c r="E37" i="64"/>
  <c r="F37" i="64"/>
  <c r="G37" i="64"/>
  <c r="H37" i="64"/>
  <c r="J37" i="64"/>
  <c r="K37" i="64"/>
  <c r="L37" i="64"/>
  <c r="M37" i="64"/>
  <c r="O37" i="64"/>
  <c r="P37" i="64"/>
  <c r="R37" i="64"/>
  <c r="S37" i="64"/>
  <c r="T37" i="64"/>
  <c r="U37" i="64"/>
  <c r="V37" i="64"/>
  <c r="W37" i="64"/>
  <c r="X37" i="64"/>
  <c r="Z37" i="64"/>
  <c r="AA37" i="64"/>
  <c r="AB37" i="64"/>
  <c r="AC37" i="64"/>
  <c r="AD37" i="64"/>
  <c r="AE37" i="64"/>
  <c r="AF37" i="64"/>
  <c r="AG37" i="64"/>
  <c r="AH37" i="64"/>
  <c r="AI37" i="64"/>
  <c r="AJ37" i="64"/>
  <c r="AK37" i="64"/>
  <c r="AL37" i="64"/>
  <c r="AM37" i="64"/>
  <c r="AN37" i="64"/>
  <c r="AO37" i="64"/>
  <c r="AP37" i="64"/>
  <c r="AQ37" i="64"/>
  <c r="AR37" i="64"/>
  <c r="AS37" i="64"/>
  <c r="AT37" i="64"/>
  <c r="AU37" i="64"/>
  <c r="AW37" i="64"/>
  <c r="AX37" i="64"/>
  <c r="AY37" i="64"/>
  <c r="BA37" i="64"/>
  <c r="BC37" i="64"/>
  <c r="A38" i="64"/>
  <c r="B38" i="64"/>
  <c r="D38" i="64"/>
  <c r="E38" i="64"/>
  <c r="F38" i="64"/>
  <c r="G38" i="64"/>
  <c r="H38" i="64"/>
  <c r="J38" i="64"/>
  <c r="K38" i="64"/>
  <c r="L38" i="64"/>
  <c r="M38" i="64"/>
  <c r="O38" i="64"/>
  <c r="P38" i="64"/>
  <c r="R38" i="64"/>
  <c r="S38" i="64"/>
  <c r="T38" i="64"/>
  <c r="U38" i="64"/>
  <c r="V38" i="64"/>
  <c r="W38" i="64"/>
  <c r="X38" i="64"/>
  <c r="Z38" i="64"/>
  <c r="AA38" i="64"/>
  <c r="AB38" i="64"/>
  <c r="AC38" i="64"/>
  <c r="AD38" i="64"/>
  <c r="AE38" i="64"/>
  <c r="AF38" i="64"/>
  <c r="AG38" i="64"/>
  <c r="AH38" i="64"/>
  <c r="AI38" i="64"/>
  <c r="AJ38" i="64"/>
  <c r="AK38" i="64"/>
  <c r="AL38" i="64"/>
  <c r="AM38" i="64"/>
  <c r="AN38" i="64"/>
  <c r="AO38" i="64"/>
  <c r="AP38" i="64"/>
  <c r="AQ38" i="64"/>
  <c r="AR38" i="64"/>
  <c r="AS38" i="64"/>
  <c r="AT38" i="64"/>
  <c r="AU38" i="64"/>
  <c r="AW38" i="64"/>
  <c r="AX38" i="64"/>
  <c r="AY38" i="64"/>
  <c r="BA38" i="64"/>
  <c r="BC38" i="64"/>
  <c r="A39" i="64"/>
  <c r="B39" i="64"/>
  <c r="D39" i="64"/>
  <c r="E39" i="64"/>
  <c r="F39" i="64"/>
  <c r="G39" i="64"/>
  <c r="H39" i="64"/>
  <c r="J39" i="64"/>
  <c r="K39" i="64"/>
  <c r="L39" i="64"/>
  <c r="M39" i="64"/>
  <c r="O39" i="64"/>
  <c r="P39" i="64"/>
  <c r="R39" i="64"/>
  <c r="S39" i="64"/>
  <c r="T39" i="64"/>
  <c r="U39" i="64"/>
  <c r="V39" i="64"/>
  <c r="W39" i="64"/>
  <c r="X39" i="64"/>
  <c r="Z39" i="64"/>
  <c r="AA39" i="64"/>
  <c r="AB39" i="64"/>
  <c r="AC39" i="64"/>
  <c r="AD39" i="64"/>
  <c r="AE39" i="64"/>
  <c r="AF39" i="64"/>
  <c r="AG39" i="64"/>
  <c r="AH39" i="64"/>
  <c r="AI39" i="64"/>
  <c r="AJ39" i="64"/>
  <c r="AK39" i="64"/>
  <c r="AL39" i="64"/>
  <c r="AM39" i="64"/>
  <c r="AN39" i="64"/>
  <c r="AO39" i="64"/>
  <c r="AP39" i="64"/>
  <c r="AQ39" i="64"/>
  <c r="AR39" i="64"/>
  <c r="AS39" i="64"/>
  <c r="AT39" i="64"/>
  <c r="AU39" i="64"/>
  <c r="AW39" i="64"/>
  <c r="AX39" i="64"/>
  <c r="AY39" i="64"/>
  <c r="BA39" i="64"/>
  <c r="BC39" i="64"/>
  <c r="A40" i="64"/>
  <c r="B40" i="64"/>
  <c r="D40" i="64"/>
  <c r="E40" i="64"/>
  <c r="F40" i="64"/>
  <c r="G40" i="64"/>
  <c r="H40" i="64"/>
  <c r="J40" i="64"/>
  <c r="K40" i="64"/>
  <c r="L40" i="64"/>
  <c r="M40" i="64"/>
  <c r="O40" i="64"/>
  <c r="P40" i="64"/>
  <c r="R40" i="64"/>
  <c r="S40" i="64"/>
  <c r="T40" i="64"/>
  <c r="U40" i="64"/>
  <c r="V40" i="64"/>
  <c r="W40" i="64"/>
  <c r="X40" i="64"/>
  <c r="Z40" i="64"/>
  <c r="AA40" i="64"/>
  <c r="AB40" i="64"/>
  <c r="AC40" i="64"/>
  <c r="AD40" i="64"/>
  <c r="AE40" i="64"/>
  <c r="AF40" i="64"/>
  <c r="AG40" i="64"/>
  <c r="AH40" i="64"/>
  <c r="AI40" i="64"/>
  <c r="AJ40" i="64"/>
  <c r="AK40" i="64"/>
  <c r="AL40" i="64"/>
  <c r="AM40" i="64"/>
  <c r="AN40" i="64"/>
  <c r="AO40" i="64"/>
  <c r="AP40" i="64"/>
  <c r="AQ40" i="64"/>
  <c r="AR40" i="64"/>
  <c r="AS40" i="64"/>
  <c r="AT40" i="64"/>
  <c r="AU40" i="64"/>
  <c r="AW40" i="64"/>
  <c r="AX40" i="64"/>
  <c r="AY40" i="64"/>
  <c r="BA40" i="64"/>
  <c r="BC40" i="64"/>
  <c r="A41" i="64"/>
  <c r="B41" i="64"/>
  <c r="D41" i="64"/>
  <c r="E41" i="64"/>
  <c r="F41" i="64"/>
  <c r="G41" i="64"/>
  <c r="H41" i="64"/>
  <c r="J41" i="64"/>
  <c r="K41" i="64"/>
  <c r="L41" i="64"/>
  <c r="M41" i="64"/>
  <c r="O41" i="64"/>
  <c r="P41" i="64"/>
  <c r="R41" i="64"/>
  <c r="S41" i="64"/>
  <c r="T41" i="64"/>
  <c r="U41" i="64"/>
  <c r="V41" i="64"/>
  <c r="W41" i="64"/>
  <c r="X41" i="64"/>
  <c r="Z41" i="64"/>
  <c r="AA41" i="64"/>
  <c r="AB41" i="64"/>
  <c r="AC41" i="64"/>
  <c r="AD41" i="64"/>
  <c r="AE41" i="64"/>
  <c r="AF41" i="64"/>
  <c r="AG41" i="64"/>
  <c r="AH41" i="64"/>
  <c r="AI41" i="64"/>
  <c r="AJ41" i="64"/>
  <c r="AK41" i="64"/>
  <c r="AL41" i="64"/>
  <c r="AM41" i="64"/>
  <c r="AN41" i="64"/>
  <c r="AO41" i="64"/>
  <c r="AP41" i="64"/>
  <c r="AQ41" i="64"/>
  <c r="AR41" i="64"/>
  <c r="AS41" i="64"/>
  <c r="AT41" i="64"/>
  <c r="AU41" i="64"/>
  <c r="AW41" i="64"/>
  <c r="AX41" i="64"/>
  <c r="AY41" i="64"/>
  <c r="BA41" i="64"/>
  <c r="BC41" i="64"/>
  <c r="A42" i="64"/>
  <c r="B42" i="64"/>
  <c r="D42" i="64"/>
  <c r="E42" i="64"/>
  <c r="F42" i="64"/>
  <c r="G42" i="64"/>
  <c r="H42" i="64"/>
  <c r="J42" i="64"/>
  <c r="K42" i="64"/>
  <c r="L42" i="64"/>
  <c r="M42" i="64"/>
  <c r="O42" i="64"/>
  <c r="P42" i="64"/>
  <c r="R42" i="64"/>
  <c r="S42" i="64"/>
  <c r="T42" i="64"/>
  <c r="U42" i="64"/>
  <c r="V42" i="64"/>
  <c r="W42" i="64"/>
  <c r="X42" i="64"/>
  <c r="Z42" i="64"/>
  <c r="AA42" i="64"/>
  <c r="AB42" i="64"/>
  <c r="AC42" i="64"/>
  <c r="AD42" i="64"/>
  <c r="AE42" i="64"/>
  <c r="AF42" i="64"/>
  <c r="AG42" i="64"/>
  <c r="AH42" i="64"/>
  <c r="AI42" i="64"/>
  <c r="AJ42" i="64"/>
  <c r="AK42" i="64"/>
  <c r="AL42" i="64"/>
  <c r="AM42" i="64"/>
  <c r="AN42" i="64"/>
  <c r="AO42" i="64"/>
  <c r="AP42" i="64"/>
  <c r="AQ42" i="64"/>
  <c r="AR42" i="64"/>
  <c r="AS42" i="64"/>
  <c r="AT42" i="64"/>
  <c r="AU42" i="64"/>
  <c r="AW42" i="64"/>
  <c r="AX42" i="64"/>
  <c r="AY42" i="64"/>
  <c r="BA42" i="64"/>
  <c r="BC42" i="64"/>
  <c r="A43" i="64"/>
  <c r="B43" i="64"/>
  <c r="D43" i="64"/>
  <c r="E43" i="64"/>
  <c r="F43" i="64"/>
  <c r="G43" i="64"/>
  <c r="H43" i="64"/>
  <c r="J43" i="64"/>
  <c r="K43" i="64"/>
  <c r="L43" i="64"/>
  <c r="M43" i="64"/>
  <c r="O43" i="64"/>
  <c r="P43" i="64"/>
  <c r="R43" i="64"/>
  <c r="S43" i="64"/>
  <c r="T43" i="64"/>
  <c r="U43" i="64"/>
  <c r="V43" i="64"/>
  <c r="W43" i="64"/>
  <c r="X43" i="64"/>
  <c r="Z43" i="64"/>
  <c r="AA43" i="64"/>
  <c r="AB43" i="64"/>
  <c r="AC43" i="64"/>
  <c r="AD43" i="64"/>
  <c r="AE43" i="64"/>
  <c r="AF43" i="64"/>
  <c r="AG43" i="64"/>
  <c r="AH43" i="64"/>
  <c r="AI43" i="64"/>
  <c r="AJ43" i="64"/>
  <c r="AK43" i="64"/>
  <c r="AL43" i="64"/>
  <c r="AM43" i="64"/>
  <c r="AN43" i="64"/>
  <c r="AO43" i="64"/>
  <c r="AP43" i="64"/>
  <c r="AQ43" i="64"/>
  <c r="AR43" i="64"/>
  <c r="AS43" i="64"/>
  <c r="AT43" i="64"/>
  <c r="AU43" i="64"/>
  <c r="AW43" i="64"/>
  <c r="AX43" i="64"/>
  <c r="AY43" i="64"/>
  <c r="BA43" i="64"/>
  <c r="BC43" i="64"/>
  <c r="A44" i="64"/>
  <c r="B44" i="64"/>
  <c r="D44" i="64"/>
  <c r="E44" i="64"/>
  <c r="F44" i="64"/>
  <c r="G44" i="64"/>
  <c r="H44" i="64"/>
  <c r="J44" i="64"/>
  <c r="K44" i="64"/>
  <c r="L44" i="64"/>
  <c r="M44" i="64"/>
  <c r="O44" i="64"/>
  <c r="P44" i="64"/>
  <c r="R44" i="64"/>
  <c r="S44" i="64"/>
  <c r="T44" i="64"/>
  <c r="U44" i="64"/>
  <c r="V44" i="64"/>
  <c r="W44" i="64"/>
  <c r="X44" i="64"/>
  <c r="Z44" i="64"/>
  <c r="AA44" i="64"/>
  <c r="AB44" i="64"/>
  <c r="AC44" i="64"/>
  <c r="AD44" i="64"/>
  <c r="AE44" i="64"/>
  <c r="AF44" i="64"/>
  <c r="AG44" i="64"/>
  <c r="AH44" i="64"/>
  <c r="AI44" i="64"/>
  <c r="AJ44" i="64"/>
  <c r="AK44" i="64"/>
  <c r="AL44" i="64"/>
  <c r="AM44" i="64"/>
  <c r="AN44" i="64"/>
  <c r="AO44" i="64"/>
  <c r="AP44" i="64"/>
  <c r="AQ44" i="64"/>
  <c r="AR44" i="64"/>
  <c r="AS44" i="64"/>
  <c r="AT44" i="64"/>
  <c r="AU44" i="64"/>
  <c r="AW44" i="64"/>
  <c r="AX44" i="64"/>
  <c r="AY44" i="64"/>
  <c r="BA44" i="64"/>
  <c r="BC44" i="64"/>
  <c r="A45" i="64"/>
  <c r="B45" i="64"/>
  <c r="D45" i="64"/>
  <c r="E45" i="64"/>
  <c r="F45" i="64"/>
  <c r="G45" i="64"/>
  <c r="H45" i="64"/>
  <c r="J45" i="64"/>
  <c r="K45" i="64"/>
  <c r="L45" i="64"/>
  <c r="M45" i="64"/>
  <c r="O45" i="64"/>
  <c r="P45" i="64"/>
  <c r="R45" i="64"/>
  <c r="S45" i="64"/>
  <c r="T45" i="64"/>
  <c r="U45" i="64"/>
  <c r="V45" i="64"/>
  <c r="W45" i="64"/>
  <c r="X45" i="64"/>
  <c r="Z45" i="64"/>
  <c r="AA45" i="64"/>
  <c r="AB45" i="64"/>
  <c r="AC45" i="64"/>
  <c r="AD45" i="64"/>
  <c r="AE45" i="64"/>
  <c r="AF45" i="64"/>
  <c r="AG45" i="64"/>
  <c r="AH45" i="64"/>
  <c r="AI45" i="64"/>
  <c r="AJ45" i="64"/>
  <c r="AK45" i="64"/>
  <c r="AL45" i="64"/>
  <c r="AM45" i="64"/>
  <c r="AN45" i="64"/>
  <c r="AO45" i="64"/>
  <c r="AP45" i="64"/>
  <c r="AQ45" i="64"/>
  <c r="AR45" i="64"/>
  <c r="AS45" i="64"/>
  <c r="AT45" i="64"/>
  <c r="AU45" i="64"/>
  <c r="AW45" i="64"/>
  <c r="AX45" i="64"/>
  <c r="AY45" i="64"/>
  <c r="BA45" i="64"/>
  <c r="BC45" i="64"/>
  <c r="A46" i="64"/>
  <c r="B46" i="64"/>
  <c r="D46" i="64"/>
  <c r="E46" i="64"/>
  <c r="F46" i="64"/>
  <c r="G46" i="64"/>
  <c r="H46" i="64"/>
  <c r="J46" i="64"/>
  <c r="K46" i="64"/>
  <c r="L46" i="64"/>
  <c r="M46" i="64"/>
  <c r="O46" i="64"/>
  <c r="P46" i="64"/>
  <c r="R46" i="64"/>
  <c r="S46" i="64"/>
  <c r="T46" i="64"/>
  <c r="U46" i="64"/>
  <c r="V46" i="64"/>
  <c r="W46" i="64"/>
  <c r="X46" i="64"/>
  <c r="Z46" i="64"/>
  <c r="AA46" i="64"/>
  <c r="AB46" i="64"/>
  <c r="AC46" i="64"/>
  <c r="AD46" i="64"/>
  <c r="AE46" i="64"/>
  <c r="AF46" i="64"/>
  <c r="AG46" i="64"/>
  <c r="AH46" i="64"/>
  <c r="AI46" i="64"/>
  <c r="AJ46" i="64"/>
  <c r="AK46" i="64"/>
  <c r="AL46" i="64"/>
  <c r="AM46" i="64"/>
  <c r="AN46" i="64"/>
  <c r="AO46" i="64"/>
  <c r="AP46" i="64"/>
  <c r="AQ46" i="64"/>
  <c r="AR46" i="64"/>
  <c r="AS46" i="64"/>
  <c r="AT46" i="64"/>
  <c r="AU46" i="64"/>
  <c r="AW46" i="64"/>
  <c r="AX46" i="64"/>
  <c r="AY46" i="64"/>
  <c r="BA46" i="64"/>
  <c r="BC46" i="64"/>
  <c r="A47" i="64"/>
  <c r="B47" i="64"/>
  <c r="D47" i="64"/>
  <c r="E47" i="64"/>
  <c r="F47" i="64"/>
  <c r="G47" i="64"/>
  <c r="H47" i="64"/>
  <c r="J47" i="64"/>
  <c r="K47" i="64"/>
  <c r="L47" i="64"/>
  <c r="M47" i="64"/>
  <c r="O47" i="64"/>
  <c r="P47" i="64"/>
  <c r="R47" i="64"/>
  <c r="S47" i="64"/>
  <c r="T47" i="64"/>
  <c r="U47" i="64"/>
  <c r="V47" i="64"/>
  <c r="W47" i="64"/>
  <c r="X47" i="64"/>
  <c r="Z47" i="64"/>
  <c r="AA47" i="64"/>
  <c r="AB47" i="64"/>
  <c r="AC47" i="64"/>
  <c r="AD47" i="64"/>
  <c r="AE47" i="64"/>
  <c r="AF47" i="64"/>
  <c r="AG47" i="64"/>
  <c r="AH47" i="64"/>
  <c r="AI47" i="64"/>
  <c r="AJ47" i="64"/>
  <c r="AK47" i="64"/>
  <c r="AL47" i="64"/>
  <c r="AM47" i="64"/>
  <c r="AN47" i="64"/>
  <c r="AO47" i="64"/>
  <c r="AP47" i="64"/>
  <c r="AQ47" i="64"/>
  <c r="AR47" i="64"/>
  <c r="AS47" i="64"/>
  <c r="AT47" i="64"/>
  <c r="AU47" i="64"/>
  <c r="AW47" i="64"/>
  <c r="AX47" i="64"/>
  <c r="AY47" i="64"/>
  <c r="BA47" i="64"/>
  <c r="BC47" i="64"/>
  <c r="A48" i="64"/>
  <c r="B48" i="64"/>
  <c r="D48" i="64"/>
  <c r="E48" i="64"/>
  <c r="F48" i="64"/>
  <c r="G48" i="64"/>
  <c r="H48" i="64"/>
  <c r="J48" i="64"/>
  <c r="K48" i="64"/>
  <c r="L48" i="64"/>
  <c r="M48" i="64"/>
  <c r="O48" i="64"/>
  <c r="P48" i="64"/>
  <c r="R48" i="64"/>
  <c r="S48" i="64"/>
  <c r="T48" i="64"/>
  <c r="U48" i="64"/>
  <c r="V48" i="64"/>
  <c r="W48" i="64"/>
  <c r="X48" i="64"/>
  <c r="Z48" i="64"/>
  <c r="AA48" i="64"/>
  <c r="AB48" i="64"/>
  <c r="AC48" i="64"/>
  <c r="AD48" i="64"/>
  <c r="AE48" i="64"/>
  <c r="AF48" i="64"/>
  <c r="AG48" i="64"/>
  <c r="AH48" i="64"/>
  <c r="AI48" i="64"/>
  <c r="AJ48" i="64"/>
  <c r="AK48" i="64"/>
  <c r="AL48" i="64"/>
  <c r="AM48" i="64"/>
  <c r="AN48" i="64"/>
  <c r="AO48" i="64"/>
  <c r="AP48" i="64"/>
  <c r="AQ48" i="64"/>
  <c r="AR48" i="64"/>
  <c r="AS48" i="64"/>
  <c r="AT48" i="64"/>
  <c r="AU48" i="64"/>
  <c r="AW48" i="64"/>
  <c r="AX48" i="64"/>
  <c r="AY48" i="64"/>
  <c r="BA48" i="64"/>
  <c r="BC48" i="64"/>
  <c r="A49" i="64"/>
  <c r="B49" i="64"/>
  <c r="D49" i="64"/>
  <c r="E49" i="64"/>
  <c r="F49" i="64"/>
  <c r="G49" i="64"/>
  <c r="H49" i="64"/>
  <c r="J49" i="64"/>
  <c r="K49" i="64"/>
  <c r="L49" i="64"/>
  <c r="M49" i="64"/>
  <c r="O49" i="64"/>
  <c r="P49" i="64"/>
  <c r="R49" i="64"/>
  <c r="S49" i="64"/>
  <c r="T49" i="64"/>
  <c r="U49" i="64"/>
  <c r="V49" i="64"/>
  <c r="W49" i="64"/>
  <c r="X49" i="64"/>
  <c r="Z49" i="64"/>
  <c r="AA49" i="64"/>
  <c r="AB49" i="64"/>
  <c r="AC49" i="64"/>
  <c r="AD49" i="64"/>
  <c r="AE49" i="64"/>
  <c r="AF49" i="64"/>
  <c r="AG49" i="64"/>
  <c r="AH49" i="64"/>
  <c r="AI49" i="64"/>
  <c r="AJ49" i="64"/>
  <c r="AK49" i="64"/>
  <c r="AL49" i="64"/>
  <c r="AM49" i="64"/>
  <c r="AN49" i="64"/>
  <c r="AO49" i="64"/>
  <c r="AP49" i="64"/>
  <c r="AQ49" i="64"/>
  <c r="AR49" i="64"/>
  <c r="AS49" i="64"/>
  <c r="AT49" i="64"/>
  <c r="AU49" i="64"/>
  <c r="AW49" i="64"/>
  <c r="AX49" i="64"/>
  <c r="AY49" i="64"/>
  <c r="BA49" i="64"/>
  <c r="BC49" i="64"/>
  <c r="A50" i="64"/>
  <c r="B50" i="64"/>
  <c r="D50" i="64"/>
  <c r="E50" i="64"/>
  <c r="F50" i="64"/>
  <c r="G50" i="64"/>
  <c r="H50" i="64"/>
  <c r="J50" i="64"/>
  <c r="K50" i="64"/>
  <c r="L50" i="64"/>
  <c r="M50" i="64"/>
  <c r="O50" i="64"/>
  <c r="P50" i="64"/>
  <c r="R50" i="64"/>
  <c r="S50" i="64"/>
  <c r="T50" i="64"/>
  <c r="U50" i="64"/>
  <c r="V50" i="64"/>
  <c r="W50" i="64"/>
  <c r="X50" i="64"/>
  <c r="Z50" i="64"/>
  <c r="AA50" i="64"/>
  <c r="AB50" i="64"/>
  <c r="AC50" i="64"/>
  <c r="AD50" i="64"/>
  <c r="AE50" i="64"/>
  <c r="AF50" i="64"/>
  <c r="AG50" i="64"/>
  <c r="AH50" i="64"/>
  <c r="AI50" i="64"/>
  <c r="AJ50" i="64"/>
  <c r="AK50" i="64"/>
  <c r="AL50" i="64"/>
  <c r="AM50" i="64"/>
  <c r="AN50" i="64"/>
  <c r="AO50" i="64"/>
  <c r="AP50" i="64"/>
  <c r="AQ50" i="64"/>
  <c r="AR50" i="64"/>
  <c r="AS50" i="64"/>
  <c r="AT50" i="64"/>
  <c r="AU50" i="64"/>
  <c r="AW50" i="64"/>
  <c r="AX50" i="64"/>
  <c r="AY50" i="64"/>
  <c r="BA50" i="64"/>
  <c r="BC50" i="64"/>
  <c r="A51" i="64"/>
  <c r="B51" i="64"/>
  <c r="D51" i="64"/>
  <c r="E51" i="64"/>
  <c r="F51" i="64"/>
  <c r="G51" i="64"/>
  <c r="H51" i="64"/>
  <c r="J51" i="64"/>
  <c r="K51" i="64"/>
  <c r="L51" i="64"/>
  <c r="M51" i="64"/>
  <c r="O51" i="64"/>
  <c r="P51" i="64"/>
  <c r="R51" i="64"/>
  <c r="S51" i="64"/>
  <c r="T51" i="64"/>
  <c r="U51" i="64"/>
  <c r="V51" i="64"/>
  <c r="W51" i="64"/>
  <c r="X51" i="64"/>
  <c r="Z51" i="64"/>
  <c r="AA51" i="64"/>
  <c r="AB51" i="64"/>
  <c r="AC51" i="64"/>
  <c r="AD51" i="64"/>
  <c r="AE51" i="64"/>
  <c r="AF51" i="64"/>
  <c r="AG51" i="64"/>
  <c r="AH51" i="64"/>
  <c r="AI51" i="64"/>
  <c r="AJ51" i="64"/>
  <c r="AK51" i="64"/>
  <c r="AL51" i="64"/>
  <c r="AM51" i="64"/>
  <c r="AN51" i="64"/>
  <c r="AO51" i="64"/>
  <c r="AP51" i="64"/>
  <c r="AQ51" i="64"/>
  <c r="AR51" i="64"/>
  <c r="AS51" i="64"/>
  <c r="AT51" i="64"/>
  <c r="AU51" i="64"/>
  <c r="AW51" i="64"/>
  <c r="AX51" i="64"/>
  <c r="AY51" i="64"/>
  <c r="BA51" i="64"/>
  <c r="BC51" i="64"/>
  <c r="A52" i="64"/>
  <c r="B52" i="64"/>
  <c r="D52" i="64"/>
  <c r="E52" i="64"/>
  <c r="F52" i="64"/>
  <c r="G52" i="64"/>
  <c r="H52" i="64"/>
  <c r="J52" i="64"/>
  <c r="K52" i="64"/>
  <c r="L52" i="64"/>
  <c r="M52" i="64"/>
  <c r="O52" i="64"/>
  <c r="P52" i="64"/>
  <c r="R52" i="64"/>
  <c r="S52" i="64"/>
  <c r="T52" i="64"/>
  <c r="U52" i="64"/>
  <c r="V52" i="64"/>
  <c r="W52" i="64"/>
  <c r="X52" i="64"/>
  <c r="Z52" i="64"/>
  <c r="AA52" i="64"/>
  <c r="AB52" i="64"/>
  <c r="AC52" i="64"/>
  <c r="AD52" i="64"/>
  <c r="AE52" i="64"/>
  <c r="AF52" i="64"/>
  <c r="AG52" i="64"/>
  <c r="AH52" i="64"/>
  <c r="AI52" i="64"/>
  <c r="AJ52" i="64"/>
  <c r="AK52" i="64"/>
  <c r="AL52" i="64"/>
  <c r="AM52" i="64"/>
  <c r="AN52" i="64"/>
  <c r="AO52" i="64"/>
  <c r="AP52" i="64"/>
  <c r="AQ52" i="64"/>
  <c r="AR52" i="64"/>
  <c r="AS52" i="64"/>
  <c r="AT52" i="64"/>
  <c r="AU52" i="64"/>
  <c r="AW52" i="64"/>
  <c r="AX52" i="64"/>
  <c r="AY52" i="64"/>
  <c r="BA52" i="64"/>
  <c r="BC52" i="64"/>
  <c r="A53" i="64"/>
  <c r="B53" i="64"/>
  <c r="D53" i="64"/>
  <c r="E53" i="64"/>
  <c r="F53" i="64"/>
  <c r="G53" i="64"/>
  <c r="H53" i="64"/>
  <c r="J53" i="64"/>
  <c r="K53" i="64"/>
  <c r="L53" i="64"/>
  <c r="M53" i="64"/>
  <c r="O53" i="64"/>
  <c r="P53" i="64"/>
  <c r="R53" i="64"/>
  <c r="S53" i="64"/>
  <c r="T53" i="64"/>
  <c r="U53" i="64"/>
  <c r="V53" i="64"/>
  <c r="W53" i="64"/>
  <c r="X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W53" i="64"/>
  <c r="AX53" i="64"/>
  <c r="AY53" i="64"/>
  <c r="BA53" i="64"/>
  <c r="BC53" i="64"/>
  <c r="A54" i="64"/>
  <c r="B54" i="64"/>
  <c r="D54" i="64"/>
  <c r="E54" i="64"/>
  <c r="F54" i="64"/>
  <c r="G54" i="64"/>
  <c r="H54" i="64"/>
  <c r="J54" i="64"/>
  <c r="K54" i="64"/>
  <c r="L54" i="64"/>
  <c r="M54" i="64"/>
  <c r="O54" i="64"/>
  <c r="P54" i="64"/>
  <c r="R54" i="64"/>
  <c r="S54" i="64"/>
  <c r="T54" i="64"/>
  <c r="U54" i="64"/>
  <c r="V54" i="64"/>
  <c r="W54" i="64"/>
  <c r="X54" i="64"/>
  <c r="Z54" i="64"/>
  <c r="AA54" i="64"/>
  <c r="AB54" i="64"/>
  <c r="AC54" i="64"/>
  <c r="AD54" i="64"/>
  <c r="AE54" i="64"/>
  <c r="AF54" i="64"/>
  <c r="AG54" i="64"/>
  <c r="AH54" i="64"/>
  <c r="AI54" i="64"/>
  <c r="AJ54" i="64"/>
  <c r="AK54" i="64"/>
  <c r="AL54" i="64"/>
  <c r="AM54" i="64"/>
  <c r="AN54" i="64"/>
  <c r="AO54" i="64"/>
  <c r="AP54" i="64"/>
  <c r="AQ54" i="64"/>
  <c r="AR54" i="64"/>
  <c r="AS54" i="64"/>
  <c r="AT54" i="64"/>
  <c r="AU54" i="64"/>
  <c r="AW54" i="64"/>
  <c r="AX54" i="64"/>
  <c r="AY54" i="64"/>
  <c r="BA54" i="64"/>
  <c r="BC54" i="64"/>
  <c r="A55" i="64"/>
  <c r="B55" i="64"/>
  <c r="D55" i="64"/>
  <c r="E55" i="64"/>
  <c r="F55" i="64"/>
  <c r="G55" i="64"/>
  <c r="H55" i="64"/>
  <c r="J55" i="64"/>
  <c r="K55" i="64"/>
  <c r="L55" i="64"/>
  <c r="M55" i="64"/>
  <c r="O55" i="64"/>
  <c r="P55" i="64"/>
  <c r="R55" i="64"/>
  <c r="S55" i="64"/>
  <c r="T55" i="64"/>
  <c r="U55" i="64"/>
  <c r="V55" i="64"/>
  <c r="W55" i="64"/>
  <c r="X55" i="64"/>
  <c r="Z55" i="64"/>
  <c r="AA55" i="64"/>
  <c r="AB55" i="64"/>
  <c r="AC55" i="64"/>
  <c r="AD55" i="64"/>
  <c r="AE55" i="64"/>
  <c r="AF55" i="64"/>
  <c r="AG55" i="64"/>
  <c r="AH55" i="64"/>
  <c r="AI55" i="64"/>
  <c r="AJ55" i="64"/>
  <c r="AK55" i="64"/>
  <c r="AL55" i="64"/>
  <c r="AM55" i="64"/>
  <c r="AN55" i="64"/>
  <c r="AO55" i="64"/>
  <c r="AP55" i="64"/>
  <c r="AQ55" i="64"/>
  <c r="AR55" i="64"/>
  <c r="AS55" i="64"/>
  <c r="AT55" i="64"/>
  <c r="AU55" i="64"/>
  <c r="AW55" i="64"/>
  <c r="AX55" i="64"/>
  <c r="AY55" i="64"/>
  <c r="BA55" i="64"/>
  <c r="BC55" i="64"/>
  <c r="A56" i="64"/>
  <c r="B56" i="64"/>
  <c r="D56" i="64"/>
  <c r="E56" i="64"/>
  <c r="F56" i="64"/>
  <c r="G56" i="64"/>
  <c r="H56" i="64"/>
  <c r="J56" i="64"/>
  <c r="K56" i="64"/>
  <c r="L56" i="64"/>
  <c r="M56" i="64"/>
  <c r="O56" i="64"/>
  <c r="P56" i="64"/>
  <c r="R56" i="64"/>
  <c r="S56" i="64"/>
  <c r="T56" i="64"/>
  <c r="U56" i="64"/>
  <c r="V56" i="64"/>
  <c r="W56" i="64"/>
  <c r="X56" i="64"/>
  <c r="Z56" i="64"/>
  <c r="AA56" i="64"/>
  <c r="AB56" i="64"/>
  <c r="AC56" i="64"/>
  <c r="AD56" i="64"/>
  <c r="AE56" i="64"/>
  <c r="AF56" i="64"/>
  <c r="AG56" i="64"/>
  <c r="AH56" i="64"/>
  <c r="AI56" i="64"/>
  <c r="AJ56" i="64"/>
  <c r="AK56" i="64"/>
  <c r="AL56" i="64"/>
  <c r="AM56" i="64"/>
  <c r="AN56" i="64"/>
  <c r="AO56" i="64"/>
  <c r="AP56" i="64"/>
  <c r="AQ56" i="64"/>
  <c r="AR56" i="64"/>
  <c r="AS56" i="64"/>
  <c r="AT56" i="64"/>
  <c r="AU56" i="64"/>
  <c r="AW56" i="64"/>
  <c r="AX56" i="64"/>
  <c r="AY56" i="64"/>
  <c r="BA56" i="64"/>
  <c r="BC56" i="64"/>
  <c r="A57" i="64"/>
  <c r="B57" i="64"/>
  <c r="D57" i="64"/>
  <c r="E57" i="64"/>
  <c r="F57" i="64"/>
  <c r="G57" i="64"/>
  <c r="H57" i="64"/>
  <c r="J57" i="64"/>
  <c r="K57" i="64"/>
  <c r="L57" i="64"/>
  <c r="M57" i="64"/>
  <c r="O57" i="64"/>
  <c r="P57" i="64"/>
  <c r="R57" i="64"/>
  <c r="S57" i="64"/>
  <c r="T57" i="64"/>
  <c r="U57" i="64"/>
  <c r="V57" i="64"/>
  <c r="W57" i="64"/>
  <c r="X57" i="64"/>
  <c r="Z57" i="64"/>
  <c r="AA57" i="64"/>
  <c r="AB57" i="64"/>
  <c r="AC57" i="64"/>
  <c r="AD57" i="64"/>
  <c r="AE57" i="64"/>
  <c r="AF57" i="64"/>
  <c r="AG57" i="64"/>
  <c r="AH57" i="64"/>
  <c r="AI57" i="64"/>
  <c r="AJ57" i="64"/>
  <c r="AK57" i="64"/>
  <c r="AL57" i="64"/>
  <c r="AM57" i="64"/>
  <c r="AN57" i="64"/>
  <c r="AO57" i="64"/>
  <c r="AP57" i="64"/>
  <c r="AQ57" i="64"/>
  <c r="AR57" i="64"/>
  <c r="AS57" i="64"/>
  <c r="AT57" i="64"/>
  <c r="AU57" i="64"/>
  <c r="AW57" i="64"/>
  <c r="AX57" i="64"/>
  <c r="AY57" i="64"/>
  <c r="BA57" i="64"/>
  <c r="BC57" i="64"/>
  <c r="A58" i="64"/>
  <c r="B58" i="64"/>
  <c r="D58" i="64"/>
  <c r="E58" i="64"/>
  <c r="F58" i="64"/>
  <c r="G58" i="64"/>
  <c r="H58" i="64"/>
  <c r="J58" i="64"/>
  <c r="K58" i="64"/>
  <c r="L58" i="64"/>
  <c r="M58" i="64"/>
  <c r="O58" i="64"/>
  <c r="P58" i="64"/>
  <c r="R58" i="64"/>
  <c r="S58" i="64"/>
  <c r="T58" i="64"/>
  <c r="U58" i="64"/>
  <c r="V58" i="64"/>
  <c r="W58" i="64"/>
  <c r="X58" i="64"/>
  <c r="Z58" i="64"/>
  <c r="AA58" i="64"/>
  <c r="AB58" i="64"/>
  <c r="AC58" i="64"/>
  <c r="AD58" i="64"/>
  <c r="AE58" i="64"/>
  <c r="AF58" i="64"/>
  <c r="AG58" i="64"/>
  <c r="AH58" i="64"/>
  <c r="AI58" i="64"/>
  <c r="AJ58" i="64"/>
  <c r="AK58" i="64"/>
  <c r="AL58" i="64"/>
  <c r="AM58" i="64"/>
  <c r="AN58" i="64"/>
  <c r="AO58" i="64"/>
  <c r="AP58" i="64"/>
  <c r="AQ58" i="64"/>
  <c r="AR58" i="64"/>
  <c r="AS58" i="64"/>
  <c r="AT58" i="64"/>
  <c r="AU58" i="64"/>
  <c r="AW58" i="64"/>
  <c r="AX58" i="64"/>
  <c r="AY58" i="64"/>
  <c r="BA58" i="64"/>
  <c r="BC58" i="64"/>
  <c r="A59" i="64"/>
  <c r="B59" i="64"/>
  <c r="D59" i="64"/>
  <c r="E59" i="64"/>
  <c r="F59" i="64"/>
  <c r="G59" i="64"/>
  <c r="H59" i="64"/>
  <c r="J59" i="64"/>
  <c r="K59" i="64"/>
  <c r="L59" i="64"/>
  <c r="M59" i="64"/>
  <c r="O59" i="64"/>
  <c r="P59" i="64"/>
  <c r="R59" i="64"/>
  <c r="S59" i="64"/>
  <c r="T59" i="64"/>
  <c r="U59" i="64"/>
  <c r="V59" i="64"/>
  <c r="W59" i="64"/>
  <c r="X59" i="64"/>
  <c r="Z59" i="64"/>
  <c r="AA59" i="64"/>
  <c r="AB59" i="64"/>
  <c r="AC59" i="64"/>
  <c r="AD59" i="64"/>
  <c r="AE59" i="64"/>
  <c r="AF59" i="64"/>
  <c r="AG59" i="64"/>
  <c r="AH59" i="64"/>
  <c r="AI59" i="64"/>
  <c r="AJ59" i="64"/>
  <c r="AK59" i="64"/>
  <c r="AL59" i="64"/>
  <c r="AM59" i="64"/>
  <c r="AN59" i="64"/>
  <c r="AO59" i="64"/>
  <c r="AP59" i="64"/>
  <c r="AQ59" i="64"/>
  <c r="AR59" i="64"/>
  <c r="AS59" i="64"/>
  <c r="AT59" i="64"/>
  <c r="AU59" i="64"/>
  <c r="AW59" i="64"/>
  <c r="AX59" i="64"/>
  <c r="AY59" i="64"/>
  <c r="BA59" i="64"/>
  <c r="BC59" i="64"/>
  <c r="A60" i="64"/>
  <c r="B60" i="64"/>
  <c r="D60" i="64"/>
  <c r="E60" i="64"/>
  <c r="F60" i="64"/>
  <c r="G60" i="64"/>
  <c r="H60" i="64"/>
  <c r="J60" i="64"/>
  <c r="K60" i="64"/>
  <c r="L60" i="64"/>
  <c r="M60" i="64"/>
  <c r="O60" i="64"/>
  <c r="P60" i="64"/>
  <c r="R60" i="64"/>
  <c r="S60" i="64"/>
  <c r="T60" i="64"/>
  <c r="U60" i="64"/>
  <c r="V60" i="64"/>
  <c r="W60" i="64"/>
  <c r="X60" i="64"/>
  <c r="Z60" i="64"/>
  <c r="AA60" i="64"/>
  <c r="AB60" i="64"/>
  <c r="AC60" i="64"/>
  <c r="AD60" i="64"/>
  <c r="AE60" i="64"/>
  <c r="AF60" i="64"/>
  <c r="AG60" i="64"/>
  <c r="AH60" i="64"/>
  <c r="AI60" i="64"/>
  <c r="AJ60" i="64"/>
  <c r="AK60" i="64"/>
  <c r="AL60" i="64"/>
  <c r="AM60" i="64"/>
  <c r="AN60" i="64"/>
  <c r="AO60" i="64"/>
  <c r="AP60" i="64"/>
  <c r="AQ60" i="64"/>
  <c r="AR60" i="64"/>
  <c r="AS60" i="64"/>
  <c r="AT60" i="64"/>
  <c r="AU60" i="64"/>
  <c r="AW60" i="64"/>
  <c r="AX60" i="64"/>
  <c r="AY60" i="64"/>
  <c r="BA60" i="64"/>
  <c r="BC60" i="64"/>
  <c r="A61" i="64"/>
  <c r="B61" i="64"/>
  <c r="D61" i="64"/>
  <c r="E61" i="64"/>
  <c r="F61" i="64"/>
  <c r="G61" i="64"/>
  <c r="H61" i="64"/>
  <c r="J61" i="64"/>
  <c r="K61" i="64"/>
  <c r="L61" i="64"/>
  <c r="M61" i="64"/>
  <c r="O61" i="64"/>
  <c r="P61" i="64"/>
  <c r="R61" i="64"/>
  <c r="S61" i="64"/>
  <c r="T61" i="64"/>
  <c r="U61" i="64"/>
  <c r="V61" i="64"/>
  <c r="W61" i="64"/>
  <c r="X61" i="64"/>
  <c r="Z61" i="64"/>
  <c r="AA61" i="64"/>
  <c r="AB61" i="64"/>
  <c r="AC61" i="64"/>
  <c r="AD61" i="64"/>
  <c r="AE61" i="64"/>
  <c r="AF61" i="64"/>
  <c r="AG61" i="64"/>
  <c r="AH61" i="64"/>
  <c r="AI61" i="64"/>
  <c r="AJ61" i="64"/>
  <c r="AK61" i="64"/>
  <c r="AL61" i="64"/>
  <c r="AM61" i="64"/>
  <c r="AN61" i="64"/>
  <c r="AO61" i="64"/>
  <c r="AP61" i="64"/>
  <c r="AQ61" i="64"/>
  <c r="AR61" i="64"/>
  <c r="AS61" i="64"/>
  <c r="AT61" i="64"/>
  <c r="AU61" i="64"/>
  <c r="AW61" i="64"/>
  <c r="AX61" i="64"/>
  <c r="AY61" i="64"/>
  <c r="BA61" i="64"/>
  <c r="BC61" i="64"/>
  <c r="A62" i="64"/>
  <c r="B62" i="64"/>
  <c r="D62" i="64"/>
  <c r="E62" i="64"/>
  <c r="F62" i="64"/>
  <c r="G62" i="64"/>
  <c r="H62" i="64"/>
  <c r="J62" i="64"/>
  <c r="K62" i="64"/>
  <c r="L62" i="64"/>
  <c r="M62" i="64"/>
  <c r="O62" i="64"/>
  <c r="P62" i="64"/>
  <c r="R62" i="64"/>
  <c r="S62" i="64"/>
  <c r="T62" i="64"/>
  <c r="U62" i="64"/>
  <c r="V62" i="64"/>
  <c r="W62" i="64"/>
  <c r="X62" i="64"/>
  <c r="Z62" i="64"/>
  <c r="AA62" i="64"/>
  <c r="AB62" i="64"/>
  <c r="AC62" i="64"/>
  <c r="AD62" i="64"/>
  <c r="AE62" i="64"/>
  <c r="AF62" i="64"/>
  <c r="AG62" i="64"/>
  <c r="AH62" i="64"/>
  <c r="AI62" i="64"/>
  <c r="AJ62" i="64"/>
  <c r="AK62" i="64"/>
  <c r="AL62" i="64"/>
  <c r="AM62" i="64"/>
  <c r="AN62" i="64"/>
  <c r="AO62" i="64"/>
  <c r="AP62" i="64"/>
  <c r="AQ62" i="64"/>
  <c r="AR62" i="64"/>
  <c r="AS62" i="64"/>
  <c r="AT62" i="64"/>
  <c r="AU62" i="64"/>
  <c r="AW62" i="64"/>
  <c r="AX62" i="64"/>
  <c r="AY62" i="64"/>
  <c r="BA62" i="64"/>
  <c r="BC62" i="64"/>
  <c r="A63" i="64"/>
  <c r="B63" i="64"/>
  <c r="D63" i="64"/>
  <c r="E63" i="64"/>
  <c r="F63" i="64"/>
  <c r="G63" i="64"/>
  <c r="H63" i="64"/>
  <c r="J63" i="64"/>
  <c r="K63" i="64"/>
  <c r="L63" i="64"/>
  <c r="M63" i="64"/>
  <c r="O63" i="64"/>
  <c r="P63" i="64"/>
  <c r="R63" i="64"/>
  <c r="S63" i="64"/>
  <c r="T63" i="64"/>
  <c r="U63" i="64"/>
  <c r="V63" i="64"/>
  <c r="W63" i="64"/>
  <c r="X63" i="64"/>
  <c r="Z63" i="64"/>
  <c r="AA63" i="64"/>
  <c r="AB63" i="64"/>
  <c r="AC63" i="64"/>
  <c r="AD63" i="64"/>
  <c r="AE63" i="64"/>
  <c r="AF63" i="64"/>
  <c r="AG63" i="64"/>
  <c r="AH63" i="64"/>
  <c r="AI63" i="64"/>
  <c r="AJ63" i="64"/>
  <c r="AK63" i="64"/>
  <c r="AL63" i="64"/>
  <c r="AM63" i="64"/>
  <c r="AN63" i="64"/>
  <c r="AO63" i="64"/>
  <c r="AP63" i="64"/>
  <c r="AQ63" i="64"/>
  <c r="AR63" i="64"/>
  <c r="AS63" i="64"/>
  <c r="AT63" i="64"/>
  <c r="AU63" i="64"/>
  <c r="AW63" i="64"/>
  <c r="AX63" i="64"/>
  <c r="AY63" i="64"/>
  <c r="BA63" i="64"/>
  <c r="BC63" i="64"/>
  <c r="A64" i="64"/>
  <c r="B64" i="64"/>
  <c r="D64" i="64"/>
  <c r="E64" i="64"/>
  <c r="F64" i="64"/>
  <c r="G64" i="64"/>
  <c r="H64" i="64"/>
  <c r="J64" i="64"/>
  <c r="K64" i="64"/>
  <c r="L64" i="64"/>
  <c r="M64" i="64"/>
  <c r="O64" i="64"/>
  <c r="P64" i="64"/>
  <c r="R64" i="64"/>
  <c r="S64" i="64"/>
  <c r="T64" i="64"/>
  <c r="U64" i="64"/>
  <c r="V64" i="64"/>
  <c r="W64" i="64"/>
  <c r="X64" i="64"/>
  <c r="Z64" i="64"/>
  <c r="AA64" i="64"/>
  <c r="AB64" i="64"/>
  <c r="AC64" i="64"/>
  <c r="AD64" i="64"/>
  <c r="AE64" i="64"/>
  <c r="AF64" i="64"/>
  <c r="AG64" i="64"/>
  <c r="AH64" i="64"/>
  <c r="AI64" i="64"/>
  <c r="AJ64" i="64"/>
  <c r="AK64" i="64"/>
  <c r="AL64" i="64"/>
  <c r="AM64" i="64"/>
  <c r="AN64" i="64"/>
  <c r="AO64" i="64"/>
  <c r="AP64" i="64"/>
  <c r="AQ64" i="64"/>
  <c r="AR64" i="64"/>
  <c r="AS64" i="64"/>
  <c r="AT64" i="64"/>
  <c r="AU64" i="64"/>
  <c r="AW64" i="64"/>
  <c r="AX64" i="64"/>
  <c r="AY64" i="64"/>
  <c r="BA64" i="64"/>
  <c r="BC64" i="64"/>
  <c r="A65" i="64"/>
  <c r="B65" i="64"/>
  <c r="D65" i="64"/>
  <c r="E65" i="64"/>
  <c r="F65" i="64"/>
  <c r="G65" i="64"/>
  <c r="H65" i="64"/>
  <c r="J65" i="64"/>
  <c r="K65" i="64"/>
  <c r="L65" i="64"/>
  <c r="M65" i="64"/>
  <c r="O65" i="64"/>
  <c r="P65" i="64"/>
  <c r="R65" i="64"/>
  <c r="S65" i="64"/>
  <c r="T65" i="64"/>
  <c r="U65" i="64"/>
  <c r="V65" i="64"/>
  <c r="W65" i="64"/>
  <c r="X65" i="64"/>
  <c r="Z65" i="64"/>
  <c r="AA65" i="64"/>
  <c r="AB65" i="64"/>
  <c r="AC65" i="64"/>
  <c r="AD65" i="64"/>
  <c r="AE65" i="64"/>
  <c r="AF65" i="64"/>
  <c r="AG65" i="64"/>
  <c r="AH65" i="64"/>
  <c r="AI65" i="64"/>
  <c r="AJ65" i="64"/>
  <c r="AK65" i="64"/>
  <c r="AL65" i="64"/>
  <c r="AM65" i="64"/>
  <c r="AN65" i="64"/>
  <c r="AO65" i="64"/>
  <c r="AP65" i="64"/>
  <c r="AQ65" i="64"/>
  <c r="AR65" i="64"/>
  <c r="AS65" i="64"/>
  <c r="AT65" i="64"/>
  <c r="AU65" i="64"/>
  <c r="AW65" i="64"/>
  <c r="AX65" i="64"/>
  <c r="AY65" i="64"/>
  <c r="BA65" i="64"/>
  <c r="BC65" i="64"/>
  <c r="A66" i="64"/>
  <c r="B66" i="64"/>
  <c r="D66" i="64"/>
  <c r="E66" i="64"/>
  <c r="F66" i="64"/>
  <c r="G66" i="64"/>
  <c r="H66" i="64"/>
  <c r="J66" i="64"/>
  <c r="K66" i="64"/>
  <c r="L66" i="64"/>
  <c r="M66" i="64"/>
  <c r="O66" i="64"/>
  <c r="P66" i="64"/>
  <c r="R66" i="64"/>
  <c r="S66" i="64"/>
  <c r="T66" i="64"/>
  <c r="U66" i="64"/>
  <c r="V66" i="64"/>
  <c r="W66" i="64"/>
  <c r="X66" i="64"/>
  <c r="Z66" i="64"/>
  <c r="AA66" i="64"/>
  <c r="AB66" i="64"/>
  <c r="AC66" i="64"/>
  <c r="AD66" i="64"/>
  <c r="AE66" i="64"/>
  <c r="AF66" i="64"/>
  <c r="AG66" i="64"/>
  <c r="AH66" i="64"/>
  <c r="AI66" i="64"/>
  <c r="AJ66" i="64"/>
  <c r="AK66" i="64"/>
  <c r="AL66" i="64"/>
  <c r="AM66" i="64"/>
  <c r="AN66" i="64"/>
  <c r="AO66" i="64"/>
  <c r="AP66" i="64"/>
  <c r="AQ66" i="64"/>
  <c r="AR66" i="64"/>
  <c r="AS66" i="64"/>
  <c r="AT66" i="64"/>
  <c r="AU66" i="64"/>
  <c r="AW66" i="64"/>
  <c r="AX66" i="64"/>
  <c r="AY66" i="64"/>
  <c r="BA66" i="64"/>
  <c r="BC66" i="64"/>
  <c r="A67" i="64"/>
  <c r="B67" i="64"/>
  <c r="D67" i="64"/>
  <c r="E67" i="64"/>
  <c r="F67" i="64"/>
  <c r="G67" i="64"/>
  <c r="H67" i="64"/>
  <c r="J67" i="64"/>
  <c r="K67" i="64"/>
  <c r="L67" i="64"/>
  <c r="M67" i="64"/>
  <c r="O67" i="64"/>
  <c r="P67" i="64"/>
  <c r="R67" i="64"/>
  <c r="S67" i="64"/>
  <c r="T67" i="64"/>
  <c r="U67" i="64"/>
  <c r="V67" i="64"/>
  <c r="W67" i="64"/>
  <c r="X67" i="64"/>
  <c r="Z67" i="64"/>
  <c r="AA67" i="64"/>
  <c r="AB67" i="64"/>
  <c r="AC67" i="64"/>
  <c r="AD67" i="64"/>
  <c r="AE67" i="64"/>
  <c r="AF67" i="64"/>
  <c r="AG67" i="64"/>
  <c r="AH67" i="64"/>
  <c r="AI67" i="64"/>
  <c r="AJ67" i="64"/>
  <c r="AK67" i="64"/>
  <c r="AL67" i="64"/>
  <c r="AM67" i="64"/>
  <c r="AN67" i="64"/>
  <c r="AO67" i="64"/>
  <c r="AP67" i="64"/>
  <c r="AQ67" i="64"/>
  <c r="AR67" i="64"/>
  <c r="AS67" i="64"/>
  <c r="AT67" i="64"/>
  <c r="AU67" i="64"/>
  <c r="AW67" i="64"/>
  <c r="AX67" i="64"/>
  <c r="AY67" i="64"/>
  <c r="BA67" i="64"/>
  <c r="BC67" i="64"/>
  <c r="A68" i="64"/>
  <c r="B68" i="64"/>
  <c r="D68" i="64"/>
  <c r="E68" i="64"/>
  <c r="F68" i="64"/>
  <c r="G68" i="64"/>
  <c r="H68" i="64"/>
  <c r="J68" i="64"/>
  <c r="K68" i="64"/>
  <c r="L68" i="64"/>
  <c r="M68" i="64"/>
  <c r="O68" i="64"/>
  <c r="P68" i="64"/>
  <c r="R68" i="64"/>
  <c r="S68" i="64"/>
  <c r="T68" i="64"/>
  <c r="U68" i="64"/>
  <c r="V68" i="64"/>
  <c r="W68" i="64"/>
  <c r="X68" i="64"/>
  <c r="Z68" i="64"/>
  <c r="AA68" i="64"/>
  <c r="AB68" i="64"/>
  <c r="AC68" i="64"/>
  <c r="AD68" i="64"/>
  <c r="AE68" i="64"/>
  <c r="AF68" i="64"/>
  <c r="AG68" i="64"/>
  <c r="AH68" i="64"/>
  <c r="AI68" i="64"/>
  <c r="AJ68" i="64"/>
  <c r="AK68" i="64"/>
  <c r="AL68" i="64"/>
  <c r="AM68" i="64"/>
  <c r="AN68" i="64"/>
  <c r="AO68" i="64"/>
  <c r="AP68" i="64"/>
  <c r="AQ68" i="64"/>
  <c r="AR68" i="64"/>
  <c r="AS68" i="64"/>
  <c r="AT68" i="64"/>
  <c r="AU68" i="64"/>
  <c r="AW68" i="64"/>
  <c r="AX68" i="64"/>
  <c r="AY68" i="64"/>
  <c r="BA68" i="64"/>
  <c r="BC68" i="64"/>
  <c r="A69" i="64"/>
  <c r="B69" i="64"/>
  <c r="D69" i="64"/>
  <c r="E69" i="64"/>
  <c r="F69" i="64"/>
  <c r="G69" i="64"/>
  <c r="H69" i="64"/>
  <c r="J69" i="64"/>
  <c r="K69" i="64"/>
  <c r="L69" i="64"/>
  <c r="M69" i="64"/>
  <c r="O69" i="64"/>
  <c r="P69" i="64"/>
  <c r="R69" i="64"/>
  <c r="S69" i="64"/>
  <c r="T69" i="64"/>
  <c r="U69" i="64"/>
  <c r="V69" i="64"/>
  <c r="W69" i="64"/>
  <c r="X69" i="64"/>
  <c r="Z69" i="64"/>
  <c r="AA69" i="64"/>
  <c r="AB69" i="64"/>
  <c r="AC69" i="64"/>
  <c r="AD69" i="64"/>
  <c r="AE69" i="64"/>
  <c r="AF69" i="64"/>
  <c r="AG69" i="64"/>
  <c r="AH69" i="64"/>
  <c r="AI69" i="64"/>
  <c r="AJ69" i="64"/>
  <c r="AK69" i="64"/>
  <c r="AL69" i="64"/>
  <c r="AM69" i="64"/>
  <c r="AN69" i="64"/>
  <c r="AO69" i="64"/>
  <c r="AP69" i="64"/>
  <c r="AQ69" i="64"/>
  <c r="AR69" i="64"/>
  <c r="AS69" i="64"/>
  <c r="AT69" i="64"/>
  <c r="AU69" i="64"/>
  <c r="AW69" i="64"/>
  <c r="AX69" i="64"/>
  <c r="AY69" i="64"/>
  <c r="BA69" i="64"/>
  <c r="BC69" i="64"/>
  <c r="A70" i="64"/>
  <c r="B70" i="64"/>
  <c r="D70" i="64"/>
  <c r="E70" i="64"/>
  <c r="F70" i="64"/>
  <c r="G70" i="64"/>
  <c r="H70" i="64"/>
  <c r="J70" i="64"/>
  <c r="K70" i="64"/>
  <c r="L70" i="64"/>
  <c r="M70" i="64"/>
  <c r="O70" i="64"/>
  <c r="P70" i="64"/>
  <c r="R70" i="64"/>
  <c r="S70" i="64"/>
  <c r="T70" i="64"/>
  <c r="U70" i="64"/>
  <c r="V70" i="64"/>
  <c r="W70" i="64"/>
  <c r="X70" i="64"/>
  <c r="Z70" i="64"/>
  <c r="AA70" i="64"/>
  <c r="AB70" i="64"/>
  <c r="AC70" i="64"/>
  <c r="AD70" i="64"/>
  <c r="AE70" i="64"/>
  <c r="AF70" i="64"/>
  <c r="AG70" i="64"/>
  <c r="AH70" i="64"/>
  <c r="AI70" i="64"/>
  <c r="AJ70" i="64"/>
  <c r="AK70" i="64"/>
  <c r="AL70" i="64"/>
  <c r="AM70" i="64"/>
  <c r="AN70" i="64"/>
  <c r="AO70" i="64"/>
  <c r="AP70" i="64"/>
  <c r="AQ70" i="64"/>
  <c r="AR70" i="64"/>
  <c r="AS70" i="64"/>
  <c r="AT70" i="64"/>
  <c r="AU70" i="64"/>
  <c r="AW70" i="64"/>
  <c r="AX70" i="64"/>
  <c r="AY70" i="64"/>
  <c r="BA70" i="64"/>
  <c r="BC70" i="64"/>
  <c r="A71" i="64"/>
  <c r="B71" i="64"/>
  <c r="D71" i="64"/>
  <c r="E71" i="64"/>
  <c r="F71" i="64"/>
  <c r="G71" i="64"/>
  <c r="H71" i="64"/>
  <c r="J71" i="64"/>
  <c r="K71" i="64"/>
  <c r="L71" i="64"/>
  <c r="M71" i="64"/>
  <c r="O71" i="64"/>
  <c r="P71" i="64"/>
  <c r="R71" i="64"/>
  <c r="S71" i="64"/>
  <c r="T71" i="64"/>
  <c r="U71" i="64"/>
  <c r="V71" i="64"/>
  <c r="W71" i="64"/>
  <c r="X71" i="64"/>
  <c r="Z71" i="64"/>
  <c r="AA71" i="64"/>
  <c r="AB71" i="64"/>
  <c r="AC71" i="64"/>
  <c r="AD71" i="64"/>
  <c r="AE71" i="64"/>
  <c r="AF71" i="64"/>
  <c r="AG71" i="64"/>
  <c r="AH71" i="64"/>
  <c r="AI71" i="64"/>
  <c r="AJ71" i="64"/>
  <c r="AK71" i="64"/>
  <c r="AL71" i="64"/>
  <c r="AM71" i="64"/>
  <c r="AN71" i="64"/>
  <c r="AO71" i="64"/>
  <c r="AP71" i="64"/>
  <c r="AQ71" i="64"/>
  <c r="AR71" i="64"/>
  <c r="AS71" i="64"/>
  <c r="AT71" i="64"/>
  <c r="AU71" i="64"/>
  <c r="AW71" i="64"/>
  <c r="AX71" i="64"/>
  <c r="AY71" i="64"/>
  <c r="BA71" i="64"/>
  <c r="BC71" i="64"/>
  <c r="A72" i="64"/>
  <c r="B72" i="64"/>
  <c r="D72" i="64"/>
  <c r="E72" i="64"/>
  <c r="F72" i="64"/>
  <c r="G72" i="64"/>
  <c r="H72" i="64"/>
  <c r="J72" i="64"/>
  <c r="K72" i="64"/>
  <c r="L72" i="64"/>
  <c r="M72" i="64"/>
  <c r="O72" i="64"/>
  <c r="P72" i="64"/>
  <c r="R72" i="64"/>
  <c r="S72" i="64"/>
  <c r="T72" i="64"/>
  <c r="U72" i="64"/>
  <c r="V72" i="64"/>
  <c r="W72" i="64"/>
  <c r="X72" i="64"/>
  <c r="Z72" i="64"/>
  <c r="AA72" i="64"/>
  <c r="AB72" i="64"/>
  <c r="AC72" i="64"/>
  <c r="AD72" i="64"/>
  <c r="AE72" i="64"/>
  <c r="AF72" i="64"/>
  <c r="AG72" i="64"/>
  <c r="AH72" i="64"/>
  <c r="AI72" i="64"/>
  <c r="AJ72" i="64"/>
  <c r="AK72" i="64"/>
  <c r="AL72" i="64"/>
  <c r="AM72" i="64"/>
  <c r="AN72" i="64"/>
  <c r="AO72" i="64"/>
  <c r="AP72" i="64"/>
  <c r="AQ72" i="64"/>
  <c r="AR72" i="64"/>
  <c r="AS72" i="64"/>
  <c r="AT72" i="64"/>
  <c r="AU72" i="64"/>
  <c r="AW72" i="64"/>
  <c r="AX72" i="64"/>
  <c r="AY72" i="64"/>
  <c r="BA72" i="64"/>
  <c r="BC72" i="64"/>
  <c r="A73" i="64"/>
  <c r="B73" i="64"/>
  <c r="D73" i="64"/>
  <c r="E73" i="64"/>
  <c r="F73" i="64"/>
  <c r="G73" i="64"/>
  <c r="H73" i="64"/>
  <c r="J73" i="64"/>
  <c r="K73" i="64"/>
  <c r="L73" i="64"/>
  <c r="M73" i="64"/>
  <c r="O73" i="64"/>
  <c r="P73" i="64"/>
  <c r="R73" i="64"/>
  <c r="S73" i="64"/>
  <c r="T73" i="64"/>
  <c r="U73" i="64"/>
  <c r="V73" i="64"/>
  <c r="W73" i="64"/>
  <c r="X73" i="64"/>
  <c r="Z73" i="64"/>
  <c r="AA73" i="64"/>
  <c r="AB73" i="64"/>
  <c r="AC73" i="64"/>
  <c r="AD73" i="64"/>
  <c r="AE73" i="64"/>
  <c r="AF73" i="64"/>
  <c r="AG73" i="64"/>
  <c r="AH73" i="64"/>
  <c r="AI73" i="64"/>
  <c r="AJ73" i="64"/>
  <c r="AK73" i="64"/>
  <c r="AL73" i="64"/>
  <c r="AM73" i="64"/>
  <c r="AN73" i="64"/>
  <c r="AO73" i="64"/>
  <c r="AP73" i="64"/>
  <c r="AQ73" i="64"/>
  <c r="AR73" i="64"/>
  <c r="AS73" i="64"/>
  <c r="AT73" i="64"/>
  <c r="AU73" i="64"/>
  <c r="AW73" i="64"/>
  <c r="AX73" i="64"/>
  <c r="AY73" i="64"/>
  <c r="BA73" i="64"/>
  <c r="BC73" i="64"/>
  <c r="A74" i="64"/>
  <c r="B74" i="64"/>
  <c r="D74" i="64"/>
  <c r="E74" i="64"/>
  <c r="F74" i="64"/>
  <c r="G74" i="64"/>
  <c r="H74" i="64"/>
  <c r="J74" i="64"/>
  <c r="K74" i="64"/>
  <c r="L74" i="64"/>
  <c r="M74" i="64"/>
  <c r="O74" i="64"/>
  <c r="P74" i="64"/>
  <c r="R74" i="64"/>
  <c r="S74" i="64"/>
  <c r="T74" i="64"/>
  <c r="U74" i="64"/>
  <c r="V74" i="64"/>
  <c r="W74" i="64"/>
  <c r="X74" i="64"/>
  <c r="Z74" i="64"/>
  <c r="AA74" i="64"/>
  <c r="AB74" i="64"/>
  <c r="AC74" i="64"/>
  <c r="AD74" i="64"/>
  <c r="AE74" i="64"/>
  <c r="AF74" i="64"/>
  <c r="AG74" i="64"/>
  <c r="AH74" i="64"/>
  <c r="AI74" i="64"/>
  <c r="AJ74" i="64"/>
  <c r="AK74" i="64"/>
  <c r="AL74" i="64"/>
  <c r="AM74" i="64"/>
  <c r="AN74" i="64"/>
  <c r="AO74" i="64"/>
  <c r="AP74" i="64"/>
  <c r="AQ74" i="64"/>
  <c r="AR74" i="64"/>
  <c r="AS74" i="64"/>
  <c r="AT74" i="64"/>
  <c r="AU74" i="64"/>
  <c r="AW74" i="64"/>
  <c r="AX74" i="64"/>
  <c r="AY74" i="64"/>
  <c r="BA74" i="64"/>
  <c r="BC74" i="64"/>
  <c r="A75" i="64"/>
  <c r="B75" i="64"/>
  <c r="D75" i="64"/>
  <c r="E75" i="64"/>
  <c r="F75" i="64"/>
  <c r="G75" i="64"/>
  <c r="H75" i="64"/>
  <c r="J75" i="64"/>
  <c r="K75" i="64"/>
  <c r="L75" i="64"/>
  <c r="M75" i="64"/>
  <c r="O75" i="64"/>
  <c r="P75" i="64"/>
  <c r="R75" i="64"/>
  <c r="S75" i="64"/>
  <c r="T75" i="64"/>
  <c r="U75" i="64"/>
  <c r="V75" i="64"/>
  <c r="W75" i="64"/>
  <c r="X75" i="64"/>
  <c r="Z75" i="64"/>
  <c r="AA75" i="64"/>
  <c r="AB75" i="64"/>
  <c r="AC75" i="64"/>
  <c r="AD75" i="64"/>
  <c r="AE75" i="64"/>
  <c r="AF75" i="64"/>
  <c r="AG75" i="64"/>
  <c r="AH75" i="64"/>
  <c r="AI75" i="64"/>
  <c r="AJ75" i="64"/>
  <c r="AK75" i="64"/>
  <c r="AL75" i="64"/>
  <c r="AM75" i="64"/>
  <c r="AN75" i="64"/>
  <c r="AO75" i="64"/>
  <c r="AP75" i="64"/>
  <c r="AQ75" i="64"/>
  <c r="AR75" i="64"/>
  <c r="AS75" i="64"/>
  <c r="AT75" i="64"/>
  <c r="AU75" i="64"/>
  <c r="AW75" i="64"/>
  <c r="AX75" i="64"/>
  <c r="AY75" i="64"/>
  <c r="BA75" i="64"/>
  <c r="BC75" i="64"/>
  <c r="A76" i="64"/>
  <c r="B76" i="64"/>
  <c r="D76" i="64"/>
  <c r="E76" i="64"/>
  <c r="F76" i="64"/>
  <c r="G76" i="64"/>
  <c r="H76" i="64"/>
  <c r="J76" i="64"/>
  <c r="K76" i="64"/>
  <c r="L76" i="64"/>
  <c r="M76" i="64"/>
  <c r="O76" i="64"/>
  <c r="P76" i="64"/>
  <c r="R76" i="64"/>
  <c r="S76" i="64"/>
  <c r="T76" i="64"/>
  <c r="U76" i="64"/>
  <c r="V76" i="64"/>
  <c r="W76" i="64"/>
  <c r="X76" i="64"/>
  <c r="Z76" i="64"/>
  <c r="AA76" i="64"/>
  <c r="AB76" i="64"/>
  <c r="AC76" i="64"/>
  <c r="AD76" i="64"/>
  <c r="AE76" i="64"/>
  <c r="AF76" i="64"/>
  <c r="AG76" i="64"/>
  <c r="AH76" i="64"/>
  <c r="AI76" i="64"/>
  <c r="AJ76" i="64"/>
  <c r="AK76" i="64"/>
  <c r="AL76" i="64"/>
  <c r="AM76" i="64"/>
  <c r="AN76" i="64"/>
  <c r="AO76" i="64"/>
  <c r="AP76" i="64"/>
  <c r="AQ76" i="64"/>
  <c r="AR76" i="64"/>
  <c r="AS76" i="64"/>
  <c r="AT76" i="64"/>
  <c r="AU76" i="64"/>
  <c r="AW76" i="64"/>
  <c r="AX76" i="64"/>
  <c r="AY76" i="64"/>
  <c r="BA76" i="64"/>
  <c r="BC76" i="64"/>
  <c r="A77" i="64"/>
  <c r="B77" i="64"/>
  <c r="D77" i="64"/>
  <c r="E77" i="64"/>
  <c r="F77" i="64"/>
  <c r="G77" i="64"/>
  <c r="H77" i="64"/>
  <c r="J77" i="64"/>
  <c r="K77" i="64"/>
  <c r="L77" i="64"/>
  <c r="M77" i="64"/>
  <c r="O77" i="64"/>
  <c r="P77" i="64"/>
  <c r="R77" i="64"/>
  <c r="S77" i="64"/>
  <c r="T77" i="64"/>
  <c r="U77" i="64"/>
  <c r="V77" i="64"/>
  <c r="W77" i="64"/>
  <c r="X77" i="64"/>
  <c r="Z77" i="64"/>
  <c r="AA77" i="64"/>
  <c r="AB77" i="64"/>
  <c r="AC77" i="64"/>
  <c r="AD77" i="64"/>
  <c r="AE77" i="64"/>
  <c r="AF77" i="64"/>
  <c r="AG77" i="64"/>
  <c r="AH77" i="64"/>
  <c r="AI77" i="64"/>
  <c r="AJ77" i="64"/>
  <c r="AK77" i="64"/>
  <c r="AL77" i="64"/>
  <c r="AM77" i="64"/>
  <c r="AN77" i="64"/>
  <c r="AO77" i="64"/>
  <c r="AP77" i="64"/>
  <c r="AQ77" i="64"/>
  <c r="AR77" i="64"/>
  <c r="AS77" i="64"/>
  <c r="AT77" i="64"/>
  <c r="AU77" i="64"/>
  <c r="AW77" i="64"/>
  <c r="AX77" i="64"/>
  <c r="AY77" i="64"/>
  <c r="BA77" i="64"/>
  <c r="BC77" i="64"/>
  <c r="A78" i="64"/>
  <c r="B78" i="64"/>
  <c r="D78" i="64"/>
  <c r="E78" i="64"/>
  <c r="F78" i="64"/>
  <c r="G78" i="64"/>
  <c r="H78" i="64"/>
  <c r="J78" i="64"/>
  <c r="K78" i="64"/>
  <c r="L78" i="64"/>
  <c r="M78" i="64"/>
  <c r="O78" i="64"/>
  <c r="P78" i="64"/>
  <c r="R78" i="64"/>
  <c r="S78" i="64"/>
  <c r="T78" i="64"/>
  <c r="U78" i="64"/>
  <c r="V78" i="64"/>
  <c r="W78" i="64"/>
  <c r="X78" i="64"/>
  <c r="Z78" i="64"/>
  <c r="AA78" i="64"/>
  <c r="AB78" i="64"/>
  <c r="AC78" i="64"/>
  <c r="AD78" i="64"/>
  <c r="AE78" i="64"/>
  <c r="AF78" i="64"/>
  <c r="AG78" i="64"/>
  <c r="AH78" i="64"/>
  <c r="AI78" i="64"/>
  <c r="AJ78" i="64"/>
  <c r="AK78" i="64"/>
  <c r="AL78" i="64"/>
  <c r="AM78" i="64"/>
  <c r="AN78" i="64"/>
  <c r="AO78" i="64"/>
  <c r="AP78" i="64"/>
  <c r="AQ78" i="64"/>
  <c r="AR78" i="64"/>
  <c r="AS78" i="64"/>
  <c r="AT78" i="64"/>
  <c r="AU78" i="64"/>
  <c r="AW78" i="64"/>
  <c r="AX78" i="64"/>
  <c r="AY78" i="64"/>
  <c r="BA78" i="64"/>
  <c r="BC78" i="64"/>
  <c r="A79" i="64"/>
  <c r="B79" i="64"/>
  <c r="D79" i="64"/>
  <c r="E79" i="64"/>
  <c r="F79" i="64"/>
  <c r="G79" i="64"/>
  <c r="H79" i="64"/>
  <c r="J79" i="64"/>
  <c r="K79" i="64"/>
  <c r="L79" i="64"/>
  <c r="M79" i="64"/>
  <c r="O79" i="64"/>
  <c r="P79" i="64"/>
  <c r="R79" i="64"/>
  <c r="S79" i="64"/>
  <c r="T79" i="64"/>
  <c r="U79" i="64"/>
  <c r="V79" i="64"/>
  <c r="W79" i="64"/>
  <c r="X79" i="64"/>
  <c r="Z79" i="64"/>
  <c r="AA79" i="64"/>
  <c r="AB79" i="64"/>
  <c r="AC79" i="64"/>
  <c r="AD79" i="64"/>
  <c r="AE79" i="64"/>
  <c r="AF79" i="64"/>
  <c r="AG79" i="64"/>
  <c r="AH79" i="64"/>
  <c r="AI79" i="64"/>
  <c r="AJ79" i="64"/>
  <c r="AK79" i="64"/>
  <c r="AL79" i="64"/>
  <c r="AM79" i="64"/>
  <c r="AN79" i="64"/>
  <c r="AO79" i="64"/>
  <c r="AP79" i="64"/>
  <c r="AQ79" i="64"/>
  <c r="AR79" i="64"/>
  <c r="AS79" i="64"/>
  <c r="AT79" i="64"/>
  <c r="AU79" i="64"/>
  <c r="AW79" i="64"/>
  <c r="AX79" i="64"/>
  <c r="AY79" i="64"/>
  <c r="BA79" i="64"/>
  <c r="BC79" i="64"/>
  <c r="A80" i="64"/>
  <c r="B80" i="64"/>
  <c r="D80" i="64"/>
  <c r="E80" i="64"/>
  <c r="F80" i="64"/>
  <c r="G80" i="64"/>
  <c r="H80" i="64"/>
  <c r="J80" i="64"/>
  <c r="K80" i="64"/>
  <c r="L80" i="64"/>
  <c r="M80" i="64"/>
  <c r="O80" i="64"/>
  <c r="P80" i="64"/>
  <c r="R80" i="64"/>
  <c r="S80" i="64"/>
  <c r="T80" i="64"/>
  <c r="U80" i="64"/>
  <c r="V80" i="64"/>
  <c r="W80" i="64"/>
  <c r="X80" i="64"/>
  <c r="Z80" i="64"/>
  <c r="AA80" i="64"/>
  <c r="AB80" i="64"/>
  <c r="AC80" i="64"/>
  <c r="AD80" i="64"/>
  <c r="AE80" i="64"/>
  <c r="AF80" i="64"/>
  <c r="AG80" i="64"/>
  <c r="AH80" i="64"/>
  <c r="AI80" i="64"/>
  <c r="AJ80" i="64"/>
  <c r="AK80" i="64"/>
  <c r="AL80" i="64"/>
  <c r="AM80" i="64"/>
  <c r="AN80" i="64"/>
  <c r="AO80" i="64"/>
  <c r="AP80" i="64"/>
  <c r="AQ80" i="64"/>
  <c r="AR80" i="64"/>
  <c r="AS80" i="64"/>
  <c r="AT80" i="64"/>
  <c r="AU80" i="64"/>
  <c r="AW80" i="64"/>
  <c r="AX80" i="64"/>
  <c r="AY80" i="64"/>
  <c r="BA80" i="64"/>
  <c r="BC80" i="64"/>
  <c r="A81" i="64"/>
  <c r="B81" i="64"/>
  <c r="D81" i="64"/>
  <c r="E81" i="64"/>
  <c r="F81" i="64"/>
  <c r="G81" i="64"/>
  <c r="H81" i="64"/>
  <c r="J81" i="64"/>
  <c r="K81" i="64"/>
  <c r="L81" i="64"/>
  <c r="M81" i="64"/>
  <c r="O81" i="64"/>
  <c r="P81" i="64"/>
  <c r="R81" i="64"/>
  <c r="S81" i="64"/>
  <c r="T81" i="64"/>
  <c r="U81" i="64"/>
  <c r="V81" i="64"/>
  <c r="W81" i="64"/>
  <c r="X81" i="64"/>
  <c r="Z81" i="64"/>
  <c r="AA81" i="64"/>
  <c r="AB81" i="64"/>
  <c r="AC81" i="64"/>
  <c r="AD81" i="64"/>
  <c r="AE81" i="64"/>
  <c r="AF81" i="64"/>
  <c r="AG81" i="64"/>
  <c r="AH81" i="64"/>
  <c r="AI81" i="64"/>
  <c r="AJ81" i="64"/>
  <c r="AK81" i="64"/>
  <c r="AL81" i="64"/>
  <c r="AM81" i="64"/>
  <c r="AN81" i="64"/>
  <c r="AO81" i="64"/>
  <c r="AP81" i="64"/>
  <c r="AQ81" i="64"/>
  <c r="AR81" i="64"/>
  <c r="AS81" i="64"/>
  <c r="AT81" i="64"/>
  <c r="AU81" i="64"/>
  <c r="AW81" i="64"/>
  <c r="AX81" i="64"/>
  <c r="AY81" i="64"/>
  <c r="BA81" i="64"/>
  <c r="BC81" i="64"/>
  <c r="A82" i="64"/>
  <c r="B82" i="64"/>
  <c r="D82" i="64"/>
  <c r="E82" i="64"/>
  <c r="F82" i="64"/>
  <c r="G82" i="64"/>
  <c r="H82" i="64"/>
  <c r="J82" i="64"/>
  <c r="K82" i="64"/>
  <c r="L82" i="64"/>
  <c r="M82" i="64"/>
  <c r="O82" i="64"/>
  <c r="P82" i="64"/>
  <c r="R82" i="64"/>
  <c r="S82" i="64"/>
  <c r="T82" i="64"/>
  <c r="U82" i="64"/>
  <c r="V82" i="64"/>
  <c r="W82" i="64"/>
  <c r="X82" i="64"/>
  <c r="Z82" i="64"/>
  <c r="AA82" i="64"/>
  <c r="AB82" i="64"/>
  <c r="AC82" i="64"/>
  <c r="AD82" i="64"/>
  <c r="AE82" i="64"/>
  <c r="AF82" i="64"/>
  <c r="AG82" i="64"/>
  <c r="AH82" i="64"/>
  <c r="AI82" i="64"/>
  <c r="AJ82" i="64"/>
  <c r="AK82" i="64"/>
  <c r="AL82" i="64"/>
  <c r="AM82" i="64"/>
  <c r="AN82" i="64"/>
  <c r="AO82" i="64"/>
  <c r="AP82" i="64"/>
  <c r="AQ82" i="64"/>
  <c r="AR82" i="64"/>
  <c r="AS82" i="64"/>
  <c r="AT82" i="64"/>
  <c r="AU82" i="64"/>
  <c r="AW82" i="64"/>
  <c r="AX82" i="64"/>
  <c r="AY82" i="64"/>
  <c r="BA82" i="64"/>
  <c r="BC82" i="64"/>
  <c r="A83" i="64"/>
  <c r="B83" i="64"/>
  <c r="D83" i="64"/>
  <c r="E83" i="64"/>
  <c r="F83" i="64"/>
  <c r="G83" i="64"/>
  <c r="H83" i="64"/>
  <c r="J83" i="64"/>
  <c r="K83" i="64"/>
  <c r="L83" i="64"/>
  <c r="M83" i="64"/>
  <c r="O83" i="64"/>
  <c r="P83" i="64"/>
  <c r="R83" i="64"/>
  <c r="S83" i="64"/>
  <c r="T83" i="64"/>
  <c r="U83" i="64"/>
  <c r="V83" i="64"/>
  <c r="W83" i="64"/>
  <c r="X83" i="64"/>
  <c r="Z83" i="64"/>
  <c r="AA83" i="64"/>
  <c r="AB83" i="64"/>
  <c r="AC83" i="64"/>
  <c r="AD83" i="64"/>
  <c r="AE83" i="64"/>
  <c r="AF83" i="64"/>
  <c r="AG83" i="64"/>
  <c r="AH83" i="64"/>
  <c r="AI83" i="64"/>
  <c r="AJ83" i="64"/>
  <c r="AK83" i="64"/>
  <c r="AL83" i="64"/>
  <c r="AM83" i="64"/>
  <c r="AN83" i="64"/>
  <c r="AO83" i="64"/>
  <c r="AP83" i="64"/>
  <c r="AQ83" i="64"/>
  <c r="AR83" i="64"/>
  <c r="AS83" i="64"/>
  <c r="AT83" i="64"/>
  <c r="AU83" i="64"/>
  <c r="AW83" i="64"/>
  <c r="AX83" i="64"/>
  <c r="AY83" i="64"/>
  <c r="BA83" i="64"/>
  <c r="BC83" i="64"/>
  <c r="A84" i="64"/>
  <c r="B84" i="64"/>
  <c r="D84" i="64"/>
  <c r="E84" i="64"/>
  <c r="F84" i="64"/>
  <c r="G84" i="64"/>
  <c r="H84" i="64"/>
  <c r="J84" i="64"/>
  <c r="K84" i="64"/>
  <c r="L84" i="64"/>
  <c r="M84" i="64"/>
  <c r="O84" i="64"/>
  <c r="P84" i="64"/>
  <c r="R84" i="64"/>
  <c r="S84" i="64"/>
  <c r="T84" i="64"/>
  <c r="U84" i="64"/>
  <c r="V84" i="64"/>
  <c r="W84" i="64"/>
  <c r="X84" i="64"/>
  <c r="Z84" i="64"/>
  <c r="AA84" i="64"/>
  <c r="AB84" i="64"/>
  <c r="AC84" i="64"/>
  <c r="AD84" i="64"/>
  <c r="AE84" i="64"/>
  <c r="AF84" i="64"/>
  <c r="AG84" i="64"/>
  <c r="AH84" i="64"/>
  <c r="AI84" i="64"/>
  <c r="AJ84" i="64"/>
  <c r="AK84" i="64"/>
  <c r="AL84" i="64"/>
  <c r="AM84" i="64"/>
  <c r="AN84" i="64"/>
  <c r="AO84" i="64"/>
  <c r="AP84" i="64"/>
  <c r="AQ84" i="64"/>
  <c r="AR84" i="64"/>
  <c r="AS84" i="64"/>
  <c r="AT84" i="64"/>
  <c r="AU84" i="64"/>
  <c r="AW84" i="64"/>
  <c r="AX84" i="64"/>
  <c r="AY84" i="64"/>
  <c r="BA84" i="64"/>
  <c r="BC84" i="64"/>
  <c r="A85" i="64"/>
  <c r="B85" i="64"/>
  <c r="D85" i="64"/>
  <c r="E85" i="64"/>
  <c r="F85" i="64"/>
  <c r="G85" i="64"/>
  <c r="H85" i="64"/>
  <c r="J85" i="64"/>
  <c r="K85" i="64"/>
  <c r="L85" i="64"/>
  <c r="M85" i="64"/>
  <c r="O85" i="64"/>
  <c r="P85" i="64"/>
  <c r="R85" i="64"/>
  <c r="S85" i="64"/>
  <c r="T85" i="64"/>
  <c r="U85" i="64"/>
  <c r="V85" i="64"/>
  <c r="W85" i="64"/>
  <c r="X85" i="64"/>
  <c r="Z85" i="64"/>
  <c r="AA85" i="64"/>
  <c r="AB85" i="64"/>
  <c r="AC85" i="64"/>
  <c r="AD85" i="64"/>
  <c r="AE85" i="64"/>
  <c r="AF85" i="64"/>
  <c r="AG85" i="64"/>
  <c r="AH85" i="64"/>
  <c r="AI85" i="64"/>
  <c r="AJ85" i="64"/>
  <c r="AK85" i="64"/>
  <c r="AL85" i="64"/>
  <c r="AM85" i="64"/>
  <c r="AN85" i="64"/>
  <c r="AO85" i="64"/>
  <c r="AP85" i="64"/>
  <c r="AQ85" i="64"/>
  <c r="AR85" i="64"/>
  <c r="AS85" i="64"/>
  <c r="AT85" i="64"/>
  <c r="AU85" i="64"/>
  <c r="AW85" i="64"/>
  <c r="AX85" i="64"/>
  <c r="AY85" i="64"/>
  <c r="BA85" i="64"/>
  <c r="BC85" i="64"/>
  <c r="A86" i="64"/>
  <c r="B86" i="64"/>
  <c r="D86" i="64"/>
  <c r="E86" i="64"/>
  <c r="F86" i="64"/>
  <c r="G86" i="64"/>
  <c r="H86" i="64"/>
  <c r="J86" i="64"/>
  <c r="K86" i="64"/>
  <c r="L86" i="64"/>
  <c r="M86" i="64"/>
  <c r="O86" i="64"/>
  <c r="P86" i="64"/>
  <c r="R86" i="64"/>
  <c r="S86" i="64"/>
  <c r="T86" i="64"/>
  <c r="U86" i="64"/>
  <c r="V86" i="64"/>
  <c r="W86" i="64"/>
  <c r="X86" i="64"/>
  <c r="Z86" i="64"/>
  <c r="AA86" i="64"/>
  <c r="AB86" i="64"/>
  <c r="AC86" i="64"/>
  <c r="AD86" i="64"/>
  <c r="AE86" i="64"/>
  <c r="AF86" i="64"/>
  <c r="AG86" i="64"/>
  <c r="AH86" i="64"/>
  <c r="AI86" i="64"/>
  <c r="AJ86" i="64"/>
  <c r="AK86" i="64"/>
  <c r="AL86" i="64"/>
  <c r="AM86" i="64"/>
  <c r="AN86" i="64"/>
  <c r="AO86" i="64"/>
  <c r="AP86" i="64"/>
  <c r="AQ86" i="64"/>
  <c r="AR86" i="64"/>
  <c r="AS86" i="64"/>
  <c r="AT86" i="64"/>
  <c r="AU86" i="64"/>
  <c r="AW86" i="64"/>
  <c r="AX86" i="64"/>
  <c r="AY86" i="64"/>
  <c r="BA86" i="64"/>
  <c r="BC86" i="64"/>
  <c r="A87" i="64"/>
  <c r="B87" i="64"/>
  <c r="D87" i="64"/>
  <c r="E87" i="64"/>
  <c r="F87" i="64"/>
  <c r="G87" i="64"/>
  <c r="H87" i="64"/>
  <c r="J87" i="64"/>
  <c r="K87" i="64"/>
  <c r="L87" i="64"/>
  <c r="M87" i="64"/>
  <c r="O87" i="64"/>
  <c r="P87" i="64"/>
  <c r="R87" i="64"/>
  <c r="S87" i="64"/>
  <c r="T87" i="64"/>
  <c r="U87" i="64"/>
  <c r="V87" i="64"/>
  <c r="W87" i="64"/>
  <c r="X87" i="64"/>
  <c r="Z87" i="64"/>
  <c r="AA87" i="64"/>
  <c r="AB87" i="64"/>
  <c r="AC87" i="64"/>
  <c r="AD87" i="64"/>
  <c r="AE87" i="64"/>
  <c r="AF87" i="64"/>
  <c r="AG87" i="64"/>
  <c r="AH87" i="64"/>
  <c r="AI87" i="64"/>
  <c r="AJ87" i="64"/>
  <c r="AK87" i="64"/>
  <c r="AL87" i="64"/>
  <c r="AM87" i="64"/>
  <c r="AN87" i="64"/>
  <c r="AO87" i="64"/>
  <c r="AP87" i="64"/>
  <c r="AQ87" i="64"/>
  <c r="AR87" i="64"/>
  <c r="AS87" i="64"/>
  <c r="AT87" i="64"/>
  <c r="AU87" i="64"/>
  <c r="AW87" i="64"/>
  <c r="AX87" i="64"/>
  <c r="AY87" i="64"/>
  <c r="BA87" i="64"/>
  <c r="BC87" i="64"/>
  <c r="A88" i="64"/>
  <c r="B88" i="64"/>
  <c r="D88" i="64"/>
  <c r="E88" i="64"/>
  <c r="F88" i="64"/>
  <c r="G88" i="64"/>
  <c r="H88" i="64"/>
  <c r="J88" i="64"/>
  <c r="K88" i="64"/>
  <c r="L88" i="64"/>
  <c r="M88" i="64"/>
  <c r="O88" i="64"/>
  <c r="P88" i="64"/>
  <c r="R88" i="64"/>
  <c r="S88" i="64"/>
  <c r="T88" i="64"/>
  <c r="U88" i="64"/>
  <c r="V88" i="64"/>
  <c r="W88" i="64"/>
  <c r="X88" i="64"/>
  <c r="Z88" i="64"/>
  <c r="AA88" i="64"/>
  <c r="AB88" i="64"/>
  <c r="AC88" i="64"/>
  <c r="AD88" i="64"/>
  <c r="AE88" i="64"/>
  <c r="AF88" i="64"/>
  <c r="AG88" i="64"/>
  <c r="AH88" i="64"/>
  <c r="AI88" i="64"/>
  <c r="AJ88" i="64"/>
  <c r="AK88" i="64"/>
  <c r="AL88" i="64"/>
  <c r="AM88" i="64"/>
  <c r="AN88" i="64"/>
  <c r="AO88" i="64"/>
  <c r="AP88" i="64"/>
  <c r="AQ88" i="64"/>
  <c r="AR88" i="64"/>
  <c r="AS88" i="64"/>
  <c r="AT88" i="64"/>
  <c r="AU88" i="64"/>
  <c r="AW88" i="64"/>
  <c r="AX88" i="64"/>
  <c r="AY88" i="64"/>
  <c r="BA88" i="64"/>
  <c r="BC88" i="64"/>
  <c r="A89" i="64"/>
  <c r="B89" i="64"/>
  <c r="D89" i="64"/>
  <c r="E89" i="64"/>
  <c r="F89" i="64"/>
  <c r="G89" i="64"/>
  <c r="H89" i="64"/>
  <c r="J89" i="64"/>
  <c r="K89" i="64"/>
  <c r="L89" i="64"/>
  <c r="M89" i="64"/>
  <c r="O89" i="64"/>
  <c r="P89" i="64"/>
  <c r="R89" i="64"/>
  <c r="S89" i="64"/>
  <c r="T89" i="64"/>
  <c r="U89" i="64"/>
  <c r="V89" i="64"/>
  <c r="W89" i="64"/>
  <c r="X89" i="64"/>
  <c r="Z89" i="64"/>
  <c r="AA89" i="64"/>
  <c r="AB89" i="64"/>
  <c r="AC89" i="64"/>
  <c r="AD89" i="64"/>
  <c r="AE89" i="64"/>
  <c r="AF89" i="64"/>
  <c r="AG89" i="64"/>
  <c r="AH89" i="64"/>
  <c r="AI89" i="64"/>
  <c r="AJ89" i="64"/>
  <c r="AK89" i="64"/>
  <c r="AL89" i="64"/>
  <c r="AM89" i="64"/>
  <c r="AN89" i="64"/>
  <c r="AO89" i="64"/>
  <c r="AP89" i="64"/>
  <c r="AQ89" i="64"/>
  <c r="AR89" i="64"/>
  <c r="AS89" i="64"/>
  <c r="AT89" i="64"/>
  <c r="AU89" i="64"/>
  <c r="AW89" i="64"/>
  <c r="AX89" i="64"/>
  <c r="AY89" i="64"/>
  <c r="BA89" i="64"/>
  <c r="BC89" i="64"/>
  <c r="A90" i="64"/>
  <c r="B90" i="64"/>
  <c r="D90" i="64"/>
  <c r="E90" i="64"/>
  <c r="F90" i="64"/>
  <c r="G90" i="64"/>
  <c r="H90" i="64"/>
  <c r="J90" i="64"/>
  <c r="K90" i="64"/>
  <c r="L90" i="64"/>
  <c r="M90" i="64"/>
  <c r="O90" i="64"/>
  <c r="P90" i="64"/>
  <c r="R90" i="64"/>
  <c r="S90" i="64"/>
  <c r="T90" i="64"/>
  <c r="U90" i="64"/>
  <c r="V90" i="64"/>
  <c r="W90" i="64"/>
  <c r="X90" i="64"/>
  <c r="Z90" i="64"/>
  <c r="AA90" i="64"/>
  <c r="AB90" i="64"/>
  <c r="AC90" i="64"/>
  <c r="AD90" i="64"/>
  <c r="AE90" i="64"/>
  <c r="AF90" i="64"/>
  <c r="AG90" i="64"/>
  <c r="AH90" i="64"/>
  <c r="AI90" i="64"/>
  <c r="AJ90" i="64"/>
  <c r="AK90" i="64"/>
  <c r="AL90" i="64"/>
  <c r="AM90" i="64"/>
  <c r="AN90" i="64"/>
  <c r="AO90" i="64"/>
  <c r="AP90" i="64"/>
  <c r="AQ90" i="64"/>
  <c r="AR90" i="64"/>
  <c r="AS90" i="64"/>
  <c r="AT90" i="64"/>
  <c r="AU90" i="64"/>
  <c r="AW90" i="64"/>
  <c r="AX90" i="64"/>
  <c r="AY90" i="64"/>
  <c r="BA90" i="64"/>
  <c r="BC90" i="64"/>
  <c r="A91" i="64"/>
  <c r="B91" i="64"/>
  <c r="D91" i="64"/>
  <c r="E91" i="64"/>
  <c r="F91" i="64"/>
  <c r="G91" i="64"/>
  <c r="H91" i="64"/>
  <c r="J91" i="64"/>
  <c r="K91" i="64"/>
  <c r="L91" i="64"/>
  <c r="M91" i="64"/>
  <c r="O91" i="64"/>
  <c r="P91" i="64"/>
  <c r="R91" i="64"/>
  <c r="S91" i="64"/>
  <c r="T91" i="64"/>
  <c r="U91" i="64"/>
  <c r="V91" i="64"/>
  <c r="W91" i="64"/>
  <c r="X91" i="64"/>
  <c r="Z91" i="64"/>
  <c r="AA91" i="64"/>
  <c r="AB91" i="64"/>
  <c r="AC91" i="64"/>
  <c r="AD91" i="64"/>
  <c r="AE91" i="64"/>
  <c r="AF91" i="64"/>
  <c r="AG91" i="64"/>
  <c r="AH91" i="64"/>
  <c r="AI91" i="64"/>
  <c r="AJ91" i="64"/>
  <c r="AK91" i="64"/>
  <c r="AL91" i="64"/>
  <c r="AM91" i="64"/>
  <c r="AN91" i="64"/>
  <c r="AO91" i="64"/>
  <c r="AP91" i="64"/>
  <c r="AQ91" i="64"/>
  <c r="AR91" i="64"/>
  <c r="AS91" i="64"/>
  <c r="AT91" i="64"/>
  <c r="AU91" i="64"/>
  <c r="AW91" i="64"/>
  <c r="AX91" i="64"/>
  <c r="AY91" i="64"/>
  <c r="BA91" i="64"/>
  <c r="BC91" i="64"/>
  <c r="A92" i="64"/>
  <c r="B92" i="64"/>
  <c r="D92" i="64"/>
  <c r="E92" i="64"/>
  <c r="F92" i="64"/>
  <c r="G92" i="64"/>
  <c r="H92" i="64"/>
  <c r="J92" i="64"/>
  <c r="K92" i="64"/>
  <c r="L92" i="64"/>
  <c r="M92" i="64"/>
  <c r="O92" i="64"/>
  <c r="P92" i="64"/>
  <c r="R92" i="64"/>
  <c r="S92" i="64"/>
  <c r="T92" i="64"/>
  <c r="U92" i="64"/>
  <c r="V92" i="64"/>
  <c r="W92" i="64"/>
  <c r="X92" i="64"/>
  <c r="Z92" i="64"/>
  <c r="AA92" i="64"/>
  <c r="AB92" i="64"/>
  <c r="AC92" i="64"/>
  <c r="AD92" i="64"/>
  <c r="AE92" i="64"/>
  <c r="AF92" i="64"/>
  <c r="AG92" i="64"/>
  <c r="AH92" i="64"/>
  <c r="AI92" i="64"/>
  <c r="AJ92" i="64"/>
  <c r="AK92" i="64"/>
  <c r="AL92" i="64"/>
  <c r="AM92" i="64"/>
  <c r="AN92" i="64"/>
  <c r="AO92" i="64"/>
  <c r="AP92" i="64"/>
  <c r="AQ92" i="64"/>
  <c r="AR92" i="64"/>
  <c r="AS92" i="64"/>
  <c r="AT92" i="64"/>
  <c r="AU92" i="64"/>
  <c r="AW92" i="64"/>
  <c r="AX92" i="64"/>
  <c r="AY92" i="64"/>
  <c r="BA92" i="64"/>
  <c r="BC92" i="64"/>
  <c r="A93" i="64"/>
  <c r="B93" i="64"/>
  <c r="D93" i="64"/>
  <c r="E93" i="64"/>
  <c r="F93" i="64"/>
  <c r="G93" i="64"/>
  <c r="H93" i="64"/>
  <c r="J93" i="64"/>
  <c r="K93" i="64"/>
  <c r="L93" i="64"/>
  <c r="M93" i="64"/>
  <c r="O93" i="64"/>
  <c r="P93" i="64"/>
  <c r="R93" i="64"/>
  <c r="S93" i="64"/>
  <c r="T93" i="64"/>
  <c r="U93" i="64"/>
  <c r="V93" i="64"/>
  <c r="W93" i="64"/>
  <c r="X93" i="64"/>
  <c r="Z93" i="64"/>
  <c r="AA93" i="64"/>
  <c r="AB93" i="64"/>
  <c r="AC93" i="64"/>
  <c r="AD93" i="64"/>
  <c r="AE93" i="64"/>
  <c r="AF93" i="64"/>
  <c r="AG93" i="64"/>
  <c r="AH93" i="64"/>
  <c r="AI93" i="64"/>
  <c r="AJ93" i="64"/>
  <c r="AK93" i="64"/>
  <c r="AL93" i="64"/>
  <c r="AM93" i="64"/>
  <c r="AN93" i="64"/>
  <c r="AO93" i="64"/>
  <c r="AP93" i="64"/>
  <c r="AQ93" i="64"/>
  <c r="AR93" i="64"/>
  <c r="AS93" i="64"/>
  <c r="AT93" i="64"/>
  <c r="AU93" i="64"/>
  <c r="AW93" i="64"/>
  <c r="AX93" i="64"/>
  <c r="AY93" i="64"/>
  <c r="BA93" i="64"/>
  <c r="BC93" i="64"/>
  <c r="A94" i="64"/>
  <c r="B94" i="64"/>
  <c r="D94" i="64"/>
  <c r="E94" i="64"/>
  <c r="F94" i="64"/>
  <c r="G94" i="64"/>
  <c r="H94" i="64"/>
  <c r="J94" i="64"/>
  <c r="K94" i="64"/>
  <c r="L94" i="64"/>
  <c r="M94" i="64"/>
  <c r="O94" i="64"/>
  <c r="P94" i="64"/>
  <c r="R94" i="64"/>
  <c r="S94" i="64"/>
  <c r="T94" i="64"/>
  <c r="U94" i="64"/>
  <c r="V94" i="64"/>
  <c r="W94" i="64"/>
  <c r="X94" i="64"/>
  <c r="Z94" i="64"/>
  <c r="AA94" i="64"/>
  <c r="AB94" i="64"/>
  <c r="AC94" i="64"/>
  <c r="AD94" i="64"/>
  <c r="AE94" i="64"/>
  <c r="AF94" i="64"/>
  <c r="AG94" i="64"/>
  <c r="AH94" i="64"/>
  <c r="AI94" i="64"/>
  <c r="AJ94" i="64"/>
  <c r="AK94" i="64"/>
  <c r="AL94" i="64"/>
  <c r="AM94" i="64"/>
  <c r="AN94" i="64"/>
  <c r="AO94" i="64"/>
  <c r="AP94" i="64"/>
  <c r="AQ94" i="64"/>
  <c r="AR94" i="64"/>
  <c r="AS94" i="64"/>
  <c r="AT94" i="64"/>
  <c r="AU94" i="64"/>
  <c r="AW94" i="64"/>
  <c r="AX94" i="64"/>
  <c r="AY94" i="64"/>
  <c r="BA94" i="64"/>
  <c r="BC94" i="64"/>
  <c r="A95" i="64"/>
  <c r="B95" i="64"/>
  <c r="D95" i="64"/>
  <c r="E95" i="64"/>
  <c r="F95" i="64"/>
  <c r="G95" i="64"/>
  <c r="H95" i="64"/>
  <c r="J95" i="64"/>
  <c r="K95" i="64"/>
  <c r="L95" i="64"/>
  <c r="M95" i="64"/>
  <c r="O95" i="64"/>
  <c r="P95" i="64"/>
  <c r="R95" i="64"/>
  <c r="S95" i="64"/>
  <c r="T95" i="64"/>
  <c r="U95" i="64"/>
  <c r="V95" i="64"/>
  <c r="W95" i="64"/>
  <c r="X95" i="64"/>
  <c r="Z95" i="64"/>
  <c r="AA95" i="64"/>
  <c r="AB95" i="64"/>
  <c r="AC95" i="64"/>
  <c r="AD95" i="64"/>
  <c r="AE95" i="64"/>
  <c r="AF95" i="64"/>
  <c r="AG95" i="64"/>
  <c r="AH95" i="64"/>
  <c r="AI95" i="64"/>
  <c r="AJ95" i="64"/>
  <c r="AK95" i="64"/>
  <c r="AL95" i="64"/>
  <c r="AM95" i="64"/>
  <c r="AN95" i="64"/>
  <c r="AO95" i="64"/>
  <c r="AP95" i="64"/>
  <c r="AQ95" i="64"/>
  <c r="AR95" i="64"/>
  <c r="AS95" i="64"/>
  <c r="AT95" i="64"/>
  <c r="AU95" i="64"/>
  <c r="AW95" i="64"/>
  <c r="AX95" i="64"/>
  <c r="AY95" i="64"/>
  <c r="BA95" i="64"/>
  <c r="BC95" i="64"/>
  <c r="A96" i="64"/>
  <c r="B96" i="64"/>
  <c r="D96" i="64"/>
  <c r="E96" i="64"/>
  <c r="F96" i="64"/>
  <c r="G96" i="64"/>
  <c r="H96" i="64"/>
  <c r="J96" i="64"/>
  <c r="K96" i="64"/>
  <c r="L96" i="64"/>
  <c r="M96" i="64"/>
  <c r="O96" i="64"/>
  <c r="P96" i="64"/>
  <c r="R96" i="64"/>
  <c r="S96" i="64"/>
  <c r="T96" i="64"/>
  <c r="U96" i="64"/>
  <c r="V96" i="64"/>
  <c r="W96" i="64"/>
  <c r="X96" i="64"/>
  <c r="Z96" i="64"/>
  <c r="AA96" i="64"/>
  <c r="AB96" i="64"/>
  <c r="AC96" i="64"/>
  <c r="AD96" i="64"/>
  <c r="AE96" i="64"/>
  <c r="AF96" i="64"/>
  <c r="AG96" i="64"/>
  <c r="AH96" i="64"/>
  <c r="AI96" i="64"/>
  <c r="AJ96" i="64"/>
  <c r="AK96" i="64"/>
  <c r="AL96" i="64"/>
  <c r="AM96" i="64"/>
  <c r="AN96" i="64"/>
  <c r="AO96" i="64"/>
  <c r="AP96" i="64"/>
  <c r="AQ96" i="64"/>
  <c r="AR96" i="64"/>
  <c r="AS96" i="64"/>
  <c r="AT96" i="64"/>
  <c r="AU96" i="64"/>
  <c r="AW96" i="64"/>
  <c r="AX96" i="64"/>
  <c r="AY96" i="64"/>
  <c r="BA96" i="64"/>
  <c r="BC96" i="64"/>
  <c r="A97" i="64"/>
  <c r="B97" i="64"/>
  <c r="D97" i="64"/>
  <c r="E97" i="64"/>
  <c r="F97" i="64"/>
  <c r="G97" i="64"/>
  <c r="H97" i="64"/>
  <c r="J97" i="64"/>
  <c r="K97" i="64"/>
  <c r="L97" i="64"/>
  <c r="M97" i="64"/>
  <c r="O97" i="64"/>
  <c r="P97" i="64"/>
  <c r="R97" i="64"/>
  <c r="S97" i="64"/>
  <c r="T97" i="64"/>
  <c r="U97" i="64"/>
  <c r="V97" i="64"/>
  <c r="W97" i="64"/>
  <c r="X97" i="64"/>
  <c r="Z97" i="64"/>
  <c r="AA97" i="64"/>
  <c r="AB97" i="64"/>
  <c r="AC97" i="64"/>
  <c r="AD97" i="64"/>
  <c r="AE97" i="64"/>
  <c r="AF97" i="64"/>
  <c r="AG97" i="64"/>
  <c r="AH97" i="64"/>
  <c r="AI97" i="64"/>
  <c r="AJ97" i="64"/>
  <c r="AK97" i="64"/>
  <c r="AL97" i="64"/>
  <c r="AM97" i="64"/>
  <c r="AN97" i="64"/>
  <c r="AO97" i="64"/>
  <c r="AP97" i="64"/>
  <c r="AQ97" i="64"/>
  <c r="AR97" i="64"/>
  <c r="AS97" i="64"/>
  <c r="AT97" i="64"/>
  <c r="AU97" i="64"/>
  <c r="AW97" i="64"/>
  <c r="AX97" i="64"/>
  <c r="AY97" i="64"/>
  <c r="BA97" i="64"/>
  <c r="BC97" i="64"/>
  <c r="A98" i="64"/>
  <c r="B98" i="64"/>
  <c r="D98" i="64"/>
  <c r="E98" i="64"/>
  <c r="F98" i="64"/>
  <c r="G98" i="64"/>
  <c r="H98" i="64"/>
  <c r="J98" i="64"/>
  <c r="K98" i="64"/>
  <c r="L98" i="64"/>
  <c r="M98" i="64"/>
  <c r="O98" i="64"/>
  <c r="P98" i="64"/>
  <c r="R98" i="64"/>
  <c r="S98" i="64"/>
  <c r="T98" i="64"/>
  <c r="U98" i="64"/>
  <c r="V98" i="64"/>
  <c r="W98" i="64"/>
  <c r="X98" i="64"/>
  <c r="Z98" i="64"/>
  <c r="AA98" i="64"/>
  <c r="AB98" i="64"/>
  <c r="AC98" i="64"/>
  <c r="AD98" i="64"/>
  <c r="AE98" i="64"/>
  <c r="AF98" i="64"/>
  <c r="AG98" i="64"/>
  <c r="AH98" i="64"/>
  <c r="AI98" i="64"/>
  <c r="AJ98" i="64"/>
  <c r="AK98" i="64"/>
  <c r="AL98" i="64"/>
  <c r="AM98" i="64"/>
  <c r="AN98" i="64"/>
  <c r="AO98" i="64"/>
  <c r="AP98" i="64"/>
  <c r="AQ98" i="64"/>
  <c r="AR98" i="64"/>
  <c r="AS98" i="64"/>
  <c r="AT98" i="64"/>
  <c r="AU98" i="64"/>
  <c r="AW98" i="64"/>
  <c r="AX98" i="64"/>
  <c r="AY98" i="64"/>
  <c r="BA98" i="64"/>
  <c r="BC98" i="64"/>
  <c r="A99" i="64"/>
  <c r="B99" i="64"/>
  <c r="D99" i="64"/>
  <c r="E99" i="64"/>
  <c r="F99" i="64"/>
  <c r="G99" i="64"/>
  <c r="H99" i="64"/>
  <c r="J99" i="64"/>
  <c r="K99" i="64"/>
  <c r="L99" i="64"/>
  <c r="M99" i="64"/>
  <c r="O99" i="64"/>
  <c r="P99" i="64"/>
  <c r="R99" i="64"/>
  <c r="S99" i="64"/>
  <c r="T99" i="64"/>
  <c r="U99" i="64"/>
  <c r="V99" i="64"/>
  <c r="W99" i="64"/>
  <c r="X99" i="64"/>
  <c r="Z99" i="64"/>
  <c r="AA99" i="64"/>
  <c r="AB99" i="64"/>
  <c r="AC99" i="64"/>
  <c r="AD99" i="64"/>
  <c r="AE99" i="64"/>
  <c r="AF99" i="64"/>
  <c r="AG99" i="64"/>
  <c r="AH99" i="64"/>
  <c r="AI99" i="64"/>
  <c r="AJ99" i="64"/>
  <c r="AK99" i="64"/>
  <c r="AL99" i="64"/>
  <c r="AM99" i="64"/>
  <c r="AN99" i="64"/>
  <c r="AO99" i="64"/>
  <c r="AP99" i="64"/>
  <c r="AQ99" i="64"/>
  <c r="AR99" i="64"/>
  <c r="AS99" i="64"/>
  <c r="AT99" i="64"/>
  <c r="AU99" i="64"/>
  <c r="AW99" i="64"/>
  <c r="AX99" i="64"/>
  <c r="AY99" i="64"/>
  <c r="BA99" i="64"/>
  <c r="BC99" i="64"/>
  <c r="A100" i="64"/>
  <c r="B100" i="64"/>
  <c r="D100" i="64"/>
  <c r="E100" i="64"/>
  <c r="F100" i="64"/>
  <c r="G100" i="64"/>
  <c r="H100" i="64"/>
  <c r="J100" i="64"/>
  <c r="K100" i="64"/>
  <c r="L100" i="64"/>
  <c r="M100" i="64"/>
  <c r="O100" i="64"/>
  <c r="P100" i="64"/>
  <c r="R100" i="64"/>
  <c r="S100" i="64"/>
  <c r="T100" i="64"/>
  <c r="U100" i="64"/>
  <c r="V100" i="64"/>
  <c r="W100" i="64"/>
  <c r="X100" i="64"/>
  <c r="Z100" i="64"/>
  <c r="AA100" i="64"/>
  <c r="AB100" i="64"/>
  <c r="AC100" i="64"/>
  <c r="AD100" i="64"/>
  <c r="AE100" i="64"/>
  <c r="AF100" i="64"/>
  <c r="AG100" i="64"/>
  <c r="AH100" i="64"/>
  <c r="AI100" i="64"/>
  <c r="AJ100" i="64"/>
  <c r="AK100" i="64"/>
  <c r="AL100" i="64"/>
  <c r="AM100" i="64"/>
  <c r="AN100" i="64"/>
  <c r="AO100" i="64"/>
  <c r="AP100" i="64"/>
  <c r="AQ100" i="64"/>
  <c r="AR100" i="64"/>
  <c r="AS100" i="64"/>
  <c r="AT100" i="64"/>
  <c r="AU100" i="64"/>
  <c r="AW100" i="64"/>
  <c r="AX100" i="64"/>
  <c r="AY100" i="64"/>
  <c r="BA100" i="64"/>
  <c r="BC100" i="64"/>
  <c r="A101" i="64"/>
  <c r="B101" i="64"/>
  <c r="D101" i="64"/>
  <c r="E101" i="64"/>
  <c r="F101" i="64"/>
  <c r="G101" i="64"/>
  <c r="H101" i="64"/>
  <c r="J101" i="64"/>
  <c r="K101" i="64"/>
  <c r="L101" i="64"/>
  <c r="M101" i="64"/>
  <c r="O101" i="64"/>
  <c r="P101" i="64"/>
  <c r="R101" i="64"/>
  <c r="S101" i="64"/>
  <c r="T101" i="64"/>
  <c r="U101" i="64"/>
  <c r="V101" i="64"/>
  <c r="W101" i="64"/>
  <c r="X101" i="64"/>
  <c r="Z101" i="64"/>
  <c r="AA101" i="64"/>
  <c r="AB101" i="64"/>
  <c r="AC101" i="64"/>
  <c r="AD101" i="64"/>
  <c r="AE101" i="64"/>
  <c r="AF101" i="64"/>
  <c r="AG101" i="64"/>
  <c r="AH101" i="64"/>
  <c r="AI101" i="64"/>
  <c r="AJ101" i="64"/>
  <c r="AK101" i="64"/>
  <c r="AL101" i="64"/>
  <c r="AM101" i="64"/>
  <c r="AN101" i="64"/>
  <c r="AO101" i="64"/>
  <c r="AP101" i="64"/>
  <c r="AQ101" i="64"/>
  <c r="AR101" i="64"/>
  <c r="AS101" i="64"/>
  <c r="AT101" i="64"/>
  <c r="AU101" i="64"/>
  <c r="AW101" i="64"/>
  <c r="AX101" i="64"/>
  <c r="AY101" i="64"/>
  <c r="BA101" i="64"/>
  <c r="BC101" i="64"/>
  <c r="A102" i="64"/>
  <c r="B102" i="64"/>
  <c r="D102" i="64"/>
  <c r="E102" i="64"/>
  <c r="F102" i="64"/>
  <c r="G102" i="64"/>
  <c r="H102" i="64"/>
  <c r="J102" i="64"/>
  <c r="K102" i="64"/>
  <c r="L102" i="64"/>
  <c r="M102" i="64"/>
  <c r="O102" i="64"/>
  <c r="P102" i="64"/>
  <c r="R102" i="64"/>
  <c r="S102" i="64"/>
  <c r="T102" i="64"/>
  <c r="U102" i="64"/>
  <c r="V102" i="64"/>
  <c r="W102" i="64"/>
  <c r="X102" i="64"/>
  <c r="Z102" i="64"/>
  <c r="AA102" i="64"/>
  <c r="AB102" i="64"/>
  <c r="AC102" i="64"/>
  <c r="AD102" i="64"/>
  <c r="AE102" i="64"/>
  <c r="AF102" i="64"/>
  <c r="AG102" i="64"/>
  <c r="AH102" i="64"/>
  <c r="AI102" i="64"/>
  <c r="AJ102" i="64"/>
  <c r="AK102" i="64"/>
  <c r="AL102" i="64"/>
  <c r="AM102" i="64"/>
  <c r="AN102" i="64"/>
  <c r="AO102" i="64"/>
  <c r="AP102" i="64"/>
  <c r="AQ102" i="64"/>
  <c r="AR102" i="64"/>
  <c r="AS102" i="64"/>
  <c r="AT102" i="64"/>
  <c r="AU102" i="64"/>
  <c r="AW102" i="64"/>
  <c r="AX102" i="64"/>
  <c r="AY102" i="64"/>
  <c r="BA102" i="64"/>
  <c r="BC102" i="64"/>
  <c r="A103" i="64"/>
  <c r="B103" i="64"/>
  <c r="D103" i="64"/>
  <c r="E103" i="64"/>
  <c r="F103" i="64"/>
  <c r="G103" i="64"/>
  <c r="H103" i="64"/>
  <c r="J103" i="64"/>
  <c r="K103" i="64"/>
  <c r="L103" i="64"/>
  <c r="M103" i="64"/>
  <c r="O103" i="64"/>
  <c r="P103" i="64"/>
  <c r="R103" i="64"/>
  <c r="S103" i="64"/>
  <c r="T103" i="64"/>
  <c r="U103" i="64"/>
  <c r="V103" i="64"/>
  <c r="W103" i="64"/>
  <c r="X103" i="64"/>
  <c r="Z103" i="64"/>
  <c r="AA103" i="64"/>
  <c r="AB103" i="64"/>
  <c r="AC103" i="64"/>
  <c r="AD103" i="64"/>
  <c r="AE103" i="64"/>
  <c r="AF103" i="64"/>
  <c r="AG103" i="64"/>
  <c r="AH103" i="64"/>
  <c r="AI103" i="64"/>
  <c r="AJ103" i="64"/>
  <c r="AK103" i="64"/>
  <c r="AL103" i="64"/>
  <c r="AM103" i="64"/>
  <c r="AN103" i="64"/>
  <c r="AO103" i="64"/>
  <c r="AP103" i="64"/>
  <c r="AQ103" i="64"/>
  <c r="AR103" i="64"/>
  <c r="AS103" i="64"/>
  <c r="AT103" i="64"/>
  <c r="AU103" i="64"/>
  <c r="AW103" i="64"/>
  <c r="AX103" i="64"/>
  <c r="AY103" i="64"/>
  <c r="BA103" i="64"/>
  <c r="BC103" i="64"/>
  <c r="A104" i="64"/>
  <c r="B104" i="64"/>
  <c r="D104" i="64"/>
  <c r="E104" i="64"/>
  <c r="F104" i="64"/>
  <c r="G104" i="64"/>
  <c r="H104" i="64"/>
  <c r="J104" i="64"/>
  <c r="K104" i="64"/>
  <c r="L104" i="64"/>
  <c r="M104" i="64"/>
  <c r="O104" i="64"/>
  <c r="P104" i="64"/>
  <c r="R104" i="64"/>
  <c r="S104" i="64"/>
  <c r="T104" i="64"/>
  <c r="U104" i="64"/>
  <c r="V104" i="64"/>
  <c r="W104" i="64"/>
  <c r="X104" i="64"/>
  <c r="Z104" i="64"/>
  <c r="AA104" i="64"/>
  <c r="AB104" i="64"/>
  <c r="AC104" i="64"/>
  <c r="AD104" i="64"/>
  <c r="AE104" i="64"/>
  <c r="AF104" i="64"/>
  <c r="AG104" i="64"/>
  <c r="AH104" i="64"/>
  <c r="AI104" i="64"/>
  <c r="AJ104" i="64"/>
  <c r="AK104" i="64"/>
  <c r="AL104" i="64"/>
  <c r="AM104" i="64"/>
  <c r="AN104" i="64"/>
  <c r="AO104" i="64"/>
  <c r="AP104" i="64"/>
  <c r="AQ104" i="64"/>
  <c r="AR104" i="64"/>
  <c r="AS104" i="64"/>
  <c r="AT104" i="64"/>
  <c r="AU104" i="64"/>
  <c r="AW104" i="64"/>
  <c r="AX104" i="64"/>
  <c r="AY104" i="64"/>
  <c r="BA104" i="64"/>
  <c r="BC104" i="64"/>
  <c r="A105" i="64"/>
  <c r="B105" i="64"/>
  <c r="D105" i="64"/>
  <c r="E105" i="64"/>
  <c r="F105" i="64"/>
  <c r="G105" i="64"/>
  <c r="H105" i="64"/>
  <c r="J105" i="64"/>
  <c r="K105" i="64"/>
  <c r="L105" i="64"/>
  <c r="M105" i="64"/>
  <c r="O105" i="64"/>
  <c r="P105" i="64"/>
  <c r="R105" i="64"/>
  <c r="S105" i="64"/>
  <c r="T105" i="64"/>
  <c r="U105" i="64"/>
  <c r="V105" i="64"/>
  <c r="W105" i="64"/>
  <c r="X105" i="64"/>
  <c r="Z105" i="64"/>
  <c r="AA105" i="64"/>
  <c r="AB105" i="64"/>
  <c r="AC105" i="64"/>
  <c r="AD105" i="64"/>
  <c r="AE105" i="64"/>
  <c r="AF105" i="64"/>
  <c r="AG105" i="64"/>
  <c r="AH105" i="64"/>
  <c r="AI105" i="64"/>
  <c r="AJ105" i="64"/>
  <c r="AK105" i="64"/>
  <c r="AL105" i="64"/>
  <c r="AM105" i="64"/>
  <c r="AN105" i="64"/>
  <c r="AO105" i="64"/>
  <c r="AP105" i="64"/>
  <c r="AQ105" i="64"/>
  <c r="AR105" i="64"/>
  <c r="AS105" i="64"/>
  <c r="AT105" i="64"/>
  <c r="AU105" i="64"/>
  <c r="AW105" i="64"/>
  <c r="AX105" i="64"/>
  <c r="AY105" i="64"/>
  <c r="BA105" i="64"/>
  <c r="BC105" i="64"/>
  <c r="A106" i="64"/>
  <c r="B106" i="64"/>
  <c r="D106" i="64"/>
  <c r="E106" i="64"/>
  <c r="F106" i="64"/>
  <c r="G106" i="64"/>
  <c r="H106" i="64"/>
  <c r="J106" i="64"/>
  <c r="K106" i="64"/>
  <c r="L106" i="64"/>
  <c r="M106" i="64"/>
  <c r="O106" i="64"/>
  <c r="P106" i="64"/>
  <c r="R106" i="64"/>
  <c r="S106" i="64"/>
  <c r="T106" i="64"/>
  <c r="U106" i="64"/>
  <c r="V106" i="64"/>
  <c r="W106" i="64"/>
  <c r="X106" i="64"/>
  <c r="Z106" i="64"/>
  <c r="AA106" i="64"/>
  <c r="AB106" i="64"/>
  <c r="AC106" i="64"/>
  <c r="AD106" i="64"/>
  <c r="AE106" i="64"/>
  <c r="AF106" i="64"/>
  <c r="AG106" i="64"/>
  <c r="AH106" i="64"/>
  <c r="AI106" i="64"/>
  <c r="AJ106" i="64"/>
  <c r="AK106" i="64"/>
  <c r="AL106" i="64"/>
  <c r="AM106" i="64"/>
  <c r="AN106" i="64"/>
  <c r="AO106" i="64"/>
  <c r="AP106" i="64"/>
  <c r="AQ106" i="64"/>
  <c r="AR106" i="64"/>
  <c r="AS106" i="64"/>
  <c r="AT106" i="64"/>
  <c r="AU106" i="64"/>
  <c r="AW106" i="64"/>
  <c r="AX106" i="64"/>
  <c r="AY106" i="64"/>
  <c r="BA106" i="64"/>
  <c r="BC106" i="64"/>
  <c r="A107" i="64"/>
  <c r="B107" i="64"/>
  <c r="D107" i="64"/>
  <c r="E107" i="64"/>
  <c r="F107" i="64"/>
  <c r="G107" i="64"/>
  <c r="H107" i="64"/>
  <c r="J107" i="64"/>
  <c r="K107" i="64"/>
  <c r="L107" i="64"/>
  <c r="M107" i="64"/>
  <c r="O107" i="64"/>
  <c r="P107" i="64"/>
  <c r="R107" i="64"/>
  <c r="S107" i="64"/>
  <c r="T107" i="64"/>
  <c r="U107" i="64"/>
  <c r="V107" i="64"/>
  <c r="W107" i="64"/>
  <c r="X107" i="64"/>
  <c r="Z107" i="64"/>
  <c r="AA107" i="64"/>
  <c r="AB107" i="64"/>
  <c r="AC107" i="64"/>
  <c r="AD107" i="64"/>
  <c r="AE107" i="64"/>
  <c r="AF107" i="64"/>
  <c r="AG107" i="64"/>
  <c r="AH107" i="64"/>
  <c r="AI107" i="64"/>
  <c r="AJ107" i="64"/>
  <c r="AK107" i="64"/>
  <c r="AL107" i="64"/>
  <c r="AM107" i="64"/>
  <c r="AN107" i="64"/>
  <c r="AO107" i="64"/>
  <c r="AP107" i="64"/>
  <c r="AQ107" i="64"/>
  <c r="AR107" i="64"/>
  <c r="AS107" i="64"/>
  <c r="AT107" i="64"/>
  <c r="AU107" i="64"/>
  <c r="AW107" i="64"/>
  <c r="AX107" i="64"/>
  <c r="AY107" i="64"/>
  <c r="BA107" i="64"/>
  <c r="BC107" i="64"/>
  <c r="A108" i="64"/>
  <c r="B108" i="64"/>
  <c r="D108" i="64"/>
  <c r="E108" i="64"/>
  <c r="F108" i="64"/>
  <c r="G108" i="64"/>
  <c r="H108" i="64"/>
  <c r="J108" i="64"/>
  <c r="K108" i="64"/>
  <c r="L108" i="64"/>
  <c r="M108" i="64"/>
  <c r="O108" i="64"/>
  <c r="P108" i="64"/>
  <c r="R108" i="64"/>
  <c r="S108" i="64"/>
  <c r="T108" i="64"/>
  <c r="U108" i="64"/>
  <c r="V108" i="64"/>
  <c r="W108" i="64"/>
  <c r="X108" i="64"/>
  <c r="Z108" i="64"/>
  <c r="AA108" i="64"/>
  <c r="AB108" i="64"/>
  <c r="AC108" i="64"/>
  <c r="AD108" i="64"/>
  <c r="AE108" i="64"/>
  <c r="AF108" i="64"/>
  <c r="AG108" i="64"/>
  <c r="AH108" i="64"/>
  <c r="AI108" i="64"/>
  <c r="AJ108" i="64"/>
  <c r="AK108" i="64"/>
  <c r="AL108" i="64"/>
  <c r="AM108" i="64"/>
  <c r="AN108" i="64"/>
  <c r="AO108" i="64"/>
  <c r="AP108" i="64"/>
  <c r="AQ108" i="64"/>
  <c r="AR108" i="64"/>
  <c r="AS108" i="64"/>
  <c r="AT108" i="64"/>
  <c r="AU108" i="64"/>
  <c r="AW108" i="64"/>
  <c r="AX108" i="64"/>
  <c r="AY108" i="64"/>
  <c r="BA108" i="64"/>
  <c r="BC108" i="64"/>
  <c r="A109" i="64"/>
  <c r="B109" i="64"/>
  <c r="D109" i="64"/>
  <c r="E109" i="64"/>
  <c r="F109" i="64"/>
  <c r="G109" i="64"/>
  <c r="H109" i="64"/>
  <c r="J109" i="64"/>
  <c r="K109" i="64"/>
  <c r="L109" i="64"/>
  <c r="M109" i="64"/>
  <c r="O109" i="64"/>
  <c r="P109" i="64"/>
  <c r="R109" i="64"/>
  <c r="S109" i="64"/>
  <c r="T109" i="64"/>
  <c r="U109" i="64"/>
  <c r="V109" i="64"/>
  <c r="W109" i="64"/>
  <c r="X109" i="64"/>
  <c r="Z109" i="64"/>
  <c r="AA109" i="64"/>
  <c r="AB109" i="64"/>
  <c r="AC109" i="64"/>
  <c r="AD109" i="64"/>
  <c r="AE109" i="64"/>
  <c r="AF109" i="64"/>
  <c r="AG109" i="64"/>
  <c r="AH109" i="64"/>
  <c r="AI109" i="64"/>
  <c r="AJ109" i="64"/>
  <c r="AK109" i="64"/>
  <c r="AL109" i="64"/>
  <c r="AM109" i="64"/>
  <c r="AN109" i="64"/>
  <c r="AO109" i="64"/>
  <c r="AP109" i="64"/>
  <c r="AQ109" i="64"/>
  <c r="AR109" i="64"/>
  <c r="AS109" i="64"/>
  <c r="AT109" i="64"/>
  <c r="AU109" i="64"/>
  <c r="AW109" i="64"/>
  <c r="AX109" i="64"/>
  <c r="AY109" i="64"/>
  <c r="BA109" i="64"/>
  <c r="BC109" i="64"/>
  <c r="A110" i="64"/>
  <c r="B110" i="64"/>
  <c r="D110" i="64"/>
  <c r="E110" i="64"/>
  <c r="F110" i="64"/>
  <c r="G110" i="64"/>
  <c r="H110" i="64"/>
  <c r="J110" i="64"/>
  <c r="K110" i="64"/>
  <c r="L110" i="64"/>
  <c r="M110" i="64"/>
  <c r="O110" i="64"/>
  <c r="P110" i="64"/>
  <c r="R110" i="64"/>
  <c r="S110" i="64"/>
  <c r="T110" i="64"/>
  <c r="U110" i="64"/>
  <c r="V110" i="64"/>
  <c r="W110" i="64"/>
  <c r="X110" i="64"/>
  <c r="Z110" i="64"/>
  <c r="AA110" i="64"/>
  <c r="AB110" i="64"/>
  <c r="AC110" i="64"/>
  <c r="AD110" i="64"/>
  <c r="AE110" i="64"/>
  <c r="AF110" i="64"/>
  <c r="AG110" i="64"/>
  <c r="AH110" i="64"/>
  <c r="AI110" i="64"/>
  <c r="AJ110" i="64"/>
  <c r="AK110" i="64"/>
  <c r="AL110" i="64"/>
  <c r="AM110" i="64"/>
  <c r="AN110" i="64"/>
  <c r="AO110" i="64"/>
  <c r="AP110" i="64"/>
  <c r="AQ110" i="64"/>
  <c r="AR110" i="64"/>
  <c r="AS110" i="64"/>
  <c r="AT110" i="64"/>
  <c r="AU110" i="64"/>
  <c r="AW110" i="64"/>
  <c r="AX110" i="64"/>
  <c r="AY110" i="64"/>
  <c r="BA110" i="64"/>
  <c r="BC110" i="64"/>
  <c r="A111" i="64"/>
  <c r="B111" i="64"/>
  <c r="D111" i="64"/>
  <c r="E111" i="64"/>
  <c r="F111" i="64"/>
  <c r="G111" i="64"/>
  <c r="H111" i="64"/>
  <c r="J111" i="64"/>
  <c r="K111" i="64"/>
  <c r="L111" i="64"/>
  <c r="M111" i="64"/>
  <c r="O111" i="64"/>
  <c r="P111" i="64"/>
  <c r="R111" i="64"/>
  <c r="S111" i="64"/>
  <c r="T111" i="64"/>
  <c r="U111" i="64"/>
  <c r="V111" i="64"/>
  <c r="W111" i="64"/>
  <c r="X111" i="64"/>
  <c r="Z111" i="64"/>
  <c r="AA111" i="64"/>
  <c r="AB111" i="64"/>
  <c r="AC111" i="64"/>
  <c r="AD111" i="64"/>
  <c r="AE111" i="64"/>
  <c r="AF111" i="64"/>
  <c r="AG111" i="64"/>
  <c r="AH111" i="64"/>
  <c r="AI111" i="64"/>
  <c r="AJ111" i="64"/>
  <c r="AK111" i="64"/>
  <c r="AL111" i="64"/>
  <c r="AM111" i="64"/>
  <c r="AN111" i="64"/>
  <c r="AO111" i="64"/>
  <c r="AP111" i="64"/>
  <c r="AQ111" i="64"/>
  <c r="AR111" i="64"/>
  <c r="AS111" i="64"/>
  <c r="AT111" i="64"/>
  <c r="AU111" i="64"/>
  <c r="AW111" i="64"/>
  <c r="AX111" i="64"/>
  <c r="AY111" i="64"/>
  <c r="BA111" i="64"/>
  <c r="BC111" i="64"/>
  <c r="A112" i="64"/>
  <c r="B112" i="64"/>
  <c r="D112" i="64"/>
  <c r="E112" i="64"/>
  <c r="F112" i="64"/>
  <c r="G112" i="64"/>
  <c r="H112" i="64"/>
  <c r="J112" i="64"/>
  <c r="K112" i="64"/>
  <c r="L112" i="64"/>
  <c r="M112" i="64"/>
  <c r="O112" i="64"/>
  <c r="P112" i="64"/>
  <c r="R112" i="64"/>
  <c r="S112" i="64"/>
  <c r="T112" i="64"/>
  <c r="U112" i="64"/>
  <c r="V112" i="64"/>
  <c r="W112" i="64"/>
  <c r="X112" i="64"/>
  <c r="Z112" i="64"/>
  <c r="AA112" i="64"/>
  <c r="AB112" i="64"/>
  <c r="AC112" i="64"/>
  <c r="AD112" i="64"/>
  <c r="AE112" i="64"/>
  <c r="AF112" i="64"/>
  <c r="AG112" i="64"/>
  <c r="AH112" i="64"/>
  <c r="AI112" i="64"/>
  <c r="AJ112" i="64"/>
  <c r="AK112" i="64"/>
  <c r="AL112" i="64"/>
  <c r="AM112" i="64"/>
  <c r="AN112" i="64"/>
  <c r="AO112" i="64"/>
  <c r="AP112" i="64"/>
  <c r="AQ112" i="64"/>
  <c r="AR112" i="64"/>
  <c r="AS112" i="64"/>
  <c r="AT112" i="64"/>
  <c r="AU112" i="64"/>
  <c r="AW112" i="64"/>
  <c r="AX112" i="64"/>
  <c r="AY112" i="64"/>
  <c r="BA112" i="64"/>
  <c r="BC112" i="64"/>
  <c r="A113" i="64"/>
  <c r="B113" i="64"/>
  <c r="D113" i="64"/>
  <c r="E113" i="64"/>
  <c r="F113" i="64"/>
  <c r="G113" i="64"/>
  <c r="H113" i="64"/>
  <c r="J113" i="64"/>
  <c r="K113" i="64"/>
  <c r="L113" i="64"/>
  <c r="M113" i="64"/>
  <c r="O113" i="64"/>
  <c r="P113" i="64"/>
  <c r="R113" i="64"/>
  <c r="S113" i="64"/>
  <c r="T113" i="64"/>
  <c r="U113" i="64"/>
  <c r="V113" i="64"/>
  <c r="W113" i="64"/>
  <c r="X113" i="64"/>
  <c r="Z113" i="64"/>
  <c r="AA113" i="64"/>
  <c r="AB113" i="64"/>
  <c r="AC113" i="64"/>
  <c r="AD113" i="64"/>
  <c r="AE113" i="64"/>
  <c r="AF113" i="64"/>
  <c r="AG113" i="64"/>
  <c r="AH113" i="64"/>
  <c r="AI113" i="64"/>
  <c r="AJ113" i="64"/>
  <c r="AK113" i="64"/>
  <c r="AL113" i="64"/>
  <c r="AM113" i="64"/>
  <c r="AN113" i="64"/>
  <c r="AO113" i="64"/>
  <c r="AP113" i="64"/>
  <c r="AQ113" i="64"/>
  <c r="AR113" i="64"/>
  <c r="AS113" i="64"/>
  <c r="AT113" i="64"/>
  <c r="AU113" i="64"/>
  <c r="AW113" i="64"/>
  <c r="AX113" i="64"/>
  <c r="AY113" i="64"/>
  <c r="BA113" i="64"/>
  <c r="BC113" i="64"/>
  <c r="A114" i="64"/>
  <c r="B114" i="64"/>
  <c r="D114" i="64"/>
  <c r="E114" i="64"/>
  <c r="F114" i="64"/>
  <c r="G114" i="64"/>
  <c r="H114" i="64"/>
  <c r="J114" i="64"/>
  <c r="K114" i="64"/>
  <c r="L114" i="64"/>
  <c r="M114" i="64"/>
  <c r="O114" i="64"/>
  <c r="P114" i="64"/>
  <c r="R114" i="64"/>
  <c r="S114" i="64"/>
  <c r="T114" i="64"/>
  <c r="U114" i="64"/>
  <c r="V114" i="64"/>
  <c r="W114" i="64"/>
  <c r="X114" i="64"/>
  <c r="Z114" i="64"/>
  <c r="AA114" i="64"/>
  <c r="AB114" i="64"/>
  <c r="AC114" i="64"/>
  <c r="AD114" i="64"/>
  <c r="AE114" i="64"/>
  <c r="AF114" i="64"/>
  <c r="AG114" i="64"/>
  <c r="AH114" i="64"/>
  <c r="AI114" i="64"/>
  <c r="AJ114" i="64"/>
  <c r="AK114" i="64"/>
  <c r="AL114" i="64"/>
  <c r="AM114" i="64"/>
  <c r="AN114" i="64"/>
  <c r="AO114" i="64"/>
  <c r="AP114" i="64"/>
  <c r="AQ114" i="64"/>
  <c r="AR114" i="64"/>
  <c r="AS114" i="64"/>
  <c r="AT114" i="64"/>
  <c r="AU114" i="64"/>
  <c r="AW114" i="64"/>
  <c r="AX114" i="64"/>
  <c r="AY114" i="64"/>
  <c r="BA114" i="64"/>
  <c r="BC114" i="64"/>
  <c r="A115" i="64"/>
  <c r="B115" i="64"/>
  <c r="D115" i="64"/>
  <c r="E115" i="64"/>
  <c r="F115" i="64"/>
  <c r="G115" i="64"/>
  <c r="H115" i="64"/>
  <c r="J115" i="64"/>
  <c r="K115" i="64"/>
  <c r="L115" i="64"/>
  <c r="M115" i="64"/>
  <c r="O115" i="64"/>
  <c r="P115" i="64"/>
  <c r="R115" i="64"/>
  <c r="S115" i="64"/>
  <c r="T115" i="64"/>
  <c r="U115" i="64"/>
  <c r="V115" i="64"/>
  <c r="W115" i="64"/>
  <c r="X115" i="64"/>
  <c r="Z115" i="64"/>
  <c r="AA115" i="64"/>
  <c r="AB115" i="64"/>
  <c r="AC115" i="64"/>
  <c r="AD115" i="64"/>
  <c r="AE115" i="64"/>
  <c r="AF115" i="64"/>
  <c r="AG115" i="64"/>
  <c r="AH115" i="64"/>
  <c r="AI115" i="64"/>
  <c r="AJ115" i="64"/>
  <c r="AK115" i="64"/>
  <c r="AL115" i="64"/>
  <c r="AM115" i="64"/>
  <c r="AN115" i="64"/>
  <c r="AO115" i="64"/>
  <c r="AP115" i="64"/>
  <c r="AQ115" i="64"/>
  <c r="AR115" i="64"/>
  <c r="AS115" i="64"/>
  <c r="AT115" i="64"/>
  <c r="AU115" i="64"/>
  <c r="AW115" i="64"/>
  <c r="AX115" i="64"/>
  <c r="AY115" i="64"/>
  <c r="BA115" i="64"/>
  <c r="BC115" i="64"/>
  <c r="A116" i="64"/>
  <c r="B116" i="64"/>
  <c r="D116" i="64"/>
  <c r="E116" i="64"/>
  <c r="F116" i="64"/>
  <c r="G116" i="64"/>
  <c r="H116" i="64"/>
  <c r="J116" i="64"/>
  <c r="K116" i="64"/>
  <c r="L116" i="64"/>
  <c r="M116" i="64"/>
  <c r="O116" i="64"/>
  <c r="P116" i="64"/>
  <c r="R116" i="64"/>
  <c r="S116" i="64"/>
  <c r="T116" i="64"/>
  <c r="U116" i="64"/>
  <c r="V116" i="64"/>
  <c r="W116" i="64"/>
  <c r="X116" i="64"/>
  <c r="Z116" i="64"/>
  <c r="AA116" i="64"/>
  <c r="AB116" i="64"/>
  <c r="AC116" i="64"/>
  <c r="AD116" i="64"/>
  <c r="AE116" i="64"/>
  <c r="AF116" i="64"/>
  <c r="AG116" i="64"/>
  <c r="AH116" i="64"/>
  <c r="AI116" i="64"/>
  <c r="AJ116" i="64"/>
  <c r="AK116" i="64"/>
  <c r="AL116" i="64"/>
  <c r="AM116" i="64"/>
  <c r="AN116" i="64"/>
  <c r="AO116" i="64"/>
  <c r="AP116" i="64"/>
  <c r="AQ116" i="64"/>
  <c r="AR116" i="64"/>
  <c r="AS116" i="64"/>
  <c r="AT116" i="64"/>
  <c r="AU116" i="64"/>
  <c r="AW116" i="64"/>
  <c r="AX116" i="64"/>
  <c r="AY116" i="64"/>
  <c r="BA116" i="64"/>
  <c r="BC116" i="64"/>
  <c r="A117" i="64"/>
  <c r="B117" i="64"/>
  <c r="D117" i="64"/>
  <c r="E117" i="64"/>
  <c r="F117" i="64"/>
  <c r="G117" i="64"/>
  <c r="H117" i="64"/>
  <c r="J117" i="64"/>
  <c r="K117" i="64"/>
  <c r="L117" i="64"/>
  <c r="M117" i="64"/>
  <c r="O117" i="64"/>
  <c r="P117" i="64"/>
  <c r="R117" i="64"/>
  <c r="S117" i="64"/>
  <c r="T117" i="64"/>
  <c r="U117" i="64"/>
  <c r="V117" i="64"/>
  <c r="W117" i="64"/>
  <c r="X117" i="64"/>
  <c r="Z117" i="64"/>
  <c r="AA117" i="64"/>
  <c r="AB117" i="64"/>
  <c r="AC117" i="64"/>
  <c r="AD117" i="64"/>
  <c r="AE117" i="64"/>
  <c r="AF117" i="64"/>
  <c r="AG117" i="64"/>
  <c r="AH117" i="64"/>
  <c r="AI117" i="64"/>
  <c r="AJ117" i="64"/>
  <c r="AK117" i="64"/>
  <c r="AL117" i="64"/>
  <c r="AM117" i="64"/>
  <c r="AN117" i="64"/>
  <c r="AO117" i="64"/>
  <c r="AP117" i="64"/>
  <c r="AQ117" i="64"/>
  <c r="AR117" i="64"/>
  <c r="AS117" i="64"/>
  <c r="AT117" i="64"/>
  <c r="AU117" i="64"/>
  <c r="AW117" i="64"/>
  <c r="AX117" i="64"/>
  <c r="AY117" i="64"/>
  <c r="BA117" i="64"/>
  <c r="BC117" i="64"/>
  <c r="A118" i="64"/>
  <c r="B118" i="64"/>
  <c r="D118" i="64"/>
  <c r="E118" i="64"/>
  <c r="F118" i="64"/>
  <c r="G118" i="64"/>
  <c r="H118" i="64"/>
  <c r="J118" i="64"/>
  <c r="K118" i="64"/>
  <c r="L118" i="64"/>
  <c r="M118" i="64"/>
  <c r="O118" i="64"/>
  <c r="P118" i="64"/>
  <c r="R118" i="64"/>
  <c r="S118" i="64"/>
  <c r="T118" i="64"/>
  <c r="U118" i="64"/>
  <c r="V118" i="64"/>
  <c r="W118" i="64"/>
  <c r="X118" i="64"/>
  <c r="Z118" i="64"/>
  <c r="AA118" i="64"/>
  <c r="AB118" i="64"/>
  <c r="AC118" i="64"/>
  <c r="AD118" i="64"/>
  <c r="AE118" i="64"/>
  <c r="AF118" i="64"/>
  <c r="AG118" i="64"/>
  <c r="AH118" i="64"/>
  <c r="AI118" i="64"/>
  <c r="AJ118" i="64"/>
  <c r="AK118" i="64"/>
  <c r="AL118" i="64"/>
  <c r="AM118" i="64"/>
  <c r="AN118" i="64"/>
  <c r="AO118" i="64"/>
  <c r="AP118" i="64"/>
  <c r="AQ118" i="64"/>
  <c r="AR118" i="64"/>
  <c r="AS118" i="64"/>
  <c r="AT118" i="64"/>
  <c r="AU118" i="64"/>
  <c r="AW118" i="64"/>
  <c r="AX118" i="64"/>
  <c r="AY118" i="64"/>
  <c r="BA118" i="64"/>
  <c r="BC118" i="64"/>
  <c r="A119" i="64"/>
  <c r="B119" i="64"/>
  <c r="D119" i="64"/>
  <c r="E119" i="64"/>
  <c r="F119" i="64"/>
  <c r="G119" i="64"/>
  <c r="H119" i="64"/>
  <c r="J119" i="64"/>
  <c r="K119" i="64"/>
  <c r="L119" i="64"/>
  <c r="M119" i="64"/>
  <c r="O119" i="64"/>
  <c r="P119" i="64"/>
  <c r="R119" i="64"/>
  <c r="S119" i="64"/>
  <c r="T119" i="64"/>
  <c r="U119" i="64"/>
  <c r="V119" i="64"/>
  <c r="W119" i="64"/>
  <c r="X119" i="64"/>
  <c r="Z119" i="64"/>
  <c r="AA119" i="64"/>
  <c r="AB119" i="64"/>
  <c r="AC119" i="64"/>
  <c r="AD119" i="64"/>
  <c r="AE119" i="64"/>
  <c r="AF119" i="64"/>
  <c r="AG119" i="64"/>
  <c r="AH119" i="64"/>
  <c r="AI119" i="64"/>
  <c r="AJ119" i="64"/>
  <c r="AK119" i="64"/>
  <c r="AL119" i="64"/>
  <c r="AM119" i="64"/>
  <c r="AN119" i="64"/>
  <c r="AO119" i="64"/>
  <c r="AP119" i="64"/>
  <c r="AQ119" i="64"/>
  <c r="AR119" i="64"/>
  <c r="AS119" i="64"/>
  <c r="AT119" i="64"/>
  <c r="AU119" i="64"/>
  <c r="AW119" i="64"/>
  <c r="AX119" i="64"/>
  <c r="AY119" i="64"/>
  <c r="BA119" i="64"/>
  <c r="BC119" i="64"/>
  <c r="A120" i="64"/>
  <c r="B120" i="64"/>
  <c r="D120" i="64"/>
  <c r="E120" i="64"/>
  <c r="F120" i="64"/>
  <c r="G120" i="64"/>
  <c r="H120" i="64"/>
  <c r="J120" i="64"/>
  <c r="K120" i="64"/>
  <c r="L120" i="64"/>
  <c r="M120" i="64"/>
  <c r="O120" i="64"/>
  <c r="P120" i="64"/>
  <c r="R120" i="64"/>
  <c r="S120" i="64"/>
  <c r="T120" i="64"/>
  <c r="U120" i="64"/>
  <c r="V120" i="64"/>
  <c r="W120" i="64"/>
  <c r="X120" i="64"/>
  <c r="Z120" i="64"/>
  <c r="AA120" i="64"/>
  <c r="AB120" i="64"/>
  <c r="AC120" i="64"/>
  <c r="AD120" i="64"/>
  <c r="AE120" i="64"/>
  <c r="AF120" i="64"/>
  <c r="AG120" i="64"/>
  <c r="AH120" i="64"/>
  <c r="AI120" i="64"/>
  <c r="AJ120" i="64"/>
  <c r="AK120" i="64"/>
  <c r="AL120" i="64"/>
  <c r="AM120" i="64"/>
  <c r="AN120" i="64"/>
  <c r="AO120" i="64"/>
  <c r="AP120" i="64"/>
  <c r="AQ120" i="64"/>
  <c r="AR120" i="64"/>
  <c r="AS120" i="64"/>
  <c r="AT120" i="64"/>
  <c r="AU120" i="64"/>
  <c r="AW120" i="64"/>
  <c r="AX120" i="64"/>
  <c r="AY120" i="64"/>
  <c r="BA120" i="64"/>
  <c r="BC120" i="64"/>
  <c r="A121" i="64"/>
  <c r="B121" i="64"/>
  <c r="D121" i="64"/>
  <c r="E121" i="64"/>
  <c r="F121" i="64"/>
  <c r="G121" i="64"/>
  <c r="H121" i="64"/>
  <c r="J121" i="64"/>
  <c r="K121" i="64"/>
  <c r="L121" i="64"/>
  <c r="M121" i="64"/>
  <c r="O121" i="64"/>
  <c r="P121" i="64"/>
  <c r="R121" i="64"/>
  <c r="S121" i="64"/>
  <c r="T121" i="64"/>
  <c r="U121" i="64"/>
  <c r="V121" i="64"/>
  <c r="W121" i="64"/>
  <c r="X121" i="64"/>
  <c r="Z121" i="64"/>
  <c r="AA121" i="64"/>
  <c r="AB121" i="64"/>
  <c r="AC121" i="64"/>
  <c r="AD121" i="64"/>
  <c r="AE121" i="64"/>
  <c r="AF121" i="64"/>
  <c r="AG121" i="64"/>
  <c r="AH121" i="64"/>
  <c r="AI121" i="64"/>
  <c r="AJ121" i="64"/>
  <c r="AK121" i="64"/>
  <c r="AL121" i="64"/>
  <c r="AM121" i="64"/>
  <c r="AN121" i="64"/>
  <c r="AO121" i="64"/>
  <c r="AP121" i="64"/>
  <c r="AQ121" i="64"/>
  <c r="AR121" i="64"/>
  <c r="AS121" i="64"/>
  <c r="AT121" i="64"/>
  <c r="AU121" i="64"/>
  <c r="AW121" i="64"/>
  <c r="AX121" i="64"/>
  <c r="AY121" i="64"/>
  <c r="BA121" i="64"/>
  <c r="BC121" i="64"/>
  <c r="A122" i="64"/>
  <c r="B122" i="64"/>
  <c r="D122" i="64"/>
  <c r="E122" i="64"/>
  <c r="F122" i="64"/>
  <c r="G122" i="64"/>
  <c r="H122" i="64"/>
  <c r="J122" i="64"/>
  <c r="K122" i="64"/>
  <c r="L122" i="64"/>
  <c r="M122" i="64"/>
  <c r="O122" i="64"/>
  <c r="P122" i="64"/>
  <c r="R122" i="64"/>
  <c r="S122" i="64"/>
  <c r="T122" i="64"/>
  <c r="U122" i="64"/>
  <c r="V122" i="64"/>
  <c r="W122" i="64"/>
  <c r="X122" i="64"/>
  <c r="Z122" i="64"/>
  <c r="AA122" i="64"/>
  <c r="AB122" i="64"/>
  <c r="AC122" i="64"/>
  <c r="AD122" i="64"/>
  <c r="AE122" i="64"/>
  <c r="AF122" i="64"/>
  <c r="AG122" i="64"/>
  <c r="AH122" i="64"/>
  <c r="AI122" i="64"/>
  <c r="AJ122" i="64"/>
  <c r="AK122" i="64"/>
  <c r="AL122" i="64"/>
  <c r="AM122" i="64"/>
  <c r="AN122" i="64"/>
  <c r="AO122" i="64"/>
  <c r="AP122" i="64"/>
  <c r="AQ122" i="64"/>
  <c r="AR122" i="64"/>
  <c r="AS122" i="64"/>
  <c r="AT122" i="64"/>
  <c r="AU122" i="64"/>
  <c r="AW122" i="64"/>
  <c r="AX122" i="64"/>
  <c r="AY122" i="64"/>
  <c r="BA122" i="64"/>
  <c r="BC122" i="64"/>
  <c r="A123" i="64"/>
  <c r="B123" i="64"/>
  <c r="D123" i="64"/>
  <c r="E123" i="64"/>
  <c r="F123" i="64"/>
  <c r="G123" i="64"/>
  <c r="H123" i="64"/>
  <c r="J123" i="64"/>
  <c r="K123" i="64"/>
  <c r="L123" i="64"/>
  <c r="M123" i="64"/>
  <c r="O123" i="64"/>
  <c r="P123" i="64"/>
  <c r="R123" i="64"/>
  <c r="S123" i="64"/>
  <c r="T123" i="64"/>
  <c r="U123" i="64"/>
  <c r="V123" i="64"/>
  <c r="W123" i="64"/>
  <c r="X123" i="64"/>
  <c r="Z123" i="64"/>
  <c r="AA123" i="64"/>
  <c r="AB123" i="64"/>
  <c r="AC123" i="64"/>
  <c r="AD123" i="64"/>
  <c r="AE123" i="64"/>
  <c r="AF123" i="64"/>
  <c r="AG123" i="64"/>
  <c r="AH123" i="64"/>
  <c r="AI123" i="64"/>
  <c r="AJ123" i="64"/>
  <c r="AK123" i="64"/>
  <c r="AL123" i="64"/>
  <c r="AM123" i="64"/>
  <c r="AN123" i="64"/>
  <c r="AO123" i="64"/>
  <c r="AP123" i="64"/>
  <c r="AQ123" i="64"/>
  <c r="AR123" i="64"/>
  <c r="AS123" i="64"/>
  <c r="AT123" i="64"/>
  <c r="AU123" i="64"/>
  <c r="AW123" i="64"/>
  <c r="AX123" i="64"/>
  <c r="AY123" i="64"/>
  <c r="BA123" i="64"/>
  <c r="BC123" i="64"/>
  <c r="A124" i="64"/>
  <c r="B124" i="64"/>
  <c r="D124" i="64"/>
  <c r="E124" i="64"/>
  <c r="F124" i="64"/>
  <c r="G124" i="64"/>
  <c r="H124" i="64"/>
  <c r="J124" i="64"/>
  <c r="K124" i="64"/>
  <c r="L124" i="64"/>
  <c r="M124" i="64"/>
  <c r="O124" i="64"/>
  <c r="P124" i="64"/>
  <c r="R124" i="64"/>
  <c r="S124" i="64"/>
  <c r="T124" i="64"/>
  <c r="U124" i="64"/>
  <c r="V124" i="64"/>
  <c r="W124" i="64"/>
  <c r="X124" i="64"/>
  <c r="Z124" i="64"/>
  <c r="AA124" i="64"/>
  <c r="AB124" i="64"/>
  <c r="AC124" i="64"/>
  <c r="AD124" i="64"/>
  <c r="AE124" i="64"/>
  <c r="AF124" i="64"/>
  <c r="AG124" i="64"/>
  <c r="AH124" i="64"/>
  <c r="AI124" i="64"/>
  <c r="AJ124" i="64"/>
  <c r="AK124" i="64"/>
  <c r="AL124" i="64"/>
  <c r="AM124" i="64"/>
  <c r="AN124" i="64"/>
  <c r="AO124" i="64"/>
  <c r="AP124" i="64"/>
  <c r="AQ124" i="64"/>
  <c r="AR124" i="64"/>
  <c r="AS124" i="64"/>
  <c r="AT124" i="64"/>
  <c r="AU124" i="64"/>
  <c r="AW124" i="64"/>
  <c r="AX124" i="64"/>
  <c r="AY124" i="64"/>
  <c r="BA124" i="64"/>
  <c r="BC124" i="64"/>
  <c r="A125" i="64"/>
  <c r="B125" i="64"/>
  <c r="D125" i="64"/>
  <c r="E125" i="64"/>
  <c r="F125" i="64"/>
  <c r="G125" i="64"/>
  <c r="H125" i="64"/>
  <c r="J125" i="64"/>
  <c r="K125" i="64"/>
  <c r="L125" i="64"/>
  <c r="M125" i="64"/>
  <c r="O125" i="64"/>
  <c r="P125" i="64"/>
  <c r="R125" i="64"/>
  <c r="S125" i="64"/>
  <c r="T125" i="64"/>
  <c r="U125" i="64"/>
  <c r="V125" i="64"/>
  <c r="W125" i="64"/>
  <c r="X125" i="64"/>
  <c r="Z125" i="64"/>
  <c r="AA125" i="64"/>
  <c r="AB125" i="64"/>
  <c r="AC125" i="64"/>
  <c r="AD125" i="64"/>
  <c r="AE125" i="64"/>
  <c r="AF125" i="64"/>
  <c r="AG125" i="64"/>
  <c r="AH125" i="64"/>
  <c r="AI125" i="64"/>
  <c r="AJ125" i="64"/>
  <c r="AK125" i="64"/>
  <c r="AL125" i="64"/>
  <c r="AM125" i="64"/>
  <c r="AN125" i="64"/>
  <c r="AO125" i="64"/>
  <c r="AP125" i="64"/>
  <c r="AQ125" i="64"/>
  <c r="AR125" i="64"/>
  <c r="AS125" i="64"/>
  <c r="AT125" i="64"/>
  <c r="AU125" i="64"/>
  <c r="AW125" i="64"/>
  <c r="AX125" i="64"/>
  <c r="AY125" i="64"/>
  <c r="BA125" i="64"/>
  <c r="BC125" i="64"/>
  <c r="A126" i="64"/>
  <c r="B126" i="64"/>
  <c r="D126" i="64"/>
  <c r="E126" i="64"/>
  <c r="F126" i="64"/>
  <c r="G126" i="64"/>
  <c r="H126" i="64"/>
  <c r="J126" i="64"/>
  <c r="K126" i="64"/>
  <c r="L126" i="64"/>
  <c r="M126" i="64"/>
  <c r="O126" i="64"/>
  <c r="P126" i="64"/>
  <c r="R126" i="64"/>
  <c r="S126" i="64"/>
  <c r="T126" i="64"/>
  <c r="U126" i="64"/>
  <c r="V126" i="64"/>
  <c r="W126" i="64"/>
  <c r="X126" i="64"/>
  <c r="Z126" i="64"/>
  <c r="AA126" i="64"/>
  <c r="AB126" i="64"/>
  <c r="AC126" i="64"/>
  <c r="AD126" i="64"/>
  <c r="AE126" i="64"/>
  <c r="AF126" i="64"/>
  <c r="AG126" i="64"/>
  <c r="AH126" i="64"/>
  <c r="AI126" i="64"/>
  <c r="AJ126" i="64"/>
  <c r="AK126" i="64"/>
  <c r="AL126" i="64"/>
  <c r="AM126" i="64"/>
  <c r="AN126" i="64"/>
  <c r="AO126" i="64"/>
  <c r="AP126" i="64"/>
  <c r="AQ126" i="64"/>
  <c r="AR126" i="64"/>
  <c r="AS126" i="64"/>
  <c r="AT126" i="64"/>
  <c r="AU126" i="64"/>
  <c r="AW126" i="64"/>
  <c r="AX126" i="64"/>
  <c r="AY126" i="64"/>
  <c r="BA126" i="64"/>
  <c r="BC126" i="64"/>
  <c r="A127" i="64"/>
  <c r="B127" i="64"/>
  <c r="D127" i="64"/>
  <c r="E127" i="64"/>
  <c r="F127" i="64"/>
  <c r="G127" i="64"/>
  <c r="H127" i="64"/>
  <c r="J127" i="64"/>
  <c r="K127" i="64"/>
  <c r="L127" i="64"/>
  <c r="M127" i="64"/>
  <c r="O127" i="64"/>
  <c r="P127" i="64"/>
  <c r="R127" i="64"/>
  <c r="S127" i="64"/>
  <c r="T127" i="64"/>
  <c r="U127" i="64"/>
  <c r="V127" i="64"/>
  <c r="W127" i="64"/>
  <c r="X127" i="64"/>
  <c r="Z127" i="64"/>
  <c r="AA127" i="64"/>
  <c r="AB127" i="64"/>
  <c r="AC127" i="64"/>
  <c r="AD127" i="64"/>
  <c r="AE127" i="64"/>
  <c r="AF127" i="64"/>
  <c r="AG127" i="64"/>
  <c r="AH127" i="64"/>
  <c r="AI127" i="64"/>
  <c r="AJ127" i="64"/>
  <c r="AK127" i="64"/>
  <c r="AL127" i="64"/>
  <c r="AM127" i="64"/>
  <c r="AN127" i="64"/>
  <c r="AO127" i="64"/>
  <c r="AP127" i="64"/>
  <c r="AQ127" i="64"/>
  <c r="AR127" i="64"/>
  <c r="AS127" i="64"/>
  <c r="AT127" i="64"/>
  <c r="AU127" i="64"/>
  <c r="AW127" i="64"/>
  <c r="AX127" i="64"/>
  <c r="AY127" i="64"/>
  <c r="BA127" i="64"/>
  <c r="BC127" i="64"/>
  <c r="A128" i="64"/>
  <c r="B128" i="64"/>
  <c r="D128" i="64"/>
  <c r="E128" i="64"/>
  <c r="F128" i="64"/>
  <c r="G128" i="64"/>
  <c r="H128" i="64"/>
  <c r="J128" i="64"/>
  <c r="K128" i="64"/>
  <c r="L128" i="64"/>
  <c r="M128" i="64"/>
  <c r="O128" i="64"/>
  <c r="P128" i="64"/>
  <c r="R128" i="64"/>
  <c r="S128" i="64"/>
  <c r="T128" i="64"/>
  <c r="U128" i="64"/>
  <c r="V128" i="64"/>
  <c r="W128" i="64"/>
  <c r="X128" i="64"/>
  <c r="Z128" i="64"/>
  <c r="AA128" i="64"/>
  <c r="AB128" i="64"/>
  <c r="AC128" i="64"/>
  <c r="AD128" i="64"/>
  <c r="AE128" i="64"/>
  <c r="AF128" i="64"/>
  <c r="AG128" i="64"/>
  <c r="AH128" i="64"/>
  <c r="AI128" i="64"/>
  <c r="AJ128" i="64"/>
  <c r="AK128" i="64"/>
  <c r="AL128" i="64"/>
  <c r="AM128" i="64"/>
  <c r="AN128" i="64"/>
  <c r="AO128" i="64"/>
  <c r="AP128" i="64"/>
  <c r="AQ128" i="64"/>
  <c r="AR128" i="64"/>
  <c r="AS128" i="64"/>
  <c r="AT128" i="64"/>
  <c r="AU128" i="64"/>
  <c r="AW128" i="64"/>
  <c r="AX128" i="64"/>
  <c r="AY128" i="64"/>
  <c r="BA128" i="64"/>
  <c r="BC128" i="64"/>
  <c r="A129" i="64"/>
  <c r="B129" i="64"/>
  <c r="D129" i="64"/>
  <c r="E129" i="64"/>
  <c r="F129" i="64"/>
  <c r="G129" i="64"/>
  <c r="H129" i="64"/>
  <c r="J129" i="64"/>
  <c r="K129" i="64"/>
  <c r="L129" i="64"/>
  <c r="M129" i="64"/>
  <c r="O129" i="64"/>
  <c r="P129" i="64"/>
  <c r="R129" i="64"/>
  <c r="S129" i="64"/>
  <c r="T129" i="64"/>
  <c r="U129" i="64"/>
  <c r="V129" i="64"/>
  <c r="W129" i="64"/>
  <c r="X129" i="64"/>
  <c r="Z129" i="64"/>
  <c r="AA129" i="64"/>
  <c r="AB129" i="64"/>
  <c r="AC129" i="64"/>
  <c r="AD129" i="64"/>
  <c r="AE129" i="64"/>
  <c r="AF129" i="64"/>
  <c r="AG129" i="64"/>
  <c r="AH129" i="64"/>
  <c r="AI129" i="64"/>
  <c r="AJ129" i="64"/>
  <c r="AK129" i="64"/>
  <c r="AL129" i="64"/>
  <c r="AM129" i="64"/>
  <c r="AN129" i="64"/>
  <c r="AO129" i="64"/>
  <c r="AP129" i="64"/>
  <c r="AQ129" i="64"/>
  <c r="AR129" i="64"/>
  <c r="AS129" i="64"/>
  <c r="AT129" i="64"/>
  <c r="AU129" i="64"/>
  <c r="AW129" i="64"/>
  <c r="AX129" i="64"/>
  <c r="AY129" i="64"/>
  <c r="BA129" i="64"/>
  <c r="BC129" i="64"/>
  <c r="A130" i="64"/>
  <c r="B130" i="64"/>
  <c r="D130" i="64"/>
  <c r="E130" i="64"/>
  <c r="F130" i="64"/>
  <c r="G130" i="64"/>
  <c r="H130" i="64"/>
  <c r="J130" i="64"/>
  <c r="K130" i="64"/>
  <c r="L130" i="64"/>
  <c r="M130" i="64"/>
  <c r="O130" i="64"/>
  <c r="P130" i="64"/>
  <c r="R130" i="64"/>
  <c r="S130" i="64"/>
  <c r="T130" i="64"/>
  <c r="U130" i="64"/>
  <c r="V130" i="64"/>
  <c r="W130" i="64"/>
  <c r="X130" i="64"/>
  <c r="Z130" i="64"/>
  <c r="AA130" i="64"/>
  <c r="AB130" i="64"/>
  <c r="AC130" i="64"/>
  <c r="AD130" i="64"/>
  <c r="AE130" i="64"/>
  <c r="AF130" i="64"/>
  <c r="AG130" i="64"/>
  <c r="AH130" i="64"/>
  <c r="AI130" i="64"/>
  <c r="AJ130" i="64"/>
  <c r="AK130" i="64"/>
  <c r="AL130" i="64"/>
  <c r="AM130" i="64"/>
  <c r="AN130" i="64"/>
  <c r="AO130" i="64"/>
  <c r="AP130" i="64"/>
  <c r="AQ130" i="64"/>
  <c r="AR130" i="64"/>
  <c r="AS130" i="64"/>
  <c r="AT130" i="64"/>
  <c r="AU130" i="64"/>
  <c r="AW130" i="64"/>
  <c r="AX130" i="64"/>
  <c r="AY130" i="64"/>
  <c r="BA130" i="64"/>
  <c r="BC130" i="64"/>
  <c r="A131" i="64"/>
  <c r="B131" i="64"/>
  <c r="D131" i="64"/>
  <c r="E131" i="64"/>
  <c r="F131" i="64"/>
  <c r="G131" i="64"/>
  <c r="H131" i="64"/>
  <c r="J131" i="64"/>
  <c r="K131" i="64"/>
  <c r="L131" i="64"/>
  <c r="M131" i="64"/>
  <c r="O131" i="64"/>
  <c r="P131" i="64"/>
  <c r="R131" i="64"/>
  <c r="S131" i="64"/>
  <c r="T131" i="64"/>
  <c r="U131" i="64"/>
  <c r="V131" i="64"/>
  <c r="W131" i="64"/>
  <c r="X131" i="64"/>
  <c r="Z131" i="64"/>
  <c r="AA131" i="64"/>
  <c r="AB131" i="64"/>
  <c r="AC131" i="64"/>
  <c r="AD131" i="64"/>
  <c r="AE131" i="64"/>
  <c r="AF131" i="64"/>
  <c r="AG131" i="64"/>
  <c r="AH131" i="64"/>
  <c r="AI131" i="64"/>
  <c r="AJ131" i="64"/>
  <c r="AK131" i="64"/>
  <c r="AL131" i="64"/>
  <c r="AM131" i="64"/>
  <c r="AN131" i="64"/>
  <c r="AO131" i="64"/>
  <c r="AP131" i="64"/>
  <c r="AQ131" i="64"/>
  <c r="AR131" i="64"/>
  <c r="AS131" i="64"/>
  <c r="AT131" i="64"/>
  <c r="AU131" i="64"/>
  <c r="AW131" i="64"/>
  <c r="AX131" i="64"/>
  <c r="AY131" i="64"/>
  <c r="BA131" i="64"/>
  <c r="BC131" i="64"/>
  <c r="A132" i="64"/>
  <c r="B132" i="64"/>
  <c r="D132" i="64"/>
  <c r="E132" i="64"/>
  <c r="F132" i="64"/>
  <c r="G132" i="64"/>
  <c r="H132" i="64"/>
  <c r="J132" i="64"/>
  <c r="K132" i="64"/>
  <c r="L132" i="64"/>
  <c r="M132" i="64"/>
  <c r="O132" i="64"/>
  <c r="P132" i="64"/>
  <c r="R132" i="64"/>
  <c r="S132" i="64"/>
  <c r="T132" i="64"/>
  <c r="U132" i="64"/>
  <c r="V132" i="64"/>
  <c r="W132" i="64"/>
  <c r="X132" i="64"/>
  <c r="Z132" i="64"/>
  <c r="AA132" i="64"/>
  <c r="AB132" i="64"/>
  <c r="AC132" i="64"/>
  <c r="AD132" i="64"/>
  <c r="AE132" i="64"/>
  <c r="AF132" i="64"/>
  <c r="AG132" i="64"/>
  <c r="AH132" i="64"/>
  <c r="AI132" i="64"/>
  <c r="AJ132" i="64"/>
  <c r="AK132" i="64"/>
  <c r="AL132" i="64"/>
  <c r="AM132" i="64"/>
  <c r="AN132" i="64"/>
  <c r="AO132" i="64"/>
  <c r="AP132" i="64"/>
  <c r="AQ132" i="64"/>
  <c r="AR132" i="64"/>
  <c r="AS132" i="64"/>
  <c r="AT132" i="64"/>
  <c r="AU132" i="64"/>
  <c r="AW132" i="64"/>
  <c r="AX132" i="64"/>
  <c r="AY132" i="64"/>
  <c r="BA132" i="64"/>
  <c r="BC132" i="64"/>
  <c r="A133" i="64"/>
  <c r="B133" i="64"/>
  <c r="D133" i="64"/>
  <c r="E133" i="64"/>
  <c r="F133" i="64"/>
  <c r="G133" i="64"/>
  <c r="H133" i="64"/>
  <c r="J133" i="64"/>
  <c r="K133" i="64"/>
  <c r="L133" i="64"/>
  <c r="M133" i="64"/>
  <c r="O133" i="64"/>
  <c r="P133" i="64"/>
  <c r="R133" i="64"/>
  <c r="S133" i="64"/>
  <c r="T133" i="64"/>
  <c r="U133" i="64"/>
  <c r="V133" i="64"/>
  <c r="W133" i="64"/>
  <c r="X133" i="64"/>
  <c r="Z133" i="64"/>
  <c r="AA133" i="64"/>
  <c r="AB133" i="64"/>
  <c r="AC133" i="64"/>
  <c r="AD133" i="64"/>
  <c r="AE133" i="64"/>
  <c r="AF133" i="64"/>
  <c r="AG133" i="64"/>
  <c r="AH133" i="64"/>
  <c r="AI133" i="64"/>
  <c r="AJ133" i="64"/>
  <c r="AK133" i="64"/>
  <c r="AL133" i="64"/>
  <c r="AM133" i="64"/>
  <c r="AN133" i="64"/>
  <c r="AO133" i="64"/>
  <c r="AP133" i="64"/>
  <c r="AQ133" i="64"/>
  <c r="AR133" i="64"/>
  <c r="AS133" i="64"/>
  <c r="AT133" i="64"/>
  <c r="AU133" i="64"/>
  <c r="AW133" i="64"/>
  <c r="AX133" i="64"/>
  <c r="AY133" i="64"/>
  <c r="BA133" i="64"/>
  <c r="BC133" i="64"/>
  <c r="A134" i="64"/>
  <c r="B134" i="64"/>
  <c r="D134" i="64"/>
  <c r="E134" i="64"/>
  <c r="F134" i="64"/>
  <c r="G134" i="64"/>
  <c r="H134" i="64"/>
  <c r="J134" i="64"/>
  <c r="K134" i="64"/>
  <c r="L134" i="64"/>
  <c r="M134" i="64"/>
  <c r="O134" i="64"/>
  <c r="P134" i="64"/>
  <c r="R134" i="64"/>
  <c r="S134" i="64"/>
  <c r="T134" i="64"/>
  <c r="U134" i="64"/>
  <c r="V134" i="64"/>
  <c r="W134" i="64"/>
  <c r="X134" i="64"/>
  <c r="Z134" i="64"/>
  <c r="AA134" i="64"/>
  <c r="AB134" i="64"/>
  <c r="AC134" i="64"/>
  <c r="AD134" i="64"/>
  <c r="AE134" i="64"/>
  <c r="AF134" i="64"/>
  <c r="AG134" i="64"/>
  <c r="AH134" i="64"/>
  <c r="AI134" i="64"/>
  <c r="AJ134" i="64"/>
  <c r="AK134" i="64"/>
  <c r="AL134" i="64"/>
  <c r="AM134" i="64"/>
  <c r="AN134" i="64"/>
  <c r="AO134" i="64"/>
  <c r="AP134" i="64"/>
  <c r="AQ134" i="64"/>
  <c r="AR134" i="64"/>
  <c r="AS134" i="64"/>
  <c r="AT134" i="64"/>
  <c r="AU134" i="64"/>
  <c r="AW134" i="64"/>
  <c r="AX134" i="64"/>
  <c r="AY134" i="64"/>
  <c r="BA134" i="64"/>
  <c r="BC134" i="64"/>
  <c r="A135" i="64"/>
  <c r="B135" i="64"/>
  <c r="D135" i="64"/>
  <c r="E135" i="64"/>
  <c r="F135" i="64"/>
  <c r="G135" i="64"/>
  <c r="H135" i="64"/>
  <c r="J135" i="64"/>
  <c r="K135" i="64"/>
  <c r="L135" i="64"/>
  <c r="M135" i="64"/>
  <c r="O135" i="64"/>
  <c r="P135" i="64"/>
  <c r="R135" i="64"/>
  <c r="S135" i="64"/>
  <c r="T135" i="64"/>
  <c r="U135" i="64"/>
  <c r="V135" i="64"/>
  <c r="W135" i="64"/>
  <c r="X135" i="64"/>
  <c r="Z135" i="64"/>
  <c r="AA135" i="64"/>
  <c r="AB135" i="64"/>
  <c r="AC135" i="64"/>
  <c r="AD135" i="64"/>
  <c r="AE135" i="64"/>
  <c r="AF135" i="64"/>
  <c r="AG135" i="64"/>
  <c r="AH135" i="64"/>
  <c r="AI135" i="64"/>
  <c r="AJ135" i="64"/>
  <c r="AK135" i="64"/>
  <c r="AL135" i="64"/>
  <c r="AM135" i="64"/>
  <c r="AN135" i="64"/>
  <c r="AO135" i="64"/>
  <c r="AP135" i="64"/>
  <c r="AQ135" i="64"/>
  <c r="AR135" i="64"/>
  <c r="AS135" i="64"/>
  <c r="AT135" i="64"/>
  <c r="AU135" i="64"/>
  <c r="AW135" i="64"/>
  <c r="AX135" i="64"/>
  <c r="AY135" i="64"/>
  <c r="BA135" i="64"/>
  <c r="BC135" i="64"/>
  <c r="A136" i="64"/>
  <c r="B136" i="64"/>
  <c r="D136" i="64"/>
  <c r="E136" i="64"/>
  <c r="F136" i="64"/>
  <c r="G136" i="64"/>
  <c r="H136" i="64"/>
  <c r="J136" i="64"/>
  <c r="K136" i="64"/>
  <c r="L136" i="64"/>
  <c r="M136" i="64"/>
  <c r="O136" i="64"/>
  <c r="P136" i="64"/>
  <c r="R136" i="64"/>
  <c r="S136" i="64"/>
  <c r="T136" i="64"/>
  <c r="U136" i="64"/>
  <c r="V136" i="64"/>
  <c r="W136" i="64"/>
  <c r="X136" i="64"/>
  <c r="Z136" i="64"/>
  <c r="AA136" i="64"/>
  <c r="AB136" i="64"/>
  <c r="AC136" i="64"/>
  <c r="AD136" i="64"/>
  <c r="AE136" i="64"/>
  <c r="AF136" i="64"/>
  <c r="AG136" i="64"/>
  <c r="AH136" i="64"/>
  <c r="AI136" i="64"/>
  <c r="AJ136" i="64"/>
  <c r="AK136" i="64"/>
  <c r="AL136" i="64"/>
  <c r="AM136" i="64"/>
  <c r="AN136" i="64"/>
  <c r="AO136" i="64"/>
  <c r="AP136" i="64"/>
  <c r="AQ136" i="64"/>
  <c r="AR136" i="64"/>
  <c r="AS136" i="64"/>
  <c r="AT136" i="64"/>
  <c r="AU136" i="64"/>
  <c r="AW136" i="64"/>
  <c r="AX136" i="64"/>
  <c r="AY136" i="64"/>
  <c r="BA136" i="64"/>
  <c r="BC136" i="64"/>
  <c r="A137" i="64"/>
  <c r="B137" i="64"/>
  <c r="D137" i="64"/>
  <c r="E137" i="64"/>
  <c r="F137" i="64"/>
  <c r="G137" i="64"/>
  <c r="H137" i="64"/>
  <c r="J137" i="64"/>
  <c r="K137" i="64"/>
  <c r="L137" i="64"/>
  <c r="M137" i="64"/>
  <c r="O137" i="64"/>
  <c r="P137" i="64"/>
  <c r="R137" i="64"/>
  <c r="S137" i="64"/>
  <c r="T137" i="64"/>
  <c r="U137" i="64"/>
  <c r="V137" i="64"/>
  <c r="W137" i="64"/>
  <c r="X137" i="64"/>
  <c r="Z137" i="64"/>
  <c r="AA137" i="64"/>
  <c r="AB137" i="64"/>
  <c r="AC137" i="64"/>
  <c r="AD137" i="64"/>
  <c r="AE137" i="64"/>
  <c r="AF137" i="64"/>
  <c r="AG137" i="64"/>
  <c r="AH137" i="64"/>
  <c r="AI137" i="64"/>
  <c r="AJ137" i="64"/>
  <c r="AK137" i="64"/>
  <c r="AL137" i="64"/>
  <c r="AM137" i="64"/>
  <c r="AN137" i="64"/>
  <c r="AO137" i="64"/>
  <c r="AP137" i="64"/>
  <c r="AQ137" i="64"/>
  <c r="AR137" i="64"/>
  <c r="AS137" i="64"/>
  <c r="AT137" i="64"/>
  <c r="AU137" i="64"/>
  <c r="AW137" i="64"/>
  <c r="AX137" i="64"/>
  <c r="AY137" i="64"/>
  <c r="BA137" i="64"/>
  <c r="BC137" i="64"/>
  <c r="A138" i="64"/>
  <c r="B138" i="64"/>
  <c r="D138" i="64"/>
  <c r="E138" i="64"/>
  <c r="F138" i="64"/>
  <c r="G138" i="64"/>
  <c r="H138" i="64"/>
  <c r="J138" i="64"/>
  <c r="K138" i="64"/>
  <c r="L138" i="64"/>
  <c r="M138" i="64"/>
  <c r="O138" i="64"/>
  <c r="P138" i="64"/>
  <c r="R138" i="64"/>
  <c r="S138" i="64"/>
  <c r="T138" i="64"/>
  <c r="U138" i="64"/>
  <c r="V138" i="64"/>
  <c r="W138" i="64"/>
  <c r="X138" i="64"/>
  <c r="Z138" i="64"/>
  <c r="AA138" i="64"/>
  <c r="AB138" i="64"/>
  <c r="AC138" i="64"/>
  <c r="AD138" i="64"/>
  <c r="AE138" i="64"/>
  <c r="AF138" i="64"/>
  <c r="AG138" i="64"/>
  <c r="AH138" i="64"/>
  <c r="AI138" i="64"/>
  <c r="AJ138" i="64"/>
  <c r="AK138" i="64"/>
  <c r="AL138" i="64"/>
  <c r="AM138" i="64"/>
  <c r="AN138" i="64"/>
  <c r="AO138" i="64"/>
  <c r="AP138" i="64"/>
  <c r="AQ138" i="64"/>
  <c r="AR138" i="64"/>
  <c r="AS138" i="64"/>
  <c r="AT138" i="64"/>
  <c r="AU138" i="64"/>
  <c r="AW138" i="64"/>
  <c r="AX138" i="64"/>
  <c r="AY138" i="64"/>
  <c r="BA138" i="64"/>
  <c r="BC138" i="64"/>
  <c r="A139" i="64"/>
  <c r="B139" i="64"/>
  <c r="D139" i="64"/>
  <c r="E139" i="64"/>
  <c r="F139" i="64"/>
  <c r="G139" i="64"/>
  <c r="H139" i="64"/>
  <c r="J139" i="64"/>
  <c r="K139" i="64"/>
  <c r="L139" i="64"/>
  <c r="M139" i="64"/>
  <c r="O139" i="64"/>
  <c r="P139" i="64"/>
  <c r="R139" i="64"/>
  <c r="S139" i="64"/>
  <c r="T139" i="64"/>
  <c r="U139" i="64"/>
  <c r="V139" i="64"/>
  <c r="W139" i="64"/>
  <c r="X139" i="64"/>
  <c r="Z139" i="64"/>
  <c r="AA139" i="64"/>
  <c r="AB139" i="64"/>
  <c r="AC139" i="64"/>
  <c r="AD139" i="64"/>
  <c r="AE139" i="64"/>
  <c r="AF139" i="64"/>
  <c r="AG139" i="64"/>
  <c r="AH139" i="64"/>
  <c r="AI139" i="64"/>
  <c r="AJ139" i="64"/>
  <c r="AK139" i="64"/>
  <c r="AL139" i="64"/>
  <c r="AM139" i="64"/>
  <c r="AN139" i="64"/>
  <c r="AO139" i="64"/>
  <c r="AP139" i="64"/>
  <c r="AQ139" i="64"/>
  <c r="AR139" i="64"/>
  <c r="AS139" i="64"/>
  <c r="AT139" i="64"/>
  <c r="AU139" i="64"/>
  <c r="AW139" i="64"/>
  <c r="AX139" i="64"/>
  <c r="AY139" i="64"/>
  <c r="BA139" i="64"/>
  <c r="BC139" i="64"/>
  <c r="A140" i="64"/>
  <c r="B140" i="64"/>
  <c r="D140" i="64"/>
  <c r="E140" i="64"/>
  <c r="F140" i="64"/>
  <c r="G140" i="64"/>
  <c r="H140" i="64"/>
  <c r="J140" i="64"/>
  <c r="K140" i="64"/>
  <c r="L140" i="64"/>
  <c r="M140" i="64"/>
  <c r="O140" i="64"/>
  <c r="P140" i="64"/>
  <c r="R140" i="64"/>
  <c r="S140" i="64"/>
  <c r="T140" i="64"/>
  <c r="U140" i="64"/>
  <c r="V140" i="64"/>
  <c r="W140" i="64"/>
  <c r="X140" i="64"/>
  <c r="Z140" i="64"/>
  <c r="AA140" i="64"/>
  <c r="AB140" i="64"/>
  <c r="AC140" i="64"/>
  <c r="AD140" i="64"/>
  <c r="AE140" i="64"/>
  <c r="AF140" i="64"/>
  <c r="AG140" i="64"/>
  <c r="AH140" i="64"/>
  <c r="AI140" i="64"/>
  <c r="AJ140" i="64"/>
  <c r="AK140" i="64"/>
  <c r="AL140" i="64"/>
  <c r="AM140" i="64"/>
  <c r="AN140" i="64"/>
  <c r="AO140" i="64"/>
  <c r="AP140" i="64"/>
  <c r="AQ140" i="64"/>
  <c r="AR140" i="64"/>
  <c r="AS140" i="64"/>
  <c r="AT140" i="64"/>
  <c r="AU140" i="64"/>
  <c r="AW140" i="64"/>
  <c r="AX140" i="64"/>
  <c r="AY140" i="64"/>
  <c r="BA140" i="64"/>
  <c r="BC140" i="64"/>
  <c r="A141" i="64"/>
  <c r="B141" i="64"/>
  <c r="D141" i="64"/>
  <c r="E141" i="64"/>
  <c r="F141" i="64"/>
  <c r="G141" i="64"/>
  <c r="H141" i="64"/>
  <c r="J141" i="64"/>
  <c r="K141" i="64"/>
  <c r="L141" i="64"/>
  <c r="M141" i="64"/>
  <c r="O141" i="64"/>
  <c r="P141" i="64"/>
  <c r="R141" i="64"/>
  <c r="S141" i="64"/>
  <c r="T141" i="64"/>
  <c r="U141" i="64"/>
  <c r="V141" i="64"/>
  <c r="W141" i="64"/>
  <c r="X141" i="64"/>
  <c r="Z141" i="64"/>
  <c r="AA141" i="64"/>
  <c r="AB141" i="64"/>
  <c r="AC141" i="64"/>
  <c r="AD141" i="64"/>
  <c r="AE141" i="64"/>
  <c r="AF141" i="64"/>
  <c r="AG141" i="64"/>
  <c r="AH141" i="64"/>
  <c r="AI141" i="64"/>
  <c r="AJ141" i="64"/>
  <c r="AK141" i="64"/>
  <c r="AL141" i="64"/>
  <c r="AM141" i="64"/>
  <c r="AN141" i="64"/>
  <c r="AO141" i="64"/>
  <c r="AP141" i="64"/>
  <c r="AQ141" i="64"/>
  <c r="AR141" i="64"/>
  <c r="AS141" i="64"/>
  <c r="AT141" i="64"/>
  <c r="AU141" i="64"/>
  <c r="AW141" i="64"/>
  <c r="AX141" i="64"/>
  <c r="AY141" i="64"/>
  <c r="BA141" i="64"/>
  <c r="BC141" i="64"/>
  <c r="A142" i="64"/>
  <c r="B142" i="64"/>
  <c r="D142" i="64"/>
  <c r="E142" i="64"/>
  <c r="F142" i="64"/>
  <c r="G142" i="64"/>
  <c r="H142" i="64"/>
  <c r="J142" i="64"/>
  <c r="K142" i="64"/>
  <c r="L142" i="64"/>
  <c r="M142" i="64"/>
  <c r="O142" i="64"/>
  <c r="P142" i="64"/>
  <c r="R142" i="64"/>
  <c r="S142" i="64"/>
  <c r="T142" i="64"/>
  <c r="U142" i="64"/>
  <c r="V142" i="64"/>
  <c r="W142" i="64"/>
  <c r="X142" i="64"/>
  <c r="Z142" i="64"/>
  <c r="AA142" i="64"/>
  <c r="AB142" i="64"/>
  <c r="AC142" i="64"/>
  <c r="AD142" i="64"/>
  <c r="AE142" i="64"/>
  <c r="AF142" i="64"/>
  <c r="AG142" i="64"/>
  <c r="AH142" i="64"/>
  <c r="AI142" i="64"/>
  <c r="AJ142" i="64"/>
  <c r="AK142" i="64"/>
  <c r="AL142" i="64"/>
  <c r="AM142" i="64"/>
  <c r="AN142" i="64"/>
  <c r="AO142" i="64"/>
  <c r="AP142" i="64"/>
  <c r="AQ142" i="64"/>
  <c r="AR142" i="64"/>
  <c r="AS142" i="64"/>
  <c r="AT142" i="64"/>
  <c r="AU142" i="64"/>
  <c r="AW142" i="64"/>
  <c r="AX142" i="64"/>
  <c r="AY142" i="64"/>
  <c r="BA142" i="64"/>
  <c r="BC142" i="64"/>
  <c r="A143" i="64"/>
  <c r="B143" i="64"/>
  <c r="D143" i="64"/>
  <c r="E143" i="64"/>
  <c r="F143" i="64"/>
  <c r="G143" i="64"/>
  <c r="H143" i="64"/>
  <c r="J143" i="64"/>
  <c r="K143" i="64"/>
  <c r="L143" i="64"/>
  <c r="M143" i="64"/>
  <c r="O143" i="64"/>
  <c r="P143" i="64"/>
  <c r="R143" i="64"/>
  <c r="S143" i="64"/>
  <c r="T143" i="64"/>
  <c r="U143" i="64"/>
  <c r="V143" i="64"/>
  <c r="W143" i="64"/>
  <c r="X143" i="64"/>
  <c r="Z143" i="64"/>
  <c r="AA143" i="64"/>
  <c r="AB143" i="64"/>
  <c r="AC143" i="64"/>
  <c r="AD143" i="64"/>
  <c r="AE143" i="64"/>
  <c r="AF143" i="64"/>
  <c r="AG143" i="64"/>
  <c r="AH143" i="64"/>
  <c r="AI143" i="64"/>
  <c r="AJ143" i="64"/>
  <c r="AK143" i="64"/>
  <c r="AL143" i="64"/>
  <c r="AM143" i="64"/>
  <c r="AN143" i="64"/>
  <c r="AO143" i="64"/>
  <c r="AP143" i="64"/>
  <c r="AQ143" i="64"/>
  <c r="AR143" i="64"/>
  <c r="AS143" i="64"/>
  <c r="AT143" i="64"/>
  <c r="AU143" i="64"/>
  <c r="AW143" i="64"/>
  <c r="AX143" i="64"/>
  <c r="AY143" i="64"/>
  <c r="BA143" i="64"/>
  <c r="BC143" i="64"/>
  <c r="A144" i="64"/>
  <c r="B144" i="64"/>
  <c r="D144" i="64"/>
  <c r="E144" i="64"/>
  <c r="F144" i="64"/>
  <c r="G144" i="64"/>
  <c r="H144" i="64"/>
  <c r="J144" i="64"/>
  <c r="K144" i="64"/>
  <c r="L144" i="64"/>
  <c r="M144" i="64"/>
  <c r="O144" i="64"/>
  <c r="P144" i="64"/>
  <c r="R144" i="64"/>
  <c r="S144" i="64"/>
  <c r="T144" i="64"/>
  <c r="U144" i="64"/>
  <c r="V144" i="64"/>
  <c r="W144" i="64"/>
  <c r="X144" i="64"/>
  <c r="Z144" i="64"/>
  <c r="AA144" i="64"/>
  <c r="AB144" i="64"/>
  <c r="AC144" i="64"/>
  <c r="AD144" i="64"/>
  <c r="AE144" i="64"/>
  <c r="AF144" i="64"/>
  <c r="AG144" i="64"/>
  <c r="AH144" i="64"/>
  <c r="AI144" i="64"/>
  <c r="AJ144" i="64"/>
  <c r="AK144" i="64"/>
  <c r="AL144" i="64"/>
  <c r="AM144" i="64"/>
  <c r="AN144" i="64"/>
  <c r="AO144" i="64"/>
  <c r="AP144" i="64"/>
  <c r="AQ144" i="64"/>
  <c r="AR144" i="64"/>
  <c r="AS144" i="64"/>
  <c r="AT144" i="64"/>
  <c r="AU144" i="64"/>
  <c r="AW144" i="64"/>
  <c r="AX144" i="64"/>
  <c r="AY144" i="64"/>
  <c r="BA144" i="64"/>
  <c r="BC144" i="64"/>
  <c r="A145" i="64"/>
  <c r="B145" i="64"/>
  <c r="D145" i="64"/>
  <c r="E145" i="64"/>
  <c r="F145" i="64"/>
  <c r="G145" i="64"/>
  <c r="H145" i="64"/>
  <c r="J145" i="64"/>
  <c r="K145" i="64"/>
  <c r="L145" i="64"/>
  <c r="M145" i="64"/>
  <c r="O145" i="64"/>
  <c r="P145" i="64"/>
  <c r="R145" i="64"/>
  <c r="S145" i="64"/>
  <c r="T145" i="64"/>
  <c r="U145" i="64"/>
  <c r="V145" i="64"/>
  <c r="W145" i="64"/>
  <c r="X145" i="64"/>
  <c r="Z145" i="64"/>
  <c r="AA145" i="64"/>
  <c r="AB145" i="64"/>
  <c r="AC145" i="64"/>
  <c r="AD145" i="64"/>
  <c r="AE145" i="64"/>
  <c r="AF145" i="64"/>
  <c r="AG145" i="64"/>
  <c r="AH145" i="64"/>
  <c r="AI145" i="64"/>
  <c r="AJ145" i="64"/>
  <c r="AK145" i="64"/>
  <c r="AL145" i="64"/>
  <c r="AM145" i="64"/>
  <c r="AN145" i="64"/>
  <c r="AO145" i="64"/>
  <c r="AP145" i="64"/>
  <c r="AQ145" i="64"/>
  <c r="AR145" i="64"/>
  <c r="AS145" i="64"/>
  <c r="AT145" i="64"/>
  <c r="AU145" i="64"/>
  <c r="AW145" i="64"/>
  <c r="AX145" i="64"/>
  <c r="AY145" i="64"/>
  <c r="BA145" i="64"/>
  <c r="BC145" i="64"/>
  <c r="A146" i="64"/>
  <c r="B146" i="64"/>
  <c r="D146" i="64"/>
  <c r="E146" i="64"/>
  <c r="F146" i="64"/>
  <c r="G146" i="64"/>
  <c r="H146" i="64"/>
  <c r="J146" i="64"/>
  <c r="K146" i="64"/>
  <c r="L146" i="64"/>
  <c r="M146" i="64"/>
  <c r="O146" i="64"/>
  <c r="P146" i="64"/>
  <c r="R146" i="64"/>
  <c r="S146" i="64"/>
  <c r="T146" i="64"/>
  <c r="U146" i="64"/>
  <c r="V146" i="64"/>
  <c r="W146" i="64"/>
  <c r="X146" i="64"/>
  <c r="Z146" i="64"/>
  <c r="AA146" i="64"/>
  <c r="AB146" i="64"/>
  <c r="AC146" i="64"/>
  <c r="AD146" i="64"/>
  <c r="AE146" i="64"/>
  <c r="AF146" i="64"/>
  <c r="AG146" i="64"/>
  <c r="AH146" i="64"/>
  <c r="AI146" i="64"/>
  <c r="AJ146" i="64"/>
  <c r="AK146" i="64"/>
  <c r="AL146" i="64"/>
  <c r="AM146" i="64"/>
  <c r="AN146" i="64"/>
  <c r="AO146" i="64"/>
  <c r="AP146" i="64"/>
  <c r="AQ146" i="64"/>
  <c r="AR146" i="64"/>
  <c r="AS146" i="64"/>
  <c r="AT146" i="64"/>
  <c r="AU146" i="64"/>
  <c r="AW146" i="64"/>
  <c r="AX146" i="64"/>
  <c r="AY146" i="64"/>
  <c r="BA146" i="64"/>
  <c r="BC146" i="64"/>
  <c r="A147" i="64"/>
  <c r="B147" i="64"/>
  <c r="D147" i="64"/>
  <c r="E147" i="64"/>
  <c r="F147" i="64"/>
  <c r="G147" i="64"/>
  <c r="H147" i="64"/>
  <c r="J147" i="64"/>
  <c r="K147" i="64"/>
  <c r="L147" i="64"/>
  <c r="M147" i="64"/>
  <c r="O147" i="64"/>
  <c r="P147" i="64"/>
  <c r="R147" i="64"/>
  <c r="S147" i="64"/>
  <c r="T147" i="64"/>
  <c r="U147" i="64"/>
  <c r="V147" i="64"/>
  <c r="W147" i="64"/>
  <c r="X147" i="64"/>
  <c r="Z147" i="64"/>
  <c r="AA147" i="64"/>
  <c r="AB147" i="64"/>
  <c r="AC147" i="64"/>
  <c r="AD147" i="64"/>
  <c r="AE147" i="64"/>
  <c r="AF147" i="64"/>
  <c r="AG147" i="64"/>
  <c r="AH147" i="64"/>
  <c r="AI147" i="64"/>
  <c r="AJ147" i="64"/>
  <c r="AK147" i="64"/>
  <c r="AL147" i="64"/>
  <c r="AM147" i="64"/>
  <c r="AN147" i="64"/>
  <c r="AO147" i="64"/>
  <c r="AP147" i="64"/>
  <c r="AQ147" i="64"/>
  <c r="AR147" i="64"/>
  <c r="AS147" i="64"/>
  <c r="AT147" i="64"/>
  <c r="AU147" i="64"/>
  <c r="AW147" i="64"/>
  <c r="AX147" i="64"/>
  <c r="AY147" i="64"/>
  <c r="BA147" i="64"/>
  <c r="BC147" i="64"/>
  <c r="A148" i="64"/>
  <c r="B148" i="64"/>
  <c r="D148" i="64"/>
  <c r="E148" i="64"/>
  <c r="F148" i="64"/>
  <c r="G148" i="64"/>
  <c r="H148" i="64"/>
  <c r="J148" i="64"/>
  <c r="K148" i="64"/>
  <c r="L148" i="64"/>
  <c r="M148" i="64"/>
  <c r="O148" i="64"/>
  <c r="P148" i="64"/>
  <c r="R148" i="64"/>
  <c r="S148" i="64"/>
  <c r="T148" i="64"/>
  <c r="U148" i="64"/>
  <c r="V148" i="64"/>
  <c r="W148" i="64"/>
  <c r="X148" i="64"/>
  <c r="Z148" i="64"/>
  <c r="AA148" i="64"/>
  <c r="AB148" i="64"/>
  <c r="AC148" i="64"/>
  <c r="AD148" i="64"/>
  <c r="AE148" i="64"/>
  <c r="AF148" i="64"/>
  <c r="AG148" i="64"/>
  <c r="AH148" i="64"/>
  <c r="AI148" i="64"/>
  <c r="AJ148" i="64"/>
  <c r="AK148" i="64"/>
  <c r="AL148" i="64"/>
  <c r="AM148" i="64"/>
  <c r="AN148" i="64"/>
  <c r="AO148" i="64"/>
  <c r="AP148" i="64"/>
  <c r="AQ148" i="64"/>
  <c r="AR148" i="64"/>
  <c r="AS148" i="64"/>
  <c r="AT148" i="64"/>
  <c r="AU148" i="64"/>
  <c r="AW148" i="64"/>
  <c r="AX148" i="64"/>
  <c r="AY148" i="64"/>
  <c r="BA148" i="64"/>
  <c r="BC148" i="64"/>
  <c r="A149" i="64"/>
  <c r="B149" i="64"/>
  <c r="D149" i="64"/>
  <c r="E149" i="64"/>
  <c r="F149" i="64"/>
  <c r="G149" i="64"/>
  <c r="H149" i="64"/>
  <c r="J149" i="64"/>
  <c r="K149" i="64"/>
  <c r="L149" i="64"/>
  <c r="M149" i="64"/>
  <c r="O149" i="64"/>
  <c r="P149" i="64"/>
  <c r="R149" i="64"/>
  <c r="S149" i="64"/>
  <c r="T149" i="64"/>
  <c r="U149" i="64"/>
  <c r="V149" i="64"/>
  <c r="W149" i="64"/>
  <c r="X149" i="64"/>
  <c r="Z149" i="64"/>
  <c r="AA149" i="64"/>
  <c r="AB149" i="64"/>
  <c r="AC149" i="64"/>
  <c r="AD149" i="64"/>
  <c r="AE149" i="64"/>
  <c r="AF149" i="64"/>
  <c r="AG149" i="64"/>
  <c r="AH149" i="64"/>
  <c r="AI149" i="64"/>
  <c r="AJ149" i="64"/>
  <c r="AK149" i="64"/>
  <c r="AL149" i="64"/>
  <c r="AM149" i="64"/>
  <c r="AN149" i="64"/>
  <c r="AO149" i="64"/>
  <c r="AP149" i="64"/>
  <c r="AQ149" i="64"/>
  <c r="AR149" i="64"/>
  <c r="AS149" i="64"/>
  <c r="AT149" i="64"/>
  <c r="AU149" i="64"/>
  <c r="AW149" i="64"/>
  <c r="AX149" i="64"/>
  <c r="AY149" i="64"/>
  <c r="BA149" i="64"/>
  <c r="BC149" i="64"/>
  <c r="A150" i="64"/>
  <c r="B150" i="64"/>
  <c r="D150" i="64"/>
  <c r="E150" i="64"/>
  <c r="F150" i="64"/>
  <c r="G150" i="64"/>
  <c r="H150" i="64"/>
  <c r="J150" i="64"/>
  <c r="K150" i="64"/>
  <c r="L150" i="64"/>
  <c r="M150" i="64"/>
  <c r="O150" i="64"/>
  <c r="P150" i="64"/>
  <c r="R150" i="64"/>
  <c r="S150" i="64"/>
  <c r="T150" i="64"/>
  <c r="U150" i="64"/>
  <c r="V150" i="64"/>
  <c r="W150" i="64"/>
  <c r="X150" i="64"/>
  <c r="Z150" i="64"/>
  <c r="AA150" i="64"/>
  <c r="AB150" i="64"/>
  <c r="AC150" i="64"/>
  <c r="AD150" i="64"/>
  <c r="AE150" i="64"/>
  <c r="AF150" i="64"/>
  <c r="AG150" i="64"/>
  <c r="AH150" i="64"/>
  <c r="AI150" i="64"/>
  <c r="AJ150" i="64"/>
  <c r="AK150" i="64"/>
  <c r="AL150" i="64"/>
  <c r="AM150" i="64"/>
  <c r="AN150" i="64"/>
  <c r="AO150" i="64"/>
  <c r="AP150" i="64"/>
  <c r="AQ150" i="64"/>
  <c r="AR150" i="64"/>
  <c r="AS150" i="64"/>
  <c r="AT150" i="64"/>
  <c r="AU150" i="64"/>
  <c r="AW150" i="64"/>
  <c r="AX150" i="64"/>
  <c r="AY150" i="64"/>
  <c r="BA150" i="64"/>
  <c r="BC150" i="64"/>
  <c r="A151" i="64"/>
  <c r="B151" i="64"/>
  <c r="D151" i="64"/>
  <c r="E151" i="64"/>
  <c r="F151" i="64"/>
  <c r="G151" i="64"/>
  <c r="H151" i="64"/>
  <c r="J151" i="64"/>
  <c r="K151" i="64"/>
  <c r="L151" i="64"/>
  <c r="M151" i="64"/>
  <c r="O151" i="64"/>
  <c r="P151" i="64"/>
  <c r="R151" i="64"/>
  <c r="S151" i="64"/>
  <c r="T151" i="64"/>
  <c r="U151" i="64"/>
  <c r="V151" i="64"/>
  <c r="W151" i="64"/>
  <c r="X151" i="64"/>
  <c r="Z151" i="64"/>
  <c r="AA151" i="64"/>
  <c r="AB151" i="64"/>
  <c r="AC151" i="64"/>
  <c r="AD151" i="64"/>
  <c r="AE151" i="64"/>
  <c r="AF151" i="64"/>
  <c r="AG151" i="64"/>
  <c r="AH151" i="64"/>
  <c r="AI151" i="64"/>
  <c r="AJ151" i="64"/>
  <c r="AK151" i="64"/>
  <c r="AL151" i="64"/>
  <c r="AM151" i="64"/>
  <c r="AN151" i="64"/>
  <c r="AO151" i="64"/>
  <c r="AP151" i="64"/>
  <c r="AQ151" i="64"/>
  <c r="AR151" i="64"/>
  <c r="AS151" i="64"/>
  <c r="AT151" i="64"/>
  <c r="AU151" i="64"/>
  <c r="AW151" i="64"/>
  <c r="AX151" i="64"/>
  <c r="AY151" i="64"/>
  <c r="BA151" i="64"/>
  <c r="BC151" i="64"/>
  <c r="A152" i="64"/>
  <c r="B152" i="64"/>
  <c r="D152" i="64"/>
  <c r="E152" i="64"/>
  <c r="F152" i="64"/>
  <c r="G152" i="64"/>
  <c r="H152" i="64"/>
  <c r="J152" i="64"/>
  <c r="K152" i="64"/>
  <c r="L152" i="64"/>
  <c r="M152" i="64"/>
  <c r="O152" i="64"/>
  <c r="P152" i="64"/>
  <c r="R152" i="64"/>
  <c r="S152" i="64"/>
  <c r="T152" i="64"/>
  <c r="U152" i="64"/>
  <c r="V152" i="64"/>
  <c r="W152" i="64"/>
  <c r="X152" i="64"/>
  <c r="Z152" i="64"/>
  <c r="AA152" i="64"/>
  <c r="AB152" i="64"/>
  <c r="AC152" i="64"/>
  <c r="AD152" i="64"/>
  <c r="AE152" i="64"/>
  <c r="AF152" i="64"/>
  <c r="AG152" i="64"/>
  <c r="AH152" i="64"/>
  <c r="AI152" i="64"/>
  <c r="AJ152" i="64"/>
  <c r="AK152" i="64"/>
  <c r="AL152" i="64"/>
  <c r="AM152" i="64"/>
  <c r="AN152" i="64"/>
  <c r="AO152" i="64"/>
  <c r="AP152" i="64"/>
  <c r="AQ152" i="64"/>
  <c r="AR152" i="64"/>
  <c r="AS152" i="64"/>
  <c r="AT152" i="64"/>
  <c r="AU152" i="64"/>
  <c r="AW152" i="64"/>
  <c r="AX152" i="64"/>
  <c r="AY152" i="64"/>
  <c r="BA152" i="64"/>
  <c r="BC152" i="64"/>
  <c r="A153" i="64"/>
  <c r="B153" i="64"/>
  <c r="D153" i="64"/>
  <c r="E153" i="64"/>
  <c r="F153" i="64"/>
  <c r="G153" i="64"/>
  <c r="H153" i="64"/>
  <c r="J153" i="64"/>
  <c r="K153" i="64"/>
  <c r="L153" i="64"/>
  <c r="M153" i="64"/>
  <c r="O153" i="64"/>
  <c r="P153" i="64"/>
  <c r="R153" i="64"/>
  <c r="S153" i="64"/>
  <c r="T153" i="64"/>
  <c r="U153" i="64"/>
  <c r="V153" i="64"/>
  <c r="W153" i="64"/>
  <c r="X153" i="64"/>
  <c r="Z153" i="64"/>
  <c r="AA153" i="64"/>
  <c r="AB153" i="64"/>
  <c r="AC153" i="64"/>
  <c r="AD153" i="64"/>
  <c r="AE153" i="64"/>
  <c r="AF153" i="64"/>
  <c r="AG153" i="64"/>
  <c r="AH153" i="64"/>
  <c r="AI153" i="64"/>
  <c r="AJ153" i="64"/>
  <c r="AK153" i="64"/>
  <c r="AL153" i="64"/>
  <c r="AM153" i="64"/>
  <c r="AN153" i="64"/>
  <c r="AO153" i="64"/>
  <c r="AP153" i="64"/>
  <c r="AQ153" i="64"/>
  <c r="AR153" i="64"/>
  <c r="AS153" i="64"/>
  <c r="AT153" i="64"/>
  <c r="AU153" i="64"/>
  <c r="AW153" i="64"/>
  <c r="AX153" i="64"/>
  <c r="AY153" i="64"/>
  <c r="BA153" i="64"/>
  <c r="BC153" i="64"/>
  <c r="A154" i="64"/>
  <c r="B154" i="64"/>
  <c r="D154" i="64"/>
  <c r="E154" i="64"/>
  <c r="F154" i="64"/>
  <c r="G154" i="64"/>
  <c r="H154" i="64"/>
  <c r="J154" i="64"/>
  <c r="K154" i="64"/>
  <c r="L154" i="64"/>
  <c r="M154" i="64"/>
  <c r="O154" i="64"/>
  <c r="P154" i="64"/>
  <c r="R154" i="64"/>
  <c r="S154" i="64"/>
  <c r="T154" i="64"/>
  <c r="U154" i="64"/>
  <c r="V154" i="64"/>
  <c r="W154" i="64"/>
  <c r="X154" i="64"/>
  <c r="Z154" i="64"/>
  <c r="AA154" i="64"/>
  <c r="AB154" i="64"/>
  <c r="AC154" i="64"/>
  <c r="AD154" i="64"/>
  <c r="AE154" i="64"/>
  <c r="AF154" i="64"/>
  <c r="AG154" i="64"/>
  <c r="AH154" i="64"/>
  <c r="AI154" i="64"/>
  <c r="AJ154" i="64"/>
  <c r="AK154" i="64"/>
  <c r="AL154" i="64"/>
  <c r="AM154" i="64"/>
  <c r="AN154" i="64"/>
  <c r="AO154" i="64"/>
  <c r="AP154" i="64"/>
  <c r="AQ154" i="64"/>
  <c r="AR154" i="64"/>
  <c r="AS154" i="64"/>
  <c r="AT154" i="64"/>
  <c r="AU154" i="64"/>
  <c r="AW154" i="64"/>
  <c r="AX154" i="64"/>
  <c r="AY154" i="64"/>
  <c r="BA154" i="64"/>
  <c r="BC154" i="64"/>
  <c r="A155" i="64"/>
  <c r="B155" i="64"/>
  <c r="D155" i="64"/>
  <c r="E155" i="64"/>
  <c r="F155" i="64"/>
  <c r="G155" i="64"/>
  <c r="H155" i="64"/>
  <c r="J155" i="64"/>
  <c r="K155" i="64"/>
  <c r="L155" i="64"/>
  <c r="M155" i="64"/>
  <c r="O155" i="64"/>
  <c r="P155" i="64"/>
  <c r="R155" i="64"/>
  <c r="S155" i="64"/>
  <c r="T155" i="64"/>
  <c r="U155" i="64"/>
  <c r="V155" i="64"/>
  <c r="W155" i="64"/>
  <c r="X155" i="64"/>
  <c r="Z155" i="64"/>
  <c r="AA155" i="64"/>
  <c r="AB155" i="64"/>
  <c r="AC155" i="64"/>
  <c r="AD155" i="64"/>
  <c r="AE155" i="64"/>
  <c r="AF155" i="64"/>
  <c r="AG155" i="64"/>
  <c r="AH155" i="64"/>
  <c r="AI155" i="64"/>
  <c r="AJ155" i="64"/>
  <c r="AK155" i="64"/>
  <c r="AL155" i="64"/>
  <c r="AM155" i="64"/>
  <c r="AN155" i="64"/>
  <c r="AO155" i="64"/>
  <c r="AP155" i="64"/>
  <c r="AQ155" i="64"/>
  <c r="AR155" i="64"/>
  <c r="AS155" i="64"/>
  <c r="AT155" i="64"/>
  <c r="AU155" i="64"/>
  <c r="AW155" i="64"/>
  <c r="AX155" i="64"/>
  <c r="AY155" i="64"/>
  <c r="BA155" i="64"/>
  <c r="BC155" i="64"/>
  <c r="A156" i="64"/>
  <c r="B156" i="64"/>
  <c r="D156" i="64"/>
  <c r="E156" i="64"/>
  <c r="F156" i="64"/>
  <c r="G156" i="64"/>
  <c r="H156" i="64"/>
  <c r="J156" i="64"/>
  <c r="K156" i="64"/>
  <c r="L156" i="64"/>
  <c r="M156" i="64"/>
  <c r="O156" i="64"/>
  <c r="P156" i="64"/>
  <c r="R156" i="64"/>
  <c r="S156" i="64"/>
  <c r="T156" i="64"/>
  <c r="U156" i="64"/>
  <c r="V156" i="64"/>
  <c r="W156" i="64"/>
  <c r="X156" i="64"/>
  <c r="Z156" i="64"/>
  <c r="AA156" i="64"/>
  <c r="AB156" i="64"/>
  <c r="AC156" i="64"/>
  <c r="AD156" i="64"/>
  <c r="AE156" i="64"/>
  <c r="AF156" i="64"/>
  <c r="AG156" i="64"/>
  <c r="AH156" i="64"/>
  <c r="AI156" i="64"/>
  <c r="AJ156" i="64"/>
  <c r="AK156" i="64"/>
  <c r="AL156" i="64"/>
  <c r="AM156" i="64"/>
  <c r="AN156" i="64"/>
  <c r="AO156" i="64"/>
  <c r="AP156" i="64"/>
  <c r="AQ156" i="64"/>
  <c r="AR156" i="64"/>
  <c r="AS156" i="64"/>
  <c r="AT156" i="64"/>
  <c r="AU156" i="64"/>
  <c r="AW156" i="64"/>
  <c r="AX156" i="64"/>
  <c r="AY156" i="64"/>
  <c r="BA156" i="64"/>
  <c r="BC156" i="64"/>
  <c r="A157" i="64"/>
  <c r="B157" i="64"/>
  <c r="D157" i="64"/>
  <c r="E157" i="64"/>
  <c r="F157" i="64"/>
  <c r="G157" i="64"/>
  <c r="H157" i="64"/>
  <c r="J157" i="64"/>
  <c r="K157" i="64"/>
  <c r="L157" i="64"/>
  <c r="M157" i="64"/>
  <c r="O157" i="64"/>
  <c r="P157" i="64"/>
  <c r="R157" i="64"/>
  <c r="S157" i="64"/>
  <c r="T157" i="64"/>
  <c r="U157" i="64"/>
  <c r="V157" i="64"/>
  <c r="W157" i="64"/>
  <c r="X157" i="64"/>
  <c r="Z157" i="64"/>
  <c r="AA157" i="64"/>
  <c r="AB157" i="64"/>
  <c r="AC157" i="64"/>
  <c r="AD157" i="64"/>
  <c r="AE157" i="64"/>
  <c r="AF157" i="64"/>
  <c r="AG157" i="64"/>
  <c r="AH157" i="64"/>
  <c r="AI157" i="64"/>
  <c r="AJ157" i="64"/>
  <c r="AK157" i="64"/>
  <c r="AL157" i="64"/>
  <c r="AM157" i="64"/>
  <c r="AN157" i="64"/>
  <c r="AO157" i="64"/>
  <c r="AP157" i="64"/>
  <c r="AQ157" i="64"/>
  <c r="AR157" i="64"/>
  <c r="AS157" i="64"/>
  <c r="AT157" i="64"/>
  <c r="AU157" i="64"/>
  <c r="AW157" i="64"/>
  <c r="AX157" i="64"/>
  <c r="AY157" i="64"/>
  <c r="BA157" i="64"/>
  <c r="BC157" i="64"/>
  <c r="A158" i="64"/>
  <c r="B158" i="64"/>
  <c r="D158" i="64"/>
  <c r="E158" i="64"/>
  <c r="F158" i="64"/>
  <c r="G158" i="64"/>
  <c r="H158" i="64"/>
  <c r="J158" i="64"/>
  <c r="K158" i="64"/>
  <c r="L158" i="64"/>
  <c r="M158" i="64"/>
  <c r="O158" i="64"/>
  <c r="P158" i="64"/>
  <c r="R158" i="64"/>
  <c r="S158" i="64"/>
  <c r="T158" i="64"/>
  <c r="U158" i="64"/>
  <c r="V158" i="64"/>
  <c r="W158" i="64"/>
  <c r="X158" i="64"/>
  <c r="Z158" i="64"/>
  <c r="AA158" i="64"/>
  <c r="AB158" i="64"/>
  <c r="AC158" i="64"/>
  <c r="AD158" i="64"/>
  <c r="AE158" i="64"/>
  <c r="AF158" i="64"/>
  <c r="AG158" i="64"/>
  <c r="AH158" i="64"/>
  <c r="AI158" i="64"/>
  <c r="AJ158" i="64"/>
  <c r="AK158" i="64"/>
  <c r="AL158" i="64"/>
  <c r="AM158" i="64"/>
  <c r="AN158" i="64"/>
  <c r="AO158" i="64"/>
  <c r="AP158" i="64"/>
  <c r="AQ158" i="64"/>
  <c r="AR158" i="64"/>
  <c r="AS158" i="64"/>
  <c r="AT158" i="64"/>
  <c r="AU158" i="64"/>
  <c r="AW158" i="64"/>
  <c r="AX158" i="64"/>
  <c r="AY158" i="64"/>
  <c r="BA158" i="64"/>
  <c r="BC158" i="64"/>
  <c r="A159" i="64"/>
  <c r="B159" i="64"/>
  <c r="D159" i="64"/>
  <c r="E159" i="64"/>
  <c r="F159" i="64"/>
  <c r="G159" i="64"/>
  <c r="H159" i="64"/>
  <c r="J159" i="64"/>
  <c r="K159" i="64"/>
  <c r="L159" i="64"/>
  <c r="M159" i="64"/>
  <c r="O159" i="64"/>
  <c r="P159" i="64"/>
  <c r="R159" i="64"/>
  <c r="S159" i="64"/>
  <c r="T159" i="64"/>
  <c r="U159" i="64"/>
  <c r="V159" i="64"/>
  <c r="W159" i="64"/>
  <c r="X159" i="64"/>
  <c r="Z159" i="64"/>
  <c r="AA159" i="64"/>
  <c r="AB159" i="64"/>
  <c r="AC159" i="64"/>
  <c r="AD159" i="64"/>
  <c r="AE159" i="64"/>
  <c r="AF159" i="64"/>
  <c r="AG159" i="64"/>
  <c r="AH159" i="64"/>
  <c r="AI159" i="64"/>
  <c r="AJ159" i="64"/>
  <c r="AK159" i="64"/>
  <c r="AL159" i="64"/>
  <c r="AM159" i="64"/>
  <c r="AN159" i="64"/>
  <c r="AO159" i="64"/>
  <c r="AP159" i="64"/>
  <c r="AQ159" i="64"/>
  <c r="AR159" i="64"/>
  <c r="AS159" i="64"/>
  <c r="AT159" i="64"/>
  <c r="AU159" i="64"/>
  <c r="AW159" i="64"/>
  <c r="AX159" i="64"/>
  <c r="AY159" i="64"/>
  <c r="BA159" i="64"/>
  <c r="BC159" i="64"/>
  <c r="A160" i="64"/>
  <c r="B160" i="64"/>
  <c r="D160" i="64"/>
  <c r="E160" i="64"/>
  <c r="F160" i="64"/>
  <c r="G160" i="64"/>
  <c r="H160" i="64"/>
  <c r="J160" i="64"/>
  <c r="K160" i="64"/>
  <c r="L160" i="64"/>
  <c r="M160" i="64"/>
  <c r="O160" i="64"/>
  <c r="P160" i="64"/>
  <c r="R160" i="64"/>
  <c r="S160" i="64"/>
  <c r="T160" i="64"/>
  <c r="U160" i="64"/>
  <c r="V160" i="64"/>
  <c r="W160" i="64"/>
  <c r="X160" i="64"/>
  <c r="Z160" i="64"/>
  <c r="AA160" i="64"/>
  <c r="AB160" i="64"/>
  <c r="AC160" i="64"/>
  <c r="AD160" i="64"/>
  <c r="AE160" i="64"/>
  <c r="AF160" i="64"/>
  <c r="AG160" i="64"/>
  <c r="AH160" i="64"/>
  <c r="AI160" i="64"/>
  <c r="AJ160" i="64"/>
  <c r="AK160" i="64"/>
  <c r="AL160" i="64"/>
  <c r="AM160" i="64"/>
  <c r="AN160" i="64"/>
  <c r="AO160" i="64"/>
  <c r="AP160" i="64"/>
  <c r="AQ160" i="64"/>
  <c r="AR160" i="64"/>
  <c r="AS160" i="64"/>
  <c r="AT160" i="64"/>
  <c r="AU160" i="64"/>
  <c r="AW160" i="64"/>
  <c r="AX160" i="64"/>
  <c r="AY160" i="64"/>
  <c r="BA160" i="64"/>
  <c r="BC160" i="64"/>
  <c r="A161" i="64"/>
  <c r="B161" i="64"/>
  <c r="D161" i="64"/>
  <c r="E161" i="64"/>
  <c r="F161" i="64"/>
  <c r="G161" i="64"/>
  <c r="H161" i="64"/>
  <c r="J161" i="64"/>
  <c r="K161" i="64"/>
  <c r="L161" i="64"/>
  <c r="M161" i="64"/>
  <c r="O161" i="64"/>
  <c r="P161" i="64"/>
  <c r="R161" i="64"/>
  <c r="S161" i="64"/>
  <c r="T161" i="64"/>
  <c r="U161" i="64"/>
  <c r="V161" i="64"/>
  <c r="W161" i="64"/>
  <c r="X161" i="64"/>
  <c r="Z161" i="64"/>
  <c r="AA161" i="64"/>
  <c r="AB161" i="64"/>
  <c r="AC161" i="64"/>
  <c r="AD161" i="64"/>
  <c r="AE161" i="64"/>
  <c r="AF161" i="64"/>
  <c r="AG161" i="64"/>
  <c r="AH161" i="64"/>
  <c r="AI161" i="64"/>
  <c r="AJ161" i="64"/>
  <c r="AK161" i="64"/>
  <c r="AL161" i="64"/>
  <c r="AM161" i="64"/>
  <c r="AN161" i="64"/>
  <c r="AO161" i="64"/>
  <c r="AP161" i="64"/>
  <c r="AQ161" i="64"/>
  <c r="AR161" i="64"/>
  <c r="AS161" i="64"/>
  <c r="AT161" i="64"/>
  <c r="AU161" i="64"/>
  <c r="AW161" i="64"/>
  <c r="AX161" i="64"/>
  <c r="AY161" i="64"/>
  <c r="BA161" i="64"/>
  <c r="BC161" i="64"/>
  <c r="A162" i="64"/>
  <c r="B162" i="64"/>
  <c r="D162" i="64"/>
  <c r="E162" i="64"/>
  <c r="F162" i="64"/>
  <c r="G162" i="64"/>
  <c r="H162" i="64"/>
  <c r="J162" i="64"/>
  <c r="K162" i="64"/>
  <c r="L162" i="64"/>
  <c r="M162" i="64"/>
  <c r="O162" i="64"/>
  <c r="P162" i="64"/>
  <c r="R162" i="64"/>
  <c r="S162" i="64"/>
  <c r="T162" i="64"/>
  <c r="U162" i="64"/>
  <c r="V162" i="64"/>
  <c r="W162" i="64"/>
  <c r="X162" i="64"/>
  <c r="Z162" i="64"/>
  <c r="AA162" i="64"/>
  <c r="AB162" i="64"/>
  <c r="AC162" i="64"/>
  <c r="AD162" i="64"/>
  <c r="AE162" i="64"/>
  <c r="AF162" i="64"/>
  <c r="AG162" i="64"/>
  <c r="AH162" i="64"/>
  <c r="AI162" i="64"/>
  <c r="AJ162" i="64"/>
  <c r="AK162" i="64"/>
  <c r="AL162" i="64"/>
  <c r="AM162" i="64"/>
  <c r="AN162" i="64"/>
  <c r="AO162" i="64"/>
  <c r="AP162" i="64"/>
  <c r="AQ162" i="64"/>
  <c r="AR162" i="64"/>
  <c r="AS162" i="64"/>
  <c r="AT162" i="64"/>
  <c r="AU162" i="64"/>
  <c r="AW162" i="64"/>
  <c r="AX162" i="64"/>
  <c r="AY162" i="64"/>
  <c r="BA162" i="64"/>
  <c r="BC162" i="64"/>
  <c r="A163" i="64"/>
  <c r="B163" i="64"/>
  <c r="D163" i="64"/>
  <c r="E163" i="64"/>
  <c r="F163" i="64"/>
  <c r="G163" i="64"/>
  <c r="H163" i="64"/>
  <c r="J163" i="64"/>
  <c r="K163" i="64"/>
  <c r="L163" i="64"/>
  <c r="M163" i="64"/>
  <c r="O163" i="64"/>
  <c r="P163" i="64"/>
  <c r="R163" i="64"/>
  <c r="S163" i="64"/>
  <c r="T163" i="64"/>
  <c r="U163" i="64"/>
  <c r="V163" i="64"/>
  <c r="W163" i="64"/>
  <c r="X163" i="64"/>
  <c r="Z163" i="64"/>
  <c r="AA163" i="64"/>
  <c r="AB163" i="64"/>
  <c r="AC163" i="64"/>
  <c r="AD163" i="64"/>
  <c r="AE163" i="64"/>
  <c r="AF163" i="64"/>
  <c r="AG163" i="64"/>
  <c r="AH163" i="64"/>
  <c r="AI163" i="64"/>
  <c r="AJ163" i="64"/>
  <c r="AK163" i="64"/>
  <c r="AL163" i="64"/>
  <c r="AM163" i="64"/>
  <c r="AN163" i="64"/>
  <c r="AO163" i="64"/>
  <c r="AP163" i="64"/>
  <c r="AQ163" i="64"/>
  <c r="AR163" i="64"/>
  <c r="AS163" i="64"/>
  <c r="AT163" i="64"/>
  <c r="AU163" i="64"/>
  <c r="AW163" i="64"/>
  <c r="AX163" i="64"/>
  <c r="AY163" i="64"/>
  <c r="BA163" i="64"/>
  <c r="BC163" i="64"/>
  <c r="A164" i="64"/>
  <c r="B164" i="64"/>
  <c r="D164" i="64"/>
  <c r="E164" i="64"/>
  <c r="F164" i="64"/>
  <c r="G164" i="64"/>
  <c r="H164" i="64"/>
  <c r="J164" i="64"/>
  <c r="K164" i="64"/>
  <c r="L164" i="64"/>
  <c r="M164" i="64"/>
  <c r="O164" i="64"/>
  <c r="P164" i="64"/>
  <c r="R164" i="64"/>
  <c r="S164" i="64"/>
  <c r="T164" i="64"/>
  <c r="U164" i="64"/>
  <c r="V164" i="64"/>
  <c r="W164" i="64"/>
  <c r="X164" i="64"/>
  <c r="Z164" i="64"/>
  <c r="AA164" i="64"/>
  <c r="AB164" i="64"/>
  <c r="AC164" i="64"/>
  <c r="AD164" i="64"/>
  <c r="AE164" i="64"/>
  <c r="AF164" i="64"/>
  <c r="AG164" i="64"/>
  <c r="AH164" i="64"/>
  <c r="AI164" i="64"/>
  <c r="AJ164" i="64"/>
  <c r="AK164" i="64"/>
  <c r="AL164" i="64"/>
  <c r="AM164" i="64"/>
  <c r="AN164" i="64"/>
  <c r="AO164" i="64"/>
  <c r="AP164" i="64"/>
  <c r="AQ164" i="64"/>
  <c r="AR164" i="64"/>
  <c r="AS164" i="64"/>
  <c r="AT164" i="64"/>
  <c r="AU164" i="64"/>
  <c r="AW164" i="64"/>
  <c r="AX164" i="64"/>
  <c r="AY164" i="64"/>
  <c r="BA164" i="64"/>
  <c r="BC164" i="64"/>
  <c r="A165" i="64"/>
  <c r="B165" i="64"/>
  <c r="D165" i="64"/>
  <c r="E165" i="64"/>
  <c r="F165" i="64"/>
  <c r="G165" i="64"/>
  <c r="H165" i="64"/>
  <c r="J165" i="64"/>
  <c r="K165" i="64"/>
  <c r="L165" i="64"/>
  <c r="M165" i="64"/>
  <c r="O165" i="64"/>
  <c r="P165" i="64"/>
  <c r="R165" i="64"/>
  <c r="S165" i="64"/>
  <c r="T165" i="64"/>
  <c r="U165" i="64"/>
  <c r="V165" i="64"/>
  <c r="W165" i="64"/>
  <c r="X165" i="64"/>
  <c r="Z165" i="64"/>
  <c r="AA165" i="64"/>
  <c r="AB165" i="64"/>
  <c r="AC165" i="64"/>
  <c r="AD165" i="64"/>
  <c r="AE165" i="64"/>
  <c r="AF165" i="64"/>
  <c r="AG165" i="64"/>
  <c r="AH165" i="64"/>
  <c r="AI165" i="64"/>
  <c r="AJ165" i="64"/>
  <c r="AK165" i="64"/>
  <c r="AL165" i="64"/>
  <c r="AM165" i="64"/>
  <c r="AN165" i="64"/>
  <c r="AO165" i="64"/>
  <c r="AP165" i="64"/>
  <c r="AQ165" i="64"/>
  <c r="AR165" i="64"/>
  <c r="AS165" i="64"/>
  <c r="AT165" i="64"/>
  <c r="AU165" i="64"/>
  <c r="AW165" i="64"/>
  <c r="AX165" i="64"/>
  <c r="AY165" i="64"/>
  <c r="BA165" i="64"/>
  <c r="BC165" i="64"/>
  <c r="A166" i="64"/>
  <c r="B166" i="64"/>
  <c r="D166" i="64"/>
  <c r="E166" i="64"/>
  <c r="F166" i="64"/>
  <c r="G166" i="64"/>
  <c r="H166" i="64"/>
  <c r="J166" i="64"/>
  <c r="K166" i="64"/>
  <c r="L166" i="64"/>
  <c r="M166" i="64"/>
  <c r="O166" i="64"/>
  <c r="P166" i="64"/>
  <c r="R166" i="64"/>
  <c r="S166" i="64"/>
  <c r="T166" i="64"/>
  <c r="U166" i="64"/>
  <c r="V166" i="64"/>
  <c r="W166" i="64"/>
  <c r="X166" i="64"/>
  <c r="Z166" i="64"/>
  <c r="AA166" i="64"/>
  <c r="AB166" i="64"/>
  <c r="AC166" i="64"/>
  <c r="AD166" i="64"/>
  <c r="AE166" i="64"/>
  <c r="AF166" i="64"/>
  <c r="AG166" i="64"/>
  <c r="AH166" i="64"/>
  <c r="AI166" i="64"/>
  <c r="AJ166" i="64"/>
  <c r="AK166" i="64"/>
  <c r="AL166" i="64"/>
  <c r="AM166" i="64"/>
  <c r="AN166" i="64"/>
  <c r="AO166" i="64"/>
  <c r="AP166" i="64"/>
  <c r="AQ166" i="64"/>
  <c r="AR166" i="64"/>
  <c r="AS166" i="64"/>
  <c r="AT166" i="64"/>
  <c r="AU166" i="64"/>
  <c r="AW166" i="64"/>
  <c r="AX166" i="64"/>
  <c r="AY166" i="64"/>
  <c r="BA166" i="64"/>
  <c r="BC166" i="64"/>
  <c r="A167" i="64"/>
  <c r="B167" i="64"/>
  <c r="D167" i="64"/>
  <c r="E167" i="64"/>
  <c r="F167" i="64"/>
  <c r="G167" i="64"/>
  <c r="H167" i="64"/>
  <c r="J167" i="64"/>
  <c r="K167" i="64"/>
  <c r="L167" i="64"/>
  <c r="M167" i="64"/>
  <c r="O167" i="64"/>
  <c r="P167" i="64"/>
  <c r="R167" i="64"/>
  <c r="S167" i="64"/>
  <c r="T167" i="64"/>
  <c r="U167" i="64"/>
  <c r="V167" i="64"/>
  <c r="W167" i="64"/>
  <c r="X167" i="64"/>
  <c r="Z167" i="64"/>
  <c r="AA167" i="64"/>
  <c r="AB167" i="64"/>
  <c r="AC167" i="64"/>
  <c r="AD167" i="64"/>
  <c r="AE167" i="64"/>
  <c r="AF167" i="64"/>
  <c r="AG167" i="64"/>
  <c r="AH167" i="64"/>
  <c r="AI167" i="64"/>
  <c r="AJ167" i="64"/>
  <c r="AK167" i="64"/>
  <c r="AL167" i="64"/>
  <c r="AM167" i="64"/>
  <c r="AN167" i="64"/>
  <c r="AO167" i="64"/>
  <c r="AP167" i="64"/>
  <c r="AQ167" i="64"/>
  <c r="AR167" i="64"/>
  <c r="AS167" i="64"/>
  <c r="AT167" i="64"/>
  <c r="AU167" i="64"/>
  <c r="AW167" i="64"/>
  <c r="AX167" i="64"/>
  <c r="AY167" i="64"/>
  <c r="BA167" i="64"/>
  <c r="BC167" i="64"/>
  <c r="A168" i="64"/>
  <c r="B168" i="64"/>
  <c r="D168" i="64"/>
  <c r="E168" i="64"/>
  <c r="F168" i="64"/>
  <c r="G168" i="64"/>
  <c r="H168" i="64"/>
  <c r="J168" i="64"/>
  <c r="K168" i="64"/>
  <c r="L168" i="64"/>
  <c r="M168" i="64"/>
  <c r="O168" i="64"/>
  <c r="P168" i="64"/>
  <c r="R168" i="64"/>
  <c r="S168" i="64"/>
  <c r="T168" i="64"/>
  <c r="U168" i="64"/>
  <c r="V168" i="64"/>
  <c r="W168" i="64"/>
  <c r="X168" i="64"/>
  <c r="Z168" i="64"/>
  <c r="AA168" i="64"/>
  <c r="AB168" i="64"/>
  <c r="AC168" i="64"/>
  <c r="AD168" i="64"/>
  <c r="AE168" i="64"/>
  <c r="AF168" i="64"/>
  <c r="AG168" i="64"/>
  <c r="AH168" i="64"/>
  <c r="AI168" i="64"/>
  <c r="AJ168" i="64"/>
  <c r="AK168" i="64"/>
  <c r="AL168" i="64"/>
  <c r="AM168" i="64"/>
  <c r="AN168" i="64"/>
  <c r="AO168" i="64"/>
  <c r="AP168" i="64"/>
  <c r="AQ168" i="64"/>
  <c r="AR168" i="64"/>
  <c r="AS168" i="64"/>
  <c r="AT168" i="64"/>
  <c r="AU168" i="64"/>
  <c r="AW168" i="64"/>
  <c r="AX168" i="64"/>
  <c r="AY168" i="64"/>
  <c r="BA168" i="64"/>
  <c r="BC168" i="64"/>
  <c r="A169" i="64"/>
  <c r="B169" i="64"/>
  <c r="D169" i="64"/>
  <c r="E169" i="64"/>
  <c r="F169" i="64"/>
  <c r="G169" i="64"/>
  <c r="H169" i="64"/>
  <c r="J169" i="64"/>
  <c r="K169" i="64"/>
  <c r="L169" i="64"/>
  <c r="M169" i="64"/>
  <c r="O169" i="64"/>
  <c r="P169" i="64"/>
  <c r="R169" i="64"/>
  <c r="S169" i="64"/>
  <c r="T169" i="64"/>
  <c r="U169" i="64"/>
  <c r="V169" i="64"/>
  <c r="W169" i="64"/>
  <c r="X169" i="64"/>
  <c r="Z169" i="64"/>
  <c r="AA169" i="64"/>
  <c r="AB169" i="64"/>
  <c r="AC169" i="64"/>
  <c r="AD169" i="64"/>
  <c r="AE169" i="64"/>
  <c r="AF169" i="64"/>
  <c r="AG169" i="64"/>
  <c r="AH169" i="64"/>
  <c r="AI169" i="64"/>
  <c r="AJ169" i="64"/>
  <c r="AK169" i="64"/>
  <c r="AL169" i="64"/>
  <c r="AM169" i="64"/>
  <c r="AN169" i="64"/>
  <c r="AO169" i="64"/>
  <c r="AP169" i="64"/>
  <c r="AQ169" i="64"/>
  <c r="AR169" i="64"/>
  <c r="AS169" i="64"/>
  <c r="AT169" i="64"/>
  <c r="AU169" i="64"/>
  <c r="AW169" i="64"/>
  <c r="AX169" i="64"/>
  <c r="AY169" i="64"/>
  <c r="BA169" i="64"/>
  <c r="BC169" i="64"/>
  <c r="A170" i="64"/>
  <c r="B170" i="64"/>
  <c r="D170" i="64"/>
  <c r="E170" i="64"/>
  <c r="F170" i="64"/>
  <c r="G170" i="64"/>
  <c r="H170" i="64"/>
  <c r="J170" i="64"/>
  <c r="K170" i="64"/>
  <c r="L170" i="64"/>
  <c r="M170" i="64"/>
  <c r="O170" i="64"/>
  <c r="P170" i="64"/>
  <c r="R170" i="64"/>
  <c r="S170" i="64"/>
  <c r="T170" i="64"/>
  <c r="U170" i="64"/>
  <c r="V170" i="64"/>
  <c r="W170" i="64"/>
  <c r="X170" i="64"/>
  <c r="Z170" i="64"/>
  <c r="AA170" i="64"/>
  <c r="AB170" i="64"/>
  <c r="AC170" i="64"/>
  <c r="AD170" i="64"/>
  <c r="AE170" i="64"/>
  <c r="AF170" i="64"/>
  <c r="AG170" i="64"/>
  <c r="AH170" i="64"/>
  <c r="AI170" i="64"/>
  <c r="AJ170" i="64"/>
  <c r="AK170" i="64"/>
  <c r="AL170" i="64"/>
  <c r="AM170" i="64"/>
  <c r="AN170" i="64"/>
  <c r="AO170" i="64"/>
  <c r="AP170" i="64"/>
  <c r="AQ170" i="64"/>
  <c r="AR170" i="64"/>
  <c r="AS170" i="64"/>
  <c r="AT170" i="64"/>
  <c r="AU170" i="64"/>
  <c r="AW170" i="64"/>
  <c r="AX170" i="64"/>
  <c r="AY170" i="64"/>
  <c r="BA170" i="64"/>
  <c r="BC170" i="64"/>
  <c r="A171" i="64"/>
  <c r="B171" i="64"/>
  <c r="D171" i="64"/>
  <c r="E171" i="64"/>
  <c r="F171" i="64"/>
  <c r="G171" i="64"/>
  <c r="H171" i="64"/>
  <c r="J171" i="64"/>
  <c r="K171" i="64"/>
  <c r="L171" i="64"/>
  <c r="M171" i="64"/>
  <c r="O171" i="64"/>
  <c r="P171" i="64"/>
  <c r="R171" i="64"/>
  <c r="S171" i="64"/>
  <c r="T171" i="64"/>
  <c r="U171" i="64"/>
  <c r="V171" i="64"/>
  <c r="W171" i="64"/>
  <c r="X171" i="64"/>
  <c r="Z171" i="64"/>
  <c r="AA171" i="64"/>
  <c r="AB171" i="64"/>
  <c r="AC171" i="64"/>
  <c r="AD171" i="64"/>
  <c r="AE171" i="64"/>
  <c r="AF171" i="64"/>
  <c r="AG171" i="64"/>
  <c r="AH171" i="64"/>
  <c r="AI171" i="64"/>
  <c r="AJ171" i="64"/>
  <c r="AK171" i="64"/>
  <c r="AL171" i="64"/>
  <c r="AM171" i="64"/>
  <c r="AN171" i="64"/>
  <c r="AO171" i="64"/>
  <c r="AP171" i="64"/>
  <c r="AQ171" i="64"/>
  <c r="AR171" i="64"/>
  <c r="AS171" i="64"/>
  <c r="AT171" i="64"/>
  <c r="AU171" i="64"/>
  <c r="AW171" i="64"/>
  <c r="AX171" i="64"/>
  <c r="AY171" i="64"/>
  <c r="BA171" i="64"/>
  <c r="BC171" i="64"/>
  <c r="A172" i="64"/>
  <c r="B172" i="64"/>
  <c r="D172" i="64"/>
  <c r="E172" i="64"/>
  <c r="F172" i="64"/>
  <c r="G172" i="64"/>
  <c r="H172" i="64"/>
  <c r="J172" i="64"/>
  <c r="K172" i="64"/>
  <c r="L172" i="64"/>
  <c r="M172" i="64"/>
  <c r="O172" i="64"/>
  <c r="P172" i="64"/>
  <c r="R172" i="64"/>
  <c r="S172" i="64"/>
  <c r="T172" i="64"/>
  <c r="U172" i="64"/>
  <c r="V172" i="64"/>
  <c r="W172" i="64"/>
  <c r="X172" i="64"/>
  <c r="Z172" i="64"/>
  <c r="AA172" i="64"/>
  <c r="AB172" i="64"/>
  <c r="AC172" i="64"/>
  <c r="AD172" i="64"/>
  <c r="AE172" i="64"/>
  <c r="AF172" i="64"/>
  <c r="AG172" i="64"/>
  <c r="AH172" i="64"/>
  <c r="AI172" i="64"/>
  <c r="AJ172" i="64"/>
  <c r="AK172" i="64"/>
  <c r="AL172" i="64"/>
  <c r="AM172" i="64"/>
  <c r="AN172" i="64"/>
  <c r="AO172" i="64"/>
  <c r="AP172" i="64"/>
  <c r="AQ172" i="64"/>
  <c r="AR172" i="64"/>
  <c r="AS172" i="64"/>
  <c r="AT172" i="64"/>
  <c r="AU172" i="64"/>
  <c r="AW172" i="64"/>
  <c r="AX172" i="64"/>
  <c r="AY172" i="64"/>
  <c r="BA172" i="64"/>
  <c r="BC172" i="64"/>
  <c r="A173" i="64"/>
  <c r="B173" i="64"/>
  <c r="D173" i="64"/>
  <c r="E173" i="64"/>
  <c r="F173" i="64"/>
  <c r="G173" i="64"/>
  <c r="H173" i="64"/>
  <c r="J173" i="64"/>
  <c r="K173" i="64"/>
  <c r="L173" i="64"/>
  <c r="M173" i="64"/>
  <c r="O173" i="64"/>
  <c r="P173" i="64"/>
  <c r="R173" i="64"/>
  <c r="S173" i="64"/>
  <c r="T173" i="64"/>
  <c r="U173" i="64"/>
  <c r="V173" i="64"/>
  <c r="W173" i="64"/>
  <c r="X173" i="64"/>
  <c r="Z173" i="64"/>
  <c r="AA173" i="64"/>
  <c r="AB173" i="64"/>
  <c r="AC173" i="64"/>
  <c r="AD173" i="64"/>
  <c r="AE173" i="64"/>
  <c r="AF173" i="64"/>
  <c r="AG173" i="64"/>
  <c r="AH173" i="64"/>
  <c r="AI173" i="64"/>
  <c r="AJ173" i="64"/>
  <c r="AK173" i="64"/>
  <c r="AL173" i="64"/>
  <c r="AM173" i="64"/>
  <c r="AN173" i="64"/>
  <c r="AO173" i="64"/>
  <c r="AP173" i="64"/>
  <c r="AQ173" i="64"/>
  <c r="AR173" i="64"/>
  <c r="AS173" i="64"/>
  <c r="AT173" i="64"/>
  <c r="AU173" i="64"/>
  <c r="AW173" i="64"/>
  <c r="AX173" i="64"/>
  <c r="AY173" i="64"/>
  <c r="BA173" i="64"/>
  <c r="BC173" i="64"/>
  <c r="A174" i="64"/>
  <c r="B174" i="64"/>
  <c r="D174" i="64"/>
  <c r="E174" i="64"/>
  <c r="F174" i="64"/>
  <c r="G174" i="64"/>
  <c r="H174" i="64"/>
  <c r="J174" i="64"/>
  <c r="K174" i="64"/>
  <c r="L174" i="64"/>
  <c r="M174" i="64"/>
  <c r="O174" i="64"/>
  <c r="P174" i="64"/>
  <c r="R174" i="64"/>
  <c r="S174" i="64"/>
  <c r="T174" i="64"/>
  <c r="U174" i="64"/>
  <c r="V174" i="64"/>
  <c r="W174" i="64"/>
  <c r="X174" i="64"/>
  <c r="Z174" i="64"/>
  <c r="AA174" i="64"/>
  <c r="AB174" i="64"/>
  <c r="AC174" i="64"/>
  <c r="AD174" i="64"/>
  <c r="AE174" i="64"/>
  <c r="AF174" i="64"/>
  <c r="AG174" i="64"/>
  <c r="AH174" i="64"/>
  <c r="AI174" i="64"/>
  <c r="AJ174" i="64"/>
  <c r="AK174" i="64"/>
  <c r="AL174" i="64"/>
  <c r="AM174" i="64"/>
  <c r="AN174" i="64"/>
  <c r="AO174" i="64"/>
  <c r="AP174" i="64"/>
  <c r="AQ174" i="64"/>
  <c r="AR174" i="64"/>
  <c r="AS174" i="64"/>
  <c r="AT174" i="64"/>
  <c r="AU174" i="64"/>
  <c r="AW174" i="64"/>
  <c r="AX174" i="64"/>
  <c r="AY174" i="64"/>
  <c r="BA174" i="64"/>
  <c r="A175" i="64"/>
  <c r="B175" i="64"/>
  <c r="D175" i="64"/>
  <c r="E175" i="64"/>
  <c r="F175" i="64"/>
  <c r="G175" i="64"/>
  <c r="H175" i="64"/>
  <c r="J175" i="64"/>
  <c r="K175" i="64"/>
  <c r="L175" i="64"/>
  <c r="M175" i="64"/>
  <c r="O175" i="64"/>
  <c r="P175" i="64"/>
  <c r="R175" i="64"/>
  <c r="S175" i="64"/>
  <c r="T175" i="64"/>
  <c r="U175" i="64"/>
  <c r="V175" i="64"/>
  <c r="W175" i="64"/>
  <c r="X175" i="64"/>
  <c r="Z175" i="64"/>
  <c r="AA175" i="64"/>
  <c r="AB175" i="64"/>
  <c r="AC175" i="64"/>
  <c r="AD175" i="64"/>
  <c r="AE175" i="64"/>
  <c r="AF175" i="64"/>
  <c r="AG175" i="64"/>
  <c r="AH175" i="64"/>
  <c r="AI175" i="64"/>
  <c r="AJ175" i="64"/>
  <c r="AK175" i="64"/>
  <c r="AL175" i="64"/>
  <c r="AM175" i="64"/>
  <c r="AN175" i="64"/>
  <c r="AO175" i="64"/>
  <c r="AP175" i="64"/>
  <c r="AQ175" i="64"/>
  <c r="AR175" i="64"/>
  <c r="AS175" i="64"/>
  <c r="AT175" i="64"/>
  <c r="AU175" i="64"/>
  <c r="AW175" i="64"/>
  <c r="AX175" i="64"/>
  <c r="AY175" i="64"/>
  <c r="BA175" i="64"/>
  <c r="A176" i="64"/>
  <c r="B176" i="64"/>
  <c r="D176" i="64"/>
  <c r="E176" i="64"/>
  <c r="F176" i="64"/>
  <c r="G176" i="64"/>
  <c r="H176" i="64"/>
  <c r="J176" i="64"/>
  <c r="K176" i="64"/>
  <c r="L176" i="64"/>
  <c r="M176" i="64"/>
  <c r="O176" i="64"/>
  <c r="P176" i="64"/>
  <c r="R176" i="64"/>
  <c r="S176" i="64"/>
  <c r="T176" i="64"/>
  <c r="U176" i="64"/>
  <c r="V176" i="64"/>
  <c r="W176" i="64"/>
  <c r="X176" i="64"/>
  <c r="Z176" i="64"/>
  <c r="AA176" i="64"/>
  <c r="AB176" i="64"/>
  <c r="AC176" i="64"/>
  <c r="AD176" i="64"/>
  <c r="AE176" i="64"/>
  <c r="AF176" i="64"/>
  <c r="AG176" i="64"/>
  <c r="AH176" i="64"/>
  <c r="AI176" i="64"/>
  <c r="AJ176" i="64"/>
  <c r="AK176" i="64"/>
  <c r="AL176" i="64"/>
  <c r="AM176" i="64"/>
  <c r="AN176" i="64"/>
  <c r="AO176" i="64"/>
  <c r="AP176" i="64"/>
  <c r="AQ176" i="64"/>
  <c r="AR176" i="64"/>
  <c r="AS176" i="64"/>
  <c r="AT176" i="64"/>
  <c r="AU176" i="64"/>
  <c r="AW176" i="64"/>
  <c r="AX176" i="64"/>
  <c r="AY176" i="64"/>
  <c r="BA176" i="64"/>
  <c r="A177" i="64"/>
  <c r="B177" i="64"/>
  <c r="D177" i="64"/>
  <c r="E177" i="64"/>
  <c r="F177" i="64"/>
  <c r="G177" i="64"/>
  <c r="H177" i="64"/>
  <c r="J177" i="64"/>
  <c r="K177" i="64"/>
  <c r="L177" i="64"/>
  <c r="M177" i="64"/>
  <c r="O177" i="64"/>
  <c r="P177" i="64"/>
  <c r="R177" i="64"/>
  <c r="S177" i="64"/>
  <c r="T177" i="64"/>
  <c r="U177" i="64"/>
  <c r="V177" i="64"/>
  <c r="W177" i="64"/>
  <c r="X177" i="64"/>
  <c r="Z177" i="64"/>
  <c r="AA177" i="64"/>
  <c r="AB177" i="64"/>
  <c r="AC177" i="64"/>
  <c r="AD177" i="64"/>
  <c r="AE177" i="64"/>
  <c r="AF177" i="64"/>
  <c r="AG177" i="64"/>
  <c r="AH177" i="64"/>
  <c r="AI177" i="64"/>
  <c r="AJ177" i="64"/>
  <c r="AK177" i="64"/>
  <c r="AL177" i="64"/>
  <c r="AM177" i="64"/>
  <c r="AN177" i="64"/>
  <c r="AO177" i="64"/>
  <c r="AP177" i="64"/>
  <c r="AQ177" i="64"/>
  <c r="AR177" i="64"/>
  <c r="AS177" i="64"/>
  <c r="AT177" i="64"/>
  <c r="AU177" i="64"/>
  <c r="AW177" i="64"/>
  <c r="AX177" i="64"/>
  <c r="AY177" i="64"/>
  <c r="BA177" i="64"/>
  <c r="A178" i="64"/>
  <c r="B178" i="64"/>
  <c r="D178" i="64"/>
  <c r="E178" i="64"/>
  <c r="F178" i="64"/>
  <c r="G178" i="64"/>
  <c r="H178" i="64"/>
  <c r="J178" i="64"/>
  <c r="K178" i="64"/>
  <c r="L178" i="64"/>
  <c r="M178" i="64"/>
  <c r="O178" i="64"/>
  <c r="P178" i="64"/>
  <c r="R178" i="64"/>
  <c r="S178" i="64"/>
  <c r="T178" i="64"/>
  <c r="U178" i="64"/>
  <c r="V178" i="64"/>
  <c r="W178" i="64"/>
  <c r="X178" i="64"/>
  <c r="Z178" i="64"/>
  <c r="AA178" i="64"/>
  <c r="AB178" i="64"/>
  <c r="AC178" i="64"/>
  <c r="AD178" i="64"/>
  <c r="AE178" i="64"/>
  <c r="AF178" i="64"/>
  <c r="AG178" i="64"/>
  <c r="AH178" i="64"/>
  <c r="AI178" i="64"/>
  <c r="AJ178" i="64"/>
  <c r="AK178" i="64"/>
  <c r="AL178" i="64"/>
  <c r="AM178" i="64"/>
  <c r="AN178" i="64"/>
  <c r="AO178" i="64"/>
  <c r="AP178" i="64"/>
  <c r="AQ178" i="64"/>
  <c r="AR178" i="64"/>
  <c r="AS178" i="64"/>
  <c r="AT178" i="64"/>
  <c r="AU178" i="64"/>
  <c r="AW178" i="64"/>
  <c r="AX178" i="64"/>
  <c r="AY178" i="64"/>
  <c r="BA178" i="64"/>
  <c r="A179" i="64"/>
  <c r="B179" i="64"/>
  <c r="D179" i="64"/>
  <c r="E179" i="64"/>
  <c r="F179" i="64"/>
  <c r="G179" i="64"/>
  <c r="H179" i="64"/>
  <c r="J179" i="64"/>
  <c r="K179" i="64"/>
  <c r="L179" i="64"/>
  <c r="M179" i="64"/>
  <c r="O179" i="64"/>
  <c r="P179" i="64"/>
  <c r="R179" i="64"/>
  <c r="S179" i="64"/>
  <c r="T179" i="64"/>
  <c r="U179" i="64"/>
  <c r="V179" i="64"/>
  <c r="W179" i="64"/>
  <c r="X179" i="64"/>
  <c r="Z179" i="64"/>
  <c r="AA179" i="64"/>
  <c r="AB179" i="64"/>
  <c r="AC179" i="64"/>
  <c r="AD179" i="64"/>
  <c r="AE179" i="64"/>
  <c r="AF179" i="64"/>
  <c r="AG179" i="64"/>
  <c r="AH179" i="64"/>
  <c r="AI179" i="64"/>
  <c r="AJ179" i="64"/>
  <c r="AK179" i="64"/>
  <c r="AL179" i="64"/>
  <c r="AM179" i="64"/>
  <c r="AN179" i="64"/>
  <c r="AO179" i="64"/>
  <c r="AP179" i="64"/>
  <c r="AQ179" i="64"/>
  <c r="AR179" i="64"/>
  <c r="AS179" i="64"/>
  <c r="AT179" i="64"/>
  <c r="AU179" i="64"/>
  <c r="AW179" i="64"/>
  <c r="AX179" i="64"/>
  <c r="AY179" i="64"/>
  <c r="BA179" i="64"/>
  <c r="A180" i="64"/>
  <c r="B180" i="64"/>
  <c r="D180" i="64"/>
  <c r="E180" i="64"/>
  <c r="F180" i="64"/>
  <c r="G180" i="64"/>
  <c r="H180" i="64"/>
  <c r="J180" i="64"/>
  <c r="K180" i="64"/>
  <c r="L180" i="64"/>
  <c r="M180" i="64"/>
  <c r="O180" i="64"/>
  <c r="P180" i="64"/>
  <c r="R180" i="64"/>
  <c r="S180" i="64"/>
  <c r="T180" i="64"/>
  <c r="U180" i="64"/>
  <c r="V180" i="64"/>
  <c r="W180" i="64"/>
  <c r="X180" i="64"/>
  <c r="Z180" i="64"/>
  <c r="AA180" i="64"/>
  <c r="AB180" i="64"/>
  <c r="AC180" i="64"/>
  <c r="AD180" i="64"/>
  <c r="AE180" i="64"/>
  <c r="AF180" i="64"/>
  <c r="AG180" i="64"/>
  <c r="AH180" i="64"/>
  <c r="AI180" i="64"/>
  <c r="AJ180" i="64"/>
  <c r="AK180" i="64"/>
  <c r="AL180" i="64"/>
  <c r="AM180" i="64"/>
  <c r="AN180" i="64"/>
  <c r="AO180" i="64"/>
  <c r="AP180" i="64"/>
  <c r="AQ180" i="64"/>
  <c r="AR180" i="64"/>
  <c r="AS180" i="64"/>
  <c r="AT180" i="64"/>
  <c r="AU180" i="64"/>
  <c r="AW180" i="64"/>
  <c r="AX180" i="64"/>
  <c r="AY180" i="64"/>
  <c r="BA180" i="64"/>
  <c r="A181" i="64"/>
  <c r="B181" i="64"/>
  <c r="D181" i="64"/>
  <c r="E181" i="64"/>
  <c r="F181" i="64"/>
  <c r="G181" i="64"/>
  <c r="H181" i="64"/>
  <c r="J181" i="64"/>
  <c r="K181" i="64"/>
  <c r="L181" i="64"/>
  <c r="M181" i="64"/>
  <c r="O181" i="64"/>
  <c r="P181" i="64"/>
  <c r="R181" i="64"/>
  <c r="S181" i="64"/>
  <c r="T181" i="64"/>
  <c r="U181" i="64"/>
  <c r="V181" i="64"/>
  <c r="W181" i="64"/>
  <c r="X181" i="64"/>
  <c r="Z181" i="64"/>
  <c r="AA181" i="64"/>
  <c r="AB181" i="64"/>
  <c r="AC181" i="64"/>
  <c r="AD181" i="64"/>
  <c r="AE181" i="64"/>
  <c r="AF181" i="64"/>
  <c r="AG181" i="64"/>
  <c r="AH181" i="64"/>
  <c r="AI181" i="64"/>
  <c r="AJ181" i="64"/>
  <c r="AK181" i="64"/>
  <c r="AL181" i="64"/>
  <c r="AM181" i="64"/>
  <c r="AN181" i="64"/>
  <c r="AO181" i="64"/>
  <c r="AP181" i="64"/>
  <c r="AQ181" i="64"/>
  <c r="AR181" i="64"/>
  <c r="AS181" i="64"/>
  <c r="AT181" i="64"/>
  <c r="AU181" i="64"/>
  <c r="AW181" i="64"/>
  <c r="AX181" i="64"/>
  <c r="AY181" i="64"/>
  <c r="BA181" i="64"/>
  <c r="A182" i="64"/>
  <c r="B182" i="64"/>
  <c r="D182" i="64"/>
  <c r="E182" i="64"/>
  <c r="F182" i="64"/>
  <c r="G182" i="64"/>
  <c r="H182" i="64"/>
  <c r="J182" i="64"/>
  <c r="K182" i="64"/>
  <c r="L182" i="64"/>
  <c r="M182" i="64"/>
  <c r="O182" i="64"/>
  <c r="P182" i="64"/>
  <c r="R182" i="64"/>
  <c r="S182" i="64"/>
  <c r="T182" i="64"/>
  <c r="U182" i="64"/>
  <c r="V182" i="64"/>
  <c r="W182" i="64"/>
  <c r="X182" i="64"/>
  <c r="Z182" i="64"/>
  <c r="AA182" i="64"/>
  <c r="AB182" i="64"/>
  <c r="AC182" i="64"/>
  <c r="AD182" i="64"/>
  <c r="AE182" i="64"/>
  <c r="AF182" i="64"/>
  <c r="AG182" i="64"/>
  <c r="AH182" i="64"/>
  <c r="AI182" i="64"/>
  <c r="AJ182" i="64"/>
  <c r="AK182" i="64"/>
  <c r="AL182" i="64"/>
  <c r="AM182" i="64"/>
  <c r="AN182" i="64"/>
  <c r="AO182" i="64"/>
  <c r="AP182" i="64"/>
  <c r="AQ182" i="64"/>
  <c r="AR182" i="64"/>
  <c r="AS182" i="64"/>
  <c r="AT182" i="64"/>
  <c r="AU182" i="64"/>
  <c r="AW182" i="64"/>
  <c r="AX182" i="64"/>
  <c r="AY182" i="64"/>
  <c r="BA182" i="64"/>
  <c r="A183" i="64"/>
  <c r="B183" i="64"/>
  <c r="D183" i="64"/>
  <c r="E183" i="64"/>
  <c r="F183" i="64"/>
  <c r="G183" i="64"/>
  <c r="H183" i="64"/>
  <c r="J183" i="64"/>
  <c r="K183" i="64"/>
  <c r="L183" i="64"/>
  <c r="M183" i="64"/>
  <c r="O183" i="64"/>
  <c r="P183" i="64"/>
  <c r="R183" i="64"/>
  <c r="S183" i="64"/>
  <c r="T183" i="64"/>
  <c r="U183" i="64"/>
  <c r="V183" i="64"/>
  <c r="W183" i="64"/>
  <c r="X183" i="64"/>
  <c r="Z183" i="64"/>
  <c r="AA183" i="64"/>
  <c r="AB183" i="64"/>
  <c r="AC183" i="64"/>
  <c r="AD183" i="64"/>
  <c r="AE183" i="64"/>
  <c r="AF183" i="64"/>
  <c r="AG183" i="64"/>
  <c r="AH183" i="64"/>
  <c r="AI183" i="64"/>
  <c r="AJ183" i="64"/>
  <c r="AK183" i="64"/>
  <c r="AL183" i="64"/>
  <c r="AM183" i="64"/>
  <c r="AN183" i="64"/>
  <c r="AO183" i="64"/>
  <c r="AP183" i="64"/>
  <c r="AQ183" i="64"/>
  <c r="AR183" i="64"/>
  <c r="AS183" i="64"/>
  <c r="AT183" i="64"/>
  <c r="AU183" i="64"/>
  <c r="AW183" i="64"/>
  <c r="AX183" i="64"/>
  <c r="AY183" i="64"/>
  <c r="BA183" i="64"/>
  <c r="A184" i="64"/>
  <c r="B184" i="64"/>
  <c r="D184" i="64"/>
  <c r="E184" i="64"/>
  <c r="F184" i="64"/>
  <c r="G184" i="64"/>
  <c r="H184" i="64"/>
  <c r="J184" i="64"/>
  <c r="K184" i="64"/>
  <c r="L184" i="64"/>
  <c r="M184" i="64"/>
  <c r="O184" i="64"/>
  <c r="P184" i="64"/>
  <c r="R184" i="64"/>
  <c r="S184" i="64"/>
  <c r="T184" i="64"/>
  <c r="U184" i="64"/>
  <c r="V184" i="64"/>
  <c r="W184" i="64"/>
  <c r="X184" i="64"/>
  <c r="Z184" i="64"/>
  <c r="AA184" i="64"/>
  <c r="AB184" i="64"/>
  <c r="AC184" i="64"/>
  <c r="AD184" i="64"/>
  <c r="AE184" i="64"/>
  <c r="AF184" i="64"/>
  <c r="AG184" i="64"/>
  <c r="AH184" i="64"/>
  <c r="AI184" i="64"/>
  <c r="AJ184" i="64"/>
  <c r="AK184" i="64"/>
  <c r="AL184" i="64"/>
  <c r="AM184" i="64"/>
  <c r="AN184" i="64"/>
  <c r="AO184" i="64"/>
  <c r="AP184" i="64"/>
  <c r="AQ184" i="64"/>
  <c r="AR184" i="64"/>
  <c r="AS184" i="64"/>
  <c r="AT184" i="64"/>
  <c r="AU184" i="64"/>
  <c r="AW184" i="64"/>
  <c r="AX184" i="64"/>
  <c r="AY184" i="64"/>
  <c r="BA184" i="64"/>
  <c r="A185" i="64"/>
  <c r="B185" i="64"/>
  <c r="D185" i="64"/>
  <c r="E185" i="64"/>
  <c r="F185" i="64"/>
  <c r="G185" i="64"/>
  <c r="H185" i="64"/>
  <c r="J185" i="64"/>
  <c r="K185" i="64"/>
  <c r="L185" i="64"/>
  <c r="M185" i="64"/>
  <c r="O185" i="64"/>
  <c r="P185" i="64"/>
  <c r="R185" i="64"/>
  <c r="S185" i="64"/>
  <c r="T185" i="64"/>
  <c r="U185" i="64"/>
  <c r="V185" i="64"/>
  <c r="W185" i="64"/>
  <c r="X185" i="64"/>
  <c r="Z185" i="64"/>
  <c r="AA185" i="64"/>
  <c r="AB185" i="64"/>
  <c r="AC185" i="64"/>
  <c r="AD185" i="64"/>
  <c r="AE185" i="64"/>
  <c r="AF185" i="64"/>
  <c r="AG185" i="64"/>
  <c r="AH185" i="64"/>
  <c r="AI185" i="64"/>
  <c r="AJ185" i="64"/>
  <c r="AK185" i="64"/>
  <c r="AL185" i="64"/>
  <c r="AM185" i="64"/>
  <c r="AN185" i="64"/>
  <c r="AO185" i="64"/>
  <c r="AP185" i="64"/>
  <c r="AQ185" i="64"/>
  <c r="AR185" i="64"/>
  <c r="AS185" i="64"/>
  <c r="AT185" i="64"/>
  <c r="AU185" i="64"/>
  <c r="AW185" i="64"/>
  <c r="AX185" i="64"/>
  <c r="AY185" i="64"/>
  <c r="BA185" i="64"/>
  <c r="A186" i="64"/>
  <c r="B186" i="64"/>
  <c r="D186" i="64"/>
  <c r="E186" i="64"/>
  <c r="F186" i="64"/>
  <c r="G186" i="64"/>
  <c r="H186" i="64"/>
  <c r="J186" i="64"/>
  <c r="K186" i="64"/>
  <c r="L186" i="64"/>
  <c r="M186" i="64"/>
  <c r="O186" i="64"/>
  <c r="P186" i="64"/>
  <c r="R186" i="64"/>
  <c r="S186" i="64"/>
  <c r="T186" i="64"/>
  <c r="U186" i="64"/>
  <c r="V186" i="64"/>
  <c r="W186" i="64"/>
  <c r="X186" i="64"/>
  <c r="Z186" i="64"/>
  <c r="AA186" i="64"/>
  <c r="AB186" i="64"/>
  <c r="AC186" i="64"/>
  <c r="AD186" i="64"/>
  <c r="AE186" i="64"/>
  <c r="AF186" i="64"/>
  <c r="AG186" i="64"/>
  <c r="AH186" i="64"/>
  <c r="AI186" i="64"/>
  <c r="AJ186" i="64"/>
  <c r="AK186" i="64"/>
  <c r="AL186" i="64"/>
  <c r="AM186" i="64"/>
  <c r="AN186" i="64"/>
  <c r="AO186" i="64"/>
  <c r="AP186" i="64"/>
  <c r="AQ186" i="64"/>
  <c r="AR186" i="64"/>
  <c r="AS186" i="64"/>
  <c r="AT186" i="64"/>
  <c r="AU186" i="64"/>
  <c r="AW186" i="64"/>
  <c r="AX186" i="64"/>
  <c r="AY186" i="64"/>
  <c r="BA186" i="64"/>
  <c r="A187" i="64"/>
  <c r="B187" i="64"/>
  <c r="D187" i="64"/>
  <c r="E187" i="64"/>
  <c r="F187" i="64"/>
  <c r="G187" i="64"/>
  <c r="H187" i="64"/>
  <c r="J187" i="64"/>
  <c r="K187" i="64"/>
  <c r="L187" i="64"/>
  <c r="M187" i="64"/>
  <c r="O187" i="64"/>
  <c r="P187" i="64"/>
  <c r="R187" i="64"/>
  <c r="S187" i="64"/>
  <c r="T187" i="64"/>
  <c r="U187" i="64"/>
  <c r="V187" i="64"/>
  <c r="W187" i="64"/>
  <c r="X187" i="64"/>
  <c r="Z187" i="64"/>
  <c r="AA187" i="64"/>
  <c r="AB187" i="64"/>
  <c r="AC187" i="64"/>
  <c r="AD187" i="64"/>
  <c r="AE187" i="64"/>
  <c r="AF187" i="64"/>
  <c r="AG187" i="64"/>
  <c r="AH187" i="64"/>
  <c r="AI187" i="64"/>
  <c r="AJ187" i="64"/>
  <c r="AK187" i="64"/>
  <c r="AL187" i="64"/>
  <c r="AM187" i="64"/>
  <c r="AN187" i="64"/>
  <c r="AO187" i="64"/>
  <c r="AP187" i="64"/>
  <c r="AQ187" i="64"/>
  <c r="AR187" i="64"/>
  <c r="AS187" i="64"/>
  <c r="AT187" i="64"/>
  <c r="AU187" i="64"/>
  <c r="AW187" i="64"/>
  <c r="AX187" i="64"/>
  <c r="AY187" i="64"/>
  <c r="BA187" i="64"/>
  <c r="A188" i="64"/>
  <c r="B188" i="64"/>
  <c r="D188" i="64"/>
  <c r="E188" i="64"/>
  <c r="F188" i="64"/>
  <c r="G188" i="64"/>
  <c r="H188" i="64"/>
  <c r="J188" i="64"/>
  <c r="K188" i="64"/>
  <c r="L188" i="64"/>
  <c r="M188" i="64"/>
  <c r="O188" i="64"/>
  <c r="P188" i="64"/>
  <c r="R188" i="64"/>
  <c r="S188" i="64"/>
  <c r="T188" i="64"/>
  <c r="U188" i="64"/>
  <c r="V188" i="64"/>
  <c r="W188" i="64"/>
  <c r="X188" i="64"/>
  <c r="Z188" i="64"/>
  <c r="AA188" i="64"/>
  <c r="AB188" i="64"/>
  <c r="AC188" i="64"/>
  <c r="AD188" i="64"/>
  <c r="AE188" i="64"/>
  <c r="AF188" i="64"/>
  <c r="AG188" i="64"/>
  <c r="AH188" i="64"/>
  <c r="AI188" i="64"/>
  <c r="AJ188" i="64"/>
  <c r="AK188" i="64"/>
  <c r="AL188" i="64"/>
  <c r="AM188" i="64"/>
  <c r="AN188" i="64"/>
  <c r="AO188" i="64"/>
  <c r="AP188" i="64"/>
  <c r="AQ188" i="64"/>
  <c r="AR188" i="64"/>
  <c r="AS188" i="64"/>
  <c r="AT188" i="64"/>
  <c r="AU188" i="64"/>
  <c r="AW188" i="64"/>
  <c r="AX188" i="64"/>
  <c r="AY188" i="64"/>
  <c r="BA188" i="64"/>
  <c r="A189" i="64"/>
  <c r="B189" i="64"/>
  <c r="D189" i="64"/>
  <c r="E189" i="64"/>
  <c r="F189" i="64"/>
  <c r="G189" i="64"/>
  <c r="H189" i="64"/>
  <c r="J189" i="64"/>
  <c r="K189" i="64"/>
  <c r="L189" i="64"/>
  <c r="M189" i="64"/>
  <c r="O189" i="64"/>
  <c r="P189" i="64"/>
  <c r="R189" i="64"/>
  <c r="S189" i="64"/>
  <c r="T189" i="64"/>
  <c r="U189" i="64"/>
  <c r="V189" i="64"/>
  <c r="W189" i="64"/>
  <c r="X189" i="64"/>
  <c r="Z189" i="64"/>
  <c r="AA189" i="64"/>
  <c r="AB189" i="64"/>
  <c r="AC189" i="64"/>
  <c r="AD189" i="64"/>
  <c r="AE189" i="64"/>
  <c r="AF189" i="64"/>
  <c r="AG189" i="64"/>
  <c r="AH189" i="64"/>
  <c r="AI189" i="64"/>
  <c r="AJ189" i="64"/>
  <c r="AK189" i="64"/>
  <c r="AL189" i="64"/>
  <c r="AM189" i="64"/>
  <c r="AN189" i="64"/>
  <c r="AO189" i="64"/>
  <c r="AP189" i="64"/>
  <c r="AQ189" i="64"/>
  <c r="AR189" i="64"/>
  <c r="AS189" i="64"/>
  <c r="AT189" i="64"/>
  <c r="AU189" i="64"/>
  <c r="AW189" i="64"/>
  <c r="AX189" i="64"/>
  <c r="AY189" i="64"/>
  <c r="BA189" i="64"/>
  <c r="A190" i="64"/>
  <c r="B190" i="64"/>
  <c r="D190" i="64"/>
  <c r="E190" i="64"/>
  <c r="F190" i="64"/>
  <c r="G190" i="64"/>
  <c r="H190" i="64"/>
  <c r="J190" i="64"/>
  <c r="K190" i="64"/>
  <c r="L190" i="64"/>
  <c r="M190" i="64"/>
  <c r="O190" i="64"/>
  <c r="P190" i="64"/>
  <c r="R190" i="64"/>
  <c r="S190" i="64"/>
  <c r="T190" i="64"/>
  <c r="U190" i="64"/>
  <c r="V190" i="64"/>
  <c r="W190" i="64"/>
  <c r="X190" i="64"/>
  <c r="Z190" i="64"/>
  <c r="AA190" i="64"/>
  <c r="AB190" i="64"/>
  <c r="AC190" i="64"/>
  <c r="AD190" i="64"/>
  <c r="AE190" i="64"/>
  <c r="AF190" i="64"/>
  <c r="AG190" i="64"/>
  <c r="AH190" i="64"/>
  <c r="AI190" i="64"/>
  <c r="AJ190" i="64"/>
  <c r="AK190" i="64"/>
  <c r="AL190" i="64"/>
  <c r="AM190" i="64"/>
  <c r="AN190" i="64"/>
  <c r="AO190" i="64"/>
  <c r="AP190" i="64"/>
  <c r="AQ190" i="64"/>
  <c r="AR190" i="64"/>
  <c r="AS190" i="64"/>
  <c r="AT190" i="64"/>
  <c r="AU190" i="64"/>
  <c r="AW190" i="64"/>
  <c r="AX190" i="64"/>
  <c r="AY190" i="64"/>
  <c r="BA190" i="64"/>
  <c r="A191" i="64"/>
  <c r="B191" i="64"/>
  <c r="D191" i="64"/>
  <c r="E191" i="64"/>
  <c r="F191" i="64"/>
  <c r="G191" i="64"/>
  <c r="H191" i="64"/>
  <c r="J191" i="64"/>
  <c r="K191" i="64"/>
  <c r="L191" i="64"/>
  <c r="M191" i="64"/>
  <c r="O191" i="64"/>
  <c r="P191" i="64"/>
  <c r="R191" i="64"/>
  <c r="S191" i="64"/>
  <c r="T191" i="64"/>
  <c r="U191" i="64"/>
  <c r="V191" i="64"/>
  <c r="W191" i="64"/>
  <c r="X191" i="64"/>
  <c r="Z191" i="64"/>
  <c r="AA191" i="64"/>
  <c r="AB191" i="64"/>
  <c r="AC191" i="64"/>
  <c r="AD191" i="64"/>
  <c r="AE191" i="64"/>
  <c r="AF191" i="64"/>
  <c r="AG191" i="64"/>
  <c r="AH191" i="64"/>
  <c r="AI191" i="64"/>
  <c r="AJ191" i="64"/>
  <c r="AK191" i="64"/>
  <c r="AL191" i="64"/>
  <c r="AM191" i="64"/>
  <c r="AN191" i="64"/>
  <c r="AO191" i="64"/>
  <c r="AP191" i="64"/>
  <c r="AQ191" i="64"/>
  <c r="AR191" i="64"/>
  <c r="AS191" i="64"/>
  <c r="AT191" i="64"/>
  <c r="AU191" i="64"/>
  <c r="AW191" i="64"/>
  <c r="AX191" i="64"/>
  <c r="AY191" i="64"/>
  <c r="BA191" i="64"/>
  <c r="A192" i="64"/>
  <c r="B192" i="64"/>
  <c r="D192" i="64"/>
  <c r="E192" i="64"/>
  <c r="F192" i="64"/>
  <c r="G192" i="64"/>
  <c r="H192" i="64"/>
  <c r="J192" i="64"/>
  <c r="K192" i="64"/>
  <c r="L192" i="64"/>
  <c r="M192" i="64"/>
  <c r="O192" i="64"/>
  <c r="P192" i="64"/>
  <c r="R192" i="64"/>
  <c r="S192" i="64"/>
  <c r="T192" i="64"/>
  <c r="U192" i="64"/>
  <c r="V192" i="64"/>
  <c r="W192" i="64"/>
  <c r="X192" i="64"/>
  <c r="Z192" i="64"/>
  <c r="AA192" i="64"/>
  <c r="AB192" i="64"/>
  <c r="AC192" i="64"/>
  <c r="AD192" i="64"/>
  <c r="AE192" i="64"/>
  <c r="AF192" i="64"/>
  <c r="AG192" i="64"/>
  <c r="AH192" i="64"/>
  <c r="AI192" i="64"/>
  <c r="AJ192" i="64"/>
  <c r="AK192" i="64"/>
  <c r="AL192" i="64"/>
  <c r="AM192" i="64"/>
  <c r="AN192" i="64"/>
  <c r="AO192" i="64"/>
  <c r="AP192" i="64"/>
  <c r="AQ192" i="64"/>
  <c r="AR192" i="64"/>
  <c r="AS192" i="64"/>
  <c r="AT192" i="64"/>
  <c r="AU192" i="64"/>
  <c r="AW192" i="64"/>
  <c r="AX192" i="64"/>
  <c r="AY192" i="64"/>
  <c r="BA192" i="64"/>
  <c r="A193" i="64"/>
  <c r="B193" i="64"/>
  <c r="D193" i="64"/>
  <c r="E193" i="64"/>
  <c r="F193" i="64"/>
  <c r="G193" i="64"/>
  <c r="H193" i="64"/>
  <c r="J193" i="64"/>
  <c r="K193" i="64"/>
  <c r="L193" i="64"/>
  <c r="M193" i="64"/>
  <c r="O193" i="64"/>
  <c r="P193" i="64"/>
  <c r="R193" i="64"/>
  <c r="S193" i="64"/>
  <c r="T193" i="64"/>
  <c r="U193" i="64"/>
  <c r="V193" i="64"/>
  <c r="W193" i="64"/>
  <c r="X193" i="64"/>
  <c r="Z193" i="64"/>
  <c r="AA193" i="64"/>
  <c r="AB193" i="64"/>
  <c r="AC193" i="64"/>
  <c r="AD193" i="64"/>
  <c r="AE193" i="64"/>
  <c r="AF193" i="64"/>
  <c r="AG193" i="64"/>
  <c r="AH193" i="64"/>
  <c r="AI193" i="64"/>
  <c r="AJ193" i="64"/>
  <c r="AK193" i="64"/>
  <c r="AL193" i="64"/>
  <c r="AM193" i="64"/>
  <c r="AN193" i="64"/>
  <c r="AO193" i="64"/>
  <c r="AP193" i="64"/>
  <c r="AQ193" i="64"/>
  <c r="AR193" i="64"/>
  <c r="AS193" i="64"/>
  <c r="AT193" i="64"/>
  <c r="AU193" i="64"/>
  <c r="AW193" i="64"/>
  <c r="AX193" i="64"/>
  <c r="AY193" i="64"/>
  <c r="BA193" i="64"/>
  <c r="A194" i="64"/>
  <c r="B194" i="64"/>
  <c r="D194" i="64"/>
  <c r="E194" i="64"/>
  <c r="F194" i="64"/>
  <c r="G194" i="64"/>
  <c r="H194" i="64"/>
  <c r="J194" i="64"/>
  <c r="K194" i="64"/>
  <c r="L194" i="64"/>
  <c r="M194" i="64"/>
  <c r="O194" i="64"/>
  <c r="P194" i="64"/>
  <c r="R194" i="64"/>
  <c r="S194" i="64"/>
  <c r="T194" i="64"/>
  <c r="U194" i="64"/>
  <c r="V194" i="64"/>
  <c r="W194" i="64"/>
  <c r="X194" i="64"/>
  <c r="Z194" i="64"/>
  <c r="AA194" i="64"/>
  <c r="AB194" i="64"/>
  <c r="AC194" i="64"/>
  <c r="AD194" i="64"/>
  <c r="AE194" i="64"/>
  <c r="AF194" i="64"/>
  <c r="AG194" i="64"/>
  <c r="AH194" i="64"/>
  <c r="AI194" i="64"/>
  <c r="AJ194" i="64"/>
  <c r="AK194" i="64"/>
  <c r="AL194" i="64"/>
  <c r="AM194" i="64"/>
  <c r="AN194" i="64"/>
  <c r="AO194" i="64"/>
  <c r="AP194" i="64"/>
  <c r="AQ194" i="64"/>
  <c r="AR194" i="64"/>
  <c r="AS194" i="64"/>
  <c r="AT194" i="64"/>
  <c r="AU194" i="64"/>
  <c r="AW194" i="64"/>
  <c r="AX194" i="64"/>
  <c r="AY194" i="64"/>
  <c r="BA194" i="64"/>
  <c r="A195" i="64"/>
  <c r="B195" i="64"/>
  <c r="D195" i="64"/>
  <c r="E195" i="64"/>
  <c r="F195" i="64"/>
  <c r="G195" i="64"/>
  <c r="H195" i="64"/>
  <c r="J195" i="64"/>
  <c r="K195" i="64"/>
  <c r="L195" i="64"/>
  <c r="M195" i="64"/>
  <c r="O195" i="64"/>
  <c r="P195" i="64"/>
  <c r="R195" i="64"/>
  <c r="S195" i="64"/>
  <c r="T195" i="64"/>
  <c r="U195" i="64"/>
  <c r="V195" i="64"/>
  <c r="W195" i="64"/>
  <c r="X195" i="64"/>
  <c r="Z195" i="64"/>
  <c r="AA195" i="64"/>
  <c r="AB195" i="64"/>
  <c r="AC195" i="64"/>
  <c r="AD195" i="64"/>
  <c r="AE195" i="64"/>
  <c r="AF195" i="64"/>
  <c r="AG195" i="64"/>
  <c r="AH195" i="64"/>
  <c r="AI195" i="64"/>
  <c r="AJ195" i="64"/>
  <c r="AK195" i="64"/>
  <c r="AL195" i="64"/>
  <c r="AM195" i="64"/>
  <c r="AN195" i="64"/>
  <c r="AO195" i="64"/>
  <c r="AP195" i="64"/>
  <c r="AQ195" i="64"/>
  <c r="AR195" i="64"/>
  <c r="AS195" i="64"/>
  <c r="AT195" i="64"/>
  <c r="AU195" i="64"/>
  <c r="AW195" i="64"/>
  <c r="AX195" i="64"/>
  <c r="AY195" i="64"/>
  <c r="BA195" i="64"/>
  <c r="A196" i="64"/>
  <c r="B196" i="64"/>
  <c r="D196" i="64"/>
  <c r="E196" i="64"/>
  <c r="F196" i="64"/>
  <c r="G196" i="64"/>
  <c r="H196" i="64"/>
  <c r="J196" i="64"/>
  <c r="K196" i="64"/>
  <c r="L196" i="64"/>
  <c r="M196" i="64"/>
  <c r="O196" i="64"/>
  <c r="P196" i="64"/>
  <c r="R196" i="64"/>
  <c r="S196" i="64"/>
  <c r="T196" i="64"/>
  <c r="U196" i="64"/>
  <c r="V196" i="64"/>
  <c r="W196" i="64"/>
  <c r="X196" i="64"/>
  <c r="Z196" i="64"/>
  <c r="AA196" i="64"/>
  <c r="AB196" i="64"/>
  <c r="AC196" i="64"/>
  <c r="AD196" i="64"/>
  <c r="AE196" i="64"/>
  <c r="AF196" i="64"/>
  <c r="AG196" i="64"/>
  <c r="AH196" i="64"/>
  <c r="AI196" i="64"/>
  <c r="AJ196" i="64"/>
  <c r="AK196" i="64"/>
  <c r="AL196" i="64"/>
  <c r="AM196" i="64"/>
  <c r="AN196" i="64"/>
  <c r="AO196" i="64"/>
  <c r="AP196" i="64"/>
  <c r="AQ196" i="64"/>
  <c r="AR196" i="64"/>
  <c r="AS196" i="64"/>
  <c r="AT196" i="64"/>
  <c r="AU196" i="64"/>
  <c r="AW196" i="64"/>
  <c r="AX196" i="64"/>
  <c r="AY196" i="64"/>
  <c r="BA196" i="64"/>
  <c r="A197" i="64"/>
  <c r="B197" i="64"/>
  <c r="D197" i="64"/>
  <c r="E197" i="64"/>
  <c r="F197" i="64"/>
  <c r="G197" i="64"/>
  <c r="H197" i="64"/>
  <c r="J197" i="64"/>
  <c r="K197" i="64"/>
  <c r="L197" i="64"/>
  <c r="M197" i="64"/>
  <c r="O197" i="64"/>
  <c r="P197" i="64"/>
  <c r="R197" i="64"/>
  <c r="S197" i="64"/>
  <c r="T197" i="64"/>
  <c r="U197" i="64"/>
  <c r="V197" i="64"/>
  <c r="W197" i="64"/>
  <c r="X197" i="64"/>
  <c r="Z197" i="64"/>
  <c r="AA197" i="64"/>
  <c r="AB197" i="64"/>
  <c r="AC197" i="64"/>
  <c r="AD197" i="64"/>
  <c r="AE197" i="64"/>
  <c r="AF197" i="64"/>
  <c r="AG197" i="64"/>
  <c r="AH197" i="64"/>
  <c r="AI197" i="64"/>
  <c r="AJ197" i="64"/>
  <c r="AK197" i="64"/>
  <c r="AL197" i="64"/>
  <c r="AM197" i="64"/>
  <c r="AN197" i="64"/>
  <c r="AO197" i="64"/>
  <c r="AP197" i="64"/>
  <c r="AQ197" i="64"/>
  <c r="AR197" i="64"/>
  <c r="AS197" i="64"/>
  <c r="AT197" i="64"/>
  <c r="AU197" i="64"/>
  <c r="AW197" i="64"/>
  <c r="AX197" i="64"/>
  <c r="AY197" i="64"/>
  <c r="BA197" i="64"/>
  <c r="A198" i="64"/>
  <c r="B198" i="64"/>
  <c r="D198" i="64"/>
  <c r="E198" i="64"/>
  <c r="F198" i="64"/>
  <c r="G198" i="64"/>
  <c r="H198" i="64"/>
  <c r="J198" i="64"/>
  <c r="K198" i="64"/>
  <c r="L198" i="64"/>
  <c r="M198" i="64"/>
  <c r="O198" i="64"/>
  <c r="P198" i="64"/>
  <c r="R198" i="64"/>
  <c r="S198" i="64"/>
  <c r="T198" i="64"/>
  <c r="U198" i="64"/>
  <c r="V198" i="64"/>
  <c r="W198" i="64"/>
  <c r="X198" i="64"/>
  <c r="Z198" i="64"/>
  <c r="AA198" i="64"/>
  <c r="AB198" i="64"/>
  <c r="AC198" i="64"/>
  <c r="AD198" i="64"/>
  <c r="AE198" i="64"/>
  <c r="AF198" i="64"/>
  <c r="AG198" i="64"/>
  <c r="AH198" i="64"/>
  <c r="AI198" i="64"/>
  <c r="AJ198" i="64"/>
  <c r="AK198" i="64"/>
  <c r="AL198" i="64"/>
  <c r="AM198" i="64"/>
  <c r="AN198" i="64"/>
  <c r="AO198" i="64"/>
  <c r="AP198" i="64"/>
  <c r="AQ198" i="64"/>
  <c r="AR198" i="64"/>
  <c r="AS198" i="64"/>
  <c r="AT198" i="64"/>
  <c r="AU198" i="64"/>
  <c r="AW198" i="64"/>
  <c r="AX198" i="64"/>
  <c r="AY198" i="64"/>
  <c r="BA198" i="64"/>
  <c r="A199" i="64"/>
  <c r="B199" i="64"/>
  <c r="D199" i="64"/>
  <c r="E199" i="64"/>
  <c r="F199" i="64"/>
  <c r="G199" i="64"/>
  <c r="H199" i="64"/>
  <c r="J199" i="64"/>
  <c r="K199" i="64"/>
  <c r="L199" i="64"/>
  <c r="M199" i="64"/>
  <c r="O199" i="64"/>
  <c r="P199" i="64"/>
  <c r="R199" i="64"/>
  <c r="S199" i="64"/>
  <c r="T199" i="64"/>
  <c r="U199" i="64"/>
  <c r="V199" i="64"/>
  <c r="W199" i="64"/>
  <c r="X199" i="64"/>
  <c r="Z199" i="64"/>
  <c r="AA199" i="64"/>
  <c r="AB199" i="64"/>
  <c r="AC199" i="64"/>
  <c r="AD199" i="64"/>
  <c r="AE199" i="64"/>
  <c r="AF199" i="64"/>
  <c r="AG199" i="64"/>
  <c r="AH199" i="64"/>
  <c r="AI199" i="64"/>
  <c r="AJ199" i="64"/>
  <c r="AK199" i="64"/>
  <c r="AL199" i="64"/>
  <c r="AM199" i="64"/>
  <c r="AN199" i="64"/>
  <c r="AO199" i="64"/>
  <c r="AP199" i="64"/>
  <c r="AQ199" i="64"/>
  <c r="AR199" i="64"/>
  <c r="AS199" i="64"/>
  <c r="AT199" i="64"/>
  <c r="AU199" i="64"/>
  <c r="AW199" i="64"/>
  <c r="AX199" i="64"/>
  <c r="AY199" i="64"/>
  <c r="BA199" i="64"/>
  <c r="A200" i="64"/>
  <c r="B200" i="64"/>
  <c r="D200" i="64"/>
  <c r="E200" i="64"/>
  <c r="F200" i="64"/>
  <c r="G200" i="64"/>
  <c r="H200" i="64"/>
  <c r="J200" i="64"/>
  <c r="K200" i="64"/>
  <c r="L200" i="64"/>
  <c r="M200" i="64"/>
  <c r="O200" i="64"/>
  <c r="P200" i="64"/>
  <c r="R200" i="64"/>
  <c r="S200" i="64"/>
  <c r="T200" i="64"/>
  <c r="U200" i="64"/>
  <c r="V200" i="64"/>
  <c r="W200" i="64"/>
  <c r="X200" i="64"/>
  <c r="Z200" i="64"/>
  <c r="AA200" i="64"/>
  <c r="AB200" i="64"/>
  <c r="AC200" i="64"/>
  <c r="AD200" i="64"/>
  <c r="AE200" i="64"/>
  <c r="AF200" i="64"/>
  <c r="AG200" i="64"/>
  <c r="AH200" i="64"/>
  <c r="AI200" i="64"/>
  <c r="AJ200" i="64"/>
  <c r="AK200" i="64"/>
  <c r="AL200" i="64"/>
  <c r="AM200" i="64"/>
  <c r="AN200" i="64"/>
  <c r="AO200" i="64"/>
  <c r="AP200" i="64"/>
  <c r="AQ200" i="64"/>
  <c r="AR200" i="64"/>
  <c r="AS200" i="64"/>
  <c r="AT200" i="64"/>
  <c r="AU200" i="64"/>
  <c r="AW200" i="64"/>
  <c r="AX200" i="64"/>
  <c r="AY200" i="64"/>
  <c r="BA200" i="64"/>
  <c r="A201" i="64"/>
  <c r="B201" i="64"/>
  <c r="D201" i="64"/>
  <c r="E201" i="64"/>
  <c r="F201" i="64"/>
  <c r="G201" i="64"/>
  <c r="H201" i="64"/>
  <c r="J201" i="64"/>
  <c r="K201" i="64"/>
  <c r="L201" i="64"/>
  <c r="M201" i="64"/>
  <c r="O201" i="64"/>
  <c r="P201" i="64"/>
  <c r="R201" i="64"/>
  <c r="S201" i="64"/>
  <c r="T201" i="64"/>
  <c r="U201" i="64"/>
  <c r="V201" i="64"/>
  <c r="W201" i="64"/>
  <c r="X201" i="64"/>
  <c r="Z201" i="64"/>
  <c r="AA201" i="64"/>
  <c r="AB201" i="64"/>
  <c r="AC201" i="64"/>
  <c r="AD201" i="64"/>
  <c r="AE201" i="64"/>
  <c r="AF201" i="64"/>
  <c r="AG201" i="64"/>
  <c r="AH201" i="64"/>
  <c r="AI201" i="64"/>
  <c r="AJ201" i="64"/>
  <c r="AK201" i="64"/>
  <c r="AL201" i="64"/>
  <c r="AM201" i="64"/>
  <c r="AN201" i="64"/>
  <c r="AO201" i="64"/>
  <c r="AP201" i="64"/>
  <c r="AQ201" i="64"/>
  <c r="AR201" i="64"/>
  <c r="AS201" i="64"/>
  <c r="AT201" i="64"/>
  <c r="AU201" i="64"/>
  <c r="AW201" i="64"/>
  <c r="AX201" i="64"/>
  <c r="AY201" i="64"/>
  <c r="BA201" i="64"/>
  <c r="A202" i="64"/>
  <c r="B202" i="64"/>
  <c r="D202" i="64"/>
  <c r="E202" i="64"/>
  <c r="F202" i="64"/>
  <c r="G202" i="64"/>
  <c r="H202" i="64"/>
  <c r="J202" i="64"/>
  <c r="K202" i="64"/>
  <c r="L202" i="64"/>
  <c r="M202" i="64"/>
  <c r="O202" i="64"/>
  <c r="P202" i="64"/>
  <c r="R202" i="64"/>
  <c r="S202" i="64"/>
  <c r="T202" i="64"/>
  <c r="U202" i="64"/>
  <c r="V202" i="64"/>
  <c r="W202" i="64"/>
  <c r="X202" i="64"/>
  <c r="Z202" i="64"/>
  <c r="AA202" i="64"/>
  <c r="AB202" i="64"/>
  <c r="AC202" i="64"/>
  <c r="AD202" i="64"/>
  <c r="AE202" i="64"/>
  <c r="AF202" i="64"/>
  <c r="AG202" i="64"/>
  <c r="AH202" i="64"/>
  <c r="AI202" i="64"/>
  <c r="AJ202" i="64"/>
  <c r="AK202" i="64"/>
  <c r="AL202" i="64"/>
  <c r="AM202" i="64"/>
  <c r="AN202" i="64"/>
  <c r="AO202" i="64"/>
  <c r="AP202" i="64"/>
  <c r="AQ202" i="64"/>
  <c r="AR202" i="64"/>
  <c r="AS202" i="64"/>
  <c r="AT202" i="64"/>
  <c r="AU202" i="64"/>
  <c r="AW202" i="64"/>
  <c r="AX202" i="64"/>
  <c r="AY202" i="64"/>
  <c r="BA202" i="64"/>
  <c r="A203" i="64"/>
  <c r="B203" i="64"/>
  <c r="D203" i="64"/>
  <c r="E203" i="64"/>
  <c r="F203" i="64"/>
  <c r="G203" i="64"/>
  <c r="H203" i="64"/>
  <c r="J203" i="64"/>
  <c r="K203" i="64"/>
  <c r="L203" i="64"/>
  <c r="M203" i="64"/>
  <c r="O203" i="64"/>
  <c r="P203" i="64"/>
  <c r="R203" i="64"/>
  <c r="S203" i="64"/>
  <c r="T203" i="64"/>
  <c r="U203" i="64"/>
  <c r="V203" i="64"/>
  <c r="W203" i="64"/>
  <c r="X203" i="64"/>
  <c r="Z203" i="64"/>
  <c r="AA203" i="64"/>
  <c r="AB203" i="64"/>
  <c r="AC203" i="64"/>
  <c r="AD203" i="64"/>
  <c r="AE203" i="64"/>
  <c r="AF203" i="64"/>
  <c r="AG203" i="64"/>
  <c r="AH203" i="64"/>
  <c r="AI203" i="64"/>
  <c r="AJ203" i="64"/>
  <c r="AK203" i="64"/>
  <c r="AL203" i="64"/>
  <c r="AM203" i="64"/>
  <c r="AN203" i="64"/>
  <c r="AO203" i="64"/>
  <c r="AP203" i="64"/>
  <c r="AQ203" i="64"/>
  <c r="AR203" i="64"/>
  <c r="AS203" i="64"/>
  <c r="AT203" i="64"/>
  <c r="AU203" i="64"/>
  <c r="AW203" i="64"/>
  <c r="AX203" i="64"/>
  <c r="AY203" i="64"/>
  <c r="BA203" i="64"/>
  <c r="A204" i="64"/>
  <c r="B204" i="64"/>
  <c r="D204" i="64"/>
  <c r="E204" i="64"/>
  <c r="F204" i="64"/>
  <c r="G204" i="64"/>
  <c r="H204" i="64"/>
  <c r="J204" i="64"/>
  <c r="K204" i="64"/>
  <c r="L204" i="64"/>
  <c r="M204" i="64"/>
  <c r="O204" i="64"/>
  <c r="P204" i="64"/>
  <c r="R204" i="64"/>
  <c r="S204" i="64"/>
  <c r="T204" i="64"/>
  <c r="U204" i="64"/>
  <c r="V204" i="64"/>
  <c r="W204" i="64"/>
  <c r="X204" i="64"/>
  <c r="Z204" i="64"/>
  <c r="AA204" i="64"/>
  <c r="AB204" i="64"/>
  <c r="AC204" i="64"/>
  <c r="AD204" i="64"/>
  <c r="AE204" i="64"/>
  <c r="AF204" i="64"/>
  <c r="AG204" i="64"/>
  <c r="AH204" i="64"/>
  <c r="AI204" i="64"/>
  <c r="AJ204" i="64"/>
  <c r="AK204" i="64"/>
  <c r="AL204" i="64"/>
  <c r="AM204" i="64"/>
  <c r="AN204" i="64"/>
  <c r="AO204" i="64"/>
  <c r="AP204" i="64"/>
  <c r="AQ204" i="64"/>
  <c r="AR204" i="64"/>
  <c r="AS204" i="64"/>
  <c r="AT204" i="64"/>
  <c r="AU204" i="64"/>
  <c r="AW204" i="64"/>
  <c r="AX204" i="64"/>
  <c r="AY204" i="64"/>
  <c r="BA204" i="64"/>
  <c r="A205" i="64"/>
  <c r="B205" i="64"/>
  <c r="D205" i="64"/>
  <c r="E205" i="64"/>
  <c r="F205" i="64"/>
  <c r="G205" i="64"/>
  <c r="H205" i="64"/>
  <c r="J205" i="64"/>
  <c r="K205" i="64"/>
  <c r="L205" i="64"/>
  <c r="M205" i="64"/>
  <c r="O205" i="64"/>
  <c r="P205" i="64"/>
  <c r="R205" i="64"/>
  <c r="S205" i="64"/>
  <c r="T205" i="64"/>
  <c r="U205" i="64"/>
  <c r="V205" i="64"/>
  <c r="W205" i="64"/>
  <c r="X205" i="64"/>
  <c r="Z205" i="64"/>
  <c r="AA205" i="64"/>
  <c r="AB205" i="64"/>
  <c r="AC205" i="64"/>
  <c r="AD205" i="64"/>
  <c r="AE205" i="64"/>
  <c r="AF205" i="64"/>
  <c r="AG205" i="64"/>
  <c r="AH205" i="64"/>
  <c r="AI205" i="64"/>
  <c r="AJ205" i="64"/>
  <c r="AK205" i="64"/>
  <c r="AL205" i="64"/>
  <c r="AM205" i="64"/>
  <c r="AN205" i="64"/>
  <c r="AO205" i="64"/>
  <c r="AP205" i="64"/>
  <c r="AQ205" i="64"/>
  <c r="AR205" i="64"/>
  <c r="AS205" i="64"/>
  <c r="AT205" i="64"/>
  <c r="AU205" i="64"/>
  <c r="AW205" i="64"/>
  <c r="AX205" i="64"/>
  <c r="AY205" i="64"/>
  <c r="BA205" i="64"/>
  <c r="A206" i="64"/>
  <c r="B206" i="64"/>
  <c r="D206" i="64"/>
  <c r="E206" i="64"/>
  <c r="F206" i="64"/>
  <c r="G206" i="64"/>
  <c r="H206" i="64"/>
  <c r="J206" i="64"/>
  <c r="K206" i="64"/>
  <c r="L206" i="64"/>
  <c r="M206" i="64"/>
  <c r="O206" i="64"/>
  <c r="P206" i="64"/>
  <c r="R206" i="64"/>
  <c r="S206" i="64"/>
  <c r="T206" i="64"/>
  <c r="U206" i="64"/>
  <c r="V206" i="64"/>
  <c r="W206" i="64"/>
  <c r="X206" i="64"/>
  <c r="Z206" i="64"/>
  <c r="AA206" i="64"/>
  <c r="AB206" i="64"/>
  <c r="AC206" i="64"/>
  <c r="AD206" i="64"/>
  <c r="AE206" i="64"/>
  <c r="AF206" i="64"/>
  <c r="AG206" i="64"/>
  <c r="AH206" i="64"/>
  <c r="AI206" i="64"/>
  <c r="AJ206" i="64"/>
  <c r="AK206" i="64"/>
  <c r="AL206" i="64"/>
  <c r="AM206" i="64"/>
  <c r="AN206" i="64"/>
  <c r="AO206" i="64"/>
  <c r="AP206" i="64"/>
  <c r="AQ206" i="64"/>
  <c r="AR206" i="64"/>
  <c r="AS206" i="64"/>
  <c r="AT206" i="64"/>
  <c r="AU206" i="64"/>
  <c r="AW206" i="64"/>
  <c r="AX206" i="64"/>
  <c r="AY206" i="64"/>
  <c r="BA206" i="64"/>
  <c r="A207" i="64"/>
  <c r="B207" i="64"/>
  <c r="D207" i="64"/>
  <c r="E207" i="64"/>
  <c r="F207" i="64"/>
  <c r="G207" i="64"/>
  <c r="H207" i="64"/>
  <c r="J207" i="64"/>
  <c r="K207" i="64"/>
  <c r="L207" i="64"/>
  <c r="M207" i="64"/>
  <c r="O207" i="64"/>
  <c r="P207" i="64"/>
  <c r="R207" i="64"/>
  <c r="S207" i="64"/>
  <c r="T207" i="64"/>
  <c r="U207" i="64"/>
  <c r="V207" i="64"/>
  <c r="W207" i="64"/>
  <c r="X207" i="64"/>
  <c r="Z207" i="64"/>
  <c r="AA207" i="64"/>
  <c r="AB207" i="64"/>
  <c r="AC207" i="64"/>
  <c r="AD207" i="64"/>
  <c r="AE207" i="64"/>
  <c r="AF207" i="64"/>
  <c r="AG207" i="64"/>
  <c r="AH207" i="64"/>
  <c r="AI207" i="64"/>
  <c r="AJ207" i="64"/>
  <c r="AK207" i="64"/>
  <c r="AL207" i="64"/>
  <c r="AM207" i="64"/>
  <c r="AN207" i="64"/>
  <c r="AO207" i="64"/>
  <c r="AP207" i="64"/>
  <c r="AQ207" i="64"/>
  <c r="AR207" i="64"/>
  <c r="AS207" i="64"/>
  <c r="AT207" i="64"/>
  <c r="AU207" i="64"/>
  <c r="AW207" i="64"/>
  <c r="AX207" i="64"/>
  <c r="AY207" i="64"/>
  <c r="BA207" i="64"/>
  <c r="A208" i="64"/>
  <c r="B208" i="64"/>
  <c r="D208" i="64"/>
  <c r="E208" i="64"/>
  <c r="F208" i="64"/>
  <c r="G208" i="64"/>
  <c r="H208" i="64"/>
  <c r="J208" i="64"/>
  <c r="K208" i="64"/>
  <c r="L208" i="64"/>
  <c r="M208" i="64"/>
  <c r="O208" i="64"/>
  <c r="P208" i="64"/>
  <c r="R208" i="64"/>
  <c r="S208" i="64"/>
  <c r="T208" i="64"/>
  <c r="U208" i="64"/>
  <c r="V208" i="64"/>
  <c r="W208" i="64"/>
  <c r="X208" i="64"/>
  <c r="Z208" i="64"/>
  <c r="AA208" i="64"/>
  <c r="AB208" i="64"/>
  <c r="AC208" i="64"/>
  <c r="AD208" i="64"/>
  <c r="AE208" i="64"/>
  <c r="AF208" i="64"/>
  <c r="AG208" i="64"/>
  <c r="AH208" i="64"/>
  <c r="AI208" i="64"/>
  <c r="AJ208" i="64"/>
  <c r="AK208" i="64"/>
  <c r="AL208" i="64"/>
  <c r="AM208" i="64"/>
  <c r="AN208" i="64"/>
  <c r="AO208" i="64"/>
  <c r="AP208" i="64"/>
  <c r="AQ208" i="64"/>
  <c r="AR208" i="64"/>
  <c r="AS208" i="64"/>
  <c r="AT208" i="64"/>
  <c r="AU208" i="64"/>
  <c r="AW208" i="64"/>
  <c r="AX208" i="64"/>
  <c r="AY208" i="64"/>
  <c r="BA208" i="64"/>
  <c r="A209" i="64"/>
  <c r="B209" i="64"/>
  <c r="D209" i="64"/>
  <c r="E209" i="64"/>
  <c r="F209" i="64"/>
  <c r="G209" i="64"/>
  <c r="H209" i="64"/>
  <c r="J209" i="64"/>
  <c r="K209" i="64"/>
  <c r="L209" i="64"/>
  <c r="M209" i="64"/>
  <c r="O209" i="64"/>
  <c r="P209" i="64"/>
  <c r="R209" i="64"/>
  <c r="S209" i="64"/>
  <c r="T209" i="64"/>
  <c r="U209" i="64"/>
  <c r="V209" i="64"/>
  <c r="W209" i="64"/>
  <c r="X209" i="64"/>
  <c r="Z209" i="64"/>
  <c r="AA209" i="64"/>
  <c r="AB209" i="64"/>
  <c r="AC209" i="64"/>
  <c r="AD209" i="64"/>
  <c r="AE209" i="64"/>
  <c r="AF209" i="64"/>
  <c r="AG209" i="64"/>
  <c r="AH209" i="64"/>
  <c r="AI209" i="64"/>
  <c r="AJ209" i="64"/>
  <c r="AK209" i="64"/>
  <c r="AL209" i="64"/>
  <c r="AM209" i="64"/>
  <c r="AN209" i="64"/>
  <c r="AO209" i="64"/>
  <c r="AP209" i="64"/>
  <c r="AQ209" i="64"/>
  <c r="AR209" i="64"/>
  <c r="AS209" i="64"/>
  <c r="AT209" i="64"/>
  <c r="AU209" i="64"/>
  <c r="AW209" i="64"/>
  <c r="AX209" i="64"/>
  <c r="AY209" i="64"/>
  <c r="BA209" i="64"/>
  <c r="A210" i="64"/>
  <c r="B210" i="64"/>
  <c r="D210" i="64"/>
  <c r="E210" i="64"/>
  <c r="F210" i="64"/>
  <c r="G210" i="64"/>
  <c r="H210" i="64"/>
  <c r="J210" i="64"/>
  <c r="K210" i="64"/>
  <c r="L210" i="64"/>
  <c r="M210" i="64"/>
  <c r="O210" i="64"/>
  <c r="P210" i="64"/>
  <c r="R210" i="64"/>
  <c r="S210" i="64"/>
  <c r="T210" i="64"/>
  <c r="U210" i="64"/>
  <c r="V210" i="64"/>
  <c r="W210" i="64"/>
  <c r="X210" i="64"/>
  <c r="Z210" i="64"/>
  <c r="AA210" i="64"/>
  <c r="AB210" i="64"/>
  <c r="AC210" i="64"/>
  <c r="AD210" i="64"/>
  <c r="AE210" i="64"/>
  <c r="AF210" i="64"/>
  <c r="AG210" i="64"/>
  <c r="AH210" i="64"/>
  <c r="AI210" i="64"/>
  <c r="AJ210" i="64"/>
  <c r="AK210" i="64"/>
  <c r="AL210" i="64"/>
  <c r="AM210" i="64"/>
  <c r="AN210" i="64"/>
  <c r="AO210" i="64"/>
  <c r="AP210" i="64"/>
  <c r="AQ210" i="64"/>
  <c r="AR210" i="64"/>
  <c r="AS210" i="64"/>
  <c r="AT210" i="64"/>
  <c r="AU210" i="64"/>
  <c r="AW210" i="64"/>
  <c r="AX210" i="64"/>
  <c r="AY210" i="64"/>
  <c r="BA210" i="64"/>
  <c r="A211" i="64"/>
  <c r="B211" i="64"/>
  <c r="D211" i="64"/>
  <c r="E211" i="64"/>
  <c r="F211" i="64"/>
  <c r="G211" i="64"/>
  <c r="H211" i="64"/>
  <c r="J211" i="64"/>
  <c r="K211" i="64"/>
  <c r="L211" i="64"/>
  <c r="M211" i="64"/>
  <c r="O211" i="64"/>
  <c r="P211" i="64"/>
  <c r="R211" i="64"/>
  <c r="S211" i="64"/>
  <c r="T211" i="64"/>
  <c r="U211" i="64"/>
  <c r="V211" i="64"/>
  <c r="W211" i="64"/>
  <c r="X211" i="64"/>
  <c r="Z211" i="64"/>
  <c r="AA211" i="64"/>
  <c r="AB211" i="64"/>
  <c r="AC211" i="64"/>
  <c r="AD211" i="64"/>
  <c r="AE211" i="64"/>
  <c r="AF211" i="64"/>
  <c r="AG211" i="64"/>
  <c r="AH211" i="64"/>
  <c r="AI211" i="64"/>
  <c r="AJ211" i="64"/>
  <c r="AK211" i="64"/>
  <c r="AL211" i="64"/>
  <c r="AM211" i="64"/>
  <c r="AN211" i="64"/>
  <c r="AO211" i="64"/>
  <c r="AP211" i="64"/>
  <c r="AQ211" i="64"/>
  <c r="AR211" i="64"/>
  <c r="AS211" i="64"/>
  <c r="AT211" i="64"/>
  <c r="AU211" i="64"/>
  <c r="AW211" i="64"/>
  <c r="AX211" i="64"/>
  <c r="AY211" i="64"/>
  <c r="BA211" i="64"/>
  <c r="A212" i="64"/>
  <c r="B212" i="64"/>
  <c r="D212" i="64"/>
  <c r="E212" i="64"/>
  <c r="F212" i="64"/>
  <c r="G212" i="64"/>
  <c r="H212" i="64"/>
  <c r="J212" i="64"/>
  <c r="K212" i="64"/>
  <c r="L212" i="64"/>
  <c r="M212" i="64"/>
  <c r="O212" i="64"/>
  <c r="P212" i="64"/>
  <c r="R212" i="64"/>
  <c r="S212" i="64"/>
  <c r="T212" i="64"/>
  <c r="U212" i="64"/>
  <c r="V212" i="64"/>
  <c r="W212" i="64"/>
  <c r="X212" i="64"/>
  <c r="Z212" i="64"/>
  <c r="AA212" i="64"/>
  <c r="AB212" i="64"/>
  <c r="AC212" i="64"/>
  <c r="AD212" i="64"/>
  <c r="AE212" i="64"/>
  <c r="AF212" i="64"/>
  <c r="AG212" i="64"/>
  <c r="AH212" i="64"/>
  <c r="AI212" i="64"/>
  <c r="AJ212" i="64"/>
  <c r="AK212" i="64"/>
  <c r="AL212" i="64"/>
  <c r="AM212" i="64"/>
  <c r="AN212" i="64"/>
  <c r="AO212" i="64"/>
  <c r="AP212" i="64"/>
  <c r="AQ212" i="64"/>
  <c r="AR212" i="64"/>
  <c r="AS212" i="64"/>
  <c r="AT212" i="64"/>
  <c r="AU212" i="64"/>
  <c r="AW212" i="64"/>
  <c r="AX212" i="64"/>
  <c r="AY212" i="64"/>
  <c r="BA212" i="64"/>
  <c r="A213" i="64"/>
  <c r="B213" i="64"/>
  <c r="D213" i="64"/>
  <c r="E213" i="64"/>
  <c r="F213" i="64"/>
  <c r="G213" i="64"/>
  <c r="H213" i="64"/>
  <c r="J213" i="64"/>
  <c r="K213" i="64"/>
  <c r="L213" i="64"/>
  <c r="M213" i="64"/>
  <c r="O213" i="64"/>
  <c r="P213" i="64"/>
  <c r="R213" i="64"/>
  <c r="S213" i="64"/>
  <c r="T213" i="64"/>
  <c r="U213" i="64"/>
  <c r="V213" i="64"/>
  <c r="W213" i="64"/>
  <c r="X213" i="64"/>
  <c r="Z213" i="64"/>
  <c r="AA213" i="64"/>
  <c r="AB213" i="64"/>
  <c r="AC213" i="64"/>
  <c r="AD213" i="64"/>
  <c r="AE213" i="64"/>
  <c r="AF213" i="64"/>
  <c r="AG213" i="64"/>
  <c r="AH213" i="64"/>
  <c r="AI213" i="64"/>
  <c r="AJ213" i="64"/>
  <c r="AK213" i="64"/>
  <c r="AL213" i="64"/>
  <c r="AM213" i="64"/>
  <c r="AN213" i="64"/>
  <c r="AO213" i="64"/>
  <c r="AP213" i="64"/>
  <c r="AQ213" i="64"/>
  <c r="AR213" i="64"/>
  <c r="AS213" i="64"/>
  <c r="AT213" i="64"/>
  <c r="AU213" i="64"/>
  <c r="AW213" i="64"/>
  <c r="AX213" i="64"/>
  <c r="AY213" i="64"/>
  <c r="BA213" i="64"/>
  <c r="A214" i="64"/>
  <c r="B214" i="64"/>
  <c r="D214" i="64"/>
  <c r="E214" i="64"/>
  <c r="F214" i="64"/>
  <c r="G214" i="64"/>
  <c r="H214" i="64"/>
  <c r="J214" i="64"/>
  <c r="K214" i="64"/>
  <c r="L214" i="64"/>
  <c r="M214" i="64"/>
  <c r="O214" i="64"/>
  <c r="P214" i="64"/>
  <c r="R214" i="64"/>
  <c r="S214" i="64"/>
  <c r="T214" i="64"/>
  <c r="U214" i="64"/>
  <c r="V214" i="64"/>
  <c r="W214" i="64"/>
  <c r="X214" i="64"/>
  <c r="Z214" i="64"/>
  <c r="AA214" i="64"/>
  <c r="AB214" i="64"/>
  <c r="AC214" i="64"/>
  <c r="AD214" i="64"/>
  <c r="AE214" i="64"/>
  <c r="AF214" i="64"/>
  <c r="AG214" i="64"/>
  <c r="AH214" i="64"/>
  <c r="AI214" i="64"/>
  <c r="AJ214" i="64"/>
  <c r="AK214" i="64"/>
  <c r="AL214" i="64"/>
  <c r="AM214" i="64"/>
  <c r="AN214" i="64"/>
  <c r="AO214" i="64"/>
  <c r="AP214" i="64"/>
  <c r="AQ214" i="64"/>
  <c r="AR214" i="64"/>
  <c r="AS214" i="64"/>
  <c r="AT214" i="64"/>
  <c r="AU214" i="64"/>
  <c r="AW214" i="64"/>
  <c r="AX214" i="64"/>
  <c r="AY214" i="64"/>
  <c r="BA214" i="64"/>
  <c r="A215" i="64"/>
  <c r="B215" i="64"/>
  <c r="D215" i="64"/>
  <c r="E215" i="64"/>
  <c r="F215" i="64"/>
  <c r="G215" i="64"/>
  <c r="H215" i="64"/>
  <c r="J215" i="64"/>
  <c r="K215" i="64"/>
  <c r="L215" i="64"/>
  <c r="M215" i="64"/>
  <c r="O215" i="64"/>
  <c r="P215" i="64"/>
  <c r="R215" i="64"/>
  <c r="S215" i="64"/>
  <c r="T215" i="64"/>
  <c r="U215" i="64"/>
  <c r="V215" i="64"/>
  <c r="W215" i="64"/>
  <c r="X215" i="64"/>
  <c r="Z215" i="64"/>
  <c r="AA215" i="64"/>
  <c r="AB215" i="64"/>
  <c r="AC215" i="64"/>
  <c r="AD215" i="64"/>
  <c r="AE215" i="64"/>
  <c r="AF215" i="64"/>
  <c r="AG215" i="64"/>
  <c r="AH215" i="64"/>
  <c r="AI215" i="64"/>
  <c r="AJ215" i="64"/>
  <c r="AK215" i="64"/>
  <c r="AL215" i="64"/>
  <c r="AM215" i="64"/>
  <c r="AN215" i="64"/>
  <c r="AO215" i="64"/>
  <c r="AP215" i="64"/>
  <c r="AQ215" i="64"/>
  <c r="AR215" i="64"/>
  <c r="AS215" i="64"/>
  <c r="AT215" i="64"/>
  <c r="AU215" i="64"/>
  <c r="AW215" i="64"/>
  <c r="AX215" i="64"/>
  <c r="AY215" i="64"/>
  <c r="BA215" i="64"/>
  <c r="A216" i="64"/>
  <c r="B216" i="64"/>
  <c r="D216" i="64"/>
  <c r="E216" i="64"/>
  <c r="F216" i="64"/>
  <c r="G216" i="64"/>
  <c r="H216" i="64"/>
  <c r="J216" i="64"/>
  <c r="K216" i="64"/>
  <c r="L216" i="64"/>
  <c r="M216" i="64"/>
  <c r="O216" i="64"/>
  <c r="P216" i="64"/>
  <c r="R216" i="64"/>
  <c r="S216" i="64"/>
  <c r="T216" i="64"/>
  <c r="U216" i="64"/>
  <c r="V216" i="64"/>
  <c r="W216" i="64"/>
  <c r="X216" i="64"/>
  <c r="Z216" i="64"/>
  <c r="AA216" i="64"/>
  <c r="AB216" i="64"/>
  <c r="AC216" i="64"/>
  <c r="AD216" i="64"/>
  <c r="AE216" i="64"/>
  <c r="AF216" i="64"/>
  <c r="AG216" i="64"/>
  <c r="AH216" i="64"/>
  <c r="AI216" i="64"/>
  <c r="AJ216" i="64"/>
  <c r="AK216" i="64"/>
  <c r="AL216" i="64"/>
  <c r="AM216" i="64"/>
  <c r="AN216" i="64"/>
  <c r="AO216" i="64"/>
  <c r="AP216" i="64"/>
  <c r="AQ216" i="64"/>
  <c r="AR216" i="64"/>
  <c r="AS216" i="64"/>
  <c r="AT216" i="64"/>
  <c r="AU216" i="64"/>
  <c r="AW216" i="64"/>
  <c r="AX216" i="64"/>
  <c r="AY216" i="64"/>
  <c r="BA216" i="64"/>
  <c r="A217" i="64"/>
  <c r="B217" i="64"/>
  <c r="D217" i="64"/>
  <c r="E217" i="64"/>
  <c r="F217" i="64"/>
  <c r="G217" i="64"/>
  <c r="H217" i="64"/>
  <c r="J217" i="64"/>
  <c r="K217" i="64"/>
  <c r="L217" i="64"/>
  <c r="M217" i="64"/>
  <c r="O217" i="64"/>
  <c r="P217" i="64"/>
  <c r="R217" i="64"/>
  <c r="S217" i="64"/>
  <c r="T217" i="64"/>
  <c r="U217" i="64"/>
  <c r="V217" i="64"/>
  <c r="W217" i="64"/>
  <c r="X217" i="64"/>
  <c r="Z217" i="64"/>
  <c r="AA217" i="64"/>
  <c r="AB217" i="64"/>
  <c r="AC217" i="64"/>
  <c r="AD217" i="64"/>
  <c r="AE217" i="64"/>
  <c r="AF217" i="64"/>
  <c r="AG217" i="64"/>
  <c r="AH217" i="64"/>
  <c r="AI217" i="64"/>
  <c r="AJ217" i="64"/>
  <c r="AK217" i="64"/>
  <c r="AL217" i="64"/>
  <c r="AM217" i="64"/>
  <c r="AN217" i="64"/>
  <c r="AO217" i="64"/>
  <c r="AP217" i="64"/>
  <c r="AQ217" i="64"/>
  <c r="AR217" i="64"/>
  <c r="AS217" i="64"/>
  <c r="AT217" i="64"/>
  <c r="AU217" i="64"/>
  <c r="AW217" i="64"/>
  <c r="AX217" i="64"/>
  <c r="AY217" i="64"/>
  <c r="BA217" i="64"/>
  <c r="A218" i="64"/>
  <c r="B218" i="64"/>
  <c r="D218" i="64"/>
  <c r="E218" i="64"/>
  <c r="F218" i="64"/>
  <c r="G218" i="64"/>
  <c r="H218" i="64"/>
  <c r="J218" i="64"/>
  <c r="K218" i="64"/>
  <c r="L218" i="64"/>
  <c r="M218" i="64"/>
  <c r="O218" i="64"/>
  <c r="P218" i="64"/>
  <c r="R218" i="64"/>
  <c r="S218" i="64"/>
  <c r="T218" i="64"/>
  <c r="U218" i="64"/>
  <c r="V218" i="64"/>
  <c r="W218" i="64"/>
  <c r="X218" i="64"/>
  <c r="Z218" i="64"/>
  <c r="AA218" i="64"/>
  <c r="AB218" i="64"/>
  <c r="AC218" i="64"/>
  <c r="AD218" i="64"/>
  <c r="AE218" i="64"/>
  <c r="AF218" i="64"/>
  <c r="AG218" i="64"/>
  <c r="AH218" i="64"/>
  <c r="AI218" i="64"/>
  <c r="AJ218" i="64"/>
  <c r="AK218" i="64"/>
  <c r="AL218" i="64"/>
  <c r="AM218" i="64"/>
  <c r="AN218" i="64"/>
  <c r="AO218" i="64"/>
  <c r="AP218" i="64"/>
  <c r="AQ218" i="64"/>
  <c r="AR218" i="64"/>
  <c r="AS218" i="64"/>
  <c r="AT218" i="64"/>
  <c r="AU218" i="64"/>
  <c r="AW218" i="64"/>
  <c r="AX218" i="64"/>
  <c r="AY218" i="64"/>
  <c r="BA218" i="64"/>
  <c r="A219" i="64"/>
  <c r="B219" i="64"/>
  <c r="D219" i="64"/>
  <c r="E219" i="64"/>
  <c r="F219" i="64"/>
  <c r="G219" i="64"/>
  <c r="H219" i="64"/>
  <c r="J219" i="64"/>
  <c r="K219" i="64"/>
  <c r="L219" i="64"/>
  <c r="M219" i="64"/>
  <c r="O219" i="64"/>
  <c r="P219" i="64"/>
  <c r="R219" i="64"/>
  <c r="S219" i="64"/>
  <c r="T219" i="64"/>
  <c r="U219" i="64"/>
  <c r="V219" i="64"/>
  <c r="W219" i="64"/>
  <c r="X219" i="64"/>
  <c r="Z219" i="64"/>
  <c r="AA219" i="64"/>
  <c r="AB219" i="64"/>
  <c r="AC219" i="64"/>
  <c r="AD219" i="64"/>
  <c r="AE219" i="64"/>
  <c r="AF219" i="64"/>
  <c r="AG219" i="64"/>
  <c r="AH219" i="64"/>
  <c r="AI219" i="64"/>
  <c r="AJ219" i="64"/>
  <c r="AK219" i="64"/>
  <c r="AL219" i="64"/>
  <c r="AM219" i="64"/>
  <c r="AN219" i="64"/>
  <c r="AO219" i="64"/>
  <c r="AP219" i="64"/>
  <c r="AQ219" i="64"/>
  <c r="AR219" i="64"/>
  <c r="AS219" i="64"/>
  <c r="AT219" i="64"/>
  <c r="AU219" i="64"/>
  <c r="AW219" i="64"/>
  <c r="AX219" i="64"/>
  <c r="AY219" i="64"/>
  <c r="BA219" i="64"/>
  <c r="A220" i="64"/>
  <c r="B220" i="64"/>
  <c r="D220" i="64"/>
  <c r="E220" i="64"/>
  <c r="F220" i="64"/>
  <c r="G220" i="64"/>
  <c r="H220" i="64"/>
  <c r="J220" i="64"/>
  <c r="K220" i="64"/>
  <c r="L220" i="64"/>
  <c r="M220" i="64"/>
  <c r="O220" i="64"/>
  <c r="P220" i="64"/>
  <c r="R220" i="64"/>
  <c r="S220" i="64"/>
  <c r="T220" i="64"/>
  <c r="U220" i="64"/>
  <c r="V220" i="64"/>
  <c r="W220" i="64"/>
  <c r="X220" i="64"/>
  <c r="Z220" i="64"/>
  <c r="AA220" i="64"/>
  <c r="AB220" i="64"/>
  <c r="AC220" i="64"/>
  <c r="AD220" i="64"/>
  <c r="AE220" i="64"/>
  <c r="AF220" i="64"/>
  <c r="AG220" i="64"/>
  <c r="AH220" i="64"/>
  <c r="AI220" i="64"/>
  <c r="AJ220" i="64"/>
  <c r="AK220" i="64"/>
  <c r="AL220" i="64"/>
  <c r="AM220" i="64"/>
  <c r="AN220" i="64"/>
  <c r="AO220" i="64"/>
  <c r="AP220" i="64"/>
  <c r="AQ220" i="64"/>
  <c r="AR220" i="64"/>
  <c r="AS220" i="64"/>
  <c r="AT220" i="64"/>
  <c r="AU220" i="64"/>
  <c r="AW220" i="64"/>
  <c r="AX220" i="64"/>
  <c r="AY220" i="64"/>
  <c r="BA220" i="64"/>
  <c r="A221" i="64"/>
  <c r="B221" i="64"/>
  <c r="D221" i="64"/>
  <c r="E221" i="64"/>
  <c r="F221" i="64"/>
  <c r="G221" i="64"/>
  <c r="H221" i="64"/>
  <c r="J221" i="64"/>
  <c r="K221" i="64"/>
  <c r="L221" i="64"/>
  <c r="M221" i="64"/>
  <c r="O221" i="64"/>
  <c r="P221" i="64"/>
  <c r="R221" i="64"/>
  <c r="S221" i="64"/>
  <c r="T221" i="64"/>
  <c r="U221" i="64"/>
  <c r="V221" i="64"/>
  <c r="W221" i="64"/>
  <c r="X221" i="64"/>
  <c r="Z221" i="64"/>
  <c r="AA221" i="64"/>
  <c r="AB221" i="64"/>
  <c r="AC221" i="64"/>
  <c r="AD221" i="64"/>
  <c r="AE221" i="64"/>
  <c r="AF221" i="64"/>
  <c r="AG221" i="64"/>
  <c r="AH221" i="64"/>
  <c r="AI221" i="64"/>
  <c r="AJ221" i="64"/>
  <c r="AK221" i="64"/>
  <c r="AL221" i="64"/>
  <c r="AM221" i="64"/>
  <c r="AN221" i="64"/>
  <c r="AO221" i="64"/>
  <c r="AP221" i="64"/>
  <c r="AQ221" i="64"/>
  <c r="AR221" i="64"/>
  <c r="AS221" i="64"/>
  <c r="AT221" i="64"/>
  <c r="AU221" i="64"/>
  <c r="AW221" i="64"/>
  <c r="AX221" i="64"/>
  <c r="AY221" i="64"/>
  <c r="BA221" i="64"/>
  <c r="A222" i="64"/>
  <c r="B222" i="64"/>
  <c r="D222" i="64"/>
  <c r="E222" i="64"/>
  <c r="F222" i="64"/>
  <c r="G222" i="64"/>
  <c r="H222" i="64"/>
  <c r="J222" i="64"/>
  <c r="K222" i="64"/>
  <c r="L222" i="64"/>
  <c r="M222" i="64"/>
  <c r="O222" i="64"/>
  <c r="P222" i="64"/>
  <c r="R222" i="64"/>
  <c r="S222" i="64"/>
  <c r="T222" i="64"/>
  <c r="U222" i="64"/>
  <c r="V222" i="64"/>
  <c r="W222" i="64"/>
  <c r="X222" i="64"/>
  <c r="Z222" i="64"/>
  <c r="AA222" i="64"/>
  <c r="AB222" i="64"/>
  <c r="AC222" i="64"/>
  <c r="AD222" i="64"/>
  <c r="AE222" i="64"/>
  <c r="AF222" i="64"/>
  <c r="AG222" i="64"/>
  <c r="AH222" i="64"/>
  <c r="AI222" i="64"/>
  <c r="AJ222" i="64"/>
  <c r="AK222" i="64"/>
  <c r="AL222" i="64"/>
  <c r="AM222" i="64"/>
  <c r="AN222" i="64"/>
  <c r="AO222" i="64"/>
  <c r="AP222" i="64"/>
  <c r="AQ222" i="64"/>
  <c r="AR222" i="64"/>
  <c r="AS222" i="64"/>
  <c r="AT222" i="64"/>
  <c r="AU222" i="64"/>
  <c r="AW222" i="64"/>
  <c r="AX222" i="64"/>
  <c r="AY222" i="64"/>
  <c r="BA222" i="64"/>
  <c r="A223" i="64"/>
  <c r="B223" i="64"/>
  <c r="D223" i="64"/>
  <c r="E223" i="64"/>
  <c r="F223" i="64"/>
  <c r="G223" i="64"/>
  <c r="H223" i="64"/>
  <c r="J223" i="64"/>
  <c r="K223" i="64"/>
  <c r="L223" i="64"/>
  <c r="M223" i="64"/>
  <c r="O223" i="64"/>
  <c r="P223" i="64"/>
  <c r="R223" i="64"/>
  <c r="S223" i="64"/>
  <c r="T223" i="64"/>
  <c r="U223" i="64"/>
  <c r="V223" i="64"/>
  <c r="W223" i="64"/>
  <c r="X223" i="64"/>
  <c r="Z223" i="64"/>
  <c r="AA223" i="64"/>
  <c r="AB223" i="64"/>
  <c r="AC223" i="64"/>
  <c r="AD223" i="64"/>
  <c r="AE223" i="64"/>
  <c r="AF223" i="64"/>
  <c r="AG223" i="64"/>
  <c r="AH223" i="64"/>
  <c r="AI223" i="64"/>
  <c r="AJ223" i="64"/>
  <c r="AK223" i="64"/>
  <c r="AL223" i="64"/>
  <c r="AM223" i="64"/>
  <c r="AN223" i="64"/>
  <c r="AO223" i="64"/>
  <c r="AP223" i="64"/>
  <c r="AQ223" i="64"/>
  <c r="AR223" i="64"/>
  <c r="AS223" i="64"/>
  <c r="AT223" i="64"/>
  <c r="AU223" i="64"/>
  <c r="AW223" i="64"/>
  <c r="AX223" i="64"/>
  <c r="AY223" i="64"/>
  <c r="BA223" i="64"/>
  <c r="A224" i="64"/>
  <c r="B224" i="64"/>
  <c r="D224" i="64"/>
  <c r="E224" i="64"/>
  <c r="F224" i="64"/>
  <c r="G224" i="64"/>
  <c r="H224" i="64"/>
  <c r="J224" i="64"/>
  <c r="K224" i="64"/>
  <c r="L224" i="64"/>
  <c r="M224" i="64"/>
  <c r="O224" i="64"/>
  <c r="P224" i="64"/>
  <c r="R224" i="64"/>
  <c r="S224" i="64"/>
  <c r="T224" i="64"/>
  <c r="U224" i="64"/>
  <c r="V224" i="64"/>
  <c r="W224" i="64"/>
  <c r="X224" i="64"/>
  <c r="Z224" i="64"/>
  <c r="AA224" i="64"/>
  <c r="AB224" i="64"/>
  <c r="AC224" i="64"/>
  <c r="AD224" i="64"/>
  <c r="AE224" i="64"/>
  <c r="AF224" i="64"/>
  <c r="AG224" i="64"/>
  <c r="AH224" i="64"/>
  <c r="AI224" i="64"/>
  <c r="AJ224" i="64"/>
  <c r="AK224" i="64"/>
  <c r="AL224" i="64"/>
  <c r="AM224" i="64"/>
  <c r="AN224" i="64"/>
  <c r="AO224" i="64"/>
  <c r="AP224" i="64"/>
  <c r="AQ224" i="64"/>
  <c r="AR224" i="64"/>
  <c r="AS224" i="64"/>
  <c r="AT224" i="64"/>
  <c r="AU224" i="64"/>
  <c r="AW224" i="64"/>
  <c r="AX224" i="64"/>
  <c r="AY224" i="64"/>
  <c r="BA224" i="64"/>
  <c r="A225" i="64"/>
  <c r="B225" i="64"/>
  <c r="D225" i="64"/>
  <c r="E225" i="64"/>
  <c r="F225" i="64"/>
  <c r="G225" i="64"/>
  <c r="H225" i="64"/>
  <c r="J225" i="64"/>
  <c r="K225" i="64"/>
  <c r="L225" i="64"/>
  <c r="M225" i="64"/>
  <c r="O225" i="64"/>
  <c r="P225" i="64"/>
  <c r="R225" i="64"/>
  <c r="S225" i="64"/>
  <c r="T225" i="64"/>
  <c r="U225" i="64"/>
  <c r="V225" i="64"/>
  <c r="W225" i="64"/>
  <c r="X225" i="64"/>
  <c r="Z225" i="64"/>
  <c r="AA225" i="64"/>
  <c r="AB225" i="64"/>
  <c r="AC225" i="64"/>
  <c r="AD225" i="64"/>
  <c r="AE225" i="64"/>
  <c r="AF225" i="64"/>
  <c r="AG225" i="64"/>
  <c r="AH225" i="64"/>
  <c r="AI225" i="64"/>
  <c r="AJ225" i="64"/>
  <c r="AK225" i="64"/>
  <c r="AL225" i="64"/>
  <c r="AM225" i="64"/>
  <c r="AN225" i="64"/>
  <c r="AO225" i="64"/>
  <c r="AP225" i="64"/>
  <c r="AQ225" i="64"/>
  <c r="AR225" i="64"/>
  <c r="AS225" i="64"/>
  <c r="AT225" i="64"/>
  <c r="AU225" i="64"/>
  <c r="AW225" i="64"/>
  <c r="AX225" i="64"/>
  <c r="AY225" i="64"/>
  <c r="BA225" i="64"/>
  <c r="A226" i="64"/>
  <c r="B226" i="64"/>
  <c r="D226" i="64"/>
  <c r="E226" i="64"/>
  <c r="F226" i="64"/>
  <c r="G226" i="64"/>
  <c r="H226" i="64"/>
  <c r="J226" i="64"/>
  <c r="K226" i="64"/>
  <c r="L226" i="64"/>
  <c r="M226" i="64"/>
  <c r="O226" i="64"/>
  <c r="P226" i="64"/>
  <c r="R226" i="64"/>
  <c r="S226" i="64"/>
  <c r="T226" i="64"/>
  <c r="U226" i="64"/>
  <c r="V226" i="64"/>
  <c r="W226" i="64"/>
  <c r="X226" i="64"/>
  <c r="Z226" i="64"/>
  <c r="AA226" i="64"/>
  <c r="AB226" i="64"/>
  <c r="AC226" i="64"/>
  <c r="AD226" i="64"/>
  <c r="AE226" i="64"/>
  <c r="AF226" i="64"/>
  <c r="AG226" i="64"/>
  <c r="AH226" i="64"/>
  <c r="AI226" i="64"/>
  <c r="AJ226" i="64"/>
  <c r="AK226" i="64"/>
  <c r="AL226" i="64"/>
  <c r="AM226" i="64"/>
  <c r="AN226" i="64"/>
  <c r="AO226" i="64"/>
  <c r="AP226" i="64"/>
  <c r="AQ226" i="64"/>
  <c r="AR226" i="64"/>
  <c r="AS226" i="64"/>
  <c r="AT226" i="64"/>
  <c r="AU226" i="64"/>
  <c r="AW226" i="64"/>
  <c r="AX226" i="64"/>
  <c r="AY226" i="64"/>
  <c r="BA226" i="64"/>
  <c r="A227" i="64"/>
  <c r="B227" i="64"/>
  <c r="D227" i="64"/>
  <c r="E227" i="64"/>
  <c r="F227" i="64"/>
  <c r="G227" i="64"/>
  <c r="H227" i="64"/>
  <c r="J227" i="64"/>
  <c r="K227" i="64"/>
  <c r="L227" i="64"/>
  <c r="M227" i="64"/>
  <c r="O227" i="64"/>
  <c r="P227" i="64"/>
  <c r="R227" i="64"/>
  <c r="S227" i="64"/>
  <c r="T227" i="64"/>
  <c r="U227" i="64"/>
  <c r="V227" i="64"/>
  <c r="W227" i="64"/>
  <c r="X227" i="64"/>
  <c r="Z227" i="64"/>
  <c r="AA227" i="64"/>
  <c r="AB227" i="64"/>
  <c r="AC227" i="64"/>
  <c r="AD227" i="64"/>
  <c r="AE227" i="64"/>
  <c r="AF227" i="64"/>
  <c r="AG227" i="64"/>
  <c r="AH227" i="64"/>
  <c r="AI227" i="64"/>
  <c r="AJ227" i="64"/>
  <c r="AK227" i="64"/>
  <c r="AL227" i="64"/>
  <c r="AM227" i="64"/>
  <c r="AN227" i="64"/>
  <c r="AO227" i="64"/>
  <c r="AP227" i="64"/>
  <c r="AQ227" i="64"/>
  <c r="AR227" i="64"/>
  <c r="AS227" i="64"/>
  <c r="AT227" i="64"/>
  <c r="AU227" i="64"/>
  <c r="AW227" i="64"/>
  <c r="AX227" i="64"/>
  <c r="AY227" i="64"/>
  <c r="BA227" i="64"/>
  <c r="A228" i="64"/>
  <c r="B228" i="64"/>
  <c r="D228" i="64"/>
  <c r="E228" i="64"/>
  <c r="F228" i="64"/>
  <c r="G228" i="64"/>
  <c r="H228" i="64"/>
  <c r="J228" i="64"/>
  <c r="K228" i="64"/>
  <c r="L228" i="64"/>
  <c r="M228" i="64"/>
  <c r="O228" i="64"/>
  <c r="P228" i="64"/>
  <c r="R228" i="64"/>
  <c r="S228" i="64"/>
  <c r="T228" i="64"/>
  <c r="U228" i="64"/>
  <c r="V228" i="64"/>
  <c r="W228" i="64"/>
  <c r="X228" i="64"/>
  <c r="Z228" i="64"/>
  <c r="AA228" i="64"/>
  <c r="AB228" i="64"/>
  <c r="AC228" i="64"/>
  <c r="AD228" i="64"/>
  <c r="AE228" i="64"/>
  <c r="AF228" i="64"/>
  <c r="AG228" i="64"/>
  <c r="AH228" i="64"/>
  <c r="AI228" i="64"/>
  <c r="AJ228" i="64"/>
  <c r="AK228" i="64"/>
  <c r="AL228" i="64"/>
  <c r="AM228" i="64"/>
  <c r="AN228" i="64"/>
  <c r="AO228" i="64"/>
  <c r="AP228" i="64"/>
  <c r="AQ228" i="64"/>
  <c r="AR228" i="64"/>
  <c r="AS228" i="64"/>
  <c r="AT228" i="64"/>
  <c r="AU228" i="64"/>
  <c r="AW228" i="64"/>
  <c r="AX228" i="64"/>
  <c r="AY228" i="64"/>
  <c r="BA228" i="64"/>
  <c r="A229" i="64"/>
  <c r="B229" i="64"/>
  <c r="D229" i="64"/>
  <c r="E229" i="64"/>
  <c r="F229" i="64"/>
  <c r="G229" i="64"/>
  <c r="H229" i="64"/>
  <c r="J229" i="64"/>
  <c r="K229" i="64"/>
  <c r="L229" i="64"/>
  <c r="M229" i="64"/>
  <c r="O229" i="64"/>
  <c r="P229" i="64"/>
  <c r="R229" i="64"/>
  <c r="S229" i="64"/>
  <c r="T229" i="64"/>
  <c r="U229" i="64"/>
  <c r="V229" i="64"/>
  <c r="W229" i="64"/>
  <c r="X229" i="64"/>
  <c r="Z229" i="64"/>
  <c r="AA229" i="64"/>
  <c r="AB229" i="64"/>
  <c r="AC229" i="64"/>
  <c r="AD229" i="64"/>
  <c r="AE229" i="64"/>
  <c r="AF229" i="64"/>
  <c r="AG229" i="64"/>
  <c r="AH229" i="64"/>
  <c r="AI229" i="64"/>
  <c r="AJ229" i="64"/>
  <c r="AK229" i="64"/>
  <c r="AL229" i="64"/>
  <c r="AM229" i="64"/>
  <c r="AN229" i="64"/>
  <c r="AO229" i="64"/>
  <c r="AP229" i="64"/>
  <c r="AQ229" i="64"/>
  <c r="AR229" i="64"/>
  <c r="AS229" i="64"/>
  <c r="AT229" i="64"/>
  <c r="AU229" i="64"/>
  <c r="AW229" i="64"/>
  <c r="AX229" i="64"/>
  <c r="AY229" i="64"/>
  <c r="BA229" i="64"/>
  <c r="A230" i="64"/>
  <c r="B230" i="64"/>
  <c r="D230" i="64"/>
  <c r="E230" i="64"/>
  <c r="F230" i="64"/>
  <c r="G230" i="64"/>
  <c r="H230" i="64"/>
  <c r="J230" i="64"/>
  <c r="K230" i="64"/>
  <c r="L230" i="64"/>
  <c r="M230" i="64"/>
  <c r="O230" i="64"/>
  <c r="P230" i="64"/>
  <c r="R230" i="64"/>
  <c r="S230" i="64"/>
  <c r="T230" i="64"/>
  <c r="U230" i="64"/>
  <c r="V230" i="64"/>
  <c r="W230" i="64"/>
  <c r="X230" i="64"/>
  <c r="Z230" i="64"/>
  <c r="AA230" i="64"/>
  <c r="AB230" i="64"/>
  <c r="AC230" i="64"/>
  <c r="AD230" i="64"/>
  <c r="AE230" i="64"/>
  <c r="AF230" i="64"/>
  <c r="AG230" i="64"/>
  <c r="AH230" i="64"/>
  <c r="AI230" i="64"/>
  <c r="AJ230" i="64"/>
  <c r="AK230" i="64"/>
  <c r="AL230" i="64"/>
  <c r="AM230" i="64"/>
  <c r="AN230" i="64"/>
  <c r="AO230" i="64"/>
  <c r="AP230" i="64"/>
  <c r="AQ230" i="64"/>
  <c r="AR230" i="64"/>
  <c r="AS230" i="64"/>
  <c r="AT230" i="64"/>
  <c r="AU230" i="64"/>
  <c r="AW230" i="64"/>
  <c r="AX230" i="64"/>
  <c r="AY230" i="64"/>
  <c r="BA230" i="64"/>
  <c r="A231" i="64"/>
  <c r="B231" i="64"/>
  <c r="D231" i="64"/>
  <c r="E231" i="64"/>
  <c r="F231" i="64"/>
  <c r="G231" i="64"/>
  <c r="H231" i="64"/>
  <c r="J231" i="64"/>
  <c r="K231" i="64"/>
  <c r="L231" i="64"/>
  <c r="M231" i="64"/>
  <c r="O231" i="64"/>
  <c r="P231" i="64"/>
  <c r="R231" i="64"/>
  <c r="S231" i="64"/>
  <c r="T231" i="64"/>
  <c r="U231" i="64"/>
  <c r="V231" i="64"/>
  <c r="W231" i="64"/>
  <c r="X231" i="64"/>
  <c r="Z231" i="64"/>
  <c r="AA231" i="64"/>
  <c r="AB231" i="64"/>
  <c r="AC231" i="64"/>
  <c r="AD231" i="64"/>
  <c r="AE231" i="64"/>
  <c r="AF231" i="64"/>
  <c r="AG231" i="64"/>
  <c r="AH231" i="64"/>
  <c r="AI231" i="64"/>
  <c r="AJ231" i="64"/>
  <c r="AK231" i="64"/>
  <c r="AL231" i="64"/>
  <c r="AM231" i="64"/>
  <c r="AN231" i="64"/>
  <c r="AO231" i="64"/>
  <c r="AP231" i="64"/>
  <c r="AQ231" i="64"/>
  <c r="AR231" i="64"/>
  <c r="AS231" i="64"/>
  <c r="AT231" i="64"/>
  <c r="AU231" i="64"/>
  <c r="AW231" i="64"/>
  <c r="AX231" i="64"/>
  <c r="AY231" i="64"/>
  <c r="BA231" i="64"/>
  <c r="A232" i="64"/>
  <c r="B232" i="64"/>
  <c r="D232" i="64"/>
  <c r="E232" i="64"/>
  <c r="F232" i="64"/>
  <c r="G232" i="64"/>
  <c r="H232" i="64"/>
  <c r="J232" i="64"/>
  <c r="K232" i="64"/>
  <c r="L232" i="64"/>
  <c r="M232" i="64"/>
  <c r="O232" i="64"/>
  <c r="P232" i="64"/>
  <c r="R232" i="64"/>
  <c r="S232" i="64"/>
  <c r="T232" i="64"/>
  <c r="U232" i="64"/>
  <c r="V232" i="64"/>
  <c r="W232" i="64"/>
  <c r="X232" i="64"/>
  <c r="Z232" i="64"/>
  <c r="AA232" i="64"/>
  <c r="AB232" i="64"/>
  <c r="AC232" i="64"/>
  <c r="AD232" i="64"/>
  <c r="AE232" i="64"/>
  <c r="AF232" i="64"/>
  <c r="AG232" i="64"/>
  <c r="AH232" i="64"/>
  <c r="AI232" i="64"/>
  <c r="AJ232" i="64"/>
  <c r="AK232" i="64"/>
  <c r="AL232" i="64"/>
  <c r="AM232" i="64"/>
  <c r="AN232" i="64"/>
  <c r="AO232" i="64"/>
  <c r="AP232" i="64"/>
  <c r="AQ232" i="64"/>
  <c r="AR232" i="64"/>
  <c r="AS232" i="64"/>
  <c r="AT232" i="64"/>
  <c r="AU232" i="64"/>
  <c r="AW232" i="64"/>
  <c r="AX232" i="64"/>
  <c r="AY232" i="64"/>
  <c r="BA232" i="64"/>
  <c r="A233" i="64"/>
  <c r="B233" i="64"/>
  <c r="D233" i="64"/>
  <c r="E233" i="64"/>
  <c r="F233" i="64"/>
  <c r="G233" i="64"/>
  <c r="H233" i="64"/>
  <c r="J233" i="64"/>
  <c r="K233" i="64"/>
  <c r="L233" i="64"/>
  <c r="M233" i="64"/>
  <c r="O233" i="64"/>
  <c r="P233" i="64"/>
  <c r="R233" i="64"/>
  <c r="S233" i="64"/>
  <c r="T233" i="64"/>
  <c r="U233" i="64"/>
  <c r="V233" i="64"/>
  <c r="W233" i="64"/>
  <c r="X233" i="64"/>
  <c r="Z233" i="64"/>
  <c r="AA233" i="64"/>
  <c r="AB233" i="64"/>
  <c r="AC233" i="64"/>
  <c r="AD233" i="64"/>
  <c r="AE233" i="64"/>
  <c r="AF233" i="64"/>
  <c r="AG233" i="64"/>
  <c r="AH233" i="64"/>
  <c r="AI233" i="64"/>
  <c r="AJ233" i="64"/>
  <c r="AK233" i="64"/>
  <c r="AL233" i="64"/>
  <c r="AM233" i="64"/>
  <c r="AN233" i="64"/>
  <c r="AO233" i="64"/>
  <c r="AP233" i="64"/>
  <c r="AQ233" i="64"/>
  <c r="AR233" i="64"/>
  <c r="AS233" i="64"/>
  <c r="AT233" i="64"/>
  <c r="AU233" i="64"/>
  <c r="AW233" i="64"/>
  <c r="AX233" i="64"/>
  <c r="AY233" i="64"/>
  <c r="BA233" i="64"/>
  <c r="A234" i="64"/>
  <c r="B234" i="64"/>
  <c r="D234" i="64"/>
  <c r="E234" i="64"/>
  <c r="F234" i="64"/>
  <c r="G234" i="64"/>
  <c r="H234" i="64"/>
  <c r="J234" i="64"/>
  <c r="K234" i="64"/>
  <c r="L234" i="64"/>
  <c r="M234" i="64"/>
  <c r="O234" i="64"/>
  <c r="P234" i="64"/>
  <c r="R234" i="64"/>
  <c r="S234" i="64"/>
  <c r="T234" i="64"/>
  <c r="U234" i="64"/>
  <c r="V234" i="64"/>
  <c r="W234" i="64"/>
  <c r="X234" i="64"/>
  <c r="Z234" i="64"/>
  <c r="AA234" i="64"/>
  <c r="AB234" i="64"/>
  <c r="AC234" i="64"/>
  <c r="AD234" i="64"/>
  <c r="AE234" i="64"/>
  <c r="AF234" i="64"/>
  <c r="AG234" i="64"/>
  <c r="AH234" i="64"/>
  <c r="AI234" i="64"/>
  <c r="AJ234" i="64"/>
  <c r="AK234" i="64"/>
  <c r="AL234" i="64"/>
  <c r="AM234" i="64"/>
  <c r="AN234" i="64"/>
  <c r="AO234" i="64"/>
  <c r="AP234" i="64"/>
  <c r="AQ234" i="64"/>
  <c r="AR234" i="64"/>
  <c r="AS234" i="64"/>
  <c r="AT234" i="64"/>
  <c r="AU234" i="64"/>
  <c r="AW234" i="64"/>
  <c r="AX234" i="64"/>
  <c r="AY234" i="64"/>
  <c r="BA234" i="64"/>
  <c r="A235" i="64"/>
  <c r="B235" i="64"/>
  <c r="D235" i="64"/>
  <c r="E235" i="64"/>
  <c r="F235" i="64"/>
  <c r="G235" i="64"/>
  <c r="H235" i="64"/>
  <c r="J235" i="64"/>
  <c r="K235" i="64"/>
  <c r="L235" i="64"/>
  <c r="M235" i="64"/>
  <c r="O235" i="64"/>
  <c r="P235" i="64"/>
  <c r="R235" i="64"/>
  <c r="S235" i="64"/>
  <c r="T235" i="64"/>
  <c r="U235" i="64"/>
  <c r="V235" i="64"/>
  <c r="W235" i="64"/>
  <c r="X235" i="64"/>
  <c r="Z235" i="64"/>
  <c r="AA235" i="64"/>
  <c r="AB235" i="64"/>
  <c r="AC235" i="64"/>
  <c r="AD235" i="64"/>
  <c r="AE235" i="64"/>
  <c r="AF235" i="64"/>
  <c r="AG235" i="64"/>
  <c r="AH235" i="64"/>
  <c r="AI235" i="64"/>
  <c r="AJ235" i="64"/>
  <c r="AK235" i="64"/>
  <c r="AL235" i="64"/>
  <c r="AM235" i="64"/>
  <c r="AN235" i="64"/>
  <c r="AO235" i="64"/>
  <c r="AP235" i="64"/>
  <c r="AQ235" i="64"/>
  <c r="AR235" i="64"/>
  <c r="AS235" i="64"/>
  <c r="AT235" i="64"/>
  <c r="AU235" i="64"/>
  <c r="AW235" i="64"/>
  <c r="AX235" i="64"/>
  <c r="AY235" i="64"/>
  <c r="BA235" i="64"/>
  <c r="A236" i="64"/>
  <c r="B236" i="64"/>
  <c r="D236" i="64"/>
  <c r="E236" i="64"/>
  <c r="F236" i="64"/>
  <c r="G236" i="64"/>
  <c r="H236" i="64"/>
  <c r="J236" i="64"/>
  <c r="K236" i="64"/>
  <c r="L236" i="64"/>
  <c r="M236" i="64"/>
  <c r="O236" i="64"/>
  <c r="P236" i="64"/>
  <c r="R236" i="64"/>
  <c r="S236" i="64"/>
  <c r="T236" i="64"/>
  <c r="U236" i="64"/>
  <c r="V236" i="64"/>
  <c r="W236" i="64"/>
  <c r="X236" i="64"/>
  <c r="Z236" i="64"/>
  <c r="AA236" i="64"/>
  <c r="AB236" i="64"/>
  <c r="AC236" i="64"/>
  <c r="AD236" i="64"/>
  <c r="AE236" i="64"/>
  <c r="AF236" i="64"/>
  <c r="AG236" i="64"/>
  <c r="AH236" i="64"/>
  <c r="AI236" i="64"/>
  <c r="AJ236" i="64"/>
  <c r="AK236" i="64"/>
  <c r="AL236" i="64"/>
  <c r="AM236" i="64"/>
  <c r="AN236" i="64"/>
  <c r="AO236" i="64"/>
  <c r="AP236" i="64"/>
  <c r="AQ236" i="64"/>
  <c r="AR236" i="64"/>
  <c r="AS236" i="64"/>
  <c r="AT236" i="64"/>
  <c r="AU236" i="64"/>
  <c r="AW236" i="64"/>
  <c r="AX236" i="64"/>
  <c r="AY236" i="64"/>
  <c r="BA236" i="64"/>
  <c r="A237" i="64"/>
  <c r="B237" i="64"/>
  <c r="D237" i="64"/>
  <c r="E237" i="64"/>
  <c r="F237" i="64"/>
  <c r="G237" i="64"/>
  <c r="H237" i="64"/>
  <c r="J237" i="64"/>
  <c r="K237" i="64"/>
  <c r="L237" i="64"/>
  <c r="M237" i="64"/>
  <c r="O237" i="64"/>
  <c r="P237" i="64"/>
  <c r="R237" i="64"/>
  <c r="S237" i="64"/>
  <c r="T237" i="64"/>
  <c r="U237" i="64"/>
  <c r="V237" i="64"/>
  <c r="W237" i="64"/>
  <c r="X237" i="64"/>
  <c r="Z237" i="64"/>
  <c r="AA237" i="64"/>
  <c r="AB237" i="64"/>
  <c r="AC237" i="64"/>
  <c r="AD237" i="64"/>
  <c r="AE237" i="64"/>
  <c r="AF237" i="64"/>
  <c r="AG237" i="64"/>
  <c r="AH237" i="64"/>
  <c r="AI237" i="64"/>
  <c r="AJ237" i="64"/>
  <c r="AK237" i="64"/>
  <c r="AL237" i="64"/>
  <c r="AM237" i="64"/>
  <c r="AN237" i="64"/>
  <c r="AO237" i="64"/>
  <c r="AP237" i="64"/>
  <c r="AQ237" i="64"/>
  <c r="AR237" i="64"/>
  <c r="AS237" i="64"/>
  <c r="AT237" i="64"/>
  <c r="AU237" i="64"/>
  <c r="AW237" i="64"/>
  <c r="AX237" i="64"/>
  <c r="AY237" i="64"/>
  <c r="BA237" i="64"/>
  <c r="A238" i="64"/>
  <c r="B238" i="64"/>
  <c r="D238" i="64"/>
  <c r="E238" i="64"/>
  <c r="F238" i="64"/>
  <c r="G238" i="64"/>
  <c r="H238" i="64"/>
  <c r="J238" i="64"/>
  <c r="K238" i="64"/>
  <c r="L238" i="64"/>
  <c r="M238" i="64"/>
  <c r="O238" i="64"/>
  <c r="P238" i="64"/>
  <c r="R238" i="64"/>
  <c r="S238" i="64"/>
  <c r="T238" i="64"/>
  <c r="U238" i="64"/>
  <c r="V238" i="64"/>
  <c r="W238" i="64"/>
  <c r="X238" i="64"/>
  <c r="Z238" i="64"/>
  <c r="AA238" i="64"/>
  <c r="AB238" i="64"/>
  <c r="AC238" i="64"/>
  <c r="AD238" i="64"/>
  <c r="AE238" i="64"/>
  <c r="AF238" i="64"/>
  <c r="AG238" i="64"/>
  <c r="AH238" i="64"/>
  <c r="AI238" i="64"/>
  <c r="AJ238" i="64"/>
  <c r="AK238" i="64"/>
  <c r="AL238" i="64"/>
  <c r="AM238" i="64"/>
  <c r="AN238" i="64"/>
  <c r="AO238" i="64"/>
  <c r="AP238" i="64"/>
  <c r="AQ238" i="64"/>
  <c r="AR238" i="64"/>
  <c r="AS238" i="64"/>
  <c r="AT238" i="64"/>
  <c r="AU238" i="64"/>
  <c r="AW238" i="64"/>
  <c r="AX238" i="64"/>
  <c r="AY238" i="64"/>
  <c r="BA238" i="64"/>
  <c r="A239" i="64"/>
  <c r="B239" i="64"/>
  <c r="D239" i="64"/>
  <c r="E239" i="64"/>
  <c r="F239" i="64"/>
  <c r="G239" i="64"/>
  <c r="H239" i="64"/>
  <c r="J239" i="64"/>
  <c r="K239" i="64"/>
  <c r="L239" i="64"/>
  <c r="M239" i="64"/>
  <c r="O239" i="64"/>
  <c r="P239" i="64"/>
  <c r="R239" i="64"/>
  <c r="S239" i="64"/>
  <c r="T239" i="64"/>
  <c r="U239" i="64"/>
  <c r="V239" i="64"/>
  <c r="W239" i="64"/>
  <c r="X239" i="64"/>
  <c r="Z239" i="64"/>
  <c r="AA239" i="64"/>
  <c r="AB239" i="64"/>
  <c r="AC239" i="64"/>
  <c r="AD239" i="64"/>
  <c r="AE239" i="64"/>
  <c r="AF239" i="64"/>
  <c r="AG239" i="64"/>
  <c r="AH239" i="64"/>
  <c r="AI239" i="64"/>
  <c r="AJ239" i="64"/>
  <c r="AK239" i="64"/>
  <c r="AL239" i="64"/>
  <c r="AM239" i="64"/>
  <c r="AN239" i="64"/>
  <c r="AO239" i="64"/>
  <c r="AP239" i="64"/>
  <c r="AQ239" i="64"/>
  <c r="AR239" i="64"/>
  <c r="AS239" i="64"/>
  <c r="AT239" i="64"/>
  <c r="AU239" i="64"/>
  <c r="AW239" i="64"/>
  <c r="AX239" i="64"/>
  <c r="AY239" i="64"/>
  <c r="BA239" i="64"/>
  <c r="A240" i="64"/>
  <c r="B240" i="64"/>
  <c r="D240" i="64"/>
  <c r="E240" i="64"/>
  <c r="F240" i="64"/>
  <c r="G240" i="64"/>
  <c r="H240" i="64"/>
  <c r="J240" i="64"/>
  <c r="K240" i="64"/>
  <c r="L240" i="64"/>
  <c r="M240" i="64"/>
  <c r="O240" i="64"/>
  <c r="P240" i="64"/>
  <c r="R240" i="64"/>
  <c r="S240" i="64"/>
  <c r="T240" i="64"/>
  <c r="U240" i="64"/>
  <c r="V240" i="64"/>
  <c r="W240" i="64"/>
  <c r="X240" i="64"/>
  <c r="Z240" i="64"/>
  <c r="AA240" i="64"/>
  <c r="AB240" i="64"/>
  <c r="AC240" i="64"/>
  <c r="AD240" i="64"/>
  <c r="AE240" i="64"/>
  <c r="AF240" i="64"/>
  <c r="AG240" i="64"/>
  <c r="AH240" i="64"/>
  <c r="AI240" i="64"/>
  <c r="AJ240" i="64"/>
  <c r="AK240" i="64"/>
  <c r="AL240" i="64"/>
  <c r="AM240" i="64"/>
  <c r="AN240" i="64"/>
  <c r="AO240" i="64"/>
  <c r="AP240" i="64"/>
  <c r="AQ240" i="64"/>
  <c r="AR240" i="64"/>
  <c r="AS240" i="64"/>
  <c r="AT240" i="64"/>
  <c r="AU240" i="64"/>
  <c r="AW240" i="64"/>
  <c r="AX240" i="64"/>
  <c r="AY240" i="64"/>
  <c r="BA240" i="64"/>
  <c r="A241" i="64"/>
  <c r="B241" i="64"/>
  <c r="D241" i="64"/>
  <c r="E241" i="64"/>
  <c r="F241" i="64"/>
  <c r="G241" i="64"/>
  <c r="H241" i="64"/>
  <c r="J241" i="64"/>
  <c r="K241" i="64"/>
  <c r="L241" i="64"/>
  <c r="M241" i="64"/>
  <c r="O241" i="64"/>
  <c r="P241" i="64"/>
  <c r="R241" i="64"/>
  <c r="S241" i="64"/>
  <c r="T241" i="64"/>
  <c r="U241" i="64"/>
  <c r="V241" i="64"/>
  <c r="W241" i="64"/>
  <c r="X241" i="64"/>
  <c r="Z241" i="64"/>
  <c r="AA241" i="64"/>
  <c r="AB241" i="64"/>
  <c r="AC241" i="64"/>
  <c r="AD241" i="64"/>
  <c r="AE241" i="64"/>
  <c r="AF241" i="64"/>
  <c r="AG241" i="64"/>
  <c r="AH241" i="64"/>
  <c r="AI241" i="64"/>
  <c r="AJ241" i="64"/>
  <c r="AK241" i="64"/>
  <c r="AL241" i="64"/>
  <c r="AM241" i="64"/>
  <c r="AN241" i="64"/>
  <c r="AO241" i="64"/>
  <c r="AP241" i="64"/>
  <c r="AQ241" i="64"/>
  <c r="AR241" i="64"/>
  <c r="AS241" i="64"/>
  <c r="AT241" i="64"/>
  <c r="AU241" i="64"/>
  <c r="AW241" i="64"/>
  <c r="AX241" i="64"/>
  <c r="AY241" i="64"/>
  <c r="BA241" i="64"/>
  <c r="A242" i="64"/>
  <c r="B242" i="64"/>
  <c r="D242" i="64"/>
  <c r="E242" i="64"/>
  <c r="F242" i="64"/>
  <c r="G242" i="64"/>
  <c r="H242" i="64"/>
  <c r="J242" i="64"/>
  <c r="K242" i="64"/>
  <c r="L242" i="64"/>
  <c r="M242" i="64"/>
  <c r="O242" i="64"/>
  <c r="P242" i="64"/>
  <c r="R242" i="64"/>
  <c r="S242" i="64"/>
  <c r="T242" i="64"/>
  <c r="U242" i="64"/>
  <c r="V242" i="64"/>
  <c r="W242" i="64"/>
  <c r="X242" i="64"/>
  <c r="Z242" i="64"/>
  <c r="AA242" i="64"/>
  <c r="AB242" i="64"/>
  <c r="AC242" i="64"/>
  <c r="AD242" i="64"/>
  <c r="AE242" i="64"/>
  <c r="AF242" i="64"/>
  <c r="AG242" i="64"/>
  <c r="AH242" i="64"/>
  <c r="AI242" i="64"/>
  <c r="AJ242" i="64"/>
  <c r="AK242" i="64"/>
  <c r="AL242" i="64"/>
  <c r="AM242" i="64"/>
  <c r="AN242" i="64"/>
  <c r="AO242" i="64"/>
  <c r="AP242" i="64"/>
  <c r="AQ242" i="64"/>
  <c r="AR242" i="64"/>
  <c r="AS242" i="64"/>
  <c r="AT242" i="64"/>
  <c r="AU242" i="64"/>
  <c r="AW242" i="64"/>
  <c r="AX242" i="64"/>
  <c r="AY242" i="64"/>
  <c r="BA242" i="64"/>
  <c r="A243" i="64"/>
  <c r="B243" i="64"/>
  <c r="D243" i="64"/>
  <c r="E243" i="64"/>
  <c r="F243" i="64"/>
  <c r="G243" i="64"/>
  <c r="H243" i="64"/>
  <c r="J243" i="64"/>
  <c r="K243" i="64"/>
  <c r="L243" i="64"/>
  <c r="M243" i="64"/>
  <c r="O243" i="64"/>
  <c r="P243" i="64"/>
  <c r="R243" i="64"/>
  <c r="S243" i="64"/>
  <c r="T243" i="64"/>
  <c r="U243" i="64"/>
  <c r="V243" i="64"/>
  <c r="W243" i="64"/>
  <c r="X243" i="64"/>
  <c r="Z243" i="64"/>
  <c r="AA243" i="64"/>
  <c r="AB243" i="64"/>
  <c r="AC243" i="64"/>
  <c r="AD243" i="64"/>
  <c r="AE243" i="64"/>
  <c r="AF243" i="64"/>
  <c r="AG243" i="64"/>
  <c r="AH243" i="64"/>
  <c r="AI243" i="64"/>
  <c r="AJ243" i="64"/>
  <c r="AK243" i="64"/>
  <c r="AL243" i="64"/>
  <c r="AM243" i="64"/>
  <c r="AN243" i="64"/>
  <c r="AO243" i="64"/>
  <c r="AP243" i="64"/>
  <c r="AQ243" i="64"/>
  <c r="AR243" i="64"/>
  <c r="AS243" i="64"/>
  <c r="AT243" i="64"/>
  <c r="AU243" i="64"/>
  <c r="AW243" i="64"/>
  <c r="AX243" i="64"/>
  <c r="AY243" i="64"/>
  <c r="BA243" i="64"/>
  <c r="A244" i="64"/>
  <c r="B244" i="64"/>
  <c r="D244" i="64"/>
  <c r="E244" i="64"/>
  <c r="F244" i="64"/>
  <c r="G244" i="64"/>
  <c r="H244" i="64"/>
  <c r="J244" i="64"/>
  <c r="K244" i="64"/>
  <c r="L244" i="64"/>
  <c r="M244" i="64"/>
  <c r="O244" i="64"/>
  <c r="P244" i="64"/>
  <c r="R244" i="64"/>
  <c r="S244" i="64"/>
  <c r="T244" i="64"/>
  <c r="U244" i="64"/>
  <c r="V244" i="64"/>
  <c r="W244" i="64"/>
  <c r="X244" i="64"/>
  <c r="Z244" i="64"/>
  <c r="AA244" i="64"/>
  <c r="AB244" i="64"/>
  <c r="AC244" i="64"/>
  <c r="AD244" i="64"/>
  <c r="AE244" i="64"/>
  <c r="AF244" i="64"/>
  <c r="AG244" i="64"/>
  <c r="AH244" i="64"/>
  <c r="AI244" i="64"/>
  <c r="AJ244" i="64"/>
  <c r="AK244" i="64"/>
  <c r="AL244" i="64"/>
  <c r="AM244" i="64"/>
  <c r="AN244" i="64"/>
  <c r="AO244" i="64"/>
  <c r="AP244" i="64"/>
  <c r="AQ244" i="64"/>
  <c r="AR244" i="64"/>
  <c r="AS244" i="64"/>
  <c r="AT244" i="64"/>
  <c r="AU244" i="64"/>
  <c r="AW244" i="64"/>
  <c r="AX244" i="64"/>
  <c r="AY244" i="64"/>
  <c r="BA244" i="64"/>
  <c r="A245" i="64"/>
  <c r="B245" i="64"/>
  <c r="D245" i="64"/>
  <c r="E245" i="64"/>
  <c r="F245" i="64"/>
  <c r="G245" i="64"/>
  <c r="H245" i="64"/>
  <c r="J245" i="64"/>
  <c r="K245" i="64"/>
  <c r="L245" i="64"/>
  <c r="M245" i="64"/>
  <c r="O245" i="64"/>
  <c r="P245" i="64"/>
  <c r="R245" i="64"/>
  <c r="S245" i="64"/>
  <c r="T245" i="64"/>
  <c r="U245" i="64"/>
  <c r="V245" i="64"/>
  <c r="W245" i="64"/>
  <c r="X245" i="64"/>
  <c r="Z245" i="64"/>
  <c r="AA245" i="64"/>
  <c r="AB245" i="64"/>
  <c r="AC245" i="64"/>
  <c r="AD245" i="64"/>
  <c r="AE245" i="64"/>
  <c r="AF245" i="64"/>
  <c r="AG245" i="64"/>
  <c r="AH245" i="64"/>
  <c r="AI245" i="64"/>
  <c r="AJ245" i="64"/>
  <c r="AK245" i="64"/>
  <c r="AL245" i="64"/>
  <c r="AM245" i="64"/>
  <c r="AN245" i="64"/>
  <c r="AO245" i="64"/>
  <c r="AP245" i="64"/>
  <c r="AQ245" i="64"/>
  <c r="AR245" i="64"/>
  <c r="AS245" i="64"/>
  <c r="AT245" i="64"/>
  <c r="AU245" i="64"/>
  <c r="AW245" i="64"/>
  <c r="AX245" i="64"/>
  <c r="AY245" i="64"/>
  <c r="BA245" i="64"/>
  <c r="A246" i="64"/>
  <c r="B246" i="64"/>
  <c r="D246" i="64"/>
  <c r="E246" i="64"/>
  <c r="F246" i="64"/>
  <c r="G246" i="64"/>
  <c r="H246" i="64"/>
  <c r="J246" i="64"/>
  <c r="K246" i="64"/>
  <c r="L246" i="64"/>
  <c r="M246" i="64"/>
  <c r="O246" i="64"/>
  <c r="P246" i="64"/>
  <c r="R246" i="64"/>
  <c r="S246" i="64"/>
  <c r="T246" i="64"/>
  <c r="U246" i="64"/>
  <c r="V246" i="64"/>
  <c r="W246" i="64"/>
  <c r="X246" i="64"/>
  <c r="Z246" i="64"/>
  <c r="AA246" i="64"/>
  <c r="AB246" i="64"/>
  <c r="AC246" i="64"/>
  <c r="AD246" i="64"/>
  <c r="AE246" i="64"/>
  <c r="AF246" i="64"/>
  <c r="AG246" i="64"/>
  <c r="AH246" i="64"/>
  <c r="AI246" i="64"/>
  <c r="AJ246" i="64"/>
  <c r="AK246" i="64"/>
  <c r="AL246" i="64"/>
  <c r="AM246" i="64"/>
  <c r="AN246" i="64"/>
  <c r="AO246" i="64"/>
  <c r="AP246" i="64"/>
  <c r="AQ246" i="64"/>
  <c r="AR246" i="64"/>
  <c r="AS246" i="64"/>
  <c r="AT246" i="64"/>
  <c r="AU246" i="64"/>
  <c r="AW246" i="64"/>
  <c r="AX246" i="64"/>
  <c r="AY246" i="64"/>
  <c r="BA246" i="64"/>
  <c r="A247" i="64"/>
  <c r="B247" i="64"/>
  <c r="D247" i="64"/>
  <c r="E247" i="64"/>
  <c r="F247" i="64"/>
  <c r="G247" i="64"/>
  <c r="H247" i="64"/>
  <c r="J247" i="64"/>
  <c r="K247" i="64"/>
  <c r="L247" i="64"/>
  <c r="M247" i="64"/>
  <c r="O247" i="64"/>
  <c r="P247" i="64"/>
  <c r="R247" i="64"/>
  <c r="S247" i="64"/>
  <c r="T247" i="64"/>
  <c r="U247" i="64"/>
  <c r="V247" i="64"/>
  <c r="W247" i="64"/>
  <c r="X247" i="64"/>
  <c r="Z247" i="64"/>
  <c r="AA247" i="64"/>
  <c r="AB247" i="64"/>
  <c r="AC247" i="64"/>
  <c r="AD247" i="64"/>
  <c r="AE247" i="64"/>
  <c r="AF247" i="64"/>
  <c r="AG247" i="64"/>
  <c r="AH247" i="64"/>
  <c r="AI247" i="64"/>
  <c r="AJ247" i="64"/>
  <c r="AK247" i="64"/>
  <c r="AL247" i="64"/>
  <c r="AM247" i="64"/>
  <c r="AN247" i="64"/>
  <c r="AO247" i="64"/>
  <c r="AP247" i="64"/>
  <c r="AQ247" i="64"/>
  <c r="AR247" i="64"/>
  <c r="AS247" i="64"/>
  <c r="AT247" i="64"/>
  <c r="AU247" i="64"/>
  <c r="AW247" i="64"/>
  <c r="AX247" i="64"/>
  <c r="AY247" i="64"/>
  <c r="BA247" i="64"/>
  <c r="A248" i="64"/>
  <c r="B248" i="64"/>
  <c r="D248" i="64"/>
  <c r="E248" i="64"/>
  <c r="F248" i="64"/>
  <c r="G248" i="64"/>
  <c r="H248" i="64"/>
  <c r="J248" i="64"/>
  <c r="K248" i="64"/>
  <c r="L248" i="64"/>
  <c r="M248" i="64"/>
  <c r="O248" i="64"/>
  <c r="P248" i="64"/>
  <c r="R248" i="64"/>
  <c r="S248" i="64"/>
  <c r="T248" i="64"/>
  <c r="U248" i="64"/>
  <c r="V248" i="64"/>
  <c r="W248" i="64"/>
  <c r="X248" i="64"/>
  <c r="Z248" i="64"/>
  <c r="AA248" i="64"/>
  <c r="AB248" i="64"/>
  <c r="AC248" i="64"/>
  <c r="AD248" i="64"/>
  <c r="AE248" i="64"/>
  <c r="AF248" i="64"/>
  <c r="AG248" i="64"/>
  <c r="AH248" i="64"/>
  <c r="AI248" i="64"/>
  <c r="AJ248" i="64"/>
  <c r="AK248" i="64"/>
  <c r="AL248" i="64"/>
  <c r="AM248" i="64"/>
  <c r="AN248" i="64"/>
  <c r="AO248" i="64"/>
  <c r="AP248" i="64"/>
  <c r="AQ248" i="64"/>
  <c r="AR248" i="64"/>
  <c r="AS248" i="64"/>
  <c r="AT248" i="64"/>
  <c r="AU248" i="64"/>
  <c r="AW248" i="64"/>
  <c r="AX248" i="64"/>
  <c r="AY248" i="64"/>
  <c r="BA248" i="64"/>
  <c r="A249" i="64"/>
  <c r="B249" i="64"/>
  <c r="D249" i="64"/>
  <c r="E249" i="64"/>
  <c r="F249" i="64"/>
  <c r="G249" i="64"/>
  <c r="H249" i="64"/>
  <c r="J249" i="64"/>
  <c r="K249" i="64"/>
  <c r="L249" i="64"/>
  <c r="M249" i="64"/>
  <c r="O249" i="64"/>
  <c r="P249" i="64"/>
  <c r="R249" i="64"/>
  <c r="S249" i="64"/>
  <c r="T249" i="64"/>
  <c r="U249" i="64"/>
  <c r="V249" i="64"/>
  <c r="W249" i="64"/>
  <c r="X249" i="64"/>
  <c r="Z249" i="64"/>
  <c r="AA249" i="64"/>
  <c r="AB249" i="64"/>
  <c r="AC249" i="64"/>
  <c r="AD249" i="64"/>
  <c r="AE249" i="64"/>
  <c r="AF249" i="64"/>
  <c r="AG249" i="64"/>
  <c r="AH249" i="64"/>
  <c r="AI249" i="64"/>
  <c r="AJ249" i="64"/>
  <c r="AK249" i="64"/>
  <c r="AL249" i="64"/>
  <c r="AM249" i="64"/>
  <c r="AN249" i="64"/>
  <c r="AO249" i="64"/>
  <c r="AP249" i="64"/>
  <c r="AQ249" i="64"/>
  <c r="AR249" i="64"/>
  <c r="AS249" i="64"/>
  <c r="AT249" i="64"/>
  <c r="AU249" i="64"/>
  <c r="AW249" i="64"/>
  <c r="AX249" i="64"/>
  <c r="AY249" i="64"/>
  <c r="BA249" i="64"/>
  <c r="A250" i="64"/>
  <c r="B250" i="64"/>
  <c r="D250" i="64"/>
  <c r="E250" i="64"/>
  <c r="F250" i="64"/>
  <c r="G250" i="64"/>
  <c r="H250" i="64"/>
  <c r="J250" i="64"/>
  <c r="K250" i="64"/>
  <c r="L250" i="64"/>
  <c r="M250" i="64"/>
  <c r="O250" i="64"/>
  <c r="P250" i="64"/>
  <c r="R250" i="64"/>
  <c r="S250" i="64"/>
  <c r="T250" i="64"/>
  <c r="U250" i="64"/>
  <c r="V250" i="64"/>
  <c r="W250" i="64"/>
  <c r="X250" i="64"/>
  <c r="Z250" i="64"/>
  <c r="AA250" i="64"/>
  <c r="AB250" i="64"/>
  <c r="AC250" i="64"/>
  <c r="AD250" i="64"/>
  <c r="AE250" i="64"/>
  <c r="AF250" i="64"/>
  <c r="AG250" i="64"/>
  <c r="AH250" i="64"/>
  <c r="AI250" i="64"/>
  <c r="AJ250" i="64"/>
  <c r="AK250" i="64"/>
  <c r="AL250" i="64"/>
  <c r="AM250" i="64"/>
  <c r="AN250" i="64"/>
  <c r="AO250" i="64"/>
  <c r="AP250" i="64"/>
  <c r="AQ250" i="64"/>
  <c r="AR250" i="64"/>
  <c r="AS250" i="64"/>
  <c r="AT250" i="64"/>
  <c r="AU250" i="64"/>
  <c r="AW250" i="64"/>
  <c r="AX250" i="64"/>
  <c r="AY250" i="64"/>
  <c r="BA250" i="64"/>
  <c r="A251" i="64"/>
  <c r="B251" i="64"/>
  <c r="D251" i="64"/>
  <c r="E251" i="64"/>
  <c r="F251" i="64"/>
  <c r="G251" i="64"/>
  <c r="H251" i="64"/>
  <c r="J251" i="64"/>
  <c r="K251" i="64"/>
  <c r="L251" i="64"/>
  <c r="M251" i="64"/>
  <c r="O251" i="64"/>
  <c r="P251" i="64"/>
  <c r="R251" i="64"/>
  <c r="S251" i="64"/>
  <c r="T251" i="64"/>
  <c r="U251" i="64"/>
  <c r="V251" i="64"/>
  <c r="W251" i="64"/>
  <c r="X251" i="64"/>
  <c r="Z251" i="64"/>
  <c r="AA251" i="64"/>
  <c r="AB251" i="64"/>
  <c r="AC251" i="64"/>
  <c r="AD251" i="64"/>
  <c r="AE251" i="64"/>
  <c r="AF251" i="64"/>
  <c r="AG251" i="64"/>
  <c r="AH251" i="64"/>
  <c r="AI251" i="64"/>
  <c r="AJ251" i="64"/>
  <c r="AK251" i="64"/>
  <c r="AL251" i="64"/>
  <c r="AM251" i="64"/>
  <c r="AN251" i="64"/>
  <c r="AO251" i="64"/>
  <c r="AP251" i="64"/>
  <c r="AQ251" i="64"/>
  <c r="AR251" i="64"/>
  <c r="AS251" i="64"/>
  <c r="AT251" i="64"/>
  <c r="AU251" i="64"/>
  <c r="AW251" i="64"/>
  <c r="AX251" i="64"/>
  <c r="AY251" i="64"/>
  <c r="BA251" i="64"/>
  <c r="A252" i="64"/>
  <c r="B252" i="64"/>
  <c r="D252" i="64"/>
  <c r="E252" i="64"/>
  <c r="F252" i="64"/>
  <c r="G252" i="64"/>
  <c r="H252" i="64"/>
  <c r="J252" i="64"/>
  <c r="K252" i="64"/>
  <c r="L252" i="64"/>
  <c r="M252" i="64"/>
  <c r="O252" i="64"/>
  <c r="P252" i="64"/>
  <c r="R252" i="64"/>
  <c r="S252" i="64"/>
  <c r="T252" i="64"/>
  <c r="U252" i="64"/>
  <c r="V252" i="64"/>
  <c r="W252" i="64"/>
  <c r="X252" i="64"/>
  <c r="Z252" i="64"/>
  <c r="AA252" i="64"/>
  <c r="AB252" i="64"/>
  <c r="AC252" i="64"/>
  <c r="AD252" i="64"/>
  <c r="AE252" i="64"/>
  <c r="AF252" i="64"/>
  <c r="AG252" i="64"/>
  <c r="AH252" i="64"/>
  <c r="AI252" i="64"/>
  <c r="AJ252" i="64"/>
  <c r="AK252" i="64"/>
  <c r="AL252" i="64"/>
  <c r="AM252" i="64"/>
  <c r="AN252" i="64"/>
  <c r="AO252" i="64"/>
  <c r="AP252" i="64"/>
  <c r="AQ252" i="64"/>
  <c r="AR252" i="64"/>
  <c r="AS252" i="64"/>
  <c r="AT252" i="64"/>
  <c r="AU252" i="64"/>
  <c r="AW252" i="64"/>
  <c r="AX252" i="64"/>
  <c r="AY252" i="64"/>
  <c r="BA252" i="64"/>
  <c r="A253" i="64"/>
  <c r="B253" i="64"/>
  <c r="D253" i="64"/>
  <c r="E253" i="64"/>
  <c r="F253" i="64"/>
  <c r="G253" i="64"/>
  <c r="H253" i="64"/>
  <c r="J253" i="64"/>
  <c r="K253" i="64"/>
  <c r="L253" i="64"/>
  <c r="M253" i="64"/>
  <c r="O253" i="64"/>
  <c r="P253" i="64"/>
  <c r="R253" i="64"/>
  <c r="S253" i="64"/>
  <c r="T253" i="64"/>
  <c r="U253" i="64"/>
  <c r="V253" i="64"/>
  <c r="W253" i="64"/>
  <c r="X253" i="64"/>
  <c r="Z253" i="64"/>
  <c r="AA253" i="64"/>
  <c r="AB253" i="64"/>
  <c r="AC253" i="64"/>
  <c r="AD253" i="64"/>
  <c r="AE253" i="64"/>
  <c r="AF253" i="64"/>
  <c r="AG253" i="64"/>
  <c r="AH253" i="64"/>
  <c r="AI253" i="64"/>
  <c r="AJ253" i="64"/>
  <c r="AK253" i="64"/>
  <c r="AL253" i="64"/>
  <c r="AM253" i="64"/>
  <c r="AN253" i="64"/>
  <c r="AO253" i="64"/>
  <c r="AP253" i="64"/>
  <c r="AQ253" i="64"/>
  <c r="AR253" i="64"/>
  <c r="AS253" i="64"/>
  <c r="AT253" i="64"/>
  <c r="AU253" i="64"/>
  <c r="AW253" i="64"/>
  <c r="AX253" i="64"/>
  <c r="AY253" i="64"/>
  <c r="BA253" i="64"/>
  <c r="A254" i="64"/>
  <c r="B254" i="64"/>
  <c r="D254" i="64"/>
  <c r="E254" i="64"/>
  <c r="F254" i="64"/>
  <c r="G254" i="64"/>
  <c r="H254" i="64"/>
  <c r="J254" i="64"/>
  <c r="K254" i="64"/>
  <c r="L254" i="64"/>
  <c r="M254" i="64"/>
  <c r="O254" i="64"/>
  <c r="P254" i="64"/>
  <c r="R254" i="64"/>
  <c r="S254" i="64"/>
  <c r="T254" i="64"/>
  <c r="U254" i="64"/>
  <c r="V254" i="64"/>
  <c r="W254" i="64"/>
  <c r="X254" i="64"/>
  <c r="Z254" i="64"/>
  <c r="AA254" i="64"/>
  <c r="AB254" i="64"/>
  <c r="AC254" i="64"/>
  <c r="AD254" i="64"/>
  <c r="AE254" i="64"/>
  <c r="AF254" i="64"/>
  <c r="AG254" i="64"/>
  <c r="AH254" i="64"/>
  <c r="AI254" i="64"/>
  <c r="AJ254" i="64"/>
  <c r="AK254" i="64"/>
  <c r="AL254" i="64"/>
  <c r="AM254" i="64"/>
  <c r="AN254" i="64"/>
  <c r="AO254" i="64"/>
  <c r="AP254" i="64"/>
  <c r="AQ254" i="64"/>
  <c r="AR254" i="64"/>
  <c r="AS254" i="64"/>
  <c r="AT254" i="64"/>
  <c r="AU254" i="64"/>
  <c r="AW254" i="64"/>
  <c r="AX254" i="64"/>
  <c r="AY254" i="64"/>
  <c r="BA254" i="64"/>
  <c r="A255" i="64"/>
  <c r="B255" i="64"/>
  <c r="D255" i="64"/>
  <c r="E255" i="64"/>
  <c r="F255" i="64"/>
  <c r="G255" i="64"/>
  <c r="H255" i="64"/>
  <c r="J255" i="64"/>
  <c r="K255" i="64"/>
  <c r="L255" i="64"/>
  <c r="M255" i="64"/>
  <c r="O255" i="64"/>
  <c r="P255" i="64"/>
  <c r="R255" i="64"/>
  <c r="S255" i="64"/>
  <c r="T255" i="64"/>
  <c r="U255" i="64"/>
  <c r="V255" i="64"/>
  <c r="W255" i="64"/>
  <c r="X255" i="64"/>
  <c r="Z255" i="64"/>
  <c r="AA255" i="64"/>
  <c r="AB255" i="64"/>
  <c r="AC255" i="64"/>
  <c r="AD255" i="64"/>
  <c r="AE255" i="64"/>
  <c r="AF255" i="64"/>
  <c r="AG255" i="64"/>
  <c r="AH255" i="64"/>
  <c r="AI255" i="64"/>
  <c r="AJ255" i="64"/>
  <c r="AK255" i="64"/>
  <c r="AL255" i="64"/>
  <c r="AM255" i="64"/>
  <c r="AN255" i="64"/>
  <c r="AO255" i="64"/>
  <c r="AP255" i="64"/>
  <c r="AQ255" i="64"/>
  <c r="AR255" i="64"/>
  <c r="AS255" i="64"/>
  <c r="AT255" i="64"/>
  <c r="AU255" i="64"/>
  <c r="AW255" i="64"/>
  <c r="AX255" i="64"/>
  <c r="AY255" i="64"/>
  <c r="BA255" i="64"/>
  <c r="A256" i="64"/>
  <c r="B256" i="64"/>
  <c r="D256" i="64"/>
  <c r="E256" i="64"/>
  <c r="F256" i="64"/>
  <c r="G256" i="64"/>
  <c r="H256" i="64"/>
  <c r="J256" i="64"/>
  <c r="K256" i="64"/>
  <c r="L256" i="64"/>
  <c r="M256" i="64"/>
  <c r="O256" i="64"/>
  <c r="P256" i="64"/>
  <c r="R256" i="64"/>
  <c r="S256" i="64"/>
  <c r="T256" i="64"/>
  <c r="U256" i="64"/>
  <c r="V256" i="64"/>
  <c r="W256" i="64"/>
  <c r="X256" i="64"/>
  <c r="Z256" i="64"/>
  <c r="AA256" i="64"/>
  <c r="AB256" i="64"/>
  <c r="AC256" i="64"/>
  <c r="AD256" i="64"/>
  <c r="AE256" i="64"/>
  <c r="AF256" i="64"/>
  <c r="AG256" i="64"/>
  <c r="AH256" i="64"/>
  <c r="AI256" i="64"/>
  <c r="AJ256" i="64"/>
  <c r="AK256" i="64"/>
  <c r="AL256" i="64"/>
  <c r="AM256" i="64"/>
  <c r="AN256" i="64"/>
  <c r="AO256" i="64"/>
  <c r="AP256" i="64"/>
  <c r="AQ256" i="64"/>
  <c r="AR256" i="64"/>
  <c r="AS256" i="64"/>
  <c r="AT256" i="64"/>
  <c r="AU256" i="64"/>
  <c r="AW256" i="64"/>
  <c r="AX256" i="64"/>
  <c r="AY256" i="64"/>
  <c r="BA256" i="64"/>
  <c r="A257" i="64"/>
  <c r="B257" i="64"/>
  <c r="D257" i="64"/>
  <c r="E257" i="64"/>
  <c r="F257" i="64"/>
  <c r="G257" i="64"/>
  <c r="H257" i="64"/>
  <c r="J257" i="64"/>
  <c r="K257" i="64"/>
  <c r="L257" i="64"/>
  <c r="M257" i="64"/>
  <c r="O257" i="64"/>
  <c r="P257" i="64"/>
  <c r="R257" i="64"/>
  <c r="S257" i="64"/>
  <c r="T257" i="64"/>
  <c r="U257" i="64"/>
  <c r="V257" i="64"/>
  <c r="W257" i="64"/>
  <c r="X257" i="64"/>
  <c r="Z257" i="64"/>
  <c r="AA257" i="64"/>
  <c r="AB257" i="64"/>
  <c r="AC257" i="64"/>
  <c r="AD257" i="64"/>
  <c r="AE257" i="64"/>
  <c r="AF257" i="64"/>
  <c r="AG257" i="64"/>
  <c r="AH257" i="64"/>
  <c r="AI257" i="64"/>
  <c r="AJ257" i="64"/>
  <c r="AK257" i="64"/>
  <c r="AL257" i="64"/>
  <c r="AM257" i="64"/>
  <c r="AN257" i="64"/>
  <c r="AO257" i="64"/>
  <c r="AP257" i="64"/>
  <c r="AQ257" i="64"/>
  <c r="AR257" i="64"/>
  <c r="AS257" i="64"/>
  <c r="AT257" i="64"/>
  <c r="AU257" i="64"/>
  <c r="AW257" i="64"/>
  <c r="AX257" i="64"/>
  <c r="AY257" i="64"/>
  <c r="BA257" i="64"/>
  <c r="A258" i="64"/>
  <c r="B258" i="64"/>
  <c r="D258" i="64"/>
  <c r="E258" i="64"/>
  <c r="F258" i="64"/>
  <c r="G258" i="64"/>
  <c r="H258" i="64"/>
  <c r="J258" i="64"/>
  <c r="K258" i="64"/>
  <c r="L258" i="64"/>
  <c r="M258" i="64"/>
  <c r="O258" i="64"/>
  <c r="P258" i="64"/>
  <c r="R258" i="64"/>
  <c r="S258" i="64"/>
  <c r="T258" i="64"/>
  <c r="U258" i="64"/>
  <c r="V258" i="64"/>
  <c r="W258" i="64"/>
  <c r="X258" i="64"/>
  <c r="Z258" i="64"/>
  <c r="AA258" i="64"/>
  <c r="AB258" i="64"/>
  <c r="AC258" i="64"/>
  <c r="AD258" i="64"/>
  <c r="AE258" i="64"/>
  <c r="AF258" i="64"/>
  <c r="AG258" i="64"/>
  <c r="AH258" i="64"/>
  <c r="AI258" i="64"/>
  <c r="AJ258" i="64"/>
  <c r="AK258" i="64"/>
  <c r="AL258" i="64"/>
  <c r="AM258" i="64"/>
  <c r="AN258" i="64"/>
  <c r="AO258" i="64"/>
  <c r="AP258" i="64"/>
  <c r="AQ258" i="64"/>
  <c r="AR258" i="64"/>
  <c r="AS258" i="64"/>
  <c r="AT258" i="64"/>
  <c r="AU258" i="64"/>
  <c r="AW258" i="64"/>
  <c r="AX258" i="64"/>
  <c r="AY258" i="64"/>
  <c r="BA258" i="64"/>
  <c r="A259" i="64"/>
  <c r="B259" i="64"/>
  <c r="D259" i="64"/>
  <c r="E259" i="64"/>
  <c r="F259" i="64"/>
  <c r="G259" i="64"/>
  <c r="H259" i="64"/>
  <c r="J259" i="64"/>
  <c r="K259" i="64"/>
  <c r="L259" i="64"/>
  <c r="M259" i="64"/>
  <c r="O259" i="64"/>
  <c r="P259" i="64"/>
  <c r="R259" i="64"/>
  <c r="S259" i="64"/>
  <c r="T259" i="64"/>
  <c r="U259" i="64"/>
  <c r="V259" i="64"/>
  <c r="W259" i="64"/>
  <c r="X259" i="64"/>
  <c r="Z259" i="64"/>
  <c r="AA259" i="64"/>
  <c r="AB259" i="64"/>
  <c r="AC259" i="64"/>
  <c r="AD259" i="64"/>
  <c r="AE259" i="64"/>
  <c r="AF259" i="64"/>
  <c r="AG259" i="64"/>
  <c r="AH259" i="64"/>
  <c r="AI259" i="64"/>
  <c r="AJ259" i="64"/>
  <c r="AK259" i="64"/>
  <c r="AL259" i="64"/>
  <c r="AM259" i="64"/>
  <c r="AN259" i="64"/>
  <c r="AO259" i="64"/>
  <c r="AP259" i="64"/>
  <c r="AQ259" i="64"/>
  <c r="AR259" i="64"/>
  <c r="AS259" i="64"/>
  <c r="AT259" i="64"/>
  <c r="AU259" i="64"/>
  <c r="AW259" i="64"/>
  <c r="AX259" i="64"/>
  <c r="AY259" i="64"/>
  <c r="BA259" i="64"/>
  <c r="A260" i="64"/>
  <c r="B260" i="64"/>
  <c r="D260" i="64"/>
  <c r="E260" i="64"/>
  <c r="F260" i="64"/>
  <c r="G260" i="64"/>
  <c r="H260" i="64"/>
  <c r="J260" i="64"/>
  <c r="K260" i="64"/>
  <c r="L260" i="64"/>
  <c r="M260" i="64"/>
  <c r="O260" i="64"/>
  <c r="P260" i="64"/>
  <c r="R260" i="64"/>
  <c r="S260" i="64"/>
  <c r="T260" i="64"/>
  <c r="U260" i="64"/>
  <c r="V260" i="64"/>
  <c r="W260" i="64"/>
  <c r="X260" i="64"/>
  <c r="Z260" i="64"/>
  <c r="AA260" i="64"/>
  <c r="AB260" i="64"/>
  <c r="AC260" i="64"/>
  <c r="AD260" i="64"/>
  <c r="AE260" i="64"/>
  <c r="AF260" i="64"/>
  <c r="AG260" i="64"/>
  <c r="AH260" i="64"/>
  <c r="AI260" i="64"/>
  <c r="AJ260" i="64"/>
  <c r="AK260" i="64"/>
  <c r="AL260" i="64"/>
  <c r="AM260" i="64"/>
  <c r="AN260" i="64"/>
  <c r="AO260" i="64"/>
  <c r="AP260" i="64"/>
  <c r="AQ260" i="64"/>
  <c r="AR260" i="64"/>
  <c r="AS260" i="64"/>
  <c r="AT260" i="64"/>
  <c r="AU260" i="64"/>
  <c r="AW260" i="64"/>
  <c r="AX260" i="64"/>
  <c r="AY260" i="64"/>
  <c r="BA260" i="64"/>
  <c r="A261" i="64"/>
  <c r="B261" i="64"/>
  <c r="D261" i="64"/>
  <c r="E261" i="64"/>
  <c r="F261" i="64"/>
  <c r="G261" i="64"/>
  <c r="H261" i="64"/>
  <c r="J261" i="64"/>
  <c r="K261" i="64"/>
  <c r="L261" i="64"/>
  <c r="M261" i="64"/>
  <c r="O261" i="64"/>
  <c r="P261" i="64"/>
  <c r="R261" i="64"/>
  <c r="S261" i="64"/>
  <c r="T261" i="64"/>
  <c r="U261" i="64"/>
  <c r="V261" i="64"/>
  <c r="W261" i="64"/>
  <c r="X261" i="64"/>
  <c r="Z261" i="64"/>
  <c r="AA261" i="64"/>
  <c r="AB261" i="64"/>
  <c r="AC261" i="64"/>
  <c r="AD261" i="64"/>
  <c r="AE261" i="64"/>
  <c r="AF261" i="64"/>
  <c r="AG261" i="64"/>
  <c r="AH261" i="64"/>
  <c r="AI261" i="64"/>
  <c r="AJ261" i="64"/>
  <c r="AK261" i="64"/>
  <c r="AL261" i="64"/>
  <c r="AM261" i="64"/>
  <c r="AN261" i="64"/>
  <c r="AO261" i="64"/>
  <c r="AP261" i="64"/>
  <c r="AQ261" i="64"/>
  <c r="AR261" i="64"/>
  <c r="AS261" i="64"/>
  <c r="AT261" i="64"/>
  <c r="AU261" i="64"/>
  <c r="AW261" i="64"/>
  <c r="AX261" i="64"/>
  <c r="AY261" i="64"/>
  <c r="BA261" i="64"/>
  <c r="A262" i="64"/>
  <c r="B262" i="64"/>
  <c r="D262" i="64"/>
  <c r="E262" i="64"/>
  <c r="F262" i="64"/>
  <c r="G262" i="64"/>
  <c r="H262" i="64"/>
  <c r="J262" i="64"/>
  <c r="K262" i="64"/>
  <c r="L262" i="64"/>
  <c r="M262" i="64"/>
  <c r="O262" i="64"/>
  <c r="P262" i="64"/>
  <c r="R262" i="64"/>
  <c r="S262" i="64"/>
  <c r="T262" i="64"/>
  <c r="U262" i="64"/>
  <c r="V262" i="64"/>
  <c r="W262" i="64"/>
  <c r="X262" i="64"/>
  <c r="Z262" i="64"/>
  <c r="AA262" i="64"/>
  <c r="AB262" i="64"/>
  <c r="AC262" i="64"/>
  <c r="AD262" i="64"/>
  <c r="AE262" i="64"/>
  <c r="AF262" i="64"/>
  <c r="AG262" i="64"/>
  <c r="AH262" i="64"/>
  <c r="AI262" i="64"/>
  <c r="AJ262" i="64"/>
  <c r="AK262" i="64"/>
  <c r="AL262" i="64"/>
  <c r="AM262" i="64"/>
  <c r="AN262" i="64"/>
  <c r="AO262" i="64"/>
  <c r="AP262" i="64"/>
  <c r="AQ262" i="64"/>
  <c r="AR262" i="64"/>
  <c r="AS262" i="64"/>
  <c r="AT262" i="64"/>
  <c r="AU262" i="64"/>
  <c r="AW262" i="64"/>
  <c r="AX262" i="64"/>
  <c r="AY262" i="64"/>
  <c r="BA262" i="64"/>
  <c r="A263" i="64"/>
  <c r="B263" i="64"/>
  <c r="D263" i="64"/>
  <c r="E263" i="64"/>
  <c r="F263" i="64"/>
  <c r="G263" i="64"/>
  <c r="H263" i="64"/>
  <c r="J263" i="64"/>
  <c r="K263" i="64"/>
  <c r="L263" i="64"/>
  <c r="M263" i="64"/>
  <c r="O263" i="64"/>
  <c r="P263" i="64"/>
  <c r="R263" i="64"/>
  <c r="S263" i="64"/>
  <c r="T263" i="64"/>
  <c r="U263" i="64"/>
  <c r="V263" i="64"/>
  <c r="W263" i="64"/>
  <c r="X263" i="64"/>
  <c r="Z263" i="64"/>
  <c r="AA263" i="64"/>
  <c r="AB263" i="64"/>
  <c r="AC263" i="64"/>
  <c r="AD263" i="64"/>
  <c r="AE263" i="64"/>
  <c r="AF263" i="64"/>
  <c r="AG263" i="64"/>
  <c r="AH263" i="64"/>
  <c r="AI263" i="64"/>
  <c r="AJ263" i="64"/>
  <c r="AK263" i="64"/>
  <c r="AL263" i="64"/>
  <c r="AM263" i="64"/>
  <c r="AN263" i="64"/>
  <c r="AO263" i="64"/>
  <c r="AP263" i="64"/>
  <c r="AQ263" i="64"/>
  <c r="AR263" i="64"/>
  <c r="AS263" i="64"/>
  <c r="AT263" i="64"/>
  <c r="AU263" i="64"/>
  <c r="AW263" i="64"/>
  <c r="AX263" i="64"/>
  <c r="AY263" i="64"/>
  <c r="BA263" i="64"/>
  <c r="A264" i="64"/>
  <c r="B264" i="64"/>
  <c r="D264" i="64"/>
  <c r="E264" i="64"/>
  <c r="F264" i="64"/>
  <c r="G264" i="64"/>
  <c r="H264" i="64"/>
  <c r="J264" i="64"/>
  <c r="K264" i="64"/>
  <c r="L264" i="64"/>
  <c r="M264" i="64"/>
  <c r="O264" i="64"/>
  <c r="P264" i="64"/>
  <c r="R264" i="64"/>
  <c r="S264" i="64"/>
  <c r="T264" i="64"/>
  <c r="U264" i="64"/>
  <c r="V264" i="64"/>
  <c r="W264" i="64"/>
  <c r="X264" i="64"/>
  <c r="Z264" i="64"/>
  <c r="AA264" i="64"/>
  <c r="AB264" i="64"/>
  <c r="AC264" i="64"/>
  <c r="AD264" i="64"/>
  <c r="AE264" i="64"/>
  <c r="AF264" i="64"/>
  <c r="AG264" i="64"/>
  <c r="AH264" i="64"/>
  <c r="AI264" i="64"/>
  <c r="AJ264" i="64"/>
  <c r="AK264" i="64"/>
  <c r="AL264" i="64"/>
  <c r="AM264" i="64"/>
  <c r="AN264" i="64"/>
  <c r="AO264" i="64"/>
  <c r="AP264" i="64"/>
  <c r="AQ264" i="64"/>
  <c r="AR264" i="64"/>
  <c r="AS264" i="64"/>
  <c r="AT264" i="64"/>
  <c r="AU264" i="64"/>
  <c r="AW264" i="64"/>
  <c r="AX264" i="64"/>
  <c r="AY264" i="64"/>
  <c r="BA264" i="64"/>
  <c r="A265" i="64"/>
  <c r="B265" i="64"/>
  <c r="D265" i="64"/>
  <c r="E265" i="64"/>
  <c r="F265" i="64"/>
  <c r="G265" i="64"/>
  <c r="H265" i="64"/>
  <c r="J265" i="64"/>
  <c r="K265" i="64"/>
  <c r="L265" i="64"/>
  <c r="M265" i="64"/>
  <c r="O265" i="64"/>
  <c r="P265" i="64"/>
  <c r="R265" i="64"/>
  <c r="S265" i="64"/>
  <c r="T265" i="64"/>
  <c r="U265" i="64"/>
  <c r="V265" i="64"/>
  <c r="W265" i="64"/>
  <c r="X265" i="64"/>
  <c r="Z265" i="64"/>
  <c r="AA265" i="64"/>
  <c r="AB265" i="64"/>
  <c r="AC265" i="64"/>
  <c r="AD265" i="64"/>
  <c r="AE265" i="64"/>
  <c r="AF265" i="64"/>
  <c r="AG265" i="64"/>
  <c r="AH265" i="64"/>
  <c r="AI265" i="64"/>
  <c r="AJ265" i="64"/>
  <c r="AK265" i="64"/>
  <c r="AL265" i="64"/>
  <c r="AM265" i="64"/>
  <c r="AN265" i="64"/>
  <c r="AO265" i="64"/>
  <c r="AP265" i="64"/>
  <c r="AQ265" i="64"/>
  <c r="AR265" i="64"/>
  <c r="AS265" i="64"/>
  <c r="AT265" i="64"/>
  <c r="AU265" i="64"/>
  <c r="AW265" i="64"/>
  <c r="AX265" i="64"/>
  <c r="AY265" i="64"/>
  <c r="BA265" i="64"/>
  <c r="A266" i="64"/>
  <c r="B266" i="64"/>
  <c r="D266" i="64"/>
  <c r="E266" i="64"/>
  <c r="F266" i="64"/>
  <c r="G266" i="64"/>
  <c r="H266" i="64"/>
  <c r="J266" i="64"/>
  <c r="K266" i="64"/>
  <c r="L266" i="64"/>
  <c r="M266" i="64"/>
  <c r="O266" i="64"/>
  <c r="P266" i="64"/>
  <c r="R266" i="64"/>
  <c r="S266" i="64"/>
  <c r="T266" i="64"/>
  <c r="U266" i="64"/>
  <c r="V266" i="64"/>
  <c r="W266" i="64"/>
  <c r="X266" i="64"/>
  <c r="Z266" i="64"/>
  <c r="AA266" i="64"/>
  <c r="AB266" i="64"/>
  <c r="AC266" i="64"/>
  <c r="AD266" i="64"/>
  <c r="AE266" i="64"/>
  <c r="AF266" i="64"/>
  <c r="AG266" i="64"/>
  <c r="AH266" i="64"/>
  <c r="AI266" i="64"/>
  <c r="AJ266" i="64"/>
  <c r="AK266" i="64"/>
  <c r="AL266" i="64"/>
  <c r="AM266" i="64"/>
  <c r="AN266" i="64"/>
  <c r="AO266" i="64"/>
  <c r="AP266" i="64"/>
  <c r="AQ266" i="64"/>
  <c r="AR266" i="64"/>
  <c r="AS266" i="64"/>
  <c r="AT266" i="64"/>
  <c r="AU266" i="64"/>
  <c r="AW266" i="64"/>
  <c r="AX266" i="64"/>
  <c r="AY266" i="64"/>
  <c r="BA266" i="64"/>
  <c r="A267" i="64"/>
  <c r="B267" i="64"/>
  <c r="D267" i="64"/>
  <c r="E267" i="64"/>
  <c r="F267" i="64"/>
  <c r="G267" i="64"/>
  <c r="H267" i="64"/>
  <c r="J267" i="64"/>
  <c r="K267" i="64"/>
  <c r="L267" i="64"/>
  <c r="M267" i="64"/>
  <c r="O267" i="64"/>
  <c r="P267" i="64"/>
  <c r="R267" i="64"/>
  <c r="S267" i="64"/>
  <c r="T267" i="64"/>
  <c r="U267" i="64"/>
  <c r="V267" i="64"/>
  <c r="W267" i="64"/>
  <c r="X267" i="64"/>
  <c r="Z267" i="64"/>
  <c r="AA267" i="64"/>
  <c r="AB267" i="64"/>
  <c r="AC267" i="64"/>
  <c r="AD267" i="64"/>
  <c r="AE267" i="64"/>
  <c r="AF267" i="64"/>
  <c r="AG267" i="64"/>
  <c r="AH267" i="64"/>
  <c r="AI267" i="64"/>
  <c r="AJ267" i="64"/>
  <c r="AK267" i="64"/>
  <c r="AL267" i="64"/>
  <c r="AM267" i="64"/>
  <c r="AN267" i="64"/>
  <c r="AO267" i="64"/>
  <c r="AP267" i="64"/>
  <c r="AQ267" i="64"/>
  <c r="AR267" i="64"/>
  <c r="AS267" i="64"/>
  <c r="AT267" i="64"/>
  <c r="AU267" i="64"/>
  <c r="AW267" i="64"/>
  <c r="AX267" i="64"/>
  <c r="AY267" i="64"/>
  <c r="BA267" i="64"/>
  <c r="A268" i="64"/>
  <c r="B268" i="64"/>
  <c r="D268" i="64"/>
  <c r="E268" i="64"/>
  <c r="F268" i="64"/>
  <c r="G268" i="64"/>
  <c r="H268" i="64"/>
  <c r="J268" i="64"/>
  <c r="K268" i="64"/>
  <c r="L268" i="64"/>
  <c r="M268" i="64"/>
  <c r="O268" i="64"/>
  <c r="P268" i="64"/>
  <c r="R268" i="64"/>
  <c r="S268" i="64"/>
  <c r="T268" i="64"/>
  <c r="U268" i="64"/>
  <c r="V268" i="64"/>
  <c r="W268" i="64"/>
  <c r="X268" i="64"/>
  <c r="Z268" i="64"/>
  <c r="AA268" i="64"/>
  <c r="AB268" i="64"/>
  <c r="AC268" i="64"/>
  <c r="AD268" i="64"/>
  <c r="AE268" i="64"/>
  <c r="AF268" i="64"/>
  <c r="AG268" i="64"/>
  <c r="AH268" i="64"/>
  <c r="AI268" i="64"/>
  <c r="AJ268" i="64"/>
  <c r="AK268" i="64"/>
  <c r="AL268" i="64"/>
  <c r="AM268" i="64"/>
  <c r="AN268" i="64"/>
  <c r="AO268" i="64"/>
  <c r="AP268" i="64"/>
  <c r="AQ268" i="64"/>
  <c r="AR268" i="64"/>
  <c r="AS268" i="64"/>
  <c r="AT268" i="64"/>
  <c r="AU268" i="64"/>
  <c r="AW268" i="64"/>
  <c r="AX268" i="64"/>
  <c r="AY268" i="64"/>
  <c r="BA268" i="64"/>
  <c r="A269" i="64"/>
  <c r="B269" i="64"/>
  <c r="D269" i="64"/>
  <c r="E269" i="64"/>
  <c r="F269" i="64"/>
  <c r="G269" i="64"/>
  <c r="H269" i="64"/>
  <c r="J269" i="64"/>
  <c r="K269" i="64"/>
  <c r="L269" i="64"/>
  <c r="M269" i="64"/>
  <c r="O269" i="64"/>
  <c r="P269" i="64"/>
  <c r="R269" i="64"/>
  <c r="S269" i="64"/>
  <c r="T269" i="64"/>
  <c r="U269" i="64"/>
  <c r="V269" i="64"/>
  <c r="W269" i="64"/>
  <c r="X269" i="64"/>
  <c r="Z269" i="64"/>
  <c r="AA269" i="64"/>
  <c r="AB269" i="64"/>
  <c r="AC269" i="64"/>
  <c r="AD269" i="64"/>
  <c r="AE269" i="64"/>
  <c r="AF269" i="64"/>
  <c r="AG269" i="64"/>
  <c r="AH269" i="64"/>
  <c r="AI269" i="64"/>
  <c r="AJ269" i="64"/>
  <c r="AK269" i="64"/>
  <c r="AL269" i="64"/>
  <c r="AM269" i="64"/>
  <c r="AN269" i="64"/>
  <c r="AO269" i="64"/>
  <c r="AP269" i="64"/>
  <c r="AQ269" i="64"/>
  <c r="AR269" i="64"/>
  <c r="AS269" i="64"/>
  <c r="AT269" i="64"/>
  <c r="AU269" i="64"/>
  <c r="AW269" i="64"/>
  <c r="AX269" i="64"/>
  <c r="AY269" i="64"/>
  <c r="BA269" i="64"/>
  <c r="A270" i="64"/>
  <c r="B270" i="64"/>
  <c r="D270" i="64"/>
  <c r="E270" i="64"/>
  <c r="F270" i="64"/>
  <c r="G270" i="64"/>
  <c r="H270" i="64"/>
  <c r="J270" i="64"/>
  <c r="K270" i="64"/>
  <c r="L270" i="64"/>
  <c r="M270" i="64"/>
  <c r="O270" i="64"/>
  <c r="P270" i="64"/>
  <c r="R270" i="64"/>
  <c r="S270" i="64"/>
  <c r="T270" i="64"/>
  <c r="U270" i="64"/>
  <c r="V270" i="64"/>
  <c r="W270" i="64"/>
  <c r="X270" i="64"/>
  <c r="Z270" i="64"/>
  <c r="AA270" i="64"/>
  <c r="AB270" i="64"/>
  <c r="AC270" i="64"/>
  <c r="AD270" i="64"/>
  <c r="AE270" i="64"/>
  <c r="AF270" i="64"/>
  <c r="AG270" i="64"/>
  <c r="AH270" i="64"/>
  <c r="AI270" i="64"/>
  <c r="AJ270" i="64"/>
  <c r="AK270" i="64"/>
  <c r="AL270" i="64"/>
  <c r="AM270" i="64"/>
  <c r="AN270" i="64"/>
  <c r="AO270" i="64"/>
  <c r="AP270" i="64"/>
  <c r="AQ270" i="64"/>
  <c r="AR270" i="64"/>
  <c r="AS270" i="64"/>
  <c r="AT270" i="64"/>
  <c r="AU270" i="64"/>
  <c r="AW270" i="64"/>
  <c r="AX270" i="64"/>
  <c r="AY270" i="64"/>
  <c r="BA270" i="64"/>
  <c r="A271" i="64"/>
  <c r="B271" i="64"/>
  <c r="D271" i="64"/>
  <c r="E271" i="64"/>
  <c r="F271" i="64"/>
  <c r="G271" i="64"/>
  <c r="H271" i="64"/>
  <c r="J271" i="64"/>
  <c r="K271" i="64"/>
  <c r="L271" i="64"/>
  <c r="M271" i="64"/>
  <c r="O271" i="64"/>
  <c r="P271" i="64"/>
  <c r="R271" i="64"/>
  <c r="S271" i="64"/>
  <c r="T271" i="64"/>
  <c r="U271" i="64"/>
  <c r="V271" i="64"/>
  <c r="W271" i="64"/>
  <c r="X271" i="64"/>
  <c r="Z271" i="64"/>
  <c r="AA271" i="64"/>
  <c r="AB271" i="64"/>
  <c r="AC271" i="64"/>
  <c r="AD271" i="64"/>
  <c r="AE271" i="64"/>
  <c r="AF271" i="64"/>
  <c r="AG271" i="64"/>
  <c r="AH271" i="64"/>
  <c r="AI271" i="64"/>
  <c r="AJ271" i="64"/>
  <c r="AK271" i="64"/>
  <c r="AL271" i="64"/>
  <c r="AM271" i="64"/>
  <c r="AN271" i="64"/>
  <c r="AO271" i="64"/>
  <c r="AP271" i="64"/>
  <c r="AQ271" i="64"/>
  <c r="AR271" i="64"/>
  <c r="AS271" i="64"/>
  <c r="AT271" i="64"/>
  <c r="AU271" i="64"/>
  <c r="AW271" i="64"/>
  <c r="AX271" i="64"/>
  <c r="AY271" i="64"/>
  <c r="BA271" i="64"/>
  <c r="A272" i="64"/>
  <c r="B272" i="64"/>
  <c r="D272" i="64"/>
  <c r="E272" i="64"/>
  <c r="F272" i="64"/>
  <c r="G272" i="64"/>
  <c r="H272" i="64"/>
  <c r="J272" i="64"/>
  <c r="K272" i="64"/>
  <c r="L272" i="64"/>
  <c r="M272" i="64"/>
  <c r="O272" i="64"/>
  <c r="P272" i="64"/>
  <c r="R272" i="64"/>
  <c r="S272" i="64"/>
  <c r="T272" i="64"/>
  <c r="U272" i="64"/>
  <c r="V272" i="64"/>
  <c r="W272" i="64"/>
  <c r="X272" i="64"/>
  <c r="Z272" i="64"/>
  <c r="AA272" i="64"/>
  <c r="AB272" i="64"/>
  <c r="AC272" i="64"/>
  <c r="AD272" i="64"/>
  <c r="AE272" i="64"/>
  <c r="AF272" i="64"/>
  <c r="AG272" i="64"/>
  <c r="AH272" i="64"/>
  <c r="AI272" i="64"/>
  <c r="AJ272" i="64"/>
  <c r="AK272" i="64"/>
  <c r="AL272" i="64"/>
  <c r="AM272" i="64"/>
  <c r="AN272" i="64"/>
  <c r="AO272" i="64"/>
  <c r="AP272" i="64"/>
  <c r="AQ272" i="64"/>
  <c r="AR272" i="64"/>
  <c r="AS272" i="64"/>
  <c r="AT272" i="64"/>
  <c r="AU272" i="64"/>
  <c r="AW272" i="64"/>
  <c r="AX272" i="64"/>
  <c r="AY272" i="64"/>
  <c r="BA272" i="64"/>
  <c r="A273" i="64"/>
  <c r="B273" i="64"/>
  <c r="D273" i="64"/>
  <c r="E273" i="64"/>
  <c r="F273" i="64"/>
  <c r="G273" i="64"/>
  <c r="H273" i="64"/>
  <c r="J273" i="64"/>
  <c r="K273" i="64"/>
  <c r="L273" i="64"/>
  <c r="M273" i="64"/>
  <c r="O273" i="64"/>
  <c r="P273" i="64"/>
  <c r="R273" i="64"/>
  <c r="S273" i="64"/>
  <c r="T273" i="64"/>
  <c r="U273" i="64"/>
  <c r="V273" i="64"/>
  <c r="W273" i="64"/>
  <c r="X273" i="64"/>
  <c r="Z273" i="64"/>
  <c r="AA273" i="64"/>
  <c r="AB273" i="64"/>
  <c r="AC273" i="64"/>
  <c r="AD273" i="64"/>
  <c r="AE273" i="64"/>
  <c r="AF273" i="64"/>
  <c r="AG273" i="64"/>
  <c r="AH273" i="64"/>
  <c r="AI273" i="64"/>
  <c r="AJ273" i="64"/>
  <c r="AK273" i="64"/>
  <c r="AL273" i="64"/>
  <c r="AM273" i="64"/>
  <c r="AN273" i="64"/>
  <c r="AO273" i="64"/>
  <c r="AP273" i="64"/>
  <c r="AQ273" i="64"/>
  <c r="AR273" i="64"/>
  <c r="AS273" i="64"/>
  <c r="AT273" i="64"/>
  <c r="AU273" i="64"/>
  <c r="AW273" i="64"/>
  <c r="AX273" i="64"/>
  <c r="AY273" i="64"/>
  <c r="BA273" i="64"/>
  <c r="A274" i="64"/>
  <c r="B274" i="64"/>
  <c r="D274" i="64"/>
  <c r="E274" i="64"/>
  <c r="F274" i="64"/>
  <c r="G274" i="64"/>
  <c r="H274" i="64"/>
  <c r="J274" i="64"/>
  <c r="K274" i="64"/>
  <c r="L274" i="64"/>
  <c r="M274" i="64"/>
  <c r="O274" i="64"/>
  <c r="P274" i="64"/>
  <c r="R274" i="64"/>
  <c r="S274" i="64"/>
  <c r="T274" i="64"/>
  <c r="U274" i="64"/>
  <c r="V274" i="64"/>
  <c r="W274" i="64"/>
  <c r="X274" i="64"/>
  <c r="Z274" i="64"/>
  <c r="AA274" i="64"/>
  <c r="AB274" i="64"/>
  <c r="AC274" i="64"/>
  <c r="AD274" i="64"/>
  <c r="AE274" i="64"/>
  <c r="AF274" i="64"/>
  <c r="AG274" i="64"/>
  <c r="AH274" i="64"/>
  <c r="AI274" i="64"/>
  <c r="AJ274" i="64"/>
  <c r="AK274" i="64"/>
  <c r="AL274" i="64"/>
  <c r="AM274" i="64"/>
  <c r="AN274" i="64"/>
  <c r="AO274" i="64"/>
  <c r="AP274" i="64"/>
  <c r="AQ274" i="64"/>
  <c r="AR274" i="64"/>
  <c r="AS274" i="64"/>
  <c r="AT274" i="64"/>
  <c r="AU274" i="64"/>
  <c r="AW274" i="64"/>
  <c r="AX274" i="64"/>
  <c r="AY274" i="64"/>
  <c r="BA274" i="64"/>
  <c r="A275" i="64"/>
  <c r="B275" i="64"/>
  <c r="D275" i="64"/>
  <c r="E275" i="64"/>
  <c r="F275" i="64"/>
  <c r="G275" i="64"/>
  <c r="H275" i="64"/>
  <c r="J275" i="64"/>
  <c r="K275" i="64"/>
  <c r="L275" i="64"/>
  <c r="M275" i="64"/>
  <c r="O275" i="64"/>
  <c r="P275" i="64"/>
  <c r="R275" i="64"/>
  <c r="S275" i="64"/>
  <c r="T275" i="64"/>
  <c r="U275" i="64"/>
  <c r="V275" i="64"/>
  <c r="W275" i="64"/>
  <c r="X275" i="64"/>
  <c r="Z275" i="64"/>
  <c r="AA275" i="64"/>
  <c r="AB275" i="64"/>
  <c r="AC275" i="64"/>
  <c r="AD275" i="64"/>
  <c r="AE275" i="64"/>
  <c r="AF275" i="64"/>
  <c r="AG275" i="64"/>
  <c r="AH275" i="64"/>
  <c r="AI275" i="64"/>
  <c r="AJ275" i="64"/>
  <c r="AK275" i="64"/>
  <c r="AL275" i="64"/>
  <c r="AM275" i="64"/>
  <c r="AN275" i="64"/>
  <c r="AO275" i="64"/>
  <c r="AP275" i="64"/>
  <c r="AQ275" i="64"/>
  <c r="AR275" i="64"/>
  <c r="AS275" i="64"/>
  <c r="AT275" i="64"/>
  <c r="AU275" i="64"/>
  <c r="AW275" i="64"/>
  <c r="AX275" i="64"/>
  <c r="AY275" i="64"/>
  <c r="BA275" i="64"/>
  <c r="A276" i="64"/>
  <c r="B276" i="64"/>
  <c r="D276" i="64"/>
  <c r="E276" i="64"/>
  <c r="F276" i="64"/>
  <c r="G276" i="64"/>
  <c r="H276" i="64"/>
  <c r="J276" i="64"/>
  <c r="K276" i="64"/>
  <c r="L276" i="64"/>
  <c r="M276" i="64"/>
  <c r="O276" i="64"/>
  <c r="P276" i="64"/>
  <c r="R276" i="64"/>
  <c r="S276" i="64"/>
  <c r="T276" i="64"/>
  <c r="U276" i="64"/>
  <c r="V276" i="64"/>
  <c r="W276" i="64"/>
  <c r="X276" i="64"/>
  <c r="Z276" i="64"/>
  <c r="AA276" i="64"/>
  <c r="AB276" i="64"/>
  <c r="AC276" i="64"/>
  <c r="AD276" i="64"/>
  <c r="AE276" i="64"/>
  <c r="AF276" i="64"/>
  <c r="AG276" i="64"/>
  <c r="AH276" i="64"/>
  <c r="AI276" i="64"/>
  <c r="AJ276" i="64"/>
  <c r="AK276" i="64"/>
  <c r="AL276" i="64"/>
  <c r="AM276" i="64"/>
  <c r="AN276" i="64"/>
  <c r="AO276" i="64"/>
  <c r="AP276" i="64"/>
  <c r="AQ276" i="64"/>
  <c r="AR276" i="64"/>
  <c r="AS276" i="64"/>
  <c r="AT276" i="64"/>
  <c r="AU276" i="64"/>
  <c r="AW276" i="64"/>
  <c r="AX276" i="64"/>
  <c r="AY276" i="64"/>
  <c r="BA276" i="64"/>
  <c r="A277" i="64"/>
  <c r="B277" i="64"/>
  <c r="D277" i="64"/>
  <c r="E277" i="64"/>
  <c r="F277" i="64"/>
  <c r="G277" i="64"/>
  <c r="H277" i="64"/>
  <c r="J277" i="64"/>
  <c r="K277" i="64"/>
  <c r="L277" i="64"/>
  <c r="M277" i="64"/>
  <c r="O277" i="64"/>
  <c r="P277" i="64"/>
  <c r="R277" i="64"/>
  <c r="S277" i="64"/>
  <c r="T277" i="64"/>
  <c r="U277" i="64"/>
  <c r="V277" i="64"/>
  <c r="W277" i="64"/>
  <c r="X277" i="64"/>
  <c r="Z277" i="64"/>
  <c r="AA277" i="64"/>
  <c r="AB277" i="64"/>
  <c r="AC277" i="64"/>
  <c r="AD277" i="64"/>
  <c r="AE277" i="64"/>
  <c r="AF277" i="64"/>
  <c r="AG277" i="64"/>
  <c r="AH277" i="64"/>
  <c r="AI277" i="64"/>
  <c r="AJ277" i="64"/>
  <c r="AK277" i="64"/>
  <c r="AL277" i="64"/>
  <c r="AM277" i="64"/>
  <c r="AN277" i="64"/>
  <c r="AO277" i="64"/>
  <c r="AP277" i="64"/>
  <c r="AQ277" i="64"/>
  <c r="AR277" i="64"/>
  <c r="AS277" i="64"/>
  <c r="AT277" i="64"/>
  <c r="AU277" i="64"/>
  <c r="AW277" i="64"/>
  <c r="AX277" i="64"/>
  <c r="AY277" i="64"/>
  <c r="BA277" i="64"/>
  <c r="A278" i="64"/>
  <c r="B278" i="64"/>
  <c r="D278" i="64"/>
  <c r="E278" i="64"/>
  <c r="F278" i="64"/>
  <c r="G278" i="64"/>
  <c r="H278" i="64"/>
  <c r="J278" i="64"/>
  <c r="K278" i="64"/>
  <c r="L278" i="64"/>
  <c r="M278" i="64"/>
  <c r="O278" i="64"/>
  <c r="P278" i="64"/>
  <c r="R278" i="64"/>
  <c r="S278" i="64"/>
  <c r="T278" i="64"/>
  <c r="U278" i="64"/>
  <c r="V278" i="64"/>
  <c r="W278" i="64"/>
  <c r="X278" i="64"/>
  <c r="Z278" i="64"/>
  <c r="AA278" i="64"/>
  <c r="AB278" i="64"/>
  <c r="AC278" i="64"/>
  <c r="AD278" i="64"/>
  <c r="AE278" i="64"/>
  <c r="AF278" i="64"/>
  <c r="AG278" i="64"/>
  <c r="AH278" i="64"/>
  <c r="AI278" i="64"/>
  <c r="AJ278" i="64"/>
  <c r="AK278" i="64"/>
  <c r="AL278" i="64"/>
  <c r="AM278" i="64"/>
  <c r="AN278" i="64"/>
  <c r="AO278" i="64"/>
  <c r="AP278" i="64"/>
  <c r="AQ278" i="64"/>
  <c r="AR278" i="64"/>
  <c r="AS278" i="64"/>
  <c r="AT278" i="64"/>
  <c r="AU278" i="64"/>
  <c r="AW278" i="64"/>
  <c r="AX278" i="64"/>
  <c r="AY278" i="64"/>
  <c r="BA278" i="64"/>
  <c r="A279" i="64"/>
  <c r="B279" i="64"/>
  <c r="D279" i="64"/>
  <c r="E279" i="64"/>
  <c r="F279" i="64"/>
  <c r="G279" i="64"/>
  <c r="H279" i="64"/>
  <c r="J279" i="64"/>
  <c r="K279" i="64"/>
  <c r="L279" i="64"/>
  <c r="M279" i="64"/>
  <c r="O279" i="64"/>
  <c r="P279" i="64"/>
  <c r="R279" i="64"/>
  <c r="S279" i="64"/>
  <c r="T279" i="64"/>
  <c r="U279" i="64"/>
  <c r="V279" i="64"/>
  <c r="W279" i="64"/>
  <c r="X279" i="64"/>
  <c r="Z279" i="64"/>
  <c r="AA279" i="64"/>
  <c r="AB279" i="64"/>
  <c r="AC279" i="64"/>
  <c r="AD279" i="64"/>
  <c r="AE279" i="64"/>
  <c r="AF279" i="64"/>
  <c r="AG279" i="64"/>
  <c r="AH279" i="64"/>
  <c r="AI279" i="64"/>
  <c r="AJ279" i="64"/>
  <c r="AK279" i="64"/>
  <c r="AL279" i="64"/>
  <c r="AM279" i="64"/>
  <c r="AN279" i="64"/>
  <c r="AO279" i="64"/>
  <c r="AP279" i="64"/>
  <c r="AQ279" i="64"/>
  <c r="AR279" i="64"/>
  <c r="AS279" i="64"/>
  <c r="AT279" i="64"/>
  <c r="AU279" i="64"/>
  <c r="AW279" i="64"/>
  <c r="AX279" i="64"/>
  <c r="AY279" i="64"/>
  <c r="BA279" i="64"/>
  <c r="A280" i="64"/>
  <c r="B280" i="64"/>
  <c r="D280" i="64"/>
  <c r="E280" i="64"/>
  <c r="F280" i="64"/>
  <c r="G280" i="64"/>
  <c r="H280" i="64"/>
  <c r="J280" i="64"/>
  <c r="K280" i="64"/>
  <c r="L280" i="64"/>
  <c r="M280" i="64"/>
  <c r="O280" i="64"/>
  <c r="P280" i="64"/>
  <c r="R280" i="64"/>
  <c r="S280" i="64"/>
  <c r="T280" i="64"/>
  <c r="U280" i="64"/>
  <c r="V280" i="64"/>
  <c r="W280" i="64"/>
  <c r="X280" i="64"/>
  <c r="Z280" i="64"/>
  <c r="AA280" i="64"/>
  <c r="AB280" i="64"/>
  <c r="AC280" i="64"/>
  <c r="AD280" i="64"/>
  <c r="AE280" i="64"/>
  <c r="AF280" i="64"/>
  <c r="AG280" i="64"/>
  <c r="AH280" i="64"/>
  <c r="AI280" i="64"/>
  <c r="AJ280" i="64"/>
  <c r="AK280" i="64"/>
  <c r="AL280" i="64"/>
  <c r="AM280" i="64"/>
  <c r="AN280" i="64"/>
  <c r="AO280" i="64"/>
  <c r="AP280" i="64"/>
  <c r="AQ280" i="64"/>
  <c r="AR280" i="64"/>
  <c r="AS280" i="64"/>
  <c r="AT280" i="64"/>
  <c r="AU280" i="64"/>
  <c r="AW280" i="64"/>
  <c r="AX280" i="64"/>
  <c r="AY280" i="64"/>
  <c r="BA280" i="64"/>
  <c r="A281" i="64"/>
  <c r="B281" i="64"/>
  <c r="D281" i="64"/>
  <c r="E281" i="64"/>
  <c r="F281" i="64"/>
  <c r="G281" i="64"/>
  <c r="H281" i="64"/>
  <c r="J281" i="64"/>
  <c r="K281" i="64"/>
  <c r="L281" i="64"/>
  <c r="M281" i="64"/>
  <c r="O281" i="64"/>
  <c r="P281" i="64"/>
  <c r="R281" i="64"/>
  <c r="S281" i="64"/>
  <c r="T281" i="64"/>
  <c r="U281" i="64"/>
  <c r="V281" i="64"/>
  <c r="W281" i="64"/>
  <c r="X281" i="64"/>
  <c r="Z281" i="64"/>
  <c r="AA281" i="64"/>
  <c r="AB281" i="64"/>
  <c r="AC281" i="64"/>
  <c r="AD281" i="64"/>
  <c r="AE281" i="64"/>
  <c r="AF281" i="64"/>
  <c r="AG281" i="64"/>
  <c r="AH281" i="64"/>
  <c r="AI281" i="64"/>
  <c r="AJ281" i="64"/>
  <c r="AK281" i="64"/>
  <c r="AL281" i="64"/>
  <c r="AM281" i="64"/>
  <c r="AN281" i="64"/>
  <c r="AO281" i="64"/>
  <c r="AP281" i="64"/>
  <c r="AQ281" i="64"/>
  <c r="AR281" i="64"/>
  <c r="AS281" i="64"/>
  <c r="AT281" i="64"/>
  <c r="AU281" i="64"/>
  <c r="AW281" i="64"/>
  <c r="AX281" i="64"/>
  <c r="AY281" i="64"/>
  <c r="BA281" i="64"/>
  <c r="A282" i="64"/>
  <c r="B282" i="64"/>
  <c r="D282" i="64"/>
  <c r="E282" i="64"/>
  <c r="F282" i="64"/>
  <c r="G282" i="64"/>
  <c r="H282" i="64"/>
  <c r="J282" i="64"/>
  <c r="K282" i="64"/>
  <c r="L282" i="64"/>
  <c r="M282" i="64"/>
  <c r="O282" i="64"/>
  <c r="P282" i="64"/>
  <c r="R282" i="64"/>
  <c r="S282" i="64"/>
  <c r="T282" i="64"/>
  <c r="U282" i="64"/>
  <c r="V282" i="64"/>
  <c r="W282" i="64"/>
  <c r="X282" i="64"/>
  <c r="Z282" i="64"/>
  <c r="AA282" i="64"/>
  <c r="AB282" i="64"/>
  <c r="AC282" i="64"/>
  <c r="AD282" i="64"/>
  <c r="AE282" i="64"/>
  <c r="AF282" i="64"/>
  <c r="AG282" i="64"/>
  <c r="AH282" i="64"/>
  <c r="AI282" i="64"/>
  <c r="AJ282" i="64"/>
  <c r="AK282" i="64"/>
  <c r="AL282" i="64"/>
  <c r="AM282" i="64"/>
  <c r="AN282" i="64"/>
  <c r="AO282" i="64"/>
  <c r="AP282" i="64"/>
  <c r="AQ282" i="64"/>
  <c r="AR282" i="64"/>
  <c r="AS282" i="64"/>
  <c r="AT282" i="64"/>
  <c r="AU282" i="64"/>
  <c r="AW282" i="64"/>
  <c r="AX282" i="64"/>
  <c r="AY282" i="64"/>
  <c r="BA282" i="64"/>
  <c r="A283" i="64"/>
  <c r="B283" i="64"/>
  <c r="D283" i="64"/>
  <c r="E283" i="64"/>
  <c r="F283" i="64"/>
  <c r="G283" i="64"/>
  <c r="H283" i="64"/>
  <c r="J283" i="64"/>
  <c r="K283" i="64"/>
  <c r="L283" i="64"/>
  <c r="M283" i="64"/>
  <c r="O283" i="64"/>
  <c r="P283" i="64"/>
  <c r="R283" i="64"/>
  <c r="S283" i="64"/>
  <c r="T283" i="64"/>
  <c r="U283" i="64"/>
  <c r="V283" i="64"/>
  <c r="W283" i="64"/>
  <c r="X283" i="64"/>
  <c r="Z283" i="64"/>
  <c r="AA283" i="64"/>
  <c r="AB283" i="64"/>
  <c r="AC283" i="64"/>
  <c r="AD283" i="64"/>
  <c r="AE283" i="64"/>
  <c r="AF283" i="64"/>
  <c r="AG283" i="64"/>
  <c r="AH283" i="64"/>
  <c r="AI283" i="64"/>
  <c r="AJ283" i="64"/>
  <c r="AK283" i="64"/>
  <c r="AL283" i="64"/>
  <c r="AM283" i="64"/>
  <c r="AN283" i="64"/>
  <c r="AO283" i="64"/>
  <c r="AP283" i="64"/>
  <c r="AQ283" i="64"/>
  <c r="AR283" i="64"/>
  <c r="AS283" i="64"/>
  <c r="AT283" i="64"/>
  <c r="AU283" i="64"/>
  <c r="AW283" i="64"/>
  <c r="AX283" i="64"/>
  <c r="AY283" i="64"/>
  <c r="BA283" i="64"/>
  <c r="A284" i="64"/>
  <c r="B284" i="64"/>
  <c r="D284" i="64"/>
  <c r="E284" i="64"/>
  <c r="F284" i="64"/>
  <c r="G284" i="64"/>
  <c r="H284" i="64"/>
  <c r="J284" i="64"/>
  <c r="K284" i="64"/>
  <c r="L284" i="64"/>
  <c r="M284" i="64"/>
  <c r="O284" i="64"/>
  <c r="P284" i="64"/>
  <c r="R284" i="64"/>
  <c r="S284" i="64"/>
  <c r="T284" i="64"/>
  <c r="U284" i="64"/>
  <c r="V284" i="64"/>
  <c r="W284" i="64"/>
  <c r="X284" i="64"/>
  <c r="Z284" i="64"/>
  <c r="AA284" i="64"/>
  <c r="AB284" i="64"/>
  <c r="AC284" i="64"/>
  <c r="AD284" i="64"/>
  <c r="AE284" i="64"/>
  <c r="AF284" i="64"/>
  <c r="AG284" i="64"/>
  <c r="AH284" i="64"/>
  <c r="AI284" i="64"/>
  <c r="AJ284" i="64"/>
  <c r="AK284" i="64"/>
  <c r="AL284" i="64"/>
  <c r="AM284" i="64"/>
  <c r="AN284" i="64"/>
  <c r="AO284" i="64"/>
  <c r="AP284" i="64"/>
  <c r="AQ284" i="64"/>
  <c r="AR284" i="64"/>
  <c r="AS284" i="64"/>
  <c r="AT284" i="64"/>
  <c r="AU284" i="64"/>
  <c r="AW284" i="64"/>
  <c r="AX284" i="64"/>
  <c r="AY284" i="64"/>
  <c r="BA284" i="64"/>
  <c r="A285" i="64"/>
  <c r="B285" i="64"/>
  <c r="D285" i="64"/>
  <c r="E285" i="64"/>
  <c r="F285" i="64"/>
  <c r="G285" i="64"/>
  <c r="H285" i="64"/>
  <c r="J285" i="64"/>
  <c r="K285" i="64"/>
  <c r="L285" i="64"/>
  <c r="M285" i="64"/>
  <c r="O285" i="64"/>
  <c r="P285" i="64"/>
  <c r="R285" i="64"/>
  <c r="S285" i="64"/>
  <c r="T285" i="64"/>
  <c r="U285" i="64"/>
  <c r="V285" i="64"/>
  <c r="W285" i="64"/>
  <c r="X285" i="64"/>
  <c r="Z285" i="64"/>
  <c r="AA285" i="64"/>
  <c r="AB285" i="64"/>
  <c r="AC285" i="64"/>
  <c r="AD285" i="64"/>
  <c r="AE285" i="64"/>
  <c r="AF285" i="64"/>
  <c r="AG285" i="64"/>
  <c r="AH285" i="64"/>
  <c r="AI285" i="64"/>
  <c r="AJ285" i="64"/>
  <c r="AK285" i="64"/>
  <c r="AL285" i="64"/>
  <c r="AM285" i="64"/>
  <c r="AN285" i="64"/>
  <c r="AO285" i="64"/>
  <c r="AP285" i="64"/>
  <c r="AQ285" i="64"/>
  <c r="AR285" i="64"/>
  <c r="AS285" i="64"/>
  <c r="AT285" i="64"/>
  <c r="AU285" i="64"/>
  <c r="AW285" i="64"/>
  <c r="AX285" i="64"/>
  <c r="AY285" i="64"/>
  <c r="BA285" i="64"/>
  <c r="A286" i="64"/>
  <c r="B286" i="64"/>
  <c r="D286" i="64"/>
  <c r="E286" i="64"/>
  <c r="F286" i="64"/>
  <c r="G286" i="64"/>
  <c r="H286" i="64"/>
  <c r="J286" i="64"/>
  <c r="K286" i="64"/>
  <c r="L286" i="64"/>
  <c r="M286" i="64"/>
  <c r="O286" i="64"/>
  <c r="P286" i="64"/>
  <c r="R286" i="64"/>
  <c r="S286" i="64"/>
  <c r="T286" i="64"/>
  <c r="U286" i="64"/>
  <c r="V286" i="64"/>
  <c r="W286" i="64"/>
  <c r="X286" i="64"/>
  <c r="Z286" i="64"/>
  <c r="AA286" i="64"/>
  <c r="AB286" i="64"/>
  <c r="AC286" i="64"/>
  <c r="AD286" i="64"/>
  <c r="AE286" i="64"/>
  <c r="AF286" i="64"/>
  <c r="AG286" i="64"/>
  <c r="AH286" i="64"/>
  <c r="AI286" i="64"/>
  <c r="AJ286" i="64"/>
  <c r="AK286" i="64"/>
  <c r="AL286" i="64"/>
  <c r="AM286" i="64"/>
  <c r="AN286" i="64"/>
  <c r="AO286" i="64"/>
  <c r="AP286" i="64"/>
  <c r="AQ286" i="64"/>
  <c r="AR286" i="64"/>
  <c r="AS286" i="64"/>
  <c r="AT286" i="64"/>
  <c r="AU286" i="64"/>
  <c r="AW286" i="64"/>
  <c r="AX286" i="64"/>
  <c r="AY286" i="64"/>
  <c r="BA286" i="64"/>
  <c r="A287" i="64"/>
  <c r="B287" i="64"/>
  <c r="D287" i="64"/>
  <c r="E287" i="64"/>
  <c r="F287" i="64"/>
  <c r="G287" i="64"/>
  <c r="H287" i="64"/>
  <c r="J287" i="64"/>
  <c r="K287" i="64"/>
  <c r="L287" i="64"/>
  <c r="M287" i="64"/>
  <c r="O287" i="64"/>
  <c r="P287" i="64"/>
  <c r="R287" i="64"/>
  <c r="S287" i="64"/>
  <c r="T287" i="64"/>
  <c r="U287" i="64"/>
  <c r="V287" i="64"/>
  <c r="W287" i="64"/>
  <c r="X287" i="64"/>
  <c r="Z287" i="64"/>
  <c r="AA287" i="64"/>
  <c r="AB287" i="64"/>
  <c r="AC287" i="64"/>
  <c r="AD287" i="64"/>
  <c r="AE287" i="64"/>
  <c r="AF287" i="64"/>
  <c r="AG287" i="64"/>
  <c r="AH287" i="64"/>
  <c r="AI287" i="64"/>
  <c r="AJ287" i="64"/>
  <c r="AK287" i="64"/>
  <c r="AL287" i="64"/>
  <c r="AM287" i="64"/>
  <c r="AN287" i="64"/>
  <c r="AO287" i="64"/>
  <c r="AP287" i="64"/>
  <c r="AQ287" i="64"/>
  <c r="AR287" i="64"/>
  <c r="AS287" i="64"/>
  <c r="AT287" i="64"/>
  <c r="AU287" i="64"/>
  <c r="AW287" i="64"/>
  <c r="AX287" i="64"/>
  <c r="AY287" i="64"/>
  <c r="BA287" i="64"/>
  <c r="A288" i="64"/>
  <c r="B288" i="64"/>
  <c r="D288" i="64"/>
  <c r="E288" i="64"/>
  <c r="F288" i="64"/>
  <c r="G288" i="64"/>
  <c r="H288" i="64"/>
  <c r="J288" i="64"/>
  <c r="K288" i="64"/>
  <c r="L288" i="64"/>
  <c r="M288" i="64"/>
  <c r="O288" i="64"/>
  <c r="P288" i="64"/>
  <c r="R288" i="64"/>
  <c r="S288" i="64"/>
  <c r="T288" i="64"/>
  <c r="U288" i="64"/>
  <c r="V288" i="64"/>
  <c r="W288" i="64"/>
  <c r="X288" i="64"/>
  <c r="Z288" i="64"/>
  <c r="AA288" i="64"/>
  <c r="AB288" i="64"/>
  <c r="AC288" i="64"/>
  <c r="AD288" i="64"/>
  <c r="AE288" i="64"/>
  <c r="AF288" i="64"/>
  <c r="AG288" i="64"/>
  <c r="AH288" i="64"/>
  <c r="AI288" i="64"/>
  <c r="AJ288" i="64"/>
  <c r="AK288" i="64"/>
  <c r="AL288" i="64"/>
  <c r="AM288" i="64"/>
  <c r="AN288" i="64"/>
  <c r="AO288" i="64"/>
  <c r="AP288" i="64"/>
  <c r="AQ288" i="64"/>
  <c r="AR288" i="64"/>
  <c r="AS288" i="64"/>
  <c r="AT288" i="64"/>
  <c r="AU288" i="64"/>
  <c r="AW288" i="64"/>
  <c r="AX288" i="64"/>
  <c r="AY288" i="64"/>
  <c r="BA288" i="64"/>
  <c r="A289" i="64"/>
  <c r="B289" i="64"/>
  <c r="D289" i="64"/>
  <c r="E289" i="64"/>
  <c r="F289" i="64"/>
  <c r="G289" i="64"/>
  <c r="H289" i="64"/>
  <c r="J289" i="64"/>
  <c r="K289" i="64"/>
  <c r="L289" i="64"/>
  <c r="M289" i="64"/>
  <c r="O289" i="64"/>
  <c r="P289" i="64"/>
  <c r="R289" i="64"/>
  <c r="S289" i="64"/>
  <c r="T289" i="64"/>
  <c r="U289" i="64"/>
  <c r="V289" i="64"/>
  <c r="W289" i="64"/>
  <c r="X289" i="64"/>
  <c r="Z289" i="64"/>
  <c r="AA289" i="64"/>
  <c r="AB289" i="64"/>
  <c r="AC289" i="64"/>
  <c r="AD289" i="64"/>
  <c r="AE289" i="64"/>
  <c r="AF289" i="64"/>
  <c r="AG289" i="64"/>
  <c r="AH289" i="64"/>
  <c r="AI289" i="64"/>
  <c r="AJ289" i="64"/>
  <c r="AK289" i="64"/>
  <c r="AL289" i="64"/>
  <c r="AM289" i="64"/>
  <c r="AN289" i="64"/>
  <c r="AO289" i="64"/>
  <c r="AP289" i="64"/>
  <c r="AQ289" i="64"/>
  <c r="AR289" i="64"/>
  <c r="AS289" i="64"/>
  <c r="AT289" i="64"/>
  <c r="AU289" i="64"/>
  <c r="AW289" i="64"/>
  <c r="AX289" i="64"/>
  <c r="AY289" i="64"/>
  <c r="BA289" i="64"/>
  <c r="A290" i="64"/>
  <c r="B290" i="64"/>
  <c r="D290" i="64"/>
  <c r="E290" i="64"/>
  <c r="F290" i="64"/>
  <c r="G290" i="64"/>
  <c r="H290" i="64"/>
  <c r="J290" i="64"/>
  <c r="K290" i="64"/>
  <c r="L290" i="64"/>
  <c r="M290" i="64"/>
  <c r="O290" i="64"/>
  <c r="P290" i="64"/>
  <c r="R290" i="64"/>
  <c r="S290" i="64"/>
  <c r="T290" i="64"/>
  <c r="U290" i="64"/>
  <c r="V290" i="64"/>
  <c r="W290" i="64"/>
  <c r="X290" i="64"/>
  <c r="Z290" i="64"/>
  <c r="AA290" i="64"/>
  <c r="AB290" i="64"/>
  <c r="AC290" i="64"/>
  <c r="AD290" i="64"/>
  <c r="AE290" i="64"/>
  <c r="AF290" i="64"/>
  <c r="AG290" i="64"/>
  <c r="AH290" i="64"/>
  <c r="AI290" i="64"/>
  <c r="AJ290" i="64"/>
  <c r="AK290" i="64"/>
  <c r="AL290" i="64"/>
  <c r="AM290" i="64"/>
  <c r="AN290" i="64"/>
  <c r="AO290" i="64"/>
  <c r="AP290" i="64"/>
  <c r="AQ290" i="64"/>
  <c r="AR290" i="64"/>
  <c r="AS290" i="64"/>
  <c r="AT290" i="64"/>
  <c r="AU290" i="64"/>
  <c r="AW290" i="64"/>
  <c r="AX290" i="64"/>
  <c r="AY290" i="64"/>
  <c r="BA290" i="64"/>
  <c r="A291" i="64"/>
  <c r="B291" i="64"/>
  <c r="D291" i="64"/>
  <c r="E291" i="64"/>
  <c r="F291" i="64"/>
  <c r="G291" i="64"/>
  <c r="H291" i="64"/>
  <c r="J291" i="64"/>
  <c r="K291" i="64"/>
  <c r="L291" i="64"/>
  <c r="M291" i="64"/>
  <c r="O291" i="64"/>
  <c r="P291" i="64"/>
  <c r="R291" i="64"/>
  <c r="S291" i="64"/>
  <c r="T291" i="64"/>
  <c r="U291" i="64"/>
  <c r="V291" i="64"/>
  <c r="W291" i="64"/>
  <c r="X291" i="64"/>
  <c r="Z291" i="64"/>
  <c r="AA291" i="64"/>
  <c r="AB291" i="64"/>
  <c r="AC291" i="64"/>
  <c r="AD291" i="64"/>
  <c r="AE291" i="64"/>
  <c r="AF291" i="64"/>
  <c r="AG291" i="64"/>
  <c r="AH291" i="64"/>
  <c r="AI291" i="64"/>
  <c r="AJ291" i="64"/>
  <c r="AK291" i="64"/>
  <c r="AL291" i="64"/>
  <c r="AM291" i="64"/>
  <c r="AN291" i="64"/>
  <c r="AO291" i="64"/>
  <c r="AP291" i="64"/>
  <c r="AQ291" i="64"/>
  <c r="AR291" i="64"/>
  <c r="AS291" i="64"/>
  <c r="AT291" i="64"/>
  <c r="AU291" i="64"/>
  <c r="AW291" i="64"/>
  <c r="AX291" i="64"/>
  <c r="AY291" i="64"/>
  <c r="BA291" i="64"/>
  <c r="A292" i="64"/>
  <c r="B292" i="64"/>
  <c r="D292" i="64"/>
  <c r="E292" i="64"/>
  <c r="F292" i="64"/>
  <c r="G292" i="64"/>
  <c r="H292" i="64"/>
  <c r="J292" i="64"/>
  <c r="K292" i="64"/>
  <c r="L292" i="64"/>
  <c r="M292" i="64"/>
  <c r="O292" i="64"/>
  <c r="P292" i="64"/>
  <c r="R292" i="64"/>
  <c r="S292" i="64"/>
  <c r="T292" i="64"/>
  <c r="U292" i="64"/>
  <c r="V292" i="64"/>
  <c r="W292" i="64"/>
  <c r="X292" i="64"/>
  <c r="Z292" i="64"/>
  <c r="AA292" i="64"/>
  <c r="AB292" i="64"/>
  <c r="AC292" i="64"/>
  <c r="AD292" i="64"/>
  <c r="AE292" i="64"/>
  <c r="AF292" i="64"/>
  <c r="AG292" i="64"/>
  <c r="AH292" i="64"/>
  <c r="AI292" i="64"/>
  <c r="AJ292" i="64"/>
  <c r="AK292" i="64"/>
  <c r="AL292" i="64"/>
  <c r="AM292" i="64"/>
  <c r="AN292" i="64"/>
  <c r="AO292" i="64"/>
  <c r="AP292" i="64"/>
  <c r="AQ292" i="64"/>
  <c r="AR292" i="64"/>
  <c r="AS292" i="64"/>
  <c r="AT292" i="64"/>
  <c r="AU292" i="64"/>
  <c r="AW292" i="64"/>
  <c r="AX292" i="64"/>
  <c r="AY292" i="64"/>
  <c r="BA292" i="64"/>
  <c r="A293" i="64"/>
  <c r="B293" i="64"/>
  <c r="D293" i="64"/>
  <c r="E293" i="64"/>
  <c r="F293" i="64"/>
  <c r="G293" i="64"/>
  <c r="H293" i="64"/>
  <c r="J293" i="64"/>
  <c r="K293" i="64"/>
  <c r="L293" i="64"/>
  <c r="M293" i="64"/>
  <c r="O293" i="64"/>
  <c r="P293" i="64"/>
  <c r="R293" i="64"/>
  <c r="S293" i="64"/>
  <c r="T293" i="64"/>
  <c r="U293" i="64"/>
  <c r="V293" i="64"/>
  <c r="W293" i="64"/>
  <c r="X293" i="64"/>
  <c r="Z293" i="64"/>
  <c r="AA293" i="64"/>
  <c r="AB293" i="64"/>
  <c r="AC293" i="64"/>
  <c r="AD293" i="64"/>
  <c r="AE293" i="64"/>
  <c r="AF293" i="64"/>
  <c r="AG293" i="64"/>
  <c r="AH293" i="64"/>
  <c r="AI293" i="64"/>
  <c r="AJ293" i="64"/>
  <c r="AK293" i="64"/>
  <c r="AL293" i="64"/>
  <c r="AM293" i="64"/>
  <c r="AN293" i="64"/>
  <c r="AO293" i="64"/>
  <c r="AP293" i="64"/>
  <c r="AQ293" i="64"/>
  <c r="AR293" i="64"/>
  <c r="AS293" i="64"/>
  <c r="AT293" i="64"/>
  <c r="AU293" i="64"/>
  <c r="AW293" i="64"/>
  <c r="AX293" i="64"/>
  <c r="AY293" i="64"/>
  <c r="BA293" i="64"/>
  <c r="A294" i="64"/>
  <c r="B294" i="64"/>
  <c r="D294" i="64"/>
  <c r="E294" i="64"/>
  <c r="F294" i="64"/>
  <c r="G294" i="64"/>
  <c r="H294" i="64"/>
  <c r="J294" i="64"/>
  <c r="K294" i="64"/>
  <c r="L294" i="64"/>
  <c r="M294" i="64"/>
  <c r="O294" i="64"/>
  <c r="P294" i="64"/>
  <c r="R294" i="64"/>
  <c r="S294" i="64"/>
  <c r="T294" i="64"/>
  <c r="U294" i="64"/>
  <c r="V294" i="64"/>
  <c r="W294" i="64"/>
  <c r="X294" i="64"/>
  <c r="Z294" i="64"/>
  <c r="AA294" i="64"/>
  <c r="AB294" i="64"/>
  <c r="AC294" i="64"/>
  <c r="AD294" i="64"/>
  <c r="AE294" i="64"/>
  <c r="AF294" i="64"/>
  <c r="AG294" i="64"/>
  <c r="AH294" i="64"/>
  <c r="AI294" i="64"/>
  <c r="AJ294" i="64"/>
  <c r="AK294" i="64"/>
  <c r="AL294" i="64"/>
  <c r="AM294" i="64"/>
  <c r="AN294" i="64"/>
  <c r="AO294" i="64"/>
  <c r="AP294" i="64"/>
  <c r="AQ294" i="64"/>
  <c r="AR294" i="64"/>
  <c r="AS294" i="64"/>
  <c r="AT294" i="64"/>
  <c r="AU294" i="64"/>
  <c r="AW294" i="64"/>
  <c r="AX294" i="64"/>
  <c r="AY294" i="64"/>
  <c r="BA294" i="64"/>
  <c r="A295" i="64"/>
  <c r="B295" i="64"/>
  <c r="D295" i="64"/>
  <c r="E295" i="64"/>
  <c r="F295" i="64"/>
  <c r="G295" i="64"/>
  <c r="H295" i="64"/>
  <c r="J295" i="64"/>
  <c r="K295" i="64"/>
  <c r="L295" i="64"/>
  <c r="M295" i="64"/>
  <c r="O295" i="64"/>
  <c r="P295" i="64"/>
  <c r="R295" i="64"/>
  <c r="S295" i="64"/>
  <c r="T295" i="64"/>
  <c r="U295" i="64"/>
  <c r="V295" i="64"/>
  <c r="W295" i="64"/>
  <c r="X295" i="64"/>
  <c r="Z295" i="64"/>
  <c r="AA295" i="64"/>
  <c r="AB295" i="64"/>
  <c r="AC295" i="64"/>
  <c r="AD295" i="64"/>
  <c r="AE295" i="64"/>
  <c r="AF295" i="64"/>
  <c r="AG295" i="64"/>
  <c r="AH295" i="64"/>
  <c r="AI295" i="64"/>
  <c r="AJ295" i="64"/>
  <c r="AK295" i="64"/>
  <c r="AL295" i="64"/>
  <c r="AM295" i="64"/>
  <c r="AN295" i="64"/>
  <c r="AO295" i="64"/>
  <c r="AP295" i="64"/>
  <c r="AQ295" i="64"/>
  <c r="AR295" i="64"/>
  <c r="AS295" i="64"/>
  <c r="AT295" i="64"/>
  <c r="AU295" i="64"/>
  <c r="AW295" i="64"/>
  <c r="AX295" i="64"/>
  <c r="AY295" i="64"/>
  <c r="BA295" i="64"/>
  <c r="A296" i="64"/>
  <c r="B296" i="64"/>
  <c r="D296" i="64"/>
  <c r="E296" i="64"/>
  <c r="F296" i="64"/>
  <c r="G296" i="64"/>
  <c r="H296" i="64"/>
  <c r="J296" i="64"/>
  <c r="K296" i="64"/>
  <c r="L296" i="64"/>
  <c r="M296" i="64"/>
  <c r="O296" i="64"/>
  <c r="P296" i="64"/>
  <c r="R296" i="64"/>
  <c r="S296" i="64"/>
  <c r="T296" i="64"/>
  <c r="U296" i="64"/>
  <c r="V296" i="64"/>
  <c r="W296" i="64"/>
  <c r="X296" i="64"/>
  <c r="Z296" i="64"/>
  <c r="AA296" i="64"/>
  <c r="AB296" i="64"/>
  <c r="AC296" i="64"/>
  <c r="AD296" i="64"/>
  <c r="AE296" i="64"/>
  <c r="AF296" i="64"/>
  <c r="AG296" i="64"/>
  <c r="AH296" i="64"/>
  <c r="AI296" i="64"/>
  <c r="AJ296" i="64"/>
  <c r="AK296" i="64"/>
  <c r="AL296" i="64"/>
  <c r="AM296" i="64"/>
  <c r="AN296" i="64"/>
  <c r="AO296" i="64"/>
  <c r="AP296" i="64"/>
  <c r="AQ296" i="64"/>
  <c r="AR296" i="64"/>
  <c r="AS296" i="64"/>
  <c r="AT296" i="64"/>
  <c r="AU296" i="64"/>
  <c r="AW296" i="64"/>
  <c r="AX296" i="64"/>
  <c r="AY296" i="64"/>
  <c r="BA296" i="64"/>
  <c r="A297" i="64"/>
  <c r="B297" i="64"/>
  <c r="D297" i="64"/>
  <c r="E297" i="64"/>
  <c r="F297" i="64"/>
  <c r="G297" i="64"/>
  <c r="H297" i="64"/>
  <c r="J297" i="64"/>
  <c r="K297" i="64"/>
  <c r="L297" i="64"/>
  <c r="M297" i="64"/>
  <c r="O297" i="64"/>
  <c r="P297" i="64"/>
  <c r="R297" i="64"/>
  <c r="S297" i="64"/>
  <c r="T297" i="64"/>
  <c r="U297" i="64"/>
  <c r="V297" i="64"/>
  <c r="W297" i="64"/>
  <c r="X297" i="64"/>
  <c r="Z297" i="64"/>
  <c r="AA297" i="64"/>
  <c r="AB297" i="64"/>
  <c r="AC297" i="64"/>
  <c r="AD297" i="64"/>
  <c r="AE297" i="64"/>
  <c r="AF297" i="64"/>
  <c r="AG297" i="64"/>
  <c r="AH297" i="64"/>
  <c r="AI297" i="64"/>
  <c r="AJ297" i="64"/>
  <c r="AK297" i="64"/>
  <c r="AL297" i="64"/>
  <c r="AM297" i="64"/>
  <c r="AN297" i="64"/>
  <c r="AO297" i="64"/>
  <c r="AP297" i="64"/>
  <c r="AQ297" i="64"/>
  <c r="AR297" i="64"/>
  <c r="AS297" i="64"/>
  <c r="AT297" i="64"/>
  <c r="AU297" i="64"/>
  <c r="AW297" i="64"/>
  <c r="AX297" i="64"/>
  <c r="AY297" i="64"/>
  <c r="BA297" i="64"/>
  <c r="A298" i="64"/>
  <c r="B298" i="64"/>
  <c r="D298" i="64"/>
  <c r="E298" i="64"/>
  <c r="F298" i="64"/>
  <c r="G298" i="64"/>
  <c r="H298" i="64"/>
  <c r="J298" i="64"/>
  <c r="K298" i="64"/>
  <c r="L298" i="64"/>
  <c r="M298" i="64"/>
  <c r="O298" i="64"/>
  <c r="P298" i="64"/>
  <c r="R298" i="64"/>
  <c r="S298" i="64"/>
  <c r="T298" i="64"/>
  <c r="U298" i="64"/>
  <c r="V298" i="64"/>
  <c r="W298" i="64"/>
  <c r="X298" i="64"/>
  <c r="Z298" i="64"/>
  <c r="AA298" i="64"/>
  <c r="AB298" i="64"/>
  <c r="AC298" i="64"/>
  <c r="AD298" i="64"/>
  <c r="AE298" i="64"/>
  <c r="AF298" i="64"/>
  <c r="AG298" i="64"/>
  <c r="AH298" i="64"/>
  <c r="AI298" i="64"/>
  <c r="AJ298" i="64"/>
  <c r="AK298" i="64"/>
  <c r="AL298" i="64"/>
  <c r="AM298" i="64"/>
  <c r="AN298" i="64"/>
  <c r="AO298" i="64"/>
  <c r="AP298" i="64"/>
  <c r="AQ298" i="64"/>
  <c r="AR298" i="64"/>
  <c r="AS298" i="64"/>
  <c r="AT298" i="64"/>
  <c r="AU298" i="64"/>
  <c r="AW298" i="64"/>
  <c r="AX298" i="64"/>
  <c r="AY298" i="64"/>
  <c r="BA298" i="64"/>
  <c r="A299" i="64"/>
  <c r="B299" i="64"/>
  <c r="D299" i="64"/>
  <c r="E299" i="64"/>
  <c r="F299" i="64"/>
  <c r="G299" i="64"/>
  <c r="H299" i="64"/>
  <c r="J299" i="64"/>
  <c r="K299" i="64"/>
  <c r="L299" i="64"/>
  <c r="M299" i="64"/>
  <c r="O299" i="64"/>
  <c r="P299" i="64"/>
  <c r="R299" i="64"/>
  <c r="S299" i="64"/>
  <c r="T299" i="64"/>
  <c r="U299" i="64"/>
  <c r="V299" i="64"/>
  <c r="W299" i="64"/>
  <c r="X299" i="64"/>
  <c r="Z299" i="64"/>
  <c r="AA299" i="64"/>
  <c r="AB299" i="64"/>
  <c r="AC299" i="64"/>
  <c r="AD299" i="64"/>
  <c r="AE299" i="64"/>
  <c r="AF299" i="64"/>
  <c r="AG299" i="64"/>
  <c r="AH299" i="64"/>
  <c r="AI299" i="64"/>
  <c r="AJ299" i="64"/>
  <c r="AK299" i="64"/>
  <c r="AL299" i="64"/>
  <c r="AM299" i="64"/>
  <c r="AN299" i="64"/>
  <c r="AO299" i="64"/>
  <c r="AP299" i="64"/>
  <c r="AQ299" i="64"/>
  <c r="AR299" i="64"/>
  <c r="AS299" i="64"/>
  <c r="AT299" i="64"/>
  <c r="AU299" i="64"/>
  <c r="AW299" i="64"/>
  <c r="AX299" i="64"/>
  <c r="AY299" i="64"/>
  <c r="BA299" i="64"/>
  <c r="A300" i="64"/>
  <c r="B300" i="64"/>
  <c r="D300" i="64"/>
  <c r="E300" i="64"/>
  <c r="F300" i="64"/>
  <c r="G300" i="64"/>
  <c r="H300" i="64"/>
  <c r="J300" i="64"/>
  <c r="K300" i="64"/>
  <c r="L300" i="64"/>
  <c r="M300" i="64"/>
  <c r="O300" i="64"/>
  <c r="P300" i="64"/>
  <c r="R300" i="64"/>
  <c r="S300" i="64"/>
  <c r="T300" i="64"/>
  <c r="U300" i="64"/>
  <c r="V300" i="64"/>
  <c r="W300" i="64"/>
  <c r="X300" i="64"/>
  <c r="Z300" i="64"/>
  <c r="AA300" i="64"/>
  <c r="AB300" i="64"/>
  <c r="AC300" i="64"/>
  <c r="AD300" i="64"/>
  <c r="AE300" i="64"/>
  <c r="AF300" i="64"/>
  <c r="AG300" i="64"/>
  <c r="AH300" i="64"/>
  <c r="AI300" i="64"/>
  <c r="AJ300" i="64"/>
  <c r="AK300" i="64"/>
  <c r="AL300" i="64"/>
  <c r="AM300" i="64"/>
  <c r="AN300" i="64"/>
  <c r="AO300" i="64"/>
  <c r="AP300" i="64"/>
  <c r="AQ300" i="64"/>
  <c r="AR300" i="64"/>
  <c r="AS300" i="64"/>
  <c r="AT300" i="64"/>
  <c r="AU300" i="64"/>
  <c r="AW300" i="64"/>
  <c r="AX300" i="64"/>
  <c r="AY300" i="64"/>
  <c r="BA300" i="64"/>
  <c r="A301" i="64"/>
  <c r="B301" i="64"/>
  <c r="D301" i="64"/>
  <c r="E301" i="64"/>
  <c r="F301" i="64"/>
  <c r="G301" i="64"/>
  <c r="H301" i="64"/>
  <c r="J301" i="64"/>
  <c r="K301" i="64"/>
  <c r="L301" i="64"/>
  <c r="M301" i="64"/>
  <c r="O301" i="64"/>
  <c r="P301" i="64"/>
  <c r="R301" i="64"/>
  <c r="S301" i="64"/>
  <c r="T301" i="64"/>
  <c r="U301" i="64"/>
  <c r="V301" i="64"/>
  <c r="W301" i="64"/>
  <c r="X301" i="64"/>
  <c r="Z301" i="64"/>
  <c r="AA301" i="64"/>
  <c r="AB301" i="64"/>
  <c r="AC301" i="64"/>
  <c r="AD301" i="64"/>
  <c r="AE301" i="64"/>
  <c r="AF301" i="64"/>
  <c r="AG301" i="64"/>
  <c r="AH301" i="64"/>
  <c r="AI301" i="64"/>
  <c r="AJ301" i="64"/>
  <c r="AK301" i="64"/>
  <c r="AL301" i="64"/>
  <c r="AM301" i="64"/>
  <c r="AN301" i="64"/>
  <c r="AO301" i="64"/>
  <c r="AP301" i="64"/>
  <c r="AQ301" i="64"/>
  <c r="AR301" i="64"/>
  <c r="AS301" i="64"/>
  <c r="AT301" i="64"/>
  <c r="AU301" i="64"/>
  <c r="AW301" i="64"/>
  <c r="AX301" i="64"/>
  <c r="AY301" i="64"/>
  <c r="BA301" i="64"/>
  <c r="A302" i="64"/>
  <c r="B302" i="64"/>
  <c r="D302" i="64"/>
  <c r="E302" i="64"/>
  <c r="F302" i="64"/>
  <c r="G302" i="64"/>
  <c r="H302" i="64"/>
  <c r="J302" i="64"/>
  <c r="K302" i="64"/>
  <c r="L302" i="64"/>
  <c r="M302" i="64"/>
  <c r="O302" i="64"/>
  <c r="P302" i="64"/>
  <c r="R302" i="64"/>
  <c r="S302" i="64"/>
  <c r="T302" i="64"/>
  <c r="U302" i="64"/>
  <c r="V302" i="64"/>
  <c r="W302" i="64"/>
  <c r="X302" i="64"/>
  <c r="Z302" i="64"/>
  <c r="AA302" i="64"/>
  <c r="AB302" i="64"/>
  <c r="AC302" i="64"/>
  <c r="AD302" i="64"/>
  <c r="AE302" i="64"/>
  <c r="AF302" i="64"/>
  <c r="AG302" i="64"/>
  <c r="AH302" i="64"/>
  <c r="AI302" i="64"/>
  <c r="AJ302" i="64"/>
  <c r="AK302" i="64"/>
  <c r="AL302" i="64"/>
  <c r="AM302" i="64"/>
  <c r="AN302" i="64"/>
  <c r="AO302" i="64"/>
  <c r="AP302" i="64"/>
  <c r="AQ302" i="64"/>
  <c r="AR302" i="64"/>
  <c r="AS302" i="64"/>
  <c r="AT302" i="64"/>
  <c r="AU302" i="64"/>
  <c r="AW302" i="64"/>
  <c r="AX302" i="64"/>
  <c r="AY302" i="64"/>
  <c r="BA302" i="64"/>
  <c r="A303" i="64"/>
  <c r="B303" i="64"/>
  <c r="D303" i="64"/>
  <c r="E303" i="64"/>
  <c r="F303" i="64"/>
  <c r="G303" i="64"/>
  <c r="H303" i="64"/>
  <c r="J303" i="64"/>
  <c r="K303" i="64"/>
  <c r="L303" i="64"/>
  <c r="M303" i="64"/>
  <c r="O303" i="64"/>
  <c r="P303" i="64"/>
  <c r="R303" i="64"/>
  <c r="S303" i="64"/>
  <c r="T303" i="64"/>
  <c r="U303" i="64"/>
  <c r="V303" i="64"/>
  <c r="W303" i="64"/>
  <c r="X303" i="64"/>
  <c r="Z303" i="64"/>
  <c r="AA303" i="64"/>
  <c r="AB303" i="64"/>
  <c r="AC303" i="64"/>
  <c r="AD303" i="64"/>
  <c r="AE303" i="64"/>
  <c r="AF303" i="64"/>
  <c r="AG303" i="64"/>
  <c r="AH303" i="64"/>
  <c r="AI303" i="64"/>
  <c r="AJ303" i="64"/>
  <c r="AK303" i="64"/>
  <c r="AL303" i="64"/>
  <c r="AM303" i="64"/>
  <c r="AN303" i="64"/>
  <c r="AO303" i="64"/>
  <c r="AP303" i="64"/>
  <c r="AQ303" i="64"/>
  <c r="AR303" i="64"/>
  <c r="AS303" i="64"/>
  <c r="AT303" i="64"/>
  <c r="AU303" i="64"/>
  <c r="AW303" i="64"/>
  <c r="AX303" i="64"/>
  <c r="AY303" i="64"/>
  <c r="BA303" i="64"/>
  <c r="A304" i="64"/>
  <c r="B304" i="64"/>
  <c r="D304" i="64"/>
  <c r="E304" i="64"/>
  <c r="F304" i="64"/>
  <c r="G304" i="64"/>
  <c r="H304" i="64"/>
  <c r="J304" i="64"/>
  <c r="K304" i="64"/>
  <c r="L304" i="64"/>
  <c r="M304" i="64"/>
  <c r="O304" i="64"/>
  <c r="P304" i="64"/>
  <c r="R304" i="64"/>
  <c r="S304" i="64"/>
  <c r="T304" i="64"/>
  <c r="U304" i="64"/>
  <c r="V304" i="64"/>
  <c r="W304" i="64"/>
  <c r="X304" i="64"/>
  <c r="Z304" i="64"/>
  <c r="AA304" i="64"/>
  <c r="AB304" i="64"/>
  <c r="AC304" i="64"/>
  <c r="AD304" i="64"/>
  <c r="AE304" i="64"/>
  <c r="AF304" i="64"/>
  <c r="AG304" i="64"/>
  <c r="AH304" i="64"/>
  <c r="AI304" i="64"/>
  <c r="AJ304" i="64"/>
  <c r="AK304" i="64"/>
  <c r="AL304" i="64"/>
  <c r="AM304" i="64"/>
  <c r="AN304" i="64"/>
  <c r="AO304" i="64"/>
  <c r="AP304" i="64"/>
  <c r="AQ304" i="64"/>
  <c r="AR304" i="64"/>
  <c r="AS304" i="64"/>
  <c r="AT304" i="64"/>
  <c r="AU304" i="64"/>
  <c r="AW304" i="64"/>
  <c r="AX304" i="64"/>
  <c r="AY304" i="64"/>
  <c r="BA304" i="64"/>
  <c r="A305" i="64"/>
  <c r="B305" i="64"/>
  <c r="D305" i="64"/>
  <c r="E305" i="64"/>
  <c r="F305" i="64"/>
  <c r="G305" i="64"/>
  <c r="H305" i="64"/>
  <c r="J305" i="64"/>
  <c r="K305" i="64"/>
  <c r="L305" i="64"/>
  <c r="M305" i="64"/>
  <c r="O305" i="64"/>
  <c r="P305" i="64"/>
  <c r="R305" i="64"/>
  <c r="S305" i="64"/>
  <c r="T305" i="64"/>
  <c r="U305" i="64"/>
  <c r="V305" i="64"/>
  <c r="W305" i="64"/>
  <c r="X305" i="64"/>
  <c r="Z305" i="64"/>
  <c r="AA305" i="64"/>
  <c r="AB305" i="64"/>
  <c r="AC305" i="64"/>
  <c r="AD305" i="64"/>
  <c r="AE305" i="64"/>
  <c r="AF305" i="64"/>
  <c r="AG305" i="64"/>
  <c r="AH305" i="64"/>
  <c r="AI305" i="64"/>
  <c r="AJ305" i="64"/>
  <c r="AK305" i="64"/>
  <c r="AL305" i="64"/>
  <c r="AM305" i="64"/>
  <c r="AN305" i="64"/>
  <c r="AO305" i="64"/>
  <c r="AP305" i="64"/>
  <c r="AQ305" i="64"/>
  <c r="AR305" i="64"/>
  <c r="AS305" i="64"/>
  <c r="AT305" i="64"/>
  <c r="AU305" i="64"/>
  <c r="AW305" i="64"/>
  <c r="AX305" i="64"/>
  <c r="AY305" i="64"/>
  <c r="BA305" i="64"/>
  <c r="A306" i="64"/>
  <c r="B306" i="64"/>
  <c r="D306" i="64"/>
  <c r="E306" i="64"/>
  <c r="F306" i="64"/>
  <c r="G306" i="64"/>
  <c r="H306" i="64"/>
  <c r="J306" i="64"/>
  <c r="K306" i="64"/>
  <c r="L306" i="64"/>
  <c r="M306" i="64"/>
  <c r="O306" i="64"/>
  <c r="P306" i="64"/>
  <c r="R306" i="64"/>
  <c r="S306" i="64"/>
  <c r="T306" i="64"/>
  <c r="U306" i="64"/>
  <c r="V306" i="64"/>
  <c r="W306" i="64"/>
  <c r="X306" i="64"/>
  <c r="Z306" i="64"/>
  <c r="AA306" i="64"/>
  <c r="AB306" i="64"/>
  <c r="AC306" i="64"/>
  <c r="AD306" i="64"/>
  <c r="AE306" i="64"/>
  <c r="AF306" i="64"/>
  <c r="AG306" i="64"/>
  <c r="AH306" i="64"/>
  <c r="AI306" i="64"/>
  <c r="AJ306" i="64"/>
  <c r="AK306" i="64"/>
  <c r="AL306" i="64"/>
  <c r="AM306" i="64"/>
  <c r="AN306" i="64"/>
  <c r="AO306" i="64"/>
  <c r="AP306" i="64"/>
  <c r="AQ306" i="64"/>
  <c r="AR306" i="64"/>
  <c r="AS306" i="64"/>
  <c r="AT306" i="64"/>
  <c r="AU306" i="64"/>
  <c r="AW306" i="64"/>
  <c r="AX306" i="64"/>
  <c r="AY306" i="64"/>
  <c r="BA306" i="64"/>
  <c r="A307" i="64"/>
  <c r="B307" i="64"/>
  <c r="D307" i="64"/>
  <c r="E307" i="64"/>
  <c r="F307" i="64"/>
  <c r="G307" i="64"/>
  <c r="H307" i="64"/>
  <c r="J307" i="64"/>
  <c r="K307" i="64"/>
  <c r="L307" i="64"/>
  <c r="M307" i="64"/>
  <c r="O307" i="64"/>
  <c r="P307" i="64"/>
  <c r="R307" i="64"/>
  <c r="S307" i="64"/>
  <c r="T307" i="64"/>
  <c r="U307" i="64"/>
  <c r="V307" i="64"/>
  <c r="W307" i="64"/>
  <c r="X307" i="64"/>
  <c r="Z307" i="64"/>
  <c r="AA307" i="64"/>
  <c r="AB307" i="64"/>
  <c r="AC307" i="64"/>
  <c r="AD307" i="64"/>
  <c r="AE307" i="64"/>
  <c r="AF307" i="64"/>
  <c r="AG307" i="64"/>
  <c r="AH307" i="64"/>
  <c r="AI307" i="64"/>
  <c r="AJ307" i="64"/>
  <c r="AK307" i="64"/>
  <c r="AL307" i="64"/>
  <c r="AM307" i="64"/>
  <c r="AN307" i="64"/>
  <c r="AO307" i="64"/>
  <c r="AP307" i="64"/>
  <c r="AQ307" i="64"/>
  <c r="AR307" i="64"/>
  <c r="AS307" i="64"/>
  <c r="AT307" i="64"/>
  <c r="AU307" i="64"/>
  <c r="AW307" i="64"/>
  <c r="AX307" i="64"/>
  <c r="AY307" i="64"/>
  <c r="BA307" i="64"/>
  <c r="A308" i="64"/>
  <c r="B308" i="64"/>
  <c r="D308" i="64"/>
  <c r="E308" i="64"/>
  <c r="F308" i="64"/>
  <c r="G308" i="64"/>
  <c r="H308" i="64"/>
  <c r="J308" i="64"/>
  <c r="K308" i="64"/>
  <c r="L308" i="64"/>
  <c r="M308" i="64"/>
  <c r="O308" i="64"/>
  <c r="P308" i="64"/>
  <c r="R308" i="64"/>
  <c r="S308" i="64"/>
  <c r="T308" i="64"/>
  <c r="U308" i="64"/>
  <c r="V308" i="64"/>
  <c r="W308" i="64"/>
  <c r="X308" i="64"/>
  <c r="Z308" i="64"/>
  <c r="AA308" i="64"/>
  <c r="AB308" i="64"/>
  <c r="AC308" i="64"/>
  <c r="AD308" i="64"/>
  <c r="AE308" i="64"/>
  <c r="AF308" i="64"/>
  <c r="AG308" i="64"/>
  <c r="AH308" i="64"/>
  <c r="AI308" i="64"/>
  <c r="AJ308" i="64"/>
  <c r="AK308" i="64"/>
  <c r="AL308" i="64"/>
  <c r="AM308" i="64"/>
  <c r="AN308" i="64"/>
  <c r="AO308" i="64"/>
  <c r="AP308" i="64"/>
  <c r="AQ308" i="64"/>
  <c r="AR308" i="64"/>
  <c r="AS308" i="64"/>
  <c r="AT308" i="64"/>
  <c r="AU308" i="64"/>
  <c r="AW308" i="64"/>
  <c r="AX308" i="64"/>
  <c r="AY308" i="64"/>
  <c r="BA308" i="64"/>
  <c r="A309" i="64"/>
  <c r="B309" i="64"/>
  <c r="D309" i="64"/>
  <c r="E309" i="64"/>
  <c r="F309" i="64"/>
  <c r="G309" i="64"/>
  <c r="H309" i="64"/>
  <c r="J309" i="64"/>
  <c r="K309" i="64"/>
  <c r="L309" i="64"/>
  <c r="M309" i="64"/>
  <c r="O309" i="64"/>
  <c r="P309" i="64"/>
  <c r="R309" i="64"/>
  <c r="S309" i="64"/>
  <c r="T309" i="64"/>
  <c r="U309" i="64"/>
  <c r="V309" i="64"/>
  <c r="W309" i="64"/>
  <c r="X309" i="64"/>
  <c r="Z309" i="64"/>
  <c r="AA309" i="64"/>
  <c r="AB309" i="64"/>
  <c r="AC309" i="64"/>
  <c r="AD309" i="64"/>
  <c r="AE309" i="64"/>
  <c r="AF309" i="64"/>
  <c r="AG309" i="64"/>
  <c r="AH309" i="64"/>
  <c r="AI309" i="64"/>
  <c r="AJ309" i="64"/>
  <c r="AK309" i="64"/>
  <c r="AL309" i="64"/>
  <c r="AM309" i="64"/>
  <c r="AN309" i="64"/>
  <c r="AO309" i="64"/>
  <c r="AP309" i="64"/>
  <c r="AQ309" i="64"/>
  <c r="AR309" i="64"/>
  <c r="AS309" i="64"/>
  <c r="AT309" i="64"/>
  <c r="AU309" i="64"/>
  <c r="AW309" i="64"/>
  <c r="AX309" i="64"/>
  <c r="AY309" i="64"/>
  <c r="BA309" i="64"/>
  <c r="A310" i="64"/>
  <c r="B310" i="64"/>
  <c r="D310" i="64"/>
  <c r="E310" i="64"/>
  <c r="F310" i="64"/>
  <c r="G310" i="64"/>
  <c r="H310" i="64"/>
  <c r="J310" i="64"/>
  <c r="K310" i="64"/>
  <c r="L310" i="64"/>
  <c r="M310" i="64"/>
  <c r="O310" i="64"/>
  <c r="P310" i="64"/>
  <c r="R310" i="64"/>
  <c r="S310" i="64"/>
  <c r="T310" i="64"/>
  <c r="U310" i="64"/>
  <c r="V310" i="64"/>
  <c r="W310" i="64"/>
  <c r="X310" i="64"/>
  <c r="Z310" i="64"/>
  <c r="AA310" i="64"/>
  <c r="AB310" i="64"/>
  <c r="AC310" i="64"/>
  <c r="AD310" i="64"/>
  <c r="AE310" i="64"/>
  <c r="AF310" i="64"/>
  <c r="AG310" i="64"/>
  <c r="AH310" i="64"/>
  <c r="AI310" i="64"/>
  <c r="AJ310" i="64"/>
  <c r="AK310" i="64"/>
  <c r="AL310" i="64"/>
  <c r="AM310" i="64"/>
  <c r="AN310" i="64"/>
  <c r="AO310" i="64"/>
  <c r="AP310" i="64"/>
  <c r="AQ310" i="64"/>
  <c r="AR310" i="64"/>
  <c r="AS310" i="64"/>
  <c r="AT310" i="64"/>
  <c r="AU310" i="64"/>
  <c r="AW310" i="64"/>
  <c r="AX310" i="64"/>
  <c r="AY310" i="64"/>
  <c r="BA310" i="64"/>
  <c r="A311" i="64"/>
  <c r="B311" i="64"/>
  <c r="D311" i="64"/>
  <c r="E311" i="64"/>
  <c r="F311" i="64"/>
  <c r="G311" i="64"/>
  <c r="H311" i="64"/>
  <c r="J311" i="64"/>
  <c r="K311" i="64"/>
  <c r="L311" i="64"/>
  <c r="M311" i="64"/>
  <c r="O311" i="64"/>
  <c r="P311" i="64"/>
  <c r="R311" i="64"/>
  <c r="S311" i="64"/>
  <c r="T311" i="64"/>
  <c r="U311" i="64"/>
  <c r="V311" i="64"/>
  <c r="W311" i="64"/>
  <c r="X311" i="64"/>
  <c r="Z311" i="64"/>
  <c r="AA311" i="64"/>
  <c r="AB311" i="64"/>
  <c r="AC311" i="64"/>
  <c r="AD311" i="64"/>
  <c r="AE311" i="64"/>
  <c r="AF311" i="64"/>
  <c r="AG311" i="64"/>
  <c r="AH311" i="64"/>
  <c r="AI311" i="64"/>
  <c r="AJ311" i="64"/>
  <c r="AK311" i="64"/>
  <c r="AL311" i="64"/>
  <c r="AM311" i="64"/>
  <c r="AN311" i="64"/>
  <c r="AO311" i="64"/>
  <c r="AP311" i="64"/>
  <c r="AQ311" i="64"/>
  <c r="AR311" i="64"/>
  <c r="AS311" i="64"/>
  <c r="AT311" i="64"/>
  <c r="AU311" i="64"/>
  <c r="AW311" i="64"/>
  <c r="AX311" i="64"/>
  <c r="AY311" i="64"/>
  <c r="BA311" i="64"/>
  <c r="A312" i="64"/>
  <c r="B312" i="64"/>
  <c r="D312" i="64"/>
  <c r="E312" i="64"/>
  <c r="F312" i="64"/>
  <c r="G312" i="64"/>
  <c r="H312" i="64"/>
  <c r="J312" i="64"/>
  <c r="K312" i="64"/>
  <c r="L312" i="64"/>
  <c r="M312" i="64"/>
  <c r="O312" i="64"/>
  <c r="P312" i="64"/>
  <c r="R312" i="64"/>
  <c r="S312" i="64"/>
  <c r="T312" i="64"/>
  <c r="U312" i="64"/>
  <c r="V312" i="64"/>
  <c r="W312" i="64"/>
  <c r="X312" i="64"/>
  <c r="Z312" i="64"/>
  <c r="AA312" i="64"/>
  <c r="AB312" i="64"/>
  <c r="AC312" i="64"/>
  <c r="AD312" i="64"/>
  <c r="AE312" i="64"/>
  <c r="AF312" i="64"/>
  <c r="AG312" i="64"/>
  <c r="AH312" i="64"/>
  <c r="AI312" i="64"/>
  <c r="AJ312" i="64"/>
  <c r="AK312" i="64"/>
  <c r="AL312" i="64"/>
  <c r="AM312" i="64"/>
  <c r="AN312" i="64"/>
  <c r="AO312" i="64"/>
  <c r="AP312" i="64"/>
  <c r="AQ312" i="64"/>
  <c r="AR312" i="64"/>
  <c r="AS312" i="64"/>
  <c r="AT312" i="64"/>
  <c r="AU312" i="64"/>
  <c r="AW312" i="64"/>
  <c r="AX312" i="64"/>
  <c r="AY312" i="64"/>
  <c r="BA312" i="64"/>
  <c r="A313" i="64"/>
  <c r="B313" i="64"/>
  <c r="D313" i="64"/>
  <c r="E313" i="64"/>
  <c r="F313" i="64"/>
  <c r="G313" i="64"/>
  <c r="H313" i="64"/>
  <c r="J313" i="64"/>
  <c r="K313" i="64"/>
  <c r="L313" i="64"/>
  <c r="M313" i="64"/>
  <c r="O313" i="64"/>
  <c r="P313" i="64"/>
  <c r="R313" i="64"/>
  <c r="S313" i="64"/>
  <c r="T313" i="64"/>
  <c r="U313" i="64"/>
  <c r="V313" i="64"/>
  <c r="W313" i="64"/>
  <c r="X313" i="64"/>
  <c r="Z313" i="64"/>
  <c r="AA313" i="64"/>
  <c r="AB313" i="64"/>
  <c r="AC313" i="64"/>
  <c r="AD313" i="64"/>
  <c r="AE313" i="64"/>
  <c r="AF313" i="64"/>
  <c r="AG313" i="64"/>
  <c r="AH313" i="64"/>
  <c r="AI313" i="64"/>
  <c r="AJ313" i="64"/>
  <c r="AK313" i="64"/>
  <c r="AL313" i="64"/>
  <c r="AM313" i="64"/>
  <c r="AN313" i="64"/>
  <c r="AO313" i="64"/>
  <c r="AP313" i="64"/>
  <c r="AQ313" i="64"/>
  <c r="AR313" i="64"/>
  <c r="AS313" i="64"/>
  <c r="AT313" i="64"/>
  <c r="AU313" i="64"/>
  <c r="AW313" i="64"/>
  <c r="AX313" i="64"/>
  <c r="AY313" i="64"/>
  <c r="BA313" i="64"/>
  <c r="A314" i="64"/>
  <c r="B314" i="64"/>
  <c r="D314" i="64"/>
  <c r="E314" i="64"/>
  <c r="F314" i="64"/>
  <c r="G314" i="64"/>
  <c r="H314" i="64"/>
  <c r="J314" i="64"/>
  <c r="K314" i="64"/>
  <c r="L314" i="64"/>
  <c r="M314" i="64"/>
  <c r="O314" i="64"/>
  <c r="P314" i="64"/>
  <c r="R314" i="64"/>
  <c r="S314" i="64"/>
  <c r="T314" i="64"/>
  <c r="U314" i="64"/>
  <c r="V314" i="64"/>
  <c r="W314" i="64"/>
  <c r="X314" i="64"/>
  <c r="Z314" i="64"/>
  <c r="AA314" i="64"/>
  <c r="AB314" i="64"/>
  <c r="AC314" i="64"/>
  <c r="AD314" i="64"/>
  <c r="AE314" i="64"/>
  <c r="AF314" i="64"/>
  <c r="AG314" i="64"/>
  <c r="AH314" i="64"/>
  <c r="AI314" i="64"/>
  <c r="AJ314" i="64"/>
  <c r="AK314" i="64"/>
  <c r="AL314" i="64"/>
  <c r="AM314" i="64"/>
  <c r="AN314" i="64"/>
  <c r="AO314" i="64"/>
  <c r="AP314" i="64"/>
  <c r="AQ314" i="64"/>
  <c r="AR314" i="64"/>
  <c r="AS314" i="64"/>
  <c r="AT314" i="64"/>
  <c r="AU314" i="64"/>
  <c r="AW314" i="64"/>
  <c r="AX314" i="64"/>
  <c r="AY314" i="64"/>
  <c r="BA314" i="64"/>
  <c r="A315" i="64"/>
  <c r="B315" i="64"/>
  <c r="D315" i="64"/>
  <c r="E315" i="64"/>
  <c r="F315" i="64"/>
  <c r="G315" i="64"/>
  <c r="H315" i="64"/>
  <c r="J315" i="64"/>
  <c r="K315" i="64"/>
  <c r="L315" i="64"/>
  <c r="M315" i="64"/>
  <c r="O315" i="64"/>
  <c r="P315" i="64"/>
  <c r="R315" i="64"/>
  <c r="S315" i="64"/>
  <c r="T315" i="64"/>
  <c r="U315" i="64"/>
  <c r="V315" i="64"/>
  <c r="W315" i="64"/>
  <c r="X315" i="64"/>
  <c r="Z315" i="64"/>
  <c r="AA315" i="64"/>
  <c r="AB315" i="64"/>
  <c r="AC315" i="64"/>
  <c r="AD315" i="64"/>
  <c r="AE315" i="64"/>
  <c r="AF315" i="64"/>
  <c r="AG315" i="64"/>
  <c r="AH315" i="64"/>
  <c r="AI315" i="64"/>
  <c r="AJ315" i="64"/>
  <c r="AK315" i="64"/>
  <c r="AL315" i="64"/>
  <c r="AM315" i="64"/>
  <c r="AN315" i="64"/>
  <c r="AO315" i="64"/>
  <c r="AP315" i="64"/>
  <c r="AQ315" i="64"/>
  <c r="AR315" i="64"/>
  <c r="AS315" i="64"/>
  <c r="AT315" i="64"/>
  <c r="AU315" i="64"/>
  <c r="AW315" i="64"/>
  <c r="AX315" i="64"/>
  <c r="AY315" i="64"/>
  <c r="BA315" i="64"/>
  <c r="A316" i="64"/>
  <c r="B316" i="64"/>
  <c r="D316" i="64"/>
  <c r="E316" i="64"/>
  <c r="F316" i="64"/>
  <c r="G316" i="64"/>
  <c r="H316" i="64"/>
  <c r="J316" i="64"/>
  <c r="K316" i="64"/>
  <c r="L316" i="64"/>
  <c r="M316" i="64"/>
  <c r="O316" i="64"/>
  <c r="P316" i="64"/>
  <c r="R316" i="64"/>
  <c r="S316" i="64"/>
  <c r="T316" i="64"/>
  <c r="U316" i="64"/>
  <c r="V316" i="64"/>
  <c r="W316" i="64"/>
  <c r="X316" i="64"/>
  <c r="Z316" i="64"/>
  <c r="AA316" i="64"/>
  <c r="AB316" i="64"/>
  <c r="AC316" i="64"/>
  <c r="AD316" i="64"/>
  <c r="AE316" i="64"/>
  <c r="AF316" i="64"/>
  <c r="AG316" i="64"/>
  <c r="AH316" i="64"/>
  <c r="AI316" i="64"/>
  <c r="AJ316" i="64"/>
  <c r="AK316" i="64"/>
  <c r="AL316" i="64"/>
  <c r="AM316" i="64"/>
  <c r="AN316" i="64"/>
  <c r="AO316" i="64"/>
  <c r="AP316" i="64"/>
  <c r="AQ316" i="64"/>
  <c r="AR316" i="64"/>
  <c r="AS316" i="64"/>
  <c r="AT316" i="64"/>
  <c r="AU316" i="64"/>
  <c r="AW316" i="64"/>
  <c r="AX316" i="64"/>
  <c r="AY316" i="64"/>
  <c r="BA316" i="64"/>
  <c r="A317" i="64"/>
  <c r="B317" i="64"/>
  <c r="D317" i="64"/>
  <c r="E317" i="64"/>
  <c r="F317" i="64"/>
  <c r="G317" i="64"/>
  <c r="H317" i="64"/>
  <c r="J317" i="64"/>
  <c r="K317" i="64"/>
  <c r="L317" i="64"/>
  <c r="M317" i="64"/>
  <c r="O317" i="64"/>
  <c r="P317" i="64"/>
  <c r="R317" i="64"/>
  <c r="S317" i="64"/>
  <c r="T317" i="64"/>
  <c r="U317" i="64"/>
  <c r="V317" i="64"/>
  <c r="W317" i="64"/>
  <c r="X317" i="64"/>
  <c r="Z317" i="64"/>
  <c r="AA317" i="64"/>
  <c r="AB317" i="64"/>
  <c r="AC317" i="64"/>
  <c r="AD317" i="64"/>
  <c r="AE317" i="64"/>
  <c r="AF317" i="64"/>
  <c r="AG317" i="64"/>
  <c r="AH317" i="64"/>
  <c r="AI317" i="64"/>
  <c r="AJ317" i="64"/>
  <c r="AK317" i="64"/>
  <c r="AL317" i="64"/>
  <c r="AM317" i="64"/>
  <c r="AN317" i="64"/>
  <c r="AO317" i="64"/>
  <c r="AP317" i="64"/>
  <c r="AQ317" i="64"/>
  <c r="AR317" i="64"/>
  <c r="AS317" i="64"/>
  <c r="AT317" i="64"/>
  <c r="AU317" i="64"/>
  <c r="AW317" i="64"/>
  <c r="AX317" i="64"/>
  <c r="AY317" i="64"/>
  <c r="BA317" i="64"/>
  <c r="A318" i="64"/>
  <c r="B318" i="64"/>
  <c r="D318" i="64"/>
  <c r="E318" i="64"/>
  <c r="F318" i="64"/>
  <c r="G318" i="64"/>
  <c r="H318" i="64"/>
  <c r="J318" i="64"/>
  <c r="K318" i="64"/>
  <c r="L318" i="64"/>
  <c r="M318" i="64"/>
  <c r="O318" i="64"/>
  <c r="P318" i="64"/>
  <c r="R318" i="64"/>
  <c r="S318" i="64"/>
  <c r="T318" i="64"/>
  <c r="U318" i="64"/>
  <c r="V318" i="64"/>
  <c r="W318" i="64"/>
  <c r="X318" i="64"/>
  <c r="Z318" i="64"/>
  <c r="AA318" i="64"/>
  <c r="AB318" i="64"/>
  <c r="AC318" i="64"/>
  <c r="AD318" i="64"/>
  <c r="AE318" i="64"/>
  <c r="AF318" i="64"/>
  <c r="AG318" i="64"/>
  <c r="AH318" i="64"/>
  <c r="AI318" i="64"/>
  <c r="AJ318" i="64"/>
  <c r="AK318" i="64"/>
  <c r="AL318" i="64"/>
  <c r="AM318" i="64"/>
  <c r="AN318" i="64"/>
  <c r="AO318" i="64"/>
  <c r="AP318" i="64"/>
  <c r="AQ318" i="64"/>
  <c r="AR318" i="64"/>
  <c r="AS318" i="64"/>
  <c r="AT318" i="64"/>
  <c r="AU318" i="64"/>
  <c r="AW318" i="64"/>
  <c r="AX318" i="64"/>
  <c r="AY318" i="64"/>
  <c r="BA318" i="64"/>
  <c r="A319" i="64"/>
  <c r="B319" i="64"/>
  <c r="D319" i="64"/>
  <c r="E319" i="64"/>
  <c r="F319" i="64"/>
  <c r="G319" i="64"/>
  <c r="H319" i="64"/>
  <c r="J319" i="64"/>
  <c r="K319" i="64"/>
  <c r="L319" i="64"/>
  <c r="M319" i="64"/>
  <c r="O319" i="64"/>
  <c r="P319" i="64"/>
  <c r="R319" i="64"/>
  <c r="S319" i="64"/>
  <c r="T319" i="64"/>
  <c r="U319" i="64"/>
  <c r="V319" i="64"/>
  <c r="W319" i="64"/>
  <c r="X319" i="64"/>
  <c r="Z319" i="64"/>
  <c r="AA319" i="64"/>
  <c r="AB319" i="64"/>
  <c r="AC319" i="64"/>
  <c r="AD319" i="64"/>
  <c r="AE319" i="64"/>
  <c r="AF319" i="64"/>
  <c r="AG319" i="64"/>
  <c r="AH319" i="64"/>
  <c r="AI319" i="64"/>
  <c r="AJ319" i="64"/>
  <c r="AK319" i="64"/>
  <c r="AL319" i="64"/>
  <c r="AM319" i="64"/>
  <c r="AN319" i="64"/>
  <c r="AO319" i="64"/>
  <c r="AP319" i="64"/>
  <c r="AQ319" i="64"/>
  <c r="AR319" i="64"/>
  <c r="AS319" i="64"/>
  <c r="AT319" i="64"/>
  <c r="AU319" i="64"/>
  <c r="AW319" i="64"/>
  <c r="AX319" i="64"/>
  <c r="AY319" i="64"/>
  <c r="BA319" i="64"/>
  <c r="A320" i="64"/>
  <c r="B320" i="64"/>
  <c r="D320" i="64"/>
  <c r="E320" i="64"/>
  <c r="F320" i="64"/>
  <c r="G320" i="64"/>
  <c r="H320" i="64"/>
  <c r="J320" i="64"/>
  <c r="K320" i="64"/>
  <c r="L320" i="64"/>
  <c r="M320" i="64"/>
  <c r="O320" i="64"/>
  <c r="P320" i="64"/>
  <c r="R320" i="64"/>
  <c r="S320" i="64"/>
  <c r="T320" i="64"/>
  <c r="U320" i="64"/>
  <c r="V320" i="64"/>
  <c r="W320" i="64"/>
  <c r="X320" i="64"/>
  <c r="Z320" i="64"/>
  <c r="AA320" i="64"/>
  <c r="AB320" i="64"/>
  <c r="AC320" i="64"/>
  <c r="AD320" i="64"/>
  <c r="AE320" i="64"/>
  <c r="AF320" i="64"/>
  <c r="AG320" i="64"/>
  <c r="AH320" i="64"/>
  <c r="AI320" i="64"/>
  <c r="AJ320" i="64"/>
  <c r="AK320" i="64"/>
  <c r="AL320" i="64"/>
  <c r="AM320" i="64"/>
  <c r="AN320" i="64"/>
  <c r="AO320" i="64"/>
  <c r="AP320" i="64"/>
  <c r="AQ320" i="64"/>
  <c r="AR320" i="64"/>
  <c r="AS320" i="64"/>
  <c r="AT320" i="64"/>
  <c r="AU320" i="64"/>
  <c r="AW320" i="64"/>
  <c r="AX320" i="64"/>
  <c r="AY320" i="64"/>
  <c r="BA320" i="64"/>
  <c r="A321" i="64"/>
  <c r="B321" i="64"/>
  <c r="D321" i="64"/>
  <c r="E321" i="64"/>
  <c r="F321" i="64"/>
  <c r="G321" i="64"/>
  <c r="H321" i="64"/>
  <c r="J321" i="64"/>
  <c r="K321" i="64"/>
  <c r="L321" i="64"/>
  <c r="M321" i="64"/>
  <c r="O321" i="64"/>
  <c r="P321" i="64"/>
  <c r="R321" i="64"/>
  <c r="S321" i="64"/>
  <c r="T321" i="64"/>
  <c r="U321" i="64"/>
  <c r="V321" i="64"/>
  <c r="W321" i="64"/>
  <c r="X321" i="64"/>
  <c r="Z321" i="64"/>
  <c r="AA321" i="64"/>
  <c r="AB321" i="64"/>
  <c r="AC321" i="64"/>
  <c r="AD321" i="64"/>
  <c r="AE321" i="64"/>
  <c r="AF321" i="64"/>
  <c r="AG321" i="64"/>
  <c r="AH321" i="64"/>
  <c r="AI321" i="64"/>
  <c r="AJ321" i="64"/>
  <c r="AK321" i="64"/>
  <c r="AL321" i="64"/>
  <c r="AM321" i="64"/>
  <c r="AN321" i="64"/>
  <c r="AO321" i="64"/>
  <c r="AP321" i="64"/>
  <c r="AQ321" i="64"/>
  <c r="AR321" i="64"/>
  <c r="AS321" i="64"/>
  <c r="AT321" i="64"/>
  <c r="AU321" i="64"/>
  <c r="AW321" i="64"/>
  <c r="AX321" i="64"/>
  <c r="AY321" i="64"/>
  <c r="BA321" i="64"/>
  <c r="A322" i="64"/>
  <c r="B322" i="64"/>
  <c r="D322" i="64"/>
  <c r="E322" i="64"/>
  <c r="F322" i="64"/>
  <c r="G322" i="64"/>
  <c r="H322" i="64"/>
  <c r="J322" i="64"/>
  <c r="K322" i="64"/>
  <c r="L322" i="64"/>
  <c r="M322" i="64"/>
  <c r="O322" i="64"/>
  <c r="P322" i="64"/>
  <c r="R322" i="64"/>
  <c r="S322" i="64"/>
  <c r="T322" i="64"/>
  <c r="U322" i="64"/>
  <c r="V322" i="64"/>
  <c r="W322" i="64"/>
  <c r="X322" i="64"/>
  <c r="Z322" i="64"/>
  <c r="AA322" i="64"/>
  <c r="AB322" i="64"/>
  <c r="AC322" i="64"/>
  <c r="AD322" i="64"/>
  <c r="AE322" i="64"/>
  <c r="AF322" i="64"/>
  <c r="AG322" i="64"/>
  <c r="AH322" i="64"/>
  <c r="AI322" i="64"/>
  <c r="AJ322" i="64"/>
  <c r="AK322" i="64"/>
  <c r="AL322" i="64"/>
  <c r="AM322" i="64"/>
  <c r="AN322" i="64"/>
  <c r="AO322" i="64"/>
  <c r="AP322" i="64"/>
  <c r="AQ322" i="64"/>
  <c r="AR322" i="64"/>
  <c r="AS322" i="64"/>
  <c r="AT322" i="64"/>
  <c r="AU322" i="64"/>
  <c r="AW322" i="64"/>
  <c r="AX322" i="64"/>
  <c r="AY322" i="64"/>
  <c r="BA322" i="64"/>
  <c r="A323" i="64"/>
  <c r="B323" i="64"/>
  <c r="D323" i="64"/>
  <c r="E323" i="64"/>
  <c r="F323" i="64"/>
  <c r="G323" i="64"/>
  <c r="H323" i="64"/>
  <c r="J323" i="64"/>
  <c r="K323" i="64"/>
  <c r="L323" i="64"/>
  <c r="M323" i="64"/>
  <c r="O323" i="64"/>
  <c r="P323" i="64"/>
  <c r="R323" i="64"/>
  <c r="S323" i="64"/>
  <c r="T323" i="64"/>
  <c r="U323" i="64"/>
  <c r="V323" i="64"/>
  <c r="W323" i="64"/>
  <c r="X323" i="64"/>
  <c r="Z323" i="64"/>
  <c r="AA323" i="64"/>
  <c r="AB323" i="64"/>
  <c r="AC323" i="64"/>
  <c r="AD323" i="64"/>
  <c r="AE323" i="64"/>
  <c r="AF323" i="64"/>
  <c r="AG323" i="64"/>
  <c r="AH323" i="64"/>
  <c r="AI323" i="64"/>
  <c r="AJ323" i="64"/>
  <c r="AK323" i="64"/>
  <c r="AL323" i="64"/>
  <c r="AM323" i="64"/>
  <c r="AN323" i="64"/>
  <c r="AO323" i="64"/>
  <c r="AP323" i="64"/>
  <c r="AQ323" i="64"/>
  <c r="AR323" i="64"/>
  <c r="AS323" i="64"/>
  <c r="AT323" i="64"/>
  <c r="AU323" i="64"/>
  <c r="AW323" i="64"/>
  <c r="AX323" i="64"/>
  <c r="AY323" i="64"/>
  <c r="BA323" i="64"/>
  <c r="A324" i="64"/>
  <c r="B324" i="64"/>
  <c r="D324" i="64"/>
  <c r="E324" i="64"/>
  <c r="F324" i="64"/>
  <c r="G324" i="64"/>
  <c r="H324" i="64"/>
  <c r="J324" i="64"/>
  <c r="K324" i="64"/>
  <c r="L324" i="64"/>
  <c r="M324" i="64"/>
  <c r="O324" i="64"/>
  <c r="P324" i="64"/>
  <c r="R324" i="64"/>
  <c r="S324" i="64"/>
  <c r="T324" i="64"/>
  <c r="U324" i="64"/>
  <c r="V324" i="64"/>
  <c r="W324" i="64"/>
  <c r="X324" i="64"/>
  <c r="Z324" i="64"/>
  <c r="AA324" i="64"/>
  <c r="AB324" i="64"/>
  <c r="AC324" i="64"/>
  <c r="AD324" i="64"/>
  <c r="AE324" i="64"/>
  <c r="AF324" i="64"/>
  <c r="AG324" i="64"/>
  <c r="AH324" i="64"/>
  <c r="AI324" i="64"/>
  <c r="AJ324" i="64"/>
  <c r="AK324" i="64"/>
  <c r="AL324" i="64"/>
  <c r="AM324" i="64"/>
  <c r="AN324" i="64"/>
  <c r="AO324" i="64"/>
  <c r="AP324" i="64"/>
  <c r="AQ324" i="64"/>
  <c r="AR324" i="64"/>
  <c r="AS324" i="64"/>
  <c r="AT324" i="64"/>
  <c r="AU324" i="64"/>
  <c r="AW324" i="64"/>
  <c r="AX324" i="64"/>
  <c r="AY324" i="64"/>
  <c r="BA324" i="64"/>
  <c r="A325" i="64"/>
  <c r="B325" i="64"/>
  <c r="D325" i="64"/>
  <c r="E325" i="64"/>
  <c r="F325" i="64"/>
  <c r="G325" i="64"/>
  <c r="H325" i="64"/>
  <c r="J325" i="64"/>
  <c r="K325" i="64"/>
  <c r="L325" i="64"/>
  <c r="M325" i="64"/>
  <c r="O325" i="64"/>
  <c r="P325" i="64"/>
  <c r="R325" i="64"/>
  <c r="S325" i="64"/>
  <c r="T325" i="64"/>
  <c r="U325" i="64"/>
  <c r="V325" i="64"/>
  <c r="W325" i="64"/>
  <c r="X325" i="64"/>
  <c r="Z325" i="64"/>
  <c r="AA325" i="64"/>
  <c r="AB325" i="64"/>
  <c r="AC325" i="64"/>
  <c r="AD325" i="64"/>
  <c r="AE325" i="64"/>
  <c r="AF325" i="64"/>
  <c r="AG325" i="64"/>
  <c r="AH325" i="64"/>
  <c r="AI325" i="64"/>
  <c r="AJ325" i="64"/>
  <c r="AK325" i="64"/>
  <c r="AL325" i="64"/>
  <c r="AM325" i="64"/>
  <c r="AN325" i="64"/>
  <c r="AO325" i="64"/>
  <c r="AP325" i="64"/>
  <c r="AQ325" i="64"/>
  <c r="AR325" i="64"/>
  <c r="AS325" i="64"/>
  <c r="AT325" i="64"/>
  <c r="AU325" i="64"/>
  <c r="AW325" i="64"/>
  <c r="AX325" i="64"/>
  <c r="AY325" i="64"/>
  <c r="BA325" i="64"/>
  <c r="A326" i="64"/>
  <c r="B326" i="64"/>
  <c r="D326" i="64"/>
  <c r="E326" i="64"/>
  <c r="F326" i="64"/>
  <c r="G326" i="64"/>
  <c r="H326" i="64"/>
  <c r="J326" i="64"/>
  <c r="K326" i="64"/>
  <c r="L326" i="64"/>
  <c r="M326" i="64"/>
  <c r="O326" i="64"/>
  <c r="P326" i="64"/>
  <c r="R326" i="64"/>
  <c r="S326" i="64"/>
  <c r="T326" i="64"/>
  <c r="U326" i="64"/>
  <c r="V326" i="64"/>
  <c r="W326" i="64"/>
  <c r="X326" i="64"/>
  <c r="Z326" i="64"/>
  <c r="AA326" i="64"/>
  <c r="AB326" i="64"/>
  <c r="AC326" i="64"/>
  <c r="AD326" i="64"/>
  <c r="AE326" i="64"/>
  <c r="AF326" i="64"/>
  <c r="AG326" i="64"/>
  <c r="AH326" i="64"/>
  <c r="AI326" i="64"/>
  <c r="AJ326" i="64"/>
  <c r="AK326" i="64"/>
  <c r="AL326" i="64"/>
  <c r="AM326" i="64"/>
  <c r="AN326" i="64"/>
  <c r="AO326" i="64"/>
  <c r="AP326" i="64"/>
  <c r="AQ326" i="64"/>
  <c r="AR326" i="64"/>
  <c r="AS326" i="64"/>
  <c r="AT326" i="64"/>
  <c r="AU326" i="64"/>
  <c r="AW326" i="64"/>
  <c r="AX326" i="64"/>
  <c r="AY326" i="64"/>
  <c r="BA326" i="64"/>
  <c r="A327" i="64"/>
  <c r="B327" i="64"/>
  <c r="D327" i="64"/>
  <c r="E327" i="64"/>
  <c r="F327" i="64"/>
  <c r="G327" i="64"/>
  <c r="H327" i="64"/>
  <c r="J327" i="64"/>
  <c r="K327" i="64"/>
  <c r="L327" i="64"/>
  <c r="M327" i="64"/>
  <c r="O327" i="64"/>
  <c r="P327" i="64"/>
  <c r="R327" i="64"/>
  <c r="S327" i="64"/>
  <c r="T327" i="64"/>
  <c r="U327" i="64"/>
  <c r="V327" i="64"/>
  <c r="W327" i="64"/>
  <c r="X327" i="64"/>
  <c r="Z327" i="64"/>
  <c r="AA327" i="64"/>
  <c r="AB327" i="64"/>
  <c r="AC327" i="64"/>
  <c r="AD327" i="64"/>
  <c r="AE327" i="64"/>
  <c r="AF327" i="64"/>
  <c r="AG327" i="64"/>
  <c r="AH327" i="64"/>
  <c r="AI327" i="64"/>
  <c r="AJ327" i="64"/>
  <c r="AK327" i="64"/>
  <c r="AL327" i="64"/>
  <c r="AM327" i="64"/>
  <c r="AN327" i="64"/>
  <c r="AO327" i="64"/>
  <c r="AP327" i="64"/>
  <c r="AQ327" i="64"/>
  <c r="AR327" i="64"/>
  <c r="AS327" i="64"/>
  <c r="AT327" i="64"/>
  <c r="AU327" i="64"/>
  <c r="AW327" i="64"/>
  <c r="AX327" i="64"/>
  <c r="AY327" i="64"/>
  <c r="BA327" i="64"/>
  <c r="A328" i="64"/>
  <c r="B328" i="64"/>
  <c r="D328" i="64"/>
  <c r="E328" i="64"/>
  <c r="F328" i="64"/>
  <c r="G328" i="64"/>
  <c r="H328" i="64"/>
  <c r="J328" i="64"/>
  <c r="K328" i="64"/>
  <c r="L328" i="64"/>
  <c r="M328" i="64"/>
  <c r="O328" i="64"/>
  <c r="P328" i="64"/>
  <c r="R328" i="64"/>
  <c r="S328" i="64"/>
  <c r="T328" i="64"/>
  <c r="U328" i="64"/>
  <c r="V328" i="64"/>
  <c r="W328" i="64"/>
  <c r="X328" i="64"/>
  <c r="Z328" i="64"/>
  <c r="AA328" i="64"/>
  <c r="AB328" i="64"/>
  <c r="AC328" i="64"/>
  <c r="AD328" i="64"/>
  <c r="AE328" i="64"/>
  <c r="AF328" i="64"/>
  <c r="AG328" i="64"/>
  <c r="AH328" i="64"/>
  <c r="AI328" i="64"/>
  <c r="AJ328" i="64"/>
  <c r="AK328" i="64"/>
  <c r="AL328" i="64"/>
  <c r="AM328" i="64"/>
  <c r="AN328" i="64"/>
  <c r="AO328" i="64"/>
  <c r="AP328" i="64"/>
  <c r="AQ328" i="64"/>
  <c r="AR328" i="64"/>
  <c r="AS328" i="64"/>
  <c r="AT328" i="64"/>
  <c r="AU328" i="64"/>
  <c r="AW328" i="64"/>
  <c r="AX328" i="64"/>
  <c r="AY328" i="64"/>
  <c r="BA328" i="64"/>
  <c r="A329" i="64"/>
  <c r="B329" i="64"/>
  <c r="D329" i="64"/>
  <c r="E329" i="64"/>
  <c r="F329" i="64"/>
  <c r="G329" i="64"/>
  <c r="H329" i="64"/>
  <c r="J329" i="64"/>
  <c r="K329" i="64"/>
  <c r="L329" i="64"/>
  <c r="M329" i="64"/>
  <c r="O329" i="64"/>
  <c r="P329" i="64"/>
  <c r="R329" i="64"/>
  <c r="S329" i="64"/>
  <c r="T329" i="64"/>
  <c r="U329" i="64"/>
  <c r="V329" i="64"/>
  <c r="W329" i="64"/>
  <c r="X329" i="64"/>
  <c r="Z329" i="64"/>
  <c r="AA329" i="64"/>
  <c r="AB329" i="64"/>
  <c r="AC329" i="64"/>
  <c r="AD329" i="64"/>
  <c r="AE329" i="64"/>
  <c r="AF329" i="64"/>
  <c r="AG329" i="64"/>
  <c r="AH329" i="64"/>
  <c r="AI329" i="64"/>
  <c r="AJ329" i="64"/>
  <c r="AK329" i="64"/>
  <c r="AL329" i="64"/>
  <c r="AM329" i="64"/>
  <c r="AN329" i="64"/>
  <c r="AO329" i="64"/>
  <c r="AP329" i="64"/>
  <c r="AQ329" i="64"/>
  <c r="AR329" i="64"/>
  <c r="AS329" i="64"/>
  <c r="AT329" i="64"/>
  <c r="AU329" i="64"/>
  <c r="AW329" i="64"/>
  <c r="AX329" i="64"/>
  <c r="AY329" i="64"/>
  <c r="BA329" i="64"/>
  <c r="A330" i="64"/>
  <c r="B330" i="64"/>
  <c r="D330" i="64"/>
  <c r="E330" i="64"/>
  <c r="F330" i="64"/>
  <c r="G330" i="64"/>
  <c r="H330" i="64"/>
  <c r="J330" i="64"/>
  <c r="K330" i="64"/>
  <c r="L330" i="64"/>
  <c r="M330" i="64"/>
  <c r="O330" i="64"/>
  <c r="P330" i="64"/>
  <c r="R330" i="64"/>
  <c r="S330" i="64"/>
  <c r="T330" i="64"/>
  <c r="U330" i="64"/>
  <c r="V330" i="64"/>
  <c r="W330" i="64"/>
  <c r="X330" i="64"/>
  <c r="Z330" i="64"/>
  <c r="AA330" i="64"/>
  <c r="AB330" i="64"/>
  <c r="AC330" i="64"/>
  <c r="AD330" i="64"/>
  <c r="AE330" i="64"/>
  <c r="AF330" i="64"/>
  <c r="AG330" i="64"/>
  <c r="AH330" i="64"/>
  <c r="AI330" i="64"/>
  <c r="AJ330" i="64"/>
  <c r="AK330" i="64"/>
  <c r="AL330" i="64"/>
  <c r="AM330" i="64"/>
  <c r="AN330" i="64"/>
  <c r="AO330" i="64"/>
  <c r="AP330" i="64"/>
  <c r="AQ330" i="64"/>
  <c r="AR330" i="64"/>
  <c r="AS330" i="64"/>
  <c r="AT330" i="64"/>
  <c r="AU330" i="64"/>
  <c r="AW330" i="64"/>
  <c r="AX330" i="64"/>
  <c r="AY330" i="64"/>
  <c r="BA330" i="64"/>
  <c r="A331" i="64"/>
  <c r="B331" i="64"/>
  <c r="D331" i="64"/>
  <c r="E331" i="64"/>
  <c r="F331" i="64"/>
  <c r="G331" i="64"/>
  <c r="H331" i="64"/>
  <c r="J331" i="64"/>
  <c r="K331" i="64"/>
  <c r="L331" i="64"/>
  <c r="M331" i="64"/>
  <c r="O331" i="64"/>
  <c r="P331" i="64"/>
  <c r="R331" i="64"/>
  <c r="S331" i="64"/>
  <c r="T331" i="64"/>
  <c r="U331" i="64"/>
  <c r="V331" i="64"/>
  <c r="W331" i="64"/>
  <c r="X331" i="64"/>
  <c r="Z331" i="64"/>
  <c r="AA331" i="64"/>
  <c r="AB331" i="64"/>
  <c r="AC331" i="64"/>
  <c r="AD331" i="64"/>
  <c r="AE331" i="64"/>
  <c r="AF331" i="64"/>
  <c r="AG331" i="64"/>
  <c r="AH331" i="64"/>
  <c r="AI331" i="64"/>
  <c r="AJ331" i="64"/>
  <c r="AK331" i="64"/>
  <c r="AL331" i="64"/>
  <c r="AM331" i="64"/>
  <c r="AN331" i="64"/>
  <c r="AO331" i="64"/>
  <c r="AP331" i="64"/>
  <c r="AQ331" i="64"/>
  <c r="AR331" i="64"/>
  <c r="AS331" i="64"/>
  <c r="AT331" i="64"/>
  <c r="AU331" i="64"/>
  <c r="AW331" i="64"/>
  <c r="AX331" i="64"/>
  <c r="AY331" i="64"/>
  <c r="BA331" i="64"/>
  <c r="A332" i="64"/>
  <c r="B332" i="64"/>
  <c r="D332" i="64"/>
  <c r="E332" i="64"/>
  <c r="F332" i="64"/>
  <c r="G332" i="64"/>
  <c r="H332" i="64"/>
  <c r="J332" i="64"/>
  <c r="K332" i="64"/>
  <c r="L332" i="64"/>
  <c r="M332" i="64"/>
  <c r="O332" i="64"/>
  <c r="P332" i="64"/>
  <c r="R332" i="64"/>
  <c r="S332" i="64"/>
  <c r="T332" i="64"/>
  <c r="U332" i="64"/>
  <c r="V332" i="64"/>
  <c r="W332" i="64"/>
  <c r="X332" i="64"/>
  <c r="Z332" i="64"/>
  <c r="AA332" i="64"/>
  <c r="AB332" i="64"/>
  <c r="AC332" i="64"/>
  <c r="AD332" i="64"/>
  <c r="AE332" i="64"/>
  <c r="AF332" i="64"/>
  <c r="AG332" i="64"/>
  <c r="AH332" i="64"/>
  <c r="AI332" i="64"/>
  <c r="AJ332" i="64"/>
  <c r="AK332" i="64"/>
  <c r="AL332" i="64"/>
  <c r="AM332" i="64"/>
  <c r="AN332" i="64"/>
  <c r="AO332" i="64"/>
  <c r="AP332" i="64"/>
  <c r="AQ332" i="64"/>
  <c r="AR332" i="64"/>
  <c r="AS332" i="64"/>
  <c r="AT332" i="64"/>
  <c r="AU332" i="64"/>
  <c r="AW332" i="64"/>
  <c r="AX332" i="64"/>
  <c r="AY332" i="64"/>
  <c r="BA332" i="64"/>
  <c r="A333" i="64"/>
  <c r="B333" i="64"/>
  <c r="D333" i="64"/>
  <c r="E333" i="64"/>
  <c r="F333" i="64"/>
  <c r="G333" i="64"/>
  <c r="H333" i="64"/>
  <c r="J333" i="64"/>
  <c r="K333" i="64"/>
  <c r="L333" i="64"/>
  <c r="M333" i="64"/>
  <c r="O333" i="64"/>
  <c r="P333" i="64"/>
  <c r="R333" i="64"/>
  <c r="S333" i="64"/>
  <c r="T333" i="64"/>
  <c r="U333" i="64"/>
  <c r="V333" i="64"/>
  <c r="W333" i="64"/>
  <c r="X333" i="64"/>
  <c r="Z333" i="64"/>
  <c r="AA333" i="64"/>
  <c r="AB333" i="64"/>
  <c r="AC333" i="64"/>
  <c r="AD333" i="64"/>
  <c r="AE333" i="64"/>
  <c r="AF333" i="64"/>
  <c r="AG333" i="64"/>
  <c r="AH333" i="64"/>
  <c r="AI333" i="64"/>
  <c r="AJ333" i="64"/>
  <c r="AK333" i="64"/>
  <c r="AL333" i="64"/>
  <c r="AM333" i="64"/>
  <c r="AN333" i="64"/>
  <c r="AO333" i="64"/>
  <c r="AP333" i="64"/>
  <c r="AQ333" i="64"/>
  <c r="AR333" i="64"/>
  <c r="AS333" i="64"/>
  <c r="AT333" i="64"/>
  <c r="AU333" i="64"/>
  <c r="AW333" i="64"/>
  <c r="AX333" i="64"/>
  <c r="AY333" i="64"/>
  <c r="BA333" i="64"/>
  <c r="A334" i="64"/>
  <c r="B334" i="64"/>
  <c r="D334" i="64"/>
  <c r="E334" i="64"/>
  <c r="F334" i="64"/>
  <c r="G334" i="64"/>
  <c r="H334" i="64"/>
  <c r="J334" i="64"/>
  <c r="K334" i="64"/>
  <c r="L334" i="64"/>
  <c r="M334" i="64"/>
  <c r="O334" i="64"/>
  <c r="P334" i="64"/>
  <c r="R334" i="64"/>
  <c r="S334" i="64"/>
  <c r="T334" i="64"/>
  <c r="U334" i="64"/>
  <c r="V334" i="64"/>
  <c r="W334" i="64"/>
  <c r="X334" i="64"/>
  <c r="Z334" i="64"/>
  <c r="AA334" i="64"/>
  <c r="AB334" i="64"/>
  <c r="AC334" i="64"/>
  <c r="AD334" i="64"/>
  <c r="AE334" i="64"/>
  <c r="AF334" i="64"/>
  <c r="AG334" i="64"/>
  <c r="AH334" i="64"/>
  <c r="AI334" i="64"/>
  <c r="AJ334" i="64"/>
  <c r="AK334" i="64"/>
  <c r="AL334" i="64"/>
  <c r="AM334" i="64"/>
  <c r="AN334" i="64"/>
  <c r="AO334" i="64"/>
  <c r="AP334" i="64"/>
  <c r="AQ334" i="64"/>
  <c r="AR334" i="64"/>
  <c r="AS334" i="64"/>
  <c r="AT334" i="64"/>
  <c r="AU334" i="64"/>
  <c r="AW334" i="64"/>
  <c r="AX334" i="64"/>
  <c r="AY334" i="64"/>
  <c r="BA334" i="64"/>
  <c r="A335" i="64"/>
  <c r="B335" i="64"/>
  <c r="D335" i="64"/>
  <c r="E335" i="64"/>
  <c r="F335" i="64"/>
  <c r="G335" i="64"/>
  <c r="H335" i="64"/>
  <c r="J335" i="64"/>
  <c r="K335" i="64"/>
  <c r="L335" i="64"/>
  <c r="M335" i="64"/>
  <c r="O335" i="64"/>
  <c r="P335" i="64"/>
  <c r="R335" i="64"/>
  <c r="S335" i="64"/>
  <c r="T335" i="64"/>
  <c r="U335" i="64"/>
  <c r="V335" i="64"/>
  <c r="W335" i="64"/>
  <c r="X335" i="64"/>
  <c r="Z335" i="64"/>
  <c r="AA335" i="64"/>
  <c r="AB335" i="64"/>
  <c r="AC335" i="64"/>
  <c r="AD335" i="64"/>
  <c r="AE335" i="64"/>
  <c r="AF335" i="64"/>
  <c r="AG335" i="64"/>
  <c r="AH335" i="64"/>
  <c r="AI335" i="64"/>
  <c r="AJ335" i="64"/>
  <c r="AK335" i="64"/>
  <c r="AL335" i="64"/>
  <c r="AM335" i="64"/>
  <c r="AN335" i="64"/>
  <c r="AO335" i="64"/>
  <c r="AP335" i="64"/>
  <c r="AQ335" i="64"/>
  <c r="AR335" i="64"/>
  <c r="AS335" i="64"/>
  <c r="AT335" i="64"/>
  <c r="AU335" i="64"/>
  <c r="AW335" i="64"/>
  <c r="AX335" i="64"/>
  <c r="AY335" i="64"/>
  <c r="BA335" i="64"/>
  <c r="A336" i="64"/>
  <c r="B336" i="64"/>
  <c r="D336" i="64"/>
  <c r="E336" i="64"/>
  <c r="F336" i="64"/>
  <c r="G336" i="64"/>
  <c r="H336" i="64"/>
  <c r="J336" i="64"/>
  <c r="K336" i="64"/>
  <c r="L336" i="64"/>
  <c r="M336" i="64"/>
  <c r="O336" i="64"/>
  <c r="P336" i="64"/>
  <c r="R336" i="64"/>
  <c r="S336" i="64"/>
  <c r="T336" i="64"/>
  <c r="U336" i="64"/>
  <c r="V336" i="64"/>
  <c r="W336" i="64"/>
  <c r="X336" i="64"/>
  <c r="Z336" i="64"/>
  <c r="AA336" i="64"/>
  <c r="AB336" i="64"/>
  <c r="AC336" i="64"/>
  <c r="AD336" i="64"/>
  <c r="AE336" i="64"/>
  <c r="AF336" i="64"/>
  <c r="AG336" i="64"/>
  <c r="AH336" i="64"/>
  <c r="AI336" i="64"/>
  <c r="AJ336" i="64"/>
  <c r="AK336" i="64"/>
  <c r="AL336" i="64"/>
  <c r="AM336" i="64"/>
  <c r="AN336" i="64"/>
  <c r="AO336" i="64"/>
  <c r="AP336" i="64"/>
  <c r="AQ336" i="64"/>
  <c r="AR336" i="64"/>
  <c r="AS336" i="64"/>
  <c r="AT336" i="64"/>
  <c r="AU336" i="64"/>
  <c r="AW336" i="64"/>
  <c r="AX336" i="64"/>
  <c r="AY336" i="64"/>
  <c r="BA336" i="64"/>
  <c r="A337" i="64"/>
  <c r="B337" i="64"/>
  <c r="D337" i="64"/>
  <c r="E337" i="64"/>
  <c r="F337" i="64"/>
  <c r="G337" i="64"/>
  <c r="H337" i="64"/>
  <c r="J337" i="64"/>
  <c r="K337" i="64"/>
  <c r="L337" i="64"/>
  <c r="M337" i="64"/>
  <c r="O337" i="64"/>
  <c r="P337" i="64"/>
  <c r="R337" i="64"/>
  <c r="S337" i="64"/>
  <c r="T337" i="64"/>
  <c r="U337" i="64"/>
  <c r="V337" i="64"/>
  <c r="W337" i="64"/>
  <c r="X337" i="64"/>
  <c r="Z337" i="64"/>
  <c r="AA337" i="64"/>
  <c r="AB337" i="64"/>
  <c r="AC337" i="64"/>
  <c r="AD337" i="64"/>
  <c r="AE337" i="64"/>
  <c r="AF337" i="64"/>
  <c r="AG337" i="64"/>
  <c r="AH337" i="64"/>
  <c r="AI337" i="64"/>
  <c r="AJ337" i="64"/>
  <c r="AK337" i="64"/>
  <c r="AL337" i="64"/>
  <c r="AM337" i="64"/>
  <c r="AN337" i="64"/>
  <c r="AO337" i="64"/>
  <c r="AP337" i="64"/>
  <c r="AQ337" i="64"/>
  <c r="AR337" i="64"/>
  <c r="AS337" i="64"/>
  <c r="AT337" i="64"/>
  <c r="AU337" i="64"/>
  <c r="AW337" i="64"/>
  <c r="AX337" i="64"/>
  <c r="AY337" i="64"/>
  <c r="BA337" i="64"/>
  <c r="A338" i="64"/>
  <c r="B338" i="64"/>
  <c r="D338" i="64"/>
  <c r="E338" i="64"/>
  <c r="F338" i="64"/>
  <c r="G338" i="64"/>
  <c r="H338" i="64"/>
  <c r="J338" i="64"/>
  <c r="K338" i="64"/>
  <c r="L338" i="64"/>
  <c r="M338" i="64"/>
  <c r="O338" i="64"/>
  <c r="P338" i="64"/>
  <c r="R338" i="64"/>
  <c r="S338" i="64"/>
  <c r="T338" i="64"/>
  <c r="U338" i="64"/>
  <c r="V338" i="64"/>
  <c r="W338" i="64"/>
  <c r="X338" i="64"/>
  <c r="Z338" i="64"/>
  <c r="AA338" i="64"/>
  <c r="AB338" i="64"/>
  <c r="AC338" i="64"/>
  <c r="AD338" i="64"/>
  <c r="AE338" i="64"/>
  <c r="AF338" i="64"/>
  <c r="AG338" i="64"/>
  <c r="AH338" i="64"/>
  <c r="AI338" i="64"/>
  <c r="AJ338" i="64"/>
  <c r="AK338" i="64"/>
  <c r="AL338" i="64"/>
  <c r="AM338" i="64"/>
  <c r="AN338" i="64"/>
  <c r="AO338" i="64"/>
  <c r="AP338" i="64"/>
  <c r="AQ338" i="64"/>
  <c r="AR338" i="64"/>
  <c r="AS338" i="64"/>
  <c r="AT338" i="64"/>
  <c r="AU338" i="64"/>
  <c r="AW338" i="64"/>
  <c r="AX338" i="64"/>
  <c r="AY338" i="64"/>
  <c r="BA338" i="64"/>
  <c r="A339" i="64"/>
  <c r="B339" i="64"/>
  <c r="D339" i="64"/>
  <c r="E339" i="64"/>
  <c r="F339" i="64"/>
  <c r="G339" i="64"/>
  <c r="H339" i="64"/>
  <c r="J339" i="64"/>
  <c r="K339" i="64"/>
  <c r="L339" i="64"/>
  <c r="M339" i="64"/>
  <c r="O339" i="64"/>
  <c r="P339" i="64"/>
  <c r="R339" i="64"/>
  <c r="S339" i="64"/>
  <c r="T339" i="64"/>
  <c r="U339" i="64"/>
  <c r="V339" i="64"/>
  <c r="W339" i="64"/>
  <c r="X339" i="64"/>
  <c r="Z339" i="64"/>
  <c r="AA339" i="64"/>
  <c r="AB339" i="64"/>
  <c r="AC339" i="64"/>
  <c r="AD339" i="64"/>
  <c r="AE339" i="64"/>
  <c r="AF339" i="64"/>
  <c r="AG339" i="64"/>
  <c r="AH339" i="64"/>
  <c r="AI339" i="64"/>
  <c r="AJ339" i="64"/>
  <c r="AK339" i="64"/>
  <c r="AL339" i="64"/>
  <c r="AM339" i="64"/>
  <c r="AN339" i="64"/>
  <c r="AO339" i="64"/>
  <c r="AP339" i="64"/>
  <c r="AQ339" i="64"/>
  <c r="AR339" i="64"/>
  <c r="AS339" i="64"/>
  <c r="AT339" i="64"/>
  <c r="AU339" i="64"/>
  <c r="AW339" i="64"/>
  <c r="AX339" i="64"/>
  <c r="AY339" i="64"/>
  <c r="BA339" i="64"/>
  <c r="A340" i="64"/>
  <c r="B340" i="64"/>
  <c r="D340" i="64"/>
  <c r="E340" i="64"/>
  <c r="F340" i="64"/>
  <c r="G340" i="64"/>
  <c r="H340" i="64"/>
  <c r="J340" i="64"/>
  <c r="K340" i="64"/>
  <c r="L340" i="64"/>
  <c r="M340" i="64"/>
  <c r="O340" i="64"/>
  <c r="P340" i="64"/>
  <c r="R340" i="64"/>
  <c r="S340" i="64"/>
  <c r="T340" i="64"/>
  <c r="U340" i="64"/>
  <c r="V340" i="64"/>
  <c r="W340" i="64"/>
  <c r="X340" i="64"/>
  <c r="Z340" i="64"/>
  <c r="AA340" i="64"/>
  <c r="AB340" i="64"/>
  <c r="AC340" i="64"/>
  <c r="AD340" i="64"/>
  <c r="AE340" i="64"/>
  <c r="AF340" i="64"/>
  <c r="AG340" i="64"/>
  <c r="AH340" i="64"/>
  <c r="AI340" i="64"/>
  <c r="AJ340" i="64"/>
  <c r="AK340" i="64"/>
  <c r="AL340" i="64"/>
  <c r="AM340" i="64"/>
  <c r="AN340" i="64"/>
  <c r="AO340" i="64"/>
  <c r="AP340" i="64"/>
  <c r="AQ340" i="64"/>
  <c r="AR340" i="64"/>
  <c r="AS340" i="64"/>
  <c r="AT340" i="64"/>
  <c r="AU340" i="64"/>
  <c r="AW340" i="64"/>
  <c r="AX340" i="64"/>
  <c r="AY340" i="64"/>
  <c r="BA340" i="64"/>
  <c r="A341" i="64"/>
  <c r="B341" i="64"/>
  <c r="D341" i="64"/>
  <c r="E341" i="64"/>
  <c r="F341" i="64"/>
  <c r="G341" i="64"/>
  <c r="H341" i="64"/>
  <c r="J341" i="64"/>
  <c r="K341" i="64"/>
  <c r="L341" i="64"/>
  <c r="M341" i="64"/>
  <c r="O341" i="64"/>
  <c r="P341" i="64"/>
  <c r="R341" i="64"/>
  <c r="S341" i="64"/>
  <c r="T341" i="64"/>
  <c r="U341" i="64"/>
  <c r="V341" i="64"/>
  <c r="W341" i="64"/>
  <c r="X341" i="64"/>
  <c r="Z341" i="64"/>
  <c r="AA341" i="64"/>
  <c r="AB341" i="64"/>
  <c r="AC341" i="64"/>
  <c r="AD341" i="64"/>
  <c r="AE341" i="64"/>
  <c r="AF341" i="64"/>
  <c r="AG341" i="64"/>
  <c r="AH341" i="64"/>
  <c r="AI341" i="64"/>
  <c r="AJ341" i="64"/>
  <c r="AK341" i="64"/>
  <c r="AL341" i="64"/>
  <c r="AM341" i="64"/>
  <c r="AN341" i="64"/>
  <c r="AO341" i="64"/>
  <c r="AP341" i="64"/>
  <c r="AQ341" i="64"/>
  <c r="AR341" i="64"/>
  <c r="AS341" i="64"/>
  <c r="AT341" i="64"/>
  <c r="AU341" i="64"/>
  <c r="AW341" i="64"/>
  <c r="AX341" i="64"/>
  <c r="AY341" i="64"/>
  <c r="BA341" i="64"/>
  <c r="A342" i="64"/>
  <c r="B342" i="64"/>
  <c r="D342" i="64"/>
  <c r="E342" i="64"/>
  <c r="F342" i="64"/>
  <c r="G342" i="64"/>
  <c r="H342" i="64"/>
  <c r="J342" i="64"/>
  <c r="K342" i="64"/>
  <c r="L342" i="64"/>
  <c r="M342" i="64"/>
  <c r="O342" i="64"/>
  <c r="P342" i="64"/>
  <c r="R342" i="64"/>
  <c r="S342" i="64"/>
  <c r="T342" i="64"/>
  <c r="U342" i="64"/>
  <c r="V342" i="64"/>
  <c r="W342" i="64"/>
  <c r="X342" i="64"/>
  <c r="Z342" i="64"/>
  <c r="AA342" i="64"/>
  <c r="AB342" i="64"/>
  <c r="AC342" i="64"/>
  <c r="AD342" i="64"/>
  <c r="AE342" i="64"/>
  <c r="AF342" i="64"/>
  <c r="AG342" i="64"/>
  <c r="AH342" i="64"/>
  <c r="AI342" i="64"/>
  <c r="AJ342" i="64"/>
  <c r="AK342" i="64"/>
  <c r="AL342" i="64"/>
  <c r="AM342" i="64"/>
  <c r="AN342" i="64"/>
  <c r="AO342" i="64"/>
  <c r="AP342" i="64"/>
  <c r="AQ342" i="64"/>
  <c r="AR342" i="64"/>
  <c r="AS342" i="64"/>
  <c r="AT342" i="64"/>
  <c r="AU342" i="64"/>
  <c r="AW342" i="64"/>
  <c r="AX342" i="64"/>
  <c r="AY342" i="64"/>
  <c r="BA342" i="64"/>
  <c r="A343" i="64"/>
  <c r="B343" i="64"/>
  <c r="D343" i="64"/>
  <c r="E343" i="64"/>
  <c r="F343" i="64"/>
  <c r="G343" i="64"/>
  <c r="H343" i="64"/>
  <c r="J343" i="64"/>
  <c r="K343" i="64"/>
  <c r="L343" i="64"/>
  <c r="M343" i="64"/>
  <c r="O343" i="64"/>
  <c r="P343" i="64"/>
  <c r="R343" i="64"/>
  <c r="S343" i="64"/>
  <c r="T343" i="64"/>
  <c r="U343" i="64"/>
  <c r="V343" i="64"/>
  <c r="W343" i="64"/>
  <c r="X343" i="64"/>
  <c r="Z343" i="64"/>
  <c r="AA343" i="64"/>
  <c r="AB343" i="64"/>
  <c r="AC343" i="64"/>
  <c r="AD343" i="64"/>
  <c r="AE343" i="64"/>
  <c r="AF343" i="64"/>
  <c r="AG343" i="64"/>
  <c r="AH343" i="64"/>
  <c r="AI343" i="64"/>
  <c r="AJ343" i="64"/>
  <c r="AK343" i="64"/>
  <c r="AL343" i="64"/>
  <c r="AM343" i="64"/>
  <c r="AN343" i="64"/>
  <c r="AO343" i="64"/>
  <c r="AP343" i="64"/>
  <c r="AQ343" i="64"/>
  <c r="AR343" i="64"/>
  <c r="AS343" i="64"/>
  <c r="AT343" i="64"/>
  <c r="AU343" i="64"/>
  <c r="AW343" i="64"/>
  <c r="AX343" i="64"/>
  <c r="AY343" i="64"/>
  <c r="BA343" i="64"/>
  <c r="A344" i="64"/>
  <c r="B344" i="64"/>
  <c r="D344" i="64"/>
  <c r="E344" i="64"/>
  <c r="F344" i="64"/>
  <c r="G344" i="64"/>
  <c r="H344" i="64"/>
  <c r="J344" i="64"/>
  <c r="K344" i="64"/>
  <c r="L344" i="64"/>
  <c r="M344" i="64"/>
  <c r="O344" i="64"/>
  <c r="P344" i="64"/>
  <c r="R344" i="64"/>
  <c r="S344" i="64"/>
  <c r="T344" i="64"/>
  <c r="U344" i="64"/>
  <c r="V344" i="64"/>
  <c r="W344" i="64"/>
  <c r="X344" i="64"/>
  <c r="Z344" i="64"/>
  <c r="AA344" i="64"/>
  <c r="AB344" i="64"/>
  <c r="AC344" i="64"/>
  <c r="AD344" i="64"/>
  <c r="AE344" i="64"/>
  <c r="AF344" i="64"/>
  <c r="AG344" i="64"/>
  <c r="AH344" i="64"/>
  <c r="AI344" i="64"/>
  <c r="AJ344" i="64"/>
  <c r="AK344" i="64"/>
  <c r="AL344" i="64"/>
  <c r="AM344" i="64"/>
  <c r="AN344" i="64"/>
  <c r="AO344" i="64"/>
  <c r="AP344" i="64"/>
  <c r="AQ344" i="64"/>
  <c r="AR344" i="64"/>
  <c r="AS344" i="64"/>
  <c r="AT344" i="64"/>
  <c r="AU344" i="64"/>
  <c r="AW344" i="64"/>
  <c r="AX344" i="64"/>
  <c r="AY344" i="64"/>
  <c r="BA344" i="64"/>
  <c r="A345" i="64"/>
  <c r="B345" i="64"/>
  <c r="D345" i="64"/>
  <c r="E345" i="64"/>
  <c r="F345" i="64"/>
  <c r="G345" i="64"/>
  <c r="H345" i="64"/>
  <c r="J345" i="64"/>
  <c r="K345" i="64"/>
  <c r="L345" i="64"/>
  <c r="M345" i="64"/>
  <c r="O345" i="64"/>
  <c r="P345" i="64"/>
  <c r="R345" i="64"/>
  <c r="S345" i="64"/>
  <c r="T345" i="64"/>
  <c r="U345" i="64"/>
  <c r="V345" i="64"/>
  <c r="W345" i="64"/>
  <c r="X345" i="64"/>
  <c r="Z345" i="64"/>
  <c r="AA345" i="64"/>
  <c r="AB345" i="64"/>
  <c r="AC345" i="64"/>
  <c r="AD345" i="64"/>
  <c r="AE345" i="64"/>
  <c r="AF345" i="64"/>
  <c r="AG345" i="64"/>
  <c r="AH345" i="64"/>
  <c r="AI345" i="64"/>
  <c r="AJ345" i="64"/>
  <c r="AK345" i="64"/>
  <c r="AL345" i="64"/>
  <c r="AM345" i="64"/>
  <c r="AN345" i="64"/>
  <c r="AO345" i="64"/>
  <c r="AP345" i="64"/>
  <c r="AQ345" i="64"/>
  <c r="AR345" i="64"/>
  <c r="AS345" i="64"/>
  <c r="AT345" i="64"/>
  <c r="AU345" i="64"/>
  <c r="AW345" i="64"/>
  <c r="AX345" i="64"/>
  <c r="AY345" i="64"/>
  <c r="BA345" i="64"/>
  <c r="A346" i="64"/>
  <c r="B346" i="64"/>
  <c r="D346" i="64"/>
  <c r="E346" i="64"/>
  <c r="F346" i="64"/>
  <c r="G346" i="64"/>
  <c r="H346" i="64"/>
  <c r="J346" i="64"/>
  <c r="K346" i="64"/>
  <c r="L346" i="64"/>
  <c r="M346" i="64"/>
  <c r="O346" i="64"/>
  <c r="P346" i="64"/>
  <c r="R346" i="64"/>
  <c r="S346" i="64"/>
  <c r="T346" i="64"/>
  <c r="U346" i="64"/>
  <c r="V346" i="64"/>
  <c r="W346" i="64"/>
  <c r="X346" i="64"/>
  <c r="Z346" i="64"/>
  <c r="AA346" i="64"/>
  <c r="AB346" i="64"/>
  <c r="AC346" i="64"/>
  <c r="AD346" i="64"/>
  <c r="AE346" i="64"/>
  <c r="AF346" i="64"/>
  <c r="AG346" i="64"/>
  <c r="AH346" i="64"/>
  <c r="AI346" i="64"/>
  <c r="AJ346" i="64"/>
  <c r="AK346" i="64"/>
  <c r="AL346" i="64"/>
  <c r="AM346" i="64"/>
  <c r="AN346" i="64"/>
  <c r="AO346" i="64"/>
  <c r="AP346" i="64"/>
  <c r="AQ346" i="64"/>
  <c r="AR346" i="64"/>
  <c r="AS346" i="64"/>
  <c r="AT346" i="64"/>
  <c r="AU346" i="64"/>
  <c r="AW346" i="64"/>
  <c r="AX346" i="64"/>
  <c r="AY346" i="64"/>
  <c r="BA346" i="64"/>
  <c r="A347" i="64"/>
  <c r="B347" i="64"/>
  <c r="D347" i="64"/>
  <c r="E347" i="64"/>
  <c r="F347" i="64"/>
  <c r="G347" i="64"/>
  <c r="H347" i="64"/>
  <c r="J347" i="64"/>
  <c r="K347" i="64"/>
  <c r="L347" i="64"/>
  <c r="M347" i="64"/>
  <c r="O347" i="64"/>
  <c r="P347" i="64"/>
  <c r="R347" i="64"/>
  <c r="S347" i="64"/>
  <c r="T347" i="64"/>
  <c r="U347" i="64"/>
  <c r="V347" i="64"/>
  <c r="W347" i="64"/>
  <c r="X347" i="64"/>
  <c r="Z347" i="64"/>
  <c r="AA347" i="64"/>
  <c r="AB347" i="64"/>
  <c r="AC347" i="64"/>
  <c r="AD347" i="64"/>
  <c r="AE347" i="64"/>
  <c r="AF347" i="64"/>
  <c r="AG347" i="64"/>
  <c r="AH347" i="64"/>
  <c r="AI347" i="64"/>
  <c r="AJ347" i="64"/>
  <c r="AK347" i="64"/>
  <c r="AL347" i="64"/>
  <c r="AM347" i="64"/>
  <c r="AN347" i="64"/>
  <c r="AO347" i="64"/>
  <c r="AP347" i="64"/>
  <c r="AQ347" i="64"/>
  <c r="AR347" i="64"/>
  <c r="AS347" i="64"/>
  <c r="AT347" i="64"/>
  <c r="AU347" i="64"/>
  <c r="AW347" i="64"/>
  <c r="AX347" i="64"/>
  <c r="AY347" i="64"/>
  <c r="BA347" i="64"/>
  <c r="A348" i="64"/>
  <c r="B348" i="64"/>
  <c r="D348" i="64"/>
  <c r="E348" i="64"/>
  <c r="F348" i="64"/>
  <c r="G348" i="64"/>
  <c r="H348" i="64"/>
  <c r="J348" i="64"/>
  <c r="K348" i="64"/>
  <c r="L348" i="64"/>
  <c r="M348" i="64"/>
  <c r="O348" i="64"/>
  <c r="P348" i="64"/>
  <c r="R348" i="64"/>
  <c r="S348" i="64"/>
  <c r="T348" i="64"/>
  <c r="U348" i="64"/>
  <c r="V348" i="64"/>
  <c r="W348" i="64"/>
  <c r="X348" i="64"/>
  <c r="Z348" i="64"/>
  <c r="AA348" i="64"/>
  <c r="AB348" i="64"/>
  <c r="AC348" i="64"/>
  <c r="AD348" i="64"/>
  <c r="AE348" i="64"/>
  <c r="AF348" i="64"/>
  <c r="AG348" i="64"/>
  <c r="AH348" i="64"/>
  <c r="AI348" i="64"/>
  <c r="AJ348" i="64"/>
  <c r="AK348" i="64"/>
  <c r="AL348" i="64"/>
  <c r="AM348" i="64"/>
  <c r="AN348" i="64"/>
  <c r="AO348" i="64"/>
  <c r="AP348" i="64"/>
  <c r="AQ348" i="64"/>
  <c r="AR348" i="64"/>
  <c r="AS348" i="64"/>
  <c r="AT348" i="64"/>
  <c r="AU348" i="64"/>
  <c r="AW348" i="64"/>
  <c r="AX348" i="64"/>
  <c r="AY348" i="64"/>
  <c r="BA348" i="64"/>
  <c r="A349" i="64"/>
  <c r="B349" i="64"/>
  <c r="D349" i="64"/>
  <c r="E349" i="64"/>
  <c r="F349" i="64"/>
  <c r="G349" i="64"/>
  <c r="H349" i="64"/>
  <c r="J349" i="64"/>
  <c r="K349" i="64"/>
  <c r="L349" i="64"/>
  <c r="M349" i="64"/>
  <c r="O349" i="64"/>
  <c r="P349" i="64"/>
  <c r="R349" i="64"/>
  <c r="S349" i="64"/>
  <c r="T349" i="64"/>
  <c r="U349" i="64"/>
  <c r="V349" i="64"/>
  <c r="W349" i="64"/>
  <c r="X349" i="64"/>
  <c r="Z349" i="64"/>
  <c r="AA349" i="64"/>
  <c r="AB349" i="64"/>
  <c r="AC349" i="64"/>
  <c r="AD349" i="64"/>
  <c r="AE349" i="64"/>
  <c r="AF349" i="64"/>
  <c r="AG349" i="64"/>
  <c r="AH349" i="64"/>
  <c r="AI349" i="64"/>
  <c r="AJ349" i="64"/>
  <c r="AK349" i="64"/>
  <c r="AL349" i="64"/>
  <c r="AM349" i="64"/>
  <c r="AN349" i="64"/>
  <c r="AO349" i="64"/>
  <c r="AP349" i="64"/>
  <c r="AQ349" i="64"/>
  <c r="AR349" i="64"/>
  <c r="AS349" i="64"/>
  <c r="AT349" i="64"/>
  <c r="AU349" i="64"/>
  <c r="AW349" i="64"/>
  <c r="AX349" i="64"/>
  <c r="AY349" i="64"/>
  <c r="BA349" i="64"/>
  <c r="A350" i="64"/>
  <c r="B350" i="64"/>
  <c r="D350" i="64"/>
  <c r="E350" i="64"/>
  <c r="F350" i="64"/>
  <c r="G350" i="64"/>
  <c r="H350" i="64"/>
  <c r="J350" i="64"/>
  <c r="K350" i="64"/>
  <c r="L350" i="64"/>
  <c r="M350" i="64"/>
  <c r="O350" i="64"/>
  <c r="P350" i="64"/>
  <c r="R350" i="64"/>
  <c r="S350" i="64"/>
  <c r="T350" i="64"/>
  <c r="U350" i="64"/>
  <c r="V350" i="64"/>
  <c r="W350" i="64"/>
  <c r="X350" i="64"/>
  <c r="Z350" i="64"/>
  <c r="AA350" i="64"/>
  <c r="AB350" i="64"/>
  <c r="AC350" i="64"/>
  <c r="AD350" i="64"/>
  <c r="AE350" i="64"/>
  <c r="AF350" i="64"/>
  <c r="AG350" i="64"/>
  <c r="AH350" i="64"/>
  <c r="AI350" i="64"/>
  <c r="AJ350" i="64"/>
  <c r="AK350" i="64"/>
  <c r="AL350" i="64"/>
  <c r="AM350" i="64"/>
  <c r="AN350" i="64"/>
  <c r="AO350" i="64"/>
  <c r="AP350" i="64"/>
  <c r="AQ350" i="64"/>
  <c r="AR350" i="64"/>
  <c r="AS350" i="64"/>
  <c r="AT350" i="64"/>
  <c r="AU350" i="64"/>
  <c r="AW350" i="64"/>
  <c r="AX350" i="64"/>
  <c r="AY350" i="64"/>
  <c r="BA350" i="64"/>
  <c r="A351" i="64"/>
  <c r="B351" i="64"/>
  <c r="D351" i="64"/>
  <c r="E351" i="64"/>
  <c r="F351" i="64"/>
  <c r="G351" i="64"/>
  <c r="H351" i="64"/>
  <c r="J351" i="64"/>
  <c r="K351" i="64"/>
  <c r="L351" i="64"/>
  <c r="M351" i="64"/>
  <c r="O351" i="64"/>
  <c r="P351" i="64"/>
  <c r="R351" i="64"/>
  <c r="S351" i="64"/>
  <c r="T351" i="64"/>
  <c r="U351" i="64"/>
  <c r="V351" i="64"/>
  <c r="W351" i="64"/>
  <c r="X351" i="64"/>
  <c r="Z351" i="64"/>
  <c r="AA351" i="64"/>
  <c r="AB351" i="64"/>
  <c r="AC351" i="64"/>
  <c r="AD351" i="64"/>
  <c r="AE351" i="64"/>
  <c r="AF351" i="64"/>
  <c r="AG351" i="64"/>
  <c r="AH351" i="64"/>
  <c r="AI351" i="64"/>
  <c r="AJ351" i="64"/>
  <c r="AK351" i="64"/>
  <c r="AL351" i="64"/>
  <c r="AM351" i="64"/>
  <c r="AN351" i="64"/>
  <c r="AO351" i="64"/>
  <c r="AP351" i="64"/>
  <c r="AQ351" i="64"/>
  <c r="AR351" i="64"/>
  <c r="AS351" i="64"/>
  <c r="AT351" i="64"/>
  <c r="AU351" i="64"/>
  <c r="AW351" i="64"/>
  <c r="AX351" i="64"/>
  <c r="AY351" i="64"/>
  <c r="BA351" i="64"/>
  <c r="A352" i="64"/>
  <c r="B352" i="64"/>
  <c r="D352" i="64"/>
  <c r="E352" i="64"/>
  <c r="F352" i="64"/>
  <c r="G352" i="64"/>
  <c r="H352" i="64"/>
  <c r="J352" i="64"/>
  <c r="K352" i="64"/>
  <c r="L352" i="64"/>
  <c r="M352" i="64"/>
  <c r="O352" i="64"/>
  <c r="P352" i="64"/>
  <c r="R352" i="64"/>
  <c r="S352" i="64"/>
  <c r="T352" i="64"/>
  <c r="U352" i="64"/>
  <c r="V352" i="64"/>
  <c r="W352" i="64"/>
  <c r="X352" i="64"/>
  <c r="Z352" i="64"/>
  <c r="AA352" i="64"/>
  <c r="AB352" i="64"/>
  <c r="AC352" i="64"/>
  <c r="AD352" i="64"/>
  <c r="AE352" i="64"/>
  <c r="AF352" i="64"/>
  <c r="AG352" i="64"/>
  <c r="AH352" i="64"/>
  <c r="AI352" i="64"/>
  <c r="AJ352" i="64"/>
  <c r="AK352" i="64"/>
  <c r="AL352" i="64"/>
  <c r="AM352" i="64"/>
  <c r="AN352" i="64"/>
  <c r="AO352" i="64"/>
  <c r="AP352" i="64"/>
  <c r="AQ352" i="64"/>
  <c r="AR352" i="64"/>
  <c r="AS352" i="64"/>
  <c r="AT352" i="64"/>
  <c r="AU352" i="64"/>
  <c r="AW352" i="64"/>
  <c r="AX352" i="64"/>
  <c r="AY352" i="64"/>
  <c r="BA352" i="64"/>
  <c r="A353" i="64"/>
  <c r="B353" i="64"/>
  <c r="D353" i="64"/>
  <c r="E353" i="64"/>
  <c r="F353" i="64"/>
  <c r="G353" i="64"/>
  <c r="H353" i="64"/>
  <c r="J353" i="64"/>
  <c r="K353" i="64"/>
  <c r="L353" i="64"/>
  <c r="M353" i="64"/>
  <c r="O353" i="64"/>
  <c r="P353" i="64"/>
  <c r="R353" i="64"/>
  <c r="S353" i="64"/>
  <c r="T353" i="64"/>
  <c r="U353" i="64"/>
  <c r="V353" i="64"/>
  <c r="W353" i="64"/>
  <c r="X353" i="64"/>
  <c r="Z353" i="64"/>
  <c r="AA353" i="64"/>
  <c r="AB353" i="64"/>
  <c r="AC353" i="64"/>
  <c r="AD353" i="64"/>
  <c r="AE353" i="64"/>
  <c r="AF353" i="64"/>
  <c r="AG353" i="64"/>
  <c r="AH353" i="64"/>
  <c r="AI353" i="64"/>
  <c r="AJ353" i="64"/>
  <c r="AK353" i="64"/>
  <c r="AL353" i="64"/>
  <c r="AM353" i="64"/>
  <c r="AN353" i="64"/>
  <c r="AO353" i="64"/>
  <c r="AP353" i="64"/>
  <c r="AQ353" i="64"/>
  <c r="AR353" i="64"/>
  <c r="AS353" i="64"/>
  <c r="AT353" i="64"/>
  <c r="AU353" i="64"/>
  <c r="AW353" i="64"/>
  <c r="AX353" i="64"/>
  <c r="AY353" i="64"/>
  <c r="BA353" i="64"/>
  <c r="A354" i="64"/>
  <c r="B354" i="64"/>
  <c r="D354" i="64"/>
  <c r="E354" i="64"/>
  <c r="F354" i="64"/>
  <c r="G354" i="64"/>
  <c r="H354" i="64"/>
  <c r="J354" i="64"/>
  <c r="K354" i="64"/>
  <c r="L354" i="64"/>
  <c r="M354" i="64"/>
  <c r="O354" i="64"/>
  <c r="P354" i="64"/>
  <c r="R354" i="64"/>
  <c r="S354" i="64"/>
  <c r="T354" i="64"/>
  <c r="U354" i="64"/>
  <c r="V354" i="64"/>
  <c r="W354" i="64"/>
  <c r="X354" i="64"/>
  <c r="Z354" i="64"/>
  <c r="AA354" i="64"/>
  <c r="AB354" i="64"/>
  <c r="AC354" i="64"/>
  <c r="AD354" i="64"/>
  <c r="AE354" i="64"/>
  <c r="AF354" i="64"/>
  <c r="AG354" i="64"/>
  <c r="AH354" i="64"/>
  <c r="AI354" i="64"/>
  <c r="AJ354" i="64"/>
  <c r="AK354" i="64"/>
  <c r="AL354" i="64"/>
  <c r="AM354" i="64"/>
  <c r="AN354" i="64"/>
  <c r="AO354" i="64"/>
  <c r="AP354" i="64"/>
  <c r="AQ354" i="64"/>
  <c r="AR354" i="64"/>
  <c r="AS354" i="64"/>
  <c r="AT354" i="64"/>
  <c r="AU354" i="64"/>
  <c r="AW354" i="64"/>
  <c r="AX354" i="64"/>
  <c r="AY354" i="64"/>
  <c r="BA354" i="64"/>
  <c r="A355" i="64"/>
  <c r="B355" i="64"/>
  <c r="D355" i="64"/>
  <c r="E355" i="64"/>
  <c r="F355" i="64"/>
  <c r="G355" i="64"/>
  <c r="H355" i="64"/>
  <c r="J355" i="64"/>
  <c r="K355" i="64"/>
  <c r="L355" i="64"/>
  <c r="M355" i="64"/>
  <c r="O355" i="64"/>
  <c r="P355" i="64"/>
  <c r="R355" i="64"/>
  <c r="S355" i="64"/>
  <c r="T355" i="64"/>
  <c r="U355" i="64"/>
  <c r="V355" i="64"/>
  <c r="W355" i="64"/>
  <c r="X355" i="64"/>
  <c r="Z355" i="64"/>
  <c r="AA355" i="64"/>
  <c r="AB355" i="64"/>
  <c r="AC355" i="64"/>
  <c r="AD355" i="64"/>
  <c r="AE355" i="64"/>
  <c r="AF355" i="64"/>
  <c r="AG355" i="64"/>
  <c r="AH355" i="64"/>
  <c r="AI355" i="64"/>
  <c r="AJ355" i="64"/>
  <c r="AK355" i="64"/>
  <c r="AL355" i="64"/>
  <c r="AM355" i="64"/>
  <c r="AN355" i="64"/>
  <c r="AO355" i="64"/>
  <c r="AP355" i="64"/>
  <c r="AQ355" i="64"/>
  <c r="AR355" i="64"/>
  <c r="AS355" i="64"/>
  <c r="AT355" i="64"/>
  <c r="AU355" i="64"/>
  <c r="AW355" i="64"/>
  <c r="AX355" i="64"/>
  <c r="AY355" i="64"/>
  <c r="BA355" i="64"/>
  <c r="A356" i="64"/>
  <c r="B356" i="64"/>
  <c r="D356" i="64"/>
  <c r="E356" i="64"/>
  <c r="F356" i="64"/>
  <c r="G356" i="64"/>
  <c r="H356" i="64"/>
  <c r="J356" i="64"/>
  <c r="K356" i="64"/>
  <c r="L356" i="64"/>
  <c r="M356" i="64"/>
  <c r="O356" i="64"/>
  <c r="P356" i="64"/>
  <c r="R356" i="64"/>
  <c r="S356" i="64"/>
  <c r="T356" i="64"/>
  <c r="U356" i="64"/>
  <c r="V356" i="64"/>
  <c r="W356" i="64"/>
  <c r="X356" i="64"/>
  <c r="Z356" i="64"/>
  <c r="AA356" i="64"/>
  <c r="AB356" i="64"/>
  <c r="AC356" i="64"/>
  <c r="AD356" i="64"/>
  <c r="AE356" i="64"/>
  <c r="AF356" i="64"/>
  <c r="AG356" i="64"/>
  <c r="AH356" i="64"/>
  <c r="AI356" i="64"/>
  <c r="AJ356" i="64"/>
  <c r="AK356" i="64"/>
  <c r="AL356" i="64"/>
  <c r="AM356" i="64"/>
  <c r="AN356" i="64"/>
  <c r="AO356" i="64"/>
  <c r="AP356" i="64"/>
  <c r="AQ356" i="64"/>
  <c r="AR356" i="64"/>
  <c r="AS356" i="64"/>
  <c r="AT356" i="64"/>
  <c r="AU356" i="64"/>
  <c r="AW356" i="64"/>
  <c r="AX356" i="64"/>
  <c r="AY356" i="64"/>
  <c r="BA356" i="64"/>
  <c r="A357" i="64"/>
  <c r="B357" i="64"/>
  <c r="D357" i="64"/>
  <c r="E357" i="64"/>
  <c r="F357" i="64"/>
  <c r="G357" i="64"/>
  <c r="H357" i="64"/>
  <c r="J357" i="64"/>
  <c r="K357" i="64"/>
  <c r="L357" i="64"/>
  <c r="M357" i="64"/>
  <c r="O357" i="64"/>
  <c r="P357" i="64"/>
  <c r="R357" i="64"/>
  <c r="S357" i="64"/>
  <c r="T357" i="64"/>
  <c r="U357" i="64"/>
  <c r="V357" i="64"/>
  <c r="W357" i="64"/>
  <c r="X357" i="64"/>
  <c r="Z357" i="64"/>
  <c r="AA357" i="64"/>
  <c r="AB357" i="64"/>
  <c r="AC357" i="64"/>
  <c r="AD357" i="64"/>
  <c r="AE357" i="64"/>
  <c r="AF357" i="64"/>
  <c r="AG357" i="64"/>
  <c r="AH357" i="64"/>
  <c r="AI357" i="64"/>
  <c r="AJ357" i="64"/>
  <c r="AK357" i="64"/>
  <c r="AL357" i="64"/>
  <c r="AM357" i="64"/>
  <c r="AN357" i="64"/>
  <c r="AO357" i="64"/>
  <c r="AP357" i="64"/>
  <c r="AQ357" i="64"/>
  <c r="AR357" i="64"/>
  <c r="AS357" i="64"/>
  <c r="AT357" i="64"/>
  <c r="AU357" i="64"/>
  <c r="AW357" i="64"/>
  <c r="AX357" i="64"/>
  <c r="AY357" i="64"/>
  <c r="BA357" i="64"/>
  <c r="A358" i="64"/>
  <c r="B358" i="64"/>
  <c r="D358" i="64"/>
  <c r="E358" i="64"/>
  <c r="F358" i="64"/>
  <c r="G358" i="64"/>
  <c r="H358" i="64"/>
  <c r="J358" i="64"/>
  <c r="K358" i="64"/>
  <c r="L358" i="64"/>
  <c r="M358" i="64"/>
  <c r="O358" i="64"/>
  <c r="P358" i="64"/>
  <c r="R358" i="64"/>
  <c r="S358" i="64"/>
  <c r="T358" i="64"/>
  <c r="U358" i="64"/>
  <c r="V358" i="64"/>
  <c r="W358" i="64"/>
  <c r="X358" i="64"/>
  <c r="Z358" i="64"/>
  <c r="AA358" i="64"/>
  <c r="AB358" i="64"/>
  <c r="AC358" i="64"/>
  <c r="AD358" i="64"/>
  <c r="AE358" i="64"/>
  <c r="AF358" i="64"/>
  <c r="AG358" i="64"/>
  <c r="AH358" i="64"/>
  <c r="AI358" i="64"/>
  <c r="AJ358" i="64"/>
  <c r="AK358" i="64"/>
  <c r="AL358" i="64"/>
  <c r="AM358" i="64"/>
  <c r="AN358" i="64"/>
  <c r="AO358" i="64"/>
  <c r="AP358" i="64"/>
  <c r="AQ358" i="64"/>
  <c r="AR358" i="64"/>
  <c r="AS358" i="64"/>
  <c r="AT358" i="64"/>
  <c r="AU358" i="64"/>
  <c r="AW358" i="64"/>
  <c r="AX358" i="64"/>
  <c r="AY358" i="64"/>
  <c r="BA358" i="64"/>
  <c r="A359" i="64"/>
  <c r="B359" i="64"/>
  <c r="D359" i="64"/>
  <c r="E359" i="64"/>
  <c r="F359" i="64"/>
  <c r="G359" i="64"/>
  <c r="H359" i="64"/>
  <c r="J359" i="64"/>
  <c r="K359" i="64"/>
  <c r="L359" i="64"/>
  <c r="M359" i="64"/>
  <c r="O359" i="64"/>
  <c r="P359" i="64"/>
  <c r="R359" i="64"/>
  <c r="S359" i="64"/>
  <c r="T359" i="64"/>
  <c r="U359" i="64"/>
  <c r="V359" i="64"/>
  <c r="W359" i="64"/>
  <c r="X359" i="64"/>
  <c r="Z359" i="64"/>
  <c r="AA359" i="64"/>
  <c r="AB359" i="64"/>
  <c r="AC359" i="64"/>
  <c r="AD359" i="64"/>
  <c r="AE359" i="64"/>
  <c r="AF359" i="64"/>
  <c r="AG359" i="64"/>
  <c r="AH359" i="64"/>
  <c r="AI359" i="64"/>
  <c r="AJ359" i="64"/>
  <c r="AK359" i="64"/>
  <c r="AL359" i="64"/>
  <c r="AM359" i="64"/>
  <c r="AN359" i="64"/>
  <c r="AO359" i="64"/>
  <c r="AP359" i="64"/>
  <c r="AQ359" i="64"/>
  <c r="AR359" i="64"/>
  <c r="AS359" i="64"/>
  <c r="AT359" i="64"/>
  <c r="AU359" i="64"/>
  <c r="AW359" i="64"/>
  <c r="AX359" i="64"/>
  <c r="AY359" i="64"/>
  <c r="BA359" i="64"/>
  <c r="A360" i="64"/>
  <c r="B360" i="64"/>
  <c r="D360" i="64"/>
  <c r="E360" i="64"/>
  <c r="F360" i="64"/>
  <c r="G360" i="64"/>
  <c r="H360" i="64"/>
  <c r="J360" i="64"/>
  <c r="K360" i="64"/>
  <c r="L360" i="64"/>
  <c r="M360" i="64"/>
  <c r="O360" i="64"/>
  <c r="P360" i="64"/>
  <c r="R360" i="64"/>
  <c r="S360" i="64"/>
  <c r="T360" i="64"/>
  <c r="U360" i="64"/>
  <c r="V360" i="64"/>
  <c r="W360" i="64"/>
  <c r="X360" i="64"/>
  <c r="Z360" i="64"/>
  <c r="AA360" i="64"/>
  <c r="AB360" i="64"/>
  <c r="AC360" i="64"/>
  <c r="AD360" i="64"/>
  <c r="AE360" i="64"/>
  <c r="AF360" i="64"/>
  <c r="AG360" i="64"/>
  <c r="AH360" i="64"/>
  <c r="AI360" i="64"/>
  <c r="AJ360" i="64"/>
  <c r="AK360" i="64"/>
  <c r="AL360" i="64"/>
  <c r="AM360" i="64"/>
  <c r="AN360" i="64"/>
  <c r="AO360" i="64"/>
  <c r="AP360" i="64"/>
  <c r="AQ360" i="64"/>
  <c r="AR360" i="64"/>
  <c r="AS360" i="64"/>
  <c r="AT360" i="64"/>
  <c r="AU360" i="64"/>
  <c r="AW360" i="64"/>
  <c r="AX360" i="64"/>
  <c r="AY360" i="64"/>
  <c r="BA360" i="64"/>
  <c r="A361" i="64"/>
  <c r="B361" i="64"/>
  <c r="D361" i="64"/>
  <c r="E361" i="64"/>
  <c r="F361" i="64"/>
  <c r="G361" i="64"/>
  <c r="H361" i="64"/>
  <c r="J361" i="64"/>
  <c r="K361" i="64"/>
  <c r="L361" i="64"/>
  <c r="M361" i="64"/>
  <c r="O361" i="64"/>
  <c r="P361" i="64"/>
  <c r="R361" i="64"/>
  <c r="S361" i="64"/>
  <c r="T361" i="64"/>
  <c r="U361" i="64"/>
  <c r="V361" i="64"/>
  <c r="W361" i="64"/>
  <c r="X361" i="64"/>
  <c r="Z361" i="64"/>
  <c r="AA361" i="64"/>
  <c r="AB361" i="64"/>
  <c r="AC361" i="64"/>
  <c r="AD361" i="64"/>
  <c r="AE361" i="64"/>
  <c r="AF361" i="64"/>
  <c r="AG361" i="64"/>
  <c r="AH361" i="64"/>
  <c r="AI361" i="64"/>
  <c r="AJ361" i="64"/>
  <c r="AK361" i="64"/>
  <c r="AL361" i="64"/>
  <c r="AM361" i="64"/>
  <c r="AN361" i="64"/>
  <c r="AO361" i="64"/>
  <c r="AP361" i="64"/>
  <c r="AQ361" i="64"/>
  <c r="AR361" i="64"/>
  <c r="AS361" i="64"/>
  <c r="AT361" i="64"/>
  <c r="AU361" i="64"/>
  <c r="AW361" i="64"/>
  <c r="AX361" i="64"/>
  <c r="AY361" i="64"/>
  <c r="BA361" i="64"/>
  <c r="A362" i="64"/>
  <c r="B362" i="64"/>
  <c r="D362" i="64"/>
  <c r="E362" i="64"/>
  <c r="F362" i="64"/>
  <c r="G362" i="64"/>
  <c r="H362" i="64"/>
  <c r="J362" i="64"/>
  <c r="K362" i="64"/>
  <c r="L362" i="64"/>
  <c r="M362" i="64"/>
  <c r="O362" i="64"/>
  <c r="P362" i="64"/>
  <c r="R362" i="64"/>
  <c r="S362" i="64"/>
  <c r="T362" i="64"/>
  <c r="U362" i="64"/>
  <c r="V362" i="64"/>
  <c r="W362" i="64"/>
  <c r="X362" i="64"/>
  <c r="Z362" i="64"/>
  <c r="AA362" i="64"/>
  <c r="AB362" i="64"/>
  <c r="AC362" i="64"/>
  <c r="AD362" i="64"/>
  <c r="AE362" i="64"/>
  <c r="AF362" i="64"/>
  <c r="AG362" i="64"/>
  <c r="AH362" i="64"/>
  <c r="AI362" i="64"/>
  <c r="AJ362" i="64"/>
  <c r="AK362" i="64"/>
  <c r="AL362" i="64"/>
  <c r="AM362" i="64"/>
  <c r="AN362" i="64"/>
  <c r="AO362" i="64"/>
  <c r="AP362" i="64"/>
  <c r="AQ362" i="64"/>
  <c r="AR362" i="64"/>
  <c r="AS362" i="64"/>
  <c r="AT362" i="64"/>
  <c r="AU362" i="64"/>
  <c r="AW362" i="64"/>
  <c r="AX362" i="64"/>
  <c r="AY362" i="64"/>
  <c r="BA362" i="64"/>
  <c r="A363" i="64"/>
  <c r="B363" i="64"/>
  <c r="D363" i="64"/>
  <c r="E363" i="64"/>
  <c r="F363" i="64"/>
  <c r="G363" i="64"/>
  <c r="H363" i="64"/>
  <c r="J363" i="64"/>
  <c r="K363" i="64"/>
  <c r="L363" i="64"/>
  <c r="M363" i="64"/>
  <c r="O363" i="64"/>
  <c r="P363" i="64"/>
  <c r="R363" i="64"/>
  <c r="S363" i="64"/>
  <c r="T363" i="64"/>
  <c r="U363" i="64"/>
  <c r="V363" i="64"/>
  <c r="W363" i="64"/>
  <c r="X363" i="64"/>
  <c r="Z363" i="64"/>
  <c r="AA363" i="64"/>
  <c r="AB363" i="64"/>
  <c r="AC363" i="64"/>
  <c r="AD363" i="64"/>
  <c r="AE363" i="64"/>
  <c r="AF363" i="64"/>
  <c r="AG363" i="64"/>
  <c r="AH363" i="64"/>
  <c r="AI363" i="64"/>
  <c r="AJ363" i="64"/>
  <c r="AK363" i="64"/>
  <c r="AL363" i="64"/>
  <c r="AM363" i="64"/>
  <c r="AN363" i="64"/>
  <c r="AO363" i="64"/>
  <c r="AP363" i="64"/>
  <c r="AQ363" i="64"/>
  <c r="AR363" i="64"/>
  <c r="AS363" i="64"/>
  <c r="AT363" i="64"/>
  <c r="AU363" i="64"/>
  <c r="AW363" i="64"/>
  <c r="AX363" i="64"/>
  <c r="AY363" i="64"/>
  <c r="BA363" i="64"/>
  <c r="A364" i="64"/>
  <c r="B364" i="64"/>
  <c r="D364" i="64"/>
  <c r="E364" i="64"/>
  <c r="F364" i="64"/>
  <c r="G364" i="64"/>
  <c r="H364" i="64"/>
  <c r="J364" i="64"/>
  <c r="K364" i="64"/>
  <c r="L364" i="64"/>
  <c r="M364" i="64"/>
  <c r="O364" i="64"/>
  <c r="P364" i="64"/>
  <c r="R364" i="64"/>
  <c r="S364" i="64"/>
  <c r="T364" i="64"/>
  <c r="U364" i="64"/>
  <c r="V364" i="64"/>
  <c r="W364" i="64"/>
  <c r="X364" i="64"/>
  <c r="Z364" i="64"/>
  <c r="AA364" i="64"/>
  <c r="AB364" i="64"/>
  <c r="AC364" i="64"/>
  <c r="AD364" i="64"/>
  <c r="AE364" i="64"/>
  <c r="AF364" i="64"/>
  <c r="AG364" i="64"/>
  <c r="AH364" i="64"/>
  <c r="AI364" i="64"/>
  <c r="AJ364" i="64"/>
  <c r="AK364" i="64"/>
  <c r="AL364" i="64"/>
  <c r="AM364" i="64"/>
  <c r="AN364" i="64"/>
  <c r="AO364" i="64"/>
  <c r="AP364" i="64"/>
  <c r="AQ364" i="64"/>
  <c r="AR364" i="64"/>
  <c r="AS364" i="64"/>
  <c r="AT364" i="64"/>
  <c r="AU364" i="64"/>
  <c r="AW364" i="64"/>
  <c r="AX364" i="64"/>
  <c r="AY364" i="64"/>
  <c r="BA364" i="64"/>
  <c r="A365" i="64"/>
  <c r="B365" i="64"/>
  <c r="D365" i="64"/>
  <c r="E365" i="64"/>
  <c r="F365" i="64"/>
  <c r="G365" i="64"/>
  <c r="H365" i="64"/>
  <c r="J365" i="64"/>
  <c r="K365" i="64"/>
  <c r="L365" i="64"/>
  <c r="M365" i="64"/>
  <c r="O365" i="64"/>
  <c r="P365" i="64"/>
  <c r="R365" i="64"/>
  <c r="S365" i="64"/>
  <c r="T365" i="64"/>
  <c r="U365" i="64"/>
  <c r="V365" i="64"/>
  <c r="W365" i="64"/>
  <c r="X365" i="64"/>
  <c r="Z365" i="64"/>
  <c r="AA365" i="64"/>
  <c r="AB365" i="64"/>
  <c r="AC365" i="64"/>
  <c r="AD365" i="64"/>
  <c r="AE365" i="64"/>
  <c r="AF365" i="64"/>
  <c r="AG365" i="64"/>
  <c r="AH365" i="64"/>
  <c r="AI365" i="64"/>
  <c r="AJ365" i="64"/>
  <c r="AK365" i="64"/>
  <c r="AL365" i="64"/>
  <c r="AM365" i="64"/>
  <c r="AN365" i="64"/>
  <c r="AO365" i="64"/>
  <c r="AP365" i="64"/>
  <c r="AQ365" i="64"/>
  <c r="AR365" i="64"/>
  <c r="AS365" i="64"/>
  <c r="AT365" i="64"/>
  <c r="AU365" i="64"/>
  <c r="AW365" i="64"/>
  <c r="AX365" i="64"/>
  <c r="AY365" i="64"/>
  <c r="BA365" i="64"/>
  <c r="A366" i="64"/>
  <c r="B366" i="64"/>
  <c r="D366" i="64"/>
  <c r="E366" i="64"/>
  <c r="F366" i="64"/>
  <c r="G366" i="64"/>
  <c r="H366" i="64"/>
  <c r="J366" i="64"/>
  <c r="K366" i="64"/>
  <c r="L366" i="64"/>
  <c r="M366" i="64"/>
  <c r="O366" i="64"/>
  <c r="P366" i="64"/>
  <c r="R366" i="64"/>
  <c r="S366" i="64"/>
  <c r="T366" i="64"/>
  <c r="U366" i="64"/>
  <c r="V366" i="64"/>
  <c r="W366" i="64"/>
  <c r="X366" i="64"/>
  <c r="Z366" i="64"/>
  <c r="AA366" i="64"/>
  <c r="AB366" i="64"/>
  <c r="AC366" i="64"/>
  <c r="AD366" i="64"/>
  <c r="AE366" i="64"/>
  <c r="AF366" i="64"/>
  <c r="AG366" i="64"/>
  <c r="AH366" i="64"/>
  <c r="AI366" i="64"/>
  <c r="AJ366" i="64"/>
  <c r="AK366" i="64"/>
  <c r="AL366" i="64"/>
  <c r="AM366" i="64"/>
  <c r="AN366" i="64"/>
  <c r="AO366" i="64"/>
  <c r="AP366" i="64"/>
  <c r="AQ366" i="64"/>
  <c r="AR366" i="64"/>
  <c r="AS366" i="64"/>
  <c r="AT366" i="64"/>
  <c r="AU366" i="64"/>
  <c r="AW366" i="64"/>
  <c r="AX366" i="64"/>
  <c r="AY366" i="64"/>
  <c r="BA366" i="64"/>
  <c r="A367" i="64"/>
  <c r="B367" i="64"/>
  <c r="D367" i="64"/>
  <c r="E367" i="64"/>
  <c r="F367" i="64"/>
  <c r="G367" i="64"/>
  <c r="H367" i="64"/>
  <c r="J367" i="64"/>
  <c r="K367" i="64"/>
  <c r="L367" i="64"/>
  <c r="M367" i="64"/>
  <c r="O367" i="64"/>
  <c r="P367" i="64"/>
  <c r="R367" i="64"/>
  <c r="S367" i="64"/>
  <c r="T367" i="64"/>
  <c r="U367" i="64"/>
  <c r="V367" i="64"/>
  <c r="W367" i="64"/>
  <c r="X367" i="64"/>
  <c r="Z367" i="64"/>
  <c r="AA367" i="64"/>
  <c r="AB367" i="64"/>
  <c r="AC367" i="64"/>
  <c r="AD367" i="64"/>
  <c r="AE367" i="64"/>
  <c r="AF367" i="64"/>
  <c r="AG367" i="64"/>
  <c r="AH367" i="64"/>
  <c r="AI367" i="64"/>
  <c r="AJ367" i="64"/>
  <c r="AK367" i="64"/>
  <c r="AL367" i="64"/>
  <c r="AM367" i="64"/>
  <c r="AN367" i="64"/>
  <c r="AO367" i="64"/>
  <c r="AP367" i="64"/>
  <c r="AQ367" i="64"/>
  <c r="AR367" i="64"/>
  <c r="AS367" i="64"/>
  <c r="AT367" i="64"/>
  <c r="AU367" i="64"/>
  <c r="AW367" i="64"/>
  <c r="AX367" i="64"/>
  <c r="AY367" i="64"/>
  <c r="BA367" i="64"/>
  <c r="A368" i="64"/>
  <c r="B368" i="64"/>
  <c r="D368" i="64"/>
  <c r="E368" i="64"/>
  <c r="F368" i="64"/>
  <c r="G368" i="64"/>
  <c r="H368" i="64"/>
  <c r="J368" i="64"/>
  <c r="K368" i="64"/>
  <c r="L368" i="64"/>
  <c r="M368" i="64"/>
  <c r="O368" i="64"/>
  <c r="P368" i="64"/>
  <c r="R368" i="64"/>
  <c r="S368" i="64"/>
  <c r="T368" i="64"/>
  <c r="U368" i="64"/>
  <c r="V368" i="64"/>
  <c r="W368" i="64"/>
  <c r="X368" i="64"/>
  <c r="Z368" i="64"/>
  <c r="AA368" i="64"/>
  <c r="AB368" i="64"/>
  <c r="AC368" i="64"/>
  <c r="AD368" i="64"/>
  <c r="AE368" i="64"/>
  <c r="AF368" i="64"/>
  <c r="AG368" i="64"/>
  <c r="AH368" i="64"/>
  <c r="AI368" i="64"/>
  <c r="AJ368" i="64"/>
  <c r="AK368" i="64"/>
  <c r="AL368" i="64"/>
  <c r="AM368" i="64"/>
  <c r="AN368" i="64"/>
  <c r="AO368" i="64"/>
  <c r="AP368" i="64"/>
  <c r="AQ368" i="64"/>
  <c r="AR368" i="64"/>
  <c r="AS368" i="64"/>
  <c r="AT368" i="64"/>
  <c r="AU368" i="64"/>
  <c r="AW368" i="64"/>
  <c r="AX368" i="64"/>
  <c r="AY368" i="64"/>
  <c r="BA368" i="64"/>
  <c r="A369" i="64"/>
  <c r="B369" i="64"/>
  <c r="D369" i="64"/>
  <c r="E369" i="64"/>
  <c r="F369" i="64"/>
  <c r="G369" i="64"/>
  <c r="H369" i="64"/>
  <c r="J369" i="64"/>
  <c r="K369" i="64"/>
  <c r="L369" i="64"/>
  <c r="M369" i="64"/>
  <c r="O369" i="64"/>
  <c r="P369" i="64"/>
  <c r="R369" i="64"/>
  <c r="S369" i="64"/>
  <c r="T369" i="64"/>
  <c r="U369" i="64"/>
  <c r="V369" i="64"/>
  <c r="W369" i="64"/>
  <c r="X369" i="64"/>
  <c r="Z369" i="64"/>
  <c r="AA369" i="64"/>
  <c r="AB369" i="64"/>
  <c r="AC369" i="64"/>
  <c r="AD369" i="64"/>
  <c r="AE369" i="64"/>
  <c r="AF369" i="64"/>
  <c r="AG369" i="64"/>
  <c r="AH369" i="64"/>
  <c r="AI369" i="64"/>
  <c r="AJ369" i="64"/>
  <c r="AK369" i="64"/>
  <c r="AL369" i="64"/>
  <c r="AM369" i="64"/>
  <c r="AN369" i="64"/>
  <c r="AO369" i="64"/>
  <c r="AP369" i="64"/>
  <c r="AQ369" i="64"/>
  <c r="AR369" i="64"/>
  <c r="AS369" i="64"/>
  <c r="AT369" i="64"/>
  <c r="AU369" i="64"/>
  <c r="AW369" i="64"/>
  <c r="AX369" i="64"/>
  <c r="AY369" i="64"/>
  <c r="BA369" i="64"/>
  <c r="A370" i="64"/>
  <c r="B370" i="64"/>
  <c r="D370" i="64"/>
  <c r="E370" i="64"/>
  <c r="F370" i="64"/>
  <c r="G370" i="64"/>
  <c r="H370" i="64"/>
  <c r="J370" i="64"/>
  <c r="K370" i="64"/>
  <c r="L370" i="64"/>
  <c r="M370" i="64"/>
  <c r="O370" i="64"/>
  <c r="P370" i="64"/>
  <c r="R370" i="64"/>
  <c r="S370" i="64"/>
  <c r="T370" i="64"/>
  <c r="U370" i="64"/>
  <c r="V370" i="64"/>
  <c r="W370" i="64"/>
  <c r="X370" i="64"/>
  <c r="AO370" i="64"/>
  <c r="AP370" i="64"/>
  <c r="AQ370" i="64"/>
  <c r="AR370" i="64"/>
  <c r="AS370" i="64"/>
  <c r="AT370" i="64"/>
  <c r="AU370" i="64"/>
  <c r="AW370" i="64"/>
  <c r="AX370" i="64"/>
  <c r="AY370" i="64"/>
  <c r="BA370" i="64"/>
  <c r="A371" i="64"/>
  <c r="B371" i="64"/>
  <c r="D371" i="64"/>
  <c r="E371" i="64"/>
  <c r="F371" i="64"/>
  <c r="G371" i="64"/>
  <c r="H371" i="64"/>
  <c r="J371" i="64"/>
  <c r="K371" i="64"/>
  <c r="L371" i="64"/>
  <c r="M371" i="64"/>
  <c r="O371" i="64"/>
  <c r="P371" i="64"/>
  <c r="R371" i="64"/>
  <c r="S371" i="64"/>
  <c r="T371" i="64"/>
  <c r="U371" i="64"/>
  <c r="V371" i="64"/>
  <c r="W371" i="64"/>
  <c r="X371" i="64"/>
  <c r="AO371" i="64"/>
  <c r="AP371" i="64"/>
  <c r="AQ371" i="64"/>
  <c r="AR371" i="64"/>
  <c r="AS371" i="64"/>
  <c r="AT371" i="64"/>
  <c r="AU371" i="64"/>
  <c r="AW371" i="64"/>
  <c r="AX371" i="64"/>
  <c r="AY371" i="64"/>
  <c r="BA371" i="64"/>
  <c r="A372" i="64"/>
  <c r="B372" i="64"/>
  <c r="D372" i="64"/>
  <c r="E372" i="64"/>
  <c r="F372" i="64"/>
  <c r="G372" i="64"/>
  <c r="H372" i="64"/>
  <c r="J372" i="64"/>
  <c r="K372" i="64"/>
  <c r="L372" i="64"/>
  <c r="M372" i="64"/>
  <c r="O372" i="64"/>
  <c r="P372" i="64"/>
  <c r="R372" i="64"/>
  <c r="S372" i="64"/>
  <c r="T372" i="64"/>
  <c r="U372" i="64"/>
  <c r="V372" i="64"/>
  <c r="W372" i="64"/>
  <c r="X372" i="64"/>
  <c r="AO372" i="64"/>
  <c r="AP372" i="64"/>
  <c r="AQ372" i="64"/>
  <c r="AR372" i="64"/>
  <c r="AS372" i="64"/>
  <c r="AT372" i="64"/>
  <c r="AU372" i="64"/>
  <c r="AW372" i="64"/>
  <c r="AX372" i="64"/>
  <c r="AY372" i="64"/>
  <c r="BA372" i="64"/>
  <c r="A373" i="64"/>
  <c r="B373" i="64"/>
  <c r="D373" i="64"/>
  <c r="E373" i="64"/>
  <c r="F373" i="64"/>
  <c r="G373" i="64"/>
  <c r="H373" i="64"/>
  <c r="J373" i="64"/>
  <c r="K373" i="64"/>
  <c r="L373" i="64"/>
  <c r="M373" i="64"/>
  <c r="O373" i="64"/>
  <c r="P373" i="64"/>
  <c r="R373" i="64"/>
  <c r="S373" i="64"/>
  <c r="T373" i="64"/>
  <c r="U373" i="64"/>
  <c r="V373" i="64"/>
  <c r="W373" i="64"/>
  <c r="X373" i="64"/>
  <c r="AO373" i="64"/>
  <c r="AP373" i="64"/>
  <c r="AQ373" i="64"/>
  <c r="AR373" i="64"/>
  <c r="AS373" i="64"/>
  <c r="AT373" i="64"/>
  <c r="AU373" i="64"/>
  <c r="AW373" i="64"/>
  <c r="AX373" i="64"/>
  <c r="AY373" i="64"/>
  <c r="BA373" i="64"/>
  <c r="A374" i="64"/>
  <c r="B374" i="64"/>
  <c r="D374" i="64"/>
  <c r="E374" i="64"/>
  <c r="F374" i="64"/>
  <c r="G374" i="64"/>
  <c r="H374" i="64"/>
  <c r="J374" i="64"/>
  <c r="K374" i="64"/>
  <c r="L374" i="64"/>
  <c r="M374" i="64"/>
  <c r="O374" i="64"/>
  <c r="P374" i="64"/>
  <c r="R374" i="64"/>
  <c r="S374" i="64"/>
  <c r="T374" i="64"/>
  <c r="U374" i="64"/>
  <c r="V374" i="64"/>
  <c r="W374" i="64"/>
  <c r="X374" i="64"/>
  <c r="AO374" i="64"/>
  <c r="AP374" i="64"/>
  <c r="AQ374" i="64"/>
  <c r="AR374" i="64"/>
  <c r="AS374" i="64"/>
  <c r="AT374" i="64"/>
  <c r="AU374" i="64"/>
  <c r="AW374" i="64"/>
  <c r="AX374" i="64"/>
  <c r="AY374" i="64"/>
  <c r="BA374" i="64"/>
  <c r="A375" i="64"/>
  <c r="B375" i="64"/>
  <c r="D375" i="64"/>
  <c r="E375" i="64"/>
  <c r="F375" i="64"/>
  <c r="G375" i="64"/>
  <c r="H375" i="64"/>
  <c r="J375" i="64"/>
  <c r="K375" i="64"/>
  <c r="L375" i="64"/>
  <c r="M375" i="64"/>
  <c r="O375" i="64"/>
  <c r="P375" i="64"/>
  <c r="R375" i="64"/>
  <c r="S375" i="64"/>
  <c r="T375" i="64"/>
  <c r="U375" i="64"/>
  <c r="V375" i="64"/>
  <c r="W375" i="64"/>
  <c r="X375" i="64"/>
  <c r="AO375" i="64"/>
  <c r="AP375" i="64"/>
  <c r="AQ375" i="64"/>
  <c r="AR375" i="64"/>
  <c r="AS375" i="64"/>
  <c r="AT375" i="64"/>
  <c r="AU375" i="64"/>
  <c r="AW375" i="64"/>
  <c r="AX375" i="64"/>
  <c r="AY375" i="64"/>
  <c r="BA375" i="64"/>
  <c r="A376" i="64"/>
  <c r="B376" i="64"/>
  <c r="D376" i="64"/>
  <c r="E376" i="64"/>
  <c r="F376" i="64"/>
  <c r="G376" i="64"/>
  <c r="H376" i="64"/>
  <c r="J376" i="64"/>
  <c r="K376" i="64"/>
  <c r="L376" i="64"/>
  <c r="M376" i="64"/>
  <c r="O376" i="64"/>
  <c r="P376" i="64"/>
  <c r="R376" i="64"/>
  <c r="S376" i="64"/>
  <c r="T376" i="64"/>
  <c r="U376" i="64"/>
  <c r="V376" i="64"/>
  <c r="W376" i="64"/>
  <c r="X376" i="64"/>
  <c r="AO376" i="64"/>
  <c r="AP376" i="64"/>
  <c r="AQ376" i="64"/>
  <c r="AR376" i="64"/>
  <c r="AS376" i="64"/>
  <c r="AT376" i="64"/>
  <c r="AU376" i="64"/>
  <c r="AW376" i="64"/>
  <c r="AX376" i="64"/>
  <c r="AY376" i="64"/>
  <c r="BA376" i="64"/>
  <c r="A377" i="64"/>
  <c r="B377" i="64"/>
  <c r="D377" i="64"/>
  <c r="E377" i="64"/>
  <c r="F377" i="64"/>
  <c r="G377" i="64"/>
  <c r="H377" i="64"/>
  <c r="J377" i="64"/>
  <c r="K377" i="64"/>
  <c r="L377" i="64"/>
  <c r="M377" i="64"/>
  <c r="O377" i="64"/>
  <c r="P377" i="64"/>
  <c r="R377" i="64"/>
  <c r="S377" i="64"/>
  <c r="T377" i="64"/>
  <c r="U377" i="64"/>
  <c r="V377" i="64"/>
  <c r="W377" i="64"/>
  <c r="X377" i="64"/>
  <c r="AO377" i="64"/>
  <c r="AP377" i="64"/>
  <c r="AQ377" i="64"/>
  <c r="AR377" i="64"/>
  <c r="AS377" i="64"/>
  <c r="AT377" i="64"/>
  <c r="AU377" i="64"/>
  <c r="AW377" i="64"/>
  <c r="AX377" i="64"/>
  <c r="AY377" i="64"/>
  <c r="BA377" i="64"/>
  <c r="A378" i="64"/>
  <c r="B378" i="64"/>
  <c r="D378" i="64"/>
  <c r="E378" i="64"/>
  <c r="F378" i="64"/>
  <c r="G378" i="64"/>
  <c r="H378" i="64"/>
  <c r="J378" i="64"/>
  <c r="K378" i="64"/>
  <c r="L378" i="64"/>
  <c r="M378" i="64"/>
  <c r="O378" i="64"/>
  <c r="P378" i="64"/>
  <c r="R378" i="64"/>
  <c r="S378" i="64"/>
  <c r="T378" i="64"/>
  <c r="U378" i="64"/>
  <c r="V378" i="64"/>
  <c r="W378" i="64"/>
  <c r="X378" i="64"/>
  <c r="AO378" i="64"/>
  <c r="AP378" i="64"/>
  <c r="AQ378" i="64"/>
  <c r="AR378" i="64"/>
  <c r="AS378" i="64"/>
  <c r="AT378" i="64"/>
  <c r="AU378" i="64"/>
  <c r="AW378" i="64"/>
  <c r="AX378" i="64"/>
  <c r="AY378" i="64"/>
  <c r="BA378" i="64"/>
  <c r="A379" i="64"/>
  <c r="B379" i="64"/>
  <c r="D379" i="64"/>
  <c r="E379" i="64"/>
  <c r="F379" i="64"/>
  <c r="G379" i="64"/>
  <c r="H379" i="64"/>
  <c r="J379" i="64"/>
  <c r="K379" i="64"/>
  <c r="L379" i="64"/>
  <c r="M379" i="64"/>
  <c r="O379" i="64"/>
  <c r="P379" i="64"/>
  <c r="R379" i="64"/>
  <c r="S379" i="64"/>
  <c r="T379" i="64"/>
  <c r="U379" i="64"/>
  <c r="V379" i="64"/>
  <c r="W379" i="64"/>
  <c r="X379" i="64"/>
  <c r="AO379" i="64"/>
  <c r="AP379" i="64"/>
  <c r="AQ379" i="64"/>
  <c r="AR379" i="64"/>
  <c r="AS379" i="64"/>
  <c r="AT379" i="64"/>
  <c r="AU379" i="64"/>
  <c r="AW379" i="64"/>
  <c r="AX379" i="64"/>
  <c r="AY379" i="64"/>
  <c r="BA379" i="64"/>
  <c r="A380" i="64"/>
  <c r="B380" i="64"/>
  <c r="D380" i="64"/>
  <c r="E380" i="64"/>
  <c r="F380" i="64"/>
  <c r="G380" i="64"/>
  <c r="H380" i="64"/>
  <c r="J380" i="64"/>
  <c r="K380" i="64"/>
  <c r="L380" i="64"/>
  <c r="M380" i="64"/>
  <c r="O380" i="64"/>
  <c r="P380" i="64"/>
  <c r="R380" i="64"/>
  <c r="S380" i="64"/>
  <c r="T380" i="64"/>
  <c r="U380" i="64"/>
  <c r="V380" i="64"/>
  <c r="W380" i="64"/>
  <c r="X380" i="64"/>
  <c r="AO380" i="64"/>
  <c r="AP380" i="64"/>
  <c r="AQ380" i="64"/>
  <c r="AR380" i="64"/>
  <c r="AS380" i="64"/>
  <c r="AT380" i="64"/>
  <c r="AU380" i="64"/>
  <c r="AW380" i="64"/>
  <c r="AX380" i="64"/>
  <c r="AY380" i="64"/>
  <c r="BA380" i="64"/>
  <c r="A381" i="64"/>
  <c r="B381" i="64"/>
  <c r="D381" i="64"/>
  <c r="E381" i="64"/>
  <c r="F381" i="64"/>
  <c r="G381" i="64"/>
  <c r="H381" i="64"/>
  <c r="J381" i="64"/>
  <c r="K381" i="64"/>
  <c r="L381" i="64"/>
  <c r="M381" i="64"/>
  <c r="O381" i="64"/>
  <c r="P381" i="64"/>
  <c r="R381" i="64"/>
  <c r="S381" i="64"/>
  <c r="T381" i="64"/>
  <c r="U381" i="64"/>
  <c r="V381" i="64"/>
  <c r="W381" i="64"/>
  <c r="X381" i="64"/>
  <c r="AO381" i="64"/>
  <c r="AP381" i="64"/>
  <c r="AQ381" i="64"/>
  <c r="AR381" i="64"/>
  <c r="AS381" i="64"/>
  <c r="AT381" i="64"/>
  <c r="AU381" i="64"/>
  <c r="AW381" i="64"/>
  <c r="AX381" i="64"/>
  <c r="AY381" i="64"/>
  <c r="BA381" i="64"/>
  <c r="A382" i="64"/>
  <c r="B382" i="64"/>
  <c r="D382" i="64"/>
  <c r="E382" i="64"/>
  <c r="F382" i="64"/>
  <c r="G382" i="64"/>
  <c r="H382" i="64"/>
  <c r="J382" i="64"/>
  <c r="K382" i="64"/>
  <c r="L382" i="64"/>
  <c r="M382" i="64"/>
  <c r="O382" i="64"/>
  <c r="P382" i="64"/>
  <c r="R382" i="64"/>
  <c r="S382" i="64"/>
  <c r="T382" i="64"/>
  <c r="U382" i="64"/>
  <c r="V382" i="64"/>
  <c r="W382" i="64"/>
  <c r="X382" i="64"/>
  <c r="AO382" i="64"/>
  <c r="AP382" i="64"/>
  <c r="AQ382" i="64"/>
  <c r="AR382" i="64"/>
  <c r="AS382" i="64"/>
  <c r="AT382" i="64"/>
  <c r="AU382" i="64"/>
  <c r="AW382" i="64"/>
  <c r="AX382" i="64"/>
  <c r="AY382" i="64"/>
  <c r="BA382" i="64"/>
  <c r="A383" i="64"/>
  <c r="B383" i="64"/>
  <c r="D383" i="64"/>
  <c r="E383" i="64"/>
  <c r="F383" i="64"/>
  <c r="G383" i="64"/>
  <c r="H383" i="64"/>
  <c r="J383" i="64"/>
  <c r="K383" i="64"/>
  <c r="L383" i="64"/>
  <c r="M383" i="64"/>
  <c r="O383" i="64"/>
  <c r="P383" i="64"/>
  <c r="R383" i="64"/>
  <c r="S383" i="64"/>
  <c r="T383" i="64"/>
  <c r="U383" i="64"/>
  <c r="V383" i="64"/>
  <c r="W383" i="64"/>
  <c r="X383" i="64"/>
  <c r="AO383" i="64"/>
  <c r="AP383" i="64"/>
  <c r="AQ383" i="64"/>
  <c r="AR383" i="64"/>
  <c r="AS383" i="64"/>
  <c r="AT383" i="64"/>
  <c r="AU383" i="64"/>
  <c r="AW383" i="64"/>
  <c r="AX383" i="64"/>
  <c r="AY383" i="64"/>
  <c r="BA383" i="64"/>
  <c r="A384" i="64"/>
  <c r="B384" i="64"/>
  <c r="D384" i="64"/>
  <c r="E384" i="64"/>
  <c r="F384" i="64"/>
  <c r="G384" i="64"/>
  <c r="H384" i="64"/>
  <c r="J384" i="64"/>
  <c r="K384" i="64"/>
  <c r="L384" i="64"/>
  <c r="M384" i="64"/>
  <c r="O384" i="64"/>
  <c r="P384" i="64"/>
  <c r="R384" i="64"/>
  <c r="S384" i="64"/>
  <c r="T384" i="64"/>
  <c r="U384" i="64"/>
  <c r="V384" i="64"/>
  <c r="W384" i="64"/>
  <c r="X384" i="64"/>
  <c r="AO384" i="64"/>
  <c r="AP384" i="64"/>
  <c r="AQ384" i="64"/>
  <c r="AR384" i="64"/>
  <c r="AS384" i="64"/>
  <c r="AT384" i="64"/>
  <c r="AU384" i="64"/>
  <c r="AW384" i="64"/>
  <c r="AX384" i="64"/>
  <c r="AY384" i="64"/>
  <c r="BA384" i="64"/>
  <c r="A385" i="64"/>
  <c r="B385" i="64"/>
  <c r="D385" i="64"/>
  <c r="E385" i="64"/>
  <c r="F385" i="64"/>
  <c r="G385" i="64"/>
  <c r="H385" i="64"/>
  <c r="J385" i="64"/>
  <c r="K385" i="64"/>
  <c r="L385" i="64"/>
  <c r="M385" i="64"/>
  <c r="O385" i="64"/>
  <c r="P385" i="64"/>
  <c r="R385" i="64"/>
  <c r="S385" i="64"/>
  <c r="T385" i="64"/>
  <c r="U385" i="64"/>
  <c r="V385" i="64"/>
  <c r="W385" i="64"/>
  <c r="X385" i="64"/>
  <c r="AO385" i="64"/>
  <c r="AP385" i="64"/>
  <c r="AQ385" i="64"/>
  <c r="AR385" i="64"/>
  <c r="AS385" i="64"/>
  <c r="AT385" i="64"/>
  <c r="AU385" i="64"/>
  <c r="AW385" i="64"/>
  <c r="AX385" i="64"/>
  <c r="AY385" i="64"/>
  <c r="BA385" i="64"/>
  <c r="A386" i="64"/>
  <c r="B386" i="64"/>
  <c r="D386" i="64"/>
  <c r="E386" i="64"/>
  <c r="F386" i="64"/>
  <c r="G386" i="64"/>
  <c r="H386" i="64"/>
  <c r="J386" i="64"/>
  <c r="K386" i="64"/>
  <c r="L386" i="64"/>
  <c r="M386" i="64"/>
  <c r="O386" i="64"/>
  <c r="P386" i="64"/>
  <c r="R386" i="64"/>
  <c r="S386" i="64"/>
  <c r="T386" i="64"/>
  <c r="U386" i="64"/>
  <c r="V386" i="64"/>
  <c r="W386" i="64"/>
  <c r="X386" i="64"/>
  <c r="AO386" i="64"/>
  <c r="AP386" i="64"/>
  <c r="AQ386" i="64"/>
  <c r="AR386" i="64"/>
  <c r="AS386" i="64"/>
  <c r="AT386" i="64"/>
  <c r="AU386" i="64"/>
  <c r="AW386" i="64"/>
  <c r="AX386" i="64"/>
  <c r="AY386" i="64"/>
  <c r="BA386" i="64"/>
  <c r="A387" i="64"/>
  <c r="B387" i="64"/>
  <c r="D387" i="64"/>
  <c r="E387" i="64"/>
  <c r="F387" i="64"/>
  <c r="G387" i="64"/>
  <c r="H387" i="64"/>
  <c r="J387" i="64"/>
  <c r="K387" i="64"/>
  <c r="L387" i="64"/>
  <c r="M387" i="64"/>
  <c r="O387" i="64"/>
  <c r="P387" i="64"/>
  <c r="R387" i="64"/>
  <c r="S387" i="64"/>
  <c r="T387" i="64"/>
  <c r="U387" i="64"/>
  <c r="V387" i="64"/>
  <c r="W387" i="64"/>
  <c r="X387" i="64"/>
  <c r="AO387" i="64"/>
  <c r="AP387" i="64"/>
  <c r="AQ387" i="64"/>
  <c r="AR387" i="64"/>
  <c r="AS387" i="64"/>
  <c r="AT387" i="64"/>
  <c r="AU387" i="64"/>
  <c r="AW387" i="64"/>
  <c r="AX387" i="64"/>
  <c r="AY387" i="64"/>
  <c r="BA387" i="64"/>
  <c r="A388" i="64"/>
  <c r="B388" i="64"/>
  <c r="D388" i="64"/>
  <c r="E388" i="64"/>
  <c r="F388" i="64"/>
  <c r="G388" i="64"/>
  <c r="H388" i="64"/>
  <c r="J388" i="64"/>
  <c r="K388" i="64"/>
  <c r="L388" i="64"/>
  <c r="M388" i="64"/>
  <c r="O388" i="64"/>
  <c r="P388" i="64"/>
  <c r="R388" i="64"/>
  <c r="S388" i="64"/>
  <c r="T388" i="64"/>
  <c r="U388" i="64"/>
  <c r="V388" i="64"/>
  <c r="W388" i="64"/>
  <c r="X388" i="64"/>
  <c r="AO388" i="64"/>
  <c r="AP388" i="64"/>
  <c r="AQ388" i="64"/>
  <c r="AR388" i="64"/>
  <c r="AS388" i="64"/>
  <c r="AT388" i="64"/>
  <c r="AU388" i="64"/>
  <c r="AW388" i="64"/>
  <c r="AX388" i="64"/>
  <c r="AY388" i="64"/>
  <c r="BA388" i="64"/>
  <c r="A389" i="64"/>
  <c r="B389" i="64"/>
  <c r="D389" i="64"/>
  <c r="E389" i="64"/>
  <c r="F389" i="64"/>
  <c r="G389" i="64"/>
  <c r="H389" i="64"/>
  <c r="J389" i="64"/>
  <c r="K389" i="64"/>
  <c r="L389" i="64"/>
  <c r="M389" i="64"/>
  <c r="O389" i="64"/>
  <c r="P389" i="64"/>
  <c r="R389" i="64"/>
  <c r="S389" i="64"/>
  <c r="T389" i="64"/>
  <c r="U389" i="64"/>
  <c r="V389" i="64"/>
  <c r="W389" i="64"/>
  <c r="X389" i="64"/>
  <c r="AO389" i="64"/>
  <c r="AP389" i="64"/>
  <c r="AQ389" i="64"/>
  <c r="AR389" i="64"/>
  <c r="AS389" i="64"/>
  <c r="AT389" i="64"/>
  <c r="AU389" i="64"/>
  <c r="AW389" i="64"/>
  <c r="AX389" i="64"/>
  <c r="AY389" i="64"/>
  <c r="BA389" i="64"/>
  <c r="A390" i="64"/>
  <c r="B390" i="64"/>
  <c r="D390" i="64"/>
  <c r="E390" i="64"/>
  <c r="F390" i="64"/>
  <c r="G390" i="64"/>
  <c r="H390" i="64"/>
  <c r="J390" i="64"/>
  <c r="K390" i="64"/>
  <c r="L390" i="64"/>
  <c r="M390" i="64"/>
  <c r="O390" i="64"/>
  <c r="P390" i="64"/>
  <c r="R390" i="64"/>
  <c r="S390" i="64"/>
  <c r="T390" i="64"/>
  <c r="U390" i="64"/>
  <c r="V390" i="64"/>
  <c r="W390" i="64"/>
  <c r="X390" i="64"/>
  <c r="AO390" i="64"/>
  <c r="AP390" i="64"/>
  <c r="AQ390" i="64"/>
  <c r="AR390" i="64"/>
  <c r="AS390" i="64"/>
  <c r="AT390" i="64"/>
  <c r="AU390" i="64"/>
  <c r="AW390" i="64"/>
  <c r="AX390" i="64"/>
  <c r="AY390" i="64"/>
  <c r="BA390" i="64"/>
  <c r="A391" i="64"/>
  <c r="B391" i="64"/>
  <c r="D391" i="64"/>
  <c r="E391" i="64"/>
  <c r="F391" i="64"/>
  <c r="G391" i="64"/>
  <c r="H391" i="64"/>
  <c r="J391" i="64"/>
  <c r="K391" i="64"/>
  <c r="L391" i="64"/>
  <c r="M391" i="64"/>
  <c r="O391" i="64"/>
  <c r="P391" i="64"/>
  <c r="R391" i="64"/>
  <c r="S391" i="64"/>
  <c r="T391" i="64"/>
  <c r="U391" i="64"/>
  <c r="V391" i="64"/>
  <c r="W391" i="64"/>
  <c r="X391" i="64"/>
  <c r="AO391" i="64"/>
  <c r="AP391" i="64"/>
  <c r="AQ391" i="64"/>
  <c r="AR391" i="64"/>
  <c r="AS391" i="64"/>
  <c r="AT391" i="64"/>
  <c r="AU391" i="64"/>
  <c r="AW391" i="64"/>
  <c r="AX391" i="64"/>
  <c r="AY391" i="64"/>
  <c r="BA391" i="64"/>
  <c r="A392" i="64"/>
  <c r="B392" i="64"/>
  <c r="D392" i="64"/>
  <c r="E392" i="64"/>
  <c r="F392" i="64"/>
  <c r="G392" i="64"/>
  <c r="H392" i="64"/>
  <c r="J392" i="64"/>
  <c r="K392" i="64"/>
  <c r="L392" i="64"/>
  <c r="M392" i="64"/>
  <c r="O392" i="64"/>
  <c r="P392" i="64"/>
  <c r="R392" i="64"/>
  <c r="S392" i="64"/>
  <c r="T392" i="64"/>
  <c r="U392" i="64"/>
  <c r="V392" i="64"/>
  <c r="W392" i="64"/>
  <c r="X392" i="64"/>
  <c r="AO392" i="64"/>
  <c r="AP392" i="64"/>
  <c r="AQ392" i="64"/>
  <c r="AR392" i="64"/>
  <c r="AS392" i="64"/>
  <c r="AT392" i="64"/>
  <c r="AU392" i="64"/>
  <c r="AW392" i="64"/>
  <c r="AX392" i="64"/>
  <c r="AY392" i="64"/>
  <c r="BA392" i="64"/>
  <c r="A393" i="64"/>
  <c r="B393" i="64"/>
  <c r="D393" i="64"/>
  <c r="E393" i="64"/>
  <c r="F393" i="64"/>
  <c r="G393" i="64"/>
  <c r="H393" i="64"/>
  <c r="J393" i="64"/>
  <c r="K393" i="64"/>
  <c r="L393" i="64"/>
  <c r="M393" i="64"/>
  <c r="O393" i="64"/>
  <c r="P393" i="64"/>
  <c r="R393" i="64"/>
  <c r="S393" i="64"/>
  <c r="T393" i="64"/>
  <c r="U393" i="64"/>
  <c r="V393" i="64"/>
  <c r="W393" i="64"/>
  <c r="X393" i="64"/>
  <c r="AO393" i="64"/>
  <c r="AP393" i="64"/>
  <c r="AQ393" i="64"/>
  <c r="AR393" i="64"/>
  <c r="AS393" i="64"/>
  <c r="AT393" i="64"/>
  <c r="AU393" i="64"/>
  <c r="AW393" i="64"/>
  <c r="AX393" i="64"/>
  <c r="AY393" i="64"/>
  <c r="BA393" i="64"/>
  <c r="A394" i="64"/>
  <c r="B394" i="64"/>
  <c r="D394" i="64"/>
  <c r="E394" i="64"/>
  <c r="F394" i="64"/>
  <c r="G394" i="64"/>
  <c r="H394" i="64"/>
  <c r="J394" i="64"/>
  <c r="K394" i="64"/>
  <c r="L394" i="64"/>
  <c r="M394" i="64"/>
  <c r="O394" i="64"/>
  <c r="P394" i="64"/>
  <c r="R394" i="64"/>
  <c r="S394" i="64"/>
  <c r="T394" i="64"/>
  <c r="U394" i="64"/>
  <c r="V394" i="64"/>
  <c r="W394" i="64"/>
  <c r="X394" i="64"/>
  <c r="AO394" i="64"/>
  <c r="AP394" i="64"/>
  <c r="AQ394" i="64"/>
  <c r="AR394" i="64"/>
  <c r="AS394" i="64"/>
  <c r="AT394" i="64"/>
  <c r="AU394" i="64"/>
  <c r="AW394" i="64"/>
  <c r="AX394" i="64"/>
  <c r="AY394" i="64"/>
  <c r="BA394" i="64"/>
  <c r="A395" i="64"/>
  <c r="B395" i="64"/>
  <c r="D395" i="64"/>
  <c r="E395" i="64"/>
  <c r="F395" i="64"/>
  <c r="G395" i="64"/>
  <c r="H395" i="64"/>
  <c r="J395" i="64"/>
  <c r="K395" i="64"/>
  <c r="L395" i="64"/>
  <c r="M395" i="64"/>
  <c r="O395" i="64"/>
  <c r="P395" i="64"/>
  <c r="R395" i="64"/>
  <c r="S395" i="64"/>
  <c r="T395" i="64"/>
  <c r="U395" i="64"/>
  <c r="V395" i="64"/>
  <c r="W395" i="64"/>
  <c r="X395" i="64"/>
  <c r="AO395" i="64"/>
  <c r="AP395" i="64"/>
  <c r="AQ395" i="64"/>
  <c r="AR395" i="64"/>
  <c r="AS395" i="64"/>
  <c r="AT395" i="64"/>
  <c r="AU395" i="64"/>
  <c r="AW395" i="64"/>
  <c r="AX395" i="64"/>
  <c r="AY395" i="64"/>
  <c r="BA395" i="64"/>
  <c r="A396" i="64"/>
  <c r="B396" i="64"/>
  <c r="D396" i="64"/>
  <c r="E396" i="64"/>
  <c r="F396" i="64"/>
  <c r="G396" i="64"/>
  <c r="H396" i="64"/>
  <c r="J396" i="64"/>
  <c r="K396" i="64"/>
  <c r="L396" i="64"/>
  <c r="M396" i="64"/>
  <c r="O396" i="64"/>
  <c r="P396" i="64"/>
  <c r="R396" i="64"/>
  <c r="S396" i="64"/>
  <c r="T396" i="64"/>
  <c r="U396" i="64"/>
  <c r="V396" i="64"/>
  <c r="W396" i="64"/>
  <c r="X396" i="64"/>
  <c r="AO396" i="64"/>
  <c r="AP396" i="64"/>
  <c r="AQ396" i="64"/>
  <c r="AR396" i="64"/>
  <c r="AS396" i="64"/>
  <c r="AT396" i="64"/>
  <c r="AU396" i="64"/>
  <c r="AW396" i="64"/>
  <c r="AX396" i="64"/>
  <c r="AY396" i="64"/>
  <c r="BA396" i="64"/>
  <c r="A397" i="64"/>
  <c r="B397" i="64"/>
  <c r="D397" i="64"/>
  <c r="E397" i="64"/>
  <c r="F397" i="64"/>
  <c r="G397" i="64"/>
  <c r="H397" i="64"/>
  <c r="J397" i="64"/>
  <c r="K397" i="64"/>
  <c r="L397" i="64"/>
  <c r="M397" i="64"/>
  <c r="O397" i="64"/>
  <c r="P397" i="64"/>
  <c r="R397" i="64"/>
  <c r="S397" i="64"/>
  <c r="T397" i="64"/>
  <c r="U397" i="64"/>
  <c r="V397" i="64"/>
  <c r="W397" i="64"/>
  <c r="X397" i="64"/>
  <c r="AO397" i="64"/>
  <c r="AP397" i="64"/>
  <c r="AQ397" i="64"/>
  <c r="AR397" i="64"/>
  <c r="AS397" i="64"/>
  <c r="AT397" i="64"/>
  <c r="AU397" i="64"/>
  <c r="AW397" i="64"/>
  <c r="AX397" i="64"/>
  <c r="AY397" i="64"/>
  <c r="BA397" i="64"/>
  <c r="A398" i="64"/>
  <c r="B398" i="64"/>
  <c r="D398" i="64"/>
  <c r="E398" i="64"/>
  <c r="F398" i="64"/>
  <c r="G398" i="64"/>
  <c r="H398" i="64"/>
  <c r="J398" i="64"/>
  <c r="K398" i="64"/>
  <c r="L398" i="64"/>
  <c r="M398" i="64"/>
  <c r="O398" i="64"/>
  <c r="P398" i="64"/>
  <c r="R398" i="64"/>
  <c r="S398" i="64"/>
  <c r="T398" i="64"/>
  <c r="U398" i="64"/>
  <c r="V398" i="64"/>
  <c r="W398" i="64"/>
  <c r="X398" i="64"/>
  <c r="AO398" i="64"/>
  <c r="AP398" i="64"/>
  <c r="AQ398" i="64"/>
  <c r="AR398" i="64"/>
  <c r="AS398" i="64"/>
  <c r="AT398" i="64"/>
  <c r="AU398" i="64"/>
  <c r="AW398" i="64"/>
  <c r="AX398" i="64"/>
  <c r="AY398" i="64"/>
  <c r="BA398" i="64"/>
  <c r="A399" i="64"/>
  <c r="B399" i="64"/>
  <c r="D399" i="64"/>
  <c r="E399" i="64"/>
  <c r="F399" i="64"/>
  <c r="G399" i="64"/>
  <c r="H399" i="64"/>
  <c r="J399" i="64"/>
  <c r="K399" i="64"/>
  <c r="L399" i="64"/>
  <c r="M399" i="64"/>
  <c r="O399" i="64"/>
  <c r="P399" i="64"/>
  <c r="R399" i="64"/>
  <c r="S399" i="64"/>
  <c r="T399" i="64"/>
  <c r="U399" i="64"/>
  <c r="V399" i="64"/>
  <c r="W399" i="64"/>
  <c r="X399" i="64"/>
  <c r="AO399" i="64"/>
  <c r="AP399" i="64"/>
  <c r="AQ399" i="64"/>
  <c r="AR399" i="64"/>
  <c r="AS399" i="64"/>
  <c r="AT399" i="64"/>
  <c r="AU399" i="64"/>
  <c r="AW399" i="64"/>
  <c r="AX399" i="64"/>
  <c r="AY399" i="64"/>
  <c r="BA399" i="64"/>
  <c r="A400" i="64"/>
  <c r="B400" i="64"/>
  <c r="D400" i="64"/>
  <c r="E400" i="64"/>
  <c r="F400" i="64"/>
  <c r="G400" i="64"/>
  <c r="H400" i="64"/>
  <c r="J400" i="64"/>
  <c r="K400" i="64"/>
  <c r="L400" i="64"/>
  <c r="M400" i="64"/>
  <c r="O400" i="64"/>
  <c r="P400" i="64"/>
  <c r="R400" i="64"/>
  <c r="S400" i="64"/>
  <c r="T400" i="64"/>
  <c r="U400" i="64"/>
  <c r="V400" i="64"/>
  <c r="W400" i="64"/>
  <c r="X400" i="64"/>
  <c r="AO400" i="64"/>
  <c r="AP400" i="64"/>
  <c r="AQ400" i="64"/>
  <c r="AR400" i="64"/>
  <c r="AS400" i="64"/>
  <c r="AT400" i="64"/>
  <c r="AU400" i="64"/>
  <c r="AW400" i="64"/>
  <c r="AX400" i="64"/>
  <c r="AY400" i="64"/>
  <c r="BA400" i="64"/>
  <c r="A401" i="64"/>
  <c r="B401" i="64"/>
  <c r="D401" i="64"/>
  <c r="E401" i="64"/>
  <c r="F401" i="64"/>
  <c r="G401" i="64"/>
  <c r="H401" i="64"/>
  <c r="J401" i="64"/>
  <c r="K401" i="64"/>
  <c r="L401" i="64"/>
  <c r="M401" i="64"/>
  <c r="O401" i="64"/>
  <c r="P401" i="64"/>
  <c r="R401" i="64"/>
  <c r="S401" i="64"/>
  <c r="T401" i="64"/>
  <c r="U401" i="64"/>
  <c r="V401" i="64"/>
  <c r="W401" i="64"/>
  <c r="X401" i="64"/>
  <c r="AO401" i="64"/>
  <c r="AP401" i="64"/>
  <c r="AQ401" i="64"/>
  <c r="AR401" i="64"/>
  <c r="AS401" i="64"/>
  <c r="AT401" i="64"/>
  <c r="AU401" i="64"/>
  <c r="AW401" i="64"/>
  <c r="AX401" i="64"/>
  <c r="AY401" i="64"/>
  <c r="BA401" i="64"/>
  <c r="A402" i="64"/>
  <c r="B402" i="64"/>
  <c r="D402" i="64"/>
  <c r="E402" i="64"/>
  <c r="F402" i="64"/>
  <c r="G402" i="64"/>
  <c r="H402" i="64"/>
  <c r="J402" i="64"/>
  <c r="K402" i="64"/>
  <c r="L402" i="64"/>
  <c r="M402" i="64"/>
  <c r="O402" i="64"/>
  <c r="P402" i="64"/>
  <c r="R402" i="64"/>
  <c r="S402" i="64"/>
  <c r="T402" i="64"/>
  <c r="U402" i="64"/>
  <c r="V402" i="64"/>
  <c r="W402" i="64"/>
  <c r="X402" i="64"/>
  <c r="AO402" i="64"/>
  <c r="AP402" i="64"/>
  <c r="AQ402" i="64"/>
  <c r="AR402" i="64"/>
  <c r="AS402" i="64"/>
  <c r="AT402" i="64"/>
  <c r="AU402" i="64"/>
  <c r="AW402" i="64"/>
  <c r="AX402" i="64"/>
  <c r="AY402" i="64"/>
  <c r="BA402" i="64"/>
  <c r="A403" i="64"/>
  <c r="B403" i="64"/>
  <c r="D403" i="64"/>
  <c r="E403" i="64"/>
  <c r="F403" i="64"/>
  <c r="G403" i="64"/>
  <c r="H403" i="64"/>
  <c r="J403" i="64"/>
  <c r="K403" i="64"/>
  <c r="L403" i="64"/>
  <c r="M403" i="64"/>
  <c r="O403" i="64"/>
  <c r="P403" i="64"/>
  <c r="R403" i="64"/>
  <c r="S403" i="64"/>
  <c r="T403" i="64"/>
  <c r="U403" i="64"/>
  <c r="V403" i="64"/>
  <c r="W403" i="64"/>
  <c r="X403" i="64"/>
  <c r="AO403" i="64"/>
  <c r="AP403" i="64"/>
  <c r="AQ403" i="64"/>
  <c r="AR403" i="64"/>
  <c r="AS403" i="64"/>
  <c r="AT403" i="64"/>
  <c r="AU403" i="64"/>
  <c r="AW403" i="64"/>
  <c r="AX403" i="64"/>
  <c r="AY403" i="64"/>
  <c r="BA403" i="64"/>
  <c r="A404" i="64"/>
  <c r="B404" i="64"/>
  <c r="D404" i="64"/>
  <c r="E404" i="64"/>
  <c r="F404" i="64"/>
  <c r="G404" i="64"/>
  <c r="H404" i="64"/>
  <c r="J404" i="64"/>
  <c r="K404" i="64"/>
  <c r="L404" i="64"/>
  <c r="M404" i="64"/>
  <c r="O404" i="64"/>
  <c r="P404" i="64"/>
  <c r="R404" i="64"/>
  <c r="S404" i="64"/>
  <c r="T404" i="64"/>
  <c r="U404" i="64"/>
  <c r="V404" i="64"/>
  <c r="W404" i="64"/>
  <c r="X404" i="64"/>
  <c r="AO404" i="64"/>
  <c r="AP404" i="64"/>
  <c r="AQ404" i="64"/>
  <c r="AR404" i="64"/>
  <c r="AS404" i="64"/>
  <c r="AT404" i="64"/>
  <c r="AU404" i="64"/>
  <c r="AW404" i="64"/>
  <c r="AX404" i="64"/>
  <c r="AY404" i="64"/>
  <c r="BA404" i="64"/>
  <c r="A405" i="64"/>
  <c r="B405" i="64"/>
  <c r="D405" i="64"/>
  <c r="E405" i="64"/>
  <c r="F405" i="64"/>
  <c r="G405" i="64"/>
  <c r="H405" i="64"/>
  <c r="J405" i="64"/>
  <c r="K405" i="64"/>
  <c r="L405" i="64"/>
  <c r="M405" i="64"/>
  <c r="O405" i="64"/>
  <c r="P405" i="64"/>
  <c r="R405" i="64"/>
  <c r="S405" i="64"/>
  <c r="T405" i="64"/>
  <c r="U405" i="64"/>
  <c r="V405" i="64"/>
  <c r="W405" i="64"/>
  <c r="X405" i="64"/>
  <c r="AO405" i="64"/>
  <c r="AP405" i="64"/>
  <c r="AQ405" i="64"/>
  <c r="AR405" i="64"/>
  <c r="AS405" i="64"/>
  <c r="AT405" i="64"/>
  <c r="AU405" i="64"/>
  <c r="AW405" i="64"/>
  <c r="AX405" i="64"/>
  <c r="AY405" i="64"/>
  <c r="BA405" i="64"/>
  <c r="A406" i="64"/>
  <c r="B406" i="64"/>
  <c r="D406" i="64"/>
  <c r="E406" i="64"/>
  <c r="F406" i="64"/>
  <c r="G406" i="64"/>
  <c r="H406" i="64"/>
  <c r="J406" i="64"/>
  <c r="K406" i="64"/>
  <c r="L406" i="64"/>
  <c r="M406" i="64"/>
  <c r="O406" i="64"/>
  <c r="P406" i="64"/>
  <c r="R406" i="64"/>
  <c r="S406" i="64"/>
  <c r="T406" i="64"/>
  <c r="U406" i="64"/>
  <c r="V406" i="64"/>
  <c r="W406" i="64"/>
  <c r="X406" i="64"/>
  <c r="AO406" i="64"/>
  <c r="AP406" i="64"/>
  <c r="AQ406" i="64"/>
  <c r="AR406" i="64"/>
  <c r="AS406" i="64"/>
  <c r="AT406" i="64"/>
  <c r="AU406" i="64"/>
  <c r="AW406" i="64"/>
  <c r="AX406" i="64"/>
  <c r="AY406" i="64"/>
  <c r="BA406" i="64"/>
  <c r="A407" i="64"/>
  <c r="B407" i="64"/>
  <c r="D407" i="64"/>
  <c r="E407" i="64"/>
  <c r="F407" i="64"/>
  <c r="G407" i="64"/>
  <c r="H407" i="64"/>
  <c r="J407" i="64"/>
  <c r="K407" i="64"/>
  <c r="L407" i="64"/>
  <c r="M407" i="64"/>
  <c r="O407" i="64"/>
  <c r="P407" i="64"/>
  <c r="R407" i="64"/>
  <c r="S407" i="64"/>
  <c r="T407" i="64"/>
  <c r="U407" i="64"/>
  <c r="V407" i="64"/>
  <c r="W407" i="64"/>
  <c r="X407" i="64"/>
  <c r="AO407" i="64"/>
  <c r="AP407" i="64"/>
  <c r="AQ407" i="64"/>
  <c r="AR407" i="64"/>
  <c r="AS407" i="64"/>
  <c r="AT407" i="64"/>
  <c r="AU407" i="64"/>
  <c r="AW407" i="64"/>
  <c r="AX407" i="64"/>
  <c r="AY407" i="64"/>
  <c r="BA407" i="64"/>
  <c r="A408" i="64"/>
  <c r="B408" i="64"/>
  <c r="D408" i="64"/>
  <c r="E408" i="64"/>
  <c r="F408" i="64"/>
  <c r="G408" i="64"/>
  <c r="H408" i="64"/>
  <c r="J408" i="64"/>
  <c r="K408" i="64"/>
  <c r="L408" i="64"/>
  <c r="M408" i="64"/>
  <c r="O408" i="64"/>
  <c r="P408" i="64"/>
  <c r="R408" i="64"/>
  <c r="S408" i="64"/>
  <c r="T408" i="64"/>
  <c r="U408" i="64"/>
  <c r="V408" i="64"/>
  <c r="W408" i="64"/>
  <c r="X408" i="64"/>
  <c r="AO408" i="64"/>
  <c r="AP408" i="64"/>
  <c r="AQ408" i="64"/>
  <c r="AR408" i="64"/>
  <c r="AS408" i="64"/>
  <c r="AT408" i="64"/>
  <c r="AU408" i="64"/>
  <c r="AW408" i="64"/>
  <c r="AX408" i="64"/>
  <c r="AY408" i="64"/>
  <c r="BA408" i="64"/>
  <c r="A409" i="64"/>
  <c r="B409" i="64"/>
  <c r="D409" i="64"/>
  <c r="E409" i="64"/>
  <c r="F409" i="64"/>
  <c r="G409" i="64"/>
  <c r="H409" i="64"/>
  <c r="J409" i="64"/>
  <c r="K409" i="64"/>
  <c r="L409" i="64"/>
  <c r="M409" i="64"/>
  <c r="O409" i="64"/>
  <c r="P409" i="64"/>
  <c r="R409" i="64"/>
  <c r="S409" i="64"/>
  <c r="T409" i="64"/>
  <c r="U409" i="64"/>
  <c r="V409" i="64"/>
  <c r="W409" i="64"/>
  <c r="X409" i="64"/>
  <c r="AO409" i="64"/>
  <c r="AP409" i="64"/>
  <c r="AQ409" i="64"/>
  <c r="AR409" i="64"/>
  <c r="AS409" i="64"/>
  <c r="AT409" i="64"/>
  <c r="AU409" i="64"/>
  <c r="AW409" i="64"/>
  <c r="AX409" i="64"/>
  <c r="AY409" i="64"/>
  <c r="BA409" i="64"/>
  <c r="A410" i="64"/>
  <c r="B410" i="64"/>
  <c r="D410" i="64"/>
  <c r="E410" i="64"/>
  <c r="F410" i="64"/>
  <c r="G410" i="64"/>
  <c r="H410" i="64"/>
  <c r="J410" i="64"/>
  <c r="K410" i="64"/>
  <c r="L410" i="64"/>
  <c r="M410" i="64"/>
  <c r="O410" i="64"/>
  <c r="P410" i="64"/>
  <c r="R410" i="64"/>
  <c r="S410" i="64"/>
  <c r="T410" i="64"/>
  <c r="U410" i="64"/>
  <c r="V410" i="64"/>
  <c r="W410" i="64"/>
  <c r="X410" i="64"/>
  <c r="AO410" i="64"/>
  <c r="AP410" i="64"/>
  <c r="AQ410" i="64"/>
  <c r="AR410" i="64"/>
  <c r="AS410" i="64"/>
  <c r="AT410" i="64"/>
  <c r="AU410" i="64"/>
  <c r="AW410" i="64"/>
  <c r="AX410" i="64"/>
  <c r="AY410" i="64"/>
  <c r="BA410" i="64"/>
  <c r="A411" i="64"/>
  <c r="B411" i="64"/>
  <c r="D411" i="64"/>
  <c r="E411" i="64"/>
  <c r="F411" i="64"/>
  <c r="G411" i="64"/>
  <c r="H411" i="64"/>
  <c r="J411" i="64"/>
  <c r="K411" i="64"/>
  <c r="L411" i="64"/>
  <c r="M411" i="64"/>
  <c r="O411" i="64"/>
  <c r="P411" i="64"/>
  <c r="R411" i="64"/>
  <c r="S411" i="64"/>
  <c r="T411" i="64"/>
  <c r="U411" i="64"/>
  <c r="V411" i="64"/>
  <c r="W411" i="64"/>
  <c r="X411" i="64"/>
  <c r="AO411" i="64"/>
  <c r="AP411" i="64"/>
  <c r="AQ411" i="64"/>
  <c r="AR411" i="64"/>
  <c r="AS411" i="64"/>
  <c r="AT411" i="64"/>
  <c r="AU411" i="64"/>
  <c r="AW411" i="64"/>
  <c r="AX411" i="64"/>
  <c r="AY411" i="64"/>
  <c r="BA411" i="64"/>
  <c r="A412" i="64"/>
  <c r="B412" i="64"/>
  <c r="D412" i="64"/>
  <c r="E412" i="64"/>
  <c r="F412" i="64"/>
  <c r="G412" i="64"/>
  <c r="H412" i="64"/>
  <c r="J412" i="64"/>
  <c r="K412" i="64"/>
  <c r="L412" i="64"/>
  <c r="M412" i="64"/>
  <c r="O412" i="64"/>
  <c r="P412" i="64"/>
  <c r="R412" i="64"/>
  <c r="S412" i="64"/>
  <c r="T412" i="64"/>
  <c r="U412" i="64"/>
  <c r="V412" i="64"/>
  <c r="W412" i="64"/>
  <c r="X412" i="64"/>
  <c r="AO412" i="64"/>
  <c r="AP412" i="64"/>
  <c r="AQ412" i="64"/>
  <c r="AR412" i="64"/>
  <c r="AS412" i="64"/>
  <c r="AT412" i="64"/>
  <c r="AU412" i="64"/>
  <c r="AW412" i="64"/>
  <c r="AX412" i="64"/>
  <c r="AY412" i="64"/>
  <c r="BA412" i="64"/>
  <c r="A413" i="64"/>
  <c r="B413" i="64"/>
  <c r="D413" i="64"/>
  <c r="E413" i="64"/>
  <c r="F413" i="64"/>
  <c r="G413" i="64"/>
  <c r="H413" i="64"/>
  <c r="J413" i="64"/>
  <c r="K413" i="64"/>
  <c r="L413" i="64"/>
  <c r="M413" i="64"/>
  <c r="O413" i="64"/>
  <c r="P413" i="64"/>
  <c r="R413" i="64"/>
  <c r="S413" i="64"/>
  <c r="T413" i="64"/>
  <c r="U413" i="64"/>
  <c r="V413" i="64"/>
  <c r="W413" i="64"/>
  <c r="X413" i="64"/>
  <c r="AO413" i="64"/>
  <c r="AP413" i="64"/>
  <c r="AQ413" i="64"/>
  <c r="AR413" i="64"/>
  <c r="AS413" i="64"/>
  <c r="AT413" i="64"/>
  <c r="AU413" i="64"/>
  <c r="AW413" i="64"/>
  <c r="AX413" i="64"/>
  <c r="AY413" i="64"/>
  <c r="BA413" i="64"/>
  <c r="A414" i="64"/>
  <c r="B414" i="64"/>
  <c r="D414" i="64"/>
  <c r="E414" i="64"/>
  <c r="F414" i="64"/>
  <c r="G414" i="64"/>
  <c r="H414" i="64"/>
  <c r="J414" i="64"/>
  <c r="K414" i="64"/>
  <c r="L414" i="64"/>
  <c r="M414" i="64"/>
  <c r="O414" i="64"/>
  <c r="P414" i="64"/>
  <c r="R414" i="64"/>
  <c r="S414" i="64"/>
  <c r="T414" i="64"/>
  <c r="U414" i="64"/>
  <c r="V414" i="64"/>
  <c r="W414" i="64"/>
  <c r="X414" i="64"/>
  <c r="AO414" i="64"/>
  <c r="AP414" i="64"/>
  <c r="AQ414" i="64"/>
  <c r="AR414" i="64"/>
  <c r="AS414" i="64"/>
  <c r="AT414" i="64"/>
  <c r="AU414" i="64"/>
  <c r="AW414" i="64"/>
  <c r="AX414" i="64"/>
  <c r="AY414" i="64"/>
  <c r="BA414" i="64"/>
  <c r="A415" i="64"/>
  <c r="B415" i="64"/>
  <c r="D415" i="64"/>
  <c r="E415" i="64"/>
  <c r="F415" i="64"/>
  <c r="G415" i="64"/>
  <c r="H415" i="64"/>
  <c r="J415" i="64"/>
  <c r="K415" i="64"/>
  <c r="L415" i="64"/>
  <c r="M415" i="64"/>
  <c r="O415" i="64"/>
  <c r="P415" i="64"/>
  <c r="R415" i="64"/>
  <c r="S415" i="64"/>
  <c r="T415" i="64"/>
  <c r="U415" i="64"/>
  <c r="V415" i="64"/>
  <c r="W415" i="64"/>
  <c r="X415" i="64"/>
  <c r="AO415" i="64"/>
  <c r="AP415" i="64"/>
  <c r="AQ415" i="64"/>
  <c r="AR415" i="64"/>
  <c r="AS415" i="64"/>
  <c r="AT415" i="64"/>
  <c r="AU415" i="64"/>
  <c r="AW415" i="64"/>
  <c r="AX415" i="64"/>
  <c r="AY415" i="64"/>
  <c r="BA415" i="64"/>
  <c r="A416" i="64"/>
  <c r="B416" i="64"/>
  <c r="D416" i="64"/>
  <c r="E416" i="64"/>
  <c r="F416" i="64"/>
  <c r="G416" i="64"/>
  <c r="H416" i="64"/>
  <c r="J416" i="64"/>
  <c r="K416" i="64"/>
  <c r="L416" i="64"/>
  <c r="M416" i="64"/>
  <c r="O416" i="64"/>
  <c r="P416" i="64"/>
  <c r="R416" i="64"/>
  <c r="S416" i="64"/>
  <c r="T416" i="64"/>
  <c r="U416" i="64"/>
  <c r="V416" i="64"/>
  <c r="W416" i="64"/>
  <c r="X416" i="64"/>
  <c r="AO416" i="64"/>
  <c r="AP416" i="64"/>
  <c r="AQ416" i="64"/>
  <c r="AR416" i="64"/>
  <c r="AS416" i="64"/>
  <c r="AT416" i="64"/>
  <c r="AU416" i="64"/>
  <c r="AW416" i="64"/>
  <c r="AX416" i="64"/>
  <c r="AY416" i="64"/>
  <c r="BA416" i="64"/>
  <c r="A417" i="64"/>
  <c r="B417" i="64"/>
  <c r="D417" i="64"/>
  <c r="E417" i="64"/>
  <c r="F417" i="64"/>
  <c r="G417" i="64"/>
  <c r="H417" i="64"/>
  <c r="J417" i="64"/>
  <c r="K417" i="64"/>
  <c r="L417" i="64"/>
  <c r="M417" i="64"/>
  <c r="O417" i="64"/>
  <c r="P417" i="64"/>
  <c r="R417" i="64"/>
  <c r="S417" i="64"/>
  <c r="T417" i="64"/>
  <c r="U417" i="64"/>
  <c r="V417" i="64"/>
  <c r="W417" i="64"/>
  <c r="X417" i="64"/>
  <c r="AO417" i="64"/>
  <c r="AP417" i="64"/>
  <c r="AQ417" i="64"/>
  <c r="AR417" i="64"/>
  <c r="AS417" i="64"/>
  <c r="AT417" i="64"/>
  <c r="AU417" i="64"/>
  <c r="AW417" i="64"/>
  <c r="AX417" i="64"/>
  <c r="AY417" i="64"/>
  <c r="BA417" i="64"/>
  <c r="A418" i="64"/>
  <c r="B418" i="64"/>
  <c r="D418" i="64"/>
  <c r="E418" i="64"/>
  <c r="F418" i="64"/>
  <c r="G418" i="64"/>
  <c r="H418" i="64"/>
  <c r="J418" i="64"/>
  <c r="K418" i="64"/>
  <c r="L418" i="64"/>
  <c r="M418" i="64"/>
  <c r="O418" i="64"/>
  <c r="P418" i="64"/>
  <c r="R418" i="64"/>
  <c r="S418" i="64"/>
  <c r="T418" i="64"/>
  <c r="U418" i="64"/>
  <c r="V418" i="64"/>
  <c r="W418" i="64"/>
  <c r="X418" i="64"/>
  <c r="AO418" i="64"/>
  <c r="AP418" i="64"/>
  <c r="AQ418" i="64"/>
  <c r="AR418" i="64"/>
  <c r="AS418" i="64"/>
  <c r="AT418" i="64"/>
  <c r="AU418" i="64"/>
  <c r="AW418" i="64"/>
  <c r="AX418" i="64"/>
  <c r="AY418" i="64"/>
  <c r="BA418" i="64"/>
  <c r="A419" i="64"/>
  <c r="B419" i="64"/>
  <c r="D419" i="64"/>
  <c r="E419" i="64"/>
  <c r="F419" i="64"/>
  <c r="G419" i="64"/>
  <c r="H419" i="64"/>
  <c r="J419" i="64"/>
  <c r="K419" i="64"/>
  <c r="L419" i="64"/>
  <c r="M419" i="64"/>
  <c r="O419" i="64"/>
  <c r="P419" i="64"/>
  <c r="R419" i="64"/>
  <c r="S419" i="64"/>
  <c r="T419" i="64"/>
  <c r="U419" i="64"/>
  <c r="V419" i="64"/>
  <c r="W419" i="64"/>
  <c r="X419" i="64"/>
  <c r="AO419" i="64"/>
  <c r="AP419" i="64"/>
  <c r="AQ419" i="64"/>
  <c r="AR419" i="64"/>
  <c r="AS419" i="64"/>
  <c r="AT419" i="64"/>
  <c r="AU419" i="64"/>
  <c r="AW419" i="64"/>
  <c r="AX419" i="64"/>
  <c r="AY419" i="64"/>
  <c r="BA419" i="64"/>
  <c r="A420" i="64"/>
  <c r="B420" i="64"/>
  <c r="D420" i="64"/>
  <c r="E420" i="64"/>
  <c r="F420" i="64"/>
  <c r="G420" i="64"/>
  <c r="H420" i="64"/>
  <c r="J420" i="64"/>
  <c r="K420" i="64"/>
  <c r="L420" i="64"/>
  <c r="M420" i="64"/>
  <c r="O420" i="64"/>
  <c r="P420" i="64"/>
  <c r="R420" i="64"/>
  <c r="S420" i="64"/>
  <c r="T420" i="64"/>
  <c r="U420" i="64"/>
  <c r="V420" i="64"/>
  <c r="W420" i="64"/>
  <c r="X420" i="64"/>
  <c r="AO420" i="64"/>
  <c r="AP420" i="64"/>
  <c r="AQ420" i="64"/>
  <c r="AR420" i="64"/>
  <c r="AS420" i="64"/>
  <c r="AT420" i="64"/>
  <c r="AU420" i="64"/>
  <c r="AW420" i="64"/>
  <c r="AX420" i="64"/>
  <c r="AY420" i="64"/>
  <c r="BA420" i="64"/>
  <c r="A421" i="64"/>
  <c r="B421" i="64"/>
  <c r="D421" i="64"/>
  <c r="E421" i="64"/>
  <c r="F421" i="64"/>
  <c r="G421" i="64"/>
  <c r="H421" i="64"/>
  <c r="J421" i="64"/>
  <c r="K421" i="64"/>
  <c r="L421" i="64"/>
  <c r="M421" i="64"/>
  <c r="O421" i="64"/>
  <c r="P421" i="64"/>
  <c r="R421" i="64"/>
  <c r="S421" i="64"/>
  <c r="T421" i="64"/>
  <c r="U421" i="64"/>
  <c r="V421" i="64"/>
  <c r="W421" i="64"/>
  <c r="X421" i="64"/>
  <c r="AO421" i="64"/>
  <c r="AP421" i="64"/>
  <c r="AQ421" i="64"/>
  <c r="AR421" i="64"/>
  <c r="AS421" i="64"/>
  <c r="AT421" i="64"/>
  <c r="AU421" i="64"/>
  <c r="AW421" i="64"/>
  <c r="AX421" i="64"/>
  <c r="AY421" i="64"/>
  <c r="BA421" i="64"/>
  <c r="A422" i="64"/>
  <c r="B422" i="64"/>
  <c r="D422" i="64"/>
  <c r="E422" i="64"/>
  <c r="F422" i="64"/>
  <c r="G422" i="64"/>
  <c r="H422" i="64"/>
  <c r="J422" i="64"/>
  <c r="K422" i="64"/>
  <c r="L422" i="64"/>
  <c r="M422" i="64"/>
  <c r="O422" i="64"/>
  <c r="P422" i="64"/>
  <c r="R422" i="64"/>
  <c r="S422" i="64"/>
  <c r="T422" i="64"/>
  <c r="U422" i="64"/>
  <c r="V422" i="64"/>
  <c r="W422" i="64"/>
  <c r="X422" i="64"/>
  <c r="AO422" i="64"/>
  <c r="AP422" i="64"/>
  <c r="AQ422" i="64"/>
  <c r="AR422" i="64"/>
  <c r="AS422" i="64"/>
  <c r="AT422" i="64"/>
  <c r="AU422" i="64"/>
  <c r="AW422" i="64"/>
  <c r="AX422" i="64"/>
  <c r="AY422" i="64"/>
  <c r="BA422" i="64"/>
  <c r="A423" i="64"/>
  <c r="B423" i="64"/>
  <c r="D423" i="64"/>
  <c r="E423" i="64"/>
  <c r="F423" i="64"/>
  <c r="G423" i="64"/>
  <c r="H423" i="64"/>
  <c r="J423" i="64"/>
  <c r="K423" i="64"/>
  <c r="L423" i="64"/>
  <c r="M423" i="64"/>
  <c r="O423" i="64"/>
  <c r="P423" i="64"/>
  <c r="R423" i="64"/>
  <c r="S423" i="64"/>
  <c r="T423" i="64"/>
  <c r="U423" i="64"/>
  <c r="V423" i="64"/>
  <c r="W423" i="64"/>
  <c r="X423" i="64"/>
  <c r="AO423" i="64"/>
  <c r="AP423" i="64"/>
  <c r="AQ423" i="64"/>
  <c r="AR423" i="64"/>
  <c r="AS423" i="64"/>
  <c r="AT423" i="64"/>
  <c r="AU423" i="64"/>
  <c r="AW423" i="64"/>
  <c r="AX423" i="64"/>
  <c r="AY423" i="64"/>
  <c r="BA423" i="64"/>
  <c r="A424" i="64"/>
  <c r="B424" i="64"/>
  <c r="D424" i="64"/>
  <c r="E424" i="64"/>
  <c r="F424" i="64"/>
  <c r="G424" i="64"/>
  <c r="H424" i="64"/>
  <c r="J424" i="64"/>
  <c r="K424" i="64"/>
  <c r="L424" i="64"/>
  <c r="M424" i="64"/>
  <c r="O424" i="64"/>
  <c r="P424" i="64"/>
  <c r="R424" i="64"/>
  <c r="S424" i="64"/>
  <c r="T424" i="64"/>
  <c r="U424" i="64"/>
  <c r="V424" i="64"/>
  <c r="W424" i="64"/>
  <c r="X424" i="64"/>
  <c r="AO424" i="64"/>
  <c r="AP424" i="64"/>
  <c r="AQ424" i="64"/>
  <c r="AR424" i="64"/>
  <c r="AS424" i="64"/>
  <c r="AT424" i="64"/>
  <c r="AU424" i="64"/>
  <c r="AW424" i="64"/>
  <c r="AX424" i="64"/>
  <c r="AY424" i="64"/>
  <c r="BA424" i="64"/>
  <c r="A425" i="64"/>
  <c r="B425" i="64"/>
  <c r="D425" i="64"/>
  <c r="E425" i="64"/>
  <c r="F425" i="64"/>
  <c r="G425" i="64"/>
  <c r="H425" i="64"/>
  <c r="J425" i="64"/>
  <c r="K425" i="64"/>
  <c r="L425" i="64"/>
  <c r="M425" i="64"/>
  <c r="O425" i="64"/>
  <c r="P425" i="64"/>
  <c r="R425" i="64"/>
  <c r="S425" i="64"/>
  <c r="T425" i="64"/>
  <c r="U425" i="64"/>
  <c r="V425" i="64"/>
  <c r="W425" i="64"/>
  <c r="X425" i="64"/>
  <c r="AO425" i="64"/>
  <c r="AP425" i="64"/>
  <c r="AQ425" i="64"/>
  <c r="AR425" i="64"/>
  <c r="AS425" i="64"/>
  <c r="AT425" i="64"/>
  <c r="AU425" i="64"/>
  <c r="AW425" i="64"/>
  <c r="AX425" i="64"/>
  <c r="AY425" i="64"/>
  <c r="BA425" i="64"/>
  <c r="A426" i="64"/>
  <c r="B426" i="64"/>
  <c r="D426" i="64"/>
  <c r="E426" i="64"/>
  <c r="F426" i="64"/>
  <c r="G426" i="64"/>
  <c r="H426" i="64"/>
  <c r="J426" i="64"/>
  <c r="K426" i="64"/>
  <c r="L426" i="64"/>
  <c r="M426" i="64"/>
  <c r="O426" i="64"/>
  <c r="P426" i="64"/>
  <c r="R426" i="64"/>
  <c r="S426" i="64"/>
  <c r="T426" i="64"/>
  <c r="U426" i="64"/>
  <c r="V426" i="64"/>
  <c r="W426" i="64"/>
  <c r="X426" i="64"/>
  <c r="AO426" i="64"/>
  <c r="AP426" i="64"/>
  <c r="AQ426" i="64"/>
  <c r="AR426" i="64"/>
  <c r="AS426" i="64"/>
  <c r="AT426" i="64"/>
  <c r="AU426" i="64"/>
  <c r="AW426" i="64"/>
  <c r="AX426" i="64"/>
  <c r="AY426" i="64"/>
  <c r="BA426" i="64"/>
  <c r="A427" i="64"/>
  <c r="B427" i="64"/>
  <c r="D427" i="64"/>
  <c r="E427" i="64"/>
  <c r="F427" i="64"/>
  <c r="G427" i="64"/>
  <c r="H427" i="64"/>
  <c r="J427" i="64"/>
  <c r="K427" i="64"/>
  <c r="L427" i="64"/>
  <c r="M427" i="64"/>
  <c r="O427" i="64"/>
  <c r="P427" i="64"/>
  <c r="R427" i="64"/>
  <c r="S427" i="64"/>
  <c r="T427" i="64"/>
  <c r="U427" i="64"/>
  <c r="V427" i="64"/>
  <c r="W427" i="64"/>
  <c r="X427" i="64"/>
  <c r="AO427" i="64"/>
  <c r="AP427" i="64"/>
  <c r="AQ427" i="64"/>
  <c r="AR427" i="64"/>
  <c r="AS427" i="64"/>
  <c r="AT427" i="64"/>
  <c r="AU427" i="64"/>
  <c r="AW427" i="64"/>
  <c r="AX427" i="64"/>
  <c r="AY427" i="64"/>
  <c r="BA427" i="64"/>
  <c r="A428" i="64"/>
  <c r="B428" i="64"/>
  <c r="D428" i="64"/>
  <c r="E428" i="64"/>
  <c r="F428" i="64"/>
  <c r="G428" i="64"/>
  <c r="H428" i="64"/>
  <c r="J428" i="64"/>
  <c r="K428" i="64"/>
  <c r="L428" i="64"/>
  <c r="M428" i="64"/>
  <c r="O428" i="64"/>
  <c r="P428" i="64"/>
  <c r="R428" i="64"/>
  <c r="S428" i="64"/>
  <c r="T428" i="64"/>
  <c r="U428" i="64"/>
  <c r="V428" i="64"/>
  <c r="W428" i="64"/>
  <c r="X428" i="64"/>
  <c r="AO428" i="64"/>
  <c r="AP428" i="64"/>
  <c r="AQ428" i="64"/>
  <c r="AR428" i="64"/>
  <c r="AS428" i="64"/>
  <c r="AT428" i="64"/>
  <c r="AU428" i="64"/>
  <c r="AW428" i="64"/>
  <c r="AX428" i="64"/>
  <c r="AY428" i="64"/>
  <c r="BA428" i="64"/>
  <c r="A429" i="64"/>
  <c r="B429" i="64"/>
  <c r="D429" i="64"/>
  <c r="E429" i="64"/>
  <c r="F429" i="64"/>
  <c r="G429" i="64"/>
  <c r="H429" i="64"/>
  <c r="J429" i="64"/>
  <c r="K429" i="64"/>
  <c r="L429" i="64"/>
  <c r="M429" i="64"/>
  <c r="O429" i="64"/>
  <c r="P429" i="64"/>
  <c r="R429" i="64"/>
  <c r="S429" i="64"/>
  <c r="T429" i="64"/>
  <c r="U429" i="64"/>
  <c r="V429" i="64"/>
  <c r="W429" i="64"/>
  <c r="X429" i="64"/>
  <c r="AO429" i="64"/>
  <c r="AP429" i="64"/>
  <c r="AQ429" i="64"/>
  <c r="AR429" i="64"/>
  <c r="AS429" i="64"/>
  <c r="AT429" i="64"/>
  <c r="AU429" i="64"/>
  <c r="AW429" i="64"/>
  <c r="AX429" i="64"/>
  <c r="AY429" i="64"/>
  <c r="BA429" i="64"/>
  <c r="A430" i="64"/>
  <c r="B430" i="64"/>
  <c r="D430" i="64"/>
  <c r="E430" i="64"/>
  <c r="F430" i="64"/>
  <c r="G430" i="64"/>
  <c r="H430" i="64"/>
  <c r="J430" i="64"/>
  <c r="K430" i="64"/>
  <c r="L430" i="64"/>
  <c r="M430" i="64"/>
  <c r="O430" i="64"/>
  <c r="P430" i="64"/>
  <c r="R430" i="64"/>
  <c r="S430" i="64"/>
  <c r="T430" i="64"/>
  <c r="U430" i="64"/>
  <c r="V430" i="64"/>
  <c r="W430" i="64"/>
  <c r="X430" i="64"/>
  <c r="AO430" i="64"/>
  <c r="AP430" i="64"/>
  <c r="AQ430" i="64"/>
  <c r="AR430" i="64"/>
  <c r="AS430" i="64"/>
  <c r="AT430" i="64"/>
  <c r="AU430" i="64"/>
  <c r="AW430" i="64"/>
  <c r="AX430" i="64"/>
  <c r="AY430" i="64"/>
  <c r="BA430" i="64"/>
  <c r="A431" i="64"/>
  <c r="B431" i="64"/>
  <c r="D431" i="64"/>
  <c r="E431" i="64"/>
  <c r="F431" i="64"/>
  <c r="G431" i="64"/>
  <c r="H431" i="64"/>
  <c r="J431" i="64"/>
  <c r="K431" i="64"/>
  <c r="L431" i="64"/>
  <c r="M431" i="64"/>
  <c r="O431" i="64"/>
  <c r="P431" i="64"/>
  <c r="R431" i="64"/>
  <c r="S431" i="64"/>
  <c r="T431" i="64"/>
  <c r="U431" i="64"/>
  <c r="V431" i="64"/>
  <c r="W431" i="64"/>
  <c r="X431" i="64"/>
  <c r="AO431" i="64"/>
  <c r="AP431" i="64"/>
  <c r="AQ431" i="64"/>
  <c r="AR431" i="64"/>
  <c r="AS431" i="64"/>
  <c r="AT431" i="64"/>
  <c r="AU431" i="64"/>
  <c r="AW431" i="64"/>
  <c r="AX431" i="64"/>
  <c r="AY431" i="64"/>
  <c r="BA431" i="64"/>
  <c r="A432" i="64"/>
  <c r="B432" i="64"/>
  <c r="D432" i="64"/>
  <c r="E432" i="64"/>
  <c r="F432" i="64"/>
  <c r="G432" i="64"/>
  <c r="H432" i="64"/>
  <c r="J432" i="64"/>
  <c r="K432" i="64"/>
  <c r="L432" i="64"/>
  <c r="M432" i="64"/>
  <c r="O432" i="64"/>
  <c r="P432" i="64"/>
  <c r="R432" i="64"/>
  <c r="S432" i="64"/>
  <c r="T432" i="64"/>
  <c r="U432" i="64"/>
  <c r="V432" i="64"/>
  <c r="W432" i="64"/>
  <c r="X432" i="64"/>
  <c r="AO432" i="64"/>
  <c r="AP432" i="64"/>
  <c r="AQ432" i="64"/>
  <c r="AR432" i="64"/>
  <c r="AS432" i="64"/>
  <c r="AT432" i="64"/>
  <c r="AU432" i="64"/>
  <c r="AW432" i="64"/>
  <c r="AX432" i="64"/>
  <c r="AY432" i="64"/>
  <c r="BA432" i="64"/>
  <c r="A433" i="64"/>
  <c r="B433" i="64"/>
  <c r="D433" i="64"/>
  <c r="E433" i="64"/>
  <c r="F433" i="64"/>
  <c r="G433" i="64"/>
  <c r="H433" i="64"/>
  <c r="J433" i="64"/>
  <c r="K433" i="64"/>
  <c r="L433" i="64"/>
  <c r="M433" i="64"/>
  <c r="O433" i="64"/>
  <c r="P433" i="64"/>
  <c r="R433" i="64"/>
  <c r="S433" i="64"/>
  <c r="T433" i="64"/>
  <c r="U433" i="64"/>
  <c r="V433" i="64"/>
  <c r="W433" i="64"/>
  <c r="X433" i="64"/>
  <c r="AO433" i="64"/>
  <c r="AP433" i="64"/>
  <c r="AQ433" i="64"/>
  <c r="AR433" i="64"/>
  <c r="AS433" i="64"/>
  <c r="AT433" i="64"/>
  <c r="AU433" i="64"/>
  <c r="AW433" i="64"/>
  <c r="AX433" i="64"/>
  <c r="AY433" i="64"/>
  <c r="BA433" i="64"/>
  <c r="A434" i="64"/>
  <c r="B434" i="64"/>
  <c r="D434" i="64"/>
  <c r="E434" i="64"/>
  <c r="F434" i="64"/>
  <c r="G434" i="64"/>
  <c r="H434" i="64"/>
  <c r="J434" i="64"/>
  <c r="K434" i="64"/>
  <c r="L434" i="64"/>
  <c r="M434" i="64"/>
  <c r="O434" i="64"/>
  <c r="P434" i="64"/>
  <c r="R434" i="64"/>
  <c r="S434" i="64"/>
  <c r="T434" i="64"/>
  <c r="U434" i="64"/>
  <c r="V434" i="64"/>
  <c r="W434" i="64"/>
  <c r="X434" i="64"/>
  <c r="AO434" i="64"/>
  <c r="AP434" i="64"/>
  <c r="AQ434" i="64"/>
  <c r="AR434" i="64"/>
  <c r="AS434" i="64"/>
  <c r="AT434" i="64"/>
  <c r="AU434" i="64"/>
  <c r="AW434" i="64"/>
  <c r="AX434" i="64"/>
  <c r="AY434" i="64"/>
  <c r="BA434" i="64"/>
  <c r="A435" i="64"/>
  <c r="B435" i="64"/>
  <c r="D435" i="64"/>
  <c r="E435" i="64"/>
  <c r="F435" i="64"/>
  <c r="G435" i="64"/>
  <c r="H435" i="64"/>
  <c r="J435" i="64"/>
  <c r="K435" i="64"/>
  <c r="L435" i="64"/>
  <c r="M435" i="64"/>
  <c r="O435" i="64"/>
  <c r="P435" i="64"/>
  <c r="R435" i="64"/>
  <c r="S435" i="64"/>
  <c r="T435" i="64"/>
  <c r="U435" i="64"/>
  <c r="V435" i="64"/>
  <c r="W435" i="64"/>
  <c r="X435" i="64"/>
  <c r="AO435" i="64"/>
  <c r="AP435" i="64"/>
  <c r="AQ435" i="64"/>
  <c r="AR435" i="64"/>
  <c r="AS435" i="64"/>
  <c r="AT435" i="64"/>
  <c r="AU435" i="64"/>
  <c r="AW435" i="64"/>
  <c r="AX435" i="64"/>
  <c r="AY435" i="64"/>
  <c r="BA435" i="64"/>
  <c r="A436" i="64"/>
  <c r="B436" i="64"/>
  <c r="D436" i="64"/>
  <c r="E436" i="64"/>
  <c r="F436" i="64"/>
  <c r="G436" i="64"/>
  <c r="H436" i="64"/>
  <c r="J436" i="64"/>
  <c r="K436" i="64"/>
  <c r="L436" i="64"/>
  <c r="M436" i="64"/>
  <c r="O436" i="64"/>
  <c r="P436" i="64"/>
  <c r="R436" i="64"/>
  <c r="S436" i="64"/>
  <c r="T436" i="64"/>
  <c r="U436" i="64"/>
  <c r="V436" i="64"/>
  <c r="W436" i="64"/>
  <c r="X436" i="64"/>
  <c r="AO436" i="64"/>
  <c r="AP436" i="64"/>
  <c r="AQ436" i="64"/>
  <c r="AR436" i="64"/>
  <c r="AS436" i="64"/>
  <c r="AT436" i="64"/>
  <c r="AU436" i="64"/>
  <c r="AW436" i="64"/>
  <c r="AX436" i="64"/>
  <c r="AY436" i="64"/>
  <c r="BA436" i="64"/>
  <c r="A437" i="64"/>
  <c r="B437" i="64"/>
  <c r="D437" i="64"/>
  <c r="E437" i="64"/>
  <c r="F437" i="64"/>
  <c r="G437" i="64"/>
  <c r="H437" i="64"/>
  <c r="J437" i="64"/>
  <c r="K437" i="64"/>
  <c r="L437" i="64"/>
  <c r="M437" i="64"/>
  <c r="O437" i="64"/>
  <c r="P437" i="64"/>
  <c r="R437" i="64"/>
  <c r="S437" i="64"/>
  <c r="T437" i="64"/>
  <c r="U437" i="64"/>
  <c r="V437" i="64"/>
  <c r="W437" i="64"/>
  <c r="X437" i="64"/>
  <c r="AO437" i="64"/>
  <c r="AP437" i="64"/>
  <c r="AQ437" i="64"/>
  <c r="AR437" i="64"/>
  <c r="AS437" i="64"/>
  <c r="AT437" i="64"/>
  <c r="AU437" i="64"/>
  <c r="AW437" i="64"/>
  <c r="AX437" i="64"/>
  <c r="AY437" i="64"/>
  <c r="BA437" i="64"/>
  <c r="A438" i="64"/>
  <c r="B438" i="64"/>
  <c r="D438" i="64"/>
  <c r="E438" i="64"/>
  <c r="F438" i="64"/>
  <c r="G438" i="64"/>
  <c r="H438" i="64"/>
  <c r="J438" i="64"/>
  <c r="K438" i="64"/>
  <c r="L438" i="64"/>
  <c r="M438" i="64"/>
  <c r="O438" i="64"/>
  <c r="P438" i="64"/>
  <c r="R438" i="64"/>
  <c r="S438" i="64"/>
  <c r="T438" i="64"/>
  <c r="U438" i="64"/>
  <c r="V438" i="64"/>
  <c r="W438" i="64"/>
  <c r="X438" i="64"/>
  <c r="AO438" i="64"/>
  <c r="AP438" i="64"/>
  <c r="AQ438" i="64"/>
  <c r="AR438" i="64"/>
  <c r="AS438" i="64"/>
  <c r="AT438" i="64"/>
  <c r="AU438" i="64"/>
  <c r="AW438" i="64"/>
  <c r="AX438" i="64"/>
  <c r="AY438" i="64"/>
  <c r="BA438" i="64"/>
  <c r="A439" i="64"/>
  <c r="B439" i="64"/>
  <c r="D439" i="64"/>
  <c r="E439" i="64"/>
  <c r="F439" i="64"/>
  <c r="G439" i="64"/>
  <c r="H439" i="64"/>
  <c r="J439" i="64"/>
  <c r="K439" i="64"/>
  <c r="L439" i="64"/>
  <c r="M439" i="64"/>
  <c r="O439" i="64"/>
  <c r="P439" i="64"/>
  <c r="R439" i="64"/>
  <c r="S439" i="64"/>
  <c r="T439" i="64"/>
  <c r="U439" i="64"/>
  <c r="V439" i="64"/>
  <c r="W439" i="64"/>
  <c r="X439" i="64"/>
  <c r="AO439" i="64"/>
  <c r="AP439" i="64"/>
  <c r="AQ439" i="64"/>
  <c r="AR439" i="64"/>
  <c r="AS439" i="64"/>
  <c r="AT439" i="64"/>
  <c r="AU439" i="64"/>
  <c r="AW439" i="64"/>
  <c r="AX439" i="64"/>
  <c r="AY439" i="64"/>
  <c r="BA439" i="64"/>
  <c r="A440" i="64"/>
  <c r="B440" i="64"/>
  <c r="D440" i="64"/>
  <c r="E440" i="64"/>
  <c r="F440" i="64"/>
  <c r="G440" i="64"/>
  <c r="H440" i="64"/>
  <c r="J440" i="64"/>
  <c r="K440" i="64"/>
  <c r="L440" i="64"/>
  <c r="M440" i="64"/>
  <c r="O440" i="64"/>
  <c r="P440" i="64"/>
  <c r="R440" i="64"/>
  <c r="S440" i="64"/>
  <c r="T440" i="64"/>
  <c r="U440" i="64"/>
  <c r="V440" i="64"/>
  <c r="W440" i="64"/>
  <c r="X440" i="64"/>
  <c r="AO440" i="64"/>
  <c r="AP440" i="64"/>
  <c r="AQ440" i="64"/>
  <c r="AR440" i="64"/>
  <c r="AS440" i="64"/>
  <c r="AT440" i="64"/>
  <c r="AU440" i="64"/>
  <c r="AW440" i="64"/>
  <c r="AX440" i="64"/>
  <c r="AY440" i="64"/>
  <c r="BA440" i="64"/>
  <c r="A441" i="64"/>
  <c r="B441" i="64"/>
  <c r="D441" i="64"/>
  <c r="E441" i="64"/>
  <c r="F441" i="64"/>
  <c r="G441" i="64"/>
  <c r="H441" i="64"/>
  <c r="J441" i="64"/>
  <c r="K441" i="64"/>
  <c r="L441" i="64"/>
  <c r="M441" i="64"/>
  <c r="O441" i="64"/>
  <c r="P441" i="64"/>
  <c r="R441" i="64"/>
  <c r="S441" i="64"/>
  <c r="T441" i="64"/>
  <c r="U441" i="64"/>
  <c r="V441" i="64"/>
  <c r="W441" i="64"/>
  <c r="X441" i="64"/>
  <c r="AO441" i="64"/>
  <c r="AP441" i="64"/>
  <c r="AQ441" i="64"/>
  <c r="AR441" i="64"/>
  <c r="AS441" i="64"/>
  <c r="AT441" i="64"/>
  <c r="AU441" i="64"/>
  <c r="AW441" i="64"/>
  <c r="AX441" i="64"/>
  <c r="AY441" i="64"/>
  <c r="BA441" i="64"/>
  <c r="A442" i="64"/>
  <c r="B442" i="64"/>
  <c r="D442" i="64"/>
  <c r="E442" i="64"/>
  <c r="F442" i="64"/>
  <c r="G442" i="64"/>
  <c r="H442" i="64"/>
  <c r="J442" i="64"/>
  <c r="K442" i="64"/>
  <c r="L442" i="64"/>
  <c r="M442" i="64"/>
  <c r="O442" i="64"/>
  <c r="P442" i="64"/>
  <c r="R442" i="64"/>
  <c r="S442" i="64"/>
  <c r="T442" i="64"/>
  <c r="U442" i="64"/>
  <c r="V442" i="64"/>
  <c r="W442" i="64"/>
  <c r="X442" i="64"/>
  <c r="AO442" i="64"/>
  <c r="AP442" i="64"/>
  <c r="AQ442" i="64"/>
  <c r="AR442" i="64"/>
  <c r="AS442" i="64"/>
  <c r="AT442" i="64"/>
  <c r="AU442" i="64"/>
  <c r="AW442" i="64"/>
  <c r="AX442" i="64"/>
  <c r="AY442" i="64"/>
  <c r="BA442" i="64"/>
  <c r="A443" i="64"/>
  <c r="B443" i="64"/>
  <c r="D443" i="64"/>
  <c r="E443" i="64"/>
  <c r="F443" i="64"/>
  <c r="G443" i="64"/>
  <c r="H443" i="64"/>
  <c r="J443" i="64"/>
  <c r="K443" i="64"/>
  <c r="L443" i="64"/>
  <c r="M443" i="64"/>
  <c r="O443" i="64"/>
  <c r="P443" i="64"/>
  <c r="R443" i="64"/>
  <c r="S443" i="64"/>
  <c r="T443" i="64"/>
  <c r="U443" i="64"/>
  <c r="V443" i="64"/>
  <c r="W443" i="64"/>
  <c r="X443" i="64"/>
  <c r="AO443" i="64"/>
  <c r="AP443" i="64"/>
  <c r="AQ443" i="64"/>
  <c r="AR443" i="64"/>
  <c r="AS443" i="64"/>
  <c r="AT443" i="64"/>
  <c r="AU443" i="64"/>
  <c r="AW443" i="64"/>
  <c r="AX443" i="64"/>
  <c r="AY443" i="64"/>
  <c r="BA443" i="64"/>
  <c r="A444" i="64"/>
  <c r="B444" i="64"/>
  <c r="D444" i="64"/>
  <c r="E444" i="64"/>
  <c r="F444" i="64"/>
  <c r="G444" i="64"/>
  <c r="H444" i="64"/>
  <c r="J444" i="64"/>
  <c r="K444" i="64"/>
  <c r="L444" i="64"/>
  <c r="M444" i="64"/>
  <c r="O444" i="64"/>
  <c r="P444" i="64"/>
  <c r="R444" i="64"/>
  <c r="S444" i="64"/>
  <c r="T444" i="64"/>
  <c r="U444" i="64"/>
  <c r="V444" i="64"/>
  <c r="W444" i="64"/>
  <c r="X444" i="64"/>
  <c r="AO444" i="64"/>
  <c r="AP444" i="64"/>
  <c r="AQ444" i="64"/>
  <c r="AR444" i="64"/>
  <c r="AS444" i="64"/>
  <c r="AT444" i="64"/>
  <c r="AU444" i="64"/>
  <c r="AW444" i="64"/>
  <c r="AX444" i="64"/>
  <c r="AY444" i="64"/>
  <c r="BA444" i="64"/>
  <c r="A445" i="64"/>
  <c r="B445" i="64"/>
  <c r="D445" i="64"/>
  <c r="E445" i="64"/>
  <c r="F445" i="64"/>
  <c r="G445" i="64"/>
  <c r="H445" i="64"/>
  <c r="J445" i="64"/>
  <c r="K445" i="64"/>
  <c r="L445" i="64"/>
  <c r="M445" i="64"/>
  <c r="O445" i="64"/>
  <c r="P445" i="64"/>
  <c r="R445" i="64"/>
  <c r="S445" i="64"/>
  <c r="T445" i="64"/>
  <c r="U445" i="64"/>
  <c r="V445" i="64"/>
  <c r="W445" i="64"/>
  <c r="X445" i="64"/>
  <c r="AO445" i="64"/>
  <c r="AP445" i="64"/>
  <c r="AQ445" i="64"/>
  <c r="AR445" i="64"/>
  <c r="AS445" i="64"/>
  <c r="AT445" i="64"/>
  <c r="AU445" i="64"/>
  <c r="AW445" i="64"/>
  <c r="AX445" i="64"/>
  <c r="AY445" i="64"/>
  <c r="BA445" i="64"/>
  <c r="A446" i="64"/>
  <c r="B446" i="64"/>
  <c r="D446" i="64"/>
  <c r="E446" i="64"/>
  <c r="F446" i="64"/>
  <c r="G446" i="64"/>
  <c r="H446" i="64"/>
  <c r="J446" i="64"/>
  <c r="K446" i="64"/>
  <c r="L446" i="64"/>
  <c r="M446" i="64"/>
  <c r="O446" i="64"/>
  <c r="P446" i="64"/>
  <c r="R446" i="64"/>
  <c r="S446" i="64"/>
  <c r="T446" i="64"/>
  <c r="U446" i="64"/>
  <c r="V446" i="64"/>
  <c r="W446" i="64"/>
  <c r="X446" i="64"/>
  <c r="AO446" i="64"/>
  <c r="AP446" i="64"/>
  <c r="AQ446" i="64"/>
  <c r="AR446" i="64"/>
  <c r="AS446" i="64"/>
  <c r="AT446" i="64"/>
  <c r="AU446" i="64"/>
  <c r="AW446" i="64"/>
  <c r="AX446" i="64"/>
  <c r="AY446" i="64"/>
  <c r="BA446" i="64"/>
  <c r="A447" i="64"/>
  <c r="B447" i="64"/>
  <c r="D447" i="64"/>
  <c r="E447" i="64"/>
  <c r="F447" i="64"/>
  <c r="G447" i="64"/>
  <c r="H447" i="64"/>
  <c r="J447" i="64"/>
  <c r="K447" i="64"/>
  <c r="L447" i="64"/>
  <c r="M447" i="64"/>
  <c r="O447" i="64"/>
  <c r="P447" i="64"/>
  <c r="R447" i="64"/>
  <c r="S447" i="64"/>
  <c r="T447" i="64"/>
  <c r="U447" i="64"/>
  <c r="V447" i="64"/>
  <c r="W447" i="64"/>
  <c r="X447" i="64"/>
  <c r="AO447" i="64"/>
  <c r="AP447" i="64"/>
  <c r="AQ447" i="64"/>
  <c r="AR447" i="64"/>
  <c r="AS447" i="64"/>
  <c r="AT447" i="64"/>
  <c r="AU447" i="64"/>
  <c r="AW447" i="64"/>
  <c r="AX447" i="64"/>
  <c r="AY447" i="64"/>
  <c r="BA447" i="64"/>
  <c r="A448" i="64"/>
  <c r="B448" i="64"/>
  <c r="D448" i="64"/>
  <c r="E448" i="64"/>
  <c r="F448" i="64"/>
  <c r="G448" i="64"/>
  <c r="H448" i="64"/>
  <c r="J448" i="64"/>
  <c r="K448" i="64"/>
  <c r="L448" i="64"/>
  <c r="M448" i="64"/>
  <c r="O448" i="64"/>
  <c r="P448" i="64"/>
  <c r="R448" i="64"/>
  <c r="S448" i="64"/>
  <c r="T448" i="64"/>
  <c r="U448" i="64"/>
  <c r="V448" i="64"/>
  <c r="W448" i="64"/>
  <c r="X448" i="64"/>
  <c r="AO448" i="64"/>
  <c r="AP448" i="64"/>
  <c r="AQ448" i="64"/>
  <c r="AR448" i="64"/>
  <c r="AS448" i="64"/>
  <c r="AT448" i="64"/>
  <c r="AU448" i="64"/>
  <c r="AW448" i="64"/>
  <c r="AX448" i="64"/>
  <c r="AY448" i="64"/>
  <c r="BA448" i="64"/>
  <c r="A449" i="64"/>
  <c r="B449" i="64"/>
  <c r="D449" i="64"/>
  <c r="E449" i="64"/>
  <c r="F449" i="64"/>
  <c r="G449" i="64"/>
  <c r="H449" i="64"/>
  <c r="J449" i="64"/>
  <c r="K449" i="64"/>
  <c r="L449" i="64"/>
  <c r="M449" i="64"/>
  <c r="O449" i="64"/>
  <c r="P449" i="64"/>
  <c r="R449" i="64"/>
  <c r="S449" i="64"/>
  <c r="T449" i="64"/>
  <c r="U449" i="64"/>
  <c r="V449" i="64"/>
  <c r="W449" i="64"/>
  <c r="X449" i="64"/>
  <c r="AO449" i="64"/>
  <c r="AP449" i="64"/>
  <c r="AQ449" i="64"/>
  <c r="AR449" i="64"/>
  <c r="AS449" i="64"/>
  <c r="AT449" i="64"/>
  <c r="AU449" i="64"/>
  <c r="AW449" i="64"/>
  <c r="AX449" i="64"/>
  <c r="AY449" i="64"/>
  <c r="BA449" i="64"/>
  <c r="A450" i="64"/>
  <c r="B450" i="64"/>
  <c r="D450" i="64"/>
  <c r="E450" i="64"/>
  <c r="F450" i="64"/>
  <c r="G450" i="64"/>
  <c r="H450" i="64"/>
  <c r="J450" i="64"/>
  <c r="K450" i="64"/>
  <c r="L450" i="64"/>
  <c r="M450" i="64"/>
  <c r="O450" i="64"/>
  <c r="P450" i="64"/>
  <c r="R450" i="64"/>
  <c r="S450" i="64"/>
  <c r="T450" i="64"/>
  <c r="U450" i="64"/>
  <c r="V450" i="64"/>
  <c r="W450" i="64"/>
  <c r="X450" i="64"/>
  <c r="AO450" i="64"/>
  <c r="AP450" i="64"/>
  <c r="AQ450" i="64"/>
  <c r="AR450" i="64"/>
  <c r="AS450" i="64"/>
  <c r="AT450" i="64"/>
  <c r="AU450" i="64"/>
  <c r="AW450" i="64"/>
  <c r="AX450" i="64"/>
  <c r="AY450" i="64"/>
  <c r="BA450" i="64"/>
  <c r="A451" i="64"/>
  <c r="B451" i="64"/>
  <c r="D451" i="64"/>
  <c r="E451" i="64"/>
  <c r="F451" i="64"/>
  <c r="G451" i="64"/>
  <c r="H451" i="64"/>
  <c r="J451" i="64"/>
  <c r="K451" i="64"/>
  <c r="L451" i="64"/>
  <c r="M451" i="64"/>
  <c r="O451" i="64"/>
  <c r="P451" i="64"/>
  <c r="R451" i="64"/>
  <c r="S451" i="64"/>
  <c r="T451" i="64"/>
  <c r="U451" i="64"/>
  <c r="V451" i="64"/>
  <c r="W451" i="64"/>
  <c r="X451" i="64"/>
  <c r="AO451" i="64"/>
  <c r="AP451" i="64"/>
  <c r="AQ451" i="64"/>
  <c r="AR451" i="64"/>
  <c r="AS451" i="64"/>
  <c r="AT451" i="64"/>
  <c r="AU451" i="64"/>
  <c r="AW451" i="64"/>
  <c r="AX451" i="64"/>
  <c r="AY451" i="64"/>
  <c r="BA451" i="64"/>
  <c r="A452" i="64"/>
  <c r="B452" i="64"/>
  <c r="D452" i="64"/>
  <c r="E452" i="64"/>
  <c r="F452" i="64"/>
  <c r="G452" i="64"/>
  <c r="H452" i="64"/>
  <c r="J452" i="64"/>
  <c r="K452" i="64"/>
  <c r="L452" i="64"/>
  <c r="M452" i="64"/>
  <c r="O452" i="64"/>
  <c r="P452" i="64"/>
  <c r="R452" i="64"/>
  <c r="S452" i="64"/>
  <c r="T452" i="64"/>
  <c r="U452" i="64"/>
  <c r="V452" i="64"/>
  <c r="W452" i="64"/>
  <c r="X452" i="64"/>
  <c r="AO452" i="64"/>
  <c r="AP452" i="64"/>
  <c r="AQ452" i="64"/>
  <c r="AR452" i="64"/>
  <c r="AS452" i="64"/>
  <c r="AT452" i="64"/>
  <c r="AU452" i="64"/>
  <c r="AW452" i="64"/>
  <c r="AX452" i="64"/>
  <c r="AY452" i="64"/>
  <c r="BA452" i="64"/>
  <c r="A453" i="64"/>
  <c r="B453" i="64"/>
  <c r="D453" i="64"/>
  <c r="E453" i="64"/>
  <c r="F453" i="64"/>
  <c r="G453" i="64"/>
  <c r="H453" i="64"/>
  <c r="J453" i="64"/>
  <c r="K453" i="64"/>
  <c r="L453" i="64"/>
  <c r="M453" i="64"/>
  <c r="O453" i="64"/>
  <c r="P453" i="64"/>
  <c r="R453" i="64"/>
  <c r="S453" i="64"/>
  <c r="T453" i="64"/>
  <c r="U453" i="64"/>
  <c r="V453" i="64"/>
  <c r="W453" i="64"/>
  <c r="X453" i="64"/>
  <c r="AO453" i="64"/>
  <c r="AP453" i="64"/>
  <c r="AQ453" i="64"/>
  <c r="AR453" i="64"/>
  <c r="AS453" i="64"/>
  <c r="AT453" i="64"/>
  <c r="AU453" i="64"/>
  <c r="AW453" i="64"/>
  <c r="AX453" i="64"/>
  <c r="AY453" i="64"/>
  <c r="BA453" i="64"/>
  <c r="A454" i="64"/>
  <c r="B454" i="64"/>
  <c r="D454" i="64"/>
  <c r="E454" i="64"/>
  <c r="F454" i="64"/>
  <c r="G454" i="64"/>
  <c r="H454" i="64"/>
  <c r="J454" i="64"/>
  <c r="K454" i="64"/>
  <c r="L454" i="64"/>
  <c r="M454" i="64"/>
  <c r="O454" i="64"/>
  <c r="P454" i="64"/>
  <c r="R454" i="64"/>
  <c r="S454" i="64"/>
  <c r="T454" i="64"/>
  <c r="U454" i="64"/>
  <c r="V454" i="64"/>
  <c r="W454" i="64"/>
  <c r="X454" i="64"/>
  <c r="AO454" i="64"/>
  <c r="AP454" i="64"/>
  <c r="AQ454" i="64"/>
  <c r="AR454" i="64"/>
  <c r="AS454" i="64"/>
  <c r="AT454" i="64"/>
  <c r="AU454" i="64"/>
  <c r="AW454" i="64"/>
  <c r="AX454" i="64"/>
  <c r="AY454" i="64"/>
  <c r="BA454" i="64"/>
  <c r="A455" i="64"/>
  <c r="B455" i="64"/>
  <c r="D455" i="64"/>
  <c r="E455" i="64"/>
  <c r="F455" i="64"/>
  <c r="G455" i="64"/>
  <c r="H455" i="64"/>
  <c r="J455" i="64"/>
  <c r="K455" i="64"/>
  <c r="L455" i="64"/>
  <c r="M455" i="64"/>
  <c r="O455" i="64"/>
  <c r="P455" i="64"/>
  <c r="R455" i="64"/>
  <c r="S455" i="64"/>
  <c r="T455" i="64"/>
  <c r="U455" i="64"/>
  <c r="V455" i="64"/>
  <c r="W455" i="64"/>
  <c r="X455" i="64"/>
  <c r="AO455" i="64"/>
  <c r="AP455" i="64"/>
  <c r="AQ455" i="64"/>
  <c r="AR455" i="64"/>
  <c r="AS455" i="64"/>
  <c r="AT455" i="64"/>
  <c r="AU455" i="64"/>
  <c r="AW455" i="64"/>
  <c r="AX455" i="64"/>
  <c r="AY455" i="64"/>
  <c r="BA455" i="64"/>
  <c r="A456" i="64"/>
  <c r="B456" i="64"/>
  <c r="D456" i="64"/>
  <c r="E456" i="64"/>
  <c r="F456" i="64"/>
  <c r="G456" i="64"/>
  <c r="H456" i="64"/>
  <c r="J456" i="64"/>
  <c r="K456" i="64"/>
  <c r="L456" i="64"/>
  <c r="M456" i="64"/>
  <c r="O456" i="64"/>
  <c r="P456" i="64"/>
  <c r="R456" i="64"/>
  <c r="S456" i="64"/>
  <c r="T456" i="64"/>
  <c r="U456" i="64"/>
  <c r="V456" i="64"/>
  <c r="W456" i="64"/>
  <c r="X456" i="64"/>
  <c r="AO456" i="64"/>
  <c r="AP456" i="64"/>
  <c r="AQ456" i="64"/>
  <c r="AR456" i="64"/>
  <c r="AS456" i="64"/>
  <c r="AT456" i="64"/>
  <c r="AU456" i="64"/>
  <c r="AW456" i="64"/>
  <c r="AX456" i="64"/>
  <c r="AY456" i="64"/>
  <c r="BA456" i="64"/>
  <c r="A457" i="64"/>
  <c r="B457" i="64"/>
  <c r="D457" i="64"/>
  <c r="E457" i="64"/>
  <c r="F457" i="64"/>
  <c r="G457" i="64"/>
  <c r="H457" i="64"/>
  <c r="J457" i="64"/>
  <c r="K457" i="64"/>
  <c r="L457" i="64"/>
  <c r="M457" i="64"/>
  <c r="O457" i="64"/>
  <c r="P457" i="64"/>
  <c r="R457" i="64"/>
  <c r="S457" i="64"/>
  <c r="T457" i="64"/>
  <c r="U457" i="64"/>
  <c r="V457" i="64"/>
  <c r="W457" i="64"/>
  <c r="X457" i="64"/>
  <c r="AO457" i="64"/>
  <c r="AP457" i="64"/>
  <c r="AQ457" i="64"/>
  <c r="AR457" i="64"/>
  <c r="AS457" i="64"/>
  <c r="AT457" i="64"/>
  <c r="AU457" i="64"/>
  <c r="AW457" i="64"/>
  <c r="AX457" i="64"/>
  <c r="AY457" i="64"/>
  <c r="BA457" i="64"/>
  <c r="A458" i="64"/>
  <c r="B458" i="64"/>
  <c r="D458" i="64"/>
  <c r="E458" i="64"/>
  <c r="F458" i="64"/>
  <c r="G458" i="64"/>
  <c r="H458" i="64"/>
  <c r="J458" i="64"/>
  <c r="K458" i="64"/>
  <c r="L458" i="64"/>
  <c r="M458" i="64"/>
  <c r="O458" i="64"/>
  <c r="P458" i="64"/>
  <c r="R458" i="64"/>
  <c r="S458" i="64"/>
  <c r="T458" i="64"/>
  <c r="U458" i="64"/>
  <c r="V458" i="64"/>
  <c r="W458" i="64"/>
  <c r="X458" i="64"/>
  <c r="AO458" i="64"/>
  <c r="AP458" i="64"/>
  <c r="AQ458" i="64"/>
  <c r="AR458" i="64"/>
  <c r="AS458" i="64"/>
  <c r="AT458" i="64"/>
  <c r="AU458" i="64"/>
  <c r="AW458" i="64"/>
  <c r="AX458" i="64"/>
  <c r="AY458" i="64"/>
  <c r="BA458" i="64"/>
  <c r="A459" i="64"/>
  <c r="B459" i="64"/>
  <c r="D459" i="64"/>
  <c r="E459" i="64"/>
  <c r="F459" i="64"/>
  <c r="G459" i="64"/>
  <c r="H459" i="64"/>
  <c r="J459" i="64"/>
  <c r="K459" i="64"/>
  <c r="L459" i="64"/>
  <c r="M459" i="64"/>
  <c r="O459" i="64"/>
  <c r="P459" i="64"/>
  <c r="R459" i="64"/>
  <c r="S459" i="64"/>
  <c r="T459" i="64"/>
  <c r="U459" i="64"/>
  <c r="V459" i="64"/>
  <c r="W459" i="64"/>
  <c r="X459" i="64"/>
  <c r="AO459" i="64"/>
  <c r="AP459" i="64"/>
  <c r="AQ459" i="64"/>
  <c r="AR459" i="64"/>
  <c r="AS459" i="64"/>
  <c r="AT459" i="64"/>
  <c r="AU459" i="64"/>
  <c r="AW459" i="64"/>
  <c r="AX459" i="64"/>
  <c r="AY459" i="64"/>
  <c r="BA459" i="64"/>
  <c r="A460" i="64"/>
  <c r="B460" i="64"/>
  <c r="D460" i="64"/>
  <c r="E460" i="64"/>
  <c r="F460" i="64"/>
  <c r="G460" i="64"/>
  <c r="H460" i="64"/>
  <c r="J460" i="64"/>
  <c r="K460" i="64"/>
  <c r="L460" i="64"/>
  <c r="M460" i="64"/>
  <c r="O460" i="64"/>
  <c r="P460" i="64"/>
  <c r="R460" i="64"/>
  <c r="S460" i="64"/>
  <c r="T460" i="64"/>
  <c r="U460" i="64"/>
  <c r="V460" i="64"/>
  <c r="W460" i="64"/>
  <c r="X460" i="64"/>
  <c r="AO460" i="64"/>
  <c r="AP460" i="64"/>
  <c r="AQ460" i="64"/>
  <c r="AR460" i="64"/>
  <c r="AS460" i="64"/>
  <c r="AT460" i="64"/>
  <c r="AU460" i="64"/>
  <c r="AW460" i="64"/>
  <c r="AX460" i="64"/>
  <c r="AY460" i="64"/>
  <c r="BA460" i="64"/>
  <c r="A461" i="64"/>
  <c r="B461" i="64"/>
  <c r="D461" i="64"/>
  <c r="E461" i="64"/>
  <c r="F461" i="64"/>
  <c r="G461" i="64"/>
  <c r="H461" i="64"/>
  <c r="J461" i="64"/>
  <c r="K461" i="64"/>
  <c r="L461" i="64"/>
  <c r="M461" i="64"/>
  <c r="O461" i="64"/>
  <c r="P461" i="64"/>
  <c r="R461" i="64"/>
  <c r="S461" i="64"/>
  <c r="T461" i="64"/>
  <c r="U461" i="64"/>
  <c r="V461" i="64"/>
  <c r="W461" i="64"/>
  <c r="X461" i="64"/>
  <c r="AO461" i="64"/>
  <c r="AP461" i="64"/>
  <c r="AQ461" i="64"/>
  <c r="AR461" i="64"/>
  <c r="AS461" i="64"/>
  <c r="AT461" i="64"/>
  <c r="AU461" i="64"/>
  <c r="AW461" i="64"/>
  <c r="AX461" i="64"/>
  <c r="AY461" i="64"/>
  <c r="BA461" i="64"/>
  <c r="A462" i="64"/>
  <c r="B462" i="64"/>
  <c r="D462" i="64"/>
  <c r="E462" i="64"/>
  <c r="F462" i="64"/>
  <c r="G462" i="64"/>
  <c r="H462" i="64"/>
  <c r="J462" i="64"/>
  <c r="K462" i="64"/>
  <c r="L462" i="64"/>
  <c r="M462" i="64"/>
  <c r="O462" i="64"/>
  <c r="P462" i="64"/>
  <c r="R462" i="64"/>
  <c r="S462" i="64"/>
  <c r="T462" i="64"/>
  <c r="U462" i="64"/>
  <c r="V462" i="64"/>
  <c r="W462" i="64"/>
  <c r="X462" i="64"/>
  <c r="AO462" i="64"/>
  <c r="AP462" i="64"/>
  <c r="AQ462" i="64"/>
  <c r="AR462" i="64"/>
  <c r="AS462" i="64"/>
  <c r="AT462" i="64"/>
  <c r="AU462" i="64"/>
  <c r="AW462" i="64"/>
  <c r="AX462" i="64"/>
  <c r="AY462" i="64"/>
  <c r="BA462" i="64"/>
  <c r="A463" i="64"/>
  <c r="B463" i="64"/>
  <c r="D463" i="64"/>
  <c r="E463" i="64"/>
  <c r="F463" i="64"/>
  <c r="G463" i="64"/>
  <c r="H463" i="64"/>
  <c r="J463" i="64"/>
  <c r="K463" i="64"/>
  <c r="L463" i="64"/>
  <c r="M463" i="64"/>
  <c r="O463" i="64"/>
  <c r="P463" i="64"/>
  <c r="R463" i="64"/>
  <c r="S463" i="64"/>
  <c r="T463" i="64"/>
  <c r="U463" i="64"/>
  <c r="V463" i="64"/>
  <c r="W463" i="64"/>
  <c r="X463" i="64"/>
  <c r="AO463" i="64"/>
  <c r="AP463" i="64"/>
  <c r="AQ463" i="64"/>
  <c r="AR463" i="64"/>
  <c r="AS463" i="64"/>
  <c r="AT463" i="64"/>
  <c r="AU463" i="64"/>
  <c r="AW463" i="64"/>
  <c r="AX463" i="64"/>
  <c r="AY463" i="64"/>
  <c r="BA463" i="64"/>
  <c r="A464" i="64"/>
  <c r="B464" i="64"/>
  <c r="D464" i="64"/>
  <c r="E464" i="64"/>
  <c r="F464" i="64"/>
  <c r="G464" i="64"/>
  <c r="H464" i="64"/>
  <c r="J464" i="64"/>
  <c r="K464" i="64"/>
  <c r="L464" i="64"/>
  <c r="M464" i="64"/>
  <c r="O464" i="64"/>
  <c r="P464" i="64"/>
  <c r="R464" i="64"/>
  <c r="S464" i="64"/>
  <c r="T464" i="64"/>
  <c r="U464" i="64"/>
  <c r="V464" i="64"/>
  <c r="W464" i="64"/>
  <c r="X464" i="64"/>
  <c r="AO464" i="64"/>
  <c r="AP464" i="64"/>
  <c r="AQ464" i="64"/>
  <c r="AR464" i="64"/>
  <c r="AS464" i="64"/>
  <c r="AT464" i="64"/>
  <c r="AU464" i="64"/>
  <c r="AW464" i="64"/>
  <c r="AX464" i="64"/>
  <c r="AY464" i="64"/>
  <c r="BA464" i="64"/>
  <c r="A465" i="64"/>
  <c r="B465" i="64"/>
  <c r="D465" i="64"/>
  <c r="E465" i="64"/>
  <c r="F465" i="64"/>
  <c r="G465" i="64"/>
  <c r="H465" i="64"/>
  <c r="J465" i="64"/>
  <c r="K465" i="64"/>
  <c r="L465" i="64"/>
  <c r="M465" i="64"/>
  <c r="O465" i="64"/>
  <c r="P465" i="64"/>
  <c r="R465" i="64"/>
  <c r="S465" i="64"/>
  <c r="T465" i="64"/>
  <c r="U465" i="64"/>
  <c r="V465" i="64"/>
  <c r="W465" i="64"/>
  <c r="X465" i="64"/>
  <c r="AO465" i="64"/>
  <c r="AP465" i="64"/>
  <c r="AQ465" i="64"/>
  <c r="AR465" i="64"/>
  <c r="AS465" i="64"/>
  <c r="AT465" i="64"/>
  <c r="AU465" i="64"/>
  <c r="AW465" i="64"/>
  <c r="AX465" i="64"/>
  <c r="AY465" i="64"/>
  <c r="BA465" i="64"/>
  <c r="A466" i="64"/>
  <c r="B466" i="64"/>
  <c r="D466" i="64"/>
  <c r="E466" i="64"/>
  <c r="F466" i="64"/>
  <c r="G466" i="64"/>
  <c r="H466" i="64"/>
  <c r="J466" i="64"/>
  <c r="K466" i="64"/>
  <c r="L466" i="64"/>
  <c r="M466" i="64"/>
  <c r="O466" i="64"/>
  <c r="P466" i="64"/>
  <c r="R466" i="64"/>
  <c r="S466" i="64"/>
  <c r="T466" i="64"/>
  <c r="U466" i="64"/>
  <c r="V466" i="64"/>
  <c r="W466" i="64"/>
  <c r="X466" i="64"/>
  <c r="AO466" i="64"/>
  <c r="AP466" i="64"/>
  <c r="AQ466" i="64"/>
  <c r="AR466" i="64"/>
  <c r="AS466" i="64"/>
  <c r="AT466" i="64"/>
  <c r="AU466" i="64"/>
  <c r="AW466" i="64"/>
  <c r="AX466" i="64"/>
  <c r="AY466" i="64"/>
  <c r="BA466" i="64"/>
  <c r="A467" i="64"/>
  <c r="B467" i="64"/>
  <c r="D467" i="64"/>
  <c r="E467" i="64"/>
  <c r="F467" i="64"/>
  <c r="G467" i="64"/>
  <c r="H467" i="64"/>
  <c r="J467" i="64"/>
  <c r="K467" i="64"/>
  <c r="L467" i="64"/>
  <c r="M467" i="64"/>
  <c r="O467" i="64"/>
  <c r="P467" i="64"/>
  <c r="R467" i="64"/>
  <c r="S467" i="64"/>
  <c r="T467" i="64"/>
  <c r="U467" i="64"/>
  <c r="V467" i="64"/>
  <c r="W467" i="64"/>
  <c r="X467" i="64"/>
  <c r="AO467" i="64"/>
  <c r="AP467" i="64"/>
  <c r="AQ467" i="64"/>
  <c r="AR467" i="64"/>
  <c r="AS467" i="64"/>
  <c r="AT467" i="64"/>
  <c r="AU467" i="64"/>
  <c r="AW467" i="64"/>
  <c r="AX467" i="64"/>
  <c r="AY467" i="64"/>
  <c r="BA467" i="64"/>
  <c r="A468" i="64"/>
  <c r="B468" i="64"/>
  <c r="D468" i="64"/>
  <c r="E468" i="64"/>
  <c r="F468" i="64"/>
  <c r="G468" i="64"/>
  <c r="H468" i="64"/>
  <c r="J468" i="64"/>
  <c r="K468" i="64"/>
  <c r="L468" i="64"/>
  <c r="M468" i="64"/>
  <c r="O468" i="64"/>
  <c r="P468" i="64"/>
  <c r="R468" i="64"/>
  <c r="S468" i="64"/>
  <c r="T468" i="64"/>
  <c r="U468" i="64"/>
  <c r="V468" i="64"/>
  <c r="W468" i="64"/>
  <c r="X468" i="64"/>
  <c r="AO468" i="64"/>
  <c r="AP468" i="64"/>
  <c r="AQ468" i="64"/>
  <c r="AR468" i="64"/>
  <c r="AS468" i="64"/>
  <c r="AT468" i="64"/>
  <c r="AU468" i="64"/>
  <c r="AW468" i="64"/>
  <c r="AX468" i="64"/>
  <c r="AY468" i="64"/>
  <c r="BA468" i="64"/>
  <c r="A469" i="64"/>
  <c r="B469" i="64"/>
  <c r="D469" i="64"/>
  <c r="E469" i="64"/>
  <c r="F469" i="64"/>
  <c r="G469" i="64"/>
  <c r="H469" i="64"/>
  <c r="J469" i="64"/>
  <c r="K469" i="64"/>
  <c r="L469" i="64"/>
  <c r="M469" i="64"/>
  <c r="O469" i="64"/>
  <c r="P469" i="64"/>
  <c r="R469" i="64"/>
  <c r="S469" i="64"/>
  <c r="T469" i="64"/>
  <c r="U469" i="64"/>
  <c r="V469" i="64"/>
  <c r="W469" i="64"/>
  <c r="X469" i="64"/>
  <c r="AO469" i="64"/>
  <c r="AP469" i="64"/>
  <c r="AQ469" i="64"/>
  <c r="AR469" i="64"/>
  <c r="AS469" i="64"/>
  <c r="AT469" i="64"/>
  <c r="AU469" i="64"/>
  <c r="AW469" i="64"/>
  <c r="AX469" i="64"/>
  <c r="AY469" i="64"/>
  <c r="BA469" i="64"/>
  <c r="A470" i="64"/>
  <c r="B470" i="64"/>
  <c r="D470" i="64"/>
  <c r="E470" i="64"/>
  <c r="F470" i="64"/>
  <c r="G470" i="64"/>
  <c r="H470" i="64"/>
  <c r="J470" i="64"/>
  <c r="K470" i="64"/>
  <c r="L470" i="64"/>
  <c r="M470" i="64"/>
  <c r="O470" i="64"/>
  <c r="P470" i="64"/>
  <c r="R470" i="64"/>
  <c r="S470" i="64"/>
  <c r="T470" i="64"/>
  <c r="U470" i="64"/>
  <c r="V470" i="64"/>
  <c r="W470" i="64"/>
  <c r="X470" i="64"/>
  <c r="AO470" i="64"/>
  <c r="AP470" i="64"/>
  <c r="AQ470" i="64"/>
  <c r="AR470" i="64"/>
  <c r="AS470" i="64"/>
  <c r="AT470" i="64"/>
  <c r="AU470" i="64"/>
  <c r="AW470" i="64"/>
  <c r="AX470" i="64"/>
  <c r="AY470" i="64"/>
  <c r="BA470" i="64"/>
  <c r="A471" i="64"/>
  <c r="B471" i="64"/>
  <c r="D471" i="64"/>
  <c r="E471" i="64"/>
  <c r="F471" i="64"/>
  <c r="G471" i="64"/>
  <c r="H471" i="64"/>
  <c r="J471" i="64"/>
  <c r="K471" i="64"/>
  <c r="L471" i="64"/>
  <c r="M471" i="64"/>
  <c r="O471" i="64"/>
  <c r="P471" i="64"/>
  <c r="R471" i="64"/>
  <c r="S471" i="64"/>
  <c r="T471" i="64"/>
  <c r="U471" i="64"/>
  <c r="V471" i="64"/>
  <c r="W471" i="64"/>
  <c r="X471" i="64"/>
  <c r="AO471" i="64"/>
  <c r="AP471" i="64"/>
  <c r="AQ471" i="64"/>
  <c r="AR471" i="64"/>
  <c r="AS471" i="64"/>
  <c r="AT471" i="64"/>
  <c r="AU471" i="64"/>
  <c r="AW471" i="64"/>
  <c r="AX471" i="64"/>
  <c r="AY471" i="64"/>
  <c r="BA471" i="64"/>
  <c r="A472" i="64"/>
  <c r="B472" i="64"/>
  <c r="D472" i="64"/>
  <c r="E472" i="64"/>
  <c r="F472" i="64"/>
  <c r="G472" i="64"/>
  <c r="H472" i="64"/>
  <c r="J472" i="64"/>
  <c r="K472" i="64"/>
  <c r="L472" i="64"/>
  <c r="M472" i="64"/>
  <c r="O472" i="64"/>
  <c r="P472" i="64"/>
  <c r="R472" i="64"/>
  <c r="S472" i="64"/>
  <c r="T472" i="64"/>
  <c r="U472" i="64"/>
  <c r="V472" i="64"/>
  <c r="W472" i="64"/>
  <c r="X472" i="64"/>
  <c r="AO472" i="64"/>
  <c r="AP472" i="64"/>
  <c r="AQ472" i="64"/>
  <c r="AR472" i="64"/>
  <c r="AS472" i="64"/>
  <c r="AT472" i="64"/>
  <c r="AU472" i="64"/>
  <c r="AW472" i="64"/>
  <c r="AX472" i="64"/>
  <c r="AY472" i="64"/>
  <c r="BA472" i="64"/>
  <c r="A473" i="64"/>
  <c r="B473" i="64"/>
  <c r="D473" i="64"/>
  <c r="E473" i="64"/>
  <c r="F473" i="64"/>
  <c r="G473" i="64"/>
  <c r="H473" i="64"/>
  <c r="J473" i="64"/>
  <c r="K473" i="64"/>
  <c r="L473" i="64"/>
  <c r="M473" i="64"/>
  <c r="O473" i="64"/>
  <c r="P473" i="64"/>
  <c r="R473" i="64"/>
  <c r="S473" i="64"/>
  <c r="T473" i="64"/>
  <c r="U473" i="64"/>
  <c r="V473" i="64"/>
  <c r="W473" i="64"/>
  <c r="X473" i="64"/>
  <c r="AO473" i="64"/>
  <c r="AP473" i="64"/>
  <c r="AQ473" i="64"/>
  <c r="AR473" i="64"/>
  <c r="AS473" i="64"/>
  <c r="AT473" i="64"/>
  <c r="AU473" i="64"/>
  <c r="AW473" i="64"/>
  <c r="AX473" i="64"/>
  <c r="AY473" i="64"/>
  <c r="BA473" i="64"/>
  <c r="A474" i="64"/>
  <c r="B474" i="64"/>
  <c r="D474" i="64"/>
  <c r="E474" i="64"/>
  <c r="F474" i="64"/>
  <c r="G474" i="64"/>
  <c r="H474" i="64"/>
  <c r="J474" i="64"/>
  <c r="K474" i="64"/>
  <c r="L474" i="64"/>
  <c r="M474" i="64"/>
  <c r="O474" i="64"/>
  <c r="P474" i="64"/>
  <c r="R474" i="64"/>
  <c r="S474" i="64"/>
  <c r="T474" i="64"/>
  <c r="U474" i="64"/>
  <c r="V474" i="64"/>
  <c r="W474" i="64"/>
  <c r="X474" i="64"/>
  <c r="AO474" i="64"/>
  <c r="AP474" i="64"/>
  <c r="AQ474" i="64"/>
  <c r="AR474" i="64"/>
  <c r="AS474" i="64"/>
  <c r="AT474" i="64"/>
  <c r="AU474" i="64"/>
  <c r="AW474" i="64"/>
  <c r="AX474" i="64"/>
  <c r="AY474" i="64"/>
  <c r="BA474" i="64"/>
  <c r="A475" i="64"/>
  <c r="B475" i="64"/>
  <c r="D475" i="64"/>
  <c r="E475" i="64"/>
  <c r="F475" i="64"/>
  <c r="G475" i="64"/>
  <c r="H475" i="64"/>
  <c r="J475" i="64"/>
  <c r="K475" i="64"/>
  <c r="L475" i="64"/>
  <c r="M475" i="64"/>
  <c r="O475" i="64"/>
  <c r="P475" i="64"/>
  <c r="R475" i="64"/>
  <c r="S475" i="64"/>
  <c r="T475" i="64"/>
  <c r="U475" i="64"/>
  <c r="V475" i="64"/>
  <c r="W475" i="64"/>
  <c r="X475" i="64"/>
  <c r="AO475" i="64"/>
  <c r="AP475" i="64"/>
  <c r="AQ475" i="64"/>
  <c r="AR475" i="64"/>
  <c r="AS475" i="64"/>
  <c r="AT475" i="64"/>
  <c r="AU475" i="64"/>
  <c r="AW475" i="64"/>
  <c r="AX475" i="64"/>
  <c r="AY475" i="64"/>
  <c r="BA475" i="64"/>
  <c r="A476" i="64"/>
  <c r="B476" i="64"/>
  <c r="D476" i="64"/>
  <c r="E476" i="64"/>
  <c r="F476" i="64"/>
  <c r="G476" i="64"/>
  <c r="H476" i="64"/>
  <c r="J476" i="64"/>
  <c r="K476" i="64"/>
  <c r="L476" i="64"/>
  <c r="M476" i="64"/>
  <c r="O476" i="64"/>
  <c r="P476" i="64"/>
  <c r="R476" i="64"/>
  <c r="S476" i="64"/>
  <c r="T476" i="64"/>
  <c r="U476" i="64"/>
  <c r="V476" i="64"/>
  <c r="W476" i="64"/>
  <c r="X476" i="64"/>
  <c r="AO476" i="64"/>
  <c r="AP476" i="64"/>
  <c r="AQ476" i="64"/>
  <c r="AR476" i="64"/>
  <c r="AS476" i="64"/>
  <c r="AT476" i="64"/>
  <c r="AU476" i="64"/>
  <c r="AW476" i="64"/>
  <c r="AX476" i="64"/>
  <c r="AY476" i="64"/>
  <c r="BA476" i="64"/>
  <c r="A477" i="64"/>
  <c r="B477" i="64"/>
  <c r="D477" i="64"/>
  <c r="E477" i="64"/>
  <c r="F477" i="64"/>
  <c r="G477" i="64"/>
  <c r="H477" i="64"/>
  <c r="J477" i="64"/>
  <c r="K477" i="64"/>
  <c r="L477" i="64"/>
  <c r="M477" i="64"/>
  <c r="O477" i="64"/>
  <c r="P477" i="64"/>
  <c r="R477" i="64"/>
  <c r="S477" i="64"/>
  <c r="T477" i="64"/>
  <c r="U477" i="64"/>
  <c r="V477" i="64"/>
  <c r="W477" i="64"/>
  <c r="X477" i="64"/>
  <c r="AO477" i="64"/>
  <c r="AP477" i="64"/>
  <c r="AQ477" i="64"/>
  <c r="AR477" i="64"/>
  <c r="AS477" i="64"/>
  <c r="AT477" i="64"/>
  <c r="AU477" i="64"/>
  <c r="AW477" i="64"/>
  <c r="AX477" i="64"/>
  <c r="AY477" i="64"/>
  <c r="BA477" i="64"/>
  <c r="A478" i="64"/>
  <c r="B478" i="64"/>
  <c r="D478" i="64"/>
  <c r="E478" i="64"/>
  <c r="F478" i="64"/>
  <c r="G478" i="64"/>
  <c r="H478" i="64"/>
  <c r="J478" i="64"/>
  <c r="K478" i="64"/>
  <c r="L478" i="64"/>
  <c r="M478" i="64"/>
  <c r="O478" i="64"/>
  <c r="P478" i="64"/>
  <c r="R478" i="64"/>
  <c r="S478" i="64"/>
  <c r="T478" i="64"/>
  <c r="U478" i="64"/>
  <c r="V478" i="64"/>
  <c r="W478" i="64"/>
  <c r="X478" i="64"/>
  <c r="AO478" i="64"/>
  <c r="AP478" i="64"/>
  <c r="AQ478" i="64"/>
  <c r="AR478" i="64"/>
  <c r="AS478" i="64"/>
  <c r="AT478" i="64"/>
  <c r="AU478" i="64"/>
  <c r="AW478" i="64"/>
  <c r="AX478" i="64"/>
  <c r="AY478" i="64"/>
  <c r="BA478" i="64"/>
  <c r="A479" i="64"/>
  <c r="B479" i="64"/>
  <c r="D479" i="64"/>
  <c r="E479" i="64"/>
  <c r="F479" i="64"/>
  <c r="G479" i="64"/>
  <c r="H479" i="64"/>
  <c r="J479" i="64"/>
  <c r="K479" i="64"/>
  <c r="L479" i="64"/>
  <c r="M479" i="64"/>
  <c r="O479" i="64"/>
  <c r="P479" i="64"/>
  <c r="R479" i="64"/>
  <c r="S479" i="64"/>
  <c r="T479" i="64"/>
  <c r="U479" i="64"/>
  <c r="V479" i="64"/>
  <c r="W479" i="64"/>
  <c r="X479" i="64"/>
  <c r="AO479" i="64"/>
  <c r="AP479" i="64"/>
  <c r="AQ479" i="64"/>
  <c r="AR479" i="64"/>
  <c r="AS479" i="64"/>
  <c r="AT479" i="64"/>
  <c r="AU479" i="64"/>
  <c r="AW479" i="64"/>
  <c r="AX479" i="64"/>
  <c r="AY479" i="64"/>
  <c r="BA479" i="64"/>
  <c r="A480" i="64"/>
  <c r="B480" i="64"/>
  <c r="D480" i="64"/>
  <c r="E480" i="64"/>
  <c r="F480" i="64"/>
  <c r="G480" i="64"/>
  <c r="H480" i="64"/>
  <c r="J480" i="64"/>
  <c r="K480" i="64"/>
  <c r="L480" i="64"/>
  <c r="M480" i="64"/>
  <c r="O480" i="64"/>
  <c r="P480" i="64"/>
  <c r="R480" i="64"/>
  <c r="S480" i="64"/>
  <c r="T480" i="64"/>
  <c r="U480" i="64"/>
  <c r="V480" i="64"/>
  <c r="W480" i="64"/>
  <c r="X480" i="64"/>
  <c r="AO480" i="64"/>
  <c r="AP480" i="64"/>
  <c r="AQ480" i="64"/>
  <c r="AR480" i="64"/>
  <c r="AS480" i="64"/>
  <c r="AT480" i="64"/>
  <c r="AU480" i="64"/>
  <c r="AW480" i="64"/>
  <c r="AX480" i="64"/>
  <c r="AY480" i="64"/>
  <c r="BA480" i="64"/>
  <c r="A481" i="64"/>
  <c r="B481" i="64"/>
  <c r="D481" i="64"/>
  <c r="E481" i="64"/>
  <c r="F481" i="64"/>
  <c r="G481" i="64"/>
  <c r="H481" i="64"/>
  <c r="J481" i="64"/>
  <c r="K481" i="64"/>
  <c r="L481" i="64"/>
  <c r="M481" i="64"/>
  <c r="O481" i="64"/>
  <c r="P481" i="64"/>
  <c r="R481" i="64"/>
  <c r="S481" i="64"/>
  <c r="T481" i="64"/>
  <c r="U481" i="64"/>
  <c r="V481" i="64"/>
  <c r="W481" i="64"/>
  <c r="X481" i="64"/>
  <c r="AO481" i="64"/>
  <c r="AP481" i="64"/>
  <c r="AQ481" i="64"/>
  <c r="AR481" i="64"/>
  <c r="AS481" i="64"/>
  <c r="AT481" i="64"/>
  <c r="AU481" i="64"/>
  <c r="AW481" i="64"/>
  <c r="AX481" i="64"/>
  <c r="AY481" i="64"/>
  <c r="BA481" i="64"/>
  <c r="A482" i="64"/>
  <c r="B482" i="64"/>
  <c r="D482" i="64"/>
  <c r="E482" i="64"/>
  <c r="F482" i="64"/>
  <c r="G482" i="64"/>
  <c r="H482" i="64"/>
  <c r="J482" i="64"/>
  <c r="K482" i="64"/>
  <c r="L482" i="64"/>
  <c r="M482" i="64"/>
  <c r="O482" i="64"/>
  <c r="P482" i="64"/>
  <c r="R482" i="64"/>
  <c r="S482" i="64"/>
  <c r="T482" i="64"/>
  <c r="U482" i="64"/>
  <c r="V482" i="64"/>
  <c r="W482" i="64"/>
  <c r="X482" i="64"/>
  <c r="AO482" i="64"/>
  <c r="AP482" i="64"/>
  <c r="AQ482" i="64"/>
  <c r="AR482" i="64"/>
  <c r="AS482" i="64"/>
  <c r="AT482" i="64"/>
  <c r="AU482" i="64"/>
  <c r="AW482" i="64"/>
  <c r="AX482" i="64"/>
  <c r="AY482" i="64"/>
  <c r="BA482" i="64"/>
  <c r="A483" i="64"/>
  <c r="B483" i="64"/>
  <c r="D483" i="64"/>
  <c r="E483" i="64"/>
  <c r="F483" i="64"/>
  <c r="G483" i="64"/>
  <c r="H483" i="64"/>
  <c r="J483" i="64"/>
  <c r="K483" i="64"/>
  <c r="L483" i="64"/>
  <c r="M483" i="64"/>
  <c r="O483" i="64"/>
  <c r="P483" i="64"/>
  <c r="R483" i="64"/>
  <c r="S483" i="64"/>
  <c r="T483" i="64"/>
  <c r="U483" i="64"/>
  <c r="V483" i="64"/>
  <c r="W483" i="64"/>
  <c r="X483" i="64"/>
  <c r="AO483" i="64"/>
  <c r="AP483" i="64"/>
  <c r="AQ483" i="64"/>
  <c r="AR483" i="64"/>
  <c r="AS483" i="64"/>
  <c r="AT483" i="64"/>
  <c r="AU483" i="64"/>
  <c r="AW483" i="64"/>
  <c r="AX483" i="64"/>
  <c r="AY483" i="64"/>
  <c r="BA483" i="64"/>
  <c r="A484" i="64"/>
  <c r="B484" i="64"/>
  <c r="D484" i="64"/>
  <c r="E484" i="64"/>
  <c r="F484" i="64"/>
  <c r="G484" i="64"/>
  <c r="H484" i="64"/>
  <c r="J484" i="64"/>
  <c r="K484" i="64"/>
  <c r="L484" i="64"/>
  <c r="M484" i="64"/>
  <c r="O484" i="64"/>
  <c r="P484" i="64"/>
  <c r="R484" i="64"/>
  <c r="S484" i="64"/>
  <c r="T484" i="64"/>
  <c r="U484" i="64"/>
  <c r="V484" i="64"/>
  <c r="W484" i="64"/>
  <c r="X484" i="64"/>
  <c r="AO484" i="64"/>
  <c r="AP484" i="64"/>
  <c r="AQ484" i="64"/>
  <c r="AR484" i="64"/>
  <c r="AS484" i="64"/>
  <c r="AT484" i="64"/>
  <c r="AU484" i="64"/>
  <c r="AW484" i="64"/>
  <c r="AX484" i="64"/>
  <c r="AY484" i="64"/>
  <c r="BA484" i="64"/>
  <c r="A485" i="64"/>
  <c r="B485" i="64"/>
  <c r="D485" i="64"/>
  <c r="E485" i="64"/>
  <c r="F485" i="64"/>
  <c r="G485" i="64"/>
  <c r="H485" i="64"/>
  <c r="J485" i="64"/>
  <c r="K485" i="64"/>
  <c r="L485" i="64"/>
  <c r="M485" i="64"/>
  <c r="O485" i="64"/>
  <c r="P485" i="64"/>
  <c r="R485" i="64"/>
  <c r="S485" i="64"/>
  <c r="T485" i="64"/>
  <c r="U485" i="64"/>
  <c r="V485" i="64"/>
  <c r="W485" i="64"/>
  <c r="X485" i="64"/>
  <c r="AO485" i="64"/>
  <c r="AP485" i="64"/>
  <c r="AQ485" i="64"/>
  <c r="AR485" i="64"/>
  <c r="AS485" i="64"/>
  <c r="AT485" i="64"/>
  <c r="AU485" i="64"/>
  <c r="AW485" i="64"/>
  <c r="AX485" i="64"/>
  <c r="AY485" i="64"/>
  <c r="BA485" i="64"/>
  <c r="A486" i="64"/>
  <c r="B486" i="64"/>
  <c r="D486" i="64"/>
  <c r="E486" i="64"/>
  <c r="F486" i="64"/>
  <c r="G486" i="64"/>
  <c r="H486" i="64"/>
  <c r="J486" i="64"/>
  <c r="K486" i="64"/>
  <c r="L486" i="64"/>
  <c r="M486" i="64"/>
  <c r="O486" i="64"/>
  <c r="P486" i="64"/>
  <c r="R486" i="64"/>
  <c r="S486" i="64"/>
  <c r="T486" i="64"/>
  <c r="U486" i="64"/>
  <c r="V486" i="64"/>
  <c r="W486" i="64"/>
  <c r="X486" i="64"/>
  <c r="AO486" i="64"/>
  <c r="AP486" i="64"/>
  <c r="AQ486" i="64"/>
  <c r="AR486" i="64"/>
  <c r="AS486" i="64"/>
  <c r="AT486" i="64"/>
  <c r="AU486" i="64"/>
  <c r="AW486" i="64"/>
  <c r="AX486" i="64"/>
  <c r="AY486" i="64"/>
  <c r="BA486" i="64"/>
  <c r="A487" i="64"/>
  <c r="B487" i="64"/>
  <c r="D487" i="64"/>
  <c r="E487" i="64"/>
  <c r="F487" i="64"/>
  <c r="G487" i="64"/>
  <c r="H487" i="64"/>
  <c r="J487" i="64"/>
  <c r="K487" i="64"/>
  <c r="L487" i="64"/>
  <c r="M487" i="64"/>
  <c r="O487" i="64"/>
  <c r="P487" i="64"/>
  <c r="R487" i="64"/>
  <c r="S487" i="64"/>
  <c r="T487" i="64"/>
  <c r="U487" i="64"/>
  <c r="V487" i="64"/>
  <c r="W487" i="64"/>
  <c r="X487" i="64"/>
  <c r="AO487" i="64"/>
  <c r="AP487" i="64"/>
  <c r="AQ487" i="64"/>
  <c r="AR487" i="64"/>
  <c r="AS487" i="64"/>
  <c r="AT487" i="64"/>
  <c r="AU487" i="64"/>
  <c r="AW487" i="64"/>
  <c r="AX487" i="64"/>
  <c r="AY487" i="64"/>
  <c r="BA487" i="64"/>
  <c r="A488" i="64"/>
  <c r="B488" i="64"/>
  <c r="D488" i="64"/>
  <c r="E488" i="64"/>
  <c r="F488" i="64"/>
  <c r="G488" i="64"/>
  <c r="H488" i="64"/>
  <c r="J488" i="64"/>
  <c r="K488" i="64"/>
  <c r="L488" i="64"/>
  <c r="M488" i="64"/>
  <c r="O488" i="64"/>
  <c r="P488" i="64"/>
  <c r="R488" i="64"/>
  <c r="S488" i="64"/>
  <c r="T488" i="64"/>
  <c r="U488" i="64"/>
  <c r="V488" i="64"/>
  <c r="W488" i="64"/>
  <c r="X488" i="64"/>
  <c r="AO488" i="64"/>
  <c r="AP488" i="64"/>
  <c r="AQ488" i="64"/>
  <c r="AR488" i="64"/>
  <c r="AS488" i="64"/>
  <c r="AT488" i="64"/>
  <c r="AU488" i="64"/>
  <c r="AW488" i="64"/>
  <c r="AX488" i="64"/>
  <c r="AY488" i="64"/>
  <c r="BA488" i="64"/>
  <c r="A489" i="64"/>
  <c r="B489" i="64"/>
  <c r="D489" i="64"/>
  <c r="E489" i="64"/>
  <c r="F489" i="64"/>
  <c r="G489" i="64"/>
  <c r="H489" i="64"/>
  <c r="J489" i="64"/>
  <c r="K489" i="64"/>
  <c r="L489" i="64"/>
  <c r="M489" i="64"/>
  <c r="O489" i="64"/>
  <c r="P489" i="64"/>
  <c r="R489" i="64"/>
  <c r="S489" i="64"/>
  <c r="T489" i="64"/>
  <c r="U489" i="64"/>
  <c r="V489" i="64"/>
  <c r="W489" i="64"/>
  <c r="X489" i="64"/>
  <c r="AO489" i="64"/>
  <c r="AP489" i="64"/>
  <c r="AQ489" i="64"/>
  <c r="AR489" i="64"/>
  <c r="AS489" i="64"/>
  <c r="AT489" i="64"/>
  <c r="AU489" i="64"/>
  <c r="AW489" i="64"/>
  <c r="AX489" i="64"/>
  <c r="AY489" i="64"/>
  <c r="BA489" i="64"/>
  <c r="A490" i="64"/>
  <c r="B490" i="64"/>
  <c r="D490" i="64"/>
  <c r="E490" i="64"/>
  <c r="F490" i="64"/>
  <c r="G490" i="64"/>
  <c r="H490" i="64"/>
  <c r="J490" i="64"/>
  <c r="K490" i="64"/>
  <c r="L490" i="64"/>
  <c r="M490" i="64"/>
  <c r="O490" i="64"/>
  <c r="P490" i="64"/>
  <c r="R490" i="64"/>
  <c r="S490" i="64"/>
  <c r="T490" i="64"/>
  <c r="U490" i="64"/>
  <c r="V490" i="64"/>
  <c r="W490" i="64"/>
  <c r="X490" i="64"/>
  <c r="AO490" i="64"/>
  <c r="AP490" i="64"/>
  <c r="AQ490" i="64"/>
  <c r="AR490" i="64"/>
  <c r="AS490" i="64"/>
  <c r="AT490" i="64"/>
  <c r="AU490" i="64"/>
  <c r="AW490" i="64"/>
  <c r="AX490" i="64"/>
  <c r="AY490" i="64"/>
  <c r="BA490" i="64"/>
  <c r="A491" i="64"/>
  <c r="B491" i="64"/>
  <c r="D491" i="64"/>
  <c r="E491" i="64"/>
  <c r="F491" i="64"/>
  <c r="G491" i="64"/>
  <c r="H491" i="64"/>
  <c r="J491" i="64"/>
  <c r="K491" i="64"/>
  <c r="L491" i="64"/>
  <c r="M491" i="64"/>
  <c r="O491" i="64"/>
  <c r="P491" i="64"/>
  <c r="R491" i="64"/>
  <c r="S491" i="64"/>
  <c r="T491" i="64"/>
  <c r="U491" i="64"/>
  <c r="V491" i="64"/>
  <c r="W491" i="64"/>
  <c r="X491" i="64"/>
  <c r="AO491" i="64"/>
  <c r="AP491" i="64"/>
  <c r="AQ491" i="64"/>
  <c r="AR491" i="64"/>
  <c r="AS491" i="64"/>
  <c r="AT491" i="64"/>
  <c r="AU491" i="64"/>
  <c r="AW491" i="64"/>
  <c r="AX491" i="64"/>
  <c r="AY491" i="64"/>
  <c r="BA491" i="64"/>
  <c r="A492" i="64"/>
  <c r="B492" i="64"/>
  <c r="D492" i="64"/>
  <c r="E492" i="64"/>
  <c r="F492" i="64"/>
  <c r="G492" i="64"/>
  <c r="H492" i="64"/>
  <c r="J492" i="64"/>
  <c r="K492" i="64"/>
  <c r="L492" i="64"/>
  <c r="M492" i="64"/>
  <c r="O492" i="64"/>
  <c r="P492" i="64"/>
  <c r="R492" i="64"/>
  <c r="S492" i="64"/>
  <c r="T492" i="64"/>
  <c r="U492" i="64"/>
  <c r="V492" i="64"/>
  <c r="W492" i="64"/>
  <c r="X492" i="64"/>
  <c r="AO492" i="64"/>
  <c r="AP492" i="64"/>
  <c r="AQ492" i="64"/>
  <c r="AR492" i="64"/>
  <c r="AS492" i="64"/>
  <c r="AT492" i="64"/>
  <c r="AU492" i="64"/>
  <c r="AW492" i="64"/>
  <c r="AX492" i="64"/>
  <c r="AY492" i="64"/>
  <c r="BA492" i="64"/>
  <c r="A493" i="64"/>
  <c r="B493" i="64"/>
  <c r="D493" i="64"/>
  <c r="E493" i="64"/>
  <c r="F493" i="64"/>
  <c r="G493" i="64"/>
  <c r="H493" i="64"/>
  <c r="J493" i="64"/>
  <c r="K493" i="64"/>
  <c r="L493" i="64"/>
  <c r="M493" i="64"/>
  <c r="O493" i="64"/>
  <c r="P493" i="64"/>
  <c r="R493" i="64"/>
  <c r="S493" i="64"/>
  <c r="T493" i="64"/>
  <c r="U493" i="64"/>
  <c r="V493" i="64"/>
  <c r="W493" i="64"/>
  <c r="X493" i="64"/>
  <c r="AO493" i="64"/>
  <c r="AP493" i="64"/>
  <c r="AQ493" i="64"/>
  <c r="AR493" i="64"/>
  <c r="AS493" i="64"/>
  <c r="AT493" i="64"/>
  <c r="AU493" i="64"/>
  <c r="AW493" i="64"/>
  <c r="AX493" i="64"/>
  <c r="AY493" i="64"/>
  <c r="BA493" i="64"/>
  <c r="A494" i="64"/>
  <c r="B494" i="64"/>
  <c r="D494" i="64"/>
  <c r="E494" i="64"/>
  <c r="F494" i="64"/>
  <c r="G494" i="64"/>
  <c r="H494" i="64"/>
  <c r="J494" i="64"/>
  <c r="K494" i="64"/>
  <c r="L494" i="64"/>
  <c r="M494" i="64"/>
  <c r="O494" i="64"/>
  <c r="P494" i="64"/>
  <c r="R494" i="64"/>
  <c r="S494" i="64"/>
  <c r="T494" i="64"/>
  <c r="U494" i="64"/>
  <c r="V494" i="64"/>
  <c r="W494" i="64"/>
  <c r="X494" i="64"/>
  <c r="AO494" i="64"/>
  <c r="AP494" i="64"/>
  <c r="AQ494" i="64"/>
  <c r="AR494" i="64"/>
  <c r="AS494" i="64"/>
  <c r="AT494" i="64"/>
  <c r="AU494" i="64"/>
  <c r="AW494" i="64"/>
  <c r="AX494" i="64"/>
  <c r="AY494" i="64"/>
  <c r="BA494" i="64"/>
  <c r="A495" i="64"/>
  <c r="B495" i="64"/>
  <c r="D495" i="64"/>
  <c r="E495" i="64"/>
  <c r="F495" i="64"/>
  <c r="G495" i="64"/>
  <c r="H495" i="64"/>
  <c r="J495" i="64"/>
  <c r="K495" i="64"/>
  <c r="L495" i="64"/>
  <c r="M495" i="64"/>
  <c r="O495" i="64"/>
  <c r="P495" i="64"/>
  <c r="R495" i="64"/>
  <c r="S495" i="64"/>
  <c r="T495" i="64"/>
  <c r="U495" i="64"/>
  <c r="V495" i="64"/>
  <c r="W495" i="64"/>
  <c r="X495" i="64"/>
  <c r="AO495" i="64"/>
  <c r="AP495" i="64"/>
  <c r="AQ495" i="64"/>
  <c r="AR495" i="64"/>
  <c r="AS495" i="64"/>
  <c r="AT495" i="64"/>
  <c r="AU495" i="64"/>
  <c r="AW495" i="64"/>
  <c r="AX495" i="64"/>
  <c r="AY495" i="64"/>
  <c r="BA495" i="64"/>
  <c r="A496" i="64"/>
  <c r="B496" i="64"/>
  <c r="D496" i="64"/>
  <c r="E496" i="64"/>
  <c r="F496" i="64"/>
  <c r="G496" i="64"/>
  <c r="H496" i="64"/>
  <c r="J496" i="64"/>
  <c r="K496" i="64"/>
  <c r="L496" i="64"/>
  <c r="M496" i="64"/>
  <c r="O496" i="64"/>
  <c r="P496" i="64"/>
  <c r="R496" i="64"/>
  <c r="S496" i="64"/>
  <c r="T496" i="64"/>
  <c r="U496" i="64"/>
  <c r="V496" i="64"/>
  <c r="W496" i="64"/>
  <c r="X496" i="64"/>
  <c r="AO496" i="64"/>
  <c r="AP496" i="64"/>
  <c r="AQ496" i="64"/>
  <c r="AR496" i="64"/>
  <c r="AS496" i="64"/>
  <c r="AT496" i="64"/>
  <c r="AU496" i="64"/>
  <c r="AW496" i="64"/>
  <c r="AX496" i="64"/>
  <c r="AY496" i="64"/>
  <c r="BA496" i="64"/>
  <c r="A497" i="64"/>
  <c r="B497" i="64"/>
  <c r="D497" i="64"/>
  <c r="E497" i="64"/>
  <c r="F497" i="64"/>
  <c r="G497" i="64"/>
  <c r="H497" i="64"/>
  <c r="J497" i="64"/>
  <c r="K497" i="64"/>
  <c r="L497" i="64"/>
  <c r="M497" i="64"/>
  <c r="O497" i="64"/>
  <c r="P497" i="64"/>
  <c r="R497" i="64"/>
  <c r="S497" i="64"/>
  <c r="T497" i="64"/>
  <c r="U497" i="64"/>
  <c r="V497" i="64"/>
  <c r="W497" i="64"/>
  <c r="X497" i="64"/>
  <c r="AO497" i="64"/>
  <c r="AP497" i="64"/>
  <c r="AQ497" i="64"/>
  <c r="AR497" i="64"/>
  <c r="AS497" i="64"/>
  <c r="AT497" i="64"/>
  <c r="AU497" i="64"/>
  <c r="AW497" i="64"/>
  <c r="AX497" i="64"/>
  <c r="AY497" i="64"/>
  <c r="BA497" i="64"/>
  <c r="A498" i="64"/>
  <c r="B498" i="64"/>
  <c r="D498" i="64"/>
  <c r="E498" i="64"/>
  <c r="F498" i="64"/>
  <c r="G498" i="64"/>
  <c r="H498" i="64"/>
  <c r="J498" i="64"/>
  <c r="K498" i="64"/>
  <c r="L498" i="64"/>
  <c r="M498" i="64"/>
  <c r="O498" i="64"/>
  <c r="P498" i="64"/>
  <c r="R498" i="64"/>
  <c r="S498" i="64"/>
  <c r="T498" i="64"/>
  <c r="U498" i="64"/>
  <c r="V498" i="64"/>
  <c r="W498" i="64"/>
  <c r="X498" i="64"/>
  <c r="AO498" i="64"/>
  <c r="AP498" i="64"/>
  <c r="AQ498" i="64"/>
  <c r="AR498" i="64"/>
  <c r="AS498" i="64"/>
  <c r="AT498" i="64"/>
  <c r="AU498" i="64"/>
  <c r="AW498" i="64"/>
  <c r="AX498" i="64"/>
  <c r="AY498" i="64"/>
  <c r="BA498" i="64"/>
  <c r="A499" i="64"/>
  <c r="B499" i="64"/>
  <c r="D499" i="64"/>
  <c r="E499" i="64"/>
  <c r="F499" i="64"/>
  <c r="G499" i="64"/>
  <c r="H499" i="64"/>
  <c r="J499" i="64"/>
  <c r="K499" i="64"/>
  <c r="L499" i="64"/>
  <c r="M499" i="64"/>
  <c r="O499" i="64"/>
  <c r="P499" i="64"/>
  <c r="R499" i="64"/>
  <c r="S499" i="64"/>
  <c r="T499" i="64"/>
  <c r="U499" i="64"/>
  <c r="V499" i="64"/>
  <c r="W499" i="64"/>
  <c r="X499" i="64"/>
  <c r="AO499" i="64"/>
  <c r="AP499" i="64"/>
  <c r="AQ499" i="64"/>
  <c r="AR499" i="64"/>
  <c r="AS499" i="64"/>
  <c r="AT499" i="64"/>
  <c r="AU499" i="64"/>
  <c r="AW499" i="64"/>
  <c r="AX499" i="64"/>
  <c r="AY499" i="64"/>
  <c r="BA499" i="64"/>
  <c r="A500" i="64"/>
  <c r="B500" i="64"/>
  <c r="AW500" i="64"/>
  <c r="AX500" i="64"/>
  <c r="AY500" i="64"/>
  <c r="BA500" i="64"/>
  <c r="A501" i="64"/>
  <c r="B501" i="64"/>
  <c r="AW501" i="64"/>
  <c r="AX501" i="64"/>
  <c r="AY501" i="64"/>
  <c r="BA501" i="64"/>
  <c r="E1" i="50"/>
  <c r="Z1" i="50"/>
  <c r="AA1" i="50"/>
  <c r="AC1" i="50"/>
  <c r="AD1" i="50"/>
  <c r="S2" i="50"/>
  <c r="A3" i="50"/>
  <c r="B3" i="50"/>
  <c r="D3" i="50"/>
  <c r="E3" i="50"/>
  <c r="I3" i="50"/>
  <c r="J3" i="50"/>
  <c r="K3" i="50"/>
  <c r="R3" i="50"/>
  <c r="S3" i="50"/>
  <c r="J4" i="50"/>
  <c r="K4" i="50"/>
  <c r="L4" i="50"/>
  <c r="M4" i="50"/>
  <c r="O4" i="50"/>
  <c r="P4" i="50"/>
  <c r="R4" i="50"/>
  <c r="S4" i="50"/>
  <c r="T4" i="50"/>
  <c r="U4" i="50"/>
  <c r="W4" i="50"/>
  <c r="X4" i="50"/>
  <c r="Z4" i="50"/>
  <c r="AA4" i="50"/>
  <c r="AC4" i="50"/>
  <c r="AD4" i="50"/>
  <c r="AF4" i="50"/>
  <c r="AF5" i="50"/>
  <c r="H6" i="50"/>
  <c r="K6" i="50"/>
  <c r="M6" i="50"/>
  <c r="P6" i="50"/>
  <c r="S6" i="50"/>
  <c r="U6" i="50"/>
  <c r="X6" i="50"/>
  <c r="AA6" i="50"/>
  <c r="AC6" i="50"/>
  <c r="D8" i="50"/>
  <c r="E8" i="50"/>
  <c r="F8" i="50"/>
  <c r="G8" i="50"/>
  <c r="H8" i="50"/>
  <c r="J8" i="50"/>
  <c r="K8" i="50"/>
  <c r="L8" i="50"/>
  <c r="M8" i="50"/>
  <c r="O8" i="50"/>
  <c r="P8" i="50"/>
  <c r="R8" i="50"/>
  <c r="S8" i="50"/>
  <c r="T8" i="50"/>
  <c r="U8" i="50"/>
  <c r="V8" i="50"/>
  <c r="W8" i="50"/>
  <c r="X8" i="50"/>
  <c r="AH8" i="50"/>
  <c r="AL8" i="50"/>
  <c r="AM8" i="50"/>
  <c r="AN8" i="50"/>
  <c r="AT8" i="50"/>
  <c r="AU8" i="50"/>
  <c r="AW8" i="50"/>
  <c r="AX8" i="50"/>
  <c r="AY8" i="50"/>
  <c r="BA8" i="50"/>
  <c r="BC8" i="50"/>
  <c r="A10" i="50"/>
  <c r="B10" i="50"/>
  <c r="D10" i="50"/>
  <c r="E10" i="50"/>
  <c r="F10" i="50"/>
  <c r="G10" i="50"/>
  <c r="H10" i="50"/>
  <c r="J10" i="50"/>
  <c r="K10" i="50"/>
  <c r="L10" i="50"/>
  <c r="M10" i="50"/>
  <c r="O10" i="50"/>
  <c r="P10" i="50"/>
  <c r="R10" i="50"/>
  <c r="S10" i="50"/>
  <c r="T10" i="50"/>
  <c r="U10" i="50"/>
  <c r="V10" i="50"/>
  <c r="W10" i="50"/>
  <c r="X10" i="50"/>
  <c r="Z10" i="50"/>
  <c r="AA10" i="50"/>
  <c r="AB10" i="50"/>
  <c r="AC10" i="50"/>
  <c r="AD10" i="50"/>
  <c r="AE10" i="50"/>
  <c r="AF10" i="50"/>
  <c r="AG10" i="50"/>
  <c r="AH10" i="50"/>
  <c r="AI10" i="50"/>
  <c r="AJ10" i="50"/>
  <c r="AK10" i="50"/>
  <c r="AL10" i="50"/>
  <c r="AM10" i="50"/>
  <c r="AN10" i="50"/>
  <c r="AO10" i="50"/>
  <c r="AP10" i="50"/>
  <c r="AQ10" i="50"/>
  <c r="AR10" i="50"/>
  <c r="AS10" i="50"/>
  <c r="AT10" i="50"/>
  <c r="AU10" i="50"/>
  <c r="AW10" i="50"/>
  <c r="AX10" i="50"/>
  <c r="AY10" i="50"/>
  <c r="BA10" i="50"/>
  <c r="BC10" i="50"/>
  <c r="A11" i="50"/>
  <c r="B11" i="50"/>
  <c r="D11" i="50"/>
  <c r="E11" i="50"/>
  <c r="F11" i="50"/>
  <c r="G11" i="50"/>
  <c r="H11" i="50"/>
  <c r="J11" i="50"/>
  <c r="K11" i="50"/>
  <c r="L11" i="50"/>
  <c r="M11" i="50"/>
  <c r="O11" i="50"/>
  <c r="P11" i="50"/>
  <c r="R11" i="50"/>
  <c r="S11" i="50"/>
  <c r="T11" i="50"/>
  <c r="U11" i="50"/>
  <c r="V11" i="50"/>
  <c r="W11" i="50"/>
  <c r="X11" i="50"/>
  <c r="Z11" i="50"/>
  <c r="AA11" i="50"/>
  <c r="AB11" i="50"/>
  <c r="AC11" i="50"/>
  <c r="AD11" i="50"/>
  <c r="AE11" i="50"/>
  <c r="AF11" i="50"/>
  <c r="AG11" i="50"/>
  <c r="AH11" i="50"/>
  <c r="AI11" i="50"/>
  <c r="AJ11" i="50"/>
  <c r="AK11" i="50"/>
  <c r="AL11" i="50"/>
  <c r="AM11" i="50"/>
  <c r="AN11" i="50"/>
  <c r="AO11" i="50"/>
  <c r="AP11" i="50"/>
  <c r="AQ11" i="50"/>
  <c r="AR11" i="50"/>
  <c r="AS11" i="50"/>
  <c r="AT11" i="50"/>
  <c r="AU11" i="50"/>
  <c r="AW11" i="50"/>
  <c r="AX11" i="50"/>
  <c r="AY11" i="50"/>
  <c r="BA11" i="50"/>
  <c r="BC11" i="50"/>
  <c r="A12" i="50"/>
  <c r="B12" i="50"/>
  <c r="D12" i="50"/>
  <c r="E12" i="50"/>
  <c r="F12" i="50"/>
  <c r="G12" i="50"/>
  <c r="H12" i="50"/>
  <c r="J12" i="50"/>
  <c r="K12" i="50"/>
  <c r="L12" i="50"/>
  <c r="M12" i="50"/>
  <c r="O12" i="50"/>
  <c r="P12" i="50"/>
  <c r="R12" i="50"/>
  <c r="S12" i="50"/>
  <c r="T12" i="50"/>
  <c r="U12" i="50"/>
  <c r="V12" i="50"/>
  <c r="W12" i="50"/>
  <c r="X12" i="50"/>
  <c r="Z12" i="50"/>
  <c r="AA12" i="50"/>
  <c r="AB12" i="50"/>
  <c r="AC12" i="50"/>
  <c r="AD12" i="50"/>
  <c r="AE12" i="50"/>
  <c r="AF12" i="50"/>
  <c r="AG12" i="50"/>
  <c r="AH12" i="50"/>
  <c r="AI12" i="50"/>
  <c r="AJ12" i="50"/>
  <c r="AK12" i="50"/>
  <c r="AL12" i="50"/>
  <c r="AM12" i="50"/>
  <c r="AN12" i="50"/>
  <c r="AO12" i="50"/>
  <c r="AP12" i="50"/>
  <c r="AQ12" i="50"/>
  <c r="AR12" i="50"/>
  <c r="AS12" i="50"/>
  <c r="AT12" i="50"/>
  <c r="AU12" i="50"/>
  <c r="AW12" i="50"/>
  <c r="AX12" i="50"/>
  <c r="AY12" i="50"/>
  <c r="BA12" i="50"/>
  <c r="BC12" i="50"/>
  <c r="A13" i="50"/>
  <c r="B13" i="50"/>
  <c r="D13" i="50"/>
  <c r="E13" i="50"/>
  <c r="F13" i="50"/>
  <c r="G13" i="50"/>
  <c r="H13" i="50"/>
  <c r="J13" i="50"/>
  <c r="K13" i="50"/>
  <c r="L13" i="50"/>
  <c r="M13" i="50"/>
  <c r="O13" i="50"/>
  <c r="P13" i="50"/>
  <c r="R13" i="50"/>
  <c r="S13" i="50"/>
  <c r="T13" i="50"/>
  <c r="U13" i="50"/>
  <c r="V13" i="50"/>
  <c r="W13" i="50"/>
  <c r="X13" i="50"/>
  <c r="Z13" i="50"/>
  <c r="AA13" i="50"/>
  <c r="AB13" i="50"/>
  <c r="AC13" i="50"/>
  <c r="AD13" i="50"/>
  <c r="AE13" i="50"/>
  <c r="AF13" i="50"/>
  <c r="AG13" i="50"/>
  <c r="AH13" i="50"/>
  <c r="AI13" i="50"/>
  <c r="AJ13" i="50"/>
  <c r="AK13" i="50"/>
  <c r="AL13" i="50"/>
  <c r="AM13" i="50"/>
  <c r="AN13" i="50"/>
  <c r="AO13" i="50"/>
  <c r="AP13" i="50"/>
  <c r="AQ13" i="50"/>
  <c r="AR13" i="50"/>
  <c r="AS13" i="50"/>
  <c r="AT13" i="50"/>
  <c r="AU13" i="50"/>
  <c r="AW13" i="50"/>
  <c r="AX13" i="50"/>
  <c r="AY13" i="50"/>
  <c r="BA13" i="50"/>
  <c r="BC13" i="50"/>
  <c r="A14" i="50"/>
  <c r="B14" i="50"/>
  <c r="D14" i="50"/>
  <c r="E14" i="50"/>
  <c r="F14" i="50"/>
  <c r="G14" i="50"/>
  <c r="H14" i="50"/>
  <c r="J14" i="50"/>
  <c r="K14" i="50"/>
  <c r="L14" i="50"/>
  <c r="M14" i="50"/>
  <c r="O14" i="50"/>
  <c r="P14" i="50"/>
  <c r="R14" i="50"/>
  <c r="S14" i="50"/>
  <c r="T14" i="50"/>
  <c r="U14" i="50"/>
  <c r="V14" i="50"/>
  <c r="W14" i="50"/>
  <c r="X14" i="50"/>
  <c r="Z14" i="50"/>
  <c r="AA14" i="50"/>
  <c r="AB14" i="50"/>
  <c r="AC14" i="50"/>
  <c r="AD14" i="50"/>
  <c r="AE14" i="50"/>
  <c r="AF14" i="50"/>
  <c r="AG14" i="50"/>
  <c r="AH14" i="50"/>
  <c r="AI14" i="50"/>
  <c r="AJ14" i="50"/>
  <c r="AK14" i="50"/>
  <c r="AL14" i="50"/>
  <c r="AM14" i="50"/>
  <c r="AN14" i="50"/>
  <c r="AO14" i="50"/>
  <c r="AP14" i="50"/>
  <c r="AQ14" i="50"/>
  <c r="AR14" i="50"/>
  <c r="AS14" i="50"/>
  <c r="AT14" i="50"/>
  <c r="AU14" i="50"/>
  <c r="AW14" i="50"/>
  <c r="AX14" i="50"/>
  <c r="AY14" i="50"/>
  <c r="BA14" i="50"/>
  <c r="BC14" i="50"/>
  <c r="A15" i="50"/>
  <c r="B15" i="50"/>
  <c r="D15" i="50"/>
  <c r="E15" i="50"/>
  <c r="F15" i="50"/>
  <c r="G15" i="50"/>
  <c r="H15" i="50"/>
  <c r="J15" i="50"/>
  <c r="K15" i="50"/>
  <c r="L15" i="50"/>
  <c r="M15" i="50"/>
  <c r="O15" i="50"/>
  <c r="P15" i="50"/>
  <c r="R15" i="50"/>
  <c r="S15" i="50"/>
  <c r="T15" i="50"/>
  <c r="U15" i="50"/>
  <c r="V15" i="50"/>
  <c r="W15" i="50"/>
  <c r="X15" i="50"/>
  <c r="Z15" i="50"/>
  <c r="AA15" i="50"/>
  <c r="AB15" i="50"/>
  <c r="AC15" i="50"/>
  <c r="AD15" i="50"/>
  <c r="AE15" i="50"/>
  <c r="AF15" i="50"/>
  <c r="AG15" i="50"/>
  <c r="AH15" i="50"/>
  <c r="AI15" i="50"/>
  <c r="AJ15" i="50"/>
  <c r="AK15" i="50"/>
  <c r="AL15" i="50"/>
  <c r="AM15" i="50"/>
  <c r="AN15" i="50"/>
  <c r="AO15" i="50"/>
  <c r="AP15" i="50"/>
  <c r="AQ15" i="50"/>
  <c r="AR15" i="50"/>
  <c r="AS15" i="50"/>
  <c r="AT15" i="50"/>
  <c r="AU15" i="50"/>
  <c r="AW15" i="50"/>
  <c r="AX15" i="50"/>
  <c r="AY15" i="50"/>
  <c r="BA15" i="50"/>
  <c r="BC15" i="50"/>
  <c r="A16" i="50"/>
  <c r="B16" i="50"/>
  <c r="D16" i="50"/>
  <c r="E16" i="50"/>
  <c r="F16" i="50"/>
  <c r="G16" i="50"/>
  <c r="H16" i="50"/>
  <c r="J16" i="50"/>
  <c r="K16" i="50"/>
  <c r="L16" i="50"/>
  <c r="M16" i="50"/>
  <c r="O16" i="50"/>
  <c r="P16" i="50"/>
  <c r="R16" i="50"/>
  <c r="S16" i="50"/>
  <c r="T16" i="50"/>
  <c r="U16" i="50"/>
  <c r="V16" i="50"/>
  <c r="W16" i="50"/>
  <c r="X16" i="50"/>
  <c r="Z16" i="50"/>
  <c r="AA16" i="50"/>
  <c r="AB16" i="50"/>
  <c r="AC16" i="50"/>
  <c r="AD16" i="50"/>
  <c r="AE16" i="50"/>
  <c r="AF16" i="50"/>
  <c r="AG16" i="50"/>
  <c r="AH16" i="50"/>
  <c r="AI16" i="50"/>
  <c r="AJ16" i="50"/>
  <c r="AK16" i="50"/>
  <c r="AL16" i="50"/>
  <c r="AM16" i="50"/>
  <c r="AN16" i="50"/>
  <c r="AO16" i="50"/>
  <c r="AP16" i="50"/>
  <c r="AQ16" i="50"/>
  <c r="AR16" i="50"/>
  <c r="AS16" i="50"/>
  <c r="AT16" i="50"/>
  <c r="AU16" i="50"/>
  <c r="AW16" i="50"/>
  <c r="AX16" i="50"/>
  <c r="AY16" i="50"/>
  <c r="BA16" i="50"/>
  <c r="BC16" i="50"/>
  <c r="A17" i="50"/>
  <c r="B17" i="50"/>
  <c r="D17" i="50"/>
  <c r="E17" i="50"/>
  <c r="F17" i="50"/>
  <c r="G17" i="50"/>
  <c r="H17" i="50"/>
  <c r="J17" i="50"/>
  <c r="K17" i="50"/>
  <c r="L17" i="50"/>
  <c r="M17" i="50"/>
  <c r="O17" i="50"/>
  <c r="P17" i="50"/>
  <c r="R17" i="50"/>
  <c r="S17" i="50"/>
  <c r="T17" i="50"/>
  <c r="U17" i="50"/>
  <c r="V17" i="50"/>
  <c r="W17" i="50"/>
  <c r="X17" i="50"/>
  <c r="Z17" i="50"/>
  <c r="AA17" i="50"/>
  <c r="AB17" i="50"/>
  <c r="AC17" i="50"/>
  <c r="AD17" i="50"/>
  <c r="AE17" i="50"/>
  <c r="AF17" i="50"/>
  <c r="AG17" i="50"/>
  <c r="AH17" i="50"/>
  <c r="AI17" i="50"/>
  <c r="AJ17" i="50"/>
  <c r="AK17" i="50"/>
  <c r="AL17" i="50"/>
  <c r="AM17" i="50"/>
  <c r="AN17" i="50"/>
  <c r="AO17" i="50"/>
  <c r="AP17" i="50"/>
  <c r="AQ17" i="50"/>
  <c r="AR17" i="50"/>
  <c r="AS17" i="50"/>
  <c r="AT17" i="50"/>
  <c r="AU17" i="50"/>
  <c r="AW17" i="50"/>
  <c r="AX17" i="50"/>
  <c r="AY17" i="50"/>
  <c r="BA17" i="50"/>
  <c r="BC17" i="50"/>
  <c r="A18" i="50"/>
  <c r="B18" i="50"/>
  <c r="D18" i="50"/>
  <c r="E18" i="50"/>
  <c r="F18" i="50"/>
  <c r="G18" i="50"/>
  <c r="H18" i="50"/>
  <c r="J18" i="50"/>
  <c r="K18" i="50"/>
  <c r="L18" i="50"/>
  <c r="M18" i="50"/>
  <c r="O18" i="50"/>
  <c r="P18" i="50"/>
  <c r="R18" i="50"/>
  <c r="S18" i="50"/>
  <c r="T18" i="50"/>
  <c r="U18" i="50"/>
  <c r="V18" i="50"/>
  <c r="W18" i="50"/>
  <c r="X18" i="50"/>
  <c r="Z18" i="50"/>
  <c r="AA18" i="50"/>
  <c r="AB18" i="50"/>
  <c r="AC18" i="50"/>
  <c r="AD18" i="50"/>
  <c r="AE18" i="50"/>
  <c r="AF18" i="50"/>
  <c r="AG18" i="50"/>
  <c r="AH18" i="50"/>
  <c r="AI18" i="50"/>
  <c r="AJ18" i="50"/>
  <c r="AK18" i="50"/>
  <c r="AL18" i="50"/>
  <c r="AM18" i="50"/>
  <c r="AN18" i="50"/>
  <c r="AO18" i="50"/>
  <c r="AP18" i="50"/>
  <c r="AQ18" i="50"/>
  <c r="AR18" i="50"/>
  <c r="AS18" i="50"/>
  <c r="AT18" i="50"/>
  <c r="AU18" i="50"/>
  <c r="AW18" i="50"/>
  <c r="AX18" i="50"/>
  <c r="AY18" i="50"/>
  <c r="BA18" i="50"/>
  <c r="BC18" i="50"/>
  <c r="A19" i="50"/>
  <c r="B19" i="50"/>
  <c r="D19" i="50"/>
  <c r="E19" i="50"/>
  <c r="F19" i="50"/>
  <c r="G19" i="50"/>
  <c r="H19" i="50"/>
  <c r="J19" i="50"/>
  <c r="K19" i="50"/>
  <c r="L19" i="50"/>
  <c r="M19" i="50"/>
  <c r="O19" i="50"/>
  <c r="P19" i="50"/>
  <c r="R19" i="50"/>
  <c r="S19" i="50"/>
  <c r="T19" i="50"/>
  <c r="U19" i="50"/>
  <c r="V19" i="50"/>
  <c r="W19" i="50"/>
  <c r="X19" i="50"/>
  <c r="Z19" i="50"/>
  <c r="AA19" i="50"/>
  <c r="AB19" i="50"/>
  <c r="AC19" i="50"/>
  <c r="AD19" i="50"/>
  <c r="AE19" i="50"/>
  <c r="AF19" i="50"/>
  <c r="AG19" i="50"/>
  <c r="AH19" i="50"/>
  <c r="AI19" i="50"/>
  <c r="AJ19" i="50"/>
  <c r="AK19" i="50"/>
  <c r="AL19" i="50"/>
  <c r="AM19" i="50"/>
  <c r="AN19" i="50"/>
  <c r="AO19" i="50"/>
  <c r="AP19" i="50"/>
  <c r="AQ19" i="50"/>
  <c r="AR19" i="50"/>
  <c r="AS19" i="50"/>
  <c r="AT19" i="50"/>
  <c r="AU19" i="50"/>
  <c r="AW19" i="50"/>
  <c r="AX19" i="50"/>
  <c r="AY19" i="50"/>
  <c r="BA19" i="50"/>
  <c r="BC19" i="50"/>
  <c r="A20" i="50"/>
  <c r="B20" i="50"/>
  <c r="D20" i="50"/>
  <c r="E20" i="50"/>
  <c r="F20" i="50"/>
  <c r="G20" i="50"/>
  <c r="H20" i="50"/>
  <c r="J20" i="50"/>
  <c r="K20" i="50"/>
  <c r="L20" i="50"/>
  <c r="M20" i="50"/>
  <c r="O20" i="50"/>
  <c r="P20" i="50"/>
  <c r="R20" i="50"/>
  <c r="S20" i="50"/>
  <c r="T20" i="50"/>
  <c r="U20" i="50"/>
  <c r="V20" i="50"/>
  <c r="W20" i="50"/>
  <c r="X20" i="50"/>
  <c r="Z20" i="50"/>
  <c r="AA20" i="50"/>
  <c r="AB20" i="50"/>
  <c r="AC20" i="50"/>
  <c r="AD20" i="50"/>
  <c r="AE20" i="50"/>
  <c r="AF20" i="50"/>
  <c r="AG20" i="50"/>
  <c r="AH20" i="50"/>
  <c r="AI20" i="50"/>
  <c r="AJ20" i="50"/>
  <c r="AK20" i="50"/>
  <c r="AL20" i="50"/>
  <c r="AM20" i="50"/>
  <c r="AN20" i="50"/>
  <c r="AO20" i="50"/>
  <c r="AP20" i="50"/>
  <c r="AQ20" i="50"/>
  <c r="AR20" i="50"/>
  <c r="AS20" i="50"/>
  <c r="AT20" i="50"/>
  <c r="AU20" i="50"/>
  <c r="AW20" i="50"/>
  <c r="AX20" i="50"/>
  <c r="AY20" i="50"/>
  <c r="BA20" i="50"/>
  <c r="BC20" i="50"/>
  <c r="A21" i="50"/>
  <c r="B21" i="50"/>
  <c r="D21" i="50"/>
  <c r="E21" i="50"/>
  <c r="F21" i="50"/>
  <c r="G21" i="50"/>
  <c r="H21" i="50"/>
  <c r="J21" i="50"/>
  <c r="K21" i="50"/>
  <c r="L21" i="50"/>
  <c r="M21" i="50"/>
  <c r="O21" i="50"/>
  <c r="P21" i="50"/>
  <c r="R21" i="50"/>
  <c r="S21" i="50"/>
  <c r="T21" i="50"/>
  <c r="U21" i="50"/>
  <c r="V21" i="50"/>
  <c r="W21" i="50"/>
  <c r="X21" i="50"/>
  <c r="Z21" i="50"/>
  <c r="AA21" i="50"/>
  <c r="AB21" i="50"/>
  <c r="AC21" i="50"/>
  <c r="AD21" i="50"/>
  <c r="AE21" i="50"/>
  <c r="AF21" i="50"/>
  <c r="AG21" i="50"/>
  <c r="AH21" i="50"/>
  <c r="AI21" i="50"/>
  <c r="AJ21" i="50"/>
  <c r="AK21" i="50"/>
  <c r="AL21" i="50"/>
  <c r="AM21" i="50"/>
  <c r="AN21" i="50"/>
  <c r="AO21" i="50"/>
  <c r="AP21" i="50"/>
  <c r="AQ21" i="50"/>
  <c r="AR21" i="50"/>
  <c r="AS21" i="50"/>
  <c r="AT21" i="50"/>
  <c r="AU21" i="50"/>
  <c r="AW21" i="50"/>
  <c r="AX21" i="50"/>
  <c r="AY21" i="50"/>
  <c r="BA21" i="50"/>
  <c r="BC21" i="50"/>
  <c r="A22" i="50"/>
  <c r="B22" i="50"/>
  <c r="D22" i="50"/>
  <c r="E22" i="50"/>
  <c r="F22" i="50"/>
  <c r="G22" i="50"/>
  <c r="H22" i="50"/>
  <c r="J22" i="50"/>
  <c r="K22" i="50"/>
  <c r="L22" i="50"/>
  <c r="M22" i="50"/>
  <c r="O22" i="50"/>
  <c r="P22" i="50"/>
  <c r="R22" i="50"/>
  <c r="S22" i="50"/>
  <c r="T22" i="50"/>
  <c r="U22" i="50"/>
  <c r="V22" i="50"/>
  <c r="W22" i="50"/>
  <c r="X22" i="50"/>
  <c r="Z22" i="50"/>
  <c r="AA22" i="50"/>
  <c r="AB22" i="50"/>
  <c r="AC22" i="50"/>
  <c r="AD22" i="50"/>
  <c r="AE22" i="50"/>
  <c r="AF22" i="50"/>
  <c r="AG22" i="50"/>
  <c r="AH22" i="50"/>
  <c r="AI22" i="50"/>
  <c r="AJ22" i="50"/>
  <c r="AK22" i="50"/>
  <c r="AL22" i="50"/>
  <c r="AM22" i="50"/>
  <c r="AN22" i="50"/>
  <c r="AO22" i="50"/>
  <c r="AP22" i="50"/>
  <c r="AQ22" i="50"/>
  <c r="AR22" i="50"/>
  <c r="AS22" i="50"/>
  <c r="AT22" i="50"/>
  <c r="AU22" i="50"/>
  <c r="AW22" i="50"/>
  <c r="AX22" i="50"/>
  <c r="AY22" i="50"/>
  <c r="BA22" i="50"/>
  <c r="BC22" i="50"/>
  <c r="A23" i="50"/>
  <c r="B23" i="50"/>
  <c r="D23" i="50"/>
  <c r="E23" i="50"/>
  <c r="F23" i="50"/>
  <c r="G23" i="50"/>
  <c r="H23" i="50"/>
  <c r="J23" i="50"/>
  <c r="K23" i="50"/>
  <c r="L23" i="50"/>
  <c r="M23" i="50"/>
  <c r="O23" i="50"/>
  <c r="P23" i="50"/>
  <c r="R23" i="50"/>
  <c r="S23" i="50"/>
  <c r="T23" i="50"/>
  <c r="U23" i="50"/>
  <c r="V23" i="50"/>
  <c r="W23" i="50"/>
  <c r="X23" i="50"/>
  <c r="Z23" i="50"/>
  <c r="AA23" i="50"/>
  <c r="AB23" i="50"/>
  <c r="AC23" i="50"/>
  <c r="AD23" i="50"/>
  <c r="AE23" i="50"/>
  <c r="AF23" i="50"/>
  <c r="AG23" i="50"/>
  <c r="AH23" i="50"/>
  <c r="AI23" i="50"/>
  <c r="AJ23" i="50"/>
  <c r="AK23" i="50"/>
  <c r="AL23" i="50"/>
  <c r="AM23" i="50"/>
  <c r="AN23" i="50"/>
  <c r="AO23" i="50"/>
  <c r="AP23" i="50"/>
  <c r="AQ23" i="50"/>
  <c r="AR23" i="50"/>
  <c r="AS23" i="50"/>
  <c r="AT23" i="50"/>
  <c r="AU23" i="50"/>
  <c r="AW23" i="50"/>
  <c r="AX23" i="50"/>
  <c r="AY23" i="50"/>
  <c r="BA23" i="50"/>
  <c r="BC23" i="50"/>
  <c r="A24" i="50"/>
  <c r="B24" i="50"/>
  <c r="D24" i="50"/>
  <c r="E24" i="50"/>
  <c r="F24" i="50"/>
  <c r="G24" i="50"/>
  <c r="H24" i="50"/>
  <c r="J24" i="50"/>
  <c r="K24" i="50"/>
  <c r="L24" i="50"/>
  <c r="M24" i="50"/>
  <c r="O24" i="50"/>
  <c r="P24" i="50"/>
  <c r="R24" i="50"/>
  <c r="S24" i="50"/>
  <c r="T24" i="50"/>
  <c r="U24" i="50"/>
  <c r="V24" i="50"/>
  <c r="W24" i="50"/>
  <c r="X24" i="50"/>
  <c r="Z24" i="50"/>
  <c r="AA24" i="50"/>
  <c r="AB24" i="50"/>
  <c r="AC24" i="50"/>
  <c r="AD24" i="50"/>
  <c r="AE24" i="50"/>
  <c r="AF24" i="50"/>
  <c r="AG24" i="50"/>
  <c r="AH24" i="50"/>
  <c r="AI24" i="50"/>
  <c r="AJ24" i="50"/>
  <c r="AK24" i="50"/>
  <c r="AL24" i="50"/>
  <c r="AM24" i="50"/>
  <c r="AN24" i="50"/>
  <c r="AO24" i="50"/>
  <c r="AP24" i="50"/>
  <c r="AQ24" i="50"/>
  <c r="AR24" i="50"/>
  <c r="AS24" i="50"/>
  <c r="AT24" i="50"/>
  <c r="AU24" i="50"/>
  <c r="AW24" i="50"/>
  <c r="AX24" i="50"/>
  <c r="AY24" i="50"/>
  <c r="BA24" i="50"/>
  <c r="BC24" i="50"/>
  <c r="A25" i="50"/>
  <c r="B25" i="50"/>
  <c r="D25" i="50"/>
  <c r="E25" i="50"/>
  <c r="F25" i="50"/>
  <c r="G25" i="50"/>
  <c r="H25" i="50"/>
  <c r="J25" i="50"/>
  <c r="K25" i="50"/>
  <c r="L25" i="50"/>
  <c r="M25" i="50"/>
  <c r="O25" i="50"/>
  <c r="P25" i="50"/>
  <c r="R25" i="50"/>
  <c r="S25" i="50"/>
  <c r="T25" i="50"/>
  <c r="U25" i="50"/>
  <c r="V25" i="50"/>
  <c r="W25" i="50"/>
  <c r="X25" i="50"/>
  <c r="Z25" i="50"/>
  <c r="AA25" i="50"/>
  <c r="AB25" i="50"/>
  <c r="AC25" i="50"/>
  <c r="AD25" i="50"/>
  <c r="AE25" i="50"/>
  <c r="AF25" i="50"/>
  <c r="AG25" i="50"/>
  <c r="AH25" i="50"/>
  <c r="AI25" i="50"/>
  <c r="AJ25" i="50"/>
  <c r="AK25" i="50"/>
  <c r="AL25" i="50"/>
  <c r="AM25" i="50"/>
  <c r="AN25" i="50"/>
  <c r="AO25" i="50"/>
  <c r="AP25" i="50"/>
  <c r="AQ25" i="50"/>
  <c r="AR25" i="50"/>
  <c r="AS25" i="50"/>
  <c r="AT25" i="50"/>
  <c r="AU25" i="50"/>
  <c r="AW25" i="50"/>
  <c r="AX25" i="50"/>
  <c r="AY25" i="50"/>
  <c r="BA25" i="50"/>
  <c r="BC25" i="50"/>
  <c r="A26" i="50"/>
  <c r="B26" i="50"/>
  <c r="D26" i="50"/>
  <c r="E26" i="50"/>
  <c r="F26" i="50"/>
  <c r="G26" i="50"/>
  <c r="H26" i="50"/>
  <c r="J26" i="50"/>
  <c r="K26" i="50"/>
  <c r="L26" i="50"/>
  <c r="M26" i="50"/>
  <c r="O26" i="50"/>
  <c r="P26" i="50"/>
  <c r="R26" i="50"/>
  <c r="S26" i="50"/>
  <c r="T26" i="50"/>
  <c r="U26" i="50"/>
  <c r="V26" i="50"/>
  <c r="W26" i="50"/>
  <c r="X26" i="50"/>
  <c r="Z26" i="50"/>
  <c r="AA26" i="50"/>
  <c r="AB26" i="50"/>
  <c r="AC26" i="50"/>
  <c r="AD26" i="50"/>
  <c r="AE26" i="50"/>
  <c r="AF26" i="50"/>
  <c r="AG26" i="50"/>
  <c r="AH26" i="50"/>
  <c r="AI26" i="50"/>
  <c r="AJ26" i="50"/>
  <c r="AK26" i="50"/>
  <c r="AL26" i="50"/>
  <c r="AM26" i="50"/>
  <c r="AN26" i="50"/>
  <c r="AO26" i="50"/>
  <c r="AP26" i="50"/>
  <c r="AQ26" i="50"/>
  <c r="AR26" i="50"/>
  <c r="AS26" i="50"/>
  <c r="AT26" i="50"/>
  <c r="AU26" i="50"/>
  <c r="AW26" i="50"/>
  <c r="AX26" i="50"/>
  <c r="AY26" i="50"/>
  <c r="BA26" i="50"/>
  <c r="BC26" i="50"/>
  <c r="A27" i="50"/>
  <c r="B27" i="50"/>
  <c r="D27" i="50"/>
  <c r="E27" i="50"/>
  <c r="F27" i="50"/>
  <c r="G27" i="50"/>
  <c r="H27" i="50"/>
  <c r="J27" i="50"/>
  <c r="K27" i="50"/>
  <c r="L27" i="50"/>
  <c r="M27" i="50"/>
  <c r="O27" i="50"/>
  <c r="P27" i="50"/>
  <c r="R27" i="50"/>
  <c r="S27" i="50"/>
  <c r="T27" i="50"/>
  <c r="U27" i="50"/>
  <c r="V27" i="50"/>
  <c r="W27" i="50"/>
  <c r="X27" i="50"/>
  <c r="Z27" i="50"/>
  <c r="AA27" i="50"/>
  <c r="AB27" i="50"/>
  <c r="AC27" i="50"/>
  <c r="AD27" i="50"/>
  <c r="AE27" i="50"/>
  <c r="AF27" i="50"/>
  <c r="AG27" i="50"/>
  <c r="AH27" i="50"/>
  <c r="AI27" i="50"/>
  <c r="AJ27" i="50"/>
  <c r="AK27" i="50"/>
  <c r="AL27" i="50"/>
  <c r="AM27" i="50"/>
  <c r="AN27" i="50"/>
  <c r="AO27" i="50"/>
  <c r="AP27" i="50"/>
  <c r="AQ27" i="50"/>
  <c r="AR27" i="50"/>
  <c r="AS27" i="50"/>
  <c r="AT27" i="50"/>
  <c r="AU27" i="50"/>
  <c r="AW27" i="50"/>
  <c r="AX27" i="50"/>
  <c r="AY27" i="50"/>
  <c r="BA27" i="50"/>
  <c r="BC27" i="50"/>
  <c r="A28" i="50"/>
  <c r="B28" i="50"/>
  <c r="D28" i="50"/>
  <c r="E28" i="50"/>
  <c r="F28" i="50"/>
  <c r="G28" i="50"/>
  <c r="H28" i="50"/>
  <c r="J28" i="50"/>
  <c r="K28" i="50"/>
  <c r="L28" i="50"/>
  <c r="M28" i="50"/>
  <c r="O28" i="50"/>
  <c r="P28" i="50"/>
  <c r="R28" i="50"/>
  <c r="S28" i="50"/>
  <c r="T28" i="50"/>
  <c r="U28" i="50"/>
  <c r="V28" i="50"/>
  <c r="W28" i="50"/>
  <c r="X28" i="50"/>
  <c r="Z28" i="50"/>
  <c r="AA28" i="50"/>
  <c r="AB28" i="50"/>
  <c r="AC28" i="50"/>
  <c r="AD28" i="50"/>
  <c r="AE28" i="50"/>
  <c r="AF28" i="50"/>
  <c r="AG28" i="50"/>
  <c r="AH28" i="50"/>
  <c r="AI28" i="50"/>
  <c r="AJ28" i="50"/>
  <c r="AK28" i="50"/>
  <c r="AL28" i="50"/>
  <c r="AM28" i="50"/>
  <c r="AN28" i="50"/>
  <c r="AO28" i="50"/>
  <c r="AP28" i="50"/>
  <c r="AQ28" i="50"/>
  <c r="AR28" i="50"/>
  <c r="AS28" i="50"/>
  <c r="AT28" i="50"/>
  <c r="AU28" i="50"/>
  <c r="AW28" i="50"/>
  <c r="AX28" i="50"/>
  <c r="AY28" i="50"/>
  <c r="BA28" i="50"/>
  <c r="BC28" i="50"/>
  <c r="A29" i="50"/>
  <c r="B29" i="50"/>
  <c r="D29" i="50"/>
  <c r="E29" i="50"/>
  <c r="F29" i="50"/>
  <c r="G29" i="50"/>
  <c r="H29" i="50"/>
  <c r="J29" i="50"/>
  <c r="K29" i="50"/>
  <c r="L29" i="50"/>
  <c r="M29" i="50"/>
  <c r="O29" i="50"/>
  <c r="P29" i="50"/>
  <c r="R29" i="50"/>
  <c r="S29" i="50"/>
  <c r="T29" i="50"/>
  <c r="U29" i="50"/>
  <c r="V29" i="50"/>
  <c r="W29" i="50"/>
  <c r="X29" i="50"/>
  <c r="Z29" i="50"/>
  <c r="AA29" i="50"/>
  <c r="AB29" i="50"/>
  <c r="AC29" i="50"/>
  <c r="AD29" i="50"/>
  <c r="AE29" i="50"/>
  <c r="AF29" i="50"/>
  <c r="AG29" i="50"/>
  <c r="AH29" i="50"/>
  <c r="AI29" i="50"/>
  <c r="AJ29" i="50"/>
  <c r="AK29" i="50"/>
  <c r="AL29" i="50"/>
  <c r="AM29" i="50"/>
  <c r="AN29" i="50"/>
  <c r="AO29" i="50"/>
  <c r="AP29" i="50"/>
  <c r="AQ29" i="50"/>
  <c r="AR29" i="50"/>
  <c r="AS29" i="50"/>
  <c r="AT29" i="50"/>
  <c r="AU29" i="50"/>
  <c r="AW29" i="50"/>
  <c r="AX29" i="50"/>
  <c r="AY29" i="50"/>
  <c r="BA29" i="50"/>
  <c r="BC29" i="50"/>
  <c r="A30" i="50"/>
  <c r="B30" i="50"/>
  <c r="D30" i="50"/>
  <c r="E30" i="50"/>
  <c r="F30" i="50"/>
  <c r="G30" i="50"/>
  <c r="H30" i="50"/>
  <c r="J30" i="50"/>
  <c r="K30" i="50"/>
  <c r="L30" i="50"/>
  <c r="M30" i="50"/>
  <c r="O30" i="50"/>
  <c r="P30" i="50"/>
  <c r="R30" i="50"/>
  <c r="S30" i="50"/>
  <c r="T30" i="50"/>
  <c r="U30" i="50"/>
  <c r="V30" i="50"/>
  <c r="W30" i="50"/>
  <c r="X30" i="50"/>
  <c r="Z30" i="50"/>
  <c r="AA30" i="50"/>
  <c r="AB30" i="50"/>
  <c r="AC30" i="50"/>
  <c r="AD30" i="50"/>
  <c r="AE30" i="50"/>
  <c r="AF30" i="50"/>
  <c r="AG30" i="50"/>
  <c r="AH30" i="50"/>
  <c r="AI30" i="50"/>
  <c r="AJ30" i="50"/>
  <c r="AK30" i="50"/>
  <c r="AL30" i="50"/>
  <c r="AM30" i="50"/>
  <c r="AN30" i="50"/>
  <c r="AO30" i="50"/>
  <c r="AP30" i="50"/>
  <c r="AQ30" i="50"/>
  <c r="AR30" i="50"/>
  <c r="AS30" i="50"/>
  <c r="AT30" i="50"/>
  <c r="AU30" i="50"/>
  <c r="AW30" i="50"/>
  <c r="AX30" i="50"/>
  <c r="AY30" i="50"/>
  <c r="BA30" i="50"/>
  <c r="BC30" i="50"/>
  <c r="A31" i="50"/>
  <c r="B31" i="50"/>
  <c r="D31" i="50"/>
  <c r="E31" i="50"/>
  <c r="F31" i="50"/>
  <c r="G31" i="50"/>
  <c r="H31" i="50"/>
  <c r="J31" i="50"/>
  <c r="K31" i="50"/>
  <c r="L31" i="50"/>
  <c r="M31" i="50"/>
  <c r="O31" i="50"/>
  <c r="P31" i="50"/>
  <c r="R31" i="50"/>
  <c r="S31" i="50"/>
  <c r="T31" i="50"/>
  <c r="U31" i="50"/>
  <c r="V31" i="50"/>
  <c r="W31" i="50"/>
  <c r="X31" i="50"/>
  <c r="Z31" i="50"/>
  <c r="AA31" i="50"/>
  <c r="AB31" i="50"/>
  <c r="AC31" i="50"/>
  <c r="AD31" i="50"/>
  <c r="AE31" i="50"/>
  <c r="AF31" i="50"/>
  <c r="AG31" i="50"/>
  <c r="AH31" i="50"/>
  <c r="AI31" i="50"/>
  <c r="AJ31" i="50"/>
  <c r="AK31" i="50"/>
  <c r="AL31" i="50"/>
  <c r="AM31" i="50"/>
  <c r="AN31" i="50"/>
  <c r="AO31" i="50"/>
  <c r="AP31" i="50"/>
  <c r="AQ31" i="50"/>
  <c r="AR31" i="50"/>
  <c r="AS31" i="50"/>
  <c r="AT31" i="50"/>
  <c r="AU31" i="50"/>
  <c r="AW31" i="50"/>
  <c r="AX31" i="50"/>
  <c r="AY31" i="50"/>
  <c r="BA31" i="50"/>
  <c r="BC31" i="50"/>
  <c r="A32" i="50"/>
  <c r="B32" i="50"/>
  <c r="D32" i="50"/>
  <c r="E32" i="50"/>
  <c r="F32" i="50"/>
  <c r="G32" i="50"/>
  <c r="H32" i="50"/>
  <c r="J32" i="50"/>
  <c r="K32" i="50"/>
  <c r="L32" i="50"/>
  <c r="M32" i="50"/>
  <c r="O32" i="50"/>
  <c r="P32" i="50"/>
  <c r="R32" i="50"/>
  <c r="S32" i="50"/>
  <c r="T32" i="50"/>
  <c r="U32" i="50"/>
  <c r="V32" i="50"/>
  <c r="W32" i="50"/>
  <c r="X32" i="50"/>
  <c r="Z32" i="50"/>
  <c r="AA32" i="50"/>
  <c r="AB32" i="50"/>
  <c r="AC32" i="50"/>
  <c r="AD32" i="50"/>
  <c r="AE32" i="50"/>
  <c r="AF32" i="50"/>
  <c r="AG32" i="50"/>
  <c r="AH32" i="50"/>
  <c r="AI32" i="50"/>
  <c r="AJ32" i="50"/>
  <c r="AK32" i="50"/>
  <c r="AL32" i="50"/>
  <c r="AM32" i="50"/>
  <c r="AN32" i="50"/>
  <c r="AO32" i="50"/>
  <c r="AP32" i="50"/>
  <c r="AQ32" i="50"/>
  <c r="AR32" i="50"/>
  <c r="AS32" i="50"/>
  <c r="AT32" i="50"/>
  <c r="AU32" i="50"/>
  <c r="AW32" i="50"/>
  <c r="AX32" i="50"/>
  <c r="AY32" i="50"/>
  <c r="BA32" i="50"/>
  <c r="BC32" i="50"/>
  <c r="A33" i="50"/>
  <c r="B33" i="50"/>
  <c r="D33" i="50"/>
  <c r="E33" i="50"/>
  <c r="F33" i="50"/>
  <c r="G33" i="50"/>
  <c r="H33" i="50"/>
  <c r="J33" i="50"/>
  <c r="K33" i="50"/>
  <c r="L33" i="50"/>
  <c r="M33" i="50"/>
  <c r="O33" i="50"/>
  <c r="P33" i="50"/>
  <c r="R33" i="50"/>
  <c r="S33" i="50"/>
  <c r="T33" i="50"/>
  <c r="U33" i="50"/>
  <c r="V33" i="50"/>
  <c r="W33" i="50"/>
  <c r="X33" i="50"/>
  <c r="Z33" i="50"/>
  <c r="AA33" i="50"/>
  <c r="AB33" i="50"/>
  <c r="AC33" i="50"/>
  <c r="AD33" i="50"/>
  <c r="AE33" i="50"/>
  <c r="AF33" i="50"/>
  <c r="AG33" i="50"/>
  <c r="AH33" i="50"/>
  <c r="AI33" i="50"/>
  <c r="AJ33" i="50"/>
  <c r="AK33" i="50"/>
  <c r="AL33" i="50"/>
  <c r="AM33" i="50"/>
  <c r="AN33" i="50"/>
  <c r="AO33" i="50"/>
  <c r="AP33" i="50"/>
  <c r="AQ33" i="50"/>
  <c r="AR33" i="50"/>
  <c r="AS33" i="50"/>
  <c r="AT33" i="50"/>
  <c r="AU33" i="50"/>
  <c r="AW33" i="50"/>
  <c r="AX33" i="50"/>
  <c r="AY33" i="50"/>
  <c r="BA33" i="50"/>
  <c r="BC33" i="50"/>
  <c r="A34" i="50"/>
  <c r="B34" i="50"/>
  <c r="D34" i="50"/>
  <c r="E34" i="50"/>
  <c r="F34" i="50"/>
  <c r="G34" i="50"/>
  <c r="H34" i="50"/>
  <c r="J34" i="50"/>
  <c r="K34" i="50"/>
  <c r="L34" i="50"/>
  <c r="M34" i="50"/>
  <c r="O34" i="50"/>
  <c r="P34" i="50"/>
  <c r="R34" i="50"/>
  <c r="S34" i="50"/>
  <c r="T34" i="50"/>
  <c r="U34" i="50"/>
  <c r="V34" i="50"/>
  <c r="W34" i="50"/>
  <c r="X34" i="50"/>
  <c r="Z34" i="50"/>
  <c r="AA34" i="50"/>
  <c r="AB34" i="50"/>
  <c r="AC34" i="50"/>
  <c r="AD34" i="50"/>
  <c r="AE34" i="50"/>
  <c r="AF34" i="50"/>
  <c r="AG34" i="50"/>
  <c r="AH34" i="50"/>
  <c r="AI34" i="50"/>
  <c r="AJ34" i="50"/>
  <c r="AK34" i="50"/>
  <c r="AL34" i="50"/>
  <c r="AM34" i="50"/>
  <c r="AN34" i="50"/>
  <c r="AO34" i="50"/>
  <c r="AP34" i="50"/>
  <c r="AQ34" i="50"/>
  <c r="AR34" i="50"/>
  <c r="AS34" i="50"/>
  <c r="AT34" i="50"/>
  <c r="AU34" i="50"/>
  <c r="AW34" i="50"/>
  <c r="AX34" i="50"/>
  <c r="AY34" i="50"/>
  <c r="BA34" i="50"/>
  <c r="BC34" i="50"/>
  <c r="A35" i="50"/>
  <c r="B35" i="50"/>
  <c r="D35" i="50"/>
  <c r="E35" i="50"/>
  <c r="F35" i="50"/>
  <c r="G35" i="50"/>
  <c r="H35" i="50"/>
  <c r="J35" i="50"/>
  <c r="K35" i="50"/>
  <c r="L35" i="50"/>
  <c r="M35" i="50"/>
  <c r="O35" i="50"/>
  <c r="P35" i="50"/>
  <c r="R35" i="50"/>
  <c r="S35" i="50"/>
  <c r="T35" i="50"/>
  <c r="U35" i="50"/>
  <c r="V35" i="50"/>
  <c r="W35" i="50"/>
  <c r="X35" i="50"/>
  <c r="Z35" i="50"/>
  <c r="AA35" i="50"/>
  <c r="AB35" i="50"/>
  <c r="AC35" i="50"/>
  <c r="AD35" i="50"/>
  <c r="AE35" i="50"/>
  <c r="AF35" i="50"/>
  <c r="AG35" i="50"/>
  <c r="AH35" i="50"/>
  <c r="AI35" i="50"/>
  <c r="AJ35" i="50"/>
  <c r="AK35" i="50"/>
  <c r="AL35" i="50"/>
  <c r="AM35" i="50"/>
  <c r="AN35" i="50"/>
  <c r="AO35" i="50"/>
  <c r="AP35" i="50"/>
  <c r="AQ35" i="50"/>
  <c r="AR35" i="50"/>
  <c r="AS35" i="50"/>
  <c r="AT35" i="50"/>
  <c r="AU35" i="50"/>
  <c r="AW35" i="50"/>
  <c r="AX35" i="50"/>
  <c r="AY35" i="50"/>
  <c r="BA35" i="50"/>
  <c r="BC35" i="50"/>
  <c r="A36" i="50"/>
  <c r="B36" i="50"/>
  <c r="D36" i="50"/>
  <c r="E36" i="50"/>
  <c r="F36" i="50"/>
  <c r="G36" i="50"/>
  <c r="H36" i="50"/>
  <c r="J36" i="50"/>
  <c r="K36" i="50"/>
  <c r="L36" i="50"/>
  <c r="M36" i="50"/>
  <c r="O36" i="50"/>
  <c r="P36" i="50"/>
  <c r="R36" i="50"/>
  <c r="S36" i="50"/>
  <c r="T36" i="50"/>
  <c r="U36" i="50"/>
  <c r="V36" i="50"/>
  <c r="W36" i="50"/>
  <c r="X36" i="50"/>
  <c r="Z36" i="50"/>
  <c r="AA36" i="50"/>
  <c r="AB36" i="50"/>
  <c r="AC36" i="50"/>
  <c r="AD36" i="50"/>
  <c r="AE36" i="50"/>
  <c r="AF36" i="50"/>
  <c r="AG36" i="50"/>
  <c r="AH36" i="50"/>
  <c r="AI36" i="50"/>
  <c r="AJ36" i="50"/>
  <c r="AK36" i="50"/>
  <c r="AL36" i="50"/>
  <c r="AM36" i="50"/>
  <c r="AN36" i="50"/>
  <c r="AO36" i="50"/>
  <c r="AP36" i="50"/>
  <c r="AQ36" i="50"/>
  <c r="AR36" i="50"/>
  <c r="AS36" i="50"/>
  <c r="AT36" i="50"/>
  <c r="AU36" i="50"/>
  <c r="AW36" i="50"/>
  <c r="AX36" i="50"/>
  <c r="AY36" i="50"/>
  <c r="BA36" i="50"/>
  <c r="BC36" i="50"/>
  <c r="A37" i="50"/>
  <c r="B37" i="50"/>
  <c r="D37" i="50"/>
  <c r="E37" i="50"/>
  <c r="F37" i="50"/>
  <c r="G37" i="50"/>
  <c r="H37" i="50"/>
  <c r="J37" i="50"/>
  <c r="K37" i="50"/>
  <c r="L37" i="50"/>
  <c r="M37" i="50"/>
  <c r="O37" i="50"/>
  <c r="P37" i="50"/>
  <c r="R37" i="50"/>
  <c r="S37" i="50"/>
  <c r="T37" i="50"/>
  <c r="U37" i="50"/>
  <c r="V37" i="50"/>
  <c r="W37" i="50"/>
  <c r="X37" i="50"/>
  <c r="Z37" i="50"/>
  <c r="AA37" i="50"/>
  <c r="AB37" i="50"/>
  <c r="AC37" i="50"/>
  <c r="AD37" i="50"/>
  <c r="AE37" i="50"/>
  <c r="AF37" i="50"/>
  <c r="AG37" i="50"/>
  <c r="AH37" i="50"/>
  <c r="AI37" i="50"/>
  <c r="AJ37" i="50"/>
  <c r="AK37" i="50"/>
  <c r="AL37" i="50"/>
  <c r="AM37" i="50"/>
  <c r="AN37" i="50"/>
  <c r="AO37" i="50"/>
  <c r="AP37" i="50"/>
  <c r="AQ37" i="50"/>
  <c r="AR37" i="50"/>
  <c r="AS37" i="50"/>
  <c r="AT37" i="50"/>
  <c r="AU37" i="50"/>
  <c r="AW37" i="50"/>
  <c r="AX37" i="50"/>
  <c r="AY37" i="50"/>
  <c r="BA37" i="50"/>
  <c r="BC37" i="50"/>
  <c r="A38" i="50"/>
  <c r="B38" i="50"/>
  <c r="D38" i="50"/>
  <c r="E38" i="50"/>
  <c r="F38" i="50"/>
  <c r="G38" i="50"/>
  <c r="H38" i="50"/>
  <c r="J38" i="50"/>
  <c r="K38" i="50"/>
  <c r="L38" i="50"/>
  <c r="M38" i="50"/>
  <c r="O38" i="50"/>
  <c r="P38" i="50"/>
  <c r="R38" i="50"/>
  <c r="S38" i="50"/>
  <c r="T38" i="50"/>
  <c r="U38" i="50"/>
  <c r="V38" i="50"/>
  <c r="W38" i="50"/>
  <c r="X38" i="50"/>
  <c r="Z38" i="50"/>
  <c r="AA38" i="50"/>
  <c r="AB38" i="50"/>
  <c r="AC38" i="50"/>
  <c r="AD38" i="50"/>
  <c r="AE38" i="50"/>
  <c r="AF38" i="50"/>
  <c r="AG38" i="50"/>
  <c r="AH38" i="50"/>
  <c r="AI38" i="50"/>
  <c r="AJ38" i="50"/>
  <c r="AK38" i="50"/>
  <c r="AL38" i="50"/>
  <c r="AM38" i="50"/>
  <c r="AN38" i="50"/>
  <c r="AO38" i="50"/>
  <c r="AP38" i="50"/>
  <c r="AQ38" i="50"/>
  <c r="AR38" i="50"/>
  <c r="AS38" i="50"/>
  <c r="AT38" i="50"/>
  <c r="AU38" i="50"/>
  <c r="AW38" i="50"/>
  <c r="AX38" i="50"/>
  <c r="AY38" i="50"/>
  <c r="BA38" i="50"/>
  <c r="BC38" i="50"/>
  <c r="A39" i="50"/>
  <c r="B39" i="50"/>
  <c r="D39" i="50"/>
  <c r="E39" i="50"/>
  <c r="F39" i="50"/>
  <c r="G39" i="50"/>
  <c r="H39" i="50"/>
  <c r="J39" i="50"/>
  <c r="K39" i="50"/>
  <c r="L39" i="50"/>
  <c r="M39" i="50"/>
  <c r="O39" i="50"/>
  <c r="P39" i="50"/>
  <c r="R39" i="50"/>
  <c r="S39" i="50"/>
  <c r="T39" i="50"/>
  <c r="U39" i="50"/>
  <c r="V39" i="50"/>
  <c r="W39" i="50"/>
  <c r="X39" i="50"/>
  <c r="Z39" i="50"/>
  <c r="AA39" i="50"/>
  <c r="AB39" i="50"/>
  <c r="AC39" i="50"/>
  <c r="AD39" i="50"/>
  <c r="AE39" i="50"/>
  <c r="AF39" i="50"/>
  <c r="AG39" i="50"/>
  <c r="AH39" i="50"/>
  <c r="AI39" i="50"/>
  <c r="AJ39" i="50"/>
  <c r="AK39" i="50"/>
  <c r="AL39" i="50"/>
  <c r="AM39" i="50"/>
  <c r="AN39" i="50"/>
  <c r="AO39" i="50"/>
  <c r="AP39" i="50"/>
  <c r="AQ39" i="50"/>
  <c r="AR39" i="50"/>
  <c r="AS39" i="50"/>
  <c r="AT39" i="50"/>
  <c r="AU39" i="50"/>
  <c r="AW39" i="50"/>
  <c r="AX39" i="50"/>
  <c r="AY39" i="50"/>
  <c r="BA39" i="50"/>
  <c r="BC39" i="50"/>
  <c r="A40" i="50"/>
  <c r="B40" i="50"/>
  <c r="D40" i="50"/>
  <c r="E40" i="50"/>
  <c r="F40" i="50"/>
  <c r="G40" i="50"/>
  <c r="H40" i="50"/>
  <c r="J40" i="50"/>
  <c r="K40" i="50"/>
  <c r="L40" i="50"/>
  <c r="M40" i="50"/>
  <c r="O40" i="50"/>
  <c r="P40" i="50"/>
  <c r="R40" i="50"/>
  <c r="S40" i="50"/>
  <c r="T40" i="50"/>
  <c r="U40" i="50"/>
  <c r="V40" i="50"/>
  <c r="W40" i="50"/>
  <c r="X40" i="50"/>
  <c r="Z40" i="50"/>
  <c r="AA40" i="50"/>
  <c r="AB40" i="50"/>
  <c r="AC40" i="50"/>
  <c r="AD40" i="50"/>
  <c r="AE40" i="50"/>
  <c r="AF40" i="50"/>
  <c r="AG40" i="50"/>
  <c r="AH40" i="50"/>
  <c r="AI40" i="50"/>
  <c r="AJ40" i="50"/>
  <c r="AK40" i="50"/>
  <c r="AL40" i="50"/>
  <c r="AM40" i="50"/>
  <c r="AN40" i="50"/>
  <c r="AO40" i="50"/>
  <c r="AP40" i="50"/>
  <c r="AQ40" i="50"/>
  <c r="AR40" i="50"/>
  <c r="AS40" i="50"/>
  <c r="AT40" i="50"/>
  <c r="AU40" i="50"/>
  <c r="AW40" i="50"/>
  <c r="AX40" i="50"/>
  <c r="AY40" i="50"/>
  <c r="BA40" i="50"/>
  <c r="BC40" i="50"/>
  <c r="A41" i="50"/>
  <c r="B41" i="50"/>
  <c r="D41" i="50"/>
  <c r="E41" i="50"/>
  <c r="F41" i="50"/>
  <c r="G41" i="50"/>
  <c r="H41" i="50"/>
  <c r="J41" i="50"/>
  <c r="K41" i="50"/>
  <c r="L41" i="50"/>
  <c r="M41" i="50"/>
  <c r="O41" i="50"/>
  <c r="P41" i="50"/>
  <c r="R41" i="50"/>
  <c r="S41" i="50"/>
  <c r="T41" i="50"/>
  <c r="U41" i="50"/>
  <c r="V41" i="50"/>
  <c r="W41" i="50"/>
  <c r="X41" i="50"/>
  <c r="Z41" i="50"/>
  <c r="AA41" i="50"/>
  <c r="AB41" i="50"/>
  <c r="AC41" i="50"/>
  <c r="AD41" i="50"/>
  <c r="AE41" i="50"/>
  <c r="AF41" i="50"/>
  <c r="AG41" i="50"/>
  <c r="AH41" i="50"/>
  <c r="AI41" i="50"/>
  <c r="AJ41" i="50"/>
  <c r="AK41" i="50"/>
  <c r="AL41" i="50"/>
  <c r="AM41" i="50"/>
  <c r="AN41" i="50"/>
  <c r="AO41" i="50"/>
  <c r="AP41" i="50"/>
  <c r="AQ41" i="50"/>
  <c r="AR41" i="50"/>
  <c r="AS41" i="50"/>
  <c r="AT41" i="50"/>
  <c r="AU41" i="50"/>
  <c r="AW41" i="50"/>
  <c r="AX41" i="50"/>
  <c r="AY41" i="50"/>
  <c r="BA41" i="50"/>
  <c r="BC41" i="50"/>
  <c r="A42" i="50"/>
  <c r="B42" i="50"/>
  <c r="D42" i="50"/>
  <c r="E42" i="50"/>
  <c r="F42" i="50"/>
  <c r="G42" i="50"/>
  <c r="H42" i="50"/>
  <c r="J42" i="50"/>
  <c r="K42" i="50"/>
  <c r="L42" i="50"/>
  <c r="M42" i="50"/>
  <c r="O42" i="50"/>
  <c r="P42" i="50"/>
  <c r="R42" i="50"/>
  <c r="S42" i="50"/>
  <c r="T42" i="50"/>
  <c r="U42" i="50"/>
  <c r="V42" i="50"/>
  <c r="W42" i="50"/>
  <c r="X42" i="50"/>
  <c r="Z42" i="50"/>
  <c r="AA42" i="50"/>
  <c r="AB42" i="50"/>
  <c r="AC42" i="50"/>
  <c r="AD42" i="50"/>
  <c r="AE42" i="50"/>
  <c r="AF42" i="50"/>
  <c r="AG42" i="50"/>
  <c r="AH42" i="50"/>
  <c r="AI42" i="50"/>
  <c r="AJ42" i="50"/>
  <c r="AK42" i="50"/>
  <c r="AL42" i="50"/>
  <c r="AM42" i="50"/>
  <c r="AN42" i="50"/>
  <c r="AO42" i="50"/>
  <c r="AP42" i="50"/>
  <c r="AQ42" i="50"/>
  <c r="AR42" i="50"/>
  <c r="AS42" i="50"/>
  <c r="AT42" i="50"/>
  <c r="AU42" i="50"/>
  <c r="AW42" i="50"/>
  <c r="AX42" i="50"/>
  <c r="AY42" i="50"/>
  <c r="BA42" i="50"/>
  <c r="BC42" i="50"/>
  <c r="A43" i="50"/>
  <c r="B43" i="50"/>
  <c r="D43" i="50"/>
  <c r="E43" i="50"/>
  <c r="F43" i="50"/>
  <c r="G43" i="50"/>
  <c r="H43" i="50"/>
  <c r="J43" i="50"/>
  <c r="K43" i="50"/>
  <c r="L43" i="50"/>
  <c r="M43" i="50"/>
  <c r="O43" i="50"/>
  <c r="P43" i="50"/>
  <c r="R43" i="50"/>
  <c r="S43" i="50"/>
  <c r="T43" i="50"/>
  <c r="U43" i="50"/>
  <c r="V43" i="50"/>
  <c r="W43" i="50"/>
  <c r="X43" i="50"/>
  <c r="Z43" i="50"/>
  <c r="AA43" i="50"/>
  <c r="AB43" i="50"/>
  <c r="AC43" i="50"/>
  <c r="AD43" i="50"/>
  <c r="AE43" i="50"/>
  <c r="AF43" i="50"/>
  <c r="AG43" i="50"/>
  <c r="AH43" i="50"/>
  <c r="AI43" i="50"/>
  <c r="AJ43" i="50"/>
  <c r="AK43" i="50"/>
  <c r="AL43" i="50"/>
  <c r="AM43" i="50"/>
  <c r="AN43" i="50"/>
  <c r="AO43" i="50"/>
  <c r="AP43" i="50"/>
  <c r="AQ43" i="50"/>
  <c r="AR43" i="50"/>
  <c r="AS43" i="50"/>
  <c r="AT43" i="50"/>
  <c r="AU43" i="50"/>
  <c r="AW43" i="50"/>
  <c r="AX43" i="50"/>
  <c r="AY43" i="50"/>
  <c r="BA43" i="50"/>
  <c r="BC43" i="50"/>
  <c r="A44" i="50"/>
  <c r="B44" i="50"/>
  <c r="D44" i="50"/>
  <c r="E44" i="50"/>
  <c r="F44" i="50"/>
  <c r="G44" i="50"/>
  <c r="H44" i="50"/>
  <c r="J44" i="50"/>
  <c r="K44" i="50"/>
  <c r="L44" i="50"/>
  <c r="M44" i="50"/>
  <c r="O44" i="50"/>
  <c r="P44" i="50"/>
  <c r="R44" i="50"/>
  <c r="S44" i="50"/>
  <c r="T44" i="50"/>
  <c r="U44" i="50"/>
  <c r="V44" i="50"/>
  <c r="W44" i="50"/>
  <c r="X44" i="50"/>
  <c r="Z44" i="50"/>
  <c r="AA44" i="50"/>
  <c r="AB44" i="50"/>
  <c r="AC44" i="50"/>
  <c r="AD44" i="50"/>
  <c r="AE44" i="50"/>
  <c r="AF44" i="50"/>
  <c r="AG44" i="50"/>
  <c r="AH44" i="50"/>
  <c r="AI44" i="50"/>
  <c r="AJ44" i="50"/>
  <c r="AK44" i="50"/>
  <c r="AL44" i="50"/>
  <c r="AM44" i="50"/>
  <c r="AN44" i="50"/>
  <c r="AO44" i="50"/>
  <c r="AP44" i="50"/>
  <c r="AQ44" i="50"/>
  <c r="AR44" i="50"/>
  <c r="AS44" i="50"/>
  <c r="AT44" i="50"/>
  <c r="AU44" i="50"/>
  <c r="AW44" i="50"/>
  <c r="AX44" i="50"/>
  <c r="AY44" i="50"/>
  <c r="BA44" i="50"/>
  <c r="BC44" i="50"/>
  <c r="A45" i="50"/>
  <c r="B45" i="50"/>
  <c r="D45" i="50"/>
  <c r="E45" i="50"/>
  <c r="F45" i="50"/>
  <c r="G45" i="50"/>
  <c r="H45" i="50"/>
  <c r="J45" i="50"/>
  <c r="K45" i="50"/>
  <c r="L45" i="50"/>
  <c r="M45" i="50"/>
  <c r="O45" i="50"/>
  <c r="P45" i="50"/>
  <c r="R45" i="50"/>
  <c r="S45" i="50"/>
  <c r="T45" i="50"/>
  <c r="U45" i="50"/>
  <c r="V45" i="50"/>
  <c r="W45" i="50"/>
  <c r="X45" i="50"/>
  <c r="Z45" i="50"/>
  <c r="AA45" i="50"/>
  <c r="AB45" i="50"/>
  <c r="AC45" i="50"/>
  <c r="AD45" i="50"/>
  <c r="AE45" i="50"/>
  <c r="AF45" i="50"/>
  <c r="AG45" i="50"/>
  <c r="AH45" i="50"/>
  <c r="AI45" i="50"/>
  <c r="AJ45" i="50"/>
  <c r="AK45" i="50"/>
  <c r="AL45" i="50"/>
  <c r="AM45" i="50"/>
  <c r="AN45" i="50"/>
  <c r="AO45" i="50"/>
  <c r="AP45" i="50"/>
  <c r="AQ45" i="50"/>
  <c r="AR45" i="50"/>
  <c r="AS45" i="50"/>
  <c r="AT45" i="50"/>
  <c r="AU45" i="50"/>
  <c r="AW45" i="50"/>
  <c r="AX45" i="50"/>
  <c r="AY45" i="50"/>
  <c r="BA45" i="50"/>
  <c r="BC45" i="50"/>
  <c r="A46" i="50"/>
  <c r="B46" i="50"/>
  <c r="D46" i="50"/>
  <c r="E46" i="50"/>
  <c r="F46" i="50"/>
  <c r="G46" i="50"/>
  <c r="H46" i="50"/>
  <c r="J46" i="50"/>
  <c r="K46" i="50"/>
  <c r="L46" i="50"/>
  <c r="M46" i="50"/>
  <c r="O46" i="50"/>
  <c r="P46" i="50"/>
  <c r="R46" i="50"/>
  <c r="S46" i="50"/>
  <c r="T46" i="50"/>
  <c r="U46" i="50"/>
  <c r="V46" i="50"/>
  <c r="W46" i="50"/>
  <c r="X46" i="50"/>
  <c r="Z46" i="50"/>
  <c r="AA46" i="50"/>
  <c r="AB46" i="50"/>
  <c r="AC46" i="50"/>
  <c r="AD46" i="50"/>
  <c r="AE46" i="50"/>
  <c r="AF46" i="50"/>
  <c r="AG46" i="50"/>
  <c r="AH46" i="50"/>
  <c r="AI46" i="50"/>
  <c r="AJ46" i="50"/>
  <c r="AK46" i="50"/>
  <c r="AL46" i="50"/>
  <c r="AM46" i="50"/>
  <c r="AN46" i="50"/>
  <c r="AO46" i="50"/>
  <c r="AP46" i="50"/>
  <c r="AQ46" i="50"/>
  <c r="AR46" i="50"/>
  <c r="AS46" i="50"/>
  <c r="AT46" i="50"/>
  <c r="AU46" i="50"/>
  <c r="AW46" i="50"/>
  <c r="AX46" i="50"/>
  <c r="AY46" i="50"/>
  <c r="BA46" i="50"/>
  <c r="BC46" i="50"/>
  <c r="A47" i="50"/>
  <c r="B47" i="50"/>
  <c r="D47" i="50"/>
  <c r="E47" i="50"/>
  <c r="F47" i="50"/>
  <c r="G47" i="50"/>
  <c r="H47" i="50"/>
  <c r="J47" i="50"/>
  <c r="K47" i="50"/>
  <c r="L47" i="50"/>
  <c r="M47" i="50"/>
  <c r="O47" i="50"/>
  <c r="P47" i="50"/>
  <c r="R47" i="50"/>
  <c r="S47" i="50"/>
  <c r="T47" i="50"/>
  <c r="U47" i="50"/>
  <c r="V47" i="50"/>
  <c r="W47" i="50"/>
  <c r="X47" i="50"/>
  <c r="Z47" i="50"/>
  <c r="AA47" i="50"/>
  <c r="AB47" i="50"/>
  <c r="AC47" i="50"/>
  <c r="AD47" i="50"/>
  <c r="AE47" i="50"/>
  <c r="AF47" i="50"/>
  <c r="AG47" i="50"/>
  <c r="AH47" i="50"/>
  <c r="AI47" i="50"/>
  <c r="AJ47" i="50"/>
  <c r="AK47" i="50"/>
  <c r="AL47" i="50"/>
  <c r="AM47" i="50"/>
  <c r="AN47" i="50"/>
  <c r="AO47" i="50"/>
  <c r="AP47" i="50"/>
  <c r="AQ47" i="50"/>
  <c r="AR47" i="50"/>
  <c r="AS47" i="50"/>
  <c r="AT47" i="50"/>
  <c r="AU47" i="50"/>
  <c r="AW47" i="50"/>
  <c r="AX47" i="50"/>
  <c r="AY47" i="50"/>
  <c r="BA47" i="50"/>
  <c r="BC47" i="50"/>
  <c r="A48" i="50"/>
  <c r="B48" i="50"/>
  <c r="D48" i="50"/>
  <c r="E48" i="50"/>
  <c r="F48" i="50"/>
  <c r="G48" i="50"/>
  <c r="H48" i="50"/>
  <c r="J48" i="50"/>
  <c r="K48" i="50"/>
  <c r="L48" i="50"/>
  <c r="M48" i="50"/>
  <c r="O48" i="50"/>
  <c r="P48" i="50"/>
  <c r="R48" i="50"/>
  <c r="S48" i="50"/>
  <c r="T48" i="50"/>
  <c r="U48" i="50"/>
  <c r="V48" i="50"/>
  <c r="W48" i="50"/>
  <c r="X48" i="50"/>
  <c r="Z48" i="50"/>
  <c r="AA48" i="50"/>
  <c r="AB48" i="50"/>
  <c r="AC48" i="50"/>
  <c r="AD48" i="50"/>
  <c r="AE48" i="50"/>
  <c r="AF48" i="50"/>
  <c r="AG48" i="50"/>
  <c r="AH48" i="50"/>
  <c r="AI48" i="50"/>
  <c r="AJ48" i="50"/>
  <c r="AK48" i="50"/>
  <c r="AL48" i="50"/>
  <c r="AM48" i="50"/>
  <c r="AN48" i="50"/>
  <c r="AO48" i="50"/>
  <c r="AP48" i="50"/>
  <c r="AQ48" i="50"/>
  <c r="AR48" i="50"/>
  <c r="AS48" i="50"/>
  <c r="AT48" i="50"/>
  <c r="AU48" i="50"/>
  <c r="AW48" i="50"/>
  <c r="AX48" i="50"/>
  <c r="AY48" i="50"/>
  <c r="BA48" i="50"/>
  <c r="BC48" i="50"/>
  <c r="A49" i="50"/>
  <c r="B49" i="50"/>
  <c r="D49" i="50"/>
  <c r="E49" i="50"/>
  <c r="F49" i="50"/>
  <c r="G49" i="50"/>
  <c r="H49" i="50"/>
  <c r="J49" i="50"/>
  <c r="K49" i="50"/>
  <c r="L49" i="50"/>
  <c r="M49" i="50"/>
  <c r="O49" i="50"/>
  <c r="P49" i="50"/>
  <c r="R49" i="50"/>
  <c r="S49" i="50"/>
  <c r="T49" i="50"/>
  <c r="U49" i="50"/>
  <c r="V49" i="50"/>
  <c r="W49" i="50"/>
  <c r="X49" i="50"/>
  <c r="Z49" i="50"/>
  <c r="AA49" i="50"/>
  <c r="AB49" i="50"/>
  <c r="AC49" i="50"/>
  <c r="AD49" i="50"/>
  <c r="AE49" i="50"/>
  <c r="AF49" i="50"/>
  <c r="AG49" i="50"/>
  <c r="AH49" i="50"/>
  <c r="AI49" i="50"/>
  <c r="AJ49" i="50"/>
  <c r="AK49" i="50"/>
  <c r="AL49" i="50"/>
  <c r="AM49" i="50"/>
  <c r="AN49" i="50"/>
  <c r="AO49" i="50"/>
  <c r="AP49" i="50"/>
  <c r="AQ49" i="50"/>
  <c r="AR49" i="50"/>
  <c r="AS49" i="50"/>
  <c r="AT49" i="50"/>
  <c r="AU49" i="50"/>
  <c r="AW49" i="50"/>
  <c r="AX49" i="50"/>
  <c r="AY49" i="50"/>
  <c r="BA49" i="50"/>
  <c r="BC49" i="50"/>
  <c r="A50" i="50"/>
  <c r="B50" i="50"/>
  <c r="D50" i="50"/>
  <c r="E50" i="50"/>
  <c r="F50" i="50"/>
  <c r="G50" i="50"/>
  <c r="H50" i="50"/>
  <c r="J50" i="50"/>
  <c r="K50" i="50"/>
  <c r="L50" i="50"/>
  <c r="M50" i="50"/>
  <c r="O50" i="50"/>
  <c r="P50" i="50"/>
  <c r="R50" i="50"/>
  <c r="S50" i="50"/>
  <c r="T50" i="50"/>
  <c r="U50" i="50"/>
  <c r="V50" i="50"/>
  <c r="W50" i="50"/>
  <c r="X50" i="50"/>
  <c r="Z50" i="50"/>
  <c r="AA50" i="50"/>
  <c r="AB50" i="50"/>
  <c r="AC50" i="50"/>
  <c r="AD50" i="50"/>
  <c r="AE50" i="50"/>
  <c r="AF50" i="50"/>
  <c r="AG50" i="50"/>
  <c r="AH50" i="50"/>
  <c r="AI50" i="50"/>
  <c r="AJ50" i="50"/>
  <c r="AK50" i="50"/>
  <c r="AL50" i="50"/>
  <c r="AM50" i="50"/>
  <c r="AN50" i="50"/>
  <c r="AO50" i="50"/>
  <c r="AP50" i="50"/>
  <c r="AQ50" i="50"/>
  <c r="AR50" i="50"/>
  <c r="AS50" i="50"/>
  <c r="AT50" i="50"/>
  <c r="AU50" i="50"/>
  <c r="AW50" i="50"/>
  <c r="AX50" i="50"/>
  <c r="AY50" i="50"/>
  <c r="BA50" i="50"/>
  <c r="BC50" i="50"/>
  <c r="A51" i="50"/>
  <c r="B51" i="50"/>
  <c r="D51" i="50"/>
  <c r="E51" i="50"/>
  <c r="F51" i="50"/>
  <c r="G51" i="50"/>
  <c r="H51" i="50"/>
  <c r="J51" i="50"/>
  <c r="K51" i="50"/>
  <c r="L51" i="50"/>
  <c r="M51" i="50"/>
  <c r="O51" i="50"/>
  <c r="P51" i="50"/>
  <c r="R51" i="50"/>
  <c r="S51" i="50"/>
  <c r="T51" i="50"/>
  <c r="U51" i="50"/>
  <c r="V51" i="50"/>
  <c r="W51" i="50"/>
  <c r="X51" i="50"/>
  <c r="Z51" i="50"/>
  <c r="AA51" i="50"/>
  <c r="AB51" i="50"/>
  <c r="AC51" i="50"/>
  <c r="AD51" i="50"/>
  <c r="AE51" i="50"/>
  <c r="AF51" i="50"/>
  <c r="AG51" i="50"/>
  <c r="AH51" i="50"/>
  <c r="AI51" i="50"/>
  <c r="AJ51" i="50"/>
  <c r="AK51" i="50"/>
  <c r="AL51" i="50"/>
  <c r="AM51" i="50"/>
  <c r="AN51" i="50"/>
  <c r="AO51" i="50"/>
  <c r="AP51" i="50"/>
  <c r="AQ51" i="50"/>
  <c r="AR51" i="50"/>
  <c r="AS51" i="50"/>
  <c r="AT51" i="50"/>
  <c r="AU51" i="50"/>
  <c r="AW51" i="50"/>
  <c r="AX51" i="50"/>
  <c r="AY51" i="50"/>
  <c r="BA51" i="50"/>
  <c r="BC51" i="50"/>
  <c r="A52" i="50"/>
  <c r="B52" i="50"/>
  <c r="D52" i="50"/>
  <c r="E52" i="50"/>
  <c r="F52" i="50"/>
  <c r="G52" i="50"/>
  <c r="H52" i="50"/>
  <c r="J52" i="50"/>
  <c r="K52" i="50"/>
  <c r="L52" i="50"/>
  <c r="M52" i="50"/>
  <c r="O52" i="50"/>
  <c r="P52" i="50"/>
  <c r="R52" i="50"/>
  <c r="S52" i="50"/>
  <c r="T52" i="50"/>
  <c r="U52" i="50"/>
  <c r="V52" i="50"/>
  <c r="W52" i="50"/>
  <c r="X52" i="50"/>
  <c r="Z52" i="50"/>
  <c r="AA52" i="50"/>
  <c r="AB52" i="50"/>
  <c r="AC52" i="50"/>
  <c r="AD52" i="50"/>
  <c r="AE52" i="50"/>
  <c r="AF52" i="50"/>
  <c r="AG52" i="50"/>
  <c r="AH52" i="50"/>
  <c r="AI52" i="50"/>
  <c r="AJ52" i="50"/>
  <c r="AK52" i="50"/>
  <c r="AL52" i="50"/>
  <c r="AM52" i="50"/>
  <c r="AN52" i="50"/>
  <c r="AO52" i="50"/>
  <c r="AP52" i="50"/>
  <c r="AQ52" i="50"/>
  <c r="AR52" i="50"/>
  <c r="AS52" i="50"/>
  <c r="AT52" i="50"/>
  <c r="AU52" i="50"/>
  <c r="AW52" i="50"/>
  <c r="AX52" i="50"/>
  <c r="AY52" i="50"/>
  <c r="BA52" i="50"/>
  <c r="BC52" i="50"/>
  <c r="A53" i="50"/>
  <c r="B53" i="50"/>
  <c r="D53" i="50"/>
  <c r="E53" i="50"/>
  <c r="F53" i="50"/>
  <c r="G53" i="50"/>
  <c r="H53" i="50"/>
  <c r="J53" i="50"/>
  <c r="K53" i="50"/>
  <c r="L53" i="50"/>
  <c r="M53" i="50"/>
  <c r="O53" i="50"/>
  <c r="P53" i="50"/>
  <c r="R53" i="50"/>
  <c r="S53" i="50"/>
  <c r="T53" i="50"/>
  <c r="U53" i="50"/>
  <c r="V53" i="50"/>
  <c r="W53" i="50"/>
  <c r="X53" i="50"/>
  <c r="Z53" i="50"/>
  <c r="AA53" i="50"/>
  <c r="AB53" i="50"/>
  <c r="AC53" i="50"/>
  <c r="AD53" i="50"/>
  <c r="AE53" i="50"/>
  <c r="AF53" i="50"/>
  <c r="AG53" i="50"/>
  <c r="AH53" i="50"/>
  <c r="AI53" i="50"/>
  <c r="AJ53" i="50"/>
  <c r="AK53" i="50"/>
  <c r="AL53" i="50"/>
  <c r="AM53" i="50"/>
  <c r="AN53" i="50"/>
  <c r="AO53" i="50"/>
  <c r="AP53" i="50"/>
  <c r="AQ53" i="50"/>
  <c r="AR53" i="50"/>
  <c r="AS53" i="50"/>
  <c r="AT53" i="50"/>
  <c r="AU53" i="50"/>
  <c r="AW53" i="50"/>
  <c r="AX53" i="50"/>
  <c r="AY53" i="50"/>
  <c r="BA53" i="50"/>
  <c r="BC53" i="50"/>
  <c r="A54" i="50"/>
  <c r="B54" i="50"/>
  <c r="D54" i="50"/>
  <c r="E54" i="50"/>
  <c r="F54" i="50"/>
  <c r="G54" i="50"/>
  <c r="H54" i="50"/>
  <c r="J54" i="50"/>
  <c r="K54" i="50"/>
  <c r="L54" i="50"/>
  <c r="M54" i="50"/>
  <c r="O54" i="50"/>
  <c r="P54" i="50"/>
  <c r="R54" i="50"/>
  <c r="S54" i="50"/>
  <c r="T54" i="50"/>
  <c r="U54" i="50"/>
  <c r="V54" i="50"/>
  <c r="W54" i="50"/>
  <c r="X54" i="50"/>
  <c r="Z54" i="50"/>
  <c r="AA54" i="50"/>
  <c r="AB54" i="50"/>
  <c r="AC54" i="50"/>
  <c r="AD54" i="50"/>
  <c r="AE54" i="50"/>
  <c r="AF54" i="50"/>
  <c r="AG54" i="50"/>
  <c r="AH54" i="50"/>
  <c r="AI54" i="50"/>
  <c r="AJ54" i="50"/>
  <c r="AK54" i="50"/>
  <c r="AL54" i="50"/>
  <c r="AM54" i="50"/>
  <c r="AN54" i="50"/>
  <c r="AO54" i="50"/>
  <c r="AP54" i="50"/>
  <c r="AQ54" i="50"/>
  <c r="AR54" i="50"/>
  <c r="AS54" i="50"/>
  <c r="AT54" i="50"/>
  <c r="AU54" i="50"/>
  <c r="AW54" i="50"/>
  <c r="AX54" i="50"/>
  <c r="AY54" i="50"/>
  <c r="BA54" i="50"/>
  <c r="BC54" i="50"/>
  <c r="A55" i="50"/>
  <c r="B55" i="50"/>
  <c r="D55" i="50"/>
  <c r="E55" i="50"/>
  <c r="F55" i="50"/>
  <c r="G55" i="50"/>
  <c r="H55" i="50"/>
  <c r="J55" i="50"/>
  <c r="K55" i="50"/>
  <c r="L55" i="50"/>
  <c r="M55" i="50"/>
  <c r="O55" i="50"/>
  <c r="P55" i="50"/>
  <c r="R55" i="50"/>
  <c r="S55" i="50"/>
  <c r="T55" i="50"/>
  <c r="U55" i="50"/>
  <c r="V55" i="50"/>
  <c r="W55" i="50"/>
  <c r="X55" i="50"/>
  <c r="Z55" i="50"/>
  <c r="AA55" i="50"/>
  <c r="AB55" i="50"/>
  <c r="AC55" i="50"/>
  <c r="AD55" i="50"/>
  <c r="AE55" i="50"/>
  <c r="AF55" i="50"/>
  <c r="AG55" i="50"/>
  <c r="AH55" i="50"/>
  <c r="AI55" i="50"/>
  <c r="AJ55" i="50"/>
  <c r="AK55" i="50"/>
  <c r="AL55" i="50"/>
  <c r="AM55" i="50"/>
  <c r="AN55" i="50"/>
  <c r="AO55" i="50"/>
  <c r="AP55" i="50"/>
  <c r="AQ55" i="50"/>
  <c r="AR55" i="50"/>
  <c r="AS55" i="50"/>
  <c r="AT55" i="50"/>
  <c r="AU55" i="50"/>
  <c r="AW55" i="50"/>
  <c r="AX55" i="50"/>
  <c r="AY55" i="50"/>
  <c r="BA55" i="50"/>
  <c r="BC55" i="50"/>
  <c r="A56" i="50"/>
  <c r="B56" i="50"/>
  <c r="D56" i="50"/>
  <c r="E56" i="50"/>
  <c r="F56" i="50"/>
  <c r="G56" i="50"/>
  <c r="H56" i="50"/>
  <c r="J56" i="50"/>
  <c r="K56" i="50"/>
  <c r="L56" i="50"/>
  <c r="M56" i="50"/>
  <c r="O56" i="50"/>
  <c r="P56" i="50"/>
  <c r="R56" i="50"/>
  <c r="S56" i="50"/>
  <c r="T56" i="50"/>
  <c r="U56" i="50"/>
  <c r="V56" i="50"/>
  <c r="W56" i="50"/>
  <c r="X56" i="50"/>
  <c r="Z56" i="50"/>
  <c r="AA56" i="50"/>
  <c r="AB56" i="50"/>
  <c r="AC56" i="50"/>
  <c r="AD56" i="50"/>
  <c r="AE56" i="50"/>
  <c r="AF56" i="50"/>
  <c r="AG56" i="50"/>
  <c r="AH56" i="50"/>
  <c r="AI56" i="50"/>
  <c r="AJ56" i="50"/>
  <c r="AK56" i="50"/>
  <c r="AL56" i="50"/>
  <c r="AM56" i="50"/>
  <c r="AN56" i="50"/>
  <c r="AO56" i="50"/>
  <c r="AP56" i="50"/>
  <c r="AQ56" i="50"/>
  <c r="AR56" i="50"/>
  <c r="AS56" i="50"/>
  <c r="AT56" i="50"/>
  <c r="AU56" i="50"/>
  <c r="AW56" i="50"/>
  <c r="AX56" i="50"/>
  <c r="AY56" i="50"/>
  <c r="BA56" i="50"/>
  <c r="BC56" i="50"/>
  <c r="A57" i="50"/>
  <c r="B57" i="50"/>
  <c r="D57" i="50"/>
  <c r="E57" i="50"/>
  <c r="F57" i="50"/>
  <c r="G57" i="50"/>
  <c r="H57" i="50"/>
  <c r="J57" i="50"/>
  <c r="K57" i="50"/>
  <c r="L57" i="50"/>
  <c r="M57" i="50"/>
  <c r="O57" i="50"/>
  <c r="P57" i="50"/>
  <c r="R57" i="50"/>
  <c r="S57" i="50"/>
  <c r="T57" i="50"/>
  <c r="U57" i="50"/>
  <c r="V57" i="50"/>
  <c r="W57" i="50"/>
  <c r="X57" i="50"/>
  <c r="Z57" i="50"/>
  <c r="AA57" i="50"/>
  <c r="AB57" i="50"/>
  <c r="AC57" i="50"/>
  <c r="AD57" i="50"/>
  <c r="AE57" i="50"/>
  <c r="AF57" i="50"/>
  <c r="AG57" i="50"/>
  <c r="AH57" i="50"/>
  <c r="AI57" i="50"/>
  <c r="AJ57" i="50"/>
  <c r="AK57" i="50"/>
  <c r="AL57" i="50"/>
  <c r="AM57" i="50"/>
  <c r="AN57" i="50"/>
  <c r="AO57" i="50"/>
  <c r="AP57" i="50"/>
  <c r="AQ57" i="50"/>
  <c r="AR57" i="50"/>
  <c r="AS57" i="50"/>
  <c r="AT57" i="50"/>
  <c r="AU57" i="50"/>
  <c r="AW57" i="50"/>
  <c r="AX57" i="50"/>
  <c r="AY57" i="50"/>
  <c r="BA57" i="50"/>
  <c r="BC57" i="50"/>
  <c r="A58" i="50"/>
  <c r="B58" i="50"/>
  <c r="D58" i="50"/>
  <c r="E58" i="50"/>
  <c r="F58" i="50"/>
  <c r="G58" i="50"/>
  <c r="H58" i="50"/>
  <c r="J58" i="50"/>
  <c r="K58" i="50"/>
  <c r="L58" i="50"/>
  <c r="M58" i="50"/>
  <c r="O58" i="50"/>
  <c r="P58" i="50"/>
  <c r="R58" i="50"/>
  <c r="S58" i="50"/>
  <c r="T58" i="50"/>
  <c r="U58" i="50"/>
  <c r="V58" i="50"/>
  <c r="W58" i="50"/>
  <c r="X58" i="50"/>
  <c r="Z58" i="50"/>
  <c r="AA58" i="50"/>
  <c r="AB58" i="50"/>
  <c r="AC58" i="50"/>
  <c r="AD58" i="50"/>
  <c r="AE58" i="50"/>
  <c r="AF58" i="50"/>
  <c r="AG58" i="50"/>
  <c r="AH58" i="50"/>
  <c r="AI58" i="50"/>
  <c r="AJ58" i="50"/>
  <c r="AK58" i="50"/>
  <c r="AL58" i="50"/>
  <c r="AM58" i="50"/>
  <c r="AN58" i="50"/>
  <c r="AO58" i="50"/>
  <c r="AP58" i="50"/>
  <c r="AQ58" i="50"/>
  <c r="AR58" i="50"/>
  <c r="AS58" i="50"/>
  <c r="AT58" i="50"/>
  <c r="AU58" i="50"/>
  <c r="AW58" i="50"/>
  <c r="AX58" i="50"/>
  <c r="AY58" i="50"/>
  <c r="BA58" i="50"/>
  <c r="BC58" i="50"/>
  <c r="A59" i="50"/>
  <c r="B59" i="50"/>
  <c r="D59" i="50"/>
  <c r="E59" i="50"/>
  <c r="F59" i="50"/>
  <c r="G59" i="50"/>
  <c r="H59" i="50"/>
  <c r="J59" i="50"/>
  <c r="K59" i="50"/>
  <c r="L59" i="50"/>
  <c r="M59" i="50"/>
  <c r="O59" i="50"/>
  <c r="P59" i="50"/>
  <c r="R59" i="50"/>
  <c r="S59" i="50"/>
  <c r="T59" i="50"/>
  <c r="U59" i="50"/>
  <c r="V59" i="50"/>
  <c r="W59" i="50"/>
  <c r="X59" i="50"/>
  <c r="Z59" i="50"/>
  <c r="AA59" i="50"/>
  <c r="AB59" i="50"/>
  <c r="AC59" i="50"/>
  <c r="AD59" i="50"/>
  <c r="AE59" i="50"/>
  <c r="AF59" i="50"/>
  <c r="AG59" i="50"/>
  <c r="AH59" i="50"/>
  <c r="AI59" i="50"/>
  <c r="AJ59" i="50"/>
  <c r="AK59" i="50"/>
  <c r="AL59" i="50"/>
  <c r="AM59" i="50"/>
  <c r="AN59" i="50"/>
  <c r="AO59" i="50"/>
  <c r="AP59" i="50"/>
  <c r="AQ59" i="50"/>
  <c r="AR59" i="50"/>
  <c r="AS59" i="50"/>
  <c r="AT59" i="50"/>
  <c r="AU59" i="50"/>
  <c r="AW59" i="50"/>
  <c r="AX59" i="50"/>
  <c r="AY59" i="50"/>
  <c r="BA59" i="50"/>
  <c r="BC59" i="50"/>
  <c r="A60" i="50"/>
  <c r="B60" i="50"/>
  <c r="D60" i="50"/>
  <c r="E60" i="50"/>
  <c r="F60" i="50"/>
  <c r="G60" i="50"/>
  <c r="H60" i="50"/>
  <c r="J60" i="50"/>
  <c r="K60" i="50"/>
  <c r="L60" i="50"/>
  <c r="M60" i="50"/>
  <c r="O60" i="50"/>
  <c r="P60" i="50"/>
  <c r="R60" i="50"/>
  <c r="S60" i="50"/>
  <c r="T60" i="50"/>
  <c r="U60" i="50"/>
  <c r="V60" i="50"/>
  <c r="W60" i="50"/>
  <c r="X60" i="50"/>
  <c r="Z60" i="50"/>
  <c r="AA60" i="50"/>
  <c r="AB60" i="50"/>
  <c r="AC60" i="50"/>
  <c r="AD60" i="50"/>
  <c r="AE60" i="50"/>
  <c r="AF60" i="50"/>
  <c r="AG60" i="50"/>
  <c r="AH60" i="50"/>
  <c r="AI60" i="50"/>
  <c r="AJ60" i="50"/>
  <c r="AK60" i="50"/>
  <c r="AL60" i="50"/>
  <c r="AM60" i="50"/>
  <c r="AN60" i="50"/>
  <c r="AO60" i="50"/>
  <c r="AP60" i="50"/>
  <c r="AQ60" i="50"/>
  <c r="AR60" i="50"/>
  <c r="AS60" i="50"/>
  <c r="AT60" i="50"/>
  <c r="AU60" i="50"/>
  <c r="AW60" i="50"/>
  <c r="AX60" i="50"/>
  <c r="AY60" i="50"/>
  <c r="BA60" i="50"/>
  <c r="BC60" i="50"/>
  <c r="A61" i="50"/>
  <c r="B61" i="50"/>
  <c r="D61" i="50"/>
  <c r="E61" i="50"/>
  <c r="F61" i="50"/>
  <c r="G61" i="50"/>
  <c r="H61" i="50"/>
  <c r="J61" i="50"/>
  <c r="K61" i="50"/>
  <c r="L61" i="50"/>
  <c r="M61" i="50"/>
  <c r="O61" i="50"/>
  <c r="P61" i="50"/>
  <c r="R61" i="50"/>
  <c r="S61" i="50"/>
  <c r="T61" i="50"/>
  <c r="U61" i="50"/>
  <c r="V61" i="50"/>
  <c r="W61" i="50"/>
  <c r="X61" i="50"/>
  <c r="Z61" i="50"/>
  <c r="AA61" i="50"/>
  <c r="AB61" i="50"/>
  <c r="AC61" i="50"/>
  <c r="AD61" i="50"/>
  <c r="AE61" i="50"/>
  <c r="AF61" i="50"/>
  <c r="AG61" i="50"/>
  <c r="AH61" i="50"/>
  <c r="AI61" i="50"/>
  <c r="AJ61" i="50"/>
  <c r="AK61" i="50"/>
  <c r="AL61" i="50"/>
  <c r="AM61" i="50"/>
  <c r="AN61" i="50"/>
  <c r="AO61" i="50"/>
  <c r="AP61" i="50"/>
  <c r="AQ61" i="50"/>
  <c r="AR61" i="50"/>
  <c r="AS61" i="50"/>
  <c r="AT61" i="50"/>
  <c r="AU61" i="50"/>
  <c r="AW61" i="50"/>
  <c r="AX61" i="50"/>
  <c r="AY61" i="50"/>
  <c r="BA61" i="50"/>
  <c r="BC61" i="50"/>
  <c r="A62" i="50"/>
  <c r="B62" i="50"/>
  <c r="D62" i="50"/>
  <c r="E62" i="50"/>
  <c r="F62" i="50"/>
  <c r="G62" i="50"/>
  <c r="H62" i="50"/>
  <c r="J62" i="50"/>
  <c r="K62" i="50"/>
  <c r="L62" i="50"/>
  <c r="M62" i="50"/>
  <c r="O62" i="50"/>
  <c r="P62" i="50"/>
  <c r="R62" i="50"/>
  <c r="S62" i="50"/>
  <c r="T62" i="50"/>
  <c r="U62" i="50"/>
  <c r="V62" i="50"/>
  <c r="W62" i="50"/>
  <c r="X62" i="50"/>
  <c r="Z62" i="50"/>
  <c r="AA62" i="50"/>
  <c r="AB62" i="50"/>
  <c r="AC62" i="50"/>
  <c r="AD62" i="50"/>
  <c r="AE62" i="50"/>
  <c r="AF62" i="50"/>
  <c r="AG62" i="50"/>
  <c r="AH62" i="50"/>
  <c r="AI62" i="50"/>
  <c r="AJ62" i="50"/>
  <c r="AK62" i="50"/>
  <c r="AL62" i="50"/>
  <c r="AM62" i="50"/>
  <c r="AN62" i="50"/>
  <c r="AO62" i="50"/>
  <c r="AP62" i="50"/>
  <c r="AQ62" i="50"/>
  <c r="AR62" i="50"/>
  <c r="AS62" i="50"/>
  <c r="AT62" i="50"/>
  <c r="AU62" i="50"/>
  <c r="AW62" i="50"/>
  <c r="AX62" i="50"/>
  <c r="AY62" i="50"/>
  <c r="BA62" i="50"/>
  <c r="BC62" i="50"/>
  <c r="A63" i="50"/>
  <c r="B63" i="50"/>
  <c r="D63" i="50"/>
  <c r="E63" i="50"/>
  <c r="F63" i="50"/>
  <c r="G63" i="50"/>
  <c r="H63" i="50"/>
  <c r="J63" i="50"/>
  <c r="K63" i="50"/>
  <c r="L63" i="50"/>
  <c r="M63" i="50"/>
  <c r="O63" i="50"/>
  <c r="P63" i="50"/>
  <c r="R63" i="50"/>
  <c r="S63" i="50"/>
  <c r="T63" i="50"/>
  <c r="U63" i="50"/>
  <c r="V63" i="50"/>
  <c r="W63" i="50"/>
  <c r="X63" i="50"/>
  <c r="Z63" i="50"/>
  <c r="AA63" i="50"/>
  <c r="AB63" i="50"/>
  <c r="AC63" i="50"/>
  <c r="AD63" i="50"/>
  <c r="AE63" i="50"/>
  <c r="AF63" i="50"/>
  <c r="AG63" i="50"/>
  <c r="AH63" i="50"/>
  <c r="AI63" i="50"/>
  <c r="AJ63" i="50"/>
  <c r="AK63" i="50"/>
  <c r="AL63" i="50"/>
  <c r="AM63" i="50"/>
  <c r="AN63" i="50"/>
  <c r="AO63" i="50"/>
  <c r="AP63" i="50"/>
  <c r="AQ63" i="50"/>
  <c r="AR63" i="50"/>
  <c r="AS63" i="50"/>
  <c r="AT63" i="50"/>
  <c r="AU63" i="50"/>
  <c r="AW63" i="50"/>
  <c r="AX63" i="50"/>
  <c r="AY63" i="50"/>
  <c r="BA63" i="50"/>
  <c r="BC63" i="50"/>
  <c r="A64" i="50"/>
  <c r="B64" i="50"/>
  <c r="D64" i="50"/>
  <c r="E64" i="50"/>
  <c r="F64" i="50"/>
  <c r="G64" i="50"/>
  <c r="H64" i="50"/>
  <c r="J64" i="50"/>
  <c r="K64" i="50"/>
  <c r="L64" i="50"/>
  <c r="M64" i="50"/>
  <c r="O64" i="50"/>
  <c r="P64" i="50"/>
  <c r="R64" i="50"/>
  <c r="S64" i="50"/>
  <c r="T64" i="50"/>
  <c r="U64" i="50"/>
  <c r="V64" i="50"/>
  <c r="W64" i="50"/>
  <c r="X64" i="50"/>
  <c r="Z64" i="50"/>
  <c r="AA64" i="50"/>
  <c r="AB64" i="50"/>
  <c r="AC64" i="50"/>
  <c r="AD64" i="50"/>
  <c r="AE64" i="50"/>
  <c r="AF64" i="50"/>
  <c r="AG64" i="50"/>
  <c r="AH64" i="50"/>
  <c r="AI64" i="50"/>
  <c r="AJ64" i="50"/>
  <c r="AK64" i="50"/>
  <c r="AL64" i="50"/>
  <c r="AM64" i="50"/>
  <c r="AN64" i="50"/>
  <c r="AO64" i="50"/>
  <c r="AP64" i="50"/>
  <c r="AQ64" i="50"/>
  <c r="AR64" i="50"/>
  <c r="AS64" i="50"/>
  <c r="AT64" i="50"/>
  <c r="AU64" i="50"/>
  <c r="AW64" i="50"/>
  <c r="AX64" i="50"/>
  <c r="AY64" i="50"/>
  <c r="BA64" i="50"/>
  <c r="BC64" i="50"/>
  <c r="A65" i="50"/>
  <c r="B65" i="50"/>
  <c r="D65" i="50"/>
  <c r="E65" i="50"/>
  <c r="F65" i="50"/>
  <c r="G65" i="50"/>
  <c r="H65" i="50"/>
  <c r="J65" i="50"/>
  <c r="K65" i="50"/>
  <c r="L65" i="50"/>
  <c r="M65" i="50"/>
  <c r="O65" i="50"/>
  <c r="P65" i="50"/>
  <c r="R65" i="50"/>
  <c r="S65" i="50"/>
  <c r="T65" i="50"/>
  <c r="U65" i="50"/>
  <c r="V65" i="50"/>
  <c r="W65" i="50"/>
  <c r="X65" i="50"/>
  <c r="Z65" i="50"/>
  <c r="AA65" i="50"/>
  <c r="AB65" i="50"/>
  <c r="AC65" i="50"/>
  <c r="AD65" i="50"/>
  <c r="AE65" i="50"/>
  <c r="AF65" i="50"/>
  <c r="AG65" i="50"/>
  <c r="AH65" i="50"/>
  <c r="AI65" i="50"/>
  <c r="AJ65" i="50"/>
  <c r="AK65" i="50"/>
  <c r="AL65" i="50"/>
  <c r="AM65" i="50"/>
  <c r="AN65" i="50"/>
  <c r="AO65" i="50"/>
  <c r="AP65" i="50"/>
  <c r="AQ65" i="50"/>
  <c r="AR65" i="50"/>
  <c r="AS65" i="50"/>
  <c r="AT65" i="50"/>
  <c r="AU65" i="50"/>
  <c r="AW65" i="50"/>
  <c r="AX65" i="50"/>
  <c r="AY65" i="50"/>
  <c r="BA65" i="50"/>
  <c r="BC65" i="50"/>
  <c r="A66" i="50"/>
  <c r="B66" i="50"/>
  <c r="D66" i="50"/>
  <c r="E66" i="50"/>
  <c r="F66" i="50"/>
  <c r="G66" i="50"/>
  <c r="H66" i="50"/>
  <c r="J66" i="50"/>
  <c r="K66" i="50"/>
  <c r="L66" i="50"/>
  <c r="M66" i="50"/>
  <c r="O66" i="50"/>
  <c r="P66" i="50"/>
  <c r="R66" i="50"/>
  <c r="S66" i="50"/>
  <c r="T66" i="50"/>
  <c r="U66" i="50"/>
  <c r="V66" i="50"/>
  <c r="W66" i="50"/>
  <c r="X66" i="50"/>
  <c r="Z66" i="50"/>
  <c r="AA66" i="50"/>
  <c r="AB66" i="50"/>
  <c r="AC66" i="50"/>
  <c r="AD66" i="50"/>
  <c r="AE66" i="50"/>
  <c r="AF66" i="50"/>
  <c r="AG66" i="50"/>
  <c r="AH66" i="50"/>
  <c r="AI66" i="50"/>
  <c r="AJ66" i="50"/>
  <c r="AK66" i="50"/>
  <c r="AL66" i="50"/>
  <c r="AM66" i="50"/>
  <c r="AN66" i="50"/>
  <c r="AO66" i="50"/>
  <c r="AP66" i="50"/>
  <c r="AQ66" i="50"/>
  <c r="AR66" i="50"/>
  <c r="AS66" i="50"/>
  <c r="AT66" i="50"/>
  <c r="AU66" i="50"/>
  <c r="AW66" i="50"/>
  <c r="AX66" i="50"/>
  <c r="AY66" i="50"/>
  <c r="BA66" i="50"/>
  <c r="BC66" i="50"/>
  <c r="A67" i="50"/>
  <c r="B67" i="50"/>
  <c r="D67" i="50"/>
  <c r="E67" i="50"/>
  <c r="F67" i="50"/>
  <c r="G67" i="50"/>
  <c r="H67" i="50"/>
  <c r="J67" i="50"/>
  <c r="K67" i="50"/>
  <c r="L67" i="50"/>
  <c r="M67" i="50"/>
  <c r="O67" i="50"/>
  <c r="P67" i="50"/>
  <c r="R67" i="50"/>
  <c r="S67" i="50"/>
  <c r="T67" i="50"/>
  <c r="U67" i="50"/>
  <c r="V67" i="50"/>
  <c r="W67" i="50"/>
  <c r="X67" i="50"/>
  <c r="Z67" i="50"/>
  <c r="AA67" i="50"/>
  <c r="AB67" i="50"/>
  <c r="AC67" i="50"/>
  <c r="AD67" i="50"/>
  <c r="AE67" i="50"/>
  <c r="AF67" i="50"/>
  <c r="AG67" i="50"/>
  <c r="AH67" i="50"/>
  <c r="AI67" i="50"/>
  <c r="AJ67" i="50"/>
  <c r="AK67" i="50"/>
  <c r="AL67" i="50"/>
  <c r="AM67" i="50"/>
  <c r="AN67" i="50"/>
  <c r="AO67" i="50"/>
  <c r="AP67" i="50"/>
  <c r="AQ67" i="50"/>
  <c r="AR67" i="50"/>
  <c r="AS67" i="50"/>
  <c r="AT67" i="50"/>
  <c r="AU67" i="50"/>
  <c r="AW67" i="50"/>
  <c r="AX67" i="50"/>
  <c r="AY67" i="50"/>
  <c r="BA67" i="50"/>
  <c r="BC67" i="50"/>
  <c r="A68" i="50"/>
  <c r="B68" i="50"/>
  <c r="D68" i="50"/>
  <c r="E68" i="50"/>
  <c r="F68" i="50"/>
  <c r="G68" i="50"/>
  <c r="H68" i="50"/>
  <c r="J68" i="50"/>
  <c r="K68" i="50"/>
  <c r="L68" i="50"/>
  <c r="M68" i="50"/>
  <c r="O68" i="50"/>
  <c r="P68" i="50"/>
  <c r="R68" i="50"/>
  <c r="S68" i="50"/>
  <c r="T68" i="50"/>
  <c r="U68" i="50"/>
  <c r="V68" i="50"/>
  <c r="W68" i="50"/>
  <c r="X68" i="50"/>
  <c r="Z68" i="50"/>
  <c r="AA68" i="50"/>
  <c r="AB68" i="50"/>
  <c r="AC68" i="50"/>
  <c r="AD68" i="50"/>
  <c r="AE68" i="50"/>
  <c r="AF68" i="50"/>
  <c r="AG68" i="50"/>
  <c r="AH68" i="50"/>
  <c r="AI68" i="50"/>
  <c r="AJ68" i="50"/>
  <c r="AK68" i="50"/>
  <c r="AL68" i="50"/>
  <c r="AM68" i="50"/>
  <c r="AN68" i="50"/>
  <c r="AO68" i="50"/>
  <c r="AP68" i="50"/>
  <c r="AQ68" i="50"/>
  <c r="AR68" i="50"/>
  <c r="AS68" i="50"/>
  <c r="AT68" i="50"/>
  <c r="AU68" i="50"/>
  <c r="AW68" i="50"/>
  <c r="AX68" i="50"/>
  <c r="AY68" i="50"/>
  <c r="BA68" i="50"/>
  <c r="BC68" i="50"/>
  <c r="A69" i="50"/>
  <c r="B69" i="50"/>
  <c r="D69" i="50"/>
  <c r="E69" i="50"/>
  <c r="F69" i="50"/>
  <c r="G69" i="50"/>
  <c r="H69" i="50"/>
  <c r="J69" i="50"/>
  <c r="K69" i="50"/>
  <c r="L69" i="50"/>
  <c r="M69" i="50"/>
  <c r="O69" i="50"/>
  <c r="P69" i="50"/>
  <c r="R69" i="50"/>
  <c r="S69" i="50"/>
  <c r="T69" i="50"/>
  <c r="U69" i="50"/>
  <c r="V69" i="50"/>
  <c r="W69" i="50"/>
  <c r="X69" i="50"/>
  <c r="Z69" i="50"/>
  <c r="AA69" i="50"/>
  <c r="AB69" i="50"/>
  <c r="AC69" i="50"/>
  <c r="AD69" i="50"/>
  <c r="AE69" i="50"/>
  <c r="AF69" i="50"/>
  <c r="AG69" i="50"/>
  <c r="AH69" i="50"/>
  <c r="AI69" i="50"/>
  <c r="AJ69" i="50"/>
  <c r="AK69" i="50"/>
  <c r="AL69" i="50"/>
  <c r="AM69" i="50"/>
  <c r="AN69" i="50"/>
  <c r="AO69" i="50"/>
  <c r="AP69" i="50"/>
  <c r="AQ69" i="50"/>
  <c r="AR69" i="50"/>
  <c r="AS69" i="50"/>
  <c r="AT69" i="50"/>
  <c r="AU69" i="50"/>
  <c r="AW69" i="50"/>
  <c r="AX69" i="50"/>
  <c r="AY69" i="50"/>
  <c r="BA69" i="50"/>
  <c r="BC69" i="50"/>
  <c r="A70" i="50"/>
  <c r="B70" i="50"/>
  <c r="D70" i="50"/>
  <c r="E70" i="50"/>
  <c r="F70" i="50"/>
  <c r="G70" i="50"/>
  <c r="H70" i="50"/>
  <c r="J70" i="50"/>
  <c r="K70" i="50"/>
  <c r="L70" i="50"/>
  <c r="M70" i="50"/>
  <c r="O70" i="50"/>
  <c r="P70" i="50"/>
  <c r="R70" i="50"/>
  <c r="S70" i="50"/>
  <c r="T70" i="50"/>
  <c r="U70" i="50"/>
  <c r="V70" i="50"/>
  <c r="W70" i="50"/>
  <c r="X70" i="50"/>
  <c r="Z70" i="50"/>
  <c r="AA70" i="50"/>
  <c r="AB70" i="50"/>
  <c r="AC70" i="50"/>
  <c r="AD70" i="50"/>
  <c r="AE70" i="50"/>
  <c r="AF70" i="50"/>
  <c r="AG70" i="50"/>
  <c r="AH70" i="50"/>
  <c r="AI70" i="50"/>
  <c r="AJ70" i="50"/>
  <c r="AK70" i="50"/>
  <c r="AL70" i="50"/>
  <c r="AM70" i="50"/>
  <c r="AN70" i="50"/>
  <c r="AO70" i="50"/>
  <c r="AP70" i="50"/>
  <c r="AQ70" i="50"/>
  <c r="AR70" i="50"/>
  <c r="AS70" i="50"/>
  <c r="AT70" i="50"/>
  <c r="AU70" i="50"/>
  <c r="AW70" i="50"/>
  <c r="AX70" i="50"/>
  <c r="AY70" i="50"/>
  <c r="BA70" i="50"/>
  <c r="BC70" i="50"/>
  <c r="A71" i="50"/>
  <c r="B71" i="50"/>
  <c r="D71" i="50"/>
  <c r="E71" i="50"/>
  <c r="F71" i="50"/>
  <c r="G71" i="50"/>
  <c r="H71" i="50"/>
  <c r="J71" i="50"/>
  <c r="K71" i="50"/>
  <c r="L71" i="50"/>
  <c r="M71" i="50"/>
  <c r="O71" i="50"/>
  <c r="P71" i="50"/>
  <c r="R71" i="50"/>
  <c r="S71" i="50"/>
  <c r="T71" i="50"/>
  <c r="U71" i="50"/>
  <c r="V71" i="50"/>
  <c r="W71" i="50"/>
  <c r="X71" i="50"/>
  <c r="Z71" i="50"/>
  <c r="AA71" i="50"/>
  <c r="AB71" i="50"/>
  <c r="AC71" i="50"/>
  <c r="AD71" i="50"/>
  <c r="AE71" i="50"/>
  <c r="AF71" i="50"/>
  <c r="AG71" i="50"/>
  <c r="AH71" i="50"/>
  <c r="AI71" i="50"/>
  <c r="AJ71" i="50"/>
  <c r="AK71" i="50"/>
  <c r="AL71" i="50"/>
  <c r="AM71" i="50"/>
  <c r="AN71" i="50"/>
  <c r="AO71" i="50"/>
  <c r="AP71" i="50"/>
  <c r="AQ71" i="50"/>
  <c r="AR71" i="50"/>
  <c r="AS71" i="50"/>
  <c r="AT71" i="50"/>
  <c r="AU71" i="50"/>
  <c r="AW71" i="50"/>
  <c r="AX71" i="50"/>
  <c r="AY71" i="50"/>
  <c r="BA71" i="50"/>
  <c r="BC71" i="50"/>
  <c r="A72" i="50"/>
  <c r="B72" i="50"/>
  <c r="D72" i="50"/>
  <c r="E72" i="50"/>
  <c r="F72" i="50"/>
  <c r="G72" i="50"/>
  <c r="H72" i="50"/>
  <c r="J72" i="50"/>
  <c r="K72" i="50"/>
  <c r="L72" i="50"/>
  <c r="M72" i="50"/>
  <c r="O72" i="50"/>
  <c r="P72" i="50"/>
  <c r="R72" i="50"/>
  <c r="S72" i="50"/>
  <c r="T72" i="50"/>
  <c r="U72" i="50"/>
  <c r="V72" i="50"/>
  <c r="W72" i="50"/>
  <c r="X72" i="50"/>
  <c r="Z72" i="50"/>
  <c r="AA72" i="50"/>
  <c r="AB72" i="50"/>
  <c r="AC72" i="50"/>
  <c r="AD72" i="50"/>
  <c r="AE72" i="50"/>
  <c r="AF72" i="50"/>
  <c r="AG72" i="50"/>
  <c r="AH72" i="50"/>
  <c r="AI72" i="50"/>
  <c r="AJ72" i="50"/>
  <c r="AK72" i="50"/>
  <c r="AL72" i="50"/>
  <c r="AM72" i="50"/>
  <c r="AN72" i="50"/>
  <c r="AO72" i="50"/>
  <c r="AP72" i="50"/>
  <c r="AQ72" i="50"/>
  <c r="AR72" i="50"/>
  <c r="AS72" i="50"/>
  <c r="AT72" i="50"/>
  <c r="AU72" i="50"/>
  <c r="AW72" i="50"/>
  <c r="AX72" i="50"/>
  <c r="AY72" i="50"/>
  <c r="BA72" i="50"/>
  <c r="BC72" i="50"/>
  <c r="A73" i="50"/>
  <c r="B73" i="50"/>
  <c r="D73" i="50"/>
  <c r="E73" i="50"/>
  <c r="F73" i="50"/>
  <c r="G73" i="50"/>
  <c r="H73" i="50"/>
  <c r="J73" i="50"/>
  <c r="K73" i="50"/>
  <c r="L73" i="50"/>
  <c r="M73" i="50"/>
  <c r="O73" i="50"/>
  <c r="P73" i="50"/>
  <c r="R73" i="50"/>
  <c r="S73" i="50"/>
  <c r="T73" i="50"/>
  <c r="U73" i="50"/>
  <c r="V73" i="50"/>
  <c r="W73" i="50"/>
  <c r="X73" i="50"/>
  <c r="Z73" i="50"/>
  <c r="AA73" i="50"/>
  <c r="AB73" i="50"/>
  <c r="AC73" i="50"/>
  <c r="AD73" i="50"/>
  <c r="AE73" i="50"/>
  <c r="AF73" i="50"/>
  <c r="AG73" i="50"/>
  <c r="AH73" i="50"/>
  <c r="AI73" i="50"/>
  <c r="AJ73" i="50"/>
  <c r="AK73" i="50"/>
  <c r="AL73" i="50"/>
  <c r="AM73" i="50"/>
  <c r="AN73" i="50"/>
  <c r="AO73" i="50"/>
  <c r="AP73" i="50"/>
  <c r="AQ73" i="50"/>
  <c r="AR73" i="50"/>
  <c r="AS73" i="50"/>
  <c r="AT73" i="50"/>
  <c r="AU73" i="50"/>
  <c r="AW73" i="50"/>
  <c r="AX73" i="50"/>
  <c r="AY73" i="50"/>
  <c r="BA73" i="50"/>
  <c r="BC73" i="50"/>
  <c r="A74" i="50"/>
  <c r="B74" i="50"/>
  <c r="D74" i="50"/>
  <c r="E74" i="50"/>
  <c r="F74" i="50"/>
  <c r="G74" i="50"/>
  <c r="H74" i="50"/>
  <c r="J74" i="50"/>
  <c r="K74" i="50"/>
  <c r="L74" i="50"/>
  <c r="M74" i="50"/>
  <c r="O74" i="50"/>
  <c r="P74" i="50"/>
  <c r="R74" i="50"/>
  <c r="S74" i="50"/>
  <c r="T74" i="50"/>
  <c r="U74" i="50"/>
  <c r="V74" i="50"/>
  <c r="W74" i="50"/>
  <c r="X74" i="50"/>
  <c r="Z74" i="50"/>
  <c r="AA74" i="50"/>
  <c r="AB74" i="50"/>
  <c r="AC74" i="50"/>
  <c r="AD74" i="50"/>
  <c r="AE74" i="50"/>
  <c r="AF74" i="50"/>
  <c r="AG74" i="50"/>
  <c r="AH74" i="50"/>
  <c r="AI74" i="50"/>
  <c r="AJ74" i="50"/>
  <c r="AK74" i="50"/>
  <c r="AL74" i="50"/>
  <c r="AM74" i="50"/>
  <c r="AN74" i="50"/>
  <c r="AO74" i="50"/>
  <c r="AP74" i="50"/>
  <c r="AQ74" i="50"/>
  <c r="AR74" i="50"/>
  <c r="AS74" i="50"/>
  <c r="AT74" i="50"/>
  <c r="AU74" i="50"/>
  <c r="AW74" i="50"/>
  <c r="AX74" i="50"/>
  <c r="AY74" i="50"/>
  <c r="BA74" i="50"/>
  <c r="BC74" i="50"/>
  <c r="A75" i="50"/>
  <c r="B75" i="50"/>
  <c r="D75" i="50"/>
  <c r="E75" i="50"/>
  <c r="F75" i="50"/>
  <c r="G75" i="50"/>
  <c r="H75" i="50"/>
  <c r="J75" i="50"/>
  <c r="K75" i="50"/>
  <c r="L75" i="50"/>
  <c r="M75" i="50"/>
  <c r="O75" i="50"/>
  <c r="P75" i="50"/>
  <c r="R75" i="50"/>
  <c r="S75" i="50"/>
  <c r="T75" i="50"/>
  <c r="U75" i="50"/>
  <c r="V75" i="50"/>
  <c r="W75" i="50"/>
  <c r="X75" i="50"/>
  <c r="Z75" i="50"/>
  <c r="AA75" i="50"/>
  <c r="AB75" i="50"/>
  <c r="AC75" i="50"/>
  <c r="AD75" i="50"/>
  <c r="AE75" i="50"/>
  <c r="AF75" i="50"/>
  <c r="AG75" i="50"/>
  <c r="AH75" i="50"/>
  <c r="AI75" i="50"/>
  <c r="AJ75" i="50"/>
  <c r="AK75" i="50"/>
  <c r="AL75" i="50"/>
  <c r="AM75" i="50"/>
  <c r="AN75" i="50"/>
  <c r="AO75" i="50"/>
  <c r="AP75" i="50"/>
  <c r="AQ75" i="50"/>
  <c r="AR75" i="50"/>
  <c r="AS75" i="50"/>
  <c r="AT75" i="50"/>
  <c r="AU75" i="50"/>
  <c r="AW75" i="50"/>
  <c r="AX75" i="50"/>
  <c r="AY75" i="50"/>
  <c r="BA75" i="50"/>
  <c r="BC75" i="50"/>
  <c r="A76" i="50"/>
  <c r="B76" i="50"/>
  <c r="D76" i="50"/>
  <c r="E76" i="50"/>
  <c r="F76" i="50"/>
  <c r="G76" i="50"/>
  <c r="H76" i="50"/>
  <c r="J76" i="50"/>
  <c r="K76" i="50"/>
  <c r="L76" i="50"/>
  <c r="M76" i="50"/>
  <c r="O76" i="50"/>
  <c r="P76" i="50"/>
  <c r="R76" i="50"/>
  <c r="S76" i="50"/>
  <c r="T76" i="50"/>
  <c r="U76" i="50"/>
  <c r="V76" i="50"/>
  <c r="W76" i="50"/>
  <c r="X76" i="50"/>
  <c r="Z76" i="50"/>
  <c r="AA76" i="50"/>
  <c r="AB76" i="50"/>
  <c r="AC76" i="50"/>
  <c r="AD76" i="50"/>
  <c r="AE76" i="50"/>
  <c r="AF76" i="50"/>
  <c r="AG76" i="50"/>
  <c r="AH76" i="50"/>
  <c r="AI76" i="50"/>
  <c r="AJ76" i="50"/>
  <c r="AK76" i="50"/>
  <c r="AL76" i="50"/>
  <c r="AM76" i="50"/>
  <c r="AN76" i="50"/>
  <c r="AO76" i="50"/>
  <c r="AP76" i="50"/>
  <c r="AQ76" i="50"/>
  <c r="AR76" i="50"/>
  <c r="AS76" i="50"/>
  <c r="AT76" i="50"/>
  <c r="AU76" i="50"/>
  <c r="AW76" i="50"/>
  <c r="AX76" i="50"/>
  <c r="AY76" i="50"/>
  <c r="BA76" i="50"/>
  <c r="BC76" i="50"/>
  <c r="A77" i="50"/>
  <c r="B77" i="50"/>
  <c r="D77" i="50"/>
  <c r="E77" i="50"/>
  <c r="F77" i="50"/>
  <c r="G77" i="50"/>
  <c r="H77" i="50"/>
  <c r="J77" i="50"/>
  <c r="K77" i="50"/>
  <c r="L77" i="50"/>
  <c r="M77" i="50"/>
  <c r="O77" i="50"/>
  <c r="P77" i="50"/>
  <c r="R77" i="50"/>
  <c r="S77" i="50"/>
  <c r="T77" i="50"/>
  <c r="U77" i="50"/>
  <c r="V77" i="50"/>
  <c r="W77" i="50"/>
  <c r="X77" i="50"/>
  <c r="Z77" i="50"/>
  <c r="AA77" i="50"/>
  <c r="AB77" i="50"/>
  <c r="AC77" i="50"/>
  <c r="AD77" i="50"/>
  <c r="AE77" i="50"/>
  <c r="AF77" i="50"/>
  <c r="AG77" i="50"/>
  <c r="AH77" i="50"/>
  <c r="AI77" i="50"/>
  <c r="AJ77" i="50"/>
  <c r="AK77" i="50"/>
  <c r="AL77" i="50"/>
  <c r="AM77" i="50"/>
  <c r="AN77" i="50"/>
  <c r="AO77" i="50"/>
  <c r="AP77" i="50"/>
  <c r="AQ77" i="50"/>
  <c r="AR77" i="50"/>
  <c r="AS77" i="50"/>
  <c r="AT77" i="50"/>
  <c r="AU77" i="50"/>
  <c r="AW77" i="50"/>
  <c r="AX77" i="50"/>
  <c r="AY77" i="50"/>
  <c r="BA77" i="50"/>
  <c r="BC77" i="50"/>
  <c r="A78" i="50"/>
  <c r="B78" i="50"/>
  <c r="D78" i="50"/>
  <c r="E78" i="50"/>
  <c r="F78" i="50"/>
  <c r="G78" i="50"/>
  <c r="H78" i="50"/>
  <c r="J78" i="50"/>
  <c r="K78" i="50"/>
  <c r="L78" i="50"/>
  <c r="M78" i="50"/>
  <c r="O78" i="50"/>
  <c r="P78" i="50"/>
  <c r="R78" i="50"/>
  <c r="S78" i="50"/>
  <c r="T78" i="50"/>
  <c r="U78" i="50"/>
  <c r="V78" i="50"/>
  <c r="W78" i="50"/>
  <c r="X78" i="50"/>
  <c r="Z78" i="50"/>
  <c r="AA78" i="50"/>
  <c r="AB78" i="50"/>
  <c r="AC78" i="50"/>
  <c r="AD78" i="50"/>
  <c r="AE78" i="50"/>
  <c r="AF78" i="50"/>
  <c r="AG78" i="50"/>
  <c r="AH78" i="50"/>
  <c r="AI78" i="50"/>
  <c r="AJ78" i="50"/>
  <c r="AK78" i="50"/>
  <c r="AL78" i="50"/>
  <c r="AM78" i="50"/>
  <c r="AN78" i="50"/>
  <c r="AO78" i="50"/>
  <c r="AP78" i="50"/>
  <c r="AQ78" i="50"/>
  <c r="AR78" i="50"/>
  <c r="AS78" i="50"/>
  <c r="AT78" i="50"/>
  <c r="AU78" i="50"/>
  <c r="AW78" i="50"/>
  <c r="AX78" i="50"/>
  <c r="AY78" i="50"/>
  <c r="BA78" i="50"/>
  <c r="BC78" i="50"/>
  <c r="A79" i="50"/>
  <c r="B79" i="50"/>
  <c r="D79" i="50"/>
  <c r="E79" i="50"/>
  <c r="F79" i="50"/>
  <c r="G79" i="50"/>
  <c r="H79" i="50"/>
  <c r="J79" i="50"/>
  <c r="K79" i="50"/>
  <c r="L79" i="50"/>
  <c r="M79" i="50"/>
  <c r="O79" i="50"/>
  <c r="P79" i="50"/>
  <c r="R79" i="50"/>
  <c r="S79" i="50"/>
  <c r="T79" i="50"/>
  <c r="U79" i="50"/>
  <c r="V79" i="50"/>
  <c r="W79" i="50"/>
  <c r="X79" i="50"/>
  <c r="Z79" i="50"/>
  <c r="AA79" i="50"/>
  <c r="AB79" i="50"/>
  <c r="AC79" i="50"/>
  <c r="AD79" i="50"/>
  <c r="AE79" i="50"/>
  <c r="AF79" i="50"/>
  <c r="AG79" i="50"/>
  <c r="AH79" i="50"/>
  <c r="AI79" i="50"/>
  <c r="AJ79" i="50"/>
  <c r="AK79" i="50"/>
  <c r="AL79" i="50"/>
  <c r="AM79" i="50"/>
  <c r="AN79" i="50"/>
  <c r="AO79" i="50"/>
  <c r="AP79" i="50"/>
  <c r="AQ79" i="50"/>
  <c r="AR79" i="50"/>
  <c r="AS79" i="50"/>
  <c r="AT79" i="50"/>
  <c r="AU79" i="50"/>
  <c r="AW79" i="50"/>
  <c r="AX79" i="50"/>
  <c r="AY79" i="50"/>
  <c r="BA79" i="50"/>
  <c r="BC79" i="50"/>
  <c r="A80" i="50"/>
  <c r="B80" i="50"/>
  <c r="D80" i="50"/>
  <c r="E80" i="50"/>
  <c r="F80" i="50"/>
  <c r="G80" i="50"/>
  <c r="H80" i="50"/>
  <c r="J80" i="50"/>
  <c r="K80" i="50"/>
  <c r="L80" i="50"/>
  <c r="M80" i="50"/>
  <c r="O80" i="50"/>
  <c r="P80" i="50"/>
  <c r="R80" i="50"/>
  <c r="S80" i="50"/>
  <c r="T80" i="50"/>
  <c r="U80" i="50"/>
  <c r="V80" i="50"/>
  <c r="W80" i="50"/>
  <c r="X80" i="50"/>
  <c r="Z80" i="50"/>
  <c r="AA80" i="50"/>
  <c r="AB80" i="50"/>
  <c r="AC80" i="50"/>
  <c r="AD80" i="50"/>
  <c r="AE80" i="50"/>
  <c r="AF80" i="50"/>
  <c r="AG80" i="50"/>
  <c r="AH80" i="50"/>
  <c r="AI80" i="50"/>
  <c r="AJ80" i="50"/>
  <c r="AK80" i="50"/>
  <c r="AL80" i="50"/>
  <c r="AM80" i="50"/>
  <c r="AN80" i="50"/>
  <c r="AO80" i="50"/>
  <c r="AP80" i="50"/>
  <c r="AQ80" i="50"/>
  <c r="AR80" i="50"/>
  <c r="AS80" i="50"/>
  <c r="AT80" i="50"/>
  <c r="AU80" i="50"/>
  <c r="AW80" i="50"/>
  <c r="AX80" i="50"/>
  <c r="AY80" i="50"/>
  <c r="BA80" i="50"/>
  <c r="BC80" i="50"/>
  <c r="A81" i="50"/>
  <c r="B81" i="50"/>
  <c r="D81" i="50"/>
  <c r="E81" i="50"/>
  <c r="F81" i="50"/>
  <c r="G81" i="50"/>
  <c r="H81" i="50"/>
  <c r="J81" i="50"/>
  <c r="K81" i="50"/>
  <c r="L81" i="50"/>
  <c r="M81" i="50"/>
  <c r="O81" i="50"/>
  <c r="P81" i="50"/>
  <c r="R81" i="50"/>
  <c r="S81" i="50"/>
  <c r="T81" i="50"/>
  <c r="U81" i="50"/>
  <c r="V81" i="50"/>
  <c r="W81" i="50"/>
  <c r="X81" i="50"/>
  <c r="Z81" i="50"/>
  <c r="AA81" i="50"/>
  <c r="AB81" i="50"/>
  <c r="AC81" i="50"/>
  <c r="AD81" i="50"/>
  <c r="AE81" i="50"/>
  <c r="AF81" i="50"/>
  <c r="AG81" i="50"/>
  <c r="AH81" i="50"/>
  <c r="AI81" i="50"/>
  <c r="AJ81" i="50"/>
  <c r="AK81" i="50"/>
  <c r="AL81" i="50"/>
  <c r="AM81" i="50"/>
  <c r="AN81" i="50"/>
  <c r="AO81" i="50"/>
  <c r="AP81" i="50"/>
  <c r="AQ81" i="50"/>
  <c r="AR81" i="50"/>
  <c r="AS81" i="50"/>
  <c r="AT81" i="50"/>
  <c r="AU81" i="50"/>
  <c r="AW81" i="50"/>
  <c r="AX81" i="50"/>
  <c r="AY81" i="50"/>
  <c r="BA81" i="50"/>
  <c r="BC81" i="50"/>
  <c r="A82" i="50"/>
  <c r="B82" i="50"/>
  <c r="D82" i="50"/>
  <c r="E82" i="50"/>
  <c r="F82" i="50"/>
  <c r="G82" i="50"/>
  <c r="H82" i="50"/>
  <c r="J82" i="50"/>
  <c r="K82" i="50"/>
  <c r="L82" i="50"/>
  <c r="M82" i="50"/>
  <c r="O82" i="50"/>
  <c r="P82" i="50"/>
  <c r="R82" i="50"/>
  <c r="S82" i="50"/>
  <c r="T82" i="50"/>
  <c r="U82" i="50"/>
  <c r="V82" i="50"/>
  <c r="W82" i="50"/>
  <c r="X82" i="50"/>
  <c r="Z82" i="50"/>
  <c r="AA82" i="50"/>
  <c r="AB82" i="50"/>
  <c r="AC82" i="50"/>
  <c r="AD82" i="50"/>
  <c r="AE82" i="50"/>
  <c r="AF82" i="50"/>
  <c r="AG82" i="50"/>
  <c r="AH82" i="50"/>
  <c r="AI82" i="50"/>
  <c r="AJ82" i="50"/>
  <c r="AK82" i="50"/>
  <c r="AL82" i="50"/>
  <c r="AM82" i="50"/>
  <c r="AN82" i="50"/>
  <c r="AO82" i="50"/>
  <c r="AP82" i="50"/>
  <c r="AQ82" i="50"/>
  <c r="AR82" i="50"/>
  <c r="AS82" i="50"/>
  <c r="AT82" i="50"/>
  <c r="AU82" i="50"/>
  <c r="AW82" i="50"/>
  <c r="AX82" i="50"/>
  <c r="AY82" i="50"/>
  <c r="BA82" i="50"/>
  <c r="BC82" i="50"/>
  <c r="A83" i="50"/>
  <c r="B83" i="50"/>
  <c r="D83" i="50"/>
  <c r="E83" i="50"/>
  <c r="F83" i="50"/>
  <c r="G83" i="50"/>
  <c r="H83" i="50"/>
  <c r="J83" i="50"/>
  <c r="K83" i="50"/>
  <c r="L83" i="50"/>
  <c r="M83" i="50"/>
  <c r="O83" i="50"/>
  <c r="P83" i="50"/>
  <c r="R83" i="50"/>
  <c r="S83" i="50"/>
  <c r="T83" i="50"/>
  <c r="U83" i="50"/>
  <c r="V83" i="50"/>
  <c r="W83" i="50"/>
  <c r="X83" i="50"/>
  <c r="Z83" i="50"/>
  <c r="AA83" i="50"/>
  <c r="AB83" i="50"/>
  <c r="AC83" i="50"/>
  <c r="AD83" i="50"/>
  <c r="AE83" i="50"/>
  <c r="AF83" i="50"/>
  <c r="AG83" i="50"/>
  <c r="AH83" i="50"/>
  <c r="AI83" i="50"/>
  <c r="AJ83" i="50"/>
  <c r="AK83" i="50"/>
  <c r="AL83" i="50"/>
  <c r="AM83" i="50"/>
  <c r="AN83" i="50"/>
  <c r="AO83" i="50"/>
  <c r="AP83" i="50"/>
  <c r="AQ83" i="50"/>
  <c r="AR83" i="50"/>
  <c r="AS83" i="50"/>
  <c r="AT83" i="50"/>
  <c r="AU83" i="50"/>
  <c r="AW83" i="50"/>
  <c r="AX83" i="50"/>
  <c r="AY83" i="50"/>
  <c r="BA83" i="50"/>
  <c r="BC83" i="50"/>
  <c r="A84" i="50"/>
  <c r="B84" i="50"/>
  <c r="D84" i="50"/>
  <c r="E84" i="50"/>
  <c r="F84" i="50"/>
  <c r="G84" i="50"/>
  <c r="H84" i="50"/>
  <c r="J84" i="50"/>
  <c r="K84" i="50"/>
  <c r="L84" i="50"/>
  <c r="M84" i="50"/>
  <c r="O84" i="50"/>
  <c r="P84" i="50"/>
  <c r="R84" i="50"/>
  <c r="S84" i="50"/>
  <c r="T84" i="50"/>
  <c r="U84" i="50"/>
  <c r="V84" i="50"/>
  <c r="W84" i="50"/>
  <c r="X84" i="50"/>
  <c r="Z84" i="50"/>
  <c r="AA84" i="50"/>
  <c r="AB84" i="50"/>
  <c r="AC84" i="50"/>
  <c r="AD84" i="50"/>
  <c r="AE84" i="50"/>
  <c r="AF84" i="50"/>
  <c r="AG84" i="50"/>
  <c r="AH84" i="50"/>
  <c r="AI84" i="50"/>
  <c r="AJ84" i="50"/>
  <c r="AK84" i="50"/>
  <c r="AL84" i="50"/>
  <c r="AM84" i="50"/>
  <c r="AN84" i="50"/>
  <c r="AO84" i="50"/>
  <c r="AP84" i="50"/>
  <c r="AQ84" i="50"/>
  <c r="AR84" i="50"/>
  <c r="AS84" i="50"/>
  <c r="AT84" i="50"/>
  <c r="AU84" i="50"/>
  <c r="AW84" i="50"/>
  <c r="AX84" i="50"/>
  <c r="AY84" i="50"/>
  <c r="BA84" i="50"/>
  <c r="BC84" i="50"/>
  <c r="A85" i="50"/>
  <c r="B85" i="50"/>
  <c r="D85" i="50"/>
  <c r="E85" i="50"/>
  <c r="F85" i="50"/>
  <c r="G85" i="50"/>
  <c r="H85" i="50"/>
  <c r="J85" i="50"/>
  <c r="K85" i="50"/>
  <c r="L85" i="50"/>
  <c r="M85" i="50"/>
  <c r="O85" i="50"/>
  <c r="P85" i="50"/>
  <c r="R85" i="50"/>
  <c r="S85" i="50"/>
  <c r="T85" i="50"/>
  <c r="U85" i="50"/>
  <c r="V85" i="50"/>
  <c r="W85" i="50"/>
  <c r="X85" i="50"/>
  <c r="Z85" i="50"/>
  <c r="AA85" i="50"/>
  <c r="AB85" i="50"/>
  <c r="AC85" i="50"/>
  <c r="AD85" i="50"/>
  <c r="AE85" i="50"/>
  <c r="AF85" i="50"/>
  <c r="AG85" i="50"/>
  <c r="AH85" i="50"/>
  <c r="AI85" i="50"/>
  <c r="AJ85" i="50"/>
  <c r="AK85" i="50"/>
  <c r="AL85" i="50"/>
  <c r="AM85" i="50"/>
  <c r="AN85" i="50"/>
  <c r="AO85" i="50"/>
  <c r="AP85" i="50"/>
  <c r="AQ85" i="50"/>
  <c r="AR85" i="50"/>
  <c r="AS85" i="50"/>
  <c r="AT85" i="50"/>
  <c r="AU85" i="50"/>
  <c r="AW85" i="50"/>
  <c r="AX85" i="50"/>
  <c r="AY85" i="50"/>
  <c r="BA85" i="50"/>
  <c r="BC85" i="50"/>
  <c r="A86" i="50"/>
  <c r="B86" i="50"/>
  <c r="D86" i="50"/>
  <c r="E86" i="50"/>
  <c r="F86" i="50"/>
  <c r="G86" i="50"/>
  <c r="H86" i="50"/>
  <c r="J86" i="50"/>
  <c r="K86" i="50"/>
  <c r="L86" i="50"/>
  <c r="M86" i="50"/>
  <c r="O86" i="50"/>
  <c r="P86" i="50"/>
  <c r="R86" i="50"/>
  <c r="S86" i="50"/>
  <c r="T86" i="50"/>
  <c r="U86" i="50"/>
  <c r="V86" i="50"/>
  <c r="W86" i="50"/>
  <c r="X86" i="50"/>
  <c r="Z86" i="50"/>
  <c r="AA86" i="50"/>
  <c r="AB86" i="50"/>
  <c r="AC86" i="50"/>
  <c r="AD86" i="50"/>
  <c r="AE86" i="50"/>
  <c r="AF86" i="50"/>
  <c r="AG86" i="50"/>
  <c r="AH86" i="50"/>
  <c r="AI86" i="50"/>
  <c r="AJ86" i="50"/>
  <c r="AK86" i="50"/>
  <c r="AL86" i="50"/>
  <c r="AM86" i="50"/>
  <c r="AN86" i="50"/>
  <c r="AO86" i="50"/>
  <c r="AP86" i="50"/>
  <c r="AQ86" i="50"/>
  <c r="AR86" i="50"/>
  <c r="AS86" i="50"/>
  <c r="AT86" i="50"/>
  <c r="AU86" i="50"/>
  <c r="AW86" i="50"/>
  <c r="AX86" i="50"/>
  <c r="AY86" i="50"/>
  <c r="BA86" i="50"/>
  <c r="BC86" i="50"/>
  <c r="A87" i="50"/>
  <c r="B87" i="50"/>
  <c r="D87" i="50"/>
  <c r="E87" i="50"/>
  <c r="F87" i="50"/>
  <c r="G87" i="50"/>
  <c r="H87" i="50"/>
  <c r="J87" i="50"/>
  <c r="K87" i="50"/>
  <c r="L87" i="50"/>
  <c r="M87" i="50"/>
  <c r="O87" i="50"/>
  <c r="P87" i="50"/>
  <c r="R87" i="50"/>
  <c r="S87" i="50"/>
  <c r="T87" i="50"/>
  <c r="U87" i="50"/>
  <c r="V87" i="50"/>
  <c r="W87" i="50"/>
  <c r="X87" i="50"/>
  <c r="Z87" i="50"/>
  <c r="AA87" i="50"/>
  <c r="AB87" i="50"/>
  <c r="AC87" i="50"/>
  <c r="AD87" i="50"/>
  <c r="AE87" i="50"/>
  <c r="AF87" i="50"/>
  <c r="AG87" i="50"/>
  <c r="AH87" i="50"/>
  <c r="AI87" i="50"/>
  <c r="AJ87" i="50"/>
  <c r="AK87" i="50"/>
  <c r="AL87" i="50"/>
  <c r="AM87" i="50"/>
  <c r="AN87" i="50"/>
  <c r="AO87" i="50"/>
  <c r="AP87" i="50"/>
  <c r="AQ87" i="50"/>
  <c r="AR87" i="50"/>
  <c r="AS87" i="50"/>
  <c r="AT87" i="50"/>
  <c r="AU87" i="50"/>
  <c r="AW87" i="50"/>
  <c r="AX87" i="50"/>
  <c r="AY87" i="50"/>
  <c r="BA87" i="50"/>
  <c r="BC87" i="50"/>
  <c r="A88" i="50"/>
  <c r="B88" i="50"/>
  <c r="D88" i="50"/>
  <c r="E88" i="50"/>
  <c r="F88" i="50"/>
  <c r="G88" i="50"/>
  <c r="H88" i="50"/>
  <c r="J88" i="50"/>
  <c r="K88" i="50"/>
  <c r="L88" i="50"/>
  <c r="M88" i="50"/>
  <c r="O88" i="50"/>
  <c r="P88" i="50"/>
  <c r="R88" i="50"/>
  <c r="S88" i="50"/>
  <c r="T88" i="50"/>
  <c r="U88" i="50"/>
  <c r="V88" i="50"/>
  <c r="W88" i="50"/>
  <c r="X88" i="50"/>
  <c r="Z88" i="50"/>
  <c r="AA88" i="50"/>
  <c r="AB88" i="50"/>
  <c r="AC88" i="50"/>
  <c r="AD88" i="50"/>
  <c r="AE88" i="50"/>
  <c r="AF88" i="50"/>
  <c r="AG88" i="50"/>
  <c r="AH88" i="50"/>
  <c r="AI88" i="50"/>
  <c r="AJ88" i="50"/>
  <c r="AK88" i="50"/>
  <c r="AL88" i="50"/>
  <c r="AM88" i="50"/>
  <c r="AN88" i="50"/>
  <c r="AO88" i="50"/>
  <c r="AP88" i="50"/>
  <c r="AQ88" i="50"/>
  <c r="AR88" i="50"/>
  <c r="AS88" i="50"/>
  <c r="AT88" i="50"/>
  <c r="AU88" i="50"/>
  <c r="AW88" i="50"/>
  <c r="AX88" i="50"/>
  <c r="AY88" i="50"/>
  <c r="BA88" i="50"/>
  <c r="BC88" i="50"/>
  <c r="A89" i="50"/>
  <c r="B89" i="50"/>
  <c r="D89" i="50"/>
  <c r="E89" i="50"/>
  <c r="F89" i="50"/>
  <c r="G89" i="50"/>
  <c r="H89" i="50"/>
  <c r="J89" i="50"/>
  <c r="K89" i="50"/>
  <c r="L89" i="50"/>
  <c r="M89" i="50"/>
  <c r="O89" i="50"/>
  <c r="P89" i="50"/>
  <c r="R89" i="50"/>
  <c r="S89" i="50"/>
  <c r="T89" i="50"/>
  <c r="U89" i="50"/>
  <c r="V89" i="50"/>
  <c r="W89" i="50"/>
  <c r="X89" i="50"/>
  <c r="Z89" i="50"/>
  <c r="AA89" i="50"/>
  <c r="AB89" i="50"/>
  <c r="AC89" i="50"/>
  <c r="AD89" i="50"/>
  <c r="AE89" i="50"/>
  <c r="AF89" i="50"/>
  <c r="AG89" i="50"/>
  <c r="AH89" i="50"/>
  <c r="AI89" i="50"/>
  <c r="AJ89" i="50"/>
  <c r="AK89" i="50"/>
  <c r="AL89" i="50"/>
  <c r="AM89" i="50"/>
  <c r="AN89" i="50"/>
  <c r="AO89" i="50"/>
  <c r="AP89" i="50"/>
  <c r="AQ89" i="50"/>
  <c r="AR89" i="50"/>
  <c r="AS89" i="50"/>
  <c r="AT89" i="50"/>
  <c r="AU89" i="50"/>
  <c r="AW89" i="50"/>
  <c r="AX89" i="50"/>
  <c r="AY89" i="50"/>
  <c r="BA89" i="50"/>
  <c r="BC89" i="50"/>
  <c r="A90" i="50"/>
  <c r="B90" i="50"/>
  <c r="D90" i="50"/>
  <c r="E90" i="50"/>
  <c r="F90" i="50"/>
  <c r="G90" i="50"/>
  <c r="H90" i="50"/>
  <c r="J90" i="50"/>
  <c r="K90" i="50"/>
  <c r="L90" i="50"/>
  <c r="M90" i="50"/>
  <c r="O90" i="50"/>
  <c r="P90" i="50"/>
  <c r="R90" i="50"/>
  <c r="S90" i="50"/>
  <c r="T90" i="50"/>
  <c r="U90" i="50"/>
  <c r="V90" i="50"/>
  <c r="W90" i="50"/>
  <c r="X90" i="50"/>
  <c r="Z90" i="50"/>
  <c r="AA90" i="50"/>
  <c r="AB90" i="50"/>
  <c r="AC90" i="50"/>
  <c r="AD90" i="50"/>
  <c r="AE90" i="50"/>
  <c r="AF90" i="50"/>
  <c r="AG90" i="50"/>
  <c r="AH90" i="50"/>
  <c r="AI90" i="50"/>
  <c r="AJ90" i="50"/>
  <c r="AK90" i="50"/>
  <c r="AL90" i="50"/>
  <c r="AM90" i="50"/>
  <c r="AN90" i="50"/>
  <c r="AO90" i="50"/>
  <c r="AP90" i="50"/>
  <c r="AQ90" i="50"/>
  <c r="AR90" i="50"/>
  <c r="AS90" i="50"/>
  <c r="AT90" i="50"/>
  <c r="AU90" i="50"/>
  <c r="AW90" i="50"/>
  <c r="AX90" i="50"/>
  <c r="AY90" i="50"/>
  <c r="BA90" i="50"/>
  <c r="BC90" i="50"/>
  <c r="A91" i="50"/>
  <c r="B91" i="50"/>
  <c r="D91" i="50"/>
  <c r="E91" i="50"/>
  <c r="F91" i="50"/>
  <c r="G91" i="50"/>
  <c r="H91" i="50"/>
  <c r="J91" i="50"/>
  <c r="K91" i="50"/>
  <c r="L91" i="50"/>
  <c r="M91" i="50"/>
  <c r="O91" i="50"/>
  <c r="P91" i="50"/>
  <c r="R91" i="50"/>
  <c r="S91" i="50"/>
  <c r="T91" i="50"/>
  <c r="U91" i="50"/>
  <c r="V91" i="50"/>
  <c r="W91" i="50"/>
  <c r="X91" i="50"/>
  <c r="Z91" i="50"/>
  <c r="AA91" i="50"/>
  <c r="AB91" i="50"/>
  <c r="AC91" i="50"/>
  <c r="AD91" i="50"/>
  <c r="AE91" i="50"/>
  <c r="AF91" i="50"/>
  <c r="AG91" i="50"/>
  <c r="AH91" i="50"/>
  <c r="AI91" i="50"/>
  <c r="AJ91" i="50"/>
  <c r="AK91" i="50"/>
  <c r="AL91" i="50"/>
  <c r="AM91" i="50"/>
  <c r="AN91" i="50"/>
  <c r="AO91" i="50"/>
  <c r="AP91" i="50"/>
  <c r="AQ91" i="50"/>
  <c r="AR91" i="50"/>
  <c r="AS91" i="50"/>
  <c r="AT91" i="50"/>
  <c r="AU91" i="50"/>
  <c r="AW91" i="50"/>
  <c r="AX91" i="50"/>
  <c r="AY91" i="50"/>
  <c r="BA91" i="50"/>
  <c r="BC91" i="50"/>
  <c r="A92" i="50"/>
  <c r="B92" i="50"/>
  <c r="D92" i="50"/>
  <c r="E92" i="50"/>
  <c r="F92" i="50"/>
  <c r="G92" i="50"/>
  <c r="H92" i="50"/>
  <c r="J92" i="50"/>
  <c r="K92" i="50"/>
  <c r="L92" i="50"/>
  <c r="M92" i="50"/>
  <c r="O92" i="50"/>
  <c r="P92" i="50"/>
  <c r="R92" i="50"/>
  <c r="S92" i="50"/>
  <c r="T92" i="50"/>
  <c r="U92" i="50"/>
  <c r="V92" i="50"/>
  <c r="W92" i="50"/>
  <c r="X92" i="50"/>
  <c r="Z92" i="50"/>
  <c r="AA92" i="50"/>
  <c r="AB92" i="50"/>
  <c r="AC92" i="50"/>
  <c r="AD92" i="50"/>
  <c r="AE92" i="50"/>
  <c r="AF92" i="50"/>
  <c r="AG92" i="50"/>
  <c r="AH92" i="50"/>
  <c r="AI92" i="50"/>
  <c r="AJ92" i="50"/>
  <c r="AK92" i="50"/>
  <c r="AL92" i="50"/>
  <c r="AM92" i="50"/>
  <c r="AN92" i="50"/>
  <c r="AO92" i="50"/>
  <c r="AP92" i="50"/>
  <c r="AQ92" i="50"/>
  <c r="AR92" i="50"/>
  <c r="AS92" i="50"/>
  <c r="AT92" i="50"/>
  <c r="AU92" i="50"/>
  <c r="AW92" i="50"/>
  <c r="AX92" i="50"/>
  <c r="AY92" i="50"/>
  <c r="BA92" i="50"/>
  <c r="BC92" i="50"/>
  <c r="A93" i="50"/>
  <c r="B93" i="50"/>
  <c r="D93" i="50"/>
  <c r="E93" i="50"/>
  <c r="F93" i="50"/>
  <c r="G93" i="50"/>
  <c r="H93" i="50"/>
  <c r="J93" i="50"/>
  <c r="K93" i="50"/>
  <c r="L93" i="50"/>
  <c r="M93" i="50"/>
  <c r="O93" i="50"/>
  <c r="P93" i="50"/>
  <c r="R93" i="50"/>
  <c r="S93" i="50"/>
  <c r="T93" i="50"/>
  <c r="U93" i="50"/>
  <c r="V93" i="50"/>
  <c r="W93" i="50"/>
  <c r="X93" i="50"/>
  <c r="Z93" i="50"/>
  <c r="AA93" i="50"/>
  <c r="AB93" i="50"/>
  <c r="AC93" i="50"/>
  <c r="AD93" i="50"/>
  <c r="AE93" i="50"/>
  <c r="AF93" i="50"/>
  <c r="AG93" i="50"/>
  <c r="AH93" i="50"/>
  <c r="AI93" i="50"/>
  <c r="AJ93" i="50"/>
  <c r="AK93" i="50"/>
  <c r="AL93" i="50"/>
  <c r="AM93" i="50"/>
  <c r="AN93" i="50"/>
  <c r="AO93" i="50"/>
  <c r="AP93" i="50"/>
  <c r="AQ93" i="50"/>
  <c r="AR93" i="50"/>
  <c r="AS93" i="50"/>
  <c r="AT93" i="50"/>
  <c r="AU93" i="50"/>
  <c r="AW93" i="50"/>
  <c r="AX93" i="50"/>
  <c r="AY93" i="50"/>
  <c r="BA93" i="50"/>
  <c r="BC93" i="50"/>
  <c r="A94" i="50"/>
  <c r="B94" i="50"/>
  <c r="D94" i="50"/>
  <c r="E94" i="50"/>
  <c r="F94" i="50"/>
  <c r="G94" i="50"/>
  <c r="H94" i="50"/>
  <c r="J94" i="50"/>
  <c r="K94" i="50"/>
  <c r="L94" i="50"/>
  <c r="M94" i="50"/>
  <c r="O94" i="50"/>
  <c r="P94" i="50"/>
  <c r="R94" i="50"/>
  <c r="S94" i="50"/>
  <c r="T94" i="50"/>
  <c r="U94" i="50"/>
  <c r="V94" i="50"/>
  <c r="W94" i="50"/>
  <c r="X94" i="50"/>
  <c r="Z94" i="50"/>
  <c r="AA94" i="50"/>
  <c r="AB94" i="50"/>
  <c r="AC94" i="50"/>
  <c r="AD94" i="50"/>
  <c r="AE94" i="50"/>
  <c r="AF94" i="50"/>
  <c r="AG94" i="50"/>
  <c r="AH94" i="50"/>
  <c r="AI94" i="50"/>
  <c r="AJ94" i="50"/>
  <c r="AK94" i="50"/>
  <c r="AL94" i="50"/>
  <c r="AM94" i="50"/>
  <c r="AN94" i="50"/>
  <c r="AO94" i="50"/>
  <c r="AP94" i="50"/>
  <c r="AQ94" i="50"/>
  <c r="AR94" i="50"/>
  <c r="AS94" i="50"/>
  <c r="AT94" i="50"/>
  <c r="AU94" i="50"/>
  <c r="AW94" i="50"/>
  <c r="AX94" i="50"/>
  <c r="AY94" i="50"/>
  <c r="BA94" i="50"/>
  <c r="BC94" i="50"/>
  <c r="A95" i="50"/>
  <c r="B95" i="50"/>
  <c r="D95" i="50"/>
  <c r="E95" i="50"/>
  <c r="F95" i="50"/>
  <c r="G95" i="50"/>
  <c r="H95" i="50"/>
  <c r="J95" i="50"/>
  <c r="K95" i="50"/>
  <c r="L95" i="50"/>
  <c r="M95" i="50"/>
  <c r="O95" i="50"/>
  <c r="P95" i="50"/>
  <c r="R95" i="50"/>
  <c r="S95" i="50"/>
  <c r="T95" i="50"/>
  <c r="U95" i="50"/>
  <c r="V95" i="50"/>
  <c r="W95" i="50"/>
  <c r="X95" i="50"/>
  <c r="Z95" i="50"/>
  <c r="AA95" i="50"/>
  <c r="AB95" i="50"/>
  <c r="AC95" i="50"/>
  <c r="AD95" i="50"/>
  <c r="AE95" i="50"/>
  <c r="AF95" i="50"/>
  <c r="AG95" i="50"/>
  <c r="AH95" i="50"/>
  <c r="AI95" i="50"/>
  <c r="AJ95" i="50"/>
  <c r="AK95" i="50"/>
  <c r="AL95" i="50"/>
  <c r="AM95" i="50"/>
  <c r="AN95" i="50"/>
  <c r="AO95" i="50"/>
  <c r="AP95" i="50"/>
  <c r="AQ95" i="50"/>
  <c r="AR95" i="50"/>
  <c r="AS95" i="50"/>
  <c r="AT95" i="50"/>
  <c r="AU95" i="50"/>
  <c r="AW95" i="50"/>
  <c r="AX95" i="50"/>
  <c r="AY95" i="50"/>
  <c r="BA95" i="50"/>
  <c r="BC95" i="50"/>
  <c r="A96" i="50"/>
  <c r="B96" i="50"/>
  <c r="D96" i="50"/>
  <c r="E96" i="50"/>
  <c r="F96" i="50"/>
  <c r="G96" i="50"/>
  <c r="H96" i="50"/>
  <c r="J96" i="50"/>
  <c r="K96" i="50"/>
  <c r="L96" i="50"/>
  <c r="M96" i="50"/>
  <c r="O96" i="50"/>
  <c r="P96" i="50"/>
  <c r="R96" i="50"/>
  <c r="S96" i="50"/>
  <c r="T96" i="50"/>
  <c r="U96" i="50"/>
  <c r="V96" i="50"/>
  <c r="W96" i="50"/>
  <c r="X96" i="50"/>
  <c r="Z96" i="50"/>
  <c r="AA96" i="50"/>
  <c r="AB96" i="50"/>
  <c r="AC96" i="50"/>
  <c r="AD96" i="50"/>
  <c r="AE96" i="50"/>
  <c r="AF96" i="50"/>
  <c r="AG96" i="50"/>
  <c r="AH96" i="50"/>
  <c r="AI96" i="50"/>
  <c r="AJ96" i="50"/>
  <c r="AK96" i="50"/>
  <c r="AL96" i="50"/>
  <c r="AM96" i="50"/>
  <c r="AN96" i="50"/>
  <c r="AO96" i="50"/>
  <c r="AP96" i="50"/>
  <c r="AQ96" i="50"/>
  <c r="AR96" i="50"/>
  <c r="AS96" i="50"/>
  <c r="AT96" i="50"/>
  <c r="AU96" i="50"/>
  <c r="AW96" i="50"/>
  <c r="AX96" i="50"/>
  <c r="AY96" i="50"/>
  <c r="BA96" i="50"/>
  <c r="BC96" i="50"/>
  <c r="A97" i="50"/>
  <c r="B97" i="50"/>
  <c r="D97" i="50"/>
  <c r="E97" i="50"/>
  <c r="F97" i="50"/>
  <c r="G97" i="50"/>
  <c r="H97" i="50"/>
  <c r="J97" i="50"/>
  <c r="K97" i="50"/>
  <c r="L97" i="50"/>
  <c r="M97" i="50"/>
  <c r="O97" i="50"/>
  <c r="P97" i="50"/>
  <c r="R97" i="50"/>
  <c r="S97" i="50"/>
  <c r="T97" i="50"/>
  <c r="U97" i="50"/>
  <c r="V97" i="50"/>
  <c r="W97" i="50"/>
  <c r="X97" i="50"/>
  <c r="Z97" i="50"/>
  <c r="AA97" i="50"/>
  <c r="AB97" i="50"/>
  <c r="AC97" i="50"/>
  <c r="AD97" i="50"/>
  <c r="AE97" i="50"/>
  <c r="AF97" i="50"/>
  <c r="AG97" i="50"/>
  <c r="AH97" i="50"/>
  <c r="AI97" i="50"/>
  <c r="AJ97" i="50"/>
  <c r="AK97" i="50"/>
  <c r="AL97" i="50"/>
  <c r="AM97" i="50"/>
  <c r="AN97" i="50"/>
  <c r="AO97" i="50"/>
  <c r="AP97" i="50"/>
  <c r="AQ97" i="50"/>
  <c r="AR97" i="50"/>
  <c r="AS97" i="50"/>
  <c r="AT97" i="50"/>
  <c r="AU97" i="50"/>
  <c r="AW97" i="50"/>
  <c r="AX97" i="50"/>
  <c r="AY97" i="50"/>
  <c r="BA97" i="50"/>
  <c r="BC97" i="50"/>
  <c r="A98" i="50"/>
  <c r="B98" i="50"/>
  <c r="D98" i="50"/>
  <c r="E98" i="50"/>
  <c r="F98" i="50"/>
  <c r="G98" i="50"/>
  <c r="H98" i="50"/>
  <c r="J98" i="50"/>
  <c r="K98" i="50"/>
  <c r="L98" i="50"/>
  <c r="M98" i="50"/>
  <c r="O98" i="50"/>
  <c r="P98" i="50"/>
  <c r="R98" i="50"/>
  <c r="S98" i="50"/>
  <c r="T98" i="50"/>
  <c r="U98" i="50"/>
  <c r="V98" i="50"/>
  <c r="W98" i="50"/>
  <c r="X98" i="50"/>
  <c r="Z98" i="50"/>
  <c r="AA98" i="50"/>
  <c r="AB98" i="50"/>
  <c r="AC98" i="50"/>
  <c r="AD98" i="50"/>
  <c r="AE98" i="50"/>
  <c r="AF98" i="50"/>
  <c r="AG98" i="50"/>
  <c r="AH98" i="50"/>
  <c r="AI98" i="50"/>
  <c r="AJ98" i="50"/>
  <c r="AK98" i="50"/>
  <c r="AL98" i="50"/>
  <c r="AM98" i="50"/>
  <c r="AN98" i="50"/>
  <c r="AO98" i="50"/>
  <c r="AP98" i="50"/>
  <c r="AQ98" i="50"/>
  <c r="AR98" i="50"/>
  <c r="AS98" i="50"/>
  <c r="AT98" i="50"/>
  <c r="AU98" i="50"/>
  <c r="AW98" i="50"/>
  <c r="AX98" i="50"/>
  <c r="AY98" i="50"/>
  <c r="BA98" i="50"/>
  <c r="BC98" i="50"/>
  <c r="A99" i="50"/>
  <c r="B99" i="50"/>
  <c r="D99" i="50"/>
  <c r="E99" i="50"/>
  <c r="F99" i="50"/>
  <c r="G99" i="50"/>
  <c r="H99" i="50"/>
  <c r="J99" i="50"/>
  <c r="K99" i="50"/>
  <c r="L99" i="50"/>
  <c r="M99" i="50"/>
  <c r="O99" i="50"/>
  <c r="P99" i="50"/>
  <c r="R99" i="50"/>
  <c r="S99" i="50"/>
  <c r="T99" i="50"/>
  <c r="U99" i="50"/>
  <c r="V99" i="50"/>
  <c r="W99" i="50"/>
  <c r="X99" i="50"/>
  <c r="Z99" i="50"/>
  <c r="AA99" i="50"/>
  <c r="AB99" i="50"/>
  <c r="AC99" i="50"/>
  <c r="AD99" i="50"/>
  <c r="AE99" i="50"/>
  <c r="AF99" i="50"/>
  <c r="AG99" i="50"/>
  <c r="AH99" i="50"/>
  <c r="AI99" i="50"/>
  <c r="AJ99" i="50"/>
  <c r="AK99" i="50"/>
  <c r="AL99" i="50"/>
  <c r="AM99" i="50"/>
  <c r="AN99" i="50"/>
  <c r="AO99" i="50"/>
  <c r="AP99" i="50"/>
  <c r="AQ99" i="50"/>
  <c r="AR99" i="50"/>
  <c r="AS99" i="50"/>
  <c r="AT99" i="50"/>
  <c r="AU99" i="50"/>
  <c r="AW99" i="50"/>
  <c r="AX99" i="50"/>
  <c r="AY99" i="50"/>
  <c r="BA99" i="50"/>
  <c r="BC99" i="50"/>
  <c r="A100" i="50"/>
  <c r="B100" i="50"/>
  <c r="D100" i="50"/>
  <c r="E100" i="50"/>
  <c r="F100" i="50"/>
  <c r="G100" i="50"/>
  <c r="H100" i="50"/>
  <c r="J100" i="50"/>
  <c r="K100" i="50"/>
  <c r="L100" i="50"/>
  <c r="M100" i="50"/>
  <c r="O100" i="50"/>
  <c r="P100" i="50"/>
  <c r="R100" i="50"/>
  <c r="S100" i="50"/>
  <c r="T100" i="50"/>
  <c r="U100" i="50"/>
  <c r="V100" i="50"/>
  <c r="W100" i="50"/>
  <c r="X100" i="50"/>
  <c r="Z100" i="50"/>
  <c r="AA100" i="50"/>
  <c r="AB100" i="50"/>
  <c r="AC100" i="50"/>
  <c r="AD100" i="50"/>
  <c r="AE100" i="50"/>
  <c r="AF100" i="50"/>
  <c r="AG100" i="50"/>
  <c r="AH100" i="50"/>
  <c r="AI100" i="50"/>
  <c r="AJ100" i="50"/>
  <c r="AK100" i="50"/>
  <c r="AL100" i="50"/>
  <c r="AM100" i="50"/>
  <c r="AN100" i="50"/>
  <c r="AO100" i="50"/>
  <c r="AP100" i="50"/>
  <c r="AQ100" i="50"/>
  <c r="AR100" i="50"/>
  <c r="AS100" i="50"/>
  <c r="AT100" i="50"/>
  <c r="AU100" i="50"/>
  <c r="AW100" i="50"/>
  <c r="AX100" i="50"/>
  <c r="AY100" i="50"/>
  <c r="BA100" i="50"/>
  <c r="BC100" i="50"/>
  <c r="A101" i="50"/>
  <c r="B101" i="50"/>
  <c r="D101" i="50"/>
  <c r="E101" i="50"/>
  <c r="F101" i="50"/>
  <c r="G101" i="50"/>
  <c r="H101" i="50"/>
  <c r="J101" i="50"/>
  <c r="K101" i="50"/>
  <c r="L101" i="50"/>
  <c r="M101" i="50"/>
  <c r="O101" i="50"/>
  <c r="P101" i="50"/>
  <c r="R101" i="50"/>
  <c r="S101" i="50"/>
  <c r="T101" i="50"/>
  <c r="U101" i="50"/>
  <c r="V101" i="50"/>
  <c r="W101" i="50"/>
  <c r="X101" i="50"/>
  <c r="Z101" i="50"/>
  <c r="AA101" i="50"/>
  <c r="AB101" i="50"/>
  <c r="AC101" i="50"/>
  <c r="AD101" i="50"/>
  <c r="AE101" i="50"/>
  <c r="AF101" i="50"/>
  <c r="AG101" i="50"/>
  <c r="AH101" i="50"/>
  <c r="AI101" i="50"/>
  <c r="AJ101" i="50"/>
  <c r="AK101" i="50"/>
  <c r="AL101" i="50"/>
  <c r="AM101" i="50"/>
  <c r="AN101" i="50"/>
  <c r="AO101" i="50"/>
  <c r="AP101" i="50"/>
  <c r="AQ101" i="50"/>
  <c r="AR101" i="50"/>
  <c r="AS101" i="50"/>
  <c r="AT101" i="50"/>
  <c r="AU101" i="50"/>
  <c r="AW101" i="50"/>
  <c r="AX101" i="50"/>
  <c r="AY101" i="50"/>
  <c r="BA101" i="50"/>
  <c r="BC101" i="50"/>
  <c r="A102" i="50"/>
  <c r="B102" i="50"/>
  <c r="D102" i="50"/>
  <c r="E102" i="50"/>
  <c r="F102" i="50"/>
  <c r="G102" i="50"/>
  <c r="H102" i="50"/>
  <c r="J102" i="50"/>
  <c r="K102" i="50"/>
  <c r="L102" i="50"/>
  <c r="M102" i="50"/>
  <c r="O102" i="50"/>
  <c r="P102" i="50"/>
  <c r="R102" i="50"/>
  <c r="S102" i="50"/>
  <c r="T102" i="50"/>
  <c r="U102" i="50"/>
  <c r="V102" i="50"/>
  <c r="W102" i="50"/>
  <c r="X102" i="50"/>
  <c r="Z102" i="50"/>
  <c r="AA102" i="50"/>
  <c r="AB102" i="50"/>
  <c r="AC102" i="50"/>
  <c r="AD102" i="50"/>
  <c r="AE102" i="50"/>
  <c r="AF102" i="50"/>
  <c r="AG102" i="50"/>
  <c r="AH102" i="50"/>
  <c r="AI102" i="50"/>
  <c r="AJ102" i="50"/>
  <c r="AK102" i="50"/>
  <c r="AL102" i="50"/>
  <c r="AM102" i="50"/>
  <c r="AN102" i="50"/>
  <c r="AO102" i="50"/>
  <c r="AP102" i="50"/>
  <c r="AQ102" i="50"/>
  <c r="AR102" i="50"/>
  <c r="AS102" i="50"/>
  <c r="AT102" i="50"/>
  <c r="AU102" i="50"/>
  <c r="AW102" i="50"/>
  <c r="AX102" i="50"/>
  <c r="AY102" i="50"/>
  <c r="BA102" i="50"/>
  <c r="BC102" i="50"/>
  <c r="A103" i="50"/>
  <c r="B103" i="50"/>
  <c r="D103" i="50"/>
  <c r="E103" i="50"/>
  <c r="F103" i="50"/>
  <c r="G103" i="50"/>
  <c r="H103" i="50"/>
  <c r="J103" i="50"/>
  <c r="K103" i="50"/>
  <c r="L103" i="50"/>
  <c r="M103" i="50"/>
  <c r="O103" i="50"/>
  <c r="P103" i="50"/>
  <c r="R103" i="50"/>
  <c r="S103" i="50"/>
  <c r="T103" i="50"/>
  <c r="U103" i="50"/>
  <c r="V103" i="50"/>
  <c r="W103" i="50"/>
  <c r="X103" i="50"/>
  <c r="Z103" i="50"/>
  <c r="AA103" i="50"/>
  <c r="AB103" i="50"/>
  <c r="AC103" i="50"/>
  <c r="AD103" i="50"/>
  <c r="AE103" i="50"/>
  <c r="AF103" i="50"/>
  <c r="AG103" i="50"/>
  <c r="AH103" i="50"/>
  <c r="AI103" i="50"/>
  <c r="AJ103" i="50"/>
  <c r="AK103" i="50"/>
  <c r="AL103" i="50"/>
  <c r="AM103" i="50"/>
  <c r="AN103" i="50"/>
  <c r="AO103" i="50"/>
  <c r="AP103" i="50"/>
  <c r="AQ103" i="50"/>
  <c r="AR103" i="50"/>
  <c r="AS103" i="50"/>
  <c r="AT103" i="50"/>
  <c r="AU103" i="50"/>
  <c r="AW103" i="50"/>
  <c r="AX103" i="50"/>
  <c r="AY103" i="50"/>
  <c r="BA103" i="50"/>
  <c r="BC103" i="50"/>
  <c r="A104" i="50"/>
  <c r="B104" i="50"/>
  <c r="D104" i="50"/>
  <c r="E104" i="50"/>
  <c r="F104" i="50"/>
  <c r="G104" i="50"/>
  <c r="H104" i="50"/>
  <c r="J104" i="50"/>
  <c r="K104" i="50"/>
  <c r="L104" i="50"/>
  <c r="M104" i="50"/>
  <c r="O104" i="50"/>
  <c r="P104" i="50"/>
  <c r="R104" i="50"/>
  <c r="S104" i="50"/>
  <c r="T104" i="50"/>
  <c r="U104" i="50"/>
  <c r="V104" i="50"/>
  <c r="W104" i="50"/>
  <c r="X104" i="50"/>
  <c r="Z104" i="50"/>
  <c r="AA104" i="50"/>
  <c r="AB104" i="50"/>
  <c r="AC104" i="50"/>
  <c r="AD104" i="50"/>
  <c r="AE104" i="50"/>
  <c r="AF104" i="50"/>
  <c r="AG104" i="50"/>
  <c r="AH104" i="50"/>
  <c r="AI104" i="50"/>
  <c r="AJ104" i="50"/>
  <c r="AK104" i="50"/>
  <c r="AL104" i="50"/>
  <c r="AM104" i="50"/>
  <c r="AN104" i="50"/>
  <c r="AO104" i="50"/>
  <c r="AP104" i="50"/>
  <c r="AQ104" i="50"/>
  <c r="AR104" i="50"/>
  <c r="AS104" i="50"/>
  <c r="AT104" i="50"/>
  <c r="AU104" i="50"/>
  <c r="AW104" i="50"/>
  <c r="AX104" i="50"/>
  <c r="AY104" i="50"/>
  <c r="BA104" i="50"/>
  <c r="BC104" i="50"/>
  <c r="A105" i="50"/>
  <c r="B105" i="50"/>
  <c r="D105" i="50"/>
  <c r="E105" i="50"/>
  <c r="F105" i="50"/>
  <c r="G105" i="50"/>
  <c r="H105" i="50"/>
  <c r="J105" i="50"/>
  <c r="K105" i="50"/>
  <c r="L105" i="50"/>
  <c r="M105" i="50"/>
  <c r="O105" i="50"/>
  <c r="P105" i="50"/>
  <c r="R105" i="50"/>
  <c r="S105" i="50"/>
  <c r="T105" i="50"/>
  <c r="U105" i="50"/>
  <c r="V105" i="50"/>
  <c r="W105" i="50"/>
  <c r="X105" i="50"/>
  <c r="Z105" i="50"/>
  <c r="AA105" i="50"/>
  <c r="AB105" i="50"/>
  <c r="AC105" i="50"/>
  <c r="AD105" i="50"/>
  <c r="AE105" i="50"/>
  <c r="AF105" i="50"/>
  <c r="AG105" i="50"/>
  <c r="AH105" i="50"/>
  <c r="AI105" i="50"/>
  <c r="AJ105" i="50"/>
  <c r="AK105" i="50"/>
  <c r="AL105" i="50"/>
  <c r="AM105" i="50"/>
  <c r="AN105" i="50"/>
  <c r="AO105" i="50"/>
  <c r="AP105" i="50"/>
  <c r="AQ105" i="50"/>
  <c r="AR105" i="50"/>
  <c r="AS105" i="50"/>
  <c r="AT105" i="50"/>
  <c r="AU105" i="50"/>
  <c r="AW105" i="50"/>
  <c r="AX105" i="50"/>
  <c r="AY105" i="50"/>
  <c r="BA105" i="50"/>
  <c r="BC105" i="50"/>
  <c r="A106" i="50"/>
  <c r="B106" i="50"/>
  <c r="D106" i="50"/>
  <c r="E106" i="50"/>
  <c r="F106" i="50"/>
  <c r="G106" i="50"/>
  <c r="H106" i="50"/>
  <c r="J106" i="50"/>
  <c r="K106" i="50"/>
  <c r="L106" i="50"/>
  <c r="M106" i="50"/>
  <c r="O106" i="50"/>
  <c r="P106" i="50"/>
  <c r="R106" i="50"/>
  <c r="S106" i="50"/>
  <c r="T106" i="50"/>
  <c r="U106" i="50"/>
  <c r="V106" i="50"/>
  <c r="W106" i="50"/>
  <c r="X106" i="50"/>
  <c r="Z106" i="50"/>
  <c r="AA106" i="50"/>
  <c r="AB106" i="50"/>
  <c r="AC106" i="50"/>
  <c r="AD106" i="50"/>
  <c r="AE106" i="50"/>
  <c r="AF106" i="50"/>
  <c r="AG106" i="50"/>
  <c r="AH106" i="50"/>
  <c r="AI106" i="50"/>
  <c r="AJ106" i="50"/>
  <c r="AK106" i="50"/>
  <c r="AL106" i="50"/>
  <c r="AM106" i="50"/>
  <c r="AN106" i="50"/>
  <c r="AO106" i="50"/>
  <c r="AP106" i="50"/>
  <c r="AQ106" i="50"/>
  <c r="AR106" i="50"/>
  <c r="AS106" i="50"/>
  <c r="AT106" i="50"/>
  <c r="AU106" i="50"/>
  <c r="AW106" i="50"/>
  <c r="AX106" i="50"/>
  <c r="AY106" i="50"/>
  <c r="BA106" i="50"/>
  <c r="BC106" i="50"/>
  <c r="A107" i="50"/>
  <c r="B107" i="50"/>
  <c r="D107" i="50"/>
  <c r="E107" i="50"/>
  <c r="F107" i="50"/>
  <c r="G107" i="50"/>
  <c r="H107" i="50"/>
  <c r="J107" i="50"/>
  <c r="K107" i="50"/>
  <c r="L107" i="50"/>
  <c r="M107" i="50"/>
  <c r="O107" i="50"/>
  <c r="P107" i="50"/>
  <c r="R107" i="50"/>
  <c r="S107" i="50"/>
  <c r="T107" i="50"/>
  <c r="U107" i="50"/>
  <c r="V107" i="50"/>
  <c r="W107" i="50"/>
  <c r="X107" i="50"/>
  <c r="Z107" i="50"/>
  <c r="AA107" i="50"/>
  <c r="AB107" i="50"/>
  <c r="AC107" i="50"/>
  <c r="AD107" i="50"/>
  <c r="AE107" i="50"/>
  <c r="AF107" i="50"/>
  <c r="AG107" i="50"/>
  <c r="AH107" i="50"/>
  <c r="AI107" i="50"/>
  <c r="AJ107" i="50"/>
  <c r="AK107" i="50"/>
  <c r="AL107" i="50"/>
  <c r="AM107" i="50"/>
  <c r="AN107" i="50"/>
  <c r="AO107" i="50"/>
  <c r="AP107" i="50"/>
  <c r="AQ107" i="50"/>
  <c r="AR107" i="50"/>
  <c r="AS107" i="50"/>
  <c r="AT107" i="50"/>
  <c r="AU107" i="50"/>
  <c r="AW107" i="50"/>
  <c r="AX107" i="50"/>
  <c r="AY107" i="50"/>
  <c r="BA107" i="50"/>
  <c r="BC107" i="50"/>
  <c r="A108" i="50"/>
  <c r="B108" i="50"/>
  <c r="D108" i="50"/>
  <c r="E108" i="50"/>
  <c r="F108" i="50"/>
  <c r="G108" i="50"/>
  <c r="H108" i="50"/>
  <c r="J108" i="50"/>
  <c r="K108" i="50"/>
  <c r="L108" i="50"/>
  <c r="M108" i="50"/>
  <c r="O108" i="50"/>
  <c r="P108" i="50"/>
  <c r="R108" i="50"/>
  <c r="S108" i="50"/>
  <c r="T108" i="50"/>
  <c r="U108" i="50"/>
  <c r="V108" i="50"/>
  <c r="W108" i="50"/>
  <c r="X108" i="50"/>
  <c r="Z108" i="50"/>
  <c r="AA108" i="50"/>
  <c r="AB108" i="50"/>
  <c r="AC108" i="50"/>
  <c r="AD108" i="50"/>
  <c r="AE108" i="50"/>
  <c r="AF108" i="50"/>
  <c r="AG108" i="50"/>
  <c r="AH108" i="50"/>
  <c r="AI108" i="50"/>
  <c r="AJ108" i="50"/>
  <c r="AK108" i="50"/>
  <c r="AL108" i="50"/>
  <c r="AM108" i="50"/>
  <c r="AN108" i="50"/>
  <c r="AO108" i="50"/>
  <c r="AP108" i="50"/>
  <c r="AQ108" i="50"/>
  <c r="AR108" i="50"/>
  <c r="AS108" i="50"/>
  <c r="AT108" i="50"/>
  <c r="AU108" i="50"/>
  <c r="AW108" i="50"/>
  <c r="AX108" i="50"/>
  <c r="AY108" i="50"/>
  <c r="BA108" i="50"/>
  <c r="BC108" i="50"/>
  <c r="A109" i="50"/>
  <c r="B109" i="50"/>
  <c r="D109" i="50"/>
  <c r="E109" i="50"/>
  <c r="F109" i="50"/>
  <c r="G109" i="50"/>
  <c r="H109" i="50"/>
  <c r="J109" i="50"/>
  <c r="K109" i="50"/>
  <c r="L109" i="50"/>
  <c r="M109" i="50"/>
  <c r="O109" i="50"/>
  <c r="P109" i="50"/>
  <c r="R109" i="50"/>
  <c r="S109" i="50"/>
  <c r="T109" i="50"/>
  <c r="U109" i="50"/>
  <c r="V109" i="50"/>
  <c r="W109" i="50"/>
  <c r="X109" i="50"/>
  <c r="Z109" i="50"/>
  <c r="AA109" i="50"/>
  <c r="AB109" i="50"/>
  <c r="AC109" i="50"/>
  <c r="AD109" i="50"/>
  <c r="AE109" i="50"/>
  <c r="AF109" i="50"/>
  <c r="AG109" i="50"/>
  <c r="AH109" i="50"/>
  <c r="AI109" i="50"/>
  <c r="AJ109" i="50"/>
  <c r="AK109" i="50"/>
  <c r="AL109" i="50"/>
  <c r="AM109" i="50"/>
  <c r="AN109" i="50"/>
  <c r="AO109" i="50"/>
  <c r="AP109" i="50"/>
  <c r="AQ109" i="50"/>
  <c r="AR109" i="50"/>
  <c r="AS109" i="50"/>
  <c r="AT109" i="50"/>
  <c r="AU109" i="50"/>
  <c r="AW109" i="50"/>
  <c r="AX109" i="50"/>
  <c r="AY109" i="50"/>
  <c r="BA109" i="50"/>
  <c r="BC109" i="50"/>
  <c r="A110" i="50"/>
  <c r="B110" i="50"/>
  <c r="D110" i="50"/>
  <c r="E110" i="50"/>
  <c r="F110" i="50"/>
  <c r="G110" i="50"/>
  <c r="H110" i="50"/>
  <c r="J110" i="50"/>
  <c r="K110" i="50"/>
  <c r="L110" i="50"/>
  <c r="M110" i="50"/>
  <c r="O110" i="50"/>
  <c r="P110" i="50"/>
  <c r="R110" i="50"/>
  <c r="S110" i="50"/>
  <c r="T110" i="50"/>
  <c r="U110" i="50"/>
  <c r="V110" i="50"/>
  <c r="W110" i="50"/>
  <c r="X110" i="50"/>
  <c r="Z110" i="50"/>
  <c r="AA110" i="50"/>
  <c r="AB110" i="50"/>
  <c r="AC110" i="50"/>
  <c r="AD110" i="50"/>
  <c r="AE110" i="50"/>
  <c r="AF110" i="50"/>
  <c r="AG110" i="50"/>
  <c r="AH110" i="50"/>
  <c r="AI110" i="50"/>
  <c r="AJ110" i="50"/>
  <c r="AK110" i="50"/>
  <c r="AL110" i="50"/>
  <c r="AM110" i="50"/>
  <c r="AN110" i="50"/>
  <c r="AO110" i="50"/>
  <c r="AP110" i="50"/>
  <c r="AQ110" i="50"/>
  <c r="AR110" i="50"/>
  <c r="AS110" i="50"/>
  <c r="AT110" i="50"/>
  <c r="AU110" i="50"/>
  <c r="AW110" i="50"/>
  <c r="AX110" i="50"/>
  <c r="AY110" i="50"/>
  <c r="BA110" i="50"/>
  <c r="BC110" i="50"/>
  <c r="A111" i="50"/>
  <c r="B111" i="50"/>
  <c r="D111" i="50"/>
  <c r="E111" i="50"/>
  <c r="F111" i="50"/>
  <c r="G111" i="50"/>
  <c r="H111" i="50"/>
  <c r="J111" i="50"/>
  <c r="K111" i="50"/>
  <c r="L111" i="50"/>
  <c r="M111" i="50"/>
  <c r="O111" i="50"/>
  <c r="P111" i="50"/>
  <c r="R111" i="50"/>
  <c r="S111" i="50"/>
  <c r="T111" i="50"/>
  <c r="U111" i="50"/>
  <c r="V111" i="50"/>
  <c r="W111" i="50"/>
  <c r="X111" i="50"/>
  <c r="Z111" i="50"/>
  <c r="AA111" i="50"/>
  <c r="AB111" i="50"/>
  <c r="AC111" i="50"/>
  <c r="AD111" i="50"/>
  <c r="AE111" i="50"/>
  <c r="AF111" i="50"/>
  <c r="AG111" i="50"/>
  <c r="AH111" i="50"/>
  <c r="AI111" i="50"/>
  <c r="AJ111" i="50"/>
  <c r="AK111" i="50"/>
  <c r="AL111" i="50"/>
  <c r="AM111" i="50"/>
  <c r="AN111" i="50"/>
  <c r="AO111" i="50"/>
  <c r="AP111" i="50"/>
  <c r="AQ111" i="50"/>
  <c r="AR111" i="50"/>
  <c r="AS111" i="50"/>
  <c r="AT111" i="50"/>
  <c r="AU111" i="50"/>
  <c r="AW111" i="50"/>
  <c r="AX111" i="50"/>
  <c r="AY111" i="50"/>
  <c r="BA111" i="50"/>
  <c r="BC111" i="50"/>
  <c r="A112" i="50"/>
  <c r="B112" i="50"/>
  <c r="D112" i="50"/>
  <c r="E112" i="50"/>
  <c r="F112" i="50"/>
  <c r="G112" i="50"/>
  <c r="H112" i="50"/>
  <c r="J112" i="50"/>
  <c r="K112" i="50"/>
  <c r="L112" i="50"/>
  <c r="M112" i="50"/>
  <c r="O112" i="50"/>
  <c r="P112" i="50"/>
  <c r="R112" i="50"/>
  <c r="S112" i="50"/>
  <c r="T112" i="50"/>
  <c r="U112" i="50"/>
  <c r="V112" i="50"/>
  <c r="W112" i="50"/>
  <c r="X112" i="50"/>
  <c r="Z112" i="50"/>
  <c r="AA112" i="50"/>
  <c r="AB112" i="50"/>
  <c r="AC112" i="50"/>
  <c r="AD112" i="50"/>
  <c r="AE112" i="50"/>
  <c r="AF112" i="50"/>
  <c r="AG112" i="50"/>
  <c r="AH112" i="50"/>
  <c r="AI112" i="50"/>
  <c r="AJ112" i="50"/>
  <c r="AK112" i="50"/>
  <c r="AL112" i="50"/>
  <c r="AM112" i="50"/>
  <c r="AN112" i="50"/>
  <c r="AO112" i="50"/>
  <c r="AP112" i="50"/>
  <c r="AQ112" i="50"/>
  <c r="AR112" i="50"/>
  <c r="AS112" i="50"/>
  <c r="AT112" i="50"/>
  <c r="AU112" i="50"/>
  <c r="AW112" i="50"/>
  <c r="AX112" i="50"/>
  <c r="AY112" i="50"/>
  <c r="BA112" i="50"/>
  <c r="BC112" i="50"/>
  <c r="A113" i="50"/>
  <c r="B113" i="50"/>
  <c r="D113" i="50"/>
  <c r="E113" i="50"/>
  <c r="F113" i="50"/>
  <c r="G113" i="50"/>
  <c r="H113" i="50"/>
  <c r="J113" i="50"/>
  <c r="K113" i="50"/>
  <c r="L113" i="50"/>
  <c r="M113" i="50"/>
  <c r="O113" i="50"/>
  <c r="P113" i="50"/>
  <c r="R113" i="50"/>
  <c r="S113" i="50"/>
  <c r="T113" i="50"/>
  <c r="U113" i="50"/>
  <c r="V113" i="50"/>
  <c r="W113" i="50"/>
  <c r="X113" i="50"/>
  <c r="Z113" i="50"/>
  <c r="AA113" i="50"/>
  <c r="AB113" i="50"/>
  <c r="AC113" i="50"/>
  <c r="AD113" i="50"/>
  <c r="AE113" i="50"/>
  <c r="AF113" i="50"/>
  <c r="AG113" i="50"/>
  <c r="AH113" i="50"/>
  <c r="AI113" i="50"/>
  <c r="AJ113" i="50"/>
  <c r="AK113" i="50"/>
  <c r="AL113" i="50"/>
  <c r="AM113" i="50"/>
  <c r="AN113" i="50"/>
  <c r="AO113" i="50"/>
  <c r="AP113" i="50"/>
  <c r="AQ113" i="50"/>
  <c r="AR113" i="50"/>
  <c r="AS113" i="50"/>
  <c r="AT113" i="50"/>
  <c r="AU113" i="50"/>
  <c r="AW113" i="50"/>
  <c r="AX113" i="50"/>
  <c r="AY113" i="50"/>
  <c r="BA113" i="50"/>
  <c r="BC113" i="50"/>
  <c r="A114" i="50"/>
  <c r="B114" i="50"/>
  <c r="D114" i="50"/>
  <c r="E114" i="50"/>
  <c r="F114" i="50"/>
  <c r="G114" i="50"/>
  <c r="H114" i="50"/>
  <c r="J114" i="50"/>
  <c r="K114" i="50"/>
  <c r="L114" i="50"/>
  <c r="M114" i="50"/>
  <c r="O114" i="50"/>
  <c r="P114" i="50"/>
  <c r="R114" i="50"/>
  <c r="S114" i="50"/>
  <c r="T114" i="50"/>
  <c r="U114" i="50"/>
  <c r="V114" i="50"/>
  <c r="W114" i="50"/>
  <c r="X114" i="50"/>
  <c r="Z114" i="50"/>
  <c r="AA114" i="50"/>
  <c r="AB114" i="50"/>
  <c r="AC114" i="50"/>
  <c r="AD114" i="50"/>
  <c r="AE114" i="50"/>
  <c r="AF114" i="50"/>
  <c r="AG114" i="50"/>
  <c r="AH114" i="50"/>
  <c r="AI114" i="50"/>
  <c r="AJ114" i="50"/>
  <c r="AK114" i="50"/>
  <c r="AL114" i="50"/>
  <c r="AM114" i="50"/>
  <c r="AN114" i="50"/>
  <c r="AO114" i="50"/>
  <c r="AP114" i="50"/>
  <c r="AQ114" i="50"/>
  <c r="AR114" i="50"/>
  <c r="AS114" i="50"/>
  <c r="AT114" i="50"/>
  <c r="AU114" i="50"/>
  <c r="AW114" i="50"/>
  <c r="AX114" i="50"/>
  <c r="AY114" i="50"/>
  <c r="BA114" i="50"/>
  <c r="BC114" i="50"/>
  <c r="A115" i="50"/>
  <c r="B115" i="50"/>
  <c r="D115" i="50"/>
  <c r="E115" i="50"/>
  <c r="F115" i="50"/>
  <c r="G115" i="50"/>
  <c r="H115" i="50"/>
  <c r="J115" i="50"/>
  <c r="K115" i="50"/>
  <c r="L115" i="50"/>
  <c r="M115" i="50"/>
  <c r="O115" i="50"/>
  <c r="P115" i="50"/>
  <c r="R115" i="50"/>
  <c r="S115" i="50"/>
  <c r="T115" i="50"/>
  <c r="U115" i="50"/>
  <c r="V115" i="50"/>
  <c r="W115" i="50"/>
  <c r="X115" i="50"/>
  <c r="Z115" i="50"/>
  <c r="AA115" i="50"/>
  <c r="AB115" i="50"/>
  <c r="AC115" i="50"/>
  <c r="AD115" i="50"/>
  <c r="AE115" i="50"/>
  <c r="AF115" i="50"/>
  <c r="AG115" i="50"/>
  <c r="AH115" i="50"/>
  <c r="AI115" i="50"/>
  <c r="AJ115" i="50"/>
  <c r="AK115" i="50"/>
  <c r="AL115" i="50"/>
  <c r="AM115" i="50"/>
  <c r="AN115" i="50"/>
  <c r="AO115" i="50"/>
  <c r="AP115" i="50"/>
  <c r="AQ115" i="50"/>
  <c r="AR115" i="50"/>
  <c r="AS115" i="50"/>
  <c r="AT115" i="50"/>
  <c r="AU115" i="50"/>
  <c r="AW115" i="50"/>
  <c r="AX115" i="50"/>
  <c r="AY115" i="50"/>
  <c r="BA115" i="50"/>
  <c r="BC115" i="50"/>
  <c r="A116" i="50"/>
  <c r="B116" i="50"/>
  <c r="D116" i="50"/>
  <c r="E116" i="50"/>
  <c r="F116" i="50"/>
  <c r="G116" i="50"/>
  <c r="H116" i="50"/>
  <c r="J116" i="50"/>
  <c r="K116" i="50"/>
  <c r="L116" i="50"/>
  <c r="M116" i="50"/>
  <c r="O116" i="50"/>
  <c r="P116" i="50"/>
  <c r="R116" i="50"/>
  <c r="S116" i="50"/>
  <c r="T116" i="50"/>
  <c r="U116" i="50"/>
  <c r="V116" i="50"/>
  <c r="W116" i="50"/>
  <c r="X116" i="50"/>
  <c r="Z116" i="50"/>
  <c r="AA116" i="50"/>
  <c r="AB116" i="50"/>
  <c r="AC116" i="50"/>
  <c r="AD116" i="50"/>
  <c r="AE116" i="50"/>
  <c r="AF116" i="50"/>
  <c r="AG116" i="50"/>
  <c r="AH116" i="50"/>
  <c r="AI116" i="50"/>
  <c r="AJ116" i="50"/>
  <c r="AK116" i="50"/>
  <c r="AL116" i="50"/>
  <c r="AM116" i="50"/>
  <c r="AN116" i="50"/>
  <c r="AO116" i="50"/>
  <c r="AP116" i="50"/>
  <c r="AQ116" i="50"/>
  <c r="AR116" i="50"/>
  <c r="AS116" i="50"/>
  <c r="AT116" i="50"/>
  <c r="AU116" i="50"/>
  <c r="AW116" i="50"/>
  <c r="AX116" i="50"/>
  <c r="AY116" i="50"/>
  <c r="BA116" i="50"/>
  <c r="BC116" i="50"/>
  <c r="A117" i="50"/>
  <c r="B117" i="50"/>
  <c r="D117" i="50"/>
  <c r="E117" i="50"/>
  <c r="F117" i="50"/>
  <c r="G117" i="50"/>
  <c r="H117" i="50"/>
  <c r="J117" i="50"/>
  <c r="K117" i="50"/>
  <c r="L117" i="50"/>
  <c r="M117" i="50"/>
  <c r="O117" i="50"/>
  <c r="P117" i="50"/>
  <c r="R117" i="50"/>
  <c r="S117" i="50"/>
  <c r="T117" i="50"/>
  <c r="U117" i="50"/>
  <c r="V117" i="50"/>
  <c r="W117" i="50"/>
  <c r="X117" i="50"/>
  <c r="Z117" i="50"/>
  <c r="AA117" i="50"/>
  <c r="AB117" i="50"/>
  <c r="AC117" i="50"/>
  <c r="AD117" i="50"/>
  <c r="AE117" i="50"/>
  <c r="AF117" i="50"/>
  <c r="AG117" i="50"/>
  <c r="AH117" i="50"/>
  <c r="AI117" i="50"/>
  <c r="AJ117" i="50"/>
  <c r="AK117" i="50"/>
  <c r="AL117" i="50"/>
  <c r="AM117" i="50"/>
  <c r="AN117" i="50"/>
  <c r="AO117" i="50"/>
  <c r="AP117" i="50"/>
  <c r="AQ117" i="50"/>
  <c r="AR117" i="50"/>
  <c r="AS117" i="50"/>
  <c r="AT117" i="50"/>
  <c r="AU117" i="50"/>
  <c r="AW117" i="50"/>
  <c r="AX117" i="50"/>
  <c r="AY117" i="50"/>
  <c r="BA117" i="50"/>
  <c r="BC117" i="50"/>
  <c r="A118" i="50"/>
  <c r="B118" i="50"/>
  <c r="D118" i="50"/>
  <c r="E118" i="50"/>
  <c r="F118" i="50"/>
  <c r="G118" i="50"/>
  <c r="H118" i="50"/>
  <c r="J118" i="50"/>
  <c r="K118" i="50"/>
  <c r="L118" i="50"/>
  <c r="M118" i="50"/>
  <c r="O118" i="50"/>
  <c r="P118" i="50"/>
  <c r="R118" i="50"/>
  <c r="S118" i="50"/>
  <c r="T118" i="50"/>
  <c r="U118" i="50"/>
  <c r="V118" i="50"/>
  <c r="W118" i="50"/>
  <c r="X118" i="50"/>
  <c r="Z118" i="50"/>
  <c r="AA118" i="50"/>
  <c r="AB118" i="50"/>
  <c r="AC118" i="50"/>
  <c r="AD118" i="50"/>
  <c r="AE118" i="50"/>
  <c r="AF118" i="50"/>
  <c r="AG118" i="50"/>
  <c r="AH118" i="50"/>
  <c r="AI118" i="50"/>
  <c r="AJ118" i="50"/>
  <c r="AK118" i="50"/>
  <c r="AL118" i="50"/>
  <c r="AM118" i="50"/>
  <c r="AN118" i="50"/>
  <c r="AO118" i="50"/>
  <c r="AP118" i="50"/>
  <c r="AQ118" i="50"/>
  <c r="AR118" i="50"/>
  <c r="AS118" i="50"/>
  <c r="AT118" i="50"/>
  <c r="AU118" i="50"/>
  <c r="AW118" i="50"/>
  <c r="AX118" i="50"/>
  <c r="AY118" i="50"/>
  <c r="BA118" i="50"/>
  <c r="BC118" i="50"/>
  <c r="A119" i="50"/>
  <c r="B119" i="50"/>
  <c r="D119" i="50"/>
  <c r="E119" i="50"/>
  <c r="F119" i="50"/>
  <c r="G119" i="50"/>
  <c r="H119" i="50"/>
  <c r="J119" i="50"/>
  <c r="K119" i="50"/>
  <c r="L119" i="50"/>
  <c r="M119" i="50"/>
  <c r="O119" i="50"/>
  <c r="P119" i="50"/>
  <c r="R119" i="50"/>
  <c r="S119" i="50"/>
  <c r="T119" i="50"/>
  <c r="U119" i="50"/>
  <c r="V119" i="50"/>
  <c r="W119" i="50"/>
  <c r="X119" i="50"/>
  <c r="Z119" i="50"/>
  <c r="AA119" i="50"/>
  <c r="AB119" i="50"/>
  <c r="AC119" i="50"/>
  <c r="AD119" i="50"/>
  <c r="AE119" i="50"/>
  <c r="AF119" i="50"/>
  <c r="AG119" i="50"/>
  <c r="AH119" i="50"/>
  <c r="AI119" i="50"/>
  <c r="AJ119" i="50"/>
  <c r="AK119" i="50"/>
  <c r="AL119" i="50"/>
  <c r="AM119" i="50"/>
  <c r="AN119" i="50"/>
  <c r="AO119" i="50"/>
  <c r="AP119" i="50"/>
  <c r="AQ119" i="50"/>
  <c r="AR119" i="50"/>
  <c r="AS119" i="50"/>
  <c r="AT119" i="50"/>
  <c r="AU119" i="50"/>
  <c r="AW119" i="50"/>
  <c r="AX119" i="50"/>
  <c r="AY119" i="50"/>
  <c r="BA119" i="50"/>
  <c r="BC119" i="50"/>
  <c r="A120" i="50"/>
  <c r="B120" i="50"/>
  <c r="D120" i="50"/>
  <c r="E120" i="50"/>
  <c r="F120" i="50"/>
  <c r="G120" i="50"/>
  <c r="H120" i="50"/>
  <c r="J120" i="50"/>
  <c r="K120" i="50"/>
  <c r="L120" i="50"/>
  <c r="M120" i="50"/>
  <c r="O120" i="50"/>
  <c r="P120" i="50"/>
  <c r="R120" i="50"/>
  <c r="S120" i="50"/>
  <c r="T120" i="50"/>
  <c r="U120" i="50"/>
  <c r="V120" i="50"/>
  <c r="W120" i="50"/>
  <c r="X120" i="50"/>
  <c r="Z120" i="50"/>
  <c r="AA120" i="50"/>
  <c r="AB120" i="50"/>
  <c r="AC120" i="50"/>
  <c r="AD120" i="50"/>
  <c r="AE120" i="50"/>
  <c r="AF120" i="50"/>
  <c r="AG120" i="50"/>
  <c r="AH120" i="50"/>
  <c r="AI120" i="50"/>
  <c r="AJ120" i="50"/>
  <c r="AK120" i="50"/>
  <c r="AL120" i="50"/>
  <c r="AM120" i="50"/>
  <c r="AN120" i="50"/>
  <c r="AO120" i="50"/>
  <c r="AP120" i="50"/>
  <c r="AQ120" i="50"/>
  <c r="AR120" i="50"/>
  <c r="AS120" i="50"/>
  <c r="AT120" i="50"/>
  <c r="AU120" i="50"/>
  <c r="AW120" i="50"/>
  <c r="AX120" i="50"/>
  <c r="AY120" i="50"/>
  <c r="BA120" i="50"/>
  <c r="BC120" i="50"/>
  <c r="A121" i="50"/>
  <c r="B121" i="50"/>
  <c r="D121" i="50"/>
  <c r="E121" i="50"/>
  <c r="F121" i="50"/>
  <c r="G121" i="50"/>
  <c r="H121" i="50"/>
  <c r="J121" i="50"/>
  <c r="K121" i="50"/>
  <c r="L121" i="50"/>
  <c r="M121" i="50"/>
  <c r="O121" i="50"/>
  <c r="P121" i="50"/>
  <c r="R121" i="50"/>
  <c r="S121" i="50"/>
  <c r="T121" i="50"/>
  <c r="U121" i="50"/>
  <c r="V121" i="50"/>
  <c r="W121" i="50"/>
  <c r="X121" i="50"/>
  <c r="Z121" i="50"/>
  <c r="AA121" i="50"/>
  <c r="AB121" i="50"/>
  <c r="AC121" i="50"/>
  <c r="AD121" i="50"/>
  <c r="AE121" i="50"/>
  <c r="AF121" i="50"/>
  <c r="AG121" i="50"/>
  <c r="AH121" i="50"/>
  <c r="AI121" i="50"/>
  <c r="AJ121" i="50"/>
  <c r="AK121" i="50"/>
  <c r="AL121" i="50"/>
  <c r="AM121" i="50"/>
  <c r="AN121" i="50"/>
  <c r="AO121" i="50"/>
  <c r="AP121" i="50"/>
  <c r="AQ121" i="50"/>
  <c r="AR121" i="50"/>
  <c r="AS121" i="50"/>
  <c r="AT121" i="50"/>
  <c r="AU121" i="50"/>
  <c r="AW121" i="50"/>
  <c r="AX121" i="50"/>
  <c r="AY121" i="50"/>
  <c r="BA121" i="50"/>
  <c r="BC121" i="50"/>
  <c r="A122" i="50"/>
  <c r="B122" i="50"/>
  <c r="D122" i="50"/>
  <c r="E122" i="50"/>
  <c r="F122" i="50"/>
  <c r="G122" i="50"/>
  <c r="H122" i="50"/>
  <c r="J122" i="50"/>
  <c r="K122" i="50"/>
  <c r="L122" i="50"/>
  <c r="M122" i="50"/>
  <c r="O122" i="50"/>
  <c r="P122" i="50"/>
  <c r="R122" i="50"/>
  <c r="S122" i="50"/>
  <c r="T122" i="50"/>
  <c r="U122" i="50"/>
  <c r="V122" i="50"/>
  <c r="W122" i="50"/>
  <c r="X122" i="50"/>
  <c r="Z122" i="50"/>
  <c r="AA122" i="50"/>
  <c r="AB122" i="50"/>
  <c r="AC122" i="50"/>
  <c r="AD122" i="50"/>
  <c r="AE122" i="50"/>
  <c r="AF122" i="50"/>
  <c r="AG122" i="50"/>
  <c r="AH122" i="50"/>
  <c r="AI122" i="50"/>
  <c r="AJ122" i="50"/>
  <c r="AK122" i="50"/>
  <c r="AL122" i="50"/>
  <c r="AM122" i="50"/>
  <c r="AN122" i="50"/>
  <c r="AO122" i="50"/>
  <c r="AP122" i="50"/>
  <c r="AQ122" i="50"/>
  <c r="AR122" i="50"/>
  <c r="AS122" i="50"/>
  <c r="AT122" i="50"/>
  <c r="AU122" i="50"/>
  <c r="AW122" i="50"/>
  <c r="AX122" i="50"/>
  <c r="AY122" i="50"/>
  <c r="BA122" i="50"/>
  <c r="BC122" i="50"/>
  <c r="A123" i="50"/>
  <c r="B123" i="50"/>
  <c r="D123" i="50"/>
  <c r="E123" i="50"/>
  <c r="F123" i="50"/>
  <c r="G123" i="50"/>
  <c r="H123" i="50"/>
  <c r="J123" i="50"/>
  <c r="K123" i="50"/>
  <c r="L123" i="50"/>
  <c r="M123" i="50"/>
  <c r="O123" i="50"/>
  <c r="P123" i="50"/>
  <c r="R123" i="50"/>
  <c r="S123" i="50"/>
  <c r="T123" i="50"/>
  <c r="U123" i="50"/>
  <c r="V123" i="50"/>
  <c r="W123" i="50"/>
  <c r="X123" i="50"/>
  <c r="Z123" i="50"/>
  <c r="AA123" i="50"/>
  <c r="AB123" i="50"/>
  <c r="AC123" i="50"/>
  <c r="AD123" i="50"/>
  <c r="AE123" i="50"/>
  <c r="AF123" i="50"/>
  <c r="AG123" i="50"/>
  <c r="AH123" i="50"/>
  <c r="AI123" i="50"/>
  <c r="AJ123" i="50"/>
  <c r="AK123" i="50"/>
  <c r="AL123" i="50"/>
  <c r="AM123" i="50"/>
  <c r="AN123" i="50"/>
  <c r="AO123" i="50"/>
  <c r="AP123" i="50"/>
  <c r="AQ123" i="50"/>
  <c r="AR123" i="50"/>
  <c r="AS123" i="50"/>
  <c r="AT123" i="50"/>
  <c r="AU123" i="50"/>
  <c r="AW123" i="50"/>
  <c r="AX123" i="50"/>
  <c r="AY123" i="50"/>
  <c r="BA123" i="50"/>
  <c r="BC123" i="50"/>
  <c r="A124" i="50"/>
  <c r="B124" i="50"/>
  <c r="D124" i="50"/>
  <c r="E124" i="50"/>
  <c r="F124" i="50"/>
  <c r="G124" i="50"/>
  <c r="H124" i="50"/>
  <c r="J124" i="50"/>
  <c r="K124" i="50"/>
  <c r="L124" i="50"/>
  <c r="M124" i="50"/>
  <c r="O124" i="50"/>
  <c r="P124" i="50"/>
  <c r="R124" i="50"/>
  <c r="S124" i="50"/>
  <c r="T124" i="50"/>
  <c r="U124" i="50"/>
  <c r="V124" i="50"/>
  <c r="W124" i="50"/>
  <c r="X124" i="50"/>
  <c r="Z124" i="50"/>
  <c r="AA124" i="50"/>
  <c r="AB124" i="50"/>
  <c r="AC124" i="50"/>
  <c r="AD124" i="50"/>
  <c r="AE124" i="50"/>
  <c r="AF124" i="50"/>
  <c r="AG124" i="50"/>
  <c r="AH124" i="50"/>
  <c r="AI124" i="50"/>
  <c r="AJ124" i="50"/>
  <c r="AK124" i="50"/>
  <c r="AL124" i="50"/>
  <c r="AM124" i="50"/>
  <c r="AN124" i="50"/>
  <c r="AO124" i="50"/>
  <c r="AP124" i="50"/>
  <c r="AQ124" i="50"/>
  <c r="AR124" i="50"/>
  <c r="AS124" i="50"/>
  <c r="AT124" i="50"/>
  <c r="AU124" i="50"/>
  <c r="AW124" i="50"/>
  <c r="AX124" i="50"/>
  <c r="AY124" i="50"/>
  <c r="BA124" i="50"/>
  <c r="BC124" i="50"/>
  <c r="A125" i="50"/>
  <c r="B125" i="50"/>
  <c r="D125" i="50"/>
  <c r="E125" i="50"/>
  <c r="F125" i="50"/>
  <c r="G125" i="50"/>
  <c r="H125" i="50"/>
  <c r="J125" i="50"/>
  <c r="K125" i="50"/>
  <c r="L125" i="50"/>
  <c r="M125" i="50"/>
  <c r="O125" i="50"/>
  <c r="P125" i="50"/>
  <c r="R125" i="50"/>
  <c r="S125" i="50"/>
  <c r="T125" i="50"/>
  <c r="U125" i="50"/>
  <c r="V125" i="50"/>
  <c r="W125" i="50"/>
  <c r="X125" i="50"/>
  <c r="Z125" i="50"/>
  <c r="AA125" i="50"/>
  <c r="AB125" i="50"/>
  <c r="AC125" i="50"/>
  <c r="AD125" i="50"/>
  <c r="AE125" i="50"/>
  <c r="AF125" i="50"/>
  <c r="AG125" i="50"/>
  <c r="AH125" i="50"/>
  <c r="AI125" i="50"/>
  <c r="AJ125" i="50"/>
  <c r="AK125" i="50"/>
  <c r="AL125" i="50"/>
  <c r="AM125" i="50"/>
  <c r="AN125" i="50"/>
  <c r="AO125" i="50"/>
  <c r="AP125" i="50"/>
  <c r="AQ125" i="50"/>
  <c r="AR125" i="50"/>
  <c r="AS125" i="50"/>
  <c r="AT125" i="50"/>
  <c r="AU125" i="50"/>
  <c r="AW125" i="50"/>
  <c r="AX125" i="50"/>
  <c r="AY125" i="50"/>
  <c r="BA125" i="50"/>
  <c r="BC125" i="50"/>
  <c r="A126" i="50"/>
  <c r="B126" i="50"/>
  <c r="D126" i="50"/>
  <c r="E126" i="50"/>
  <c r="F126" i="50"/>
  <c r="G126" i="50"/>
  <c r="H126" i="50"/>
  <c r="J126" i="50"/>
  <c r="K126" i="50"/>
  <c r="L126" i="50"/>
  <c r="M126" i="50"/>
  <c r="O126" i="50"/>
  <c r="P126" i="50"/>
  <c r="R126" i="50"/>
  <c r="S126" i="50"/>
  <c r="T126" i="50"/>
  <c r="U126" i="50"/>
  <c r="V126" i="50"/>
  <c r="W126" i="50"/>
  <c r="X126" i="50"/>
  <c r="Z126" i="50"/>
  <c r="AA126" i="50"/>
  <c r="AB126" i="50"/>
  <c r="AC126" i="50"/>
  <c r="AD126" i="50"/>
  <c r="AE126" i="50"/>
  <c r="AF126" i="50"/>
  <c r="AG126" i="50"/>
  <c r="AH126" i="50"/>
  <c r="AI126" i="50"/>
  <c r="AJ126" i="50"/>
  <c r="AK126" i="50"/>
  <c r="AL126" i="50"/>
  <c r="AM126" i="50"/>
  <c r="AN126" i="50"/>
  <c r="AO126" i="50"/>
  <c r="AP126" i="50"/>
  <c r="AQ126" i="50"/>
  <c r="AR126" i="50"/>
  <c r="AS126" i="50"/>
  <c r="AT126" i="50"/>
  <c r="AU126" i="50"/>
  <c r="AW126" i="50"/>
  <c r="AX126" i="50"/>
  <c r="AY126" i="50"/>
  <c r="BA126" i="50"/>
  <c r="BC126" i="50"/>
  <c r="A127" i="50"/>
  <c r="B127" i="50"/>
  <c r="D127" i="50"/>
  <c r="E127" i="50"/>
  <c r="F127" i="50"/>
  <c r="G127" i="50"/>
  <c r="H127" i="50"/>
  <c r="J127" i="50"/>
  <c r="K127" i="50"/>
  <c r="L127" i="50"/>
  <c r="M127" i="50"/>
  <c r="O127" i="50"/>
  <c r="P127" i="50"/>
  <c r="R127" i="50"/>
  <c r="S127" i="50"/>
  <c r="T127" i="50"/>
  <c r="U127" i="50"/>
  <c r="V127" i="50"/>
  <c r="W127" i="50"/>
  <c r="X127" i="50"/>
  <c r="Z127" i="50"/>
  <c r="AA127" i="50"/>
  <c r="AB127" i="50"/>
  <c r="AC127" i="50"/>
  <c r="AD127" i="50"/>
  <c r="AE127" i="50"/>
  <c r="AF127" i="50"/>
  <c r="AG127" i="50"/>
  <c r="AH127" i="50"/>
  <c r="AI127" i="50"/>
  <c r="AJ127" i="50"/>
  <c r="AK127" i="50"/>
  <c r="AL127" i="50"/>
  <c r="AM127" i="50"/>
  <c r="AN127" i="50"/>
  <c r="AO127" i="50"/>
  <c r="AP127" i="50"/>
  <c r="AQ127" i="50"/>
  <c r="AR127" i="50"/>
  <c r="AS127" i="50"/>
  <c r="AT127" i="50"/>
  <c r="AU127" i="50"/>
  <c r="AW127" i="50"/>
  <c r="AX127" i="50"/>
  <c r="AY127" i="50"/>
  <c r="BA127" i="50"/>
  <c r="BC127" i="50"/>
  <c r="A128" i="50"/>
  <c r="B128" i="50"/>
  <c r="D128" i="50"/>
  <c r="E128" i="50"/>
  <c r="F128" i="50"/>
  <c r="G128" i="50"/>
  <c r="H128" i="50"/>
  <c r="J128" i="50"/>
  <c r="K128" i="50"/>
  <c r="L128" i="50"/>
  <c r="M128" i="50"/>
  <c r="O128" i="50"/>
  <c r="P128" i="50"/>
  <c r="R128" i="50"/>
  <c r="S128" i="50"/>
  <c r="T128" i="50"/>
  <c r="U128" i="50"/>
  <c r="V128" i="50"/>
  <c r="W128" i="50"/>
  <c r="X128" i="50"/>
  <c r="Z128" i="50"/>
  <c r="AA128" i="50"/>
  <c r="AB128" i="50"/>
  <c r="AC128" i="50"/>
  <c r="AD128" i="50"/>
  <c r="AE128" i="50"/>
  <c r="AF128" i="50"/>
  <c r="AG128" i="50"/>
  <c r="AH128" i="50"/>
  <c r="AI128" i="50"/>
  <c r="AJ128" i="50"/>
  <c r="AK128" i="50"/>
  <c r="AL128" i="50"/>
  <c r="AM128" i="50"/>
  <c r="AN128" i="50"/>
  <c r="AO128" i="50"/>
  <c r="AP128" i="50"/>
  <c r="AQ128" i="50"/>
  <c r="AR128" i="50"/>
  <c r="AS128" i="50"/>
  <c r="AT128" i="50"/>
  <c r="AU128" i="50"/>
  <c r="AW128" i="50"/>
  <c r="AX128" i="50"/>
  <c r="AY128" i="50"/>
  <c r="BA128" i="50"/>
  <c r="BC128" i="50"/>
  <c r="A129" i="50"/>
  <c r="B129" i="50"/>
  <c r="D129" i="50"/>
  <c r="E129" i="50"/>
  <c r="F129" i="50"/>
  <c r="G129" i="50"/>
  <c r="H129" i="50"/>
  <c r="J129" i="50"/>
  <c r="K129" i="50"/>
  <c r="L129" i="50"/>
  <c r="M129" i="50"/>
  <c r="O129" i="50"/>
  <c r="P129" i="50"/>
  <c r="R129" i="50"/>
  <c r="S129" i="50"/>
  <c r="T129" i="50"/>
  <c r="U129" i="50"/>
  <c r="V129" i="50"/>
  <c r="W129" i="50"/>
  <c r="X129" i="50"/>
  <c r="Z129" i="50"/>
  <c r="AA129" i="50"/>
  <c r="AB129" i="50"/>
  <c r="AC129" i="50"/>
  <c r="AD129" i="50"/>
  <c r="AE129" i="50"/>
  <c r="AF129" i="50"/>
  <c r="AG129" i="50"/>
  <c r="AH129" i="50"/>
  <c r="AI129" i="50"/>
  <c r="AJ129" i="50"/>
  <c r="AK129" i="50"/>
  <c r="AL129" i="50"/>
  <c r="AM129" i="50"/>
  <c r="AN129" i="50"/>
  <c r="AO129" i="50"/>
  <c r="AP129" i="50"/>
  <c r="AQ129" i="50"/>
  <c r="AR129" i="50"/>
  <c r="AS129" i="50"/>
  <c r="AT129" i="50"/>
  <c r="AU129" i="50"/>
  <c r="AW129" i="50"/>
  <c r="AX129" i="50"/>
  <c r="AY129" i="50"/>
  <c r="BA129" i="50"/>
  <c r="BC129" i="50"/>
  <c r="A130" i="50"/>
  <c r="B130" i="50"/>
  <c r="D130" i="50"/>
  <c r="E130" i="50"/>
  <c r="F130" i="50"/>
  <c r="G130" i="50"/>
  <c r="H130" i="50"/>
  <c r="J130" i="50"/>
  <c r="K130" i="50"/>
  <c r="L130" i="50"/>
  <c r="M130" i="50"/>
  <c r="O130" i="50"/>
  <c r="P130" i="50"/>
  <c r="R130" i="50"/>
  <c r="S130" i="50"/>
  <c r="T130" i="50"/>
  <c r="U130" i="50"/>
  <c r="V130" i="50"/>
  <c r="W130" i="50"/>
  <c r="X130" i="50"/>
  <c r="Z130" i="50"/>
  <c r="AA130" i="50"/>
  <c r="AB130" i="50"/>
  <c r="AC130" i="50"/>
  <c r="AD130" i="50"/>
  <c r="AE130" i="50"/>
  <c r="AF130" i="50"/>
  <c r="AG130" i="50"/>
  <c r="AH130" i="50"/>
  <c r="AI130" i="50"/>
  <c r="AJ130" i="50"/>
  <c r="AK130" i="50"/>
  <c r="AL130" i="50"/>
  <c r="AM130" i="50"/>
  <c r="AN130" i="50"/>
  <c r="AO130" i="50"/>
  <c r="AP130" i="50"/>
  <c r="AQ130" i="50"/>
  <c r="AR130" i="50"/>
  <c r="AS130" i="50"/>
  <c r="AT130" i="50"/>
  <c r="AU130" i="50"/>
  <c r="AW130" i="50"/>
  <c r="AX130" i="50"/>
  <c r="AY130" i="50"/>
  <c r="BA130" i="50"/>
  <c r="BC130" i="50"/>
  <c r="A131" i="50"/>
  <c r="B131" i="50"/>
  <c r="D131" i="50"/>
  <c r="E131" i="50"/>
  <c r="F131" i="50"/>
  <c r="G131" i="50"/>
  <c r="H131" i="50"/>
  <c r="J131" i="50"/>
  <c r="K131" i="50"/>
  <c r="L131" i="50"/>
  <c r="M131" i="50"/>
  <c r="O131" i="50"/>
  <c r="P131" i="50"/>
  <c r="R131" i="50"/>
  <c r="S131" i="50"/>
  <c r="T131" i="50"/>
  <c r="U131" i="50"/>
  <c r="V131" i="50"/>
  <c r="W131" i="50"/>
  <c r="X131" i="50"/>
  <c r="Z131" i="50"/>
  <c r="AA131" i="50"/>
  <c r="AB131" i="50"/>
  <c r="AC131" i="50"/>
  <c r="AD131" i="50"/>
  <c r="AE131" i="50"/>
  <c r="AF131" i="50"/>
  <c r="AG131" i="50"/>
  <c r="AH131" i="50"/>
  <c r="AI131" i="50"/>
  <c r="AJ131" i="50"/>
  <c r="AK131" i="50"/>
  <c r="AL131" i="50"/>
  <c r="AM131" i="50"/>
  <c r="AN131" i="50"/>
  <c r="AO131" i="50"/>
  <c r="AP131" i="50"/>
  <c r="AQ131" i="50"/>
  <c r="AR131" i="50"/>
  <c r="AS131" i="50"/>
  <c r="AT131" i="50"/>
  <c r="AU131" i="50"/>
  <c r="AW131" i="50"/>
  <c r="AX131" i="50"/>
  <c r="AY131" i="50"/>
  <c r="BA131" i="50"/>
  <c r="BC131" i="50"/>
  <c r="A132" i="50"/>
  <c r="B132" i="50"/>
  <c r="D132" i="50"/>
  <c r="E132" i="50"/>
  <c r="F132" i="50"/>
  <c r="G132" i="50"/>
  <c r="H132" i="50"/>
  <c r="J132" i="50"/>
  <c r="K132" i="50"/>
  <c r="L132" i="50"/>
  <c r="M132" i="50"/>
  <c r="O132" i="50"/>
  <c r="P132" i="50"/>
  <c r="R132" i="50"/>
  <c r="S132" i="50"/>
  <c r="T132" i="50"/>
  <c r="U132" i="50"/>
  <c r="V132" i="50"/>
  <c r="W132" i="50"/>
  <c r="X132" i="50"/>
  <c r="Z132" i="50"/>
  <c r="AA132" i="50"/>
  <c r="AB132" i="50"/>
  <c r="AC132" i="50"/>
  <c r="AD132" i="50"/>
  <c r="AE132" i="50"/>
  <c r="AF132" i="50"/>
  <c r="AG132" i="50"/>
  <c r="AH132" i="50"/>
  <c r="AI132" i="50"/>
  <c r="AJ132" i="50"/>
  <c r="AK132" i="50"/>
  <c r="AL132" i="50"/>
  <c r="AM132" i="50"/>
  <c r="AN132" i="50"/>
  <c r="AO132" i="50"/>
  <c r="AP132" i="50"/>
  <c r="AQ132" i="50"/>
  <c r="AR132" i="50"/>
  <c r="AS132" i="50"/>
  <c r="AT132" i="50"/>
  <c r="AU132" i="50"/>
  <c r="AW132" i="50"/>
  <c r="AX132" i="50"/>
  <c r="AY132" i="50"/>
  <c r="BA132" i="50"/>
  <c r="BC132" i="50"/>
  <c r="A133" i="50"/>
  <c r="B133" i="50"/>
  <c r="D133" i="50"/>
  <c r="E133" i="50"/>
  <c r="F133" i="50"/>
  <c r="G133" i="50"/>
  <c r="H133" i="50"/>
  <c r="J133" i="50"/>
  <c r="K133" i="50"/>
  <c r="L133" i="50"/>
  <c r="M133" i="50"/>
  <c r="O133" i="50"/>
  <c r="P133" i="50"/>
  <c r="R133" i="50"/>
  <c r="S133" i="50"/>
  <c r="T133" i="50"/>
  <c r="U133" i="50"/>
  <c r="V133" i="50"/>
  <c r="W133" i="50"/>
  <c r="X133" i="50"/>
  <c r="Z133" i="50"/>
  <c r="AA133" i="50"/>
  <c r="AB133" i="50"/>
  <c r="AC133" i="50"/>
  <c r="AD133" i="50"/>
  <c r="AE133" i="50"/>
  <c r="AF133" i="50"/>
  <c r="AG133" i="50"/>
  <c r="AH133" i="50"/>
  <c r="AI133" i="50"/>
  <c r="AJ133" i="50"/>
  <c r="AK133" i="50"/>
  <c r="AL133" i="50"/>
  <c r="AM133" i="50"/>
  <c r="AN133" i="50"/>
  <c r="AO133" i="50"/>
  <c r="AP133" i="50"/>
  <c r="AQ133" i="50"/>
  <c r="AR133" i="50"/>
  <c r="AS133" i="50"/>
  <c r="AT133" i="50"/>
  <c r="AU133" i="50"/>
  <c r="AW133" i="50"/>
  <c r="AX133" i="50"/>
  <c r="AY133" i="50"/>
  <c r="BA133" i="50"/>
  <c r="BC133" i="50"/>
  <c r="A134" i="50"/>
  <c r="B134" i="50"/>
  <c r="D134" i="50"/>
  <c r="E134" i="50"/>
  <c r="F134" i="50"/>
  <c r="G134" i="50"/>
  <c r="H134" i="50"/>
  <c r="J134" i="50"/>
  <c r="K134" i="50"/>
  <c r="L134" i="50"/>
  <c r="M134" i="50"/>
  <c r="O134" i="50"/>
  <c r="P134" i="50"/>
  <c r="R134" i="50"/>
  <c r="S134" i="50"/>
  <c r="T134" i="50"/>
  <c r="U134" i="50"/>
  <c r="V134" i="50"/>
  <c r="W134" i="50"/>
  <c r="X134" i="50"/>
  <c r="Z134" i="50"/>
  <c r="AA134" i="50"/>
  <c r="AB134" i="50"/>
  <c r="AC134" i="50"/>
  <c r="AD134" i="50"/>
  <c r="AE134" i="50"/>
  <c r="AF134" i="50"/>
  <c r="AG134" i="50"/>
  <c r="AH134" i="50"/>
  <c r="AI134" i="50"/>
  <c r="AJ134" i="50"/>
  <c r="AK134" i="50"/>
  <c r="AL134" i="50"/>
  <c r="AM134" i="50"/>
  <c r="AN134" i="50"/>
  <c r="AO134" i="50"/>
  <c r="AP134" i="50"/>
  <c r="AQ134" i="50"/>
  <c r="AR134" i="50"/>
  <c r="AS134" i="50"/>
  <c r="AT134" i="50"/>
  <c r="AU134" i="50"/>
  <c r="AW134" i="50"/>
  <c r="AX134" i="50"/>
  <c r="AY134" i="50"/>
  <c r="BA134" i="50"/>
  <c r="BC134" i="50"/>
  <c r="A135" i="50"/>
  <c r="B135" i="50"/>
  <c r="D135" i="50"/>
  <c r="E135" i="50"/>
  <c r="F135" i="50"/>
  <c r="G135" i="50"/>
  <c r="H135" i="50"/>
  <c r="J135" i="50"/>
  <c r="K135" i="50"/>
  <c r="L135" i="50"/>
  <c r="M135" i="50"/>
  <c r="O135" i="50"/>
  <c r="P135" i="50"/>
  <c r="R135" i="50"/>
  <c r="S135" i="50"/>
  <c r="T135" i="50"/>
  <c r="U135" i="50"/>
  <c r="V135" i="50"/>
  <c r="W135" i="50"/>
  <c r="X135" i="50"/>
  <c r="Z135" i="50"/>
  <c r="AA135" i="50"/>
  <c r="AB135" i="50"/>
  <c r="AC135" i="50"/>
  <c r="AD135" i="50"/>
  <c r="AE135" i="50"/>
  <c r="AF135" i="50"/>
  <c r="AG135" i="50"/>
  <c r="AH135" i="50"/>
  <c r="AI135" i="50"/>
  <c r="AJ135" i="50"/>
  <c r="AK135" i="50"/>
  <c r="AL135" i="50"/>
  <c r="AM135" i="50"/>
  <c r="AN135" i="50"/>
  <c r="AO135" i="50"/>
  <c r="AP135" i="50"/>
  <c r="AQ135" i="50"/>
  <c r="AR135" i="50"/>
  <c r="AS135" i="50"/>
  <c r="AT135" i="50"/>
  <c r="AU135" i="50"/>
  <c r="AW135" i="50"/>
  <c r="AX135" i="50"/>
  <c r="AY135" i="50"/>
  <c r="BA135" i="50"/>
  <c r="BC135" i="50"/>
  <c r="A136" i="50"/>
  <c r="B136" i="50"/>
  <c r="D136" i="50"/>
  <c r="E136" i="50"/>
  <c r="F136" i="50"/>
  <c r="G136" i="50"/>
  <c r="H136" i="50"/>
  <c r="J136" i="50"/>
  <c r="K136" i="50"/>
  <c r="L136" i="50"/>
  <c r="M136" i="50"/>
  <c r="O136" i="50"/>
  <c r="P136" i="50"/>
  <c r="R136" i="50"/>
  <c r="S136" i="50"/>
  <c r="T136" i="50"/>
  <c r="U136" i="50"/>
  <c r="V136" i="50"/>
  <c r="W136" i="50"/>
  <c r="X136" i="50"/>
  <c r="Z136" i="50"/>
  <c r="AA136" i="50"/>
  <c r="AB136" i="50"/>
  <c r="AC136" i="50"/>
  <c r="AD136" i="50"/>
  <c r="AE136" i="50"/>
  <c r="AF136" i="50"/>
  <c r="AG136" i="50"/>
  <c r="AH136" i="50"/>
  <c r="AI136" i="50"/>
  <c r="AJ136" i="50"/>
  <c r="AK136" i="50"/>
  <c r="AL136" i="50"/>
  <c r="AM136" i="50"/>
  <c r="AN136" i="50"/>
  <c r="AO136" i="50"/>
  <c r="AP136" i="50"/>
  <c r="AQ136" i="50"/>
  <c r="AR136" i="50"/>
  <c r="AS136" i="50"/>
  <c r="AT136" i="50"/>
  <c r="AU136" i="50"/>
  <c r="AW136" i="50"/>
  <c r="AX136" i="50"/>
  <c r="AY136" i="50"/>
  <c r="BA136" i="50"/>
  <c r="BC136" i="50"/>
  <c r="A137" i="50"/>
  <c r="B137" i="50"/>
  <c r="D137" i="50"/>
  <c r="E137" i="50"/>
  <c r="F137" i="50"/>
  <c r="G137" i="50"/>
  <c r="H137" i="50"/>
  <c r="J137" i="50"/>
  <c r="K137" i="50"/>
  <c r="L137" i="50"/>
  <c r="M137" i="50"/>
  <c r="O137" i="50"/>
  <c r="P137" i="50"/>
  <c r="R137" i="50"/>
  <c r="S137" i="50"/>
  <c r="T137" i="50"/>
  <c r="U137" i="50"/>
  <c r="V137" i="50"/>
  <c r="W137" i="50"/>
  <c r="X137" i="50"/>
  <c r="Z137" i="50"/>
  <c r="AA137" i="50"/>
  <c r="AB137" i="50"/>
  <c r="AC137" i="50"/>
  <c r="AD137" i="50"/>
  <c r="AE137" i="50"/>
  <c r="AF137" i="50"/>
  <c r="AG137" i="50"/>
  <c r="AH137" i="50"/>
  <c r="AI137" i="50"/>
  <c r="AJ137" i="50"/>
  <c r="AK137" i="50"/>
  <c r="AL137" i="50"/>
  <c r="AM137" i="50"/>
  <c r="AN137" i="50"/>
  <c r="AO137" i="50"/>
  <c r="AP137" i="50"/>
  <c r="AQ137" i="50"/>
  <c r="AR137" i="50"/>
  <c r="AS137" i="50"/>
  <c r="AT137" i="50"/>
  <c r="AU137" i="50"/>
  <c r="AW137" i="50"/>
  <c r="AX137" i="50"/>
  <c r="AY137" i="50"/>
  <c r="BA137" i="50"/>
  <c r="BC137" i="50"/>
  <c r="A138" i="50"/>
  <c r="B138" i="50"/>
  <c r="D138" i="50"/>
  <c r="E138" i="50"/>
  <c r="F138" i="50"/>
  <c r="G138" i="50"/>
  <c r="H138" i="50"/>
  <c r="J138" i="50"/>
  <c r="K138" i="50"/>
  <c r="L138" i="50"/>
  <c r="M138" i="50"/>
  <c r="O138" i="50"/>
  <c r="P138" i="50"/>
  <c r="R138" i="50"/>
  <c r="S138" i="50"/>
  <c r="T138" i="50"/>
  <c r="U138" i="50"/>
  <c r="V138" i="50"/>
  <c r="W138" i="50"/>
  <c r="X138" i="50"/>
  <c r="Z138" i="50"/>
  <c r="AA138" i="50"/>
  <c r="AB138" i="50"/>
  <c r="AC138" i="50"/>
  <c r="AD138" i="50"/>
  <c r="AE138" i="50"/>
  <c r="AF138" i="50"/>
  <c r="AG138" i="50"/>
  <c r="AH138" i="50"/>
  <c r="AI138" i="50"/>
  <c r="AJ138" i="50"/>
  <c r="AK138" i="50"/>
  <c r="AL138" i="50"/>
  <c r="AM138" i="50"/>
  <c r="AN138" i="50"/>
  <c r="AO138" i="50"/>
  <c r="AP138" i="50"/>
  <c r="AQ138" i="50"/>
  <c r="AR138" i="50"/>
  <c r="AS138" i="50"/>
  <c r="AT138" i="50"/>
  <c r="AU138" i="50"/>
  <c r="AW138" i="50"/>
  <c r="AX138" i="50"/>
  <c r="AY138" i="50"/>
  <c r="BA138" i="50"/>
  <c r="BC138" i="50"/>
  <c r="A139" i="50"/>
  <c r="B139" i="50"/>
  <c r="D139" i="50"/>
  <c r="E139" i="50"/>
  <c r="F139" i="50"/>
  <c r="G139" i="50"/>
  <c r="H139" i="50"/>
  <c r="J139" i="50"/>
  <c r="K139" i="50"/>
  <c r="L139" i="50"/>
  <c r="M139" i="50"/>
  <c r="O139" i="50"/>
  <c r="P139" i="50"/>
  <c r="R139" i="50"/>
  <c r="S139" i="50"/>
  <c r="T139" i="50"/>
  <c r="U139" i="50"/>
  <c r="V139" i="50"/>
  <c r="W139" i="50"/>
  <c r="X139" i="50"/>
  <c r="Z139" i="50"/>
  <c r="AA139" i="50"/>
  <c r="AB139" i="50"/>
  <c r="AC139" i="50"/>
  <c r="AD139" i="50"/>
  <c r="AE139" i="50"/>
  <c r="AF139" i="50"/>
  <c r="AG139" i="50"/>
  <c r="AH139" i="50"/>
  <c r="AI139" i="50"/>
  <c r="AJ139" i="50"/>
  <c r="AK139" i="50"/>
  <c r="AL139" i="50"/>
  <c r="AM139" i="50"/>
  <c r="AN139" i="50"/>
  <c r="AO139" i="50"/>
  <c r="AP139" i="50"/>
  <c r="AQ139" i="50"/>
  <c r="AR139" i="50"/>
  <c r="AS139" i="50"/>
  <c r="AT139" i="50"/>
  <c r="AU139" i="50"/>
  <c r="AW139" i="50"/>
  <c r="AX139" i="50"/>
  <c r="AY139" i="50"/>
  <c r="BA139" i="50"/>
  <c r="BC139" i="50"/>
  <c r="A140" i="50"/>
  <c r="B140" i="50"/>
  <c r="D140" i="50"/>
  <c r="E140" i="50"/>
  <c r="F140" i="50"/>
  <c r="G140" i="50"/>
  <c r="H140" i="50"/>
  <c r="J140" i="50"/>
  <c r="K140" i="50"/>
  <c r="L140" i="50"/>
  <c r="M140" i="50"/>
  <c r="O140" i="50"/>
  <c r="P140" i="50"/>
  <c r="R140" i="50"/>
  <c r="S140" i="50"/>
  <c r="T140" i="50"/>
  <c r="U140" i="50"/>
  <c r="V140" i="50"/>
  <c r="W140" i="50"/>
  <c r="X140" i="50"/>
  <c r="Z140" i="50"/>
  <c r="AA140" i="50"/>
  <c r="AB140" i="50"/>
  <c r="AC140" i="50"/>
  <c r="AD140" i="50"/>
  <c r="AE140" i="50"/>
  <c r="AF140" i="50"/>
  <c r="AG140" i="50"/>
  <c r="AH140" i="50"/>
  <c r="AI140" i="50"/>
  <c r="AJ140" i="50"/>
  <c r="AK140" i="50"/>
  <c r="AL140" i="50"/>
  <c r="AM140" i="50"/>
  <c r="AN140" i="50"/>
  <c r="AO140" i="50"/>
  <c r="AP140" i="50"/>
  <c r="AQ140" i="50"/>
  <c r="AR140" i="50"/>
  <c r="AS140" i="50"/>
  <c r="AT140" i="50"/>
  <c r="AU140" i="50"/>
  <c r="AW140" i="50"/>
  <c r="AX140" i="50"/>
  <c r="AY140" i="50"/>
  <c r="BA140" i="50"/>
  <c r="BC140" i="50"/>
  <c r="A141" i="50"/>
  <c r="B141" i="50"/>
  <c r="D141" i="50"/>
  <c r="E141" i="50"/>
  <c r="F141" i="50"/>
  <c r="G141" i="50"/>
  <c r="H141" i="50"/>
  <c r="J141" i="50"/>
  <c r="K141" i="50"/>
  <c r="L141" i="50"/>
  <c r="M141" i="50"/>
  <c r="O141" i="50"/>
  <c r="P141" i="50"/>
  <c r="R141" i="50"/>
  <c r="S141" i="50"/>
  <c r="T141" i="50"/>
  <c r="U141" i="50"/>
  <c r="V141" i="50"/>
  <c r="W141" i="50"/>
  <c r="X141" i="50"/>
  <c r="Z141" i="50"/>
  <c r="AA141" i="50"/>
  <c r="AB141" i="50"/>
  <c r="AC141" i="50"/>
  <c r="AD141" i="50"/>
  <c r="AE141" i="50"/>
  <c r="AF141" i="50"/>
  <c r="AG141" i="50"/>
  <c r="AH141" i="50"/>
  <c r="AI141" i="50"/>
  <c r="AJ141" i="50"/>
  <c r="AK141" i="50"/>
  <c r="AL141" i="50"/>
  <c r="AM141" i="50"/>
  <c r="AN141" i="50"/>
  <c r="AO141" i="50"/>
  <c r="AP141" i="50"/>
  <c r="AQ141" i="50"/>
  <c r="AR141" i="50"/>
  <c r="AS141" i="50"/>
  <c r="AT141" i="50"/>
  <c r="AU141" i="50"/>
  <c r="AW141" i="50"/>
  <c r="AX141" i="50"/>
  <c r="AY141" i="50"/>
  <c r="BA141" i="50"/>
  <c r="BC141" i="50"/>
  <c r="A142" i="50"/>
  <c r="B142" i="50"/>
  <c r="D142" i="50"/>
  <c r="E142" i="50"/>
  <c r="F142" i="50"/>
  <c r="G142" i="50"/>
  <c r="H142" i="50"/>
  <c r="J142" i="50"/>
  <c r="K142" i="50"/>
  <c r="L142" i="50"/>
  <c r="M142" i="50"/>
  <c r="O142" i="50"/>
  <c r="P142" i="50"/>
  <c r="R142" i="50"/>
  <c r="S142" i="50"/>
  <c r="T142" i="50"/>
  <c r="U142" i="50"/>
  <c r="V142" i="50"/>
  <c r="W142" i="50"/>
  <c r="X142" i="50"/>
  <c r="Z142" i="50"/>
  <c r="AA142" i="50"/>
  <c r="AB142" i="50"/>
  <c r="AC142" i="50"/>
  <c r="AD142" i="50"/>
  <c r="AE142" i="50"/>
  <c r="AF142" i="50"/>
  <c r="AG142" i="50"/>
  <c r="AH142" i="50"/>
  <c r="AI142" i="50"/>
  <c r="AJ142" i="50"/>
  <c r="AK142" i="50"/>
  <c r="AL142" i="50"/>
  <c r="AM142" i="50"/>
  <c r="AN142" i="50"/>
  <c r="AO142" i="50"/>
  <c r="AP142" i="50"/>
  <c r="AQ142" i="50"/>
  <c r="AR142" i="50"/>
  <c r="AS142" i="50"/>
  <c r="AT142" i="50"/>
  <c r="AU142" i="50"/>
  <c r="AW142" i="50"/>
  <c r="AX142" i="50"/>
  <c r="AY142" i="50"/>
  <c r="BA142" i="50"/>
  <c r="BC142" i="50"/>
  <c r="A143" i="50"/>
  <c r="B143" i="50"/>
  <c r="D143" i="50"/>
  <c r="E143" i="50"/>
  <c r="F143" i="50"/>
  <c r="G143" i="50"/>
  <c r="H143" i="50"/>
  <c r="J143" i="50"/>
  <c r="K143" i="50"/>
  <c r="L143" i="50"/>
  <c r="M143" i="50"/>
  <c r="O143" i="50"/>
  <c r="P143" i="50"/>
  <c r="R143" i="50"/>
  <c r="S143" i="50"/>
  <c r="T143" i="50"/>
  <c r="U143" i="50"/>
  <c r="V143" i="50"/>
  <c r="W143" i="50"/>
  <c r="X143" i="50"/>
  <c r="Z143" i="50"/>
  <c r="AA143" i="50"/>
  <c r="AB143" i="50"/>
  <c r="AC143" i="50"/>
  <c r="AD143" i="50"/>
  <c r="AE143" i="50"/>
  <c r="AF143" i="50"/>
  <c r="AG143" i="50"/>
  <c r="AH143" i="50"/>
  <c r="AI143" i="50"/>
  <c r="AJ143" i="50"/>
  <c r="AK143" i="50"/>
  <c r="AL143" i="50"/>
  <c r="AM143" i="50"/>
  <c r="AN143" i="50"/>
  <c r="AO143" i="50"/>
  <c r="AP143" i="50"/>
  <c r="AQ143" i="50"/>
  <c r="AR143" i="50"/>
  <c r="AS143" i="50"/>
  <c r="AT143" i="50"/>
  <c r="AU143" i="50"/>
  <c r="AW143" i="50"/>
  <c r="AX143" i="50"/>
  <c r="AY143" i="50"/>
  <c r="BA143" i="50"/>
  <c r="BC143" i="50"/>
  <c r="A144" i="50"/>
  <c r="B144" i="50"/>
  <c r="D144" i="50"/>
  <c r="E144" i="50"/>
  <c r="F144" i="50"/>
  <c r="G144" i="50"/>
  <c r="H144" i="50"/>
  <c r="J144" i="50"/>
  <c r="K144" i="50"/>
  <c r="L144" i="50"/>
  <c r="M144" i="50"/>
  <c r="O144" i="50"/>
  <c r="P144" i="50"/>
  <c r="R144" i="50"/>
  <c r="S144" i="50"/>
  <c r="T144" i="50"/>
  <c r="U144" i="50"/>
  <c r="V144" i="50"/>
  <c r="W144" i="50"/>
  <c r="X144" i="50"/>
  <c r="Z144" i="50"/>
  <c r="AA144" i="50"/>
  <c r="AB144" i="50"/>
  <c r="AC144" i="50"/>
  <c r="AD144" i="50"/>
  <c r="AE144" i="50"/>
  <c r="AF144" i="50"/>
  <c r="AG144" i="50"/>
  <c r="AH144" i="50"/>
  <c r="AI144" i="50"/>
  <c r="AJ144" i="50"/>
  <c r="AK144" i="50"/>
  <c r="AL144" i="50"/>
  <c r="AM144" i="50"/>
  <c r="AN144" i="50"/>
  <c r="AO144" i="50"/>
  <c r="AP144" i="50"/>
  <c r="AQ144" i="50"/>
  <c r="AR144" i="50"/>
  <c r="AS144" i="50"/>
  <c r="AT144" i="50"/>
  <c r="AU144" i="50"/>
  <c r="AW144" i="50"/>
  <c r="AX144" i="50"/>
  <c r="AY144" i="50"/>
  <c r="BA144" i="50"/>
  <c r="BC144" i="50"/>
  <c r="A145" i="50"/>
  <c r="B145" i="50"/>
  <c r="D145" i="50"/>
  <c r="E145" i="50"/>
  <c r="F145" i="50"/>
  <c r="G145" i="50"/>
  <c r="H145" i="50"/>
  <c r="J145" i="50"/>
  <c r="K145" i="50"/>
  <c r="L145" i="50"/>
  <c r="M145" i="50"/>
  <c r="O145" i="50"/>
  <c r="P145" i="50"/>
  <c r="R145" i="50"/>
  <c r="S145" i="50"/>
  <c r="T145" i="50"/>
  <c r="U145" i="50"/>
  <c r="V145" i="50"/>
  <c r="W145" i="50"/>
  <c r="X145" i="50"/>
  <c r="Z145" i="50"/>
  <c r="AA145" i="50"/>
  <c r="AB145" i="50"/>
  <c r="AC145" i="50"/>
  <c r="AD145" i="50"/>
  <c r="AE145" i="50"/>
  <c r="AF145" i="50"/>
  <c r="AG145" i="50"/>
  <c r="AH145" i="50"/>
  <c r="AI145" i="50"/>
  <c r="AJ145" i="50"/>
  <c r="AK145" i="50"/>
  <c r="AL145" i="50"/>
  <c r="AM145" i="50"/>
  <c r="AN145" i="50"/>
  <c r="AO145" i="50"/>
  <c r="AP145" i="50"/>
  <c r="AQ145" i="50"/>
  <c r="AR145" i="50"/>
  <c r="AS145" i="50"/>
  <c r="AT145" i="50"/>
  <c r="AU145" i="50"/>
  <c r="AW145" i="50"/>
  <c r="AX145" i="50"/>
  <c r="AY145" i="50"/>
  <c r="BA145" i="50"/>
  <c r="BC145" i="50"/>
  <c r="A146" i="50"/>
  <c r="B146" i="50"/>
  <c r="D146" i="50"/>
  <c r="E146" i="50"/>
  <c r="F146" i="50"/>
  <c r="G146" i="50"/>
  <c r="H146" i="50"/>
  <c r="J146" i="50"/>
  <c r="K146" i="50"/>
  <c r="L146" i="50"/>
  <c r="M146" i="50"/>
  <c r="O146" i="50"/>
  <c r="P146" i="50"/>
  <c r="R146" i="50"/>
  <c r="S146" i="50"/>
  <c r="T146" i="50"/>
  <c r="U146" i="50"/>
  <c r="V146" i="50"/>
  <c r="W146" i="50"/>
  <c r="X146" i="50"/>
  <c r="Z146" i="50"/>
  <c r="AA146" i="50"/>
  <c r="AB146" i="50"/>
  <c r="AC146" i="50"/>
  <c r="AD146" i="50"/>
  <c r="AE146" i="50"/>
  <c r="AF146" i="50"/>
  <c r="AG146" i="50"/>
  <c r="AH146" i="50"/>
  <c r="AI146" i="50"/>
  <c r="AJ146" i="50"/>
  <c r="AK146" i="50"/>
  <c r="AL146" i="50"/>
  <c r="AM146" i="50"/>
  <c r="AN146" i="50"/>
  <c r="AO146" i="50"/>
  <c r="AP146" i="50"/>
  <c r="AQ146" i="50"/>
  <c r="AR146" i="50"/>
  <c r="AS146" i="50"/>
  <c r="AT146" i="50"/>
  <c r="AU146" i="50"/>
  <c r="AW146" i="50"/>
  <c r="AX146" i="50"/>
  <c r="AY146" i="50"/>
  <c r="BA146" i="50"/>
  <c r="BC146" i="50"/>
  <c r="A147" i="50"/>
  <c r="B147" i="50"/>
  <c r="D147" i="50"/>
  <c r="E147" i="50"/>
  <c r="F147" i="50"/>
  <c r="G147" i="50"/>
  <c r="H147" i="50"/>
  <c r="J147" i="50"/>
  <c r="K147" i="50"/>
  <c r="L147" i="50"/>
  <c r="M147" i="50"/>
  <c r="O147" i="50"/>
  <c r="P147" i="50"/>
  <c r="R147" i="50"/>
  <c r="S147" i="50"/>
  <c r="T147" i="50"/>
  <c r="U147" i="50"/>
  <c r="V147" i="50"/>
  <c r="W147" i="50"/>
  <c r="X147" i="50"/>
  <c r="Z147" i="50"/>
  <c r="AA147" i="50"/>
  <c r="AB147" i="50"/>
  <c r="AC147" i="50"/>
  <c r="AD147" i="50"/>
  <c r="AE147" i="50"/>
  <c r="AF147" i="50"/>
  <c r="AG147" i="50"/>
  <c r="AH147" i="50"/>
  <c r="AI147" i="50"/>
  <c r="AJ147" i="50"/>
  <c r="AK147" i="50"/>
  <c r="AL147" i="50"/>
  <c r="AM147" i="50"/>
  <c r="AN147" i="50"/>
  <c r="AO147" i="50"/>
  <c r="AP147" i="50"/>
  <c r="AQ147" i="50"/>
  <c r="AR147" i="50"/>
  <c r="AS147" i="50"/>
  <c r="AT147" i="50"/>
  <c r="AU147" i="50"/>
  <c r="AW147" i="50"/>
  <c r="AX147" i="50"/>
  <c r="AY147" i="50"/>
  <c r="BA147" i="50"/>
  <c r="BC147" i="50"/>
  <c r="A148" i="50"/>
  <c r="B148" i="50"/>
  <c r="D148" i="50"/>
  <c r="E148" i="50"/>
  <c r="F148" i="50"/>
  <c r="G148" i="50"/>
  <c r="H148" i="50"/>
  <c r="J148" i="50"/>
  <c r="K148" i="50"/>
  <c r="L148" i="50"/>
  <c r="M148" i="50"/>
  <c r="O148" i="50"/>
  <c r="P148" i="50"/>
  <c r="R148" i="50"/>
  <c r="S148" i="50"/>
  <c r="T148" i="50"/>
  <c r="U148" i="50"/>
  <c r="V148" i="50"/>
  <c r="W148" i="50"/>
  <c r="X148" i="50"/>
  <c r="Z148" i="50"/>
  <c r="AA148" i="50"/>
  <c r="AB148" i="50"/>
  <c r="AC148" i="50"/>
  <c r="AD148" i="50"/>
  <c r="AE148" i="50"/>
  <c r="AF148" i="50"/>
  <c r="AG148" i="50"/>
  <c r="AH148" i="50"/>
  <c r="AI148" i="50"/>
  <c r="AJ148" i="50"/>
  <c r="AK148" i="50"/>
  <c r="AL148" i="50"/>
  <c r="AM148" i="50"/>
  <c r="AN148" i="50"/>
  <c r="AO148" i="50"/>
  <c r="AP148" i="50"/>
  <c r="AQ148" i="50"/>
  <c r="AR148" i="50"/>
  <c r="AS148" i="50"/>
  <c r="AT148" i="50"/>
  <c r="AU148" i="50"/>
  <c r="AW148" i="50"/>
  <c r="AX148" i="50"/>
  <c r="AY148" i="50"/>
  <c r="BA148" i="50"/>
  <c r="BC148" i="50"/>
  <c r="A149" i="50"/>
  <c r="B149" i="50"/>
  <c r="D149" i="50"/>
  <c r="E149" i="50"/>
  <c r="F149" i="50"/>
  <c r="G149" i="50"/>
  <c r="H149" i="50"/>
  <c r="J149" i="50"/>
  <c r="K149" i="50"/>
  <c r="L149" i="50"/>
  <c r="M149" i="50"/>
  <c r="O149" i="50"/>
  <c r="P149" i="50"/>
  <c r="R149" i="50"/>
  <c r="S149" i="50"/>
  <c r="T149" i="50"/>
  <c r="U149" i="50"/>
  <c r="V149" i="50"/>
  <c r="W149" i="50"/>
  <c r="X149" i="50"/>
  <c r="Z149" i="50"/>
  <c r="AA149" i="50"/>
  <c r="AB149" i="50"/>
  <c r="AC149" i="50"/>
  <c r="AD149" i="50"/>
  <c r="AE149" i="50"/>
  <c r="AF149" i="50"/>
  <c r="AG149" i="50"/>
  <c r="AH149" i="50"/>
  <c r="AI149" i="50"/>
  <c r="AJ149" i="50"/>
  <c r="AK149" i="50"/>
  <c r="AL149" i="50"/>
  <c r="AM149" i="50"/>
  <c r="AN149" i="50"/>
  <c r="AO149" i="50"/>
  <c r="AP149" i="50"/>
  <c r="AQ149" i="50"/>
  <c r="AR149" i="50"/>
  <c r="AS149" i="50"/>
  <c r="AT149" i="50"/>
  <c r="AU149" i="50"/>
  <c r="AW149" i="50"/>
  <c r="AX149" i="50"/>
  <c r="AY149" i="50"/>
  <c r="BA149" i="50"/>
  <c r="BC149" i="50"/>
  <c r="A150" i="50"/>
  <c r="B150" i="50"/>
  <c r="D150" i="50"/>
  <c r="E150" i="50"/>
  <c r="F150" i="50"/>
  <c r="G150" i="50"/>
  <c r="H150" i="50"/>
  <c r="J150" i="50"/>
  <c r="K150" i="50"/>
  <c r="L150" i="50"/>
  <c r="M150" i="50"/>
  <c r="O150" i="50"/>
  <c r="P150" i="50"/>
  <c r="R150" i="50"/>
  <c r="S150" i="50"/>
  <c r="T150" i="50"/>
  <c r="U150" i="50"/>
  <c r="V150" i="50"/>
  <c r="W150" i="50"/>
  <c r="X150" i="50"/>
  <c r="Z150" i="50"/>
  <c r="AA150" i="50"/>
  <c r="AB150" i="50"/>
  <c r="AC150" i="50"/>
  <c r="AD150" i="50"/>
  <c r="AE150" i="50"/>
  <c r="AF150" i="50"/>
  <c r="AG150" i="50"/>
  <c r="AH150" i="50"/>
  <c r="AI150" i="50"/>
  <c r="AJ150" i="50"/>
  <c r="AK150" i="50"/>
  <c r="AL150" i="50"/>
  <c r="AM150" i="50"/>
  <c r="AN150" i="50"/>
  <c r="AO150" i="50"/>
  <c r="AP150" i="50"/>
  <c r="AQ150" i="50"/>
  <c r="AR150" i="50"/>
  <c r="AS150" i="50"/>
  <c r="AT150" i="50"/>
  <c r="AU150" i="50"/>
  <c r="AW150" i="50"/>
  <c r="AX150" i="50"/>
  <c r="AY150" i="50"/>
  <c r="BA150" i="50"/>
  <c r="BC150" i="50"/>
  <c r="A151" i="50"/>
  <c r="B151" i="50"/>
  <c r="D151" i="50"/>
  <c r="E151" i="50"/>
  <c r="F151" i="50"/>
  <c r="G151" i="50"/>
  <c r="H151" i="50"/>
  <c r="J151" i="50"/>
  <c r="K151" i="50"/>
  <c r="L151" i="50"/>
  <c r="M151" i="50"/>
  <c r="O151" i="50"/>
  <c r="P151" i="50"/>
  <c r="R151" i="50"/>
  <c r="S151" i="50"/>
  <c r="T151" i="50"/>
  <c r="U151" i="50"/>
  <c r="V151" i="50"/>
  <c r="W151" i="50"/>
  <c r="X151" i="50"/>
  <c r="Z151" i="50"/>
  <c r="AA151" i="50"/>
  <c r="AB151" i="50"/>
  <c r="AC151" i="50"/>
  <c r="AD151" i="50"/>
  <c r="AE151" i="50"/>
  <c r="AF151" i="50"/>
  <c r="AG151" i="50"/>
  <c r="AH151" i="50"/>
  <c r="AI151" i="50"/>
  <c r="AJ151" i="50"/>
  <c r="AK151" i="50"/>
  <c r="AL151" i="50"/>
  <c r="AM151" i="50"/>
  <c r="AN151" i="50"/>
  <c r="AO151" i="50"/>
  <c r="AP151" i="50"/>
  <c r="AQ151" i="50"/>
  <c r="AR151" i="50"/>
  <c r="AS151" i="50"/>
  <c r="AT151" i="50"/>
  <c r="AU151" i="50"/>
  <c r="AW151" i="50"/>
  <c r="AX151" i="50"/>
  <c r="AY151" i="50"/>
  <c r="BA151" i="50"/>
  <c r="BC151" i="50"/>
  <c r="A152" i="50"/>
  <c r="B152" i="50"/>
  <c r="D152" i="50"/>
  <c r="E152" i="50"/>
  <c r="F152" i="50"/>
  <c r="G152" i="50"/>
  <c r="H152" i="50"/>
  <c r="J152" i="50"/>
  <c r="K152" i="50"/>
  <c r="L152" i="50"/>
  <c r="M152" i="50"/>
  <c r="O152" i="50"/>
  <c r="P152" i="50"/>
  <c r="R152" i="50"/>
  <c r="S152" i="50"/>
  <c r="T152" i="50"/>
  <c r="U152" i="50"/>
  <c r="V152" i="50"/>
  <c r="W152" i="50"/>
  <c r="X152" i="50"/>
  <c r="Z152" i="50"/>
  <c r="AA152" i="50"/>
  <c r="AB152" i="50"/>
  <c r="AC152" i="50"/>
  <c r="AD152" i="50"/>
  <c r="AE152" i="50"/>
  <c r="AF152" i="50"/>
  <c r="AG152" i="50"/>
  <c r="AH152" i="50"/>
  <c r="AI152" i="50"/>
  <c r="AJ152" i="50"/>
  <c r="AK152" i="50"/>
  <c r="AL152" i="50"/>
  <c r="AM152" i="50"/>
  <c r="AN152" i="50"/>
  <c r="AO152" i="50"/>
  <c r="AP152" i="50"/>
  <c r="AQ152" i="50"/>
  <c r="AR152" i="50"/>
  <c r="AS152" i="50"/>
  <c r="AT152" i="50"/>
  <c r="AU152" i="50"/>
  <c r="AW152" i="50"/>
  <c r="AX152" i="50"/>
  <c r="AY152" i="50"/>
  <c r="BA152" i="50"/>
  <c r="BC152" i="50"/>
  <c r="A153" i="50"/>
  <c r="B153" i="50"/>
  <c r="D153" i="50"/>
  <c r="E153" i="50"/>
  <c r="F153" i="50"/>
  <c r="G153" i="50"/>
  <c r="H153" i="50"/>
  <c r="J153" i="50"/>
  <c r="K153" i="50"/>
  <c r="L153" i="50"/>
  <c r="M153" i="50"/>
  <c r="O153" i="50"/>
  <c r="P153" i="50"/>
  <c r="R153" i="50"/>
  <c r="S153" i="50"/>
  <c r="T153" i="50"/>
  <c r="U153" i="50"/>
  <c r="V153" i="50"/>
  <c r="W153" i="50"/>
  <c r="X153" i="50"/>
  <c r="Z153" i="50"/>
  <c r="AA153" i="50"/>
  <c r="AB153" i="50"/>
  <c r="AC153" i="50"/>
  <c r="AD153" i="50"/>
  <c r="AE153" i="50"/>
  <c r="AF153" i="50"/>
  <c r="AG153" i="50"/>
  <c r="AH153" i="50"/>
  <c r="AI153" i="50"/>
  <c r="AJ153" i="50"/>
  <c r="AK153" i="50"/>
  <c r="AL153" i="50"/>
  <c r="AM153" i="50"/>
  <c r="AN153" i="50"/>
  <c r="AO153" i="50"/>
  <c r="AP153" i="50"/>
  <c r="AQ153" i="50"/>
  <c r="AR153" i="50"/>
  <c r="AS153" i="50"/>
  <c r="AT153" i="50"/>
  <c r="AU153" i="50"/>
  <c r="AW153" i="50"/>
  <c r="AX153" i="50"/>
  <c r="AY153" i="50"/>
  <c r="BA153" i="50"/>
  <c r="BC153" i="50"/>
  <c r="A154" i="50"/>
  <c r="B154" i="50"/>
  <c r="D154" i="50"/>
  <c r="E154" i="50"/>
  <c r="F154" i="50"/>
  <c r="G154" i="50"/>
  <c r="H154" i="50"/>
  <c r="J154" i="50"/>
  <c r="K154" i="50"/>
  <c r="L154" i="50"/>
  <c r="M154" i="50"/>
  <c r="O154" i="50"/>
  <c r="P154" i="50"/>
  <c r="R154" i="50"/>
  <c r="S154" i="50"/>
  <c r="T154" i="50"/>
  <c r="U154" i="50"/>
  <c r="V154" i="50"/>
  <c r="W154" i="50"/>
  <c r="X154" i="50"/>
  <c r="Z154" i="50"/>
  <c r="AA154" i="50"/>
  <c r="AB154" i="50"/>
  <c r="AC154" i="50"/>
  <c r="AD154" i="50"/>
  <c r="AE154" i="50"/>
  <c r="AF154" i="50"/>
  <c r="AG154" i="50"/>
  <c r="AH154" i="50"/>
  <c r="AI154" i="50"/>
  <c r="AJ154" i="50"/>
  <c r="AK154" i="50"/>
  <c r="AL154" i="50"/>
  <c r="AM154" i="50"/>
  <c r="AN154" i="50"/>
  <c r="AO154" i="50"/>
  <c r="AP154" i="50"/>
  <c r="AQ154" i="50"/>
  <c r="AR154" i="50"/>
  <c r="AS154" i="50"/>
  <c r="AT154" i="50"/>
  <c r="AU154" i="50"/>
  <c r="AW154" i="50"/>
  <c r="AX154" i="50"/>
  <c r="AY154" i="50"/>
  <c r="BA154" i="50"/>
  <c r="BC154" i="50"/>
  <c r="A155" i="50"/>
  <c r="B155" i="50"/>
  <c r="D155" i="50"/>
  <c r="E155" i="50"/>
  <c r="F155" i="50"/>
  <c r="G155" i="50"/>
  <c r="H155" i="50"/>
  <c r="J155" i="50"/>
  <c r="K155" i="50"/>
  <c r="L155" i="50"/>
  <c r="M155" i="50"/>
  <c r="O155" i="50"/>
  <c r="P155" i="50"/>
  <c r="R155" i="50"/>
  <c r="S155" i="50"/>
  <c r="T155" i="50"/>
  <c r="U155" i="50"/>
  <c r="V155" i="50"/>
  <c r="W155" i="50"/>
  <c r="X155" i="50"/>
  <c r="Z155" i="50"/>
  <c r="AA155" i="50"/>
  <c r="AB155" i="50"/>
  <c r="AC155" i="50"/>
  <c r="AD155" i="50"/>
  <c r="AE155" i="50"/>
  <c r="AF155" i="50"/>
  <c r="AG155" i="50"/>
  <c r="AH155" i="50"/>
  <c r="AI155" i="50"/>
  <c r="AJ155" i="50"/>
  <c r="AK155" i="50"/>
  <c r="AL155" i="50"/>
  <c r="AM155" i="50"/>
  <c r="AN155" i="50"/>
  <c r="AO155" i="50"/>
  <c r="AP155" i="50"/>
  <c r="AQ155" i="50"/>
  <c r="AR155" i="50"/>
  <c r="AS155" i="50"/>
  <c r="AT155" i="50"/>
  <c r="AU155" i="50"/>
  <c r="AW155" i="50"/>
  <c r="AX155" i="50"/>
  <c r="AY155" i="50"/>
  <c r="BA155" i="50"/>
  <c r="BC155" i="50"/>
  <c r="A156" i="50"/>
  <c r="B156" i="50"/>
  <c r="D156" i="50"/>
  <c r="E156" i="50"/>
  <c r="F156" i="50"/>
  <c r="G156" i="50"/>
  <c r="H156" i="50"/>
  <c r="J156" i="50"/>
  <c r="K156" i="50"/>
  <c r="L156" i="50"/>
  <c r="M156" i="50"/>
  <c r="O156" i="50"/>
  <c r="P156" i="50"/>
  <c r="R156" i="50"/>
  <c r="S156" i="50"/>
  <c r="T156" i="50"/>
  <c r="U156" i="50"/>
  <c r="V156" i="50"/>
  <c r="W156" i="50"/>
  <c r="X156" i="50"/>
  <c r="Z156" i="50"/>
  <c r="AA156" i="50"/>
  <c r="AB156" i="50"/>
  <c r="AC156" i="50"/>
  <c r="AD156" i="50"/>
  <c r="AE156" i="50"/>
  <c r="AF156" i="50"/>
  <c r="AG156" i="50"/>
  <c r="AH156" i="50"/>
  <c r="AI156" i="50"/>
  <c r="AJ156" i="50"/>
  <c r="AK156" i="50"/>
  <c r="AL156" i="50"/>
  <c r="AM156" i="50"/>
  <c r="AN156" i="50"/>
  <c r="AO156" i="50"/>
  <c r="AP156" i="50"/>
  <c r="AQ156" i="50"/>
  <c r="AR156" i="50"/>
  <c r="AS156" i="50"/>
  <c r="AT156" i="50"/>
  <c r="AU156" i="50"/>
  <c r="AW156" i="50"/>
  <c r="AX156" i="50"/>
  <c r="AY156" i="50"/>
  <c r="BA156" i="50"/>
  <c r="BC156" i="50"/>
  <c r="A157" i="50"/>
  <c r="B157" i="50"/>
  <c r="D157" i="50"/>
  <c r="E157" i="50"/>
  <c r="F157" i="50"/>
  <c r="G157" i="50"/>
  <c r="H157" i="50"/>
  <c r="J157" i="50"/>
  <c r="K157" i="50"/>
  <c r="L157" i="50"/>
  <c r="M157" i="50"/>
  <c r="O157" i="50"/>
  <c r="P157" i="50"/>
  <c r="R157" i="50"/>
  <c r="S157" i="50"/>
  <c r="T157" i="50"/>
  <c r="U157" i="50"/>
  <c r="V157" i="50"/>
  <c r="W157" i="50"/>
  <c r="X157" i="50"/>
  <c r="Z157" i="50"/>
  <c r="AA157" i="50"/>
  <c r="AB157" i="50"/>
  <c r="AC157" i="50"/>
  <c r="AD157" i="50"/>
  <c r="AE157" i="50"/>
  <c r="AF157" i="50"/>
  <c r="AG157" i="50"/>
  <c r="AH157" i="50"/>
  <c r="AI157" i="50"/>
  <c r="AJ157" i="50"/>
  <c r="AK157" i="50"/>
  <c r="AL157" i="50"/>
  <c r="AM157" i="50"/>
  <c r="AN157" i="50"/>
  <c r="AO157" i="50"/>
  <c r="AP157" i="50"/>
  <c r="AQ157" i="50"/>
  <c r="AR157" i="50"/>
  <c r="AS157" i="50"/>
  <c r="AT157" i="50"/>
  <c r="AU157" i="50"/>
  <c r="AW157" i="50"/>
  <c r="AX157" i="50"/>
  <c r="AY157" i="50"/>
  <c r="BA157" i="50"/>
  <c r="BC157" i="50"/>
  <c r="A158" i="50"/>
  <c r="B158" i="50"/>
  <c r="D158" i="50"/>
  <c r="E158" i="50"/>
  <c r="F158" i="50"/>
  <c r="G158" i="50"/>
  <c r="H158" i="50"/>
  <c r="J158" i="50"/>
  <c r="K158" i="50"/>
  <c r="L158" i="50"/>
  <c r="M158" i="50"/>
  <c r="O158" i="50"/>
  <c r="P158" i="50"/>
  <c r="R158" i="50"/>
  <c r="S158" i="50"/>
  <c r="T158" i="50"/>
  <c r="U158" i="50"/>
  <c r="V158" i="50"/>
  <c r="W158" i="50"/>
  <c r="X158" i="50"/>
  <c r="Z158" i="50"/>
  <c r="AA158" i="50"/>
  <c r="AB158" i="50"/>
  <c r="AC158" i="50"/>
  <c r="AD158" i="50"/>
  <c r="AE158" i="50"/>
  <c r="AF158" i="50"/>
  <c r="AG158" i="50"/>
  <c r="AH158" i="50"/>
  <c r="AI158" i="50"/>
  <c r="AJ158" i="50"/>
  <c r="AK158" i="50"/>
  <c r="AL158" i="50"/>
  <c r="AM158" i="50"/>
  <c r="AN158" i="50"/>
  <c r="AO158" i="50"/>
  <c r="AP158" i="50"/>
  <c r="AQ158" i="50"/>
  <c r="AR158" i="50"/>
  <c r="AS158" i="50"/>
  <c r="AT158" i="50"/>
  <c r="AU158" i="50"/>
  <c r="AW158" i="50"/>
  <c r="AX158" i="50"/>
  <c r="AY158" i="50"/>
  <c r="BA158" i="50"/>
  <c r="BC158" i="50"/>
  <c r="A159" i="50"/>
  <c r="B159" i="50"/>
  <c r="D159" i="50"/>
  <c r="E159" i="50"/>
  <c r="F159" i="50"/>
  <c r="G159" i="50"/>
  <c r="H159" i="50"/>
  <c r="J159" i="50"/>
  <c r="K159" i="50"/>
  <c r="L159" i="50"/>
  <c r="M159" i="50"/>
  <c r="O159" i="50"/>
  <c r="P159" i="50"/>
  <c r="R159" i="50"/>
  <c r="S159" i="50"/>
  <c r="T159" i="50"/>
  <c r="U159" i="50"/>
  <c r="V159" i="50"/>
  <c r="W159" i="50"/>
  <c r="X159" i="50"/>
  <c r="Z159" i="50"/>
  <c r="AA159" i="50"/>
  <c r="AB159" i="50"/>
  <c r="AC159" i="50"/>
  <c r="AD159" i="50"/>
  <c r="AE159" i="50"/>
  <c r="AF159" i="50"/>
  <c r="AG159" i="50"/>
  <c r="AH159" i="50"/>
  <c r="AI159" i="50"/>
  <c r="AJ159" i="50"/>
  <c r="AK159" i="50"/>
  <c r="AL159" i="50"/>
  <c r="AM159" i="50"/>
  <c r="AN159" i="50"/>
  <c r="AO159" i="50"/>
  <c r="AP159" i="50"/>
  <c r="AQ159" i="50"/>
  <c r="AR159" i="50"/>
  <c r="AS159" i="50"/>
  <c r="AT159" i="50"/>
  <c r="AU159" i="50"/>
  <c r="AW159" i="50"/>
  <c r="AX159" i="50"/>
  <c r="AY159" i="50"/>
  <c r="BA159" i="50"/>
  <c r="BC159" i="50"/>
  <c r="A160" i="50"/>
  <c r="B160" i="50"/>
  <c r="D160" i="50"/>
  <c r="E160" i="50"/>
  <c r="F160" i="50"/>
  <c r="G160" i="50"/>
  <c r="H160" i="50"/>
  <c r="J160" i="50"/>
  <c r="K160" i="50"/>
  <c r="L160" i="50"/>
  <c r="M160" i="50"/>
  <c r="O160" i="50"/>
  <c r="P160" i="50"/>
  <c r="R160" i="50"/>
  <c r="S160" i="50"/>
  <c r="T160" i="50"/>
  <c r="U160" i="50"/>
  <c r="V160" i="50"/>
  <c r="W160" i="50"/>
  <c r="X160" i="50"/>
  <c r="Z160" i="50"/>
  <c r="AA160" i="50"/>
  <c r="AB160" i="50"/>
  <c r="AC160" i="50"/>
  <c r="AD160" i="50"/>
  <c r="AE160" i="50"/>
  <c r="AF160" i="50"/>
  <c r="AG160" i="50"/>
  <c r="AH160" i="50"/>
  <c r="AI160" i="50"/>
  <c r="AJ160" i="50"/>
  <c r="AK160" i="50"/>
  <c r="AL160" i="50"/>
  <c r="AM160" i="50"/>
  <c r="AN160" i="50"/>
  <c r="AO160" i="50"/>
  <c r="AP160" i="50"/>
  <c r="AQ160" i="50"/>
  <c r="AR160" i="50"/>
  <c r="AS160" i="50"/>
  <c r="AT160" i="50"/>
  <c r="AU160" i="50"/>
  <c r="AW160" i="50"/>
  <c r="AX160" i="50"/>
  <c r="AY160" i="50"/>
  <c r="BA160" i="50"/>
  <c r="BC160" i="50"/>
  <c r="A161" i="50"/>
  <c r="B161" i="50"/>
  <c r="D161" i="50"/>
  <c r="E161" i="50"/>
  <c r="F161" i="50"/>
  <c r="G161" i="50"/>
  <c r="H161" i="50"/>
  <c r="J161" i="50"/>
  <c r="K161" i="50"/>
  <c r="L161" i="50"/>
  <c r="M161" i="50"/>
  <c r="O161" i="50"/>
  <c r="P161" i="50"/>
  <c r="R161" i="50"/>
  <c r="S161" i="50"/>
  <c r="T161" i="50"/>
  <c r="U161" i="50"/>
  <c r="V161" i="50"/>
  <c r="W161" i="50"/>
  <c r="X161" i="50"/>
  <c r="Z161" i="50"/>
  <c r="AA161" i="50"/>
  <c r="AB161" i="50"/>
  <c r="AC161" i="50"/>
  <c r="AD161" i="50"/>
  <c r="AE161" i="50"/>
  <c r="AF161" i="50"/>
  <c r="AG161" i="50"/>
  <c r="AH161" i="50"/>
  <c r="AI161" i="50"/>
  <c r="AJ161" i="50"/>
  <c r="AK161" i="50"/>
  <c r="AL161" i="50"/>
  <c r="AM161" i="50"/>
  <c r="AN161" i="50"/>
  <c r="AO161" i="50"/>
  <c r="AP161" i="50"/>
  <c r="AQ161" i="50"/>
  <c r="AR161" i="50"/>
  <c r="AS161" i="50"/>
  <c r="AT161" i="50"/>
  <c r="AU161" i="50"/>
  <c r="AW161" i="50"/>
  <c r="AX161" i="50"/>
  <c r="AY161" i="50"/>
  <c r="BA161" i="50"/>
  <c r="BC161" i="50"/>
  <c r="A162" i="50"/>
  <c r="B162" i="50"/>
  <c r="D162" i="50"/>
  <c r="E162" i="50"/>
  <c r="F162" i="50"/>
  <c r="G162" i="50"/>
  <c r="H162" i="50"/>
  <c r="J162" i="50"/>
  <c r="K162" i="50"/>
  <c r="L162" i="50"/>
  <c r="M162" i="50"/>
  <c r="O162" i="50"/>
  <c r="P162" i="50"/>
  <c r="R162" i="50"/>
  <c r="S162" i="50"/>
  <c r="T162" i="50"/>
  <c r="U162" i="50"/>
  <c r="V162" i="50"/>
  <c r="W162" i="50"/>
  <c r="X162" i="50"/>
  <c r="Z162" i="50"/>
  <c r="AA162" i="50"/>
  <c r="AB162" i="50"/>
  <c r="AC162" i="50"/>
  <c r="AD162" i="50"/>
  <c r="AE162" i="50"/>
  <c r="AF162" i="50"/>
  <c r="AG162" i="50"/>
  <c r="AH162" i="50"/>
  <c r="AI162" i="50"/>
  <c r="AJ162" i="50"/>
  <c r="AK162" i="50"/>
  <c r="AL162" i="50"/>
  <c r="AM162" i="50"/>
  <c r="AN162" i="50"/>
  <c r="AO162" i="50"/>
  <c r="AP162" i="50"/>
  <c r="AQ162" i="50"/>
  <c r="AR162" i="50"/>
  <c r="AS162" i="50"/>
  <c r="AT162" i="50"/>
  <c r="AU162" i="50"/>
  <c r="AW162" i="50"/>
  <c r="AX162" i="50"/>
  <c r="AY162" i="50"/>
  <c r="BA162" i="50"/>
  <c r="BC162" i="50"/>
  <c r="A163" i="50"/>
  <c r="B163" i="50"/>
  <c r="D163" i="50"/>
  <c r="E163" i="50"/>
  <c r="F163" i="50"/>
  <c r="G163" i="50"/>
  <c r="H163" i="50"/>
  <c r="J163" i="50"/>
  <c r="K163" i="50"/>
  <c r="L163" i="50"/>
  <c r="M163" i="50"/>
  <c r="O163" i="50"/>
  <c r="P163" i="50"/>
  <c r="R163" i="50"/>
  <c r="S163" i="50"/>
  <c r="T163" i="50"/>
  <c r="U163" i="50"/>
  <c r="V163" i="50"/>
  <c r="W163" i="50"/>
  <c r="X163" i="50"/>
  <c r="Z163" i="50"/>
  <c r="AA163" i="50"/>
  <c r="AB163" i="50"/>
  <c r="AC163" i="50"/>
  <c r="AD163" i="50"/>
  <c r="AE163" i="50"/>
  <c r="AF163" i="50"/>
  <c r="AG163" i="50"/>
  <c r="AH163" i="50"/>
  <c r="AI163" i="50"/>
  <c r="AJ163" i="50"/>
  <c r="AK163" i="50"/>
  <c r="AL163" i="50"/>
  <c r="AM163" i="50"/>
  <c r="AN163" i="50"/>
  <c r="AO163" i="50"/>
  <c r="AP163" i="50"/>
  <c r="AQ163" i="50"/>
  <c r="AR163" i="50"/>
  <c r="AS163" i="50"/>
  <c r="AT163" i="50"/>
  <c r="AU163" i="50"/>
  <c r="AW163" i="50"/>
  <c r="AX163" i="50"/>
  <c r="AY163" i="50"/>
  <c r="BA163" i="50"/>
  <c r="BC163" i="50"/>
  <c r="A164" i="50"/>
  <c r="B164" i="50"/>
  <c r="D164" i="50"/>
  <c r="E164" i="50"/>
  <c r="F164" i="50"/>
  <c r="G164" i="50"/>
  <c r="H164" i="50"/>
  <c r="J164" i="50"/>
  <c r="K164" i="50"/>
  <c r="L164" i="50"/>
  <c r="M164" i="50"/>
  <c r="O164" i="50"/>
  <c r="P164" i="50"/>
  <c r="R164" i="50"/>
  <c r="S164" i="50"/>
  <c r="T164" i="50"/>
  <c r="U164" i="50"/>
  <c r="V164" i="50"/>
  <c r="W164" i="50"/>
  <c r="X164" i="50"/>
  <c r="Z164" i="50"/>
  <c r="AA164" i="50"/>
  <c r="AB164" i="50"/>
  <c r="AC164" i="50"/>
  <c r="AD164" i="50"/>
  <c r="AE164" i="50"/>
  <c r="AF164" i="50"/>
  <c r="AG164" i="50"/>
  <c r="AH164" i="50"/>
  <c r="AI164" i="50"/>
  <c r="AJ164" i="50"/>
  <c r="AK164" i="50"/>
  <c r="AL164" i="50"/>
  <c r="AM164" i="50"/>
  <c r="AN164" i="50"/>
  <c r="AO164" i="50"/>
  <c r="AP164" i="50"/>
  <c r="AQ164" i="50"/>
  <c r="AR164" i="50"/>
  <c r="AS164" i="50"/>
  <c r="AT164" i="50"/>
  <c r="AU164" i="50"/>
  <c r="AW164" i="50"/>
  <c r="AX164" i="50"/>
  <c r="AY164" i="50"/>
  <c r="BA164" i="50"/>
  <c r="BC164" i="50"/>
  <c r="A165" i="50"/>
  <c r="B165" i="50"/>
  <c r="D165" i="50"/>
  <c r="E165" i="50"/>
  <c r="F165" i="50"/>
  <c r="G165" i="50"/>
  <c r="H165" i="50"/>
  <c r="J165" i="50"/>
  <c r="K165" i="50"/>
  <c r="L165" i="50"/>
  <c r="M165" i="50"/>
  <c r="O165" i="50"/>
  <c r="P165" i="50"/>
  <c r="R165" i="50"/>
  <c r="S165" i="50"/>
  <c r="T165" i="50"/>
  <c r="U165" i="50"/>
  <c r="V165" i="50"/>
  <c r="W165" i="50"/>
  <c r="X165" i="50"/>
  <c r="Z165" i="50"/>
  <c r="AA165" i="50"/>
  <c r="AB165" i="50"/>
  <c r="AC165" i="50"/>
  <c r="AD165" i="50"/>
  <c r="AE165" i="50"/>
  <c r="AF165" i="50"/>
  <c r="AG165" i="50"/>
  <c r="AH165" i="50"/>
  <c r="AI165" i="50"/>
  <c r="AJ165" i="50"/>
  <c r="AK165" i="50"/>
  <c r="AL165" i="50"/>
  <c r="AM165" i="50"/>
  <c r="AN165" i="50"/>
  <c r="AO165" i="50"/>
  <c r="AP165" i="50"/>
  <c r="AQ165" i="50"/>
  <c r="AR165" i="50"/>
  <c r="AS165" i="50"/>
  <c r="AT165" i="50"/>
  <c r="AU165" i="50"/>
  <c r="AW165" i="50"/>
  <c r="AX165" i="50"/>
  <c r="AY165" i="50"/>
  <c r="BA165" i="50"/>
  <c r="BC165" i="50"/>
  <c r="A166" i="50"/>
  <c r="B166" i="50"/>
  <c r="D166" i="50"/>
  <c r="E166" i="50"/>
  <c r="F166" i="50"/>
  <c r="G166" i="50"/>
  <c r="H166" i="50"/>
  <c r="J166" i="50"/>
  <c r="K166" i="50"/>
  <c r="L166" i="50"/>
  <c r="M166" i="50"/>
  <c r="O166" i="50"/>
  <c r="P166" i="50"/>
  <c r="R166" i="50"/>
  <c r="S166" i="50"/>
  <c r="T166" i="50"/>
  <c r="U166" i="50"/>
  <c r="V166" i="50"/>
  <c r="W166" i="50"/>
  <c r="X166" i="50"/>
  <c r="Z166" i="50"/>
  <c r="AA166" i="50"/>
  <c r="AB166" i="50"/>
  <c r="AC166" i="50"/>
  <c r="AD166" i="50"/>
  <c r="AE166" i="50"/>
  <c r="AF166" i="50"/>
  <c r="AG166" i="50"/>
  <c r="AH166" i="50"/>
  <c r="AI166" i="50"/>
  <c r="AJ166" i="50"/>
  <c r="AK166" i="50"/>
  <c r="AL166" i="50"/>
  <c r="AM166" i="50"/>
  <c r="AN166" i="50"/>
  <c r="AO166" i="50"/>
  <c r="AP166" i="50"/>
  <c r="AQ166" i="50"/>
  <c r="AR166" i="50"/>
  <c r="AS166" i="50"/>
  <c r="AT166" i="50"/>
  <c r="AU166" i="50"/>
  <c r="AW166" i="50"/>
  <c r="AX166" i="50"/>
  <c r="AY166" i="50"/>
  <c r="BA166" i="50"/>
  <c r="BC166" i="50"/>
  <c r="A167" i="50"/>
  <c r="B167" i="50"/>
  <c r="D167" i="50"/>
  <c r="E167" i="50"/>
  <c r="F167" i="50"/>
  <c r="G167" i="50"/>
  <c r="H167" i="50"/>
  <c r="J167" i="50"/>
  <c r="K167" i="50"/>
  <c r="L167" i="50"/>
  <c r="M167" i="50"/>
  <c r="O167" i="50"/>
  <c r="P167" i="50"/>
  <c r="R167" i="50"/>
  <c r="S167" i="50"/>
  <c r="T167" i="50"/>
  <c r="U167" i="50"/>
  <c r="V167" i="50"/>
  <c r="W167" i="50"/>
  <c r="X167" i="50"/>
  <c r="Z167" i="50"/>
  <c r="AA167" i="50"/>
  <c r="AB167" i="50"/>
  <c r="AC167" i="50"/>
  <c r="AD167" i="50"/>
  <c r="AE167" i="50"/>
  <c r="AF167" i="50"/>
  <c r="AG167" i="50"/>
  <c r="AH167" i="50"/>
  <c r="AI167" i="50"/>
  <c r="AJ167" i="50"/>
  <c r="AK167" i="50"/>
  <c r="AL167" i="50"/>
  <c r="AM167" i="50"/>
  <c r="AN167" i="50"/>
  <c r="AO167" i="50"/>
  <c r="AP167" i="50"/>
  <c r="AQ167" i="50"/>
  <c r="AR167" i="50"/>
  <c r="AS167" i="50"/>
  <c r="AT167" i="50"/>
  <c r="AU167" i="50"/>
  <c r="AW167" i="50"/>
  <c r="AX167" i="50"/>
  <c r="AY167" i="50"/>
  <c r="BA167" i="50"/>
  <c r="BC167" i="50"/>
  <c r="A168" i="50"/>
  <c r="B168" i="50"/>
  <c r="D168" i="50"/>
  <c r="E168" i="50"/>
  <c r="F168" i="50"/>
  <c r="G168" i="50"/>
  <c r="H168" i="50"/>
  <c r="J168" i="50"/>
  <c r="K168" i="50"/>
  <c r="L168" i="50"/>
  <c r="M168" i="50"/>
  <c r="O168" i="50"/>
  <c r="P168" i="50"/>
  <c r="R168" i="50"/>
  <c r="S168" i="50"/>
  <c r="T168" i="50"/>
  <c r="U168" i="50"/>
  <c r="V168" i="50"/>
  <c r="W168" i="50"/>
  <c r="X168" i="50"/>
  <c r="Z168" i="50"/>
  <c r="AA168" i="50"/>
  <c r="AB168" i="50"/>
  <c r="AC168" i="50"/>
  <c r="AD168" i="50"/>
  <c r="AE168" i="50"/>
  <c r="AF168" i="50"/>
  <c r="AG168" i="50"/>
  <c r="AH168" i="50"/>
  <c r="AI168" i="50"/>
  <c r="AJ168" i="50"/>
  <c r="AK168" i="50"/>
  <c r="AL168" i="50"/>
  <c r="AM168" i="50"/>
  <c r="AN168" i="50"/>
  <c r="AO168" i="50"/>
  <c r="AP168" i="50"/>
  <c r="AQ168" i="50"/>
  <c r="AR168" i="50"/>
  <c r="AS168" i="50"/>
  <c r="AT168" i="50"/>
  <c r="AU168" i="50"/>
  <c r="AW168" i="50"/>
  <c r="AX168" i="50"/>
  <c r="AY168" i="50"/>
  <c r="BA168" i="50"/>
  <c r="BC168" i="50"/>
  <c r="A169" i="50"/>
  <c r="B169" i="50"/>
  <c r="D169" i="50"/>
  <c r="E169" i="50"/>
  <c r="F169" i="50"/>
  <c r="G169" i="50"/>
  <c r="H169" i="50"/>
  <c r="J169" i="50"/>
  <c r="K169" i="50"/>
  <c r="L169" i="50"/>
  <c r="M169" i="50"/>
  <c r="O169" i="50"/>
  <c r="P169" i="50"/>
  <c r="R169" i="50"/>
  <c r="S169" i="50"/>
  <c r="T169" i="50"/>
  <c r="U169" i="50"/>
  <c r="V169" i="50"/>
  <c r="W169" i="50"/>
  <c r="X169" i="50"/>
  <c r="Z169" i="50"/>
  <c r="AA169" i="50"/>
  <c r="AB169" i="50"/>
  <c r="AC169" i="50"/>
  <c r="AD169" i="50"/>
  <c r="AE169" i="50"/>
  <c r="AF169" i="50"/>
  <c r="AG169" i="50"/>
  <c r="AH169" i="50"/>
  <c r="AI169" i="50"/>
  <c r="AJ169" i="50"/>
  <c r="AK169" i="50"/>
  <c r="AL169" i="50"/>
  <c r="AM169" i="50"/>
  <c r="AN169" i="50"/>
  <c r="AO169" i="50"/>
  <c r="AP169" i="50"/>
  <c r="AQ169" i="50"/>
  <c r="AR169" i="50"/>
  <c r="AS169" i="50"/>
  <c r="AT169" i="50"/>
  <c r="AU169" i="50"/>
  <c r="AW169" i="50"/>
  <c r="AX169" i="50"/>
  <c r="AY169" i="50"/>
  <c r="BA169" i="50"/>
  <c r="BC169" i="50"/>
  <c r="A170" i="50"/>
  <c r="B170" i="50"/>
  <c r="D170" i="50"/>
  <c r="E170" i="50"/>
  <c r="F170" i="50"/>
  <c r="G170" i="50"/>
  <c r="H170" i="50"/>
  <c r="J170" i="50"/>
  <c r="K170" i="50"/>
  <c r="L170" i="50"/>
  <c r="M170" i="50"/>
  <c r="O170" i="50"/>
  <c r="P170" i="50"/>
  <c r="R170" i="50"/>
  <c r="S170" i="50"/>
  <c r="T170" i="50"/>
  <c r="U170" i="50"/>
  <c r="V170" i="50"/>
  <c r="W170" i="50"/>
  <c r="X170" i="50"/>
  <c r="Z170" i="50"/>
  <c r="AA170" i="50"/>
  <c r="AB170" i="50"/>
  <c r="AC170" i="50"/>
  <c r="AD170" i="50"/>
  <c r="AE170" i="50"/>
  <c r="AF170" i="50"/>
  <c r="AG170" i="50"/>
  <c r="AH170" i="50"/>
  <c r="AI170" i="50"/>
  <c r="AJ170" i="50"/>
  <c r="AK170" i="50"/>
  <c r="AL170" i="50"/>
  <c r="AM170" i="50"/>
  <c r="AN170" i="50"/>
  <c r="AO170" i="50"/>
  <c r="AP170" i="50"/>
  <c r="AQ170" i="50"/>
  <c r="AR170" i="50"/>
  <c r="AS170" i="50"/>
  <c r="AT170" i="50"/>
  <c r="AU170" i="50"/>
  <c r="AW170" i="50"/>
  <c r="AX170" i="50"/>
  <c r="AY170" i="50"/>
  <c r="BA170" i="50"/>
  <c r="BC170" i="50"/>
  <c r="A171" i="50"/>
  <c r="B171" i="50"/>
  <c r="D171" i="50"/>
  <c r="E171" i="50"/>
  <c r="F171" i="50"/>
  <c r="G171" i="50"/>
  <c r="H171" i="50"/>
  <c r="J171" i="50"/>
  <c r="K171" i="50"/>
  <c r="L171" i="50"/>
  <c r="M171" i="50"/>
  <c r="O171" i="50"/>
  <c r="P171" i="50"/>
  <c r="R171" i="50"/>
  <c r="S171" i="50"/>
  <c r="T171" i="50"/>
  <c r="U171" i="50"/>
  <c r="V171" i="50"/>
  <c r="W171" i="50"/>
  <c r="X171" i="50"/>
  <c r="Z171" i="50"/>
  <c r="AA171" i="50"/>
  <c r="AB171" i="50"/>
  <c r="AC171" i="50"/>
  <c r="AD171" i="50"/>
  <c r="AE171" i="50"/>
  <c r="AF171" i="50"/>
  <c r="AG171" i="50"/>
  <c r="AH171" i="50"/>
  <c r="AI171" i="50"/>
  <c r="AJ171" i="50"/>
  <c r="AK171" i="50"/>
  <c r="AL171" i="50"/>
  <c r="AM171" i="50"/>
  <c r="AN171" i="50"/>
  <c r="AO171" i="50"/>
  <c r="AP171" i="50"/>
  <c r="AQ171" i="50"/>
  <c r="AR171" i="50"/>
  <c r="AS171" i="50"/>
  <c r="AT171" i="50"/>
  <c r="AU171" i="50"/>
  <c r="AW171" i="50"/>
  <c r="AX171" i="50"/>
  <c r="AY171" i="50"/>
  <c r="BA171" i="50"/>
  <c r="BC171" i="50"/>
  <c r="A172" i="50"/>
  <c r="B172" i="50"/>
  <c r="D172" i="50"/>
  <c r="E172" i="50"/>
  <c r="F172" i="50"/>
  <c r="G172" i="50"/>
  <c r="H172" i="50"/>
  <c r="J172" i="50"/>
  <c r="K172" i="50"/>
  <c r="L172" i="50"/>
  <c r="M172" i="50"/>
  <c r="O172" i="50"/>
  <c r="P172" i="50"/>
  <c r="R172" i="50"/>
  <c r="S172" i="50"/>
  <c r="T172" i="50"/>
  <c r="U172" i="50"/>
  <c r="V172" i="50"/>
  <c r="W172" i="50"/>
  <c r="X172" i="50"/>
  <c r="Z172" i="50"/>
  <c r="AA172" i="50"/>
  <c r="AB172" i="50"/>
  <c r="AC172" i="50"/>
  <c r="AD172" i="50"/>
  <c r="AE172" i="50"/>
  <c r="AF172" i="50"/>
  <c r="AG172" i="50"/>
  <c r="AH172" i="50"/>
  <c r="AI172" i="50"/>
  <c r="AJ172" i="50"/>
  <c r="AK172" i="50"/>
  <c r="AL172" i="50"/>
  <c r="AM172" i="50"/>
  <c r="AN172" i="50"/>
  <c r="AO172" i="50"/>
  <c r="AP172" i="50"/>
  <c r="AQ172" i="50"/>
  <c r="AR172" i="50"/>
  <c r="AS172" i="50"/>
  <c r="AT172" i="50"/>
  <c r="AU172" i="50"/>
  <c r="AW172" i="50"/>
  <c r="AX172" i="50"/>
  <c r="AY172" i="50"/>
  <c r="BA172" i="50"/>
  <c r="BC172" i="50"/>
  <c r="A173" i="50"/>
  <c r="B173" i="50"/>
  <c r="D173" i="50"/>
  <c r="E173" i="50"/>
  <c r="F173" i="50"/>
  <c r="G173" i="50"/>
  <c r="H173" i="50"/>
  <c r="J173" i="50"/>
  <c r="K173" i="50"/>
  <c r="L173" i="50"/>
  <c r="M173" i="50"/>
  <c r="O173" i="50"/>
  <c r="P173" i="50"/>
  <c r="R173" i="50"/>
  <c r="S173" i="50"/>
  <c r="T173" i="50"/>
  <c r="U173" i="50"/>
  <c r="V173" i="50"/>
  <c r="W173" i="50"/>
  <c r="X173" i="50"/>
  <c r="Z173" i="50"/>
  <c r="AA173" i="50"/>
  <c r="AB173" i="50"/>
  <c r="AC173" i="50"/>
  <c r="AD173" i="50"/>
  <c r="AE173" i="50"/>
  <c r="AF173" i="50"/>
  <c r="AG173" i="50"/>
  <c r="AH173" i="50"/>
  <c r="AI173" i="50"/>
  <c r="AJ173" i="50"/>
  <c r="AK173" i="50"/>
  <c r="AL173" i="50"/>
  <c r="AM173" i="50"/>
  <c r="AN173" i="50"/>
  <c r="AO173" i="50"/>
  <c r="AP173" i="50"/>
  <c r="AQ173" i="50"/>
  <c r="AR173" i="50"/>
  <c r="AS173" i="50"/>
  <c r="AT173" i="50"/>
  <c r="AU173" i="50"/>
  <c r="AW173" i="50"/>
  <c r="AX173" i="50"/>
  <c r="AY173" i="50"/>
  <c r="BA173" i="50"/>
  <c r="BC173" i="50"/>
  <c r="A174" i="50"/>
  <c r="B174" i="50"/>
  <c r="D174" i="50"/>
  <c r="E174" i="50"/>
  <c r="F174" i="50"/>
  <c r="G174" i="50"/>
  <c r="H174" i="50"/>
  <c r="J174" i="50"/>
  <c r="K174" i="50"/>
  <c r="L174" i="50"/>
  <c r="M174" i="50"/>
  <c r="O174" i="50"/>
  <c r="P174" i="50"/>
  <c r="R174" i="50"/>
  <c r="S174" i="50"/>
  <c r="T174" i="50"/>
  <c r="U174" i="50"/>
  <c r="V174" i="50"/>
  <c r="W174" i="50"/>
  <c r="X174" i="50"/>
  <c r="Z174" i="50"/>
  <c r="AA174" i="50"/>
  <c r="AB174" i="50"/>
  <c r="AC174" i="50"/>
  <c r="AD174" i="50"/>
  <c r="AE174" i="50"/>
  <c r="AF174" i="50"/>
  <c r="AG174" i="50"/>
  <c r="AH174" i="50"/>
  <c r="AI174" i="50"/>
  <c r="AJ174" i="50"/>
  <c r="AK174" i="50"/>
  <c r="AL174" i="50"/>
  <c r="AM174" i="50"/>
  <c r="AN174" i="50"/>
  <c r="AO174" i="50"/>
  <c r="AP174" i="50"/>
  <c r="AQ174" i="50"/>
  <c r="AR174" i="50"/>
  <c r="AS174" i="50"/>
  <c r="AT174" i="50"/>
  <c r="AU174" i="50"/>
  <c r="AW174" i="50"/>
  <c r="AX174" i="50"/>
  <c r="AY174" i="50"/>
  <c r="BA174" i="50"/>
  <c r="A175" i="50"/>
  <c r="B175" i="50"/>
  <c r="D175" i="50"/>
  <c r="E175" i="50"/>
  <c r="F175" i="50"/>
  <c r="G175" i="50"/>
  <c r="H175" i="50"/>
  <c r="J175" i="50"/>
  <c r="K175" i="50"/>
  <c r="L175" i="50"/>
  <c r="M175" i="50"/>
  <c r="O175" i="50"/>
  <c r="P175" i="50"/>
  <c r="R175" i="50"/>
  <c r="S175" i="50"/>
  <c r="T175" i="50"/>
  <c r="U175" i="50"/>
  <c r="V175" i="50"/>
  <c r="W175" i="50"/>
  <c r="X175" i="50"/>
  <c r="Z175" i="50"/>
  <c r="AA175" i="50"/>
  <c r="AB175" i="50"/>
  <c r="AC175" i="50"/>
  <c r="AD175" i="50"/>
  <c r="AE175" i="50"/>
  <c r="AF175" i="50"/>
  <c r="AG175" i="50"/>
  <c r="AH175" i="50"/>
  <c r="AI175" i="50"/>
  <c r="AJ175" i="50"/>
  <c r="AK175" i="50"/>
  <c r="AL175" i="50"/>
  <c r="AM175" i="50"/>
  <c r="AN175" i="50"/>
  <c r="AO175" i="50"/>
  <c r="AP175" i="50"/>
  <c r="AQ175" i="50"/>
  <c r="AR175" i="50"/>
  <c r="AS175" i="50"/>
  <c r="AT175" i="50"/>
  <c r="AU175" i="50"/>
  <c r="AW175" i="50"/>
  <c r="AX175" i="50"/>
  <c r="AY175" i="50"/>
  <c r="BA175" i="50"/>
  <c r="A176" i="50"/>
  <c r="B176" i="50"/>
  <c r="D176" i="50"/>
  <c r="E176" i="50"/>
  <c r="F176" i="50"/>
  <c r="G176" i="50"/>
  <c r="H176" i="50"/>
  <c r="J176" i="50"/>
  <c r="K176" i="50"/>
  <c r="L176" i="50"/>
  <c r="M176" i="50"/>
  <c r="O176" i="50"/>
  <c r="P176" i="50"/>
  <c r="R176" i="50"/>
  <c r="S176" i="50"/>
  <c r="T176" i="50"/>
  <c r="U176" i="50"/>
  <c r="V176" i="50"/>
  <c r="W176" i="50"/>
  <c r="X176" i="50"/>
  <c r="Z176" i="50"/>
  <c r="AA176" i="50"/>
  <c r="AB176" i="50"/>
  <c r="AC176" i="50"/>
  <c r="AD176" i="50"/>
  <c r="AE176" i="50"/>
  <c r="AF176" i="50"/>
  <c r="AG176" i="50"/>
  <c r="AH176" i="50"/>
  <c r="AI176" i="50"/>
  <c r="AJ176" i="50"/>
  <c r="AK176" i="50"/>
  <c r="AL176" i="50"/>
  <c r="AM176" i="50"/>
  <c r="AN176" i="50"/>
  <c r="AO176" i="50"/>
  <c r="AP176" i="50"/>
  <c r="AQ176" i="50"/>
  <c r="AR176" i="50"/>
  <c r="AS176" i="50"/>
  <c r="AT176" i="50"/>
  <c r="AU176" i="50"/>
  <c r="AW176" i="50"/>
  <c r="AX176" i="50"/>
  <c r="AY176" i="50"/>
  <c r="BA176" i="50"/>
  <c r="A177" i="50"/>
  <c r="B177" i="50"/>
  <c r="D177" i="50"/>
  <c r="E177" i="50"/>
  <c r="F177" i="50"/>
  <c r="G177" i="50"/>
  <c r="H177" i="50"/>
  <c r="J177" i="50"/>
  <c r="K177" i="50"/>
  <c r="L177" i="50"/>
  <c r="M177" i="50"/>
  <c r="O177" i="50"/>
  <c r="P177" i="50"/>
  <c r="R177" i="50"/>
  <c r="S177" i="50"/>
  <c r="T177" i="50"/>
  <c r="U177" i="50"/>
  <c r="V177" i="50"/>
  <c r="W177" i="50"/>
  <c r="X177" i="50"/>
  <c r="Z177" i="50"/>
  <c r="AA177" i="50"/>
  <c r="AB177" i="50"/>
  <c r="AC177" i="50"/>
  <c r="AD177" i="50"/>
  <c r="AE177" i="50"/>
  <c r="AF177" i="50"/>
  <c r="AG177" i="50"/>
  <c r="AH177" i="50"/>
  <c r="AI177" i="50"/>
  <c r="AJ177" i="50"/>
  <c r="AK177" i="50"/>
  <c r="AL177" i="50"/>
  <c r="AM177" i="50"/>
  <c r="AN177" i="50"/>
  <c r="AO177" i="50"/>
  <c r="AP177" i="50"/>
  <c r="AQ177" i="50"/>
  <c r="AR177" i="50"/>
  <c r="AS177" i="50"/>
  <c r="AT177" i="50"/>
  <c r="AU177" i="50"/>
  <c r="AW177" i="50"/>
  <c r="AX177" i="50"/>
  <c r="AY177" i="50"/>
  <c r="BA177" i="50"/>
  <c r="A178" i="50"/>
  <c r="B178" i="50"/>
  <c r="D178" i="50"/>
  <c r="E178" i="50"/>
  <c r="F178" i="50"/>
  <c r="G178" i="50"/>
  <c r="H178" i="50"/>
  <c r="J178" i="50"/>
  <c r="K178" i="50"/>
  <c r="L178" i="50"/>
  <c r="M178" i="50"/>
  <c r="O178" i="50"/>
  <c r="P178" i="50"/>
  <c r="R178" i="50"/>
  <c r="S178" i="50"/>
  <c r="T178" i="50"/>
  <c r="U178" i="50"/>
  <c r="V178" i="50"/>
  <c r="W178" i="50"/>
  <c r="X178" i="50"/>
  <c r="Z178" i="50"/>
  <c r="AA178" i="50"/>
  <c r="AB178" i="50"/>
  <c r="AC178" i="50"/>
  <c r="AD178" i="50"/>
  <c r="AE178" i="50"/>
  <c r="AF178" i="50"/>
  <c r="AG178" i="50"/>
  <c r="AH178" i="50"/>
  <c r="AI178" i="50"/>
  <c r="AJ178" i="50"/>
  <c r="AK178" i="50"/>
  <c r="AL178" i="50"/>
  <c r="AM178" i="50"/>
  <c r="AN178" i="50"/>
  <c r="AO178" i="50"/>
  <c r="AP178" i="50"/>
  <c r="AQ178" i="50"/>
  <c r="AR178" i="50"/>
  <c r="AS178" i="50"/>
  <c r="AT178" i="50"/>
  <c r="AU178" i="50"/>
  <c r="AW178" i="50"/>
  <c r="AX178" i="50"/>
  <c r="AY178" i="50"/>
  <c r="BA178" i="50"/>
  <c r="A179" i="50"/>
  <c r="B179" i="50"/>
  <c r="D179" i="50"/>
  <c r="E179" i="50"/>
  <c r="F179" i="50"/>
  <c r="G179" i="50"/>
  <c r="H179" i="50"/>
  <c r="J179" i="50"/>
  <c r="K179" i="50"/>
  <c r="L179" i="50"/>
  <c r="M179" i="50"/>
  <c r="O179" i="50"/>
  <c r="P179" i="50"/>
  <c r="R179" i="50"/>
  <c r="S179" i="50"/>
  <c r="T179" i="50"/>
  <c r="U179" i="50"/>
  <c r="V179" i="50"/>
  <c r="W179" i="50"/>
  <c r="X179" i="50"/>
  <c r="Z179" i="50"/>
  <c r="AA179" i="50"/>
  <c r="AB179" i="50"/>
  <c r="AC179" i="50"/>
  <c r="AD179" i="50"/>
  <c r="AE179" i="50"/>
  <c r="AF179" i="50"/>
  <c r="AG179" i="50"/>
  <c r="AH179" i="50"/>
  <c r="AI179" i="50"/>
  <c r="AJ179" i="50"/>
  <c r="AK179" i="50"/>
  <c r="AL179" i="50"/>
  <c r="AM179" i="50"/>
  <c r="AN179" i="50"/>
  <c r="AO179" i="50"/>
  <c r="AP179" i="50"/>
  <c r="AQ179" i="50"/>
  <c r="AR179" i="50"/>
  <c r="AS179" i="50"/>
  <c r="AT179" i="50"/>
  <c r="AU179" i="50"/>
  <c r="AW179" i="50"/>
  <c r="AX179" i="50"/>
  <c r="AY179" i="50"/>
  <c r="BA179" i="50"/>
  <c r="A180" i="50"/>
  <c r="B180" i="50"/>
  <c r="D180" i="50"/>
  <c r="E180" i="50"/>
  <c r="F180" i="50"/>
  <c r="G180" i="50"/>
  <c r="H180" i="50"/>
  <c r="J180" i="50"/>
  <c r="K180" i="50"/>
  <c r="L180" i="50"/>
  <c r="M180" i="50"/>
  <c r="O180" i="50"/>
  <c r="P180" i="50"/>
  <c r="R180" i="50"/>
  <c r="S180" i="50"/>
  <c r="T180" i="50"/>
  <c r="U180" i="50"/>
  <c r="V180" i="50"/>
  <c r="W180" i="50"/>
  <c r="X180" i="50"/>
  <c r="Z180" i="50"/>
  <c r="AA180" i="50"/>
  <c r="AB180" i="50"/>
  <c r="AC180" i="50"/>
  <c r="AD180" i="50"/>
  <c r="AE180" i="50"/>
  <c r="AF180" i="50"/>
  <c r="AG180" i="50"/>
  <c r="AH180" i="50"/>
  <c r="AI180" i="50"/>
  <c r="AJ180" i="50"/>
  <c r="AK180" i="50"/>
  <c r="AL180" i="50"/>
  <c r="AM180" i="50"/>
  <c r="AN180" i="50"/>
  <c r="AO180" i="50"/>
  <c r="AP180" i="50"/>
  <c r="AQ180" i="50"/>
  <c r="AR180" i="50"/>
  <c r="AS180" i="50"/>
  <c r="AT180" i="50"/>
  <c r="AU180" i="50"/>
  <c r="AW180" i="50"/>
  <c r="AX180" i="50"/>
  <c r="AY180" i="50"/>
  <c r="BA180" i="50"/>
  <c r="A181" i="50"/>
  <c r="B181" i="50"/>
  <c r="D181" i="50"/>
  <c r="E181" i="50"/>
  <c r="F181" i="50"/>
  <c r="G181" i="50"/>
  <c r="H181" i="50"/>
  <c r="J181" i="50"/>
  <c r="K181" i="50"/>
  <c r="L181" i="50"/>
  <c r="M181" i="50"/>
  <c r="O181" i="50"/>
  <c r="P181" i="50"/>
  <c r="R181" i="50"/>
  <c r="S181" i="50"/>
  <c r="T181" i="50"/>
  <c r="U181" i="50"/>
  <c r="V181" i="50"/>
  <c r="W181" i="50"/>
  <c r="X181" i="50"/>
  <c r="Z181" i="50"/>
  <c r="AA181" i="50"/>
  <c r="AB181" i="50"/>
  <c r="AC181" i="50"/>
  <c r="AD181" i="50"/>
  <c r="AE181" i="50"/>
  <c r="AF181" i="50"/>
  <c r="AG181" i="50"/>
  <c r="AH181" i="50"/>
  <c r="AI181" i="50"/>
  <c r="AJ181" i="50"/>
  <c r="AK181" i="50"/>
  <c r="AL181" i="50"/>
  <c r="AM181" i="50"/>
  <c r="AN181" i="50"/>
  <c r="AO181" i="50"/>
  <c r="AP181" i="50"/>
  <c r="AQ181" i="50"/>
  <c r="AR181" i="50"/>
  <c r="AS181" i="50"/>
  <c r="AT181" i="50"/>
  <c r="AU181" i="50"/>
  <c r="AW181" i="50"/>
  <c r="AX181" i="50"/>
  <c r="AY181" i="50"/>
  <c r="BA181" i="50"/>
  <c r="A182" i="50"/>
  <c r="B182" i="50"/>
  <c r="D182" i="50"/>
  <c r="E182" i="50"/>
  <c r="F182" i="50"/>
  <c r="G182" i="50"/>
  <c r="H182" i="50"/>
  <c r="J182" i="50"/>
  <c r="K182" i="50"/>
  <c r="L182" i="50"/>
  <c r="M182" i="50"/>
  <c r="O182" i="50"/>
  <c r="P182" i="50"/>
  <c r="R182" i="50"/>
  <c r="S182" i="50"/>
  <c r="T182" i="50"/>
  <c r="U182" i="50"/>
  <c r="V182" i="50"/>
  <c r="W182" i="50"/>
  <c r="X182" i="50"/>
  <c r="Z182" i="50"/>
  <c r="AA182" i="50"/>
  <c r="AB182" i="50"/>
  <c r="AC182" i="50"/>
  <c r="AD182" i="50"/>
  <c r="AE182" i="50"/>
  <c r="AF182" i="50"/>
  <c r="AG182" i="50"/>
  <c r="AH182" i="50"/>
  <c r="AI182" i="50"/>
  <c r="AJ182" i="50"/>
  <c r="AK182" i="50"/>
  <c r="AL182" i="50"/>
  <c r="AM182" i="50"/>
  <c r="AN182" i="50"/>
  <c r="AO182" i="50"/>
  <c r="AP182" i="50"/>
  <c r="AQ182" i="50"/>
  <c r="AR182" i="50"/>
  <c r="AS182" i="50"/>
  <c r="AT182" i="50"/>
  <c r="AU182" i="50"/>
  <c r="AW182" i="50"/>
  <c r="AX182" i="50"/>
  <c r="AY182" i="50"/>
  <c r="BA182" i="50"/>
  <c r="A183" i="50"/>
  <c r="B183" i="50"/>
  <c r="D183" i="50"/>
  <c r="E183" i="50"/>
  <c r="F183" i="50"/>
  <c r="G183" i="50"/>
  <c r="H183" i="50"/>
  <c r="J183" i="50"/>
  <c r="K183" i="50"/>
  <c r="L183" i="50"/>
  <c r="M183" i="50"/>
  <c r="O183" i="50"/>
  <c r="P183" i="50"/>
  <c r="R183" i="50"/>
  <c r="S183" i="50"/>
  <c r="T183" i="50"/>
  <c r="U183" i="50"/>
  <c r="V183" i="50"/>
  <c r="W183" i="50"/>
  <c r="X183" i="50"/>
  <c r="Z183" i="50"/>
  <c r="AA183" i="50"/>
  <c r="AB183" i="50"/>
  <c r="AC183" i="50"/>
  <c r="AD183" i="50"/>
  <c r="AE183" i="50"/>
  <c r="AF183" i="50"/>
  <c r="AG183" i="50"/>
  <c r="AH183" i="50"/>
  <c r="AI183" i="50"/>
  <c r="AJ183" i="50"/>
  <c r="AK183" i="50"/>
  <c r="AL183" i="50"/>
  <c r="AM183" i="50"/>
  <c r="AN183" i="50"/>
  <c r="AO183" i="50"/>
  <c r="AP183" i="50"/>
  <c r="AQ183" i="50"/>
  <c r="AR183" i="50"/>
  <c r="AS183" i="50"/>
  <c r="AT183" i="50"/>
  <c r="AU183" i="50"/>
  <c r="AW183" i="50"/>
  <c r="AX183" i="50"/>
  <c r="AY183" i="50"/>
  <c r="BA183" i="50"/>
  <c r="A184" i="50"/>
  <c r="B184" i="50"/>
  <c r="D184" i="50"/>
  <c r="E184" i="50"/>
  <c r="F184" i="50"/>
  <c r="G184" i="50"/>
  <c r="H184" i="50"/>
  <c r="J184" i="50"/>
  <c r="K184" i="50"/>
  <c r="L184" i="50"/>
  <c r="M184" i="50"/>
  <c r="O184" i="50"/>
  <c r="P184" i="50"/>
  <c r="R184" i="50"/>
  <c r="S184" i="50"/>
  <c r="T184" i="50"/>
  <c r="U184" i="50"/>
  <c r="V184" i="50"/>
  <c r="W184" i="50"/>
  <c r="X184" i="50"/>
  <c r="Z184" i="50"/>
  <c r="AA184" i="50"/>
  <c r="AB184" i="50"/>
  <c r="AC184" i="50"/>
  <c r="AD184" i="50"/>
  <c r="AE184" i="50"/>
  <c r="AF184" i="50"/>
  <c r="AG184" i="50"/>
  <c r="AH184" i="50"/>
  <c r="AI184" i="50"/>
  <c r="AJ184" i="50"/>
  <c r="AK184" i="50"/>
  <c r="AL184" i="50"/>
  <c r="AM184" i="50"/>
  <c r="AN184" i="50"/>
  <c r="AO184" i="50"/>
  <c r="AP184" i="50"/>
  <c r="AQ184" i="50"/>
  <c r="AR184" i="50"/>
  <c r="AS184" i="50"/>
  <c r="AT184" i="50"/>
  <c r="AU184" i="50"/>
  <c r="AW184" i="50"/>
  <c r="AX184" i="50"/>
  <c r="AY184" i="50"/>
  <c r="BA184" i="50"/>
  <c r="A185" i="50"/>
  <c r="B185" i="50"/>
  <c r="D185" i="50"/>
  <c r="E185" i="50"/>
  <c r="F185" i="50"/>
  <c r="G185" i="50"/>
  <c r="H185" i="50"/>
  <c r="J185" i="50"/>
  <c r="K185" i="50"/>
  <c r="L185" i="50"/>
  <c r="M185" i="50"/>
  <c r="O185" i="50"/>
  <c r="P185" i="50"/>
  <c r="R185" i="50"/>
  <c r="S185" i="50"/>
  <c r="T185" i="50"/>
  <c r="U185" i="50"/>
  <c r="V185" i="50"/>
  <c r="W185" i="50"/>
  <c r="X185" i="50"/>
  <c r="Z185" i="50"/>
  <c r="AA185" i="50"/>
  <c r="AB185" i="50"/>
  <c r="AC185" i="50"/>
  <c r="AD185" i="50"/>
  <c r="AE185" i="50"/>
  <c r="AF185" i="50"/>
  <c r="AG185" i="50"/>
  <c r="AH185" i="50"/>
  <c r="AI185" i="50"/>
  <c r="AJ185" i="50"/>
  <c r="AK185" i="50"/>
  <c r="AL185" i="50"/>
  <c r="AM185" i="50"/>
  <c r="AN185" i="50"/>
  <c r="AO185" i="50"/>
  <c r="AP185" i="50"/>
  <c r="AQ185" i="50"/>
  <c r="AR185" i="50"/>
  <c r="AS185" i="50"/>
  <c r="AT185" i="50"/>
  <c r="AU185" i="50"/>
  <c r="AW185" i="50"/>
  <c r="AX185" i="50"/>
  <c r="AY185" i="50"/>
  <c r="BA185" i="50"/>
  <c r="A186" i="50"/>
  <c r="B186" i="50"/>
  <c r="D186" i="50"/>
  <c r="E186" i="50"/>
  <c r="F186" i="50"/>
  <c r="G186" i="50"/>
  <c r="H186" i="50"/>
  <c r="J186" i="50"/>
  <c r="K186" i="50"/>
  <c r="L186" i="50"/>
  <c r="M186" i="50"/>
  <c r="O186" i="50"/>
  <c r="P186" i="50"/>
  <c r="R186" i="50"/>
  <c r="S186" i="50"/>
  <c r="T186" i="50"/>
  <c r="U186" i="50"/>
  <c r="V186" i="50"/>
  <c r="W186" i="50"/>
  <c r="X186" i="50"/>
  <c r="Z186" i="50"/>
  <c r="AA186" i="50"/>
  <c r="AB186" i="50"/>
  <c r="AC186" i="50"/>
  <c r="AD186" i="50"/>
  <c r="AE186" i="50"/>
  <c r="AF186" i="50"/>
  <c r="AG186" i="50"/>
  <c r="AH186" i="50"/>
  <c r="AI186" i="50"/>
  <c r="AJ186" i="50"/>
  <c r="AK186" i="50"/>
  <c r="AL186" i="50"/>
  <c r="AM186" i="50"/>
  <c r="AN186" i="50"/>
  <c r="AO186" i="50"/>
  <c r="AP186" i="50"/>
  <c r="AQ186" i="50"/>
  <c r="AR186" i="50"/>
  <c r="AS186" i="50"/>
  <c r="AT186" i="50"/>
  <c r="AU186" i="50"/>
  <c r="AW186" i="50"/>
  <c r="AX186" i="50"/>
  <c r="AY186" i="50"/>
  <c r="BA186" i="50"/>
  <c r="A187" i="50"/>
  <c r="B187" i="50"/>
  <c r="D187" i="50"/>
  <c r="E187" i="50"/>
  <c r="F187" i="50"/>
  <c r="G187" i="50"/>
  <c r="H187" i="50"/>
  <c r="J187" i="50"/>
  <c r="K187" i="50"/>
  <c r="L187" i="50"/>
  <c r="M187" i="50"/>
  <c r="O187" i="50"/>
  <c r="P187" i="50"/>
  <c r="R187" i="50"/>
  <c r="S187" i="50"/>
  <c r="T187" i="50"/>
  <c r="U187" i="50"/>
  <c r="V187" i="50"/>
  <c r="W187" i="50"/>
  <c r="X187" i="50"/>
  <c r="Z187" i="50"/>
  <c r="AA187" i="50"/>
  <c r="AB187" i="50"/>
  <c r="AC187" i="50"/>
  <c r="AD187" i="50"/>
  <c r="AE187" i="50"/>
  <c r="AF187" i="50"/>
  <c r="AG187" i="50"/>
  <c r="AH187" i="50"/>
  <c r="AI187" i="50"/>
  <c r="AJ187" i="50"/>
  <c r="AK187" i="50"/>
  <c r="AL187" i="50"/>
  <c r="AM187" i="50"/>
  <c r="AN187" i="50"/>
  <c r="AO187" i="50"/>
  <c r="AP187" i="50"/>
  <c r="AQ187" i="50"/>
  <c r="AR187" i="50"/>
  <c r="AS187" i="50"/>
  <c r="AT187" i="50"/>
  <c r="AU187" i="50"/>
  <c r="AW187" i="50"/>
  <c r="AX187" i="50"/>
  <c r="AY187" i="50"/>
  <c r="BA187" i="50"/>
  <c r="A188" i="50"/>
  <c r="B188" i="50"/>
  <c r="D188" i="50"/>
  <c r="E188" i="50"/>
  <c r="F188" i="50"/>
  <c r="G188" i="50"/>
  <c r="H188" i="50"/>
  <c r="J188" i="50"/>
  <c r="K188" i="50"/>
  <c r="L188" i="50"/>
  <c r="M188" i="50"/>
  <c r="O188" i="50"/>
  <c r="P188" i="50"/>
  <c r="R188" i="50"/>
  <c r="S188" i="50"/>
  <c r="T188" i="50"/>
  <c r="U188" i="50"/>
  <c r="V188" i="50"/>
  <c r="W188" i="50"/>
  <c r="X188" i="50"/>
  <c r="Z188" i="50"/>
  <c r="AA188" i="50"/>
  <c r="AB188" i="50"/>
  <c r="AC188" i="50"/>
  <c r="AD188" i="50"/>
  <c r="AE188" i="50"/>
  <c r="AF188" i="50"/>
  <c r="AG188" i="50"/>
  <c r="AH188" i="50"/>
  <c r="AI188" i="50"/>
  <c r="AJ188" i="50"/>
  <c r="AK188" i="50"/>
  <c r="AL188" i="50"/>
  <c r="AM188" i="50"/>
  <c r="AN188" i="50"/>
  <c r="AO188" i="50"/>
  <c r="AP188" i="50"/>
  <c r="AQ188" i="50"/>
  <c r="AR188" i="50"/>
  <c r="AS188" i="50"/>
  <c r="AT188" i="50"/>
  <c r="AU188" i="50"/>
  <c r="AW188" i="50"/>
  <c r="AX188" i="50"/>
  <c r="AY188" i="50"/>
  <c r="BA188" i="50"/>
  <c r="A189" i="50"/>
  <c r="B189" i="50"/>
  <c r="D189" i="50"/>
  <c r="E189" i="50"/>
  <c r="F189" i="50"/>
  <c r="G189" i="50"/>
  <c r="H189" i="50"/>
  <c r="J189" i="50"/>
  <c r="K189" i="50"/>
  <c r="L189" i="50"/>
  <c r="M189" i="50"/>
  <c r="O189" i="50"/>
  <c r="P189" i="50"/>
  <c r="R189" i="50"/>
  <c r="S189" i="50"/>
  <c r="T189" i="50"/>
  <c r="U189" i="50"/>
  <c r="V189" i="50"/>
  <c r="W189" i="50"/>
  <c r="X189" i="50"/>
  <c r="Z189" i="50"/>
  <c r="AA189" i="50"/>
  <c r="AB189" i="50"/>
  <c r="AC189" i="50"/>
  <c r="AD189" i="50"/>
  <c r="AE189" i="50"/>
  <c r="AF189" i="50"/>
  <c r="AG189" i="50"/>
  <c r="AH189" i="50"/>
  <c r="AI189" i="50"/>
  <c r="AJ189" i="50"/>
  <c r="AK189" i="50"/>
  <c r="AL189" i="50"/>
  <c r="AM189" i="50"/>
  <c r="AN189" i="50"/>
  <c r="AO189" i="50"/>
  <c r="AP189" i="50"/>
  <c r="AQ189" i="50"/>
  <c r="AR189" i="50"/>
  <c r="AS189" i="50"/>
  <c r="AT189" i="50"/>
  <c r="AU189" i="50"/>
  <c r="AW189" i="50"/>
  <c r="AX189" i="50"/>
  <c r="AY189" i="50"/>
  <c r="BA189" i="50"/>
  <c r="A190" i="50"/>
  <c r="B190" i="50"/>
  <c r="D190" i="50"/>
  <c r="E190" i="50"/>
  <c r="F190" i="50"/>
  <c r="G190" i="50"/>
  <c r="H190" i="50"/>
  <c r="J190" i="50"/>
  <c r="K190" i="50"/>
  <c r="L190" i="50"/>
  <c r="M190" i="50"/>
  <c r="O190" i="50"/>
  <c r="P190" i="50"/>
  <c r="R190" i="50"/>
  <c r="S190" i="50"/>
  <c r="T190" i="50"/>
  <c r="U190" i="50"/>
  <c r="V190" i="50"/>
  <c r="W190" i="50"/>
  <c r="X190" i="50"/>
  <c r="Z190" i="50"/>
  <c r="AA190" i="50"/>
  <c r="AB190" i="50"/>
  <c r="AC190" i="50"/>
  <c r="AD190" i="50"/>
  <c r="AE190" i="50"/>
  <c r="AF190" i="50"/>
  <c r="AG190" i="50"/>
  <c r="AH190" i="50"/>
  <c r="AI190" i="50"/>
  <c r="AJ190" i="50"/>
  <c r="AK190" i="50"/>
  <c r="AL190" i="50"/>
  <c r="AM190" i="50"/>
  <c r="AN190" i="50"/>
  <c r="AO190" i="50"/>
  <c r="AP190" i="50"/>
  <c r="AQ190" i="50"/>
  <c r="AR190" i="50"/>
  <c r="AS190" i="50"/>
  <c r="AT190" i="50"/>
  <c r="AU190" i="50"/>
  <c r="AW190" i="50"/>
  <c r="AX190" i="50"/>
  <c r="AY190" i="50"/>
  <c r="BA190" i="50"/>
  <c r="A191" i="50"/>
  <c r="B191" i="50"/>
  <c r="D191" i="50"/>
  <c r="E191" i="50"/>
  <c r="F191" i="50"/>
  <c r="G191" i="50"/>
  <c r="H191" i="50"/>
  <c r="J191" i="50"/>
  <c r="K191" i="50"/>
  <c r="L191" i="50"/>
  <c r="M191" i="50"/>
  <c r="O191" i="50"/>
  <c r="P191" i="50"/>
  <c r="R191" i="50"/>
  <c r="S191" i="50"/>
  <c r="T191" i="50"/>
  <c r="U191" i="50"/>
  <c r="V191" i="50"/>
  <c r="W191" i="50"/>
  <c r="X191" i="50"/>
  <c r="Z191" i="50"/>
  <c r="AA191" i="50"/>
  <c r="AB191" i="50"/>
  <c r="AC191" i="50"/>
  <c r="AD191" i="50"/>
  <c r="AE191" i="50"/>
  <c r="AF191" i="50"/>
  <c r="AG191" i="50"/>
  <c r="AH191" i="50"/>
  <c r="AI191" i="50"/>
  <c r="AJ191" i="50"/>
  <c r="AK191" i="50"/>
  <c r="AL191" i="50"/>
  <c r="AM191" i="50"/>
  <c r="AN191" i="50"/>
  <c r="AO191" i="50"/>
  <c r="AP191" i="50"/>
  <c r="AQ191" i="50"/>
  <c r="AR191" i="50"/>
  <c r="AS191" i="50"/>
  <c r="AT191" i="50"/>
  <c r="AU191" i="50"/>
  <c r="AW191" i="50"/>
  <c r="AX191" i="50"/>
  <c r="AY191" i="50"/>
  <c r="BA191" i="50"/>
  <c r="A192" i="50"/>
  <c r="B192" i="50"/>
  <c r="D192" i="50"/>
  <c r="E192" i="50"/>
  <c r="F192" i="50"/>
  <c r="G192" i="50"/>
  <c r="H192" i="50"/>
  <c r="J192" i="50"/>
  <c r="K192" i="50"/>
  <c r="L192" i="50"/>
  <c r="M192" i="50"/>
  <c r="O192" i="50"/>
  <c r="P192" i="50"/>
  <c r="R192" i="50"/>
  <c r="S192" i="50"/>
  <c r="T192" i="50"/>
  <c r="U192" i="50"/>
  <c r="V192" i="50"/>
  <c r="W192" i="50"/>
  <c r="X192" i="50"/>
  <c r="Z192" i="50"/>
  <c r="AA192" i="50"/>
  <c r="AB192" i="50"/>
  <c r="AC192" i="50"/>
  <c r="AD192" i="50"/>
  <c r="AE192" i="50"/>
  <c r="AF192" i="50"/>
  <c r="AG192" i="50"/>
  <c r="AH192" i="50"/>
  <c r="AI192" i="50"/>
  <c r="AJ192" i="50"/>
  <c r="AK192" i="50"/>
  <c r="AL192" i="50"/>
  <c r="AM192" i="50"/>
  <c r="AN192" i="50"/>
  <c r="AO192" i="50"/>
  <c r="AP192" i="50"/>
  <c r="AQ192" i="50"/>
  <c r="AR192" i="50"/>
  <c r="AS192" i="50"/>
  <c r="AT192" i="50"/>
  <c r="AU192" i="50"/>
  <c r="AW192" i="50"/>
  <c r="AX192" i="50"/>
  <c r="AY192" i="50"/>
  <c r="BA192" i="50"/>
  <c r="A193" i="50"/>
  <c r="B193" i="50"/>
  <c r="D193" i="50"/>
  <c r="E193" i="50"/>
  <c r="F193" i="50"/>
  <c r="G193" i="50"/>
  <c r="H193" i="50"/>
  <c r="J193" i="50"/>
  <c r="K193" i="50"/>
  <c r="L193" i="50"/>
  <c r="M193" i="50"/>
  <c r="O193" i="50"/>
  <c r="P193" i="50"/>
  <c r="R193" i="50"/>
  <c r="S193" i="50"/>
  <c r="T193" i="50"/>
  <c r="U193" i="50"/>
  <c r="V193" i="50"/>
  <c r="W193" i="50"/>
  <c r="X193" i="50"/>
  <c r="Z193" i="50"/>
  <c r="AA193" i="50"/>
  <c r="AB193" i="50"/>
  <c r="AC193" i="50"/>
  <c r="AD193" i="50"/>
  <c r="AE193" i="50"/>
  <c r="AF193" i="50"/>
  <c r="AG193" i="50"/>
  <c r="AH193" i="50"/>
  <c r="AI193" i="50"/>
  <c r="AJ193" i="50"/>
  <c r="AK193" i="50"/>
  <c r="AL193" i="50"/>
  <c r="AM193" i="50"/>
  <c r="AN193" i="50"/>
  <c r="AO193" i="50"/>
  <c r="AP193" i="50"/>
  <c r="AQ193" i="50"/>
  <c r="AR193" i="50"/>
  <c r="AS193" i="50"/>
  <c r="AT193" i="50"/>
  <c r="AU193" i="50"/>
  <c r="AW193" i="50"/>
  <c r="AX193" i="50"/>
  <c r="AY193" i="50"/>
  <c r="BA193" i="50"/>
  <c r="A194" i="50"/>
  <c r="B194" i="50"/>
  <c r="D194" i="50"/>
  <c r="E194" i="50"/>
  <c r="F194" i="50"/>
  <c r="G194" i="50"/>
  <c r="H194" i="50"/>
  <c r="J194" i="50"/>
  <c r="K194" i="50"/>
  <c r="L194" i="50"/>
  <c r="M194" i="50"/>
  <c r="O194" i="50"/>
  <c r="P194" i="50"/>
  <c r="R194" i="50"/>
  <c r="S194" i="50"/>
  <c r="T194" i="50"/>
  <c r="U194" i="50"/>
  <c r="V194" i="50"/>
  <c r="W194" i="50"/>
  <c r="X194" i="50"/>
  <c r="Z194" i="50"/>
  <c r="AA194" i="50"/>
  <c r="AB194" i="50"/>
  <c r="AC194" i="50"/>
  <c r="AD194" i="50"/>
  <c r="AE194" i="50"/>
  <c r="AF194" i="50"/>
  <c r="AG194" i="50"/>
  <c r="AH194" i="50"/>
  <c r="AI194" i="50"/>
  <c r="AJ194" i="50"/>
  <c r="AK194" i="50"/>
  <c r="AL194" i="50"/>
  <c r="AM194" i="50"/>
  <c r="AN194" i="50"/>
  <c r="AO194" i="50"/>
  <c r="AP194" i="50"/>
  <c r="AQ194" i="50"/>
  <c r="AR194" i="50"/>
  <c r="AS194" i="50"/>
  <c r="AT194" i="50"/>
  <c r="AU194" i="50"/>
  <c r="AW194" i="50"/>
  <c r="AX194" i="50"/>
  <c r="AY194" i="50"/>
  <c r="BA194" i="50"/>
  <c r="A195" i="50"/>
  <c r="B195" i="50"/>
  <c r="D195" i="50"/>
  <c r="E195" i="50"/>
  <c r="F195" i="50"/>
  <c r="G195" i="50"/>
  <c r="H195" i="50"/>
  <c r="J195" i="50"/>
  <c r="K195" i="50"/>
  <c r="L195" i="50"/>
  <c r="M195" i="50"/>
  <c r="O195" i="50"/>
  <c r="P195" i="50"/>
  <c r="R195" i="50"/>
  <c r="S195" i="50"/>
  <c r="T195" i="50"/>
  <c r="U195" i="50"/>
  <c r="V195" i="50"/>
  <c r="W195" i="50"/>
  <c r="X195" i="50"/>
  <c r="Z195" i="50"/>
  <c r="AA195" i="50"/>
  <c r="AB195" i="50"/>
  <c r="AC195" i="50"/>
  <c r="AD195" i="50"/>
  <c r="AE195" i="50"/>
  <c r="AF195" i="50"/>
  <c r="AG195" i="50"/>
  <c r="AH195" i="50"/>
  <c r="AI195" i="50"/>
  <c r="AJ195" i="50"/>
  <c r="AK195" i="50"/>
  <c r="AL195" i="50"/>
  <c r="AM195" i="50"/>
  <c r="AN195" i="50"/>
  <c r="AO195" i="50"/>
  <c r="AP195" i="50"/>
  <c r="AQ195" i="50"/>
  <c r="AR195" i="50"/>
  <c r="AS195" i="50"/>
  <c r="AT195" i="50"/>
  <c r="AU195" i="50"/>
  <c r="AW195" i="50"/>
  <c r="AX195" i="50"/>
  <c r="AY195" i="50"/>
  <c r="BA195" i="50"/>
  <c r="A196" i="50"/>
  <c r="B196" i="50"/>
  <c r="D196" i="50"/>
  <c r="E196" i="50"/>
  <c r="F196" i="50"/>
  <c r="G196" i="50"/>
  <c r="H196" i="50"/>
  <c r="J196" i="50"/>
  <c r="K196" i="50"/>
  <c r="L196" i="50"/>
  <c r="M196" i="50"/>
  <c r="O196" i="50"/>
  <c r="P196" i="50"/>
  <c r="R196" i="50"/>
  <c r="S196" i="50"/>
  <c r="T196" i="50"/>
  <c r="U196" i="50"/>
  <c r="V196" i="50"/>
  <c r="W196" i="50"/>
  <c r="X196" i="50"/>
  <c r="Z196" i="50"/>
  <c r="AA196" i="50"/>
  <c r="AB196" i="50"/>
  <c r="AC196" i="50"/>
  <c r="AD196" i="50"/>
  <c r="AE196" i="50"/>
  <c r="AF196" i="50"/>
  <c r="AG196" i="50"/>
  <c r="AH196" i="50"/>
  <c r="AI196" i="50"/>
  <c r="AJ196" i="50"/>
  <c r="AK196" i="50"/>
  <c r="AL196" i="50"/>
  <c r="AM196" i="50"/>
  <c r="AN196" i="50"/>
  <c r="AO196" i="50"/>
  <c r="AP196" i="50"/>
  <c r="AQ196" i="50"/>
  <c r="AR196" i="50"/>
  <c r="AS196" i="50"/>
  <c r="AT196" i="50"/>
  <c r="AU196" i="50"/>
  <c r="AW196" i="50"/>
  <c r="AX196" i="50"/>
  <c r="AY196" i="50"/>
  <c r="BA196" i="50"/>
  <c r="A197" i="50"/>
  <c r="B197" i="50"/>
  <c r="D197" i="50"/>
  <c r="E197" i="50"/>
  <c r="F197" i="50"/>
  <c r="G197" i="50"/>
  <c r="H197" i="50"/>
  <c r="J197" i="50"/>
  <c r="K197" i="50"/>
  <c r="L197" i="50"/>
  <c r="M197" i="50"/>
  <c r="O197" i="50"/>
  <c r="P197" i="50"/>
  <c r="R197" i="50"/>
  <c r="S197" i="50"/>
  <c r="T197" i="50"/>
  <c r="U197" i="50"/>
  <c r="V197" i="50"/>
  <c r="W197" i="50"/>
  <c r="X197" i="50"/>
  <c r="Z197" i="50"/>
  <c r="AA197" i="50"/>
  <c r="AB197" i="50"/>
  <c r="AC197" i="50"/>
  <c r="AD197" i="50"/>
  <c r="AE197" i="50"/>
  <c r="AF197" i="50"/>
  <c r="AG197" i="50"/>
  <c r="AH197" i="50"/>
  <c r="AI197" i="50"/>
  <c r="AJ197" i="50"/>
  <c r="AK197" i="50"/>
  <c r="AL197" i="50"/>
  <c r="AM197" i="50"/>
  <c r="AN197" i="50"/>
  <c r="AO197" i="50"/>
  <c r="AP197" i="50"/>
  <c r="AQ197" i="50"/>
  <c r="AR197" i="50"/>
  <c r="AS197" i="50"/>
  <c r="AT197" i="50"/>
  <c r="AU197" i="50"/>
  <c r="AW197" i="50"/>
  <c r="AX197" i="50"/>
  <c r="AY197" i="50"/>
  <c r="BA197" i="50"/>
  <c r="A198" i="50"/>
  <c r="B198" i="50"/>
  <c r="D198" i="50"/>
  <c r="E198" i="50"/>
  <c r="F198" i="50"/>
  <c r="G198" i="50"/>
  <c r="H198" i="50"/>
  <c r="J198" i="50"/>
  <c r="K198" i="50"/>
  <c r="L198" i="50"/>
  <c r="M198" i="50"/>
  <c r="O198" i="50"/>
  <c r="P198" i="50"/>
  <c r="R198" i="50"/>
  <c r="S198" i="50"/>
  <c r="T198" i="50"/>
  <c r="U198" i="50"/>
  <c r="V198" i="50"/>
  <c r="W198" i="50"/>
  <c r="X198" i="50"/>
  <c r="Z198" i="50"/>
  <c r="AA198" i="50"/>
  <c r="AB198" i="50"/>
  <c r="AC198" i="50"/>
  <c r="AD198" i="50"/>
  <c r="AE198" i="50"/>
  <c r="AF198" i="50"/>
  <c r="AG198" i="50"/>
  <c r="AH198" i="50"/>
  <c r="AI198" i="50"/>
  <c r="AJ198" i="50"/>
  <c r="AK198" i="50"/>
  <c r="AL198" i="50"/>
  <c r="AM198" i="50"/>
  <c r="AN198" i="50"/>
  <c r="AO198" i="50"/>
  <c r="AP198" i="50"/>
  <c r="AQ198" i="50"/>
  <c r="AR198" i="50"/>
  <c r="AS198" i="50"/>
  <c r="AT198" i="50"/>
  <c r="AU198" i="50"/>
  <c r="AW198" i="50"/>
  <c r="AX198" i="50"/>
  <c r="AY198" i="50"/>
  <c r="BA198" i="50"/>
  <c r="A199" i="50"/>
  <c r="B199" i="50"/>
  <c r="D199" i="50"/>
  <c r="E199" i="50"/>
  <c r="F199" i="50"/>
  <c r="G199" i="50"/>
  <c r="H199" i="50"/>
  <c r="J199" i="50"/>
  <c r="K199" i="50"/>
  <c r="L199" i="50"/>
  <c r="M199" i="50"/>
  <c r="O199" i="50"/>
  <c r="P199" i="50"/>
  <c r="R199" i="50"/>
  <c r="S199" i="50"/>
  <c r="T199" i="50"/>
  <c r="U199" i="50"/>
  <c r="V199" i="50"/>
  <c r="W199" i="50"/>
  <c r="X199" i="50"/>
  <c r="Z199" i="50"/>
  <c r="AA199" i="50"/>
  <c r="AB199" i="50"/>
  <c r="AC199" i="50"/>
  <c r="AD199" i="50"/>
  <c r="AE199" i="50"/>
  <c r="AF199" i="50"/>
  <c r="AG199" i="50"/>
  <c r="AH199" i="50"/>
  <c r="AI199" i="50"/>
  <c r="AJ199" i="50"/>
  <c r="AK199" i="50"/>
  <c r="AL199" i="50"/>
  <c r="AM199" i="50"/>
  <c r="AN199" i="50"/>
  <c r="AO199" i="50"/>
  <c r="AP199" i="50"/>
  <c r="AQ199" i="50"/>
  <c r="AR199" i="50"/>
  <c r="AS199" i="50"/>
  <c r="AT199" i="50"/>
  <c r="AU199" i="50"/>
  <c r="AW199" i="50"/>
  <c r="AX199" i="50"/>
  <c r="AY199" i="50"/>
  <c r="BA199" i="50"/>
  <c r="A200" i="50"/>
  <c r="B200" i="50"/>
  <c r="D200" i="50"/>
  <c r="E200" i="50"/>
  <c r="F200" i="50"/>
  <c r="G200" i="50"/>
  <c r="H200" i="50"/>
  <c r="J200" i="50"/>
  <c r="K200" i="50"/>
  <c r="L200" i="50"/>
  <c r="M200" i="50"/>
  <c r="O200" i="50"/>
  <c r="P200" i="50"/>
  <c r="R200" i="50"/>
  <c r="S200" i="50"/>
  <c r="T200" i="50"/>
  <c r="U200" i="50"/>
  <c r="V200" i="50"/>
  <c r="W200" i="50"/>
  <c r="X200" i="50"/>
  <c r="Z200" i="50"/>
  <c r="AA200" i="50"/>
  <c r="AB200" i="50"/>
  <c r="AC200" i="50"/>
  <c r="AD200" i="50"/>
  <c r="AE200" i="50"/>
  <c r="AF200" i="50"/>
  <c r="AG200" i="50"/>
  <c r="AH200" i="50"/>
  <c r="AI200" i="50"/>
  <c r="AJ200" i="50"/>
  <c r="AK200" i="50"/>
  <c r="AL200" i="50"/>
  <c r="AM200" i="50"/>
  <c r="AN200" i="50"/>
  <c r="AO200" i="50"/>
  <c r="AP200" i="50"/>
  <c r="AQ200" i="50"/>
  <c r="AR200" i="50"/>
  <c r="AS200" i="50"/>
  <c r="AT200" i="50"/>
  <c r="AU200" i="50"/>
  <c r="AW200" i="50"/>
  <c r="AX200" i="50"/>
  <c r="AY200" i="50"/>
  <c r="BA200" i="50"/>
  <c r="A201" i="50"/>
  <c r="B201" i="50"/>
  <c r="D201" i="50"/>
  <c r="E201" i="50"/>
  <c r="F201" i="50"/>
  <c r="G201" i="50"/>
  <c r="H201" i="50"/>
  <c r="J201" i="50"/>
  <c r="K201" i="50"/>
  <c r="L201" i="50"/>
  <c r="M201" i="50"/>
  <c r="O201" i="50"/>
  <c r="P201" i="50"/>
  <c r="R201" i="50"/>
  <c r="S201" i="50"/>
  <c r="T201" i="50"/>
  <c r="U201" i="50"/>
  <c r="V201" i="50"/>
  <c r="W201" i="50"/>
  <c r="X201" i="50"/>
  <c r="Z201" i="50"/>
  <c r="AA201" i="50"/>
  <c r="AB201" i="50"/>
  <c r="AC201" i="50"/>
  <c r="AD201" i="50"/>
  <c r="AE201" i="50"/>
  <c r="AF201" i="50"/>
  <c r="AG201" i="50"/>
  <c r="AH201" i="50"/>
  <c r="AI201" i="50"/>
  <c r="AJ201" i="50"/>
  <c r="AK201" i="50"/>
  <c r="AL201" i="50"/>
  <c r="AM201" i="50"/>
  <c r="AN201" i="50"/>
  <c r="AO201" i="50"/>
  <c r="AP201" i="50"/>
  <c r="AQ201" i="50"/>
  <c r="AR201" i="50"/>
  <c r="AS201" i="50"/>
  <c r="AT201" i="50"/>
  <c r="AU201" i="50"/>
  <c r="AW201" i="50"/>
  <c r="AX201" i="50"/>
  <c r="AY201" i="50"/>
  <c r="BA201" i="50"/>
  <c r="A202" i="50"/>
  <c r="B202" i="50"/>
  <c r="D202" i="50"/>
  <c r="E202" i="50"/>
  <c r="F202" i="50"/>
  <c r="G202" i="50"/>
  <c r="H202" i="50"/>
  <c r="J202" i="50"/>
  <c r="K202" i="50"/>
  <c r="L202" i="50"/>
  <c r="M202" i="50"/>
  <c r="O202" i="50"/>
  <c r="P202" i="50"/>
  <c r="R202" i="50"/>
  <c r="S202" i="50"/>
  <c r="T202" i="50"/>
  <c r="U202" i="50"/>
  <c r="V202" i="50"/>
  <c r="W202" i="50"/>
  <c r="X202" i="50"/>
  <c r="Z202" i="50"/>
  <c r="AA202" i="50"/>
  <c r="AB202" i="50"/>
  <c r="AC202" i="50"/>
  <c r="AD202" i="50"/>
  <c r="AE202" i="50"/>
  <c r="AF202" i="50"/>
  <c r="AG202" i="50"/>
  <c r="AH202" i="50"/>
  <c r="AI202" i="50"/>
  <c r="AJ202" i="50"/>
  <c r="AK202" i="50"/>
  <c r="AL202" i="50"/>
  <c r="AM202" i="50"/>
  <c r="AN202" i="50"/>
  <c r="AO202" i="50"/>
  <c r="AP202" i="50"/>
  <c r="AQ202" i="50"/>
  <c r="AR202" i="50"/>
  <c r="AS202" i="50"/>
  <c r="AT202" i="50"/>
  <c r="AU202" i="50"/>
  <c r="AW202" i="50"/>
  <c r="AX202" i="50"/>
  <c r="AY202" i="50"/>
  <c r="BA202" i="50"/>
  <c r="A203" i="50"/>
  <c r="B203" i="50"/>
  <c r="D203" i="50"/>
  <c r="E203" i="50"/>
  <c r="F203" i="50"/>
  <c r="G203" i="50"/>
  <c r="H203" i="50"/>
  <c r="J203" i="50"/>
  <c r="K203" i="50"/>
  <c r="L203" i="50"/>
  <c r="M203" i="50"/>
  <c r="O203" i="50"/>
  <c r="P203" i="50"/>
  <c r="R203" i="50"/>
  <c r="S203" i="50"/>
  <c r="T203" i="50"/>
  <c r="U203" i="50"/>
  <c r="V203" i="50"/>
  <c r="W203" i="50"/>
  <c r="X203" i="50"/>
  <c r="Z203" i="50"/>
  <c r="AA203" i="50"/>
  <c r="AB203" i="50"/>
  <c r="AC203" i="50"/>
  <c r="AD203" i="50"/>
  <c r="AE203" i="50"/>
  <c r="AF203" i="50"/>
  <c r="AG203" i="50"/>
  <c r="AH203" i="50"/>
  <c r="AI203" i="50"/>
  <c r="AJ203" i="50"/>
  <c r="AK203" i="50"/>
  <c r="AL203" i="50"/>
  <c r="AM203" i="50"/>
  <c r="AN203" i="50"/>
  <c r="AO203" i="50"/>
  <c r="AP203" i="50"/>
  <c r="AQ203" i="50"/>
  <c r="AR203" i="50"/>
  <c r="AS203" i="50"/>
  <c r="AT203" i="50"/>
  <c r="AU203" i="50"/>
  <c r="AW203" i="50"/>
  <c r="AX203" i="50"/>
  <c r="AY203" i="50"/>
  <c r="BA203" i="50"/>
  <c r="A204" i="50"/>
  <c r="B204" i="50"/>
  <c r="D204" i="50"/>
  <c r="E204" i="50"/>
  <c r="F204" i="50"/>
  <c r="G204" i="50"/>
  <c r="H204" i="50"/>
  <c r="J204" i="50"/>
  <c r="K204" i="50"/>
  <c r="L204" i="50"/>
  <c r="M204" i="50"/>
  <c r="O204" i="50"/>
  <c r="P204" i="50"/>
  <c r="R204" i="50"/>
  <c r="S204" i="50"/>
  <c r="T204" i="50"/>
  <c r="U204" i="50"/>
  <c r="V204" i="50"/>
  <c r="W204" i="50"/>
  <c r="X204" i="50"/>
  <c r="Z204" i="50"/>
  <c r="AA204" i="50"/>
  <c r="AB204" i="50"/>
  <c r="AC204" i="50"/>
  <c r="AD204" i="50"/>
  <c r="AE204" i="50"/>
  <c r="AF204" i="50"/>
  <c r="AG204" i="50"/>
  <c r="AH204" i="50"/>
  <c r="AI204" i="50"/>
  <c r="AJ204" i="50"/>
  <c r="AK204" i="50"/>
  <c r="AL204" i="50"/>
  <c r="AM204" i="50"/>
  <c r="AN204" i="50"/>
  <c r="AO204" i="50"/>
  <c r="AP204" i="50"/>
  <c r="AQ204" i="50"/>
  <c r="AR204" i="50"/>
  <c r="AS204" i="50"/>
  <c r="AT204" i="50"/>
  <c r="AU204" i="50"/>
  <c r="AW204" i="50"/>
  <c r="AX204" i="50"/>
  <c r="AY204" i="50"/>
  <c r="BA204" i="50"/>
  <c r="A205" i="50"/>
  <c r="B205" i="50"/>
  <c r="D205" i="50"/>
  <c r="E205" i="50"/>
  <c r="F205" i="50"/>
  <c r="G205" i="50"/>
  <c r="H205" i="50"/>
  <c r="J205" i="50"/>
  <c r="K205" i="50"/>
  <c r="L205" i="50"/>
  <c r="M205" i="50"/>
  <c r="O205" i="50"/>
  <c r="P205" i="50"/>
  <c r="R205" i="50"/>
  <c r="S205" i="50"/>
  <c r="T205" i="50"/>
  <c r="U205" i="50"/>
  <c r="V205" i="50"/>
  <c r="W205" i="50"/>
  <c r="X205" i="50"/>
  <c r="Z205" i="50"/>
  <c r="AA205" i="50"/>
  <c r="AB205" i="50"/>
  <c r="AC205" i="50"/>
  <c r="AD205" i="50"/>
  <c r="AE205" i="50"/>
  <c r="AF205" i="50"/>
  <c r="AG205" i="50"/>
  <c r="AH205" i="50"/>
  <c r="AI205" i="50"/>
  <c r="AJ205" i="50"/>
  <c r="AK205" i="50"/>
  <c r="AL205" i="50"/>
  <c r="AM205" i="50"/>
  <c r="AN205" i="50"/>
  <c r="AO205" i="50"/>
  <c r="AP205" i="50"/>
  <c r="AQ205" i="50"/>
  <c r="AR205" i="50"/>
  <c r="AS205" i="50"/>
  <c r="AT205" i="50"/>
  <c r="AU205" i="50"/>
  <c r="AW205" i="50"/>
  <c r="AX205" i="50"/>
  <c r="AY205" i="50"/>
  <c r="BA205" i="50"/>
  <c r="A206" i="50"/>
  <c r="B206" i="50"/>
  <c r="D206" i="50"/>
  <c r="E206" i="50"/>
  <c r="F206" i="50"/>
  <c r="G206" i="50"/>
  <c r="H206" i="50"/>
  <c r="J206" i="50"/>
  <c r="K206" i="50"/>
  <c r="L206" i="50"/>
  <c r="M206" i="50"/>
  <c r="O206" i="50"/>
  <c r="P206" i="50"/>
  <c r="R206" i="50"/>
  <c r="S206" i="50"/>
  <c r="T206" i="50"/>
  <c r="U206" i="50"/>
  <c r="V206" i="50"/>
  <c r="W206" i="50"/>
  <c r="X206" i="50"/>
  <c r="Z206" i="50"/>
  <c r="AA206" i="50"/>
  <c r="AB206" i="50"/>
  <c r="AC206" i="50"/>
  <c r="AD206" i="50"/>
  <c r="AE206" i="50"/>
  <c r="AF206" i="50"/>
  <c r="AG206" i="50"/>
  <c r="AH206" i="50"/>
  <c r="AI206" i="50"/>
  <c r="AJ206" i="50"/>
  <c r="AK206" i="50"/>
  <c r="AL206" i="50"/>
  <c r="AM206" i="50"/>
  <c r="AN206" i="50"/>
  <c r="AO206" i="50"/>
  <c r="AP206" i="50"/>
  <c r="AQ206" i="50"/>
  <c r="AR206" i="50"/>
  <c r="AS206" i="50"/>
  <c r="AT206" i="50"/>
  <c r="AU206" i="50"/>
  <c r="AW206" i="50"/>
  <c r="AX206" i="50"/>
  <c r="AY206" i="50"/>
  <c r="BA206" i="50"/>
  <c r="A207" i="50"/>
  <c r="B207" i="50"/>
  <c r="D207" i="50"/>
  <c r="E207" i="50"/>
  <c r="F207" i="50"/>
  <c r="G207" i="50"/>
  <c r="H207" i="50"/>
  <c r="J207" i="50"/>
  <c r="K207" i="50"/>
  <c r="L207" i="50"/>
  <c r="M207" i="50"/>
  <c r="O207" i="50"/>
  <c r="P207" i="50"/>
  <c r="R207" i="50"/>
  <c r="S207" i="50"/>
  <c r="T207" i="50"/>
  <c r="U207" i="50"/>
  <c r="V207" i="50"/>
  <c r="W207" i="50"/>
  <c r="X207" i="50"/>
  <c r="Z207" i="50"/>
  <c r="AA207" i="50"/>
  <c r="AB207" i="50"/>
  <c r="AC207" i="50"/>
  <c r="AD207" i="50"/>
  <c r="AE207" i="50"/>
  <c r="AF207" i="50"/>
  <c r="AG207" i="50"/>
  <c r="AH207" i="50"/>
  <c r="AI207" i="50"/>
  <c r="AJ207" i="50"/>
  <c r="AK207" i="50"/>
  <c r="AL207" i="50"/>
  <c r="AM207" i="50"/>
  <c r="AN207" i="50"/>
  <c r="AO207" i="50"/>
  <c r="AP207" i="50"/>
  <c r="AQ207" i="50"/>
  <c r="AR207" i="50"/>
  <c r="AS207" i="50"/>
  <c r="AT207" i="50"/>
  <c r="AU207" i="50"/>
  <c r="AW207" i="50"/>
  <c r="AX207" i="50"/>
  <c r="AY207" i="50"/>
  <c r="BA207" i="50"/>
  <c r="A208" i="50"/>
  <c r="B208" i="50"/>
  <c r="D208" i="50"/>
  <c r="E208" i="50"/>
  <c r="F208" i="50"/>
  <c r="G208" i="50"/>
  <c r="H208" i="50"/>
  <c r="J208" i="50"/>
  <c r="K208" i="50"/>
  <c r="L208" i="50"/>
  <c r="M208" i="50"/>
  <c r="O208" i="50"/>
  <c r="P208" i="50"/>
  <c r="R208" i="50"/>
  <c r="S208" i="50"/>
  <c r="T208" i="50"/>
  <c r="U208" i="50"/>
  <c r="V208" i="50"/>
  <c r="W208" i="50"/>
  <c r="X208" i="50"/>
  <c r="Z208" i="50"/>
  <c r="AA208" i="50"/>
  <c r="AB208" i="50"/>
  <c r="AC208" i="50"/>
  <c r="AD208" i="50"/>
  <c r="AE208" i="50"/>
  <c r="AF208" i="50"/>
  <c r="AG208" i="50"/>
  <c r="AH208" i="50"/>
  <c r="AI208" i="50"/>
  <c r="AJ208" i="50"/>
  <c r="AK208" i="50"/>
  <c r="AL208" i="50"/>
  <c r="AM208" i="50"/>
  <c r="AN208" i="50"/>
  <c r="AO208" i="50"/>
  <c r="AP208" i="50"/>
  <c r="AQ208" i="50"/>
  <c r="AR208" i="50"/>
  <c r="AS208" i="50"/>
  <c r="AT208" i="50"/>
  <c r="AU208" i="50"/>
  <c r="AW208" i="50"/>
  <c r="AX208" i="50"/>
  <c r="AY208" i="50"/>
  <c r="BA208" i="50"/>
  <c r="A209" i="50"/>
  <c r="B209" i="50"/>
  <c r="D209" i="50"/>
  <c r="E209" i="50"/>
  <c r="F209" i="50"/>
  <c r="G209" i="50"/>
  <c r="H209" i="50"/>
  <c r="J209" i="50"/>
  <c r="K209" i="50"/>
  <c r="L209" i="50"/>
  <c r="M209" i="50"/>
  <c r="O209" i="50"/>
  <c r="P209" i="50"/>
  <c r="R209" i="50"/>
  <c r="S209" i="50"/>
  <c r="T209" i="50"/>
  <c r="U209" i="50"/>
  <c r="V209" i="50"/>
  <c r="W209" i="50"/>
  <c r="X209" i="50"/>
  <c r="Z209" i="50"/>
  <c r="AA209" i="50"/>
  <c r="AB209" i="50"/>
  <c r="AC209" i="50"/>
  <c r="AD209" i="50"/>
  <c r="AE209" i="50"/>
  <c r="AF209" i="50"/>
  <c r="AG209" i="50"/>
  <c r="AH209" i="50"/>
  <c r="AI209" i="50"/>
  <c r="AJ209" i="50"/>
  <c r="AK209" i="50"/>
  <c r="AL209" i="50"/>
  <c r="AM209" i="50"/>
  <c r="AN209" i="50"/>
  <c r="AO209" i="50"/>
  <c r="AP209" i="50"/>
  <c r="AQ209" i="50"/>
  <c r="AR209" i="50"/>
  <c r="AS209" i="50"/>
  <c r="AT209" i="50"/>
  <c r="AU209" i="50"/>
  <c r="AW209" i="50"/>
  <c r="AX209" i="50"/>
  <c r="AY209" i="50"/>
  <c r="BA209" i="50"/>
  <c r="A210" i="50"/>
  <c r="B210" i="50"/>
  <c r="D210" i="50"/>
  <c r="E210" i="50"/>
  <c r="F210" i="50"/>
  <c r="G210" i="50"/>
  <c r="H210" i="50"/>
  <c r="J210" i="50"/>
  <c r="K210" i="50"/>
  <c r="L210" i="50"/>
  <c r="M210" i="50"/>
  <c r="O210" i="50"/>
  <c r="P210" i="50"/>
  <c r="R210" i="50"/>
  <c r="S210" i="50"/>
  <c r="T210" i="50"/>
  <c r="U210" i="50"/>
  <c r="V210" i="50"/>
  <c r="W210" i="50"/>
  <c r="X210" i="50"/>
  <c r="Z210" i="50"/>
  <c r="AA210" i="50"/>
  <c r="AB210" i="50"/>
  <c r="AC210" i="50"/>
  <c r="AD210" i="50"/>
  <c r="AE210" i="50"/>
  <c r="AF210" i="50"/>
  <c r="AG210" i="50"/>
  <c r="AH210" i="50"/>
  <c r="AI210" i="50"/>
  <c r="AJ210" i="50"/>
  <c r="AK210" i="50"/>
  <c r="AL210" i="50"/>
  <c r="AM210" i="50"/>
  <c r="AN210" i="50"/>
  <c r="AO210" i="50"/>
  <c r="AP210" i="50"/>
  <c r="AQ210" i="50"/>
  <c r="AR210" i="50"/>
  <c r="AS210" i="50"/>
  <c r="AT210" i="50"/>
  <c r="AU210" i="50"/>
  <c r="AW210" i="50"/>
  <c r="AX210" i="50"/>
  <c r="AY210" i="50"/>
  <c r="BA210" i="50"/>
  <c r="A211" i="50"/>
  <c r="B211" i="50"/>
  <c r="D211" i="50"/>
  <c r="E211" i="50"/>
  <c r="F211" i="50"/>
  <c r="G211" i="50"/>
  <c r="H211" i="50"/>
  <c r="J211" i="50"/>
  <c r="K211" i="50"/>
  <c r="L211" i="50"/>
  <c r="M211" i="50"/>
  <c r="O211" i="50"/>
  <c r="P211" i="50"/>
  <c r="R211" i="50"/>
  <c r="S211" i="50"/>
  <c r="T211" i="50"/>
  <c r="U211" i="50"/>
  <c r="V211" i="50"/>
  <c r="W211" i="50"/>
  <c r="X211" i="50"/>
  <c r="Z211" i="50"/>
  <c r="AA211" i="50"/>
  <c r="AB211" i="50"/>
  <c r="AC211" i="50"/>
  <c r="AD211" i="50"/>
  <c r="AE211" i="50"/>
  <c r="AF211" i="50"/>
  <c r="AG211" i="50"/>
  <c r="AH211" i="50"/>
  <c r="AI211" i="50"/>
  <c r="AJ211" i="50"/>
  <c r="AK211" i="50"/>
  <c r="AL211" i="50"/>
  <c r="AM211" i="50"/>
  <c r="AN211" i="50"/>
  <c r="AO211" i="50"/>
  <c r="AP211" i="50"/>
  <c r="AQ211" i="50"/>
  <c r="AR211" i="50"/>
  <c r="AS211" i="50"/>
  <c r="AT211" i="50"/>
  <c r="AU211" i="50"/>
  <c r="AW211" i="50"/>
  <c r="AX211" i="50"/>
  <c r="AY211" i="50"/>
  <c r="BA211" i="50"/>
  <c r="A212" i="50"/>
  <c r="B212" i="50"/>
  <c r="D212" i="50"/>
  <c r="E212" i="50"/>
  <c r="F212" i="50"/>
  <c r="G212" i="50"/>
  <c r="H212" i="50"/>
  <c r="J212" i="50"/>
  <c r="K212" i="50"/>
  <c r="L212" i="50"/>
  <c r="M212" i="50"/>
  <c r="O212" i="50"/>
  <c r="P212" i="50"/>
  <c r="R212" i="50"/>
  <c r="S212" i="50"/>
  <c r="T212" i="50"/>
  <c r="U212" i="50"/>
  <c r="V212" i="50"/>
  <c r="W212" i="50"/>
  <c r="X212" i="50"/>
  <c r="Z212" i="50"/>
  <c r="AA212" i="50"/>
  <c r="AB212" i="50"/>
  <c r="AC212" i="50"/>
  <c r="AD212" i="50"/>
  <c r="AE212" i="50"/>
  <c r="AF212" i="50"/>
  <c r="AG212" i="50"/>
  <c r="AH212" i="50"/>
  <c r="AI212" i="50"/>
  <c r="AJ212" i="50"/>
  <c r="AK212" i="50"/>
  <c r="AL212" i="50"/>
  <c r="AM212" i="50"/>
  <c r="AN212" i="50"/>
  <c r="AO212" i="50"/>
  <c r="AP212" i="50"/>
  <c r="AQ212" i="50"/>
  <c r="AR212" i="50"/>
  <c r="AS212" i="50"/>
  <c r="AT212" i="50"/>
  <c r="AU212" i="50"/>
  <c r="AW212" i="50"/>
  <c r="AX212" i="50"/>
  <c r="AY212" i="50"/>
  <c r="BA212" i="50"/>
  <c r="A213" i="50"/>
  <c r="B213" i="50"/>
  <c r="D213" i="50"/>
  <c r="E213" i="50"/>
  <c r="F213" i="50"/>
  <c r="G213" i="50"/>
  <c r="H213" i="50"/>
  <c r="J213" i="50"/>
  <c r="K213" i="50"/>
  <c r="L213" i="50"/>
  <c r="M213" i="50"/>
  <c r="O213" i="50"/>
  <c r="P213" i="50"/>
  <c r="R213" i="50"/>
  <c r="S213" i="50"/>
  <c r="T213" i="50"/>
  <c r="U213" i="50"/>
  <c r="V213" i="50"/>
  <c r="W213" i="50"/>
  <c r="X213" i="50"/>
  <c r="Z213" i="50"/>
  <c r="AA213" i="50"/>
  <c r="AB213" i="50"/>
  <c r="AC213" i="50"/>
  <c r="AD213" i="50"/>
  <c r="AE213" i="50"/>
  <c r="AF213" i="50"/>
  <c r="AG213" i="50"/>
  <c r="AH213" i="50"/>
  <c r="AI213" i="50"/>
  <c r="AJ213" i="50"/>
  <c r="AK213" i="50"/>
  <c r="AL213" i="50"/>
  <c r="AM213" i="50"/>
  <c r="AN213" i="50"/>
  <c r="AO213" i="50"/>
  <c r="AP213" i="50"/>
  <c r="AQ213" i="50"/>
  <c r="AR213" i="50"/>
  <c r="AS213" i="50"/>
  <c r="AT213" i="50"/>
  <c r="AU213" i="50"/>
  <c r="AW213" i="50"/>
  <c r="AX213" i="50"/>
  <c r="AY213" i="50"/>
  <c r="BA213" i="50"/>
  <c r="A214" i="50"/>
  <c r="B214" i="50"/>
  <c r="D214" i="50"/>
  <c r="E214" i="50"/>
  <c r="F214" i="50"/>
  <c r="G214" i="50"/>
  <c r="H214" i="50"/>
  <c r="J214" i="50"/>
  <c r="K214" i="50"/>
  <c r="L214" i="50"/>
  <c r="M214" i="50"/>
  <c r="O214" i="50"/>
  <c r="P214" i="50"/>
  <c r="R214" i="50"/>
  <c r="S214" i="50"/>
  <c r="T214" i="50"/>
  <c r="U214" i="50"/>
  <c r="V214" i="50"/>
  <c r="W214" i="50"/>
  <c r="X214" i="50"/>
  <c r="Z214" i="50"/>
  <c r="AA214" i="50"/>
  <c r="AB214" i="50"/>
  <c r="AC214" i="50"/>
  <c r="AD214" i="50"/>
  <c r="AE214" i="50"/>
  <c r="AF214" i="50"/>
  <c r="AG214" i="50"/>
  <c r="AH214" i="50"/>
  <c r="AI214" i="50"/>
  <c r="AJ214" i="50"/>
  <c r="AK214" i="50"/>
  <c r="AL214" i="50"/>
  <c r="AM214" i="50"/>
  <c r="AN214" i="50"/>
  <c r="AO214" i="50"/>
  <c r="AP214" i="50"/>
  <c r="AQ214" i="50"/>
  <c r="AR214" i="50"/>
  <c r="AS214" i="50"/>
  <c r="AT214" i="50"/>
  <c r="AU214" i="50"/>
  <c r="AW214" i="50"/>
  <c r="AX214" i="50"/>
  <c r="AY214" i="50"/>
  <c r="BA214" i="50"/>
  <c r="A215" i="50"/>
  <c r="B215" i="50"/>
  <c r="D215" i="50"/>
  <c r="E215" i="50"/>
  <c r="F215" i="50"/>
  <c r="G215" i="50"/>
  <c r="H215" i="50"/>
  <c r="J215" i="50"/>
  <c r="K215" i="50"/>
  <c r="L215" i="50"/>
  <c r="M215" i="50"/>
  <c r="O215" i="50"/>
  <c r="P215" i="50"/>
  <c r="R215" i="50"/>
  <c r="S215" i="50"/>
  <c r="T215" i="50"/>
  <c r="U215" i="50"/>
  <c r="V215" i="50"/>
  <c r="W215" i="50"/>
  <c r="X215" i="50"/>
  <c r="Z215" i="50"/>
  <c r="AA215" i="50"/>
  <c r="AB215" i="50"/>
  <c r="AC215" i="50"/>
  <c r="AD215" i="50"/>
  <c r="AE215" i="50"/>
  <c r="AF215" i="50"/>
  <c r="AG215" i="50"/>
  <c r="AH215" i="50"/>
  <c r="AI215" i="50"/>
  <c r="AJ215" i="50"/>
  <c r="AK215" i="50"/>
  <c r="AL215" i="50"/>
  <c r="AM215" i="50"/>
  <c r="AN215" i="50"/>
  <c r="AO215" i="50"/>
  <c r="AP215" i="50"/>
  <c r="AQ215" i="50"/>
  <c r="AR215" i="50"/>
  <c r="AS215" i="50"/>
  <c r="AT215" i="50"/>
  <c r="AU215" i="50"/>
  <c r="AW215" i="50"/>
  <c r="AX215" i="50"/>
  <c r="AY215" i="50"/>
  <c r="BA215" i="50"/>
  <c r="A216" i="50"/>
  <c r="B216" i="50"/>
  <c r="D216" i="50"/>
  <c r="E216" i="50"/>
  <c r="F216" i="50"/>
  <c r="G216" i="50"/>
  <c r="H216" i="50"/>
  <c r="J216" i="50"/>
  <c r="K216" i="50"/>
  <c r="L216" i="50"/>
  <c r="M216" i="50"/>
  <c r="O216" i="50"/>
  <c r="P216" i="50"/>
  <c r="R216" i="50"/>
  <c r="S216" i="50"/>
  <c r="T216" i="50"/>
  <c r="U216" i="50"/>
  <c r="V216" i="50"/>
  <c r="W216" i="50"/>
  <c r="X216" i="50"/>
  <c r="Z216" i="50"/>
  <c r="AA216" i="50"/>
  <c r="AB216" i="50"/>
  <c r="AC216" i="50"/>
  <c r="AD216" i="50"/>
  <c r="AE216" i="50"/>
  <c r="AF216" i="50"/>
  <c r="AG216" i="50"/>
  <c r="AH216" i="50"/>
  <c r="AI216" i="50"/>
  <c r="AJ216" i="50"/>
  <c r="AK216" i="50"/>
  <c r="AL216" i="50"/>
  <c r="AM216" i="50"/>
  <c r="AN216" i="50"/>
  <c r="AO216" i="50"/>
  <c r="AP216" i="50"/>
  <c r="AQ216" i="50"/>
  <c r="AR216" i="50"/>
  <c r="AS216" i="50"/>
  <c r="AT216" i="50"/>
  <c r="AU216" i="50"/>
  <c r="AW216" i="50"/>
  <c r="AX216" i="50"/>
  <c r="AY216" i="50"/>
  <c r="BA216" i="50"/>
  <c r="A217" i="50"/>
  <c r="B217" i="50"/>
  <c r="D217" i="50"/>
  <c r="E217" i="50"/>
  <c r="F217" i="50"/>
  <c r="G217" i="50"/>
  <c r="H217" i="50"/>
  <c r="J217" i="50"/>
  <c r="K217" i="50"/>
  <c r="L217" i="50"/>
  <c r="M217" i="50"/>
  <c r="O217" i="50"/>
  <c r="P217" i="50"/>
  <c r="R217" i="50"/>
  <c r="S217" i="50"/>
  <c r="T217" i="50"/>
  <c r="U217" i="50"/>
  <c r="V217" i="50"/>
  <c r="W217" i="50"/>
  <c r="X217" i="50"/>
  <c r="Z217" i="50"/>
  <c r="AA217" i="50"/>
  <c r="AB217" i="50"/>
  <c r="AC217" i="50"/>
  <c r="AD217" i="50"/>
  <c r="AE217" i="50"/>
  <c r="AF217" i="50"/>
  <c r="AG217" i="50"/>
  <c r="AH217" i="50"/>
  <c r="AI217" i="50"/>
  <c r="AJ217" i="50"/>
  <c r="AK217" i="50"/>
  <c r="AL217" i="50"/>
  <c r="AM217" i="50"/>
  <c r="AN217" i="50"/>
  <c r="AO217" i="50"/>
  <c r="AP217" i="50"/>
  <c r="AQ217" i="50"/>
  <c r="AR217" i="50"/>
  <c r="AS217" i="50"/>
  <c r="AT217" i="50"/>
  <c r="AU217" i="50"/>
  <c r="AW217" i="50"/>
  <c r="AX217" i="50"/>
  <c r="AY217" i="50"/>
  <c r="BA217" i="50"/>
  <c r="A218" i="50"/>
  <c r="B218" i="50"/>
  <c r="D218" i="50"/>
  <c r="E218" i="50"/>
  <c r="F218" i="50"/>
  <c r="G218" i="50"/>
  <c r="H218" i="50"/>
  <c r="J218" i="50"/>
  <c r="K218" i="50"/>
  <c r="L218" i="50"/>
  <c r="M218" i="50"/>
  <c r="O218" i="50"/>
  <c r="P218" i="50"/>
  <c r="R218" i="50"/>
  <c r="S218" i="50"/>
  <c r="T218" i="50"/>
  <c r="U218" i="50"/>
  <c r="V218" i="50"/>
  <c r="W218" i="50"/>
  <c r="X218" i="50"/>
  <c r="Z218" i="50"/>
  <c r="AA218" i="50"/>
  <c r="AB218" i="50"/>
  <c r="AC218" i="50"/>
  <c r="AD218" i="50"/>
  <c r="AE218" i="50"/>
  <c r="AF218" i="50"/>
  <c r="AG218" i="50"/>
  <c r="AH218" i="50"/>
  <c r="AI218" i="50"/>
  <c r="AJ218" i="50"/>
  <c r="AK218" i="50"/>
  <c r="AL218" i="50"/>
  <c r="AM218" i="50"/>
  <c r="AN218" i="50"/>
  <c r="AO218" i="50"/>
  <c r="AP218" i="50"/>
  <c r="AQ218" i="50"/>
  <c r="AR218" i="50"/>
  <c r="AS218" i="50"/>
  <c r="AT218" i="50"/>
  <c r="AU218" i="50"/>
  <c r="AW218" i="50"/>
  <c r="AX218" i="50"/>
  <c r="AY218" i="50"/>
  <c r="BA218" i="50"/>
  <c r="A219" i="50"/>
  <c r="B219" i="50"/>
  <c r="D219" i="50"/>
  <c r="E219" i="50"/>
  <c r="F219" i="50"/>
  <c r="G219" i="50"/>
  <c r="H219" i="50"/>
  <c r="J219" i="50"/>
  <c r="K219" i="50"/>
  <c r="L219" i="50"/>
  <c r="M219" i="50"/>
  <c r="O219" i="50"/>
  <c r="P219" i="50"/>
  <c r="R219" i="50"/>
  <c r="S219" i="50"/>
  <c r="T219" i="50"/>
  <c r="U219" i="50"/>
  <c r="V219" i="50"/>
  <c r="W219" i="50"/>
  <c r="X219" i="50"/>
  <c r="Z219" i="50"/>
  <c r="AA219" i="50"/>
  <c r="AB219" i="50"/>
  <c r="AC219" i="50"/>
  <c r="AD219" i="50"/>
  <c r="AE219" i="50"/>
  <c r="AF219" i="50"/>
  <c r="AG219" i="50"/>
  <c r="AH219" i="50"/>
  <c r="AI219" i="50"/>
  <c r="AJ219" i="50"/>
  <c r="AK219" i="50"/>
  <c r="AL219" i="50"/>
  <c r="AM219" i="50"/>
  <c r="AN219" i="50"/>
  <c r="AO219" i="50"/>
  <c r="AP219" i="50"/>
  <c r="AQ219" i="50"/>
  <c r="AR219" i="50"/>
  <c r="AS219" i="50"/>
  <c r="AT219" i="50"/>
  <c r="AU219" i="50"/>
  <c r="AW219" i="50"/>
  <c r="AX219" i="50"/>
  <c r="AY219" i="50"/>
  <c r="BA219" i="50"/>
  <c r="A220" i="50"/>
  <c r="B220" i="50"/>
  <c r="D220" i="50"/>
  <c r="E220" i="50"/>
  <c r="F220" i="50"/>
  <c r="G220" i="50"/>
  <c r="H220" i="50"/>
  <c r="J220" i="50"/>
  <c r="K220" i="50"/>
  <c r="L220" i="50"/>
  <c r="M220" i="50"/>
  <c r="O220" i="50"/>
  <c r="P220" i="50"/>
  <c r="R220" i="50"/>
  <c r="S220" i="50"/>
  <c r="T220" i="50"/>
  <c r="U220" i="50"/>
  <c r="V220" i="50"/>
  <c r="W220" i="50"/>
  <c r="X220" i="50"/>
  <c r="Z220" i="50"/>
  <c r="AA220" i="50"/>
  <c r="AB220" i="50"/>
  <c r="AC220" i="50"/>
  <c r="AD220" i="50"/>
  <c r="AE220" i="50"/>
  <c r="AF220" i="50"/>
  <c r="AG220" i="50"/>
  <c r="AH220" i="50"/>
  <c r="AI220" i="50"/>
  <c r="AJ220" i="50"/>
  <c r="AK220" i="50"/>
  <c r="AL220" i="50"/>
  <c r="AM220" i="50"/>
  <c r="AN220" i="50"/>
  <c r="AO220" i="50"/>
  <c r="AP220" i="50"/>
  <c r="AQ220" i="50"/>
  <c r="AR220" i="50"/>
  <c r="AS220" i="50"/>
  <c r="AT220" i="50"/>
  <c r="AU220" i="50"/>
  <c r="AW220" i="50"/>
  <c r="AX220" i="50"/>
  <c r="AY220" i="50"/>
  <c r="BA220" i="50"/>
  <c r="A221" i="50"/>
  <c r="B221" i="50"/>
  <c r="D221" i="50"/>
  <c r="E221" i="50"/>
  <c r="F221" i="50"/>
  <c r="G221" i="50"/>
  <c r="H221" i="50"/>
  <c r="J221" i="50"/>
  <c r="K221" i="50"/>
  <c r="L221" i="50"/>
  <c r="M221" i="50"/>
  <c r="O221" i="50"/>
  <c r="P221" i="50"/>
  <c r="R221" i="50"/>
  <c r="S221" i="50"/>
  <c r="T221" i="50"/>
  <c r="U221" i="50"/>
  <c r="V221" i="50"/>
  <c r="W221" i="50"/>
  <c r="X221" i="50"/>
  <c r="Z221" i="50"/>
  <c r="AA221" i="50"/>
  <c r="AB221" i="50"/>
  <c r="AC221" i="50"/>
  <c r="AD221" i="50"/>
  <c r="AE221" i="50"/>
  <c r="AF221" i="50"/>
  <c r="AG221" i="50"/>
  <c r="AH221" i="50"/>
  <c r="AI221" i="50"/>
  <c r="AJ221" i="50"/>
  <c r="AK221" i="50"/>
  <c r="AL221" i="50"/>
  <c r="AM221" i="50"/>
  <c r="AN221" i="50"/>
  <c r="AO221" i="50"/>
  <c r="AP221" i="50"/>
  <c r="AQ221" i="50"/>
  <c r="AR221" i="50"/>
  <c r="AS221" i="50"/>
  <c r="AT221" i="50"/>
  <c r="AU221" i="50"/>
  <c r="AW221" i="50"/>
  <c r="AX221" i="50"/>
  <c r="AY221" i="50"/>
  <c r="BA221" i="50"/>
  <c r="A222" i="50"/>
  <c r="B222" i="50"/>
  <c r="D222" i="50"/>
  <c r="E222" i="50"/>
  <c r="F222" i="50"/>
  <c r="G222" i="50"/>
  <c r="H222" i="50"/>
  <c r="J222" i="50"/>
  <c r="K222" i="50"/>
  <c r="L222" i="50"/>
  <c r="M222" i="50"/>
  <c r="O222" i="50"/>
  <c r="P222" i="50"/>
  <c r="R222" i="50"/>
  <c r="S222" i="50"/>
  <c r="T222" i="50"/>
  <c r="U222" i="50"/>
  <c r="V222" i="50"/>
  <c r="W222" i="50"/>
  <c r="X222" i="50"/>
  <c r="Z222" i="50"/>
  <c r="AA222" i="50"/>
  <c r="AB222" i="50"/>
  <c r="AC222" i="50"/>
  <c r="AD222" i="50"/>
  <c r="AE222" i="50"/>
  <c r="AF222" i="50"/>
  <c r="AG222" i="50"/>
  <c r="AH222" i="50"/>
  <c r="AI222" i="50"/>
  <c r="AJ222" i="50"/>
  <c r="AK222" i="50"/>
  <c r="AL222" i="50"/>
  <c r="AM222" i="50"/>
  <c r="AN222" i="50"/>
  <c r="AO222" i="50"/>
  <c r="AP222" i="50"/>
  <c r="AQ222" i="50"/>
  <c r="AR222" i="50"/>
  <c r="AS222" i="50"/>
  <c r="AT222" i="50"/>
  <c r="AU222" i="50"/>
  <c r="AW222" i="50"/>
  <c r="AX222" i="50"/>
  <c r="AY222" i="50"/>
  <c r="BA222" i="50"/>
  <c r="A223" i="50"/>
  <c r="B223" i="50"/>
  <c r="D223" i="50"/>
  <c r="E223" i="50"/>
  <c r="F223" i="50"/>
  <c r="G223" i="50"/>
  <c r="H223" i="50"/>
  <c r="J223" i="50"/>
  <c r="K223" i="50"/>
  <c r="L223" i="50"/>
  <c r="M223" i="50"/>
  <c r="O223" i="50"/>
  <c r="P223" i="50"/>
  <c r="R223" i="50"/>
  <c r="S223" i="50"/>
  <c r="T223" i="50"/>
  <c r="U223" i="50"/>
  <c r="V223" i="50"/>
  <c r="W223" i="50"/>
  <c r="X223" i="50"/>
  <c r="Z223" i="50"/>
  <c r="AA223" i="50"/>
  <c r="AB223" i="50"/>
  <c r="AC223" i="50"/>
  <c r="AD223" i="50"/>
  <c r="AE223" i="50"/>
  <c r="AF223" i="50"/>
  <c r="AG223" i="50"/>
  <c r="AH223" i="50"/>
  <c r="AI223" i="50"/>
  <c r="AJ223" i="50"/>
  <c r="AK223" i="50"/>
  <c r="AL223" i="50"/>
  <c r="AM223" i="50"/>
  <c r="AN223" i="50"/>
  <c r="AO223" i="50"/>
  <c r="AP223" i="50"/>
  <c r="AQ223" i="50"/>
  <c r="AR223" i="50"/>
  <c r="AS223" i="50"/>
  <c r="AT223" i="50"/>
  <c r="AU223" i="50"/>
  <c r="AW223" i="50"/>
  <c r="AX223" i="50"/>
  <c r="AY223" i="50"/>
  <c r="BA223" i="50"/>
  <c r="A224" i="50"/>
  <c r="B224" i="50"/>
  <c r="D224" i="50"/>
  <c r="E224" i="50"/>
  <c r="F224" i="50"/>
  <c r="G224" i="50"/>
  <c r="H224" i="50"/>
  <c r="J224" i="50"/>
  <c r="K224" i="50"/>
  <c r="L224" i="50"/>
  <c r="M224" i="50"/>
  <c r="O224" i="50"/>
  <c r="P224" i="50"/>
  <c r="R224" i="50"/>
  <c r="S224" i="50"/>
  <c r="T224" i="50"/>
  <c r="U224" i="50"/>
  <c r="V224" i="50"/>
  <c r="W224" i="50"/>
  <c r="X224" i="50"/>
  <c r="Z224" i="50"/>
  <c r="AA224" i="50"/>
  <c r="AB224" i="50"/>
  <c r="AC224" i="50"/>
  <c r="AD224" i="50"/>
  <c r="AE224" i="50"/>
  <c r="AF224" i="50"/>
  <c r="AG224" i="50"/>
  <c r="AH224" i="50"/>
  <c r="AI224" i="50"/>
  <c r="AJ224" i="50"/>
  <c r="AK224" i="50"/>
  <c r="AL224" i="50"/>
  <c r="AM224" i="50"/>
  <c r="AN224" i="50"/>
  <c r="AO224" i="50"/>
  <c r="AP224" i="50"/>
  <c r="AQ224" i="50"/>
  <c r="AR224" i="50"/>
  <c r="AS224" i="50"/>
  <c r="AT224" i="50"/>
  <c r="AU224" i="50"/>
  <c r="AW224" i="50"/>
  <c r="AX224" i="50"/>
  <c r="AY224" i="50"/>
  <c r="BA224" i="50"/>
  <c r="A225" i="50"/>
  <c r="B225" i="50"/>
  <c r="D225" i="50"/>
  <c r="E225" i="50"/>
  <c r="F225" i="50"/>
  <c r="G225" i="50"/>
  <c r="H225" i="50"/>
  <c r="J225" i="50"/>
  <c r="K225" i="50"/>
  <c r="L225" i="50"/>
  <c r="M225" i="50"/>
  <c r="O225" i="50"/>
  <c r="P225" i="50"/>
  <c r="R225" i="50"/>
  <c r="S225" i="50"/>
  <c r="T225" i="50"/>
  <c r="U225" i="50"/>
  <c r="V225" i="50"/>
  <c r="W225" i="50"/>
  <c r="X225" i="50"/>
  <c r="Z225" i="50"/>
  <c r="AA225" i="50"/>
  <c r="AB225" i="50"/>
  <c r="AC225" i="50"/>
  <c r="AD225" i="50"/>
  <c r="AE225" i="50"/>
  <c r="AF225" i="50"/>
  <c r="AG225" i="50"/>
  <c r="AH225" i="50"/>
  <c r="AI225" i="50"/>
  <c r="AJ225" i="50"/>
  <c r="AK225" i="50"/>
  <c r="AL225" i="50"/>
  <c r="AM225" i="50"/>
  <c r="AN225" i="50"/>
  <c r="AO225" i="50"/>
  <c r="AP225" i="50"/>
  <c r="AQ225" i="50"/>
  <c r="AR225" i="50"/>
  <c r="AS225" i="50"/>
  <c r="AT225" i="50"/>
  <c r="AU225" i="50"/>
  <c r="AW225" i="50"/>
  <c r="AX225" i="50"/>
  <c r="AY225" i="50"/>
  <c r="BA225" i="50"/>
  <c r="A226" i="50"/>
  <c r="B226" i="50"/>
  <c r="D226" i="50"/>
  <c r="E226" i="50"/>
  <c r="F226" i="50"/>
  <c r="G226" i="50"/>
  <c r="H226" i="50"/>
  <c r="J226" i="50"/>
  <c r="K226" i="50"/>
  <c r="L226" i="50"/>
  <c r="M226" i="50"/>
  <c r="O226" i="50"/>
  <c r="P226" i="50"/>
  <c r="R226" i="50"/>
  <c r="S226" i="50"/>
  <c r="T226" i="50"/>
  <c r="U226" i="50"/>
  <c r="V226" i="50"/>
  <c r="W226" i="50"/>
  <c r="X226" i="50"/>
  <c r="Z226" i="50"/>
  <c r="AA226" i="50"/>
  <c r="AB226" i="50"/>
  <c r="AC226" i="50"/>
  <c r="AD226" i="50"/>
  <c r="AE226" i="50"/>
  <c r="AF226" i="50"/>
  <c r="AG226" i="50"/>
  <c r="AH226" i="50"/>
  <c r="AI226" i="50"/>
  <c r="AJ226" i="50"/>
  <c r="AK226" i="50"/>
  <c r="AL226" i="50"/>
  <c r="AM226" i="50"/>
  <c r="AN226" i="50"/>
  <c r="AO226" i="50"/>
  <c r="AP226" i="50"/>
  <c r="AQ226" i="50"/>
  <c r="AR226" i="50"/>
  <c r="AS226" i="50"/>
  <c r="AT226" i="50"/>
  <c r="AU226" i="50"/>
  <c r="AW226" i="50"/>
  <c r="AX226" i="50"/>
  <c r="AY226" i="50"/>
  <c r="BA226" i="50"/>
  <c r="A227" i="50"/>
  <c r="B227" i="50"/>
  <c r="D227" i="50"/>
  <c r="E227" i="50"/>
  <c r="F227" i="50"/>
  <c r="G227" i="50"/>
  <c r="H227" i="50"/>
  <c r="J227" i="50"/>
  <c r="K227" i="50"/>
  <c r="L227" i="50"/>
  <c r="M227" i="50"/>
  <c r="O227" i="50"/>
  <c r="P227" i="50"/>
  <c r="R227" i="50"/>
  <c r="S227" i="50"/>
  <c r="T227" i="50"/>
  <c r="U227" i="50"/>
  <c r="V227" i="50"/>
  <c r="W227" i="50"/>
  <c r="X227" i="50"/>
  <c r="Z227" i="50"/>
  <c r="AA227" i="50"/>
  <c r="AB227" i="50"/>
  <c r="AC227" i="50"/>
  <c r="AD227" i="50"/>
  <c r="AE227" i="50"/>
  <c r="AF227" i="50"/>
  <c r="AG227" i="50"/>
  <c r="AH227" i="50"/>
  <c r="AI227" i="50"/>
  <c r="AJ227" i="50"/>
  <c r="AK227" i="50"/>
  <c r="AL227" i="50"/>
  <c r="AM227" i="50"/>
  <c r="AN227" i="50"/>
  <c r="AO227" i="50"/>
  <c r="AP227" i="50"/>
  <c r="AQ227" i="50"/>
  <c r="AR227" i="50"/>
  <c r="AS227" i="50"/>
  <c r="AT227" i="50"/>
  <c r="AU227" i="50"/>
  <c r="AW227" i="50"/>
  <c r="AX227" i="50"/>
  <c r="AY227" i="50"/>
  <c r="BA227" i="50"/>
  <c r="A228" i="50"/>
  <c r="B228" i="50"/>
  <c r="D228" i="50"/>
  <c r="E228" i="50"/>
  <c r="F228" i="50"/>
  <c r="G228" i="50"/>
  <c r="H228" i="50"/>
  <c r="J228" i="50"/>
  <c r="K228" i="50"/>
  <c r="L228" i="50"/>
  <c r="M228" i="50"/>
  <c r="O228" i="50"/>
  <c r="P228" i="50"/>
  <c r="R228" i="50"/>
  <c r="S228" i="50"/>
  <c r="T228" i="50"/>
  <c r="U228" i="50"/>
  <c r="V228" i="50"/>
  <c r="W228" i="50"/>
  <c r="X228" i="50"/>
  <c r="Z228" i="50"/>
  <c r="AA228" i="50"/>
  <c r="AB228" i="50"/>
  <c r="AC228" i="50"/>
  <c r="AD228" i="50"/>
  <c r="AE228" i="50"/>
  <c r="AF228" i="50"/>
  <c r="AG228" i="50"/>
  <c r="AH228" i="50"/>
  <c r="AI228" i="50"/>
  <c r="AJ228" i="50"/>
  <c r="AK228" i="50"/>
  <c r="AL228" i="50"/>
  <c r="AM228" i="50"/>
  <c r="AN228" i="50"/>
  <c r="AO228" i="50"/>
  <c r="AP228" i="50"/>
  <c r="AQ228" i="50"/>
  <c r="AR228" i="50"/>
  <c r="AS228" i="50"/>
  <c r="AT228" i="50"/>
  <c r="AU228" i="50"/>
  <c r="AW228" i="50"/>
  <c r="AX228" i="50"/>
  <c r="AY228" i="50"/>
  <c r="BA228" i="50"/>
  <c r="A229" i="50"/>
  <c r="B229" i="50"/>
  <c r="D229" i="50"/>
  <c r="E229" i="50"/>
  <c r="F229" i="50"/>
  <c r="G229" i="50"/>
  <c r="H229" i="50"/>
  <c r="J229" i="50"/>
  <c r="K229" i="50"/>
  <c r="L229" i="50"/>
  <c r="M229" i="50"/>
  <c r="O229" i="50"/>
  <c r="P229" i="50"/>
  <c r="R229" i="50"/>
  <c r="S229" i="50"/>
  <c r="T229" i="50"/>
  <c r="U229" i="50"/>
  <c r="V229" i="50"/>
  <c r="W229" i="50"/>
  <c r="X229" i="50"/>
  <c r="Z229" i="50"/>
  <c r="AA229" i="50"/>
  <c r="AB229" i="50"/>
  <c r="AC229" i="50"/>
  <c r="AD229" i="50"/>
  <c r="AE229" i="50"/>
  <c r="AF229" i="50"/>
  <c r="AG229" i="50"/>
  <c r="AH229" i="50"/>
  <c r="AI229" i="50"/>
  <c r="AJ229" i="50"/>
  <c r="AK229" i="50"/>
  <c r="AL229" i="50"/>
  <c r="AM229" i="50"/>
  <c r="AN229" i="50"/>
  <c r="AO229" i="50"/>
  <c r="AP229" i="50"/>
  <c r="AQ229" i="50"/>
  <c r="AR229" i="50"/>
  <c r="AS229" i="50"/>
  <c r="AT229" i="50"/>
  <c r="AU229" i="50"/>
  <c r="AW229" i="50"/>
  <c r="AX229" i="50"/>
  <c r="AY229" i="50"/>
  <c r="BA229" i="50"/>
  <c r="A230" i="50"/>
  <c r="B230" i="50"/>
  <c r="D230" i="50"/>
  <c r="E230" i="50"/>
  <c r="F230" i="50"/>
  <c r="G230" i="50"/>
  <c r="H230" i="50"/>
  <c r="J230" i="50"/>
  <c r="K230" i="50"/>
  <c r="L230" i="50"/>
  <c r="M230" i="50"/>
  <c r="O230" i="50"/>
  <c r="P230" i="50"/>
  <c r="R230" i="50"/>
  <c r="S230" i="50"/>
  <c r="T230" i="50"/>
  <c r="U230" i="50"/>
  <c r="V230" i="50"/>
  <c r="W230" i="50"/>
  <c r="X230" i="50"/>
  <c r="Z230" i="50"/>
  <c r="AA230" i="50"/>
  <c r="AB230" i="50"/>
  <c r="AC230" i="50"/>
  <c r="AD230" i="50"/>
  <c r="AE230" i="50"/>
  <c r="AF230" i="50"/>
  <c r="AG230" i="50"/>
  <c r="AH230" i="50"/>
  <c r="AI230" i="50"/>
  <c r="AJ230" i="50"/>
  <c r="AK230" i="50"/>
  <c r="AL230" i="50"/>
  <c r="AM230" i="50"/>
  <c r="AN230" i="50"/>
  <c r="AO230" i="50"/>
  <c r="AP230" i="50"/>
  <c r="AQ230" i="50"/>
  <c r="AR230" i="50"/>
  <c r="AS230" i="50"/>
  <c r="AT230" i="50"/>
  <c r="AU230" i="50"/>
  <c r="AW230" i="50"/>
  <c r="AX230" i="50"/>
  <c r="AY230" i="50"/>
  <c r="BA230" i="50"/>
  <c r="A231" i="50"/>
  <c r="B231" i="50"/>
  <c r="D231" i="50"/>
  <c r="E231" i="50"/>
  <c r="F231" i="50"/>
  <c r="G231" i="50"/>
  <c r="H231" i="50"/>
  <c r="J231" i="50"/>
  <c r="K231" i="50"/>
  <c r="L231" i="50"/>
  <c r="M231" i="50"/>
  <c r="O231" i="50"/>
  <c r="P231" i="50"/>
  <c r="R231" i="50"/>
  <c r="S231" i="50"/>
  <c r="T231" i="50"/>
  <c r="U231" i="50"/>
  <c r="V231" i="50"/>
  <c r="W231" i="50"/>
  <c r="X231" i="50"/>
  <c r="Z231" i="50"/>
  <c r="AA231" i="50"/>
  <c r="AB231" i="50"/>
  <c r="AC231" i="50"/>
  <c r="AD231" i="50"/>
  <c r="AE231" i="50"/>
  <c r="AF231" i="50"/>
  <c r="AG231" i="50"/>
  <c r="AH231" i="50"/>
  <c r="AI231" i="50"/>
  <c r="AJ231" i="50"/>
  <c r="AK231" i="50"/>
  <c r="AL231" i="50"/>
  <c r="AM231" i="50"/>
  <c r="AN231" i="50"/>
  <c r="AO231" i="50"/>
  <c r="AP231" i="50"/>
  <c r="AQ231" i="50"/>
  <c r="AR231" i="50"/>
  <c r="AS231" i="50"/>
  <c r="AT231" i="50"/>
  <c r="AU231" i="50"/>
  <c r="AW231" i="50"/>
  <c r="AX231" i="50"/>
  <c r="AY231" i="50"/>
  <c r="BA231" i="50"/>
  <c r="A232" i="50"/>
  <c r="B232" i="50"/>
  <c r="D232" i="50"/>
  <c r="E232" i="50"/>
  <c r="F232" i="50"/>
  <c r="G232" i="50"/>
  <c r="H232" i="50"/>
  <c r="J232" i="50"/>
  <c r="K232" i="50"/>
  <c r="L232" i="50"/>
  <c r="M232" i="50"/>
  <c r="O232" i="50"/>
  <c r="P232" i="50"/>
  <c r="R232" i="50"/>
  <c r="S232" i="50"/>
  <c r="T232" i="50"/>
  <c r="U232" i="50"/>
  <c r="V232" i="50"/>
  <c r="W232" i="50"/>
  <c r="X232" i="50"/>
  <c r="Z232" i="50"/>
  <c r="AA232" i="50"/>
  <c r="AB232" i="50"/>
  <c r="AC232" i="50"/>
  <c r="AD232" i="50"/>
  <c r="AE232" i="50"/>
  <c r="AF232" i="50"/>
  <c r="AG232" i="50"/>
  <c r="AH232" i="50"/>
  <c r="AI232" i="50"/>
  <c r="AJ232" i="50"/>
  <c r="AK232" i="50"/>
  <c r="AL232" i="50"/>
  <c r="AM232" i="50"/>
  <c r="AN232" i="50"/>
  <c r="AO232" i="50"/>
  <c r="AP232" i="50"/>
  <c r="AQ232" i="50"/>
  <c r="AR232" i="50"/>
  <c r="AS232" i="50"/>
  <c r="AT232" i="50"/>
  <c r="AU232" i="50"/>
  <c r="AW232" i="50"/>
  <c r="AX232" i="50"/>
  <c r="AY232" i="50"/>
  <c r="BA232" i="50"/>
  <c r="A233" i="50"/>
  <c r="B233" i="50"/>
  <c r="D233" i="50"/>
  <c r="E233" i="50"/>
  <c r="F233" i="50"/>
  <c r="G233" i="50"/>
  <c r="H233" i="50"/>
  <c r="J233" i="50"/>
  <c r="K233" i="50"/>
  <c r="L233" i="50"/>
  <c r="M233" i="50"/>
  <c r="O233" i="50"/>
  <c r="P233" i="50"/>
  <c r="R233" i="50"/>
  <c r="S233" i="50"/>
  <c r="T233" i="50"/>
  <c r="U233" i="50"/>
  <c r="V233" i="50"/>
  <c r="W233" i="50"/>
  <c r="X233" i="50"/>
  <c r="Z233" i="50"/>
  <c r="AA233" i="50"/>
  <c r="AB233" i="50"/>
  <c r="AC233" i="50"/>
  <c r="AD233" i="50"/>
  <c r="AE233" i="50"/>
  <c r="AF233" i="50"/>
  <c r="AG233" i="50"/>
  <c r="AH233" i="50"/>
  <c r="AI233" i="50"/>
  <c r="AJ233" i="50"/>
  <c r="AK233" i="50"/>
  <c r="AL233" i="50"/>
  <c r="AM233" i="50"/>
  <c r="AN233" i="50"/>
  <c r="AO233" i="50"/>
  <c r="AP233" i="50"/>
  <c r="AQ233" i="50"/>
  <c r="AR233" i="50"/>
  <c r="AS233" i="50"/>
  <c r="AT233" i="50"/>
  <c r="AU233" i="50"/>
  <c r="AW233" i="50"/>
  <c r="AX233" i="50"/>
  <c r="AY233" i="50"/>
  <c r="BA233" i="50"/>
  <c r="A234" i="50"/>
  <c r="B234" i="50"/>
  <c r="D234" i="50"/>
  <c r="E234" i="50"/>
  <c r="F234" i="50"/>
  <c r="G234" i="50"/>
  <c r="H234" i="50"/>
  <c r="J234" i="50"/>
  <c r="K234" i="50"/>
  <c r="L234" i="50"/>
  <c r="M234" i="50"/>
  <c r="O234" i="50"/>
  <c r="P234" i="50"/>
  <c r="R234" i="50"/>
  <c r="S234" i="50"/>
  <c r="T234" i="50"/>
  <c r="U234" i="50"/>
  <c r="V234" i="50"/>
  <c r="W234" i="50"/>
  <c r="X234" i="50"/>
  <c r="Z234" i="50"/>
  <c r="AA234" i="50"/>
  <c r="AB234" i="50"/>
  <c r="AC234" i="50"/>
  <c r="AD234" i="50"/>
  <c r="AE234" i="50"/>
  <c r="AF234" i="50"/>
  <c r="AG234" i="50"/>
  <c r="AH234" i="50"/>
  <c r="AI234" i="50"/>
  <c r="AJ234" i="50"/>
  <c r="AK234" i="50"/>
  <c r="AL234" i="50"/>
  <c r="AM234" i="50"/>
  <c r="AN234" i="50"/>
  <c r="AO234" i="50"/>
  <c r="AP234" i="50"/>
  <c r="AQ234" i="50"/>
  <c r="AR234" i="50"/>
  <c r="AS234" i="50"/>
  <c r="AT234" i="50"/>
  <c r="AU234" i="50"/>
  <c r="AW234" i="50"/>
  <c r="AX234" i="50"/>
  <c r="AY234" i="50"/>
  <c r="BA234" i="50"/>
  <c r="A235" i="50"/>
  <c r="B235" i="50"/>
  <c r="D235" i="50"/>
  <c r="E235" i="50"/>
  <c r="F235" i="50"/>
  <c r="G235" i="50"/>
  <c r="H235" i="50"/>
  <c r="J235" i="50"/>
  <c r="K235" i="50"/>
  <c r="L235" i="50"/>
  <c r="M235" i="50"/>
  <c r="O235" i="50"/>
  <c r="P235" i="50"/>
  <c r="R235" i="50"/>
  <c r="S235" i="50"/>
  <c r="T235" i="50"/>
  <c r="U235" i="50"/>
  <c r="V235" i="50"/>
  <c r="W235" i="50"/>
  <c r="X235" i="50"/>
  <c r="Z235" i="50"/>
  <c r="AA235" i="50"/>
  <c r="AB235" i="50"/>
  <c r="AC235" i="50"/>
  <c r="AD235" i="50"/>
  <c r="AE235" i="50"/>
  <c r="AF235" i="50"/>
  <c r="AG235" i="50"/>
  <c r="AH235" i="50"/>
  <c r="AI235" i="50"/>
  <c r="AJ235" i="50"/>
  <c r="AK235" i="50"/>
  <c r="AL235" i="50"/>
  <c r="AM235" i="50"/>
  <c r="AN235" i="50"/>
  <c r="AO235" i="50"/>
  <c r="AP235" i="50"/>
  <c r="AQ235" i="50"/>
  <c r="AR235" i="50"/>
  <c r="AS235" i="50"/>
  <c r="AT235" i="50"/>
  <c r="AU235" i="50"/>
  <c r="AW235" i="50"/>
  <c r="AX235" i="50"/>
  <c r="AY235" i="50"/>
  <c r="BA235" i="50"/>
  <c r="A236" i="50"/>
  <c r="B236" i="50"/>
  <c r="D236" i="50"/>
  <c r="E236" i="50"/>
  <c r="F236" i="50"/>
  <c r="G236" i="50"/>
  <c r="H236" i="50"/>
  <c r="J236" i="50"/>
  <c r="K236" i="50"/>
  <c r="L236" i="50"/>
  <c r="M236" i="50"/>
  <c r="O236" i="50"/>
  <c r="P236" i="50"/>
  <c r="R236" i="50"/>
  <c r="S236" i="50"/>
  <c r="T236" i="50"/>
  <c r="U236" i="50"/>
  <c r="V236" i="50"/>
  <c r="W236" i="50"/>
  <c r="X236" i="50"/>
  <c r="Z236" i="50"/>
  <c r="AA236" i="50"/>
  <c r="AB236" i="50"/>
  <c r="AC236" i="50"/>
  <c r="AD236" i="50"/>
  <c r="AE236" i="50"/>
  <c r="AF236" i="50"/>
  <c r="AG236" i="50"/>
  <c r="AH236" i="50"/>
  <c r="AI236" i="50"/>
  <c r="AJ236" i="50"/>
  <c r="AK236" i="50"/>
  <c r="AL236" i="50"/>
  <c r="AM236" i="50"/>
  <c r="AN236" i="50"/>
  <c r="AO236" i="50"/>
  <c r="AP236" i="50"/>
  <c r="AQ236" i="50"/>
  <c r="AR236" i="50"/>
  <c r="AS236" i="50"/>
  <c r="AT236" i="50"/>
  <c r="AU236" i="50"/>
  <c r="AW236" i="50"/>
  <c r="AX236" i="50"/>
  <c r="AY236" i="50"/>
  <c r="BA236" i="50"/>
  <c r="A237" i="50"/>
  <c r="B237" i="50"/>
  <c r="D237" i="50"/>
  <c r="E237" i="50"/>
  <c r="F237" i="50"/>
  <c r="G237" i="50"/>
  <c r="H237" i="50"/>
  <c r="J237" i="50"/>
  <c r="K237" i="50"/>
  <c r="L237" i="50"/>
  <c r="M237" i="50"/>
  <c r="O237" i="50"/>
  <c r="P237" i="50"/>
  <c r="R237" i="50"/>
  <c r="S237" i="50"/>
  <c r="T237" i="50"/>
  <c r="U237" i="50"/>
  <c r="V237" i="50"/>
  <c r="W237" i="50"/>
  <c r="X237" i="50"/>
  <c r="Z237" i="50"/>
  <c r="AA237" i="50"/>
  <c r="AB237" i="50"/>
  <c r="AC237" i="50"/>
  <c r="AD237" i="50"/>
  <c r="AE237" i="50"/>
  <c r="AF237" i="50"/>
  <c r="AG237" i="50"/>
  <c r="AH237" i="50"/>
  <c r="AI237" i="50"/>
  <c r="AJ237" i="50"/>
  <c r="AK237" i="50"/>
  <c r="AL237" i="50"/>
  <c r="AM237" i="50"/>
  <c r="AN237" i="50"/>
  <c r="AO237" i="50"/>
  <c r="AP237" i="50"/>
  <c r="AQ237" i="50"/>
  <c r="AR237" i="50"/>
  <c r="AS237" i="50"/>
  <c r="AT237" i="50"/>
  <c r="AU237" i="50"/>
  <c r="AW237" i="50"/>
  <c r="AX237" i="50"/>
  <c r="AY237" i="50"/>
  <c r="BA237" i="50"/>
  <c r="A238" i="50"/>
  <c r="B238" i="50"/>
  <c r="D238" i="50"/>
  <c r="E238" i="50"/>
  <c r="F238" i="50"/>
  <c r="G238" i="50"/>
  <c r="H238" i="50"/>
  <c r="J238" i="50"/>
  <c r="K238" i="50"/>
  <c r="L238" i="50"/>
  <c r="M238" i="50"/>
  <c r="O238" i="50"/>
  <c r="P238" i="50"/>
  <c r="R238" i="50"/>
  <c r="S238" i="50"/>
  <c r="T238" i="50"/>
  <c r="U238" i="50"/>
  <c r="V238" i="50"/>
  <c r="W238" i="50"/>
  <c r="X238" i="50"/>
  <c r="Z238" i="50"/>
  <c r="AA238" i="50"/>
  <c r="AB238" i="50"/>
  <c r="AC238" i="50"/>
  <c r="AD238" i="50"/>
  <c r="AE238" i="50"/>
  <c r="AF238" i="50"/>
  <c r="AG238" i="50"/>
  <c r="AH238" i="50"/>
  <c r="AI238" i="50"/>
  <c r="AJ238" i="50"/>
  <c r="AK238" i="50"/>
  <c r="AL238" i="50"/>
  <c r="AM238" i="50"/>
  <c r="AN238" i="50"/>
  <c r="AO238" i="50"/>
  <c r="AP238" i="50"/>
  <c r="AQ238" i="50"/>
  <c r="AR238" i="50"/>
  <c r="AS238" i="50"/>
  <c r="AT238" i="50"/>
  <c r="AU238" i="50"/>
  <c r="AW238" i="50"/>
  <c r="AX238" i="50"/>
  <c r="AY238" i="50"/>
  <c r="BA238" i="50"/>
  <c r="A239" i="50"/>
  <c r="B239" i="50"/>
  <c r="D239" i="50"/>
  <c r="E239" i="50"/>
  <c r="F239" i="50"/>
  <c r="G239" i="50"/>
  <c r="H239" i="50"/>
  <c r="J239" i="50"/>
  <c r="K239" i="50"/>
  <c r="L239" i="50"/>
  <c r="M239" i="50"/>
  <c r="O239" i="50"/>
  <c r="P239" i="50"/>
  <c r="R239" i="50"/>
  <c r="S239" i="50"/>
  <c r="T239" i="50"/>
  <c r="U239" i="50"/>
  <c r="V239" i="50"/>
  <c r="W239" i="50"/>
  <c r="X239" i="50"/>
  <c r="Z239" i="50"/>
  <c r="AA239" i="50"/>
  <c r="AB239" i="50"/>
  <c r="AC239" i="50"/>
  <c r="AD239" i="50"/>
  <c r="AE239" i="50"/>
  <c r="AF239" i="50"/>
  <c r="AG239" i="50"/>
  <c r="AH239" i="50"/>
  <c r="AI239" i="50"/>
  <c r="AJ239" i="50"/>
  <c r="AK239" i="50"/>
  <c r="AL239" i="50"/>
  <c r="AM239" i="50"/>
  <c r="AN239" i="50"/>
  <c r="AO239" i="50"/>
  <c r="AP239" i="50"/>
  <c r="AQ239" i="50"/>
  <c r="AR239" i="50"/>
  <c r="AS239" i="50"/>
  <c r="AT239" i="50"/>
  <c r="AU239" i="50"/>
  <c r="AW239" i="50"/>
  <c r="AX239" i="50"/>
  <c r="AY239" i="50"/>
  <c r="BA239" i="50"/>
  <c r="A240" i="50"/>
  <c r="B240" i="50"/>
  <c r="D240" i="50"/>
  <c r="E240" i="50"/>
  <c r="F240" i="50"/>
  <c r="G240" i="50"/>
  <c r="H240" i="50"/>
  <c r="J240" i="50"/>
  <c r="K240" i="50"/>
  <c r="L240" i="50"/>
  <c r="M240" i="50"/>
  <c r="O240" i="50"/>
  <c r="P240" i="50"/>
  <c r="R240" i="50"/>
  <c r="S240" i="50"/>
  <c r="T240" i="50"/>
  <c r="U240" i="50"/>
  <c r="V240" i="50"/>
  <c r="W240" i="50"/>
  <c r="X240" i="50"/>
  <c r="Z240" i="50"/>
  <c r="AA240" i="50"/>
  <c r="AB240" i="50"/>
  <c r="AC240" i="50"/>
  <c r="AD240" i="50"/>
  <c r="AE240" i="50"/>
  <c r="AF240" i="50"/>
  <c r="AG240" i="50"/>
  <c r="AH240" i="50"/>
  <c r="AI240" i="50"/>
  <c r="AJ240" i="50"/>
  <c r="AK240" i="50"/>
  <c r="AL240" i="50"/>
  <c r="AM240" i="50"/>
  <c r="AN240" i="50"/>
  <c r="AO240" i="50"/>
  <c r="AP240" i="50"/>
  <c r="AQ240" i="50"/>
  <c r="AR240" i="50"/>
  <c r="AS240" i="50"/>
  <c r="AT240" i="50"/>
  <c r="AU240" i="50"/>
  <c r="AW240" i="50"/>
  <c r="AX240" i="50"/>
  <c r="AY240" i="50"/>
  <c r="BA240" i="50"/>
  <c r="A241" i="50"/>
  <c r="B241" i="50"/>
  <c r="D241" i="50"/>
  <c r="E241" i="50"/>
  <c r="F241" i="50"/>
  <c r="G241" i="50"/>
  <c r="H241" i="50"/>
  <c r="J241" i="50"/>
  <c r="K241" i="50"/>
  <c r="L241" i="50"/>
  <c r="M241" i="50"/>
  <c r="O241" i="50"/>
  <c r="P241" i="50"/>
  <c r="R241" i="50"/>
  <c r="S241" i="50"/>
  <c r="T241" i="50"/>
  <c r="U241" i="50"/>
  <c r="V241" i="50"/>
  <c r="W241" i="50"/>
  <c r="X241" i="50"/>
  <c r="Z241" i="50"/>
  <c r="AA241" i="50"/>
  <c r="AB241" i="50"/>
  <c r="AC241" i="50"/>
  <c r="AD241" i="50"/>
  <c r="AE241" i="50"/>
  <c r="AF241" i="50"/>
  <c r="AG241" i="50"/>
  <c r="AH241" i="50"/>
  <c r="AI241" i="50"/>
  <c r="AJ241" i="50"/>
  <c r="AK241" i="50"/>
  <c r="AL241" i="50"/>
  <c r="AM241" i="50"/>
  <c r="AN241" i="50"/>
  <c r="AO241" i="50"/>
  <c r="AP241" i="50"/>
  <c r="AQ241" i="50"/>
  <c r="AR241" i="50"/>
  <c r="AS241" i="50"/>
  <c r="AT241" i="50"/>
  <c r="AU241" i="50"/>
  <c r="AW241" i="50"/>
  <c r="AX241" i="50"/>
  <c r="AY241" i="50"/>
  <c r="BA241" i="50"/>
  <c r="A242" i="50"/>
  <c r="B242" i="50"/>
  <c r="D242" i="50"/>
  <c r="E242" i="50"/>
  <c r="F242" i="50"/>
  <c r="G242" i="50"/>
  <c r="H242" i="50"/>
  <c r="J242" i="50"/>
  <c r="K242" i="50"/>
  <c r="L242" i="50"/>
  <c r="M242" i="50"/>
  <c r="O242" i="50"/>
  <c r="P242" i="50"/>
  <c r="R242" i="50"/>
  <c r="S242" i="50"/>
  <c r="T242" i="50"/>
  <c r="U242" i="50"/>
  <c r="V242" i="50"/>
  <c r="W242" i="50"/>
  <c r="X242" i="50"/>
  <c r="Z242" i="50"/>
  <c r="AA242" i="50"/>
  <c r="AB242" i="50"/>
  <c r="AC242" i="50"/>
  <c r="AD242" i="50"/>
  <c r="AE242" i="50"/>
  <c r="AF242" i="50"/>
  <c r="AG242" i="50"/>
  <c r="AH242" i="50"/>
  <c r="AI242" i="50"/>
  <c r="AJ242" i="50"/>
  <c r="AK242" i="50"/>
  <c r="AL242" i="50"/>
  <c r="AM242" i="50"/>
  <c r="AN242" i="50"/>
  <c r="AO242" i="50"/>
  <c r="AP242" i="50"/>
  <c r="AQ242" i="50"/>
  <c r="AR242" i="50"/>
  <c r="AS242" i="50"/>
  <c r="AT242" i="50"/>
  <c r="AU242" i="50"/>
  <c r="AW242" i="50"/>
  <c r="AX242" i="50"/>
  <c r="AY242" i="50"/>
  <c r="BA242" i="50"/>
  <c r="A243" i="50"/>
  <c r="B243" i="50"/>
  <c r="D243" i="50"/>
  <c r="E243" i="50"/>
  <c r="F243" i="50"/>
  <c r="G243" i="50"/>
  <c r="H243" i="50"/>
  <c r="J243" i="50"/>
  <c r="K243" i="50"/>
  <c r="L243" i="50"/>
  <c r="M243" i="50"/>
  <c r="O243" i="50"/>
  <c r="P243" i="50"/>
  <c r="R243" i="50"/>
  <c r="S243" i="50"/>
  <c r="T243" i="50"/>
  <c r="U243" i="50"/>
  <c r="V243" i="50"/>
  <c r="W243" i="50"/>
  <c r="X243" i="50"/>
  <c r="Z243" i="50"/>
  <c r="AA243" i="50"/>
  <c r="AB243" i="50"/>
  <c r="AC243" i="50"/>
  <c r="AD243" i="50"/>
  <c r="AE243" i="50"/>
  <c r="AF243" i="50"/>
  <c r="AG243" i="50"/>
  <c r="AH243" i="50"/>
  <c r="AI243" i="50"/>
  <c r="AJ243" i="50"/>
  <c r="AK243" i="50"/>
  <c r="AL243" i="50"/>
  <c r="AM243" i="50"/>
  <c r="AN243" i="50"/>
  <c r="AO243" i="50"/>
  <c r="AP243" i="50"/>
  <c r="AQ243" i="50"/>
  <c r="AR243" i="50"/>
  <c r="AS243" i="50"/>
  <c r="AT243" i="50"/>
  <c r="AU243" i="50"/>
  <c r="AW243" i="50"/>
  <c r="AX243" i="50"/>
  <c r="AY243" i="50"/>
  <c r="BA243" i="50"/>
  <c r="A244" i="50"/>
  <c r="B244" i="50"/>
  <c r="D244" i="50"/>
  <c r="E244" i="50"/>
  <c r="F244" i="50"/>
  <c r="G244" i="50"/>
  <c r="H244" i="50"/>
  <c r="J244" i="50"/>
  <c r="K244" i="50"/>
  <c r="L244" i="50"/>
  <c r="M244" i="50"/>
  <c r="O244" i="50"/>
  <c r="P244" i="50"/>
  <c r="R244" i="50"/>
  <c r="S244" i="50"/>
  <c r="T244" i="50"/>
  <c r="U244" i="50"/>
  <c r="V244" i="50"/>
  <c r="W244" i="50"/>
  <c r="X244" i="50"/>
  <c r="Z244" i="50"/>
  <c r="AA244" i="50"/>
  <c r="AB244" i="50"/>
  <c r="AC244" i="50"/>
  <c r="AD244" i="50"/>
  <c r="AE244" i="50"/>
  <c r="AF244" i="50"/>
  <c r="AG244" i="50"/>
  <c r="AH244" i="50"/>
  <c r="AI244" i="50"/>
  <c r="AJ244" i="50"/>
  <c r="AK244" i="50"/>
  <c r="AL244" i="50"/>
  <c r="AM244" i="50"/>
  <c r="AN244" i="50"/>
  <c r="AO244" i="50"/>
  <c r="AP244" i="50"/>
  <c r="AQ244" i="50"/>
  <c r="AR244" i="50"/>
  <c r="AS244" i="50"/>
  <c r="AT244" i="50"/>
  <c r="AU244" i="50"/>
  <c r="AW244" i="50"/>
  <c r="AX244" i="50"/>
  <c r="AY244" i="50"/>
  <c r="BA244" i="50"/>
  <c r="A245" i="50"/>
  <c r="B245" i="50"/>
  <c r="D245" i="50"/>
  <c r="E245" i="50"/>
  <c r="F245" i="50"/>
  <c r="G245" i="50"/>
  <c r="H245" i="50"/>
  <c r="J245" i="50"/>
  <c r="K245" i="50"/>
  <c r="L245" i="50"/>
  <c r="M245" i="50"/>
  <c r="O245" i="50"/>
  <c r="P245" i="50"/>
  <c r="R245" i="50"/>
  <c r="S245" i="50"/>
  <c r="T245" i="50"/>
  <c r="U245" i="50"/>
  <c r="V245" i="50"/>
  <c r="W245" i="50"/>
  <c r="X245" i="50"/>
  <c r="Z245" i="50"/>
  <c r="AA245" i="50"/>
  <c r="AB245" i="50"/>
  <c r="AC245" i="50"/>
  <c r="AD245" i="50"/>
  <c r="AE245" i="50"/>
  <c r="AF245" i="50"/>
  <c r="AG245" i="50"/>
  <c r="AH245" i="50"/>
  <c r="AI245" i="50"/>
  <c r="AJ245" i="50"/>
  <c r="AK245" i="50"/>
  <c r="AL245" i="50"/>
  <c r="AM245" i="50"/>
  <c r="AN245" i="50"/>
  <c r="AO245" i="50"/>
  <c r="AP245" i="50"/>
  <c r="AQ245" i="50"/>
  <c r="AR245" i="50"/>
  <c r="AS245" i="50"/>
  <c r="AT245" i="50"/>
  <c r="AU245" i="50"/>
  <c r="AW245" i="50"/>
  <c r="AX245" i="50"/>
  <c r="AY245" i="50"/>
  <c r="BA245" i="50"/>
  <c r="A246" i="50"/>
  <c r="B246" i="50"/>
  <c r="D246" i="50"/>
  <c r="E246" i="50"/>
  <c r="F246" i="50"/>
  <c r="G246" i="50"/>
  <c r="H246" i="50"/>
  <c r="J246" i="50"/>
  <c r="K246" i="50"/>
  <c r="L246" i="50"/>
  <c r="M246" i="50"/>
  <c r="O246" i="50"/>
  <c r="P246" i="50"/>
  <c r="R246" i="50"/>
  <c r="S246" i="50"/>
  <c r="T246" i="50"/>
  <c r="U246" i="50"/>
  <c r="V246" i="50"/>
  <c r="W246" i="50"/>
  <c r="X246" i="50"/>
  <c r="Z246" i="50"/>
  <c r="AA246" i="50"/>
  <c r="AB246" i="50"/>
  <c r="AC246" i="50"/>
  <c r="AD246" i="50"/>
  <c r="AE246" i="50"/>
  <c r="AF246" i="50"/>
  <c r="AG246" i="50"/>
  <c r="AH246" i="50"/>
  <c r="AI246" i="50"/>
  <c r="AJ246" i="50"/>
  <c r="AK246" i="50"/>
  <c r="AL246" i="50"/>
  <c r="AM246" i="50"/>
  <c r="AN246" i="50"/>
  <c r="AO246" i="50"/>
  <c r="AP246" i="50"/>
  <c r="AQ246" i="50"/>
  <c r="AR246" i="50"/>
  <c r="AS246" i="50"/>
  <c r="AT246" i="50"/>
  <c r="AU246" i="50"/>
  <c r="AW246" i="50"/>
  <c r="AX246" i="50"/>
  <c r="AY246" i="50"/>
  <c r="BA246" i="50"/>
  <c r="A247" i="50"/>
  <c r="B247" i="50"/>
  <c r="D247" i="50"/>
  <c r="E247" i="50"/>
  <c r="F247" i="50"/>
  <c r="G247" i="50"/>
  <c r="H247" i="50"/>
  <c r="J247" i="50"/>
  <c r="K247" i="50"/>
  <c r="L247" i="50"/>
  <c r="M247" i="50"/>
  <c r="O247" i="50"/>
  <c r="P247" i="50"/>
  <c r="R247" i="50"/>
  <c r="S247" i="50"/>
  <c r="T247" i="50"/>
  <c r="U247" i="50"/>
  <c r="V247" i="50"/>
  <c r="W247" i="50"/>
  <c r="X247" i="50"/>
  <c r="Z247" i="50"/>
  <c r="AA247" i="50"/>
  <c r="AB247" i="50"/>
  <c r="AC247" i="50"/>
  <c r="AD247" i="50"/>
  <c r="AE247" i="50"/>
  <c r="AF247" i="50"/>
  <c r="AG247" i="50"/>
  <c r="AH247" i="50"/>
  <c r="AI247" i="50"/>
  <c r="AJ247" i="50"/>
  <c r="AK247" i="50"/>
  <c r="AL247" i="50"/>
  <c r="AM247" i="50"/>
  <c r="AN247" i="50"/>
  <c r="AO247" i="50"/>
  <c r="AP247" i="50"/>
  <c r="AQ247" i="50"/>
  <c r="AR247" i="50"/>
  <c r="AS247" i="50"/>
  <c r="AT247" i="50"/>
  <c r="AU247" i="50"/>
  <c r="AW247" i="50"/>
  <c r="AX247" i="50"/>
  <c r="AY247" i="50"/>
  <c r="BA247" i="50"/>
  <c r="A248" i="50"/>
  <c r="B248" i="50"/>
  <c r="D248" i="50"/>
  <c r="E248" i="50"/>
  <c r="F248" i="50"/>
  <c r="G248" i="50"/>
  <c r="H248" i="50"/>
  <c r="J248" i="50"/>
  <c r="K248" i="50"/>
  <c r="L248" i="50"/>
  <c r="M248" i="50"/>
  <c r="O248" i="50"/>
  <c r="P248" i="50"/>
  <c r="R248" i="50"/>
  <c r="S248" i="50"/>
  <c r="T248" i="50"/>
  <c r="U248" i="50"/>
  <c r="V248" i="50"/>
  <c r="W248" i="50"/>
  <c r="X248" i="50"/>
  <c r="Z248" i="50"/>
  <c r="AA248" i="50"/>
  <c r="AB248" i="50"/>
  <c r="AC248" i="50"/>
  <c r="AD248" i="50"/>
  <c r="AE248" i="50"/>
  <c r="AF248" i="50"/>
  <c r="AG248" i="50"/>
  <c r="AH248" i="50"/>
  <c r="AI248" i="50"/>
  <c r="AJ248" i="50"/>
  <c r="AK248" i="50"/>
  <c r="AL248" i="50"/>
  <c r="AM248" i="50"/>
  <c r="AN248" i="50"/>
  <c r="AO248" i="50"/>
  <c r="AP248" i="50"/>
  <c r="AQ248" i="50"/>
  <c r="AR248" i="50"/>
  <c r="AS248" i="50"/>
  <c r="AT248" i="50"/>
  <c r="AU248" i="50"/>
  <c r="AW248" i="50"/>
  <c r="AX248" i="50"/>
  <c r="AY248" i="50"/>
  <c r="BA248" i="50"/>
  <c r="A249" i="50"/>
  <c r="B249" i="50"/>
  <c r="D249" i="50"/>
  <c r="E249" i="50"/>
  <c r="F249" i="50"/>
  <c r="G249" i="50"/>
  <c r="H249" i="50"/>
  <c r="J249" i="50"/>
  <c r="K249" i="50"/>
  <c r="L249" i="50"/>
  <c r="M249" i="50"/>
  <c r="O249" i="50"/>
  <c r="P249" i="50"/>
  <c r="R249" i="50"/>
  <c r="S249" i="50"/>
  <c r="T249" i="50"/>
  <c r="U249" i="50"/>
  <c r="V249" i="50"/>
  <c r="W249" i="50"/>
  <c r="X249" i="50"/>
  <c r="Z249" i="50"/>
  <c r="AA249" i="50"/>
  <c r="AB249" i="50"/>
  <c r="AC249" i="50"/>
  <c r="AD249" i="50"/>
  <c r="AE249" i="50"/>
  <c r="AF249" i="50"/>
  <c r="AG249" i="50"/>
  <c r="AH249" i="50"/>
  <c r="AI249" i="50"/>
  <c r="AJ249" i="50"/>
  <c r="AK249" i="50"/>
  <c r="AL249" i="50"/>
  <c r="AM249" i="50"/>
  <c r="AN249" i="50"/>
  <c r="AO249" i="50"/>
  <c r="AP249" i="50"/>
  <c r="AQ249" i="50"/>
  <c r="AR249" i="50"/>
  <c r="AS249" i="50"/>
  <c r="AT249" i="50"/>
  <c r="AU249" i="50"/>
  <c r="AW249" i="50"/>
  <c r="AX249" i="50"/>
  <c r="AY249" i="50"/>
  <c r="BA249" i="50"/>
  <c r="A250" i="50"/>
  <c r="B250" i="50"/>
  <c r="D250" i="50"/>
  <c r="E250" i="50"/>
  <c r="F250" i="50"/>
  <c r="G250" i="50"/>
  <c r="H250" i="50"/>
  <c r="J250" i="50"/>
  <c r="K250" i="50"/>
  <c r="L250" i="50"/>
  <c r="M250" i="50"/>
  <c r="O250" i="50"/>
  <c r="P250" i="50"/>
  <c r="R250" i="50"/>
  <c r="S250" i="50"/>
  <c r="T250" i="50"/>
  <c r="U250" i="50"/>
  <c r="V250" i="50"/>
  <c r="W250" i="50"/>
  <c r="X250" i="50"/>
  <c r="Z250" i="50"/>
  <c r="AA250" i="50"/>
  <c r="AB250" i="50"/>
  <c r="AC250" i="50"/>
  <c r="AD250" i="50"/>
  <c r="AE250" i="50"/>
  <c r="AF250" i="50"/>
  <c r="AG250" i="50"/>
  <c r="AH250" i="50"/>
  <c r="AI250" i="50"/>
  <c r="AJ250" i="50"/>
  <c r="AK250" i="50"/>
  <c r="AL250" i="50"/>
  <c r="AM250" i="50"/>
  <c r="AN250" i="50"/>
  <c r="AO250" i="50"/>
  <c r="AP250" i="50"/>
  <c r="AQ250" i="50"/>
  <c r="AR250" i="50"/>
  <c r="AS250" i="50"/>
  <c r="AT250" i="50"/>
  <c r="AU250" i="50"/>
  <c r="AW250" i="50"/>
  <c r="AX250" i="50"/>
  <c r="AY250" i="50"/>
  <c r="BA250" i="50"/>
  <c r="A251" i="50"/>
  <c r="B251" i="50"/>
  <c r="D251" i="50"/>
  <c r="E251" i="50"/>
  <c r="F251" i="50"/>
  <c r="G251" i="50"/>
  <c r="H251" i="50"/>
  <c r="J251" i="50"/>
  <c r="K251" i="50"/>
  <c r="L251" i="50"/>
  <c r="M251" i="50"/>
  <c r="O251" i="50"/>
  <c r="P251" i="50"/>
  <c r="R251" i="50"/>
  <c r="S251" i="50"/>
  <c r="T251" i="50"/>
  <c r="U251" i="50"/>
  <c r="V251" i="50"/>
  <c r="W251" i="50"/>
  <c r="X251" i="50"/>
  <c r="Z251" i="50"/>
  <c r="AA251" i="50"/>
  <c r="AB251" i="50"/>
  <c r="AC251" i="50"/>
  <c r="AD251" i="50"/>
  <c r="AE251" i="50"/>
  <c r="AF251" i="50"/>
  <c r="AG251" i="50"/>
  <c r="AH251" i="50"/>
  <c r="AI251" i="50"/>
  <c r="AJ251" i="50"/>
  <c r="AK251" i="50"/>
  <c r="AL251" i="50"/>
  <c r="AM251" i="50"/>
  <c r="AN251" i="50"/>
  <c r="AO251" i="50"/>
  <c r="AP251" i="50"/>
  <c r="AQ251" i="50"/>
  <c r="AR251" i="50"/>
  <c r="AS251" i="50"/>
  <c r="AT251" i="50"/>
  <c r="AU251" i="50"/>
  <c r="AW251" i="50"/>
  <c r="AX251" i="50"/>
  <c r="AY251" i="50"/>
  <c r="BA251" i="50"/>
  <c r="A252" i="50"/>
  <c r="B252" i="50"/>
  <c r="D252" i="50"/>
  <c r="E252" i="50"/>
  <c r="F252" i="50"/>
  <c r="G252" i="50"/>
  <c r="H252" i="50"/>
  <c r="J252" i="50"/>
  <c r="K252" i="50"/>
  <c r="L252" i="50"/>
  <c r="M252" i="50"/>
  <c r="O252" i="50"/>
  <c r="P252" i="50"/>
  <c r="R252" i="50"/>
  <c r="S252" i="50"/>
  <c r="T252" i="50"/>
  <c r="U252" i="50"/>
  <c r="V252" i="50"/>
  <c r="W252" i="50"/>
  <c r="X252" i="50"/>
  <c r="Z252" i="50"/>
  <c r="AA252" i="50"/>
  <c r="AB252" i="50"/>
  <c r="AC252" i="50"/>
  <c r="AD252" i="50"/>
  <c r="AE252" i="50"/>
  <c r="AF252" i="50"/>
  <c r="AG252" i="50"/>
  <c r="AH252" i="50"/>
  <c r="AI252" i="50"/>
  <c r="AJ252" i="50"/>
  <c r="AK252" i="50"/>
  <c r="AL252" i="50"/>
  <c r="AM252" i="50"/>
  <c r="AN252" i="50"/>
  <c r="AO252" i="50"/>
  <c r="AP252" i="50"/>
  <c r="AQ252" i="50"/>
  <c r="AR252" i="50"/>
  <c r="AS252" i="50"/>
  <c r="AT252" i="50"/>
  <c r="AU252" i="50"/>
  <c r="AW252" i="50"/>
  <c r="AX252" i="50"/>
  <c r="AY252" i="50"/>
  <c r="BA252" i="50"/>
  <c r="A253" i="50"/>
  <c r="B253" i="50"/>
  <c r="D253" i="50"/>
  <c r="E253" i="50"/>
  <c r="F253" i="50"/>
  <c r="G253" i="50"/>
  <c r="H253" i="50"/>
  <c r="J253" i="50"/>
  <c r="K253" i="50"/>
  <c r="L253" i="50"/>
  <c r="M253" i="50"/>
  <c r="O253" i="50"/>
  <c r="P253" i="50"/>
  <c r="R253" i="50"/>
  <c r="S253" i="50"/>
  <c r="T253" i="50"/>
  <c r="U253" i="50"/>
  <c r="V253" i="50"/>
  <c r="W253" i="50"/>
  <c r="X253" i="50"/>
  <c r="Z253" i="50"/>
  <c r="AA253" i="50"/>
  <c r="AB253" i="50"/>
  <c r="AC253" i="50"/>
  <c r="AD253" i="50"/>
  <c r="AE253" i="50"/>
  <c r="AF253" i="50"/>
  <c r="AG253" i="50"/>
  <c r="AH253" i="50"/>
  <c r="AI253" i="50"/>
  <c r="AJ253" i="50"/>
  <c r="AK253" i="50"/>
  <c r="AL253" i="50"/>
  <c r="AM253" i="50"/>
  <c r="AN253" i="50"/>
  <c r="AO253" i="50"/>
  <c r="AP253" i="50"/>
  <c r="AQ253" i="50"/>
  <c r="AR253" i="50"/>
  <c r="AS253" i="50"/>
  <c r="AT253" i="50"/>
  <c r="AU253" i="50"/>
  <c r="AW253" i="50"/>
  <c r="AX253" i="50"/>
  <c r="AY253" i="50"/>
  <c r="BA253" i="50"/>
  <c r="A254" i="50"/>
  <c r="B254" i="50"/>
  <c r="D254" i="50"/>
  <c r="E254" i="50"/>
  <c r="F254" i="50"/>
  <c r="G254" i="50"/>
  <c r="H254" i="50"/>
  <c r="J254" i="50"/>
  <c r="K254" i="50"/>
  <c r="L254" i="50"/>
  <c r="M254" i="50"/>
  <c r="O254" i="50"/>
  <c r="P254" i="50"/>
  <c r="R254" i="50"/>
  <c r="S254" i="50"/>
  <c r="T254" i="50"/>
  <c r="U254" i="50"/>
  <c r="V254" i="50"/>
  <c r="W254" i="50"/>
  <c r="X254" i="50"/>
  <c r="Z254" i="50"/>
  <c r="AA254" i="50"/>
  <c r="AB254" i="50"/>
  <c r="AC254" i="50"/>
  <c r="AD254" i="50"/>
  <c r="AE254" i="50"/>
  <c r="AF254" i="50"/>
  <c r="AG254" i="50"/>
  <c r="AH254" i="50"/>
  <c r="AI254" i="50"/>
  <c r="AJ254" i="50"/>
  <c r="AK254" i="50"/>
  <c r="AL254" i="50"/>
  <c r="AM254" i="50"/>
  <c r="AN254" i="50"/>
  <c r="AO254" i="50"/>
  <c r="AP254" i="50"/>
  <c r="AQ254" i="50"/>
  <c r="AR254" i="50"/>
  <c r="AS254" i="50"/>
  <c r="AT254" i="50"/>
  <c r="AU254" i="50"/>
  <c r="AW254" i="50"/>
  <c r="AX254" i="50"/>
  <c r="AY254" i="50"/>
  <c r="BA254" i="50"/>
  <c r="A255" i="50"/>
  <c r="B255" i="50"/>
  <c r="D255" i="50"/>
  <c r="E255" i="50"/>
  <c r="F255" i="50"/>
  <c r="G255" i="50"/>
  <c r="H255" i="50"/>
  <c r="J255" i="50"/>
  <c r="K255" i="50"/>
  <c r="L255" i="50"/>
  <c r="M255" i="50"/>
  <c r="O255" i="50"/>
  <c r="P255" i="50"/>
  <c r="R255" i="50"/>
  <c r="S255" i="50"/>
  <c r="T255" i="50"/>
  <c r="U255" i="50"/>
  <c r="V255" i="50"/>
  <c r="W255" i="50"/>
  <c r="X255" i="50"/>
  <c r="Z255" i="50"/>
  <c r="AA255" i="50"/>
  <c r="AB255" i="50"/>
  <c r="AC255" i="50"/>
  <c r="AD255" i="50"/>
  <c r="AE255" i="50"/>
  <c r="AF255" i="50"/>
  <c r="AG255" i="50"/>
  <c r="AH255" i="50"/>
  <c r="AI255" i="50"/>
  <c r="AJ255" i="50"/>
  <c r="AK255" i="50"/>
  <c r="AL255" i="50"/>
  <c r="AM255" i="50"/>
  <c r="AN255" i="50"/>
  <c r="AO255" i="50"/>
  <c r="AP255" i="50"/>
  <c r="AQ255" i="50"/>
  <c r="AR255" i="50"/>
  <c r="AS255" i="50"/>
  <c r="AT255" i="50"/>
  <c r="AU255" i="50"/>
  <c r="AW255" i="50"/>
  <c r="AX255" i="50"/>
  <c r="AY255" i="50"/>
  <c r="BA255" i="50"/>
  <c r="A256" i="50"/>
  <c r="B256" i="50"/>
  <c r="D256" i="50"/>
  <c r="E256" i="50"/>
  <c r="F256" i="50"/>
  <c r="G256" i="50"/>
  <c r="H256" i="50"/>
  <c r="J256" i="50"/>
  <c r="K256" i="50"/>
  <c r="L256" i="50"/>
  <c r="M256" i="50"/>
  <c r="O256" i="50"/>
  <c r="P256" i="50"/>
  <c r="R256" i="50"/>
  <c r="S256" i="50"/>
  <c r="T256" i="50"/>
  <c r="U256" i="50"/>
  <c r="V256" i="50"/>
  <c r="W256" i="50"/>
  <c r="X256" i="50"/>
  <c r="Z256" i="50"/>
  <c r="AA256" i="50"/>
  <c r="AB256" i="50"/>
  <c r="AC256" i="50"/>
  <c r="AD256" i="50"/>
  <c r="AE256" i="50"/>
  <c r="AF256" i="50"/>
  <c r="AG256" i="50"/>
  <c r="AH256" i="50"/>
  <c r="AI256" i="50"/>
  <c r="AJ256" i="50"/>
  <c r="AK256" i="50"/>
  <c r="AL256" i="50"/>
  <c r="AM256" i="50"/>
  <c r="AN256" i="50"/>
  <c r="AO256" i="50"/>
  <c r="AP256" i="50"/>
  <c r="AQ256" i="50"/>
  <c r="AR256" i="50"/>
  <c r="AS256" i="50"/>
  <c r="AT256" i="50"/>
  <c r="AU256" i="50"/>
  <c r="AW256" i="50"/>
  <c r="AX256" i="50"/>
  <c r="AY256" i="50"/>
  <c r="BA256" i="50"/>
  <c r="A257" i="50"/>
  <c r="B257" i="50"/>
  <c r="D257" i="50"/>
  <c r="E257" i="50"/>
  <c r="F257" i="50"/>
  <c r="G257" i="50"/>
  <c r="H257" i="50"/>
  <c r="J257" i="50"/>
  <c r="K257" i="50"/>
  <c r="L257" i="50"/>
  <c r="M257" i="50"/>
  <c r="O257" i="50"/>
  <c r="P257" i="50"/>
  <c r="R257" i="50"/>
  <c r="S257" i="50"/>
  <c r="T257" i="50"/>
  <c r="U257" i="50"/>
  <c r="V257" i="50"/>
  <c r="W257" i="50"/>
  <c r="X257" i="50"/>
  <c r="Z257" i="50"/>
  <c r="AA257" i="50"/>
  <c r="AB257" i="50"/>
  <c r="AC257" i="50"/>
  <c r="AD257" i="50"/>
  <c r="AE257" i="50"/>
  <c r="AF257" i="50"/>
  <c r="AG257" i="50"/>
  <c r="AH257" i="50"/>
  <c r="AI257" i="50"/>
  <c r="AJ257" i="50"/>
  <c r="AK257" i="50"/>
  <c r="AL257" i="50"/>
  <c r="AM257" i="50"/>
  <c r="AN257" i="50"/>
  <c r="AO257" i="50"/>
  <c r="AP257" i="50"/>
  <c r="AQ257" i="50"/>
  <c r="AR257" i="50"/>
  <c r="AS257" i="50"/>
  <c r="AT257" i="50"/>
  <c r="AU257" i="50"/>
  <c r="AW257" i="50"/>
  <c r="AX257" i="50"/>
  <c r="AY257" i="50"/>
  <c r="BA257" i="50"/>
  <c r="A258" i="50"/>
  <c r="B258" i="50"/>
  <c r="D258" i="50"/>
  <c r="E258" i="50"/>
  <c r="F258" i="50"/>
  <c r="G258" i="50"/>
  <c r="H258" i="50"/>
  <c r="J258" i="50"/>
  <c r="K258" i="50"/>
  <c r="L258" i="50"/>
  <c r="M258" i="50"/>
  <c r="O258" i="50"/>
  <c r="P258" i="50"/>
  <c r="R258" i="50"/>
  <c r="S258" i="50"/>
  <c r="T258" i="50"/>
  <c r="U258" i="50"/>
  <c r="V258" i="50"/>
  <c r="W258" i="50"/>
  <c r="X258" i="50"/>
  <c r="Z258" i="50"/>
  <c r="AA258" i="50"/>
  <c r="AB258" i="50"/>
  <c r="AC258" i="50"/>
  <c r="AD258" i="50"/>
  <c r="AE258" i="50"/>
  <c r="AF258" i="50"/>
  <c r="AG258" i="50"/>
  <c r="AH258" i="50"/>
  <c r="AI258" i="50"/>
  <c r="AJ258" i="50"/>
  <c r="AK258" i="50"/>
  <c r="AL258" i="50"/>
  <c r="AM258" i="50"/>
  <c r="AN258" i="50"/>
  <c r="AO258" i="50"/>
  <c r="AP258" i="50"/>
  <c r="AQ258" i="50"/>
  <c r="AR258" i="50"/>
  <c r="AS258" i="50"/>
  <c r="AT258" i="50"/>
  <c r="AU258" i="50"/>
  <c r="AW258" i="50"/>
  <c r="AX258" i="50"/>
  <c r="AY258" i="50"/>
  <c r="BA258" i="50"/>
  <c r="A259" i="50"/>
  <c r="B259" i="50"/>
  <c r="D259" i="50"/>
  <c r="E259" i="50"/>
  <c r="F259" i="50"/>
  <c r="G259" i="50"/>
  <c r="H259" i="50"/>
  <c r="J259" i="50"/>
  <c r="K259" i="50"/>
  <c r="L259" i="50"/>
  <c r="M259" i="50"/>
  <c r="O259" i="50"/>
  <c r="P259" i="50"/>
  <c r="R259" i="50"/>
  <c r="S259" i="50"/>
  <c r="T259" i="50"/>
  <c r="U259" i="50"/>
  <c r="V259" i="50"/>
  <c r="W259" i="50"/>
  <c r="X259" i="50"/>
  <c r="Z259" i="50"/>
  <c r="AA259" i="50"/>
  <c r="AB259" i="50"/>
  <c r="AC259" i="50"/>
  <c r="AD259" i="50"/>
  <c r="AE259" i="50"/>
  <c r="AF259" i="50"/>
  <c r="AG259" i="50"/>
  <c r="AH259" i="50"/>
  <c r="AI259" i="50"/>
  <c r="AJ259" i="50"/>
  <c r="AK259" i="50"/>
  <c r="AL259" i="50"/>
  <c r="AM259" i="50"/>
  <c r="AN259" i="50"/>
  <c r="AO259" i="50"/>
  <c r="AP259" i="50"/>
  <c r="AQ259" i="50"/>
  <c r="AR259" i="50"/>
  <c r="AS259" i="50"/>
  <c r="AT259" i="50"/>
  <c r="AU259" i="50"/>
  <c r="AW259" i="50"/>
  <c r="AX259" i="50"/>
  <c r="AY259" i="50"/>
  <c r="BA259" i="50"/>
  <c r="A260" i="50"/>
  <c r="B260" i="50"/>
  <c r="D260" i="50"/>
  <c r="E260" i="50"/>
  <c r="F260" i="50"/>
  <c r="G260" i="50"/>
  <c r="H260" i="50"/>
  <c r="J260" i="50"/>
  <c r="K260" i="50"/>
  <c r="L260" i="50"/>
  <c r="M260" i="50"/>
  <c r="O260" i="50"/>
  <c r="P260" i="50"/>
  <c r="R260" i="50"/>
  <c r="S260" i="50"/>
  <c r="T260" i="50"/>
  <c r="U260" i="50"/>
  <c r="V260" i="50"/>
  <c r="W260" i="50"/>
  <c r="X260" i="50"/>
  <c r="Z260" i="50"/>
  <c r="AA260" i="50"/>
  <c r="AB260" i="50"/>
  <c r="AC260" i="50"/>
  <c r="AD260" i="50"/>
  <c r="AE260" i="50"/>
  <c r="AF260" i="50"/>
  <c r="AG260" i="50"/>
  <c r="AH260" i="50"/>
  <c r="AI260" i="50"/>
  <c r="AJ260" i="50"/>
  <c r="AK260" i="50"/>
  <c r="AL260" i="50"/>
  <c r="AM260" i="50"/>
  <c r="AN260" i="50"/>
  <c r="AO260" i="50"/>
  <c r="AP260" i="50"/>
  <c r="AQ260" i="50"/>
  <c r="AR260" i="50"/>
  <c r="AS260" i="50"/>
  <c r="AT260" i="50"/>
  <c r="AU260" i="50"/>
  <c r="AW260" i="50"/>
  <c r="AX260" i="50"/>
  <c r="AY260" i="50"/>
  <c r="BA260" i="50"/>
  <c r="A261" i="50"/>
  <c r="B261" i="50"/>
  <c r="D261" i="50"/>
  <c r="E261" i="50"/>
  <c r="F261" i="50"/>
  <c r="G261" i="50"/>
  <c r="H261" i="50"/>
  <c r="J261" i="50"/>
  <c r="K261" i="50"/>
  <c r="L261" i="50"/>
  <c r="M261" i="50"/>
  <c r="O261" i="50"/>
  <c r="P261" i="50"/>
  <c r="R261" i="50"/>
  <c r="S261" i="50"/>
  <c r="T261" i="50"/>
  <c r="U261" i="50"/>
  <c r="V261" i="50"/>
  <c r="W261" i="50"/>
  <c r="X261" i="50"/>
  <c r="Z261" i="50"/>
  <c r="AA261" i="50"/>
  <c r="AB261" i="50"/>
  <c r="AC261" i="50"/>
  <c r="AD261" i="50"/>
  <c r="AE261" i="50"/>
  <c r="AF261" i="50"/>
  <c r="AG261" i="50"/>
  <c r="AH261" i="50"/>
  <c r="AI261" i="50"/>
  <c r="AJ261" i="50"/>
  <c r="AK261" i="50"/>
  <c r="AL261" i="50"/>
  <c r="AM261" i="50"/>
  <c r="AN261" i="50"/>
  <c r="AO261" i="50"/>
  <c r="AP261" i="50"/>
  <c r="AQ261" i="50"/>
  <c r="AR261" i="50"/>
  <c r="AS261" i="50"/>
  <c r="AT261" i="50"/>
  <c r="AU261" i="50"/>
  <c r="AW261" i="50"/>
  <c r="AX261" i="50"/>
  <c r="AY261" i="50"/>
  <c r="BA261" i="50"/>
  <c r="A262" i="50"/>
  <c r="B262" i="50"/>
  <c r="D262" i="50"/>
  <c r="E262" i="50"/>
  <c r="F262" i="50"/>
  <c r="G262" i="50"/>
  <c r="H262" i="50"/>
  <c r="J262" i="50"/>
  <c r="K262" i="50"/>
  <c r="L262" i="50"/>
  <c r="M262" i="50"/>
  <c r="O262" i="50"/>
  <c r="P262" i="50"/>
  <c r="R262" i="50"/>
  <c r="S262" i="50"/>
  <c r="T262" i="50"/>
  <c r="U262" i="50"/>
  <c r="V262" i="50"/>
  <c r="W262" i="50"/>
  <c r="X262" i="50"/>
  <c r="Z262" i="50"/>
  <c r="AA262" i="50"/>
  <c r="AB262" i="50"/>
  <c r="AC262" i="50"/>
  <c r="AD262" i="50"/>
  <c r="AE262" i="50"/>
  <c r="AF262" i="50"/>
  <c r="AG262" i="50"/>
  <c r="AH262" i="50"/>
  <c r="AI262" i="50"/>
  <c r="AJ262" i="50"/>
  <c r="AK262" i="50"/>
  <c r="AL262" i="50"/>
  <c r="AM262" i="50"/>
  <c r="AN262" i="50"/>
  <c r="AO262" i="50"/>
  <c r="AP262" i="50"/>
  <c r="AQ262" i="50"/>
  <c r="AR262" i="50"/>
  <c r="AS262" i="50"/>
  <c r="AT262" i="50"/>
  <c r="AU262" i="50"/>
  <c r="AW262" i="50"/>
  <c r="AX262" i="50"/>
  <c r="AY262" i="50"/>
  <c r="BA262" i="50"/>
  <c r="A263" i="50"/>
  <c r="B263" i="50"/>
  <c r="D263" i="50"/>
  <c r="E263" i="50"/>
  <c r="F263" i="50"/>
  <c r="G263" i="50"/>
  <c r="H263" i="50"/>
  <c r="J263" i="50"/>
  <c r="K263" i="50"/>
  <c r="L263" i="50"/>
  <c r="M263" i="50"/>
  <c r="O263" i="50"/>
  <c r="P263" i="50"/>
  <c r="R263" i="50"/>
  <c r="S263" i="50"/>
  <c r="T263" i="50"/>
  <c r="U263" i="50"/>
  <c r="V263" i="50"/>
  <c r="W263" i="50"/>
  <c r="X263" i="50"/>
  <c r="Z263" i="50"/>
  <c r="AA263" i="50"/>
  <c r="AB263" i="50"/>
  <c r="AC263" i="50"/>
  <c r="AD263" i="50"/>
  <c r="AE263" i="50"/>
  <c r="AF263" i="50"/>
  <c r="AG263" i="50"/>
  <c r="AH263" i="50"/>
  <c r="AI263" i="50"/>
  <c r="AJ263" i="50"/>
  <c r="AK263" i="50"/>
  <c r="AL263" i="50"/>
  <c r="AM263" i="50"/>
  <c r="AN263" i="50"/>
  <c r="AO263" i="50"/>
  <c r="AP263" i="50"/>
  <c r="AQ263" i="50"/>
  <c r="AR263" i="50"/>
  <c r="AS263" i="50"/>
  <c r="AT263" i="50"/>
  <c r="AU263" i="50"/>
  <c r="AW263" i="50"/>
  <c r="AX263" i="50"/>
  <c r="AY263" i="50"/>
  <c r="BA263" i="50"/>
  <c r="A264" i="50"/>
  <c r="B264" i="50"/>
  <c r="D264" i="50"/>
  <c r="E264" i="50"/>
  <c r="F264" i="50"/>
  <c r="G264" i="50"/>
  <c r="H264" i="50"/>
  <c r="J264" i="50"/>
  <c r="K264" i="50"/>
  <c r="L264" i="50"/>
  <c r="M264" i="50"/>
  <c r="O264" i="50"/>
  <c r="P264" i="50"/>
  <c r="R264" i="50"/>
  <c r="S264" i="50"/>
  <c r="T264" i="50"/>
  <c r="U264" i="50"/>
  <c r="V264" i="50"/>
  <c r="W264" i="50"/>
  <c r="X264" i="50"/>
  <c r="Z264" i="50"/>
  <c r="AA264" i="50"/>
  <c r="AB264" i="50"/>
  <c r="AC264" i="50"/>
  <c r="AD264" i="50"/>
  <c r="AE264" i="50"/>
  <c r="AF264" i="50"/>
  <c r="AG264" i="50"/>
  <c r="AH264" i="50"/>
  <c r="AI264" i="50"/>
  <c r="AJ264" i="50"/>
  <c r="AK264" i="50"/>
  <c r="AL264" i="50"/>
  <c r="AM264" i="50"/>
  <c r="AN264" i="50"/>
  <c r="AO264" i="50"/>
  <c r="AP264" i="50"/>
  <c r="AQ264" i="50"/>
  <c r="AR264" i="50"/>
  <c r="AS264" i="50"/>
  <c r="AT264" i="50"/>
  <c r="AU264" i="50"/>
  <c r="AW264" i="50"/>
  <c r="AX264" i="50"/>
  <c r="AY264" i="50"/>
  <c r="BA264" i="50"/>
  <c r="A265" i="50"/>
  <c r="B265" i="50"/>
  <c r="D265" i="50"/>
  <c r="E265" i="50"/>
  <c r="F265" i="50"/>
  <c r="G265" i="50"/>
  <c r="H265" i="50"/>
  <c r="J265" i="50"/>
  <c r="K265" i="50"/>
  <c r="L265" i="50"/>
  <c r="M265" i="50"/>
  <c r="O265" i="50"/>
  <c r="P265" i="50"/>
  <c r="R265" i="50"/>
  <c r="S265" i="50"/>
  <c r="T265" i="50"/>
  <c r="U265" i="50"/>
  <c r="V265" i="50"/>
  <c r="W265" i="50"/>
  <c r="X265" i="50"/>
  <c r="Z265" i="50"/>
  <c r="AA265" i="50"/>
  <c r="AB265" i="50"/>
  <c r="AC265" i="50"/>
  <c r="AD265" i="50"/>
  <c r="AE265" i="50"/>
  <c r="AF265" i="50"/>
  <c r="AG265" i="50"/>
  <c r="AH265" i="50"/>
  <c r="AI265" i="50"/>
  <c r="AJ265" i="50"/>
  <c r="AK265" i="50"/>
  <c r="AL265" i="50"/>
  <c r="AM265" i="50"/>
  <c r="AN265" i="50"/>
  <c r="AO265" i="50"/>
  <c r="AP265" i="50"/>
  <c r="AQ265" i="50"/>
  <c r="AR265" i="50"/>
  <c r="AS265" i="50"/>
  <c r="AT265" i="50"/>
  <c r="AU265" i="50"/>
  <c r="AW265" i="50"/>
  <c r="AX265" i="50"/>
  <c r="AY265" i="50"/>
  <c r="BA265" i="50"/>
  <c r="A266" i="50"/>
  <c r="B266" i="50"/>
  <c r="D266" i="50"/>
  <c r="E266" i="50"/>
  <c r="F266" i="50"/>
  <c r="G266" i="50"/>
  <c r="H266" i="50"/>
  <c r="J266" i="50"/>
  <c r="K266" i="50"/>
  <c r="L266" i="50"/>
  <c r="M266" i="50"/>
  <c r="O266" i="50"/>
  <c r="P266" i="50"/>
  <c r="R266" i="50"/>
  <c r="S266" i="50"/>
  <c r="T266" i="50"/>
  <c r="U266" i="50"/>
  <c r="V266" i="50"/>
  <c r="W266" i="50"/>
  <c r="X266" i="50"/>
  <c r="Z266" i="50"/>
  <c r="AA266" i="50"/>
  <c r="AB266" i="50"/>
  <c r="AC266" i="50"/>
  <c r="AD266" i="50"/>
  <c r="AE266" i="50"/>
  <c r="AF266" i="50"/>
  <c r="AG266" i="50"/>
  <c r="AH266" i="50"/>
  <c r="AI266" i="50"/>
  <c r="AJ266" i="50"/>
  <c r="AK266" i="50"/>
  <c r="AL266" i="50"/>
  <c r="AM266" i="50"/>
  <c r="AN266" i="50"/>
  <c r="AO266" i="50"/>
  <c r="AP266" i="50"/>
  <c r="AQ266" i="50"/>
  <c r="AR266" i="50"/>
  <c r="AS266" i="50"/>
  <c r="AT266" i="50"/>
  <c r="AU266" i="50"/>
  <c r="AW266" i="50"/>
  <c r="AX266" i="50"/>
  <c r="AY266" i="50"/>
  <c r="BA266" i="50"/>
  <c r="A267" i="50"/>
  <c r="B267" i="50"/>
  <c r="D267" i="50"/>
  <c r="E267" i="50"/>
  <c r="F267" i="50"/>
  <c r="G267" i="50"/>
  <c r="H267" i="50"/>
  <c r="J267" i="50"/>
  <c r="K267" i="50"/>
  <c r="L267" i="50"/>
  <c r="M267" i="50"/>
  <c r="O267" i="50"/>
  <c r="P267" i="50"/>
  <c r="R267" i="50"/>
  <c r="S267" i="50"/>
  <c r="T267" i="50"/>
  <c r="U267" i="50"/>
  <c r="V267" i="50"/>
  <c r="W267" i="50"/>
  <c r="X267" i="50"/>
  <c r="Z267" i="50"/>
  <c r="AA267" i="50"/>
  <c r="AB267" i="50"/>
  <c r="AC267" i="50"/>
  <c r="AD267" i="50"/>
  <c r="AE267" i="50"/>
  <c r="AF267" i="50"/>
  <c r="AG267" i="50"/>
  <c r="AH267" i="50"/>
  <c r="AI267" i="50"/>
  <c r="AJ267" i="50"/>
  <c r="AK267" i="50"/>
  <c r="AL267" i="50"/>
  <c r="AM267" i="50"/>
  <c r="AN267" i="50"/>
  <c r="AO267" i="50"/>
  <c r="AP267" i="50"/>
  <c r="AQ267" i="50"/>
  <c r="AR267" i="50"/>
  <c r="AS267" i="50"/>
  <c r="AT267" i="50"/>
  <c r="AU267" i="50"/>
  <c r="AW267" i="50"/>
  <c r="AX267" i="50"/>
  <c r="AY267" i="50"/>
  <c r="BA267" i="50"/>
  <c r="A268" i="50"/>
  <c r="B268" i="50"/>
  <c r="D268" i="50"/>
  <c r="E268" i="50"/>
  <c r="F268" i="50"/>
  <c r="G268" i="50"/>
  <c r="H268" i="50"/>
  <c r="J268" i="50"/>
  <c r="K268" i="50"/>
  <c r="L268" i="50"/>
  <c r="M268" i="50"/>
  <c r="O268" i="50"/>
  <c r="P268" i="50"/>
  <c r="R268" i="50"/>
  <c r="S268" i="50"/>
  <c r="T268" i="50"/>
  <c r="U268" i="50"/>
  <c r="V268" i="50"/>
  <c r="W268" i="50"/>
  <c r="X268" i="50"/>
  <c r="Z268" i="50"/>
  <c r="AA268" i="50"/>
  <c r="AB268" i="50"/>
  <c r="AC268" i="50"/>
  <c r="AD268" i="50"/>
  <c r="AE268" i="50"/>
  <c r="AF268" i="50"/>
  <c r="AG268" i="50"/>
  <c r="AH268" i="50"/>
  <c r="AI268" i="50"/>
  <c r="AJ268" i="50"/>
  <c r="AK268" i="50"/>
  <c r="AL268" i="50"/>
  <c r="AM268" i="50"/>
  <c r="AN268" i="50"/>
  <c r="AO268" i="50"/>
  <c r="AP268" i="50"/>
  <c r="AQ268" i="50"/>
  <c r="AR268" i="50"/>
  <c r="AS268" i="50"/>
  <c r="AT268" i="50"/>
  <c r="AU268" i="50"/>
  <c r="AW268" i="50"/>
  <c r="AX268" i="50"/>
  <c r="AY268" i="50"/>
  <c r="BA268" i="50"/>
  <c r="A269" i="50"/>
  <c r="B269" i="50"/>
  <c r="D269" i="50"/>
  <c r="E269" i="50"/>
  <c r="F269" i="50"/>
  <c r="G269" i="50"/>
  <c r="H269" i="50"/>
  <c r="J269" i="50"/>
  <c r="K269" i="50"/>
  <c r="L269" i="50"/>
  <c r="M269" i="50"/>
  <c r="O269" i="50"/>
  <c r="P269" i="50"/>
  <c r="R269" i="50"/>
  <c r="S269" i="50"/>
  <c r="T269" i="50"/>
  <c r="U269" i="50"/>
  <c r="V269" i="50"/>
  <c r="W269" i="50"/>
  <c r="X269" i="50"/>
  <c r="Z269" i="50"/>
  <c r="AA269" i="50"/>
  <c r="AB269" i="50"/>
  <c r="AC269" i="50"/>
  <c r="AD269" i="50"/>
  <c r="AE269" i="50"/>
  <c r="AF269" i="50"/>
  <c r="AG269" i="50"/>
  <c r="AH269" i="50"/>
  <c r="AI269" i="50"/>
  <c r="AJ269" i="50"/>
  <c r="AK269" i="50"/>
  <c r="AL269" i="50"/>
  <c r="AM269" i="50"/>
  <c r="AN269" i="50"/>
  <c r="AO269" i="50"/>
  <c r="AP269" i="50"/>
  <c r="AQ269" i="50"/>
  <c r="AR269" i="50"/>
  <c r="AS269" i="50"/>
  <c r="AT269" i="50"/>
  <c r="AU269" i="50"/>
  <c r="AW269" i="50"/>
  <c r="AX269" i="50"/>
  <c r="AY269" i="50"/>
  <c r="BA269" i="50"/>
  <c r="A270" i="50"/>
  <c r="B270" i="50"/>
  <c r="D270" i="50"/>
  <c r="E270" i="50"/>
  <c r="F270" i="50"/>
  <c r="G270" i="50"/>
  <c r="H270" i="50"/>
  <c r="J270" i="50"/>
  <c r="K270" i="50"/>
  <c r="L270" i="50"/>
  <c r="M270" i="50"/>
  <c r="O270" i="50"/>
  <c r="P270" i="50"/>
  <c r="R270" i="50"/>
  <c r="S270" i="50"/>
  <c r="T270" i="50"/>
  <c r="U270" i="50"/>
  <c r="V270" i="50"/>
  <c r="W270" i="50"/>
  <c r="X270" i="50"/>
  <c r="Z270" i="50"/>
  <c r="AA270" i="50"/>
  <c r="AB270" i="50"/>
  <c r="AC270" i="50"/>
  <c r="AD270" i="50"/>
  <c r="AE270" i="50"/>
  <c r="AF270" i="50"/>
  <c r="AG270" i="50"/>
  <c r="AH270" i="50"/>
  <c r="AI270" i="50"/>
  <c r="AJ270" i="50"/>
  <c r="AK270" i="50"/>
  <c r="AL270" i="50"/>
  <c r="AM270" i="50"/>
  <c r="AN270" i="50"/>
  <c r="AO270" i="50"/>
  <c r="AP270" i="50"/>
  <c r="AQ270" i="50"/>
  <c r="AR270" i="50"/>
  <c r="AS270" i="50"/>
  <c r="AT270" i="50"/>
  <c r="AU270" i="50"/>
  <c r="AW270" i="50"/>
  <c r="AX270" i="50"/>
  <c r="AY270" i="50"/>
  <c r="BA270" i="50"/>
  <c r="A271" i="50"/>
  <c r="B271" i="50"/>
  <c r="D271" i="50"/>
  <c r="E271" i="50"/>
  <c r="F271" i="50"/>
  <c r="G271" i="50"/>
  <c r="H271" i="50"/>
  <c r="J271" i="50"/>
  <c r="K271" i="50"/>
  <c r="L271" i="50"/>
  <c r="M271" i="50"/>
  <c r="O271" i="50"/>
  <c r="P271" i="50"/>
  <c r="R271" i="50"/>
  <c r="S271" i="50"/>
  <c r="T271" i="50"/>
  <c r="U271" i="50"/>
  <c r="V271" i="50"/>
  <c r="W271" i="50"/>
  <c r="X271" i="50"/>
  <c r="Z271" i="50"/>
  <c r="AA271" i="50"/>
  <c r="AB271" i="50"/>
  <c r="AC271" i="50"/>
  <c r="AD271" i="50"/>
  <c r="AE271" i="50"/>
  <c r="AF271" i="50"/>
  <c r="AG271" i="50"/>
  <c r="AH271" i="50"/>
  <c r="AI271" i="50"/>
  <c r="AJ271" i="50"/>
  <c r="AK271" i="50"/>
  <c r="AL271" i="50"/>
  <c r="AM271" i="50"/>
  <c r="AN271" i="50"/>
  <c r="AO271" i="50"/>
  <c r="AP271" i="50"/>
  <c r="AQ271" i="50"/>
  <c r="AR271" i="50"/>
  <c r="AS271" i="50"/>
  <c r="AT271" i="50"/>
  <c r="AU271" i="50"/>
  <c r="AW271" i="50"/>
  <c r="AX271" i="50"/>
  <c r="AY271" i="50"/>
  <c r="BA271" i="50"/>
  <c r="A272" i="50"/>
  <c r="B272" i="50"/>
  <c r="D272" i="50"/>
  <c r="E272" i="50"/>
  <c r="F272" i="50"/>
  <c r="G272" i="50"/>
  <c r="H272" i="50"/>
  <c r="J272" i="50"/>
  <c r="K272" i="50"/>
  <c r="L272" i="50"/>
  <c r="M272" i="50"/>
  <c r="O272" i="50"/>
  <c r="P272" i="50"/>
  <c r="R272" i="50"/>
  <c r="S272" i="50"/>
  <c r="T272" i="50"/>
  <c r="U272" i="50"/>
  <c r="V272" i="50"/>
  <c r="W272" i="50"/>
  <c r="X272" i="50"/>
  <c r="Z272" i="50"/>
  <c r="AA272" i="50"/>
  <c r="AB272" i="50"/>
  <c r="AC272" i="50"/>
  <c r="AD272" i="50"/>
  <c r="AE272" i="50"/>
  <c r="AF272" i="50"/>
  <c r="AG272" i="50"/>
  <c r="AH272" i="50"/>
  <c r="AI272" i="50"/>
  <c r="AJ272" i="50"/>
  <c r="AK272" i="50"/>
  <c r="AL272" i="50"/>
  <c r="AM272" i="50"/>
  <c r="AN272" i="50"/>
  <c r="AO272" i="50"/>
  <c r="AP272" i="50"/>
  <c r="AQ272" i="50"/>
  <c r="AR272" i="50"/>
  <c r="AS272" i="50"/>
  <c r="AT272" i="50"/>
  <c r="AU272" i="50"/>
  <c r="AW272" i="50"/>
  <c r="AX272" i="50"/>
  <c r="AY272" i="50"/>
  <c r="BA272" i="50"/>
  <c r="A273" i="50"/>
  <c r="B273" i="50"/>
  <c r="D273" i="50"/>
  <c r="E273" i="50"/>
  <c r="F273" i="50"/>
  <c r="G273" i="50"/>
  <c r="H273" i="50"/>
  <c r="J273" i="50"/>
  <c r="K273" i="50"/>
  <c r="L273" i="50"/>
  <c r="M273" i="50"/>
  <c r="O273" i="50"/>
  <c r="P273" i="50"/>
  <c r="R273" i="50"/>
  <c r="S273" i="50"/>
  <c r="T273" i="50"/>
  <c r="U273" i="50"/>
  <c r="V273" i="50"/>
  <c r="W273" i="50"/>
  <c r="X273" i="50"/>
  <c r="Z273" i="50"/>
  <c r="AA273" i="50"/>
  <c r="AB273" i="50"/>
  <c r="AC273" i="50"/>
  <c r="AD273" i="50"/>
  <c r="AE273" i="50"/>
  <c r="AF273" i="50"/>
  <c r="AG273" i="50"/>
  <c r="AH273" i="50"/>
  <c r="AI273" i="50"/>
  <c r="AJ273" i="50"/>
  <c r="AK273" i="50"/>
  <c r="AL273" i="50"/>
  <c r="AM273" i="50"/>
  <c r="AN273" i="50"/>
  <c r="AO273" i="50"/>
  <c r="AP273" i="50"/>
  <c r="AQ273" i="50"/>
  <c r="AR273" i="50"/>
  <c r="AS273" i="50"/>
  <c r="AT273" i="50"/>
  <c r="AU273" i="50"/>
  <c r="AW273" i="50"/>
  <c r="AX273" i="50"/>
  <c r="AY273" i="50"/>
  <c r="BA273" i="50"/>
  <c r="A274" i="50"/>
  <c r="B274" i="50"/>
  <c r="D274" i="50"/>
  <c r="E274" i="50"/>
  <c r="F274" i="50"/>
  <c r="G274" i="50"/>
  <c r="H274" i="50"/>
  <c r="J274" i="50"/>
  <c r="K274" i="50"/>
  <c r="L274" i="50"/>
  <c r="M274" i="50"/>
  <c r="O274" i="50"/>
  <c r="P274" i="50"/>
  <c r="R274" i="50"/>
  <c r="S274" i="50"/>
  <c r="T274" i="50"/>
  <c r="U274" i="50"/>
  <c r="V274" i="50"/>
  <c r="W274" i="50"/>
  <c r="X274" i="50"/>
  <c r="Z274" i="50"/>
  <c r="AA274" i="50"/>
  <c r="AB274" i="50"/>
  <c r="AC274" i="50"/>
  <c r="AD274" i="50"/>
  <c r="AE274" i="50"/>
  <c r="AF274" i="50"/>
  <c r="AG274" i="50"/>
  <c r="AH274" i="50"/>
  <c r="AI274" i="50"/>
  <c r="AJ274" i="50"/>
  <c r="AK274" i="50"/>
  <c r="AL274" i="50"/>
  <c r="AM274" i="50"/>
  <c r="AN274" i="50"/>
  <c r="AO274" i="50"/>
  <c r="AP274" i="50"/>
  <c r="AQ274" i="50"/>
  <c r="AR274" i="50"/>
  <c r="AS274" i="50"/>
  <c r="AT274" i="50"/>
  <c r="AU274" i="50"/>
  <c r="AW274" i="50"/>
  <c r="AX274" i="50"/>
  <c r="AY274" i="50"/>
  <c r="BA274" i="50"/>
  <c r="A275" i="50"/>
  <c r="B275" i="50"/>
  <c r="D275" i="50"/>
  <c r="E275" i="50"/>
  <c r="F275" i="50"/>
  <c r="G275" i="50"/>
  <c r="H275" i="50"/>
  <c r="J275" i="50"/>
  <c r="K275" i="50"/>
  <c r="L275" i="50"/>
  <c r="M275" i="50"/>
  <c r="O275" i="50"/>
  <c r="P275" i="50"/>
  <c r="R275" i="50"/>
  <c r="S275" i="50"/>
  <c r="T275" i="50"/>
  <c r="U275" i="50"/>
  <c r="V275" i="50"/>
  <c r="W275" i="50"/>
  <c r="X275" i="50"/>
  <c r="Z275" i="50"/>
  <c r="AA275" i="50"/>
  <c r="AB275" i="50"/>
  <c r="AC275" i="50"/>
  <c r="AD275" i="50"/>
  <c r="AE275" i="50"/>
  <c r="AF275" i="50"/>
  <c r="AG275" i="50"/>
  <c r="AH275" i="50"/>
  <c r="AI275" i="50"/>
  <c r="AJ275" i="50"/>
  <c r="AK275" i="50"/>
  <c r="AL275" i="50"/>
  <c r="AM275" i="50"/>
  <c r="AN275" i="50"/>
  <c r="AO275" i="50"/>
  <c r="AP275" i="50"/>
  <c r="AQ275" i="50"/>
  <c r="AR275" i="50"/>
  <c r="AS275" i="50"/>
  <c r="AT275" i="50"/>
  <c r="AU275" i="50"/>
  <c r="AW275" i="50"/>
  <c r="AX275" i="50"/>
  <c r="AY275" i="50"/>
  <c r="BA275" i="50"/>
  <c r="A276" i="50"/>
  <c r="B276" i="50"/>
  <c r="D276" i="50"/>
  <c r="E276" i="50"/>
  <c r="F276" i="50"/>
  <c r="G276" i="50"/>
  <c r="H276" i="50"/>
  <c r="J276" i="50"/>
  <c r="K276" i="50"/>
  <c r="L276" i="50"/>
  <c r="M276" i="50"/>
  <c r="O276" i="50"/>
  <c r="P276" i="50"/>
  <c r="R276" i="50"/>
  <c r="S276" i="50"/>
  <c r="T276" i="50"/>
  <c r="U276" i="50"/>
  <c r="V276" i="50"/>
  <c r="W276" i="50"/>
  <c r="X276" i="50"/>
  <c r="Z276" i="50"/>
  <c r="AA276" i="50"/>
  <c r="AB276" i="50"/>
  <c r="AC276" i="50"/>
  <c r="AD276" i="50"/>
  <c r="AE276" i="50"/>
  <c r="AF276" i="50"/>
  <c r="AG276" i="50"/>
  <c r="AH276" i="50"/>
  <c r="AI276" i="50"/>
  <c r="AJ276" i="50"/>
  <c r="AK276" i="50"/>
  <c r="AL276" i="50"/>
  <c r="AM276" i="50"/>
  <c r="AN276" i="50"/>
  <c r="AO276" i="50"/>
  <c r="AP276" i="50"/>
  <c r="AQ276" i="50"/>
  <c r="AR276" i="50"/>
  <c r="AS276" i="50"/>
  <c r="AT276" i="50"/>
  <c r="AU276" i="50"/>
  <c r="AW276" i="50"/>
  <c r="AX276" i="50"/>
  <c r="AY276" i="50"/>
  <c r="BA276" i="50"/>
  <c r="A277" i="50"/>
  <c r="B277" i="50"/>
  <c r="D277" i="50"/>
  <c r="E277" i="50"/>
  <c r="F277" i="50"/>
  <c r="G277" i="50"/>
  <c r="H277" i="50"/>
  <c r="J277" i="50"/>
  <c r="K277" i="50"/>
  <c r="L277" i="50"/>
  <c r="M277" i="50"/>
  <c r="O277" i="50"/>
  <c r="P277" i="50"/>
  <c r="R277" i="50"/>
  <c r="S277" i="50"/>
  <c r="T277" i="50"/>
  <c r="U277" i="50"/>
  <c r="V277" i="50"/>
  <c r="W277" i="50"/>
  <c r="X277" i="50"/>
  <c r="Z277" i="50"/>
  <c r="AA277" i="50"/>
  <c r="AB277" i="50"/>
  <c r="AC277" i="50"/>
  <c r="AD277" i="50"/>
  <c r="AE277" i="50"/>
  <c r="AF277" i="50"/>
  <c r="AG277" i="50"/>
  <c r="AH277" i="50"/>
  <c r="AI277" i="50"/>
  <c r="AJ277" i="50"/>
  <c r="AK277" i="50"/>
  <c r="AL277" i="50"/>
  <c r="AM277" i="50"/>
  <c r="AN277" i="50"/>
  <c r="AO277" i="50"/>
  <c r="AP277" i="50"/>
  <c r="AQ277" i="50"/>
  <c r="AR277" i="50"/>
  <c r="AS277" i="50"/>
  <c r="AT277" i="50"/>
  <c r="AU277" i="50"/>
  <c r="AW277" i="50"/>
  <c r="AX277" i="50"/>
  <c r="AY277" i="50"/>
  <c r="BA277" i="50"/>
  <c r="A278" i="50"/>
  <c r="B278" i="50"/>
  <c r="D278" i="50"/>
  <c r="E278" i="50"/>
  <c r="F278" i="50"/>
  <c r="G278" i="50"/>
  <c r="H278" i="50"/>
  <c r="J278" i="50"/>
  <c r="K278" i="50"/>
  <c r="L278" i="50"/>
  <c r="M278" i="50"/>
  <c r="O278" i="50"/>
  <c r="P278" i="50"/>
  <c r="R278" i="50"/>
  <c r="S278" i="50"/>
  <c r="T278" i="50"/>
  <c r="U278" i="50"/>
  <c r="V278" i="50"/>
  <c r="W278" i="50"/>
  <c r="X278" i="50"/>
  <c r="Z278" i="50"/>
  <c r="AA278" i="50"/>
  <c r="AB278" i="50"/>
  <c r="AC278" i="50"/>
  <c r="AD278" i="50"/>
  <c r="AE278" i="50"/>
  <c r="AF278" i="50"/>
  <c r="AG278" i="50"/>
  <c r="AH278" i="50"/>
  <c r="AI278" i="50"/>
  <c r="AJ278" i="50"/>
  <c r="AK278" i="50"/>
  <c r="AL278" i="50"/>
  <c r="AM278" i="50"/>
  <c r="AN278" i="50"/>
  <c r="AO278" i="50"/>
  <c r="AP278" i="50"/>
  <c r="AQ278" i="50"/>
  <c r="AR278" i="50"/>
  <c r="AS278" i="50"/>
  <c r="AT278" i="50"/>
  <c r="AU278" i="50"/>
  <c r="AW278" i="50"/>
  <c r="AX278" i="50"/>
  <c r="AY278" i="50"/>
  <c r="BA278" i="50"/>
  <c r="A279" i="50"/>
  <c r="B279" i="50"/>
  <c r="D279" i="50"/>
  <c r="E279" i="50"/>
  <c r="F279" i="50"/>
  <c r="G279" i="50"/>
  <c r="H279" i="50"/>
  <c r="J279" i="50"/>
  <c r="K279" i="50"/>
  <c r="L279" i="50"/>
  <c r="M279" i="50"/>
  <c r="O279" i="50"/>
  <c r="P279" i="50"/>
  <c r="R279" i="50"/>
  <c r="S279" i="50"/>
  <c r="T279" i="50"/>
  <c r="U279" i="50"/>
  <c r="V279" i="50"/>
  <c r="W279" i="50"/>
  <c r="X279" i="50"/>
  <c r="Z279" i="50"/>
  <c r="AA279" i="50"/>
  <c r="AB279" i="50"/>
  <c r="AC279" i="50"/>
  <c r="AD279" i="50"/>
  <c r="AE279" i="50"/>
  <c r="AF279" i="50"/>
  <c r="AG279" i="50"/>
  <c r="AH279" i="50"/>
  <c r="AI279" i="50"/>
  <c r="AJ279" i="50"/>
  <c r="AK279" i="50"/>
  <c r="AL279" i="50"/>
  <c r="AM279" i="50"/>
  <c r="AN279" i="50"/>
  <c r="AO279" i="50"/>
  <c r="AP279" i="50"/>
  <c r="AQ279" i="50"/>
  <c r="AR279" i="50"/>
  <c r="AS279" i="50"/>
  <c r="AT279" i="50"/>
  <c r="AU279" i="50"/>
  <c r="AW279" i="50"/>
  <c r="AX279" i="50"/>
  <c r="AY279" i="50"/>
  <c r="BA279" i="50"/>
  <c r="A280" i="50"/>
  <c r="B280" i="50"/>
  <c r="D280" i="50"/>
  <c r="E280" i="50"/>
  <c r="F280" i="50"/>
  <c r="G280" i="50"/>
  <c r="H280" i="50"/>
  <c r="J280" i="50"/>
  <c r="K280" i="50"/>
  <c r="L280" i="50"/>
  <c r="M280" i="50"/>
  <c r="O280" i="50"/>
  <c r="P280" i="50"/>
  <c r="R280" i="50"/>
  <c r="S280" i="50"/>
  <c r="T280" i="50"/>
  <c r="U280" i="50"/>
  <c r="V280" i="50"/>
  <c r="W280" i="50"/>
  <c r="X280" i="50"/>
  <c r="Z280" i="50"/>
  <c r="AA280" i="50"/>
  <c r="AB280" i="50"/>
  <c r="AC280" i="50"/>
  <c r="AD280" i="50"/>
  <c r="AE280" i="50"/>
  <c r="AF280" i="50"/>
  <c r="AG280" i="50"/>
  <c r="AH280" i="50"/>
  <c r="AI280" i="50"/>
  <c r="AJ280" i="50"/>
  <c r="AK280" i="50"/>
  <c r="AL280" i="50"/>
  <c r="AM280" i="50"/>
  <c r="AN280" i="50"/>
  <c r="AO280" i="50"/>
  <c r="AP280" i="50"/>
  <c r="AQ280" i="50"/>
  <c r="AR280" i="50"/>
  <c r="AS280" i="50"/>
  <c r="AT280" i="50"/>
  <c r="AU280" i="50"/>
  <c r="AW280" i="50"/>
  <c r="AX280" i="50"/>
  <c r="AY280" i="50"/>
  <c r="BA280" i="50"/>
  <c r="A281" i="50"/>
  <c r="B281" i="50"/>
  <c r="D281" i="50"/>
  <c r="E281" i="50"/>
  <c r="F281" i="50"/>
  <c r="G281" i="50"/>
  <c r="H281" i="50"/>
  <c r="J281" i="50"/>
  <c r="K281" i="50"/>
  <c r="L281" i="50"/>
  <c r="M281" i="50"/>
  <c r="O281" i="50"/>
  <c r="P281" i="50"/>
  <c r="R281" i="50"/>
  <c r="S281" i="50"/>
  <c r="T281" i="50"/>
  <c r="U281" i="50"/>
  <c r="V281" i="50"/>
  <c r="W281" i="50"/>
  <c r="X281" i="50"/>
  <c r="Z281" i="50"/>
  <c r="AA281" i="50"/>
  <c r="AB281" i="50"/>
  <c r="AC281" i="50"/>
  <c r="AD281" i="50"/>
  <c r="AE281" i="50"/>
  <c r="AF281" i="50"/>
  <c r="AG281" i="50"/>
  <c r="AH281" i="50"/>
  <c r="AI281" i="50"/>
  <c r="AJ281" i="50"/>
  <c r="AK281" i="50"/>
  <c r="AL281" i="50"/>
  <c r="AM281" i="50"/>
  <c r="AN281" i="50"/>
  <c r="AO281" i="50"/>
  <c r="AP281" i="50"/>
  <c r="AQ281" i="50"/>
  <c r="AR281" i="50"/>
  <c r="AS281" i="50"/>
  <c r="AT281" i="50"/>
  <c r="AU281" i="50"/>
  <c r="AW281" i="50"/>
  <c r="AX281" i="50"/>
  <c r="AY281" i="50"/>
  <c r="BA281" i="50"/>
  <c r="A282" i="50"/>
  <c r="B282" i="50"/>
  <c r="D282" i="50"/>
  <c r="E282" i="50"/>
  <c r="F282" i="50"/>
  <c r="G282" i="50"/>
  <c r="H282" i="50"/>
  <c r="J282" i="50"/>
  <c r="K282" i="50"/>
  <c r="L282" i="50"/>
  <c r="M282" i="50"/>
  <c r="O282" i="50"/>
  <c r="P282" i="50"/>
  <c r="R282" i="50"/>
  <c r="S282" i="50"/>
  <c r="T282" i="50"/>
  <c r="U282" i="50"/>
  <c r="V282" i="50"/>
  <c r="W282" i="50"/>
  <c r="X282" i="50"/>
  <c r="Z282" i="50"/>
  <c r="AA282" i="50"/>
  <c r="AB282" i="50"/>
  <c r="AC282" i="50"/>
  <c r="AD282" i="50"/>
  <c r="AE282" i="50"/>
  <c r="AF282" i="50"/>
  <c r="AG282" i="50"/>
  <c r="AH282" i="50"/>
  <c r="AI282" i="50"/>
  <c r="AJ282" i="50"/>
  <c r="AK282" i="50"/>
  <c r="AL282" i="50"/>
  <c r="AM282" i="50"/>
  <c r="AN282" i="50"/>
  <c r="AO282" i="50"/>
  <c r="AP282" i="50"/>
  <c r="AQ282" i="50"/>
  <c r="AR282" i="50"/>
  <c r="AS282" i="50"/>
  <c r="AT282" i="50"/>
  <c r="AU282" i="50"/>
  <c r="AW282" i="50"/>
  <c r="AX282" i="50"/>
  <c r="AY282" i="50"/>
  <c r="BA282" i="50"/>
  <c r="A283" i="50"/>
  <c r="B283" i="50"/>
  <c r="D283" i="50"/>
  <c r="E283" i="50"/>
  <c r="F283" i="50"/>
  <c r="G283" i="50"/>
  <c r="H283" i="50"/>
  <c r="J283" i="50"/>
  <c r="K283" i="50"/>
  <c r="L283" i="50"/>
  <c r="M283" i="50"/>
  <c r="O283" i="50"/>
  <c r="P283" i="50"/>
  <c r="R283" i="50"/>
  <c r="S283" i="50"/>
  <c r="T283" i="50"/>
  <c r="U283" i="50"/>
  <c r="V283" i="50"/>
  <c r="W283" i="50"/>
  <c r="X283" i="50"/>
  <c r="Z283" i="50"/>
  <c r="AA283" i="50"/>
  <c r="AB283" i="50"/>
  <c r="AC283" i="50"/>
  <c r="AD283" i="50"/>
  <c r="AE283" i="50"/>
  <c r="AF283" i="50"/>
  <c r="AG283" i="50"/>
  <c r="AH283" i="50"/>
  <c r="AI283" i="50"/>
  <c r="AJ283" i="50"/>
  <c r="AK283" i="50"/>
  <c r="AL283" i="50"/>
  <c r="AM283" i="50"/>
  <c r="AN283" i="50"/>
  <c r="AO283" i="50"/>
  <c r="AP283" i="50"/>
  <c r="AQ283" i="50"/>
  <c r="AR283" i="50"/>
  <c r="AS283" i="50"/>
  <c r="AT283" i="50"/>
  <c r="AU283" i="50"/>
  <c r="AW283" i="50"/>
  <c r="AX283" i="50"/>
  <c r="AY283" i="50"/>
  <c r="BA283" i="50"/>
  <c r="A284" i="50"/>
  <c r="B284" i="50"/>
  <c r="D284" i="50"/>
  <c r="E284" i="50"/>
  <c r="F284" i="50"/>
  <c r="G284" i="50"/>
  <c r="H284" i="50"/>
  <c r="J284" i="50"/>
  <c r="K284" i="50"/>
  <c r="L284" i="50"/>
  <c r="M284" i="50"/>
  <c r="O284" i="50"/>
  <c r="P284" i="50"/>
  <c r="R284" i="50"/>
  <c r="S284" i="50"/>
  <c r="T284" i="50"/>
  <c r="U284" i="50"/>
  <c r="V284" i="50"/>
  <c r="W284" i="50"/>
  <c r="X284" i="50"/>
  <c r="Z284" i="50"/>
  <c r="AA284" i="50"/>
  <c r="AB284" i="50"/>
  <c r="AC284" i="50"/>
  <c r="AD284" i="50"/>
  <c r="AE284" i="50"/>
  <c r="AF284" i="50"/>
  <c r="AG284" i="50"/>
  <c r="AH284" i="50"/>
  <c r="AI284" i="50"/>
  <c r="AJ284" i="50"/>
  <c r="AK284" i="50"/>
  <c r="AL284" i="50"/>
  <c r="AM284" i="50"/>
  <c r="AN284" i="50"/>
  <c r="AO284" i="50"/>
  <c r="AP284" i="50"/>
  <c r="AQ284" i="50"/>
  <c r="AR284" i="50"/>
  <c r="AS284" i="50"/>
  <c r="AT284" i="50"/>
  <c r="AU284" i="50"/>
  <c r="AW284" i="50"/>
  <c r="AX284" i="50"/>
  <c r="AY284" i="50"/>
  <c r="BA284" i="50"/>
  <c r="A285" i="50"/>
  <c r="B285" i="50"/>
  <c r="D285" i="50"/>
  <c r="E285" i="50"/>
  <c r="F285" i="50"/>
  <c r="G285" i="50"/>
  <c r="H285" i="50"/>
  <c r="J285" i="50"/>
  <c r="K285" i="50"/>
  <c r="L285" i="50"/>
  <c r="M285" i="50"/>
  <c r="O285" i="50"/>
  <c r="P285" i="50"/>
  <c r="R285" i="50"/>
  <c r="S285" i="50"/>
  <c r="T285" i="50"/>
  <c r="U285" i="50"/>
  <c r="V285" i="50"/>
  <c r="W285" i="50"/>
  <c r="X285" i="50"/>
  <c r="Z285" i="50"/>
  <c r="AA285" i="50"/>
  <c r="AB285" i="50"/>
  <c r="AC285" i="50"/>
  <c r="AD285" i="50"/>
  <c r="AE285" i="50"/>
  <c r="AF285" i="50"/>
  <c r="AG285" i="50"/>
  <c r="AH285" i="50"/>
  <c r="AI285" i="50"/>
  <c r="AJ285" i="50"/>
  <c r="AK285" i="50"/>
  <c r="AL285" i="50"/>
  <c r="AM285" i="50"/>
  <c r="AN285" i="50"/>
  <c r="AO285" i="50"/>
  <c r="AP285" i="50"/>
  <c r="AQ285" i="50"/>
  <c r="AR285" i="50"/>
  <c r="AS285" i="50"/>
  <c r="AT285" i="50"/>
  <c r="AU285" i="50"/>
  <c r="AW285" i="50"/>
  <c r="AX285" i="50"/>
  <c r="AY285" i="50"/>
  <c r="BA285" i="50"/>
  <c r="A286" i="50"/>
  <c r="B286" i="50"/>
  <c r="D286" i="50"/>
  <c r="E286" i="50"/>
  <c r="F286" i="50"/>
  <c r="G286" i="50"/>
  <c r="H286" i="50"/>
  <c r="J286" i="50"/>
  <c r="K286" i="50"/>
  <c r="L286" i="50"/>
  <c r="M286" i="50"/>
  <c r="O286" i="50"/>
  <c r="P286" i="50"/>
  <c r="R286" i="50"/>
  <c r="S286" i="50"/>
  <c r="T286" i="50"/>
  <c r="U286" i="50"/>
  <c r="V286" i="50"/>
  <c r="W286" i="50"/>
  <c r="X286" i="50"/>
  <c r="Z286" i="50"/>
  <c r="AA286" i="50"/>
  <c r="AB286" i="50"/>
  <c r="AC286" i="50"/>
  <c r="AD286" i="50"/>
  <c r="AE286" i="50"/>
  <c r="AF286" i="50"/>
  <c r="AG286" i="50"/>
  <c r="AH286" i="50"/>
  <c r="AI286" i="50"/>
  <c r="AJ286" i="50"/>
  <c r="AK286" i="50"/>
  <c r="AL286" i="50"/>
  <c r="AM286" i="50"/>
  <c r="AN286" i="50"/>
  <c r="AO286" i="50"/>
  <c r="AP286" i="50"/>
  <c r="AQ286" i="50"/>
  <c r="AR286" i="50"/>
  <c r="AS286" i="50"/>
  <c r="AT286" i="50"/>
  <c r="AU286" i="50"/>
  <c r="AW286" i="50"/>
  <c r="AX286" i="50"/>
  <c r="AY286" i="50"/>
  <c r="BA286" i="50"/>
  <c r="A287" i="50"/>
  <c r="B287" i="50"/>
  <c r="D287" i="50"/>
  <c r="E287" i="50"/>
  <c r="F287" i="50"/>
  <c r="G287" i="50"/>
  <c r="H287" i="50"/>
  <c r="J287" i="50"/>
  <c r="K287" i="50"/>
  <c r="L287" i="50"/>
  <c r="M287" i="50"/>
  <c r="O287" i="50"/>
  <c r="P287" i="50"/>
  <c r="R287" i="50"/>
  <c r="S287" i="50"/>
  <c r="T287" i="50"/>
  <c r="U287" i="50"/>
  <c r="V287" i="50"/>
  <c r="W287" i="50"/>
  <c r="X287" i="50"/>
  <c r="Z287" i="50"/>
  <c r="AA287" i="50"/>
  <c r="AB287" i="50"/>
  <c r="AC287" i="50"/>
  <c r="AD287" i="50"/>
  <c r="AE287" i="50"/>
  <c r="AF287" i="50"/>
  <c r="AG287" i="50"/>
  <c r="AH287" i="50"/>
  <c r="AI287" i="50"/>
  <c r="AJ287" i="50"/>
  <c r="AK287" i="50"/>
  <c r="AL287" i="50"/>
  <c r="AM287" i="50"/>
  <c r="AN287" i="50"/>
  <c r="AO287" i="50"/>
  <c r="AP287" i="50"/>
  <c r="AQ287" i="50"/>
  <c r="AR287" i="50"/>
  <c r="AS287" i="50"/>
  <c r="AT287" i="50"/>
  <c r="AU287" i="50"/>
  <c r="AW287" i="50"/>
  <c r="AX287" i="50"/>
  <c r="AY287" i="50"/>
  <c r="BA287" i="50"/>
  <c r="A288" i="50"/>
  <c r="B288" i="50"/>
  <c r="D288" i="50"/>
  <c r="E288" i="50"/>
  <c r="F288" i="50"/>
  <c r="G288" i="50"/>
  <c r="H288" i="50"/>
  <c r="J288" i="50"/>
  <c r="K288" i="50"/>
  <c r="L288" i="50"/>
  <c r="M288" i="50"/>
  <c r="O288" i="50"/>
  <c r="P288" i="50"/>
  <c r="R288" i="50"/>
  <c r="S288" i="50"/>
  <c r="T288" i="50"/>
  <c r="U288" i="50"/>
  <c r="V288" i="50"/>
  <c r="W288" i="50"/>
  <c r="X288" i="50"/>
  <c r="Z288" i="50"/>
  <c r="AA288" i="50"/>
  <c r="AB288" i="50"/>
  <c r="AC288" i="50"/>
  <c r="AD288" i="50"/>
  <c r="AE288" i="50"/>
  <c r="AF288" i="50"/>
  <c r="AG288" i="50"/>
  <c r="AH288" i="50"/>
  <c r="AI288" i="50"/>
  <c r="AJ288" i="50"/>
  <c r="AK288" i="50"/>
  <c r="AL288" i="50"/>
  <c r="AM288" i="50"/>
  <c r="AN288" i="50"/>
  <c r="AO288" i="50"/>
  <c r="AP288" i="50"/>
  <c r="AQ288" i="50"/>
  <c r="AR288" i="50"/>
  <c r="AS288" i="50"/>
  <c r="AT288" i="50"/>
  <c r="AU288" i="50"/>
  <c r="AW288" i="50"/>
  <c r="AX288" i="50"/>
  <c r="AY288" i="50"/>
  <c r="BA288" i="50"/>
  <c r="A289" i="50"/>
  <c r="B289" i="50"/>
  <c r="D289" i="50"/>
  <c r="E289" i="50"/>
  <c r="F289" i="50"/>
  <c r="G289" i="50"/>
  <c r="H289" i="50"/>
  <c r="J289" i="50"/>
  <c r="K289" i="50"/>
  <c r="L289" i="50"/>
  <c r="M289" i="50"/>
  <c r="O289" i="50"/>
  <c r="P289" i="50"/>
  <c r="R289" i="50"/>
  <c r="S289" i="50"/>
  <c r="T289" i="50"/>
  <c r="U289" i="50"/>
  <c r="V289" i="50"/>
  <c r="W289" i="50"/>
  <c r="X289" i="50"/>
  <c r="Z289" i="50"/>
  <c r="AA289" i="50"/>
  <c r="AB289" i="50"/>
  <c r="AC289" i="50"/>
  <c r="AD289" i="50"/>
  <c r="AE289" i="50"/>
  <c r="AF289" i="50"/>
  <c r="AG289" i="50"/>
  <c r="AH289" i="50"/>
  <c r="AI289" i="50"/>
  <c r="AJ289" i="50"/>
  <c r="AK289" i="50"/>
  <c r="AL289" i="50"/>
  <c r="AM289" i="50"/>
  <c r="AN289" i="50"/>
  <c r="AO289" i="50"/>
  <c r="AP289" i="50"/>
  <c r="AQ289" i="50"/>
  <c r="AR289" i="50"/>
  <c r="AS289" i="50"/>
  <c r="AT289" i="50"/>
  <c r="AU289" i="50"/>
  <c r="AW289" i="50"/>
  <c r="AX289" i="50"/>
  <c r="AY289" i="50"/>
  <c r="BA289" i="50"/>
  <c r="A290" i="50"/>
  <c r="B290" i="50"/>
  <c r="D290" i="50"/>
  <c r="E290" i="50"/>
  <c r="F290" i="50"/>
  <c r="G290" i="50"/>
  <c r="H290" i="50"/>
  <c r="J290" i="50"/>
  <c r="K290" i="50"/>
  <c r="L290" i="50"/>
  <c r="M290" i="50"/>
  <c r="O290" i="50"/>
  <c r="P290" i="50"/>
  <c r="R290" i="50"/>
  <c r="S290" i="50"/>
  <c r="T290" i="50"/>
  <c r="U290" i="50"/>
  <c r="V290" i="50"/>
  <c r="W290" i="50"/>
  <c r="X290" i="50"/>
  <c r="Z290" i="50"/>
  <c r="AA290" i="50"/>
  <c r="AB290" i="50"/>
  <c r="AC290" i="50"/>
  <c r="AD290" i="50"/>
  <c r="AE290" i="50"/>
  <c r="AF290" i="50"/>
  <c r="AG290" i="50"/>
  <c r="AH290" i="50"/>
  <c r="AI290" i="50"/>
  <c r="AJ290" i="50"/>
  <c r="AK290" i="50"/>
  <c r="AL290" i="50"/>
  <c r="AM290" i="50"/>
  <c r="AN290" i="50"/>
  <c r="AO290" i="50"/>
  <c r="AP290" i="50"/>
  <c r="AQ290" i="50"/>
  <c r="AR290" i="50"/>
  <c r="AS290" i="50"/>
  <c r="AT290" i="50"/>
  <c r="AU290" i="50"/>
  <c r="AW290" i="50"/>
  <c r="AX290" i="50"/>
  <c r="AY290" i="50"/>
  <c r="BA290" i="50"/>
  <c r="A291" i="50"/>
  <c r="B291" i="50"/>
  <c r="D291" i="50"/>
  <c r="E291" i="50"/>
  <c r="F291" i="50"/>
  <c r="G291" i="50"/>
  <c r="H291" i="50"/>
  <c r="J291" i="50"/>
  <c r="K291" i="50"/>
  <c r="L291" i="50"/>
  <c r="M291" i="50"/>
  <c r="O291" i="50"/>
  <c r="P291" i="50"/>
  <c r="R291" i="50"/>
  <c r="S291" i="50"/>
  <c r="T291" i="50"/>
  <c r="U291" i="50"/>
  <c r="V291" i="50"/>
  <c r="W291" i="50"/>
  <c r="X291" i="50"/>
  <c r="Z291" i="50"/>
  <c r="AA291" i="50"/>
  <c r="AB291" i="50"/>
  <c r="AC291" i="50"/>
  <c r="AD291" i="50"/>
  <c r="AE291" i="50"/>
  <c r="AF291" i="50"/>
  <c r="AG291" i="50"/>
  <c r="AH291" i="50"/>
  <c r="AI291" i="50"/>
  <c r="AJ291" i="50"/>
  <c r="AK291" i="50"/>
  <c r="AL291" i="50"/>
  <c r="AM291" i="50"/>
  <c r="AN291" i="50"/>
  <c r="AO291" i="50"/>
  <c r="AP291" i="50"/>
  <c r="AQ291" i="50"/>
  <c r="AR291" i="50"/>
  <c r="AS291" i="50"/>
  <c r="AT291" i="50"/>
  <c r="AU291" i="50"/>
  <c r="AW291" i="50"/>
  <c r="AX291" i="50"/>
  <c r="AY291" i="50"/>
  <c r="BA291" i="50"/>
  <c r="A292" i="50"/>
  <c r="B292" i="50"/>
  <c r="D292" i="50"/>
  <c r="E292" i="50"/>
  <c r="F292" i="50"/>
  <c r="G292" i="50"/>
  <c r="H292" i="50"/>
  <c r="J292" i="50"/>
  <c r="K292" i="50"/>
  <c r="L292" i="50"/>
  <c r="M292" i="50"/>
  <c r="O292" i="50"/>
  <c r="P292" i="50"/>
  <c r="R292" i="50"/>
  <c r="S292" i="50"/>
  <c r="T292" i="50"/>
  <c r="U292" i="50"/>
  <c r="V292" i="50"/>
  <c r="W292" i="50"/>
  <c r="X292" i="50"/>
  <c r="Z292" i="50"/>
  <c r="AA292" i="50"/>
  <c r="AB292" i="50"/>
  <c r="AC292" i="50"/>
  <c r="AD292" i="50"/>
  <c r="AE292" i="50"/>
  <c r="AF292" i="50"/>
  <c r="AG292" i="50"/>
  <c r="AH292" i="50"/>
  <c r="AI292" i="50"/>
  <c r="AJ292" i="50"/>
  <c r="AK292" i="50"/>
  <c r="AL292" i="50"/>
  <c r="AM292" i="50"/>
  <c r="AN292" i="50"/>
  <c r="AO292" i="50"/>
  <c r="AP292" i="50"/>
  <c r="AQ292" i="50"/>
  <c r="AR292" i="50"/>
  <c r="AS292" i="50"/>
  <c r="AT292" i="50"/>
  <c r="AU292" i="50"/>
  <c r="AW292" i="50"/>
  <c r="AX292" i="50"/>
  <c r="AY292" i="50"/>
  <c r="BA292" i="50"/>
  <c r="A293" i="50"/>
  <c r="B293" i="50"/>
  <c r="D293" i="50"/>
  <c r="E293" i="50"/>
  <c r="F293" i="50"/>
  <c r="G293" i="50"/>
  <c r="H293" i="50"/>
  <c r="J293" i="50"/>
  <c r="K293" i="50"/>
  <c r="L293" i="50"/>
  <c r="M293" i="50"/>
  <c r="O293" i="50"/>
  <c r="P293" i="50"/>
  <c r="R293" i="50"/>
  <c r="S293" i="50"/>
  <c r="T293" i="50"/>
  <c r="U293" i="50"/>
  <c r="V293" i="50"/>
  <c r="W293" i="50"/>
  <c r="X293" i="50"/>
  <c r="Z293" i="50"/>
  <c r="AA293" i="50"/>
  <c r="AB293" i="50"/>
  <c r="AC293" i="50"/>
  <c r="AD293" i="50"/>
  <c r="AE293" i="50"/>
  <c r="AF293" i="50"/>
  <c r="AG293" i="50"/>
  <c r="AH293" i="50"/>
  <c r="AI293" i="50"/>
  <c r="AJ293" i="50"/>
  <c r="AK293" i="50"/>
  <c r="AL293" i="50"/>
  <c r="AM293" i="50"/>
  <c r="AN293" i="50"/>
  <c r="AO293" i="50"/>
  <c r="AP293" i="50"/>
  <c r="AQ293" i="50"/>
  <c r="AR293" i="50"/>
  <c r="AS293" i="50"/>
  <c r="AT293" i="50"/>
  <c r="AU293" i="50"/>
  <c r="AW293" i="50"/>
  <c r="AX293" i="50"/>
  <c r="AY293" i="50"/>
  <c r="BA293" i="50"/>
  <c r="A294" i="50"/>
  <c r="B294" i="50"/>
  <c r="D294" i="50"/>
  <c r="E294" i="50"/>
  <c r="F294" i="50"/>
  <c r="G294" i="50"/>
  <c r="H294" i="50"/>
  <c r="J294" i="50"/>
  <c r="K294" i="50"/>
  <c r="L294" i="50"/>
  <c r="M294" i="50"/>
  <c r="O294" i="50"/>
  <c r="P294" i="50"/>
  <c r="R294" i="50"/>
  <c r="S294" i="50"/>
  <c r="T294" i="50"/>
  <c r="U294" i="50"/>
  <c r="V294" i="50"/>
  <c r="W294" i="50"/>
  <c r="X294" i="50"/>
  <c r="Z294" i="50"/>
  <c r="AA294" i="50"/>
  <c r="AB294" i="50"/>
  <c r="AC294" i="50"/>
  <c r="AD294" i="50"/>
  <c r="AE294" i="50"/>
  <c r="AF294" i="50"/>
  <c r="AG294" i="50"/>
  <c r="AH294" i="50"/>
  <c r="AI294" i="50"/>
  <c r="AJ294" i="50"/>
  <c r="AK294" i="50"/>
  <c r="AL294" i="50"/>
  <c r="AM294" i="50"/>
  <c r="AN294" i="50"/>
  <c r="AO294" i="50"/>
  <c r="AP294" i="50"/>
  <c r="AQ294" i="50"/>
  <c r="AR294" i="50"/>
  <c r="AS294" i="50"/>
  <c r="AT294" i="50"/>
  <c r="AU294" i="50"/>
  <c r="AW294" i="50"/>
  <c r="AX294" i="50"/>
  <c r="AY294" i="50"/>
  <c r="BA294" i="50"/>
  <c r="A295" i="50"/>
  <c r="B295" i="50"/>
  <c r="D295" i="50"/>
  <c r="E295" i="50"/>
  <c r="F295" i="50"/>
  <c r="G295" i="50"/>
  <c r="H295" i="50"/>
  <c r="J295" i="50"/>
  <c r="K295" i="50"/>
  <c r="L295" i="50"/>
  <c r="M295" i="50"/>
  <c r="O295" i="50"/>
  <c r="P295" i="50"/>
  <c r="R295" i="50"/>
  <c r="S295" i="50"/>
  <c r="T295" i="50"/>
  <c r="U295" i="50"/>
  <c r="V295" i="50"/>
  <c r="W295" i="50"/>
  <c r="X295" i="50"/>
  <c r="Z295" i="50"/>
  <c r="AA295" i="50"/>
  <c r="AB295" i="50"/>
  <c r="AC295" i="50"/>
  <c r="AD295" i="50"/>
  <c r="AE295" i="50"/>
  <c r="AF295" i="50"/>
  <c r="AG295" i="50"/>
  <c r="AH295" i="50"/>
  <c r="AI295" i="50"/>
  <c r="AJ295" i="50"/>
  <c r="AK295" i="50"/>
  <c r="AL295" i="50"/>
  <c r="AM295" i="50"/>
  <c r="AN295" i="50"/>
  <c r="AO295" i="50"/>
  <c r="AP295" i="50"/>
  <c r="AQ295" i="50"/>
  <c r="AR295" i="50"/>
  <c r="AS295" i="50"/>
  <c r="AT295" i="50"/>
  <c r="AU295" i="50"/>
  <c r="AW295" i="50"/>
  <c r="AX295" i="50"/>
  <c r="AY295" i="50"/>
  <c r="BA295" i="50"/>
  <c r="A296" i="50"/>
  <c r="B296" i="50"/>
  <c r="D296" i="50"/>
  <c r="E296" i="50"/>
  <c r="F296" i="50"/>
  <c r="G296" i="50"/>
  <c r="H296" i="50"/>
  <c r="J296" i="50"/>
  <c r="K296" i="50"/>
  <c r="L296" i="50"/>
  <c r="M296" i="50"/>
  <c r="O296" i="50"/>
  <c r="P296" i="50"/>
  <c r="R296" i="50"/>
  <c r="S296" i="50"/>
  <c r="T296" i="50"/>
  <c r="U296" i="50"/>
  <c r="V296" i="50"/>
  <c r="W296" i="50"/>
  <c r="X296" i="50"/>
  <c r="Z296" i="50"/>
  <c r="AA296" i="50"/>
  <c r="AB296" i="50"/>
  <c r="AC296" i="50"/>
  <c r="AD296" i="50"/>
  <c r="AE296" i="50"/>
  <c r="AF296" i="50"/>
  <c r="AG296" i="50"/>
  <c r="AH296" i="50"/>
  <c r="AI296" i="50"/>
  <c r="AJ296" i="50"/>
  <c r="AK296" i="50"/>
  <c r="AL296" i="50"/>
  <c r="AM296" i="50"/>
  <c r="AN296" i="50"/>
  <c r="AO296" i="50"/>
  <c r="AP296" i="50"/>
  <c r="AQ296" i="50"/>
  <c r="AR296" i="50"/>
  <c r="AS296" i="50"/>
  <c r="AT296" i="50"/>
  <c r="AU296" i="50"/>
  <c r="AW296" i="50"/>
  <c r="AX296" i="50"/>
  <c r="AY296" i="50"/>
  <c r="BA296" i="50"/>
  <c r="A297" i="50"/>
  <c r="B297" i="50"/>
  <c r="D297" i="50"/>
  <c r="E297" i="50"/>
  <c r="F297" i="50"/>
  <c r="G297" i="50"/>
  <c r="H297" i="50"/>
  <c r="J297" i="50"/>
  <c r="K297" i="50"/>
  <c r="L297" i="50"/>
  <c r="M297" i="50"/>
  <c r="O297" i="50"/>
  <c r="P297" i="50"/>
  <c r="R297" i="50"/>
  <c r="S297" i="50"/>
  <c r="T297" i="50"/>
  <c r="U297" i="50"/>
  <c r="V297" i="50"/>
  <c r="W297" i="50"/>
  <c r="X297" i="50"/>
  <c r="Z297" i="50"/>
  <c r="AA297" i="50"/>
  <c r="AB297" i="50"/>
  <c r="AC297" i="50"/>
  <c r="AD297" i="50"/>
  <c r="AE297" i="50"/>
  <c r="AF297" i="50"/>
  <c r="AG297" i="50"/>
  <c r="AH297" i="50"/>
  <c r="AI297" i="50"/>
  <c r="AJ297" i="50"/>
  <c r="AK297" i="50"/>
  <c r="AL297" i="50"/>
  <c r="AM297" i="50"/>
  <c r="AN297" i="50"/>
  <c r="AO297" i="50"/>
  <c r="AP297" i="50"/>
  <c r="AQ297" i="50"/>
  <c r="AR297" i="50"/>
  <c r="AS297" i="50"/>
  <c r="AT297" i="50"/>
  <c r="AU297" i="50"/>
  <c r="AW297" i="50"/>
  <c r="AX297" i="50"/>
  <c r="AY297" i="50"/>
  <c r="BA297" i="50"/>
  <c r="A298" i="50"/>
  <c r="B298" i="50"/>
  <c r="D298" i="50"/>
  <c r="E298" i="50"/>
  <c r="F298" i="50"/>
  <c r="G298" i="50"/>
  <c r="H298" i="50"/>
  <c r="J298" i="50"/>
  <c r="K298" i="50"/>
  <c r="L298" i="50"/>
  <c r="M298" i="50"/>
  <c r="O298" i="50"/>
  <c r="P298" i="50"/>
  <c r="R298" i="50"/>
  <c r="S298" i="50"/>
  <c r="T298" i="50"/>
  <c r="U298" i="50"/>
  <c r="V298" i="50"/>
  <c r="W298" i="50"/>
  <c r="X298" i="50"/>
  <c r="Z298" i="50"/>
  <c r="AA298" i="50"/>
  <c r="AB298" i="50"/>
  <c r="AC298" i="50"/>
  <c r="AD298" i="50"/>
  <c r="AE298" i="50"/>
  <c r="AF298" i="50"/>
  <c r="AG298" i="50"/>
  <c r="AH298" i="50"/>
  <c r="AI298" i="50"/>
  <c r="AJ298" i="50"/>
  <c r="AK298" i="50"/>
  <c r="AL298" i="50"/>
  <c r="AM298" i="50"/>
  <c r="AN298" i="50"/>
  <c r="AO298" i="50"/>
  <c r="AP298" i="50"/>
  <c r="AQ298" i="50"/>
  <c r="AR298" i="50"/>
  <c r="AS298" i="50"/>
  <c r="AT298" i="50"/>
  <c r="AU298" i="50"/>
  <c r="AW298" i="50"/>
  <c r="AX298" i="50"/>
  <c r="AY298" i="50"/>
  <c r="BA298" i="50"/>
  <c r="A299" i="50"/>
  <c r="B299" i="50"/>
  <c r="D299" i="50"/>
  <c r="E299" i="50"/>
  <c r="F299" i="50"/>
  <c r="G299" i="50"/>
  <c r="H299" i="50"/>
  <c r="J299" i="50"/>
  <c r="K299" i="50"/>
  <c r="L299" i="50"/>
  <c r="M299" i="50"/>
  <c r="O299" i="50"/>
  <c r="P299" i="50"/>
  <c r="R299" i="50"/>
  <c r="S299" i="50"/>
  <c r="T299" i="50"/>
  <c r="U299" i="50"/>
  <c r="V299" i="50"/>
  <c r="W299" i="50"/>
  <c r="X299" i="50"/>
  <c r="Z299" i="50"/>
  <c r="AA299" i="50"/>
  <c r="AB299" i="50"/>
  <c r="AC299" i="50"/>
  <c r="AD299" i="50"/>
  <c r="AE299" i="50"/>
  <c r="AF299" i="50"/>
  <c r="AG299" i="50"/>
  <c r="AH299" i="50"/>
  <c r="AI299" i="50"/>
  <c r="AJ299" i="50"/>
  <c r="AK299" i="50"/>
  <c r="AL299" i="50"/>
  <c r="AM299" i="50"/>
  <c r="AN299" i="50"/>
  <c r="AO299" i="50"/>
  <c r="AP299" i="50"/>
  <c r="AQ299" i="50"/>
  <c r="AR299" i="50"/>
  <c r="AS299" i="50"/>
  <c r="AT299" i="50"/>
  <c r="AU299" i="50"/>
  <c r="AW299" i="50"/>
  <c r="AX299" i="50"/>
  <c r="AY299" i="50"/>
  <c r="BA299" i="50"/>
  <c r="A300" i="50"/>
  <c r="B300" i="50"/>
  <c r="D300" i="50"/>
  <c r="E300" i="50"/>
  <c r="F300" i="50"/>
  <c r="G300" i="50"/>
  <c r="H300" i="50"/>
  <c r="J300" i="50"/>
  <c r="K300" i="50"/>
  <c r="L300" i="50"/>
  <c r="M300" i="50"/>
  <c r="O300" i="50"/>
  <c r="P300" i="50"/>
  <c r="R300" i="50"/>
  <c r="S300" i="50"/>
  <c r="T300" i="50"/>
  <c r="U300" i="50"/>
  <c r="V300" i="50"/>
  <c r="W300" i="50"/>
  <c r="X300" i="50"/>
  <c r="Z300" i="50"/>
  <c r="AA300" i="50"/>
  <c r="AB300" i="50"/>
  <c r="AC300" i="50"/>
  <c r="AD300" i="50"/>
  <c r="AE300" i="50"/>
  <c r="AF300" i="50"/>
  <c r="AG300" i="50"/>
  <c r="AH300" i="50"/>
  <c r="AI300" i="50"/>
  <c r="AJ300" i="50"/>
  <c r="AK300" i="50"/>
  <c r="AL300" i="50"/>
  <c r="AM300" i="50"/>
  <c r="AN300" i="50"/>
  <c r="AO300" i="50"/>
  <c r="AP300" i="50"/>
  <c r="AQ300" i="50"/>
  <c r="AR300" i="50"/>
  <c r="AS300" i="50"/>
  <c r="AT300" i="50"/>
  <c r="AU300" i="50"/>
  <c r="AW300" i="50"/>
  <c r="AX300" i="50"/>
  <c r="AY300" i="50"/>
  <c r="BA300" i="50"/>
  <c r="A301" i="50"/>
  <c r="B301" i="50"/>
  <c r="D301" i="50"/>
  <c r="E301" i="50"/>
  <c r="F301" i="50"/>
  <c r="G301" i="50"/>
  <c r="H301" i="50"/>
  <c r="J301" i="50"/>
  <c r="K301" i="50"/>
  <c r="L301" i="50"/>
  <c r="M301" i="50"/>
  <c r="O301" i="50"/>
  <c r="P301" i="50"/>
  <c r="R301" i="50"/>
  <c r="S301" i="50"/>
  <c r="T301" i="50"/>
  <c r="U301" i="50"/>
  <c r="V301" i="50"/>
  <c r="W301" i="50"/>
  <c r="X301" i="50"/>
  <c r="Z301" i="50"/>
  <c r="AA301" i="50"/>
  <c r="AB301" i="50"/>
  <c r="AC301" i="50"/>
  <c r="AD301" i="50"/>
  <c r="AE301" i="50"/>
  <c r="AF301" i="50"/>
  <c r="AG301" i="50"/>
  <c r="AH301" i="50"/>
  <c r="AI301" i="50"/>
  <c r="AJ301" i="50"/>
  <c r="AK301" i="50"/>
  <c r="AL301" i="50"/>
  <c r="AM301" i="50"/>
  <c r="AN301" i="50"/>
  <c r="AO301" i="50"/>
  <c r="AP301" i="50"/>
  <c r="AQ301" i="50"/>
  <c r="AR301" i="50"/>
  <c r="AS301" i="50"/>
  <c r="AT301" i="50"/>
  <c r="AU301" i="50"/>
  <c r="AW301" i="50"/>
  <c r="AX301" i="50"/>
  <c r="AY301" i="50"/>
  <c r="BA301" i="50"/>
  <c r="A302" i="50"/>
  <c r="B302" i="50"/>
  <c r="D302" i="50"/>
  <c r="E302" i="50"/>
  <c r="F302" i="50"/>
  <c r="G302" i="50"/>
  <c r="H302" i="50"/>
  <c r="J302" i="50"/>
  <c r="K302" i="50"/>
  <c r="L302" i="50"/>
  <c r="M302" i="50"/>
  <c r="O302" i="50"/>
  <c r="P302" i="50"/>
  <c r="R302" i="50"/>
  <c r="S302" i="50"/>
  <c r="T302" i="50"/>
  <c r="U302" i="50"/>
  <c r="V302" i="50"/>
  <c r="W302" i="50"/>
  <c r="X302" i="50"/>
  <c r="Z302" i="50"/>
  <c r="AA302" i="50"/>
  <c r="AB302" i="50"/>
  <c r="AC302" i="50"/>
  <c r="AD302" i="50"/>
  <c r="AE302" i="50"/>
  <c r="AF302" i="50"/>
  <c r="AG302" i="50"/>
  <c r="AH302" i="50"/>
  <c r="AI302" i="50"/>
  <c r="AJ302" i="50"/>
  <c r="AK302" i="50"/>
  <c r="AL302" i="50"/>
  <c r="AM302" i="50"/>
  <c r="AN302" i="50"/>
  <c r="AO302" i="50"/>
  <c r="AP302" i="50"/>
  <c r="AQ302" i="50"/>
  <c r="AR302" i="50"/>
  <c r="AS302" i="50"/>
  <c r="AT302" i="50"/>
  <c r="AU302" i="50"/>
  <c r="AW302" i="50"/>
  <c r="AX302" i="50"/>
  <c r="AY302" i="50"/>
  <c r="BA302" i="50"/>
  <c r="A303" i="50"/>
  <c r="B303" i="50"/>
  <c r="D303" i="50"/>
  <c r="E303" i="50"/>
  <c r="F303" i="50"/>
  <c r="G303" i="50"/>
  <c r="H303" i="50"/>
  <c r="J303" i="50"/>
  <c r="K303" i="50"/>
  <c r="L303" i="50"/>
  <c r="M303" i="50"/>
  <c r="O303" i="50"/>
  <c r="P303" i="50"/>
  <c r="R303" i="50"/>
  <c r="S303" i="50"/>
  <c r="T303" i="50"/>
  <c r="U303" i="50"/>
  <c r="V303" i="50"/>
  <c r="W303" i="50"/>
  <c r="X303" i="50"/>
  <c r="Z303" i="50"/>
  <c r="AA303" i="50"/>
  <c r="AB303" i="50"/>
  <c r="AC303" i="50"/>
  <c r="AD303" i="50"/>
  <c r="AE303" i="50"/>
  <c r="AF303" i="50"/>
  <c r="AG303" i="50"/>
  <c r="AH303" i="50"/>
  <c r="AI303" i="50"/>
  <c r="AJ303" i="50"/>
  <c r="AK303" i="50"/>
  <c r="AL303" i="50"/>
  <c r="AM303" i="50"/>
  <c r="AN303" i="50"/>
  <c r="AO303" i="50"/>
  <c r="AP303" i="50"/>
  <c r="AQ303" i="50"/>
  <c r="AR303" i="50"/>
  <c r="AS303" i="50"/>
  <c r="AT303" i="50"/>
  <c r="AU303" i="50"/>
  <c r="AW303" i="50"/>
  <c r="AX303" i="50"/>
  <c r="AY303" i="50"/>
  <c r="BA303" i="50"/>
  <c r="A304" i="50"/>
  <c r="B304" i="50"/>
  <c r="D304" i="50"/>
  <c r="E304" i="50"/>
  <c r="F304" i="50"/>
  <c r="G304" i="50"/>
  <c r="H304" i="50"/>
  <c r="J304" i="50"/>
  <c r="K304" i="50"/>
  <c r="L304" i="50"/>
  <c r="M304" i="50"/>
  <c r="O304" i="50"/>
  <c r="P304" i="50"/>
  <c r="R304" i="50"/>
  <c r="S304" i="50"/>
  <c r="T304" i="50"/>
  <c r="U304" i="50"/>
  <c r="V304" i="50"/>
  <c r="W304" i="50"/>
  <c r="X304" i="50"/>
  <c r="Z304" i="50"/>
  <c r="AA304" i="50"/>
  <c r="AB304" i="50"/>
  <c r="AC304" i="50"/>
  <c r="AD304" i="50"/>
  <c r="AE304" i="50"/>
  <c r="AF304" i="50"/>
  <c r="AG304" i="50"/>
  <c r="AH304" i="50"/>
  <c r="AI304" i="50"/>
  <c r="AJ304" i="50"/>
  <c r="AK304" i="50"/>
  <c r="AL304" i="50"/>
  <c r="AM304" i="50"/>
  <c r="AN304" i="50"/>
  <c r="AO304" i="50"/>
  <c r="AP304" i="50"/>
  <c r="AQ304" i="50"/>
  <c r="AR304" i="50"/>
  <c r="AS304" i="50"/>
  <c r="AT304" i="50"/>
  <c r="AU304" i="50"/>
  <c r="AW304" i="50"/>
  <c r="AX304" i="50"/>
  <c r="AY304" i="50"/>
  <c r="BA304" i="50"/>
  <c r="A305" i="50"/>
  <c r="B305" i="50"/>
  <c r="D305" i="50"/>
  <c r="E305" i="50"/>
  <c r="F305" i="50"/>
  <c r="G305" i="50"/>
  <c r="H305" i="50"/>
  <c r="J305" i="50"/>
  <c r="K305" i="50"/>
  <c r="L305" i="50"/>
  <c r="M305" i="50"/>
  <c r="O305" i="50"/>
  <c r="P305" i="50"/>
  <c r="R305" i="50"/>
  <c r="S305" i="50"/>
  <c r="T305" i="50"/>
  <c r="U305" i="50"/>
  <c r="V305" i="50"/>
  <c r="W305" i="50"/>
  <c r="X305" i="50"/>
  <c r="Z305" i="50"/>
  <c r="AA305" i="50"/>
  <c r="AB305" i="50"/>
  <c r="AC305" i="50"/>
  <c r="AD305" i="50"/>
  <c r="AE305" i="50"/>
  <c r="AF305" i="50"/>
  <c r="AG305" i="50"/>
  <c r="AH305" i="50"/>
  <c r="AI305" i="50"/>
  <c r="AJ305" i="50"/>
  <c r="AK305" i="50"/>
  <c r="AL305" i="50"/>
  <c r="AM305" i="50"/>
  <c r="AN305" i="50"/>
  <c r="AO305" i="50"/>
  <c r="AP305" i="50"/>
  <c r="AQ305" i="50"/>
  <c r="AR305" i="50"/>
  <c r="AS305" i="50"/>
  <c r="AT305" i="50"/>
  <c r="AU305" i="50"/>
  <c r="AW305" i="50"/>
  <c r="AX305" i="50"/>
  <c r="AY305" i="50"/>
  <c r="BA305" i="50"/>
  <c r="A306" i="50"/>
  <c r="B306" i="50"/>
  <c r="D306" i="50"/>
  <c r="E306" i="50"/>
  <c r="F306" i="50"/>
  <c r="G306" i="50"/>
  <c r="H306" i="50"/>
  <c r="J306" i="50"/>
  <c r="K306" i="50"/>
  <c r="L306" i="50"/>
  <c r="M306" i="50"/>
  <c r="O306" i="50"/>
  <c r="P306" i="50"/>
  <c r="R306" i="50"/>
  <c r="S306" i="50"/>
  <c r="T306" i="50"/>
  <c r="U306" i="50"/>
  <c r="V306" i="50"/>
  <c r="W306" i="50"/>
  <c r="X306" i="50"/>
  <c r="Z306" i="50"/>
  <c r="AA306" i="50"/>
  <c r="AB306" i="50"/>
  <c r="AC306" i="50"/>
  <c r="AD306" i="50"/>
  <c r="AE306" i="50"/>
  <c r="AF306" i="50"/>
  <c r="AG306" i="50"/>
  <c r="AH306" i="50"/>
  <c r="AI306" i="50"/>
  <c r="AJ306" i="50"/>
  <c r="AK306" i="50"/>
  <c r="AL306" i="50"/>
  <c r="AM306" i="50"/>
  <c r="AN306" i="50"/>
  <c r="AO306" i="50"/>
  <c r="AP306" i="50"/>
  <c r="AQ306" i="50"/>
  <c r="AR306" i="50"/>
  <c r="AS306" i="50"/>
  <c r="AT306" i="50"/>
  <c r="AU306" i="50"/>
  <c r="AW306" i="50"/>
  <c r="AX306" i="50"/>
  <c r="AY306" i="50"/>
  <c r="BA306" i="50"/>
  <c r="A307" i="50"/>
  <c r="B307" i="50"/>
  <c r="D307" i="50"/>
  <c r="E307" i="50"/>
  <c r="F307" i="50"/>
  <c r="G307" i="50"/>
  <c r="H307" i="50"/>
  <c r="J307" i="50"/>
  <c r="K307" i="50"/>
  <c r="L307" i="50"/>
  <c r="M307" i="50"/>
  <c r="O307" i="50"/>
  <c r="P307" i="50"/>
  <c r="R307" i="50"/>
  <c r="S307" i="50"/>
  <c r="T307" i="50"/>
  <c r="U307" i="50"/>
  <c r="V307" i="50"/>
  <c r="W307" i="50"/>
  <c r="X307" i="50"/>
  <c r="Z307" i="50"/>
  <c r="AA307" i="50"/>
  <c r="AB307" i="50"/>
  <c r="AC307" i="50"/>
  <c r="AD307" i="50"/>
  <c r="AE307" i="50"/>
  <c r="AF307" i="50"/>
  <c r="AG307" i="50"/>
  <c r="AH307" i="50"/>
  <c r="AI307" i="50"/>
  <c r="AJ307" i="50"/>
  <c r="AK307" i="50"/>
  <c r="AL307" i="50"/>
  <c r="AM307" i="50"/>
  <c r="AN307" i="50"/>
  <c r="AO307" i="50"/>
  <c r="AP307" i="50"/>
  <c r="AQ307" i="50"/>
  <c r="AR307" i="50"/>
  <c r="AS307" i="50"/>
  <c r="AT307" i="50"/>
  <c r="AU307" i="50"/>
  <c r="AW307" i="50"/>
  <c r="AX307" i="50"/>
  <c r="AY307" i="50"/>
  <c r="BA307" i="50"/>
  <c r="A308" i="50"/>
  <c r="B308" i="50"/>
  <c r="D308" i="50"/>
  <c r="E308" i="50"/>
  <c r="F308" i="50"/>
  <c r="G308" i="50"/>
  <c r="H308" i="50"/>
  <c r="J308" i="50"/>
  <c r="K308" i="50"/>
  <c r="L308" i="50"/>
  <c r="M308" i="50"/>
  <c r="O308" i="50"/>
  <c r="P308" i="50"/>
  <c r="R308" i="50"/>
  <c r="S308" i="50"/>
  <c r="T308" i="50"/>
  <c r="U308" i="50"/>
  <c r="V308" i="50"/>
  <c r="W308" i="50"/>
  <c r="X308" i="50"/>
  <c r="Z308" i="50"/>
  <c r="AA308" i="50"/>
  <c r="AB308" i="50"/>
  <c r="AC308" i="50"/>
  <c r="AD308" i="50"/>
  <c r="AE308" i="50"/>
  <c r="AF308" i="50"/>
  <c r="AG308" i="50"/>
  <c r="AH308" i="50"/>
  <c r="AI308" i="50"/>
  <c r="AJ308" i="50"/>
  <c r="AK308" i="50"/>
  <c r="AL308" i="50"/>
  <c r="AM308" i="50"/>
  <c r="AN308" i="50"/>
  <c r="AO308" i="50"/>
  <c r="AP308" i="50"/>
  <c r="AQ308" i="50"/>
  <c r="AR308" i="50"/>
  <c r="AS308" i="50"/>
  <c r="AT308" i="50"/>
  <c r="AU308" i="50"/>
  <c r="AW308" i="50"/>
  <c r="AX308" i="50"/>
  <c r="AY308" i="50"/>
  <c r="BA308" i="50"/>
  <c r="A309" i="50"/>
  <c r="B309" i="50"/>
  <c r="D309" i="50"/>
  <c r="E309" i="50"/>
  <c r="F309" i="50"/>
  <c r="G309" i="50"/>
  <c r="H309" i="50"/>
  <c r="J309" i="50"/>
  <c r="K309" i="50"/>
  <c r="L309" i="50"/>
  <c r="M309" i="50"/>
  <c r="O309" i="50"/>
  <c r="P309" i="50"/>
  <c r="R309" i="50"/>
  <c r="S309" i="50"/>
  <c r="T309" i="50"/>
  <c r="U309" i="50"/>
  <c r="V309" i="50"/>
  <c r="W309" i="50"/>
  <c r="X309" i="50"/>
  <c r="Z309" i="50"/>
  <c r="AA309" i="50"/>
  <c r="AB309" i="50"/>
  <c r="AC309" i="50"/>
  <c r="AD309" i="50"/>
  <c r="AE309" i="50"/>
  <c r="AF309" i="50"/>
  <c r="AG309" i="50"/>
  <c r="AH309" i="50"/>
  <c r="AI309" i="50"/>
  <c r="AJ309" i="50"/>
  <c r="AK309" i="50"/>
  <c r="AL309" i="50"/>
  <c r="AM309" i="50"/>
  <c r="AN309" i="50"/>
  <c r="AO309" i="50"/>
  <c r="AP309" i="50"/>
  <c r="AQ309" i="50"/>
  <c r="AR309" i="50"/>
  <c r="AS309" i="50"/>
  <c r="AT309" i="50"/>
  <c r="AU309" i="50"/>
  <c r="AW309" i="50"/>
  <c r="AX309" i="50"/>
  <c r="AY309" i="50"/>
  <c r="BA309" i="50"/>
  <c r="A310" i="50"/>
  <c r="B310" i="50"/>
  <c r="D310" i="50"/>
  <c r="E310" i="50"/>
  <c r="F310" i="50"/>
  <c r="G310" i="50"/>
  <c r="H310" i="50"/>
  <c r="J310" i="50"/>
  <c r="K310" i="50"/>
  <c r="L310" i="50"/>
  <c r="M310" i="50"/>
  <c r="O310" i="50"/>
  <c r="P310" i="50"/>
  <c r="R310" i="50"/>
  <c r="S310" i="50"/>
  <c r="T310" i="50"/>
  <c r="U310" i="50"/>
  <c r="V310" i="50"/>
  <c r="W310" i="50"/>
  <c r="X310" i="50"/>
  <c r="Z310" i="50"/>
  <c r="AA310" i="50"/>
  <c r="AB310" i="50"/>
  <c r="AC310" i="50"/>
  <c r="AD310" i="50"/>
  <c r="AE310" i="50"/>
  <c r="AF310" i="50"/>
  <c r="AG310" i="50"/>
  <c r="AH310" i="50"/>
  <c r="AI310" i="50"/>
  <c r="AJ310" i="50"/>
  <c r="AK310" i="50"/>
  <c r="AL310" i="50"/>
  <c r="AM310" i="50"/>
  <c r="AN310" i="50"/>
  <c r="AO310" i="50"/>
  <c r="AP310" i="50"/>
  <c r="AQ310" i="50"/>
  <c r="AR310" i="50"/>
  <c r="AS310" i="50"/>
  <c r="AT310" i="50"/>
  <c r="AU310" i="50"/>
  <c r="AW310" i="50"/>
  <c r="AX310" i="50"/>
  <c r="AY310" i="50"/>
  <c r="BA310" i="50"/>
  <c r="A311" i="50"/>
  <c r="B311" i="50"/>
  <c r="D311" i="50"/>
  <c r="E311" i="50"/>
  <c r="F311" i="50"/>
  <c r="G311" i="50"/>
  <c r="H311" i="50"/>
  <c r="J311" i="50"/>
  <c r="K311" i="50"/>
  <c r="L311" i="50"/>
  <c r="M311" i="50"/>
  <c r="O311" i="50"/>
  <c r="P311" i="50"/>
  <c r="R311" i="50"/>
  <c r="S311" i="50"/>
  <c r="T311" i="50"/>
  <c r="U311" i="50"/>
  <c r="V311" i="50"/>
  <c r="W311" i="50"/>
  <c r="X311" i="50"/>
  <c r="Z311" i="50"/>
  <c r="AA311" i="50"/>
  <c r="AB311" i="50"/>
  <c r="AC311" i="50"/>
  <c r="AD311" i="50"/>
  <c r="AE311" i="50"/>
  <c r="AF311" i="50"/>
  <c r="AG311" i="50"/>
  <c r="AH311" i="50"/>
  <c r="AI311" i="50"/>
  <c r="AJ311" i="50"/>
  <c r="AK311" i="50"/>
  <c r="AL311" i="50"/>
  <c r="AM311" i="50"/>
  <c r="AN311" i="50"/>
  <c r="AO311" i="50"/>
  <c r="AP311" i="50"/>
  <c r="AQ311" i="50"/>
  <c r="AR311" i="50"/>
  <c r="AS311" i="50"/>
  <c r="AT311" i="50"/>
  <c r="AU311" i="50"/>
  <c r="AW311" i="50"/>
  <c r="AX311" i="50"/>
  <c r="AY311" i="50"/>
  <c r="BA311" i="50"/>
  <c r="A312" i="50"/>
  <c r="B312" i="50"/>
  <c r="D312" i="50"/>
  <c r="E312" i="50"/>
  <c r="F312" i="50"/>
  <c r="G312" i="50"/>
  <c r="H312" i="50"/>
  <c r="J312" i="50"/>
  <c r="K312" i="50"/>
  <c r="L312" i="50"/>
  <c r="M312" i="50"/>
  <c r="O312" i="50"/>
  <c r="P312" i="50"/>
  <c r="R312" i="50"/>
  <c r="S312" i="50"/>
  <c r="T312" i="50"/>
  <c r="U312" i="50"/>
  <c r="V312" i="50"/>
  <c r="W312" i="50"/>
  <c r="X312" i="50"/>
  <c r="Z312" i="50"/>
  <c r="AA312" i="50"/>
  <c r="AB312" i="50"/>
  <c r="AC312" i="50"/>
  <c r="AD312" i="50"/>
  <c r="AE312" i="50"/>
  <c r="AF312" i="50"/>
  <c r="AG312" i="50"/>
  <c r="AH312" i="50"/>
  <c r="AI312" i="50"/>
  <c r="AJ312" i="50"/>
  <c r="AK312" i="50"/>
  <c r="AL312" i="50"/>
  <c r="AM312" i="50"/>
  <c r="AN312" i="50"/>
  <c r="AO312" i="50"/>
  <c r="AP312" i="50"/>
  <c r="AQ312" i="50"/>
  <c r="AR312" i="50"/>
  <c r="AS312" i="50"/>
  <c r="AT312" i="50"/>
  <c r="AU312" i="50"/>
  <c r="AW312" i="50"/>
  <c r="AX312" i="50"/>
  <c r="AY312" i="50"/>
  <c r="BA312" i="50"/>
  <c r="A313" i="50"/>
  <c r="B313" i="50"/>
  <c r="D313" i="50"/>
  <c r="E313" i="50"/>
  <c r="F313" i="50"/>
  <c r="G313" i="50"/>
  <c r="H313" i="50"/>
  <c r="J313" i="50"/>
  <c r="K313" i="50"/>
  <c r="L313" i="50"/>
  <c r="M313" i="50"/>
  <c r="O313" i="50"/>
  <c r="P313" i="50"/>
  <c r="R313" i="50"/>
  <c r="S313" i="50"/>
  <c r="T313" i="50"/>
  <c r="U313" i="50"/>
  <c r="V313" i="50"/>
  <c r="W313" i="50"/>
  <c r="X313" i="50"/>
  <c r="Z313" i="50"/>
  <c r="AA313" i="50"/>
  <c r="AB313" i="50"/>
  <c r="AC313" i="50"/>
  <c r="AD313" i="50"/>
  <c r="AE313" i="50"/>
  <c r="AF313" i="50"/>
  <c r="AG313" i="50"/>
  <c r="AH313" i="50"/>
  <c r="AI313" i="50"/>
  <c r="AJ313" i="50"/>
  <c r="AK313" i="50"/>
  <c r="AL313" i="50"/>
  <c r="AM313" i="50"/>
  <c r="AN313" i="50"/>
  <c r="AO313" i="50"/>
  <c r="AP313" i="50"/>
  <c r="AQ313" i="50"/>
  <c r="AR313" i="50"/>
  <c r="AS313" i="50"/>
  <c r="AT313" i="50"/>
  <c r="AU313" i="50"/>
  <c r="AW313" i="50"/>
  <c r="AX313" i="50"/>
  <c r="AY313" i="50"/>
  <c r="BA313" i="50"/>
  <c r="A314" i="50"/>
  <c r="B314" i="50"/>
  <c r="D314" i="50"/>
  <c r="E314" i="50"/>
  <c r="F314" i="50"/>
  <c r="G314" i="50"/>
  <c r="H314" i="50"/>
  <c r="J314" i="50"/>
  <c r="K314" i="50"/>
  <c r="L314" i="50"/>
  <c r="M314" i="50"/>
  <c r="O314" i="50"/>
  <c r="P314" i="50"/>
  <c r="R314" i="50"/>
  <c r="S314" i="50"/>
  <c r="T314" i="50"/>
  <c r="U314" i="50"/>
  <c r="V314" i="50"/>
  <c r="W314" i="50"/>
  <c r="X314" i="50"/>
  <c r="Z314" i="50"/>
  <c r="AA314" i="50"/>
  <c r="AB314" i="50"/>
  <c r="AC314" i="50"/>
  <c r="AD314" i="50"/>
  <c r="AE314" i="50"/>
  <c r="AF314" i="50"/>
  <c r="AG314" i="50"/>
  <c r="AH314" i="50"/>
  <c r="AI314" i="50"/>
  <c r="AJ314" i="50"/>
  <c r="AK314" i="50"/>
  <c r="AL314" i="50"/>
  <c r="AM314" i="50"/>
  <c r="AN314" i="50"/>
  <c r="AO314" i="50"/>
  <c r="AP314" i="50"/>
  <c r="AQ314" i="50"/>
  <c r="AR314" i="50"/>
  <c r="AS314" i="50"/>
  <c r="AT314" i="50"/>
  <c r="AU314" i="50"/>
  <c r="AW314" i="50"/>
  <c r="AX314" i="50"/>
  <c r="AY314" i="50"/>
  <c r="BA314" i="50"/>
  <c r="A315" i="50"/>
  <c r="B315" i="50"/>
  <c r="D315" i="50"/>
  <c r="E315" i="50"/>
  <c r="F315" i="50"/>
  <c r="G315" i="50"/>
  <c r="H315" i="50"/>
  <c r="J315" i="50"/>
  <c r="K315" i="50"/>
  <c r="L315" i="50"/>
  <c r="M315" i="50"/>
  <c r="O315" i="50"/>
  <c r="P315" i="50"/>
  <c r="R315" i="50"/>
  <c r="S315" i="50"/>
  <c r="T315" i="50"/>
  <c r="U315" i="50"/>
  <c r="V315" i="50"/>
  <c r="W315" i="50"/>
  <c r="X315" i="50"/>
  <c r="Z315" i="50"/>
  <c r="AA315" i="50"/>
  <c r="AB315" i="50"/>
  <c r="AC315" i="50"/>
  <c r="AD315" i="50"/>
  <c r="AE315" i="50"/>
  <c r="AF315" i="50"/>
  <c r="AG315" i="50"/>
  <c r="AH315" i="50"/>
  <c r="AI315" i="50"/>
  <c r="AJ315" i="50"/>
  <c r="AK315" i="50"/>
  <c r="AL315" i="50"/>
  <c r="AM315" i="50"/>
  <c r="AN315" i="50"/>
  <c r="AO315" i="50"/>
  <c r="AP315" i="50"/>
  <c r="AQ315" i="50"/>
  <c r="AR315" i="50"/>
  <c r="AS315" i="50"/>
  <c r="AT315" i="50"/>
  <c r="AU315" i="50"/>
  <c r="AW315" i="50"/>
  <c r="AX315" i="50"/>
  <c r="AY315" i="50"/>
  <c r="BA315" i="50"/>
  <c r="A316" i="50"/>
  <c r="B316" i="50"/>
  <c r="D316" i="50"/>
  <c r="E316" i="50"/>
  <c r="F316" i="50"/>
  <c r="G316" i="50"/>
  <c r="H316" i="50"/>
  <c r="J316" i="50"/>
  <c r="K316" i="50"/>
  <c r="L316" i="50"/>
  <c r="M316" i="50"/>
  <c r="O316" i="50"/>
  <c r="P316" i="50"/>
  <c r="R316" i="50"/>
  <c r="S316" i="50"/>
  <c r="T316" i="50"/>
  <c r="U316" i="50"/>
  <c r="V316" i="50"/>
  <c r="W316" i="50"/>
  <c r="X316" i="50"/>
  <c r="Z316" i="50"/>
  <c r="AA316" i="50"/>
  <c r="AB316" i="50"/>
  <c r="AC316" i="50"/>
  <c r="AD316" i="50"/>
  <c r="AE316" i="50"/>
  <c r="AF316" i="50"/>
  <c r="AG316" i="50"/>
  <c r="AH316" i="50"/>
  <c r="AI316" i="50"/>
  <c r="AJ316" i="50"/>
  <c r="AK316" i="50"/>
  <c r="AL316" i="50"/>
  <c r="AM316" i="50"/>
  <c r="AN316" i="50"/>
  <c r="AO316" i="50"/>
  <c r="AP316" i="50"/>
  <c r="AQ316" i="50"/>
  <c r="AR316" i="50"/>
  <c r="AS316" i="50"/>
  <c r="AT316" i="50"/>
  <c r="AU316" i="50"/>
  <c r="AW316" i="50"/>
  <c r="AX316" i="50"/>
  <c r="AY316" i="50"/>
  <c r="BA316" i="50"/>
  <c r="A317" i="50"/>
  <c r="B317" i="50"/>
  <c r="D317" i="50"/>
  <c r="E317" i="50"/>
  <c r="F317" i="50"/>
  <c r="G317" i="50"/>
  <c r="H317" i="50"/>
  <c r="J317" i="50"/>
  <c r="K317" i="50"/>
  <c r="L317" i="50"/>
  <c r="M317" i="50"/>
  <c r="O317" i="50"/>
  <c r="P317" i="50"/>
  <c r="R317" i="50"/>
  <c r="S317" i="50"/>
  <c r="T317" i="50"/>
  <c r="U317" i="50"/>
  <c r="V317" i="50"/>
  <c r="W317" i="50"/>
  <c r="X317" i="50"/>
  <c r="Z317" i="50"/>
  <c r="AA317" i="50"/>
  <c r="AB317" i="50"/>
  <c r="AC317" i="50"/>
  <c r="AD317" i="50"/>
  <c r="AE317" i="50"/>
  <c r="AF317" i="50"/>
  <c r="AG317" i="50"/>
  <c r="AH317" i="50"/>
  <c r="AI317" i="50"/>
  <c r="AJ317" i="50"/>
  <c r="AK317" i="50"/>
  <c r="AL317" i="50"/>
  <c r="AM317" i="50"/>
  <c r="AN317" i="50"/>
  <c r="AO317" i="50"/>
  <c r="AP317" i="50"/>
  <c r="AQ317" i="50"/>
  <c r="AR317" i="50"/>
  <c r="AS317" i="50"/>
  <c r="AT317" i="50"/>
  <c r="AU317" i="50"/>
  <c r="AW317" i="50"/>
  <c r="AX317" i="50"/>
  <c r="AY317" i="50"/>
  <c r="BA317" i="50"/>
  <c r="A318" i="50"/>
  <c r="B318" i="50"/>
  <c r="D318" i="50"/>
  <c r="E318" i="50"/>
  <c r="F318" i="50"/>
  <c r="G318" i="50"/>
  <c r="H318" i="50"/>
  <c r="J318" i="50"/>
  <c r="K318" i="50"/>
  <c r="L318" i="50"/>
  <c r="M318" i="50"/>
  <c r="O318" i="50"/>
  <c r="P318" i="50"/>
  <c r="R318" i="50"/>
  <c r="S318" i="50"/>
  <c r="T318" i="50"/>
  <c r="U318" i="50"/>
  <c r="V318" i="50"/>
  <c r="W318" i="50"/>
  <c r="X318" i="50"/>
  <c r="Z318" i="50"/>
  <c r="AA318" i="50"/>
  <c r="AB318" i="50"/>
  <c r="AC318" i="50"/>
  <c r="AD318" i="50"/>
  <c r="AE318" i="50"/>
  <c r="AF318" i="50"/>
  <c r="AG318" i="50"/>
  <c r="AH318" i="50"/>
  <c r="AI318" i="50"/>
  <c r="AJ318" i="50"/>
  <c r="AK318" i="50"/>
  <c r="AL318" i="50"/>
  <c r="AM318" i="50"/>
  <c r="AN318" i="50"/>
  <c r="AO318" i="50"/>
  <c r="AP318" i="50"/>
  <c r="AQ318" i="50"/>
  <c r="AR318" i="50"/>
  <c r="AS318" i="50"/>
  <c r="AT318" i="50"/>
  <c r="AU318" i="50"/>
  <c r="AW318" i="50"/>
  <c r="AX318" i="50"/>
  <c r="AY318" i="50"/>
  <c r="BA318" i="50"/>
  <c r="A319" i="50"/>
  <c r="B319" i="50"/>
  <c r="D319" i="50"/>
  <c r="E319" i="50"/>
  <c r="F319" i="50"/>
  <c r="G319" i="50"/>
  <c r="H319" i="50"/>
  <c r="J319" i="50"/>
  <c r="K319" i="50"/>
  <c r="L319" i="50"/>
  <c r="M319" i="50"/>
  <c r="O319" i="50"/>
  <c r="P319" i="50"/>
  <c r="R319" i="50"/>
  <c r="S319" i="50"/>
  <c r="T319" i="50"/>
  <c r="U319" i="50"/>
  <c r="V319" i="50"/>
  <c r="W319" i="50"/>
  <c r="X319" i="50"/>
  <c r="Z319" i="50"/>
  <c r="AA319" i="50"/>
  <c r="AB319" i="50"/>
  <c r="AC319" i="50"/>
  <c r="AD319" i="50"/>
  <c r="AE319" i="50"/>
  <c r="AF319" i="50"/>
  <c r="AG319" i="50"/>
  <c r="AH319" i="50"/>
  <c r="AI319" i="50"/>
  <c r="AJ319" i="50"/>
  <c r="AK319" i="50"/>
  <c r="AL319" i="50"/>
  <c r="AM319" i="50"/>
  <c r="AN319" i="50"/>
  <c r="AO319" i="50"/>
  <c r="AP319" i="50"/>
  <c r="AQ319" i="50"/>
  <c r="AR319" i="50"/>
  <c r="AS319" i="50"/>
  <c r="AT319" i="50"/>
  <c r="AU319" i="50"/>
  <c r="AW319" i="50"/>
  <c r="AX319" i="50"/>
  <c r="AY319" i="50"/>
  <c r="BA319" i="50"/>
  <c r="A320" i="50"/>
  <c r="B320" i="50"/>
  <c r="D320" i="50"/>
  <c r="E320" i="50"/>
  <c r="F320" i="50"/>
  <c r="G320" i="50"/>
  <c r="H320" i="50"/>
  <c r="J320" i="50"/>
  <c r="K320" i="50"/>
  <c r="L320" i="50"/>
  <c r="M320" i="50"/>
  <c r="O320" i="50"/>
  <c r="P320" i="50"/>
  <c r="R320" i="50"/>
  <c r="S320" i="50"/>
  <c r="T320" i="50"/>
  <c r="U320" i="50"/>
  <c r="V320" i="50"/>
  <c r="W320" i="50"/>
  <c r="X320" i="50"/>
  <c r="Z320" i="50"/>
  <c r="AA320" i="50"/>
  <c r="AB320" i="50"/>
  <c r="AC320" i="50"/>
  <c r="AD320" i="50"/>
  <c r="AE320" i="50"/>
  <c r="AF320" i="50"/>
  <c r="AG320" i="50"/>
  <c r="AH320" i="50"/>
  <c r="AI320" i="50"/>
  <c r="AJ320" i="50"/>
  <c r="AK320" i="50"/>
  <c r="AL320" i="50"/>
  <c r="AM320" i="50"/>
  <c r="AN320" i="50"/>
  <c r="AO320" i="50"/>
  <c r="AP320" i="50"/>
  <c r="AQ320" i="50"/>
  <c r="AR320" i="50"/>
  <c r="AS320" i="50"/>
  <c r="AT320" i="50"/>
  <c r="AU320" i="50"/>
  <c r="AW320" i="50"/>
  <c r="AX320" i="50"/>
  <c r="AY320" i="50"/>
  <c r="BA320" i="50"/>
  <c r="A321" i="50"/>
  <c r="B321" i="50"/>
  <c r="D321" i="50"/>
  <c r="E321" i="50"/>
  <c r="F321" i="50"/>
  <c r="G321" i="50"/>
  <c r="H321" i="50"/>
  <c r="J321" i="50"/>
  <c r="K321" i="50"/>
  <c r="L321" i="50"/>
  <c r="M321" i="50"/>
  <c r="O321" i="50"/>
  <c r="P321" i="50"/>
  <c r="R321" i="50"/>
  <c r="S321" i="50"/>
  <c r="T321" i="50"/>
  <c r="U321" i="50"/>
  <c r="V321" i="50"/>
  <c r="W321" i="50"/>
  <c r="X321" i="50"/>
  <c r="Z321" i="50"/>
  <c r="AA321" i="50"/>
  <c r="AB321" i="50"/>
  <c r="AC321" i="50"/>
  <c r="AD321" i="50"/>
  <c r="AE321" i="50"/>
  <c r="AF321" i="50"/>
  <c r="AG321" i="50"/>
  <c r="AH321" i="50"/>
  <c r="AI321" i="50"/>
  <c r="AJ321" i="50"/>
  <c r="AK321" i="50"/>
  <c r="AL321" i="50"/>
  <c r="AM321" i="50"/>
  <c r="AN321" i="50"/>
  <c r="AO321" i="50"/>
  <c r="AP321" i="50"/>
  <c r="AQ321" i="50"/>
  <c r="AR321" i="50"/>
  <c r="AS321" i="50"/>
  <c r="AT321" i="50"/>
  <c r="AU321" i="50"/>
  <c r="AW321" i="50"/>
  <c r="AX321" i="50"/>
  <c r="AY321" i="50"/>
  <c r="BA321" i="50"/>
  <c r="A322" i="50"/>
  <c r="B322" i="50"/>
  <c r="D322" i="50"/>
  <c r="E322" i="50"/>
  <c r="F322" i="50"/>
  <c r="G322" i="50"/>
  <c r="H322" i="50"/>
  <c r="J322" i="50"/>
  <c r="K322" i="50"/>
  <c r="L322" i="50"/>
  <c r="M322" i="50"/>
  <c r="O322" i="50"/>
  <c r="P322" i="50"/>
  <c r="R322" i="50"/>
  <c r="S322" i="50"/>
  <c r="T322" i="50"/>
  <c r="U322" i="50"/>
  <c r="V322" i="50"/>
  <c r="W322" i="50"/>
  <c r="X322" i="50"/>
  <c r="Z322" i="50"/>
  <c r="AA322" i="50"/>
  <c r="AB322" i="50"/>
  <c r="AC322" i="50"/>
  <c r="AD322" i="50"/>
  <c r="AE322" i="50"/>
  <c r="AF322" i="50"/>
  <c r="AG322" i="50"/>
  <c r="AH322" i="50"/>
  <c r="AI322" i="50"/>
  <c r="AJ322" i="50"/>
  <c r="AK322" i="50"/>
  <c r="AL322" i="50"/>
  <c r="AM322" i="50"/>
  <c r="AN322" i="50"/>
  <c r="AO322" i="50"/>
  <c r="AP322" i="50"/>
  <c r="AQ322" i="50"/>
  <c r="AR322" i="50"/>
  <c r="AS322" i="50"/>
  <c r="AT322" i="50"/>
  <c r="AU322" i="50"/>
  <c r="AW322" i="50"/>
  <c r="AX322" i="50"/>
  <c r="AY322" i="50"/>
  <c r="BA322" i="50"/>
  <c r="A323" i="50"/>
  <c r="B323" i="50"/>
  <c r="D323" i="50"/>
  <c r="E323" i="50"/>
  <c r="F323" i="50"/>
  <c r="G323" i="50"/>
  <c r="H323" i="50"/>
  <c r="J323" i="50"/>
  <c r="K323" i="50"/>
  <c r="L323" i="50"/>
  <c r="M323" i="50"/>
  <c r="O323" i="50"/>
  <c r="P323" i="50"/>
  <c r="R323" i="50"/>
  <c r="S323" i="50"/>
  <c r="T323" i="50"/>
  <c r="U323" i="50"/>
  <c r="V323" i="50"/>
  <c r="W323" i="50"/>
  <c r="X323" i="50"/>
  <c r="Z323" i="50"/>
  <c r="AA323" i="50"/>
  <c r="AB323" i="50"/>
  <c r="AC323" i="50"/>
  <c r="AD323" i="50"/>
  <c r="AE323" i="50"/>
  <c r="AF323" i="50"/>
  <c r="AG323" i="50"/>
  <c r="AH323" i="50"/>
  <c r="AI323" i="50"/>
  <c r="AJ323" i="50"/>
  <c r="AK323" i="50"/>
  <c r="AL323" i="50"/>
  <c r="AM323" i="50"/>
  <c r="AN323" i="50"/>
  <c r="AO323" i="50"/>
  <c r="AP323" i="50"/>
  <c r="AQ323" i="50"/>
  <c r="AR323" i="50"/>
  <c r="AS323" i="50"/>
  <c r="AT323" i="50"/>
  <c r="AU323" i="50"/>
  <c r="AW323" i="50"/>
  <c r="AX323" i="50"/>
  <c r="AY323" i="50"/>
  <c r="BA323" i="50"/>
  <c r="A324" i="50"/>
  <c r="B324" i="50"/>
  <c r="D324" i="50"/>
  <c r="E324" i="50"/>
  <c r="F324" i="50"/>
  <c r="G324" i="50"/>
  <c r="H324" i="50"/>
  <c r="J324" i="50"/>
  <c r="K324" i="50"/>
  <c r="L324" i="50"/>
  <c r="M324" i="50"/>
  <c r="O324" i="50"/>
  <c r="P324" i="50"/>
  <c r="R324" i="50"/>
  <c r="S324" i="50"/>
  <c r="T324" i="50"/>
  <c r="U324" i="50"/>
  <c r="V324" i="50"/>
  <c r="W324" i="50"/>
  <c r="X324" i="50"/>
  <c r="Z324" i="50"/>
  <c r="AA324" i="50"/>
  <c r="AB324" i="50"/>
  <c r="AC324" i="50"/>
  <c r="AD324" i="50"/>
  <c r="AE324" i="50"/>
  <c r="AF324" i="50"/>
  <c r="AG324" i="50"/>
  <c r="AH324" i="50"/>
  <c r="AI324" i="50"/>
  <c r="AJ324" i="50"/>
  <c r="AK324" i="50"/>
  <c r="AL324" i="50"/>
  <c r="AM324" i="50"/>
  <c r="AN324" i="50"/>
  <c r="AO324" i="50"/>
  <c r="AP324" i="50"/>
  <c r="AQ324" i="50"/>
  <c r="AR324" i="50"/>
  <c r="AS324" i="50"/>
  <c r="AT324" i="50"/>
  <c r="AU324" i="50"/>
  <c r="AW324" i="50"/>
  <c r="AX324" i="50"/>
  <c r="AY324" i="50"/>
  <c r="BA324" i="50"/>
  <c r="A325" i="50"/>
  <c r="B325" i="50"/>
  <c r="D325" i="50"/>
  <c r="E325" i="50"/>
  <c r="F325" i="50"/>
  <c r="G325" i="50"/>
  <c r="H325" i="50"/>
  <c r="J325" i="50"/>
  <c r="K325" i="50"/>
  <c r="L325" i="50"/>
  <c r="M325" i="50"/>
  <c r="O325" i="50"/>
  <c r="P325" i="50"/>
  <c r="R325" i="50"/>
  <c r="S325" i="50"/>
  <c r="T325" i="50"/>
  <c r="U325" i="50"/>
  <c r="V325" i="50"/>
  <c r="W325" i="50"/>
  <c r="X325" i="50"/>
  <c r="Z325" i="50"/>
  <c r="AA325" i="50"/>
  <c r="AB325" i="50"/>
  <c r="AC325" i="50"/>
  <c r="AD325" i="50"/>
  <c r="AE325" i="50"/>
  <c r="AF325" i="50"/>
  <c r="AG325" i="50"/>
  <c r="AH325" i="50"/>
  <c r="AI325" i="50"/>
  <c r="AJ325" i="50"/>
  <c r="AK325" i="50"/>
  <c r="AL325" i="50"/>
  <c r="AM325" i="50"/>
  <c r="AN325" i="50"/>
  <c r="AO325" i="50"/>
  <c r="AP325" i="50"/>
  <c r="AQ325" i="50"/>
  <c r="AR325" i="50"/>
  <c r="AS325" i="50"/>
  <c r="AT325" i="50"/>
  <c r="AU325" i="50"/>
  <c r="AW325" i="50"/>
  <c r="AX325" i="50"/>
  <c r="AY325" i="50"/>
  <c r="BA325" i="50"/>
  <c r="A326" i="50"/>
  <c r="B326" i="50"/>
  <c r="D326" i="50"/>
  <c r="E326" i="50"/>
  <c r="F326" i="50"/>
  <c r="G326" i="50"/>
  <c r="H326" i="50"/>
  <c r="J326" i="50"/>
  <c r="K326" i="50"/>
  <c r="L326" i="50"/>
  <c r="M326" i="50"/>
  <c r="O326" i="50"/>
  <c r="P326" i="50"/>
  <c r="R326" i="50"/>
  <c r="S326" i="50"/>
  <c r="T326" i="50"/>
  <c r="U326" i="50"/>
  <c r="V326" i="50"/>
  <c r="W326" i="50"/>
  <c r="X326" i="50"/>
  <c r="Z326" i="50"/>
  <c r="AA326" i="50"/>
  <c r="AB326" i="50"/>
  <c r="AC326" i="50"/>
  <c r="AD326" i="50"/>
  <c r="AE326" i="50"/>
  <c r="AF326" i="50"/>
  <c r="AG326" i="50"/>
  <c r="AH326" i="50"/>
  <c r="AI326" i="50"/>
  <c r="AJ326" i="50"/>
  <c r="AK326" i="50"/>
  <c r="AL326" i="50"/>
  <c r="AM326" i="50"/>
  <c r="AN326" i="50"/>
  <c r="AO326" i="50"/>
  <c r="AP326" i="50"/>
  <c r="AQ326" i="50"/>
  <c r="AR326" i="50"/>
  <c r="AS326" i="50"/>
  <c r="AT326" i="50"/>
  <c r="AU326" i="50"/>
  <c r="AW326" i="50"/>
  <c r="AX326" i="50"/>
  <c r="AY326" i="50"/>
  <c r="BA326" i="50"/>
  <c r="A327" i="50"/>
  <c r="B327" i="50"/>
  <c r="D327" i="50"/>
  <c r="E327" i="50"/>
  <c r="F327" i="50"/>
  <c r="G327" i="50"/>
  <c r="H327" i="50"/>
  <c r="J327" i="50"/>
  <c r="K327" i="50"/>
  <c r="L327" i="50"/>
  <c r="M327" i="50"/>
  <c r="O327" i="50"/>
  <c r="P327" i="50"/>
  <c r="R327" i="50"/>
  <c r="S327" i="50"/>
  <c r="T327" i="50"/>
  <c r="U327" i="50"/>
  <c r="V327" i="50"/>
  <c r="W327" i="50"/>
  <c r="X327" i="50"/>
  <c r="Z327" i="50"/>
  <c r="AA327" i="50"/>
  <c r="AB327" i="50"/>
  <c r="AC327" i="50"/>
  <c r="AD327" i="50"/>
  <c r="AE327" i="50"/>
  <c r="AF327" i="50"/>
  <c r="AG327" i="50"/>
  <c r="AH327" i="50"/>
  <c r="AI327" i="50"/>
  <c r="AJ327" i="50"/>
  <c r="AK327" i="50"/>
  <c r="AL327" i="50"/>
  <c r="AM327" i="50"/>
  <c r="AN327" i="50"/>
  <c r="AO327" i="50"/>
  <c r="AP327" i="50"/>
  <c r="AQ327" i="50"/>
  <c r="AR327" i="50"/>
  <c r="AS327" i="50"/>
  <c r="AT327" i="50"/>
  <c r="AU327" i="50"/>
  <c r="AW327" i="50"/>
  <c r="AX327" i="50"/>
  <c r="AY327" i="50"/>
  <c r="BA327" i="50"/>
  <c r="A328" i="50"/>
  <c r="B328" i="50"/>
  <c r="D328" i="50"/>
  <c r="E328" i="50"/>
  <c r="F328" i="50"/>
  <c r="G328" i="50"/>
  <c r="H328" i="50"/>
  <c r="J328" i="50"/>
  <c r="K328" i="50"/>
  <c r="L328" i="50"/>
  <c r="M328" i="50"/>
  <c r="O328" i="50"/>
  <c r="P328" i="50"/>
  <c r="R328" i="50"/>
  <c r="S328" i="50"/>
  <c r="T328" i="50"/>
  <c r="U328" i="50"/>
  <c r="V328" i="50"/>
  <c r="W328" i="50"/>
  <c r="X328" i="50"/>
  <c r="Z328" i="50"/>
  <c r="AA328" i="50"/>
  <c r="AB328" i="50"/>
  <c r="AC328" i="50"/>
  <c r="AD328" i="50"/>
  <c r="AE328" i="50"/>
  <c r="AF328" i="50"/>
  <c r="AG328" i="50"/>
  <c r="AH328" i="50"/>
  <c r="AI328" i="50"/>
  <c r="AJ328" i="50"/>
  <c r="AK328" i="50"/>
  <c r="AL328" i="50"/>
  <c r="AM328" i="50"/>
  <c r="AN328" i="50"/>
  <c r="AO328" i="50"/>
  <c r="AP328" i="50"/>
  <c r="AQ328" i="50"/>
  <c r="AR328" i="50"/>
  <c r="AS328" i="50"/>
  <c r="AT328" i="50"/>
  <c r="AU328" i="50"/>
  <c r="AW328" i="50"/>
  <c r="AX328" i="50"/>
  <c r="AY328" i="50"/>
  <c r="BA328" i="50"/>
  <c r="A329" i="50"/>
  <c r="B329" i="50"/>
  <c r="D329" i="50"/>
  <c r="E329" i="50"/>
  <c r="F329" i="50"/>
  <c r="G329" i="50"/>
  <c r="H329" i="50"/>
  <c r="J329" i="50"/>
  <c r="K329" i="50"/>
  <c r="L329" i="50"/>
  <c r="M329" i="50"/>
  <c r="O329" i="50"/>
  <c r="P329" i="50"/>
  <c r="R329" i="50"/>
  <c r="S329" i="50"/>
  <c r="T329" i="50"/>
  <c r="U329" i="50"/>
  <c r="V329" i="50"/>
  <c r="W329" i="50"/>
  <c r="X329" i="50"/>
  <c r="Z329" i="50"/>
  <c r="AA329" i="50"/>
  <c r="AB329" i="50"/>
  <c r="AC329" i="50"/>
  <c r="AD329" i="50"/>
  <c r="AE329" i="50"/>
  <c r="AF329" i="50"/>
  <c r="AG329" i="50"/>
  <c r="AH329" i="50"/>
  <c r="AI329" i="50"/>
  <c r="AJ329" i="50"/>
  <c r="AK329" i="50"/>
  <c r="AL329" i="50"/>
  <c r="AM329" i="50"/>
  <c r="AN329" i="50"/>
  <c r="AO329" i="50"/>
  <c r="AP329" i="50"/>
  <c r="AQ329" i="50"/>
  <c r="AR329" i="50"/>
  <c r="AS329" i="50"/>
  <c r="AT329" i="50"/>
  <c r="AU329" i="50"/>
  <c r="AW329" i="50"/>
  <c r="AX329" i="50"/>
  <c r="AY329" i="50"/>
  <c r="BA329" i="50"/>
  <c r="A330" i="50"/>
  <c r="B330" i="50"/>
  <c r="D330" i="50"/>
  <c r="E330" i="50"/>
  <c r="F330" i="50"/>
  <c r="G330" i="50"/>
  <c r="H330" i="50"/>
  <c r="J330" i="50"/>
  <c r="K330" i="50"/>
  <c r="L330" i="50"/>
  <c r="M330" i="50"/>
  <c r="O330" i="50"/>
  <c r="P330" i="50"/>
  <c r="R330" i="50"/>
  <c r="S330" i="50"/>
  <c r="T330" i="50"/>
  <c r="U330" i="50"/>
  <c r="V330" i="50"/>
  <c r="W330" i="50"/>
  <c r="X330" i="50"/>
  <c r="Z330" i="50"/>
  <c r="AA330" i="50"/>
  <c r="AB330" i="50"/>
  <c r="AC330" i="50"/>
  <c r="AD330" i="50"/>
  <c r="AE330" i="50"/>
  <c r="AF330" i="50"/>
  <c r="AG330" i="50"/>
  <c r="AH330" i="50"/>
  <c r="AI330" i="50"/>
  <c r="AJ330" i="50"/>
  <c r="AK330" i="50"/>
  <c r="AL330" i="50"/>
  <c r="AM330" i="50"/>
  <c r="AN330" i="50"/>
  <c r="AO330" i="50"/>
  <c r="AP330" i="50"/>
  <c r="AQ330" i="50"/>
  <c r="AR330" i="50"/>
  <c r="AS330" i="50"/>
  <c r="AT330" i="50"/>
  <c r="AU330" i="50"/>
  <c r="AW330" i="50"/>
  <c r="AX330" i="50"/>
  <c r="AY330" i="50"/>
  <c r="BA330" i="50"/>
  <c r="A331" i="50"/>
  <c r="B331" i="50"/>
  <c r="D331" i="50"/>
  <c r="E331" i="50"/>
  <c r="F331" i="50"/>
  <c r="G331" i="50"/>
  <c r="H331" i="50"/>
  <c r="J331" i="50"/>
  <c r="K331" i="50"/>
  <c r="L331" i="50"/>
  <c r="M331" i="50"/>
  <c r="O331" i="50"/>
  <c r="P331" i="50"/>
  <c r="R331" i="50"/>
  <c r="S331" i="50"/>
  <c r="T331" i="50"/>
  <c r="U331" i="50"/>
  <c r="V331" i="50"/>
  <c r="W331" i="50"/>
  <c r="X331" i="50"/>
  <c r="Z331" i="50"/>
  <c r="AA331" i="50"/>
  <c r="AB331" i="50"/>
  <c r="AC331" i="50"/>
  <c r="AD331" i="50"/>
  <c r="AE331" i="50"/>
  <c r="AF331" i="50"/>
  <c r="AG331" i="50"/>
  <c r="AH331" i="50"/>
  <c r="AI331" i="50"/>
  <c r="AJ331" i="50"/>
  <c r="AK331" i="50"/>
  <c r="AL331" i="50"/>
  <c r="AM331" i="50"/>
  <c r="AN331" i="50"/>
  <c r="AO331" i="50"/>
  <c r="AP331" i="50"/>
  <c r="AQ331" i="50"/>
  <c r="AR331" i="50"/>
  <c r="AS331" i="50"/>
  <c r="AT331" i="50"/>
  <c r="AU331" i="50"/>
  <c r="AW331" i="50"/>
  <c r="AX331" i="50"/>
  <c r="AY331" i="50"/>
  <c r="BA331" i="50"/>
  <c r="A332" i="50"/>
  <c r="B332" i="50"/>
  <c r="D332" i="50"/>
  <c r="E332" i="50"/>
  <c r="F332" i="50"/>
  <c r="G332" i="50"/>
  <c r="H332" i="50"/>
  <c r="J332" i="50"/>
  <c r="K332" i="50"/>
  <c r="L332" i="50"/>
  <c r="M332" i="50"/>
  <c r="O332" i="50"/>
  <c r="P332" i="50"/>
  <c r="R332" i="50"/>
  <c r="S332" i="50"/>
  <c r="T332" i="50"/>
  <c r="U332" i="50"/>
  <c r="V332" i="50"/>
  <c r="W332" i="50"/>
  <c r="X332" i="50"/>
  <c r="Z332" i="50"/>
  <c r="AA332" i="50"/>
  <c r="AB332" i="50"/>
  <c r="AC332" i="50"/>
  <c r="AD332" i="50"/>
  <c r="AE332" i="50"/>
  <c r="AF332" i="50"/>
  <c r="AG332" i="50"/>
  <c r="AH332" i="50"/>
  <c r="AI332" i="50"/>
  <c r="AJ332" i="50"/>
  <c r="AK332" i="50"/>
  <c r="AL332" i="50"/>
  <c r="AM332" i="50"/>
  <c r="AN332" i="50"/>
  <c r="AO332" i="50"/>
  <c r="AP332" i="50"/>
  <c r="AQ332" i="50"/>
  <c r="AR332" i="50"/>
  <c r="AS332" i="50"/>
  <c r="AT332" i="50"/>
  <c r="AU332" i="50"/>
  <c r="AW332" i="50"/>
  <c r="AX332" i="50"/>
  <c r="AY332" i="50"/>
  <c r="BA332" i="50"/>
  <c r="A333" i="50"/>
  <c r="B333" i="50"/>
  <c r="D333" i="50"/>
  <c r="E333" i="50"/>
  <c r="F333" i="50"/>
  <c r="G333" i="50"/>
  <c r="H333" i="50"/>
  <c r="J333" i="50"/>
  <c r="K333" i="50"/>
  <c r="L333" i="50"/>
  <c r="M333" i="50"/>
  <c r="O333" i="50"/>
  <c r="P333" i="50"/>
  <c r="R333" i="50"/>
  <c r="S333" i="50"/>
  <c r="T333" i="50"/>
  <c r="U333" i="50"/>
  <c r="V333" i="50"/>
  <c r="W333" i="50"/>
  <c r="X333" i="50"/>
  <c r="Z333" i="50"/>
  <c r="AA333" i="50"/>
  <c r="AB333" i="50"/>
  <c r="AC333" i="50"/>
  <c r="AD333" i="50"/>
  <c r="AE333" i="50"/>
  <c r="AF333" i="50"/>
  <c r="AG333" i="50"/>
  <c r="AH333" i="50"/>
  <c r="AI333" i="50"/>
  <c r="AJ333" i="50"/>
  <c r="AK333" i="50"/>
  <c r="AL333" i="50"/>
  <c r="AM333" i="50"/>
  <c r="AN333" i="50"/>
  <c r="AO333" i="50"/>
  <c r="AP333" i="50"/>
  <c r="AQ333" i="50"/>
  <c r="AR333" i="50"/>
  <c r="AS333" i="50"/>
  <c r="AT333" i="50"/>
  <c r="AU333" i="50"/>
  <c r="AW333" i="50"/>
  <c r="AX333" i="50"/>
  <c r="AY333" i="50"/>
  <c r="BA333" i="50"/>
  <c r="A334" i="50"/>
  <c r="B334" i="50"/>
  <c r="D334" i="50"/>
  <c r="E334" i="50"/>
  <c r="F334" i="50"/>
  <c r="G334" i="50"/>
  <c r="H334" i="50"/>
  <c r="J334" i="50"/>
  <c r="K334" i="50"/>
  <c r="L334" i="50"/>
  <c r="M334" i="50"/>
  <c r="O334" i="50"/>
  <c r="P334" i="50"/>
  <c r="R334" i="50"/>
  <c r="S334" i="50"/>
  <c r="T334" i="50"/>
  <c r="U334" i="50"/>
  <c r="V334" i="50"/>
  <c r="W334" i="50"/>
  <c r="X334" i="50"/>
  <c r="Z334" i="50"/>
  <c r="AA334" i="50"/>
  <c r="AB334" i="50"/>
  <c r="AC334" i="50"/>
  <c r="AD334" i="50"/>
  <c r="AE334" i="50"/>
  <c r="AF334" i="50"/>
  <c r="AG334" i="50"/>
  <c r="AH334" i="50"/>
  <c r="AI334" i="50"/>
  <c r="AJ334" i="50"/>
  <c r="AK334" i="50"/>
  <c r="AL334" i="50"/>
  <c r="AM334" i="50"/>
  <c r="AN334" i="50"/>
  <c r="AO334" i="50"/>
  <c r="AP334" i="50"/>
  <c r="AQ334" i="50"/>
  <c r="AR334" i="50"/>
  <c r="AS334" i="50"/>
  <c r="AT334" i="50"/>
  <c r="AU334" i="50"/>
  <c r="AW334" i="50"/>
  <c r="AX334" i="50"/>
  <c r="AY334" i="50"/>
  <c r="BA334" i="50"/>
  <c r="A335" i="50"/>
  <c r="B335" i="50"/>
  <c r="D335" i="50"/>
  <c r="E335" i="50"/>
  <c r="F335" i="50"/>
  <c r="G335" i="50"/>
  <c r="H335" i="50"/>
  <c r="J335" i="50"/>
  <c r="K335" i="50"/>
  <c r="L335" i="50"/>
  <c r="M335" i="50"/>
  <c r="O335" i="50"/>
  <c r="P335" i="50"/>
  <c r="R335" i="50"/>
  <c r="S335" i="50"/>
  <c r="T335" i="50"/>
  <c r="U335" i="50"/>
  <c r="V335" i="50"/>
  <c r="W335" i="50"/>
  <c r="X335" i="50"/>
  <c r="Z335" i="50"/>
  <c r="AA335" i="50"/>
  <c r="AB335" i="50"/>
  <c r="AC335" i="50"/>
  <c r="AD335" i="50"/>
  <c r="AE335" i="50"/>
  <c r="AF335" i="50"/>
  <c r="AG335" i="50"/>
  <c r="AH335" i="50"/>
  <c r="AI335" i="50"/>
  <c r="AJ335" i="50"/>
  <c r="AK335" i="50"/>
  <c r="AL335" i="50"/>
  <c r="AM335" i="50"/>
  <c r="AN335" i="50"/>
  <c r="AO335" i="50"/>
  <c r="AP335" i="50"/>
  <c r="AQ335" i="50"/>
  <c r="AR335" i="50"/>
  <c r="AS335" i="50"/>
  <c r="AT335" i="50"/>
  <c r="AU335" i="50"/>
  <c r="AW335" i="50"/>
  <c r="AX335" i="50"/>
  <c r="AY335" i="50"/>
  <c r="BA335" i="50"/>
  <c r="A336" i="50"/>
  <c r="B336" i="50"/>
  <c r="D336" i="50"/>
  <c r="E336" i="50"/>
  <c r="F336" i="50"/>
  <c r="G336" i="50"/>
  <c r="H336" i="50"/>
  <c r="J336" i="50"/>
  <c r="K336" i="50"/>
  <c r="L336" i="50"/>
  <c r="M336" i="50"/>
  <c r="O336" i="50"/>
  <c r="P336" i="50"/>
  <c r="R336" i="50"/>
  <c r="S336" i="50"/>
  <c r="T336" i="50"/>
  <c r="U336" i="50"/>
  <c r="V336" i="50"/>
  <c r="W336" i="50"/>
  <c r="X336" i="50"/>
  <c r="Z336" i="50"/>
  <c r="AA336" i="50"/>
  <c r="AB336" i="50"/>
  <c r="AC336" i="50"/>
  <c r="AD336" i="50"/>
  <c r="AE336" i="50"/>
  <c r="AF336" i="50"/>
  <c r="AG336" i="50"/>
  <c r="AH336" i="50"/>
  <c r="AI336" i="50"/>
  <c r="AJ336" i="50"/>
  <c r="AK336" i="50"/>
  <c r="AL336" i="50"/>
  <c r="AM336" i="50"/>
  <c r="AN336" i="50"/>
  <c r="AO336" i="50"/>
  <c r="AP336" i="50"/>
  <c r="AQ336" i="50"/>
  <c r="AR336" i="50"/>
  <c r="AS336" i="50"/>
  <c r="AT336" i="50"/>
  <c r="AU336" i="50"/>
  <c r="AW336" i="50"/>
  <c r="AX336" i="50"/>
  <c r="AY336" i="50"/>
  <c r="BA336" i="50"/>
  <c r="A337" i="50"/>
  <c r="B337" i="50"/>
  <c r="D337" i="50"/>
  <c r="E337" i="50"/>
  <c r="F337" i="50"/>
  <c r="G337" i="50"/>
  <c r="H337" i="50"/>
  <c r="J337" i="50"/>
  <c r="K337" i="50"/>
  <c r="L337" i="50"/>
  <c r="M337" i="50"/>
  <c r="O337" i="50"/>
  <c r="P337" i="50"/>
  <c r="R337" i="50"/>
  <c r="S337" i="50"/>
  <c r="T337" i="50"/>
  <c r="U337" i="50"/>
  <c r="V337" i="50"/>
  <c r="W337" i="50"/>
  <c r="X337" i="50"/>
  <c r="Z337" i="50"/>
  <c r="AA337" i="50"/>
  <c r="AB337" i="50"/>
  <c r="AC337" i="50"/>
  <c r="AD337" i="50"/>
  <c r="AE337" i="50"/>
  <c r="AF337" i="50"/>
  <c r="AG337" i="50"/>
  <c r="AH337" i="50"/>
  <c r="AI337" i="50"/>
  <c r="AJ337" i="50"/>
  <c r="AK337" i="50"/>
  <c r="AL337" i="50"/>
  <c r="AM337" i="50"/>
  <c r="AN337" i="50"/>
  <c r="AO337" i="50"/>
  <c r="AP337" i="50"/>
  <c r="AQ337" i="50"/>
  <c r="AR337" i="50"/>
  <c r="AS337" i="50"/>
  <c r="AT337" i="50"/>
  <c r="AU337" i="50"/>
  <c r="AW337" i="50"/>
  <c r="AX337" i="50"/>
  <c r="AY337" i="50"/>
  <c r="BA337" i="50"/>
  <c r="A338" i="50"/>
  <c r="B338" i="50"/>
  <c r="D338" i="50"/>
  <c r="E338" i="50"/>
  <c r="F338" i="50"/>
  <c r="G338" i="50"/>
  <c r="H338" i="50"/>
  <c r="J338" i="50"/>
  <c r="K338" i="50"/>
  <c r="L338" i="50"/>
  <c r="M338" i="50"/>
  <c r="O338" i="50"/>
  <c r="P338" i="50"/>
  <c r="R338" i="50"/>
  <c r="S338" i="50"/>
  <c r="T338" i="50"/>
  <c r="U338" i="50"/>
  <c r="V338" i="50"/>
  <c r="W338" i="50"/>
  <c r="X338" i="50"/>
  <c r="Z338" i="50"/>
  <c r="AA338" i="50"/>
  <c r="AB338" i="50"/>
  <c r="AC338" i="50"/>
  <c r="AD338" i="50"/>
  <c r="AE338" i="50"/>
  <c r="AF338" i="50"/>
  <c r="AG338" i="50"/>
  <c r="AH338" i="50"/>
  <c r="AI338" i="50"/>
  <c r="AJ338" i="50"/>
  <c r="AK338" i="50"/>
  <c r="AL338" i="50"/>
  <c r="AM338" i="50"/>
  <c r="AN338" i="50"/>
  <c r="AO338" i="50"/>
  <c r="AP338" i="50"/>
  <c r="AQ338" i="50"/>
  <c r="AR338" i="50"/>
  <c r="AS338" i="50"/>
  <c r="AT338" i="50"/>
  <c r="AU338" i="50"/>
  <c r="AW338" i="50"/>
  <c r="AX338" i="50"/>
  <c r="AY338" i="50"/>
  <c r="BA338" i="50"/>
  <c r="A339" i="50"/>
  <c r="B339" i="50"/>
  <c r="D339" i="50"/>
  <c r="E339" i="50"/>
  <c r="F339" i="50"/>
  <c r="G339" i="50"/>
  <c r="H339" i="50"/>
  <c r="J339" i="50"/>
  <c r="K339" i="50"/>
  <c r="L339" i="50"/>
  <c r="M339" i="50"/>
  <c r="O339" i="50"/>
  <c r="P339" i="50"/>
  <c r="R339" i="50"/>
  <c r="S339" i="50"/>
  <c r="T339" i="50"/>
  <c r="U339" i="50"/>
  <c r="V339" i="50"/>
  <c r="W339" i="50"/>
  <c r="X339" i="50"/>
  <c r="Z339" i="50"/>
  <c r="AA339" i="50"/>
  <c r="AB339" i="50"/>
  <c r="AC339" i="50"/>
  <c r="AD339" i="50"/>
  <c r="AE339" i="50"/>
  <c r="AF339" i="50"/>
  <c r="AG339" i="50"/>
  <c r="AH339" i="50"/>
  <c r="AI339" i="50"/>
  <c r="AJ339" i="50"/>
  <c r="AK339" i="50"/>
  <c r="AL339" i="50"/>
  <c r="AM339" i="50"/>
  <c r="AN339" i="50"/>
  <c r="AO339" i="50"/>
  <c r="AP339" i="50"/>
  <c r="AQ339" i="50"/>
  <c r="AR339" i="50"/>
  <c r="AS339" i="50"/>
  <c r="AT339" i="50"/>
  <c r="AU339" i="50"/>
  <c r="AW339" i="50"/>
  <c r="AX339" i="50"/>
  <c r="AY339" i="50"/>
  <c r="BA339" i="50"/>
  <c r="A340" i="50"/>
  <c r="B340" i="50"/>
  <c r="D340" i="50"/>
  <c r="E340" i="50"/>
  <c r="F340" i="50"/>
  <c r="G340" i="50"/>
  <c r="H340" i="50"/>
  <c r="J340" i="50"/>
  <c r="K340" i="50"/>
  <c r="L340" i="50"/>
  <c r="M340" i="50"/>
  <c r="O340" i="50"/>
  <c r="P340" i="50"/>
  <c r="R340" i="50"/>
  <c r="S340" i="50"/>
  <c r="T340" i="50"/>
  <c r="U340" i="50"/>
  <c r="V340" i="50"/>
  <c r="W340" i="50"/>
  <c r="X340" i="50"/>
  <c r="Z340" i="50"/>
  <c r="AA340" i="50"/>
  <c r="AB340" i="50"/>
  <c r="AC340" i="50"/>
  <c r="AD340" i="50"/>
  <c r="AE340" i="50"/>
  <c r="AF340" i="50"/>
  <c r="AG340" i="50"/>
  <c r="AH340" i="50"/>
  <c r="AI340" i="50"/>
  <c r="AJ340" i="50"/>
  <c r="AK340" i="50"/>
  <c r="AL340" i="50"/>
  <c r="AM340" i="50"/>
  <c r="AN340" i="50"/>
  <c r="AO340" i="50"/>
  <c r="AP340" i="50"/>
  <c r="AQ340" i="50"/>
  <c r="AR340" i="50"/>
  <c r="AS340" i="50"/>
  <c r="AT340" i="50"/>
  <c r="AU340" i="50"/>
  <c r="AW340" i="50"/>
  <c r="AX340" i="50"/>
  <c r="AY340" i="50"/>
  <c r="BA340" i="50"/>
  <c r="A341" i="50"/>
  <c r="B341" i="50"/>
  <c r="D341" i="50"/>
  <c r="E341" i="50"/>
  <c r="F341" i="50"/>
  <c r="G341" i="50"/>
  <c r="H341" i="50"/>
  <c r="J341" i="50"/>
  <c r="K341" i="50"/>
  <c r="L341" i="50"/>
  <c r="M341" i="50"/>
  <c r="O341" i="50"/>
  <c r="P341" i="50"/>
  <c r="R341" i="50"/>
  <c r="S341" i="50"/>
  <c r="T341" i="50"/>
  <c r="U341" i="50"/>
  <c r="V341" i="50"/>
  <c r="W341" i="50"/>
  <c r="X341" i="50"/>
  <c r="Z341" i="50"/>
  <c r="AA341" i="50"/>
  <c r="AB341" i="50"/>
  <c r="AC341" i="50"/>
  <c r="AD341" i="50"/>
  <c r="AE341" i="50"/>
  <c r="AF341" i="50"/>
  <c r="AG341" i="50"/>
  <c r="AH341" i="50"/>
  <c r="AI341" i="50"/>
  <c r="AJ341" i="50"/>
  <c r="AK341" i="50"/>
  <c r="AL341" i="50"/>
  <c r="AM341" i="50"/>
  <c r="AN341" i="50"/>
  <c r="AO341" i="50"/>
  <c r="AP341" i="50"/>
  <c r="AQ341" i="50"/>
  <c r="AR341" i="50"/>
  <c r="AS341" i="50"/>
  <c r="AT341" i="50"/>
  <c r="AU341" i="50"/>
  <c r="AW341" i="50"/>
  <c r="AX341" i="50"/>
  <c r="AY341" i="50"/>
  <c r="BA341" i="50"/>
  <c r="A342" i="50"/>
  <c r="B342" i="50"/>
  <c r="D342" i="50"/>
  <c r="E342" i="50"/>
  <c r="F342" i="50"/>
  <c r="G342" i="50"/>
  <c r="H342" i="50"/>
  <c r="J342" i="50"/>
  <c r="K342" i="50"/>
  <c r="L342" i="50"/>
  <c r="M342" i="50"/>
  <c r="O342" i="50"/>
  <c r="P342" i="50"/>
  <c r="R342" i="50"/>
  <c r="S342" i="50"/>
  <c r="T342" i="50"/>
  <c r="U342" i="50"/>
  <c r="V342" i="50"/>
  <c r="W342" i="50"/>
  <c r="X342" i="50"/>
  <c r="Z342" i="50"/>
  <c r="AA342" i="50"/>
  <c r="AB342" i="50"/>
  <c r="AC342" i="50"/>
  <c r="AD342" i="50"/>
  <c r="AE342" i="50"/>
  <c r="AF342" i="50"/>
  <c r="AG342" i="50"/>
  <c r="AH342" i="50"/>
  <c r="AI342" i="50"/>
  <c r="AJ342" i="50"/>
  <c r="AK342" i="50"/>
  <c r="AL342" i="50"/>
  <c r="AM342" i="50"/>
  <c r="AN342" i="50"/>
  <c r="AO342" i="50"/>
  <c r="AP342" i="50"/>
  <c r="AQ342" i="50"/>
  <c r="AR342" i="50"/>
  <c r="AS342" i="50"/>
  <c r="AT342" i="50"/>
  <c r="AU342" i="50"/>
  <c r="AW342" i="50"/>
  <c r="AX342" i="50"/>
  <c r="AY342" i="50"/>
  <c r="BA342" i="50"/>
  <c r="A343" i="50"/>
  <c r="B343" i="50"/>
  <c r="D343" i="50"/>
  <c r="E343" i="50"/>
  <c r="F343" i="50"/>
  <c r="G343" i="50"/>
  <c r="H343" i="50"/>
  <c r="J343" i="50"/>
  <c r="K343" i="50"/>
  <c r="L343" i="50"/>
  <c r="M343" i="50"/>
  <c r="O343" i="50"/>
  <c r="P343" i="50"/>
  <c r="R343" i="50"/>
  <c r="S343" i="50"/>
  <c r="T343" i="50"/>
  <c r="U343" i="50"/>
  <c r="V343" i="50"/>
  <c r="W343" i="50"/>
  <c r="X343" i="50"/>
  <c r="Z343" i="50"/>
  <c r="AA343" i="50"/>
  <c r="AB343" i="50"/>
  <c r="AC343" i="50"/>
  <c r="AD343" i="50"/>
  <c r="AE343" i="50"/>
  <c r="AF343" i="50"/>
  <c r="AG343" i="50"/>
  <c r="AH343" i="50"/>
  <c r="AI343" i="50"/>
  <c r="AJ343" i="50"/>
  <c r="AK343" i="50"/>
  <c r="AL343" i="50"/>
  <c r="AM343" i="50"/>
  <c r="AN343" i="50"/>
  <c r="AO343" i="50"/>
  <c r="AP343" i="50"/>
  <c r="AQ343" i="50"/>
  <c r="AR343" i="50"/>
  <c r="AS343" i="50"/>
  <c r="AT343" i="50"/>
  <c r="AU343" i="50"/>
  <c r="AW343" i="50"/>
  <c r="AX343" i="50"/>
  <c r="AY343" i="50"/>
  <c r="BA343" i="50"/>
  <c r="A344" i="50"/>
  <c r="B344" i="50"/>
  <c r="D344" i="50"/>
  <c r="E344" i="50"/>
  <c r="F344" i="50"/>
  <c r="G344" i="50"/>
  <c r="H344" i="50"/>
  <c r="J344" i="50"/>
  <c r="K344" i="50"/>
  <c r="L344" i="50"/>
  <c r="M344" i="50"/>
  <c r="O344" i="50"/>
  <c r="P344" i="50"/>
  <c r="R344" i="50"/>
  <c r="S344" i="50"/>
  <c r="T344" i="50"/>
  <c r="U344" i="50"/>
  <c r="V344" i="50"/>
  <c r="W344" i="50"/>
  <c r="X344" i="50"/>
  <c r="Z344" i="50"/>
  <c r="AA344" i="50"/>
  <c r="AB344" i="50"/>
  <c r="AC344" i="50"/>
  <c r="AD344" i="50"/>
  <c r="AE344" i="50"/>
  <c r="AF344" i="50"/>
  <c r="AG344" i="50"/>
  <c r="AH344" i="50"/>
  <c r="AI344" i="50"/>
  <c r="AJ344" i="50"/>
  <c r="AK344" i="50"/>
  <c r="AL344" i="50"/>
  <c r="AM344" i="50"/>
  <c r="AN344" i="50"/>
  <c r="AO344" i="50"/>
  <c r="AP344" i="50"/>
  <c r="AQ344" i="50"/>
  <c r="AR344" i="50"/>
  <c r="AS344" i="50"/>
  <c r="AT344" i="50"/>
  <c r="AU344" i="50"/>
  <c r="AW344" i="50"/>
  <c r="AX344" i="50"/>
  <c r="AY344" i="50"/>
  <c r="BA344" i="50"/>
  <c r="A345" i="50"/>
  <c r="B345" i="50"/>
  <c r="D345" i="50"/>
  <c r="E345" i="50"/>
  <c r="F345" i="50"/>
  <c r="G345" i="50"/>
  <c r="H345" i="50"/>
  <c r="J345" i="50"/>
  <c r="K345" i="50"/>
  <c r="L345" i="50"/>
  <c r="M345" i="50"/>
  <c r="O345" i="50"/>
  <c r="P345" i="50"/>
  <c r="R345" i="50"/>
  <c r="S345" i="50"/>
  <c r="T345" i="50"/>
  <c r="U345" i="50"/>
  <c r="V345" i="50"/>
  <c r="W345" i="50"/>
  <c r="X345" i="50"/>
  <c r="Z345" i="50"/>
  <c r="AA345" i="50"/>
  <c r="AB345" i="50"/>
  <c r="AC345" i="50"/>
  <c r="AD345" i="50"/>
  <c r="AE345" i="50"/>
  <c r="AF345" i="50"/>
  <c r="AG345" i="50"/>
  <c r="AH345" i="50"/>
  <c r="AI345" i="50"/>
  <c r="AJ345" i="50"/>
  <c r="AK345" i="50"/>
  <c r="AL345" i="50"/>
  <c r="AM345" i="50"/>
  <c r="AN345" i="50"/>
  <c r="AO345" i="50"/>
  <c r="AP345" i="50"/>
  <c r="AQ345" i="50"/>
  <c r="AR345" i="50"/>
  <c r="AS345" i="50"/>
  <c r="AT345" i="50"/>
  <c r="AU345" i="50"/>
  <c r="AW345" i="50"/>
  <c r="AX345" i="50"/>
  <c r="AY345" i="50"/>
  <c r="BA345" i="50"/>
  <c r="A346" i="50"/>
  <c r="B346" i="50"/>
  <c r="D346" i="50"/>
  <c r="E346" i="50"/>
  <c r="F346" i="50"/>
  <c r="G346" i="50"/>
  <c r="H346" i="50"/>
  <c r="J346" i="50"/>
  <c r="K346" i="50"/>
  <c r="L346" i="50"/>
  <c r="M346" i="50"/>
  <c r="O346" i="50"/>
  <c r="P346" i="50"/>
  <c r="R346" i="50"/>
  <c r="S346" i="50"/>
  <c r="T346" i="50"/>
  <c r="U346" i="50"/>
  <c r="V346" i="50"/>
  <c r="W346" i="50"/>
  <c r="X346" i="50"/>
  <c r="Z346" i="50"/>
  <c r="AA346" i="50"/>
  <c r="AB346" i="50"/>
  <c r="AC346" i="50"/>
  <c r="AD346" i="50"/>
  <c r="AE346" i="50"/>
  <c r="AF346" i="50"/>
  <c r="AG346" i="50"/>
  <c r="AH346" i="50"/>
  <c r="AI346" i="50"/>
  <c r="AJ346" i="50"/>
  <c r="AK346" i="50"/>
  <c r="AL346" i="50"/>
  <c r="AM346" i="50"/>
  <c r="AN346" i="50"/>
  <c r="AO346" i="50"/>
  <c r="AP346" i="50"/>
  <c r="AQ346" i="50"/>
  <c r="AR346" i="50"/>
  <c r="AS346" i="50"/>
  <c r="AT346" i="50"/>
  <c r="AU346" i="50"/>
  <c r="AW346" i="50"/>
  <c r="AX346" i="50"/>
  <c r="AY346" i="50"/>
  <c r="BA346" i="50"/>
  <c r="A347" i="50"/>
  <c r="B347" i="50"/>
  <c r="D347" i="50"/>
  <c r="E347" i="50"/>
  <c r="F347" i="50"/>
  <c r="G347" i="50"/>
  <c r="H347" i="50"/>
  <c r="J347" i="50"/>
  <c r="K347" i="50"/>
  <c r="L347" i="50"/>
  <c r="M347" i="50"/>
  <c r="O347" i="50"/>
  <c r="P347" i="50"/>
  <c r="R347" i="50"/>
  <c r="S347" i="50"/>
  <c r="T347" i="50"/>
  <c r="U347" i="50"/>
  <c r="V347" i="50"/>
  <c r="W347" i="50"/>
  <c r="X347" i="50"/>
  <c r="Z347" i="50"/>
  <c r="AA347" i="50"/>
  <c r="AB347" i="50"/>
  <c r="AC347" i="50"/>
  <c r="AD347" i="50"/>
  <c r="AE347" i="50"/>
  <c r="AF347" i="50"/>
  <c r="AG347" i="50"/>
  <c r="AH347" i="50"/>
  <c r="AI347" i="50"/>
  <c r="AJ347" i="50"/>
  <c r="AK347" i="50"/>
  <c r="AL347" i="50"/>
  <c r="AM347" i="50"/>
  <c r="AN347" i="50"/>
  <c r="AO347" i="50"/>
  <c r="AP347" i="50"/>
  <c r="AQ347" i="50"/>
  <c r="AR347" i="50"/>
  <c r="AS347" i="50"/>
  <c r="AT347" i="50"/>
  <c r="AU347" i="50"/>
  <c r="AW347" i="50"/>
  <c r="AX347" i="50"/>
  <c r="AY347" i="50"/>
  <c r="BA347" i="50"/>
  <c r="A348" i="50"/>
  <c r="B348" i="50"/>
  <c r="D348" i="50"/>
  <c r="E348" i="50"/>
  <c r="F348" i="50"/>
  <c r="G348" i="50"/>
  <c r="H348" i="50"/>
  <c r="J348" i="50"/>
  <c r="K348" i="50"/>
  <c r="L348" i="50"/>
  <c r="M348" i="50"/>
  <c r="O348" i="50"/>
  <c r="P348" i="50"/>
  <c r="R348" i="50"/>
  <c r="S348" i="50"/>
  <c r="T348" i="50"/>
  <c r="U348" i="50"/>
  <c r="V348" i="50"/>
  <c r="W348" i="50"/>
  <c r="X348" i="50"/>
  <c r="Z348" i="50"/>
  <c r="AA348" i="50"/>
  <c r="AB348" i="50"/>
  <c r="AC348" i="50"/>
  <c r="AD348" i="50"/>
  <c r="AE348" i="50"/>
  <c r="AF348" i="50"/>
  <c r="AG348" i="50"/>
  <c r="AH348" i="50"/>
  <c r="AI348" i="50"/>
  <c r="AJ348" i="50"/>
  <c r="AK348" i="50"/>
  <c r="AL348" i="50"/>
  <c r="AM348" i="50"/>
  <c r="AN348" i="50"/>
  <c r="AO348" i="50"/>
  <c r="AP348" i="50"/>
  <c r="AQ348" i="50"/>
  <c r="AR348" i="50"/>
  <c r="AS348" i="50"/>
  <c r="AT348" i="50"/>
  <c r="AU348" i="50"/>
  <c r="AW348" i="50"/>
  <c r="AX348" i="50"/>
  <c r="AY348" i="50"/>
  <c r="BA348" i="50"/>
  <c r="A349" i="50"/>
  <c r="B349" i="50"/>
  <c r="D349" i="50"/>
  <c r="E349" i="50"/>
  <c r="F349" i="50"/>
  <c r="G349" i="50"/>
  <c r="H349" i="50"/>
  <c r="J349" i="50"/>
  <c r="K349" i="50"/>
  <c r="L349" i="50"/>
  <c r="M349" i="50"/>
  <c r="O349" i="50"/>
  <c r="P349" i="50"/>
  <c r="R349" i="50"/>
  <c r="S349" i="50"/>
  <c r="T349" i="50"/>
  <c r="U349" i="50"/>
  <c r="V349" i="50"/>
  <c r="W349" i="50"/>
  <c r="X349" i="50"/>
  <c r="Z349" i="50"/>
  <c r="AA349" i="50"/>
  <c r="AB349" i="50"/>
  <c r="AC349" i="50"/>
  <c r="AD349" i="50"/>
  <c r="AE349" i="50"/>
  <c r="AF349" i="50"/>
  <c r="AG349" i="50"/>
  <c r="AH349" i="50"/>
  <c r="AI349" i="50"/>
  <c r="AJ349" i="50"/>
  <c r="AK349" i="50"/>
  <c r="AL349" i="50"/>
  <c r="AM349" i="50"/>
  <c r="AN349" i="50"/>
  <c r="AO349" i="50"/>
  <c r="AP349" i="50"/>
  <c r="AQ349" i="50"/>
  <c r="AR349" i="50"/>
  <c r="AS349" i="50"/>
  <c r="AT349" i="50"/>
  <c r="AU349" i="50"/>
  <c r="AW349" i="50"/>
  <c r="AX349" i="50"/>
  <c r="AY349" i="50"/>
  <c r="BA349" i="50"/>
  <c r="A350" i="50"/>
  <c r="B350" i="50"/>
  <c r="D350" i="50"/>
  <c r="E350" i="50"/>
  <c r="F350" i="50"/>
  <c r="G350" i="50"/>
  <c r="H350" i="50"/>
  <c r="J350" i="50"/>
  <c r="K350" i="50"/>
  <c r="L350" i="50"/>
  <c r="M350" i="50"/>
  <c r="O350" i="50"/>
  <c r="P350" i="50"/>
  <c r="R350" i="50"/>
  <c r="S350" i="50"/>
  <c r="T350" i="50"/>
  <c r="U350" i="50"/>
  <c r="V350" i="50"/>
  <c r="W350" i="50"/>
  <c r="X350" i="50"/>
  <c r="Z350" i="50"/>
  <c r="AA350" i="50"/>
  <c r="AB350" i="50"/>
  <c r="AC350" i="50"/>
  <c r="AD350" i="50"/>
  <c r="AE350" i="50"/>
  <c r="AF350" i="50"/>
  <c r="AG350" i="50"/>
  <c r="AH350" i="50"/>
  <c r="AI350" i="50"/>
  <c r="AJ350" i="50"/>
  <c r="AK350" i="50"/>
  <c r="AL350" i="50"/>
  <c r="AM350" i="50"/>
  <c r="AN350" i="50"/>
  <c r="AO350" i="50"/>
  <c r="AP350" i="50"/>
  <c r="AQ350" i="50"/>
  <c r="AR350" i="50"/>
  <c r="AS350" i="50"/>
  <c r="AT350" i="50"/>
  <c r="AU350" i="50"/>
  <c r="AW350" i="50"/>
  <c r="AX350" i="50"/>
  <c r="AY350" i="50"/>
  <c r="BA350" i="50"/>
  <c r="A351" i="50"/>
  <c r="B351" i="50"/>
  <c r="D351" i="50"/>
  <c r="E351" i="50"/>
  <c r="F351" i="50"/>
  <c r="G351" i="50"/>
  <c r="H351" i="50"/>
  <c r="J351" i="50"/>
  <c r="K351" i="50"/>
  <c r="L351" i="50"/>
  <c r="M351" i="50"/>
  <c r="O351" i="50"/>
  <c r="P351" i="50"/>
  <c r="R351" i="50"/>
  <c r="S351" i="50"/>
  <c r="T351" i="50"/>
  <c r="U351" i="50"/>
  <c r="V351" i="50"/>
  <c r="W351" i="50"/>
  <c r="X351" i="50"/>
  <c r="Z351" i="50"/>
  <c r="AA351" i="50"/>
  <c r="AB351" i="50"/>
  <c r="AC351" i="50"/>
  <c r="AD351" i="50"/>
  <c r="AE351" i="50"/>
  <c r="AF351" i="50"/>
  <c r="AG351" i="50"/>
  <c r="AH351" i="50"/>
  <c r="AI351" i="50"/>
  <c r="AJ351" i="50"/>
  <c r="AK351" i="50"/>
  <c r="AL351" i="50"/>
  <c r="AM351" i="50"/>
  <c r="AN351" i="50"/>
  <c r="AO351" i="50"/>
  <c r="AP351" i="50"/>
  <c r="AQ351" i="50"/>
  <c r="AR351" i="50"/>
  <c r="AS351" i="50"/>
  <c r="AT351" i="50"/>
  <c r="AU351" i="50"/>
  <c r="AW351" i="50"/>
  <c r="AX351" i="50"/>
  <c r="AY351" i="50"/>
  <c r="BA351" i="50"/>
  <c r="A352" i="50"/>
  <c r="B352" i="50"/>
  <c r="D352" i="50"/>
  <c r="E352" i="50"/>
  <c r="F352" i="50"/>
  <c r="G352" i="50"/>
  <c r="H352" i="50"/>
  <c r="J352" i="50"/>
  <c r="K352" i="50"/>
  <c r="L352" i="50"/>
  <c r="M352" i="50"/>
  <c r="O352" i="50"/>
  <c r="P352" i="50"/>
  <c r="R352" i="50"/>
  <c r="S352" i="50"/>
  <c r="T352" i="50"/>
  <c r="U352" i="50"/>
  <c r="V352" i="50"/>
  <c r="W352" i="50"/>
  <c r="X352" i="50"/>
  <c r="Z352" i="50"/>
  <c r="AA352" i="50"/>
  <c r="AB352" i="50"/>
  <c r="AC352" i="50"/>
  <c r="AD352" i="50"/>
  <c r="AE352" i="50"/>
  <c r="AF352" i="50"/>
  <c r="AG352" i="50"/>
  <c r="AH352" i="50"/>
  <c r="AI352" i="50"/>
  <c r="AJ352" i="50"/>
  <c r="AK352" i="50"/>
  <c r="AL352" i="50"/>
  <c r="AM352" i="50"/>
  <c r="AN352" i="50"/>
  <c r="AO352" i="50"/>
  <c r="AP352" i="50"/>
  <c r="AQ352" i="50"/>
  <c r="AR352" i="50"/>
  <c r="AS352" i="50"/>
  <c r="AT352" i="50"/>
  <c r="AU352" i="50"/>
  <c r="AW352" i="50"/>
  <c r="AX352" i="50"/>
  <c r="AY352" i="50"/>
  <c r="BA352" i="50"/>
  <c r="A353" i="50"/>
  <c r="B353" i="50"/>
  <c r="D353" i="50"/>
  <c r="E353" i="50"/>
  <c r="F353" i="50"/>
  <c r="G353" i="50"/>
  <c r="H353" i="50"/>
  <c r="J353" i="50"/>
  <c r="K353" i="50"/>
  <c r="L353" i="50"/>
  <c r="M353" i="50"/>
  <c r="O353" i="50"/>
  <c r="P353" i="50"/>
  <c r="R353" i="50"/>
  <c r="S353" i="50"/>
  <c r="T353" i="50"/>
  <c r="U353" i="50"/>
  <c r="V353" i="50"/>
  <c r="W353" i="50"/>
  <c r="X353" i="50"/>
  <c r="Z353" i="50"/>
  <c r="AA353" i="50"/>
  <c r="AB353" i="50"/>
  <c r="AC353" i="50"/>
  <c r="AD353" i="50"/>
  <c r="AE353" i="50"/>
  <c r="AF353" i="50"/>
  <c r="AG353" i="50"/>
  <c r="AH353" i="50"/>
  <c r="AI353" i="50"/>
  <c r="AJ353" i="50"/>
  <c r="AK353" i="50"/>
  <c r="AL353" i="50"/>
  <c r="AM353" i="50"/>
  <c r="AN353" i="50"/>
  <c r="AO353" i="50"/>
  <c r="AP353" i="50"/>
  <c r="AQ353" i="50"/>
  <c r="AR353" i="50"/>
  <c r="AS353" i="50"/>
  <c r="AT353" i="50"/>
  <c r="AU353" i="50"/>
  <c r="AW353" i="50"/>
  <c r="AX353" i="50"/>
  <c r="AY353" i="50"/>
  <c r="BA353" i="50"/>
  <c r="A354" i="50"/>
  <c r="B354" i="50"/>
  <c r="D354" i="50"/>
  <c r="E354" i="50"/>
  <c r="F354" i="50"/>
  <c r="G354" i="50"/>
  <c r="H354" i="50"/>
  <c r="J354" i="50"/>
  <c r="K354" i="50"/>
  <c r="L354" i="50"/>
  <c r="M354" i="50"/>
  <c r="O354" i="50"/>
  <c r="P354" i="50"/>
  <c r="R354" i="50"/>
  <c r="S354" i="50"/>
  <c r="T354" i="50"/>
  <c r="U354" i="50"/>
  <c r="V354" i="50"/>
  <c r="W354" i="50"/>
  <c r="X354" i="50"/>
  <c r="Z354" i="50"/>
  <c r="AA354" i="50"/>
  <c r="AB354" i="50"/>
  <c r="AC354" i="50"/>
  <c r="AD354" i="50"/>
  <c r="AE354" i="50"/>
  <c r="AF354" i="50"/>
  <c r="AG354" i="50"/>
  <c r="AH354" i="50"/>
  <c r="AI354" i="50"/>
  <c r="AJ354" i="50"/>
  <c r="AK354" i="50"/>
  <c r="AL354" i="50"/>
  <c r="AM354" i="50"/>
  <c r="AN354" i="50"/>
  <c r="AO354" i="50"/>
  <c r="AP354" i="50"/>
  <c r="AQ354" i="50"/>
  <c r="AR354" i="50"/>
  <c r="AS354" i="50"/>
  <c r="AT354" i="50"/>
  <c r="AU354" i="50"/>
  <c r="AW354" i="50"/>
  <c r="AX354" i="50"/>
  <c r="AY354" i="50"/>
  <c r="BA354" i="50"/>
  <c r="A355" i="50"/>
  <c r="B355" i="50"/>
  <c r="D355" i="50"/>
  <c r="E355" i="50"/>
  <c r="F355" i="50"/>
  <c r="G355" i="50"/>
  <c r="H355" i="50"/>
  <c r="J355" i="50"/>
  <c r="K355" i="50"/>
  <c r="L355" i="50"/>
  <c r="M355" i="50"/>
  <c r="O355" i="50"/>
  <c r="P355" i="50"/>
  <c r="R355" i="50"/>
  <c r="S355" i="50"/>
  <c r="T355" i="50"/>
  <c r="U355" i="50"/>
  <c r="V355" i="50"/>
  <c r="W355" i="50"/>
  <c r="X355" i="50"/>
  <c r="Z355" i="50"/>
  <c r="AA355" i="50"/>
  <c r="AB355" i="50"/>
  <c r="AC355" i="50"/>
  <c r="AD355" i="50"/>
  <c r="AE355" i="50"/>
  <c r="AF355" i="50"/>
  <c r="AG355" i="50"/>
  <c r="AH355" i="50"/>
  <c r="AI355" i="50"/>
  <c r="AJ355" i="50"/>
  <c r="AK355" i="50"/>
  <c r="AL355" i="50"/>
  <c r="AM355" i="50"/>
  <c r="AN355" i="50"/>
  <c r="AO355" i="50"/>
  <c r="AP355" i="50"/>
  <c r="AQ355" i="50"/>
  <c r="AR355" i="50"/>
  <c r="AS355" i="50"/>
  <c r="AT355" i="50"/>
  <c r="AU355" i="50"/>
  <c r="AW355" i="50"/>
  <c r="AX355" i="50"/>
  <c r="AY355" i="50"/>
  <c r="BA355" i="50"/>
  <c r="A356" i="50"/>
  <c r="B356" i="50"/>
  <c r="D356" i="50"/>
  <c r="E356" i="50"/>
  <c r="F356" i="50"/>
  <c r="G356" i="50"/>
  <c r="H356" i="50"/>
  <c r="J356" i="50"/>
  <c r="K356" i="50"/>
  <c r="L356" i="50"/>
  <c r="M356" i="50"/>
  <c r="O356" i="50"/>
  <c r="P356" i="50"/>
  <c r="R356" i="50"/>
  <c r="S356" i="50"/>
  <c r="T356" i="50"/>
  <c r="U356" i="50"/>
  <c r="V356" i="50"/>
  <c r="W356" i="50"/>
  <c r="X356" i="50"/>
  <c r="Z356" i="50"/>
  <c r="AA356" i="50"/>
  <c r="AB356" i="50"/>
  <c r="AC356" i="50"/>
  <c r="AD356" i="50"/>
  <c r="AE356" i="50"/>
  <c r="AF356" i="50"/>
  <c r="AG356" i="50"/>
  <c r="AH356" i="50"/>
  <c r="AI356" i="50"/>
  <c r="AJ356" i="50"/>
  <c r="AK356" i="50"/>
  <c r="AL356" i="50"/>
  <c r="AM356" i="50"/>
  <c r="AN356" i="50"/>
  <c r="AO356" i="50"/>
  <c r="AP356" i="50"/>
  <c r="AQ356" i="50"/>
  <c r="AR356" i="50"/>
  <c r="AS356" i="50"/>
  <c r="AT356" i="50"/>
  <c r="AU356" i="50"/>
  <c r="AW356" i="50"/>
  <c r="AX356" i="50"/>
  <c r="AY356" i="50"/>
  <c r="BA356" i="50"/>
  <c r="A357" i="50"/>
  <c r="B357" i="50"/>
  <c r="D357" i="50"/>
  <c r="E357" i="50"/>
  <c r="F357" i="50"/>
  <c r="G357" i="50"/>
  <c r="H357" i="50"/>
  <c r="J357" i="50"/>
  <c r="K357" i="50"/>
  <c r="L357" i="50"/>
  <c r="M357" i="50"/>
  <c r="O357" i="50"/>
  <c r="P357" i="50"/>
  <c r="R357" i="50"/>
  <c r="S357" i="50"/>
  <c r="T357" i="50"/>
  <c r="U357" i="50"/>
  <c r="V357" i="50"/>
  <c r="W357" i="50"/>
  <c r="X357" i="50"/>
  <c r="Z357" i="50"/>
  <c r="AA357" i="50"/>
  <c r="AB357" i="50"/>
  <c r="AC357" i="50"/>
  <c r="AD357" i="50"/>
  <c r="AE357" i="50"/>
  <c r="AF357" i="50"/>
  <c r="AG357" i="50"/>
  <c r="AH357" i="50"/>
  <c r="AI357" i="50"/>
  <c r="AJ357" i="50"/>
  <c r="AK357" i="50"/>
  <c r="AL357" i="50"/>
  <c r="AM357" i="50"/>
  <c r="AN357" i="50"/>
  <c r="AO357" i="50"/>
  <c r="AP357" i="50"/>
  <c r="AQ357" i="50"/>
  <c r="AR357" i="50"/>
  <c r="AS357" i="50"/>
  <c r="AT357" i="50"/>
  <c r="AU357" i="50"/>
  <c r="AW357" i="50"/>
  <c r="AX357" i="50"/>
  <c r="AY357" i="50"/>
  <c r="BA357" i="50"/>
  <c r="A358" i="50"/>
  <c r="B358" i="50"/>
  <c r="D358" i="50"/>
  <c r="E358" i="50"/>
  <c r="F358" i="50"/>
  <c r="G358" i="50"/>
  <c r="H358" i="50"/>
  <c r="J358" i="50"/>
  <c r="K358" i="50"/>
  <c r="L358" i="50"/>
  <c r="M358" i="50"/>
  <c r="O358" i="50"/>
  <c r="P358" i="50"/>
  <c r="R358" i="50"/>
  <c r="S358" i="50"/>
  <c r="T358" i="50"/>
  <c r="U358" i="50"/>
  <c r="V358" i="50"/>
  <c r="W358" i="50"/>
  <c r="X358" i="50"/>
  <c r="Z358" i="50"/>
  <c r="AA358" i="50"/>
  <c r="AB358" i="50"/>
  <c r="AC358" i="50"/>
  <c r="AD358" i="50"/>
  <c r="AE358" i="50"/>
  <c r="AF358" i="50"/>
  <c r="AG358" i="50"/>
  <c r="AH358" i="50"/>
  <c r="AI358" i="50"/>
  <c r="AJ358" i="50"/>
  <c r="AK358" i="50"/>
  <c r="AL358" i="50"/>
  <c r="AM358" i="50"/>
  <c r="AN358" i="50"/>
  <c r="AO358" i="50"/>
  <c r="AP358" i="50"/>
  <c r="AQ358" i="50"/>
  <c r="AR358" i="50"/>
  <c r="AS358" i="50"/>
  <c r="AT358" i="50"/>
  <c r="AU358" i="50"/>
  <c r="AW358" i="50"/>
  <c r="AX358" i="50"/>
  <c r="AY358" i="50"/>
  <c r="BA358" i="50"/>
  <c r="A359" i="50"/>
  <c r="B359" i="50"/>
  <c r="D359" i="50"/>
  <c r="E359" i="50"/>
  <c r="F359" i="50"/>
  <c r="G359" i="50"/>
  <c r="H359" i="50"/>
  <c r="J359" i="50"/>
  <c r="K359" i="50"/>
  <c r="L359" i="50"/>
  <c r="M359" i="50"/>
  <c r="O359" i="50"/>
  <c r="P359" i="50"/>
  <c r="R359" i="50"/>
  <c r="S359" i="50"/>
  <c r="T359" i="50"/>
  <c r="U359" i="50"/>
  <c r="V359" i="50"/>
  <c r="W359" i="50"/>
  <c r="X359" i="50"/>
  <c r="Z359" i="50"/>
  <c r="AA359" i="50"/>
  <c r="AB359" i="50"/>
  <c r="AC359" i="50"/>
  <c r="AD359" i="50"/>
  <c r="AE359" i="50"/>
  <c r="AF359" i="50"/>
  <c r="AG359" i="50"/>
  <c r="AH359" i="50"/>
  <c r="AI359" i="50"/>
  <c r="AJ359" i="50"/>
  <c r="AK359" i="50"/>
  <c r="AL359" i="50"/>
  <c r="AM359" i="50"/>
  <c r="AN359" i="50"/>
  <c r="AO359" i="50"/>
  <c r="AP359" i="50"/>
  <c r="AQ359" i="50"/>
  <c r="AR359" i="50"/>
  <c r="AS359" i="50"/>
  <c r="AT359" i="50"/>
  <c r="AU359" i="50"/>
  <c r="AW359" i="50"/>
  <c r="AX359" i="50"/>
  <c r="AY359" i="50"/>
  <c r="BA359" i="50"/>
  <c r="A360" i="50"/>
  <c r="B360" i="50"/>
  <c r="D360" i="50"/>
  <c r="E360" i="50"/>
  <c r="F360" i="50"/>
  <c r="G360" i="50"/>
  <c r="H360" i="50"/>
  <c r="J360" i="50"/>
  <c r="K360" i="50"/>
  <c r="L360" i="50"/>
  <c r="M360" i="50"/>
  <c r="O360" i="50"/>
  <c r="P360" i="50"/>
  <c r="R360" i="50"/>
  <c r="S360" i="50"/>
  <c r="T360" i="50"/>
  <c r="U360" i="50"/>
  <c r="V360" i="50"/>
  <c r="W360" i="50"/>
  <c r="X360" i="50"/>
  <c r="Z360" i="50"/>
  <c r="AA360" i="50"/>
  <c r="AB360" i="50"/>
  <c r="AC360" i="50"/>
  <c r="AD360" i="50"/>
  <c r="AE360" i="50"/>
  <c r="AF360" i="50"/>
  <c r="AG360" i="50"/>
  <c r="AH360" i="50"/>
  <c r="AI360" i="50"/>
  <c r="AJ360" i="50"/>
  <c r="AK360" i="50"/>
  <c r="AL360" i="50"/>
  <c r="AM360" i="50"/>
  <c r="AN360" i="50"/>
  <c r="AO360" i="50"/>
  <c r="AP360" i="50"/>
  <c r="AQ360" i="50"/>
  <c r="AR360" i="50"/>
  <c r="AS360" i="50"/>
  <c r="AT360" i="50"/>
  <c r="AU360" i="50"/>
  <c r="AW360" i="50"/>
  <c r="AX360" i="50"/>
  <c r="AY360" i="50"/>
  <c r="BA360" i="50"/>
  <c r="A361" i="50"/>
  <c r="B361" i="50"/>
  <c r="D361" i="50"/>
  <c r="E361" i="50"/>
  <c r="F361" i="50"/>
  <c r="G361" i="50"/>
  <c r="H361" i="50"/>
  <c r="J361" i="50"/>
  <c r="K361" i="50"/>
  <c r="L361" i="50"/>
  <c r="M361" i="50"/>
  <c r="O361" i="50"/>
  <c r="P361" i="50"/>
  <c r="R361" i="50"/>
  <c r="S361" i="50"/>
  <c r="T361" i="50"/>
  <c r="U361" i="50"/>
  <c r="V361" i="50"/>
  <c r="W361" i="50"/>
  <c r="X361" i="50"/>
  <c r="Z361" i="50"/>
  <c r="AA361" i="50"/>
  <c r="AB361" i="50"/>
  <c r="AC361" i="50"/>
  <c r="AD361" i="50"/>
  <c r="AE361" i="50"/>
  <c r="AF361" i="50"/>
  <c r="AG361" i="50"/>
  <c r="AH361" i="50"/>
  <c r="AI361" i="50"/>
  <c r="AJ361" i="50"/>
  <c r="AK361" i="50"/>
  <c r="AL361" i="50"/>
  <c r="AM361" i="50"/>
  <c r="AN361" i="50"/>
  <c r="AO361" i="50"/>
  <c r="AP361" i="50"/>
  <c r="AQ361" i="50"/>
  <c r="AR361" i="50"/>
  <c r="AS361" i="50"/>
  <c r="AT361" i="50"/>
  <c r="AU361" i="50"/>
  <c r="AW361" i="50"/>
  <c r="AX361" i="50"/>
  <c r="AY361" i="50"/>
  <c r="BA361" i="50"/>
  <c r="A362" i="50"/>
  <c r="B362" i="50"/>
  <c r="D362" i="50"/>
  <c r="E362" i="50"/>
  <c r="F362" i="50"/>
  <c r="G362" i="50"/>
  <c r="H362" i="50"/>
  <c r="J362" i="50"/>
  <c r="K362" i="50"/>
  <c r="L362" i="50"/>
  <c r="M362" i="50"/>
  <c r="O362" i="50"/>
  <c r="P362" i="50"/>
  <c r="R362" i="50"/>
  <c r="S362" i="50"/>
  <c r="T362" i="50"/>
  <c r="U362" i="50"/>
  <c r="V362" i="50"/>
  <c r="W362" i="50"/>
  <c r="X362" i="50"/>
  <c r="Z362" i="50"/>
  <c r="AA362" i="50"/>
  <c r="AB362" i="50"/>
  <c r="AC362" i="50"/>
  <c r="AD362" i="50"/>
  <c r="AE362" i="50"/>
  <c r="AF362" i="50"/>
  <c r="AG362" i="50"/>
  <c r="AH362" i="50"/>
  <c r="AI362" i="50"/>
  <c r="AJ362" i="50"/>
  <c r="AK362" i="50"/>
  <c r="AL362" i="50"/>
  <c r="AM362" i="50"/>
  <c r="AN362" i="50"/>
  <c r="AO362" i="50"/>
  <c r="AP362" i="50"/>
  <c r="AQ362" i="50"/>
  <c r="AR362" i="50"/>
  <c r="AS362" i="50"/>
  <c r="AT362" i="50"/>
  <c r="AU362" i="50"/>
  <c r="AW362" i="50"/>
  <c r="AX362" i="50"/>
  <c r="AY362" i="50"/>
  <c r="BA362" i="50"/>
  <c r="A363" i="50"/>
  <c r="B363" i="50"/>
  <c r="D363" i="50"/>
  <c r="E363" i="50"/>
  <c r="F363" i="50"/>
  <c r="G363" i="50"/>
  <c r="H363" i="50"/>
  <c r="J363" i="50"/>
  <c r="K363" i="50"/>
  <c r="L363" i="50"/>
  <c r="M363" i="50"/>
  <c r="O363" i="50"/>
  <c r="P363" i="50"/>
  <c r="R363" i="50"/>
  <c r="S363" i="50"/>
  <c r="T363" i="50"/>
  <c r="U363" i="50"/>
  <c r="V363" i="50"/>
  <c r="W363" i="50"/>
  <c r="X363" i="50"/>
  <c r="Z363" i="50"/>
  <c r="AA363" i="50"/>
  <c r="AB363" i="50"/>
  <c r="AC363" i="50"/>
  <c r="AD363" i="50"/>
  <c r="AE363" i="50"/>
  <c r="AF363" i="50"/>
  <c r="AG363" i="50"/>
  <c r="AH363" i="50"/>
  <c r="AI363" i="50"/>
  <c r="AJ363" i="50"/>
  <c r="AK363" i="50"/>
  <c r="AL363" i="50"/>
  <c r="AM363" i="50"/>
  <c r="AN363" i="50"/>
  <c r="AO363" i="50"/>
  <c r="AP363" i="50"/>
  <c r="AQ363" i="50"/>
  <c r="AR363" i="50"/>
  <c r="AS363" i="50"/>
  <c r="AT363" i="50"/>
  <c r="AU363" i="50"/>
  <c r="AW363" i="50"/>
  <c r="AX363" i="50"/>
  <c r="AY363" i="50"/>
  <c r="BA363" i="50"/>
  <c r="A364" i="50"/>
  <c r="B364" i="50"/>
  <c r="D364" i="50"/>
  <c r="E364" i="50"/>
  <c r="F364" i="50"/>
  <c r="G364" i="50"/>
  <c r="H364" i="50"/>
  <c r="J364" i="50"/>
  <c r="K364" i="50"/>
  <c r="L364" i="50"/>
  <c r="M364" i="50"/>
  <c r="O364" i="50"/>
  <c r="P364" i="50"/>
  <c r="R364" i="50"/>
  <c r="S364" i="50"/>
  <c r="T364" i="50"/>
  <c r="U364" i="50"/>
  <c r="V364" i="50"/>
  <c r="W364" i="50"/>
  <c r="X364" i="50"/>
  <c r="Z364" i="50"/>
  <c r="AA364" i="50"/>
  <c r="AB364" i="50"/>
  <c r="AC364" i="50"/>
  <c r="AD364" i="50"/>
  <c r="AE364" i="50"/>
  <c r="AF364" i="50"/>
  <c r="AG364" i="50"/>
  <c r="AH364" i="50"/>
  <c r="AI364" i="50"/>
  <c r="AJ364" i="50"/>
  <c r="AK364" i="50"/>
  <c r="AL364" i="50"/>
  <c r="AM364" i="50"/>
  <c r="AN364" i="50"/>
  <c r="AO364" i="50"/>
  <c r="AP364" i="50"/>
  <c r="AQ364" i="50"/>
  <c r="AR364" i="50"/>
  <c r="AS364" i="50"/>
  <c r="AT364" i="50"/>
  <c r="AU364" i="50"/>
  <c r="AW364" i="50"/>
  <c r="AX364" i="50"/>
  <c r="AY364" i="50"/>
  <c r="BA364" i="50"/>
  <c r="A365" i="50"/>
  <c r="B365" i="50"/>
  <c r="D365" i="50"/>
  <c r="E365" i="50"/>
  <c r="F365" i="50"/>
  <c r="G365" i="50"/>
  <c r="H365" i="50"/>
  <c r="J365" i="50"/>
  <c r="K365" i="50"/>
  <c r="L365" i="50"/>
  <c r="M365" i="50"/>
  <c r="O365" i="50"/>
  <c r="P365" i="50"/>
  <c r="R365" i="50"/>
  <c r="S365" i="50"/>
  <c r="T365" i="50"/>
  <c r="U365" i="50"/>
  <c r="V365" i="50"/>
  <c r="W365" i="50"/>
  <c r="X365" i="50"/>
  <c r="Z365" i="50"/>
  <c r="AA365" i="50"/>
  <c r="AB365" i="50"/>
  <c r="AC365" i="50"/>
  <c r="AD365" i="50"/>
  <c r="AE365" i="50"/>
  <c r="AF365" i="50"/>
  <c r="AG365" i="50"/>
  <c r="AH365" i="50"/>
  <c r="AI365" i="50"/>
  <c r="AJ365" i="50"/>
  <c r="AK365" i="50"/>
  <c r="AL365" i="50"/>
  <c r="AM365" i="50"/>
  <c r="AN365" i="50"/>
  <c r="AO365" i="50"/>
  <c r="AP365" i="50"/>
  <c r="AQ365" i="50"/>
  <c r="AR365" i="50"/>
  <c r="AS365" i="50"/>
  <c r="AT365" i="50"/>
  <c r="AU365" i="50"/>
  <c r="AW365" i="50"/>
  <c r="AX365" i="50"/>
  <c r="AY365" i="50"/>
  <c r="BA365" i="50"/>
  <c r="A366" i="50"/>
  <c r="B366" i="50"/>
  <c r="D366" i="50"/>
  <c r="E366" i="50"/>
  <c r="F366" i="50"/>
  <c r="G366" i="50"/>
  <c r="H366" i="50"/>
  <c r="J366" i="50"/>
  <c r="K366" i="50"/>
  <c r="L366" i="50"/>
  <c r="M366" i="50"/>
  <c r="O366" i="50"/>
  <c r="P366" i="50"/>
  <c r="R366" i="50"/>
  <c r="S366" i="50"/>
  <c r="T366" i="50"/>
  <c r="U366" i="50"/>
  <c r="V366" i="50"/>
  <c r="W366" i="50"/>
  <c r="X366" i="50"/>
  <c r="Z366" i="50"/>
  <c r="AA366" i="50"/>
  <c r="AB366" i="50"/>
  <c r="AC366" i="50"/>
  <c r="AD366" i="50"/>
  <c r="AE366" i="50"/>
  <c r="AF366" i="50"/>
  <c r="AG366" i="50"/>
  <c r="AH366" i="50"/>
  <c r="AI366" i="50"/>
  <c r="AJ366" i="50"/>
  <c r="AK366" i="50"/>
  <c r="AL366" i="50"/>
  <c r="AM366" i="50"/>
  <c r="AN366" i="50"/>
  <c r="AO366" i="50"/>
  <c r="AP366" i="50"/>
  <c r="AQ366" i="50"/>
  <c r="AR366" i="50"/>
  <c r="AS366" i="50"/>
  <c r="AT366" i="50"/>
  <c r="AU366" i="50"/>
  <c r="AW366" i="50"/>
  <c r="AX366" i="50"/>
  <c r="AY366" i="50"/>
  <c r="BA366" i="50"/>
  <c r="A367" i="50"/>
  <c r="B367" i="50"/>
  <c r="D367" i="50"/>
  <c r="E367" i="50"/>
  <c r="F367" i="50"/>
  <c r="G367" i="50"/>
  <c r="H367" i="50"/>
  <c r="J367" i="50"/>
  <c r="K367" i="50"/>
  <c r="L367" i="50"/>
  <c r="M367" i="50"/>
  <c r="O367" i="50"/>
  <c r="P367" i="50"/>
  <c r="R367" i="50"/>
  <c r="S367" i="50"/>
  <c r="T367" i="50"/>
  <c r="U367" i="50"/>
  <c r="V367" i="50"/>
  <c r="W367" i="50"/>
  <c r="X367" i="50"/>
  <c r="Z367" i="50"/>
  <c r="AA367" i="50"/>
  <c r="AB367" i="50"/>
  <c r="AC367" i="50"/>
  <c r="AD367" i="50"/>
  <c r="AE367" i="50"/>
  <c r="AF367" i="50"/>
  <c r="AG367" i="50"/>
  <c r="AH367" i="50"/>
  <c r="AI367" i="50"/>
  <c r="AJ367" i="50"/>
  <c r="AK367" i="50"/>
  <c r="AL367" i="50"/>
  <c r="AM367" i="50"/>
  <c r="AN367" i="50"/>
  <c r="AO367" i="50"/>
  <c r="AP367" i="50"/>
  <c r="AQ367" i="50"/>
  <c r="AR367" i="50"/>
  <c r="AS367" i="50"/>
  <c r="AT367" i="50"/>
  <c r="AU367" i="50"/>
  <c r="AW367" i="50"/>
  <c r="AX367" i="50"/>
  <c r="AY367" i="50"/>
  <c r="BA367" i="50"/>
  <c r="A368" i="50"/>
  <c r="B368" i="50"/>
  <c r="D368" i="50"/>
  <c r="E368" i="50"/>
  <c r="F368" i="50"/>
  <c r="G368" i="50"/>
  <c r="H368" i="50"/>
  <c r="J368" i="50"/>
  <c r="K368" i="50"/>
  <c r="L368" i="50"/>
  <c r="M368" i="50"/>
  <c r="O368" i="50"/>
  <c r="P368" i="50"/>
  <c r="R368" i="50"/>
  <c r="S368" i="50"/>
  <c r="T368" i="50"/>
  <c r="U368" i="50"/>
  <c r="V368" i="50"/>
  <c r="W368" i="50"/>
  <c r="X368" i="50"/>
  <c r="Z368" i="50"/>
  <c r="AA368" i="50"/>
  <c r="AB368" i="50"/>
  <c r="AC368" i="50"/>
  <c r="AD368" i="50"/>
  <c r="AE368" i="50"/>
  <c r="AF368" i="50"/>
  <c r="AG368" i="50"/>
  <c r="AH368" i="50"/>
  <c r="AI368" i="50"/>
  <c r="AJ368" i="50"/>
  <c r="AK368" i="50"/>
  <c r="AL368" i="50"/>
  <c r="AM368" i="50"/>
  <c r="AN368" i="50"/>
  <c r="AO368" i="50"/>
  <c r="AP368" i="50"/>
  <c r="AQ368" i="50"/>
  <c r="AR368" i="50"/>
  <c r="AS368" i="50"/>
  <c r="AT368" i="50"/>
  <c r="AU368" i="50"/>
  <c r="AW368" i="50"/>
  <c r="AX368" i="50"/>
  <c r="AY368" i="50"/>
  <c r="BA368" i="50"/>
  <c r="A369" i="50"/>
  <c r="B369" i="50"/>
  <c r="D369" i="50"/>
  <c r="E369" i="50"/>
  <c r="F369" i="50"/>
  <c r="G369" i="50"/>
  <c r="H369" i="50"/>
  <c r="J369" i="50"/>
  <c r="K369" i="50"/>
  <c r="L369" i="50"/>
  <c r="M369" i="50"/>
  <c r="O369" i="50"/>
  <c r="P369" i="50"/>
  <c r="R369" i="50"/>
  <c r="S369" i="50"/>
  <c r="T369" i="50"/>
  <c r="U369" i="50"/>
  <c r="V369" i="50"/>
  <c r="W369" i="50"/>
  <c r="X369" i="50"/>
  <c r="Z369" i="50"/>
  <c r="AA369" i="50"/>
  <c r="AB369" i="50"/>
  <c r="AC369" i="50"/>
  <c r="AD369" i="50"/>
  <c r="AE369" i="50"/>
  <c r="AF369" i="50"/>
  <c r="AG369" i="50"/>
  <c r="AH369" i="50"/>
  <c r="AI369" i="50"/>
  <c r="AJ369" i="50"/>
  <c r="AK369" i="50"/>
  <c r="AL369" i="50"/>
  <c r="AM369" i="50"/>
  <c r="AN369" i="50"/>
  <c r="AO369" i="50"/>
  <c r="AP369" i="50"/>
  <c r="AQ369" i="50"/>
  <c r="AR369" i="50"/>
  <c r="AS369" i="50"/>
  <c r="AT369" i="50"/>
  <c r="AU369" i="50"/>
  <c r="AW369" i="50"/>
  <c r="AX369" i="50"/>
  <c r="AY369" i="50"/>
  <c r="BA369" i="50"/>
  <c r="A370" i="50"/>
  <c r="B370" i="50"/>
  <c r="D370" i="50"/>
  <c r="E370" i="50"/>
  <c r="F370" i="50"/>
  <c r="G370" i="50"/>
  <c r="H370" i="50"/>
  <c r="J370" i="50"/>
  <c r="K370" i="50"/>
  <c r="L370" i="50"/>
  <c r="M370" i="50"/>
  <c r="O370" i="50"/>
  <c r="P370" i="50"/>
  <c r="R370" i="50"/>
  <c r="S370" i="50"/>
  <c r="T370" i="50"/>
  <c r="U370" i="50"/>
  <c r="V370" i="50"/>
  <c r="W370" i="50"/>
  <c r="X370" i="50"/>
  <c r="AO370" i="50"/>
  <c r="AP370" i="50"/>
  <c r="AQ370" i="50"/>
  <c r="AR370" i="50"/>
  <c r="AS370" i="50"/>
  <c r="AT370" i="50"/>
  <c r="AU370" i="50"/>
  <c r="AW370" i="50"/>
  <c r="AX370" i="50"/>
  <c r="AY370" i="50"/>
  <c r="BA370" i="50"/>
  <c r="A371" i="50"/>
  <c r="B371" i="50"/>
  <c r="D371" i="50"/>
  <c r="E371" i="50"/>
  <c r="F371" i="50"/>
  <c r="G371" i="50"/>
  <c r="H371" i="50"/>
  <c r="J371" i="50"/>
  <c r="K371" i="50"/>
  <c r="L371" i="50"/>
  <c r="M371" i="50"/>
  <c r="O371" i="50"/>
  <c r="P371" i="50"/>
  <c r="R371" i="50"/>
  <c r="S371" i="50"/>
  <c r="T371" i="50"/>
  <c r="U371" i="50"/>
  <c r="V371" i="50"/>
  <c r="W371" i="50"/>
  <c r="X371" i="50"/>
  <c r="AO371" i="50"/>
  <c r="AP371" i="50"/>
  <c r="AQ371" i="50"/>
  <c r="AR371" i="50"/>
  <c r="AS371" i="50"/>
  <c r="AT371" i="50"/>
  <c r="AU371" i="50"/>
  <c r="AW371" i="50"/>
  <c r="AX371" i="50"/>
  <c r="AY371" i="50"/>
  <c r="BA371" i="50"/>
  <c r="A372" i="50"/>
  <c r="B372" i="50"/>
  <c r="D372" i="50"/>
  <c r="E372" i="50"/>
  <c r="F372" i="50"/>
  <c r="G372" i="50"/>
  <c r="H372" i="50"/>
  <c r="J372" i="50"/>
  <c r="K372" i="50"/>
  <c r="L372" i="50"/>
  <c r="M372" i="50"/>
  <c r="O372" i="50"/>
  <c r="P372" i="50"/>
  <c r="R372" i="50"/>
  <c r="S372" i="50"/>
  <c r="T372" i="50"/>
  <c r="U372" i="50"/>
  <c r="V372" i="50"/>
  <c r="W372" i="50"/>
  <c r="X372" i="50"/>
  <c r="AO372" i="50"/>
  <c r="AP372" i="50"/>
  <c r="AQ372" i="50"/>
  <c r="AR372" i="50"/>
  <c r="AS372" i="50"/>
  <c r="AT372" i="50"/>
  <c r="AU372" i="50"/>
  <c r="AW372" i="50"/>
  <c r="AX372" i="50"/>
  <c r="AY372" i="50"/>
  <c r="BA372" i="50"/>
  <c r="A373" i="50"/>
  <c r="B373" i="50"/>
  <c r="D373" i="50"/>
  <c r="E373" i="50"/>
  <c r="F373" i="50"/>
  <c r="G373" i="50"/>
  <c r="H373" i="50"/>
  <c r="J373" i="50"/>
  <c r="K373" i="50"/>
  <c r="L373" i="50"/>
  <c r="M373" i="50"/>
  <c r="O373" i="50"/>
  <c r="P373" i="50"/>
  <c r="R373" i="50"/>
  <c r="S373" i="50"/>
  <c r="T373" i="50"/>
  <c r="U373" i="50"/>
  <c r="V373" i="50"/>
  <c r="W373" i="50"/>
  <c r="X373" i="50"/>
  <c r="AO373" i="50"/>
  <c r="AP373" i="50"/>
  <c r="AQ373" i="50"/>
  <c r="AR373" i="50"/>
  <c r="AS373" i="50"/>
  <c r="AT373" i="50"/>
  <c r="AU373" i="50"/>
  <c r="AW373" i="50"/>
  <c r="AX373" i="50"/>
  <c r="AY373" i="50"/>
  <c r="BA373" i="50"/>
  <c r="A374" i="50"/>
  <c r="B374" i="50"/>
  <c r="D374" i="50"/>
  <c r="E374" i="50"/>
  <c r="F374" i="50"/>
  <c r="G374" i="50"/>
  <c r="H374" i="50"/>
  <c r="J374" i="50"/>
  <c r="K374" i="50"/>
  <c r="L374" i="50"/>
  <c r="M374" i="50"/>
  <c r="O374" i="50"/>
  <c r="P374" i="50"/>
  <c r="R374" i="50"/>
  <c r="S374" i="50"/>
  <c r="T374" i="50"/>
  <c r="U374" i="50"/>
  <c r="V374" i="50"/>
  <c r="W374" i="50"/>
  <c r="X374" i="50"/>
  <c r="AO374" i="50"/>
  <c r="AP374" i="50"/>
  <c r="AQ374" i="50"/>
  <c r="AR374" i="50"/>
  <c r="AS374" i="50"/>
  <c r="AT374" i="50"/>
  <c r="AU374" i="50"/>
  <c r="AW374" i="50"/>
  <c r="AX374" i="50"/>
  <c r="AY374" i="50"/>
  <c r="BA374" i="50"/>
  <c r="A375" i="50"/>
  <c r="B375" i="50"/>
  <c r="D375" i="50"/>
  <c r="E375" i="50"/>
  <c r="F375" i="50"/>
  <c r="G375" i="50"/>
  <c r="H375" i="50"/>
  <c r="J375" i="50"/>
  <c r="K375" i="50"/>
  <c r="L375" i="50"/>
  <c r="M375" i="50"/>
  <c r="O375" i="50"/>
  <c r="P375" i="50"/>
  <c r="R375" i="50"/>
  <c r="S375" i="50"/>
  <c r="T375" i="50"/>
  <c r="U375" i="50"/>
  <c r="V375" i="50"/>
  <c r="W375" i="50"/>
  <c r="X375" i="50"/>
  <c r="AO375" i="50"/>
  <c r="AP375" i="50"/>
  <c r="AQ375" i="50"/>
  <c r="AR375" i="50"/>
  <c r="AS375" i="50"/>
  <c r="AT375" i="50"/>
  <c r="AU375" i="50"/>
  <c r="AW375" i="50"/>
  <c r="AX375" i="50"/>
  <c r="AY375" i="50"/>
  <c r="BA375" i="50"/>
  <c r="A376" i="50"/>
  <c r="B376" i="50"/>
  <c r="D376" i="50"/>
  <c r="E376" i="50"/>
  <c r="F376" i="50"/>
  <c r="G376" i="50"/>
  <c r="H376" i="50"/>
  <c r="J376" i="50"/>
  <c r="K376" i="50"/>
  <c r="L376" i="50"/>
  <c r="M376" i="50"/>
  <c r="O376" i="50"/>
  <c r="P376" i="50"/>
  <c r="R376" i="50"/>
  <c r="S376" i="50"/>
  <c r="T376" i="50"/>
  <c r="U376" i="50"/>
  <c r="V376" i="50"/>
  <c r="W376" i="50"/>
  <c r="X376" i="50"/>
  <c r="AO376" i="50"/>
  <c r="AP376" i="50"/>
  <c r="AQ376" i="50"/>
  <c r="AR376" i="50"/>
  <c r="AS376" i="50"/>
  <c r="AT376" i="50"/>
  <c r="AU376" i="50"/>
  <c r="AW376" i="50"/>
  <c r="AX376" i="50"/>
  <c r="AY376" i="50"/>
  <c r="BA376" i="50"/>
  <c r="A377" i="50"/>
  <c r="B377" i="50"/>
  <c r="D377" i="50"/>
  <c r="E377" i="50"/>
  <c r="F377" i="50"/>
  <c r="G377" i="50"/>
  <c r="H377" i="50"/>
  <c r="J377" i="50"/>
  <c r="K377" i="50"/>
  <c r="L377" i="50"/>
  <c r="M377" i="50"/>
  <c r="O377" i="50"/>
  <c r="P377" i="50"/>
  <c r="R377" i="50"/>
  <c r="S377" i="50"/>
  <c r="T377" i="50"/>
  <c r="U377" i="50"/>
  <c r="V377" i="50"/>
  <c r="W377" i="50"/>
  <c r="X377" i="50"/>
  <c r="AO377" i="50"/>
  <c r="AP377" i="50"/>
  <c r="AQ377" i="50"/>
  <c r="AR377" i="50"/>
  <c r="AS377" i="50"/>
  <c r="AT377" i="50"/>
  <c r="AU377" i="50"/>
  <c r="AW377" i="50"/>
  <c r="AX377" i="50"/>
  <c r="AY377" i="50"/>
  <c r="BA377" i="50"/>
  <c r="A378" i="50"/>
  <c r="B378" i="50"/>
  <c r="D378" i="50"/>
  <c r="E378" i="50"/>
  <c r="F378" i="50"/>
  <c r="G378" i="50"/>
  <c r="H378" i="50"/>
  <c r="J378" i="50"/>
  <c r="K378" i="50"/>
  <c r="L378" i="50"/>
  <c r="M378" i="50"/>
  <c r="O378" i="50"/>
  <c r="P378" i="50"/>
  <c r="R378" i="50"/>
  <c r="S378" i="50"/>
  <c r="T378" i="50"/>
  <c r="U378" i="50"/>
  <c r="V378" i="50"/>
  <c r="W378" i="50"/>
  <c r="X378" i="50"/>
  <c r="AO378" i="50"/>
  <c r="AP378" i="50"/>
  <c r="AQ378" i="50"/>
  <c r="AR378" i="50"/>
  <c r="AS378" i="50"/>
  <c r="AT378" i="50"/>
  <c r="AU378" i="50"/>
  <c r="AW378" i="50"/>
  <c r="AX378" i="50"/>
  <c r="AY378" i="50"/>
  <c r="BA378" i="50"/>
  <c r="A379" i="50"/>
  <c r="B379" i="50"/>
  <c r="D379" i="50"/>
  <c r="E379" i="50"/>
  <c r="F379" i="50"/>
  <c r="G379" i="50"/>
  <c r="H379" i="50"/>
  <c r="J379" i="50"/>
  <c r="K379" i="50"/>
  <c r="L379" i="50"/>
  <c r="M379" i="50"/>
  <c r="O379" i="50"/>
  <c r="P379" i="50"/>
  <c r="R379" i="50"/>
  <c r="S379" i="50"/>
  <c r="T379" i="50"/>
  <c r="U379" i="50"/>
  <c r="V379" i="50"/>
  <c r="W379" i="50"/>
  <c r="X379" i="50"/>
  <c r="AO379" i="50"/>
  <c r="AP379" i="50"/>
  <c r="AQ379" i="50"/>
  <c r="AR379" i="50"/>
  <c r="AS379" i="50"/>
  <c r="AT379" i="50"/>
  <c r="AU379" i="50"/>
  <c r="AW379" i="50"/>
  <c r="AX379" i="50"/>
  <c r="AY379" i="50"/>
  <c r="BA379" i="50"/>
  <c r="A380" i="50"/>
  <c r="B380" i="50"/>
  <c r="D380" i="50"/>
  <c r="E380" i="50"/>
  <c r="F380" i="50"/>
  <c r="G380" i="50"/>
  <c r="H380" i="50"/>
  <c r="J380" i="50"/>
  <c r="K380" i="50"/>
  <c r="L380" i="50"/>
  <c r="M380" i="50"/>
  <c r="O380" i="50"/>
  <c r="P380" i="50"/>
  <c r="R380" i="50"/>
  <c r="S380" i="50"/>
  <c r="T380" i="50"/>
  <c r="U380" i="50"/>
  <c r="V380" i="50"/>
  <c r="W380" i="50"/>
  <c r="X380" i="50"/>
  <c r="AO380" i="50"/>
  <c r="AP380" i="50"/>
  <c r="AQ380" i="50"/>
  <c r="AR380" i="50"/>
  <c r="AS380" i="50"/>
  <c r="AT380" i="50"/>
  <c r="AU380" i="50"/>
  <c r="AW380" i="50"/>
  <c r="AX380" i="50"/>
  <c r="AY380" i="50"/>
  <c r="BA380" i="50"/>
  <c r="A381" i="50"/>
  <c r="B381" i="50"/>
  <c r="D381" i="50"/>
  <c r="E381" i="50"/>
  <c r="F381" i="50"/>
  <c r="G381" i="50"/>
  <c r="H381" i="50"/>
  <c r="J381" i="50"/>
  <c r="K381" i="50"/>
  <c r="L381" i="50"/>
  <c r="M381" i="50"/>
  <c r="O381" i="50"/>
  <c r="P381" i="50"/>
  <c r="R381" i="50"/>
  <c r="S381" i="50"/>
  <c r="T381" i="50"/>
  <c r="U381" i="50"/>
  <c r="V381" i="50"/>
  <c r="W381" i="50"/>
  <c r="X381" i="50"/>
  <c r="AO381" i="50"/>
  <c r="AP381" i="50"/>
  <c r="AQ381" i="50"/>
  <c r="AR381" i="50"/>
  <c r="AS381" i="50"/>
  <c r="AT381" i="50"/>
  <c r="AU381" i="50"/>
  <c r="AW381" i="50"/>
  <c r="AX381" i="50"/>
  <c r="AY381" i="50"/>
  <c r="BA381" i="50"/>
  <c r="A382" i="50"/>
  <c r="B382" i="50"/>
  <c r="D382" i="50"/>
  <c r="E382" i="50"/>
  <c r="F382" i="50"/>
  <c r="G382" i="50"/>
  <c r="H382" i="50"/>
  <c r="J382" i="50"/>
  <c r="K382" i="50"/>
  <c r="L382" i="50"/>
  <c r="M382" i="50"/>
  <c r="O382" i="50"/>
  <c r="P382" i="50"/>
  <c r="R382" i="50"/>
  <c r="S382" i="50"/>
  <c r="T382" i="50"/>
  <c r="U382" i="50"/>
  <c r="V382" i="50"/>
  <c r="W382" i="50"/>
  <c r="X382" i="50"/>
  <c r="AO382" i="50"/>
  <c r="AP382" i="50"/>
  <c r="AQ382" i="50"/>
  <c r="AR382" i="50"/>
  <c r="AS382" i="50"/>
  <c r="AT382" i="50"/>
  <c r="AU382" i="50"/>
  <c r="AW382" i="50"/>
  <c r="AX382" i="50"/>
  <c r="AY382" i="50"/>
  <c r="BA382" i="50"/>
  <c r="A383" i="50"/>
  <c r="B383" i="50"/>
  <c r="D383" i="50"/>
  <c r="E383" i="50"/>
  <c r="F383" i="50"/>
  <c r="G383" i="50"/>
  <c r="H383" i="50"/>
  <c r="J383" i="50"/>
  <c r="K383" i="50"/>
  <c r="L383" i="50"/>
  <c r="M383" i="50"/>
  <c r="O383" i="50"/>
  <c r="P383" i="50"/>
  <c r="R383" i="50"/>
  <c r="S383" i="50"/>
  <c r="T383" i="50"/>
  <c r="U383" i="50"/>
  <c r="V383" i="50"/>
  <c r="W383" i="50"/>
  <c r="X383" i="50"/>
  <c r="AO383" i="50"/>
  <c r="AP383" i="50"/>
  <c r="AQ383" i="50"/>
  <c r="AR383" i="50"/>
  <c r="AS383" i="50"/>
  <c r="AT383" i="50"/>
  <c r="AU383" i="50"/>
  <c r="AW383" i="50"/>
  <c r="AX383" i="50"/>
  <c r="AY383" i="50"/>
  <c r="BA383" i="50"/>
  <c r="A384" i="50"/>
  <c r="B384" i="50"/>
  <c r="D384" i="50"/>
  <c r="E384" i="50"/>
  <c r="F384" i="50"/>
  <c r="G384" i="50"/>
  <c r="H384" i="50"/>
  <c r="J384" i="50"/>
  <c r="K384" i="50"/>
  <c r="L384" i="50"/>
  <c r="M384" i="50"/>
  <c r="O384" i="50"/>
  <c r="P384" i="50"/>
  <c r="R384" i="50"/>
  <c r="S384" i="50"/>
  <c r="T384" i="50"/>
  <c r="U384" i="50"/>
  <c r="V384" i="50"/>
  <c r="W384" i="50"/>
  <c r="X384" i="50"/>
  <c r="AO384" i="50"/>
  <c r="AP384" i="50"/>
  <c r="AQ384" i="50"/>
  <c r="AR384" i="50"/>
  <c r="AS384" i="50"/>
  <c r="AT384" i="50"/>
  <c r="AU384" i="50"/>
  <c r="AW384" i="50"/>
  <c r="AX384" i="50"/>
  <c r="AY384" i="50"/>
  <c r="BA384" i="50"/>
  <c r="A385" i="50"/>
  <c r="B385" i="50"/>
  <c r="D385" i="50"/>
  <c r="E385" i="50"/>
  <c r="F385" i="50"/>
  <c r="G385" i="50"/>
  <c r="H385" i="50"/>
  <c r="J385" i="50"/>
  <c r="K385" i="50"/>
  <c r="L385" i="50"/>
  <c r="M385" i="50"/>
  <c r="O385" i="50"/>
  <c r="P385" i="50"/>
  <c r="R385" i="50"/>
  <c r="S385" i="50"/>
  <c r="T385" i="50"/>
  <c r="U385" i="50"/>
  <c r="V385" i="50"/>
  <c r="W385" i="50"/>
  <c r="X385" i="50"/>
  <c r="AO385" i="50"/>
  <c r="AP385" i="50"/>
  <c r="AQ385" i="50"/>
  <c r="AR385" i="50"/>
  <c r="AS385" i="50"/>
  <c r="AT385" i="50"/>
  <c r="AU385" i="50"/>
  <c r="AW385" i="50"/>
  <c r="AX385" i="50"/>
  <c r="AY385" i="50"/>
  <c r="BA385" i="50"/>
  <c r="A386" i="50"/>
  <c r="B386" i="50"/>
  <c r="D386" i="50"/>
  <c r="E386" i="50"/>
  <c r="F386" i="50"/>
  <c r="G386" i="50"/>
  <c r="H386" i="50"/>
  <c r="J386" i="50"/>
  <c r="K386" i="50"/>
  <c r="L386" i="50"/>
  <c r="M386" i="50"/>
  <c r="O386" i="50"/>
  <c r="P386" i="50"/>
  <c r="R386" i="50"/>
  <c r="S386" i="50"/>
  <c r="T386" i="50"/>
  <c r="U386" i="50"/>
  <c r="V386" i="50"/>
  <c r="W386" i="50"/>
  <c r="X386" i="50"/>
  <c r="AO386" i="50"/>
  <c r="AP386" i="50"/>
  <c r="AQ386" i="50"/>
  <c r="AR386" i="50"/>
  <c r="AS386" i="50"/>
  <c r="AT386" i="50"/>
  <c r="AU386" i="50"/>
  <c r="AW386" i="50"/>
  <c r="AX386" i="50"/>
  <c r="AY386" i="50"/>
  <c r="BA386" i="50"/>
  <c r="A387" i="50"/>
  <c r="B387" i="50"/>
  <c r="D387" i="50"/>
  <c r="E387" i="50"/>
  <c r="F387" i="50"/>
  <c r="G387" i="50"/>
  <c r="H387" i="50"/>
  <c r="J387" i="50"/>
  <c r="K387" i="50"/>
  <c r="L387" i="50"/>
  <c r="M387" i="50"/>
  <c r="O387" i="50"/>
  <c r="P387" i="50"/>
  <c r="R387" i="50"/>
  <c r="S387" i="50"/>
  <c r="T387" i="50"/>
  <c r="U387" i="50"/>
  <c r="V387" i="50"/>
  <c r="W387" i="50"/>
  <c r="X387" i="50"/>
  <c r="AO387" i="50"/>
  <c r="AP387" i="50"/>
  <c r="AQ387" i="50"/>
  <c r="AR387" i="50"/>
  <c r="AS387" i="50"/>
  <c r="AT387" i="50"/>
  <c r="AU387" i="50"/>
  <c r="AW387" i="50"/>
  <c r="AX387" i="50"/>
  <c r="AY387" i="50"/>
  <c r="BA387" i="50"/>
  <c r="A388" i="50"/>
  <c r="B388" i="50"/>
  <c r="D388" i="50"/>
  <c r="E388" i="50"/>
  <c r="F388" i="50"/>
  <c r="G388" i="50"/>
  <c r="H388" i="50"/>
  <c r="J388" i="50"/>
  <c r="K388" i="50"/>
  <c r="L388" i="50"/>
  <c r="M388" i="50"/>
  <c r="O388" i="50"/>
  <c r="P388" i="50"/>
  <c r="R388" i="50"/>
  <c r="S388" i="50"/>
  <c r="T388" i="50"/>
  <c r="U388" i="50"/>
  <c r="V388" i="50"/>
  <c r="W388" i="50"/>
  <c r="X388" i="50"/>
  <c r="AO388" i="50"/>
  <c r="AP388" i="50"/>
  <c r="AQ388" i="50"/>
  <c r="AR388" i="50"/>
  <c r="AS388" i="50"/>
  <c r="AT388" i="50"/>
  <c r="AU388" i="50"/>
  <c r="AW388" i="50"/>
  <c r="AX388" i="50"/>
  <c r="AY388" i="50"/>
  <c r="BA388" i="50"/>
  <c r="A389" i="50"/>
  <c r="B389" i="50"/>
  <c r="D389" i="50"/>
  <c r="E389" i="50"/>
  <c r="F389" i="50"/>
  <c r="G389" i="50"/>
  <c r="H389" i="50"/>
  <c r="J389" i="50"/>
  <c r="K389" i="50"/>
  <c r="L389" i="50"/>
  <c r="M389" i="50"/>
  <c r="O389" i="50"/>
  <c r="P389" i="50"/>
  <c r="R389" i="50"/>
  <c r="S389" i="50"/>
  <c r="T389" i="50"/>
  <c r="U389" i="50"/>
  <c r="V389" i="50"/>
  <c r="W389" i="50"/>
  <c r="X389" i="50"/>
  <c r="AO389" i="50"/>
  <c r="AP389" i="50"/>
  <c r="AQ389" i="50"/>
  <c r="AR389" i="50"/>
  <c r="AS389" i="50"/>
  <c r="AT389" i="50"/>
  <c r="AU389" i="50"/>
  <c r="AW389" i="50"/>
  <c r="AX389" i="50"/>
  <c r="AY389" i="50"/>
  <c r="BA389" i="50"/>
  <c r="A390" i="50"/>
  <c r="B390" i="50"/>
  <c r="D390" i="50"/>
  <c r="E390" i="50"/>
  <c r="F390" i="50"/>
  <c r="G390" i="50"/>
  <c r="H390" i="50"/>
  <c r="J390" i="50"/>
  <c r="K390" i="50"/>
  <c r="L390" i="50"/>
  <c r="M390" i="50"/>
  <c r="O390" i="50"/>
  <c r="P390" i="50"/>
  <c r="R390" i="50"/>
  <c r="S390" i="50"/>
  <c r="T390" i="50"/>
  <c r="U390" i="50"/>
  <c r="V390" i="50"/>
  <c r="W390" i="50"/>
  <c r="X390" i="50"/>
  <c r="AO390" i="50"/>
  <c r="AP390" i="50"/>
  <c r="AQ390" i="50"/>
  <c r="AR390" i="50"/>
  <c r="AS390" i="50"/>
  <c r="AT390" i="50"/>
  <c r="AU390" i="50"/>
  <c r="AW390" i="50"/>
  <c r="AX390" i="50"/>
  <c r="AY390" i="50"/>
  <c r="BA390" i="50"/>
  <c r="A391" i="50"/>
  <c r="B391" i="50"/>
  <c r="D391" i="50"/>
  <c r="E391" i="50"/>
  <c r="F391" i="50"/>
  <c r="G391" i="50"/>
  <c r="H391" i="50"/>
  <c r="J391" i="50"/>
  <c r="K391" i="50"/>
  <c r="L391" i="50"/>
  <c r="M391" i="50"/>
  <c r="O391" i="50"/>
  <c r="P391" i="50"/>
  <c r="R391" i="50"/>
  <c r="S391" i="50"/>
  <c r="T391" i="50"/>
  <c r="U391" i="50"/>
  <c r="V391" i="50"/>
  <c r="W391" i="50"/>
  <c r="X391" i="50"/>
  <c r="AO391" i="50"/>
  <c r="AP391" i="50"/>
  <c r="AQ391" i="50"/>
  <c r="AR391" i="50"/>
  <c r="AS391" i="50"/>
  <c r="AT391" i="50"/>
  <c r="AU391" i="50"/>
  <c r="AW391" i="50"/>
  <c r="AX391" i="50"/>
  <c r="AY391" i="50"/>
  <c r="BA391" i="50"/>
  <c r="A392" i="50"/>
  <c r="B392" i="50"/>
  <c r="D392" i="50"/>
  <c r="E392" i="50"/>
  <c r="F392" i="50"/>
  <c r="G392" i="50"/>
  <c r="H392" i="50"/>
  <c r="J392" i="50"/>
  <c r="K392" i="50"/>
  <c r="L392" i="50"/>
  <c r="M392" i="50"/>
  <c r="O392" i="50"/>
  <c r="P392" i="50"/>
  <c r="R392" i="50"/>
  <c r="S392" i="50"/>
  <c r="T392" i="50"/>
  <c r="U392" i="50"/>
  <c r="V392" i="50"/>
  <c r="W392" i="50"/>
  <c r="X392" i="50"/>
  <c r="AO392" i="50"/>
  <c r="AP392" i="50"/>
  <c r="AQ392" i="50"/>
  <c r="AR392" i="50"/>
  <c r="AS392" i="50"/>
  <c r="AT392" i="50"/>
  <c r="AU392" i="50"/>
  <c r="AW392" i="50"/>
  <c r="AX392" i="50"/>
  <c r="AY392" i="50"/>
  <c r="BA392" i="50"/>
  <c r="A393" i="50"/>
  <c r="B393" i="50"/>
  <c r="D393" i="50"/>
  <c r="E393" i="50"/>
  <c r="F393" i="50"/>
  <c r="G393" i="50"/>
  <c r="H393" i="50"/>
  <c r="J393" i="50"/>
  <c r="K393" i="50"/>
  <c r="L393" i="50"/>
  <c r="M393" i="50"/>
  <c r="O393" i="50"/>
  <c r="P393" i="50"/>
  <c r="R393" i="50"/>
  <c r="S393" i="50"/>
  <c r="T393" i="50"/>
  <c r="U393" i="50"/>
  <c r="V393" i="50"/>
  <c r="W393" i="50"/>
  <c r="X393" i="50"/>
  <c r="AO393" i="50"/>
  <c r="AP393" i="50"/>
  <c r="AQ393" i="50"/>
  <c r="AR393" i="50"/>
  <c r="AS393" i="50"/>
  <c r="AT393" i="50"/>
  <c r="AU393" i="50"/>
  <c r="AW393" i="50"/>
  <c r="AX393" i="50"/>
  <c r="AY393" i="50"/>
  <c r="BA393" i="50"/>
  <c r="A394" i="50"/>
  <c r="B394" i="50"/>
  <c r="D394" i="50"/>
  <c r="E394" i="50"/>
  <c r="F394" i="50"/>
  <c r="G394" i="50"/>
  <c r="H394" i="50"/>
  <c r="J394" i="50"/>
  <c r="K394" i="50"/>
  <c r="L394" i="50"/>
  <c r="M394" i="50"/>
  <c r="O394" i="50"/>
  <c r="P394" i="50"/>
  <c r="R394" i="50"/>
  <c r="S394" i="50"/>
  <c r="T394" i="50"/>
  <c r="U394" i="50"/>
  <c r="V394" i="50"/>
  <c r="W394" i="50"/>
  <c r="X394" i="50"/>
  <c r="AO394" i="50"/>
  <c r="AP394" i="50"/>
  <c r="AQ394" i="50"/>
  <c r="AR394" i="50"/>
  <c r="AS394" i="50"/>
  <c r="AT394" i="50"/>
  <c r="AU394" i="50"/>
  <c r="AW394" i="50"/>
  <c r="AX394" i="50"/>
  <c r="AY394" i="50"/>
  <c r="BA394" i="50"/>
  <c r="A395" i="50"/>
  <c r="B395" i="50"/>
  <c r="D395" i="50"/>
  <c r="E395" i="50"/>
  <c r="F395" i="50"/>
  <c r="G395" i="50"/>
  <c r="H395" i="50"/>
  <c r="J395" i="50"/>
  <c r="K395" i="50"/>
  <c r="L395" i="50"/>
  <c r="M395" i="50"/>
  <c r="O395" i="50"/>
  <c r="P395" i="50"/>
  <c r="R395" i="50"/>
  <c r="S395" i="50"/>
  <c r="T395" i="50"/>
  <c r="U395" i="50"/>
  <c r="V395" i="50"/>
  <c r="W395" i="50"/>
  <c r="X395" i="50"/>
  <c r="AO395" i="50"/>
  <c r="AP395" i="50"/>
  <c r="AQ395" i="50"/>
  <c r="AR395" i="50"/>
  <c r="AS395" i="50"/>
  <c r="AT395" i="50"/>
  <c r="AU395" i="50"/>
  <c r="AW395" i="50"/>
  <c r="AX395" i="50"/>
  <c r="AY395" i="50"/>
  <c r="BA395" i="50"/>
  <c r="A396" i="50"/>
  <c r="B396" i="50"/>
  <c r="D396" i="50"/>
  <c r="E396" i="50"/>
  <c r="F396" i="50"/>
  <c r="G396" i="50"/>
  <c r="H396" i="50"/>
  <c r="J396" i="50"/>
  <c r="K396" i="50"/>
  <c r="L396" i="50"/>
  <c r="M396" i="50"/>
  <c r="O396" i="50"/>
  <c r="P396" i="50"/>
  <c r="R396" i="50"/>
  <c r="S396" i="50"/>
  <c r="T396" i="50"/>
  <c r="U396" i="50"/>
  <c r="V396" i="50"/>
  <c r="W396" i="50"/>
  <c r="X396" i="50"/>
  <c r="AO396" i="50"/>
  <c r="AP396" i="50"/>
  <c r="AQ396" i="50"/>
  <c r="AR396" i="50"/>
  <c r="AS396" i="50"/>
  <c r="AT396" i="50"/>
  <c r="AU396" i="50"/>
  <c r="AW396" i="50"/>
  <c r="AX396" i="50"/>
  <c r="AY396" i="50"/>
  <c r="BA396" i="50"/>
  <c r="A397" i="50"/>
  <c r="B397" i="50"/>
  <c r="D397" i="50"/>
  <c r="E397" i="50"/>
  <c r="F397" i="50"/>
  <c r="G397" i="50"/>
  <c r="H397" i="50"/>
  <c r="J397" i="50"/>
  <c r="K397" i="50"/>
  <c r="L397" i="50"/>
  <c r="M397" i="50"/>
  <c r="O397" i="50"/>
  <c r="P397" i="50"/>
  <c r="R397" i="50"/>
  <c r="S397" i="50"/>
  <c r="T397" i="50"/>
  <c r="U397" i="50"/>
  <c r="V397" i="50"/>
  <c r="W397" i="50"/>
  <c r="X397" i="50"/>
  <c r="AO397" i="50"/>
  <c r="AP397" i="50"/>
  <c r="AQ397" i="50"/>
  <c r="AR397" i="50"/>
  <c r="AS397" i="50"/>
  <c r="AT397" i="50"/>
  <c r="AU397" i="50"/>
  <c r="AW397" i="50"/>
  <c r="AX397" i="50"/>
  <c r="AY397" i="50"/>
  <c r="BA397" i="50"/>
  <c r="A398" i="50"/>
  <c r="B398" i="50"/>
  <c r="D398" i="50"/>
  <c r="E398" i="50"/>
  <c r="F398" i="50"/>
  <c r="G398" i="50"/>
  <c r="H398" i="50"/>
  <c r="J398" i="50"/>
  <c r="K398" i="50"/>
  <c r="L398" i="50"/>
  <c r="M398" i="50"/>
  <c r="O398" i="50"/>
  <c r="P398" i="50"/>
  <c r="R398" i="50"/>
  <c r="S398" i="50"/>
  <c r="T398" i="50"/>
  <c r="U398" i="50"/>
  <c r="V398" i="50"/>
  <c r="W398" i="50"/>
  <c r="X398" i="50"/>
  <c r="AO398" i="50"/>
  <c r="AP398" i="50"/>
  <c r="AQ398" i="50"/>
  <c r="AR398" i="50"/>
  <c r="AS398" i="50"/>
  <c r="AT398" i="50"/>
  <c r="AU398" i="50"/>
  <c r="AW398" i="50"/>
  <c r="AX398" i="50"/>
  <c r="AY398" i="50"/>
  <c r="BA398" i="50"/>
  <c r="A399" i="50"/>
  <c r="B399" i="50"/>
  <c r="D399" i="50"/>
  <c r="E399" i="50"/>
  <c r="F399" i="50"/>
  <c r="G399" i="50"/>
  <c r="H399" i="50"/>
  <c r="J399" i="50"/>
  <c r="K399" i="50"/>
  <c r="L399" i="50"/>
  <c r="M399" i="50"/>
  <c r="O399" i="50"/>
  <c r="P399" i="50"/>
  <c r="R399" i="50"/>
  <c r="S399" i="50"/>
  <c r="T399" i="50"/>
  <c r="U399" i="50"/>
  <c r="V399" i="50"/>
  <c r="W399" i="50"/>
  <c r="X399" i="50"/>
  <c r="AO399" i="50"/>
  <c r="AP399" i="50"/>
  <c r="AQ399" i="50"/>
  <c r="AR399" i="50"/>
  <c r="AS399" i="50"/>
  <c r="AT399" i="50"/>
  <c r="AU399" i="50"/>
  <c r="AW399" i="50"/>
  <c r="AX399" i="50"/>
  <c r="AY399" i="50"/>
  <c r="BA399" i="50"/>
  <c r="A400" i="50"/>
  <c r="B400" i="50"/>
  <c r="D400" i="50"/>
  <c r="E400" i="50"/>
  <c r="F400" i="50"/>
  <c r="G400" i="50"/>
  <c r="H400" i="50"/>
  <c r="J400" i="50"/>
  <c r="K400" i="50"/>
  <c r="L400" i="50"/>
  <c r="M400" i="50"/>
  <c r="O400" i="50"/>
  <c r="P400" i="50"/>
  <c r="R400" i="50"/>
  <c r="S400" i="50"/>
  <c r="T400" i="50"/>
  <c r="U400" i="50"/>
  <c r="V400" i="50"/>
  <c r="W400" i="50"/>
  <c r="X400" i="50"/>
  <c r="AO400" i="50"/>
  <c r="AP400" i="50"/>
  <c r="AQ400" i="50"/>
  <c r="AR400" i="50"/>
  <c r="AS400" i="50"/>
  <c r="AT400" i="50"/>
  <c r="AU400" i="50"/>
  <c r="AW400" i="50"/>
  <c r="AX400" i="50"/>
  <c r="AY400" i="50"/>
  <c r="BA400" i="50"/>
  <c r="A401" i="50"/>
  <c r="B401" i="50"/>
  <c r="D401" i="50"/>
  <c r="E401" i="50"/>
  <c r="F401" i="50"/>
  <c r="G401" i="50"/>
  <c r="H401" i="50"/>
  <c r="J401" i="50"/>
  <c r="K401" i="50"/>
  <c r="L401" i="50"/>
  <c r="M401" i="50"/>
  <c r="O401" i="50"/>
  <c r="P401" i="50"/>
  <c r="R401" i="50"/>
  <c r="S401" i="50"/>
  <c r="T401" i="50"/>
  <c r="U401" i="50"/>
  <c r="V401" i="50"/>
  <c r="W401" i="50"/>
  <c r="X401" i="50"/>
  <c r="AO401" i="50"/>
  <c r="AP401" i="50"/>
  <c r="AQ401" i="50"/>
  <c r="AR401" i="50"/>
  <c r="AS401" i="50"/>
  <c r="AT401" i="50"/>
  <c r="AU401" i="50"/>
  <c r="AW401" i="50"/>
  <c r="AX401" i="50"/>
  <c r="AY401" i="50"/>
  <c r="BA401" i="50"/>
  <c r="A402" i="50"/>
  <c r="B402" i="50"/>
  <c r="D402" i="50"/>
  <c r="E402" i="50"/>
  <c r="F402" i="50"/>
  <c r="G402" i="50"/>
  <c r="H402" i="50"/>
  <c r="J402" i="50"/>
  <c r="K402" i="50"/>
  <c r="L402" i="50"/>
  <c r="M402" i="50"/>
  <c r="O402" i="50"/>
  <c r="P402" i="50"/>
  <c r="R402" i="50"/>
  <c r="S402" i="50"/>
  <c r="T402" i="50"/>
  <c r="U402" i="50"/>
  <c r="V402" i="50"/>
  <c r="W402" i="50"/>
  <c r="X402" i="50"/>
  <c r="AO402" i="50"/>
  <c r="AP402" i="50"/>
  <c r="AQ402" i="50"/>
  <c r="AR402" i="50"/>
  <c r="AS402" i="50"/>
  <c r="AT402" i="50"/>
  <c r="AU402" i="50"/>
  <c r="AW402" i="50"/>
  <c r="AX402" i="50"/>
  <c r="AY402" i="50"/>
  <c r="BA402" i="50"/>
  <c r="A403" i="50"/>
  <c r="B403" i="50"/>
  <c r="D403" i="50"/>
  <c r="E403" i="50"/>
  <c r="F403" i="50"/>
  <c r="G403" i="50"/>
  <c r="H403" i="50"/>
  <c r="J403" i="50"/>
  <c r="K403" i="50"/>
  <c r="L403" i="50"/>
  <c r="M403" i="50"/>
  <c r="O403" i="50"/>
  <c r="P403" i="50"/>
  <c r="R403" i="50"/>
  <c r="S403" i="50"/>
  <c r="T403" i="50"/>
  <c r="U403" i="50"/>
  <c r="V403" i="50"/>
  <c r="W403" i="50"/>
  <c r="X403" i="50"/>
  <c r="AO403" i="50"/>
  <c r="AP403" i="50"/>
  <c r="AQ403" i="50"/>
  <c r="AR403" i="50"/>
  <c r="AS403" i="50"/>
  <c r="AT403" i="50"/>
  <c r="AU403" i="50"/>
  <c r="AW403" i="50"/>
  <c r="AX403" i="50"/>
  <c r="AY403" i="50"/>
  <c r="BA403" i="50"/>
  <c r="A404" i="50"/>
  <c r="B404" i="50"/>
  <c r="D404" i="50"/>
  <c r="E404" i="50"/>
  <c r="F404" i="50"/>
  <c r="G404" i="50"/>
  <c r="H404" i="50"/>
  <c r="J404" i="50"/>
  <c r="K404" i="50"/>
  <c r="L404" i="50"/>
  <c r="M404" i="50"/>
  <c r="O404" i="50"/>
  <c r="P404" i="50"/>
  <c r="R404" i="50"/>
  <c r="S404" i="50"/>
  <c r="T404" i="50"/>
  <c r="U404" i="50"/>
  <c r="V404" i="50"/>
  <c r="W404" i="50"/>
  <c r="X404" i="50"/>
  <c r="AO404" i="50"/>
  <c r="AP404" i="50"/>
  <c r="AQ404" i="50"/>
  <c r="AR404" i="50"/>
  <c r="AS404" i="50"/>
  <c r="AT404" i="50"/>
  <c r="AU404" i="50"/>
  <c r="AW404" i="50"/>
  <c r="AX404" i="50"/>
  <c r="AY404" i="50"/>
  <c r="BA404" i="50"/>
  <c r="A405" i="50"/>
  <c r="B405" i="50"/>
  <c r="D405" i="50"/>
  <c r="E405" i="50"/>
  <c r="F405" i="50"/>
  <c r="G405" i="50"/>
  <c r="H405" i="50"/>
  <c r="J405" i="50"/>
  <c r="K405" i="50"/>
  <c r="L405" i="50"/>
  <c r="M405" i="50"/>
  <c r="O405" i="50"/>
  <c r="P405" i="50"/>
  <c r="R405" i="50"/>
  <c r="S405" i="50"/>
  <c r="T405" i="50"/>
  <c r="U405" i="50"/>
  <c r="V405" i="50"/>
  <c r="W405" i="50"/>
  <c r="X405" i="50"/>
  <c r="AO405" i="50"/>
  <c r="AP405" i="50"/>
  <c r="AQ405" i="50"/>
  <c r="AR405" i="50"/>
  <c r="AS405" i="50"/>
  <c r="AT405" i="50"/>
  <c r="AU405" i="50"/>
  <c r="AW405" i="50"/>
  <c r="AX405" i="50"/>
  <c r="AY405" i="50"/>
  <c r="BA405" i="50"/>
  <c r="A406" i="50"/>
  <c r="B406" i="50"/>
  <c r="D406" i="50"/>
  <c r="E406" i="50"/>
  <c r="F406" i="50"/>
  <c r="G406" i="50"/>
  <c r="H406" i="50"/>
  <c r="J406" i="50"/>
  <c r="K406" i="50"/>
  <c r="L406" i="50"/>
  <c r="M406" i="50"/>
  <c r="O406" i="50"/>
  <c r="P406" i="50"/>
  <c r="R406" i="50"/>
  <c r="S406" i="50"/>
  <c r="T406" i="50"/>
  <c r="U406" i="50"/>
  <c r="V406" i="50"/>
  <c r="W406" i="50"/>
  <c r="X406" i="50"/>
  <c r="AO406" i="50"/>
  <c r="AP406" i="50"/>
  <c r="AQ406" i="50"/>
  <c r="AR406" i="50"/>
  <c r="AS406" i="50"/>
  <c r="AT406" i="50"/>
  <c r="AU406" i="50"/>
  <c r="AW406" i="50"/>
  <c r="AX406" i="50"/>
  <c r="AY406" i="50"/>
  <c r="BA406" i="50"/>
  <c r="A407" i="50"/>
  <c r="B407" i="50"/>
  <c r="D407" i="50"/>
  <c r="E407" i="50"/>
  <c r="F407" i="50"/>
  <c r="G407" i="50"/>
  <c r="H407" i="50"/>
  <c r="J407" i="50"/>
  <c r="K407" i="50"/>
  <c r="L407" i="50"/>
  <c r="M407" i="50"/>
  <c r="O407" i="50"/>
  <c r="P407" i="50"/>
  <c r="R407" i="50"/>
  <c r="S407" i="50"/>
  <c r="T407" i="50"/>
  <c r="U407" i="50"/>
  <c r="V407" i="50"/>
  <c r="W407" i="50"/>
  <c r="X407" i="50"/>
  <c r="AO407" i="50"/>
  <c r="AP407" i="50"/>
  <c r="AQ407" i="50"/>
  <c r="AR407" i="50"/>
  <c r="AS407" i="50"/>
  <c r="AT407" i="50"/>
  <c r="AU407" i="50"/>
  <c r="AW407" i="50"/>
  <c r="AX407" i="50"/>
  <c r="AY407" i="50"/>
  <c r="BA407" i="50"/>
  <c r="A408" i="50"/>
  <c r="B408" i="50"/>
  <c r="D408" i="50"/>
  <c r="E408" i="50"/>
  <c r="F408" i="50"/>
  <c r="G408" i="50"/>
  <c r="H408" i="50"/>
  <c r="J408" i="50"/>
  <c r="K408" i="50"/>
  <c r="L408" i="50"/>
  <c r="M408" i="50"/>
  <c r="O408" i="50"/>
  <c r="P408" i="50"/>
  <c r="R408" i="50"/>
  <c r="S408" i="50"/>
  <c r="T408" i="50"/>
  <c r="U408" i="50"/>
  <c r="V408" i="50"/>
  <c r="W408" i="50"/>
  <c r="X408" i="50"/>
  <c r="AO408" i="50"/>
  <c r="AP408" i="50"/>
  <c r="AQ408" i="50"/>
  <c r="AR408" i="50"/>
  <c r="AS408" i="50"/>
  <c r="AT408" i="50"/>
  <c r="AU408" i="50"/>
  <c r="AW408" i="50"/>
  <c r="AX408" i="50"/>
  <c r="AY408" i="50"/>
  <c r="BA408" i="50"/>
  <c r="A409" i="50"/>
  <c r="B409" i="50"/>
  <c r="D409" i="50"/>
  <c r="E409" i="50"/>
  <c r="F409" i="50"/>
  <c r="G409" i="50"/>
  <c r="H409" i="50"/>
  <c r="J409" i="50"/>
  <c r="K409" i="50"/>
  <c r="L409" i="50"/>
  <c r="M409" i="50"/>
  <c r="O409" i="50"/>
  <c r="P409" i="50"/>
  <c r="R409" i="50"/>
  <c r="S409" i="50"/>
  <c r="T409" i="50"/>
  <c r="U409" i="50"/>
  <c r="V409" i="50"/>
  <c r="W409" i="50"/>
  <c r="X409" i="50"/>
  <c r="AO409" i="50"/>
  <c r="AP409" i="50"/>
  <c r="AQ409" i="50"/>
  <c r="AR409" i="50"/>
  <c r="AS409" i="50"/>
  <c r="AT409" i="50"/>
  <c r="AU409" i="50"/>
  <c r="AW409" i="50"/>
  <c r="AX409" i="50"/>
  <c r="AY409" i="50"/>
  <c r="BA409" i="50"/>
  <c r="A410" i="50"/>
  <c r="B410" i="50"/>
  <c r="D410" i="50"/>
  <c r="E410" i="50"/>
  <c r="F410" i="50"/>
  <c r="G410" i="50"/>
  <c r="H410" i="50"/>
  <c r="J410" i="50"/>
  <c r="K410" i="50"/>
  <c r="L410" i="50"/>
  <c r="M410" i="50"/>
  <c r="O410" i="50"/>
  <c r="P410" i="50"/>
  <c r="R410" i="50"/>
  <c r="S410" i="50"/>
  <c r="T410" i="50"/>
  <c r="U410" i="50"/>
  <c r="V410" i="50"/>
  <c r="W410" i="50"/>
  <c r="X410" i="50"/>
  <c r="AO410" i="50"/>
  <c r="AP410" i="50"/>
  <c r="AQ410" i="50"/>
  <c r="AR410" i="50"/>
  <c r="AS410" i="50"/>
  <c r="AT410" i="50"/>
  <c r="AU410" i="50"/>
  <c r="AW410" i="50"/>
  <c r="AX410" i="50"/>
  <c r="AY410" i="50"/>
  <c r="BA410" i="50"/>
  <c r="A411" i="50"/>
  <c r="B411" i="50"/>
  <c r="D411" i="50"/>
  <c r="E411" i="50"/>
  <c r="F411" i="50"/>
  <c r="G411" i="50"/>
  <c r="H411" i="50"/>
  <c r="J411" i="50"/>
  <c r="K411" i="50"/>
  <c r="L411" i="50"/>
  <c r="M411" i="50"/>
  <c r="O411" i="50"/>
  <c r="P411" i="50"/>
  <c r="R411" i="50"/>
  <c r="S411" i="50"/>
  <c r="T411" i="50"/>
  <c r="U411" i="50"/>
  <c r="V411" i="50"/>
  <c r="W411" i="50"/>
  <c r="X411" i="50"/>
  <c r="AO411" i="50"/>
  <c r="AP411" i="50"/>
  <c r="AQ411" i="50"/>
  <c r="AR411" i="50"/>
  <c r="AS411" i="50"/>
  <c r="AT411" i="50"/>
  <c r="AU411" i="50"/>
  <c r="AW411" i="50"/>
  <c r="AX411" i="50"/>
  <c r="AY411" i="50"/>
  <c r="BA411" i="50"/>
  <c r="A412" i="50"/>
  <c r="B412" i="50"/>
  <c r="D412" i="50"/>
  <c r="E412" i="50"/>
  <c r="F412" i="50"/>
  <c r="G412" i="50"/>
  <c r="H412" i="50"/>
  <c r="J412" i="50"/>
  <c r="K412" i="50"/>
  <c r="L412" i="50"/>
  <c r="M412" i="50"/>
  <c r="O412" i="50"/>
  <c r="P412" i="50"/>
  <c r="R412" i="50"/>
  <c r="S412" i="50"/>
  <c r="T412" i="50"/>
  <c r="U412" i="50"/>
  <c r="V412" i="50"/>
  <c r="W412" i="50"/>
  <c r="X412" i="50"/>
  <c r="AO412" i="50"/>
  <c r="AP412" i="50"/>
  <c r="AQ412" i="50"/>
  <c r="AR412" i="50"/>
  <c r="AS412" i="50"/>
  <c r="AT412" i="50"/>
  <c r="AU412" i="50"/>
  <c r="AW412" i="50"/>
  <c r="AX412" i="50"/>
  <c r="AY412" i="50"/>
  <c r="BA412" i="50"/>
  <c r="A413" i="50"/>
  <c r="B413" i="50"/>
  <c r="D413" i="50"/>
  <c r="E413" i="50"/>
  <c r="F413" i="50"/>
  <c r="G413" i="50"/>
  <c r="H413" i="50"/>
  <c r="J413" i="50"/>
  <c r="K413" i="50"/>
  <c r="L413" i="50"/>
  <c r="M413" i="50"/>
  <c r="O413" i="50"/>
  <c r="P413" i="50"/>
  <c r="R413" i="50"/>
  <c r="S413" i="50"/>
  <c r="T413" i="50"/>
  <c r="U413" i="50"/>
  <c r="V413" i="50"/>
  <c r="W413" i="50"/>
  <c r="X413" i="50"/>
  <c r="AO413" i="50"/>
  <c r="AP413" i="50"/>
  <c r="AQ413" i="50"/>
  <c r="AR413" i="50"/>
  <c r="AS413" i="50"/>
  <c r="AT413" i="50"/>
  <c r="AU413" i="50"/>
  <c r="AW413" i="50"/>
  <c r="AX413" i="50"/>
  <c r="AY413" i="50"/>
  <c r="BA413" i="50"/>
  <c r="A414" i="50"/>
  <c r="B414" i="50"/>
  <c r="D414" i="50"/>
  <c r="E414" i="50"/>
  <c r="F414" i="50"/>
  <c r="G414" i="50"/>
  <c r="H414" i="50"/>
  <c r="J414" i="50"/>
  <c r="K414" i="50"/>
  <c r="L414" i="50"/>
  <c r="M414" i="50"/>
  <c r="O414" i="50"/>
  <c r="P414" i="50"/>
  <c r="R414" i="50"/>
  <c r="S414" i="50"/>
  <c r="T414" i="50"/>
  <c r="U414" i="50"/>
  <c r="V414" i="50"/>
  <c r="W414" i="50"/>
  <c r="X414" i="50"/>
  <c r="AO414" i="50"/>
  <c r="AP414" i="50"/>
  <c r="AQ414" i="50"/>
  <c r="AR414" i="50"/>
  <c r="AS414" i="50"/>
  <c r="AT414" i="50"/>
  <c r="AU414" i="50"/>
  <c r="AW414" i="50"/>
  <c r="AX414" i="50"/>
  <c r="AY414" i="50"/>
  <c r="BA414" i="50"/>
  <c r="A415" i="50"/>
  <c r="B415" i="50"/>
  <c r="D415" i="50"/>
  <c r="E415" i="50"/>
  <c r="F415" i="50"/>
  <c r="G415" i="50"/>
  <c r="H415" i="50"/>
  <c r="J415" i="50"/>
  <c r="K415" i="50"/>
  <c r="L415" i="50"/>
  <c r="M415" i="50"/>
  <c r="O415" i="50"/>
  <c r="P415" i="50"/>
  <c r="R415" i="50"/>
  <c r="S415" i="50"/>
  <c r="T415" i="50"/>
  <c r="U415" i="50"/>
  <c r="V415" i="50"/>
  <c r="W415" i="50"/>
  <c r="X415" i="50"/>
  <c r="AO415" i="50"/>
  <c r="AP415" i="50"/>
  <c r="AQ415" i="50"/>
  <c r="AR415" i="50"/>
  <c r="AS415" i="50"/>
  <c r="AT415" i="50"/>
  <c r="AU415" i="50"/>
  <c r="AW415" i="50"/>
  <c r="AX415" i="50"/>
  <c r="AY415" i="50"/>
  <c r="BA415" i="50"/>
  <c r="A416" i="50"/>
  <c r="B416" i="50"/>
  <c r="D416" i="50"/>
  <c r="E416" i="50"/>
  <c r="F416" i="50"/>
  <c r="G416" i="50"/>
  <c r="H416" i="50"/>
  <c r="J416" i="50"/>
  <c r="K416" i="50"/>
  <c r="L416" i="50"/>
  <c r="M416" i="50"/>
  <c r="O416" i="50"/>
  <c r="P416" i="50"/>
  <c r="R416" i="50"/>
  <c r="S416" i="50"/>
  <c r="T416" i="50"/>
  <c r="U416" i="50"/>
  <c r="V416" i="50"/>
  <c r="W416" i="50"/>
  <c r="X416" i="50"/>
  <c r="AO416" i="50"/>
  <c r="AP416" i="50"/>
  <c r="AQ416" i="50"/>
  <c r="AR416" i="50"/>
  <c r="AS416" i="50"/>
  <c r="AT416" i="50"/>
  <c r="AU416" i="50"/>
  <c r="AW416" i="50"/>
  <c r="AX416" i="50"/>
  <c r="AY416" i="50"/>
  <c r="BA416" i="50"/>
  <c r="A417" i="50"/>
  <c r="B417" i="50"/>
  <c r="D417" i="50"/>
  <c r="E417" i="50"/>
  <c r="F417" i="50"/>
  <c r="G417" i="50"/>
  <c r="H417" i="50"/>
  <c r="J417" i="50"/>
  <c r="K417" i="50"/>
  <c r="L417" i="50"/>
  <c r="M417" i="50"/>
  <c r="O417" i="50"/>
  <c r="P417" i="50"/>
  <c r="R417" i="50"/>
  <c r="S417" i="50"/>
  <c r="T417" i="50"/>
  <c r="U417" i="50"/>
  <c r="V417" i="50"/>
  <c r="W417" i="50"/>
  <c r="X417" i="50"/>
  <c r="AO417" i="50"/>
  <c r="AP417" i="50"/>
  <c r="AQ417" i="50"/>
  <c r="AR417" i="50"/>
  <c r="AS417" i="50"/>
  <c r="AT417" i="50"/>
  <c r="AU417" i="50"/>
  <c r="AW417" i="50"/>
  <c r="AX417" i="50"/>
  <c r="AY417" i="50"/>
  <c r="BA417" i="50"/>
  <c r="A418" i="50"/>
  <c r="B418" i="50"/>
  <c r="D418" i="50"/>
  <c r="E418" i="50"/>
  <c r="F418" i="50"/>
  <c r="G418" i="50"/>
  <c r="H418" i="50"/>
  <c r="J418" i="50"/>
  <c r="K418" i="50"/>
  <c r="L418" i="50"/>
  <c r="M418" i="50"/>
  <c r="O418" i="50"/>
  <c r="P418" i="50"/>
  <c r="R418" i="50"/>
  <c r="S418" i="50"/>
  <c r="T418" i="50"/>
  <c r="U418" i="50"/>
  <c r="V418" i="50"/>
  <c r="W418" i="50"/>
  <c r="X418" i="50"/>
  <c r="AO418" i="50"/>
  <c r="AP418" i="50"/>
  <c r="AQ418" i="50"/>
  <c r="AR418" i="50"/>
  <c r="AS418" i="50"/>
  <c r="AT418" i="50"/>
  <c r="AU418" i="50"/>
  <c r="AW418" i="50"/>
  <c r="AX418" i="50"/>
  <c r="AY418" i="50"/>
  <c r="BA418" i="50"/>
  <c r="A419" i="50"/>
  <c r="B419" i="50"/>
  <c r="D419" i="50"/>
  <c r="E419" i="50"/>
  <c r="F419" i="50"/>
  <c r="G419" i="50"/>
  <c r="H419" i="50"/>
  <c r="J419" i="50"/>
  <c r="K419" i="50"/>
  <c r="L419" i="50"/>
  <c r="M419" i="50"/>
  <c r="O419" i="50"/>
  <c r="P419" i="50"/>
  <c r="R419" i="50"/>
  <c r="S419" i="50"/>
  <c r="T419" i="50"/>
  <c r="U419" i="50"/>
  <c r="V419" i="50"/>
  <c r="W419" i="50"/>
  <c r="X419" i="50"/>
  <c r="AO419" i="50"/>
  <c r="AP419" i="50"/>
  <c r="AQ419" i="50"/>
  <c r="AR419" i="50"/>
  <c r="AS419" i="50"/>
  <c r="AT419" i="50"/>
  <c r="AU419" i="50"/>
  <c r="AW419" i="50"/>
  <c r="AX419" i="50"/>
  <c r="AY419" i="50"/>
  <c r="BA419" i="50"/>
  <c r="A420" i="50"/>
  <c r="B420" i="50"/>
  <c r="D420" i="50"/>
  <c r="E420" i="50"/>
  <c r="F420" i="50"/>
  <c r="G420" i="50"/>
  <c r="H420" i="50"/>
  <c r="J420" i="50"/>
  <c r="K420" i="50"/>
  <c r="L420" i="50"/>
  <c r="M420" i="50"/>
  <c r="O420" i="50"/>
  <c r="P420" i="50"/>
  <c r="R420" i="50"/>
  <c r="S420" i="50"/>
  <c r="T420" i="50"/>
  <c r="U420" i="50"/>
  <c r="V420" i="50"/>
  <c r="W420" i="50"/>
  <c r="X420" i="50"/>
  <c r="AO420" i="50"/>
  <c r="AP420" i="50"/>
  <c r="AQ420" i="50"/>
  <c r="AR420" i="50"/>
  <c r="AS420" i="50"/>
  <c r="AT420" i="50"/>
  <c r="AU420" i="50"/>
  <c r="AW420" i="50"/>
  <c r="AX420" i="50"/>
  <c r="AY420" i="50"/>
  <c r="BA420" i="50"/>
  <c r="A421" i="50"/>
  <c r="B421" i="50"/>
  <c r="D421" i="50"/>
  <c r="E421" i="50"/>
  <c r="F421" i="50"/>
  <c r="G421" i="50"/>
  <c r="H421" i="50"/>
  <c r="J421" i="50"/>
  <c r="K421" i="50"/>
  <c r="L421" i="50"/>
  <c r="M421" i="50"/>
  <c r="O421" i="50"/>
  <c r="P421" i="50"/>
  <c r="R421" i="50"/>
  <c r="S421" i="50"/>
  <c r="T421" i="50"/>
  <c r="U421" i="50"/>
  <c r="V421" i="50"/>
  <c r="W421" i="50"/>
  <c r="X421" i="50"/>
  <c r="AO421" i="50"/>
  <c r="AP421" i="50"/>
  <c r="AQ421" i="50"/>
  <c r="AR421" i="50"/>
  <c r="AS421" i="50"/>
  <c r="AT421" i="50"/>
  <c r="AU421" i="50"/>
  <c r="AW421" i="50"/>
  <c r="AX421" i="50"/>
  <c r="AY421" i="50"/>
  <c r="BA421" i="50"/>
  <c r="A422" i="50"/>
  <c r="B422" i="50"/>
  <c r="D422" i="50"/>
  <c r="E422" i="50"/>
  <c r="F422" i="50"/>
  <c r="G422" i="50"/>
  <c r="H422" i="50"/>
  <c r="J422" i="50"/>
  <c r="K422" i="50"/>
  <c r="L422" i="50"/>
  <c r="M422" i="50"/>
  <c r="O422" i="50"/>
  <c r="P422" i="50"/>
  <c r="R422" i="50"/>
  <c r="S422" i="50"/>
  <c r="T422" i="50"/>
  <c r="U422" i="50"/>
  <c r="V422" i="50"/>
  <c r="W422" i="50"/>
  <c r="X422" i="50"/>
  <c r="AO422" i="50"/>
  <c r="AP422" i="50"/>
  <c r="AQ422" i="50"/>
  <c r="AR422" i="50"/>
  <c r="AS422" i="50"/>
  <c r="AT422" i="50"/>
  <c r="AU422" i="50"/>
  <c r="AW422" i="50"/>
  <c r="AX422" i="50"/>
  <c r="AY422" i="50"/>
  <c r="BA422" i="50"/>
  <c r="A423" i="50"/>
  <c r="B423" i="50"/>
  <c r="D423" i="50"/>
  <c r="E423" i="50"/>
  <c r="F423" i="50"/>
  <c r="G423" i="50"/>
  <c r="H423" i="50"/>
  <c r="J423" i="50"/>
  <c r="K423" i="50"/>
  <c r="L423" i="50"/>
  <c r="M423" i="50"/>
  <c r="O423" i="50"/>
  <c r="P423" i="50"/>
  <c r="R423" i="50"/>
  <c r="S423" i="50"/>
  <c r="T423" i="50"/>
  <c r="U423" i="50"/>
  <c r="V423" i="50"/>
  <c r="W423" i="50"/>
  <c r="X423" i="50"/>
  <c r="AO423" i="50"/>
  <c r="AP423" i="50"/>
  <c r="AQ423" i="50"/>
  <c r="AR423" i="50"/>
  <c r="AS423" i="50"/>
  <c r="AT423" i="50"/>
  <c r="AU423" i="50"/>
  <c r="AW423" i="50"/>
  <c r="AX423" i="50"/>
  <c r="AY423" i="50"/>
  <c r="BA423" i="50"/>
  <c r="A424" i="50"/>
  <c r="B424" i="50"/>
  <c r="D424" i="50"/>
  <c r="E424" i="50"/>
  <c r="F424" i="50"/>
  <c r="G424" i="50"/>
  <c r="H424" i="50"/>
  <c r="J424" i="50"/>
  <c r="K424" i="50"/>
  <c r="L424" i="50"/>
  <c r="M424" i="50"/>
  <c r="O424" i="50"/>
  <c r="P424" i="50"/>
  <c r="R424" i="50"/>
  <c r="S424" i="50"/>
  <c r="T424" i="50"/>
  <c r="U424" i="50"/>
  <c r="V424" i="50"/>
  <c r="W424" i="50"/>
  <c r="X424" i="50"/>
  <c r="AO424" i="50"/>
  <c r="AP424" i="50"/>
  <c r="AQ424" i="50"/>
  <c r="AR424" i="50"/>
  <c r="AS424" i="50"/>
  <c r="AT424" i="50"/>
  <c r="AU424" i="50"/>
  <c r="AW424" i="50"/>
  <c r="AX424" i="50"/>
  <c r="AY424" i="50"/>
  <c r="BA424" i="50"/>
  <c r="A425" i="50"/>
  <c r="B425" i="50"/>
  <c r="D425" i="50"/>
  <c r="E425" i="50"/>
  <c r="F425" i="50"/>
  <c r="G425" i="50"/>
  <c r="H425" i="50"/>
  <c r="J425" i="50"/>
  <c r="K425" i="50"/>
  <c r="L425" i="50"/>
  <c r="M425" i="50"/>
  <c r="O425" i="50"/>
  <c r="P425" i="50"/>
  <c r="R425" i="50"/>
  <c r="S425" i="50"/>
  <c r="T425" i="50"/>
  <c r="U425" i="50"/>
  <c r="V425" i="50"/>
  <c r="W425" i="50"/>
  <c r="X425" i="50"/>
  <c r="AO425" i="50"/>
  <c r="AP425" i="50"/>
  <c r="AQ425" i="50"/>
  <c r="AR425" i="50"/>
  <c r="AS425" i="50"/>
  <c r="AT425" i="50"/>
  <c r="AU425" i="50"/>
  <c r="AW425" i="50"/>
  <c r="AX425" i="50"/>
  <c r="AY425" i="50"/>
  <c r="BA425" i="50"/>
  <c r="A426" i="50"/>
  <c r="B426" i="50"/>
  <c r="D426" i="50"/>
  <c r="E426" i="50"/>
  <c r="F426" i="50"/>
  <c r="G426" i="50"/>
  <c r="H426" i="50"/>
  <c r="J426" i="50"/>
  <c r="K426" i="50"/>
  <c r="L426" i="50"/>
  <c r="M426" i="50"/>
  <c r="O426" i="50"/>
  <c r="P426" i="50"/>
  <c r="R426" i="50"/>
  <c r="S426" i="50"/>
  <c r="T426" i="50"/>
  <c r="U426" i="50"/>
  <c r="V426" i="50"/>
  <c r="W426" i="50"/>
  <c r="X426" i="50"/>
  <c r="AO426" i="50"/>
  <c r="AP426" i="50"/>
  <c r="AQ426" i="50"/>
  <c r="AR426" i="50"/>
  <c r="AS426" i="50"/>
  <c r="AT426" i="50"/>
  <c r="AU426" i="50"/>
  <c r="AW426" i="50"/>
  <c r="AX426" i="50"/>
  <c r="AY426" i="50"/>
  <c r="BA426" i="50"/>
  <c r="A427" i="50"/>
  <c r="B427" i="50"/>
  <c r="D427" i="50"/>
  <c r="E427" i="50"/>
  <c r="F427" i="50"/>
  <c r="G427" i="50"/>
  <c r="H427" i="50"/>
  <c r="J427" i="50"/>
  <c r="K427" i="50"/>
  <c r="L427" i="50"/>
  <c r="M427" i="50"/>
  <c r="O427" i="50"/>
  <c r="P427" i="50"/>
  <c r="R427" i="50"/>
  <c r="S427" i="50"/>
  <c r="T427" i="50"/>
  <c r="U427" i="50"/>
  <c r="V427" i="50"/>
  <c r="W427" i="50"/>
  <c r="X427" i="50"/>
  <c r="AO427" i="50"/>
  <c r="AP427" i="50"/>
  <c r="AQ427" i="50"/>
  <c r="AR427" i="50"/>
  <c r="AS427" i="50"/>
  <c r="AT427" i="50"/>
  <c r="AU427" i="50"/>
  <c r="AW427" i="50"/>
  <c r="AX427" i="50"/>
  <c r="AY427" i="50"/>
  <c r="BA427" i="50"/>
  <c r="A428" i="50"/>
  <c r="B428" i="50"/>
  <c r="D428" i="50"/>
  <c r="E428" i="50"/>
  <c r="F428" i="50"/>
  <c r="G428" i="50"/>
  <c r="H428" i="50"/>
  <c r="J428" i="50"/>
  <c r="K428" i="50"/>
  <c r="L428" i="50"/>
  <c r="M428" i="50"/>
  <c r="O428" i="50"/>
  <c r="P428" i="50"/>
  <c r="R428" i="50"/>
  <c r="S428" i="50"/>
  <c r="T428" i="50"/>
  <c r="U428" i="50"/>
  <c r="V428" i="50"/>
  <c r="W428" i="50"/>
  <c r="X428" i="50"/>
  <c r="AO428" i="50"/>
  <c r="AP428" i="50"/>
  <c r="AQ428" i="50"/>
  <c r="AR428" i="50"/>
  <c r="AS428" i="50"/>
  <c r="AT428" i="50"/>
  <c r="AU428" i="50"/>
  <c r="AW428" i="50"/>
  <c r="AX428" i="50"/>
  <c r="AY428" i="50"/>
  <c r="BA428" i="50"/>
  <c r="A429" i="50"/>
  <c r="B429" i="50"/>
  <c r="D429" i="50"/>
  <c r="E429" i="50"/>
  <c r="F429" i="50"/>
  <c r="G429" i="50"/>
  <c r="H429" i="50"/>
  <c r="J429" i="50"/>
  <c r="K429" i="50"/>
  <c r="L429" i="50"/>
  <c r="M429" i="50"/>
  <c r="O429" i="50"/>
  <c r="P429" i="50"/>
  <c r="R429" i="50"/>
  <c r="S429" i="50"/>
  <c r="T429" i="50"/>
  <c r="U429" i="50"/>
  <c r="V429" i="50"/>
  <c r="W429" i="50"/>
  <c r="X429" i="50"/>
  <c r="AO429" i="50"/>
  <c r="AP429" i="50"/>
  <c r="AQ429" i="50"/>
  <c r="AR429" i="50"/>
  <c r="AS429" i="50"/>
  <c r="AT429" i="50"/>
  <c r="AU429" i="50"/>
  <c r="AW429" i="50"/>
  <c r="AX429" i="50"/>
  <c r="AY429" i="50"/>
  <c r="BA429" i="50"/>
  <c r="A430" i="50"/>
  <c r="B430" i="50"/>
  <c r="D430" i="50"/>
  <c r="E430" i="50"/>
  <c r="F430" i="50"/>
  <c r="G430" i="50"/>
  <c r="H430" i="50"/>
  <c r="J430" i="50"/>
  <c r="K430" i="50"/>
  <c r="L430" i="50"/>
  <c r="M430" i="50"/>
  <c r="O430" i="50"/>
  <c r="P430" i="50"/>
  <c r="R430" i="50"/>
  <c r="S430" i="50"/>
  <c r="T430" i="50"/>
  <c r="U430" i="50"/>
  <c r="V430" i="50"/>
  <c r="W430" i="50"/>
  <c r="X430" i="50"/>
  <c r="AO430" i="50"/>
  <c r="AP430" i="50"/>
  <c r="AQ430" i="50"/>
  <c r="AR430" i="50"/>
  <c r="AS430" i="50"/>
  <c r="AT430" i="50"/>
  <c r="AU430" i="50"/>
  <c r="AW430" i="50"/>
  <c r="AX430" i="50"/>
  <c r="AY430" i="50"/>
  <c r="BA430" i="50"/>
  <c r="A431" i="50"/>
  <c r="B431" i="50"/>
  <c r="D431" i="50"/>
  <c r="E431" i="50"/>
  <c r="F431" i="50"/>
  <c r="G431" i="50"/>
  <c r="H431" i="50"/>
  <c r="J431" i="50"/>
  <c r="K431" i="50"/>
  <c r="L431" i="50"/>
  <c r="M431" i="50"/>
  <c r="O431" i="50"/>
  <c r="P431" i="50"/>
  <c r="R431" i="50"/>
  <c r="S431" i="50"/>
  <c r="T431" i="50"/>
  <c r="U431" i="50"/>
  <c r="V431" i="50"/>
  <c r="W431" i="50"/>
  <c r="X431" i="50"/>
  <c r="AO431" i="50"/>
  <c r="AP431" i="50"/>
  <c r="AQ431" i="50"/>
  <c r="AR431" i="50"/>
  <c r="AS431" i="50"/>
  <c r="AT431" i="50"/>
  <c r="AU431" i="50"/>
  <c r="AW431" i="50"/>
  <c r="AX431" i="50"/>
  <c r="AY431" i="50"/>
  <c r="BA431" i="50"/>
  <c r="A432" i="50"/>
  <c r="B432" i="50"/>
  <c r="D432" i="50"/>
  <c r="E432" i="50"/>
  <c r="F432" i="50"/>
  <c r="G432" i="50"/>
  <c r="H432" i="50"/>
  <c r="J432" i="50"/>
  <c r="K432" i="50"/>
  <c r="L432" i="50"/>
  <c r="M432" i="50"/>
  <c r="O432" i="50"/>
  <c r="P432" i="50"/>
  <c r="R432" i="50"/>
  <c r="S432" i="50"/>
  <c r="T432" i="50"/>
  <c r="U432" i="50"/>
  <c r="V432" i="50"/>
  <c r="W432" i="50"/>
  <c r="X432" i="50"/>
  <c r="AO432" i="50"/>
  <c r="AP432" i="50"/>
  <c r="AQ432" i="50"/>
  <c r="AR432" i="50"/>
  <c r="AS432" i="50"/>
  <c r="AT432" i="50"/>
  <c r="AU432" i="50"/>
  <c r="AW432" i="50"/>
  <c r="AX432" i="50"/>
  <c r="AY432" i="50"/>
  <c r="BA432" i="50"/>
  <c r="A433" i="50"/>
  <c r="B433" i="50"/>
  <c r="D433" i="50"/>
  <c r="E433" i="50"/>
  <c r="F433" i="50"/>
  <c r="G433" i="50"/>
  <c r="H433" i="50"/>
  <c r="J433" i="50"/>
  <c r="K433" i="50"/>
  <c r="L433" i="50"/>
  <c r="M433" i="50"/>
  <c r="O433" i="50"/>
  <c r="P433" i="50"/>
  <c r="R433" i="50"/>
  <c r="S433" i="50"/>
  <c r="T433" i="50"/>
  <c r="U433" i="50"/>
  <c r="V433" i="50"/>
  <c r="W433" i="50"/>
  <c r="X433" i="50"/>
  <c r="AO433" i="50"/>
  <c r="AP433" i="50"/>
  <c r="AQ433" i="50"/>
  <c r="AR433" i="50"/>
  <c r="AS433" i="50"/>
  <c r="AT433" i="50"/>
  <c r="AU433" i="50"/>
  <c r="AW433" i="50"/>
  <c r="AX433" i="50"/>
  <c r="AY433" i="50"/>
  <c r="BA433" i="50"/>
  <c r="A434" i="50"/>
  <c r="B434" i="50"/>
  <c r="D434" i="50"/>
  <c r="E434" i="50"/>
  <c r="F434" i="50"/>
  <c r="G434" i="50"/>
  <c r="H434" i="50"/>
  <c r="J434" i="50"/>
  <c r="K434" i="50"/>
  <c r="L434" i="50"/>
  <c r="M434" i="50"/>
  <c r="O434" i="50"/>
  <c r="P434" i="50"/>
  <c r="R434" i="50"/>
  <c r="S434" i="50"/>
  <c r="T434" i="50"/>
  <c r="U434" i="50"/>
  <c r="V434" i="50"/>
  <c r="W434" i="50"/>
  <c r="X434" i="50"/>
  <c r="AO434" i="50"/>
  <c r="AP434" i="50"/>
  <c r="AQ434" i="50"/>
  <c r="AR434" i="50"/>
  <c r="AS434" i="50"/>
  <c r="AT434" i="50"/>
  <c r="AU434" i="50"/>
  <c r="AW434" i="50"/>
  <c r="AX434" i="50"/>
  <c r="AY434" i="50"/>
  <c r="BA434" i="50"/>
  <c r="A435" i="50"/>
  <c r="B435" i="50"/>
  <c r="D435" i="50"/>
  <c r="E435" i="50"/>
  <c r="F435" i="50"/>
  <c r="G435" i="50"/>
  <c r="H435" i="50"/>
  <c r="J435" i="50"/>
  <c r="K435" i="50"/>
  <c r="L435" i="50"/>
  <c r="M435" i="50"/>
  <c r="O435" i="50"/>
  <c r="P435" i="50"/>
  <c r="R435" i="50"/>
  <c r="S435" i="50"/>
  <c r="T435" i="50"/>
  <c r="U435" i="50"/>
  <c r="V435" i="50"/>
  <c r="W435" i="50"/>
  <c r="X435" i="50"/>
  <c r="AO435" i="50"/>
  <c r="AP435" i="50"/>
  <c r="AQ435" i="50"/>
  <c r="AR435" i="50"/>
  <c r="AS435" i="50"/>
  <c r="AT435" i="50"/>
  <c r="AU435" i="50"/>
  <c r="AW435" i="50"/>
  <c r="AX435" i="50"/>
  <c r="AY435" i="50"/>
  <c r="BA435" i="50"/>
  <c r="A436" i="50"/>
  <c r="B436" i="50"/>
  <c r="D436" i="50"/>
  <c r="E436" i="50"/>
  <c r="F436" i="50"/>
  <c r="G436" i="50"/>
  <c r="H436" i="50"/>
  <c r="J436" i="50"/>
  <c r="K436" i="50"/>
  <c r="L436" i="50"/>
  <c r="M436" i="50"/>
  <c r="O436" i="50"/>
  <c r="P436" i="50"/>
  <c r="R436" i="50"/>
  <c r="S436" i="50"/>
  <c r="T436" i="50"/>
  <c r="U436" i="50"/>
  <c r="V436" i="50"/>
  <c r="W436" i="50"/>
  <c r="X436" i="50"/>
  <c r="AO436" i="50"/>
  <c r="AP436" i="50"/>
  <c r="AQ436" i="50"/>
  <c r="AR436" i="50"/>
  <c r="AS436" i="50"/>
  <c r="AT436" i="50"/>
  <c r="AU436" i="50"/>
  <c r="AW436" i="50"/>
  <c r="AX436" i="50"/>
  <c r="AY436" i="50"/>
  <c r="BA436" i="50"/>
  <c r="A437" i="50"/>
  <c r="B437" i="50"/>
  <c r="D437" i="50"/>
  <c r="E437" i="50"/>
  <c r="F437" i="50"/>
  <c r="G437" i="50"/>
  <c r="H437" i="50"/>
  <c r="J437" i="50"/>
  <c r="K437" i="50"/>
  <c r="L437" i="50"/>
  <c r="M437" i="50"/>
  <c r="O437" i="50"/>
  <c r="P437" i="50"/>
  <c r="R437" i="50"/>
  <c r="S437" i="50"/>
  <c r="T437" i="50"/>
  <c r="U437" i="50"/>
  <c r="V437" i="50"/>
  <c r="W437" i="50"/>
  <c r="X437" i="50"/>
  <c r="AO437" i="50"/>
  <c r="AP437" i="50"/>
  <c r="AQ437" i="50"/>
  <c r="AR437" i="50"/>
  <c r="AS437" i="50"/>
  <c r="AT437" i="50"/>
  <c r="AU437" i="50"/>
  <c r="AW437" i="50"/>
  <c r="AX437" i="50"/>
  <c r="AY437" i="50"/>
  <c r="BA437" i="50"/>
  <c r="A438" i="50"/>
  <c r="B438" i="50"/>
  <c r="D438" i="50"/>
  <c r="E438" i="50"/>
  <c r="F438" i="50"/>
  <c r="G438" i="50"/>
  <c r="H438" i="50"/>
  <c r="J438" i="50"/>
  <c r="K438" i="50"/>
  <c r="L438" i="50"/>
  <c r="M438" i="50"/>
  <c r="O438" i="50"/>
  <c r="P438" i="50"/>
  <c r="R438" i="50"/>
  <c r="S438" i="50"/>
  <c r="T438" i="50"/>
  <c r="U438" i="50"/>
  <c r="V438" i="50"/>
  <c r="W438" i="50"/>
  <c r="X438" i="50"/>
  <c r="AO438" i="50"/>
  <c r="AP438" i="50"/>
  <c r="AQ438" i="50"/>
  <c r="AR438" i="50"/>
  <c r="AS438" i="50"/>
  <c r="AT438" i="50"/>
  <c r="AU438" i="50"/>
  <c r="AW438" i="50"/>
  <c r="AX438" i="50"/>
  <c r="AY438" i="50"/>
  <c r="BA438" i="50"/>
  <c r="A439" i="50"/>
  <c r="B439" i="50"/>
  <c r="D439" i="50"/>
  <c r="E439" i="50"/>
  <c r="F439" i="50"/>
  <c r="G439" i="50"/>
  <c r="H439" i="50"/>
  <c r="J439" i="50"/>
  <c r="K439" i="50"/>
  <c r="L439" i="50"/>
  <c r="M439" i="50"/>
  <c r="O439" i="50"/>
  <c r="P439" i="50"/>
  <c r="R439" i="50"/>
  <c r="S439" i="50"/>
  <c r="T439" i="50"/>
  <c r="U439" i="50"/>
  <c r="V439" i="50"/>
  <c r="W439" i="50"/>
  <c r="X439" i="50"/>
  <c r="AO439" i="50"/>
  <c r="AP439" i="50"/>
  <c r="AQ439" i="50"/>
  <c r="AR439" i="50"/>
  <c r="AS439" i="50"/>
  <c r="AT439" i="50"/>
  <c r="AU439" i="50"/>
  <c r="AW439" i="50"/>
  <c r="AX439" i="50"/>
  <c r="AY439" i="50"/>
  <c r="BA439" i="50"/>
  <c r="A440" i="50"/>
  <c r="B440" i="50"/>
  <c r="D440" i="50"/>
  <c r="E440" i="50"/>
  <c r="F440" i="50"/>
  <c r="G440" i="50"/>
  <c r="H440" i="50"/>
  <c r="J440" i="50"/>
  <c r="K440" i="50"/>
  <c r="L440" i="50"/>
  <c r="M440" i="50"/>
  <c r="O440" i="50"/>
  <c r="P440" i="50"/>
  <c r="R440" i="50"/>
  <c r="S440" i="50"/>
  <c r="T440" i="50"/>
  <c r="U440" i="50"/>
  <c r="V440" i="50"/>
  <c r="W440" i="50"/>
  <c r="X440" i="50"/>
  <c r="AO440" i="50"/>
  <c r="AP440" i="50"/>
  <c r="AQ440" i="50"/>
  <c r="AR440" i="50"/>
  <c r="AS440" i="50"/>
  <c r="AT440" i="50"/>
  <c r="AU440" i="50"/>
  <c r="AW440" i="50"/>
  <c r="AX440" i="50"/>
  <c r="AY440" i="50"/>
  <c r="BA440" i="50"/>
  <c r="A441" i="50"/>
  <c r="B441" i="50"/>
  <c r="D441" i="50"/>
  <c r="E441" i="50"/>
  <c r="F441" i="50"/>
  <c r="G441" i="50"/>
  <c r="H441" i="50"/>
  <c r="J441" i="50"/>
  <c r="K441" i="50"/>
  <c r="L441" i="50"/>
  <c r="M441" i="50"/>
  <c r="O441" i="50"/>
  <c r="P441" i="50"/>
  <c r="R441" i="50"/>
  <c r="S441" i="50"/>
  <c r="T441" i="50"/>
  <c r="U441" i="50"/>
  <c r="V441" i="50"/>
  <c r="W441" i="50"/>
  <c r="X441" i="50"/>
  <c r="AO441" i="50"/>
  <c r="AP441" i="50"/>
  <c r="AQ441" i="50"/>
  <c r="AR441" i="50"/>
  <c r="AS441" i="50"/>
  <c r="AT441" i="50"/>
  <c r="AU441" i="50"/>
  <c r="AW441" i="50"/>
  <c r="AX441" i="50"/>
  <c r="AY441" i="50"/>
  <c r="BA441" i="50"/>
  <c r="A442" i="50"/>
  <c r="B442" i="50"/>
  <c r="D442" i="50"/>
  <c r="E442" i="50"/>
  <c r="F442" i="50"/>
  <c r="G442" i="50"/>
  <c r="H442" i="50"/>
  <c r="J442" i="50"/>
  <c r="K442" i="50"/>
  <c r="L442" i="50"/>
  <c r="M442" i="50"/>
  <c r="O442" i="50"/>
  <c r="P442" i="50"/>
  <c r="R442" i="50"/>
  <c r="S442" i="50"/>
  <c r="T442" i="50"/>
  <c r="U442" i="50"/>
  <c r="V442" i="50"/>
  <c r="W442" i="50"/>
  <c r="X442" i="50"/>
  <c r="AO442" i="50"/>
  <c r="AP442" i="50"/>
  <c r="AQ442" i="50"/>
  <c r="AR442" i="50"/>
  <c r="AS442" i="50"/>
  <c r="AT442" i="50"/>
  <c r="AU442" i="50"/>
  <c r="AW442" i="50"/>
  <c r="AX442" i="50"/>
  <c r="AY442" i="50"/>
  <c r="BA442" i="50"/>
  <c r="A443" i="50"/>
  <c r="B443" i="50"/>
  <c r="D443" i="50"/>
  <c r="E443" i="50"/>
  <c r="F443" i="50"/>
  <c r="G443" i="50"/>
  <c r="H443" i="50"/>
  <c r="J443" i="50"/>
  <c r="K443" i="50"/>
  <c r="L443" i="50"/>
  <c r="M443" i="50"/>
  <c r="O443" i="50"/>
  <c r="P443" i="50"/>
  <c r="R443" i="50"/>
  <c r="S443" i="50"/>
  <c r="T443" i="50"/>
  <c r="U443" i="50"/>
  <c r="V443" i="50"/>
  <c r="W443" i="50"/>
  <c r="X443" i="50"/>
  <c r="AO443" i="50"/>
  <c r="AP443" i="50"/>
  <c r="AQ443" i="50"/>
  <c r="AR443" i="50"/>
  <c r="AS443" i="50"/>
  <c r="AT443" i="50"/>
  <c r="AU443" i="50"/>
  <c r="AW443" i="50"/>
  <c r="AX443" i="50"/>
  <c r="AY443" i="50"/>
  <c r="BA443" i="50"/>
  <c r="A444" i="50"/>
  <c r="B444" i="50"/>
  <c r="D444" i="50"/>
  <c r="E444" i="50"/>
  <c r="F444" i="50"/>
  <c r="G444" i="50"/>
  <c r="H444" i="50"/>
  <c r="J444" i="50"/>
  <c r="K444" i="50"/>
  <c r="L444" i="50"/>
  <c r="M444" i="50"/>
  <c r="O444" i="50"/>
  <c r="P444" i="50"/>
  <c r="R444" i="50"/>
  <c r="S444" i="50"/>
  <c r="T444" i="50"/>
  <c r="U444" i="50"/>
  <c r="V444" i="50"/>
  <c r="W444" i="50"/>
  <c r="X444" i="50"/>
  <c r="AO444" i="50"/>
  <c r="AP444" i="50"/>
  <c r="AQ444" i="50"/>
  <c r="AR444" i="50"/>
  <c r="AS444" i="50"/>
  <c r="AT444" i="50"/>
  <c r="AU444" i="50"/>
  <c r="AW444" i="50"/>
  <c r="AX444" i="50"/>
  <c r="AY444" i="50"/>
  <c r="BA444" i="50"/>
  <c r="A445" i="50"/>
  <c r="B445" i="50"/>
  <c r="D445" i="50"/>
  <c r="E445" i="50"/>
  <c r="F445" i="50"/>
  <c r="G445" i="50"/>
  <c r="H445" i="50"/>
  <c r="J445" i="50"/>
  <c r="K445" i="50"/>
  <c r="L445" i="50"/>
  <c r="M445" i="50"/>
  <c r="O445" i="50"/>
  <c r="P445" i="50"/>
  <c r="R445" i="50"/>
  <c r="S445" i="50"/>
  <c r="T445" i="50"/>
  <c r="U445" i="50"/>
  <c r="V445" i="50"/>
  <c r="W445" i="50"/>
  <c r="X445" i="50"/>
  <c r="AO445" i="50"/>
  <c r="AP445" i="50"/>
  <c r="AQ445" i="50"/>
  <c r="AR445" i="50"/>
  <c r="AS445" i="50"/>
  <c r="AT445" i="50"/>
  <c r="AU445" i="50"/>
  <c r="AW445" i="50"/>
  <c r="AX445" i="50"/>
  <c r="AY445" i="50"/>
  <c r="BA445" i="50"/>
  <c r="A446" i="50"/>
  <c r="B446" i="50"/>
  <c r="D446" i="50"/>
  <c r="E446" i="50"/>
  <c r="F446" i="50"/>
  <c r="G446" i="50"/>
  <c r="H446" i="50"/>
  <c r="J446" i="50"/>
  <c r="K446" i="50"/>
  <c r="L446" i="50"/>
  <c r="M446" i="50"/>
  <c r="O446" i="50"/>
  <c r="P446" i="50"/>
  <c r="R446" i="50"/>
  <c r="S446" i="50"/>
  <c r="T446" i="50"/>
  <c r="U446" i="50"/>
  <c r="V446" i="50"/>
  <c r="W446" i="50"/>
  <c r="X446" i="50"/>
  <c r="AO446" i="50"/>
  <c r="AP446" i="50"/>
  <c r="AQ446" i="50"/>
  <c r="AR446" i="50"/>
  <c r="AS446" i="50"/>
  <c r="AT446" i="50"/>
  <c r="AU446" i="50"/>
  <c r="AW446" i="50"/>
  <c r="AX446" i="50"/>
  <c r="AY446" i="50"/>
  <c r="BA446" i="50"/>
  <c r="A447" i="50"/>
  <c r="B447" i="50"/>
  <c r="D447" i="50"/>
  <c r="E447" i="50"/>
  <c r="F447" i="50"/>
  <c r="G447" i="50"/>
  <c r="H447" i="50"/>
  <c r="J447" i="50"/>
  <c r="K447" i="50"/>
  <c r="L447" i="50"/>
  <c r="M447" i="50"/>
  <c r="O447" i="50"/>
  <c r="P447" i="50"/>
  <c r="R447" i="50"/>
  <c r="S447" i="50"/>
  <c r="T447" i="50"/>
  <c r="U447" i="50"/>
  <c r="V447" i="50"/>
  <c r="W447" i="50"/>
  <c r="X447" i="50"/>
  <c r="AO447" i="50"/>
  <c r="AP447" i="50"/>
  <c r="AQ447" i="50"/>
  <c r="AR447" i="50"/>
  <c r="AS447" i="50"/>
  <c r="AT447" i="50"/>
  <c r="AU447" i="50"/>
  <c r="AW447" i="50"/>
  <c r="AX447" i="50"/>
  <c r="AY447" i="50"/>
  <c r="BA447" i="50"/>
  <c r="A448" i="50"/>
  <c r="B448" i="50"/>
  <c r="D448" i="50"/>
  <c r="E448" i="50"/>
  <c r="F448" i="50"/>
  <c r="G448" i="50"/>
  <c r="H448" i="50"/>
  <c r="J448" i="50"/>
  <c r="K448" i="50"/>
  <c r="L448" i="50"/>
  <c r="M448" i="50"/>
  <c r="O448" i="50"/>
  <c r="P448" i="50"/>
  <c r="R448" i="50"/>
  <c r="S448" i="50"/>
  <c r="T448" i="50"/>
  <c r="U448" i="50"/>
  <c r="V448" i="50"/>
  <c r="W448" i="50"/>
  <c r="X448" i="50"/>
  <c r="AO448" i="50"/>
  <c r="AP448" i="50"/>
  <c r="AQ448" i="50"/>
  <c r="AR448" i="50"/>
  <c r="AS448" i="50"/>
  <c r="AT448" i="50"/>
  <c r="AU448" i="50"/>
  <c r="AW448" i="50"/>
  <c r="AX448" i="50"/>
  <c r="AY448" i="50"/>
  <c r="BA448" i="50"/>
  <c r="A449" i="50"/>
  <c r="B449" i="50"/>
  <c r="D449" i="50"/>
  <c r="E449" i="50"/>
  <c r="F449" i="50"/>
  <c r="G449" i="50"/>
  <c r="H449" i="50"/>
  <c r="J449" i="50"/>
  <c r="K449" i="50"/>
  <c r="L449" i="50"/>
  <c r="M449" i="50"/>
  <c r="O449" i="50"/>
  <c r="P449" i="50"/>
  <c r="R449" i="50"/>
  <c r="S449" i="50"/>
  <c r="T449" i="50"/>
  <c r="U449" i="50"/>
  <c r="V449" i="50"/>
  <c r="W449" i="50"/>
  <c r="X449" i="50"/>
  <c r="AO449" i="50"/>
  <c r="AP449" i="50"/>
  <c r="AQ449" i="50"/>
  <c r="AR449" i="50"/>
  <c r="AS449" i="50"/>
  <c r="AT449" i="50"/>
  <c r="AU449" i="50"/>
  <c r="AW449" i="50"/>
  <c r="AX449" i="50"/>
  <c r="AY449" i="50"/>
  <c r="BA449" i="50"/>
  <c r="A450" i="50"/>
  <c r="B450" i="50"/>
  <c r="D450" i="50"/>
  <c r="E450" i="50"/>
  <c r="F450" i="50"/>
  <c r="G450" i="50"/>
  <c r="H450" i="50"/>
  <c r="J450" i="50"/>
  <c r="K450" i="50"/>
  <c r="L450" i="50"/>
  <c r="M450" i="50"/>
  <c r="O450" i="50"/>
  <c r="P450" i="50"/>
  <c r="R450" i="50"/>
  <c r="S450" i="50"/>
  <c r="T450" i="50"/>
  <c r="U450" i="50"/>
  <c r="V450" i="50"/>
  <c r="W450" i="50"/>
  <c r="X450" i="50"/>
  <c r="AO450" i="50"/>
  <c r="AP450" i="50"/>
  <c r="AQ450" i="50"/>
  <c r="AR450" i="50"/>
  <c r="AS450" i="50"/>
  <c r="AT450" i="50"/>
  <c r="AU450" i="50"/>
  <c r="AW450" i="50"/>
  <c r="AX450" i="50"/>
  <c r="AY450" i="50"/>
  <c r="BA450" i="50"/>
  <c r="A451" i="50"/>
  <c r="B451" i="50"/>
  <c r="D451" i="50"/>
  <c r="E451" i="50"/>
  <c r="F451" i="50"/>
  <c r="G451" i="50"/>
  <c r="H451" i="50"/>
  <c r="J451" i="50"/>
  <c r="K451" i="50"/>
  <c r="L451" i="50"/>
  <c r="M451" i="50"/>
  <c r="O451" i="50"/>
  <c r="P451" i="50"/>
  <c r="R451" i="50"/>
  <c r="S451" i="50"/>
  <c r="T451" i="50"/>
  <c r="U451" i="50"/>
  <c r="V451" i="50"/>
  <c r="W451" i="50"/>
  <c r="X451" i="50"/>
  <c r="AO451" i="50"/>
  <c r="AP451" i="50"/>
  <c r="AQ451" i="50"/>
  <c r="AR451" i="50"/>
  <c r="AS451" i="50"/>
  <c r="AT451" i="50"/>
  <c r="AU451" i="50"/>
  <c r="AW451" i="50"/>
  <c r="AX451" i="50"/>
  <c r="AY451" i="50"/>
  <c r="BA451" i="50"/>
  <c r="A452" i="50"/>
  <c r="B452" i="50"/>
  <c r="D452" i="50"/>
  <c r="E452" i="50"/>
  <c r="F452" i="50"/>
  <c r="G452" i="50"/>
  <c r="H452" i="50"/>
  <c r="J452" i="50"/>
  <c r="K452" i="50"/>
  <c r="L452" i="50"/>
  <c r="M452" i="50"/>
  <c r="O452" i="50"/>
  <c r="P452" i="50"/>
  <c r="R452" i="50"/>
  <c r="S452" i="50"/>
  <c r="T452" i="50"/>
  <c r="U452" i="50"/>
  <c r="V452" i="50"/>
  <c r="W452" i="50"/>
  <c r="X452" i="50"/>
  <c r="AO452" i="50"/>
  <c r="AP452" i="50"/>
  <c r="AQ452" i="50"/>
  <c r="AR452" i="50"/>
  <c r="AS452" i="50"/>
  <c r="AT452" i="50"/>
  <c r="AU452" i="50"/>
  <c r="AW452" i="50"/>
  <c r="AX452" i="50"/>
  <c r="AY452" i="50"/>
  <c r="BA452" i="50"/>
  <c r="A453" i="50"/>
  <c r="B453" i="50"/>
  <c r="D453" i="50"/>
  <c r="E453" i="50"/>
  <c r="F453" i="50"/>
  <c r="G453" i="50"/>
  <c r="H453" i="50"/>
  <c r="J453" i="50"/>
  <c r="K453" i="50"/>
  <c r="L453" i="50"/>
  <c r="M453" i="50"/>
  <c r="O453" i="50"/>
  <c r="P453" i="50"/>
  <c r="R453" i="50"/>
  <c r="S453" i="50"/>
  <c r="T453" i="50"/>
  <c r="U453" i="50"/>
  <c r="V453" i="50"/>
  <c r="W453" i="50"/>
  <c r="X453" i="50"/>
  <c r="AO453" i="50"/>
  <c r="AP453" i="50"/>
  <c r="AQ453" i="50"/>
  <c r="AR453" i="50"/>
  <c r="AS453" i="50"/>
  <c r="AT453" i="50"/>
  <c r="AU453" i="50"/>
  <c r="AW453" i="50"/>
  <c r="AX453" i="50"/>
  <c r="AY453" i="50"/>
  <c r="BA453" i="50"/>
  <c r="A454" i="50"/>
  <c r="B454" i="50"/>
  <c r="D454" i="50"/>
  <c r="E454" i="50"/>
  <c r="F454" i="50"/>
  <c r="G454" i="50"/>
  <c r="H454" i="50"/>
  <c r="J454" i="50"/>
  <c r="K454" i="50"/>
  <c r="L454" i="50"/>
  <c r="M454" i="50"/>
  <c r="O454" i="50"/>
  <c r="P454" i="50"/>
  <c r="R454" i="50"/>
  <c r="S454" i="50"/>
  <c r="T454" i="50"/>
  <c r="U454" i="50"/>
  <c r="V454" i="50"/>
  <c r="W454" i="50"/>
  <c r="X454" i="50"/>
  <c r="AO454" i="50"/>
  <c r="AP454" i="50"/>
  <c r="AQ454" i="50"/>
  <c r="AR454" i="50"/>
  <c r="AS454" i="50"/>
  <c r="AT454" i="50"/>
  <c r="AU454" i="50"/>
  <c r="AW454" i="50"/>
  <c r="AX454" i="50"/>
  <c r="AY454" i="50"/>
  <c r="BA454" i="50"/>
  <c r="A455" i="50"/>
  <c r="B455" i="50"/>
  <c r="D455" i="50"/>
  <c r="E455" i="50"/>
  <c r="F455" i="50"/>
  <c r="G455" i="50"/>
  <c r="H455" i="50"/>
  <c r="J455" i="50"/>
  <c r="K455" i="50"/>
  <c r="L455" i="50"/>
  <c r="M455" i="50"/>
  <c r="O455" i="50"/>
  <c r="P455" i="50"/>
  <c r="R455" i="50"/>
  <c r="S455" i="50"/>
  <c r="T455" i="50"/>
  <c r="U455" i="50"/>
  <c r="V455" i="50"/>
  <c r="W455" i="50"/>
  <c r="X455" i="50"/>
  <c r="AO455" i="50"/>
  <c r="AP455" i="50"/>
  <c r="AQ455" i="50"/>
  <c r="AR455" i="50"/>
  <c r="AS455" i="50"/>
  <c r="AT455" i="50"/>
  <c r="AU455" i="50"/>
  <c r="AW455" i="50"/>
  <c r="AX455" i="50"/>
  <c r="AY455" i="50"/>
  <c r="BA455" i="50"/>
  <c r="A456" i="50"/>
  <c r="B456" i="50"/>
  <c r="D456" i="50"/>
  <c r="E456" i="50"/>
  <c r="F456" i="50"/>
  <c r="G456" i="50"/>
  <c r="H456" i="50"/>
  <c r="J456" i="50"/>
  <c r="K456" i="50"/>
  <c r="L456" i="50"/>
  <c r="M456" i="50"/>
  <c r="O456" i="50"/>
  <c r="P456" i="50"/>
  <c r="R456" i="50"/>
  <c r="S456" i="50"/>
  <c r="T456" i="50"/>
  <c r="U456" i="50"/>
  <c r="V456" i="50"/>
  <c r="W456" i="50"/>
  <c r="X456" i="50"/>
  <c r="AO456" i="50"/>
  <c r="AP456" i="50"/>
  <c r="AQ456" i="50"/>
  <c r="AR456" i="50"/>
  <c r="AS456" i="50"/>
  <c r="AT456" i="50"/>
  <c r="AU456" i="50"/>
  <c r="AW456" i="50"/>
  <c r="AX456" i="50"/>
  <c r="AY456" i="50"/>
  <c r="BA456" i="50"/>
  <c r="A457" i="50"/>
  <c r="B457" i="50"/>
  <c r="D457" i="50"/>
  <c r="E457" i="50"/>
  <c r="F457" i="50"/>
  <c r="G457" i="50"/>
  <c r="H457" i="50"/>
  <c r="J457" i="50"/>
  <c r="K457" i="50"/>
  <c r="L457" i="50"/>
  <c r="M457" i="50"/>
  <c r="O457" i="50"/>
  <c r="P457" i="50"/>
  <c r="R457" i="50"/>
  <c r="S457" i="50"/>
  <c r="T457" i="50"/>
  <c r="U457" i="50"/>
  <c r="V457" i="50"/>
  <c r="W457" i="50"/>
  <c r="X457" i="50"/>
  <c r="AO457" i="50"/>
  <c r="AP457" i="50"/>
  <c r="AQ457" i="50"/>
  <c r="AR457" i="50"/>
  <c r="AS457" i="50"/>
  <c r="AT457" i="50"/>
  <c r="AU457" i="50"/>
  <c r="AW457" i="50"/>
  <c r="AX457" i="50"/>
  <c r="AY457" i="50"/>
  <c r="BA457" i="50"/>
  <c r="A458" i="50"/>
  <c r="B458" i="50"/>
  <c r="D458" i="50"/>
  <c r="E458" i="50"/>
  <c r="F458" i="50"/>
  <c r="G458" i="50"/>
  <c r="H458" i="50"/>
  <c r="J458" i="50"/>
  <c r="K458" i="50"/>
  <c r="L458" i="50"/>
  <c r="M458" i="50"/>
  <c r="O458" i="50"/>
  <c r="P458" i="50"/>
  <c r="R458" i="50"/>
  <c r="S458" i="50"/>
  <c r="T458" i="50"/>
  <c r="U458" i="50"/>
  <c r="V458" i="50"/>
  <c r="W458" i="50"/>
  <c r="X458" i="50"/>
  <c r="AO458" i="50"/>
  <c r="AP458" i="50"/>
  <c r="AQ458" i="50"/>
  <c r="AR458" i="50"/>
  <c r="AS458" i="50"/>
  <c r="AT458" i="50"/>
  <c r="AU458" i="50"/>
  <c r="AW458" i="50"/>
  <c r="AX458" i="50"/>
  <c r="AY458" i="50"/>
  <c r="BA458" i="50"/>
  <c r="A459" i="50"/>
  <c r="B459" i="50"/>
  <c r="D459" i="50"/>
  <c r="E459" i="50"/>
  <c r="F459" i="50"/>
  <c r="G459" i="50"/>
  <c r="H459" i="50"/>
  <c r="J459" i="50"/>
  <c r="K459" i="50"/>
  <c r="L459" i="50"/>
  <c r="M459" i="50"/>
  <c r="O459" i="50"/>
  <c r="P459" i="50"/>
  <c r="R459" i="50"/>
  <c r="S459" i="50"/>
  <c r="T459" i="50"/>
  <c r="U459" i="50"/>
  <c r="V459" i="50"/>
  <c r="W459" i="50"/>
  <c r="X459" i="50"/>
  <c r="AO459" i="50"/>
  <c r="AP459" i="50"/>
  <c r="AQ459" i="50"/>
  <c r="AR459" i="50"/>
  <c r="AS459" i="50"/>
  <c r="AT459" i="50"/>
  <c r="AU459" i="50"/>
  <c r="AW459" i="50"/>
  <c r="AX459" i="50"/>
  <c r="AY459" i="50"/>
  <c r="BA459" i="50"/>
  <c r="A460" i="50"/>
  <c r="B460" i="50"/>
  <c r="D460" i="50"/>
  <c r="E460" i="50"/>
  <c r="F460" i="50"/>
  <c r="G460" i="50"/>
  <c r="H460" i="50"/>
  <c r="J460" i="50"/>
  <c r="K460" i="50"/>
  <c r="L460" i="50"/>
  <c r="M460" i="50"/>
  <c r="O460" i="50"/>
  <c r="P460" i="50"/>
  <c r="R460" i="50"/>
  <c r="S460" i="50"/>
  <c r="T460" i="50"/>
  <c r="U460" i="50"/>
  <c r="V460" i="50"/>
  <c r="W460" i="50"/>
  <c r="X460" i="50"/>
  <c r="AO460" i="50"/>
  <c r="AP460" i="50"/>
  <c r="AQ460" i="50"/>
  <c r="AR460" i="50"/>
  <c r="AS460" i="50"/>
  <c r="AT460" i="50"/>
  <c r="AU460" i="50"/>
  <c r="AW460" i="50"/>
  <c r="AX460" i="50"/>
  <c r="AY460" i="50"/>
  <c r="BA460" i="50"/>
  <c r="A461" i="50"/>
  <c r="B461" i="50"/>
  <c r="D461" i="50"/>
  <c r="E461" i="50"/>
  <c r="F461" i="50"/>
  <c r="G461" i="50"/>
  <c r="H461" i="50"/>
  <c r="J461" i="50"/>
  <c r="K461" i="50"/>
  <c r="L461" i="50"/>
  <c r="M461" i="50"/>
  <c r="O461" i="50"/>
  <c r="P461" i="50"/>
  <c r="R461" i="50"/>
  <c r="S461" i="50"/>
  <c r="T461" i="50"/>
  <c r="U461" i="50"/>
  <c r="V461" i="50"/>
  <c r="W461" i="50"/>
  <c r="X461" i="50"/>
  <c r="AO461" i="50"/>
  <c r="AP461" i="50"/>
  <c r="AQ461" i="50"/>
  <c r="AR461" i="50"/>
  <c r="AS461" i="50"/>
  <c r="AT461" i="50"/>
  <c r="AU461" i="50"/>
  <c r="AW461" i="50"/>
  <c r="AX461" i="50"/>
  <c r="AY461" i="50"/>
  <c r="BA461" i="50"/>
  <c r="A462" i="50"/>
  <c r="B462" i="50"/>
  <c r="D462" i="50"/>
  <c r="E462" i="50"/>
  <c r="F462" i="50"/>
  <c r="G462" i="50"/>
  <c r="H462" i="50"/>
  <c r="J462" i="50"/>
  <c r="K462" i="50"/>
  <c r="L462" i="50"/>
  <c r="M462" i="50"/>
  <c r="O462" i="50"/>
  <c r="P462" i="50"/>
  <c r="R462" i="50"/>
  <c r="S462" i="50"/>
  <c r="T462" i="50"/>
  <c r="U462" i="50"/>
  <c r="V462" i="50"/>
  <c r="W462" i="50"/>
  <c r="X462" i="50"/>
  <c r="AO462" i="50"/>
  <c r="AP462" i="50"/>
  <c r="AQ462" i="50"/>
  <c r="AR462" i="50"/>
  <c r="AS462" i="50"/>
  <c r="AT462" i="50"/>
  <c r="AU462" i="50"/>
  <c r="AW462" i="50"/>
  <c r="AX462" i="50"/>
  <c r="AY462" i="50"/>
  <c r="BA462" i="50"/>
  <c r="A463" i="50"/>
  <c r="B463" i="50"/>
  <c r="D463" i="50"/>
  <c r="E463" i="50"/>
  <c r="F463" i="50"/>
  <c r="G463" i="50"/>
  <c r="H463" i="50"/>
  <c r="J463" i="50"/>
  <c r="K463" i="50"/>
  <c r="L463" i="50"/>
  <c r="M463" i="50"/>
  <c r="O463" i="50"/>
  <c r="P463" i="50"/>
  <c r="R463" i="50"/>
  <c r="S463" i="50"/>
  <c r="T463" i="50"/>
  <c r="U463" i="50"/>
  <c r="V463" i="50"/>
  <c r="W463" i="50"/>
  <c r="X463" i="50"/>
  <c r="AO463" i="50"/>
  <c r="AP463" i="50"/>
  <c r="AQ463" i="50"/>
  <c r="AR463" i="50"/>
  <c r="AS463" i="50"/>
  <c r="AT463" i="50"/>
  <c r="AU463" i="50"/>
  <c r="AW463" i="50"/>
  <c r="AX463" i="50"/>
  <c r="AY463" i="50"/>
  <c r="BA463" i="50"/>
  <c r="A464" i="50"/>
  <c r="B464" i="50"/>
  <c r="D464" i="50"/>
  <c r="E464" i="50"/>
  <c r="F464" i="50"/>
  <c r="G464" i="50"/>
  <c r="H464" i="50"/>
  <c r="J464" i="50"/>
  <c r="K464" i="50"/>
  <c r="L464" i="50"/>
  <c r="M464" i="50"/>
  <c r="O464" i="50"/>
  <c r="P464" i="50"/>
  <c r="R464" i="50"/>
  <c r="S464" i="50"/>
  <c r="T464" i="50"/>
  <c r="U464" i="50"/>
  <c r="V464" i="50"/>
  <c r="W464" i="50"/>
  <c r="X464" i="50"/>
  <c r="AO464" i="50"/>
  <c r="AP464" i="50"/>
  <c r="AQ464" i="50"/>
  <c r="AR464" i="50"/>
  <c r="AS464" i="50"/>
  <c r="AT464" i="50"/>
  <c r="AU464" i="50"/>
  <c r="AW464" i="50"/>
  <c r="AX464" i="50"/>
  <c r="AY464" i="50"/>
  <c r="BA464" i="50"/>
  <c r="A465" i="50"/>
  <c r="B465" i="50"/>
  <c r="D465" i="50"/>
  <c r="E465" i="50"/>
  <c r="F465" i="50"/>
  <c r="G465" i="50"/>
  <c r="H465" i="50"/>
  <c r="J465" i="50"/>
  <c r="K465" i="50"/>
  <c r="L465" i="50"/>
  <c r="M465" i="50"/>
  <c r="O465" i="50"/>
  <c r="P465" i="50"/>
  <c r="R465" i="50"/>
  <c r="S465" i="50"/>
  <c r="T465" i="50"/>
  <c r="U465" i="50"/>
  <c r="V465" i="50"/>
  <c r="W465" i="50"/>
  <c r="X465" i="50"/>
  <c r="AO465" i="50"/>
  <c r="AP465" i="50"/>
  <c r="AQ465" i="50"/>
  <c r="AR465" i="50"/>
  <c r="AS465" i="50"/>
  <c r="AT465" i="50"/>
  <c r="AU465" i="50"/>
  <c r="AW465" i="50"/>
  <c r="AX465" i="50"/>
  <c r="AY465" i="50"/>
  <c r="BA465" i="50"/>
  <c r="A466" i="50"/>
  <c r="B466" i="50"/>
  <c r="D466" i="50"/>
  <c r="E466" i="50"/>
  <c r="F466" i="50"/>
  <c r="G466" i="50"/>
  <c r="H466" i="50"/>
  <c r="J466" i="50"/>
  <c r="K466" i="50"/>
  <c r="L466" i="50"/>
  <c r="M466" i="50"/>
  <c r="O466" i="50"/>
  <c r="P466" i="50"/>
  <c r="R466" i="50"/>
  <c r="S466" i="50"/>
  <c r="T466" i="50"/>
  <c r="U466" i="50"/>
  <c r="V466" i="50"/>
  <c r="W466" i="50"/>
  <c r="X466" i="50"/>
  <c r="AO466" i="50"/>
  <c r="AP466" i="50"/>
  <c r="AQ466" i="50"/>
  <c r="AR466" i="50"/>
  <c r="AS466" i="50"/>
  <c r="AT466" i="50"/>
  <c r="AU466" i="50"/>
  <c r="AW466" i="50"/>
  <c r="AX466" i="50"/>
  <c r="AY466" i="50"/>
  <c r="BA466" i="50"/>
  <c r="A467" i="50"/>
  <c r="B467" i="50"/>
  <c r="D467" i="50"/>
  <c r="E467" i="50"/>
  <c r="F467" i="50"/>
  <c r="G467" i="50"/>
  <c r="H467" i="50"/>
  <c r="J467" i="50"/>
  <c r="K467" i="50"/>
  <c r="L467" i="50"/>
  <c r="M467" i="50"/>
  <c r="O467" i="50"/>
  <c r="P467" i="50"/>
  <c r="R467" i="50"/>
  <c r="S467" i="50"/>
  <c r="T467" i="50"/>
  <c r="U467" i="50"/>
  <c r="V467" i="50"/>
  <c r="W467" i="50"/>
  <c r="X467" i="50"/>
  <c r="AO467" i="50"/>
  <c r="AP467" i="50"/>
  <c r="AQ467" i="50"/>
  <c r="AR467" i="50"/>
  <c r="AS467" i="50"/>
  <c r="AT467" i="50"/>
  <c r="AU467" i="50"/>
  <c r="AW467" i="50"/>
  <c r="AX467" i="50"/>
  <c r="AY467" i="50"/>
  <c r="BA467" i="50"/>
  <c r="A468" i="50"/>
  <c r="B468" i="50"/>
  <c r="D468" i="50"/>
  <c r="E468" i="50"/>
  <c r="F468" i="50"/>
  <c r="G468" i="50"/>
  <c r="H468" i="50"/>
  <c r="J468" i="50"/>
  <c r="K468" i="50"/>
  <c r="L468" i="50"/>
  <c r="M468" i="50"/>
  <c r="O468" i="50"/>
  <c r="P468" i="50"/>
  <c r="R468" i="50"/>
  <c r="S468" i="50"/>
  <c r="T468" i="50"/>
  <c r="U468" i="50"/>
  <c r="V468" i="50"/>
  <c r="W468" i="50"/>
  <c r="X468" i="50"/>
  <c r="AO468" i="50"/>
  <c r="AP468" i="50"/>
  <c r="AQ468" i="50"/>
  <c r="AR468" i="50"/>
  <c r="AS468" i="50"/>
  <c r="AT468" i="50"/>
  <c r="AU468" i="50"/>
  <c r="AW468" i="50"/>
  <c r="AX468" i="50"/>
  <c r="AY468" i="50"/>
  <c r="BA468" i="50"/>
  <c r="A469" i="50"/>
  <c r="B469" i="50"/>
  <c r="D469" i="50"/>
  <c r="E469" i="50"/>
  <c r="F469" i="50"/>
  <c r="G469" i="50"/>
  <c r="H469" i="50"/>
  <c r="J469" i="50"/>
  <c r="K469" i="50"/>
  <c r="L469" i="50"/>
  <c r="M469" i="50"/>
  <c r="O469" i="50"/>
  <c r="P469" i="50"/>
  <c r="R469" i="50"/>
  <c r="S469" i="50"/>
  <c r="T469" i="50"/>
  <c r="U469" i="50"/>
  <c r="V469" i="50"/>
  <c r="W469" i="50"/>
  <c r="X469" i="50"/>
  <c r="AO469" i="50"/>
  <c r="AP469" i="50"/>
  <c r="AQ469" i="50"/>
  <c r="AR469" i="50"/>
  <c r="AS469" i="50"/>
  <c r="AT469" i="50"/>
  <c r="AU469" i="50"/>
  <c r="AW469" i="50"/>
  <c r="AX469" i="50"/>
  <c r="AY469" i="50"/>
  <c r="BA469" i="50"/>
  <c r="A470" i="50"/>
  <c r="B470" i="50"/>
  <c r="D470" i="50"/>
  <c r="E470" i="50"/>
  <c r="F470" i="50"/>
  <c r="G470" i="50"/>
  <c r="H470" i="50"/>
  <c r="J470" i="50"/>
  <c r="K470" i="50"/>
  <c r="L470" i="50"/>
  <c r="M470" i="50"/>
  <c r="O470" i="50"/>
  <c r="P470" i="50"/>
  <c r="R470" i="50"/>
  <c r="S470" i="50"/>
  <c r="T470" i="50"/>
  <c r="U470" i="50"/>
  <c r="V470" i="50"/>
  <c r="W470" i="50"/>
  <c r="X470" i="50"/>
  <c r="AO470" i="50"/>
  <c r="AP470" i="50"/>
  <c r="AQ470" i="50"/>
  <c r="AR470" i="50"/>
  <c r="AS470" i="50"/>
  <c r="AT470" i="50"/>
  <c r="AU470" i="50"/>
  <c r="AW470" i="50"/>
  <c r="AX470" i="50"/>
  <c r="AY470" i="50"/>
  <c r="BA470" i="50"/>
  <c r="A471" i="50"/>
  <c r="B471" i="50"/>
  <c r="D471" i="50"/>
  <c r="E471" i="50"/>
  <c r="F471" i="50"/>
  <c r="G471" i="50"/>
  <c r="H471" i="50"/>
  <c r="J471" i="50"/>
  <c r="K471" i="50"/>
  <c r="L471" i="50"/>
  <c r="M471" i="50"/>
  <c r="O471" i="50"/>
  <c r="P471" i="50"/>
  <c r="R471" i="50"/>
  <c r="S471" i="50"/>
  <c r="T471" i="50"/>
  <c r="U471" i="50"/>
  <c r="V471" i="50"/>
  <c r="W471" i="50"/>
  <c r="X471" i="50"/>
  <c r="AO471" i="50"/>
  <c r="AP471" i="50"/>
  <c r="AQ471" i="50"/>
  <c r="AR471" i="50"/>
  <c r="AS471" i="50"/>
  <c r="AT471" i="50"/>
  <c r="AU471" i="50"/>
  <c r="AW471" i="50"/>
  <c r="AX471" i="50"/>
  <c r="AY471" i="50"/>
  <c r="BA471" i="50"/>
  <c r="A472" i="50"/>
  <c r="B472" i="50"/>
  <c r="D472" i="50"/>
  <c r="E472" i="50"/>
  <c r="F472" i="50"/>
  <c r="G472" i="50"/>
  <c r="H472" i="50"/>
  <c r="J472" i="50"/>
  <c r="K472" i="50"/>
  <c r="L472" i="50"/>
  <c r="M472" i="50"/>
  <c r="O472" i="50"/>
  <c r="P472" i="50"/>
  <c r="R472" i="50"/>
  <c r="S472" i="50"/>
  <c r="T472" i="50"/>
  <c r="U472" i="50"/>
  <c r="V472" i="50"/>
  <c r="W472" i="50"/>
  <c r="X472" i="50"/>
  <c r="AO472" i="50"/>
  <c r="AP472" i="50"/>
  <c r="AQ472" i="50"/>
  <c r="AR472" i="50"/>
  <c r="AS472" i="50"/>
  <c r="AT472" i="50"/>
  <c r="AU472" i="50"/>
  <c r="AW472" i="50"/>
  <c r="AX472" i="50"/>
  <c r="AY472" i="50"/>
  <c r="BA472" i="50"/>
  <c r="A473" i="50"/>
  <c r="B473" i="50"/>
  <c r="D473" i="50"/>
  <c r="E473" i="50"/>
  <c r="F473" i="50"/>
  <c r="G473" i="50"/>
  <c r="H473" i="50"/>
  <c r="J473" i="50"/>
  <c r="K473" i="50"/>
  <c r="L473" i="50"/>
  <c r="M473" i="50"/>
  <c r="O473" i="50"/>
  <c r="P473" i="50"/>
  <c r="R473" i="50"/>
  <c r="S473" i="50"/>
  <c r="T473" i="50"/>
  <c r="U473" i="50"/>
  <c r="V473" i="50"/>
  <c r="W473" i="50"/>
  <c r="X473" i="50"/>
  <c r="AO473" i="50"/>
  <c r="AP473" i="50"/>
  <c r="AQ473" i="50"/>
  <c r="AR473" i="50"/>
  <c r="AS473" i="50"/>
  <c r="AT473" i="50"/>
  <c r="AU473" i="50"/>
  <c r="AW473" i="50"/>
  <c r="AX473" i="50"/>
  <c r="AY473" i="50"/>
  <c r="BA473" i="50"/>
  <c r="A474" i="50"/>
  <c r="B474" i="50"/>
  <c r="D474" i="50"/>
  <c r="E474" i="50"/>
  <c r="F474" i="50"/>
  <c r="G474" i="50"/>
  <c r="H474" i="50"/>
  <c r="J474" i="50"/>
  <c r="K474" i="50"/>
  <c r="L474" i="50"/>
  <c r="M474" i="50"/>
  <c r="O474" i="50"/>
  <c r="P474" i="50"/>
  <c r="R474" i="50"/>
  <c r="S474" i="50"/>
  <c r="T474" i="50"/>
  <c r="U474" i="50"/>
  <c r="V474" i="50"/>
  <c r="W474" i="50"/>
  <c r="X474" i="50"/>
  <c r="AO474" i="50"/>
  <c r="AP474" i="50"/>
  <c r="AQ474" i="50"/>
  <c r="AR474" i="50"/>
  <c r="AS474" i="50"/>
  <c r="AT474" i="50"/>
  <c r="AU474" i="50"/>
  <c r="AW474" i="50"/>
  <c r="AX474" i="50"/>
  <c r="AY474" i="50"/>
  <c r="BA474" i="50"/>
  <c r="A475" i="50"/>
  <c r="B475" i="50"/>
  <c r="D475" i="50"/>
  <c r="E475" i="50"/>
  <c r="F475" i="50"/>
  <c r="G475" i="50"/>
  <c r="H475" i="50"/>
  <c r="J475" i="50"/>
  <c r="K475" i="50"/>
  <c r="L475" i="50"/>
  <c r="M475" i="50"/>
  <c r="O475" i="50"/>
  <c r="P475" i="50"/>
  <c r="R475" i="50"/>
  <c r="S475" i="50"/>
  <c r="T475" i="50"/>
  <c r="U475" i="50"/>
  <c r="V475" i="50"/>
  <c r="W475" i="50"/>
  <c r="X475" i="50"/>
  <c r="AO475" i="50"/>
  <c r="AP475" i="50"/>
  <c r="AQ475" i="50"/>
  <c r="AR475" i="50"/>
  <c r="AS475" i="50"/>
  <c r="AT475" i="50"/>
  <c r="AU475" i="50"/>
  <c r="AW475" i="50"/>
  <c r="AX475" i="50"/>
  <c r="AY475" i="50"/>
  <c r="BA475" i="50"/>
  <c r="A476" i="50"/>
  <c r="B476" i="50"/>
  <c r="D476" i="50"/>
  <c r="E476" i="50"/>
  <c r="F476" i="50"/>
  <c r="G476" i="50"/>
  <c r="H476" i="50"/>
  <c r="J476" i="50"/>
  <c r="K476" i="50"/>
  <c r="L476" i="50"/>
  <c r="M476" i="50"/>
  <c r="O476" i="50"/>
  <c r="P476" i="50"/>
  <c r="R476" i="50"/>
  <c r="S476" i="50"/>
  <c r="T476" i="50"/>
  <c r="U476" i="50"/>
  <c r="V476" i="50"/>
  <c r="W476" i="50"/>
  <c r="X476" i="50"/>
  <c r="AO476" i="50"/>
  <c r="AP476" i="50"/>
  <c r="AQ476" i="50"/>
  <c r="AR476" i="50"/>
  <c r="AS476" i="50"/>
  <c r="AT476" i="50"/>
  <c r="AU476" i="50"/>
  <c r="AW476" i="50"/>
  <c r="AX476" i="50"/>
  <c r="AY476" i="50"/>
  <c r="BA476" i="50"/>
  <c r="A477" i="50"/>
  <c r="B477" i="50"/>
  <c r="D477" i="50"/>
  <c r="E477" i="50"/>
  <c r="F477" i="50"/>
  <c r="G477" i="50"/>
  <c r="H477" i="50"/>
  <c r="J477" i="50"/>
  <c r="K477" i="50"/>
  <c r="L477" i="50"/>
  <c r="M477" i="50"/>
  <c r="O477" i="50"/>
  <c r="P477" i="50"/>
  <c r="R477" i="50"/>
  <c r="S477" i="50"/>
  <c r="T477" i="50"/>
  <c r="U477" i="50"/>
  <c r="V477" i="50"/>
  <c r="W477" i="50"/>
  <c r="X477" i="50"/>
  <c r="AO477" i="50"/>
  <c r="AP477" i="50"/>
  <c r="AQ477" i="50"/>
  <c r="AR477" i="50"/>
  <c r="AS477" i="50"/>
  <c r="AT477" i="50"/>
  <c r="AU477" i="50"/>
  <c r="AW477" i="50"/>
  <c r="AX477" i="50"/>
  <c r="AY477" i="50"/>
  <c r="BA477" i="50"/>
  <c r="A478" i="50"/>
  <c r="B478" i="50"/>
  <c r="D478" i="50"/>
  <c r="E478" i="50"/>
  <c r="F478" i="50"/>
  <c r="G478" i="50"/>
  <c r="H478" i="50"/>
  <c r="J478" i="50"/>
  <c r="K478" i="50"/>
  <c r="L478" i="50"/>
  <c r="M478" i="50"/>
  <c r="O478" i="50"/>
  <c r="P478" i="50"/>
  <c r="R478" i="50"/>
  <c r="S478" i="50"/>
  <c r="T478" i="50"/>
  <c r="U478" i="50"/>
  <c r="V478" i="50"/>
  <c r="W478" i="50"/>
  <c r="X478" i="50"/>
  <c r="AO478" i="50"/>
  <c r="AP478" i="50"/>
  <c r="AQ478" i="50"/>
  <c r="AR478" i="50"/>
  <c r="AS478" i="50"/>
  <c r="AT478" i="50"/>
  <c r="AU478" i="50"/>
  <c r="AW478" i="50"/>
  <c r="AX478" i="50"/>
  <c r="AY478" i="50"/>
  <c r="BA478" i="50"/>
  <c r="A479" i="50"/>
  <c r="B479" i="50"/>
  <c r="D479" i="50"/>
  <c r="E479" i="50"/>
  <c r="F479" i="50"/>
  <c r="G479" i="50"/>
  <c r="H479" i="50"/>
  <c r="J479" i="50"/>
  <c r="K479" i="50"/>
  <c r="L479" i="50"/>
  <c r="M479" i="50"/>
  <c r="O479" i="50"/>
  <c r="P479" i="50"/>
  <c r="R479" i="50"/>
  <c r="S479" i="50"/>
  <c r="T479" i="50"/>
  <c r="U479" i="50"/>
  <c r="V479" i="50"/>
  <c r="W479" i="50"/>
  <c r="X479" i="50"/>
  <c r="AO479" i="50"/>
  <c r="AP479" i="50"/>
  <c r="AQ479" i="50"/>
  <c r="AR479" i="50"/>
  <c r="AS479" i="50"/>
  <c r="AT479" i="50"/>
  <c r="AU479" i="50"/>
  <c r="AW479" i="50"/>
  <c r="AX479" i="50"/>
  <c r="AY479" i="50"/>
  <c r="BA479" i="50"/>
  <c r="A480" i="50"/>
  <c r="B480" i="50"/>
  <c r="D480" i="50"/>
  <c r="E480" i="50"/>
  <c r="F480" i="50"/>
  <c r="G480" i="50"/>
  <c r="H480" i="50"/>
  <c r="J480" i="50"/>
  <c r="K480" i="50"/>
  <c r="L480" i="50"/>
  <c r="M480" i="50"/>
  <c r="O480" i="50"/>
  <c r="P480" i="50"/>
  <c r="R480" i="50"/>
  <c r="S480" i="50"/>
  <c r="T480" i="50"/>
  <c r="U480" i="50"/>
  <c r="V480" i="50"/>
  <c r="W480" i="50"/>
  <c r="X480" i="50"/>
  <c r="AO480" i="50"/>
  <c r="AP480" i="50"/>
  <c r="AQ480" i="50"/>
  <c r="AR480" i="50"/>
  <c r="AS480" i="50"/>
  <c r="AT480" i="50"/>
  <c r="AU480" i="50"/>
  <c r="AW480" i="50"/>
  <c r="AX480" i="50"/>
  <c r="AY480" i="50"/>
  <c r="BA480" i="50"/>
  <c r="A481" i="50"/>
  <c r="B481" i="50"/>
  <c r="D481" i="50"/>
  <c r="E481" i="50"/>
  <c r="F481" i="50"/>
  <c r="G481" i="50"/>
  <c r="H481" i="50"/>
  <c r="J481" i="50"/>
  <c r="K481" i="50"/>
  <c r="L481" i="50"/>
  <c r="M481" i="50"/>
  <c r="O481" i="50"/>
  <c r="P481" i="50"/>
  <c r="R481" i="50"/>
  <c r="S481" i="50"/>
  <c r="T481" i="50"/>
  <c r="U481" i="50"/>
  <c r="V481" i="50"/>
  <c r="W481" i="50"/>
  <c r="X481" i="50"/>
  <c r="AO481" i="50"/>
  <c r="AP481" i="50"/>
  <c r="AQ481" i="50"/>
  <c r="AR481" i="50"/>
  <c r="AS481" i="50"/>
  <c r="AT481" i="50"/>
  <c r="AU481" i="50"/>
  <c r="AW481" i="50"/>
  <c r="AX481" i="50"/>
  <c r="AY481" i="50"/>
  <c r="BA481" i="50"/>
  <c r="A482" i="50"/>
  <c r="B482" i="50"/>
  <c r="D482" i="50"/>
  <c r="E482" i="50"/>
  <c r="F482" i="50"/>
  <c r="G482" i="50"/>
  <c r="H482" i="50"/>
  <c r="J482" i="50"/>
  <c r="K482" i="50"/>
  <c r="L482" i="50"/>
  <c r="M482" i="50"/>
  <c r="O482" i="50"/>
  <c r="P482" i="50"/>
  <c r="R482" i="50"/>
  <c r="S482" i="50"/>
  <c r="T482" i="50"/>
  <c r="U482" i="50"/>
  <c r="V482" i="50"/>
  <c r="W482" i="50"/>
  <c r="X482" i="50"/>
  <c r="AO482" i="50"/>
  <c r="AP482" i="50"/>
  <c r="AQ482" i="50"/>
  <c r="AR482" i="50"/>
  <c r="AS482" i="50"/>
  <c r="AT482" i="50"/>
  <c r="AU482" i="50"/>
  <c r="AW482" i="50"/>
  <c r="AX482" i="50"/>
  <c r="AY482" i="50"/>
  <c r="BA482" i="50"/>
  <c r="A483" i="50"/>
  <c r="B483" i="50"/>
  <c r="D483" i="50"/>
  <c r="E483" i="50"/>
  <c r="F483" i="50"/>
  <c r="G483" i="50"/>
  <c r="H483" i="50"/>
  <c r="J483" i="50"/>
  <c r="K483" i="50"/>
  <c r="L483" i="50"/>
  <c r="M483" i="50"/>
  <c r="O483" i="50"/>
  <c r="P483" i="50"/>
  <c r="R483" i="50"/>
  <c r="S483" i="50"/>
  <c r="T483" i="50"/>
  <c r="U483" i="50"/>
  <c r="V483" i="50"/>
  <c r="W483" i="50"/>
  <c r="X483" i="50"/>
  <c r="AO483" i="50"/>
  <c r="AP483" i="50"/>
  <c r="AQ483" i="50"/>
  <c r="AR483" i="50"/>
  <c r="AS483" i="50"/>
  <c r="AT483" i="50"/>
  <c r="AU483" i="50"/>
  <c r="AW483" i="50"/>
  <c r="AX483" i="50"/>
  <c r="AY483" i="50"/>
  <c r="BA483" i="50"/>
  <c r="A484" i="50"/>
  <c r="B484" i="50"/>
  <c r="D484" i="50"/>
  <c r="E484" i="50"/>
  <c r="F484" i="50"/>
  <c r="G484" i="50"/>
  <c r="H484" i="50"/>
  <c r="J484" i="50"/>
  <c r="K484" i="50"/>
  <c r="L484" i="50"/>
  <c r="M484" i="50"/>
  <c r="O484" i="50"/>
  <c r="P484" i="50"/>
  <c r="R484" i="50"/>
  <c r="S484" i="50"/>
  <c r="T484" i="50"/>
  <c r="U484" i="50"/>
  <c r="V484" i="50"/>
  <c r="W484" i="50"/>
  <c r="X484" i="50"/>
  <c r="AO484" i="50"/>
  <c r="AP484" i="50"/>
  <c r="AQ484" i="50"/>
  <c r="AR484" i="50"/>
  <c r="AS484" i="50"/>
  <c r="AT484" i="50"/>
  <c r="AU484" i="50"/>
  <c r="AW484" i="50"/>
  <c r="AX484" i="50"/>
  <c r="AY484" i="50"/>
  <c r="BA484" i="50"/>
  <c r="A485" i="50"/>
  <c r="B485" i="50"/>
  <c r="D485" i="50"/>
  <c r="E485" i="50"/>
  <c r="F485" i="50"/>
  <c r="G485" i="50"/>
  <c r="H485" i="50"/>
  <c r="J485" i="50"/>
  <c r="K485" i="50"/>
  <c r="L485" i="50"/>
  <c r="M485" i="50"/>
  <c r="O485" i="50"/>
  <c r="P485" i="50"/>
  <c r="R485" i="50"/>
  <c r="S485" i="50"/>
  <c r="T485" i="50"/>
  <c r="U485" i="50"/>
  <c r="V485" i="50"/>
  <c r="W485" i="50"/>
  <c r="X485" i="50"/>
  <c r="AO485" i="50"/>
  <c r="AP485" i="50"/>
  <c r="AQ485" i="50"/>
  <c r="AR485" i="50"/>
  <c r="AS485" i="50"/>
  <c r="AT485" i="50"/>
  <c r="AU485" i="50"/>
  <c r="AW485" i="50"/>
  <c r="AX485" i="50"/>
  <c r="AY485" i="50"/>
  <c r="BA485" i="50"/>
  <c r="A486" i="50"/>
  <c r="B486" i="50"/>
  <c r="D486" i="50"/>
  <c r="E486" i="50"/>
  <c r="F486" i="50"/>
  <c r="G486" i="50"/>
  <c r="H486" i="50"/>
  <c r="J486" i="50"/>
  <c r="K486" i="50"/>
  <c r="L486" i="50"/>
  <c r="M486" i="50"/>
  <c r="O486" i="50"/>
  <c r="P486" i="50"/>
  <c r="R486" i="50"/>
  <c r="S486" i="50"/>
  <c r="T486" i="50"/>
  <c r="U486" i="50"/>
  <c r="V486" i="50"/>
  <c r="W486" i="50"/>
  <c r="X486" i="50"/>
  <c r="AO486" i="50"/>
  <c r="AP486" i="50"/>
  <c r="AQ486" i="50"/>
  <c r="AR486" i="50"/>
  <c r="AS486" i="50"/>
  <c r="AT486" i="50"/>
  <c r="AU486" i="50"/>
  <c r="AW486" i="50"/>
  <c r="AX486" i="50"/>
  <c r="AY486" i="50"/>
  <c r="BA486" i="50"/>
  <c r="A487" i="50"/>
  <c r="B487" i="50"/>
  <c r="D487" i="50"/>
  <c r="E487" i="50"/>
  <c r="F487" i="50"/>
  <c r="G487" i="50"/>
  <c r="H487" i="50"/>
  <c r="J487" i="50"/>
  <c r="K487" i="50"/>
  <c r="L487" i="50"/>
  <c r="M487" i="50"/>
  <c r="O487" i="50"/>
  <c r="P487" i="50"/>
  <c r="R487" i="50"/>
  <c r="S487" i="50"/>
  <c r="T487" i="50"/>
  <c r="U487" i="50"/>
  <c r="V487" i="50"/>
  <c r="W487" i="50"/>
  <c r="X487" i="50"/>
  <c r="AO487" i="50"/>
  <c r="AP487" i="50"/>
  <c r="AQ487" i="50"/>
  <c r="AR487" i="50"/>
  <c r="AS487" i="50"/>
  <c r="AT487" i="50"/>
  <c r="AU487" i="50"/>
  <c r="AW487" i="50"/>
  <c r="AX487" i="50"/>
  <c r="AY487" i="50"/>
  <c r="BA487" i="50"/>
  <c r="A488" i="50"/>
  <c r="B488" i="50"/>
  <c r="D488" i="50"/>
  <c r="E488" i="50"/>
  <c r="F488" i="50"/>
  <c r="G488" i="50"/>
  <c r="H488" i="50"/>
  <c r="J488" i="50"/>
  <c r="K488" i="50"/>
  <c r="L488" i="50"/>
  <c r="M488" i="50"/>
  <c r="O488" i="50"/>
  <c r="P488" i="50"/>
  <c r="R488" i="50"/>
  <c r="S488" i="50"/>
  <c r="T488" i="50"/>
  <c r="U488" i="50"/>
  <c r="V488" i="50"/>
  <c r="W488" i="50"/>
  <c r="X488" i="50"/>
  <c r="AO488" i="50"/>
  <c r="AP488" i="50"/>
  <c r="AQ488" i="50"/>
  <c r="AR488" i="50"/>
  <c r="AS488" i="50"/>
  <c r="AT488" i="50"/>
  <c r="AU488" i="50"/>
  <c r="AW488" i="50"/>
  <c r="AX488" i="50"/>
  <c r="AY488" i="50"/>
  <c r="BA488" i="50"/>
  <c r="A489" i="50"/>
  <c r="B489" i="50"/>
  <c r="D489" i="50"/>
  <c r="E489" i="50"/>
  <c r="F489" i="50"/>
  <c r="G489" i="50"/>
  <c r="H489" i="50"/>
  <c r="J489" i="50"/>
  <c r="K489" i="50"/>
  <c r="L489" i="50"/>
  <c r="M489" i="50"/>
  <c r="O489" i="50"/>
  <c r="P489" i="50"/>
  <c r="R489" i="50"/>
  <c r="S489" i="50"/>
  <c r="T489" i="50"/>
  <c r="U489" i="50"/>
  <c r="V489" i="50"/>
  <c r="W489" i="50"/>
  <c r="X489" i="50"/>
  <c r="AO489" i="50"/>
  <c r="AP489" i="50"/>
  <c r="AQ489" i="50"/>
  <c r="AR489" i="50"/>
  <c r="AS489" i="50"/>
  <c r="AT489" i="50"/>
  <c r="AU489" i="50"/>
  <c r="AW489" i="50"/>
  <c r="AX489" i="50"/>
  <c r="AY489" i="50"/>
  <c r="BA489" i="50"/>
  <c r="A490" i="50"/>
  <c r="B490" i="50"/>
  <c r="D490" i="50"/>
  <c r="E490" i="50"/>
  <c r="F490" i="50"/>
  <c r="G490" i="50"/>
  <c r="H490" i="50"/>
  <c r="J490" i="50"/>
  <c r="K490" i="50"/>
  <c r="L490" i="50"/>
  <c r="M490" i="50"/>
  <c r="O490" i="50"/>
  <c r="P490" i="50"/>
  <c r="R490" i="50"/>
  <c r="S490" i="50"/>
  <c r="T490" i="50"/>
  <c r="U490" i="50"/>
  <c r="V490" i="50"/>
  <c r="W490" i="50"/>
  <c r="X490" i="50"/>
  <c r="AO490" i="50"/>
  <c r="AP490" i="50"/>
  <c r="AQ490" i="50"/>
  <c r="AR490" i="50"/>
  <c r="AS490" i="50"/>
  <c r="AT490" i="50"/>
  <c r="AU490" i="50"/>
  <c r="AW490" i="50"/>
  <c r="AX490" i="50"/>
  <c r="AY490" i="50"/>
  <c r="BA490" i="50"/>
  <c r="A491" i="50"/>
  <c r="B491" i="50"/>
  <c r="D491" i="50"/>
  <c r="E491" i="50"/>
  <c r="F491" i="50"/>
  <c r="G491" i="50"/>
  <c r="H491" i="50"/>
  <c r="J491" i="50"/>
  <c r="K491" i="50"/>
  <c r="L491" i="50"/>
  <c r="M491" i="50"/>
  <c r="O491" i="50"/>
  <c r="P491" i="50"/>
  <c r="R491" i="50"/>
  <c r="S491" i="50"/>
  <c r="T491" i="50"/>
  <c r="U491" i="50"/>
  <c r="V491" i="50"/>
  <c r="W491" i="50"/>
  <c r="X491" i="50"/>
  <c r="AO491" i="50"/>
  <c r="AP491" i="50"/>
  <c r="AQ491" i="50"/>
  <c r="AR491" i="50"/>
  <c r="AS491" i="50"/>
  <c r="AT491" i="50"/>
  <c r="AU491" i="50"/>
  <c r="AW491" i="50"/>
  <c r="AX491" i="50"/>
  <c r="AY491" i="50"/>
  <c r="BA491" i="50"/>
  <c r="A492" i="50"/>
  <c r="B492" i="50"/>
  <c r="D492" i="50"/>
  <c r="E492" i="50"/>
  <c r="F492" i="50"/>
  <c r="G492" i="50"/>
  <c r="H492" i="50"/>
  <c r="J492" i="50"/>
  <c r="K492" i="50"/>
  <c r="L492" i="50"/>
  <c r="M492" i="50"/>
  <c r="O492" i="50"/>
  <c r="P492" i="50"/>
  <c r="R492" i="50"/>
  <c r="S492" i="50"/>
  <c r="T492" i="50"/>
  <c r="U492" i="50"/>
  <c r="V492" i="50"/>
  <c r="W492" i="50"/>
  <c r="X492" i="50"/>
  <c r="AO492" i="50"/>
  <c r="AP492" i="50"/>
  <c r="AQ492" i="50"/>
  <c r="AR492" i="50"/>
  <c r="AS492" i="50"/>
  <c r="AT492" i="50"/>
  <c r="AU492" i="50"/>
  <c r="AW492" i="50"/>
  <c r="AX492" i="50"/>
  <c r="AY492" i="50"/>
  <c r="BA492" i="50"/>
  <c r="A493" i="50"/>
  <c r="B493" i="50"/>
  <c r="D493" i="50"/>
  <c r="E493" i="50"/>
  <c r="F493" i="50"/>
  <c r="G493" i="50"/>
  <c r="H493" i="50"/>
  <c r="J493" i="50"/>
  <c r="K493" i="50"/>
  <c r="L493" i="50"/>
  <c r="M493" i="50"/>
  <c r="O493" i="50"/>
  <c r="P493" i="50"/>
  <c r="R493" i="50"/>
  <c r="S493" i="50"/>
  <c r="T493" i="50"/>
  <c r="U493" i="50"/>
  <c r="V493" i="50"/>
  <c r="W493" i="50"/>
  <c r="X493" i="50"/>
  <c r="AO493" i="50"/>
  <c r="AP493" i="50"/>
  <c r="AQ493" i="50"/>
  <c r="AR493" i="50"/>
  <c r="AS493" i="50"/>
  <c r="AT493" i="50"/>
  <c r="AU493" i="50"/>
  <c r="AW493" i="50"/>
  <c r="AX493" i="50"/>
  <c r="AY493" i="50"/>
  <c r="BA493" i="50"/>
  <c r="A494" i="50"/>
  <c r="B494" i="50"/>
  <c r="D494" i="50"/>
  <c r="E494" i="50"/>
  <c r="F494" i="50"/>
  <c r="G494" i="50"/>
  <c r="H494" i="50"/>
  <c r="J494" i="50"/>
  <c r="K494" i="50"/>
  <c r="L494" i="50"/>
  <c r="M494" i="50"/>
  <c r="O494" i="50"/>
  <c r="P494" i="50"/>
  <c r="R494" i="50"/>
  <c r="S494" i="50"/>
  <c r="T494" i="50"/>
  <c r="U494" i="50"/>
  <c r="V494" i="50"/>
  <c r="W494" i="50"/>
  <c r="X494" i="50"/>
  <c r="AO494" i="50"/>
  <c r="AP494" i="50"/>
  <c r="AQ494" i="50"/>
  <c r="AR494" i="50"/>
  <c r="AS494" i="50"/>
  <c r="AT494" i="50"/>
  <c r="AU494" i="50"/>
  <c r="AW494" i="50"/>
  <c r="AX494" i="50"/>
  <c r="AY494" i="50"/>
  <c r="BA494" i="50"/>
  <c r="A495" i="50"/>
  <c r="B495" i="50"/>
  <c r="D495" i="50"/>
  <c r="E495" i="50"/>
  <c r="F495" i="50"/>
  <c r="G495" i="50"/>
  <c r="H495" i="50"/>
  <c r="J495" i="50"/>
  <c r="K495" i="50"/>
  <c r="L495" i="50"/>
  <c r="M495" i="50"/>
  <c r="O495" i="50"/>
  <c r="P495" i="50"/>
  <c r="R495" i="50"/>
  <c r="S495" i="50"/>
  <c r="T495" i="50"/>
  <c r="U495" i="50"/>
  <c r="V495" i="50"/>
  <c r="W495" i="50"/>
  <c r="X495" i="50"/>
  <c r="AO495" i="50"/>
  <c r="AP495" i="50"/>
  <c r="AQ495" i="50"/>
  <c r="AR495" i="50"/>
  <c r="AS495" i="50"/>
  <c r="AT495" i="50"/>
  <c r="AU495" i="50"/>
  <c r="AW495" i="50"/>
  <c r="AX495" i="50"/>
  <c r="AY495" i="50"/>
  <c r="BA495" i="50"/>
  <c r="A496" i="50"/>
  <c r="B496" i="50"/>
  <c r="D496" i="50"/>
  <c r="E496" i="50"/>
  <c r="F496" i="50"/>
  <c r="G496" i="50"/>
  <c r="H496" i="50"/>
  <c r="J496" i="50"/>
  <c r="K496" i="50"/>
  <c r="L496" i="50"/>
  <c r="M496" i="50"/>
  <c r="O496" i="50"/>
  <c r="P496" i="50"/>
  <c r="R496" i="50"/>
  <c r="S496" i="50"/>
  <c r="T496" i="50"/>
  <c r="U496" i="50"/>
  <c r="V496" i="50"/>
  <c r="W496" i="50"/>
  <c r="X496" i="50"/>
  <c r="AO496" i="50"/>
  <c r="AP496" i="50"/>
  <c r="AQ496" i="50"/>
  <c r="AR496" i="50"/>
  <c r="AS496" i="50"/>
  <c r="AT496" i="50"/>
  <c r="AU496" i="50"/>
  <c r="AW496" i="50"/>
  <c r="AX496" i="50"/>
  <c r="AY496" i="50"/>
  <c r="BA496" i="50"/>
  <c r="A497" i="50"/>
  <c r="B497" i="50"/>
  <c r="D497" i="50"/>
  <c r="E497" i="50"/>
  <c r="F497" i="50"/>
  <c r="G497" i="50"/>
  <c r="H497" i="50"/>
  <c r="J497" i="50"/>
  <c r="K497" i="50"/>
  <c r="L497" i="50"/>
  <c r="M497" i="50"/>
  <c r="O497" i="50"/>
  <c r="P497" i="50"/>
  <c r="R497" i="50"/>
  <c r="S497" i="50"/>
  <c r="T497" i="50"/>
  <c r="U497" i="50"/>
  <c r="V497" i="50"/>
  <c r="W497" i="50"/>
  <c r="X497" i="50"/>
  <c r="AO497" i="50"/>
  <c r="AP497" i="50"/>
  <c r="AQ497" i="50"/>
  <c r="AR497" i="50"/>
  <c r="AS497" i="50"/>
  <c r="AT497" i="50"/>
  <c r="AU497" i="50"/>
  <c r="AW497" i="50"/>
  <c r="AX497" i="50"/>
  <c r="AY497" i="50"/>
  <c r="BA497" i="50"/>
  <c r="A498" i="50"/>
  <c r="B498" i="50"/>
  <c r="D498" i="50"/>
  <c r="E498" i="50"/>
  <c r="F498" i="50"/>
  <c r="G498" i="50"/>
  <c r="H498" i="50"/>
  <c r="J498" i="50"/>
  <c r="K498" i="50"/>
  <c r="L498" i="50"/>
  <c r="M498" i="50"/>
  <c r="O498" i="50"/>
  <c r="P498" i="50"/>
  <c r="R498" i="50"/>
  <c r="S498" i="50"/>
  <c r="T498" i="50"/>
  <c r="U498" i="50"/>
  <c r="V498" i="50"/>
  <c r="W498" i="50"/>
  <c r="X498" i="50"/>
  <c r="AO498" i="50"/>
  <c r="AP498" i="50"/>
  <c r="AQ498" i="50"/>
  <c r="AR498" i="50"/>
  <c r="AS498" i="50"/>
  <c r="AT498" i="50"/>
  <c r="AU498" i="50"/>
  <c r="AW498" i="50"/>
  <c r="AX498" i="50"/>
  <c r="AY498" i="50"/>
  <c r="BA498" i="50"/>
  <c r="A499" i="50"/>
  <c r="B499" i="50"/>
  <c r="D499" i="50"/>
  <c r="E499" i="50"/>
  <c r="F499" i="50"/>
  <c r="G499" i="50"/>
  <c r="H499" i="50"/>
  <c r="J499" i="50"/>
  <c r="K499" i="50"/>
  <c r="L499" i="50"/>
  <c r="M499" i="50"/>
  <c r="O499" i="50"/>
  <c r="P499" i="50"/>
  <c r="R499" i="50"/>
  <c r="S499" i="50"/>
  <c r="T499" i="50"/>
  <c r="U499" i="50"/>
  <c r="V499" i="50"/>
  <c r="W499" i="50"/>
  <c r="X499" i="50"/>
  <c r="AO499" i="50"/>
  <c r="AP499" i="50"/>
  <c r="AQ499" i="50"/>
  <c r="AR499" i="50"/>
  <c r="AS499" i="50"/>
  <c r="AT499" i="50"/>
  <c r="AU499" i="50"/>
  <c r="AW499" i="50"/>
  <c r="AX499" i="50"/>
  <c r="AY499" i="50"/>
  <c r="BA499" i="50"/>
  <c r="A500" i="50"/>
  <c r="B500" i="50"/>
  <c r="AW500" i="50"/>
  <c r="AX500" i="50"/>
  <c r="AY500" i="50"/>
  <c r="BA500" i="50"/>
  <c r="B501" i="50"/>
  <c r="AW501" i="50"/>
  <c r="AX501" i="50"/>
  <c r="AY501" i="50"/>
  <c r="BA501" i="50"/>
  <c r="D6" i="47"/>
  <c r="E6" i="47"/>
  <c r="F6" i="47"/>
  <c r="G6" i="47"/>
  <c r="H6" i="47"/>
  <c r="I6" i="47"/>
  <c r="L6" i="47"/>
  <c r="M6" i="47"/>
  <c r="Q6" i="47"/>
  <c r="S6" i="47"/>
  <c r="W6" i="47"/>
  <c r="Y6" i="47"/>
  <c r="AT6" i="47"/>
  <c r="E8" i="47"/>
  <c r="F8" i="47"/>
  <c r="G8" i="47"/>
  <c r="H8" i="47"/>
  <c r="I8" i="47"/>
  <c r="J8" i="47"/>
  <c r="K8" i="47"/>
  <c r="L8" i="47"/>
  <c r="M8" i="47"/>
  <c r="N8" i="47"/>
  <c r="O8" i="47"/>
  <c r="P8" i="47"/>
  <c r="Q8" i="47"/>
  <c r="R8" i="47"/>
  <c r="S8" i="47"/>
  <c r="T8" i="47"/>
  <c r="U8" i="47"/>
  <c r="V8" i="47"/>
  <c r="W8" i="47"/>
  <c r="X8" i="47"/>
  <c r="Y8" i="47"/>
  <c r="Z8" i="47"/>
  <c r="AA8" i="47"/>
  <c r="AB8" i="47"/>
  <c r="AC8" i="47"/>
  <c r="AD8" i="47"/>
  <c r="AE8" i="47"/>
  <c r="AF8" i="47"/>
  <c r="AG8" i="47"/>
  <c r="AH8" i="47"/>
  <c r="AI8" i="47"/>
  <c r="AJ8" i="47"/>
  <c r="AK8" i="47"/>
  <c r="AL8" i="47"/>
  <c r="AM8" i="47"/>
  <c r="AN8" i="47"/>
  <c r="AO8" i="47"/>
  <c r="AP8" i="47"/>
  <c r="AQ8" i="47"/>
  <c r="D11" i="47"/>
  <c r="E11" i="47"/>
  <c r="F11" i="47"/>
  <c r="G11" i="47"/>
  <c r="H11" i="47"/>
  <c r="I11" i="47"/>
  <c r="J11" i="47"/>
  <c r="K11" i="47"/>
  <c r="L11" i="47"/>
  <c r="M11" i="47"/>
  <c r="N11" i="47"/>
  <c r="O11" i="47"/>
  <c r="P11" i="47"/>
  <c r="Q11" i="47"/>
  <c r="R11" i="47"/>
  <c r="S11" i="47"/>
  <c r="T11" i="47"/>
  <c r="U11" i="47"/>
  <c r="V11" i="47"/>
  <c r="W11" i="47"/>
  <c r="X11" i="47"/>
  <c r="Y11" i="47"/>
  <c r="Z11" i="47"/>
  <c r="AA11" i="47"/>
  <c r="AB11" i="47"/>
  <c r="AC11" i="47"/>
  <c r="AD11" i="47"/>
  <c r="AE11" i="47"/>
  <c r="AF11" i="47"/>
  <c r="AG11" i="47"/>
  <c r="AH11" i="47"/>
  <c r="AI11" i="47"/>
  <c r="AJ11" i="47"/>
  <c r="AK11" i="47"/>
  <c r="AL11" i="47"/>
  <c r="AM11" i="47"/>
  <c r="AN11" i="47"/>
  <c r="AO11" i="47"/>
  <c r="AP11" i="47"/>
  <c r="AQ11" i="47"/>
  <c r="AV11" i="47"/>
  <c r="D12" i="47"/>
  <c r="E12" i="47"/>
  <c r="F12" i="47"/>
  <c r="G12" i="47"/>
  <c r="H12" i="47"/>
  <c r="I12" i="47"/>
  <c r="J12" i="47"/>
  <c r="K12" i="47"/>
  <c r="L12" i="47"/>
  <c r="M12" i="47"/>
  <c r="N12" i="47"/>
  <c r="O12" i="47"/>
  <c r="P12" i="47"/>
  <c r="Q12" i="47"/>
  <c r="R12" i="47"/>
  <c r="S12" i="47"/>
  <c r="T12" i="47"/>
  <c r="U12" i="47"/>
  <c r="V12" i="47"/>
  <c r="W12" i="47"/>
  <c r="X12" i="47"/>
  <c r="Y12" i="47"/>
  <c r="Z12" i="47"/>
  <c r="AA12" i="47"/>
  <c r="AB12" i="47"/>
  <c r="AC12" i="47"/>
  <c r="AD12" i="47"/>
  <c r="AE12" i="47"/>
  <c r="AF12" i="47"/>
  <c r="AG12" i="47"/>
  <c r="AH12" i="47"/>
  <c r="AI12" i="47"/>
  <c r="AJ12" i="47"/>
  <c r="AK12" i="47"/>
  <c r="AL12" i="47"/>
  <c r="AM12" i="47"/>
  <c r="AN12" i="47"/>
  <c r="AO12" i="47"/>
  <c r="AP12" i="47"/>
  <c r="AQ12" i="47"/>
  <c r="AV12" i="47"/>
  <c r="C17" i="47"/>
  <c r="AR17" i="47"/>
  <c r="AT17" i="47"/>
  <c r="AU17" i="47"/>
  <c r="AV17" i="47"/>
  <c r="C18" i="47"/>
  <c r="AR18" i="47"/>
  <c r="AT18" i="47"/>
  <c r="AU18" i="47"/>
  <c r="AV18" i="47"/>
  <c r="C19" i="47"/>
  <c r="AR19" i="47"/>
  <c r="AT19" i="47"/>
  <c r="AU19" i="47"/>
  <c r="AV19" i="47"/>
  <c r="C20" i="47"/>
  <c r="AR20" i="47"/>
  <c r="AT20" i="47"/>
  <c r="AU20" i="47"/>
  <c r="AV20" i="47"/>
  <c r="C21" i="47"/>
  <c r="AR21" i="47"/>
  <c r="AT21" i="47"/>
  <c r="AU21" i="47"/>
  <c r="AV21" i="47"/>
  <c r="C22" i="47"/>
  <c r="AR22" i="47"/>
  <c r="AT22" i="47"/>
  <c r="AU22" i="47"/>
  <c r="AV22" i="47"/>
  <c r="C23" i="47"/>
  <c r="AR23" i="47"/>
  <c r="AT23" i="47"/>
  <c r="AU23" i="47"/>
  <c r="AV23" i="47"/>
  <c r="C24" i="47"/>
  <c r="AR24" i="47"/>
  <c r="AT24" i="47"/>
  <c r="AU24" i="47"/>
  <c r="AV24" i="47"/>
  <c r="C25" i="47"/>
  <c r="AR25" i="47"/>
  <c r="AT25" i="47"/>
  <c r="AU25" i="47"/>
  <c r="AV25" i="47"/>
  <c r="C26" i="47"/>
  <c r="AR26" i="47"/>
  <c r="AT26" i="47"/>
  <c r="AU26" i="47"/>
  <c r="AV26" i="47"/>
  <c r="C27" i="47"/>
  <c r="AR27" i="47"/>
  <c r="AT27" i="47"/>
  <c r="AU27" i="47"/>
  <c r="AV27" i="47"/>
  <c r="C28" i="47"/>
  <c r="AR28" i="47"/>
  <c r="AT28" i="47"/>
  <c r="AU28" i="47"/>
  <c r="AV28" i="47"/>
  <c r="C29" i="47"/>
  <c r="AR29" i="47"/>
  <c r="AT29" i="47"/>
  <c r="AU29" i="47"/>
  <c r="AV29" i="47"/>
  <c r="C30" i="47"/>
  <c r="AR30" i="47"/>
  <c r="AT30" i="47"/>
  <c r="AU30" i="47"/>
  <c r="AV30" i="47"/>
  <c r="C31" i="47"/>
  <c r="AR31" i="47"/>
  <c r="AT31" i="47"/>
  <c r="AU31" i="47"/>
  <c r="AV31" i="47"/>
  <c r="C32" i="47"/>
  <c r="AR32" i="47"/>
  <c r="AT32" i="47"/>
  <c r="AU32" i="47"/>
  <c r="AV32" i="47"/>
  <c r="C33" i="47"/>
  <c r="AR33" i="47"/>
  <c r="AT33" i="47"/>
  <c r="AU33" i="47"/>
  <c r="AV33" i="47"/>
  <c r="C34" i="47"/>
  <c r="AR34" i="47"/>
  <c r="AT34" i="47"/>
  <c r="AU34" i="47"/>
  <c r="AV34" i="47"/>
  <c r="C35" i="47"/>
  <c r="AR35" i="47"/>
  <c r="AT35" i="47"/>
  <c r="AU35" i="47"/>
  <c r="AV35" i="47"/>
  <c r="C36" i="47"/>
  <c r="AR36" i="47"/>
  <c r="AT36" i="47"/>
  <c r="AU36" i="47"/>
  <c r="AV36" i="47"/>
  <c r="C37" i="47"/>
  <c r="AR37" i="47"/>
  <c r="AT37" i="47"/>
  <c r="AU37" i="47"/>
  <c r="AV37" i="47"/>
  <c r="C38" i="47"/>
  <c r="AR38" i="47"/>
  <c r="AT38" i="47"/>
  <c r="AU38" i="47"/>
  <c r="AV38" i="47"/>
  <c r="C39" i="47"/>
  <c r="AR39" i="47"/>
  <c r="AT39" i="47"/>
  <c r="AU39" i="47"/>
  <c r="AV39" i="47"/>
  <c r="C40" i="47"/>
  <c r="AR40" i="47"/>
  <c r="AT40" i="47"/>
  <c r="AU40" i="47"/>
  <c r="AV40" i="47"/>
  <c r="C41" i="47"/>
  <c r="AR41" i="47"/>
  <c r="AT41" i="47"/>
  <c r="AU41" i="47"/>
  <c r="AV41" i="47"/>
  <c r="C42" i="47"/>
  <c r="AR42" i="47"/>
  <c r="AT42" i="47"/>
  <c r="AU42" i="47"/>
  <c r="AV42" i="47"/>
  <c r="C43" i="47"/>
  <c r="AR43" i="47"/>
  <c r="AT43" i="47"/>
  <c r="AU43" i="47"/>
  <c r="AV43" i="47"/>
  <c r="C44" i="47"/>
  <c r="AR44" i="47"/>
  <c r="AT44" i="47"/>
  <c r="AU44" i="47"/>
  <c r="AV44" i="47"/>
  <c r="C45" i="47"/>
  <c r="AR45" i="47"/>
  <c r="AT45" i="47"/>
  <c r="AU45" i="47"/>
  <c r="AV45" i="47"/>
  <c r="C46" i="47"/>
  <c r="AR46" i="47"/>
  <c r="AT46" i="47"/>
  <c r="AU46" i="47"/>
  <c r="AV46" i="47"/>
  <c r="C47" i="47"/>
  <c r="AR47" i="47"/>
  <c r="AT47" i="47"/>
  <c r="AU47" i="47"/>
  <c r="AV47" i="47"/>
  <c r="C48" i="47"/>
  <c r="AR48" i="47"/>
  <c r="AT48" i="47"/>
  <c r="AU48" i="47"/>
  <c r="AV48" i="47"/>
  <c r="C49" i="47"/>
  <c r="AR49" i="47"/>
  <c r="AT49" i="47"/>
  <c r="AU49" i="47"/>
  <c r="AV49" i="47"/>
  <c r="C50" i="47"/>
  <c r="AR50" i="47"/>
  <c r="AT50" i="47"/>
  <c r="AU50" i="47"/>
  <c r="AV50" i="47"/>
  <c r="C51" i="47"/>
  <c r="AR51" i="47"/>
  <c r="AT51" i="47"/>
  <c r="AU51" i="47"/>
  <c r="AV51" i="47"/>
  <c r="C52" i="47"/>
  <c r="AR52" i="47"/>
  <c r="AT52" i="47"/>
  <c r="AU52" i="47"/>
  <c r="AV52" i="47"/>
  <c r="C53" i="47"/>
  <c r="AR53" i="47"/>
  <c r="AT53" i="47"/>
  <c r="AU53" i="47"/>
  <c r="AV53" i="47"/>
  <c r="C54" i="47"/>
  <c r="AR54" i="47"/>
  <c r="AT54" i="47"/>
  <c r="AU54" i="47"/>
  <c r="AV54" i="47"/>
  <c r="C55" i="47"/>
  <c r="AR55" i="47"/>
  <c r="AT55" i="47"/>
  <c r="AU55" i="47"/>
  <c r="AV55" i="47"/>
  <c r="C56" i="47"/>
  <c r="AR56" i="47"/>
  <c r="AT56" i="47"/>
  <c r="AU56" i="47"/>
  <c r="AV56" i="47"/>
  <c r="C57" i="47"/>
  <c r="AR57" i="47"/>
  <c r="AT57" i="47"/>
  <c r="AU57" i="47"/>
  <c r="AV57" i="47"/>
  <c r="C58" i="47"/>
  <c r="AR58" i="47"/>
  <c r="AT58" i="47"/>
  <c r="AU58" i="47"/>
  <c r="AV58" i="47"/>
  <c r="C59" i="47"/>
  <c r="AR59" i="47"/>
  <c r="AT59" i="47"/>
  <c r="AU59" i="47"/>
  <c r="AV59" i="47"/>
  <c r="C60" i="47"/>
  <c r="AR60" i="47"/>
  <c r="AT60" i="47"/>
  <c r="AU60" i="47"/>
  <c r="AV60" i="47"/>
  <c r="C61" i="47"/>
  <c r="AR61" i="47"/>
  <c r="AT61" i="47"/>
  <c r="AU61" i="47"/>
  <c r="AV61" i="47"/>
  <c r="C62" i="47"/>
  <c r="AR62" i="47"/>
  <c r="AT62" i="47"/>
  <c r="AU62" i="47"/>
  <c r="AV62" i="47"/>
  <c r="C63" i="47"/>
  <c r="AR63" i="47"/>
  <c r="AT63" i="47"/>
  <c r="AU63" i="47"/>
  <c r="AV63" i="47"/>
  <c r="C64" i="47"/>
  <c r="AR64" i="47"/>
  <c r="AT64" i="47"/>
  <c r="AU64" i="47"/>
  <c r="AV64" i="47"/>
  <c r="C65" i="47"/>
  <c r="AR65" i="47"/>
  <c r="AT65" i="47"/>
  <c r="AU65" i="47"/>
  <c r="AV65" i="47"/>
  <c r="C66" i="47"/>
  <c r="AR66" i="47"/>
  <c r="AT66" i="47"/>
  <c r="AU66" i="47"/>
  <c r="AV66" i="47"/>
  <c r="C67" i="47"/>
  <c r="AR67" i="47"/>
  <c r="AT67" i="47"/>
  <c r="AU67" i="47"/>
  <c r="AV67" i="47"/>
  <c r="C68" i="47"/>
  <c r="AR68" i="47"/>
  <c r="AT68" i="47"/>
  <c r="AU68" i="47"/>
  <c r="AV68" i="47"/>
  <c r="C69" i="47"/>
  <c r="AR69" i="47"/>
  <c r="AT69" i="47"/>
  <c r="AU69" i="47"/>
  <c r="AV69" i="47"/>
  <c r="C70" i="47"/>
  <c r="AR70" i="47"/>
  <c r="AT70" i="47"/>
  <c r="AU70" i="47"/>
  <c r="AV70" i="47"/>
  <c r="C71" i="47"/>
  <c r="AR71" i="47"/>
  <c r="AT71" i="47"/>
  <c r="AU71" i="47"/>
  <c r="AV71" i="47"/>
  <c r="C72" i="47"/>
  <c r="AR72" i="47"/>
  <c r="AT72" i="47"/>
  <c r="AU72" i="47"/>
  <c r="AV72" i="47"/>
  <c r="C73" i="47"/>
  <c r="AR73" i="47"/>
  <c r="AT73" i="47"/>
  <c r="AU73" i="47"/>
  <c r="AV73" i="47"/>
  <c r="C74" i="47"/>
  <c r="AR74" i="47"/>
  <c r="AT74" i="47"/>
  <c r="AU74" i="47"/>
  <c r="AV74" i="47"/>
  <c r="C75" i="47"/>
  <c r="AR75" i="47"/>
  <c r="AT75" i="47"/>
  <c r="AU75" i="47"/>
  <c r="AV75" i="47"/>
  <c r="C76" i="47"/>
  <c r="AR76" i="47"/>
  <c r="AT76" i="47"/>
  <c r="AU76" i="47"/>
  <c r="AV76" i="47"/>
  <c r="C77" i="47"/>
  <c r="AR77" i="47"/>
  <c r="AT77" i="47"/>
  <c r="AU77" i="47"/>
  <c r="AV77" i="47"/>
  <c r="C78" i="47"/>
  <c r="AR78" i="47"/>
  <c r="AT78" i="47"/>
  <c r="AU78" i="47"/>
  <c r="AV78" i="47"/>
  <c r="C79" i="47"/>
  <c r="AR79" i="47"/>
  <c r="AT79" i="47"/>
  <c r="AU79" i="47"/>
  <c r="AV79" i="47"/>
  <c r="C80" i="47"/>
  <c r="AR80" i="47"/>
  <c r="AT80" i="47"/>
  <c r="AU80" i="47"/>
  <c r="AV80" i="47"/>
  <c r="C81" i="47"/>
  <c r="AR81" i="47"/>
  <c r="AT81" i="47"/>
  <c r="AU81" i="47"/>
  <c r="AV81" i="47"/>
  <c r="C82" i="47"/>
  <c r="AR82" i="47"/>
  <c r="AT82" i="47"/>
  <c r="AU82" i="47"/>
  <c r="AV82" i="47"/>
  <c r="C83" i="47"/>
  <c r="AR83" i="47"/>
  <c r="AT83" i="47"/>
  <c r="AU83" i="47"/>
  <c r="AV83" i="47"/>
  <c r="C84" i="47"/>
  <c r="AR84" i="47"/>
  <c r="AT84" i="47"/>
  <c r="AU84" i="47"/>
  <c r="AV84" i="47"/>
  <c r="C85" i="47"/>
  <c r="AR85" i="47"/>
  <c r="AT85" i="47"/>
  <c r="AU85" i="47"/>
  <c r="AV85" i="47"/>
  <c r="C86" i="47"/>
  <c r="AR86" i="47"/>
  <c r="AT86" i="47"/>
  <c r="AU86" i="47"/>
  <c r="AV86" i="47"/>
  <c r="C87" i="47"/>
  <c r="AR87" i="47"/>
  <c r="AT87" i="47"/>
  <c r="AU87" i="47"/>
  <c r="AV87" i="47"/>
  <c r="C88" i="47"/>
  <c r="AR88" i="47"/>
  <c r="AT88" i="47"/>
  <c r="AU88" i="47"/>
  <c r="AV88" i="47"/>
  <c r="C89" i="47"/>
  <c r="AR89" i="47"/>
  <c r="AT89" i="47"/>
  <c r="AU89" i="47"/>
  <c r="AV89" i="47"/>
  <c r="C90" i="47"/>
  <c r="AR90" i="47"/>
  <c r="AT90" i="47"/>
  <c r="AU90" i="47"/>
  <c r="AV90" i="47"/>
  <c r="C91" i="47"/>
  <c r="AR91" i="47"/>
  <c r="AT91" i="47"/>
  <c r="AU91" i="47"/>
  <c r="AV91" i="47"/>
  <c r="C92" i="47"/>
  <c r="AR92" i="47"/>
  <c r="AT92" i="47"/>
  <c r="AU92" i="47"/>
  <c r="AV92" i="47"/>
  <c r="C93" i="47"/>
  <c r="AR93" i="47"/>
  <c r="AT93" i="47"/>
  <c r="AU93" i="47"/>
  <c r="AV93" i="47"/>
  <c r="C94" i="47"/>
  <c r="AR94" i="47"/>
  <c r="AT94" i="47"/>
  <c r="AU94" i="47"/>
  <c r="AV94" i="47"/>
  <c r="C95" i="47"/>
  <c r="AR95" i="47"/>
  <c r="AT95" i="47"/>
  <c r="AU95" i="47"/>
  <c r="AV95" i="47"/>
  <c r="C96" i="47"/>
  <c r="AR96" i="47"/>
  <c r="AT96" i="47"/>
  <c r="AU96" i="47"/>
  <c r="AV96" i="47"/>
  <c r="C97" i="47"/>
  <c r="AR97" i="47"/>
  <c r="AT97" i="47"/>
  <c r="AU97" i="47"/>
  <c r="AV97" i="47"/>
  <c r="C98" i="47"/>
  <c r="AR98" i="47"/>
  <c r="AT98" i="47"/>
  <c r="AU98" i="47"/>
  <c r="AV98" i="47"/>
  <c r="C99" i="47"/>
  <c r="AR99" i="47"/>
  <c r="AT99" i="47"/>
  <c r="AU99" i="47"/>
  <c r="AV99" i="47"/>
  <c r="C100" i="47"/>
  <c r="AR100" i="47"/>
  <c r="AT100" i="47"/>
  <c r="AU100" i="47"/>
  <c r="AV100" i="47"/>
  <c r="C101" i="47"/>
  <c r="AR101" i="47"/>
  <c r="AT101" i="47"/>
  <c r="AU101" i="47"/>
  <c r="AV101" i="47"/>
  <c r="C102" i="47"/>
  <c r="AR102" i="47"/>
  <c r="AT102" i="47"/>
  <c r="AU102" i="47"/>
  <c r="AV102" i="47"/>
  <c r="C103" i="47"/>
  <c r="AR103" i="47"/>
  <c r="AT103" i="47"/>
  <c r="AU103" i="47"/>
  <c r="AV103" i="47"/>
  <c r="C104" i="47"/>
  <c r="AR104" i="47"/>
  <c r="AT104" i="47"/>
  <c r="AU104" i="47"/>
  <c r="AV104" i="47"/>
  <c r="C105" i="47"/>
  <c r="AR105" i="47"/>
  <c r="AT105" i="47"/>
  <c r="AU105" i="47"/>
  <c r="AV105" i="47"/>
  <c r="C106" i="47"/>
  <c r="AR106" i="47"/>
  <c r="AT106" i="47"/>
  <c r="AU106" i="47"/>
  <c r="AV106" i="47"/>
  <c r="C107" i="47"/>
  <c r="AR107" i="47"/>
  <c r="AT107" i="47"/>
  <c r="AU107" i="47"/>
  <c r="AV107" i="47"/>
  <c r="C108" i="47"/>
  <c r="AR108" i="47"/>
  <c r="AT108" i="47"/>
  <c r="AU108" i="47"/>
  <c r="AV108" i="47"/>
  <c r="C109" i="47"/>
  <c r="AR109" i="47"/>
  <c r="AT109" i="47"/>
  <c r="AU109" i="47"/>
  <c r="AV109" i="47"/>
  <c r="C110" i="47"/>
  <c r="AR110" i="47"/>
  <c r="AT110" i="47"/>
  <c r="AU110" i="47"/>
  <c r="AV110" i="47"/>
  <c r="C111" i="47"/>
  <c r="AR111" i="47"/>
  <c r="AT111" i="47"/>
  <c r="AU111" i="47"/>
  <c r="AV111" i="47"/>
  <c r="C112" i="47"/>
  <c r="AR112" i="47"/>
  <c r="AT112" i="47"/>
  <c r="AU112" i="47"/>
  <c r="AV112" i="47"/>
  <c r="C113" i="47"/>
  <c r="AR113" i="47"/>
  <c r="AT113" i="47"/>
  <c r="AU113" i="47"/>
  <c r="AV113" i="47"/>
  <c r="C114" i="47"/>
  <c r="AR114" i="47"/>
  <c r="AT114" i="47"/>
  <c r="AU114" i="47"/>
  <c r="AV114" i="47"/>
  <c r="C115" i="47"/>
  <c r="AR115" i="47"/>
  <c r="AT115" i="47"/>
  <c r="AU115" i="47"/>
  <c r="AV115" i="47"/>
  <c r="C116" i="47"/>
  <c r="AR116" i="47"/>
  <c r="AT116" i="47"/>
  <c r="AU116" i="47"/>
  <c r="AV116" i="47"/>
  <c r="C117" i="47"/>
  <c r="AR117" i="47"/>
  <c r="AT117" i="47"/>
  <c r="AU117" i="47"/>
  <c r="AV117" i="47"/>
  <c r="C118" i="47"/>
  <c r="AR118" i="47"/>
  <c r="AT118" i="47"/>
  <c r="AU118" i="47"/>
  <c r="AV118" i="47"/>
  <c r="C119" i="47"/>
  <c r="AR119" i="47"/>
  <c r="AT119" i="47"/>
  <c r="AU119" i="47"/>
  <c r="AV119" i="47"/>
  <c r="C120" i="47"/>
  <c r="AR120" i="47"/>
  <c r="AT120" i="47"/>
  <c r="AU120" i="47"/>
  <c r="AV120" i="47"/>
  <c r="C121" i="47"/>
  <c r="AR121" i="47"/>
  <c r="AT121" i="47"/>
  <c r="AU121" i="47"/>
  <c r="AV121" i="47"/>
  <c r="C122" i="47"/>
  <c r="AR122" i="47"/>
  <c r="AT122" i="47"/>
  <c r="AU122" i="47"/>
  <c r="AV122" i="47"/>
  <c r="C123" i="47"/>
  <c r="AR123" i="47"/>
  <c r="AT123" i="47"/>
  <c r="AU123" i="47"/>
  <c r="AV123" i="47"/>
  <c r="C124" i="47"/>
  <c r="AR124" i="47"/>
  <c r="AT124" i="47"/>
  <c r="AU124" i="47"/>
  <c r="AV124" i="47"/>
  <c r="C125" i="47"/>
  <c r="AR125" i="47"/>
  <c r="AT125" i="47"/>
  <c r="AU125" i="47"/>
  <c r="AV125" i="47"/>
  <c r="C126" i="47"/>
  <c r="AR126" i="47"/>
  <c r="AT126" i="47"/>
  <c r="AU126" i="47"/>
  <c r="AV126" i="47"/>
  <c r="C127" i="47"/>
  <c r="AR127" i="47"/>
  <c r="AT127" i="47"/>
  <c r="AU127" i="47"/>
  <c r="AV127" i="47"/>
  <c r="C128" i="47"/>
  <c r="AR128" i="47"/>
  <c r="AT128" i="47"/>
  <c r="AU128" i="47"/>
  <c r="AV128" i="47"/>
  <c r="C129" i="47"/>
  <c r="AR129" i="47"/>
  <c r="AT129" i="47"/>
  <c r="AU129" i="47"/>
  <c r="AV129" i="47"/>
  <c r="C130" i="47"/>
  <c r="AR130" i="47"/>
  <c r="AT130" i="47"/>
  <c r="AU130" i="47"/>
  <c r="AV130" i="47"/>
  <c r="C131" i="47"/>
  <c r="AR131" i="47"/>
  <c r="AT131" i="47"/>
  <c r="AU131" i="47"/>
  <c r="AV131" i="47"/>
  <c r="C132" i="47"/>
  <c r="AR132" i="47"/>
  <c r="AT132" i="47"/>
  <c r="AU132" i="47"/>
  <c r="AV132" i="47"/>
  <c r="C133" i="47"/>
  <c r="AR133" i="47"/>
  <c r="AT133" i="47"/>
  <c r="AU133" i="47"/>
  <c r="AV133" i="47"/>
  <c r="C134" i="47"/>
  <c r="AR134" i="47"/>
  <c r="AT134" i="47"/>
  <c r="AU134" i="47"/>
  <c r="AV134" i="47"/>
  <c r="C135" i="47"/>
  <c r="AR135" i="47"/>
  <c r="AT135" i="47"/>
  <c r="AU135" i="47"/>
  <c r="AV135" i="47"/>
  <c r="C136" i="47"/>
  <c r="AR136" i="47"/>
  <c r="AT136" i="47"/>
  <c r="AU136" i="47"/>
  <c r="AV136" i="47"/>
  <c r="C137" i="47"/>
  <c r="AR137" i="47"/>
  <c r="AT137" i="47"/>
  <c r="AU137" i="47"/>
  <c r="AV137" i="47"/>
  <c r="C138" i="47"/>
  <c r="AR138" i="47"/>
  <c r="AT138" i="47"/>
  <c r="AU138" i="47"/>
  <c r="AV138" i="47"/>
  <c r="C139" i="47"/>
  <c r="AR139" i="47"/>
  <c r="AT139" i="47"/>
  <c r="AU139" i="47"/>
  <c r="AV139" i="47"/>
  <c r="C140" i="47"/>
  <c r="AR140" i="47"/>
  <c r="AT140" i="47"/>
  <c r="AU140" i="47"/>
  <c r="AV140" i="47"/>
  <c r="C141" i="47"/>
  <c r="AR141" i="47"/>
  <c r="AT141" i="47"/>
  <c r="AU141" i="47"/>
  <c r="AV141" i="47"/>
  <c r="C142" i="47"/>
  <c r="AR142" i="47"/>
  <c r="AT142" i="47"/>
  <c r="AU142" i="47"/>
  <c r="AV142" i="47"/>
  <c r="C143" i="47"/>
  <c r="AR143" i="47"/>
  <c r="AT143" i="47"/>
  <c r="AU143" i="47"/>
  <c r="AV143" i="47"/>
  <c r="C144" i="47"/>
  <c r="AR144" i="47"/>
  <c r="AT144" i="47"/>
  <c r="AU144" i="47"/>
  <c r="AV144" i="47"/>
  <c r="C145" i="47"/>
  <c r="AR145" i="47"/>
  <c r="AT145" i="47"/>
  <c r="AU145" i="47"/>
  <c r="AV145" i="47"/>
  <c r="C146" i="47"/>
  <c r="AR146" i="47"/>
  <c r="AT146" i="47"/>
  <c r="AU146" i="47"/>
  <c r="AV146" i="47"/>
  <c r="C147" i="47"/>
  <c r="AR147" i="47"/>
  <c r="AT147" i="47"/>
  <c r="AU147" i="47"/>
  <c r="AV147" i="47"/>
  <c r="C148" i="47"/>
  <c r="AR148" i="47"/>
  <c r="AT148" i="47"/>
  <c r="AU148" i="47"/>
  <c r="AV148" i="47"/>
  <c r="C149" i="47"/>
  <c r="AR149" i="47"/>
  <c r="AT149" i="47"/>
  <c r="AU149" i="47"/>
  <c r="AV149" i="47"/>
  <c r="C150" i="47"/>
  <c r="AR150" i="47"/>
  <c r="AT150" i="47"/>
  <c r="AU150" i="47"/>
  <c r="AV150" i="47"/>
  <c r="C151" i="47"/>
  <c r="AR151" i="47"/>
  <c r="AT151" i="47"/>
  <c r="AU151" i="47"/>
  <c r="AV151" i="47"/>
  <c r="C152" i="47"/>
  <c r="AR152" i="47"/>
  <c r="AT152" i="47"/>
  <c r="AU152" i="47"/>
  <c r="AV152" i="47"/>
  <c r="C153" i="47"/>
  <c r="AR153" i="47"/>
  <c r="AT153" i="47"/>
  <c r="AU153" i="47"/>
  <c r="AV153" i="47"/>
  <c r="C154" i="47"/>
  <c r="AR154" i="47"/>
  <c r="AT154" i="47"/>
  <c r="AU154" i="47"/>
  <c r="AV154" i="47"/>
  <c r="C155" i="47"/>
  <c r="AR155" i="47"/>
  <c r="AT155" i="47"/>
  <c r="AU155" i="47"/>
  <c r="AV155" i="47"/>
  <c r="C156" i="47"/>
  <c r="AR156" i="47"/>
  <c r="AT156" i="47"/>
  <c r="AU156" i="47"/>
  <c r="AV156" i="47"/>
  <c r="C157" i="47"/>
  <c r="AR157" i="47"/>
  <c r="AT157" i="47"/>
  <c r="AU157" i="47"/>
  <c r="AV157" i="47"/>
  <c r="C158" i="47"/>
  <c r="AR158" i="47"/>
  <c r="AT158" i="47"/>
  <c r="AU158" i="47"/>
  <c r="AV158" i="47"/>
  <c r="C159" i="47"/>
  <c r="AR159" i="47"/>
  <c r="AT159" i="47"/>
  <c r="AU159" i="47"/>
  <c r="AV159" i="47"/>
  <c r="C160" i="47"/>
  <c r="AR160" i="47"/>
  <c r="AT160" i="47"/>
  <c r="AU160" i="47"/>
  <c r="AV160" i="47"/>
  <c r="C161" i="47"/>
  <c r="AR161" i="47"/>
  <c r="AT161" i="47"/>
  <c r="AU161" i="47"/>
  <c r="AV161" i="47"/>
  <c r="C162" i="47"/>
  <c r="AR162" i="47"/>
  <c r="AT162" i="47"/>
  <c r="AU162" i="47"/>
  <c r="AV162" i="47"/>
  <c r="C163" i="47"/>
  <c r="AR163" i="47"/>
  <c r="AT163" i="47"/>
  <c r="AU163" i="47"/>
  <c r="AV163" i="47"/>
  <c r="C164" i="47"/>
  <c r="AR164" i="47"/>
  <c r="AT164" i="47"/>
  <c r="AU164" i="47"/>
  <c r="AV164" i="47"/>
  <c r="C165" i="47"/>
  <c r="AR165" i="47"/>
  <c r="AT165" i="47"/>
  <c r="AU165" i="47"/>
  <c r="AV165" i="47"/>
  <c r="C166" i="47"/>
  <c r="AR166" i="47"/>
  <c r="AT166" i="47"/>
  <c r="AU166" i="47"/>
  <c r="AV166" i="47"/>
  <c r="C167" i="47"/>
  <c r="AR167" i="47"/>
  <c r="AT167" i="47"/>
  <c r="AU167" i="47"/>
  <c r="AV167" i="47"/>
  <c r="C168" i="47"/>
  <c r="AR168" i="47"/>
  <c r="AT168" i="47"/>
  <c r="AU168" i="47"/>
  <c r="AV168" i="47"/>
  <c r="C169" i="47"/>
  <c r="AR169" i="47"/>
  <c r="AT169" i="47"/>
  <c r="AU169" i="47"/>
  <c r="AV169" i="47"/>
  <c r="C170" i="47"/>
  <c r="AR170" i="47"/>
  <c r="AT170" i="47"/>
  <c r="AU170" i="47"/>
  <c r="AV170" i="47"/>
  <c r="C171" i="47"/>
  <c r="AR171" i="47"/>
  <c r="AT171" i="47"/>
  <c r="AU171" i="47"/>
  <c r="AV171" i="47"/>
  <c r="C172" i="47"/>
  <c r="AR172" i="47"/>
  <c r="AT172" i="47"/>
  <c r="AU172" i="47"/>
  <c r="AV172" i="47"/>
  <c r="C173" i="47"/>
  <c r="AR173" i="47"/>
  <c r="AT173" i="47"/>
  <c r="AU173" i="47"/>
  <c r="AV173" i="47"/>
  <c r="C174" i="47"/>
  <c r="AR174" i="47"/>
  <c r="AT174" i="47"/>
  <c r="AU174" i="47"/>
  <c r="AV174" i="47"/>
  <c r="C175" i="47"/>
  <c r="AR175" i="47"/>
  <c r="AT175" i="47"/>
  <c r="AU175" i="47"/>
  <c r="AV175" i="47"/>
  <c r="C176" i="47"/>
  <c r="AR176" i="47"/>
  <c r="AT176" i="47"/>
  <c r="AU176" i="47"/>
  <c r="AV176" i="47"/>
  <c r="C177" i="47"/>
  <c r="AR177" i="47"/>
  <c r="AT177" i="47"/>
  <c r="AU177" i="47"/>
  <c r="AV177" i="47"/>
  <c r="C178" i="47"/>
  <c r="AR178" i="47"/>
  <c r="AT178" i="47"/>
  <c r="AU178" i="47"/>
  <c r="AV178" i="47"/>
  <c r="C179" i="47"/>
  <c r="AR179" i="47"/>
  <c r="AT179" i="47"/>
  <c r="AU179" i="47"/>
  <c r="AV179" i="47"/>
  <c r="C180" i="47"/>
  <c r="AR180" i="47"/>
  <c r="AT180" i="47"/>
  <c r="AU180" i="47"/>
  <c r="AV180" i="47"/>
  <c r="C181" i="47"/>
  <c r="AR181" i="47"/>
  <c r="AT181" i="47"/>
  <c r="AU181" i="47"/>
  <c r="AV181" i="47"/>
  <c r="C182" i="47"/>
  <c r="AR182" i="47"/>
  <c r="AT182" i="47"/>
  <c r="AU182" i="47"/>
  <c r="AV182" i="47"/>
  <c r="C183" i="47"/>
  <c r="AR183" i="47"/>
  <c r="AT183" i="47"/>
  <c r="AU183" i="47"/>
  <c r="AV183" i="47"/>
  <c r="C184" i="47"/>
  <c r="AR184" i="47"/>
  <c r="AT184" i="47"/>
  <c r="AU184" i="47"/>
  <c r="AV184" i="47"/>
  <c r="C185" i="47"/>
  <c r="AR185" i="47"/>
  <c r="AT185" i="47"/>
  <c r="AU185" i="47"/>
  <c r="AV185" i="47"/>
  <c r="C186" i="47"/>
  <c r="AR186" i="47"/>
  <c r="AT186" i="47"/>
  <c r="AU186" i="47"/>
  <c r="AV186" i="47"/>
  <c r="C187" i="47"/>
  <c r="AR187" i="47"/>
  <c r="AT187" i="47"/>
  <c r="AU187" i="47"/>
  <c r="AV187" i="47"/>
  <c r="C188" i="47"/>
  <c r="AR188" i="47"/>
  <c r="AT188" i="47"/>
  <c r="AU188" i="47"/>
  <c r="AV188" i="47"/>
  <c r="C189" i="47"/>
  <c r="AR189" i="47"/>
  <c r="AT189" i="47"/>
  <c r="AU189" i="47"/>
  <c r="AV189" i="47"/>
  <c r="C190" i="47"/>
  <c r="AR190" i="47"/>
  <c r="AT190" i="47"/>
  <c r="AU190" i="47"/>
  <c r="AV190" i="47"/>
  <c r="C191" i="47"/>
  <c r="AR191" i="47"/>
  <c r="AT191" i="47"/>
  <c r="AU191" i="47"/>
  <c r="AV191" i="47"/>
  <c r="C192" i="47"/>
  <c r="AR192" i="47"/>
  <c r="AT192" i="47"/>
  <c r="AU192" i="47"/>
  <c r="AV192" i="47"/>
  <c r="C193" i="47"/>
  <c r="AR193" i="47"/>
  <c r="AT193" i="47"/>
  <c r="AU193" i="47"/>
  <c r="AV193" i="47"/>
  <c r="C194" i="47"/>
  <c r="AR194" i="47"/>
  <c r="AT194" i="47"/>
  <c r="AU194" i="47"/>
  <c r="AV194" i="47"/>
  <c r="C195" i="47"/>
  <c r="AR195" i="47"/>
  <c r="AT195" i="47"/>
  <c r="AU195" i="47"/>
  <c r="AV195" i="47"/>
  <c r="C196" i="47"/>
  <c r="AR196" i="47"/>
  <c r="AT196" i="47"/>
  <c r="AU196" i="47"/>
  <c r="AV196" i="47"/>
  <c r="C197" i="47"/>
  <c r="AR197" i="47"/>
  <c r="AT197" i="47"/>
  <c r="AU197" i="47"/>
  <c r="AV197" i="47"/>
  <c r="C198" i="47"/>
  <c r="AR198" i="47"/>
  <c r="AT198" i="47"/>
  <c r="AU198" i="47"/>
  <c r="AV198" i="47"/>
  <c r="C199" i="47"/>
  <c r="AR199" i="47"/>
  <c r="AT199" i="47"/>
  <c r="AU199" i="47"/>
  <c r="AV199" i="47"/>
  <c r="C200" i="47"/>
  <c r="AR200" i="47"/>
  <c r="AT200" i="47"/>
  <c r="AU200" i="47"/>
  <c r="AV200" i="47"/>
  <c r="C201" i="47"/>
  <c r="AR201" i="47"/>
  <c r="AT201" i="47"/>
  <c r="AU201" i="47"/>
  <c r="AV201" i="47"/>
  <c r="C202" i="47"/>
  <c r="AR202" i="47"/>
  <c r="AT202" i="47"/>
  <c r="AU202" i="47"/>
  <c r="AV202" i="47"/>
  <c r="C203" i="47"/>
  <c r="AR203" i="47"/>
  <c r="AT203" i="47"/>
  <c r="AU203" i="47"/>
  <c r="AV203" i="47"/>
  <c r="C204" i="47"/>
  <c r="AR204" i="47"/>
  <c r="AT204" i="47"/>
  <c r="AU204" i="47"/>
  <c r="AV204" i="47"/>
  <c r="C205" i="47"/>
  <c r="AR205" i="47"/>
  <c r="AT205" i="47"/>
  <c r="AU205" i="47"/>
  <c r="AV205" i="47"/>
  <c r="C206" i="47"/>
  <c r="AR206" i="47"/>
  <c r="AT206" i="47"/>
  <c r="AU206" i="47"/>
  <c r="AV206" i="47"/>
  <c r="C207" i="47"/>
  <c r="AR207" i="47"/>
  <c r="AT207" i="47"/>
  <c r="AU207" i="47"/>
  <c r="AV207" i="47"/>
  <c r="C208" i="47"/>
  <c r="AR208" i="47"/>
  <c r="AT208" i="47"/>
  <c r="AU208" i="47"/>
  <c r="AV208" i="47"/>
  <c r="C209" i="47"/>
  <c r="AR209" i="47"/>
  <c r="AT209" i="47"/>
  <c r="AU209" i="47"/>
  <c r="AV209" i="47"/>
  <c r="C210" i="47"/>
  <c r="AR210" i="47"/>
  <c r="AT210" i="47"/>
  <c r="AU210" i="47"/>
  <c r="AV210" i="47"/>
  <c r="C211" i="47"/>
  <c r="AR211" i="47"/>
  <c r="AT211" i="47"/>
  <c r="AU211" i="47"/>
  <c r="AV211" i="47"/>
  <c r="C212" i="47"/>
  <c r="AR212" i="47"/>
  <c r="AT212" i="47"/>
  <c r="AU212" i="47"/>
  <c r="AV212" i="47"/>
  <c r="C213" i="47"/>
  <c r="AR213" i="47"/>
  <c r="AT213" i="47"/>
  <c r="AU213" i="47"/>
  <c r="AV213" i="47"/>
  <c r="C214" i="47"/>
  <c r="AR214" i="47"/>
  <c r="AT214" i="47"/>
  <c r="AU214" i="47"/>
  <c r="AV214" i="47"/>
  <c r="C215" i="47"/>
  <c r="AR215" i="47"/>
  <c r="AT215" i="47"/>
  <c r="AU215" i="47"/>
  <c r="AV215" i="47"/>
  <c r="C216" i="47"/>
  <c r="AR216" i="47"/>
  <c r="AT216" i="47"/>
  <c r="AU216" i="47"/>
  <c r="AV216" i="47"/>
  <c r="C217" i="47"/>
  <c r="AR217" i="47"/>
  <c r="AT217" i="47"/>
  <c r="AU217" i="47"/>
  <c r="AV217" i="47"/>
  <c r="C218" i="47"/>
  <c r="AR218" i="47"/>
  <c r="AT218" i="47"/>
  <c r="AU218" i="47"/>
  <c r="AV218" i="47"/>
  <c r="C219" i="47"/>
  <c r="AR219" i="47"/>
  <c r="AT219" i="47"/>
  <c r="AU219" i="47"/>
  <c r="AV219" i="47"/>
  <c r="C220" i="47"/>
  <c r="AR220" i="47"/>
  <c r="AT220" i="47"/>
  <c r="AU220" i="47"/>
  <c r="AV220" i="47"/>
  <c r="C221" i="47"/>
  <c r="AR221" i="47"/>
  <c r="AT221" i="47"/>
  <c r="AU221" i="47"/>
  <c r="AV221" i="47"/>
  <c r="C222" i="47"/>
  <c r="AR222" i="47"/>
  <c r="AT222" i="47"/>
  <c r="AU222" i="47"/>
  <c r="AV222" i="47"/>
  <c r="C223" i="47"/>
  <c r="AR223" i="47"/>
  <c r="AT223" i="47"/>
  <c r="AU223" i="47"/>
  <c r="AV223" i="47"/>
  <c r="C224" i="47"/>
  <c r="AR224" i="47"/>
  <c r="AT224" i="47"/>
  <c r="AU224" i="47"/>
  <c r="AV224" i="47"/>
  <c r="C225" i="47"/>
  <c r="AR225" i="47"/>
  <c r="AT225" i="47"/>
  <c r="AU225" i="47"/>
  <c r="AV225" i="47"/>
  <c r="C226" i="47"/>
  <c r="AR226" i="47"/>
  <c r="AT226" i="47"/>
  <c r="AU226" i="47"/>
  <c r="AV226" i="47"/>
  <c r="C227" i="47"/>
  <c r="AR227" i="47"/>
  <c r="AT227" i="47"/>
  <c r="AU227" i="47"/>
  <c r="AV227" i="47"/>
  <c r="C228" i="47"/>
  <c r="AR228" i="47"/>
  <c r="AT228" i="47"/>
  <c r="AU228" i="47"/>
  <c r="AV228" i="47"/>
  <c r="C229" i="47"/>
  <c r="AR229" i="47"/>
  <c r="AT229" i="47"/>
  <c r="AU229" i="47"/>
  <c r="AV229" i="47"/>
  <c r="C230" i="47"/>
  <c r="AR230" i="47"/>
  <c r="AT230" i="47"/>
  <c r="AU230" i="47"/>
  <c r="AV230" i="47"/>
  <c r="C231" i="47"/>
  <c r="AR231" i="47"/>
  <c r="AT231" i="47"/>
  <c r="AU231" i="47"/>
  <c r="AV231" i="47"/>
  <c r="C232" i="47"/>
  <c r="AR232" i="47"/>
  <c r="AT232" i="47"/>
  <c r="AU232" i="47"/>
  <c r="AV232" i="47"/>
  <c r="C233" i="47"/>
  <c r="AR233" i="47"/>
  <c r="AT233" i="47"/>
  <c r="AU233" i="47"/>
  <c r="AV233" i="47"/>
  <c r="C234" i="47"/>
  <c r="AR234" i="47"/>
  <c r="AT234" i="47"/>
  <c r="AU234" i="47"/>
  <c r="AV234" i="47"/>
  <c r="C235" i="47"/>
  <c r="AR235" i="47"/>
  <c r="AT235" i="47"/>
  <c r="AU235" i="47"/>
  <c r="AV235" i="47"/>
  <c r="C236" i="47"/>
  <c r="AR236" i="47"/>
  <c r="AT236" i="47"/>
  <c r="AU236" i="47"/>
  <c r="AV236" i="47"/>
  <c r="C237" i="47"/>
  <c r="AR237" i="47"/>
  <c r="AT237" i="47"/>
  <c r="AU237" i="47"/>
  <c r="AV237" i="47"/>
  <c r="C238" i="47"/>
  <c r="AR238" i="47"/>
  <c r="AT238" i="47"/>
  <c r="AU238" i="47"/>
  <c r="AV238" i="47"/>
  <c r="C239" i="47"/>
  <c r="AR239" i="47"/>
  <c r="AT239" i="47"/>
  <c r="AU239" i="47"/>
  <c r="AV239" i="47"/>
  <c r="C240" i="47"/>
  <c r="AR240" i="47"/>
  <c r="AT240" i="47"/>
  <c r="AU240" i="47"/>
  <c r="AV240" i="47"/>
  <c r="C241" i="47"/>
  <c r="AR241" i="47"/>
  <c r="AT241" i="47"/>
  <c r="AU241" i="47"/>
  <c r="AV241" i="47"/>
  <c r="C242" i="47"/>
  <c r="AR242" i="47"/>
  <c r="AT242" i="47"/>
  <c r="AU242" i="47"/>
  <c r="AV242" i="47"/>
  <c r="C243" i="47"/>
  <c r="AR243" i="47"/>
  <c r="AT243" i="47"/>
  <c r="AU243" i="47"/>
  <c r="AV243" i="47"/>
  <c r="C244" i="47"/>
  <c r="AR244" i="47"/>
  <c r="AT244" i="47"/>
  <c r="AU244" i="47"/>
  <c r="AV244" i="47"/>
  <c r="C245" i="47"/>
  <c r="AR245" i="47"/>
  <c r="AT245" i="47"/>
  <c r="AU245" i="47"/>
  <c r="AV245" i="47"/>
  <c r="C246" i="47"/>
  <c r="AR246" i="47"/>
  <c r="AT246" i="47"/>
  <c r="AU246" i="47"/>
  <c r="AV246" i="47"/>
  <c r="C247" i="47"/>
  <c r="AR247" i="47"/>
  <c r="AT247" i="47"/>
  <c r="AU247" i="47"/>
  <c r="AV247" i="47"/>
  <c r="C248" i="47"/>
  <c r="AR248" i="47"/>
  <c r="AT248" i="47"/>
  <c r="AU248" i="47"/>
  <c r="AV248" i="47"/>
  <c r="C249" i="47"/>
  <c r="AR249" i="47"/>
  <c r="AT249" i="47"/>
  <c r="AU249" i="47"/>
  <c r="AV249" i="47"/>
  <c r="C250" i="47"/>
  <c r="AR250" i="47"/>
  <c r="AT250" i="47"/>
  <c r="AU250" i="47"/>
  <c r="AV250" i="47"/>
  <c r="C251" i="47"/>
  <c r="AR251" i="47"/>
  <c r="AT251" i="47"/>
  <c r="AU251" i="47"/>
  <c r="AV251" i="47"/>
  <c r="C252" i="47"/>
  <c r="AR252" i="47"/>
  <c r="AT252" i="47"/>
  <c r="AU252" i="47"/>
  <c r="AV252" i="47"/>
  <c r="C253" i="47"/>
  <c r="AR253" i="47"/>
  <c r="AT253" i="47"/>
  <c r="AU253" i="47"/>
  <c r="AV253" i="47"/>
  <c r="C254" i="47"/>
  <c r="AR254" i="47"/>
  <c r="AT254" i="47"/>
  <c r="AU254" i="47"/>
  <c r="AV254" i="47"/>
  <c r="C255" i="47"/>
  <c r="AR255" i="47"/>
  <c r="AT255" i="47"/>
  <c r="AU255" i="47"/>
  <c r="AV255" i="47"/>
  <c r="C256" i="47"/>
  <c r="AR256" i="47"/>
  <c r="AT256" i="47"/>
  <c r="AU256" i="47"/>
  <c r="AV256" i="47"/>
  <c r="C257" i="47"/>
  <c r="AR257" i="47"/>
  <c r="AT257" i="47"/>
  <c r="AU257" i="47"/>
  <c r="AV257" i="47"/>
  <c r="C258" i="47"/>
  <c r="AR258" i="47"/>
  <c r="AT258" i="47"/>
  <c r="AU258" i="47"/>
  <c r="AV258" i="47"/>
  <c r="C259" i="47"/>
  <c r="AR259" i="47"/>
  <c r="AT259" i="47"/>
  <c r="AU259" i="47"/>
  <c r="AV259" i="47"/>
  <c r="C260" i="47"/>
  <c r="AR260" i="47"/>
  <c r="AT260" i="47"/>
  <c r="AU260" i="47"/>
  <c r="AV260" i="47"/>
  <c r="C261" i="47"/>
  <c r="AR261" i="47"/>
  <c r="AT261" i="47"/>
  <c r="AU261" i="47"/>
  <c r="AV261" i="47"/>
  <c r="C262" i="47"/>
  <c r="AR262" i="47"/>
  <c r="AT262" i="47"/>
  <c r="AU262" i="47"/>
  <c r="AV262" i="47"/>
  <c r="C263" i="47"/>
  <c r="AR263" i="47"/>
  <c r="AT263" i="47"/>
  <c r="AU263" i="47"/>
  <c r="AV263" i="47"/>
  <c r="C264" i="47"/>
  <c r="AR264" i="47"/>
  <c r="AT264" i="47"/>
  <c r="AU264" i="47"/>
  <c r="AV264" i="47"/>
  <c r="C265" i="47"/>
  <c r="AR265" i="47"/>
  <c r="AT265" i="47"/>
  <c r="AU265" i="47"/>
  <c r="AV265" i="47"/>
  <c r="C266" i="47"/>
  <c r="AR266" i="47"/>
  <c r="AT266" i="47"/>
  <c r="AU266" i="47"/>
  <c r="AV266" i="47"/>
  <c r="C267" i="47"/>
  <c r="AR267" i="47"/>
  <c r="AT267" i="47"/>
  <c r="AU267" i="47"/>
  <c r="AV267" i="47"/>
  <c r="C268" i="47"/>
  <c r="AR268" i="47"/>
  <c r="AT268" i="47"/>
  <c r="AU268" i="47"/>
  <c r="AV268" i="47"/>
  <c r="C269" i="47"/>
  <c r="AR269" i="47"/>
  <c r="AT269" i="47"/>
  <c r="AU269" i="47"/>
  <c r="AV269" i="47"/>
  <c r="C270" i="47"/>
  <c r="AR270" i="47"/>
  <c r="AT270" i="47"/>
  <c r="AU270" i="47"/>
  <c r="AV270" i="47"/>
  <c r="C271" i="47"/>
  <c r="AR271" i="47"/>
  <c r="AT271" i="47"/>
  <c r="AU271" i="47"/>
  <c r="AV271" i="47"/>
  <c r="C272" i="47"/>
  <c r="AR272" i="47"/>
  <c r="AT272" i="47"/>
  <c r="AU272" i="47"/>
  <c r="AV272" i="47"/>
  <c r="C273" i="47"/>
  <c r="AU273" i="47"/>
  <c r="AV273" i="47"/>
  <c r="C274" i="47"/>
  <c r="AU274" i="47"/>
  <c r="AV274" i="47"/>
  <c r="C275" i="47"/>
  <c r="AU275" i="47"/>
  <c r="AV275" i="47"/>
  <c r="C276" i="47"/>
  <c r="AU276" i="47"/>
  <c r="AV276" i="47"/>
  <c r="C277" i="47"/>
  <c r="AU277" i="47"/>
  <c r="AV277" i="47"/>
  <c r="C278" i="47"/>
  <c r="AU278" i="47"/>
  <c r="AV278" i="47"/>
  <c r="C279" i="47"/>
  <c r="AU279" i="47"/>
  <c r="AV279" i="47"/>
  <c r="C280" i="47"/>
  <c r="AU280" i="47"/>
  <c r="AV280" i="47"/>
  <c r="C281" i="47"/>
  <c r="AU281" i="47"/>
  <c r="AV281" i="47"/>
  <c r="C282" i="47"/>
  <c r="AU282" i="47"/>
  <c r="AV282" i="47"/>
  <c r="C283" i="47"/>
  <c r="AU283" i="47"/>
  <c r="AV283" i="47"/>
  <c r="C284" i="47"/>
  <c r="AU284" i="47"/>
  <c r="AV284" i="47"/>
  <c r="C285" i="47"/>
  <c r="AU285" i="47"/>
  <c r="AV285" i="47"/>
  <c r="C286" i="47"/>
  <c r="AU286" i="47"/>
  <c r="AV286" i="47"/>
  <c r="C287" i="47"/>
  <c r="AU287" i="47"/>
  <c r="AV287" i="47"/>
  <c r="C288" i="47"/>
  <c r="AU288" i="47"/>
  <c r="AV288" i="47"/>
  <c r="C289" i="47"/>
  <c r="AU289" i="47"/>
  <c r="AV289" i="47"/>
  <c r="C290" i="47"/>
  <c r="AU290" i="47"/>
  <c r="AV290" i="47"/>
  <c r="C291" i="47"/>
  <c r="AU291" i="47"/>
  <c r="AV291" i="47"/>
  <c r="C292" i="47"/>
  <c r="AU292" i="47"/>
  <c r="AV292" i="47"/>
  <c r="C293" i="47"/>
  <c r="AU293" i="47"/>
  <c r="AV293" i="47"/>
  <c r="C294" i="47"/>
  <c r="AU294" i="47"/>
  <c r="AV294" i="47"/>
  <c r="C295" i="47"/>
  <c r="AU295" i="47"/>
  <c r="AV295" i="47"/>
  <c r="C296" i="47"/>
  <c r="AU296" i="47"/>
  <c r="AV296" i="47"/>
  <c r="C297" i="47"/>
  <c r="AU297" i="47"/>
  <c r="AV297" i="47"/>
  <c r="C298" i="47"/>
  <c r="AU298" i="47"/>
  <c r="AV298" i="47"/>
  <c r="C299" i="47"/>
  <c r="AU299" i="47"/>
  <c r="AV299" i="47"/>
  <c r="C300" i="47"/>
  <c r="AU300" i="47"/>
  <c r="AV300" i="47"/>
  <c r="C301" i="47"/>
  <c r="AU301" i="47"/>
  <c r="AV301" i="47"/>
  <c r="C302" i="47"/>
  <c r="AU302" i="47"/>
  <c r="AV302" i="47"/>
  <c r="C303" i="47"/>
  <c r="AU303" i="47"/>
  <c r="AV303" i="47"/>
  <c r="C304" i="47"/>
  <c r="AU304" i="47"/>
  <c r="AV304" i="47"/>
  <c r="C305" i="47"/>
  <c r="AU305" i="47"/>
  <c r="AV305" i="47"/>
  <c r="C306" i="47"/>
  <c r="AU306" i="47"/>
  <c r="AV306" i="47"/>
  <c r="C307" i="47"/>
  <c r="AU307" i="47"/>
  <c r="AV307" i="47"/>
  <c r="C308" i="47"/>
  <c r="AU308" i="47"/>
  <c r="AV308" i="47"/>
  <c r="C309" i="47"/>
  <c r="AU309" i="47"/>
  <c r="AV309" i="47"/>
  <c r="C310" i="47"/>
  <c r="AU310" i="47"/>
  <c r="AV310" i="47"/>
  <c r="C311" i="47"/>
  <c r="AU311" i="47"/>
  <c r="AV311" i="47"/>
  <c r="C312" i="47"/>
  <c r="AU312" i="47"/>
  <c r="AV312" i="47"/>
  <c r="C313" i="47"/>
  <c r="AU313" i="47"/>
  <c r="AV313" i="47"/>
  <c r="C314" i="47"/>
  <c r="AU314" i="47"/>
  <c r="AV314" i="47"/>
  <c r="C315" i="47"/>
  <c r="AU315" i="47"/>
  <c r="AV315" i="47"/>
  <c r="C316" i="47"/>
  <c r="AU316" i="47"/>
  <c r="AV316" i="47"/>
  <c r="C317" i="47"/>
  <c r="AU317" i="47"/>
  <c r="AV317" i="47"/>
  <c r="C318" i="47"/>
  <c r="AU318" i="47"/>
  <c r="AV318" i="47"/>
  <c r="C319" i="47"/>
  <c r="AU319" i="47"/>
  <c r="AV319" i="47"/>
  <c r="C320" i="47"/>
  <c r="AU320" i="47"/>
  <c r="AV320" i="47"/>
  <c r="C321" i="47"/>
  <c r="AU321" i="47"/>
  <c r="AV321" i="47"/>
  <c r="C322" i="47"/>
  <c r="AU322" i="47"/>
  <c r="AV322" i="47"/>
  <c r="C323" i="47"/>
  <c r="AU323" i="47"/>
  <c r="AV323" i="47"/>
  <c r="C324" i="47"/>
  <c r="AU324" i="47"/>
  <c r="AV324" i="47"/>
  <c r="C325" i="47"/>
  <c r="AU325" i="47"/>
  <c r="AV325" i="47"/>
  <c r="C326" i="47"/>
  <c r="AU326" i="47"/>
  <c r="AV326" i="47"/>
  <c r="C327" i="47"/>
  <c r="AU327" i="47"/>
  <c r="AV327" i="47"/>
  <c r="C328" i="47"/>
  <c r="AU328" i="47"/>
  <c r="AV328" i="47"/>
  <c r="C329" i="47"/>
  <c r="AU329" i="47"/>
  <c r="AV329" i="47"/>
  <c r="C330" i="47"/>
  <c r="AU330" i="47"/>
  <c r="AV330" i="47"/>
  <c r="C331" i="47"/>
  <c r="AU331" i="47"/>
  <c r="AV331" i="47"/>
  <c r="C332" i="47"/>
  <c r="AU332" i="47"/>
  <c r="AV332" i="47"/>
  <c r="C333" i="47"/>
  <c r="AU333" i="47"/>
  <c r="AV333" i="47"/>
  <c r="C334" i="47"/>
  <c r="AU334" i="47"/>
  <c r="AV334" i="47"/>
  <c r="C335" i="47"/>
  <c r="AU335" i="47"/>
  <c r="AV335" i="47"/>
  <c r="C336" i="47"/>
  <c r="AU336" i="47"/>
  <c r="AV336" i="47"/>
  <c r="C337" i="47"/>
  <c r="AU337" i="47"/>
  <c r="AV337" i="47"/>
  <c r="C338" i="47"/>
  <c r="AU338" i="47"/>
  <c r="AV338" i="47"/>
  <c r="C339" i="47"/>
  <c r="AU339" i="47"/>
  <c r="AV339" i="47"/>
  <c r="C340" i="47"/>
  <c r="AU340" i="47"/>
  <c r="AV340" i="47"/>
  <c r="C341" i="47"/>
  <c r="AU341" i="47"/>
  <c r="AV341" i="47"/>
  <c r="C342" i="47"/>
  <c r="AU342" i="47"/>
  <c r="AV342" i="47"/>
  <c r="C343" i="47"/>
  <c r="AU343" i="47"/>
  <c r="AV343" i="47"/>
  <c r="C344" i="47"/>
  <c r="AU344" i="47"/>
  <c r="AV344" i="47"/>
  <c r="C345" i="47"/>
  <c r="AU345" i="47"/>
  <c r="AV345" i="47"/>
  <c r="C346" i="47"/>
  <c r="AU346" i="47"/>
  <c r="AV346" i="47"/>
  <c r="C347" i="47"/>
  <c r="AU347" i="47"/>
  <c r="AV347" i="47"/>
  <c r="C348" i="47"/>
  <c r="AU348" i="47"/>
  <c r="AV348" i="47"/>
  <c r="C349" i="47"/>
  <c r="AU349" i="47"/>
  <c r="AV349" i="47"/>
  <c r="C350" i="47"/>
  <c r="AU350" i="47"/>
  <c r="AV350" i="47"/>
  <c r="C351" i="47"/>
  <c r="AU351" i="47"/>
  <c r="AV351" i="47"/>
  <c r="C352" i="47"/>
  <c r="AU352" i="47"/>
  <c r="AV352" i="47"/>
  <c r="C353" i="47"/>
  <c r="AU353" i="47"/>
  <c r="AV353" i="47"/>
  <c r="C354" i="47"/>
  <c r="AU354" i="47"/>
  <c r="AV354" i="47"/>
  <c r="C355" i="47"/>
  <c r="AU355" i="47"/>
  <c r="AV355" i="47"/>
  <c r="C356" i="47"/>
  <c r="AU356" i="47"/>
  <c r="AV356" i="47"/>
  <c r="C357" i="47"/>
  <c r="AU357" i="47"/>
  <c r="AV357" i="47"/>
  <c r="C358" i="47"/>
  <c r="AU358" i="47"/>
  <c r="AV358" i="47"/>
  <c r="C359" i="47"/>
  <c r="AU359" i="47"/>
  <c r="AV359" i="47"/>
  <c r="C360" i="47"/>
  <c r="AU360" i="47"/>
  <c r="AV360" i="47"/>
  <c r="C361" i="47"/>
  <c r="AU361" i="47"/>
  <c r="AV361" i="47"/>
  <c r="C362" i="47"/>
  <c r="AU362" i="47"/>
  <c r="AV362" i="47"/>
  <c r="C363" i="47"/>
  <c r="AU363" i="47"/>
  <c r="AV363" i="47"/>
  <c r="C364" i="47"/>
  <c r="AU364" i="47"/>
  <c r="AV364" i="47"/>
  <c r="C365" i="47"/>
  <c r="AU365" i="47"/>
  <c r="AV365" i="47"/>
  <c r="C366" i="47"/>
  <c r="AU366" i="47"/>
  <c r="AV366" i="47"/>
  <c r="C367" i="47"/>
  <c r="AU367" i="47"/>
  <c r="AV367" i="47"/>
  <c r="C368" i="47"/>
  <c r="AU368" i="47"/>
  <c r="AV368" i="47"/>
  <c r="C369" i="47"/>
  <c r="AU369" i="47"/>
  <c r="AV369" i="47"/>
  <c r="C370" i="47"/>
  <c r="AU370" i="47"/>
  <c r="AV370" i="47"/>
  <c r="C371" i="47"/>
  <c r="AU371" i="47"/>
  <c r="AV371" i="47"/>
  <c r="C372" i="47"/>
  <c r="AU372" i="47"/>
  <c r="AV372" i="47"/>
  <c r="C373" i="47"/>
  <c r="AU373" i="47"/>
  <c r="AV373" i="47"/>
  <c r="C374" i="47"/>
  <c r="AU374" i="47"/>
  <c r="AV374" i="47"/>
  <c r="C375" i="47"/>
  <c r="AU375" i="47"/>
  <c r="AV375" i="47"/>
  <c r="C376" i="47"/>
  <c r="AU376" i="47"/>
  <c r="AV376" i="47"/>
  <c r="C377" i="47"/>
  <c r="AU377" i="47"/>
  <c r="AV377" i="47"/>
  <c r="E1" i="80"/>
  <c r="Z1" i="80"/>
  <c r="AA1" i="80"/>
  <c r="AC1" i="80"/>
  <c r="AD1" i="80"/>
  <c r="S2" i="80"/>
  <c r="A3" i="80"/>
  <c r="B3" i="80"/>
  <c r="D3" i="80"/>
  <c r="E3" i="80"/>
  <c r="I3" i="80"/>
  <c r="J3" i="80"/>
  <c r="K3" i="80"/>
  <c r="R3" i="80"/>
  <c r="S3" i="80"/>
  <c r="J4" i="80"/>
  <c r="K4" i="80"/>
  <c r="L4" i="80"/>
  <c r="M4" i="80"/>
  <c r="O4" i="80"/>
  <c r="P4" i="80"/>
  <c r="R4" i="80"/>
  <c r="S4" i="80"/>
  <c r="T4" i="80"/>
  <c r="U4" i="80"/>
  <c r="W4" i="80"/>
  <c r="X4" i="80"/>
  <c r="Z4" i="80"/>
  <c r="AA4" i="80"/>
  <c r="AC4" i="80"/>
  <c r="AD4" i="80"/>
  <c r="AF4" i="80"/>
  <c r="AF5" i="80"/>
  <c r="H6" i="80"/>
  <c r="K6" i="80"/>
  <c r="M6" i="80"/>
  <c r="P6" i="80"/>
  <c r="S6" i="80"/>
  <c r="U6" i="80"/>
  <c r="X6" i="80"/>
  <c r="AA6" i="80"/>
  <c r="AC6" i="80"/>
  <c r="D8" i="80"/>
  <c r="E8" i="80"/>
  <c r="F8" i="80"/>
  <c r="G8" i="80"/>
  <c r="H8" i="80"/>
  <c r="J8" i="80"/>
  <c r="K8" i="80"/>
  <c r="L8" i="80"/>
  <c r="M8" i="80"/>
  <c r="O8" i="80"/>
  <c r="P8" i="80"/>
  <c r="R8" i="80"/>
  <c r="S8" i="80"/>
  <c r="T8" i="80"/>
  <c r="U8" i="80"/>
  <c r="V8" i="80"/>
  <c r="W8" i="80"/>
  <c r="X8" i="80"/>
  <c r="AH8" i="80"/>
  <c r="AL8" i="80"/>
  <c r="AM8" i="80"/>
  <c r="AN8" i="80"/>
  <c r="AT8" i="80"/>
  <c r="AU8" i="80"/>
  <c r="AW8" i="80"/>
  <c r="AX8" i="80"/>
  <c r="AY8" i="80"/>
  <c r="BA8" i="80"/>
  <c r="BC8" i="80"/>
  <c r="A10" i="80"/>
  <c r="B10" i="80"/>
  <c r="D10" i="80"/>
  <c r="E10" i="80"/>
  <c r="F10" i="80"/>
  <c r="G10" i="80"/>
  <c r="H10" i="80"/>
  <c r="J10" i="80"/>
  <c r="K10" i="80"/>
  <c r="M10" i="80"/>
  <c r="O10" i="80"/>
  <c r="P10" i="80"/>
  <c r="R10" i="80"/>
  <c r="S10" i="80"/>
  <c r="T10" i="80"/>
  <c r="U10" i="80"/>
  <c r="V10" i="80"/>
  <c r="W10" i="80"/>
  <c r="X10" i="80"/>
  <c r="Z10" i="80"/>
  <c r="AA10" i="80"/>
  <c r="AB10" i="80"/>
  <c r="AC10" i="80"/>
  <c r="AD10" i="80"/>
  <c r="AE10" i="80"/>
  <c r="AF10" i="80"/>
  <c r="AG10" i="80"/>
  <c r="AH10" i="80"/>
  <c r="AI10" i="80"/>
  <c r="AJ10" i="80"/>
  <c r="AK10" i="80"/>
  <c r="AL10" i="80"/>
  <c r="AM10" i="80"/>
  <c r="AN10" i="80"/>
  <c r="AO10" i="80"/>
  <c r="AP10" i="80"/>
  <c r="AQ10" i="80"/>
  <c r="AR10" i="80"/>
  <c r="AS10" i="80"/>
  <c r="AT10" i="80"/>
  <c r="AU10" i="80"/>
  <c r="AW10" i="80"/>
  <c r="AX10" i="80"/>
  <c r="AY10" i="80"/>
  <c r="BA10" i="80"/>
  <c r="BC10" i="80"/>
  <c r="A11" i="80"/>
  <c r="B11" i="80"/>
  <c r="D11" i="80"/>
  <c r="E11" i="80"/>
  <c r="F11" i="80"/>
  <c r="G11" i="80"/>
  <c r="H11" i="80"/>
  <c r="J11" i="80"/>
  <c r="K11" i="80"/>
  <c r="M11" i="80"/>
  <c r="O11" i="80"/>
  <c r="P11" i="80"/>
  <c r="R11" i="80"/>
  <c r="S11" i="80"/>
  <c r="T11" i="80"/>
  <c r="U11" i="80"/>
  <c r="V11" i="80"/>
  <c r="W11" i="80"/>
  <c r="X11" i="80"/>
  <c r="Z11" i="80"/>
  <c r="AA11" i="80"/>
  <c r="AB11" i="80"/>
  <c r="AC11" i="80"/>
  <c r="AD11" i="80"/>
  <c r="AE11" i="80"/>
  <c r="AF11" i="80"/>
  <c r="AG11" i="80"/>
  <c r="AH11" i="80"/>
  <c r="AI11" i="80"/>
  <c r="AJ11" i="80"/>
  <c r="AK11" i="80"/>
  <c r="AL11" i="80"/>
  <c r="AM11" i="80"/>
  <c r="AN11" i="80"/>
  <c r="AO11" i="80"/>
  <c r="AP11" i="80"/>
  <c r="AQ11" i="80"/>
  <c r="AR11" i="80"/>
  <c r="AS11" i="80"/>
  <c r="AT11" i="80"/>
  <c r="AU11" i="80"/>
  <c r="AW11" i="80"/>
  <c r="AX11" i="80"/>
  <c r="AY11" i="80"/>
  <c r="BA11" i="80"/>
  <c r="BC11" i="80"/>
  <c r="A12" i="80"/>
  <c r="B12" i="80"/>
  <c r="D12" i="80"/>
  <c r="E12" i="80"/>
  <c r="F12" i="80"/>
  <c r="G12" i="80"/>
  <c r="H12" i="80"/>
  <c r="J12" i="80"/>
  <c r="K12" i="80"/>
  <c r="M12" i="80"/>
  <c r="O12" i="80"/>
  <c r="P12" i="80"/>
  <c r="R12" i="80"/>
  <c r="S12" i="80"/>
  <c r="T12" i="80"/>
  <c r="U12" i="80"/>
  <c r="V12" i="80"/>
  <c r="W12" i="80"/>
  <c r="X12" i="80"/>
  <c r="Z12" i="80"/>
  <c r="AA12" i="80"/>
  <c r="AB12" i="80"/>
  <c r="AC12" i="80"/>
  <c r="AD12" i="80"/>
  <c r="AE12" i="80"/>
  <c r="AF12" i="80"/>
  <c r="AG12" i="80"/>
  <c r="AH12" i="80"/>
  <c r="AI12" i="80"/>
  <c r="AJ12" i="80"/>
  <c r="AK12" i="80"/>
  <c r="AL12" i="80"/>
  <c r="AM12" i="80"/>
  <c r="AN12" i="80"/>
  <c r="AO12" i="80"/>
  <c r="AP12" i="80"/>
  <c r="AQ12" i="80"/>
  <c r="AR12" i="80"/>
  <c r="AS12" i="80"/>
  <c r="AT12" i="80"/>
  <c r="AU12" i="80"/>
  <c r="AW12" i="80"/>
  <c r="AX12" i="80"/>
  <c r="AY12" i="80"/>
  <c r="BA12" i="80"/>
  <c r="BC12" i="80"/>
  <c r="A13" i="80"/>
  <c r="B13" i="80"/>
  <c r="D13" i="80"/>
  <c r="E13" i="80"/>
  <c r="F13" i="80"/>
  <c r="G13" i="80"/>
  <c r="H13" i="80"/>
  <c r="J13" i="80"/>
  <c r="K13" i="80"/>
  <c r="M13" i="80"/>
  <c r="O13" i="80"/>
  <c r="P13" i="80"/>
  <c r="R13" i="80"/>
  <c r="S13" i="80"/>
  <c r="T13" i="80"/>
  <c r="U13" i="80"/>
  <c r="V13" i="80"/>
  <c r="W13" i="80"/>
  <c r="X13" i="80"/>
  <c r="Z13" i="80"/>
  <c r="AA13" i="80"/>
  <c r="AB13" i="80"/>
  <c r="AC13" i="80"/>
  <c r="AD13" i="80"/>
  <c r="AE13" i="80"/>
  <c r="AF13" i="80"/>
  <c r="AG13" i="80"/>
  <c r="AH13" i="80"/>
  <c r="AI13" i="80"/>
  <c r="AJ13" i="80"/>
  <c r="AK13" i="80"/>
  <c r="AL13" i="80"/>
  <c r="AM13" i="80"/>
  <c r="AN13" i="80"/>
  <c r="AO13" i="80"/>
  <c r="AP13" i="80"/>
  <c r="AQ13" i="80"/>
  <c r="AR13" i="80"/>
  <c r="AS13" i="80"/>
  <c r="AT13" i="80"/>
  <c r="AU13" i="80"/>
  <c r="AW13" i="80"/>
  <c r="AX13" i="80"/>
  <c r="AY13" i="80"/>
  <c r="BA13" i="80"/>
  <c r="BC13" i="80"/>
  <c r="A14" i="80"/>
  <c r="B14" i="80"/>
  <c r="D14" i="80"/>
  <c r="E14" i="80"/>
  <c r="F14" i="80"/>
  <c r="G14" i="80"/>
  <c r="H14" i="80"/>
  <c r="J14" i="80"/>
  <c r="K14" i="80"/>
  <c r="M14" i="80"/>
  <c r="O14" i="80"/>
  <c r="P14" i="80"/>
  <c r="R14" i="80"/>
  <c r="S14" i="80"/>
  <c r="T14" i="80"/>
  <c r="U14" i="80"/>
  <c r="V14" i="80"/>
  <c r="W14" i="80"/>
  <c r="X14" i="80"/>
  <c r="Z14" i="80"/>
  <c r="AA14" i="80"/>
  <c r="AB14" i="80"/>
  <c r="AC14" i="80"/>
  <c r="AD14" i="80"/>
  <c r="AE14" i="80"/>
  <c r="AF14" i="80"/>
  <c r="AG14" i="80"/>
  <c r="AH14" i="80"/>
  <c r="AI14" i="80"/>
  <c r="AJ14" i="80"/>
  <c r="AK14" i="80"/>
  <c r="AL14" i="80"/>
  <c r="AM14" i="80"/>
  <c r="AN14" i="80"/>
  <c r="AO14" i="80"/>
  <c r="AP14" i="80"/>
  <c r="AQ14" i="80"/>
  <c r="AR14" i="80"/>
  <c r="AS14" i="80"/>
  <c r="AT14" i="80"/>
  <c r="AU14" i="80"/>
  <c r="AW14" i="80"/>
  <c r="AX14" i="80"/>
  <c r="AY14" i="80"/>
  <c r="BA14" i="80"/>
  <c r="BC14" i="80"/>
  <c r="A15" i="80"/>
  <c r="B15" i="80"/>
  <c r="D15" i="80"/>
  <c r="E15" i="80"/>
  <c r="F15" i="80"/>
  <c r="G15" i="80"/>
  <c r="H15" i="80"/>
  <c r="J15" i="80"/>
  <c r="K15" i="80"/>
  <c r="M15" i="80"/>
  <c r="O15" i="80"/>
  <c r="P15" i="80"/>
  <c r="R15" i="80"/>
  <c r="S15" i="80"/>
  <c r="T15" i="80"/>
  <c r="U15" i="80"/>
  <c r="V15" i="80"/>
  <c r="W15" i="80"/>
  <c r="X15" i="80"/>
  <c r="Z15" i="80"/>
  <c r="AA15" i="80"/>
  <c r="AB15" i="80"/>
  <c r="AC15" i="80"/>
  <c r="AD15" i="80"/>
  <c r="AE15" i="80"/>
  <c r="AF15" i="80"/>
  <c r="AG15" i="80"/>
  <c r="AH15" i="80"/>
  <c r="AI15" i="80"/>
  <c r="AJ15" i="80"/>
  <c r="AK15" i="80"/>
  <c r="AL15" i="80"/>
  <c r="AM15" i="80"/>
  <c r="AN15" i="80"/>
  <c r="AO15" i="80"/>
  <c r="AP15" i="80"/>
  <c r="AQ15" i="80"/>
  <c r="AR15" i="80"/>
  <c r="AS15" i="80"/>
  <c r="AT15" i="80"/>
  <c r="AU15" i="80"/>
  <c r="AW15" i="80"/>
  <c r="AX15" i="80"/>
  <c r="AY15" i="80"/>
  <c r="BA15" i="80"/>
  <c r="BC15" i="80"/>
  <c r="A16" i="80"/>
  <c r="B16" i="80"/>
  <c r="D16" i="80"/>
  <c r="E16" i="80"/>
  <c r="F16" i="80"/>
  <c r="G16" i="80"/>
  <c r="H16" i="80"/>
  <c r="J16" i="80"/>
  <c r="K16" i="80"/>
  <c r="M16" i="80"/>
  <c r="O16" i="80"/>
  <c r="P16" i="80"/>
  <c r="R16" i="80"/>
  <c r="S16" i="80"/>
  <c r="T16" i="80"/>
  <c r="U16" i="80"/>
  <c r="V16" i="80"/>
  <c r="W16" i="80"/>
  <c r="X16" i="80"/>
  <c r="Z16" i="80"/>
  <c r="AA16" i="80"/>
  <c r="AB16" i="80"/>
  <c r="AC16" i="80"/>
  <c r="AD16" i="80"/>
  <c r="AE16" i="80"/>
  <c r="AF16" i="80"/>
  <c r="AG16" i="80"/>
  <c r="AH16" i="80"/>
  <c r="AI16" i="80"/>
  <c r="AJ16" i="80"/>
  <c r="AK16" i="80"/>
  <c r="AL16" i="80"/>
  <c r="AM16" i="80"/>
  <c r="AN16" i="80"/>
  <c r="AO16" i="80"/>
  <c r="AP16" i="80"/>
  <c r="AQ16" i="80"/>
  <c r="AR16" i="80"/>
  <c r="AS16" i="80"/>
  <c r="AT16" i="80"/>
  <c r="AU16" i="80"/>
  <c r="AW16" i="80"/>
  <c r="AX16" i="80"/>
  <c r="AY16" i="80"/>
  <c r="BA16" i="80"/>
  <c r="BC16" i="80"/>
  <c r="A17" i="80"/>
  <c r="B17" i="80"/>
  <c r="D17" i="80"/>
  <c r="E17" i="80"/>
  <c r="F17" i="80"/>
  <c r="G17" i="80"/>
  <c r="H17" i="80"/>
  <c r="J17" i="80"/>
  <c r="K17" i="80"/>
  <c r="M17" i="80"/>
  <c r="O17" i="80"/>
  <c r="P17" i="80"/>
  <c r="R17" i="80"/>
  <c r="S17" i="80"/>
  <c r="T17" i="80"/>
  <c r="U17" i="80"/>
  <c r="V17" i="80"/>
  <c r="W17" i="80"/>
  <c r="X17" i="80"/>
  <c r="Z17" i="80"/>
  <c r="AA17" i="80"/>
  <c r="AB17" i="80"/>
  <c r="AC17" i="80"/>
  <c r="AD17" i="80"/>
  <c r="AE17" i="80"/>
  <c r="AF17" i="80"/>
  <c r="AG17" i="80"/>
  <c r="AH17" i="80"/>
  <c r="AI17" i="80"/>
  <c r="AJ17" i="80"/>
  <c r="AK17" i="80"/>
  <c r="AL17" i="80"/>
  <c r="AM17" i="80"/>
  <c r="AN17" i="80"/>
  <c r="AO17" i="80"/>
  <c r="AP17" i="80"/>
  <c r="AQ17" i="80"/>
  <c r="AR17" i="80"/>
  <c r="AS17" i="80"/>
  <c r="AT17" i="80"/>
  <c r="AU17" i="80"/>
  <c r="AW17" i="80"/>
  <c r="AX17" i="80"/>
  <c r="AY17" i="80"/>
  <c r="BA17" i="80"/>
  <c r="BC17" i="80"/>
  <c r="A18" i="80"/>
  <c r="B18" i="80"/>
  <c r="D18" i="80"/>
  <c r="E18" i="80"/>
  <c r="F18" i="80"/>
  <c r="G18" i="80"/>
  <c r="H18" i="80"/>
  <c r="J18" i="80"/>
  <c r="K18" i="80"/>
  <c r="M18" i="80"/>
  <c r="O18" i="80"/>
  <c r="P18" i="80"/>
  <c r="R18" i="80"/>
  <c r="S18" i="80"/>
  <c r="T18" i="80"/>
  <c r="U18" i="80"/>
  <c r="V18" i="80"/>
  <c r="W18" i="80"/>
  <c r="X18" i="80"/>
  <c r="Z18" i="80"/>
  <c r="AA18" i="80"/>
  <c r="AB18" i="80"/>
  <c r="AC18" i="80"/>
  <c r="AD18" i="80"/>
  <c r="AE18" i="80"/>
  <c r="AF18" i="80"/>
  <c r="AG18" i="80"/>
  <c r="AH18" i="80"/>
  <c r="AI18" i="80"/>
  <c r="AJ18" i="80"/>
  <c r="AK18" i="80"/>
  <c r="AL18" i="80"/>
  <c r="AM18" i="80"/>
  <c r="AN18" i="80"/>
  <c r="AO18" i="80"/>
  <c r="AP18" i="80"/>
  <c r="AQ18" i="80"/>
  <c r="AR18" i="80"/>
  <c r="AS18" i="80"/>
  <c r="AT18" i="80"/>
  <c r="AU18" i="80"/>
  <c r="AW18" i="80"/>
  <c r="AX18" i="80"/>
  <c r="AY18" i="80"/>
  <c r="BA18" i="80"/>
  <c r="BC18" i="80"/>
  <c r="A19" i="80"/>
  <c r="B19" i="80"/>
  <c r="D19" i="80"/>
  <c r="E19" i="80"/>
  <c r="F19" i="80"/>
  <c r="G19" i="80"/>
  <c r="H19" i="80"/>
  <c r="J19" i="80"/>
  <c r="K19" i="80"/>
  <c r="M19" i="80"/>
  <c r="O19" i="80"/>
  <c r="P19" i="80"/>
  <c r="R19" i="80"/>
  <c r="S19" i="80"/>
  <c r="T19" i="80"/>
  <c r="U19" i="80"/>
  <c r="V19" i="80"/>
  <c r="W19" i="80"/>
  <c r="X19" i="80"/>
  <c r="Z19" i="80"/>
  <c r="AA19" i="80"/>
  <c r="AB19" i="80"/>
  <c r="AC19" i="80"/>
  <c r="AD19" i="80"/>
  <c r="AE19" i="80"/>
  <c r="AF19" i="80"/>
  <c r="AG19" i="80"/>
  <c r="AH19" i="80"/>
  <c r="AI19" i="80"/>
  <c r="AJ19" i="80"/>
  <c r="AK19" i="80"/>
  <c r="AL19" i="80"/>
  <c r="AM19" i="80"/>
  <c r="AN19" i="80"/>
  <c r="AO19" i="80"/>
  <c r="AP19" i="80"/>
  <c r="AQ19" i="80"/>
  <c r="AR19" i="80"/>
  <c r="AS19" i="80"/>
  <c r="AT19" i="80"/>
  <c r="AU19" i="80"/>
  <c r="AW19" i="80"/>
  <c r="AX19" i="80"/>
  <c r="AY19" i="80"/>
  <c r="BA19" i="80"/>
  <c r="BC19" i="80"/>
  <c r="A20" i="80"/>
  <c r="B20" i="80"/>
  <c r="D20" i="80"/>
  <c r="E20" i="80"/>
  <c r="F20" i="80"/>
  <c r="G20" i="80"/>
  <c r="H20" i="80"/>
  <c r="J20" i="80"/>
  <c r="K20" i="80"/>
  <c r="M20" i="80"/>
  <c r="O20" i="80"/>
  <c r="P20" i="80"/>
  <c r="R20" i="80"/>
  <c r="S20" i="80"/>
  <c r="T20" i="80"/>
  <c r="U20" i="80"/>
  <c r="V20" i="80"/>
  <c r="W20" i="80"/>
  <c r="X20" i="80"/>
  <c r="Z20" i="80"/>
  <c r="AA20" i="80"/>
  <c r="AB20" i="80"/>
  <c r="AC20" i="80"/>
  <c r="AD20" i="80"/>
  <c r="AE20" i="80"/>
  <c r="AF20" i="80"/>
  <c r="AG20" i="80"/>
  <c r="AH20" i="80"/>
  <c r="AI20" i="80"/>
  <c r="AJ20" i="80"/>
  <c r="AK20" i="80"/>
  <c r="AL20" i="80"/>
  <c r="AM20" i="80"/>
  <c r="AN20" i="80"/>
  <c r="AO20" i="80"/>
  <c r="AP20" i="80"/>
  <c r="AQ20" i="80"/>
  <c r="AR20" i="80"/>
  <c r="AS20" i="80"/>
  <c r="AT20" i="80"/>
  <c r="AU20" i="80"/>
  <c r="AW20" i="80"/>
  <c r="AX20" i="80"/>
  <c r="AY20" i="80"/>
  <c r="BA20" i="80"/>
  <c r="BC20" i="80"/>
  <c r="A21" i="80"/>
  <c r="B21" i="80"/>
  <c r="D21" i="80"/>
  <c r="E21" i="80"/>
  <c r="F21" i="80"/>
  <c r="G21" i="80"/>
  <c r="H21" i="80"/>
  <c r="J21" i="80"/>
  <c r="K21" i="80"/>
  <c r="M21" i="80"/>
  <c r="O21" i="80"/>
  <c r="P21" i="80"/>
  <c r="R21" i="80"/>
  <c r="S21" i="80"/>
  <c r="T21" i="80"/>
  <c r="U21" i="80"/>
  <c r="V21" i="80"/>
  <c r="W21" i="80"/>
  <c r="X21" i="80"/>
  <c r="Z21" i="80"/>
  <c r="AA21" i="80"/>
  <c r="AB21" i="80"/>
  <c r="AC21" i="80"/>
  <c r="AD21" i="80"/>
  <c r="AE21" i="80"/>
  <c r="AF21" i="80"/>
  <c r="AG21" i="80"/>
  <c r="AH21" i="80"/>
  <c r="AI21" i="80"/>
  <c r="AJ21" i="80"/>
  <c r="AK21" i="80"/>
  <c r="AL21" i="80"/>
  <c r="AM21" i="80"/>
  <c r="AN21" i="80"/>
  <c r="AO21" i="80"/>
  <c r="AP21" i="80"/>
  <c r="AQ21" i="80"/>
  <c r="AR21" i="80"/>
  <c r="AS21" i="80"/>
  <c r="AT21" i="80"/>
  <c r="AU21" i="80"/>
  <c r="AW21" i="80"/>
  <c r="AX21" i="80"/>
  <c r="AY21" i="80"/>
  <c r="BA21" i="80"/>
  <c r="BC21" i="80"/>
  <c r="A22" i="80"/>
  <c r="B22" i="80"/>
  <c r="D22" i="80"/>
  <c r="E22" i="80"/>
  <c r="F22" i="80"/>
  <c r="G22" i="80"/>
  <c r="H22" i="80"/>
  <c r="J22" i="80"/>
  <c r="K22" i="80"/>
  <c r="M22" i="80"/>
  <c r="O22" i="80"/>
  <c r="P22" i="80"/>
  <c r="R22" i="80"/>
  <c r="S22" i="80"/>
  <c r="T22" i="80"/>
  <c r="U22" i="80"/>
  <c r="V22" i="80"/>
  <c r="W22" i="80"/>
  <c r="X22" i="80"/>
  <c r="Z22" i="80"/>
  <c r="AA22" i="80"/>
  <c r="AB22" i="80"/>
  <c r="AC22" i="80"/>
  <c r="AD22" i="80"/>
  <c r="AE22" i="80"/>
  <c r="AF22" i="80"/>
  <c r="AG22" i="80"/>
  <c r="AH22" i="80"/>
  <c r="AI22" i="80"/>
  <c r="AJ22" i="80"/>
  <c r="AK22" i="80"/>
  <c r="AL22" i="80"/>
  <c r="AM22" i="80"/>
  <c r="AN22" i="80"/>
  <c r="AO22" i="80"/>
  <c r="AP22" i="80"/>
  <c r="AQ22" i="80"/>
  <c r="AR22" i="80"/>
  <c r="AS22" i="80"/>
  <c r="AT22" i="80"/>
  <c r="AU22" i="80"/>
  <c r="AW22" i="80"/>
  <c r="AX22" i="80"/>
  <c r="AY22" i="80"/>
  <c r="BA22" i="80"/>
  <c r="BC22" i="80"/>
  <c r="A23" i="80"/>
  <c r="B23" i="80"/>
  <c r="D23" i="80"/>
  <c r="E23" i="80"/>
  <c r="F23" i="80"/>
  <c r="G23" i="80"/>
  <c r="H23" i="80"/>
  <c r="J23" i="80"/>
  <c r="K23" i="80"/>
  <c r="M23" i="80"/>
  <c r="O23" i="80"/>
  <c r="P23" i="80"/>
  <c r="R23" i="80"/>
  <c r="S23" i="80"/>
  <c r="T23" i="80"/>
  <c r="U23" i="80"/>
  <c r="V23" i="80"/>
  <c r="W23" i="80"/>
  <c r="X23" i="80"/>
  <c r="Z23" i="80"/>
  <c r="AA23" i="80"/>
  <c r="AB23" i="80"/>
  <c r="AC23" i="80"/>
  <c r="AD23" i="80"/>
  <c r="AE23" i="80"/>
  <c r="AF23" i="80"/>
  <c r="AG23" i="80"/>
  <c r="AH23" i="80"/>
  <c r="AI23" i="80"/>
  <c r="AJ23" i="80"/>
  <c r="AK23" i="80"/>
  <c r="AL23" i="80"/>
  <c r="AM23" i="80"/>
  <c r="AN23" i="80"/>
  <c r="AO23" i="80"/>
  <c r="AP23" i="80"/>
  <c r="AQ23" i="80"/>
  <c r="AR23" i="80"/>
  <c r="AS23" i="80"/>
  <c r="AT23" i="80"/>
  <c r="AU23" i="80"/>
  <c r="AW23" i="80"/>
  <c r="AX23" i="80"/>
  <c r="AY23" i="80"/>
  <c r="BA23" i="80"/>
  <c r="BC23" i="80"/>
  <c r="A24" i="80"/>
  <c r="B24" i="80"/>
  <c r="D24" i="80"/>
  <c r="E24" i="80"/>
  <c r="F24" i="80"/>
  <c r="G24" i="80"/>
  <c r="H24" i="80"/>
  <c r="J24" i="80"/>
  <c r="K24" i="80"/>
  <c r="M24" i="80"/>
  <c r="O24" i="80"/>
  <c r="P24" i="80"/>
  <c r="R24" i="80"/>
  <c r="S24" i="80"/>
  <c r="T24" i="80"/>
  <c r="U24" i="80"/>
  <c r="V24" i="80"/>
  <c r="W24" i="80"/>
  <c r="X24" i="80"/>
  <c r="Z24" i="80"/>
  <c r="AA24" i="80"/>
  <c r="AB24" i="80"/>
  <c r="AC24" i="80"/>
  <c r="AD24" i="80"/>
  <c r="AE24" i="80"/>
  <c r="AF24" i="80"/>
  <c r="AG24" i="80"/>
  <c r="AH24" i="80"/>
  <c r="AI24" i="80"/>
  <c r="AJ24" i="80"/>
  <c r="AK24" i="80"/>
  <c r="AL24" i="80"/>
  <c r="AM24" i="80"/>
  <c r="AN24" i="80"/>
  <c r="AO24" i="80"/>
  <c r="AP24" i="80"/>
  <c r="AQ24" i="80"/>
  <c r="AR24" i="80"/>
  <c r="AS24" i="80"/>
  <c r="AT24" i="80"/>
  <c r="AU24" i="80"/>
  <c r="AW24" i="80"/>
  <c r="AX24" i="80"/>
  <c r="AY24" i="80"/>
  <c r="BA24" i="80"/>
  <c r="BC24" i="80"/>
  <c r="A25" i="80"/>
  <c r="B25" i="80"/>
  <c r="D25" i="80"/>
  <c r="E25" i="80"/>
  <c r="F25" i="80"/>
  <c r="G25" i="80"/>
  <c r="H25" i="80"/>
  <c r="J25" i="80"/>
  <c r="K25" i="80"/>
  <c r="M25" i="80"/>
  <c r="O25" i="80"/>
  <c r="P25" i="80"/>
  <c r="R25" i="80"/>
  <c r="S25" i="80"/>
  <c r="T25" i="80"/>
  <c r="U25" i="80"/>
  <c r="V25" i="80"/>
  <c r="W25" i="80"/>
  <c r="X25" i="80"/>
  <c r="Z25" i="80"/>
  <c r="AA25" i="80"/>
  <c r="AB25" i="80"/>
  <c r="AC25" i="80"/>
  <c r="AD25" i="80"/>
  <c r="AE25" i="80"/>
  <c r="AF25" i="80"/>
  <c r="AG25" i="80"/>
  <c r="AH25" i="80"/>
  <c r="AI25" i="80"/>
  <c r="AJ25" i="80"/>
  <c r="AK25" i="80"/>
  <c r="AL25" i="80"/>
  <c r="AM25" i="80"/>
  <c r="AN25" i="80"/>
  <c r="AO25" i="80"/>
  <c r="AP25" i="80"/>
  <c r="AQ25" i="80"/>
  <c r="AR25" i="80"/>
  <c r="AS25" i="80"/>
  <c r="AT25" i="80"/>
  <c r="AU25" i="80"/>
  <c r="AW25" i="80"/>
  <c r="AX25" i="80"/>
  <c r="AY25" i="80"/>
  <c r="BA25" i="80"/>
  <c r="BC25" i="80"/>
  <c r="A26" i="80"/>
  <c r="B26" i="80"/>
  <c r="D26" i="80"/>
  <c r="E26" i="80"/>
  <c r="F26" i="80"/>
  <c r="G26" i="80"/>
  <c r="H26" i="80"/>
  <c r="J26" i="80"/>
  <c r="K26" i="80"/>
  <c r="M26" i="80"/>
  <c r="O26" i="80"/>
  <c r="P26" i="80"/>
  <c r="R26" i="80"/>
  <c r="S26" i="80"/>
  <c r="T26" i="80"/>
  <c r="U26" i="80"/>
  <c r="V26" i="80"/>
  <c r="W26" i="80"/>
  <c r="X26" i="80"/>
  <c r="Z26" i="80"/>
  <c r="AA26" i="80"/>
  <c r="AB26" i="80"/>
  <c r="AC26" i="80"/>
  <c r="AD26" i="80"/>
  <c r="AE26" i="80"/>
  <c r="AF26" i="80"/>
  <c r="AG26" i="80"/>
  <c r="AH26" i="80"/>
  <c r="AI26" i="80"/>
  <c r="AJ26" i="80"/>
  <c r="AK26" i="80"/>
  <c r="AL26" i="80"/>
  <c r="AM26" i="80"/>
  <c r="AN26" i="80"/>
  <c r="AO26" i="80"/>
  <c r="AP26" i="80"/>
  <c r="AQ26" i="80"/>
  <c r="AR26" i="80"/>
  <c r="AS26" i="80"/>
  <c r="AT26" i="80"/>
  <c r="AU26" i="80"/>
  <c r="AW26" i="80"/>
  <c r="AX26" i="80"/>
  <c r="AY26" i="80"/>
  <c r="BA26" i="80"/>
  <c r="BC26" i="80"/>
  <c r="A27" i="80"/>
  <c r="B27" i="80"/>
  <c r="D27" i="80"/>
  <c r="E27" i="80"/>
  <c r="F27" i="80"/>
  <c r="G27" i="80"/>
  <c r="H27" i="80"/>
  <c r="J27" i="80"/>
  <c r="K27" i="80"/>
  <c r="M27" i="80"/>
  <c r="O27" i="80"/>
  <c r="P27" i="80"/>
  <c r="R27" i="80"/>
  <c r="S27" i="80"/>
  <c r="T27" i="80"/>
  <c r="U27" i="80"/>
  <c r="V27" i="80"/>
  <c r="W27" i="80"/>
  <c r="X27" i="80"/>
  <c r="Z27" i="80"/>
  <c r="AA27" i="80"/>
  <c r="AB27" i="80"/>
  <c r="AC27" i="80"/>
  <c r="AD27" i="80"/>
  <c r="AE27" i="80"/>
  <c r="AF27" i="80"/>
  <c r="AG27" i="80"/>
  <c r="AH27" i="80"/>
  <c r="AI27" i="80"/>
  <c r="AJ27" i="80"/>
  <c r="AK27" i="80"/>
  <c r="AL27" i="80"/>
  <c r="AM27" i="80"/>
  <c r="AN27" i="80"/>
  <c r="AO27" i="80"/>
  <c r="AP27" i="80"/>
  <c r="AQ27" i="80"/>
  <c r="AR27" i="80"/>
  <c r="AS27" i="80"/>
  <c r="AT27" i="80"/>
  <c r="AU27" i="80"/>
  <c r="AW27" i="80"/>
  <c r="AX27" i="80"/>
  <c r="AY27" i="80"/>
  <c r="BA27" i="80"/>
  <c r="BC27" i="80"/>
  <c r="A28" i="80"/>
  <c r="B28" i="80"/>
  <c r="D28" i="80"/>
  <c r="E28" i="80"/>
  <c r="F28" i="80"/>
  <c r="G28" i="80"/>
  <c r="H28" i="80"/>
  <c r="J28" i="80"/>
  <c r="K28" i="80"/>
  <c r="M28" i="80"/>
  <c r="O28" i="80"/>
  <c r="P28" i="80"/>
  <c r="R28" i="80"/>
  <c r="S28" i="80"/>
  <c r="T28" i="80"/>
  <c r="U28" i="80"/>
  <c r="V28" i="80"/>
  <c r="W28" i="80"/>
  <c r="X28" i="80"/>
  <c r="Z28" i="80"/>
  <c r="AA28" i="80"/>
  <c r="AB28" i="80"/>
  <c r="AC28" i="80"/>
  <c r="AD28" i="80"/>
  <c r="AE28" i="80"/>
  <c r="AF28" i="80"/>
  <c r="AG28" i="80"/>
  <c r="AH28" i="80"/>
  <c r="AI28" i="80"/>
  <c r="AJ28" i="80"/>
  <c r="AK28" i="80"/>
  <c r="AL28" i="80"/>
  <c r="AM28" i="80"/>
  <c r="AN28" i="80"/>
  <c r="AO28" i="80"/>
  <c r="AP28" i="80"/>
  <c r="AQ28" i="80"/>
  <c r="AR28" i="80"/>
  <c r="AS28" i="80"/>
  <c r="AT28" i="80"/>
  <c r="AU28" i="80"/>
  <c r="AW28" i="80"/>
  <c r="AX28" i="80"/>
  <c r="AY28" i="80"/>
  <c r="BA28" i="80"/>
  <c r="BC28" i="80"/>
  <c r="A29" i="80"/>
  <c r="B29" i="80"/>
  <c r="D29" i="80"/>
  <c r="E29" i="80"/>
  <c r="F29" i="80"/>
  <c r="G29" i="80"/>
  <c r="H29" i="80"/>
  <c r="J29" i="80"/>
  <c r="K29" i="80"/>
  <c r="M29" i="80"/>
  <c r="O29" i="80"/>
  <c r="P29" i="80"/>
  <c r="R29" i="80"/>
  <c r="S29" i="80"/>
  <c r="T29" i="80"/>
  <c r="U29" i="80"/>
  <c r="V29" i="80"/>
  <c r="W29" i="80"/>
  <c r="X29" i="80"/>
  <c r="Z29" i="80"/>
  <c r="AA29" i="80"/>
  <c r="AB29" i="80"/>
  <c r="AC29" i="80"/>
  <c r="AD29" i="80"/>
  <c r="AE29" i="80"/>
  <c r="AF29" i="80"/>
  <c r="AG29" i="80"/>
  <c r="AH29" i="80"/>
  <c r="AI29" i="80"/>
  <c r="AJ29" i="80"/>
  <c r="AK29" i="80"/>
  <c r="AL29" i="80"/>
  <c r="AM29" i="80"/>
  <c r="AN29" i="80"/>
  <c r="AO29" i="80"/>
  <c r="AP29" i="80"/>
  <c r="AQ29" i="80"/>
  <c r="AR29" i="80"/>
  <c r="AS29" i="80"/>
  <c r="AT29" i="80"/>
  <c r="AU29" i="80"/>
  <c r="AW29" i="80"/>
  <c r="AX29" i="80"/>
  <c r="AY29" i="80"/>
  <c r="BA29" i="80"/>
  <c r="BC29" i="80"/>
  <c r="A30" i="80"/>
  <c r="B30" i="80"/>
  <c r="D30" i="80"/>
  <c r="E30" i="80"/>
  <c r="F30" i="80"/>
  <c r="G30" i="80"/>
  <c r="H30" i="80"/>
  <c r="J30" i="80"/>
  <c r="K30" i="80"/>
  <c r="M30" i="80"/>
  <c r="O30" i="80"/>
  <c r="P30" i="80"/>
  <c r="R30" i="80"/>
  <c r="S30" i="80"/>
  <c r="T30" i="80"/>
  <c r="U30" i="80"/>
  <c r="V30" i="80"/>
  <c r="W30" i="80"/>
  <c r="X30" i="80"/>
  <c r="Z30" i="80"/>
  <c r="AA30" i="80"/>
  <c r="AB30" i="80"/>
  <c r="AC30" i="80"/>
  <c r="AD30" i="80"/>
  <c r="AE30" i="80"/>
  <c r="AF30" i="80"/>
  <c r="AG30" i="80"/>
  <c r="AH30" i="80"/>
  <c r="AI30" i="80"/>
  <c r="AJ30" i="80"/>
  <c r="AK30" i="80"/>
  <c r="AL30" i="80"/>
  <c r="AM30" i="80"/>
  <c r="AN30" i="80"/>
  <c r="AO30" i="80"/>
  <c r="AP30" i="80"/>
  <c r="AQ30" i="80"/>
  <c r="AR30" i="80"/>
  <c r="AS30" i="80"/>
  <c r="AT30" i="80"/>
  <c r="AU30" i="80"/>
  <c r="AW30" i="80"/>
  <c r="AX30" i="80"/>
  <c r="AY30" i="80"/>
  <c r="BA30" i="80"/>
  <c r="BC30" i="80"/>
  <c r="A31" i="80"/>
  <c r="B31" i="80"/>
  <c r="D31" i="80"/>
  <c r="E31" i="80"/>
  <c r="F31" i="80"/>
  <c r="G31" i="80"/>
  <c r="H31" i="80"/>
  <c r="J31" i="80"/>
  <c r="K31" i="80"/>
  <c r="M31" i="80"/>
  <c r="O31" i="80"/>
  <c r="P31" i="80"/>
  <c r="R31" i="80"/>
  <c r="S31" i="80"/>
  <c r="T31" i="80"/>
  <c r="U31" i="80"/>
  <c r="V31" i="80"/>
  <c r="W31" i="80"/>
  <c r="X31" i="80"/>
  <c r="Z31" i="80"/>
  <c r="AA31" i="80"/>
  <c r="AB31" i="80"/>
  <c r="AC31" i="80"/>
  <c r="AD31" i="80"/>
  <c r="AE31" i="80"/>
  <c r="AF31" i="80"/>
  <c r="AG31" i="80"/>
  <c r="AH31" i="80"/>
  <c r="AI31" i="80"/>
  <c r="AJ31" i="80"/>
  <c r="AK31" i="80"/>
  <c r="AL31" i="80"/>
  <c r="AM31" i="80"/>
  <c r="AN31" i="80"/>
  <c r="AO31" i="80"/>
  <c r="AP31" i="80"/>
  <c r="AQ31" i="80"/>
  <c r="AR31" i="80"/>
  <c r="AS31" i="80"/>
  <c r="AT31" i="80"/>
  <c r="AU31" i="80"/>
  <c r="AW31" i="80"/>
  <c r="AX31" i="80"/>
  <c r="AY31" i="80"/>
  <c r="BA31" i="80"/>
  <c r="BC31" i="80"/>
  <c r="A32" i="80"/>
  <c r="B32" i="80"/>
  <c r="D32" i="80"/>
  <c r="E32" i="80"/>
  <c r="F32" i="80"/>
  <c r="G32" i="80"/>
  <c r="H32" i="80"/>
  <c r="J32" i="80"/>
  <c r="K32" i="80"/>
  <c r="M32" i="80"/>
  <c r="O32" i="80"/>
  <c r="P32" i="80"/>
  <c r="R32" i="80"/>
  <c r="S32" i="80"/>
  <c r="T32" i="80"/>
  <c r="U32" i="80"/>
  <c r="V32" i="80"/>
  <c r="W32" i="80"/>
  <c r="X32" i="80"/>
  <c r="Z32" i="80"/>
  <c r="AA32" i="80"/>
  <c r="AB32" i="80"/>
  <c r="AC32" i="80"/>
  <c r="AD32" i="80"/>
  <c r="AE32" i="80"/>
  <c r="AF32" i="80"/>
  <c r="AG32" i="80"/>
  <c r="AH32" i="80"/>
  <c r="AI32" i="80"/>
  <c r="AJ32" i="80"/>
  <c r="AK32" i="80"/>
  <c r="AL32" i="80"/>
  <c r="AM32" i="80"/>
  <c r="AN32" i="80"/>
  <c r="AO32" i="80"/>
  <c r="AP32" i="80"/>
  <c r="AQ32" i="80"/>
  <c r="AR32" i="80"/>
  <c r="AS32" i="80"/>
  <c r="AT32" i="80"/>
  <c r="AU32" i="80"/>
  <c r="AW32" i="80"/>
  <c r="AX32" i="80"/>
  <c r="AY32" i="80"/>
  <c r="BA32" i="80"/>
  <c r="BC32" i="80"/>
  <c r="A33" i="80"/>
  <c r="B33" i="80"/>
  <c r="D33" i="80"/>
  <c r="E33" i="80"/>
  <c r="F33" i="80"/>
  <c r="G33" i="80"/>
  <c r="H33" i="80"/>
  <c r="J33" i="80"/>
  <c r="K33" i="80"/>
  <c r="M33" i="80"/>
  <c r="O33" i="80"/>
  <c r="P33" i="80"/>
  <c r="R33" i="80"/>
  <c r="S33" i="80"/>
  <c r="T33" i="80"/>
  <c r="U33" i="80"/>
  <c r="V33" i="80"/>
  <c r="W33" i="80"/>
  <c r="X33" i="80"/>
  <c r="Z33" i="80"/>
  <c r="AA33" i="80"/>
  <c r="AB33" i="80"/>
  <c r="AC33" i="80"/>
  <c r="AD33" i="80"/>
  <c r="AE33" i="80"/>
  <c r="AF33" i="80"/>
  <c r="AG33" i="80"/>
  <c r="AH33" i="80"/>
  <c r="AI33" i="80"/>
  <c r="AJ33" i="80"/>
  <c r="AK33" i="80"/>
  <c r="AL33" i="80"/>
  <c r="AM33" i="80"/>
  <c r="AN33" i="80"/>
  <c r="AO33" i="80"/>
  <c r="AP33" i="80"/>
  <c r="AQ33" i="80"/>
  <c r="AR33" i="80"/>
  <c r="AS33" i="80"/>
  <c r="AT33" i="80"/>
  <c r="AU33" i="80"/>
  <c r="AW33" i="80"/>
  <c r="AX33" i="80"/>
  <c r="AY33" i="80"/>
  <c r="BA33" i="80"/>
  <c r="BC33" i="80"/>
  <c r="A34" i="80"/>
  <c r="B34" i="80"/>
  <c r="D34" i="80"/>
  <c r="E34" i="80"/>
  <c r="F34" i="80"/>
  <c r="G34" i="80"/>
  <c r="H34" i="80"/>
  <c r="J34" i="80"/>
  <c r="K34" i="80"/>
  <c r="M34" i="80"/>
  <c r="O34" i="80"/>
  <c r="P34" i="80"/>
  <c r="R34" i="80"/>
  <c r="S34" i="80"/>
  <c r="T34" i="80"/>
  <c r="U34" i="80"/>
  <c r="V34" i="80"/>
  <c r="W34" i="80"/>
  <c r="X34" i="80"/>
  <c r="Z34" i="80"/>
  <c r="AA34" i="80"/>
  <c r="AB34" i="80"/>
  <c r="AC34" i="80"/>
  <c r="AD34" i="80"/>
  <c r="AE34" i="80"/>
  <c r="AF34" i="80"/>
  <c r="AG34" i="80"/>
  <c r="AH34" i="80"/>
  <c r="AI34" i="80"/>
  <c r="AJ34" i="80"/>
  <c r="AK34" i="80"/>
  <c r="AL34" i="80"/>
  <c r="AM34" i="80"/>
  <c r="AN34" i="80"/>
  <c r="AO34" i="80"/>
  <c r="AP34" i="80"/>
  <c r="AQ34" i="80"/>
  <c r="AR34" i="80"/>
  <c r="AS34" i="80"/>
  <c r="AT34" i="80"/>
  <c r="AU34" i="80"/>
  <c r="AW34" i="80"/>
  <c r="AX34" i="80"/>
  <c r="AY34" i="80"/>
  <c r="BA34" i="80"/>
  <c r="BC34" i="80"/>
  <c r="A35" i="80"/>
  <c r="B35" i="80"/>
  <c r="D35" i="80"/>
  <c r="E35" i="80"/>
  <c r="F35" i="80"/>
  <c r="G35" i="80"/>
  <c r="H35" i="80"/>
  <c r="J35" i="80"/>
  <c r="K35" i="80"/>
  <c r="M35" i="80"/>
  <c r="O35" i="80"/>
  <c r="P35" i="80"/>
  <c r="R35" i="80"/>
  <c r="S35" i="80"/>
  <c r="T35" i="80"/>
  <c r="U35" i="80"/>
  <c r="V35" i="80"/>
  <c r="W35" i="80"/>
  <c r="X35" i="80"/>
  <c r="Z35" i="80"/>
  <c r="AA35" i="80"/>
  <c r="AB35" i="80"/>
  <c r="AC35" i="80"/>
  <c r="AD35" i="80"/>
  <c r="AE35" i="80"/>
  <c r="AF35" i="80"/>
  <c r="AG35" i="80"/>
  <c r="AH35" i="80"/>
  <c r="AI35" i="80"/>
  <c r="AJ35" i="80"/>
  <c r="AK35" i="80"/>
  <c r="AL35" i="80"/>
  <c r="AM35" i="80"/>
  <c r="AN35" i="80"/>
  <c r="AO35" i="80"/>
  <c r="AP35" i="80"/>
  <c r="AQ35" i="80"/>
  <c r="AR35" i="80"/>
  <c r="AS35" i="80"/>
  <c r="AT35" i="80"/>
  <c r="AU35" i="80"/>
  <c r="AW35" i="80"/>
  <c r="AX35" i="80"/>
  <c r="AY35" i="80"/>
  <c r="BA35" i="80"/>
  <c r="BC35" i="80"/>
  <c r="A36" i="80"/>
  <c r="B36" i="80"/>
  <c r="D36" i="80"/>
  <c r="E36" i="80"/>
  <c r="F36" i="80"/>
  <c r="G36" i="80"/>
  <c r="H36" i="80"/>
  <c r="J36" i="80"/>
  <c r="K36" i="80"/>
  <c r="M36" i="80"/>
  <c r="O36" i="80"/>
  <c r="P36" i="80"/>
  <c r="R36" i="80"/>
  <c r="S36" i="80"/>
  <c r="T36" i="80"/>
  <c r="U36" i="80"/>
  <c r="V36" i="80"/>
  <c r="W36" i="80"/>
  <c r="X36" i="80"/>
  <c r="Z36" i="80"/>
  <c r="AA36" i="80"/>
  <c r="AB36" i="80"/>
  <c r="AC36" i="80"/>
  <c r="AD36" i="80"/>
  <c r="AE36" i="80"/>
  <c r="AF36" i="80"/>
  <c r="AG36" i="80"/>
  <c r="AH36" i="80"/>
  <c r="AI36" i="80"/>
  <c r="AJ36" i="80"/>
  <c r="AK36" i="80"/>
  <c r="AL36" i="80"/>
  <c r="AM36" i="80"/>
  <c r="AN36" i="80"/>
  <c r="AO36" i="80"/>
  <c r="AP36" i="80"/>
  <c r="AQ36" i="80"/>
  <c r="AR36" i="80"/>
  <c r="AS36" i="80"/>
  <c r="AT36" i="80"/>
  <c r="AU36" i="80"/>
  <c r="AW36" i="80"/>
  <c r="AX36" i="80"/>
  <c r="AY36" i="80"/>
  <c r="BA36" i="80"/>
  <c r="BC36" i="80"/>
  <c r="A37" i="80"/>
  <c r="B37" i="80"/>
  <c r="D37" i="80"/>
  <c r="E37" i="80"/>
  <c r="F37" i="80"/>
  <c r="G37" i="80"/>
  <c r="H37" i="80"/>
  <c r="J37" i="80"/>
  <c r="K37" i="80"/>
  <c r="M37" i="80"/>
  <c r="O37" i="80"/>
  <c r="P37" i="80"/>
  <c r="R37" i="80"/>
  <c r="S37" i="80"/>
  <c r="T37" i="80"/>
  <c r="U37" i="80"/>
  <c r="V37" i="80"/>
  <c r="W37" i="80"/>
  <c r="X37" i="80"/>
  <c r="Z37" i="80"/>
  <c r="AA37" i="80"/>
  <c r="AB37" i="80"/>
  <c r="AC37" i="80"/>
  <c r="AD37" i="80"/>
  <c r="AE37" i="80"/>
  <c r="AF37" i="80"/>
  <c r="AG37" i="80"/>
  <c r="AH37" i="80"/>
  <c r="AI37" i="80"/>
  <c r="AJ37" i="80"/>
  <c r="AK37" i="80"/>
  <c r="AL37" i="80"/>
  <c r="AM37" i="80"/>
  <c r="AN37" i="80"/>
  <c r="AO37" i="80"/>
  <c r="AP37" i="80"/>
  <c r="AQ37" i="80"/>
  <c r="AR37" i="80"/>
  <c r="AS37" i="80"/>
  <c r="AT37" i="80"/>
  <c r="AU37" i="80"/>
  <c r="AW37" i="80"/>
  <c r="AX37" i="80"/>
  <c r="AY37" i="80"/>
  <c r="BA37" i="80"/>
  <c r="BC37" i="80"/>
  <c r="A38" i="80"/>
  <c r="B38" i="80"/>
  <c r="D38" i="80"/>
  <c r="E38" i="80"/>
  <c r="F38" i="80"/>
  <c r="G38" i="80"/>
  <c r="H38" i="80"/>
  <c r="J38" i="80"/>
  <c r="K38" i="80"/>
  <c r="M38" i="80"/>
  <c r="O38" i="80"/>
  <c r="P38" i="80"/>
  <c r="R38" i="80"/>
  <c r="S38" i="80"/>
  <c r="T38" i="80"/>
  <c r="U38" i="80"/>
  <c r="V38" i="80"/>
  <c r="W38" i="80"/>
  <c r="X38" i="80"/>
  <c r="Z38" i="80"/>
  <c r="AA38" i="80"/>
  <c r="AB38" i="80"/>
  <c r="AC38" i="80"/>
  <c r="AD38" i="80"/>
  <c r="AE38" i="80"/>
  <c r="AF38" i="80"/>
  <c r="AG38" i="80"/>
  <c r="AH38" i="80"/>
  <c r="AI38" i="80"/>
  <c r="AJ38" i="80"/>
  <c r="AK38" i="80"/>
  <c r="AL38" i="80"/>
  <c r="AM38" i="80"/>
  <c r="AN38" i="80"/>
  <c r="AO38" i="80"/>
  <c r="AP38" i="80"/>
  <c r="AQ38" i="80"/>
  <c r="AR38" i="80"/>
  <c r="AS38" i="80"/>
  <c r="AT38" i="80"/>
  <c r="AU38" i="80"/>
  <c r="AW38" i="80"/>
  <c r="AX38" i="80"/>
  <c r="AY38" i="80"/>
  <c r="BA38" i="80"/>
  <c r="BC38" i="80"/>
  <c r="A39" i="80"/>
  <c r="B39" i="80"/>
  <c r="D39" i="80"/>
  <c r="E39" i="80"/>
  <c r="F39" i="80"/>
  <c r="G39" i="80"/>
  <c r="H39" i="80"/>
  <c r="J39" i="80"/>
  <c r="K39" i="80"/>
  <c r="M39" i="80"/>
  <c r="O39" i="80"/>
  <c r="P39" i="80"/>
  <c r="R39" i="80"/>
  <c r="S39" i="80"/>
  <c r="T39" i="80"/>
  <c r="U39" i="80"/>
  <c r="V39" i="80"/>
  <c r="W39" i="80"/>
  <c r="X39" i="80"/>
  <c r="Z39" i="80"/>
  <c r="AA39" i="80"/>
  <c r="AB39" i="80"/>
  <c r="AC39" i="80"/>
  <c r="AD39" i="80"/>
  <c r="AE39" i="80"/>
  <c r="AF39" i="80"/>
  <c r="AG39" i="80"/>
  <c r="AH39" i="80"/>
  <c r="AI39" i="80"/>
  <c r="AJ39" i="80"/>
  <c r="AK39" i="80"/>
  <c r="AL39" i="80"/>
  <c r="AM39" i="80"/>
  <c r="AN39" i="80"/>
  <c r="AO39" i="80"/>
  <c r="AP39" i="80"/>
  <c r="AQ39" i="80"/>
  <c r="AR39" i="80"/>
  <c r="AS39" i="80"/>
  <c r="AT39" i="80"/>
  <c r="AU39" i="80"/>
  <c r="AW39" i="80"/>
  <c r="AX39" i="80"/>
  <c r="AY39" i="80"/>
  <c r="BA39" i="80"/>
  <c r="BC39" i="80"/>
  <c r="A40" i="80"/>
  <c r="B40" i="80"/>
  <c r="D40" i="80"/>
  <c r="E40" i="80"/>
  <c r="F40" i="80"/>
  <c r="G40" i="80"/>
  <c r="H40" i="80"/>
  <c r="J40" i="80"/>
  <c r="K40" i="80"/>
  <c r="M40" i="80"/>
  <c r="O40" i="80"/>
  <c r="P40" i="80"/>
  <c r="R40" i="80"/>
  <c r="S40" i="80"/>
  <c r="T40" i="80"/>
  <c r="U40" i="80"/>
  <c r="V40" i="80"/>
  <c r="W40" i="80"/>
  <c r="X40" i="80"/>
  <c r="Z40" i="80"/>
  <c r="AA40" i="80"/>
  <c r="AB40" i="80"/>
  <c r="AC40" i="80"/>
  <c r="AD40" i="80"/>
  <c r="AE40" i="80"/>
  <c r="AF40" i="80"/>
  <c r="AG40" i="80"/>
  <c r="AH40" i="80"/>
  <c r="AI40" i="80"/>
  <c r="AJ40" i="80"/>
  <c r="AK40" i="80"/>
  <c r="AL40" i="80"/>
  <c r="AM40" i="80"/>
  <c r="AN40" i="80"/>
  <c r="AO40" i="80"/>
  <c r="AP40" i="80"/>
  <c r="AQ40" i="80"/>
  <c r="AR40" i="80"/>
  <c r="AS40" i="80"/>
  <c r="AT40" i="80"/>
  <c r="AU40" i="80"/>
  <c r="AW40" i="80"/>
  <c r="AX40" i="80"/>
  <c r="AY40" i="80"/>
  <c r="BA40" i="80"/>
  <c r="BC40" i="80"/>
  <c r="A41" i="80"/>
  <c r="B41" i="80"/>
  <c r="D41" i="80"/>
  <c r="E41" i="80"/>
  <c r="F41" i="80"/>
  <c r="G41" i="80"/>
  <c r="H41" i="80"/>
  <c r="J41" i="80"/>
  <c r="K41" i="80"/>
  <c r="M41" i="80"/>
  <c r="O41" i="80"/>
  <c r="P41" i="80"/>
  <c r="R41" i="80"/>
  <c r="S41" i="80"/>
  <c r="T41" i="80"/>
  <c r="U41" i="80"/>
  <c r="V41" i="80"/>
  <c r="W41" i="80"/>
  <c r="X41" i="80"/>
  <c r="Z41" i="80"/>
  <c r="AA41" i="80"/>
  <c r="AB41" i="80"/>
  <c r="AC41" i="80"/>
  <c r="AD41" i="80"/>
  <c r="AE41" i="80"/>
  <c r="AF41" i="80"/>
  <c r="AG41" i="80"/>
  <c r="AH41" i="80"/>
  <c r="AI41" i="80"/>
  <c r="AJ41" i="80"/>
  <c r="AK41" i="80"/>
  <c r="AL41" i="80"/>
  <c r="AM41" i="80"/>
  <c r="AN41" i="80"/>
  <c r="AO41" i="80"/>
  <c r="AP41" i="80"/>
  <c r="AQ41" i="80"/>
  <c r="AR41" i="80"/>
  <c r="AS41" i="80"/>
  <c r="AT41" i="80"/>
  <c r="AU41" i="80"/>
  <c r="AW41" i="80"/>
  <c r="AX41" i="80"/>
  <c r="AY41" i="80"/>
  <c r="BA41" i="80"/>
  <c r="BC41" i="80"/>
  <c r="A42" i="80"/>
  <c r="B42" i="80"/>
  <c r="D42" i="80"/>
  <c r="E42" i="80"/>
  <c r="F42" i="80"/>
  <c r="G42" i="80"/>
  <c r="H42" i="80"/>
  <c r="J42" i="80"/>
  <c r="K42" i="80"/>
  <c r="M42" i="80"/>
  <c r="O42" i="80"/>
  <c r="P42" i="80"/>
  <c r="R42" i="80"/>
  <c r="S42" i="80"/>
  <c r="T42" i="80"/>
  <c r="U42" i="80"/>
  <c r="V42" i="80"/>
  <c r="W42" i="80"/>
  <c r="X42" i="80"/>
  <c r="Z42" i="80"/>
  <c r="AA42" i="80"/>
  <c r="AB42" i="80"/>
  <c r="AC42" i="80"/>
  <c r="AD42" i="80"/>
  <c r="AE42" i="80"/>
  <c r="AF42" i="80"/>
  <c r="AG42" i="80"/>
  <c r="AH42" i="80"/>
  <c r="AI42" i="80"/>
  <c r="AJ42" i="80"/>
  <c r="AK42" i="80"/>
  <c r="AL42" i="80"/>
  <c r="AM42" i="80"/>
  <c r="AN42" i="80"/>
  <c r="AO42" i="80"/>
  <c r="AP42" i="80"/>
  <c r="AQ42" i="80"/>
  <c r="AR42" i="80"/>
  <c r="AS42" i="80"/>
  <c r="AT42" i="80"/>
  <c r="AU42" i="80"/>
  <c r="AW42" i="80"/>
  <c r="AX42" i="80"/>
  <c r="AY42" i="80"/>
  <c r="BA42" i="80"/>
  <c r="BC42" i="80"/>
  <c r="A43" i="80"/>
  <c r="B43" i="80"/>
  <c r="D43" i="80"/>
  <c r="E43" i="80"/>
  <c r="F43" i="80"/>
  <c r="G43" i="80"/>
  <c r="H43" i="80"/>
  <c r="J43" i="80"/>
  <c r="K43" i="80"/>
  <c r="M43" i="80"/>
  <c r="O43" i="80"/>
  <c r="P43" i="80"/>
  <c r="R43" i="80"/>
  <c r="S43" i="80"/>
  <c r="T43" i="80"/>
  <c r="U43" i="80"/>
  <c r="V43" i="80"/>
  <c r="W43" i="80"/>
  <c r="X43" i="80"/>
  <c r="Z43" i="80"/>
  <c r="AA43" i="80"/>
  <c r="AB43" i="80"/>
  <c r="AC43" i="80"/>
  <c r="AD43" i="80"/>
  <c r="AE43" i="80"/>
  <c r="AF43" i="80"/>
  <c r="AG43" i="80"/>
  <c r="AH43" i="80"/>
  <c r="AI43" i="80"/>
  <c r="AJ43" i="80"/>
  <c r="AK43" i="80"/>
  <c r="AL43" i="80"/>
  <c r="AM43" i="80"/>
  <c r="AN43" i="80"/>
  <c r="AO43" i="80"/>
  <c r="AP43" i="80"/>
  <c r="AQ43" i="80"/>
  <c r="AR43" i="80"/>
  <c r="AS43" i="80"/>
  <c r="AT43" i="80"/>
  <c r="AU43" i="80"/>
  <c r="AW43" i="80"/>
  <c r="AX43" i="80"/>
  <c r="AY43" i="80"/>
  <c r="BA43" i="80"/>
  <c r="BC43" i="80"/>
  <c r="A44" i="80"/>
  <c r="B44" i="80"/>
  <c r="D44" i="80"/>
  <c r="E44" i="80"/>
  <c r="F44" i="80"/>
  <c r="G44" i="80"/>
  <c r="H44" i="80"/>
  <c r="J44" i="80"/>
  <c r="K44" i="80"/>
  <c r="M44" i="80"/>
  <c r="O44" i="80"/>
  <c r="P44" i="80"/>
  <c r="R44" i="80"/>
  <c r="S44" i="80"/>
  <c r="T44" i="80"/>
  <c r="U44" i="80"/>
  <c r="V44" i="80"/>
  <c r="W44" i="80"/>
  <c r="X44" i="80"/>
  <c r="Z44" i="80"/>
  <c r="AA44" i="80"/>
  <c r="AB44" i="80"/>
  <c r="AC44" i="80"/>
  <c r="AD44" i="80"/>
  <c r="AE44" i="80"/>
  <c r="AF44" i="80"/>
  <c r="AG44" i="80"/>
  <c r="AH44" i="80"/>
  <c r="AI44" i="80"/>
  <c r="AJ44" i="80"/>
  <c r="AK44" i="80"/>
  <c r="AL44" i="80"/>
  <c r="AM44" i="80"/>
  <c r="AN44" i="80"/>
  <c r="AO44" i="80"/>
  <c r="AP44" i="80"/>
  <c r="AQ44" i="80"/>
  <c r="AR44" i="80"/>
  <c r="AS44" i="80"/>
  <c r="AT44" i="80"/>
  <c r="AU44" i="80"/>
  <c r="AW44" i="80"/>
  <c r="AX44" i="80"/>
  <c r="AY44" i="80"/>
  <c r="BA44" i="80"/>
  <c r="BC44" i="80"/>
  <c r="A45" i="80"/>
  <c r="B45" i="80"/>
  <c r="D45" i="80"/>
  <c r="E45" i="80"/>
  <c r="F45" i="80"/>
  <c r="G45" i="80"/>
  <c r="H45" i="80"/>
  <c r="J45" i="80"/>
  <c r="K45" i="80"/>
  <c r="M45" i="80"/>
  <c r="O45" i="80"/>
  <c r="P45" i="80"/>
  <c r="R45" i="80"/>
  <c r="S45" i="80"/>
  <c r="T45" i="80"/>
  <c r="U45" i="80"/>
  <c r="V45" i="80"/>
  <c r="W45" i="80"/>
  <c r="X45" i="80"/>
  <c r="Z45" i="80"/>
  <c r="AA45" i="80"/>
  <c r="AB45" i="80"/>
  <c r="AC45" i="80"/>
  <c r="AD45" i="80"/>
  <c r="AE45" i="80"/>
  <c r="AF45" i="80"/>
  <c r="AG45" i="80"/>
  <c r="AH45" i="80"/>
  <c r="AI45" i="80"/>
  <c r="AJ45" i="80"/>
  <c r="AK45" i="80"/>
  <c r="AL45" i="80"/>
  <c r="AM45" i="80"/>
  <c r="AN45" i="80"/>
  <c r="AO45" i="80"/>
  <c r="AP45" i="80"/>
  <c r="AQ45" i="80"/>
  <c r="AR45" i="80"/>
  <c r="AS45" i="80"/>
  <c r="AT45" i="80"/>
  <c r="AU45" i="80"/>
  <c r="AW45" i="80"/>
  <c r="AX45" i="80"/>
  <c r="AY45" i="80"/>
  <c r="BA45" i="80"/>
  <c r="BC45" i="80"/>
  <c r="A46" i="80"/>
  <c r="B46" i="80"/>
  <c r="D46" i="80"/>
  <c r="E46" i="80"/>
  <c r="F46" i="80"/>
  <c r="G46" i="80"/>
  <c r="H46" i="80"/>
  <c r="J46" i="80"/>
  <c r="K46" i="80"/>
  <c r="M46" i="80"/>
  <c r="O46" i="80"/>
  <c r="P46" i="80"/>
  <c r="R46" i="80"/>
  <c r="S46" i="80"/>
  <c r="T46" i="80"/>
  <c r="U46" i="80"/>
  <c r="V46" i="80"/>
  <c r="W46" i="80"/>
  <c r="X46" i="80"/>
  <c r="Z46" i="80"/>
  <c r="AA46" i="80"/>
  <c r="AB46" i="80"/>
  <c r="AC46" i="80"/>
  <c r="AD46" i="80"/>
  <c r="AE46" i="80"/>
  <c r="AF46" i="80"/>
  <c r="AG46" i="80"/>
  <c r="AH46" i="80"/>
  <c r="AI46" i="80"/>
  <c r="AJ46" i="80"/>
  <c r="AK46" i="80"/>
  <c r="AL46" i="80"/>
  <c r="AM46" i="80"/>
  <c r="AN46" i="80"/>
  <c r="AO46" i="80"/>
  <c r="AP46" i="80"/>
  <c r="AQ46" i="80"/>
  <c r="AR46" i="80"/>
  <c r="AS46" i="80"/>
  <c r="AT46" i="80"/>
  <c r="AU46" i="80"/>
  <c r="AW46" i="80"/>
  <c r="AX46" i="80"/>
  <c r="AY46" i="80"/>
  <c r="BA46" i="80"/>
  <c r="BC46" i="80"/>
  <c r="A47" i="80"/>
  <c r="B47" i="80"/>
  <c r="D47" i="80"/>
  <c r="E47" i="80"/>
  <c r="F47" i="80"/>
  <c r="G47" i="80"/>
  <c r="H47" i="80"/>
  <c r="J47" i="80"/>
  <c r="K47" i="80"/>
  <c r="M47" i="80"/>
  <c r="O47" i="80"/>
  <c r="P47" i="80"/>
  <c r="R47" i="80"/>
  <c r="S47" i="80"/>
  <c r="T47" i="80"/>
  <c r="U47" i="80"/>
  <c r="V47" i="80"/>
  <c r="W47" i="80"/>
  <c r="X47" i="80"/>
  <c r="Z47" i="80"/>
  <c r="AA47" i="80"/>
  <c r="AB47" i="80"/>
  <c r="AC47" i="80"/>
  <c r="AD47" i="80"/>
  <c r="AE47" i="80"/>
  <c r="AF47" i="80"/>
  <c r="AG47" i="80"/>
  <c r="AH47" i="80"/>
  <c r="AI47" i="80"/>
  <c r="AJ47" i="80"/>
  <c r="AK47" i="80"/>
  <c r="AL47" i="80"/>
  <c r="AM47" i="80"/>
  <c r="AN47" i="80"/>
  <c r="AO47" i="80"/>
  <c r="AP47" i="80"/>
  <c r="AQ47" i="80"/>
  <c r="AR47" i="80"/>
  <c r="AS47" i="80"/>
  <c r="AT47" i="80"/>
  <c r="AU47" i="80"/>
  <c r="AW47" i="80"/>
  <c r="AX47" i="80"/>
  <c r="AY47" i="80"/>
  <c r="BA47" i="80"/>
  <c r="BC47" i="80"/>
  <c r="A48" i="80"/>
  <c r="B48" i="80"/>
  <c r="D48" i="80"/>
  <c r="E48" i="80"/>
  <c r="F48" i="80"/>
  <c r="G48" i="80"/>
  <c r="H48" i="80"/>
  <c r="J48" i="80"/>
  <c r="K48" i="80"/>
  <c r="M48" i="80"/>
  <c r="O48" i="80"/>
  <c r="P48" i="80"/>
  <c r="R48" i="80"/>
  <c r="S48" i="80"/>
  <c r="T48" i="80"/>
  <c r="U48" i="80"/>
  <c r="V48" i="80"/>
  <c r="W48" i="80"/>
  <c r="X48" i="80"/>
  <c r="Z48" i="80"/>
  <c r="AA48" i="80"/>
  <c r="AB48" i="80"/>
  <c r="AC48" i="80"/>
  <c r="AD48" i="80"/>
  <c r="AE48" i="80"/>
  <c r="AF48" i="80"/>
  <c r="AG48" i="80"/>
  <c r="AH48" i="80"/>
  <c r="AI48" i="80"/>
  <c r="AJ48" i="80"/>
  <c r="AK48" i="80"/>
  <c r="AL48" i="80"/>
  <c r="AM48" i="80"/>
  <c r="AN48" i="80"/>
  <c r="AO48" i="80"/>
  <c r="AP48" i="80"/>
  <c r="AQ48" i="80"/>
  <c r="AR48" i="80"/>
  <c r="AS48" i="80"/>
  <c r="AT48" i="80"/>
  <c r="AU48" i="80"/>
  <c r="AW48" i="80"/>
  <c r="AX48" i="80"/>
  <c r="AY48" i="80"/>
  <c r="BA48" i="80"/>
  <c r="BC48" i="80"/>
  <c r="A49" i="80"/>
  <c r="B49" i="80"/>
  <c r="D49" i="80"/>
  <c r="E49" i="80"/>
  <c r="F49" i="80"/>
  <c r="G49" i="80"/>
  <c r="H49" i="80"/>
  <c r="J49" i="80"/>
  <c r="K49" i="80"/>
  <c r="M49" i="80"/>
  <c r="O49" i="80"/>
  <c r="P49" i="80"/>
  <c r="R49" i="80"/>
  <c r="S49" i="80"/>
  <c r="T49" i="80"/>
  <c r="U49" i="80"/>
  <c r="V49" i="80"/>
  <c r="W49" i="80"/>
  <c r="X49" i="80"/>
  <c r="Z49" i="80"/>
  <c r="AA49" i="80"/>
  <c r="AB49" i="80"/>
  <c r="AC49" i="80"/>
  <c r="AD49" i="80"/>
  <c r="AE49" i="80"/>
  <c r="AF49" i="80"/>
  <c r="AG49" i="80"/>
  <c r="AH49" i="80"/>
  <c r="AI49" i="80"/>
  <c r="AJ49" i="80"/>
  <c r="AK49" i="80"/>
  <c r="AL49" i="80"/>
  <c r="AM49" i="80"/>
  <c r="AN49" i="80"/>
  <c r="AO49" i="80"/>
  <c r="AP49" i="80"/>
  <c r="AQ49" i="80"/>
  <c r="AR49" i="80"/>
  <c r="AS49" i="80"/>
  <c r="AT49" i="80"/>
  <c r="AU49" i="80"/>
  <c r="AW49" i="80"/>
  <c r="AX49" i="80"/>
  <c r="AY49" i="80"/>
  <c r="BA49" i="80"/>
  <c r="BC49" i="80"/>
  <c r="A50" i="80"/>
  <c r="B50" i="80"/>
  <c r="D50" i="80"/>
  <c r="E50" i="80"/>
  <c r="F50" i="80"/>
  <c r="G50" i="80"/>
  <c r="H50" i="80"/>
  <c r="J50" i="80"/>
  <c r="K50" i="80"/>
  <c r="M50" i="80"/>
  <c r="O50" i="80"/>
  <c r="P50" i="80"/>
  <c r="R50" i="80"/>
  <c r="S50" i="80"/>
  <c r="T50" i="80"/>
  <c r="U50" i="80"/>
  <c r="V50" i="80"/>
  <c r="W50" i="80"/>
  <c r="X50" i="80"/>
  <c r="Z50" i="80"/>
  <c r="AA50" i="80"/>
  <c r="AB50" i="80"/>
  <c r="AC50" i="80"/>
  <c r="AD50" i="80"/>
  <c r="AE50" i="80"/>
  <c r="AF50" i="80"/>
  <c r="AG50" i="80"/>
  <c r="AH50" i="80"/>
  <c r="AI50" i="80"/>
  <c r="AJ50" i="80"/>
  <c r="AK50" i="80"/>
  <c r="AL50" i="80"/>
  <c r="AM50" i="80"/>
  <c r="AN50" i="80"/>
  <c r="AO50" i="80"/>
  <c r="AP50" i="80"/>
  <c r="AQ50" i="80"/>
  <c r="AR50" i="80"/>
  <c r="AS50" i="80"/>
  <c r="AT50" i="80"/>
  <c r="AU50" i="80"/>
  <c r="AW50" i="80"/>
  <c r="AX50" i="80"/>
  <c r="AY50" i="80"/>
  <c r="BA50" i="80"/>
  <c r="BC50" i="80"/>
  <c r="A51" i="80"/>
  <c r="B51" i="80"/>
  <c r="D51" i="80"/>
  <c r="E51" i="80"/>
  <c r="F51" i="80"/>
  <c r="G51" i="80"/>
  <c r="H51" i="80"/>
  <c r="J51" i="80"/>
  <c r="K51" i="80"/>
  <c r="M51" i="80"/>
  <c r="O51" i="80"/>
  <c r="P51" i="80"/>
  <c r="R51" i="80"/>
  <c r="S51" i="80"/>
  <c r="T51" i="80"/>
  <c r="U51" i="80"/>
  <c r="V51" i="80"/>
  <c r="W51" i="80"/>
  <c r="X51" i="80"/>
  <c r="Z51" i="80"/>
  <c r="AA51" i="80"/>
  <c r="AB51" i="80"/>
  <c r="AC51" i="80"/>
  <c r="AD51" i="80"/>
  <c r="AE51" i="80"/>
  <c r="AF51" i="80"/>
  <c r="AG51" i="80"/>
  <c r="AH51" i="80"/>
  <c r="AI51" i="80"/>
  <c r="AJ51" i="80"/>
  <c r="AK51" i="80"/>
  <c r="AL51" i="80"/>
  <c r="AM51" i="80"/>
  <c r="AN51" i="80"/>
  <c r="AO51" i="80"/>
  <c r="AP51" i="80"/>
  <c r="AQ51" i="80"/>
  <c r="AR51" i="80"/>
  <c r="AS51" i="80"/>
  <c r="AT51" i="80"/>
  <c r="AU51" i="80"/>
  <c r="AW51" i="80"/>
  <c r="AX51" i="80"/>
  <c r="AY51" i="80"/>
  <c r="BA51" i="80"/>
  <c r="BC51" i="80"/>
  <c r="A52" i="80"/>
  <c r="B52" i="80"/>
  <c r="D52" i="80"/>
  <c r="E52" i="80"/>
  <c r="F52" i="80"/>
  <c r="G52" i="80"/>
  <c r="H52" i="80"/>
  <c r="J52" i="80"/>
  <c r="K52" i="80"/>
  <c r="M52" i="80"/>
  <c r="O52" i="80"/>
  <c r="P52" i="80"/>
  <c r="R52" i="80"/>
  <c r="S52" i="80"/>
  <c r="T52" i="80"/>
  <c r="U52" i="80"/>
  <c r="V52" i="80"/>
  <c r="W52" i="80"/>
  <c r="X52" i="80"/>
  <c r="Z52" i="80"/>
  <c r="AA52" i="80"/>
  <c r="AB52" i="80"/>
  <c r="AC52" i="80"/>
  <c r="AD52" i="80"/>
  <c r="AE52" i="80"/>
  <c r="AF52" i="80"/>
  <c r="AG52" i="80"/>
  <c r="AH52" i="80"/>
  <c r="AI52" i="80"/>
  <c r="AJ52" i="80"/>
  <c r="AK52" i="80"/>
  <c r="AL52" i="80"/>
  <c r="AM52" i="80"/>
  <c r="AN52" i="80"/>
  <c r="AO52" i="80"/>
  <c r="AP52" i="80"/>
  <c r="AQ52" i="80"/>
  <c r="AR52" i="80"/>
  <c r="AS52" i="80"/>
  <c r="AT52" i="80"/>
  <c r="AU52" i="80"/>
  <c r="AW52" i="80"/>
  <c r="AX52" i="80"/>
  <c r="AY52" i="80"/>
  <c r="BA52" i="80"/>
  <c r="BC52" i="80"/>
  <c r="A53" i="80"/>
  <c r="B53" i="80"/>
  <c r="D53" i="80"/>
  <c r="E53" i="80"/>
  <c r="F53" i="80"/>
  <c r="G53" i="80"/>
  <c r="H53" i="80"/>
  <c r="J53" i="80"/>
  <c r="K53" i="80"/>
  <c r="M53" i="80"/>
  <c r="O53" i="80"/>
  <c r="P53" i="80"/>
  <c r="R53" i="80"/>
  <c r="S53" i="80"/>
  <c r="T53" i="80"/>
  <c r="U53" i="80"/>
  <c r="V53" i="80"/>
  <c r="W53" i="80"/>
  <c r="X53" i="80"/>
  <c r="Z53" i="80"/>
  <c r="AA53" i="80"/>
  <c r="AB53" i="80"/>
  <c r="AC53" i="80"/>
  <c r="AD53" i="80"/>
  <c r="AE53" i="80"/>
  <c r="AF53" i="80"/>
  <c r="AG53" i="80"/>
  <c r="AH53" i="80"/>
  <c r="AI53" i="80"/>
  <c r="AJ53" i="80"/>
  <c r="AK53" i="80"/>
  <c r="AL53" i="80"/>
  <c r="AM53" i="80"/>
  <c r="AN53" i="80"/>
  <c r="AO53" i="80"/>
  <c r="AP53" i="80"/>
  <c r="AQ53" i="80"/>
  <c r="AR53" i="80"/>
  <c r="AS53" i="80"/>
  <c r="AT53" i="80"/>
  <c r="AU53" i="80"/>
  <c r="AW53" i="80"/>
  <c r="AX53" i="80"/>
  <c r="AY53" i="80"/>
  <c r="BA53" i="80"/>
  <c r="BC53" i="80"/>
  <c r="A54" i="80"/>
  <c r="B54" i="80"/>
  <c r="D54" i="80"/>
  <c r="E54" i="80"/>
  <c r="F54" i="80"/>
  <c r="G54" i="80"/>
  <c r="H54" i="80"/>
  <c r="J54" i="80"/>
  <c r="K54" i="80"/>
  <c r="M54" i="80"/>
  <c r="O54" i="80"/>
  <c r="P54" i="80"/>
  <c r="R54" i="80"/>
  <c r="S54" i="80"/>
  <c r="T54" i="80"/>
  <c r="U54" i="80"/>
  <c r="V54" i="80"/>
  <c r="W54" i="80"/>
  <c r="X54" i="80"/>
  <c r="Z54" i="80"/>
  <c r="AA54" i="80"/>
  <c r="AB54" i="80"/>
  <c r="AC54" i="80"/>
  <c r="AD54" i="80"/>
  <c r="AE54" i="80"/>
  <c r="AF54" i="80"/>
  <c r="AG54" i="80"/>
  <c r="AH54" i="80"/>
  <c r="AI54" i="80"/>
  <c r="AJ54" i="80"/>
  <c r="AK54" i="80"/>
  <c r="AL54" i="80"/>
  <c r="AM54" i="80"/>
  <c r="AN54" i="80"/>
  <c r="AO54" i="80"/>
  <c r="AP54" i="80"/>
  <c r="AQ54" i="80"/>
  <c r="AR54" i="80"/>
  <c r="AS54" i="80"/>
  <c r="AT54" i="80"/>
  <c r="AU54" i="80"/>
  <c r="AW54" i="80"/>
  <c r="AX54" i="80"/>
  <c r="AY54" i="80"/>
  <c r="BA54" i="80"/>
  <c r="BC54" i="80"/>
  <c r="A55" i="80"/>
  <c r="B55" i="80"/>
  <c r="D55" i="80"/>
  <c r="E55" i="80"/>
  <c r="F55" i="80"/>
  <c r="G55" i="80"/>
  <c r="H55" i="80"/>
  <c r="J55" i="80"/>
  <c r="K55" i="80"/>
  <c r="M55" i="80"/>
  <c r="O55" i="80"/>
  <c r="P55" i="80"/>
  <c r="R55" i="80"/>
  <c r="S55" i="80"/>
  <c r="T55" i="80"/>
  <c r="U55" i="80"/>
  <c r="V55" i="80"/>
  <c r="W55" i="80"/>
  <c r="X55" i="80"/>
  <c r="Z55" i="80"/>
  <c r="AA55" i="80"/>
  <c r="AB55" i="80"/>
  <c r="AC55" i="80"/>
  <c r="AD55" i="80"/>
  <c r="AE55" i="80"/>
  <c r="AF55" i="80"/>
  <c r="AG55" i="80"/>
  <c r="AH55" i="80"/>
  <c r="AI55" i="80"/>
  <c r="AJ55" i="80"/>
  <c r="AK55" i="80"/>
  <c r="AL55" i="80"/>
  <c r="AM55" i="80"/>
  <c r="AN55" i="80"/>
  <c r="AO55" i="80"/>
  <c r="AP55" i="80"/>
  <c r="AQ55" i="80"/>
  <c r="AR55" i="80"/>
  <c r="AS55" i="80"/>
  <c r="AT55" i="80"/>
  <c r="AU55" i="80"/>
  <c r="AW55" i="80"/>
  <c r="AX55" i="80"/>
  <c r="AY55" i="80"/>
  <c r="BA55" i="80"/>
  <c r="BC55" i="80"/>
  <c r="A56" i="80"/>
  <c r="B56" i="80"/>
  <c r="D56" i="80"/>
  <c r="E56" i="80"/>
  <c r="F56" i="80"/>
  <c r="G56" i="80"/>
  <c r="H56" i="80"/>
  <c r="J56" i="80"/>
  <c r="K56" i="80"/>
  <c r="M56" i="80"/>
  <c r="O56" i="80"/>
  <c r="P56" i="80"/>
  <c r="R56" i="80"/>
  <c r="S56" i="80"/>
  <c r="T56" i="80"/>
  <c r="U56" i="80"/>
  <c r="V56" i="80"/>
  <c r="W56" i="80"/>
  <c r="X56" i="80"/>
  <c r="Z56" i="80"/>
  <c r="AA56" i="80"/>
  <c r="AB56" i="80"/>
  <c r="AC56" i="80"/>
  <c r="AD56" i="80"/>
  <c r="AE56" i="80"/>
  <c r="AF56" i="80"/>
  <c r="AG56" i="80"/>
  <c r="AH56" i="80"/>
  <c r="AI56" i="80"/>
  <c r="AJ56" i="80"/>
  <c r="AK56" i="80"/>
  <c r="AL56" i="80"/>
  <c r="AM56" i="80"/>
  <c r="AN56" i="80"/>
  <c r="AO56" i="80"/>
  <c r="AP56" i="80"/>
  <c r="AQ56" i="80"/>
  <c r="AR56" i="80"/>
  <c r="AS56" i="80"/>
  <c r="AT56" i="80"/>
  <c r="AU56" i="80"/>
  <c r="AW56" i="80"/>
  <c r="AX56" i="80"/>
  <c r="AY56" i="80"/>
  <c r="BA56" i="80"/>
  <c r="BC56" i="80"/>
  <c r="A57" i="80"/>
  <c r="B57" i="80"/>
  <c r="D57" i="80"/>
  <c r="E57" i="80"/>
  <c r="F57" i="80"/>
  <c r="G57" i="80"/>
  <c r="H57" i="80"/>
  <c r="J57" i="80"/>
  <c r="K57" i="80"/>
  <c r="M57" i="80"/>
  <c r="O57" i="80"/>
  <c r="P57" i="80"/>
  <c r="R57" i="80"/>
  <c r="S57" i="80"/>
  <c r="T57" i="80"/>
  <c r="U57" i="80"/>
  <c r="V57" i="80"/>
  <c r="W57" i="80"/>
  <c r="X57" i="80"/>
  <c r="Z57" i="80"/>
  <c r="AA57" i="80"/>
  <c r="AB57" i="80"/>
  <c r="AC57" i="80"/>
  <c r="AD57" i="80"/>
  <c r="AE57" i="80"/>
  <c r="AF57" i="80"/>
  <c r="AG57" i="80"/>
  <c r="AH57" i="80"/>
  <c r="AI57" i="80"/>
  <c r="AJ57" i="80"/>
  <c r="AK57" i="80"/>
  <c r="AL57" i="80"/>
  <c r="AM57" i="80"/>
  <c r="AN57" i="80"/>
  <c r="AO57" i="80"/>
  <c r="AP57" i="80"/>
  <c r="AQ57" i="80"/>
  <c r="AR57" i="80"/>
  <c r="AS57" i="80"/>
  <c r="AT57" i="80"/>
  <c r="AU57" i="80"/>
  <c r="AW57" i="80"/>
  <c r="AX57" i="80"/>
  <c r="AY57" i="80"/>
  <c r="BA57" i="80"/>
  <c r="BC57" i="80"/>
  <c r="A58" i="80"/>
  <c r="B58" i="80"/>
  <c r="D58" i="80"/>
  <c r="E58" i="80"/>
  <c r="F58" i="80"/>
  <c r="G58" i="80"/>
  <c r="H58" i="80"/>
  <c r="J58" i="80"/>
  <c r="K58" i="80"/>
  <c r="M58" i="80"/>
  <c r="O58" i="80"/>
  <c r="P58" i="80"/>
  <c r="R58" i="80"/>
  <c r="S58" i="80"/>
  <c r="T58" i="80"/>
  <c r="U58" i="80"/>
  <c r="V58" i="80"/>
  <c r="W58" i="80"/>
  <c r="X58" i="80"/>
  <c r="Z58" i="80"/>
  <c r="AA58" i="80"/>
  <c r="AB58" i="80"/>
  <c r="AC58" i="80"/>
  <c r="AD58" i="80"/>
  <c r="AE58" i="80"/>
  <c r="AF58" i="80"/>
  <c r="AG58" i="80"/>
  <c r="AH58" i="80"/>
  <c r="AI58" i="80"/>
  <c r="AJ58" i="80"/>
  <c r="AK58" i="80"/>
  <c r="AL58" i="80"/>
  <c r="AM58" i="80"/>
  <c r="AN58" i="80"/>
  <c r="AO58" i="80"/>
  <c r="AP58" i="80"/>
  <c r="AQ58" i="80"/>
  <c r="AR58" i="80"/>
  <c r="AS58" i="80"/>
  <c r="AT58" i="80"/>
  <c r="AU58" i="80"/>
  <c r="AW58" i="80"/>
  <c r="AX58" i="80"/>
  <c r="AY58" i="80"/>
  <c r="BA58" i="80"/>
  <c r="BC58" i="80"/>
  <c r="A59" i="80"/>
  <c r="B59" i="80"/>
  <c r="D59" i="80"/>
  <c r="E59" i="80"/>
  <c r="F59" i="80"/>
  <c r="G59" i="80"/>
  <c r="H59" i="80"/>
  <c r="J59" i="80"/>
  <c r="K59" i="80"/>
  <c r="M59" i="80"/>
  <c r="O59" i="80"/>
  <c r="P59" i="80"/>
  <c r="R59" i="80"/>
  <c r="S59" i="80"/>
  <c r="T59" i="80"/>
  <c r="U59" i="80"/>
  <c r="V59" i="80"/>
  <c r="W59" i="80"/>
  <c r="X59" i="80"/>
  <c r="Z59" i="80"/>
  <c r="AA59" i="80"/>
  <c r="AB59" i="80"/>
  <c r="AC59" i="80"/>
  <c r="AD59" i="80"/>
  <c r="AE59" i="80"/>
  <c r="AF59" i="80"/>
  <c r="AG59" i="80"/>
  <c r="AH59" i="80"/>
  <c r="AI59" i="80"/>
  <c r="AJ59" i="80"/>
  <c r="AK59" i="80"/>
  <c r="AL59" i="80"/>
  <c r="AM59" i="80"/>
  <c r="AN59" i="80"/>
  <c r="AO59" i="80"/>
  <c r="AP59" i="80"/>
  <c r="AQ59" i="80"/>
  <c r="AR59" i="80"/>
  <c r="AS59" i="80"/>
  <c r="AT59" i="80"/>
  <c r="AU59" i="80"/>
  <c r="AW59" i="80"/>
  <c r="AX59" i="80"/>
  <c r="AY59" i="80"/>
  <c r="BA59" i="80"/>
  <c r="BC59" i="80"/>
  <c r="A60" i="80"/>
  <c r="B60" i="80"/>
  <c r="D60" i="80"/>
  <c r="E60" i="80"/>
  <c r="F60" i="80"/>
  <c r="G60" i="80"/>
  <c r="H60" i="80"/>
  <c r="J60" i="80"/>
  <c r="K60" i="80"/>
  <c r="M60" i="80"/>
  <c r="O60" i="80"/>
  <c r="P60" i="80"/>
  <c r="R60" i="80"/>
  <c r="S60" i="80"/>
  <c r="T60" i="80"/>
  <c r="U60" i="80"/>
  <c r="V60" i="80"/>
  <c r="W60" i="80"/>
  <c r="X60" i="80"/>
  <c r="Z60" i="80"/>
  <c r="AA60" i="80"/>
  <c r="AB60" i="80"/>
  <c r="AC60" i="80"/>
  <c r="AD60" i="80"/>
  <c r="AE60" i="80"/>
  <c r="AF60" i="80"/>
  <c r="AG60" i="80"/>
  <c r="AH60" i="80"/>
  <c r="AI60" i="80"/>
  <c r="AJ60" i="80"/>
  <c r="AK60" i="80"/>
  <c r="AL60" i="80"/>
  <c r="AM60" i="80"/>
  <c r="AN60" i="80"/>
  <c r="AO60" i="80"/>
  <c r="AP60" i="80"/>
  <c r="AQ60" i="80"/>
  <c r="AR60" i="80"/>
  <c r="AS60" i="80"/>
  <c r="AT60" i="80"/>
  <c r="AU60" i="80"/>
  <c r="AW60" i="80"/>
  <c r="AX60" i="80"/>
  <c r="AY60" i="80"/>
  <c r="BA60" i="80"/>
  <c r="BC60" i="80"/>
  <c r="A61" i="80"/>
  <c r="B61" i="80"/>
  <c r="D61" i="80"/>
  <c r="E61" i="80"/>
  <c r="F61" i="80"/>
  <c r="G61" i="80"/>
  <c r="H61" i="80"/>
  <c r="J61" i="80"/>
  <c r="K61" i="80"/>
  <c r="M61" i="80"/>
  <c r="O61" i="80"/>
  <c r="P61" i="80"/>
  <c r="R61" i="80"/>
  <c r="S61" i="80"/>
  <c r="T61" i="80"/>
  <c r="U61" i="80"/>
  <c r="V61" i="80"/>
  <c r="W61" i="80"/>
  <c r="X61" i="80"/>
  <c r="Z61" i="80"/>
  <c r="AA61" i="80"/>
  <c r="AB61" i="80"/>
  <c r="AC61" i="80"/>
  <c r="AD61" i="80"/>
  <c r="AE61" i="80"/>
  <c r="AF61" i="80"/>
  <c r="AG61" i="80"/>
  <c r="AH61" i="80"/>
  <c r="AI61" i="80"/>
  <c r="AJ61" i="80"/>
  <c r="AK61" i="80"/>
  <c r="AL61" i="80"/>
  <c r="AM61" i="80"/>
  <c r="AN61" i="80"/>
  <c r="AO61" i="80"/>
  <c r="AP61" i="80"/>
  <c r="AQ61" i="80"/>
  <c r="AR61" i="80"/>
  <c r="AS61" i="80"/>
  <c r="AT61" i="80"/>
  <c r="AU61" i="80"/>
  <c r="AW61" i="80"/>
  <c r="AX61" i="80"/>
  <c r="AY61" i="80"/>
  <c r="BA61" i="80"/>
  <c r="BC61" i="80"/>
  <c r="A62" i="80"/>
  <c r="B62" i="80"/>
  <c r="D62" i="80"/>
  <c r="E62" i="80"/>
  <c r="F62" i="80"/>
  <c r="G62" i="80"/>
  <c r="H62" i="80"/>
  <c r="J62" i="80"/>
  <c r="K62" i="80"/>
  <c r="M62" i="80"/>
  <c r="O62" i="80"/>
  <c r="P62" i="80"/>
  <c r="R62" i="80"/>
  <c r="S62" i="80"/>
  <c r="T62" i="80"/>
  <c r="U62" i="80"/>
  <c r="V62" i="80"/>
  <c r="W62" i="80"/>
  <c r="X62" i="80"/>
  <c r="Z62" i="80"/>
  <c r="AA62" i="80"/>
  <c r="AB62" i="80"/>
  <c r="AC62" i="80"/>
  <c r="AD62" i="80"/>
  <c r="AE62" i="80"/>
  <c r="AF62" i="80"/>
  <c r="AG62" i="80"/>
  <c r="AH62" i="80"/>
  <c r="AI62" i="80"/>
  <c r="AJ62" i="80"/>
  <c r="AK62" i="80"/>
  <c r="AL62" i="80"/>
  <c r="AM62" i="80"/>
  <c r="AN62" i="80"/>
  <c r="AO62" i="80"/>
  <c r="AP62" i="80"/>
  <c r="AQ62" i="80"/>
  <c r="AR62" i="80"/>
  <c r="AS62" i="80"/>
  <c r="AT62" i="80"/>
  <c r="AU62" i="80"/>
  <c r="AW62" i="80"/>
  <c r="AX62" i="80"/>
  <c r="AY62" i="80"/>
  <c r="BA62" i="80"/>
  <c r="BC62" i="80"/>
  <c r="A63" i="80"/>
  <c r="B63" i="80"/>
  <c r="D63" i="80"/>
  <c r="E63" i="80"/>
  <c r="F63" i="80"/>
  <c r="G63" i="80"/>
  <c r="H63" i="80"/>
  <c r="J63" i="80"/>
  <c r="K63" i="80"/>
  <c r="M63" i="80"/>
  <c r="O63" i="80"/>
  <c r="P63" i="80"/>
  <c r="R63" i="80"/>
  <c r="S63" i="80"/>
  <c r="T63" i="80"/>
  <c r="U63" i="80"/>
  <c r="V63" i="80"/>
  <c r="W63" i="80"/>
  <c r="X63" i="80"/>
  <c r="Z63" i="80"/>
  <c r="AA63" i="80"/>
  <c r="AB63" i="80"/>
  <c r="AC63" i="80"/>
  <c r="AD63" i="80"/>
  <c r="AE63" i="80"/>
  <c r="AF63" i="80"/>
  <c r="AG63" i="80"/>
  <c r="AH63" i="80"/>
  <c r="AI63" i="80"/>
  <c r="AJ63" i="80"/>
  <c r="AK63" i="80"/>
  <c r="AL63" i="80"/>
  <c r="AM63" i="80"/>
  <c r="AN63" i="80"/>
  <c r="AO63" i="80"/>
  <c r="AP63" i="80"/>
  <c r="AQ63" i="80"/>
  <c r="AR63" i="80"/>
  <c r="AS63" i="80"/>
  <c r="AT63" i="80"/>
  <c r="AU63" i="80"/>
  <c r="AW63" i="80"/>
  <c r="AX63" i="80"/>
  <c r="AY63" i="80"/>
  <c r="BA63" i="80"/>
  <c r="BC63" i="80"/>
  <c r="A64" i="80"/>
  <c r="B64" i="80"/>
  <c r="D64" i="80"/>
  <c r="E64" i="80"/>
  <c r="F64" i="80"/>
  <c r="G64" i="80"/>
  <c r="H64" i="80"/>
  <c r="J64" i="80"/>
  <c r="K64" i="80"/>
  <c r="M64" i="80"/>
  <c r="O64" i="80"/>
  <c r="P64" i="80"/>
  <c r="R64" i="80"/>
  <c r="S64" i="80"/>
  <c r="T64" i="80"/>
  <c r="U64" i="80"/>
  <c r="V64" i="80"/>
  <c r="W64" i="80"/>
  <c r="X64" i="80"/>
  <c r="Z64" i="80"/>
  <c r="AA64" i="80"/>
  <c r="AB64" i="80"/>
  <c r="AC64" i="80"/>
  <c r="AD64" i="80"/>
  <c r="AE64" i="80"/>
  <c r="AF64" i="80"/>
  <c r="AG64" i="80"/>
  <c r="AH64" i="80"/>
  <c r="AI64" i="80"/>
  <c r="AJ64" i="80"/>
  <c r="AK64" i="80"/>
  <c r="AL64" i="80"/>
  <c r="AM64" i="80"/>
  <c r="AN64" i="80"/>
  <c r="AO64" i="80"/>
  <c r="AP64" i="80"/>
  <c r="AQ64" i="80"/>
  <c r="AR64" i="80"/>
  <c r="AS64" i="80"/>
  <c r="AT64" i="80"/>
  <c r="AU64" i="80"/>
  <c r="AW64" i="80"/>
  <c r="AX64" i="80"/>
  <c r="AY64" i="80"/>
  <c r="BA64" i="80"/>
  <c r="BC64" i="80"/>
  <c r="A65" i="80"/>
  <c r="B65" i="80"/>
  <c r="D65" i="80"/>
  <c r="E65" i="80"/>
  <c r="F65" i="80"/>
  <c r="G65" i="80"/>
  <c r="H65" i="80"/>
  <c r="J65" i="80"/>
  <c r="K65" i="80"/>
  <c r="M65" i="80"/>
  <c r="O65" i="80"/>
  <c r="P65" i="80"/>
  <c r="R65" i="80"/>
  <c r="S65" i="80"/>
  <c r="T65" i="80"/>
  <c r="U65" i="80"/>
  <c r="V65" i="80"/>
  <c r="W65" i="80"/>
  <c r="X65" i="80"/>
  <c r="Z65" i="80"/>
  <c r="AA65" i="80"/>
  <c r="AB65" i="80"/>
  <c r="AC65" i="80"/>
  <c r="AD65" i="80"/>
  <c r="AE65" i="80"/>
  <c r="AF65" i="80"/>
  <c r="AG65" i="80"/>
  <c r="AH65" i="80"/>
  <c r="AI65" i="80"/>
  <c r="AJ65" i="80"/>
  <c r="AK65" i="80"/>
  <c r="AL65" i="80"/>
  <c r="AM65" i="80"/>
  <c r="AN65" i="80"/>
  <c r="AO65" i="80"/>
  <c r="AP65" i="80"/>
  <c r="AQ65" i="80"/>
  <c r="AR65" i="80"/>
  <c r="AS65" i="80"/>
  <c r="AT65" i="80"/>
  <c r="AU65" i="80"/>
  <c r="AW65" i="80"/>
  <c r="AX65" i="80"/>
  <c r="AY65" i="80"/>
  <c r="BA65" i="80"/>
  <c r="BC65" i="80"/>
  <c r="A66" i="80"/>
  <c r="B66" i="80"/>
  <c r="D66" i="80"/>
  <c r="E66" i="80"/>
  <c r="F66" i="80"/>
  <c r="G66" i="80"/>
  <c r="H66" i="80"/>
  <c r="J66" i="80"/>
  <c r="K66" i="80"/>
  <c r="M66" i="80"/>
  <c r="O66" i="80"/>
  <c r="P66" i="80"/>
  <c r="R66" i="80"/>
  <c r="S66" i="80"/>
  <c r="T66" i="80"/>
  <c r="U66" i="80"/>
  <c r="V66" i="80"/>
  <c r="W66" i="80"/>
  <c r="X66" i="80"/>
  <c r="Z66" i="80"/>
  <c r="AA66" i="80"/>
  <c r="AB66" i="80"/>
  <c r="AC66" i="80"/>
  <c r="AD66" i="80"/>
  <c r="AE66" i="80"/>
  <c r="AF66" i="80"/>
  <c r="AG66" i="80"/>
  <c r="AH66" i="80"/>
  <c r="AI66" i="80"/>
  <c r="AJ66" i="80"/>
  <c r="AK66" i="80"/>
  <c r="AL66" i="80"/>
  <c r="AM66" i="80"/>
  <c r="AN66" i="80"/>
  <c r="AO66" i="80"/>
  <c r="AP66" i="80"/>
  <c r="AQ66" i="80"/>
  <c r="AR66" i="80"/>
  <c r="AS66" i="80"/>
  <c r="AT66" i="80"/>
  <c r="AU66" i="80"/>
  <c r="AW66" i="80"/>
  <c r="AX66" i="80"/>
  <c r="AY66" i="80"/>
  <c r="BA66" i="80"/>
  <c r="BC66" i="80"/>
  <c r="A67" i="80"/>
  <c r="B67" i="80"/>
  <c r="D67" i="80"/>
  <c r="E67" i="80"/>
  <c r="F67" i="80"/>
  <c r="G67" i="80"/>
  <c r="H67" i="80"/>
  <c r="J67" i="80"/>
  <c r="K67" i="80"/>
  <c r="M67" i="80"/>
  <c r="O67" i="80"/>
  <c r="P67" i="80"/>
  <c r="R67" i="80"/>
  <c r="S67" i="80"/>
  <c r="T67" i="80"/>
  <c r="U67" i="80"/>
  <c r="V67" i="80"/>
  <c r="W67" i="80"/>
  <c r="X67" i="80"/>
  <c r="Z67" i="80"/>
  <c r="AA67" i="80"/>
  <c r="AB67" i="80"/>
  <c r="AC67" i="80"/>
  <c r="AD67" i="80"/>
  <c r="AE67" i="80"/>
  <c r="AF67" i="80"/>
  <c r="AG67" i="80"/>
  <c r="AH67" i="80"/>
  <c r="AI67" i="80"/>
  <c r="AJ67" i="80"/>
  <c r="AK67" i="80"/>
  <c r="AL67" i="80"/>
  <c r="AM67" i="80"/>
  <c r="AN67" i="80"/>
  <c r="AO67" i="80"/>
  <c r="AP67" i="80"/>
  <c r="AQ67" i="80"/>
  <c r="AR67" i="80"/>
  <c r="AS67" i="80"/>
  <c r="AT67" i="80"/>
  <c r="AU67" i="80"/>
  <c r="AW67" i="80"/>
  <c r="AX67" i="80"/>
  <c r="AY67" i="80"/>
  <c r="BA67" i="80"/>
  <c r="BC67" i="80"/>
  <c r="A68" i="80"/>
  <c r="B68" i="80"/>
  <c r="D68" i="80"/>
  <c r="E68" i="80"/>
  <c r="F68" i="80"/>
  <c r="G68" i="80"/>
  <c r="H68" i="80"/>
  <c r="J68" i="80"/>
  <c r="K68" i="80"/>
  <c r="M68" i="80"/>
  <c r="O68" i="80"/>
  <c r="P68" i="80"/>
  <c r="R68" i="80"/>
  <c r="S68" i="80"/>
  <c r="T68" i="80"/>
  <c r="U68" i="80"/>
  <c r="V68" i="80"/>
  <c r="W68" i="80"/>
  <c r="X68" i="80"/>
  <c r="Z68" i="80"/>
  <c r="AA68" i="80"/>
  <c r="AB68" i="80"/>
  <c r="AC68" i="80"/>
  <c r="AD68" i="80"/>
  <c r="AE68" i="80"/>
  <c r="AF68" i="80"/>
  <c r="AG68" i="80"/>
  <c r="AH68" i="80"/>
  <c r="AI68" i="80"/>
  <c r="AJ68" i="80"/>
  <c r="AK68" i="80"/>
  <c r="AL68" i="80"/>
  <c r="AM68" i="80"/>
  <c r="AN68" i="80"/>
  <c r="AO68" i="80"/>
  <c r="AP68" i="80"/>
  <c r="AQ68" i="80"/>
  <c r="AR68" i="80"/>
  <c r="AS68" i="80"/>
  <c r="AT68" i="80"/>
  <c r="AU68" i="80"/>
  <c r="AW68" i="80"/>
  <c r="AX68" i="80"/>
  <c r="AY68" i="80"/>
  <c r="BA68" i="80"/>
  <c r="BC68" i="80"/>
  <c r="A69" i="80"/>
  <c r="B69" i="80"/>
  <c r="D69" i="80"/>
  <c r="E69" i="80"/>
  <c r="F69" i="80"/>
  <c r="G69" i="80"/>
  <c r="H69" i="80"/>
  <c r="J69" i="80"/>
  <c r="K69" i="80"/>
  <c r="M69" i="80"/>
  <c r="O69" i="80"/>
  <c r="P69" i="80"/>
  <c r="R69" i="80"/>
  <c r="S69" i="80"/>
  <c r="T69" i="80"/>
  <c r="U69" i="80"/>
  <c r="V69" i="80"/>
  <c r="W69" i="80"/>
  <c r="X69" i="80"/>
  <c r="Z69" i="80"/>
  <c r="AA69" i="80"/>
  <c r="AB69" i="80"/>
  <c r="AC69" i="80"/>
  <c r="AD69" i="80"/>
  <c r="AE69" i="80"/>
  <c r="AF69" i="80"/>
  <c r="AG69" i="80"/>
  <c r="AH69" i="80"/>
  <c r="AI69" i="80"/>
  <c r="AJ69" i="80"/>
  <c r="AK69" i="80"/>
  <c r="AL69" i="80"/>
  <c r="AM69" i="80"/>
  <c r="AN69" i="80"/>
  <c r="AO69" i="80"/>
  <c r="AP69" i="80"/>
  <c r="AQ69" i="80"/>
  <c r="AR69" i="80"/>
  <c r="AS69" i="80"/>
  <c r="AT69" i="80"/>
  <c r="AU69" i="80"/>
  <c r="AW69" i="80"/>
  <c r="AX69" i="80"/>
  <c r="AY69" i="80"/>
  <c r="BA69" i="80"/>
  <c r="BC69" i="80"/>
  <c r="A70" i="80"/>
  <c r="B70" i="80"/>
  <c r="D70" i="80"/>
  <c r="E70" i="80"/>
  <c r="F70" i="80"/>
  <c r="G70" i="80"/>
  <c r="H70" i="80"/>
  <c r="J70" i="80"/>
  <c r="K70" i="80"/>
  <c r="M70" i="80"/>
  <c r="O70" i="80"/>
  <c r="P70" i="80"/>
  <c r="R70" i="80"/>
  <c r="S70" i="80"/>
  <c r="T70" i="80"/>
  <c r="U70" i="80"/>
  <c r="V70" i="80"/>
  <c r="W70" i="80"/>
  <c r="X70" i="80"/>
  <c r="Z70" i="80"/>
  <c r="AA70" i="80"/>
  <c r="AB70" i="80"/>
  <c r="AC70" i="80"/>
  <c r="AD70" i="80"/>
  <c r="AE70" i="80"/>
  <c r="AF70" i="80"/>
  <c r="AG70" i="80"/>
  <c r="AH70" i="80"/>
  <c r="AI70" i="80"/>
  <c r="AJ70" i="80"/>
  <c r="AK70" i="80"/>
  <c r="AL70" i="80"/>
  <c r="AM70" i="80"/>
  <c r="AN70" i="80"/>
  <c r="AO70" i="80"/>
  <c r="AP70" i="80"/>
  <c r="AQ70" i="80"/>
  <c r="AR70" i="80"/>
  <c r="AS70" i="80"/>
  <c r="AT70" i="80"/>
  <c r="AU70" i="80"/>
  <c r="AW70" i="80"/>
  <c r="AX70" i="80"/>
  <c r="AY70" i="80"/>
  <c r="BA70" i="80"/>
  <c r="BC70" i="80"/>
  <c r="A71" i="80"/>
  <c r="B71" i="80"/>
  <c r="D71" i="80"/>
  <c r="E71" i="80"/>
  <c r="F71" i="80"/>
  <c r="G71" i="80"/>
  <c r="H71" i="80"/>
  <c r="J71" i="80"/>
  <c r="K71" i="80"/>
  <c r="M71" i="80"/>
  <c r="O71" i="80"/>
  <c r="P71" i="80"/>
  <c r="R71" i="80"/>
  <c r="S71" i="80"/>
  <c r="T71" i="80"/>
  <c r="U71" i="80"/>
  <c r="V71" i="80"/>
  <c r="W71" i="80"/>
  <c r="X71" i="80"/>
  <c r="Z71" i="80"/>
  <c r="AA71" i="80"/>
  <c r="AB71" i="80"/>
  <c r="AC71" i="80"/>
  <c r="AD71" i="80"/>
  <c r="AE71" i="80"/>
  <c r="AF71" i="80"/>
  <c r="AG71" i="80"/>
  <c r="AH71" i="80"/>
  <c r="AI71" i="80"/>
  <c r="AJ71" i="80"/>
  <c r="AK71" i="80"/>
  <c r="AL71" i="80"/>
  <c r="AM71" i="80"/>
  <c r="AN71" i="80"/>
  <c r="AO71" i="80"/>
  <c r="AP71" i="80"/>
  <c r="AQ71" i="80"/>
  <c r="AR71" i="80"/>
  <c r="AS71" i="80"/>
  <c r="AT71" i="80"/>
  <c r="AU71" i="80"/>
  <c r="AW71" i="80"/>
  <c r="AX71" i="80"/>
  <c r="AY71" i="80"/>
  <c r="BA71" i="80"/>
  <c r="BC71" i="80"/>
  <c r="A72" i="80"/>
  <c r="B72" i="80"/>
  <c r="D72" i="80"/>
  <c r="E72" i="80"/>
  <c r="F72" i="80"/>
  <c r="G72" i="80"/>
  <c r="H72" i="80"/>
  <c r="J72" i="80"/>
  <c r="K72" i="80"/>
  <c r="M72" i="80"/>
  <c r="O72" i="80"/>
  <c r="P72" i="80"/>
  <c r="R72" i="80"/>
  <c r="S72" i="80"/>
  <c r="T72" i="80"/>
  <c r="U72" i="80"/>
  <c r="V72" i="80"/>
  <c r="W72" i="80"/>
  <c r="X72" i="80"/>
  <c r="Z72" i="80"/>
  <c r="AA72" i="80"/>
  <c r="AB72" i="80"/>
  <c r="AC72" i="80"/>
  <c r="AD72" i="80"/>
  <c r="AE72" i="80"/>
  <c r="AF72" i="80"/>
  <c r="AG72" i="80"/>
  <c r="AH72" i="80"/>
  <c r="AI72" i="80"/>
  <c r="AJ72" i="80"/>
  <c r="AK72" i="80"/>
  <c r="AL72" i="80"/>
  <c r="AM72" i="80"/>
  <c r="AN72" i="80"/>
  <c r="AO72" i="80"/>
  <c r="AP72" i="80"/>
  <c r="AQ72" i="80"/>
  <c r="AR72" i="80"/>
  <c r="AS72" i="80"/>
  <c r="AT72" i="80"/>
  <c r="AU72" i="80"/>
  <c r="AW72" i="80"/>
  <c r="AX72" i="80"/>
  <c r="AY72" i="80"/>
  <c r="BA72" i="80"/>
  <c r="BC72" i="80"/>
  <c r="A73" i="80"/>
  <c r="B73" i="80"/>
  <c r="D73" i="80"/>
  <c r="E73" i="80"/>
  <c r="F73" i="80"/>
  <c r="G73" i="80"/>
  <c r="H73" i="80"/>
  <c r="J73" i="80"/>
  <c r="K73" i="80"/>
  <c r="M73" i="80"/>
  <c r="O73" i="80"/>
  <c r="P73" i="80"/>
  <c r="R73" i="80"/>
  <c r="S73" i="80"/>
  <c r="T73" i="80"/>
  <c r="U73" i="80"/>
  <c r="V73" i="80"/>
  <c r="W73" i="80"/>
  <c r="X73" i="80"/>
  <c r="Z73" i="80"/>
  <c r="AA73" i="80"/>
  <c r="AB73" i="80"/>
  <c r="AC73" i="80"/>
  <c r="AD73" i="80"/>
  <c r="AE73" i="80"/>
  <c r="AF73" i="80"/>
  <c r="AG73" i="80"/>
  <c r="AH73" i="80"/>
  <c r="AI73" i="80"/>
  <c r="AJ73" i="80"/>
  <c r="AK73" i="80"/>
  <c r="AL73" i="80"/>
  <c r="AM73" i="80"/>
  <c r="AN73" i="80"/>
  <c r="AO73" i="80"/>
  <c r="AP73" i="80"/>
  <c r="AQ73" i="80"/>
  <c r="AR73" i="80"/>
  <c r="AS73" i="80"/>
  <c r="AT73" i="80"/>
  <c r="AU73" i="80"/>
  <c r="AW73" i="80"/>
  <c r="AX73" i="80"/>
  <c r="AY73" i="80"/>
  <c r="BA73" i="80"/>
  <c r="BC73" i="80"/>
  <c r="A74" i="80"/>
  <c r="B74" i="80"/>
  <c r="D74" i="80"/>
  <c r="E74" i="80"/>
  <c r="F74" i="80"/>
  <c r="G74" i="80"/>
  <c r="H74" i="80"/>
  <c r="J74" i="80"/>
  <c r="K74" i="80"/>
  <c r="M74" i="80"/>
  <c r="O74" i="80"/>
  <c r="P74" i="80"/>
  <c r="R74" i="80"/>
  <c r="S74" i="80"/>
  <c r="T74" i="80"/>
  <c r="U74" i="80"/>
  <c r="V74" i="80"/>
  <c r="W74" i="80"/>
  <c r="X74" i="80"/>
  <c r="Z74" i="80"/>
  <c r="AA74" i="80"/>
  <c r="AB74" i="80"/>
  <c r="AC74" i="80"/>
  <c r="AD74" i="80"/>
  <c r="AE74" i="80"/>
  <c r="AF74" i="80"/>
  <c r="AG74" i="80"/>
  <c r="AH74" i="80"/>
  <c r="AI74" i="80"/>
  <c r="AJ74" i="80"/>
  <c r="AK74" i="80"/>
  <c r="AL74" i="80"/>
  <c r="AM74" i="80"/>
  <c r="AN74" i="80"/>
  <c r="AO74" i="80"/>
  <c r="AP74" i="80"/>
  <c r="AQ74" i="80"/>
  <c r="AR74" i="80"/>
  <c r="AS74" i="80"/>
  <c r="AT74" i="80"/>
  <c r="AU74" i="80"/>
  <c r="AW74" i="80"/>
  <c r="AX74" i="80"/>
  <c r="AY74" i="80"/>
  <c r="BA74" i="80"/>
  <c r="BC74" i="80"/>
  <c r="A75" i="80"/>
  <c r="B75" i="80"/>
  <c r="D75" i="80"/>
  <c r="E75" i="80"/>
  <c r="F75" i="80"/>
  <c r="G75" i="80"/>
  <c r="H75" i="80"/>
  <c r="J75" i="80"/>
  <c r="K75" i="80"/>
  <c r="M75" i="80"/>
  <c r="O75" i="80"/>
  <c r="P75" i="80"/>
  <c r="R75" i="80"/>
  <c r="S75" i="80"/>
  <c r="T75" i="80"/>
  <c r="U75" i="80"/>
  <c r="V75" i="80"/>
  <c r="W75" i="80"/>
  <c r="X75" i="80"/>
  <c r="Z75" i="80"/>
  <c r="AA75" i="80"/>
  <c r="AB75" i="80"/>
  <c r="AC75" i="80"/>
  <c r="AD75" i="80"/>
  <c r="AE75" i="80"/>
  <c r="AF75" i="80"/>
  <c r="AG75" i="80"/>
  <c r="AH75" i="80"/>
  <c r="AI75" i="80"/>
  <c r="AJ75" i="80"/>
  <c r="AK75" i="80"/>
  <c r="AL75" i="80"/>
  <c r="AM75" i="80"/>
  <c r="AN75" i="80"/>
  <c r="AO75" i="80"/>
  <c r="AP75" i="80"/>
  <c r="AQ75" i="80"/>
  <c r="AR75" i="80"/>
  <c r="AS75" i="80"/>
  <c r="AT75" i="80"/>
  <c r="AU75" i="80"/>
  <c r="AW75" i="80"/>
  <c r="AX75" i="80"/>
  <c r="AY75" i="80"/>
  <c r="BA75" i="80"/>
  <c r="BC75" i="80"/>
  <c r="A76" i="80"/>
  <c r="B76" i="80"/>
  <c r="D76" i="80"/>
  <c r="E76" i="80"/>
  <c r="F76" i="80"/>
  <c r="G76" i="80"/>
  <c r="H76" i="80"/>
  <c r="J76" i="80"/>
  <c r="K76" i="80"/>
  <c r="M76" i="80"/>
  <c r="O76" i="80"/>
  <c r="P76" i="80"/>
  <c r="R76" i="80"/>
  <c r="S76" i="80"/>
  <c r="T76" i="80"/>
  <c r="U76" i="80"/>
  <c r="V76" i="80"/>
  <c r="W76" i="80"/>
  <c r="X76" i="80"/>
  <c r="Z76" i="80"/>
  <c r="AA76" i="80"/>
  <c r="AB76" i="80"/>
  <c r="AC76" i="80"/>
  <c r="AD76" i="80"/>
  <c r="AE76" i="80"/>
  <c r="AF76" i="80"/>
  <c r="AG76" i="80"/>
  <c r="AH76" i="80"/>
  <c r="AI76" i="80"/>
  <c r="AJ76" i="80"/>
  <c r="AK76" i="80"/>
  <c r="AL76" i="80"/>
  <c r="AM76" i="80"/>
  <c r="AN76" i="80"/>
  <c r="AO76" i="80"/>
  <c r="AP76" i="80"/>
  <c r="AQ76" i="80"/>
  <c r="AR76" i="80"/>
  <c r="AS76" i="80"/>
  <c r="AT76" i="80"/>
  <c r="AU76" i="80"/>
  <c r="AW76" i="80"/>
  <c r="AX76" i="80"/>
  <c r="AY76" i="80"/>
  <c r="BA76" i="80"/>
  <c r="BC76" i="80"/>
  <c r="A77" i="80"/>
  <c r="B77" i="80"/>
  <c r="D77" i="80"/>
  <c r="E77" i="80"/>
  <c r="F77" i="80"/>
  <c r="G77" i="80"/>
  <c r="H77" i="80"/>
  <c r="J77" i="80"/>
  <c r="K77" i="80"/>
  <c r="M77" i="80"/>
  <c r="O77" i="80"/>
  <c r="P77" i="80"/>
  <c r="R77" i="80"/>
  <c r="S77" i="80"/>
  <c r="T77" i="80"/>
  <c r="U77" i="80"/>
  <c r="V77" i="80"/>
  <c r="W77" i="80"/>
  <c r="X77" i="80"/>
  <c r="Z77" i="80"/>
  <c r="AA77" i="80"/>
  <c r="AB77" i="80"/>
  <c r="AC77" i="80"/>
  <c r="AD77" i="80"/>
  <c r="AE77" i="80"/>
  <c r="AF77" i="80"/>
  <c r="AG77" i="80"/>
  <c r="AH77" i="80"/>
  <c r="AI77" i="80"/>
  <c r="AJ77" i="80"/>
  <c r="AK77" i="80"/>
  <c r="AL77" i="80"/>
  <c r="AM77" i="80"/>
  <c r="AN77" i="80"/>
  <c r="AO77" i="80"/>
  <c r="AP77" i="80"/>
  <c r="AQ77" i="80"/>
  <c r="AR77" i="80"/>
  <c r="AS77" i="80"/>
  <c r="AT77" i="80"/>
  <c r="AU77" i="80"/>
  <c r="AW77" i="80"/>
  <c r="AX77" i="80"/>
  <c r="AY77" i="80"/>
  <c r="BA77" i="80"/>
  <c r="BC77" i="80"/>
  <c r="A78" i="80"/>
  <c r="B78" i="80"/>
  <c r="D78" i="80"/>
  <c r="E78" i="80"/>
  <c r="F78" i="80"/>
  <c r="G78" i="80"/>
  <c r="H78" i="80"/>
  <c r="J78" i="80"/>
  <c r="K78" i="80"/>
  <c r="M78" i="80"/>
  <c r="O78" i="80"/>
  <c r="P78" i="80"/>
  <c r="R78" i="80"/>
  <c r="S78" i="80"/>
  <c r="T78" i="80"/>
  <c r="U78" i="80"/>
  <c r="V78" i="80"/>
  <c r="W78" i="80"/>
  <c r="X78" i="80"/>
  <c r="Z78" i="80"/>
  <c r="AA78" i="80"/>
  <c r="AB78" i="80"/>
  <c r="AC78" i="80"/>
  <c r="AD78" i="80"/>
  <c r="AE78" i="80"/>
  <c r="AF78" i="80"/>
  <c r="AG78" i="80"/>
  <c r="AH78" i="80"/>
  <c r="AI78" i="80"/>
  <c r="AJ78" i="80"/>
  <c r="AK78" i="80"/>
  <c r="AL78" i="80"/>
  <c r="AM78" i="80"/>
  <c r="AN78" i="80"/>
  <c r="AO78" i="80"/>
  <c r="AP78" i="80"/>
  <c r="AQ78" i="80"/>
  <c r="AR78" i="80"/>
  <c r="AS78" i="80"/>
  <c r="AT78" i="80"/>
  <c r="AU78" i="80"/>
  <c r="AW78" i="80"/>
  <c r="AX78" i="80"/>
  <c r="AY78" i="80"/>
  <c r="BA78" i="80"/>
  <c r="BC78" i="80"/>
  <c r="A79" i="80"/>
  <c r="B79" i="80"/>
  <c r="D79" i="80"/>
  <c r="E79" i="80"/>
  <c r="F79" i="80"/>
  <c r="G79" i="80"/>
  <c r="H79" i="80"/>
  <c r="J79" i="80"/>
  <c r="K79" i="80"/>
  <c r="M79" i="80"/>
  <c r="O79" i="80"/>
  <c r="P79" i="80"/>
  <c r="R79" i="80"/>
  <c r="S79" i="80"/>
  <c r="T79" i="80"/>
  <c r="U79" i="80"/>
  <c r="V79" i="80"/>
  <c r="W79" i="80"/>
  <c r="X79" i="80"/>
  <c r="Z79" i="80"/>
  <c r="AA79" i="80"/>
  <c r="AB79" i="80"/>
  <c r="AC79" i="80"/>
  <c r="AD79" i="80"/>
  <c r="AE79" i="80"/>
  <c r="AF79" i="80"/>
  <c r="AG79" i="80"/>
  <c r="AH79" i="80"/>
  <c r="AI79" i="80"/>
  <c r="AJ79" i="80"/>
  <c r="AK79" i="80"/>
  <c r="AL79" i="80"/>
  <c r="AM79" i="80"/>
  <c r="AN79" i="80"/>
  <c r="AO79" i="80"/>
  <c r="AP79" i="80"/>
  <c r="AQ79" i="80"/>
  <c r="AR79" i="80"/>
  <c r="AS79" i="80"/>
  <c r="AT79" i="80"/>
  <c r="AU79" i="80"/>
  <c r="AW79" i="80"/>
  <c r="AX79" i="80"/>
  <c r="AY79" i="80"/>
  <c r="BA79" i="80"/>
  <c r="BC79" i="80"/>
  <c r="A80" i="80"/>
  <c r="B80" i="80"/>
  <c r="D80" i="80"/>
  <c r="E80" i="80"/>
  <c r="F80" i="80"/>
  <c r="G80" i="80"/>
  <c r="H80" i="80"/>
  <c r="J80" i="80"/>
  <c r="K80" i="80"/>
  <c r="M80" i="80"/>
  <c r="O80" i="80"/>
  <c r="P80" i="80"/>
  <c r="R80" i="80"/>
  <c r="S80" i="80"/>
  <c r="T80" i="80"/>
  <c r="U80" i="80"/>
  <c r="V80" i="80"/>
  <c r="W80" i="80"/>
  <c r="X80" i="80"/>
  <c r="Z80" i="80"/>
  <c r="AA80" i="80"/>
  <c r="AB80" i="80"/>
  <c r="AC80" i="80"/>
  <c r="AD80" i="80"/>
  <c r="AE80" i="80"/>
  <c r="AF80" i="80"/>
  <c r="AG80" i="80"/>
  <c r="AH80" i="80"/>
  <c r="AI80" i="80"/>
  <c r="AJ80" i="80"/>
  <c r="AK80" i="80"/>
  <c r="AL80" i="80"/>
  <c r="AM80" i="80"/>
  <c r="AN80" i="80"/>
  <c r="AO80" i="80"/>
  <c r="AP80" i="80"/>
  <c r="AQ80" i="80"/>
  <c r="AR80" i="80"/>
  <c r="AS80" i="80"/>
  <c r="AT80" i="80"/>
  <c r="AU80" i="80"/>
  <c r="AW80" i="80"/>
  <c r="AX80" i="80"/>
  <c r="AY80" i="80"/>
  <c r="BA80" i="80"/>
  <c r="BC80" i="80"/>
  <c r="A81" i="80"/>
  <c r="B81" i="80"/>
  <c r="D81" i="80"/>
  <c r="E81" i="80"/>
  <c r="F81" i="80"/>
  <c r="G81" i="80"/>
  <c r="H81" i="80"/>
  <c r="J81" i="80"/>
  <c r="K81" i="80"/>
  <c r="M81" i="80"/>
  <c r="O81" i="80"/>
  <c r="P81" i="80"/>
  <c r="R81" i="80"/>
  <c r="S81" i="80"/>
  <c r="T81" i="80"/>
  <c r="U81" i="80"/>
  <c r="V81" i="80"/>
  <c r="W81" i="80"/>
  <c r="X81" i="80"/>
  <c r="Z81" i="80"/>
  <c r="AA81" i="80"/>
  <c r="AB81" i="80"/>
  <c r="AC81" i="80"/>
  <c r="AD81" i="80"/>
  <c r="AE81" i="80"/>
  <c r="AF81" i="80"/>
  <c r="AG81" i="80"/>
  <c r="AH81" i="80"/>
  <c r="AI81" i="80"/>
  <c r="AJ81" i="80"/>
  <c r="AK81" i="80"/>
  <c r="AL81" i="80"/>
  <c r="AM81" i="80"/>
  <c r="AN81" i="80"/>
  <c r="AO81" i="80"/>
  <c r="AP81" i="80"/>
  <c r="AQ81" i="80"/>
  <c r="AR81" i="80"/>
  <c r="AS81" i="80"/>
  <c r="AT81" i="80"/>
  <c r="AU81" i="80"/>
  <c r="AW81" i="80"/>
  <c r="AX81" i="80"/>
  <c r="AY81" i="80"/>
  <c r="BA81" i="80"/>
  <c r="BC81" i="80"/>
  <c r="A82" i="80"/>
  <c r="B82" i="80"/>
  <c r="D82" i="80"/>
  <c r="E82" i="80"/>
  <c r="F82" i="80"/>
  <c r="G82" i="80"/>
  <c r="H82" i="80"/>
  <c r="J82" i="80"/>
  <c r="K82" i="80"/>
  <c r="M82" i="80"/>
  <c r="O82" i="80"/>
  <c r="P82" i="80"/>
  <c r="R82" i="80"/>
  <c r="S82" i="80"/>
  <c r="T82" i="80"/>
  <c r="U82" i="80"/>
  <c r="V82" i="80"/>
  <c r="W82" i="80"/>
  <c r="X82" i="80"/>
  <c r="Z82" i="80"/>
  <c r="AA82" i="80"/>
  <c r="AB82" i="80"/>
  <c r="AC82" i="80"/>
  <c r="AD82" i="80"/>
  <c r="AE82" i="80"/>
  <c r="AF82" i="80"/>
  <c r="AG82" i="80"/>
  <c r="AH82" i="80"/>
  <c r="AI82" i="80"/>
  <c r="AJ82" i="80"/>
  <c r="AK82" i="80"/>
  <c r="AL82" i="80"/>
  <c r="AM82" i="80"/>
  <c r="AN82" i="80"/>
  <c r="AO82" i="80"/>
  <c r="AP82" i="80"/>
  <c r="AQ82" i="80"/>
  <c r="AR82" i="80"/>
  <c r="AS82" i="80"/>
  <c r="AT82" i="80"/>
  <c r="AU82" i="80"/>
  <c r="AW82" i="80"/>
  <c r="AX82" i="80"/>
  <c r="AY82" i="80"/>
  <c r="BA82" i="80"/>
  <c r="BC82" i="80"/>
  <c r="A83" i="80"/>
  <c r="B83" i="80"/>
  <c r="D83" i="80"/>
  <c r="E83" i="80"/>
  <c r="F83" i="80"/>
  <c r="G83" i="80"/>
  <c r="H83" i="80"/>
  <c r="J83" i="80"/>
  <c r="K83" i="80"/>
  <c r="M83" i="80"/>
  <c r="O83" i="80"/>
  <c r="P83" i="80"/>
  <c r="R83" i="80"/>
  <c r="S83" i="80"/>
  <c r="T83" i="80"/>
  <c r="U83" i="80"/>
  <c r="V83" i="80"/>
  <c r="W83" i="80"/>
  <c r="X83" i="80"/>
  <c r="Z83" i="80"/>
  <c r="AA83" i="80"/>
  <c r="AB83" i="80"/>
  <c r="AC83" i="80"/>
  <c r="AD83" i="80"/>
  <c r="AE83" i="80"/>
  <c r="AF83" i="80"/>
  <c r="AG83" i="80"/>
  <c r="AH83" i="80"/>
  <c r="AI83" i="80"/>
  <c r="AJ83" i="80"/>
  <c r="AK83" i="80"/>
  <c r="AL83" i="80"/>
  <c r="AM83" i="80"/>
  <c r="AN83" i="80"/>
  <c r="AO83" i="80"/>
  <c r="AP83" i="80"/>
  <c r="AQ83" i="80"/>
  <c r="AR83" i="80"/>
  <c r="AS83" i="80"/>
  <c r="AT83" i="80"/>
  <c r="AU83" i="80"/>
  <c r="AW83" i="80"/>
  <c r="AX83" i="80"/>
  <c r="AY83" i="80"/>
  <c r="BA83" i="80"/>
  <c r="BC83" i="80"/>
  <c r="A84" i="80"/>
  <c r="B84" i="80"/>
  <c r="D84" i="80"/>
  <c r="E84" i="80"/>
  <c r="F84" i="80"/>
  <c r="G84" i="80"/>
  <c r="H84" i="80"/>
  <c r="J84" i="80"/>
  <c r="K84" i="80"/>
  <c r="M84" i="80"/>
  <c r="O84" i="80"/>
  <c r="P84" i="80"/>
  <c r="R84" i="80"/>
  <c r="S84" i="80"/>
  <c r="T84" i="80"/>
  <c r="U84" i="80"/>
  <c r="V84" i="80"/>
  <c r="W84" i="80"/>
  <c r="X84" i="80"/>
  <c r="Z84" i="80"/>
  <c r="AA84" i="80"/>
  <c r="AB84" i="80"/>
  <c r="AC84" i="80"/>
  <c r="AD84" i="80"/>
  <c r="AE84" i="80"/>
  <c r="AF84" i="80"/>
  <c r="AG84" i="80"/>
  <c r="AH84" i="80"/>
  <c r="AI84" i="80"/>
  <c r="AJ84" i="80"/>
  <c r="AK84" i="80"/>
  <c r="AL84" i="80"/>
  <c r="AM84" i="80"/>
  <c r="AN84" i="80"/>
  <c r="AO84" i="80"/>
  <c r="AP84" i="80"/>
  <c r="AQ84" i="80"/>
  <c r="AR84" i="80"/>
  <c r="AS84" i="80"/>
  <c r="AT84" i="80"/>
  <c r="AU84" i="80"/>
  <c r="AW84" i="80"/>
  <c r="AX84" i="80"/>
  <c r="AY84" i="80"/>
  <c r="BA84" i="80"/>
  <c r="BC84" i="80"/>
  <c r="A85" i="80"/>
  <c r="B85" i="80"/>
  <c r="D85" i="80"/>
  <c r="E85" i="80"/>
  <c r="F85" i="80"/>
  <c r="G85" i="80"/>
  <c r="H85" i="80"/>
  <c r="J85" i="80"/>
  <c r="K85" i="80"/>
  <c r="M85" i="80"/>
  <c r="O85" i="80"/>
  <c r="P85" i="80"/>
  <c r="R85" i="80"/>
  <c r="S85" i="80"/>
  <c r="T85" i="80"/>
  <c r="U85" i="80"/>
  <c r="V85" i="80"/>
  <c r="W85" i="80"/>
  <c r="X85" i="80"/>
  <c r="Z85" i="80"/>
  <c r="AA85" i="80"/>
  <c r="AB85" i="80"/>
  <c r="AC85" i="80"/>
  <c r="AD85" i="80"/>
  <c r="AE85" i="80"/>
  <c r="AF85" i="80"/>
  <c r="AG85" i="80"/>
  <c r="AH85" i="80"/>
  <c r="AI85" i="80"/>
  <c r="AJ85" i="80"/>
  <c r="AK85" i="80"/>
  <c r="AL85" i="80"/>
  <c r="AM85" i="80"/>
  <c r="AN85" i="80"/>
  <c r="AO85" i="80"/>
  <c r="AP85" i="80"/>
  <c r="AQ85" i="80"/>
  <c r="AR85" i="80"/>
  <c r="AS85" i="80"/>
  <c r="AT85" i="80"/>
  <c r="AU85" i="80"/>
  <c r="AW85" i="80"/>
  <c r="AX85" i="80"/>
  <c r="AY85" i="80"/>
  <c r="BA85" i="80"/>
  <c r="BC85" i="80"/>
  <c r="A86" i="80"/>
  <c r="B86" i="80"/>
  <c r="D86" i="80"/>
  <c r="E86" i="80"/>
  <c r="F86" i="80"/>
  <c r="G86" i="80"/>
  <c r="H86" i="80"/>
  <c r="J86" i="80"/>
  <c r="K86" i="80"/>
  <c r="M86" i="80"/>
  <c r="O86" i="80"/>
  <c r="P86" i="80"/>
  <c r="R86" i="80"/>
  <c r="S86" i="80"/>
  <c r="T86" i="80"/>
  <c r="U86" i="80"/>
  <c r="V86" i="80"/>
  <c r="W86" i="80"/>
  <c r="X86" i="80"/>
  <c r="Z86" i="80"/>
  <c r="AA86" i="80"/>
  <c r="AB86" i="80"/>
  <c r="AC86" i="80"/>
  <c r="AD86" i="80"/>
  <c r="AE86" i="80"/>
  <c r="AF86" i="80"/>
  <c r="AG86" i="80"/>
  <c r="AH86" i="80"/>
  <c r="AI86" i="80"/>
  <c r="AJ86" i="80"/>
  <c r="AK86" i="80"/>
  <c r="AL86" i="80"/>
  <c r="AM86" i="80"/>
  <c r="AN86" i="80"/>
  <c r="AO86" i="80"/>
  <c r="AP86" i="80"/>
  <c r="AQ86" i="80"/>
  <c r="AR86" i="80"/>
  <c r="AS86" i="80"/>
  <c r="AT86" i="80"/>
  <c r="AU86" i="80"/>
  <c r="AW86" i="80"/>
  <c r="AX86" i="80"/>
  <c r="AY86" i="80"/>
  <c r="BA86" i="80"/>
  <c r="BC86" i="80"/>
  <c r="A87" i="80"/>
  <c r="B87" i="80"/>
  <c r="D87" i="80"/>
  <c r="E87" i="80"/>
  <c r="F87" i="80"/>
  <c r="G87" i="80"/>
  <c r="H87" i="80"/>
  <c r="J87" i="80"/>
  <c r="K87" i="80"/>
  <c r="M87" i="80"/>
  <c r="O87" i="80"/>
  <c r="P87" i="80"/>
  <c r="R87" i="80"/>
  <c r="S87" i="80"/>
  <c r="T87" i="80"/>
  <c r="U87" i="80"/>
  <c r="V87" i="80"/>
  <c r="W87" i="80"/>
  <c r="X87" i="80"/>
  <c r="Z87" i="80"/>
  <c r="AA87" i="80"/>
  <c r="AB87" i="80"/>
  <c r="AC87" i="80"/>
  <c r="AD87" i="80"/>
  <c r="AE87" i="80"/>
  <c r="AF87" i="80"/>
  <c r="AG87" i="80"/>
  <c r="AH87" i="80"/>
  <c r="AI87" i="80"/>
  <c r="AJ87" i="80"/>
  <c r="AK87" i="80"/>
  <c r="AL87" i="80"/>
  <c r="AM87" i="80"/>
  <c r="AN87" i="80"/>
  <c r="AO87" i="80"/>
  <c r="AP87" i="80"/>
  <c r="AQ87" i="80"/>
  <c r="AR87" i="80"/>
  <c r="AS87" i="80"/>
  <c r="AT87" i="80"/>
  <c r="AU87" i="80"/>
  <c r="AW87" i="80"/>
  <c r="AX87" i="80"/>
  <c r="AY87" i="80"/>
  <c r="BA87" i="80"/>
  <c r="BC87" i="80"/>
  <c r="A88" i="80"/>
  <c r="B88" i="80"/>
  <c r="D88" i="80"/>
  <c r="E88" i="80"/>
  <c r="F88" i="80"/>
  <c r="G88" i="80"/>
  <c r="H88" i="80"/>
  <c r="J88" i="80"/>
  <c r="K88" i="80"/>
  <c r="M88" i="80"/>
  <c r="O88" i="80"/>
  <c r="P88" i="80"/>
  <c r="R88" i="80"/>
  <c r="S88" i="80"/>
  <c r="T88" i="80"/>
  <c r="U88" i="80"/>
  <c r="V88" i="80"/>
  <c r="W88" i="80"/>
  <c r="X88" i="80"/>
  <c r="Z88" i="80"/>
  <c r="AA88" i="80"/>
  <c r="AB88" i="80"/>
  <c r="AC88" i="80"/>
  <c r="AD88" i="80"/>
  <c r="AE88" i="80"/>
  <c r="AF88" i="80"/>
  <c r="AG88" i="80"/>
  <c r="AH88" i="80"/>
  <c r="AI88" i="80"/>
  <c r="AJ88" i="80"/>
  <c r="AK88" i="80"/>
  <c r="AL88" i="80"/>
  <c r="AM88" i="80"/>
  <c r="AN88" i="80"/>
  <c r="AO88" i="80"/>
  <c r="AP88" i="80"/>
  <c r="AQ88" i="80"/>
  <c r="AR88" i="80"/>
  <c r="AS88" i="80"/>
  <c r="AT88" i="80"/>
  <c r="AU88" i="80"/>
  <c r="AW88" i="80"/>
  <c r="AX88" i="80"/>
  <c r="AY88" i="80"/>
  <c r="BA88" i="80"/>
  <c r="BC88" i="80"/>
  <c r="A89" i="80"/>
  <c r="B89" i="80"/>
  <c r="D89" i="80"/>
  <c r="E89" i="80"/>
  <c r="F89" i="80"/>
  <c r="G89" i="80"/>
  <c r="H89" i="80"/>
  <c r="J89" i="80"/>
  <c r="K89" i="80"/>
  <c r="M89" i="80"/>
  <c r="O89" i="80"/>
  <c r="P89" i="80"/>
  <c r="R89" i="80"/>
  <c r="S89" i="80"/>
  <c r="T89" i="80"/>
  <c r="U89" i="80"/>
  <c r="V89" i="80"/>
  <c r="W89" i="80"/>
  <c r="X89" i="80"/>
  <c r="Z89" i="80"/>
  <c r="AA89" i="80"/>
  <c r="AB89" i="80"/>
  <c r="AC89" i="80"/>
  <c r="AD89" i="80"/>
  <c r="AE89" i="80"/>
  <c r="AF89" i="80"/>
  <c r="AG89" i="80"/>
  <c r="AH89" i="80"/>
  <c r="AI89" i="80"/>
  <c r="AJ89" i="80"/>
  <c r="AK89" i="80"/>
  <c r="AL89" i="80"/>
  <c r="AM89" i="80"/>
  <c r="AN89" i="80"/>
  <c r="AO89" i="80"/>
  <c r="AP89" i="80"/>
  <c r="AQ89" i="80"/>
  <c r="AR89" i="80"/>
  <c r="AS89" i="80"/>
  <c r="AT89" i="80"/>
  <c r="AU89" i="80"/>
  <c r="AW89" i="80"/>
  <c r="AX89" i="80"/>
  <c r="AY89" i="80"/>
  <c r="BA89" i="80"/>
  <c r="BC89" i="80"/>
  <c r="A90" i="80"/>
  <c r="B90" i="80"/>
  <c r="D90" i="80"/>
  <c r="E90" i="80"/>
  <c r="F90" i="80"/>
  <c r="G90" i="80"/>
  <c r="H90" i="80"/>
  <c r="J90" i="80"/>
  <c r="K90" i="80"/>
  <c r="M90" i="80"/>
  <c r="O90" i="80"/>
  <c r="P90" i="80"/>
  <c r="R90" i="80"/>
  <c r="S90" i="80"/>
  <c r="T90" i="80"/>
  <c r="U90" i="80"/>
  <c r="V90" i="80"/>
  <c r="W90" i="80"/>
  <c r="X90" i="80"/>
  <c r="Z90" i="80"/>
  <c r="AA90" i="80"/>
  <c r="AB90" i="80"/>
  <c r="AC90" i="80"/>
  <c r="AD90" i="80"/>
  <c r="AE90" i="80"/>
  <c r="AF90" i="80"/>
  <c r="AG90" i="80"/>
  <c r="AH90" i="80"/>
  <c r="AI90" i="80"/>
  <c r="AJ90" i="80"/>
  <c r="AK90" i="80"/>
  <c r="AL90" i="80"/>
  <c r="AM90" i="80"/>
  <c r="AN90" i="80"/>
  <c r="AO90" i="80"/>
  <c r="AP90" i="80"/>
  <c r="AQ90" i="80"/>
  <c r="AR90" i="80"/>
  <c r="AS90" i="80"/>
  <c r="AT90" i="80"/>
  <c r="AU90" i="80"/>
  <c r="AW90" i="80"/>
  <c r="AX90" i="80"/>
  <c r="AY90" i="80"/>
  <c r="BA90" i="80"/>
  <c r="BC90" i="80"/>
  <c r="A91" i="80"/>
  <c r="B91" i="80"/>
  <c r="D91" i="80"/>
  <c r="E91" i="80"/>
  <c r="F91" i="80"/>
  <c r="G91" i="80"/>
  <c r="H91" i="80"/>
  <c r="J91" i="80"/>
  <c r="K91" i="80"/>
  <c r="M91" i="80"/>
  <c r="O91" i="80"/>
  <c r="P91" i="80"/>
  <c r="R91" i="80"/>
  <c r="S91" i="80"/>
  <c r="T91" i="80"/>
  <c r="U91" i="80"/>
  <c r="V91" i="80"/>
  <c r="W91" i="80"/>
  <c r="X91" i="80"/>
  <c r="Z91" i="80"/>
  <c r="AA91" i="80"/>
  <c r="AB91" i="80"/>
  <c r="AC91" i="80"/>
  <c r="AD91" i="80"/>
  <c r="AE91" i="80"/>
  <c r="AF91" i="80"/>
  <c r="AG91" i="80"/>
  <c r="AH91" i="80"/>
  <c r="AI91" i="80"/>
  <c r="AJ91" i="80"/>
  <c r="AK91" i="80"/>
  <c r="AL91" i="80"/>
  <c r="AM91" i="80"/>
  <c r="AN91" i="80"/>
  <c r="AO91" i="80"/>
  <c r="AP91" i="80"/>
  <c r="AQ91" i="80"/>
  <c r="AR91" i="80"/>
  <c r="AS91" i="80"/>
  <c r="AT91" i="80"/>
  <c r="AU91" i="80"/>
  <c r="AW91" i="80"/>
  <c r="AX91" i="80"/>
  <c r="AY91" i="80"/>
  <c r="BA91" i="80"/>
  <c r="BC91" i="80"/>
  <c r="A92" i="80"/>
  <c r="B92" i="80"/>
  <c r="D92" i="80"/>
  <c r="E92" i="80"/>
  <c r="F92" i="80"/>
  <c r="G92" i="80"/>
  <c r="H92" i="80"/>
  <c r="J92" i="80"/>
  <c r="K92" i="80"/>
  <c r="M92" i="80"/>
  <c r="O92" i="80"/>
  <c r="P92" i="80"/>
  <c r="R92" i="80"/>
  <c r="S92" i="80"/>
  <c r="T92" i="80"/>
  <c r="U92" i="80"/>
  <c r="V92" i="80"/>
  <c r="W92" i="80"/>
  <c r="X92" i="80"/>
  <c r="Z92" i="80"/>
  <c r="AA92" i="80"/>
  <c r="AB92" i="80"/>
  <c r="AC92" i="80"/>
  <c r="AD92" i="80"/>
  <c r="AE92" i="80"/>
  <c r="AF92" i="80"/>
  <c r="AG92" i="80"/>
  <c r="AH92" i="80"/>
  <c r="AI92" i="80"/>
  <c r="AJ92" i="80"/>
  <c r="AK92" i="80"/>
  <c r="AL92" i="80"/>
  <c r="AM92" i="80"/>
  <c r="AN92" i="80"/>
  <c r="AO92" i="80"/>
  <c r="AP92" i="80"/>
  <c r="AQ92" i="80"/>
  <c r="AR92" i="80"/>
  <c r="AS92" i="80"/>
  <c r="AT92" i="80"/>
  <c r="AU92" i="80"/>
  <c r="AW92" i="80"/>
  <c r="AX92" i="80"/>
  <c r="AY92" i="80"/>
  <c r="BA92" i="80"/>
  <c r="BC92" i="80"/>
  <c r="A93" i="80"/>
  <c r="B93" i="80"/>
  <c r="D93" i="80"/>
  <c r="E93" i="80"/>
  <c r="F93" i="80"/>
  <c r="G93" i="80"/>
  <c r="H93" i="80"/>
  <c r="J93" i="80"/>
  <c r="K93" i="80"/>
  <c r="M93" i="80"/>
  <c r="O93" i="80"/>
  <c r="P93" i="80"/>
  <c r="R93" i="80"/>
  <c r="S93" i="80"/>
  <c r="T93" i="80"/>
  <c r="U93" i="80"/>
  <c r="V93" i="80"/>
  <c r="W93" i="80"/>
  <c r="X93" i="80"/>
  <c r="Z93" i="80"/>
  <c r="AA93" i="80"/>
  <c r="AB93" i="80"/>
  <c r="AC93" i="80"/>
  <c r="AD93" i="80"/>
  <c r="AE93" i="80"/>
  <c r="AF93" i="80"/>
  <c r="AG93" i="80"/>
  <c r="AH93" i="80"/>
  <c r="AI93" i="80"/>
  <c r="AJ93" i="80"/>
  <c r="AK93" i="80"/>
  <c r="AL93" i="80"/>
  <c r="AM93" i="80"/>
  <c r="AN93" i="80"/>
  <c r="AO93" i="80"/>
  <c r="AP93" i="80"/>
  <c r="AQ93" i="80"/>
  <c r="AR93" i="80"/>
  <c r="AS93" i="80"/>
  <c r="AT93" i="80"/>
  <c r="AU93" i="80"/>
  <c r="AW93" i="80"/>
  <c r="AX93" i="80"/>
  <c r="AY93" i="80"/>
  <c r="BA93" i="80"/>
  <c r="BC93" i="80"/>
  <c r="A94" i="80"/>
  <c r="B94" i="80"/>
  <c r="D94" i="80"/>
  <c r="E94" i="80"/>
  <c r="F94" i="80"/>
  <c r="G94" i="80"/>
  <c r="H94" i="80"/>
  <c r="J94" i="80"/>
  <c r="K94" i="80"/>
  <c r="M94" i="80"/>
  <c r="O94" i="80"/>
  <c r="P94" i="80"/>
  <c r="R94" i="80"/>
  <c r="S94" i="80"/>
  <c r="T94" i="80"/>
  <c r="U94" i="80"/>
  <c r="V94" i="80"/>
  <c r="W94" i="80"/>
  <c r="X94" i="80"/>
  <c r="Z94" i="80"/>
  <c r="AA94" i="80"/>
  <c r="AB94" i="80"/>
  <c r="AC94" i="80"/>
  <c r="AD94" i="80"/>
  <c r="AE94" i="80"/>
  <c r="AF94" i="80"/>
  <c r="AG94" i="80"/>
  <c r="AH94" i="80"/>
  <c r="AI94" i="80"/>
  <c r="AJ94" i="80"/>
  <c r="AK94" i="80"/>
  <c r="AL94" i="80"/>
  <c r="AM94" i="80"/>
  <c r="AN94" i="80"/>
  <c r="AO94" i="80"/>
  <c r="AP94" i="80"/>
  <c r="AQ94" i="80"/>
  <c r="AR94" i="80"/>
  <c r="AS94" i="80"/>
  <c r="AT94" i="80"/>
  <c r="AU94" i="80"/>
  <c r="AW94" i="80"/>
  <c r="AX94" i="80"/>
  <c r="AY94" i="80"/>
  <c r="BA94" i="80"/>
  <c r="BC94" i="80"/>
  <c r="A95" i="80"/>
  <c r="B95" i="80"/>
  <c r="D95" i="80"/>
  <c r="E95" i="80"/>
  <c r="F95" i="80"/>
  <c r="G95" i="80"/>
  <c r="H95" i="80"/>
  <c r="J95" i="80"/>
  <c r="K95" i="80"/>
  <c r="M95" i="80"/>
  <c r="O95" i="80"/>
  <c r="P95" i="80"/>
  <c r="R95" i="80"/>
  <c r="S95" i="80"/>
  <c r="T95" i="80"/>
  <c r="U95" i="80"/>
  <c r="V95" i="80"/>
  <c r="W95" i="80"/>
  <c r="X95" i="80"/>
  <c r="Z95" i="80"/>
  <c r="AA95" i="80"/>
  <c r="AB95" i="80"/>
  <c r="AC95" i="80"/>
  <c r="AD95" i="80"/>
  <c r="AE95" i="80"/>
  <c r="AF95" i="80"/>
  <c r="AG95" i="80"/>
  <c r="AH95" i="80"/>
  <c r="AI95" i="80"/>
  <c r="AJ95" i="80"/>
  <c r="AK95" i="80"/>
  <c r="AL95" i="80"/>
  <c r="AM95" i="80"/>
  <c r="AN95" i="80"/>
  <c r="AO95" i="80"/>
  <c r="AP95" i="80"/>
  <c r="AQ95" i="80"/>
  <c r="AR95" i="80"/>
  <c r="AS95" i="80"/>
  <c r="AT95" i="80"/>
  <c r="AU95" i="80"/>
  <c r="AW95" i="80"/>
  <c r="AX95" i="80"/>
  <c r="AY95" i="80"/>
  <c r="BA95" i="80"/>
  <c r="BC95" i="80"/>
  <c r="A96" i="80"/>
  <c r="B96" i="80"/>
  <c r="D96" i="80"/>
  <c r="E96" i="80"/>
  <c r="F96" i="80"/>
  <c r="G96" i="80"/>
  <c r="H96" i="80"/>
  <c r="J96" i="80"/>
  <c r="K96" i="80"/>
  <c r="M96" i="80"/>
  <c r="O96" i="80"/>
  <c r="P96" i="80"/>
  <c r="R96" i="80"/>
  <c r="S96" i="80"/>
  <c r="T96" i="80"/>
  <c r="U96" i="80"/>
  <c r="V96" i="80"/>
  <c r="W96" i="80"/>
  <c r="X96" i="80"/>
  <c r="Z96" i="80"/>
  <c r="AA96" i="80"/>
  <c r="AB96" i="80"/>
  <c r="AC96" i="80"/>
  <c r="AD96" i="80"/>
  <c r="AE96" i="80"/>
  <c r="AF96" i="80"/>
  <c r="AG96" i="80"/>
  <c r="AH96" i="80"/>
  <c r="AI96" i="80"/>
  <c r="AJ96" i="80"/>
  <c r="AK96" i="80"/>
  <c r="AL96" i="80"/>
  <c r="AM96" i="80"/>
  <c r="AN96" i="80"/>
  <c r="AO96" i="80"/>
  <c r="AP96" i="80"/>
  <c r="AQ96" i="80"/>
  <c r="AR96" i="80"/>
  <c r="AS96" i="80"/>
  <c r="AT96" i="80"/>
  <c r="AU96" i="80"/>
  <c r="AW96" i="80"/>
  <c r="AX96" i="80"/>
  <c r="AY96" i="80"/>
  <c r="BA96" i="80"/>
  <c r="BC96" i="80"/>
  <c r="A97" i="80"/>
  <c r="B97" i="80"/>
  <c r="D97" i="80"/>
  <c r="E97" i="80"/>
  <c r="F97" i="80"/>
  <c r="G97" i="80"/>
  <c r="H97" i="80"/>
  <c r="J97" i="80"/>
  <c r="K97" i="80"/>
  <c r="M97" i="80"/>
  <c r="O97" i="80"/>
  <c r="P97" i="80"/>
  <c r="R97" i="80"/>
  <c r="S97" i="80"/>
  <c r="T97" i="80"/>
  <c r="U97" i="80"/>
  <c r="V97" i="80"/>
  <c r="W97" i="80"/>
  <c r="X97" i="80"/>
  <c r="Z97" i="80"/>
  <c r="AA97" i="80"/>
  <c r="AB97" i="80"/>
  <c r="AC97" i="80"/>
  <c r="AD97" i="80"/>
  <c r="AE97" i="80"/>
  <c r="AF97" i="80"/>
  <c r="AG97" i="80"/>
  <c r="AH97" i="80"/>
  <c r="AI97" i="80"/>
  <c r="AJ97" i="80"/>
  <c r="AK97" i="80"/>
  <c r="AL97" i="80"/>
  <c r="AM97" i="80"/>
  <c r="AN97" i="80"/>
  <c r="AO97" i="80"/>
  <c r="AP97" i="80"/>
  <c r="AQ97" i="80"/>
  <c r="AR97" i="80"/>
  <c r="AS97" i="80"/>
  <c r="AT97" i="80"/>
  <c r="AU97" i="80"/>
  <c r="AW97" i="80"/>
  <c r="AX97" i="80"/>
  <c r="AY97" i="80"/>
  <c r="BA97" i="80"/>
  <c r="BC97" i="80"/>
  <c r="A98" i="80"/>
  <c r="B98" i="80"/>
  <c r="D98" i="80"/>
  <c r="E98" i="80"/>
  <c r="F98" i="80"/>
  <c r="G98" i="80"/>
  <c r="H98" i="80"/>
  <c r="J98" i="80"/>
  <c r="K98" i="80"/>
  <c r="M98" i="80"/>
  <c r="O98" i="80"/>
  <c r="P98" i="80"/>
  <c r="R98" i="80"/>
  <c r="S98" i="80"/>
  <c r="T98" i="80"/>
  <c r="U98" i="80"/>
  <c r="V98" i="80"/>
  <c r="W98" i="80"/>
  <c r="X98" i="80"/>
  <c r="Z98" i="80"/>
  <c r="AA98" i="80"/>
  <c r="AB98" i="80"/>
  <c r="AC98" i="80"/>
  <c r="AD98" i="80"/>
  <c r="AE98" i="80"/>
  <c r="AF98" i="80"/>
  <c r="AG98" i="80"/>
  <c r="AH98" i="80"/>
  <c r="AI98" i="80"/>
  <c r="AJ98" i="80"/>
  <c r="AK98" i="80"/>
  <c r="AL98" i="80"/>
  <c r="AM98" i="80"/>
  <c r="AN98" i="80"/>
  <c r="AO98" i="80"/>
  <c r="AP98" i="80"/>
  <c r="AQ98" i="80"/>
  <c r="AR98" i="80"/>
  <c r="AS98" i="80"/>
  <c r="AT98" i="80"/>
  <c r="AU98" i="80"/>
  <c r="AW98" i="80"/>
  <c r="AX98" i="80"/>
  <c r="AY98" i="80"/>
  <c r="BA98" i="80"/>
  <c r="BC98" i="80"/>
  <c r="A99" i="80"/>
  <c r="B99" i="80"/>
  <c r="D99" i="80"/>
  <c r="E99" i="80"/>
  <c r="F99" i="80"/>
  <c r="G99" i="80"/>
  <c r="H99" i="80"/>
  <c r="J99" i="80"/>
  <c r="K99" i="80"/>
  <c r="M99" i="80"/>
  <c r="O99" i="80"/>
  <c r="P99" i="80"/>
  <c r="R99" i="80"/>
  <c r="S99" i="80"/>
  <c r="T99" i="80"/>
  <c r="U99" i="80"/>
  <c r="V99" i="80"/>
  <c r="W99" i="80"/>
  <c r="X99" i="80"/>
  <c r="Z99" i="80"/>
  <c r="AA99" i="80"/>
  <c r="AB99" i="80"/>
  <c r="AC99" i="80"/>
  <c r="AD99" i="80"/>
  <c r="AE99" i="80"/>
  <c r="AF99" i="80"/>
  <c r="AG99" i="80"/>
  <c r="AH99" i="80"/>
  <c r="AI99" i="80"/>
  <c r="AJ99" i="80"/>
  <c r="AK99" i="80"/>
  <c r="AL99" i="80"/>
  <c r="AM99" i="80"/>
  <c r="AN99" i="80"/>
  <c r="AO99" i="80"/>
  <c r="AP99" i="80"/>
  <c r="AQ99" i="80"/>
  <c r="AR99" i="80"/>
  <c r="AS99" i="80"/>
  <c r="AT99" i="80"/>
  <c r="AU99" i="80"/>
  <c r="AW99" i="80"/>
  <c r="AX99" i="80"/>
  <c r="AY99" i="80"/>
  <c r="BA99" i="80"/>
  <c r="BC99" i="80"/>
  <c r="A100" i="80"/>
  <c r="B100" i="80"/>
  <c r="D100" i="80"/>
  <c r="E100" i="80"/>
  <c r="F100" i="80"/>
  <c r="G100" i="80"/>
  <c r="H100" i="80"/>
  <c r="J100" i="80"/>
  <c r="K100" i="80"/>
  <c r="M100" i="80"/>
  <c r="O100" i="80"/>
  <c r="P100" i="80"/>
  <c r="R100" i="80"/>
  <c r="S100" i="80"/>
  <c r="T100" i="80"/>
  <c r="U100" i="80"/>
  <c r="V100" i="80"/>
  <c r="W100" i="80"/>
  <c r="X100" i="80"/>
  <c r="Z100" i="80"/>
  <c r="AA100" i="80"/>
  <c r="AB100" i="80"/>
  <c r="AC100" i="80"/>
  <c r="AD100" i="80"/>
  <c r="AE100" i="80"/>
  <c r="AF100" i="80"/>
  <c r="AG100" i="80"/>
  <c r="AH100" i="80"/>
  <c r="AI100" i="80"/>
  <c r="AJ100" i="80"/>
  <c r="AK100" i="80"/>
  <c r="AL100" i="80"/>
  <c r="AM100" i="80"/>
  <c r="AN100" i="80"/>
  <c r="AO100" i="80"/>
  <c r="AP100" i="80"/>
  <c r="AQ100" i="80"/>
  <c r="AR100" i="80"/>
  <c r="AS100" i="80"/>
  <c r="AT100" i="80"/>
  <c r="AU100" i="80"/>
  <c r="AW100" i="80"/>
  <c r="AX100" i="80"/>
  <c r="AY100" i="80"/>
  <c r="BA100" i="80"/>
  <c r="BC100" i="80"/>
  <c r="A101" i="80"/>
  <c r="B101" i="80"/>
  <c r="D101" i="80"/>
  <c r="E101" i="80"/>
  <c r="F101" i="80"/>
  <c r="G101" i="80"/>
  <c r="H101" i="80"/>
  <c r="J101" i="80"/>
  <c r="K101" i="80"/>
  <c r="M101" i="80"/>
  <c r="O101" i="80"/>
  <c r="P101" i="80"/>
  <c r="R101" i="80"/>
  <c r="S101" i="80"/>
  <c r="T101" i="80"/>
  <c r="U101" i="80"/>
  <c r="V101" i="80"/>
  <c r="W101" i="80"/>
  <c r="X101" i="80"/>
  <c r="Z101" i="80"/>
  <c r="AA101" i="80"/>
  <c r="AB101" i="80"/>
  <c r="AC101" i="80"/>
  <c r="AD101" i="80"/>
  <c r="AE101" i="80"/>
  <c r="AF101" i="80"/>
  <c r="AG101" i="80"/>
  <c r="AH101" i="80"/>
  <c r="AI101" i="80"/>
  <c r="AJ101" i="80"/>
  <c r="AK101" i="80"/>
  <c r="AL101" i="80"/>
  <c r="AM101" i="80"/>
  <c r="AN101" i="80"/>
  <c r="AO101" i="80"/>
  <c r="AP101" i="80"/>
  <c r="AQ101" i="80"/>
  <c r="AR101" i="80"/>
  <c r="AS101" i="80"/>
  <c r="AT101" i="80"/>
  <c r="AU101" i="80"/>
  <c r="AW101" i="80"/>
  <c r="AX101" i="80"/>
  <c r="AY101" i="80"/>
  <c r="BA101" i="80"/>
  <c r="BC101" i="80"/>
  <c r="A102" i="80"/>
  <c r="B102" i="80"/>
  <c r="D102" i="80"/>
  <c r="E102" i="80"/>
  <c r="F102" i="80"/>
  <c r="G102" i="80"/>
  <c r="H102" i="80"/>
  <c r="J102" i="80"/>
  <c r="K102" i="80"/>
  <c r="M102" i="80"/>
  <c r="O102" i="80"/>
  <c r="P102" i="80"/>
  <c r="R102" i="80"/>
  <c r="S102" i="80"/>
  <c r="T102" i="80"/>
  <c r="U102" i="80"/>
  <c r="V102" i="80"/>
  <c r="W102" i="80"/>
  <c r="X102" i="80"/>
  <c r="Z102" i="80"/>
  <c r="AA102" i="80"/>
  <c r="AB102" i="80"/>
  <c r="AC102" i="80"/>
  <c r="AD102" i="80"/>
  <c r="AE102" i="80"/>
  <c r="AF102" i="80"/>
  <c r="AG102" i="80"/>
  <c r="AH102" i="80"/>
  <c r="AI102" i="80"/>
  <c r="AJ102" i="80"/>
  <c r="AK102" i="80"/>
  <c r="AL102" i="80"/>
  <c r="AM102" i="80"/>
  <c r="AN102" i="80"/>
  <c r="AO102" i="80"/>
  <c r="AP102" i="80"/>
  <c r="AQ102" i="80"/>
  <c r="AR102" i="80"/>
  <c r="AS102" i="80"/>
  <c r="AT102" i="80"/>
  <c r="AU102" i="80"/>
  <c r="AW102" i="80"/>
  <c r="AX102" i="80"/>
  <c r="AY102" i="80"/>
  <c r="BA102" i="80"/>
  <c r="BC102" i="80"/>
  <c r="A103" i="80"/>
  <c r="B103" i="80"/>
  <c r="D103" i="80"/>
  <c r="E103" i="80"/>
  <c r="F103" i="80"/>
  <c r="G103" i="80"/>
  <c r="H103" i="80"/>
  <c r="J103" i="80"/>
  <c r="K103" i="80"/>
  <c r="M103" i="80"/>
  <c r="O103" i="80"/>
  <c r="P103" i="80"/>
  <c r="R103" i="80"/>
  <c r="S103" i="80"/>
  <c r="T103" i="80"/>
  <c r="U103" i="80"/>
  <c r="V103" i="80"/>
  <c r="W103" i="80"/>
  <c r="X103" i="80"/>
  <c r="Z103" i="80"/>
  <c r="AA103" i="80"/>
  <c r="AB103" i="80"/>
  <c r="AC103" i="80"/>
  <c r="AD103" i="80"/>
  <c r="AE103" i="80"/>
  <c r="AF103" i="80"/>
  <c r="AG103" i="80"/>
  <c r="AH103" i="80"/>
  <c r="AI103" i="80"/>
  <c r="AJ103" i="80"/>
  <c r="AK103" i="80"/>
  <c r="AL103" i="80"/>
  <c r="AM103" i="80"/>
  <c r="AN103" i="80"/>
  <c r="AO103" i="80"/>
  <c r="AP103" i="80"/>
  <c r="AQ103" i="80"/>
  <c r="AR103" i="80"/>
  <c r="AS103" i="80"/>
  <c r="AT103" i="80"/>
  <c r="AU103" i="80"/>
  <c r="AW103" i="80"/>
  <c r="AX103" i="80"/>
  <c r="AY103" i="80"/>
  <c r="BA103" i="80"/>
  <c r="BC103" i="80"/>
  <c r="A104" i="80"/>
  <c r="B104" i="80"/>
  <c r="D104" i="80"/>
  <c r="E104" i="80"/>
  <c r="F104" i="80"/>
  <c r="G104" i="80"/>
  <c r="H104" i="80"/>
  <c r="J104" i="80"/>
  <c r="K104" i="80"/>
  <c r="M104" i="80"/>
  <c r="O104" i="80"/>
  <c r="P104" i="80"/>
  <c r="R104" i="80"/>
  <c r="S104" i="80"/>
  <c r="T104" i="80"/>
  <c r="U104" i="80"/>
  <c r="V104" i="80"/>
  <c r="W104" i="80"/>
  <c r="X104" i="80"/>
  <c r="Z104" i="80"/>
  <c r="AA104" i="80"/>
  <c r="AB104" i="80"/>
  <c r="AC104" i="80"/>
  <c r="AD104" i="80"/>
  <c r="AE104" i="80"/>
  <c r="AF104" i="80"/>
  <c r="AG104" i="80"/>
  <c r="AH104" i="80"/>
  <c r="AI104" i="80"/>
  <c r="AJ104" i="80"/>
  <c r="AK104" i="80"/>
  <c r="AL104" i="80"/>
  <c r="AM104" i="80"/>
  <c r="AN104" i="80"/>
  <c r="AO104" i="80"/>
  <c r="AP104" i="80"/>
  <c r="AQ104" i="80"/>
  <c r="AR104" i="80"/>
  <c r="AS104" i="80"/>
  <c r="AT104" i="80"/>
  <c r="AU104" i="80"/>
  <c r="AW104" i="80"/>
  <c r="AX104" i="80"/>
  <c r="AY104" i="80"/>
  <c r="BA104" i="80"/>
  <c r="BC104" i="80"/>
  <c r="A105" i="80"/>
  <c r="B105" i="80"/>
  <c r="D105" i="80"/>
  <c r="E105" i="80"/>
  <c r="F105" i="80"/>
  <c r="G105" i="80"/>
  <c r="H105" i="80"/>
  <c r="J105" i="80"/>
  <c r="K105" i="80"/>
  <c r="M105" i="80"/>
  <c r="O105" i="80"/>
  <c r="P105" i="80"/>
  <c r="R105" i="80"/>
  <c r="S105" i="80"/>
  <c r="T105" i="80"/>
  <c r="U105" i="80"/>
  <c r="V105" i="80"/>
  <c r="W105" i="80"/>
  <c r="X105" i="80"/>
  <c r="Z105" i="80"/>
  <c r="AA105" i="80"/>
  <c r="AB105" i="80"/>
  <c r="AC105" i="80"/>
  <c r="AD105" i="80"/>
  <c r="AE105" i="80"/>
  <c r="AF105" i="80"/>
  <c r="AG105" i="80"/>
  <c r="AH105" i="80"/>
  <c r="AI105" i="80"/>
  <c r="AJ105" i="80"/>
  <c r="AK105" i="80"/>
  <c r="AL105" i="80"/>
  <c r="AM105" i="80"/>
  <c r="AN105" i="80"/>
  <c r="AO105" i="80"/>
  <c r="AP105" i="80"/>
  <c r="AQ105" i="80"/>
  <c r="AR105" i="80"/>
  <c r="AS105" i="80"/>
  <c r="AT105" i="80"/>
  <c r="AU105" i="80"/>
  <c r="AW105" i="80"/>
  <c r="AX105" i="80"/>
  <c r="AY105" i="80"/>
  <c r="BA105" i="80"/>
  <c r="BC105" i="80"/>
  <c r="A106" i="80"/>
  <c r="B106" i="80"/>
  <c r="D106" i="80"/>
  <c r="E106" i="80"/>
  <c r="F106" i="80"/>
  <c r="G106" i="80"/>
  <c r="H106" i="80"/>
  <c r="J106" i="80"/>
  <c r="K106" i="80"/>
  <c r="M106" i="80"/>
  <c r="O106" i="80"/>
  <c r="P106" i="80"/>
  <c r="R106" i="80"/>
  <c r="S106" i="80"/>
  <c r="T106" i="80"/>
  <c r="U106" i="80"/>
  <c r="V106" i="80"/>
  <c r="W106" i="80"/>
  <c r="X106" i="80"/>
  <c r="Z106" i="80"/>
  <c r="AA106" i="80"/>
  <c r="AB106" i="80"/>
  <c r="AC106" i="80"/>
  <c r="AD106" i="80"/>
  <c r="AE106" i="80"/>
  <c r="AF106" i="80"/>
  <c r="AG106" i="80"/>
  <c r="AH106" i="80"/>
  <c r="AI106" i="80"/>
  <c r="AJ106" i="80"/>
  <c r="AK106" i="80"/>
  <c r="AL106" i="80"/>
  <c r="AM106" i="80"/>
  <c r="AN106" i="80"/>
  <c r="AO106" i="80"/>
  <c r="AP106" i="80"/>
  <c r="AQ106" i="80"/>
  <c r="AR106" i="80"/>
  <c r="AS106" i="80"/>
  <c r="AT106" i="80"/>
  <c r="AU106" i="80"/>
  <c r="AW106" i="80"/>
  <c r="AX106" i="80"/>
  <c r="AY106" i="80"/>
  <c r="BA106" i="80"/>
  <c r="BC106" i="80"/>
  <c r="A107" i="80"/>
  <c r="B107" i="80"/>
  <c r="D107" i="80"/>
  <c r="E107" i="80"/>
  <c r="F107" i="80"/>
  <c r="G107" i="80"/>
  <c r="H107" i="80"/>
  <c r="J107" i="80"/>
  <c r="K107" i="80"/>
  <c r="M107" i="80"/>
  <c r="O107" i="80"/>
  <c r="P107" i="80"/>
  <c r="R107" i="80"/>
  <c r="S107" i="80"/>
  <c r="T107" i="80"/>
  <c r="U107" i="80"/>
  <c r="V107" i="80"/>
  <c r="W107" i="80"/>
  <c r="X107" i="80"/>
  <c r="Z107" i="80"/>
  <c r="AA107" i="80"/>
  <c r="AB107" i="80"/>
  <c r="AC107" i="80"/>
  <c r="AD107" i="80"/>
  <c r="AE107" i="80"/>
  <c r="AF107" i="80"/>
  <c r="AG107" i="80"/>
  <c r="AH107" i="80"/>
  <c r="AI107" i="80"/>
  <c r="AJ107" i="80"/>
  <c r="AK107" i="80"/>
  <c r="AL107" i="80"/>
  <c r="AM107" i="80"/>
  <c r="AN107" i="80"/>
  <c r="AO107" i="80"/>
  <c r="AP107" i="80"/>
  <c r="AQ107" i="80"/>
  <c r="AR107" i="80"/>
  <c r="AS107" i="80"/>
  <c r="AT107" i="80"/>
  <c r="AU107" i="80"/>
  <c r="AW107" i="80"/>
  <c r="AX107" i="80"/>
  <c r="AY107" i="80"/>
  <c r="BA107" i="80"/>
  <c r="BC107" i="80"/>
  <c r="A108" i="80"/>
  <c r="B108" i="80"/>
  <c r="D108" i="80"/>
  <c r="E108" i="80"/>
  <c r="F108" i="80"/>
  <c r="G108" i="80"/>
  <c r="H108" i="80"/>
  <c r="J108" i="80"/>
  <c r="K108" i="80"/>
  <c r="M108" i="80"/>
  <c r="O108" i="80"/>
  <c r="P108" i="80"/>
  <c r="R108" i="80"/>
  <c r="S108" i="80"/>
  <c r="T108" i="80"/>
  <c r="U108" i="80"/>
  <c r="V108" i="80"/>
  <c r="W108" i="80"/>
  <c r="X108" i="80"/>
  <c r="Z108" i="80"/>
  <c r="AA108" i="80"/>
  <c r="AB108" i="80"/>
  <c r="AC108" i="80"/>
  <c r="AD108" i="80"/>
  <c r="AE108" i="80"/>
  <c r="AF108" i="80"/>
  <c r="AG108" i="80"/>
  <c r="AH108" i="80"/>
  <c r="AI108" i="80"/>
  <c r="AJ108" i="80"/>
  <c r="AK108" i="80"/>
  <c r="AL108" i="80"/>
  <c r="AM108" i="80"/>
  <c r="AN108" i="80"/>
  <c r="AO108" i="80"/>
  <c r="AP108" i="80"/>
  <c r="AQ108" i="80"/>
  <c r="AR108" i="80"/>
  <c r="AS108" i="80"/>
  <c r="AT108" i="80"/>
  <c r="AU108" i="80"/>
  <c r="AW108" i="80"/>
  <c r="AX108" i="80"/>
  <c r="AY108" i="80"/>
  <c r="BA108" i="80"/>
  <c r="BC108" i="80"/>
  <c r="A109" i="80"/>
  <c r="B109" i="80"/>
  <c r="D109" i="80"/>
  <c r="E109" i="80"/>
  <c r="F109" i="80"/>
  <c r="G109" i="80"/>
  <c r="H109" i="80"/>
  <c r="J109" i="80"/>
  <c r="K109" i="80"/>
  <c r="M109" i="80"/>
  <c r="O109" i="80"/>
  <c r="P109" i="80"/>
  <c r="R109" i="80"/>
  <c r="S109" i="80"/>
  <c r="T109" i="80"/>
  <c r="U109" i="80"/>
  <c r="V109" i="80"/>
  <c r="W109" i="80"/>
  <c r="X109" i="80"/>
  <c r="Z109" i="80"/>
  <c r="AA109" i="80"/>
  <c r="AB109" i="80"/>
  <c r="AC109" i="80"/>
  <c r="AD109" i="80"/>
  <c r="AE109" i="80"/>
  <c r="AF109" i="80"/>
  <c r="AG109" i="80"/>
  <c r="AH109" i="80"/>
  <c r="AI109" i="80"/>
  <c r="AJ109" i="80"/>
  <c r="AK109" i="80"/>
  <c r="AL109" i="80"/>
  <c r="AM109" i="80"/>
  <c r="AN109" i="80"/>
  <c r="AO109" i="80"/>
  <c r="AP109" i="80"/>
  <c r="AQ109" i="80"/>
  <c r="AR109" i="80"/>
  <c r="AS109" i="80"/>
  <c r="AT109" i="80"/>
  <c r="AU109" i="80"/>
  <c r="AW109" i="80"/>
  <c r="AX109" i="80"/>
  <c r="AY109" i="80"/>
  <c r="BA109" i="80"/>
  <c r="BC109" i="80"/>
  <c r="A110" i="80"/>
  <c r="B110" i="80"/>
  <c r="D110" i="80"/>
  <c r="E110" i="80"/>
  <c r="F110" i="80"/>
  <c r="G110" i="80"/>
  <c r="H110" i="80"/>
  <c r="J110" i="80"/>
  <c r="K110" i="80"/>
  <c r="M110" i="80"/>
  <c r="O110" i="80"/>
  <c r="P110" i="80"/>
  <c r="R110" i="80"/>
  <c r="S110" i="80"/>
  <c r="T110" i="80"/>
  <c r="U110" i="80"/>
  <c r="V110" i="80"/>
  <c r="W110" i="80"/>
  <c r="X110" i="80"/>
  <c r="Z110" i="80"/>
  <c r="AA110" i="80"/>
  <c r="AB110" i="80"/>
  <c r="AC110" i="80"/>
  <c r="AD110" i="80"/>
  <c r="AE110" i="80"/>
  <c r="AF110" i="80"/>
  <c r="AG110" i="80"/>
  <c r="AH110" i="80"/>
  <c r="AI110" i="80"/>
  <c r="AJ110" i="80"/>
  <c r="AK110" i="80"/>
  <c r="AL110" i="80"/>
  <c r="AM110" i="80"/>
  <c r="AN110" i="80"/>
  <c r="AO110" i="80"/>
  <c r="AP110" i="80"/>
  <c r="AQ110" i="80"/>
  <c r="AR110" i="80"/>
  <c r="AS110" i="80"/>
  <c r="AT110" i="80"/>
  <c r="AU110" i="80"/>
  <c r="AW110" i="80"/>
  <c r="AX110" i="80"/>
  <c r="AY110" i="80"/>
  <c r="BA110" i="80"/>
  <c r="BC110" i="80"/>
  <c r="A111" i="80"/>
  <c r="B111" i="80"/>
  <c r="D111" i="80"/>
  <c r="E111" i="80"/>
  <c r="F111" i="80"/>
  <c r="G111" i="80"/>
  <c r="H111" i="80"/>
  <c r="J111" i="80"/>
  <c r="K111" i="80"/>
  <c r="M111" i="80"/>
  <c r="O111" i="80"/>
  <c r="P111" i="80"/>
  <c r="R111" i="80"/>
  <c r="S111" i="80"/>
  <c r="T111" i="80"/>
  <c r="U111" i="80"/>
  <c r="V111" i="80"/>
  <c r="W111" i="80"/>
  <c r="X111" i="80"/>
  <c r="Z111" i="80"/>
  <c r="AA111" i="80"/>
  <c r="AB111" i="80"/>
  <c r="AC111" i="80"/>
  <c r="AD111" i="80"/>
  <c r="AE111" i="80"/>
  <c r="AF111" i="80"/>
  <c r="AG111" i="80"/>
  <c r="AH111" i="80"/>
  <c r="AI111" i="80"/>
  <c r="AJ111" i="80"/>
  <c r="AK111" i="80"/>
  <c r="AL111" i="80"/>
  <c r="AM111" i="80"/>
  <c r="AN111" i="80"/>
  <c r="AO111" i="80"/>
  <c r="AP111" i="80"/>
  <c r="AQ111" i="80"/>
  <c r="AR111" i="80"/>
  <c r="AS111" i="80"/>
  <c r="AT111" i="80"/>
  <c r="AU111" i="80"/>
  <c r="AW111" i="80"/>
  <c r="AX111" i="80"/>
  <c r="AY111" i="80"/>
  <c r="BA111" i="80"/>
  <c r="BC111" i="80"/>
  <c r="A112" i="80"/>
  <c r="B112" i="80"/>
  <c r="D112" i="80"/>
  <c r="E112" i="80"/>
  <c r="F112" i="80"/>
  <c r="G112" i="80"/>
  <c r="H112" i="80"/>
  <c r="J112" i="80"/>
  <c r="K112" i="80"/>
  <c r="M112" i="80"/>
  <c r="O112" i="80"/>
  <c r="P112" i="80"/>
  <c r="R112" i="80"/>
  <c r="S112" i="80"/>
  <c r="T112" i="80"/>
  <c r="U112" i="80"/>
  <c r="V112" i="80"/>
  <c r="W112" i="80"/>
  <c r="X112" i="80"/>
  <c r="Z112" i="80"/>
  <c r="AA112" i="80"/>
  <c r="AB112" i="80"/>
  <c r="AC112" i="80"/>
  <c r="AD112" i="80"/>
  <c r="AE112" i="80"/>
  <c r="AF112" i="80"/>
  <c r="AG112" i="80"/>
  <c r="AH112" i="80"/>
  <c r="AI112" i="80"/>
  <c r="AJ112" i="80"/>
  <c r="AK112" i="80"/>
  <c r="AL112" i="80"/>
  <c r="AM112" i="80"/>
  <c r="AN112" i="80"/>
  <c r="AO112" i="80"/>
  <c r="AP112" i="80"/>
  <c r="AQ112" i="80"/>
  <c r="AR112" i="80"/>
  <c r="AS112" i="80"/>
  <c r="AT112" i="80"/>
  <c r="AU112" i="80"/>
  <c r="AW112" i="80"/>
  <c r="AX112" i="80"/>
  <c r="AY112" i="80"/>
  <c r="BA112" i="80"/>
  <c r="BC112" i="80"/>
  <c r="A113" i="80"/>
  <c r="B113" i="80"/>
  <c r="D113" i="80"/>
  <c r="E113" i="80"/>
  <c r="F113" i="80"/>
  <c r="G113" i="80"/>
  <c r="H113" i="80"/>
  <c r="J113" i="80"/>
  <c r="K113" i="80"/>
  <c r="M113" i="80"/>
  <c r="O113" i="80"/>
  <c r="P113" i="80"/>
  <c r="R113" i="80"/>
  <c r="S113" i="80"/>
  <c r="T113" i="80"/>
  <c r="U113" i="80"/>
  <c r="V113" i="80"/>
  <c r="W113" i="80"/>
  <c r="X113" i="80"/>
  <c r="Z113" i="80"/>
  <c r="AA113" i="80"/>
  <c r="AB113" i="80"/>
  <c r="AC113" i="80"/>
  <c r="AD113" i="80"/>
  <c r="AE113" i="80"/>
  <c r="AF113" i="80"/>
  <c r="AG113" i="80"/>
  <c r="AH113" i="80"/>
  <c r="AI113" i="80"/>
  <c r="AJ113" i="80"/>
  <c r="AK113" i="80"/>
  <c r="AL113" i="80"/>
  <c r="AM113" i="80"/>
  <c r="AN113" i="80"/>
  <c r="AO113" i="80"/>
  <c r="AP113" i="80"/>
  <c r="AQ113" i="80"/>
  <c r="AR113" i="80"/>
  <c r="AS113" i="80"/>
  <c r="AT113" i="80"/>
  <c r="AU113" i="80"/>
  <c r="AW113" i="80"/>
  <c r="AX113" i="80"/>
  <c r="AY113" i="80"/>
  <c r="BA113" i="80"/>
  <c r="BC113" i="80"/>
  <c r="A114" i="80"/>
  <c r="B114" i="80"/>
  <c r="D114" i="80"/>
  <c r="E114" i="80"/>
  <c r="F114" i="80"/>
  <c r="G114" i="80"/>
  <c r="H114" i="80"/>
  <c r="J114" i="80"/>
  <c r="K114" i="80"/>
  <c r="M114" i="80"/>
  <c r="O114" i="80"/>
  <c r="P114" i="80"/>
  <c r="R114" i="80"/>
  <c r="S114" i="80"/>
  <c r="T114" i="80"/>
  <c r="U114" i="80"/>
  <c r="V114" i="80"/>
  <c r="W114" i="80"/>
  <c r="X114" i="80"/>
  <c r="Z114" i="80"/>
  <c r="AA114" i="80"/>
  <c r="AB114" i="80"/>
  <c r="AC114" i="80"/>
  <c r="AD114" i="80"/>
  <c r="AE114" i="80"/>
  <c r="AF114" i="80"/>
  <c r="AG114" i="80"/>
  <c r="AH114" i="80"/>
  <c r="AI114" i="80"/>
  <c r="AJ114" i="80"/>
  <c r="AK114" i="80"/>
  <c r="AL114" i="80"/>
  <c r="AM114" i="80"/>
  <c r="AN114" i="80"/>
  <c r="AO114" i="80"/>
  <c r="AP114" i="80"/>
  <c r="AQ114" i="80"/>
  <c r="AR114" i="80"/>
  <c r="AS114" i="80"/>
  <c r="AT114" i="80"/>
  <c r="AU114" i="80"/>
  <c r="AW114" i="80"/>
  <c r="AX114" i="80"/>
  <c r="AY114" i="80"/>
  <c r="BA114" i="80"/>
  <c r="BC114" i="80"/>
  <c r="A115" i="80"/>
  <c r="B115" i="80"/>
  <c r="D115" i="80"/>
  <c r="E115" i="80"/>
  <c r="F115" i="80"/>
  <c r="G115" i="80"/>
  <c r="H115" i="80"/>
  <c r="J115" i="80"/>
  <c r="K115" i="80"/>
  <c r="M115" i="80"/>
  <c r="O115" i="80"/>
  <c r="P115" i="80"/>
  <c r="R115" i="80"/>
  <c r="S115" i="80"/>
  <c r="T115" i="80"/>
  <c r="U115" i="80"/>
  <c r="V115" i="80"/>
  <c r="W115" i="80"/>
  <c r="X115" i="80"/>
  <c r="Z115" i="80"/>
  <c r="AA115" i="80"/>
  <c r="AB115" i="80"/>
  <c r="AC115" i="80"/>
  <c r="AD115" i="80"/>
  <c r="AE115" i="80"/>
  <c r="AF115" i="80"/>
  <c r="AG115" i="80"/>
  <c r="AH115" i="80"/>
  <c r="AI115" i="80"/>
  <c r="AJ115" i="80"/>
  <c r="AK115" i="80"/>
  <c r="AL115" i="80"/>
  <c r="AM115" i="80"/>
  <c r="AN115" i="80"/>
  <c r="AO115" i="80"/>
  <c r="AP115" i="80"/>
  <c r="AQ115" i="80"/>
  <c r="AR115" i="80"/>
  <c r="AS115" i="80"/>
  <c r="AT115" i="80"/>
  <c r="AU115" i="80"/>
  <c r="AW115" i="80"/>
  <c r="AX115" i="80"/>
  <c r="AY115" i="80"/>
  <c r="BA115" i="80"/>
  <c r="BC115" i="80"/>
  <c r="A116" i="80"/>
  <c r="B116" i="80"/>
  <c r="D116" i="80"/>
  <c r="E116" i="80"/>
  <c r="F116" i="80"/>
  <c r="G116" i="80"/>
  <c r="H116" i="80"/>
  <c r="J116" i="80"/>
  <c r="K116" i="80"/>
  <c r="M116" i="80"/>
  <c r="O116" i="80"/>
  <c r="P116" i="80"/>
  <c r="R116" i="80"/>
  <c r="S116" i="80"/>
  <c r="T116" i="80"/>
  <c r="U116" i="80"/>
  <c r="V116" i="80"/>
  <c r="W116" i="80"/>
  <c r="X116" i="80"/>
  <c r="Z116" i="80"/>
  <c r="AA116" i="80"/>
  <c r="AB116" i="80"/>
  <c r="AC116" i="80"/>
  <c r="AD116" i="80"/>
  <c r="AE116" i="80"/>
  <c r="AF116" i="80"/>
  <c r="AG116" i="80"/>
  <c r="AH116" i="80"/>
  <c r="AI116" i="80"/>
  <c r="AJ116" i="80"/>
  <c r="AK116" i="80"/>
  <c r="AL116" i="80"/>
  <c r="AM116" i="80"/>
  <c r="AN116" i="80"/>
  <c r="AO116" i="80"/>
  <c r="AP116" i="80"/>
  <c r="AQ116" i="80"/>
  <c r="AR116" i="80"/>
  <c r="AS116" i="80"/>
  <c r="AT116" i="80"/>
  <c r="AU116" i="80"/>
  <c r="AW116" i="80"/>
  <c r="AX116" i="80"/>
  <c r="AY116" i="80"/>
  <c r="BA116" i="80"/>
  <c r="BC116" i="80"/>
  <c r="A117" i="80"/>
  <c r="B117" i="80"/>
  <c r="D117" i="80"/>
  <c r="E117" i="80"/>
  <c r="F117" i="80"/>
  <c r="G117" i="80"/>
  <c r="H117" i="80"/>
  <c r="J117" i="80"/>
  <c r="K117" i="80"/>
  <c r="M117" i="80"/>
  <c r="O117" i="80"/>
  <c r="P117" i="80"/>
  <c r="R117" i="80"/>
  <c r="S117" i="80"/>
  <c r="T117" i="80"/>
  <c r="U117" i="80"/>
  <c r="V117" i="80"/>
  <c r="W117" i="80"/>
  <c r="X117" i="80"/>
  <c r="Z117" i="80"/>
  <c r="AA117" i="80"/>
  <c r="AB117" i="80"/>
  <c r="AC117" i="80"/>
  <c r="AD117" i="80"/>
  <c r="AE117" i="80"/>
  <c r="AF117" i="80"/>
  <c r="AG117" i="80"/>
  <c r="AH117" i="80"/>
  <c r="AI117" i="80"/>
  <c r="AJ117" i="80"/>
  <c r="AK117" i="80"/>
  <c r="AL117" i="80"/>
  <c r="AM117" i="80"/>
  <c r="AN117" i="80"/>
  <c r="AO117" i="80"/>
  <c r="AP117" i="80"/>
  <c r="AQ117" i="80"/>
  <c r="AR117" i="80"/>
  <c r="AS117" i="80"/>
  <c r="AT117" i="80"/>
  <c r="AU117" i="80"/>
  <c r="AW117" i="80"/>
  <c r="AX117" i="80"/>
  <c r="AY117" i="80"/>
  <c r="BA117" i="80"/>
  <c r="BC117" i="80"/>
  <c r="A118" i="80"/>
  <c r="B118" i="80"/>
  <c r="D118" i="80"/>
  <c r="E118" i="80"/>
  <c r="F118" i="80"/>
  <c r="G118" i="80"/>
  <c r="H118" i="80"/>
  <c r="J118" i="80"/>
  <c r="K118" i="80"/>
  <c r="M118" i="80"/>
  <c r="O118" i="80"/>
  <c r="P118" i="80"/>
  <c r="R118" i="80"/>
  <c r="S118" i="80"/>
  <c r="T118" i="80"/>
  <c r="U118" i="80"/>
  <c r="V118" i="80"/>
  <c r="W118" i="80"/>
  <c r="X118" i="80"/>
  <c r="Z118" i="80"/>
  <c r="AA118" i="80"/>
  <c r="AB118" i="80"/>
  <c r="AC118" i="80"/>
  <c r="AD118" i="80"/>
  <c r="AE118" i="80"/>
  <c r="AF118" i="80"/>
  <c r="AG118" i="80"/>
  <c r="AH118" i="80"/>
  <c r="AI118" i="80"/>
  <c r="AJ118" i="80"/>
  <c r="AK118" i="80"/>
  <c r="AL118" i="80"/>
  <c r="AM118" i="80"/>
  <c r="AN118" i="80"/>
  <c r="AO118" i="80"/>
  <c r="AP118" i="80"/>
  <c r="AQ118" i="80"/>
  <c r="AR118" i="80"/>
  <c r="AS118" i="80"/>
  <c r="AT118" i="80"/>
  <c r="AU118" i="80"/>
  <c r="AW118" i="80"/>
  <c r="AX118" i="80"/>
  <c r="AY118" i="80"/>
  <c r="BA118" i="80"/>
  <c r="BC118" i="80"/>
  <c r="A119" i="80"/>
  <c r="B119" i="80"/>
  <c r="D119" i="80"/>
  <c r="E119" i="80"/>
  <c r="F119" i="80"/>
  <c r="G119" i="80"/>
  <c r="H119" i="80"/>
  <c r="J119" i="80"/>
  <c r="K119" i="80"/>
  <c r="M119" i="80"/>
  <c r="O119" i="80"/>
  <c r="P119" i="80"/>
  <c r="R119" i="80"/>
  <c r="S119" i="80"/>
  <c r="T119" i="80"/>
  <c r="U119" i="80"/>
  <c r="V119" i="80"/>
  <c r="W119" i="80"/>
  <c r="X119" i="80"/>
  <c r="Z119" i="80"/>
  <c r="AA119" i="80"/>
  <c r="AB119" i="80"/>
  <c r="AC119" i="80"/>
  <c r="AD119" i="80"/>
  <c r="AE119" i="80"/>
  <c r="AF119" i="80"/>
  <c r="AG119" i="80"/>
  <c r="AH119" i="80"/>
  <c r="AI119" i="80"/>
  <c r="AJ119" i="80"/>
  <c r="AK119" i="80"/>
  <c r="AL119" i="80"/>
  <c r="AM119" i="80"/>
  <c r="AN119" i="80"/>
  <c r="AO119" i="80"/>
  <c r="AP119" i="80"/>
  <c r="AQ119" i="80"/>
  <c r="AR119" i="80"/>
  <c r="AS119" i="80"/>
  <c r="AT119" i="80"/>
  <c r="AU119" i="80"/>
  <c r="AW119" i="80"/>
  <c r="AX119" i="80"/>
  <c r="AY119" i="80"/>
  <c r="BA119" i="80"/>
  <c r="BC119" i="80"/>
  <c r="A120" i="80"/>
  <c r="B120" i="80"/>
  <c r="D120" i="80"/>
  <c r="E120" i="80"/>
  <c r="F120" i="80"/>
  <c r="G120" i="80"/>
  <c r="H120" i="80"/>
  <c r="J120" i="80"/>
  <c r="K120" i="80"/>
  <c r="M120" i="80"/>
  <c r="O120" i="80"/>
  <c r="P120" i="80"/>
  <c r="R120" i="80"/>
  <c r="S120" i="80"/>
  <c r="T120" i="80"/>
  <c r="U120" i="80"/>
  <c r="V120" i="80"/>
  <c r="W120" i="80"/>
  <c r="X120" i="80"/>
  <c r="Z120" i="80"/>
  <c r="AA120" i="80"/>
  <c r="AB120" i="80"/>
  <c r="AC120" i="80"/>
  <c r="AD120" i="80"/>
  <c r="AE120" i="80"/>
  <c r="AF120" i="80"/>
  <c r="AG120" i="80"/>
  <c r="AH120" i="80"/>
  <c r="AI120" i="80"/>
  <c r="AJ120" i="80"/>
  <c r="AK120" i="80"/>
  <c r="AL120" i="80"/>
  <c r="AM120" i="80"/>
  <c r="AN120" i="80"/>
  <c r="AO120" i="80"/>
  <c r="AP120" i="80"/>
  <c r="AQ120" i="80"/>
  <c r="AR120" i="80"/>
  <c r="AS120" i="80"/>
  <c r="AT120" i="80"/>
  <c r="AU120" i="80"/>
  <c r="AW120" i="80"/>
  <c r="AX120" i="80"/>
  <c r="AY120" i="80"/>
  <c r="BA120" i="80"/>
  <c r="BC120" i="80"/>
  <c r="A121" i="80"/>
  <c r="B121" i="80"/>
  <c r="D121" i="80"/>
  <c r="E121" i="80"/>
  <c r="F121" i="80"/>
  <c r="G121" i="80"/>
  <c r="H121" i="80"/>
  <c r="J121" i="80"/>
  <c r="K121" i="80"/>
  <c r="M121" i="80"/>
  <c r="O121" i="80"/>
  <c r="P121" i="80"/>
  <c r="R121" i="80"/>
  <c r="S121" i="80"/>
  <c r="T121" i="80"/>
  <c r="U121" i="80"/>
  <c r="V121" i="80"/>
  <c r="W121" i="80"/>
  <c r="X121" i="80"/>
  <c r="Z121" i="80"/>
  <c r="AA121" i="80"/>
  <c r="AB121" i="80"/>
  <c r="AC121" i="80"/>
  <c r="AD121" i="80"/>
  <c r="AE121" i="80"/>
  <c r="AF121" i="80"/>
  <c r="AG121" i="80"/>
  <c r="AH121" i="80"/>
  <c r="AI121" i="80"/>
  <c r="AJ121" i="80"/>
  <c r="AK121" i="80"/>
  <c r="AL121" i="80"/>
  <c r="AM121" i="80"/>
  <c r="AN121" i="80"/>
  <c r="AO121" i="80"/>
  <c r="AP121" i="80"/>
  <c r="AQ121" i="80"/>
  <c r="AR121" i="80"/>
  <c r="AS121" i="80"/>
  <c r="AT121" i="80"/>
  <c r="AU121" i="80"/>
  <c r="AW121" i="80"/>
  <c r="AX121" i="80"/>
  <c r="AY121" i="80"/>
  <c r="BA121" i="80"/>
  <c r="BC121" i="80"/>
  <c r="A122" i="80"/>
  <c r="B122" i="80"/>
  <c r="D122" i="80"/>
  <c r="E122" i="80"/>
  <c r="F122" i="80"/>
  <c r="G122" i="80"/>
  <c r="H122" i="80"/>
  <c r="J122" i="80"/>
  <c r="K122" i="80"/>
  <c r="M122" i="80"/>
  <c r="O122" i="80"/>
  <c r="P122" i="80"/>
  <c r="R122" i="80"/>
  <c r="S122" i="80"/>
  <c r="T122" i="80"/>
  <c r="U122" i="80"/>
  <c r="V122" i="80"/>
  <c r="W122" i="80"/>
  <c r="X122" i="80"/>
  <c r="Z122" i="80"/>
  <c r="AA122" i="80"/>
  <c r="AB122" i="80"/>
  <c r="AC122" i="80"/>
  <c r="AD122" i="80"/>
  <c r="AE122" i="80"/>
  <c r="AF122" i="80"/>
  <c r="AG122" i="80"/>
  <c r="AH122" i="80"/>
  <c r="AI122" i="80"/>
  <c r="AJ122" i="80"/>
  <c r="AK122" i="80"/>
  <c r="AL122" i="80"/>
  <c r="AM122" i="80"/>
  <c r="AN122" i="80"/>
  <c r="AO122" i="80"/>
  <c r="AP122" i="80"/>
  <c r="AQ122" i="80"/>
  <c r="AR122" i="80"/>
  <c r="AS122" i="80"/>
  <c r="AT122" i="80"/>
  <c r="AU122" i="80"/>
  <c r="AW122" i="80"/>
  <c r="AX122" i="80"/>
  <c r="AY122" i="80"/>
  <c r="BA122" i="80"/>
  <c r="BC122" i="80"/>
  <c r="A123" i="80"/>
  <c r="B123" i="80"/>
  <c r="D123" i="80"/>
  <c r="E123" i="80"/>
  <c r="F123" i="80"/>
  <c r="G123" i="80"/>
  <c r="H123" i="80"/>
  <c r="J123" i="80"/>
  <c r="K123" i="80"/>
  <c r="M123" i="80"/>
  <c r="O123" i="80"/>
  <c r="P123" i="80"/>
  <c r="R123" i="80"/>
  <c r="S123" i="80"/>
  <c r="T123" i="80"/>
  <c r="U123" i="80"/>
  <c r="V123" i="80"/>
  <c r="W123" i="80"/>
  <c r="X123" i="80"/>
  <c r="Z123" i="80"/>
  <c r="AA123" i="80"/>
  <c r="AB123" i="80"/>
  <c r="AC123" i="80"/>
  <c r="AD123" i="80"/>
  <c r="AE123" i="80"/>
  <c r="AF123" i="80"/>
  <c r="AG123" i="80"/>
  <c r="AH123" i="80"/>
  <c r="AI123" i="80"/>
  <c r="AJ123" i="80"/>
  <c r="AK123" i="80"/>
  <c r="AL123" i="80"/>
  <c r="AM123" i="80"/>
  <c r="AN123" i="80"/>
  <c r="AO123" i="80"/>
  <c r="AP123" i="80"/>
  <c r="AQ123" i="80"/>
  <c r="AR123" i="80"/>
  <c r="AS123" i="80"/>
  <c r="AT123" i="80"/>
  <c r="AU123" i="80"/>
  <c r="AW123" i="80"/>
  <c r="AX123" i="80"/>
  <c r="AY123" i="80"/>
  <c r="BA123" i="80"/>
  <c r="BC123" i="80"/>
  <c r="A124" i="80"/>
  <c r="B124" i="80"/>
  <c r="D124" i="80"/>
  <c r="E124" i="80"/>
  <c r="F124" i="80"/>
  <c r="G124" i="80"/>
  <c r="H124" i="80"/>
  <c r="J124" i="80"/>
  <c r="K124" i="80"/>
  <c r="M124" i="80"/>
  <c r="O124" i="80"/>
  <c r="P124" i="80"/>
  <c r="R124" i="80"/>
  <c r="S124" i="80"/>
  <c r="T124" i="80"/>
  <c r="U124" i="80"/>
  <c r="V124" i="80"/>
  <c r="W124" i="80"/>
  <c r="X124" i="80"/>
  <c r="Z124" i="80"/>
  <c r="AA124" i="80"/>
  <c r="AB124" i="80"/>
  <c r="AC124" i="80"/>
  <c r="AD124" i="80"/>
  <c r="AE124" i="80"/>
  <c r="AF124" i="80"/>
  <c r="AG124" i="80"/>
  <c r="AH124" i="80"/>
  <c r="AI124" i="80"/>
  <c r="AJ124" i="80"/>
  <c r="AK124" i="80"/>
  <c r="AL124" i="80"/>
  <c r="AM124" i="80"/>
  <c r="AN124" i="80"/>
  <c r="AO124" i="80"/>
  <c r="AP124" i="80"/>
  <c r="AQ124" i="80"/>
  <c r="AR124" i="80"/>
  <c r="AS124" i="80"/>
  <c r="AT124" i="80"/>
  <c r="AU124" i="80"/>
  <c r="AW124" i="80"/>
  <c r="AX124" i="80"/>
  <c r="AY124" i="80"/>
  <c r="BA124" i="80"/>
  <c r="BC124" i="80"/>
  <c r="A125" i="80"/>
  <c r="B125" i="80"/>
  <c r="D125" i="80"/>
  <c r="E125" i="80"/>
  <c r="F125" i="80"/>
  <c r="G125" i="80"/>
  <c r="H125" i="80"/>
  <c r="J125" i="80"/>
  <c r="K125" i="80"/>
  <c r="M125" i="80"/>
  <c r="O125" i="80"/>
  <c r="P125" i="80"/>
  <c r="R125" i="80"/>
  <c r="S125" i="80"/>
  <c r="T125" i="80"/>
  <c r="U125" i="80"/>
  <c r="V125" i="80"/>
  <c r="W125" i="80"/>
  <c r="X125" i="80"/>
  <c r="Z125" i="80"/>
  <c r="AA125" i="80"/>
  <c r="AB125" i="80"/>
  <c r="AC125" i="80"/>
  <c r="AD125" i="80"/>
  <c r="AE125" i="80"/>
  <c r="AF125" i="80"/>
  <c r="AG125" i="80"/>
  <c r="AH125" i="80"/>
  <c r="AI125" i="80"/>
  <c r="AJ125" i="80"/>
  <c r="AK125" i="80"/>
  <c r="AL125" i="80"/>
  <c r="AM125" i="80"/>
  <c r="AN125" i="80"/>
  <c r="AO125" i="80"/>
  <c r="AP125" i="80"/>
  <c r="AQ125" i="80"/>
  <c r="AR125" i="80"/>
  <c r="AS125" i="80"/>
  <c r="AT125" i="80"/>
  <c r="AU125" i="80"/>
  <c r="AW125" i="80"/>
  <c r="AX125" i="80"/>
  <c r="AY125" i="80"/>
  <c r="BA125" i="80"/>
  <c r="BC125" i="80"/>
  <c r="A126" i="80"/>
  <c r="B126" i="80"/>
  <c r="D126" i="80"/>
  <c r="E126" i="80"/>
  <c r="F126" i="80"/>
  <c r="G126" i="80"/>
  <c r="H126" i="80"/>
  <c r="J126" i="80"/>
  <c r="K126" i="80"/>
  <c r="M126" i="80"/>
  <c r="O126" i="80"/>
  <c r="P126" i="80"/>
  <c r="R126" i="80"/>
  <c r="S126" i="80"/>
  <c r="T126" i="80"/>
  <c r="U126" i="80"/>
  <c r="V126" i="80"/>
  <c r="W126" i="80"/>
  <c r="X126" i="80"/>
  <c r="Z126" i="80"/>
  <c r="AA126" i="80"/>
  <c r="AB126" i="80"/>
  <c r="AC126" i="80"/>
  <c r="AD126" i="80"/>
  <c r="AE126" i="80"/>
  <c r="AF126" i="80"/>
  <c r="AG126" i="80"/>
  <c r="AH126" i="80"/>
  <c r="AI126" i="80"/>
  <c r="AJ126" i="80"/>
  <c r="AK126" i="80"/>
  <c r="AL126" i="80"/>
  <c r="AM126" i="80"/>
  <c r="AN126" i="80"/>
  <c r="AO126" i="80"/>
  <c r="AP126" i="80"/>
  <c r="AQ126" i="80"/>
  <c r="AR126" i="80"/>
  <c r="AS126" i="80"/>
  <c r="AT126" i="80"/>
  <c r="AU126" i="80"/>
  <c r="AW126" i="80"/>
  <c r="AX126" i="80"/>
  <c r="AY126" i="80"/>
  <c r="BA126" i="80"/>
  <c r="BC126" i="80"/>
  <c r="A127" i="80"/>
  <c r="B127" i="80"/>
  <c r="D127" i="80"/>
  <c r="E127" i="80"/>
  <c r="F127" i="80"/>
  <c r="G127" i="80"/>
  <c r="H127" i="80"/>
  <c r="J127" i="80"/>
  <c r="K127" i="80"/>
  <c r="M127" i="80"/>
  <c r="O127" i="80"/>
  <c r="P127" i="80"/>
  <c r="R127" i="80"/>
  <c r="S127" i="80"/>
  <c r="T127" i="80"/>
  <c r="U127" i="80"/>
  <c r="V127" i="80"/>
  <c r="W127" i="80"/>
  <c r="X127" i="80"/>
  <c r="Z127" i="80"/>
  <c r="AA127" i="80"/>
  <c r="AB127" i="80"/>
  <c r="AC127" i="80"/>
  <c r="AD127" i="80"/>
  <c r="AE127" i="80"/>
  <c r="AF127" i="80"/>
  <c r="AG127" i="80"/>
  <c r="AH127" i="80"/>
  <c r="AI127" i="80"/>
  <c r="AJ127" i="80"/>
  <c r="AK127" i="80"/>
  <c r="AL127" i="80"/>
  <c r="AM127" i="80"/>
  <c r="AN127" i="80"/>
  <c r="AO127" i="80"/>
  <c r="AP127" i="80"/>
  <c r="AQ127" i="80"/>
  <c r="AR127" i="80"/>
  <c r="AS127" i="80"/>
  <c r="AT127" i="80"/>
  <c r="AU127" i="80"/>
  <c r="AW127" i="80"/>
  <c r="AX127" i="80"/>
  <c r="AY127" i="80"/>
  <c r="BA127" i="80"/>
  <c r="BC127" i="80"/>
  <c r="A128" i="80"/>
  <c r="B128" i="80"/>
  <c r="D128" i="80"/>
  <c r="E128" i="80"/>
  <c r="F128" i="80"/>
  <c r="G128" i="80"/>
  <c r="H128" i="80"/>
  <c r="J128" i="80"/>
  <c r="K128" i="80"/>
  <c r="M128" i="80"/>
  <c r="O128" i="80"/>
  <c r="P128" i="80"/>
  <c r="R128" i="80"/>
  <c r="S128" i="80"/>
  <c r="T128" i="80"/>
  <c r="U128" i="80"/>
  <c r="V128" i="80"/>
  <c r="W128" i="80"/>
  <c r="X128" i="80"/>
  <c r="Z128" i="80"/>
  <c r="AA128" i="80"/>
  <c r="AB128" i="80"/>
  <c r="AC128" i="80"/>
  <c r="AD128" i="80"/>
  <c r="AE128" i="80"/>
  <c r="AF128" i="80"/>
  <c r="AG128" i="80"/>
  <c r="AH128" i="80"/>
  <c r="AI128" i="80"/>
  <c r="AJ128" i="80"/>
  <c r="AK128" i="80"/>
  <c r="AL128" i="80"/>
  <c r="AM128" i="80"/>
  <c r="AN128" i="80"/>
  <c r="AO128" i="80"/>
  <c r="AP128" i="80"/>
  <c r="AQ128" i="80"/>
  <c r="AR128" i="80"/>
  <c r="AS128" i="80"/>
  <c r="AT128" i="80"/>
  <c r="AU128" i="80"/>
  <c r="AW128" i="80"/>
  <c r="AX128" i="80"/>
  <c r="AY128" i="80"/>
  <c r="BA128" i="80"/>
  <c r="BC128" i="80"/>
  <c r="A129" i="80"/>
  <c r="B129" i="80"/>
  <c r="D129" i="80"/>
  <c r="E129" i="80"/>
  <c r="F129" i="80"/>
  <c r="G129" i="80"/>
  <c r="H129" i="80"/>
  <c r="J129" i="80"/>
  <c r="K129" i="80"/>
  <c r="M129" i="80"/>
  <c r="O129" i="80"/>
  <c r="P129" i="80"/>
  <c r="R129" i="80"/>
  <c r="S129" i="80"/>
  <c r="T129" i="80"/>
  <c r="U129" i="80"/>
  <c r="V129" i="80"/>
  <c r="W129" i="80"/>
  <c r="X129" i="80"/>
  <c r="Z129" i="80"/>
  <c r="AA129" i="80"/>
  <c r="AB129" i="80"/>
  <c r="AC129" i="80"/>
  <c r="AD129" i="80"/>
  <c r="AE129" i="80"/>
  <c r="AF129" i="80"/>
  <c r="AG129" i="80"/>
  <c r="AH129" i="80"/>
  <c r="AI129" i="80"/>
  <c r="AJ129" i="80"/>
  <c r="AK129" i="80"/>
  <c r="AL129" i="80"/>
  <c r="AM129" i="80"/>
  <c r="AN129" i="80"/>
  <c r="AO129" i="80"/>
  <c r="AP129" i="80"/>
  <c r="AQ129" i="80"/>
  <c r="AR129" i="80"/>
  <c r="AS129" i="80"/>
  <c r="AT129" i="80"/>
  <c r="AU129" i="80"/>
  <c r="AW129" i="80"/>
  <c r="AX129" i="80"/>
  <c r="AY129" i="80"/>
  <c r="BA129" i="80"/>
  <c r="BC129" i="80"/>
  <c r="A130" i="80"/>
  <c r="B130" i="80"/>
  <c r="D130" i="80"/>
  <c r="E130" i="80"/>
  <c r="F130" i="80"/>
  <c r="G130" i="80"/>
  <c r="H130" i="80"/>
  <c r="J130" i="80"/>
  <c r="K130" i="80"/>
  <c r="M130" i="80"/>
  <c r="O130" i="80"/>
  <c r="P130" i="80"/>
  <c r="R130" i="80"/>
  <c r="S130" i="80"/>
  <c r="T130" i="80"/>
  <c r="U130" i="80"/>
  <c r="V130" i="80"/>
  <c r="W130" i="80"/>
  <c r="X130" i="80"/>
  <c r="Z130" i="80"/>
  <c r="AA130" i="80"/>
  <c r="AB130" i="80"/>
  <c r="AC130" i="80"/>
  <c r="AD130" i="80"/>
  <c r="AE130" i="80"/>
  <c r="AF130" i="80"/>
  <c r="AG130" i="80"/>
  <c r="AH130" i="80"/>
  <c r="AI130" i="80"/>
  <c r="AJ130" i="80"/>
  <c r="AK130" i="80"/>
  <c r="AL130" i="80"/>
  <c r="AM130" i="80"/>
  <c r="AN130" i="80"/>
  <c r="AO130" i="80"/>
  <c r="AP130" i="80"/>
  <c r="AQ130" i="80"/>
  <c r="AR130" i="80"/>
  <c r="AS130" i="80"/>
  <c r="AT130" i="80"/>
  <c r="AU130" i="80"/>
  <c r="AW130" i="80"/>
  <c r="AX130" i="80"/>
  <c r="AY130" i="80"/>
  <c r="BA130" i="80"/>
  <c r="BC130" i="80"/>
  <c r="A131" i="80"/>
  <c r="B131" i="80"/>
  <c r="D131" i="80"/>
  <c r="E131" i="80"/>
  <c r="F131" i="80"/>
  <c r="G131" i="80"/>
  <c r="H131" i="80"/>
  <c r="J131" i="80"/>
  <c r="K131" i="80"/>
  <c r="M131" i="80"/>
  <c r="O131" i="80"/>
  <c r="P131" i="80"/>
  <c r="R131" i="80"/>
  <c r="S131" i="80"/>
  <c r="T131" i="80"/>
  <c r="U131" i="80"/>
  <c r="V131" i="80"/>
  <c r="W131" i="80"/>
  <c r="X131" i="80"/>
  <c r="Z131" i="80"/>
  <c r="AA131" i="80"/>
  <c r="AB131" i="80"/>
  <c r="AC131" i="80"/>
  <c r="AD131" i="80"/>
  <c r="AE131" i="80"/>
  <c r="AF131" i="80"/>
  <c r="AG131" i="80"/>
  <c r="AH131" i="80"/>
  <c r="AI131" i="80"/>
  <c r="AJ131" i="80"/>
  <c r="AK131" i="80"/>
  <c r="AL131" i="80"/>
  <c r="AM131" i="80"/>
  <c r="AN131" i="80"/>
  <c r="AO131" i="80"/>
  <c r="AP131" i="80"/>
  <c r="AQ131" i="80"/>
  <c r="AR131" i="80"/>
  <c r="AS131" i="80"/>
  <c r="AT131" i="80"/>
  <c r="AU131" i="80"/>
  <c r="AW131" i="80"/>
  <c r="AX131" i="80"/>
  <c r="AY131" i="80"/>
  <c r="BA131" i="80"/>
  <c r="BC131" i="80"/>
  <c r="A132" i="80"/>
  <c r="B132" i="80"/>
  <c r="D132" i="80"/>
  <c r="E132" i="80"/>
  <c r="F132" i="80"/>
  <c r="G132" i="80"/>
  <c r="H132" i="80"/>
  <c r="J132" i="80"/>
  <c r="K132" i="80"/>
  <c r="M132" i="80"/>
  <c r="O132" i="80"/>
  <c r="P132" i="80"/>
  <c r="R132" i="80"/>
  <c r="S132" i="80"/>
  <c r="T132" i="80"/>
  <c r="U132" i="80"/>
  <c r="V132" i="80"/>
  <c r="W132" i="80"/>
  <c r="X132" i="80"/>
  <c r="Z132" i="80"/>
  <c r="AA132" i="80"/>
  <c r="AB132" i="80"/>
  <c r="AC132" i="80"/>
  <c r="AD132" i="80"/>
  <c r="AE132" i="80"/>
  <c r="AF132" i="80"/>
  <c r="AG132" i="80"/>
  <c r="AH132" i="80"/>
  <c r="AI132" i="80"/>
  <c r="AJ132" i="80"/>
  <c r="AK132" i="80"/>
  <c r="AL132" i="80"/>
  <c r="AM132" i="80"/>
  <c r="AN132" i="80"/>
  <c r="AO132" i="80"/>
  <c r="AP132" i="80"/>
  <c r="AQ132" i="80"/>
  <c r="AR132" i="80"/>
  <c r="AS132" i="80"/>
  <c r="AT132" i="80"/>
  <c r="AU132" i="80"/>
  <c r="AW132" i="80"/>
  <c r="AX132" i="80"/>
  <c r="AY132" i="80"/>
  <c r="BA132" i="80"/>
  <c r="BC132" i="80"/>
  <c r="A133" i="80"/>
  <c r="B133" i="80"/>
  <c r="D133" i="80"/>
  <c r="E133" i="80"/>
  <c r="F133" i="80"/>
  <c r="G133" i="80"/>
  <c r="H133" i="80"/>
  <c r="J133" i="80"/>
  <c r="K133" i="80"/>
  <c r="M133" i="80"/>
  <c r="O133" i="80"/>
  <c r="P133" i="80"/>
  <c r="R133" i="80"/>
  <c r="S133" i="80"/>
  <c r="T133" i="80"/>
  <c r="U133" i="80"/>
  <c r="V133" i="80"/>
  <c r="W133" i="80"/>
  <c r="X133" i="80"/>
  <c r="Z133" i="80"/>
  <c r="AA133" i="80"/>
  <c r="AB133" i="80"/>
  <c r="AC133" i="80"/>
  <c r="AD133" i="80"/>
  <c r="AE133" i="80"/>
  <c r="AF133" i="80"/>
  <c r="AG133" i="80"/>
  <c r="AH133" i="80"/>
  <c r="AI133" i="80"/>
  <c r="AJ133" i="80"/>
  <c r="AK133" i="80"/>
  <c r="AL133" i="80"/>
  <c r="AM133" i="80"/>
  <c r="AN133" i="80"/>
  <c r="AO133" i="80"/>
  <c r="AP133" i="80"/>
  <c r="AQ133" i="80"/>
  <c r="AR133" i="80"/>
  <c r="AS133" i="80"/>
  <c r="AT133" i="80"/>
  <c r="AU133" i="80"/>
  <c r="AW133" i="80"/>
  <c r="AX133" i="80"/>
  <c r="AY133" i="80"/>
  <c r="BA133" i="80"/>
  <c r="BC133" i="80"/>
  <c r="A134" i="80"/>
  <c r="B134" i="80"/>
  <c r="D134" i="80"/>
  <c r="E134" i="80"/>
  <c r="F134" i="80"/>
  <c r="G134" i="80"/>
  <c r="H134" i="80"/>
  <c r="J134" i="80"/>
  <c r="K134" i="80"/>
  <c r="M134" i="80"/>
  <c r="O134" i="80"/>
  <c r="P134" i="80"/>
  <c r="R134" i="80"/>
  <c r="S134" i="80"/>
  <c r="T134" i="80"/>
  <c r="U134" i="80"/>
  <c r="V134" i="80"/>
  <c r="W134" i="80"/>
  <c r="X134" i="80"/>
  <c r="Z134" i="80"/>
  <c r="AA134" i="80"/>
  <c r="AB134" i="80"/>
  <c r="AC134" i="80"/>
  <c r="AD134" i="80"/>
  <c r="AE134" i="80"/>
  <c r="AF134" i="80"/>
  <c r="AG134" i="80"/>
  <c r="AH134" i="80"/>
  <c r="AI134" i="80"/>
  <c r="AJ134" i="80"/>
  <c r="AK134" i="80"/>
  <c r="AL134" i="80"/>
  <c r="AM134" i="80"/>
  <c r="AN134" i="80"/>
  <c r="AO134" i="80"/>
  <c r="AP134" i="80"/>
  <c r="AQ134" i="80"/>
  <c r="AR134" i="80"/>
  <c r="AS134" i="80"/>
  <c r="AT134" i="80"/>
  <c r="AU134" i="80"/>
  <c r="AW134" i="80"/>
  <c r="AX134" i="80"/>
  <c r="AY134" i="80"/>
  <c r="BA134" i="80"/>
  <c r="BC134" i="80"/>
  <c r="A135" i="80"/>
  <c r="B135" i="80"/>
  <c r="D135" i="80"/>
  <c r="E135" i="80"/>
  <c r="F135" i="80"/>
  <c r="G135" i="80"/>
  <c r="H135" i="80"/>
  <c r="J135" i="80"/>
  <c r="K135" i="80"/>
  <c r="M135" i="80"/>
  <c r="O135" i="80"/>
  <c r="P135" i="80"/>
  <c r="R135" i="80"/>
  <c r="S135" i="80"/>
  <c r="T135" i="80"/>
  <c r="U135" i="80"/>
  <c r="V135" i="80"/>
  <c r="W135" i="80"/>
  <c r="X135" i="80"/>
  <c r="Z135" i="80"/>
  <c r="AA135" i="80"/>
  <c r="AB135" i="80"/>
  <c r="AC135" i="80"/>
  <c r="AD135" i="80"/>
  <c r="AE135" i="80"/>
  <c r="AF135" i="80"/>
  <c r="AG135" i="80"/>
  <c r="AH135" i="80"/>
  <c r="AI135" i="80"/>
  <c r="AJ135" i="80"/>
  <c r="AK135" i="80"/>
  <c r="AL135" i="80"/>
  <c r="AM135" i="80"/>
  <c r="AN135" i="80"/>
  <c r="AO135" i="80"/>
  <c r="AP135" i="80"/>
  <c r="AQ135" i="80"/>
  <c r="AR135" i="80"/>
  <c r="AS135" i="80"/>
  <c r="AT135" i="80"/>
  <c r="AU135" i="80"/>
  <c r="AW135" i="80"/>
  <c r="AX135" i="80"/>
  <c r="AY135" i="80"/>
  <c r="BA135" i="80"/>
  <c r="BC135" i="80"/>
  <c r="A136" i="80"/>
  <c r="B136" i="80"/>
  <c r="D136" i="80"/>
  <c r="E136" i="80"/>
  <c r="F136" i="80"/>
  <c r="G136" i="80"/>
  <c r="H136" i="80"/>
  <c r="J136" i="80"/>
  <c r="K136" i="80"/>
  <c r="M136" i="80"/>
  <c r="O136" i="80"/>
  <c r="P136" i="80"/>
  <c r="R136" i="80"/>
  <c r="S136" i="80"/>
  <c r="T136" i="80"/>
  <c r="U136" i="80"/>
  <c r="V136" i="80"/>
  <c r="W136" i="80"/>
  <c r="X136" i="80"/>
  <c r="Z136" i="80"/>
  <c r="AA136" i="80"/>
  <c r="AB136" i="80"/>
  <c r="AC136" i="80"/>
  <c r="AD136" i="80"/>
  <c r="AE136" i="80"/>
  <c r="AF136" i="80"/>
  <c r="AG136" i="80"/>
  <c r="AH136" i="80"/>
  <c r="AI136" i="80"/>
  <c r="AJ136" i="80"/>
  <c r="AK136" i="80"/>
  <c r="AL136" i="80"/>
  <c r="AM136" i="80"/>
  <c r="AN136" i="80"/>
  <c r="AO136" i="80"/>
  <c r="AP136" i="80"/>
  <c r="AQ136" i="80"/>
  <c r="AR136" i="80"/>
  <c r="AS136" i="80"/>
  <c r="AT136" i="80"/>
  <c r="AU136" i="80"/>
  <c r="AW136" i="80"/>
  <c r="AX136" i="80"/>
  <c r="AY136" i="80"/>
  <c r="BA136" i="80"/>
  <c r="BC136" i="80"/>
  <c r="A137" i="80"/>
  <c r="B137" i="80"/>
  <c r="D137" i="80"/>
  <c r="E137" i="80"/>
  <c r="F137" i="80"/>
  <c r="G137" i="80"/>
  <c r="H137" i="80"/>
  <c r="J137" i="80"/>
  <c r="K137" i="80"/>
  <c r="M137" i="80"/>
  <c r="O137" i="80"/>
  <c r="P137" i="80"/>
  <c r="R137" i="80"/>
  <c r="S137" i="80"/>
  <c r="T137" i="80"/>
  <c r="U137" i="80"/>
  <c r="V137" i="80"/>
  <c r="W137" i="80"/>
  <c r="X137" i="80"/>
  <c r="Z137" i="80"/>
  <c r="AA137" i="80"/>
  <c r="AB137" i="80"/>
  <c r="AC137" i="80"/>
  <c r="AD137" i="80"/>
  <c r="AE137" i="80"/>
  <c r="AF137" i="80"/>
  <c r="AG137" i="80"/>
  <c r="AH137" i="80"/>
  <c r="AI137" i="80"/>
  <c r="AJ137" i="80"/>
  <c r="AK137" i="80"/>
  <c r="AL137" i="80"/>
  <c r="AM137" i="80"/>
  <c r="AN137" i="80"/>
  <c r="AO137" i="80"/>
  <c r="AP137" i="80"/>
  <c r="AQ137" i="80"/>
  <c r="AR137" i="80"/>
  <c r="AS137" i="80"/>
  <c r="AT137" i="80"/>
  <c r="AU137" i="80"/>
  <c r="AW137" i="80"/>
  <c r="AX137" i="80"/>
  <c r="AY137" i="80"/>
  <c r="BA137" i="80"/>
  <c r="BC137" i="80"/>
  <c r="A138" i="80"/>
  <c r="B138" i="80"/>
  <c r="D138" i="80"/>
  <c r="E138" i="80"/>
  <c r="F138" i="80"/>
  <c r="G138" i="80"/>
  <c r="H138" i="80"/>
  <c r="J138" i="80"/>
  <c r="K138" i="80"/>
  <c r="M138" i="80"/>
  <c r="O138" i="80"/>
  <c r="P138" i="80"/>
  <c r="R138" i="80"/>
  <c r="S138" i="80"/>
  <c r="T138" i="80"/>
  <c r="U138" i="80"/>
  <c r="V138" i="80"/>
  <c r="W138" i="80"/>
  <c r="X138" i="80"/>
  <c r="Z138" i="80"/>
  <c r="AA138" i="80"/>
  <c r="AB138" i="80"/>
  <c r="AC138" i="80"/>
  <c r="AD138" i="80"/>
  <c r="AE138" i="80"/>
  <c r="AF138" i="80"/>
  <c r="AG138" i="80"/>
  <c r="AH138" i="80"/>
  <c r="AI138" i="80"/>
  <c r="AJ138" i="80"/>
  <c r="AK138" i="80"/>
  <c r="AL138" i="80"/>
  <c r="AM138" i="80"/>
  <c r="AN138" i="80"/>
  <c r="AO138" i="80"/>
  <c r="AP138" i="80"/>
  <c r="AQ138" i="80"/>
  <c r="AR138" i="80"/>
  <c r="AS138" i="80"/>
  <c r="AT138" i="80"/>
  <c r="AU138" i="80"/>
  <c r="AW138" i="80"/>
  <c r="AX138" i="80"/>
  <c r="AY138" i="80"/>
  <c r="BA138" i="80"/>
  <c r="BC138" i="80"/>
  <c r="A139" i="80"/>
  <c r="B139" i="80"/>
  <c r="D139" i="80"/>
  <c r="E139" i="80"/>
  <c r="F139" i="80"/>
  <c r="G139" i="80"/>
  <c r="H139" i="80"/>
  <c r="J139" i="80"/>
  <c r="K139" i="80"/>
  <c r="M139" i="80"/>
  <c r="O139" i="80"/>
  <c r="P139" i="80"/>
  <c r="R139" i="80"/>
  <c r="S139" i="80"/>
  <c r="T139" i="80"/>
  <c r="U139" i="80"/>
  <c r="V139" i="80"/>
  <c r="W139" i="80"/>
  <c r="X139" i="80"/>
  <c r="Z139" i="80"/>
  <c r="AA139" i="80"/>
  <c r="AB139" i="80"/>
  <c r="AC139" i="80"/>
  <c r="AD139" i="80"/>
  <c r="AE139" i="80"/>
  <c r="AF139" i="80"/>
  <c r="AG139" i="80"/>
  <c r="AH139" i="80"/>
  <c r="AI139" i="80"/>
  <c r="AJ139" i="80"/>
  <c r="AK139" i="80"/>
  <c r="AL139" i="80"/>
  <c r="AM139" i="80"/>
  <c r="AN139" i="80"/>
  <c r="AO139" i="80"/>
  <c r="AP139" i="80"/>
  <c r="AQ139" i="80"/>
  <c r="AR139" i="80"/>
  <c r="AS139" i="80"/>
  <c r="AT139" i="80"/>
  <c r="AU139" i="80"/>
  <c r="AW139" i="80"/>
  <c r="AX139" i="80"/>
  <c r="AY139" i="80"/>
  <c r="BA139" i="80"/>
  <c r="BC139" i="80"/>
  <c r="A140" i="80"/>
  <c r="B140" i="80"/>
  <c r="D140" i="80"/>
  <c r="E140" i="80"/>
  <c r="F140" i="80"/>
  <c r="G140" i="80"/>
  <c r="H140" i="80"/>
  <c r="J140" i="80"/>
  <c r="K140" i="80"/>
  <c r="M140" i="80"/>
  <c r="O140" i="80"/>
  <c r="P140" i="80"/>
  <c r="R140" i="80"/>
  <c r="S140" i="80"/>
  <c r="T140" i="80"/>
  <c r="U140" i="80"/>
  <c r="V140" i="80"/>
  <c r="W140" i="80"/>
  <c r="X140" i="80"/>
  <c r="Z140" i="80"/>
  <c r="AA140" i="80"/>
  <c r="AB140" i="80"/>
  <c r="AC140" i="80"/>
  <c r="AD140" i="80"/>
  <c r="AE140" i="80"/>
  <c r="AF140" i="80"/>
  <c r="AG140" i="80"/>
  <c r="AH140" i="80"/>
  <c r="AI140" i="80"/>
  <c r="AJ140" i="80"/>
  <c r="AK140" i="80"/>
  <c r="AL140" i="80"/>
  <c r="AM140" i="80"/>
  <c r="AN140" i="80"/>
  <c r="AO140" i="80"/>
  <c r="AP140" i="80"/>
  <c r="AQ140" i="80"/>
  <c r="AR140" i="80"/>
  <c r="AS140" i="80"/>
  <c r="AT140" i="80"/>
  <c r="AU140" i="80"/>
  <c r="AW140" i="80"/>
  <c r="AX140" i="80"/>
  <c r="AY140" i="80"/>
  <c r="BA140" i="80"/>
  <c r="BC140" i="80"/>
  <c r="A141" i="80"/>
  <c r="B141" i="80"/>
  <c r="D141" i="80"/>
  <c r="E141" i="80"/>
  <c r="F141" i="80"/>
  <c r="G141" i="80"/>
  <c r="H141" i="80"/>
  <c r="J141" i="80"/>
  <c r="K141" i="80"/>
  <c r="M141" i="80"/>
  <c r="O141" i="80"/>
  <c r="P141" i="80"/>
  <c r="R141" i="80"/>
  <c r="S141" i="80"/>
  <c r="T141" i="80"/>
  <c r="U141" i="80"/>
  <c r="V141" i="80"/>
  <c r="W141" i="80"/>
  <c r="X141" i="80"/>
  <c r="Z141" i="80"/>
  <c r="AA141" i="80"/>
  <c r="AB141" i="80"/>
  <c r="AC141" i="80"/>
  <c r="AD141" i="80"/>
  <c r="AE141" i="80"/>
  <c r="AF141" i="80"/>
  <c r="AG141" i="80"/>
  <c r="AH141" i="80"/>
  <c r="AI141" i="80"/>
  <c r="AJ141" i="80"/>
  <c r="AK141" i="80"/>
  <c r="AL141" i="80"/>
  <c r="AM141" i="80"/>
  <c r="AN141" i="80"/>
  <c r="AO141" i="80"/>
  <c r="AP141" i="80"/>
  <c r="AQ141" i="80"/>
  <c r="AR141" i="80"/>
  <c r="AS141" i="80"/>
  <c r="AT141" i="80"/>
  <c r="AU141" i="80"/>
  <c r="AW141" i="80"/>
  <c r="AX141" i="80"/>
  <c r="AY141" i="80"/>
  <c r="BA141" i="80"/>
  <c r="BC141" i="80"/>
  <c r="A142" i="80"/>
  <c r="B142" i="80"/>
  <c r="D142" i="80"/>
  <c r="E142" i="80"/>
  <c r="F142" i="80"/>
  <c r="G142" i="80"/>
  <c r="H142" i="80"/>
  <c r="J142" i="80"/>
  <c r="K142" i="80"/>
  <c r="M142" i="80"/>
  <c r="O142" i="80"/>
  <c r="P142" i="80"/>
  <c r="R142" i="80"/>
  <c r="S142" i="80"/>
  <c r="T142" i="80"/>
  <c r="U142" i="80"/>
  <c r="V142" i="80"/>
  <c r="W142" i="80"/>
  <c r="X142" i="80"/>
  <c r="Z142" i="80"/>
  <c r="AA142" i="80"/>
  <c r="AB142" i="80"/>
  <c r="AC142" i="80"/>
  <c r="AD142" i="80"/>
  <c r="AE142" i="80"/>
  <c r="AF142" i="80"/>
  <c r="AG142" i="80"/>
  <c r="AH142" i="80"/>
  <c r="AI142" i="80"/>
  <c r="AJ142" i="80"/>
  <c r="AK142" i="80"/>
  <c r="AL142" i="80"/>
  <c r="AM142" i="80"/>
  <c r="AN142" i="80"/>
  <c r="AO142" i="80"/>
  <c r="AP142" i="80"/>
  <c r="AQ142" i="80"/>
  <c r="AR142" i="80"/>
  <c r="AS142" i="80"/>
  <c r="AT142" i="80"/>
  <c r="AU142" i="80"/>
  <c r="AW142" i="80"/>
  <c r="AX142" i="80"/>
  <c r="AY142" i="80"/>
  <c r="BA142" i="80"/>
  <c r="BC142" i="80"/>
  <c r="A143" i="80"/>
  <c r="B143" i="80"/>
  <c r="D143" i="80"/>
  <c r="E143" i="80"/>
  <c r="F143" i="80"/>
  <c r="G143" i="80"/>
  <c r="H143" i="80"/>
  <c r="J143" i="80"/>
  <c r="K143" i="80"/>
  <c r="M143" i="80"/>
  <c r="O143" i="80"/>
  <c r="P143" i="80"/>
  <c r="R143" i="80"/>
  <c r="S143" i="80"/>
  <c r="T143" i="80"/>
  <c r="U143" i="80"/>
  <c r="V143" i="80"/>
  <c r="W143" i="80"/>
  <c r="X143" i="80"/>
  <c r="Z143" i="80"/>
  <c r="AA143" i="80"/>
  <c r="AB143" i="80"/>
  <c r="AC143" i="80"/>
  <c r="AD143" i="80"/>
  <c r="AE143" i="80"/>
  <c r="AF143" i="80"/>
  <c r="AG143" i="80"/>
  <c r="AH143" i="80"/>
  <c r="AI143" i="80"/>
  <c r="AJ143" i="80"/>
  <c r="AK143" i="80"/>
  <c r="AL143" i="80"/>
  <c r="AM143" i="80"/>
  <c r="AN143" i="80"/>
  <c r="AO143" i="80"/>
  <c r="AP143" i="80"/>
  <c r="AQ143" i="80"/>
  <c r="AR143" i="80"/>
  <c r="AS143" i="80"/>
  <c r="AT143" i="80"/>
  <c r="AU143" i="80"/>
  <c r="AW143" i="80"/>
  <c r="AX143" i="80"/>
  <c r="AY143" i="80"/>
  <c r="BA143" i="80"/>
  <c r="BC143" i="80"/>
  <c r="A144" i="80"/>
  <c r="B144" i="80"/>
  <c r="D144" i="80"/>
  <c r="E144" i="80"/>
  <c r="F144" i="80"/>
  <c r="G144" i="80"/>
  <c r="H144" i="80"/>
  <c r="J144" i="80"/>
  <c r="K144" i="80"/>
  <c r="M144" i="80"/>
  <c r="O144" i="80"/>
  <c r="P144" i="80"/>
  <c r="R144" i="80"/>
  <c r="S144" i="80"/>
  <c r="T144" i="80"/>
  <c r="U144" i="80"/>
  <c r="V144" i="80"/>
  <c r="W144" i="80"/>
  <c r="X144" i="80"/>
  <c r="Z144" i="80"/>
  <c r="AA144" i="80"/>
  <c r="AB144" i="80"/>
  <c r="AC144" i="80"/>
  <c r="AD144" i="80"/>
  <c r="AE144" i="80"/>
  <c r="AF144" i="80"/>
  <c r="AG144" i="80"/>
  <c r="AH144" i="80"/>
  <c r="AI144" i="80"/>
  <c r="AJ144" i="80"/>
  <c r="AK144" i="80"/>
  <c r="AL144" i="80"/>
  <c r="AM144" i="80"/>
  <c r="AN144" i="80"/>
  <c r="AO144" i="80"/>
  <c r="AP144" i="80"/>
  <c r="AQ144" i="80"/>
  <c r="AR144" i="80"/>
  <c r="AS144" i="80"/>
  <c r="AT144" i="80"/>
  <c r="AU144" i="80"/>
  <c r="AW144" i="80"/>
  <c r="AX144" i="80"/>
  <c r="AY144" i="80"/>
  <c r="BA144" i="80"/>
  <c r="BC144" i="80"/>
  <c r="A145" i="80"/>
  <c r="B145" i="80"/>
  <c r="D145" i="80"/>
  <c r="E145" i="80"/>
  <c r="F145" i="80"/>
  <c r="G145" i="80"/>
  <c r="H145" i="80"/>
  <c r="J145" i="80"/>
  <c r="K145" i="80"/>
  <c r="M145" i="80"/>
  <c r="O145" i="80"/>
  <c r="P145" i="80"/>
  <c r="R145" i="80"/>
  <c r="S145" i="80"/>
  <c r="T145" i="80"/>
  <c r="U145" i="80"/>
  <c r="V145" i="80"/>
  <c r="W145" i="80"/>
  <c r="X145" i="80"/>
  <c r="Z145" i="80"/>
  <c r="AA145" i="80"/>
  <c r="AB145" i="80"/>
  <c r="AC145" i="80"/>
  <c r="AD145" i="80"/>
  <c r="AE145" i="80"/>
  <c r="AF145" i="80"/>
  <c r="AG145" i="80"/>
  <c r="AH145" i="80"/>
  <c r="AI145" i="80"/>
  <c r="AJ145" i="80"/>
  <c r="AK145" i="80"/>
  <c r="AL145" i="80"/>
  <c r="AM145" i="80"/>
  <c r="AN145" i="80"/>
  <c r="AO145" i="80"/>
  <c r="AP145" i="80"/>
  <c r="AQ145" i="80"/>
  <c r="AR145" i="80"/>
  <c r="AS145" i="80"/>
  <c r="AT145" i="80"/>
  <c r="AU145" i="80"/>
  <c r="AW145" i="80"/>
  <c r="AX145" i="80"/>
  <c r="AY145" i="80"/>
  <c r="BA145" i="80"/>
  <c r="BC145" i="80"/>
  <c r="A146" i="80"/>
  <c r="B146" i="80"/>
  <c r="D146" i="80"/>
  <c r="E146" i="80"/>
  <c r="F146" i="80"/>
  <c r="G146" i="80"/>
  <c r="H146" i="80"/>
  <c r="J146" i="80"/>
  <c r="K146" i="80"/>
  <c r="M146" i="80"/>
  <c r="O146" i="80"/>
  <c r="P146" i="80"/>
  <c r="R146" i="80"/>
  <c r="S146" i="80"/>
  <c r="T146" i="80"/>
  <c r="U146" i="80"/>
  <c r="V146" i="80"/>
  <c r="W146" i="80"/>
  <c r="X146" i="80"/>
  <c r="Z146" i="80"/>
  <c r="AA146" i="80"/>
  <c r="AB146" i="80"/>
  <c r="AC146" i="80"/>
  <c r="AD146" i="80"/>
  <c r="AE146" i="80"/>
  <c r="AF146" i="80"/>
  <c r="AG146" i="80"/>
  <c r="AH146" i="80"/>
  <c r="AI146" i="80"/>
  <c r="AJ146" i="80"/>
  <c r="AK146" i="80"/>
  <c r="AL146" i="80"/>
  <c r="AM146" i="80"/>
  <c r="AN146" i="80"/>
  <c r="AO146" i="80"/>
  <c r="AP146" i="80"/>
  <c r="AQ146" i="80"/>
  <c r="AR146" i="80"/>
  <c r="AS146" i="80"/>
  <c r="AT146" i="80"/>
  <c r="AU146" i="80"/>
  <c r="AW146" i="80"/>
  <c r="AX146" i="80"/>
  <c r="AY146" i="80"/>
  <c r="BA146" i="80"/>
  <c r="BC146" i="80"/>
  <c r="A147" i="80"/>
  <c r="B147" i="80"/>
  <c r="D147" i="80"/>
  <c r="E147" i="80"/>
  <c r="F147" i="80"/>
  <c r="G147" i="80"/>
  <c r="H147" i="80"/>
  <c r="J147" i="80"/>
  <c r="K147" i="80"/>
  <c r="M147" i="80"/>
  <c r="O147" i="80"/>
  <c r="P147" i="80"/>
  <c r="R147" i="80"/>
  <c r="S147" i="80"/>
  <c r="T147" i="80"/>
  <c r="U147" i="80"/>
  <c r="V147" i="80"/>
  <c r="W147" i="80"/>
  <c r="X147" i="80"/>
  <c r="Z147" i="80"/>
  <c r="AA147" i="80"/>
  <c r="AB147" i="80"/>
  <c r="AC147" i="80"/>
  <c r="AD147" i="80"/>
  <c r="AE147" i="80"/>
  <c r="AF147" i="80"/>
  <c r="AG147" i="80"/>
  <c r="AH147" i="80"/>
  <c r="AI147" i="80"/>
  <c r="AJ147" i="80"/>
  <c r="AK147" i="80"/>
  <c r="AL147" i="80"/>
  <c r="AM147" i="80"/>
  <c r="AN147" i="80"/>
  <c r="AO147" i="80"/>
  <c r="AP147" i="80"/>
  <c r="AQ147" i="80"/>
  <c r="AR147" i="80"/>
  <c r="AS147" i="80"/>
  <c r="AT147" i="80"/>
  <c r="AU147" i="80"/>
  <c r="AW147" i="80"/>
  <c r="AX147" i="80"/>
  <c r="AY147" i="80"/>
  <c r="BA147" i="80"/>
  <c r="BC147" i="80"/>
  <c r="A148" i="80"/>
  <c r="B148" i="80"/>
  <c r="D148" i="80"/>
  <c r="E148" i="80"/>
  <c r="F148" i="80"/>
  <c r="G148" i="80"/>
  <c r="H148" i="80"/>
  <c r="J148" i="80"/>
  <c r="K148" i="80"/>
  <c r="M148" i="80"/>
  <c r="O148" i="80"/>
  <c r="P148" i="80"/>
  <c r="R148" i="80"/>
  <c r="S148" i="80"/>
  <c r="T148" i="80"/>
  <c r="U148" i="80"/>
  <c r="V148" i="80"/>
  <c r="W148" i="80"/>
  <c r="X148" i="80"/>
  <c r="Z148" i="80"/>
  <c r="AA148" i="80"/>
  <c r="AB148" i="80"/>
  <c r="AC148" i="80"/>
  <c r="AD148" i="80"/>
  <c r="AE148" i="80"/>
  <c r="AF148" i="80"/>
  <c r="AG148" i="80"/>
  <c r="AH148" i="80"/>
  <c r="AI148" i="80"/>
  <c r="AJ148" i="80"/>
  <c r="AK148" i="80"/>
  <c r="AL148" i="80"/>
  <c r="AM148" i="80"/>
  <c r="AN148" i="80"/>
  <c r="AO148" i="80"/>
  <c r="AP148" i="80"/>
  <c r="AQ148" i="80"/>
  <c r="AR148" i="80"/>
  <c r="AS148" i="80"/>
  <c r="AT148" i="80"/>
  <c r="AU148" i="80"/>
  <c r="AW148" i="80"/>
  <c r="AX148" i="80"/>
  <c r="AY148" i="80"/>
  <c r="BA148" i="80"/>
  <c r="BC148" i="80"/>
  <c r="A149" i="80"/>
  <c r="B149" i="80"/>
  <c r="D149" i="80"/>
  <c r="E149" i="80"/>
  <c r="F149" i="80"/>
  <c r="G149" i="80"/>
  <c r="H149" i="80"/>
  <c r="J149" i="80"/>
  <c r="K149" i="80"/>
  <c r="M149" i="80"/>
  <c r="O149" i="80"/>
  <c r="P149" i="80"/>
  <c r="R149" i="80"/>
  <c r="S149" i="80"/>
  <c r="T149" i="80"/>
  <c r="U149" i="80"/>
  <c r="V149" i="80"/>
  <c r="W149" i="80"/>
  <c r="X149" i="80"/>
  <c r="Z149" i="80"/>
  <c r="AA149" i="80"/>
  <c r="AB149" i="80"/>
  <c r="AC149" i="80"/>
  <c r="AD149" i="80"/>
  <c r="AE149" i="80"/>
  <c r="AF149" i="80"/>
  <c r="AG149" i="80"/>
  <c r="AH149" i="80"/>
  <c r="AI149" i="80"/>
  <c r="AJ149" i="80"/>
  <c r="AK149" i="80"/>
  <c r="AL149" i="80"/>
  <c r="AM149" i="80"/>
  <c r="AN149" i="80"/>
  <c r="AO149" i="80"/>
  <c r="AP149" i="80"/>
  <c r="AQ149" i="80"/>
  <c r="AR149" i="80"/>
  <c r="AS149" i="80"/>
  <c r="AT149" i="80"/>
  <c r="AU149" i="80"/>
  <c r="AW149" i="80"/>
  <c r="AX149" i="80"/>
  <c r="AY149" i="80"/>
  <c r="BA149" i="80"/>
  <c r="BC149" i="80"/>
  <c r="A150" i="80"/>
  <c r="B150" i="80"/>
  <c r="D150" i="80"/>
  <c r="E150" i="80"/>
  <c r="F150" i="80"/>
  <c r="G150" i="80"/>
  <c r="H150" i="80"/>
  <c r="J150" i="80"/>
  <c r="K150" i="80"/>
  <c r="M150" i="80"/>
  <c r="O150" i="80"/>
  <c r="P150" i="80"/>
  <c r="R150" i="80"/>
  <c r="S150" i="80"/>
  <c r="T150" i="80"/>
  <c r="U150" i="80"/>
  <c r="V150" i="80"/>
  <c r="W150" i="80"/>
  <c r="X150" i="80"/>
  <c r="Z150" i="80"/>
  <c r="AA150" i="80"/>
  <c r="AB150" i="80"/>
  <c r="AC150" i="80"/>
  <c r="AD150" i="80"/>
  <c r="AE150" i="80"/>
  <c r="AF150" i="80"/>
  <c r="AG150" i="80"/>
  <c r="AH150" i="80"/>
  <c r="AI150" i="80"/>
  <c r="AJ150" i="80"/>
  <c r="AK150" i="80"/>
  <c r="AL150" i="80"/>
  <c r="AM150" i="80"/>
  <c r="AN150" i="80"/>
  <c r="AO150" i="80"/>
  <c r="AP150" i="80"/>
  <c r="AQ150" i="80"/>
  <c r="AR150" i="80"/>
  <c r="AS150" i="80"/>
  <c r="AT150" i="80"/>
  <c r="AU150" i="80"/>
  <c r="AW150" i="80"/>
  <c r="AX150" i="80"/>
  <c r="AY150" i="80"/>
  <c r="BA150" i="80"/>
  <c r="BC150" i="80"/>
  <c r="A151" i="80"/>
  <c r="B151" i="80"/>
  <c r="D151" i="80"/>
  <c r="E151" i="80"/>
  <c r="F151" i="80"/>
  <c r="G151" i="80"/>
  <c r="H151" i="80"/>
  <c r="J151" i="80"/>
  <c r="K151" i="80"/>
  <c r="M151" i="80"/>
  <c r="O151" i="80"/>
  <c r="P151" i="80"/>
  <c r="R151" i="80"/>
  <c r="S151" i="80"/>
  <c r="T151" i="80"/>
  <c r="U151" i="80"/>
  <c r="V151" i="80"/>
  <c r="W151" i="80"/>
  <c r="X151" i="80"/>
  <c r="Z151" i="80"/>
  <c r="AA151" i="80"/>
  <c r="AB151" i="80"/>
  <c r="AC151" i="80"/>
  <c r="AD151" i="80"/>
  <c r="AE151" i="80"/>
  <c r="AF151" i="80"/>
  <c r="AG151" i="80"/>
  <c r="AH151" i="80"/>
  <c r="AI151" i="80"/>
  <c r="AJ151" i="80"/>
  <c r="AK151" i="80"/>
  <c r="AL151" i="80"/>
  <c r="AM151" i="80"/>
  <c r="AN151" i="80"/>
  <c r="AO151" i="80"/>
  <c r="AP151" i="80"/>
  <c r="AQ151" i="80"/>
  <c r="AR151" i="80"/>
  <c r="AS151" i="80"/>
  <c r="AT151" i="80"/>
  <c r="AU151" i="80"/>
  <c r="AW151" i="80"/>
  <c r="AX151" i="80"/>
  <c r="AY151" i="80"/>
  <c r="BA151" i="80"/>
  <c r="BC151" i="80"/>
  <c r="A152" i="80"/>
  <c r="B152" i="80"/>
  <c r="D152" i="80"/>
  <c r="E152" i="80"/>
  <c r="F152" i="80"/>
  <c r="G152" i="80"/>
  <c r="H152" i="80"/>
  <c r="J152" i="80"/>
  <c r="K152" i="80"/>
  <c r="M152" i="80"/>
  <c r="O152" i="80"/>
  <c r="P152" i="80"/>
  <c r="R152" i="80"/>
  <c r="S152" i="80"/>
  <c r="T152" i="80"/>
  <c r="U152" i="80"/>
  <c r="V152" i="80"/>
  <c r="W152" i="80"/>
  <c r="X152" i="80"/>
  <c r="Z152" i="80"/>
  <c r="AA152" i="80"/>
  <c r="AB152" i="80"/>
  <c r="AC152" i="80"/>
  <c r="AD152" i="80"/>
  <c r="AE152" i="80"/>
  <c r="AF152" i="80"/>
  <c r="AG152" i="80"/>
  <c r="AH152" i="80"/>
  <c r="AI152" i="80"/>
  <c r="AJ152" i="80"/>
  <c r="AK152" i="80"/>
  <c r="AL152" i="80"/>
  <c r="AM152" i="80"/>
  <c r="AN152" i="80"/>
  <c r="AO152" i="80"/>
  <c r="AP152" i="80"/>
  <c r="AQ152" i="80"/>
  <c r="AR152" i="80"/>
  <c r="AS152" i="80"/>
  <c r="AT152" i="80"/>
  <c r="AU152" i="80"/>
  <c r="AW152" i="80"/>
  <c r="AX152" i="80"/>
  <c r="AY152" i="80"/>
  <c r="BA152" i="80"/>
  <c r="BC152" i="80"/>
  <c r="A153" i="80"/>
  <c r="B153" i="80"/>
  <c r="D153" i="80"/>
  <c r="E153" i="80"/>
  <c r="F153" i="80"/>
  <c r="G153" i="80"/>
  <c r="H153" i="80"/>
  <c r="J153" i="80"/>
  <c r="K153" i="80"/>
  <c r="M153" i="80"/>
  <c r="O153" i="80"/>
  <c r="P153" i="80"/>
  <c r="R153" i="80"/>
  <c r="S153" i="80"/>
  <c r="T153" i="80"/>
  <c r="U153" i="80"/>
  <c r="V153" i="80"/>
  <c r="W153" i="80"/>
  <c r="X153" i="80"/>
  <c r="Z153" i="80"/>
  <c r="AA153" i="80"/>
  <c r="AB153" i="80"/>
  <c r="AC153" i="80"/>
  <c r="AD153" i="80"/>
  <c r="AE153" i="80"/>
  <c r="AF153" i="80"/>
  <c r="AG153" i="80"/>
  <c r="AH153" i="80"/>
  <c r="AI153" i="80"/>
  <c r="AJ153" i="80"/>
  <c r="AK153" i="80"/>
  <c r="AL153" i="80"/>
  <c r="AM153" i="80"/>
  <c r="AN153" i="80"/>
  <c r="AO153" i="80"/>
  <c r="AP153" i="80"/>
  <c r="AQ153" i="80"/>
  <c r="AR153" i="80"/>
  <c r="AS153" i="80"/>
  <c r="AT153" i="80"/>
  <c r="AU153" i="80"/>
  <c r="AW153" i="80"/>
  <c r="AX153" i="80"/>
  <c r="AY153" i="80"/>
  <c r="BA153" i="80"/>
  <c r="BC153" i="80"/>
  <c r="A154" i="80"/>
  <c r="B154" i="80"/>
  <c r="D154" i="80"/>
  <c r="E154" i="80"/>
  <c r="F154" i="80"/>
  <c r="G154" i="80"/>
  <c r="H154" i="80"/>
  <c r="J154" i="80"/>
  <c r="K154" i="80"/>
  <c r="M154" i="80"/>
  <c r="O154" i="80"/>
  <c r="P154" i="80"/>
  <c r="R154" i="80"/>
  <c r="S154" i="80"/>
  <c r="T154" i="80"/>
  <c r="U154" i="80"/>
  <c r="V154" i="80"/>
  <c r="W154" i="80"/>
  <c r="X154" i="80"/>
  <c r="Z154" i="80"/>
  <c r="AA154" i="80"/>
  <c r="AB154" i="80"/>
  <c r="AC154" i="80"/>
  <c r="AD154" i="80"/>
  <c r="AE154" i="80"/>
  <c r="AF154" i="80"/>
  <c r="AG154" i="80"/>
  <c r="AH154" i="80"/>
  <c r="AI154" i="80"/>
  <c r="AJ154" i="80"/>
  <c r="AK154" i="80"/>
  <c r="AL154" i="80"/>
  <c r="AM154" i="80"/>
  <c r="AN154" i="80"/>
  <c r="AO154" i="80"/>
  <c r="AP154" i="80"/>
  <c r="AQ154" i="80"/>
  <c r="AR154" i="80"/>
  <c r="AS154" i="80"/>
  <c r="AT154" i="80"/>
  <c r="AU154" i="80"/>
  <c r="AW154" i="80"/>
  <c r="AX154" i="80"/>
  <c r="AY154" i="80"/>
  <c r="BA154" i="80"/>
  <c r="BC154" i="80"/>
  <c r="A155" i="80"/>
  <c r="B155" i="80"/>
  <c r="D155" i="80"/>
  <c r="E155" i="80"/>
  <c r="F155" i="80"/>
  <c r="G155" i="80"/>
  <c r="H155" i="80"/>
  <c r="J155" i="80"/>
  <c r="K155" i="80"/>
  <c r="M155" i="80"/>
  <c r="O155" i="80"/>
  <c r="P155" i="80"/>
  <c r="R155" i="80"/>
  <c r="S155" i="80"/>
  <c r="T155" i="80"/>
  <c r="U155" i="80"/>
  <c r="V155" i="80"/>
  <c r="W155" i="80"/>
  <c r="X155" i="80"/>
  <c r="Z155" i="80"/>
  <c r="AA155" i="80"/>
  <c r="AB155" i="80"/>
  <c r="AC155" i="80"/>
  <c r="AD155" i="80"/>
  <c r="AE155" i="80"/>
  <c r="AF155" i="80"/>
  <c r="AG155" i="80"/>
  <c r="AH155" i="80"/>
  <c r="AI155" i="80"/>
  <c r="AJ155" i="80"/>
  <c r="AK155" i="80"/>
  <c r="AL155" i="80"/>
  <c r="AM155" i="80"/>
  <c r="AN155" i="80"/>
  <c r="AO155" i="80"/>
  <c r="AP155" i="80"/>
  <c r="AQ155" i="80"/>
  <c r="AR155" i="80"/>
  <c r="AS155" i="80"/>
  <c r="AT155" i="80"/>
  <c r="AU155" i="80"/>
  <c r="AW155" i="80"/>
  <c r="AX155" i="80"/>
  <c r="AY155" i="80"/>
  <c r="BA155" i="80"/>
  <c r="BC155" i="80"/>
  <c r="A156" i="80"/>
  <c r="B156" i="80"/>
  <c r="D156" i="80"/>
  <c r="E156" i="80"/>
  <c r="F156" i="80"/>
  <c r="G156" i="80"/>
  <c r="H156" i="80"/>
  <c r="J156" i="80"/>
  <c r="K156" i="80"/>
  <c r="M156" i="80"/>
  <c r="O156" i="80"/>
  <c r="P156" i="80"/>
  <c r="R156" i="80"/>
  <c r="S156" i="80"/>
  <c r="T156" i="80"/>
  <c r="U156" i="80"/>
  <c r="V156" i="80"/>
  <c r="W156" i="80"/>
  <c r="X156" i="80"/>
  <c r="Z156" i="80"/>
  <c r="AA156" i="80"/>
  <c r="AB156" i="80"/>
  <c r="AC156" i="80"/>
  <c r="AD156" i="80"/>
  <c r="AE156" i="80"/>
  <c r="AF156" i="80"/>
  <c r="AG156" i="80"/>
  <c r="AH156" i="80"/>
  <c r="AI156" i="80"/>
  <c r="AJ156" i="80"/>
  <c r="AK156" i="80"/>
  <c r="AL156" i="80"/>
  <c r="AM156" i="80"/>
  <c r="AN156" i="80"/>
  <c r="AO156" i="80"/>
  <c r="AP156" i="80"/>
  <c r="AQ156" i="80"/>
  <c r="AR156" i="80"/>
  <c r="AS156" i="80"/>
  <c r="AT156" i="80"/>
  <c r="AU156" i="80"/>
  <c r="AW156" i="80"/>
  <c r="AX156" i="80"/>
  <c r="AY156" i="80"/>
  <c r="BA156" i="80"/>
  <c r="BC156" i="80"/>
  <c r="A157" i="80"/>
  <c r="B157" i="80"/>
  <c r="D157" i="80"/>
  <c r="E157" i="80"/>
  <c r="F157" i="80"/>
  <c r="G157" i="80"/>
  <c r="H157" i="80"/>
  <c r="J157" i="80"/>
  <c r="K157" i="80"/>
  <c r="M157" i="80"/>
  <c r="O157" i="80"/>
  <c r="P157" i="80"/>
  <c r="R157" i="80"/>
  <c r="S157" i="80"/>
  <c r="T157" i="80"/>
  <c r="U157" i="80"/>
  <c r="V157" i="80"/>
  <c r="W157" i="80"/>
  <c r="X157" i="80"/>
  <c r="Z157" i="80"/>
  <c r="AA157" i="80"/>
  <c r="AB157" i="80"/>
  <c r="AC157" i="80"/>
  <c r="AD157" i="80"/>
  <c r="AE157" i="80"/>
  <c r="AF157" i="80"/>
  <c r="AG157" i="80"/>
  <c r="AH157" i="80"/>
  <c r="AI157" i="80"/>
  <c r="AJ157" i="80"/>
  <c r="AK157" i="80"/>
  <c r="AL157" i="80"/>
  <c r="AM157" i="80"/>
  <c r="AN157" i="80"/>
  <c r="AO157" i="80"/>
  <c r="AP157" i="80"/>
  <c r="AQ157" i="80"/>
  <c r="AR157" i="80"/>
  <c r="AS157" i="80"/>
  <c r="AT157" i="80"/>
  <c r="AU157" i="80"/>
  <c r="AW157" i="80"/>
  <c r="AX157" i="80"/>
  <c r="AY157" i="80"/>
  <c r="BA157" i="80"/>
  <c r="BC157" i="80"/>
  <c r="A158" i="80"/>
  <c r="B158" i="80"/>
  <c r="D158" i="80"/>
  <c r="E158" i="80"/>
  <c r="F158" i="80"/>
  <c r="G158" i="80"/>
  <c r="H158" i="80"/>
  <c r="J158" i="80"/>
  <c r="K158" i="80"/>
  <c r="M158" i="80"/>
  <c r="O158" i="80"/>
  <c r="P158" i="80"/>
  <c r="R158" i="80"/>
  <c r="S158" i="80"/>
  <c r="T158" i="80"/>
  <c r="U158" i="80"/>
  <c r="V158" i="80"/>
  <c r="W158" i="80"/>
  <c r="X158" i="80"/>
  <c r="Z158" i="80"/>
  <c r="AA158" i="80"/>
  <c r="AB158" i="80"/>
  <c r="AC158" i="80"/>
  <c r="AD158" i="80"/>
  <c r="AE158" i="80"/>
  <c r="AF158" i="80"/>
  <c r="AG158" i="80"/>
  <c r="AH158" i="80"/>
  <c r="AI158" i="80"/>
  <c r="AJ158" i="80"/>
  <c r="AK158" i="80"/>
  <c r="AL158" i="80"/>
  <c r="AM158" i="80"/>
  <c r="AN158" i="80"/>
  <c r="AO158" i="80"/>
  <c r="AP158" i="80"/>
  <c r="AQ158" i="80"/>
  <c r="AR158" i="80"/>
  <c r="AS158" i="80"/>
  <c r="AT158" i="80"/>
  <c r="AU158" i="80"/>
  <c r="AW158" i="80"/>
  <c r="AX158" i="80"/>
  <c r="AY158" i="80"/>
  <c r="BA158" i="80"/>
  <c r="BC158" i="80"/>
  <c r="A159" i="80"/>
  <c r="B159" i="80"/>
  <c r="D159" i="80"/>
  <c r="E159" i="80"/>
  <c r="F159" i="80"/>
  <c r="G159" i="80"/>
  <c r="H159" i="80"/>
  <c r="J159" i="80"/>
  <c r="K159" i="80"/>
  <c r="M159" i="80"/>
  <c r="O159" i="80"/>
  <c r="P159" i="80"/>
  <c r="R159" i="80"/>
  <c r="S159" i="80"/>
  <c r="T159" i="80"/>
  <c r="U159" i="80"/>
  <c r="V159" i="80"/>
  <c r="W159" i="80"/>
  <c r="X159" i="80"/>
  <c r="Z159" i="80"/>
  <c r="AA159" i="80"/>
  <c r="AB159" i="80"/>
  <c r="AC159" i="80"/>
  <c r="AD159" i="80"/>
  <c r="AE159" i="80"/>
  <c r="AF159" i="80"/>
  <c r="AG159" i="80"/>
  <c r="AH159" i="80"/>
  <c r="AI159" i="80"/>
  <c r="AJ159" i="80"/>
  <c r="AK159" i="80"/>
  <c r="AL159" i="80"/>
  <c r="AM159" i="80"/>
  <c r="AN159" i="80"/>
  <c r="AO159" i="80"/>
  <c r="AP159" i="80"/>
  <c r="AQ159" i="80"/>
  <c r="AR159" i="80"/>
  <c r="AS159" i="80"/>
  <c r="AT159" i="80"/>
  <c r="AU159" i="80"/>
  <c r="AW159" i="80"/>
  <c r="AX159" i="80"/>
  <c r="AY159" i="80"/>
  <c r="BA159" i="80"/>
  <c r="BC159" i="80"/>
  <c r="A160" i="80"/>
  <c r="B160" i="80"/>
  <c r="D160" i="80"/>
  <c r="E160" i="80"/>
  <c r="F160" i="80"/>
  <c r="G160" i="80"/>
  <c r="H160" i="80"/>
  <c r="J160" i="80"/>
  <c r="K160" i="80"/>
  <c r="M160" i="80"/>
  <c r="O160" i="80"/>
  <c r="P160" i="80"/>
  <c r="R160" i="80"/>
  <c r="S160" i="80"/>
  <c r="T160" i="80"/>
  <c r="U160" i="80"/>
  <c r="V160" i="80"/>
  <c r="W160" i="80"/>
  <c r="X160" i="80"/>
  <c r="Z160" i="80"/>
  <c r="AA160" i="80"/>
  <c r="AB160" i="80"/>
  <c r="AC160" i="80"/>
  <c r="AD160" i="80"/>
  <c r="AE160" i="80"/>
  <c r="AF160" i="80"/>
  <c r="AG160" i="80"/>
  <c r="AH160" i="80"/>
  <c r="AI160" i="80"/>
  <c r="AJ160" i="80"/>
  <c r="AK160" i="80"/>
  <c r="AL160" i="80"/>
  <c r="AM160" i="80"/>
  <c r="AN160" i="80"/>
  <c r="AO160" i="80"/>
  <c r="AP160" i="80"/>
  <c r="AQ160" i="80"/>
  <c r="AR160" i="80"/>
  <c r="AS160" i="80"/>
  <c r="AT160" i="80"/>
  <c r="AU160" i="80"/>
  <c r="AW160" i="80"/>
  <c r="AX160" i="80"/>
  <c r="AY160" i="80"/>
  <c r="BA160" i="80"/>
  <c r="BC160" i="80"/>
  <c r="A161" i="80"/>
  <c r="B161" i="80"/>
  <c r="D161" i="80"/>
  <c r="E161" i="80"/>
  <c r="F161" i="80"/>
  <c r="G161" i="80"/>
  <c r="H161" i="80"/>
  <c r="J161" i="80"/>
  <c r="K161" i="80"/>
  <c r="M161" i="80"/>
  <c r="O161" i="80"/>
  <c r="P161" i="80"/>
  <c r="R161" i="80"/>
  <c r="S161" i="80"/>
  <c r="T161" i="80"/>
  <c r="U161" i="80"/>
  <c r="V161" i="80"/>
  <c r="W161" i="80"/>
  <c r="X161" i="80"/>
  <c r="Z161" i="80"/>
  <c r="AA161" i="80"/>
  <c r="AB161" i="80"/>
  <c r="AC161" i="80"/>
  <c r="AD161" i="80"/>
  <c r="AE161" i="80"/>
  <c r="AF161" i="80"/>
  <c r="AG161" i="80"/>
  <c r="AH161" i="80"/>
  <c r="AI161" i="80"/>
  <c r="AJ161" i="80"/>
  <c r="AK161" i="80"/>
  <c r="AL161" i="80"/>
  <c r="AM161" i="80"/>
  <c r="AN161" i="80"/>
  <c r="AO161" i="80"/>
  <c r="AP161" i="80"/>
  <c r="AQ161" i="80"/>
  <c r="AR161" i="80"/>
  <c r="AS161" i="80"/>
  <c r="AT161" i="80"/>
  <c r="AU161" i="80"/>
  <c r="AW161" i="80"/>
  <c r="AX161" i="80"/>
  <c r="AY161" i="80"/>
  <c r="BA161" i="80"/>
  <c r="BC161" i="80"/>
  <c r="A162" i="80"/>
  <c r="B162" i="80"/>
  <c r="D162" i="80"/>
  <c r="E162" i="80"/>
  <c r="F162" i="80"/>
  <c r="G162" i="80"/>
  <c r="H162" i="80"/>
  <c r="J162" i="80"/>
  <c r="K162" i="80"/>
  <c r="M162" i="80"/>
  <c r="O162" i="80"/>
  <c r="P162" i="80"/>
  <c r="R162" i="80"/>
  <c r="S162" i="80"/>
  <c r="T162" i="80"/>
  <c r="U162" i="80"/>
  <c r="V162" i="80"/>
  <c r="W162" i="80"/>
  <c r="X162" i="80"/>
  <c r="Z162" i="80"/>
  <c r="AA162" i="80"/>
  <c r="AB162" i="80"/>
  <c r="AC162" i="80"/>
  <c r="AD162" i="80"/>
  <c r="AE162" i="80"/>
  <c r="AF162" i="80"/>
  <c r="AG162" i="80"/>
  <c r="AH162" i="80"/>
  <c r="AI162" i="80"/>
  <c r="AJ162" i="80"/>
  <c r="AK162" i="80"/>
  <c r="AL162" i="80"/>
  <c r="AM162" i="80"/>
  <c r="AN162" i="80"/>
  <c r="AO162" i="80"/>
  <c r="AP162" i="80"/>
  <c r="AQ162" i="80"/>
  <c r="AR162" i="80"/>
  <c r="AS162" i="80"/>
  <c r="AT162" i="80"/>
  <c r="AU162" i="80"/>
  <c r="AW162" i="80"/>
  <c r="AX162" i="80"/>
  <c r="AY162" i="80"/>
  <c r="BA162" i="80"/>
  <c r="BC162" i="80"/>
  <c r="A163" i="80"/>
  <c r="B163" i="80"/>
  <c r="D163" i="80"/>
  <c r="E163" i="80"/>
  <c r="F163" i="80"/>
  <c r="G163" i="80"/>
  <c r="H163" i="80"/>
  <c r="J163" i="80"/>
  <c r="K163" i="80"/>
  <c r="M163" i="80"/>
  <c r="O163" i="80"/>
  <c r="P163" i="80"/>
  <c r="R163" i="80"/>
  <c r="S163" i="80"/>
  <c r="T163" i="80"/>
  <c r="U163" i="80"/>
  <c r="V163" i="80"/>
  <c r="W163" i="80"/>
  <c r="X163" i="80"/>
  <c r="Z163" i="80"/>
  <c r="AA163" i="80"/>
  <c r="AB163" i="80"/>
  <c r="AC163" i="80"/>
  <c r="AD163" i="80"/>
  <c r="AE163" i="80"/>
  <c r="AF163" i="80"/>
  <c r="AG163" i="80"/>
  <c r="AH163" i="80"/>
  <c r="AI163" i="80"/>
  <c r="AJ163" i="80"/>
  <c r="AK163" i="80"/>
  <c r="AL163" i="80"/>
  <c r="AM163" i="80"/>
  <c r="AN163" i="80"/>
  <c r="AO163" i="80"/>
  <c r="AP163" i="80"/>
  <c r="AQ163" i="80"/>
  <c r="AR163" i="80"/>
  <c r="AS163" i="80"/>
  <c r="AT163" i="80"/>
  <c r="AU163" i="80"/>
  <c r="AW163" i="80"/>
  <c r="AX163" i="80"/>
  <c r="AY163" i="80"/>
  <c r="BA163" i="80"/>
  <c r="BC163" i="80"/>
  <c r="A164" i="80"/>
  <c r="B164" i="80"/>
  <c r="D164" i="80"/>
  <c r="E164" i="80"/>
  <c r="F164" i="80"/>
  <c r="G164" i="80"/>
  <c r="H164" i="80"/>
  <c r="J164" i="80"/>
  <c r="K164" i="80"/>
  <c r="M164" i="80"/>
  <c r="O164" i="80"/>
  <c r="P164" i="80"/>
  <c r="R164" i="80"/>
  <c r="S164" i="80"/>
  <c r="T164" i="80"/>
  <c r="U164" i="80"/>
  <c r="V164" i="80"/>
  <c r="W164" i="80"/>
  <c r="X164" i="80"/>
  <c r="Z164" i="80"/>
  <c r="AA164" i="80"/>
  <c r="AB164" i="80"/>
  <c r="AC164" i="80"/>
  <c r="AD164" i="80"/>
  <c r="AE164" i="80"/>
  <c r="AF164" i="80"/>
  <c r="AG164" i="80"/>
  <c r="AH164" i="80"/>
  <c r="AI164" i="80"/>
  <c r="AJ164" i="80"/>
  <c r="AK164" i="80"/>
  <c r="AL164" i="80"/>
  <c r="AM164" i="80"/>
  <c r="AN164" i="80"/>
  <c r="AO164" i="80"/>
  <c r="AP164" i="80"/>
  <c r="AQ164" i="80"/>
  <c r="AR164" i="80"/>
  <c r="AS164" i="80"/>
  <c r="AT164" i="80"/>
  <c r="AU164" i="80"/>
  <c r="AW164" i="80"/>
  <c r="AX164" i="80"/>
  <c r="AY164" i="80"/>
  <c r="BA164" i="80"/>
  <c r="BC164" i="80"/>
  <c r="A165" i="80"/>
  <c r="B165" i="80"/>
  <c r="D165" i="80"/>
  <c r="E165" i="80"/>
  <c r="F165" i="80"/>
  <c r="G165" i="80"/>
  <c r="H165" i="80"/>
  <c r="J165" i="80"/>
  <c r="K165" i="80"/>
  <c r="M165" i="80"/>
  <c r="O165" i="80"/>
  <c r="P165" i="80"/>
  <c r="R165" i="80"/>
  <c r="S165" i="80"/>
  <c r="T165" i="80"/>
  <c r="U165" i="80"/>
  <c r="V165" i="80"/>
  <c r="W165" i="80"/>
  <c r="X165" i="80"/>
  <c r="Z165" i="80"/>
  <c r="AA165" i="80"/>
  <c r="AB165" i="80"/>
  <c r="AC165" i="80"/>
  <c r="AD165" i="80"/>
  <c r="AE165" i="80"/>
  <c r="AF165" i="80"/>
  <c r="AG165" i="80"/>
  <c r="AH165" i="80"/>
  <c r="AI165" i="80"/>
  <c r="AJ165" i="80"/>
  <c r="AK165" i="80"/>
  <c r="AL165" i="80"/>
  <c r="AM165" i="80"/>
  <c r="AN165" i="80"/>
  <c r="AO165" i="80"/>
  <c r="AP165" i="80"/>
  <c r="AQ165" i="80"/>
  <c r="AR165" i="80"/>
  <c r="AS165" i="80"/>
  <c r="AT165" i="80"/>
  <c r="AU165" i="80"/>
  <c r="AW165" i="80"/>
  <c r="AX165" i="80"/>
  <c r="AY165" i="80"/>
  <c r="BA165" i="80"/>
  <c r="BC165" i="80"/>
  <c r="A166" i="80"/>
  <c r="B166" i="80"/>
  <c r="D166" i="80"/>
  <c r="E166" i="80"/>
  <c r="F166" i="80"/>
  <c r="G166" i="80"/>
  <c r="H166" i="80"/>
  <c r="J166" i="80"/>
  <c r="K166" i="80"/>
  <c r="M166" i="80"/>
  <c r="O166" i="80"/>
  <c r="P166" i="80"/>
  <c r="R166" i="80"/>
  <c r="S166" i="80"/>
  <c r="T166" i="80"/>
  <c r="U166" i="80"/>
  <c r="V166" i="80"/>
  <c r="W166" i="80"/>
  <c r="X166" i="80"/>
  <c r="Z166" i="80"/>
  <c r="AA166" i="80"/>
  <c r="AB166" i="80"/>
  <c r="AC166" i="80"/>
  <c r="AD166" i="80"/>
  <c r="AE166" i="80"/>
  <c r="AF166" i="80"/>
  <c r="AG166" i="80"/>
  <c r="AH166" i="80"/>
  <c r="AI166" i="80"/>
  <c r="AJ166" i="80"/>
  <c r="AK166" i="80"/>
  <c r="AL166" i="80"/>
  <c r="AM166" i="80"/>
  <c r="AN166" i="80"/>
  <c r="AO166" i="80"/>
  <c r="AP166" i="80"/>
  <c r="AQ166" i="80"/>
  <c r="AR166" i="80"/>
  <c r="AS166" i="80"/>
  <c r="AT166" i="80"/>
  <c r="AU166" i="80"/>
  <c r="AW166" i="80"/>
  <c r="AX166" i="80"/>
  <c r="AY166" i="80"/>
  <c r="BA166" i="80"/>
  <c r="BC166" i="80"/>
  <c r="A167" i="80"/>
  <c r="B167" i="80"/>
  <c r="D167" i="80"/>
  <c r="E167" i="80"/>
  <c r="F167" i="80"/>
  <c r="G167" i="80"/>
  <c r="H167" i="80"/>
  <c r="J167" i="80"/>
  <c r="K167" i="80"/>
  <c r="M167" i="80"/>
  <c r="O167" i="80"/>
  <c r="P167" i="80"/>
  <c r="R167" i="80"/>
  <c r="S167" i="80"/>
  <c r="T167" i="80"/>
  <c r="U167" i="80"/>
  <c r="V167" i="80"/>
  <c r="W167" i="80"/>
  <c r="X167" i="80"/>
  <c r="Z167" i="80"/>
  <c r="AA167" i="80"/>
  <c r="AB167" i="80"/>
  <c r="AC167" i="80"/>
  <c r="AD167" i="80"/>
  <c r="AE167" i="80"/>
  <c r="AF167" i="80"/>
  <c r="AG167" i="80"/>
  <c r="AH167" i="80"/>
  <c r="AI167" i="80"/>
  <c r="AJ167" i="80"/>
  <c r="AK167" i="80"/>
  <c r="AL167" i="80"/>
  <c r="AM167" i="80"/>
  <c r="AN167" i="80"/>
  <c r="AO167" i="80"/>
  <c r="AP167" i="80"/>
  <c r="AQ167" i="80"/>
  <c r="AR167" i="80"/>
  <c r="AS167" i="80"/>
  <c r="AT167" i="80"/>
  <c r="AU167" i="80"/>
  <c r="AW167" i="80"/>
  <c r="AX167" i="80"/>
  <c r="AY167" i="80"/>
  <c r="BA167" i="80"/>
  <c r="BC167" i="80"/>
  <c r="A168" i="80"/>
  <c r="B168" i="80"/>
  <c r="D168" i="80"/>
  <c r="E168" i="80"/>
  <c r="F168" i="80"/>
  <c r="G168" i="80"/>
  <c r="H168" i="80"/>
  <c r="J168" i="80"/>
  <c r="K168" i="80"/>
  <c r="M168" i="80"/>
  <c r="O168" i="80"/>
  <c r="P168" i="80"/>
  <c r="R168" i="80"/>
  <c r="S168" i="80"/>
  <c r="T168" i="80"/>
  <c r="U168" i="80"/>
  <c r="V168" i="80"/>
  <c r="W168" i="80"/>
  <c r="X168" i="80"/>
  <c r="Z168" i="80"/>
  <c r="AA168" i="80"/>
  <c r="AB168" i="80"/>
  <c r="AC168" i="80"/>
  <c r="AD168" i="80"/>
  <c r="AE168" i="80"/>
  <c r="AF168" i="80"/>
  <c r="AG168" i="80"/>
  <c r="AH168" i="80"/>
  <c r="AI168" i="80"/>
  <c r="AJ168" i="80"/>
  <c r="AK168" i="80"/>
  <c r="AL168" i="80"/>
  <c r="AM168" i="80"/>
  <c r="AN168" i="80"/>
  <c r="AO168" i="80"/>
  <c r="AP168" i="80"/>
  <c r="AQ168" i="80"/>
  <c r="AR168" i="80"/>
  <c r="AS168" i="80"/>
  <c r="AT168" i="80"/>
  <c r="AU168" i="80"/>
  <c r="AW168" i="80"/>
  <c r="AX168" i="80"/>
  <c r="AY168" i="80"/>
  <c r="BA168" i="80"/>
  <c r="BC168" i="80"/>
  <c r="A169" i="80"/>
  <c r="B169" i="80"/>
  <c r="D169" i="80"/>
  <c r="E169" i="80"/>
  <c r="F169" i="80"/>
  <c r="G169" i="80"/>
  <c r="H169" i="80"/>
  <c r="J169" i="80"/>
  <c r="K169" i="80"/>
  <c r="M169" i="80"/>
  <c r="O169" i="80"/>
  <c r="P169" i="80"/>
  <c r="R169" i="80"/>
  <c r="S169" i="80"/>
  <c r="T169" i="80"/>
  <c r="U169" i="80"/>
  <c r="V169" i="80"/>
  <c r="W169" i="80"/>
  <c r="X169" i="80"/>
  <c r="Z169" i="80"/>
  <c r="AA169" i="80"/>
  <c r="AB169" i="80"/>
  <c r="AC169" i="80"/>
  <c r="AD169" i="80"/>
  <c r="AE169" i="80"/>
  <c r="AF169" i="80"/>
  <c r="AG169" i="80"/>
  <c r="AH169" i="80"/>
  <c r="AI169" i="80"/>
  <c r="AJ169" i="80"/>
  <c r="AK169" i="80"/>
  <c r="AL169" i="80"/>
  <c r="AM169" i="80"/>
  <c r="AN169" i="80"/>
  <c r="AO169" i="80"/>
  <c r="AP169" i="80"/>
  <c r="AQ169" i="80"/>
  <c r="AR169" i="80"/>
  <c r="AS169" i="80"/>
  <c r="AT169" i="80"/>
  <c r="AU169" i="80"/>
  <c r="AW169" i="80"/>
  <c r="AX169" i="80"/>
  <c r="AY169" i="80"/>
  <c r="BA169" i="80"/>
  <c r="BC169" i="80"/>
  <c r="A170" i="80"/>
  <c r="B170" i="80"/>
  <c r="D170" i="80"/>
  <c r="E170" i="80"/>
  <c r="F170" i="80"/>
  <c r="G170" i="80"/>
  <c r="H170" i="80"/>
  <c r="J170" i="80"/>
  <c r="K170" i="80"/>
  <c r="M170" i="80"/>
  <c r="O170" i="80"/>
  <c r="P170" i="80"/>
  <c r="R170" i="80"/>
  <c r="S170" i="80"/>
  <c r="T170" i="80"/>
  <c r="U170" i="80"/>
  <c r="V170" i="80"/>
  <c r="W170" i="80"/>
  <c r="X170" i="80"/>
  <c r="Z170" i="80"/>
  <c r="AA170" i="80"/>
  <c r="AB170" i="80"/>
  <c r="AC170" i="80"/>
  <c r="AD170" i="80"/>
  <c r="AE170" i="80"/>
  <c r="AF170" i="80"/>
  <c r="AG170" i="80"/>
  <c r="AH170" i="80"/>
  <c r="AI170" i="80"/>
  <c r="AJ170" i="80"/>
  <c r="AK170" i="80"/>
  <c r="AL170" i="80"/>
  <c r="AM170" i="80"/>
  <c r="AN170" i="80"/>
  <c r="AO170" i="80"/>
  <c r="AP170" i="80"/>
  <c r="AQ170" i="80"/>
  <c r="AR170" i="80"/>
  <c r="AS170" i="80"/>
  <c r="AT170" i="80"/>
  <c r="AU170" i="80"/>
  <c r="AW170" i="80"/>
  <c r="AX170" i="80"/>
  <c r="AY170" i="80"/>
  <c r="BA170" i="80"/>
  <c r="BC170" i="80"/>
  <c r="A171" i="80"/>
  <c r="B171" i="80"/>
  <c r="D171" i="80"/>
  <c r="E171" i="80"/>
  <c r="F171" i="80"/>
  <c r="G171" i="80"/>
  <c r="H171" i="80"/>
  <c r="J171" i="80"/>
  <c r="K171" i="80"/>
  <c r="M171" i="80"/>
  <c r="O171" i="80"/>
  <c r="P171" i="80"/>
  <c r="R171" i="80"/>
  <c r="S171" i="80"/>
  <c r="T171" i="80"/>
  <c r="U171" i="80"/>
  <c r="V171" i="80"/>
  <c r="W171" i="80"/>
  <c r="X171" i="80"/>
  <c r="Z171" i="80"/>
  <c r="AA171" i="80"/>
  <c r="AB171" i="80"/>
  <c r="AC171" i="80"/>
  <c r="AD171" i="80"/>
  <c r="AE171" i="80"/>
  <c r="AF171" i="80"/>
  <c r="AG171" i="80"/>
  <c r="AH171" i="80"/>
  <c r="AI171" i="80"/>
  <c r="AJ171" i="80"/>
  <c r="AK171" i="80"/>
  <c r="AL171" i="80"/>
  <c r="AM171" i="80"/>
  <c r="AN171" i="80"/>
  <c r="AO171" i="80"/>
  <c r="AP171" i="80"/>
  <c r="AQ171" i="80"/>
  <c r="AR171" i="80"/>
  <c r="AS171" i="80"/>
  <c r="AT171" i="80"/>
  <c r="AU171" i="80"/>
  <c r="AW171" i="80"/>
  <c r="AX171" i="80"/>
  <c r="AY171" i="80"/>
  <c r="BA171" i="80"/>
  <c r="BC171" i="80"/>
  <c r="A172" i="80"/>
  <c r="B172" i="80"/>
  <c r="D172" i="80"/>
  <c r="E172" i="80"/>
  <c r="F172" i="80"/>
  <c r="G172" i="80"/>
  <c r="H172" i="80"/>
  <c r="J172" i="80"/>
  <c r="K172" i="80"/>
  <c r="M172" i="80"/>
  <c r="O172" i="80"/>
  <c r="P172" i="80"/>
  <c r="R172" i="80"/>
  <c r="S172" i="80"/>
  <c r="T172" i="80"/>
  <c r="U172" i="80"/>
  <c r="V172" i="80"/>
  <c r="W172" i="80"/>
  <c r="X172" i="80"/>
  <c r="Z172" i="80"/>
  <c r="AA172" i="80"/>
  <c r="AB172" i="80"/>
  <c r="AC172" i="80"/>
  <c r="AD172" i="80"/>
  <c r="AE172" i="80"/>
  <c r="AF172" i="80"/>
  <c r="AG172" i="80"/>
  <c r="AH172" i="80"/>
  <c r="AI172" i="80"/>
  <c r="AJ172" i="80"/>
  <c r="AK172" i="80"/>
  <c r="AL172" i="80"/>
  <c r="AM172" i="80"/>
  <c r="AN172" i="80"/>
  <c r="AO172" i="80"/>
  <c r="AP172" i="80"/>
  <c r="AQ172" i="80"/>
  <c r="AR172" i="80"/>
  <c r="AS172" i="80"/>
  <c r="AT172" i="80"/>
  <c r="AU172" i="80"/>
  <c r="AW172" i="80"/>
  <c r="AX172" i="80"/>
  <c r="AY172" i="80"/>
  <c r="BA172" i="80"/>
  <c r="BC172" i="80"/>
  <c r="A173" i="80"/>
  <c r="B173" i="80"/>
  <c r="D173" i="80"/>
  <c r="E173" i="80"/>
  <c r="F173" i="80"/>
  <c r="G173" i="80"/>
  <c r="H173" i="80"/>
  <c r="J173" i="80"/>
  <c r="K173" i="80"/>
  <c r="M173" i="80"/>
  <c r="O173" i="80"/>
  <c r="P173" i="80"/>
  <c r="R173" i="80"/>
  <c r="S173" i="80"/>
  <c r="T173" i="80"/>
  <c r="U173" i="80"/>
  <c r="V173" i="80"/>
  <c r="W173" i="80"/>
  <c r="X173" i="80"/>
  <c r="Z173" i="80"/>
  <c r="AA173" i="80"/>
  <c r="AB173" i="80"/>
  <c r="AC173" i="80"/>
  <c r="AD173" i="80"/>
  <c r="AE173" i="80"/>
  <c r="AF173" i="80"/>
  <c r="AG173" i="80"/>
  <c r="AH173" i="80"/>
  <c r="AI173" i="80"/>
  <c r="AJ173" i="80"/>
  <c r="AK173" i="80"/>
  <c r="AL173" i="80"/>
  <c r="AM173" i="80"/>
  <c r="AN173" i="80"/>
  <c r="AO173" i="80"/>
  <c r="AP173" i="80"/>
  <c r="AQ173" i="80"/>
  <c r="AR173" i="80"/>
  <c r="AS173" i="80"/>
  <c r="AT173" i="80"/>
  <c r="AU173" i="80"/>
  <c r="AW173" i="80"/>
  <c r="AX173" i="80"/>
  <c r="AY173" i="80"/>
  <c r="BA173" i="80"/>
  <c r="BC173" i="80"/>
  <c r="A174" i="80"/>
  <c r="B174" i="80"/>
  <c r="D174" i="80"/>
  <c r="E174" i="80"/>
  <c r="F174" i="80"/>
  <c r="G174" i="80"/>
  <c r="H174" i="80"/>
  <c r="J174" i="80"/>
  <c r="K174" i="80"/>
  <c r="M174" i="80"/>
  <c r="O174" i="80"/>
  <c r="P174" i="80"/>
  <c r="R174" i="80"/>
  <c r="S174" i="80"/>
  <c r="T174" i="80"/>
  <c r="U174" i="80"/>
  <c r="V174" i="80"/>
  <c r="W174" i="80"/>
  <c r="X174" i="80"/>
  <c r="Z174" i="80"/>
  <c r="AA174" i="80"/>
  <c r="AB174" i="80"/>
  <c r="AC174" i="80"/>
  <c r="AD174" i="80"/>
  <c r="AE174" i="80"/>
  <c r="AF174" i="80"/>
  <c r="AG174" i="80"/>
  <c r="AH174" i="80"/>
  <c r="AI174" i="80"/>
  <c r="AJ174" i="80"/>
  <c r="AK174" i="80"/>
  <c r="AL174" i="80"/>
  <c r="AM174" i="80"/>
  <c r="AN174" i="80"/>
  <c r="AO174" i="80"/>
  <c r="AP174" i="80"/>
  <c r="AQ174" i="80"/>
  <c r="AR174" i="80"/>
  <c r="AS174" i="80"/>
  <c r="AT174" i="80"/>
  <c r="AU174" i="80"/>
  <c r="AW174" i="80"/>
  <c r="AX174" i="80"/>
  <c r="AY174" i="80"/>
  <c r="BA174" i="80"/>
  <c r="A175" i="80"/>
  <c r="B175" i="80"/>
  <c r="D175" i="80"/>
  <c r="E175" i="80"/>
  <c r="F175" i="80"/>
  <c r="G175" i="80"/>
  <c r="H175" i="80"/>
  <c r="J175" i="80"/>
  <c r="K175" i="80"/>
  <c r="M175" i="80"/>
  <c r="O175" i="80"/>
  <c r="P175" i="80"/>
  <c r="R175" i="80"/>
  <c r="S175" i="80"/>
  <c r="T175" i="80"/>
  <c r="U175" i="80"/>
  <c r="V175" i="80"/>
  <c r="W175" i="80"/>
  <c r="X175" i="80"/>
  <c r="Z175" i="80"/>
  <c r="AA175" i="80"/>
  <c r="AB175" i="80"/>
  <c r="AC175" i="80"/>
  <c r="AD175" i="80"/>
  <c r="AE175" i="80"/>
  <c r="AF175" i="80"/>
  <c r="AG175" i="80"/>
  <c r="AH175" i="80"/>
  <c r="AI175" i="80"/>
  <c r="AJ175" i="80"/>
  <c r="AK175" i="80"/>
  <c r="AL175" i="80"/>
  <c r="AM175" i="80"/>
  <c r="AN175" i="80"/>
  <c r="AO175" i="80"/>
  <c r="AP175" i="80"/>
  <c r="AQ175" i="80"/>
  <c r="AR175" i="80"/>
  <c r="AS175" i="80"/>
  <c r="AT175" i="80"/>
  <c r="AU175" i="80"/>
  <c r="AW175" i="80"/>
  <c r="AX175" i="80"/>
  <c r="AY175" i="80"/>
  <c r="BA175" i="80"/>
  <c r="A176" i="80"/>
  <c r="B176" i="80"/>
  <c r="D176" i="80"/>
  <c r="E176" i="80"/>
  <c r="F176" i="80"/>
  <c r="G176" i="80"/>
  <c r="H176" i="80"/>
  <c r="J176" i="80"/>
  <c r="K176" i="80"/>
  <c r="M176" i="80"/>
  <c r="O176" i="80"/>
  <c r="P176" i="80"/>
  <c r="R176" i="80"/>
  <c r="S176" i="80"/>
  <c r="T176" i="80"/>
  <c r="U176" i="80"/>
  <c r="V176" i="80"/>
  <c r="W176" i="80"/>
  <c r="X176" i="80"/>
  <c r="Z176" i="80"/>
  <c r="AA176" i="80"/>
  <c r="AB176" i="80"/>
  <c r="AC176" i="80"/>
  <c r="AD176" i="80"/>
  <c r="AE176" i="80"/>
  <c r="AF176" i="80"/>
  <c r="AG176" i="80"/>
  <c r="AH176" i="80"/>
  <c r="AI176" i="80"/>
  <c r="AJ176" i="80"/>
  <c r="AK176" i="80"/>
  <c r="AL176" i="80"/>
  <c r="AM176" i="80"/>
  <c r="AN176" i="80"/>
  <c r="AO176" i="80"/>
  <c r="AP176" i="80"/>
  <c r="AQ176" i="80"/>
  <c r="AR176" i="80"/>
  <c r="AS176" i="80"/>
  <c r="AT176" i="80"/>
  <c r="AU176" i="80"/>
  <c r="AW176" i="80"/>
  <c r="AX176" i="80"/>
  <c r="AY176" i="80"/>
  <c r="BA176" i="80"/>
  <c r="A177" i="80"/>
  <c r="B177" i="80"/>
  <c r="D177" i="80"/>
  <c r="E177" i="80"/>
  <c r="F177" i="80"/>
  <c r="G177" i="80"/>
  <c r="H177" i="80"/>
  <c r="J177" i="80"/>
  <c r="K177" i="80"/>
  <c r="M177" i="80"/>
  <c r="O177" i="80"/>
  <c r="P177" i="80"/>
  <c r="R177" i="80"/>
  <c r="S177" i="80"/>
  <c r="T177" i="80"/>
  <c r="U177" i="80"/>
  <c r="V177" i="80"/>
  <c r="W177" i="80"/>
  <c r="X177" i="80"/>
  <c r="Z177" i="80"/>
  <c r="AA177" i="80"/>
  <c r="AB177" i="80"/>
  <c r="AC177" i="80"/>
  <c r="AD177" i="80"/>
  <c r="AE177" i="80"/>
  <c r="AF177" i="80"/>
  <c r="AG177" i="80"/>
  <c r="AH177" i="80"/>
  <c r="AI177" i="80"/>
  <c r="AJ177" i="80"/>
  <c r="AK177" i="80"/>
  <c r="AL177" i="80"/>
  <c r="AM177" i="80"/>
  <c r="AN177" i="80"/>
  <c r="AO177" i="80"/>
  <c r="AP177" i="80"/>
  <c r="AQ177" i="80"/>
  <c r="AR177" i="80"/>
  <c r="AS177" i="80"/>
  <c r="AT177" i="80"/>
  <c r="AU177" i="80"/>
  <c r="AW177" i="80"/>
  <c r="AX177" i="80"/>
  <c r="AY177" i="80"/>
  <c r="BA177" i="80"/>
  <c r="A178" i="80"/>
  <c r="B178" i="80"/>
  <c r="D178" i="80"/>
  <c r="E178" i="80"/>
  <c r="F178" i="80"/>
  <c r="G178" i="80"/>
  <c r="H178" i="80"/>
  <c r="J178" i="80"/>
  <c r="K178" i="80"/>
  <c r="M178" i="80"/>
  <c r="O178" i="80"/>
  <c r="P178" i="80"/>
  <c r="R178" i="80"/>
  <c r="S178" i="80"/>
  <c r="T178" i="80"/>
  <c r="U178" i="80"/>
  <c r="V178" i="80"/>
  <c r="W178" i="80"/>
  <c r="X178" i="80"/>
  <c r="Z178" i="80"/>
  <c r="AA178" i="80"/>
  <c r="AB178" i="80"/>
  <c r="AC178" i="80"/>
  <c r="AD178" i="80"/>
  <c r="AE178" i="80"/>
  <c r="AF178" i="80"/>
  <c r="AG178" i="80"/>
  <c r="AH178" i="80"/>
  <c r="AI178" i="80"/>
  <c r="AJ178" i="80"/>
  <c r="AK178" i="80"/>
  <c r="AL178" i="80"/>
  <c r="AM178" i="80"/>
  <c r="AN178" i="80"/>
  <c r="AO178" i="80"/>
  <c r="AP178" i="80"/>
  <c r="AQ178" i="80"/>
  <c r="AR178" i="80"/>
  <c r="AS178" i="80"/>
  <c r="AT178" i="80"/>
  <c r="AU178" i="80"/>
  <c r="AW178" i="80"/>
  <c r="AX178" i="80"/>
  <c r="AY178" i="80"/>
  <c r="BA178" i="80"/>
  <c r="A179" i="80"/>
  <c r="B179" i="80"/>
  <c r="D179" i="80"/>
  <c r="E179" i="80"/>
  <c r="F179" i="80"/>
  <c r="G179" i="80"/>
  <c r="H179" i="80"/>
  <c r="J179" i="80"/>
  <c r="K179" i="80"/>
  <c r="M179" i="80"/>
  <c r="O179" i="80"/>
  <c r="P179" i="80"/>
  <c r="R179" i="80"/>
  <c r="S179" i="80"/>
  <c r="T179" i="80"/>
  <c r="U179" i="80"/>
  <c r="V179" i="80"/>
  <c r="W179" i="80"/>
  <c r="X179" i="80"/>
  <c r="Z179" i="80"/>
  <c r="AA179" i="80"/>
  <c r="AB179" i="80"/>
  <c r="AC179" i="80"/>
  <c r="AD179" i="80"/>
  <c r="AE179" i="80"/>
  <c r="AF179" i="80"/>
  <c r="AG179" i="80"/>
  <c r="AH179" i="80"/>
  <c r="AI179" i="80"/>
  <c r="AJ179" i="80"/>
  <c r="AK179" i="80"/>
  <c r="AL179" i="80"/>
  <c r="AM179" i="80"/>
  <c r="AN179" i="80"/>
  <c r="AO179" i="80"/>
  <c r="AP179" i="80"/>
  <c r="AQ179" i="80"/>
  <c r="AR179" i="80"/>
  <c r="AS179" i="80"/>
  <c r="AT179" i="80"/>
  <c r="AU179" i="80"/>
  <c r="AW179" i="80"/>
  <c r="AX179" i="80"/>
  <c r="AY179" i="80"/>
  <c r="BA179" i="80"/>
  <c r="A180" i="80"/>
  <c r="B180" i="80"/>
  <c r="D180" i="80"/>
  <c r="E180" i="80"/>
  <c r="F180" i="80"/>
  <c r="G180" i="80"/>
  <c r="H180" i="80"/>
  <c r="J180" i="80"/>
  <c r="K180" i="80"/>
  <c r="M180" i="80"/>
  <c r="O180" i="80"/>
  <c r="P180" i="80"/>
  <c r="R180" i="80"/>
  <c r="S180" i="80"/>
  <c r="T180" i="80"/>
  <c r="U180" i="80"/>
  <c r="V180" i="80"/>
  <c r="W180" i="80"/>
  <c r="X180" i="80"/>
  <c r="Z180" i="80"/>
  <c r="AA180" i="80"/>
  <c r="AB180" i="80"/>
  <c r="AC180" i="80"/>
  <c r="AD180" i="80"/>
  <c r="AE180" i="80"/>
  <c r="AF180" i="80"/>
  <c r="AG180" i="80"/>
  <c r="AH180" i="80"/>
  <c r="AI180" i="80"/>
  <c r="AJ180" i="80"/>
  <c r="AK180" i="80"/>
  <c r="AL180" i="80"/>
  <c r="AM180" i="80"/>
  <c r="AN180" i="80"/>
  <c r="AO180" i="80"/>
  <c r="AP180" i="80"/>
  <c r="AQ180" i="80"/>
  <c r="AR180" i="80"/>
  <c r="AS180" i="80"/>
  <c r="AT180" i="80"/>
  <c r="AU180" i="80"/>
  <c r="AW180" i="80"/>
  <c r="AX180" i="80"/>
  <c r="AY180" i="80"/>
  <c r="BA180" i="80"/>
  <c r="A181" i="80"/>
  <c r="B181" i="80"/>
  <c r="D181" i="80"/>
  <c r="E181" i="80"/>
  <c r="F181" i="80"/>
  <c r="G181" i="80"/>
  <c r="H181" i="80"/>
  <c r="J181" i="80"/>
  <c r="K181" i="80"/>
  <c r="M181" i="80"/>
  <c r="O181" i="80"/>
  <c r="P181" i="80"/>
  <c r="R181" i="80"/>
  <c r="S181" i="80"/>
  <c r="T181" i="80"/>
  <c r="U181" i="80"/>
  <c r="V181" i="80"/>
  <c r="W181" i="80"/>
  <c r="X181" i="80"/>
  <c r="Z181" i="80"/>
  <c r="AA181" i="80"/>
  <c r="AB181" i="80"/>
  <c r="AC181" i="80"/>
  <c r="AD181" i="80"/>
  <c r="AE181" i="80"/>
  <c r="AF181" i="80"/>
  <c r="AG181" i="80"/>
  <c r="AH181" i="80"/>
  <c r="AI181" i="80"/>
  <c r="AJ181" i="80"/>
  <c r="AK181" i="80"/>
  <c r="AL181" i="80"/>
  <c r="AM181" i="80"/>
  <c r="AN181" i="80"/>
  <c r="AO181" i="80"/>
  <c r="AP181" i="80"/>
  <c r="AQ181" i="80"/>
  <c r="AR181" i="80"/>
  <c r="AS181" i="80"/>
  <c r="AT181" i="80"/>
  <c r="AU181" i="80"/>
  <c r="AW181" i="80"/>
  <c r="AX181" i="80"/>
  <c r="AY181" i="80"/>
  <c r="BA181" i="80"/>
  <c r="A182" i="80"/>
  <c r="B182" i="80"/>
  <c r="D182" i="80"/>
  <c r="E182" i="80"/>
  <c r="F182" i="80"/>
  <c r="G182" i="80"/>
  <c r="H182" i="80"/>
  <c r="J182" i="80"/>
  <c r="K182" i="80"/>
  <c r="M182" i="80"/>
  <c r="O182" i="80"/>
  <c r="P182" i="80"/>
  <c r="R182" i="80"/>
  <c r="S182" i="80"/>
  <c r="T182" i="80"/>
  <c r="U182" i="80"/>
  <c r="V182" i="80"/>
  <c r="W182" i="80"/>
  <c r="X182" i="80"/>
  <c r="Z182" i="80"/>
  <c r="AA182" i="80"/>
  <c r="AB182" i="80"/>
  <c r="AC182" i="80"/>
  <c r="AD182" i="80"/>
  <c r="AE182" i="80"/>
  <c r="AF182" i="80"/>
  <c r="AG182" i="80"/>
  <c r="AH182" i="80"/>
  <c r="AI182" i="80"/>
  <c r="AJ182" i="80"/>
  <c r="AK182" i="80"/>
  <c r="AL182" i="80"/>
  <c r="AM182" i="80"/>
  <c r="AN182" i="80"/>
  <c r="AO182" i="80"/>
  <c r="AP182" i="80"/>
  <c r="AQ182" i="80"/>
  <c r="AR182" i="80"/>
  <c r="AS182" i="80"/>
  <c r="AT182" i="80"/>
  <c r="AU182" i="80"/>
  <c r="AW182" i="80"/>
  <c r="AX182" i="80"/>
  <c r="AY182" i="80"/>
  <c r="BA182" i="80"/>
  <c r="A183" i="80"/>
  <c r="B183" i="80"/>
  <c r="D183" i="80"/>
  <c r="E183" i="80"/>
  <c r="F183" i="80"/>
  <c r="G183" i="80"/>
  <c r="H183" i="80"/>
  <c r="J183" i="80"/>
  <c r="K183" i="80"/>
  <c r="M183" i="80"/>
  <c r="O183" i="80"/>
  <c r="P183" i="80"/>
  <c r="R183" i="80"/>
  <c r="S183" i="80"/>
  <c r="T183" i="80"/>
  <c r="U183" i="80"/>
  <c r="V183" i="80"/>
  <c r="W183" i="80"/>
  <c r="X183" i="80"/>
  <c r="Z183" i="80"/>
  <c r="AA183" i="80"/>
  <c r="AB183" i="80"/>
  <c r="AC183" i="80"/>
  <c r="AD183" i="80"/>
  <c r="AE183" i="80"/>
  <c r="AF183" i="80"/>
  <c r="AG183" i="80"/>
  <c r="AH183" i="80"/>
  <c r="AI183" i="80"/>
  <c r="AJ183" i="80"/>
  <c r="AK183" i="80"/>
  <c r="AL183" i="80"/>
  <c r="AM183" i="80"/>
  <c r="AN183" i="80"/>
  <c r="AO183" i="80"/>
  <c r="AP183" i="80"/>
  <c r="AQ183" i="80"/>
  <c r="AR183" i="80"/>
  <c r="AS183" i="80"/>
  <c r="AT183" i="80"/>
  <c r="AU183" i="80"/>
  <c r="AW183" i="80"/>
  <c r="AX183" i="80"/>
  <c r="AY183" i="80"/>
  <c r="BA183" i="80"/>
  <c r="A184" i="80"/>
  <c r="B184" i="80"/>
  <c r="D184" i="80"/>
  <c r="E184" i="80"/>
  <c r="F184" i="80"/>
  <c r="G184" i="80"/>
  <c r="H184" i="80"/>
  <c r="J184" i="80"/>
  <c r="K184" i="80"/>
  <c r="M184" i="80"/>
  <c r="O184" i="80"/>
  <c r="P184" i="80"/>
  <c r="R184" i="80"/>
  <c r="S184" i="80"/>
  <c r="T184" i="80"/>
  <c r="U184" i="80"/>
  <c r="V184" i="80"/>
  <c r="W184" i="80"/>
  <c r="X184" i="80"/>
  <c r="Z184" i="80"/>
  <c r="AA184" i="80"/>
  <c r="AB184" i="80"/>
  <c r="AC184" i="80"/>
  <c r="AD184" i="80"/>
  <c r="AE184" i="80"/>
  <c r="AF184" i="80"/>
  <c r="AG184" i="80"/>
  <c r="AH184" i="80"/>
  <c r="AI184" i="80"/>
  <c r="AJ184" i="80"/>
  <c r="AK184" i="80"/>
  <c r="AL184" i="80"/>
  <c r="AM184" i="80"/>
  <c r="AN184" i="80"/>
  <c r="AO184" i="80"/>
  <c r="AP184" i="80"/>
  <c r="AQ184" i="80"/>
  <c r="AR184" i="80"/>
  <c r="AS184" i="80"/>
  <c r="AT184" i="80"/>
  <c r="AU184" i="80"/>
  <c r="AW184" i="80"/>
  <c r="AX184" i="80"/>
  <c r="AY184" i="80"/>
  <c r="BA184" i="80"/>
  <c r="A185" i="80"/>
  <c r="B185" i="80"/>
  <c r="D185" i="80"/>
  <c r="E185" i="80"/>
  <c r="F185" i="80"/>
  <c r="G185" i="80"/>
  <c r="H185" i="80"/>
  <c r="J185" i="80"/>
  <c r="K185" i="80"/>
  <c r="M185" i="80"/>
  <c r="O185" i="80"/>
  <c r="P185" i="80"/>
  <c r="R185" i="80"/>
  <c r="S185" i="80"/>
  <c r="T185" i="80"/>
  <c r="U185" i="80"/>
  <c r="V185" i="80"/>
  <c r="W185" i="80"/>
  <c r="X185" i="80"/>
  <c r="Z185" i="80"/>
  <c r="AA185" i="80"/>
  <c r="AB185" i="80"/>
  <c r="AC185" i="80"/>
  <c r="AD185" i="80"/>
  <c r="AE185" i="80"/>
  <c r="AF185" i="80"/>
  <c r="AG185" i="80"/>
  <c r="AH185" i="80"/>
  <c r="AI185" i="80"/>
  <c r="AJ185" i="80"/>
  <c r="AK185" i="80"/>
  <c r="AL185" i="80"/>
  <c r="AM185" i="80"/>
  <c r="AN185" i="80"/>
  <c r="AO185" i="80"/>
  <c r="AP185" i="80"/>
  <c r="AQ185" i="80"/>
  <c r="AR185" i="80"/>
  <c r="AS185" i="80"/>
  <c r="AT185" i="80"/>
  <c r="AU185" i="80"/>
  <c r="AW185" i="80"/>
  <c r="AX185" i="80"/>
  <c r="AY185" i="80"/>
  <c r="BA185" i="80"/>
  <c r="A186" i="80"/>
  <c r="B186" i="80"/>
  <c r="D186" i="80"/>
  <c r="E186" i="80"/>
  <c r="F186" i="80"/>
  <c r="G186" i="80"/>
  <c r="H186" i="80"/>
  <c r="J186" i="80"/>
  <c r="K186" i="80"/>
  <c r="M186" i="80"/>
  <c r="O186" i="80"/>
  <c r="P186" i="80"/>
  <c r="R186" i="80"/>
  <c r="S186" i="80"/>
  <c r="T186" i="80"/>
  <c r="U186" i="80"/>
  <c r="V186" i="80"/>
  <c r="W186" i="80"/>
  <c r="X186" i="80"/>
  <c r="Z186" i="80"/>
  <c r="AA186" i="80"/>
  <c r="AB186" i="80"/>
  <c r="AC186" i="80"/>
  <c r="AD186" i="80"/>
  <c r="AE186" i="80"/>
  <c r="AF186" i="80"/>
  <c r="AG186" i="80"/>
  <c r="AH186" i="80"/>
  <c r="AI186" i="80"/>
  <c r="AJ186" i="80"/>
  <c r="AK186" i="80"/>
  <c r="AL186" i="80"/>
  <c r="AM186" i="80"/>
  <c r="AN186" i="80"/>
  <c r="AO186" i="80"/>
  <c r="AP186" i="80"/>
  <c r="AQ186" i="80"/>
  <c r="AR186" i="80"/>
  <c r="AS186" i="80"/>
  <c r="AT186" i="80"/>
  <c r="AU186" i="80"/>
  <c r="AW186" i="80"/>
  <c r="AX186" i="80"/>
  <c r="AY186" i="80"/>
  <c r="BA186" i="80"/>
  <c r="A187" i="80"/>
  <c r="B187" i="80"/>
  <c r="D187" i="80"/>
  <c r="E187" i="80"/>
  <c r="F187" i="80"/>
  <c r="G187" i="80"/>
  <c r="H187" i="80"/>
  <c r="J187" i="80"/>
  <c r="K187" i="80"/>
  <c r="M187" i="80"/>
  <c r="O187" i="80"/>
  <c r="P187" i="80"/>
  <c r="R187" i="80"/>
  <c r="S187" i="80"/>
  <c r="T187" i="80"/>
  <c r="U187" i="80"/>
  <c r="V187" i="80"/>
  <c r="W187" i="80"/>
  <c r="X187" i="80"/>
  <c r="Z187" i="80"/>
  <c r="AA187" i="80"/>
  <c r="AB187" i="80"/>
  <c r="AC187" i="80"/>
  <c r="AD187" i="80"/>
  <c r="AE187" i="80"/>
  <c r="AF187" i="80"/>
  <c r="AG187" i="80"/>
  <c r="AH187" i="80"/>
  <c r="AI187" i="80"/>
  <c r="AJ187" i="80"/>
  <c r="AK187" i="80"/>
  <c r="AL187" i="80"/>
  <c r="AM187" i="80"/>
  <c r="AN187" i="80"/>
  <c r="AO187" i="80"/>
  <c r="AP187" i="80"/>
  <c r="AQ187" i="80"/>
  <c r="AR187" i="80"/>
  <c r="AS187" i="80"/>
  <c r="AT187" i="80"/>
  <c r="AU187" i="80"/>
  <c r="AW187" i="80"/>
  <c r="AX187" i="80"/>
  <c r="AY187" i="80"/>
  <c r="BA187" i="80"/>
  <c r="A188" i="80"/>
  <c r="B188" i="80"/>
  <c r="D188" i="80"/>
  <c r="E188" i="80"/>
  <c r="F188" i="80"/>
  <c r="G188" i="80"/>
  <c r="H188" i="80"/>
  <c r="J188" i="80"/>
  <c r="K188" i="80"/>
  <c r="M188" i="80"/>
  <c r="O188" i="80"/>
  <c r="P188" i="80"/>
  <c r="R188" i="80"/>
  <c r="S188" i="80"/>
  <c r="T188" i="80"/>
  <c r="U188" i="80"/>
  <c r="V188" i="80"/>
  <c r="W188" i="80"/>
  <c r="X188" i="80"/>
  <c r="Z188" i="80"/>
  <c r="AA188" i="80"/>
  <c r="AB188" i="80"/>
  <c r="AC188" i="80"/>
  <c r="AD188" i="80"/>
  <c r="AE188" i="80"/>
  <c r="AF188" i="80"/>
  <c r="AG188" i="80"/>
  <c r="AH188" i="80"/>
  <c r="AI188" i="80"/>
  <c r="AJ188" i="80"/>
  <c r="AK188" i="80"/>
  <c r="AL188" i="80"/>
  <c r="AM188" i="80"/>
  <c r="AN188" i="80"/>
  <c r="AO188" i="80"/>
  <c r="AP188" i="80"/>
  <c r="AQ188" i="80"/>
  <c r="AR188" i="80"/>
  <c r="AS188" i="80"/>
  <c r="AT188" i="80"/>
  <c r="AU188" i="80"/>
  <c r="AW188" i="80"/>
  <c r="AX188" i="80"/>
  <c r="AY188" i="80"/>
  <c r="BA188" i="80"/>
  <c r="A189" i="80"/>
  <c r="B189" i="80"/>
  <c r="D189" i="80"/>
  <c r="E189" i="80"/>
  <c r="F189" i="80"/>
  <c r="G189" i="80"/>
  <c r="H189" i="80"/>
  <c r="J189" i="80"/>
  <c r="K189" i="80"/>
  <c r="M189" i="80"/>
  <c r="O189" i="80"/>
  <c r="P189" i="80"/>
  <c r="R189" i="80"/>
  <c r="S189" i="80"/>
  <c r="T189" i="80"/>
  <c r="U189" i="80"/>
  <c r="V189" i="80"/>
  <c r="W189" i="80"/>
  <c r="X189" i="80"/>
  <c r="Z189" i="80"/>
  <c r="AA189" i="80"/>
  <c r="AB189" i="80"/>
  <c r="AC189" i="80"/>
  <c r="AD189" i="80"/>
  <c r="AE189" i="80"/>
  <c r="AF189" i="80"/>
  <c r="AG189" i="80"/>
  <c r="AH189" i="80"/>
  <c r="AI189" i="80"/>
  <c r="AJ189" i="80"/>
  <c r="AK189" i="80"/>
  <c r="AL189" i="80"/>
  <c r="AM189" i="80"/>
  <c r="AN189" i="80"/>
  <c r="AO189" i="80"/>
  <c r="AP189" i="80"/>
  <c r="AQ189" i="80"/>
  <c r="AR189" i="80"/>
  <c r="AS189" i="80"/>
  <c r="AT189" i="80"/>
  <c r="AU189" i="80"/>
  <c r="AW189" i="80"/>
  <c r="AX189" i="80"/>
  <c r="AY189" i="80"/>
  <c r="BA189" i="80"/>
  <c r="A190" i="80"/>
  <c r="B190" i="80"/>
  <c r="D190" i="80"/>
  <c r="E190" i="80"/>
  <c r="F190" i="80"/>
  <c r="G190" i="80"/>
  <c r="H190" i="80"/>
  <c r="J190" i="80"/>
  <c r="K190" i="80"/>
  <c r="M190" i="80"/>
  <c r="O190" i="80"/>
  <c r="P190" i="80"/>
  <c r="R190" i="80"/>
  <c r="S190" i="80"/>
  <c r="T190" i="80"/>
  <c r="U190" i="80"/>
  <c r="V190" i="80"/>
  <c r="W190" i="80"/>
  <c r="X190" i="80"/>
  <c r="Z190" i="80"/>
  <c r="AA190" i="80"/>
  <c r="AB190" i="80"/>
  <c r="AC190" i="80"/>
  <c r="AD190" i="80"/>
  <c r="AE190" i="80"/>
  <c r="AF190" i="80"/>
  <c r="AG190" i="80"/>
  <c r="AH190" i="80"/>
  <c r="AI190" i="80"/>
  <c r="AJ190" i="80"/>
  <c r="AK190" i="80"/>
  <c r="AL190" i="80"/>
  <c r="AM190" i="80"/>
  <c r="AN190" i="80"/>
  <c r="AO190" i="80"/>
  <c r="AP190" i="80"/>
  <c r="AQ190" i="80"/>
  <c r="AR190" i="80"/>
  <c r="AS190" i="80"/>
  <c r="AT190" i="80"/>
  <c r="AU190" i="80"/>
  <c r="AW190" i="80"/>
  <c r="AX190" i="80"/>
  <c r="AY190" i="80"/>
  <c r="BA190" i="80"/>
  <c r="A191" i="80"/>
  <c r="B191" i="80"/>
  <c r="D191" i="80"/>
  <c r="E191" i="80"/>
  <c r="F191" i="80"/>
  <c r="G191" i="80"/>
  <c r="H191" i="80"/>
  <c r="J191" i="80"/>
  <c r="K191" i="80"/>
  <c r="M191" i="80"/>
  <c r="O191" i="80"/>
  <c r="P191" i="80"/>
  <c r="R191" i="80"/>
  <c r="S191" i="80"/>
  <c r="T191" i="80"/>
  <c r="U191" i="80"/>
  <c r="V191" i="80"/>
  <c r="W191" i="80"/>
  <c r="X191" i="80"/>
  <c r="Z191" i="80"/>
  <c r="AA191" i="80"/>
  <c r="AB191" i="80"/>
  <c r="AC191" i="80"/>
  <c r="AD191" i="80"/>
  <c r="AE191" i="80"/>
  <c r="AF191" i="80"/>
  <c r="AG191" i="80"/>
  <c r="AH191" i="80"/>
  <c r="AI191" i="80"/>
  <c r="AJ191" i="80"/>
  <c r="AK191" i="80"/>
  <c r="AL191" i="80"/>
  <c r="AM191" i="80"/>
  <c r="AN191" i="80"/>
  <c r="AO191" i="80"/>
  <c r="AP191" i="80"/>
  <c r="AQ191" i="80"/>
  <c r="AR191" i="80"/>
  <c r="AS191" i="80"/>
  <c r="AT191" i="80"/>
  <c r="AU191" i="80"/>
  <c r="AW191" i="80"/>
  <c r="AX191" i="80"/>
  <c r="AY191" i="80"/>
  <c r="BA191" i="80"/>
  <c r="A192" i="80"/>
  <c r="B192" i="80"/>
  <c r="D192" i="80"/>
  <c r="E192" i="80"/>
  <c r="F192" i="80"/>
  <c r="G192" i="80"/>
  <c r="H192" i="80"/>
  <c r="J192" i="80"/>
  <c r="K192" i="80"/>
  <c r="M192" i="80"/>
  <c r="O192" i="80"/>
  <c r="P192" i="80"/>
  <c r="R192" i="80"/>
  <c r="S192" i="80"/>
  <c r="T192" i="80"/>
  <c r="U192" i="80"/>
  <c r="V192" i="80"/>
  <c r="W192" i="80"/>
  <c r="X192" i="80"/>
  <c r="Z192" i="80"/>
  <c r="AA192" i="80"/>
  <c r="AB192" i="80"/>
  <c r="AC192" i="80"/>
  <c r="AD192" i="80"/>
  <c r="AE192" i="80"/>
  <c r="AF192" i="80"/>
  <c r="AG192" i="80"/>
  <c r="AH192" i="80"/>
  <c r="AI192" i="80"/>
  <c r="AJ192" i="80"/>
  <c r="AK192" i="80"/>
  <c r="AL192" i="80"/>
  <c r="AM192" i="80"/>
  <c r="AN192" i="80"/>
  <c r="AO192" i="80"/>
  <c r="AP192" i="80"/>
  <c r="AQ192" i="80"/>
  <c r="AR192" i="80"/>
  <c r="AS192" i="80"/>
  <c r="AT192" i="80"/>
  <c r="AU192" i="80"/>
  <c r="AW192" i="80"/>
  <c r="AX192" i="80"/>
  <c r="AY192" i="80"/>
  <c r="BA192" i="80"/>
  <c r="A193" i="80"/>
  <c r="B193" i="80"/>
  <c r="D193" i="80"/>
  <c r="E193" i="80"/>
  <c r="F193" i="80"/>
  <c r="G193" i="80"/>
  <c r="H193" i="80"/>
  <c r="J193" i="80"/>
  <c r="K193" i="80"/>
  <c r="M193" i="80"/>
  <c r="O193" i="80"/>
  <c r="P193" i="80"/>
  <c r="R193" i="80"/>
  <c r="S193" i="80"/>
  <c r="T193" i="80"/>
  <c r="U193" i="80"/>
  <c r="V193" i="80"/>
  <c r="W193" i="80"/>
  <c r="X193" i="80"/>
  <c r="Z193" i="80"/>
  <c r="AA193" i="80"/>
  <c r="AB193" i="80"/>
  <c r="AC193" i="80"/>
  <c r="AD193" i="80"/>
  <c r="AE193" i="80"/>
  <c r="AF193" i="80"/>
  <c r="AG193" i="80"/>
  <c r="AH193" i="80"/>
  <c r="AI193" i="80"/>
  <c r="AJ193" i="80"/>
  <c r="AK193" i="80"/>
  <c r="AL193" i="80"/>
  <c r="AM193" i="80"/>
  <c r="AN193" i="80"/>
  <c r="AO193" i="80"/>
  <c r="AP193" i="80"/>
  <c r="AQ193" i="80"/>
  <c r="AR193" i="80"/>
  <c r="AS193" i="80"/>
  <c r="AT193" i="80"/>
  <c r="AU193" i="80"/>
  <c r="AW193" i="80"/>
  <c r="AX193" i="80"/>
  <c r="AY193" i="80"/>
  <c r="BA193" i="80"/>
  <c r="A194" i="80"/>
  <c r="B194" i="80"/>
  <c r="D194" i="80"/>
  <c r="E194" i="80"/>
  <c r="F194" i="80"/>
  <c r="G194" i="80"/>
  <c r="H194" i="80"/>
  <c r="J194" i="80"/>
  <c r="K194" i="80"/>
  <c r="M194" i="80"/>
  <c r="O194" i="80"/>
  <c r="P194" i="80"/>
  <c r="R194" i="80"/>
  <c r="S194" i="80"/>
  <c r="T194" i="80"/>
  <c r="U194" i="80"/>
  <c r="V194" i="80"/>
  <c r="W194" i="80"/>
  <c r="X194" i="80"/>
  <c r="Z194" i="80"/>
  <c r="AA194" i="80"/>
  <c r="AB194" i="80"/>
  <c r="AC194" i="80"/>
  <c r="AD194" i="80"/>
  <c r="AE194" i="80"/>
  <c r="AF194" i="80"/>
  <c r="AG194" i="80"/>
  <c r="AH194" i="80"/>
  <c r="AI194" i="80"/>
  <c r="AJ194" i="80"/>
  <c r="AK194" i="80"/>
  <c r="AL194" i="80"/>
  <c r="AM194" i="80"/>
  <c r="AN194" i="80"/>
  <c r="AO194" i="80"/>
  <c r="AP194" i="80"/>
  <c r="AQ194" i="80"/>
  <c r="AR194" i="80"/>
  <c r="AS194" i="80"/>
  <c r="AT194" i="80"/>
  <c r="AU194" i="80"/>
  <c r="AW194" i="80"/>
  <c r="AX194" i="80"/>
  <c r="AY194" i="80"/>
  <c r="BA194" i="80"/>
  <c r="A195" i="80"/>
  <c r="B195" i="80"/>
  <c r="D195" i="80"/>
  <c r="E195" i="80"/>
  <c r="F195" i="80"/>
  <c r="G195" i="80"/>
  <c r="H195" i="80"/>
  <c r="J195" i="80"/>
  <c r="K195" i="80"/>
  <c r="M195" i="80"/>
  <c r="O195" i="80"/>
  <c r="P195" i="80"/>
  <c r="R195" i="80"/>
  <c r="S195" i="80"/>
  <c r="T195" i="80"/>
  <c r="U195" i="80"/>
  <c r="V195" i="80"/>
  <c r="W195" i="80"/>
  <c r="X195" i="80"/>
  <c r="Z195" i="80"/>
  <c r="AA195" i="80"/>
  <c r="AB195" i="80"/>
  <c r="AC195" i="80"/>
  <c r="AD195" i="80"/>
  <c r="AE195" i="80"/>
  <c r="AF195" i="80"/>
  <c r="AG195" i="80"/>
  <c r="AH195" i="80"/>
  <c r="AI195" i="80"/>
  <c r="AJ195" i="80"/>
  <c r="AK195" i="80"/>
  <c r="AL195" i="80"/>
  <c r="AM195" i="80"/>
  <c r="AN195" i="80"/>
  <c r="AO195" i="80"/>
  <c r="AP195" i="80"/>
  <c r="AQ195" i="80"/>
  <c r="AR195" i="80"/>
  <c r="AS195" i="80"/>
  <c r="AT195" i="80"/>
  <c r="AU195" i="80"/>
  <c r="AW195" i="80"/>
  <c r="AX195" i="80"/>
  <c r="AY195" i="80"/>
  <c r="BA195" i="80"/>
  <c r="A196" i="80"/>
  <c r="B196" i="80"/>
  <c r="D196" i="80"/>
  <c r="E196" i="80"/>
  <c r="F196" i="80"/>
  <c r="G196" i="80"/>
  <c r="H196" i="80"/>
  <c r="J196" i="80"/>
  <c r="K196" i="80"/>
  <c r="M196" i="80"/>
  <c r="O196" i="80"/>
  <c r="P196" i="80"/>
  <c r="R196" i="80"/>
  <c r="S196" i="80"/>
  <c r="T196" i="80"/>
  <c r="U196" i="80"/>
  <c r="V196" i="80"/>
  <c r="W196" i="80"/>
  <c r="X196" i="80"/>
  <c r="Z196" i="80"/>
  <c r="AA196" i="80"/>
  <c r="AB196" i="80"/>
  <c r="AC196" i="80"/>
  <c r="AD196" i="80"/>
  <c r="AE196" i="80"/>
  <c r="AF196" i="80"/>
  <c r="AG196" i="80"/>
  <c r="AH196" i="80"/>
  <c r="AI196" i="80"/>
  <c r="AJ196" i="80"/>
  <c r="AK196" i="80"/>
  <c r="AL196" i="80"/>
  <c r="AM196" i="80"/>
  <c r="AN196" i="80"/>
  <c r="AO196" i="80"/>
  <c r="AP196" i="80"/>
  <c r="AQ196" i="80"/>
  <c r="AR196" i="80"/>
  <c r="AS196" i="80"/>
  <c r="AT196" i="80"/>
  <c r="AU196" i="80"/>
  <c r="AW196" i="80"/>
  <c r="AX196" i="80"/>
  <c r="AY196" i="80"/>
  <c r="BA196" i="80"/>
  <c r="A197" i="80"/>
  <c r="B197" i="80"/>
  <c r="D197" i="80"/>
  <c r="E197" i="80"/>
  <c r="F197" i="80"/>
  <c r="G197" i="80"/>
  <c r="H197" i="80"/>
  <c r="J197" i="80"/>
  <c r="K197" i="80"/>
  <c r="M197" i="80"/>
  <c r="O197" i="80"/>
  <c r="P197" i="80"/>
  <c r="R197" i="80"/>
  <c r="S197" i="80"/>
  <c r="T197" i="80"/>
  <c r="U197" i="80"/>
  <c r="V197" i="80"/>
  <c r="W197" i="80"/>
  <c r="X197" i="80"/>
  <c r="Z197" i="80"/>
  <c r="AA197" i="80"/>
  <c r="AB197" i="80"/>
  <c r="AC197" i="80"/>
  <c r="AD197" i="80"/>
  <c r="AE197" i="80"/>
  <c r="AF197" i="80"/>
  <c r="AG197" i="80"/>
  <c r="AH197" i="80"/>
  <c r="AI197" i="80"/>
  <c r="AJ197" i="80"/>
  <c r="AK197" i="80"/>
  <c r="AL197" i="80"/>
  <c r="AM197" i="80"/>
  <c r="AN197" i="80"/>
  <c r="AO197" i="80"/>
  <c r="AP197" i="80"/>
  <c r="AQ197" i="80"/>
  <c r="AR197" i="80"/>
  <c r="AS197" i="80"/>
  <c r="AT197" i="80"/>
  <c r="AU197" i="80"/>
  <c r="AW197" i="80"/>
  <c r="AX197" i="80"/>
  <c r="AY197" i="80"/>
  <c r="BA197" i="80"/>
  <c r="A198" i="80"/>
  <c r="B198" i="80"/>
  <c r="D198" i="80"/>
  <c r="E198" i="80"/>
  <c r="F198" i="80"/>
  <c r="G198" i="80"/>
  <c r="H198" i="80"/>
  <c r="J198" i="80"/>
  <c r="K198" i="80"/>
  <c r="M198" i="80"/>
  <c r="O198" i="80"/>
  <c r="P198" i="80"/>
  <c r="R198" i="80"/>
  <c r="S198" i="80"/>
  <c r="T198" i="80"/>
  <c r="U198" i="80"/>
  <c r="V198" i="80"/>
  <c r="W198" i="80"/>
  <c r="X198" i="80"/>
  <c r="Z198" i="80"/>
  <c r="AA198" i="80"/>
  <c r="AB198" i="80"/>
  <c r="AC198" i="80"/>
  <c r="AD198" i="80"/>
  <c r="AE198" i="80"/>
  <c r="AF198" i="80"/>
  <c r="AG198" i="80"/>
  <c r="AH198" i="80"/>
  <c r="AI198" i="80"/>
  <c r="AJ198" i="80"/>
  <c r="AK198" i="80"/>
  <c r="AL198" i="80"/>
  <c r="AM198" i="80"/>
  <c r="AN198" i="80"/>
  <c r="AO198" i="80"/>
  <c r="AP198" i="80"/>
  <c r="AQ198" i="80"/>
  <c r="AR198" i="80"/>
  <c r="AS198" i="80"/>
  <c r="AT198" i="80"/>
  <c r="AU198" i="80"/>
  <c r="AW198" i="80"/>
  <c r="AX198" i="80"/>
  <c r="AY198" i="80"/>
  <c r="BA198" i="80"/>
  <c r="A199" i="80"/>
  <c r="B199" i="80"/>
  <c r="D199" i="80"/>
  <c r="E199" i="80"/>
  <c r="F199" i="80"/>
  <c r="G199" i="80"/>
  <c r="H199" i="80"/>
  <c r="J199" i="80"/>
  <c r="K199" i="80"/>
  <c r="M199" i="80"/>
  <c r="O199" i="80"/>
  <c r="P199" i="80"/>
  <c r="R199" i="80"/>
  <c r="S199" i="80"/>
  <c r="T199" i="80"/>
  <c r="U199" i="80"/>
  <c r="V199" i="80"/>
  <c r="W199" i="80"/>
  <c r="X199" i="80"/>
  <c r="Z199" i="80"/>
  <c r="AA199" i="80"/>
  <c r="AB199" i="80"/>
  <c r="AC199" i="80"/>
  <c r="AD199" i="80"/>
  <c r="AE199" i="80"/>
  <c r="AF199" i="80"/>
  <c r="AG199" i="80"/>
  <c r="AH199" i="80"/>
  <c r="AI199" i="80"/>
  <c r="AJ199" i="80"/>
  <c r="AK199" i="80"/>
  <c r="AL199" i="80"/>
  <c r="AM199" i="80"/>
  <c r="AN199" i="80"/>
  <c r="AO199" i="80"/>
  <c r="AP199" i="80"/>
  <c r="AQ199" i="80"/>
  <c r="AR199" i="80"/>
  <c r="AS199" i="80"/>
  <c r="AT199" i="80"/>
  <c r="AU199" i="80"/>
  <c r="AW199" i="80"/>
  <c r="AX199" i="80"/>
  <c r="AY199" i="80"/>
  <c r="BA199" i="80"/>
  <c r="A200" i="80"/>
  <c r="B200" i="80"/>
  <c r="D200" i="80"/>
  <c r="E200" i="80"/>
  <c r="F200" i="80"/>
  <c r="G200" i="80"/>
  <c r="H200" i="80"/>
  <c r="J200" i="80"/>
  <c r="K200" i="80"/>
  <c r="M200" i="80"/>
  <c r="O200" i="80"/>
  <c r="P200" i="80"/>
  <c r="R200" i="80"/>
  <c r="S200" i="80"/>
  <c r="T200" i="80"/>
  <c r="U200" i="80"/>
  <c r="V200" i="80"/>
  <c r="W200" i="80"/>
  <c r="X200" i="80"/>
  <c r="Z200" i="80"/>
  <c r="AA200" i="80"/>
  <c r="AB200" i="80"/>
  <c r="AC200" i="80"/>
  <c r="AD200" i="80"/>
  <c r="AE200" i="80"/>
  <c r="AF200" i="80"/>
  <c r="AG200" i="80"/>
  <c r="AH200" i="80"/>
  <c r="AI200" i="80"/>
  <c r="AJ200" i="80"/>
  <c r="AK200" i="80"/>
  <c r="AL200" i="80"/>
  <c r="AM200" i="80"/>
  <c r="AN200" i="80"/>
  <c r="AO200" i="80"/>
  <c r="AP200" i="80"/>
  <c r="AQ200" i="80"/>
  <c r="AR200" i="80"/>
  <c r="AS200" i="80"/>
  <c r="AT200" i="80"/>
  <c r="AU200" i="80"/>
  <c r="AW200" i="80"/>
  <c r="AX200" i="80"/>
  <c r="AY200" i="80"/>
  <c r="BA200" i="80"/>
  <c r="A201" i="80"/>
  <c r="B201" i="80"/>
  <c r="D201" i="80"/>
  <c r="E201" i="80"/>
  <c r="F201" i="80"/>
  <c r="G201" i="80"/>
  <c r="H201" i="80"/>
  <c r="J201" i="80"/>
  <c r="K201" i="80"/>
  <c r="M201" i="80"/>
  <c r="O201" i="80"/>
  <c r="P201" i="80"/>
  <c r="R201" i="80"/>
  <c r="S201" i="80"/>
  <c r="T201" i="80"/>
  <c r="U201" i="80"/>
  <c r="V201" i="80"/>
  <c r="W201" i="80"/>
  <c r="X201" i="80"/>
  <c r="Z201" i="80"/>
  <c r="AA201" i="80"/>
  <c r="AB201" i="80"/>
  <c r="AC201" i="80"/>
  <c r="AD201" i="80"/>
  <c r="AE201" i="80"/>
  <c r="AF201" i="80"/>
  <c r="AG201" i="80"/>
  <c r="AH201" i="80"/>
  <c r="AI201" i="80"/>
  <c r="AJ201" i="80"/>
  <c r="AK201" i="80"/>
  <c r="AL201" i="80"/>
  <c r="AM201" i="80"/>
  <c r="AN201" i="80"/>
  <c r="AO201" i="80"/>
  <c r="AP201" i="80"/>
  <c r="AQ201" i="80"/>
  <c r="AR201" i="80"/>
  <c r="AS201" i="80"/>
  <c r="AT201" i="80"/>
  <c r="AU201" i="80"/>
  <c r="AW201" i="80"/>
  <c r="AX201" i="80"/>
  <c r="AY201" i="80"/>
  <c r="BA201" i="80"/>
  <c r="A202" i="80"/>
  <c r="B202" i="80"/>
  <c r="D202" i="80"/>
  <c r="E202" i="80"/>
  <c r="F202" i="80"/>
  <c r="G202" i="80"/>
  <c r="H202" i="80"/>
  <c r="J202" i="80"/>
  <c r="K202" i="80"/>
  <c r="M202" i="80"/>
  <c r="O202" i="80"/>
  <c r="P202" i="80"/>
  <c r="R202" i="80"/>
  <c r="S202" i="80"/>
  <c r="T202" i="80"/>
  <c r="U202" i="80"/>
  <c r="V202" i="80"/>
  <c r="W202" i="80"/>
  <c r="X202" i="80"/>
  <c r="Z202" i="80"/>
  <c r="AA202" i="80"/>
  <c r="AB202" i="80"/>
  <c r="AC202" i="80"/>
  <c r="AD202" i="80"/>
  <c r="AE202" i="80"/>
  <c r="AF202" i="80"/>
  <c r="AG202" i="80"/>
  <c r="AH202" i="80"/>
  <c r="AI202" i="80"/>
  <c r="AJ202" i="80"/>
  <c r="AK202" i="80"/>
  <c r="AL202" i="80"/>
  <c r="AM202" i="80"/>
  <c r="AN202" i="80"/>
  <c r="AO202" i="80"/>
  <c r="AP202" i="80"/>
  <c r="AQ202" i="80"/>
  <c r="AR202" i="80"/>
  <c r="AS202" i="80"/>
  <c r="AT202" i="80"/>
  <c r="AU202" i="80"/>
  <c r="AW202" i="80"/>
  <c r="AX202" i="80"/>
  <c r="AY202" i="80"/>
  <c r="BA202" i="80"/>
  <c r="A203" i="80"/>
  <c r="B203" i="80"/>
  <c r="D203" i="80"/>
  <c r="E203" i="80"/>
  <c r="F203" i="80"/>
  <c r="G203" i="80"/>
  <c r="H203" i="80"/>
  <c r="J203" i="80"/>
  <c r="K203" i="80"/>
  <c r="M203" i="80"/>
  <c r="O203" i="80"/>
  <c r="P203" i="80"/>
  <c r="R203" i="80"/>
  <c r="S203" i="80"/>
  <c r="T203" i="80"/>
  <c r="U203" i="80"/>
  <c r="V203" i="80"/>
  <c r="W203" i="80"/>
  <c r="X203" i="80"/>
  <c r="Z203" i="80"/>
  <c r="AA203" i="80"/>
  <c r="AB203" i="80"/>
  <c r="AC203" i="80"/>
  <c r="AD203" i="80"/>
  <c r="AE203" i="80"/>
  <c r="AF203" i="80"/>
  <c r="AG203" i="80"/>
  <c r="AH203" i="80"/>
  <c r="AI203" i="80"/>
  <c r="AJ203" i="80"/>
  <c r="AK203" i="80"/>
  <c r="AL203" i="80"/>
  <c r="AM203" i="80"/>
  <c r="AN203" i="80"/>
  <c r="AO203" i="80"/>
  <c r="AP203" i="80"/>
  <c r="AQ203" i="80"/>
  <c r="AR203" i="80"/>
  <c r="AS203" i="80"/>
  <c r="AT203" i="80"/>
  <c r="AU203" i="80"/>
  <c r="AW203" i="80"/>
  <c r="AX203" i="80"/>
  <c r="AY203" i="80"/>
  <c r="BA203" i="80"/>
  <c r="A204" i="80"/>
  <c r="B204" i="80"/>
  <c r="D204" i="80"/>
  <c r="E204" i="80"/>
  <c r="F204" i="80"/>
  <c r="G204" i="80"/>
  <c r="H204" i="80"/>
  <c r="J204" i="80"/>
  <c r="K204" i="80"/>
  <c r="M204" i="80"/>
  <c r="O204" i="80"/>
  <c r="P204" i="80"/>
  <c r="R204" i="80"/>
  <c r="S204" i="80"/>
  <c r="T204" i="80"/>
  <c r="U204" i="80"/>
  <c r="V204" i="80"/>
  <c r="W204" i="80"/>
  <c r="X204" i="80"/>
  <c r="Z204" i="80"/>
  <c r="AA204" i="80"/>
  <c r="AB204" i="80"/>
  <c r="AC204" i="80"/>
  <c r="AD204" i="80"/>
  <c r="AE204" i="80"/>
  <c r="AF204" i="80"/>
  <c r="AG204" i="80"/>
  <c r="AH204" i="80"/>
  <c r="AI204" i="80"/>
  <c r="AJ204" i="80"/>
  <c r="AK204" i="80"/>
  <c r="AL204" i="80"/>
  <c r="AM204" i="80"/>
  <c r="AN204" i="80"/>
  <c r="AO204" i="80"/>
  <c r="AP204" i="80"/>
  <c r="AQ204" i="80"/>
  <c r="AR204" i="80"/>
  <c r="AS204" i="80"/>
  <c r="AT204" i="80"/>
  <c r="AU204" i="80"/>
  <c r="AW204" i="80"/>
  <c r="AX204" i="80"/>
  <c r="AY204" i="80"/>
  <c r="BA204" i="80"/>
  <c r="A205" i="80"/>
  <c r="B205" i="80"/>
  <c r="D205" i="80"/>
  <c r="E205" i="80"/>
  <c r="F205" i="80"/>
  <c r="G205" i="80"/>
  <c r="H205" i="80"/>
  <c r="J205" i="80"/>
  <c r="K205" i="80"/>
  <c r="M205" i="80"/>
  <c r="O205" i="80"/>
  <c r="P205" i="80"/>
  <c r="R205" i="80"/>
  <c r="S205" i="80"/>
  <c r="T205" i="80"/>
  <c r="U205" i="80"/>
  <c r="V205" i="80"/>
  <c r="W205" i="80"/>
  <c r="X205" i="80"/>
  <c r="Z205" i="80"/>
  <c r="AA205" i="80"/>
  <c r="AB205" i="80"/>
  <c r="AC205" i="80"/>
  <c r="AD205" i="80"/>
  <c r="AE205" i="80"/>
  <c r="AF205" i="80"/>
  <c r="AG205" i="80"/>
  <c r="AH205" i="80"/>
  <c r="AI205" i="80"/>
  <c r="AJ205" i="80"/>
  <c r="AK205" i="80"/>
  <c r="AL205" i="80"/>
  <c r="AM205" i="80"/>
  <c r="AN205" i="80"/>
  <c r="AO205" i="80"/>
  <c r="AP205" i="80"/>
  <c r="AQ205" i="80"/>
  <c r="AR205" i="80"/>
  <c r="AS205" i="80"/>
  <c r="AT205" i="80"/>
  <c r="AU205" i="80"/>
  <c r="AW205" i="80"/>
  <c r="AX205" i="80"/>
  <c r="AY205" i="80"/>
  <c r="BA205" i="80"/>
  <c r="A206" i="80"/>
  <c r="B206" i="80"/>
  <c r="D206" i="80"/>
  <c r="E206" i="80"/>
  <c r="F206" i="80"/>
  <c r="G206" i="80"/>
  <c r="H206" i="80"/>
  <c r="J206" i="80"/>
  <c r="K206" i="80"/>
  <c r="M206" i="80"/>
  <c r="O206" i="80"/>
  <c r="P206" i="80"/>
  <c r="R206" i="80"/>
  <c r="S206" i="80"/>
  <c r="T206" i="80"/>
  <c r="U206" i="80"/>
  <c r="V206" i="80"/>
  <c r="W206" i="80"/>
  <c r="X206" i="80"/>
  <c r="Z206" i="80"/>
  <c r="AA206" i="80"/>
  <c r="AB206" i="80"/>
  <c r="AC206" i="80"/>
  <c r="AD206" i="80"/>
  <c r="AE206" i="80"/>
  <c r="AF206" i="80"/>
  <c r="AG206" i="80"/>
  <c r="AH206" i="80"/>
  <c r="AI206" i="80"/>
  <c r="AJ206" i="80"/>
  <c r="AK206" i="80"/>
  <c r="AL206" i="80"/>
  <c r="AM206" i="80"/>
  <c r="AN206" i="80"/>
  <c r="AO206" i="80"/>
  <c r="AP206" i="80"/>
  <c r="AQ206" i="80"/>
  <c r="AR206" i="80"/>
  <c r="AS206" i="80"/>
  <c r="AT206" i="80"/>
  <c r="AU206" i="80"/>
  <c r="AW206" i="80"/>
  <c r="AX206" i="80"/>
  <c r="AY206" i="80"/>
  <c r="BA206" i="80"/>
  <c r="A207" i="80"/>
  <c r="B207" i="80"/>
  <c r="D207" i="80"/>
  <c r="E207" i="80"/>
  <c r="F207" i="80"/>
  <c r="G207" i="80"/>
  <c r="H207" i="80"/>
  <c r="J207" i="80"/>
  <c r="K207" i="80"/>
  <c r="M207" i="80"/>
  <c r="O207" i="80"/>
  <c r="P207" i="80"/>
  <c r="R207" i="80"/>
  <c r="S207" i="80"/>
  <c r="T207" i="80"/>
  <c r="U207" i="80"/>
  <c r="V207" i="80"/>
  <c r="W207" i="80"/>
  <c r="X207" i="80"/>
  <c r="Z207" i="80"/>
  <c r="AA207" i="80"/>
  <c r="AB207" i="80"/>
  <c r="AC207" i="80"/>
  <c r="AD207" i="80"/>
  <c r="AE207" i="80"/>
  <c r="AF207" i="80"/>
  <c r="AG207" i="80"/>
  <c r="AH207" i="80"/>
  <c r="AI207" i="80"/>
  <c r="AJ207" i="80"/>
  <c r="AK207" i="80"/>
  <c r="AL207" i="80"/>
  <c r="AM207" i="80"/>
  <c r="AN207" i="80"/>
  <c r="AO207" i="80"/>
  <c r="AP207" i="80"/>
  <c r="AQ207" i="80"/>
  <c r="AR207" i="80"/>
  <c r="AS207" i="80"/>
  <c r="AT207" i="80"/>
  <c r="AU207" i="80"/>
  <c r="AW207" i="80"/>
  <c r="AX207" i="80"/>
  <c r="AY207" i="80"/>
  <c r="BA207" i="80"/>
  <c r="A208" i="80"/>
  <c r="B208" i="80"/>
  <c r="D208" i="80"/>
  <c r="E208" i="80"/>
  <c r="F208" i="80"/>
  <c r="G208" i="80"/>
  <c r="H208" i="80"/>
  <c r="J208" i="80"/>
  <c r="K208" i="80"/>
  <c r="M208" i="80"/>
  <c r="O208" i="80"/>
  <c r="P208" i="80"/>
  <c r="R208" i="80"/>
  <c r="S208" i="80"/>
  <c r="T208" i="80"/>
  <c r="U208" i="80"/>
  <c r="V208" i="80"/>
  <c r="W208" i="80"/>
  <c r="X208" i="80"/>
  <c r="Z208" i="80"/>
  <c r="AA208" i="80"/>
  <c r="AB208" i="80"/>
  <c r="AC208" i="80"/>
  <c r="AD208" i="80"/>
  <c r="AE208" i="80"/>
  <c r="AF208" i="80"/>
  <c r="AG208" i="80"/>
  <c r="AH208" i="80"/>
  <c r="AI208" i="80"/>
  <c r="AJ208" i="80"/>
  <c r="AK208" i="80"/>
  <c r="AL208" i="80"/>
  <c r="AM208" i="80"/>
  <c r="AN208" i="80"/>
  <c r="AO208" i="80"/>
  <c r="AP208" i="80"/>
  <c r="AQ208" i="80"/>
  <c r="AR208" i="80"/>
  <c r="AS208" i="80"/>
  <c r="AT208" i="80"/>
  <c r="AU208" i="80"/>
  <c r="AW208" i="80"/>
  <c r="AX208" i="80"/>
  <c r="AY208" i="80"/>
  <c r="BA208" i="80"/>
  <c r="A209" i="80"/>
  <c r="B209" i="80"/>
  <c r="D209" i="80"/>
  <c r="E209" i="80"/>
  <c r="F209" i="80"/>
  <c r="G209" i="80"/>
  <c r="H209" i="80"/>
  <c r="J209" i="80"/>
  <c r="K209" i="80"/>
  <c r="M209" i="80"/>
  <c r="O209" i="80"/>
  <c r="P209" i="80"/>
  <c r="R209" i="80"/>
  <c r="S209" i="80"/>
  <c r="T209" i="80"/>
  <c r="U209" i="80"/>
  <c r="V209" i="80"/>
  <c r="W209" i="80"/>
  <c r="X209" i="80"/>
  <c r="Z209" i="80"/>
  <c r="AA209" i="80"/>
  <c r="AB209" i="80"/>
  <c r="AC209" i="80"/>
  <c r="AD209" i="80"/>
  <c r="AE209" i="80"/>
  <c r="AF209" i="80"/>
  <c r="AG209" i="80"/>
  <c r="AH209" i="80"/>
  <c r="AI209" i="80"/>
  <c r="AJ209" i="80"/>
  <c r="AK209" i="80"/>
  <c r="AL209" i="80"/>
  <c r="AM209" i="80"/>
  <c r="AN209" i="80"/>
  <c r="AO209" i="80"/>
  <c r="AP209" i="80"/>
  <c r="AQ209" i="80"/>
  <c r="AR209" i="80"/>
  <c r="AS209" i="80"/>
  <c r="AT209" i="80"/>
  <c r="AU209" i="80"/>
  <c r="AW209" i="80"/>
  <c r="AX209" i="80"/>
  <c r="AY209" i="80"/>
  <c r="BA209" i="80"/>
  <c r="A210" i="80"/>
  <c r="B210" i="80"/>
  <c r="D210" i="80"/>
  <c r="E210" i="80"/>
  <c r="F210" i="80"/>
  <c r="G210" i="80"/>
  <c r="H210" i="80"/>
  <c r="J210" i="80"/>
  <c r="K210" i="80"/>
  <c r="M210" i="80"/>
  <c r="O210" i="80"/>
  <c r="P210" i="80"/>
  <c r="R210" i="80"/>
  <c r="S210" i="80"/>
  <c r="T210" i="80"/>
  <c r="U210" i="80"/>
  <c r="V210" i="80"/>
  <c r="W210" i="80"/>
  <c r="X210" i="80"/>
  <c r="Z210" i="80"/>
  <c r="AA210" i="80"/>
  <c r="AB210" i="80"/>
  <c r="AC210" i="80"/>
  <c r="AD210" i="80"/>
  <c r="AE210" i="80"/>
  <c r="AF210" i="80"/>
  <c r="AG210" i="80"/>
  <c r="AH210" i="80"/>
  <c r="AI210" i="80"/>
  <c r="AJ210" i="80"/>
  <c r="AK210" i="80"/>
  <c r="AL210" i="80"/>
  <c r="AM210" i="80"/>
  <c r="AN210" i="80"/>
  <c r="AO210" i="80"/>
  <c r="AP210" i="80"/>
  <c r="AQ210" i="80"/>
  <c r="AR210" i="80"/>
  <c r="AS210" i="80"/>
  <c r="AT210" i="80"/>
  <c r="AU210" i="80"/>
  <c r="AW210" i="80"/>
  <c r="AX210" i="80"/>
  <c r="AY210" i="80"/>
  <c r="BA210" i="80"/>
  <c r="A211" i="80"/>
  <c r="B211" i="80"/>
  <c r="D211" i="80"/>
  <c r="E211" i="80"/>
  <c r="F211" i="80"/>
  <c r="G211" i="80"/>
  <c r="H211" i="80"/>
  <c r="J211" i="80"/>
  <c r="K211" i="80"/>
  <c r="M211" i="80"/>
  <c r="O211" i="80"/>
  <c r="P211" i="80"/>
  <c r="R211" i="80"/>
  <c r="S211" i="80"/>
  <c r="T211" i="80"/>
  <c r="U211" i="80"/>
  <c r="V211" i="80"/>
  <c r="W211" i="80"/>
  <c r="X211" i="80"/>
  <c r="Z211" i="80"/>
  <c r="AA211" i="80"/>
  <c r="AB211" i="80"/>
  <c r="AC211" i="80"/>
  <c r="AD211" i="80"/>
  <c r="AE211" i="80"/>
  <c r="AF211" i="80"/>
  <c r="AG211" i="80"/>
  <c r="AH211" i="80"/>
  <c r="AI211" i="80"/>
  <c r="AJ211" i="80"/>
  <c r="AK211" i="80"/>
  <c r="AL211" i="80"/>
  <c r="AM211" i="80"/>
  <c r="AN211" i="80"/>
  <c r="AO211" i="80"/>
  <c r="AP211" i="80"/>
  <c r="AQ211" i="80"/>
  <c r="AR211" i="80"/>
  <c r="AS211" i="80"/>
  <c r="AT211" i="80"/>
  <c r="AU211" i="80"/>
  <c r="AW211" i="80"/>
  <c r="AX211" i="80"/>
  <c r="AY211" i="80"/>
  <c r="BA211" i="80"/>
  <c r="A212" i="80"/>
  <c r="B212" i="80"/>
  <c r="D212" i="80"/>
  <c r="E212" i="80"/>
  <c r="F212" i="80"/>
  <c r="G212" i="80"/>
  <c r="H212" i="80"/>
  <c r="J212" i="80"/>
  <c r="K212" i="80"/>
  <c r="M212" i="80"/>
  <c r="O212" i="80"/>
  <c r="P212" i="80"/>
  <c r="R212" i="80"/>
  <c r="S212" i="80"/>
  <c r="T212" i="80"/>
  <c r="U212" i="80"/>
  <c r="V212" i="80"/>
  <c r="W212" i="80"/>
  <c r="X212" i="80"/>
  <c r="Z212" i="80"/>
  <c r="AA212" i="80"/>
  <c r="AB212" i="80"/>
  <c r="AC212" i="80"/>
  <c r="AD212" i="80"/>
  <c r="AE212" i="80"/>
  <c r="AF212" i="80"/>
  <c r="AG212" i="80"/>
  <c r="AH212" i="80"/>
  <c r="AI212" i="80"/>
  <c r="AJ212" i="80"/>
  <c r="AK212" i="80"/>
  <c r="AL212" i="80"/>
  <c r="AM212" i="80"/>
  <c r="AN212" i="80"/>
  <c r="AO212" i="80"/>
  <c r="AP212" i="80"/>
  <c r="AQ212" i="80"/>
  <c r="AR212" i="80"/>
  <c r="AS212" i="80"/>
  <c r="AT212" i="80"/>
  <c r="AU212" i="80"/>
  <c r="AW212" i="80"/>
  <c r="AX212" i="80"/>
  <c r="AY212" i="80"/>
  <c r="BA212" i="80"/>
  <c r="A213" i="80"/>
  <c r="B213" i="80"/>
  <c r="D213" i="80"/>
  <c r="E213" i="80"/>
  <c r="F213" i="80"/>
  <c r="G213" i="80"/>
  <c r="H213" i="80"/>
  <c r="J213" i="80"/>
  <c r="K213" i="80"/>
  <c r="M213" i="80"/>
  <c r="O213" i="80"/>
  <c r="P213" i="80"/>
  <c r="R213" i="80"/>
  <c r="S213" i="80"/>
  <c r="T213" i="80"/>
  <c r="U213" i="80"/>
  <c r="V213" i="80"/>
  <c r="W213" i="80"/>
  <c r="X213" i="80"/>
  <c r="Z213" i="80"/>
  <c r="AA213" i="80"/>
  <c r="AB213" i="80"/>
  <c r="AC213" i="80"/>
  <c r="AD213" i="80"/>
  <c r="AE213" i="80"/>
  <c r="AF213" i="80"/>
  <c r="AG213" i="80"/>
  <c r="AH213" i="80"/>
  <c r="AI213" i="80"/>
  <c r="AJ213" i="80"/>
  <c r="AK213" i="80"/>
  <c r="AL213" i="80"/>
  <c r="AM213" i="80"/>
  <c r="AN213" i="80"/>
  <c r="AO213" i="80"/>
  <c r="AP213" i="80"/>
  <c r="AQ213" i="80"/>
  <c r="AR213" i="80"/>
  <c r="AS213" i="80"/>
  <c r="AT213" i="80"/>
  <c r="AU213" i="80"/>
  <c r="AW213" i="80"/>
  <c r="AX213" i="80"/>
  <c r="AY213" i="80"/>
  <c r="BA213" i="80"/>
  <c r="A214" i="80"/>
  <c r="B214" i="80"/>
  <c r="D214" i="80"/>
  <c r="E214" i="80"/>
  <c r="F214" i="80"/>
  <c r="G214" i="80"/>
  <c r="H214" i="80"/>
  <c r="J214" i="80"/>
  <c r="K214" i="80"/>
  <c r="M214" i="80"/>
  <c r="O214" i="80"/>
  <c r="P214" i="80"/>
  <c r="R214" i="80"/>
  <c r="S214" i="80"/>
  <c r="T214" i="80"/>
  <c r="U214" i="80"/>
  <c r="V214" i="80"/>
  <c r="W214" i="80"/>
  <c r="X214" i="80"/>
  <c r="Z214" i="80"/>
  <c r="AA214" i="80"/>
  <c r="AB214" i="80"/>
  <c r="AC214" i="80"/>
  <c r="AD214" i="80"/>
  <c r="AE214" i="80"/>
  <c r="AF214" i="80"/>
  <c r="AG214" i="80"/>
  <c r="AH214" i="80"/>
  <c r="AI214" i="80"/>
  <c r="AJ214" i="80"/>
  <c r="AK214" i="80"/>
  <c r="AL214" i="80"/>
  <c r="AM214" i="80"/>
  <c r="AN214" i="80"/>
  <c r="AO214" i="80"/>
  <c r="AP214" i="80"/>
  <c r="AQ214" i="80"/>
  <c r="AR214" i="80"/>
  <c r="AS214" i="80"/>
  <c r="AT214" i="80"/>
  <c r="AU214" i="80"/>
  <c r="AW214" i="80"/>
  <c r="AX214" i="80"/>
  <c r="AY214" i="80"/>
  <c r="BA214" i="80"/>
  <c r="A215" i="80"/>
  <c r="B215" i="80"/>
  <c r="D215" i="80"/>
  <c r="E215" i="80"/>
  <c r="F215" i="80"/>
  <c r="G215" i="80"/>
  <c r="H215" i="80"/>
  <c r="J215" i="80"/>
  <c r="K215" i="80"/>
  <c r="M215" i="80"/>
  <c r="O215" i="80"/>
  <c r="P215" i="80"/>
  <c r="R215" i="80"/>
  <c r="S215" i="80"/>
  <c r="T215" i="80"/>
  <c r="U215" i="80"/>
  <c r="V215" i="80"/>
  <c r="W215" i="80"/>
  <c r="X215" i="80"/>
  <c r="Z215" i="80"/>
  <c r="AA215" i="80"/>
  <c r="AB215" i="80"/>
  <c r="AC215" i="80"/>
  <c r="AD215" i="80"/>
  <c r="AE215" i="80"/>
  <c r="AF215" i="80"/>
  <c r="AG215" i="80"/>
  <c r="AH215" i="80"/>
  <c r="AI215" i="80"/>
  <c r="AJ215" i="80"/>
  <c r="AK215" i="80"/>
  <c r="AL215" i="80"/>
  <c r="AM215" i="80"/>
  <c r="AN215" i="80"/>
  <c r="AO215" i="80"/>
  <c r="AP215" i="80"/>
  <c r="AQ215" i="80"/>
  <c r="AR215" i="80"/>
  <c r="AS215" i="80"/>
  <c r="AT215" i="80"/>
  <c r="AU215" i="80"/>
  <c r="AW215" i="80"/>
  <c r="AX215" i="80"/>
  <c r="AY215" i="80"/>
  <c r="BA215" i="80"/>
  <c r="A216" i="80"/>
  <c r="B216" i="80"/>
  <c r="D216" i="80"/>
  <c r="E216" i="80"/>
  <c r="F216" i="80"/>
  <c r="G216" i="80"/>
  <c r="H216" i="80"/>
  <c r="J216" i="80"/>
  <c r="K216" i="80"/>
  <c r="M216" i="80"/>
  <c r="O216" i="80"/>
  <c r="P216" i="80"/>
  <c r="R216" i="80"/>
  <c r="S216" i="80"/>
  <c r="T216" i="80"/>
  <c r="U216" i="80"/>
  <c r="V216" i="80"/>
  <c r="W216" i="80"/>
  <c r="X216" i="80"/>
  <c r="Z216" i="80"/>
  <c r="AA216" i="80"/>
  <c r="AB216" i="80"/>
  <c r="AC216" i="80"/>
  <c r="AD216" i="80"/>
  <c r="AE216" i="80"/>
  <c r="AF216" i="80"/>
  <c r="AG216" i="80"/>
  <c r="AH216" i="80"/>
  <c r="AI216" i="80"/>
  <c r="AJ216" i="80"/>
  <c r="AK216" i="80"/>
  <c r="AL216" i="80"/>
  <c r="AM216" i="80"/>
  <c r="AN216" i="80"/>
  <c r="AO216" i="80"/>
  <c r="AP216" i="80"/>
  <c r="AQ216" i="80"/>
  <c r="AR216" i="80"/>
  <c r="AS216" i="80"/>
  <c r="AT216" i="80"/>
  <c r="AU216" i="80"/>
  <c r="AW216" i="80"/>
  <c r="AX216" i="80"/>
  <c r="AY216" i="80"/>
  <c r="BA216" i="80"/>
  <c r="A217" i="80"/>
  <c r="B217" i="80"/>
  <c r="D217" i="80"/>
  <c r="E217" i="80"/>
  <c r="F217" i="80"/>
  <c r="G217" i="80"/>
  <c r="H217" i="80"/>
  <c r="J217" i="80"/>
  <c r="K217" i="80"/>
  <c r="M217" i="80"/>
  <c r="O217" i="80"/>
  <c r="P217" i="80"/>
  <c r="R217" i="80"/>
  <c r="S217" i="80"/>
  <c r="T217" i="80"/>
  <c r="U217" i="80"/>
  <c r="V217" i="80"/>
  <c r="W217" i="80"/>
  <c r="X217" i="80"/>
  <c r="Z217" i="80"/>
  <c r="AA217" i="80"/>
  <c r="AB217" i="80"/>
  <c r="AC217" i="80"/>
  <c r="AD217" i="80"/>
  <c r="AE217" i="80"/>
  <c r="AF217" i="80"/>
  <c r="AG217" i="80"/>
  <c r="AH217" i="80"/>
  <c r="AI217" i="80"/>
  <c r="AJ217" i="80"/>
  <c r="AK217" i="80"/>
  <c r="AL217" i="80"/>
  <c r="AM217" i="80"/>
  <c r="AN217" i="80"/>
  <c r="AO217" i="80"/>
  <c r="AP217" i="80"/>
  <c r="AQ217" i="80"/>
  <c r="AR217" i="80"/>
  <c r="AS217" i="80"/>
  <c r="AT217" i="80"/>
  <c r="AU217" i="80"/>
  <c r="AW217" i="80"/>
  <c r="AX217" i="80"/>
  <c r="AY217" i="80"/>
  <c r="BA217" i="80"/>
  <c r="A218" i="80"/>
  <c r="B218" i="80"/>
  <c r="D218" i="80"/>
  <c r="E218" i="80"/>
  <c r="F218" i="80"/>
  <c r="G218" i="80"/>
  <c r="H218" i="80"/>
  <c r="J218" i="80"/>
  <c r="K218" i="80"/>
  <c r="M218" i="80"/>
  <c r="O218" i="80"/>
  <c r="P218" i="80"/>
  <c r="R218" i="80"/>
  <c r="S218" i="80"/>
  <c r="T218" i="80"/>
  <c r="U218" i="80"/>
  <c r="V218" i="80"/>
  <c r="W218" i="80"/>
  <c r="X218" i="80"/>
  <c r="Z218" i="80"/>
  <c r="AA218" i="80"/>
  <c r="AB218" i="80"/>
  <c r="AC218" i="80"/>
  <c r="AD218" i="80"/>
  <c r="AE218" i="80"/>
  <c r="AF218" i="80"/>
  <c r="AG218" i="80"/>
  <c r="AH218" i="80"/>
  <c r="AI218" i="80"/>
  <c r="AJ218" i="80"/>
  <c r="AK218" i="80"/>
  <c r="AL218" i="80"/>
  <c r="AM218" i="80"/>
  <c r="AN218" i="80"/>
  <c r="AO218" i="80"/>
  <c r="AP218" i="80"/>
  <c r="AQ218" i="80"/>
  <c r="AR218" i="80"/>
  <c r="AS218" i="80"/>
  <c r="AT218" i="80"/>
  <c r="AU218" i="80"/>
  <c r="AW218" i="80"/>
  <c r="AX218" i="80"/>
  <c r="AY218" i="80"/>
  <c r="BA218" i="80"/>
  <c r="A219" i="80"/>
  <c r="B219" i="80"/>
  <c r="D219" i="80"/>
  <c r="E219" i="80"/>
  <c r="F219" i="80"/>
  <c r="G219" i="80"/>
  <c r="H219" i="80"/>
  <c r="J219" i="80"/>
  <c r="K219" i="80"/>
  <c r="M219" i="80"/>
  <c r="O219" i="80"/>
  <c r="P219" i="80"/>
  <c r="R219" i="80"/>
  <c r="S219" i="80"/>
  <c r="T219" i="80"/>
  <c r="U219" i="80"/>
  <c r="V219" i="80"/>
  <c r="W219" i="80"/>
  <c r="X219" i="80"/>
  <c r="Z219" i="80"/>
  <c r="AA219" i="80"/>
  <c r="AB219" i="80"/>
  <c r="AC219" i="80"/>
  <c r="AD219" i="80"/>
  <c r="AE219" i="80"/>
  <c r="AF219" i="80"/>
  <c r="AG219" i="80"/>
  <c r="AH219" i="80"/>
  <c r="AI219" i="80"/>
  <c r="AJ219" i="80"/>
  <c r="AK219" i="80"/>
  <c r="AL219" i="80"/>
  <c r="AM219" i="80"/>
  <c r="AN219" i="80"/>
  <c r="AO219" i="80"/>
  <c r="AP219" i="80"/>
  <c r="AQ219" i="80"/>
  <c r="AR219" i="80"/>
  <c r="AS219" i="80"/>
  <c r="AT219" i="80"/>
  <c r="AU219" i="80"/>
  <c r="AW219" i="80"/>
  <c r="AX219" i="80"/>
  <c r="AY219" i="80"/>
  <c r="BA219" i="80"/>
  <c r="A220" i="80"/>
  <c r="B220" i="80"/>
  <c r="D220" i="80"/>
  <c r="E220" i="80"/>
  <c r="F220" i="80"/>
  <c r="G220" i="80"/>
  <c r="H220" i="80"/>
  <c r="J220" i="80"/>
  <c r="K220" i="80"/>
  <c r="M220" i="80"/>
  <c r="O220" i="80"/>
  <c r="P220" i="80"/>
  <c r="R220" i="80"/>
  <c r="S220" i="80"/>
  <c r="T220" i="80"/>
  <c r="U220" i="80"/>
  <c r="V220" i="80"/>
  <c r="W220" i="80"/>
  <c r="X220" i="80"/>
  <c r="Z220" i="80"/>
  <c r="AA220" i="80"/>
  <c r="AB220" i="80"/>
  <c r="AC220" i="80"/>
  <c r="AD220" i="80"/>
  <c r="AE220" i="80"/>
  <c r="AF220" i="80"/>
  <c r="AG220" i="80"/>
  <c r="AH220" i="80"/>
  <c r="AI220" i="80"/>
  <c r="AJ220" i="80"/>
  <c r="AK220" i="80"/>
  <c r="AL220" i="80"/>
  <c r="AM220" i="80"/>
  <c r="AN220" i="80"/>
  <c r="AO220" i="80"/>
  <c r="AP220" i="80"/>
  <c r="AQ220" i="80"/>
  <c r="AR220" i="80"/>
  <c r="AS220" i="80"/>
  <c r="AT220" i="80"/>
  <c r="AU220" i="80"/>
  <c r="AW220" i="80"/>
  <c r="AX220" i="80"/>
  <c r="AY220" i="80"/>
  <c r="BA220" i="80"/>
  <c r="A221" i="80"/>
  <c r="B221" i="80"/>
  <c r="D221" i="80"/>
  <c r="E221" i="80"/>
  <c r="F221" i="80"/>
  <c r="G221" i="80"/>
  <c r="H221" i="80"/>
  <c r="J221" i="80"/>
  <c r="K221" i="80"/>
  <c r="M221" i="80"/>
  <c r="O221" i="80"/>
  <c r="P221" i="80"/>
  <c r="R221" i="80"/>
  <c r="S221" i="80"/>
  <c r="T221" i="80"/>
  <c r="U221" i="80"/>
  <c r="V221" i="80"/>
  <c r="W221" i="80"/>
  <c r="X221" i="80"/>
  <c r="Z221" i="80"/>
  <c r="AA221" i="80"/>
  <c r="AB221" i="80"/>
  <c r="AC221" i="80"/>
  <c r="AD221" i="80"/>
  <c r="AE221" i="80"/>
  <c r="AF221" i="80"/>
  <c r="AG221" i="80"/>
  <c r="AH221" i="80"/>
  <c r="AI221" i="80"/>
  <c r="AJ221" i="80"/>
  <c r="AK221" i="80"/>
  <c r="AL221" i="80"/>
  <c r="AM221" i="80"/>
  <c r="AN221" i="80"/>
  <c r="AO221" i="80"/>
  <c r="AP221" i="80"/>
  <c r="AQ221" i="80"/>
  <c r="AR221" i="80"/>
  <c r="AS221" i="80"/>
  <c r="AT221" i="80"/>
  <c r="AU221" i="80"/>
  <c r="AW221" i="80"/>
  <c r="AX221" i="80"/>
  <c r="AY221" i="80"/>
  <c r="BA221" i="80"/>
  <c r="A222" i="80"/>
  <c r="B222" i="80"/>
  <c r="D222" i="80"/>
  <c r="E222" i="80"/>
  <c r="F222" i="80"/>
  <c r="G222" i="80"/>
  <c r="H222" i="80"/>
  <c r="J222" i="80"/>
  <c r="K222" i="80"/>
  <c r="M222" i="80"/>
  <c r="O222" i="80"/>
  <c r="P222" i="80"/>
  <c r="R222" i="80"/>
  <c r="S222" i="80"/>
  <c r="T222" i="80"/>
  <c r="U222" i="80"/>
  <c r="V222" i="80"/>
  <c r="W222" i="80"/>
  <c r="X222" i="80"/>
  <c r="Z222" i="80"/>
  <c r="AA222" i="80"/>
  <c r="AB222" i="80"/>
  <c r="AC222" i="80"/>
  <c r="AD222" i="80"/>
  <c r="AE222" i="80"/>
  <c r="AF222" i="80"/>
  <c r="AG222" i="80"/>
  <c r="AH222" i="80"/>
  <c r="AI222" i="80"/>
  <c r="AJ222" i="80"/>
  <c r="AK222" i="80"/>
  <c r="AL222" i="80"/>
  <c r="AM222" i="80"/>
  <c r="AN222" i="80"/>
  <c r="AO222" i="80"/>
  <c r="AP222" i="80"/>
  <c r="AQ222" i="80"/>
  <c r="AR222" i="80"/>
  <c r="AS222" i="80"/>
  <c r="AT222" i="80"/>
  <c r="AU222" i="80"/>
  <c r="AW222" i="80"/>
  <c r="AX222" i="80"/>
  <c r="AY222" i="80"/>
  <c r="BA222" i="80"/>
  <c r="A223" i="80"/>
  <c r="B223" i="80"/>
  <c r="D223" i="80"/>
  <c r="E223" i="80"/>
  <c r="F223" i="80"/>
  <c r="G223" i="80"/>
  <c r="H223" i="80"/>
  <c r="J223" i="80"/>
  <c r="K223" i="80"/>
  <c r="M223" i="80"/>
  <c r="O223" i="80"/>
  <c r="P223" i="80"/>
  <c r="R223" i="80"/>
  <c r="S223" i="80"/>
  <c r="T223" i="80"/>
  <c r="U223" i="80"/>
  <c r="V223" i="80"/>
  <c r="W223" i="80"/>
  <c r="X223" i="80"/>
  <c r="Z223" i="80"/>
  <c r="AA223" i="80"/>
  <c r="AB223" i="80"/>
  <c r="AC223" i="80"/>
  <c r="AD223" i="80"/>
  <c r="AE223" i="80"/>
  <c r="AF223" i="80"/>
  <c r="AG223" i="80"/>
  <c r="AH223" i="80"/>
  <c r="AI223" i="80"/>
  <c r="AJ223" i="80"/>
  <c r="AK223" i="80"/>
  <c r="AL223" i="80"/>
  <c r="AM223" i="80"/>
  <c r="AN223" i="80"/>
  <c r="AO223" i="80"/>
  <c r="AP223" i="80"/>
  <c r="AQ223" i="80"/>
  <c r="AR223" i="80"/>
  <c r="AS223" i="80"/>
  <c r="AT223" i="80"/>
  <c r="AU223" i="80"/>
  <c r="AW223" i="80"/>
  <c r="AX223" i="80"/>
  <c r="AY223" i="80"/>
  <c r="BA223" i="80"/>
  <c r="A224" i="80"/>
  <c r="B224" i="80"/>
  <c r="D224" i="80"/>
  <c r="E224" i="80"/>
  <c r="F224" i="80"/>
  <c r="G224" i="80"/>
  <c r="H224" i="80"/>
  <c r="J224" i="80"/>
  <c r="K224" i="80"/>
  <c r="M224" i="80"/>
  <c r="O224" i="80"/>
  <c r="P224" i="80"/>
  <c r="R224" i="80"/>
  <c r="S224" i="80"/>
  <c r="T224" i="80"/>
  <c r="U224" i="80"/>
  <c r="V224" i="80"/>
  <c r="W224" i="80"/>
  <c r="X224" i="80"/>
  <c r="Z224" i="80"/>
  <c r="AA224" i="80"/>
  <c r="AB224" i="80"/>
  <c r="AC224" i="80"/>
  <c r="AD224" i="80"/>
  <c r="AE224" i="80"/>
  <c r="AF224" i="80"/>
  <c r="AG224" i="80"/>
  <c r="AH224" i="80"/>
  <c r="AI224" i="80"/>
  <c r="AJ224" i="80"/>
  <c r="AK224" i="80"/>
  <c r="AL224" i="80"/>
  <c r="AM224" i="80"/>
  <c r="AN224" i="80"/>
  <c r="AO224" i="80"/>
  <c r="AP224" i="80"/>
  <c r="AQ224" i="80"/>
  <c r="AR224" i="80"/>
  <c r="AS224" i="80"/>
  <c r="AT224" i="80"/>
  <c r="AU224" i="80"/>
  <c r="AW224" i="80"/>
  <c r="AX224" i="80"/>
  <c r="AY224" i="80"/>
  <c r="BA224" i="80"/>
  <c r="A225" i="80"/>
  <c r="B225" i="80"/>
  <c r="D225" i="80"/>
  <c r="E225" i="80"/>
  <c r="F225" i="80"/>
  <c r="G225" i="80"/>
  <c r="H225" i="80"/>
  <c r="J225" i="80"/>
  <c r="K225" i="80"/>
  <c r="M225" i="80"/>
  <c r="O225" i="80"/>
  <c r="P225" i="80"/>
  <c r="R225" i="80"/>
  <c r="S225" i="80"/>
  <c r="T225" i="80"/>
  <c r="U225" i="80"/>
  <c r="V225" i="80"/>
  <c r="W225" i="80"/>
  <c r="X225" i="80"/>
  <c r="Z225" i="80"/>
  <c r="AA225" i="80"/>
  <c r="AB225" i="80"/>
  <c r="AC225" i="80"/>
  <c r="AD225" i="80"/>
  <c r="AE225" i="80"/>
  <c r="AF225" i="80"/>
  <c r="AG225" i="80"/>
  <c r="AH225" i="80"/>
  <c r="AI225" i="80"/>
  <c r="AJ225" i="80"/>
  <c r="AK225" i="80"/>
  <c r="AL225" i="80"/>
  <c r="AM225" i="80"/>
  <c r="AN225" i="80"/>
  <c r="AO225" i="80"/>
  <c r="AP225" i="80"/>
  <c r="AQ225" i="80"/>
  <c r="AR225" i="80"/>
  <c r="AS225" i="80"/>
  <c r="AT225" i="80"/>
  <c r="AU225" i="80"/>
  <c r="AW225" i="80"/>
  <c r="AX225" i="80"/>
  <c r="AY225" i="80"/>
  <c r="BA225" i="80"/>
  <c r="A226" i="80"/>
  <c r="B226" i="80"/>
  <c r="D226" i="80"/>
  <c r="E226" i="80"/>
  <c r="F226" i="80"/>
  <c r="G226" i="80"/>
  <c r="H226" i="80"/>
  <c r="J226" i="80"/>
  <c r="K226" i="80"/>
  <c r="M226" i="80"/>
  <c r="O226" i="80"/>
  <c r="P226" i="80"/>
  <c r="R226" i="80"/>
  <c r="S226" i="80"/>
  <c r="T226" i="80"/>
  <c r="U226" i="80"/>
  <c r="V226" i="80"/>
  <c r="W226" i="80"/>
  <c r="X226" i="80"/>
  <c r="Z226" i="80"/>
  <c r="AA226" i="80"/>
  <c r="AB226" i="80"/>
  <c r="AC226" i="80"/>
  <c r="AD226" i="80"/>
  <c r="AE226" i="80"/>
  <c r="AF226" i="80"/>
  <c r="AG226" i="80"/>
  <c r="AH226" i="80"/>
  <c r="AI226" i="80"/>
  <c r="AJ226" i="80"/>
  <c r="AK226" i="80"/>
  <c r="AL226" i="80"/>
  <c r="AM226" i="80"/>
  <c r="AN226" i="80"/>
  <c r="AO226" i="80"/>
  <c r="AP226" i="80"/>
  <c r="AQ226" i="80"/>
  <c r="AR226" i="80"/>
  <c r="AS226" i="80"/>
  <c r="AT226" i="80"/>
  <c r="AU226" i="80"/>
  <c r="AW226" i="80"/>
  <c r="AX226" i="80"/>
  <c r="AY226" i="80"/>
  <c r="BA226" i="80"/>
  <c r="A227" i="80"/>
  <c r="B227" i="80"/>
  <c r="D227" i="80"/>
  <c r="E227" i="80"/>
  <c r="F227" i="80"/>
  <c r="G227" i="80"/>
  <c r="H227" i="80"/>
  <c r="J227" i="80"/>
  <c r="K227" i="80"/>
  <c r="M227" i="80"/>
  <c r="O227" i="80"/>
  <c r="P227" i="80"/>
  <c r="R227" i="80"/>
  <c r="S227" i="80"/>
  <c r="T227" i="80"/>
  <c r="U227" i="80"/>
  <c r="V227" i="80"/>
  <c r="W227" i="80"/>
  <c r="X227" i="80"/>
  <c r="Z227" i="80"/>
  <c r="AA227" i="80"/>
  <c r="AB227" i="80"/>
  <c r="AC227" i="80"/>
  <c r="AD227" i="80"/>
  <c r="AE227" i="80"/>
  <c r="AF227" i="80"/>
  <c r="AG227" i="80"/>
  <c r="AH227" i="80"/>
  <c r="AI227" i="80"/>
  <c r="AJ227" i="80"/>
  <c r="AK227" i="80"/>
  <c r="AL227" i="80"/>
  <c r="AM227" i="80"/>
  <c r="AN227" i="80"/>
  <c r="AO227" i="80"/>
  <c r="AP227" i="80"/>
  <c r="AQ227" i="80"/>
  <c r="AR227" i="80"/>
  <c r="AS227" i="80"/>
  <c r="AT227" i="80"/>
  <c r="AU227" i="80"/>
  <c r="AW227" i="80"/>
  <c r="AX227" i="80"/>
  <c r="AY227" i="80"/>
  <c r="BA227" i="80"/>
  <c r="A228" i="80"/>
  <c r="B228" i="80"/>
  <c r="D228" i="80"/>
  <c r="E228" i="80"/>
  <c r="F228" i="80"/>
  <c r="G228" i="80"/>
  <c r="H228" i="80"/>
  <c r="J228" i="80"/>
  <c r="K228" i="80"/>
  <c r="M228" i="80"/>
  <c r="O228" i="80"/>
  <c r="P228" i="80"/>
  <c r="R228" i="80"/>
  <c r="S228" i="80"/>
  <c r="T228" i="80"/>
  <c r="U228" i="80"/>
  <c r="V228" i="80"/>
  <c r="W228" i="80"/>
  <c r="X228" i="80"/>
  <c r="Z228" i="80"/>
  <c r="AA228" i="80"/>
  <c r="AB228" i="80"/>
  <c r="AC228" i="80"/>
  <c r="AD228" i="80"/>
  <c r="AE228" i="80"/>
  <c r="AF228" i="80"/>
  <c r="AG228" i="80"/>
  <c r="AH228" i="80"/>
  <c r="AI228" i="80"/>
  <c r="AJ228" i="80"/>
  <c r="AK228" i="80"/>
  <c r="AL228" i="80"/>
  <c r="AM228" i="80"/>
  <c r="AN228" i="80"/>
  <c r="AO228" i="80"/>
  <c r="AP228" i="80"/>
  <c r="AQ228" i="80"/>
  <c r="AR228" i="80"/>
  <c r="AS228" i="80"/>
  <c r="AT228" i="80"/>
  <c r="AU228" i="80"/>
  <c r="AW228" i="80"/>
  <c r="AX228" i="80"/>
  <c r="AY228" i="80"/>
  <c r="BA228" i="80"/>
  <c r="A229" i="80"/>
  <c r="B229" i="80"/>
  <c r="D229" i="80"/>
  <c r="E229" i="80"/>
  <c r="F229" i="80"/>
  <c r="G229" i="80"/>
  <c r="H229" i="80"/>
  <c r="J229" i="80"/>
  <c r="K229" i="80"/>
  <c r="M229" i="80"/>
  <c r="O229" i="80"/>
  <c r="P229" i="80"/>
  <c r="R229" i="80"/>
  <c r="S229" i="80"/>
  <c r="T229" i="80"/>
  <c r="U229" i="80"/>
  <c r="V229" i="80"/>
  <c r="W229" i="80"/>
  <c r="X229" i="80"/>
  <c r="Z229" i="80"/>
  <c r="AA229" i="80"/>
  <c r="AB229" i="80"/>
  <c r="AC229" i="80"/>
  <c r="AD229" i="80"/>
  <c r="AE229" i="80"/>
  <c r="AF229" i="80"/>
  <c r="AG229" i="80"/>
  <c r="AH229" i="80"/>
  <c r="AI229" i="80"/>
  <c r="AJ229" i="80"/>
  <c r="AK229" i="80"/>
  <c r="AL229" i="80"/>
  <c r="AM229" i="80"/>
  <c r="AN229" i="80"/>
  <c r="AO229" i="80"/>
  <c r="AP229" i="80"/>
  <c r="AQ229" i="80"/>
  <c r="AR229" i="80"/>
  <c r="AS229" i="80"/>
  <c r="AT229" i="80"/>
  <c r="AU229" i="80"/>
  <c r="AW229" i="80"/>
  <c r="AX229" i="80"/>
  <c r="AY229" i="80"/>
  <c r="BA229" i="80"/>
  <c r="A230" i="80"/>
  <c r="B230" i="80"/>
  <c r="D230" i="80"/>
  <c r="E230" i="80"/>
  <c r="F230" i="80"/>
  <c r="G230" i="80"/>
  <c r="H230" i="80"/>
  <c r="J230" i="80"/>
  <c r="K230" i="80"/>
  <c r="M230" i="80"/>
  <c r="O230" i="80"/>
  <c r="P230" i="80"/>
  <c r="R230" i="80"/>
  <c r="S230" i="80"/>
  <c r="T230" i="80"/>
  <c r="U230" i="80"/>
  <c r="V230" i="80"/>
  <c r="W230" i="80"/>
  <c r="X230" i="80"/>
  <c r="Z230" i="80"/>
  <c r="AA230" i="80"/>
  <c r="AB230" i="80"/>
  <c r="AC230" i="80"/>
  <c r="AD230" i="80"/>
  <c r="AE230" i="80"/>
  <c r="AF230" i="80"/>
  <c r="AG230" i="80"/>
  <c r="AH230" i="80"/>
  <c r="AI230" i="80"/>
  <c r="AJ230" i="80"/>
  <c r="AK230" i="80"/>
  <c r="AL230" i="80"/>
  <c r="AM230" i="80"/>
  <c r="AN230" i="80"/>
  <c r="AO230" i="80"/>
  <c r="AP230" i="80"/>
  <c r="AQ230" i="80"/>
  <c r="AR230" i="80"/>
  <c r="AS230" i="80"/>
  <c r="AT230" i="80"/>
  <c r="AU230" i="80"/>
  <c r="AW230" i="80"/>
  <c r="AX230" i="80"/>
  <c r="AY230" i="80"/>
  <c r="BA230" i="80"/>
  <c r="A231" i="80"/>
  <c r="B231" i="80"/>
  <c r="D231" i="80"/>
  <c r="E231" i="80"/>
  <c r="F231" i="80"/>
  <c r="G231" i="80"/>
  <c r="H231" i="80"/>
  <c r="J231" i="80"/>
  <c r="K231" i="80"/>
  <c r="M231" i="80"/>
  <c r="O231" i="80"/>
  <c r="P231" i="80"/>
  <c r="R231" i="80"/>
  <c r="S231" i="80"/>
  <c r="T231" i="80"/>
  <c r="U231" i="80"/>
  <c r="V231" i="80"/>
  <c r="W231" i="80"/>
  <c r="X231" i="80"/>
  <c r="Z231" i="80"/>
  <c r="AA231" i="80"/>
  <c r="AB231" i="80"/>
  <c r="AC231" i="80"/>
  <c r="AD231" i="80"/>
  <c r="AE231" i="80"/>
  <c r="AF231" i="80"/>
  <c r="AG231" i="80"/>
  <c r="AH231" i="80"/>
  <c r="AI231" i="80"/>
  <c r="AJ231" i="80"/>
  <c r="AK231" i="80"/>
  <c r="AL231" i="80"/>
  <c r="AM231" i="80"/>
  <c r="AN231" i="80"/>
  <c r="AO231" i="80"/>
  <c r="AP231" i="80"/>
  <c r="AQ231" i="80"/>
  <c r="AR231" i="80"/>
  <c r="AS231" i="80"/>
  <c r="AT231" i="80"/>
  <c r="AU231" i="80"/>
  <c r="AW231" i="80"/>
  <c r="AX231" i="80"/>
  <c r="AY231" i="80"/>
  <c r="BA231" i="80"/>
  <c r="A232" i="80"/>
  <c r="B232" i="80"/>
  <c r="D232" i="80"/>
  <c r="E232" i="80"/>
  <c r="F232" i="80"/>
  <c r="G232" i="80"/>
  <c r="H232" i="80"/>
  <c r="J232" i="80"/>
  <c r="K232" i="80"/>
  <c r="M232" i="80"/>
  <c r="O232" i="80"/>
  <c r="P232" i="80"/>
  <c r="R232" i="80"/>
  <c r="S232" i="80"/>
  <c r="T232" i="80"/>
  <c r="U232" i="80"/>
  <c r="V232" i="80"/>
  <c r="W232" i="80"/>
  <c r="X232" i="80"/>
  <c r="Z232" i="80"/>
  <c r="AA232" i="80"/>
  <c r="AB232" i="80"/>
  <c r="AC232" i="80"/>
  <c r="AD232" i="80"/>
  <c r="AE232" i="80"/>
  <c r="AF232" i="80"/>
  <c r="AG232" i="80"/>
  <c r="AH232" i="80"/>
  <c r="AI232" i="80"/>
  <c r="AJ232" i="80"/>
  <c r="AK232" i="80"/>
  <c r="AL232" i="80"/>
  <c r="AM232" i="80"/>
  <c r="AN232" i="80"/>
  <c r="AO232" i="80"/>
  <c r="AP232" i="80"/>
  <c r="AQ232" i="80"/>
  <c r="AR232" i="80"/>
  <c r="AS232" i="80"/>
  <c r="AT232" i="80"/>
  <c r="AU232" i="80"/>
  <c r="AW232" i="80"/>
  <c r="AX232" i="80"/>
  <c r="AY232" i="80"/>
  <c r="BA232" i="80"/>
  <c r="A233" i="80"/>
  <c r="B233" i="80"/>
  <c r="D233" i="80"/>
  <c r="E233" i="80"/>
  <c r="F233" i="80"/>
  <c r="G233" i="80"/>
  <c r="H233" i="80"/>
  <c r="J233" i="80"/>
  <c r="K233" i="80"/>
  <c r="M233" i="80"/>
  <c r="O233" i="80"/>
  <c r="P233" i="80"/>
  <c r="R233" i="80"/>
  <c r="S233" i="80"/>
  <c r="T233" i="80"/>
  <c r="U233" i="80"/>
  <c r="V233" i="80"/>
  <c r="W233" i="80"/>
  <c r="X233" i="80"/>
  <c r="Z233" i="80"/>
  <c r="AA233" i="80"/>
  <c r="AB233" i="80"/>
  <c r="AC233" i="80"/>
  <c r="AD233" i="80"/>
  <c r="AE233" i="80"/>
  <c r="AF233" i="80"/>
  <c r="AG233" i="80"/>
  <c r="AH233" i="80"/>
  <c r="AI233" i="80"/>
  <c r="AJ233" i="80"/>
  <c r="AK233" i="80"/>
  <c r="AL233" i="80"/>
  <c r="AM233" i="80"/>
  <c r="AN233" i="80"/>
  <c r="AO233" i="80"/>
  <c r="AP233" i="80"/>
  <c r="AQ233" i="80"/>
  <c r="AR233" i="80"/>
  <c r="AS233" i="80"/>
  <c r="AT233" i="80"/>
  <c r="AU233" i="80"/>
  <c r="AW233" i="80"/>
  <c r="AX233" i="80"/>
  <c r="AY233" i="80"/>
  <c r="BA233" i="80"/>
  <c r="A234" i="80"/>
  <c r="B234" i="80"/>
  <c r="D234" i="80"/>
  <c r="E234" i="80"/>
  <c r="F234" i="80"/>
  <c r="G234" i="80"/>
  <c r="H234" i="80"/>
  <c r="J234" i="80"/>
  <c r="K234" i="80"/>
  <c r="M234" i="80"/>
  <c r="O234" i="80"/>
  <c r="P234" i="80"/>
  <c r="R234" i="80"/>
  <c r="S234" i="80"/>
  <c r="T234" i="80"/>
  <c r="U234" i="80"/>
  <c r="V234" i="80"/>
  <c r="W234" i="80"/>
  <c r="X234" i="80"/>
  <c r="Z234" i="80"/>
  <c r="AA234" i="80"/>
  <c r="AB234" i="80"/>
  <c r="AC234" i="80"/>
  <c r="AD234" i="80"/>
  <c r="AE234" i="80"/>
  <c r="AF234" i="80"/>
  <c r="AG234" i="80"/>
  <c r="AH234" i="80"/>
  <c r="AI234" i="80"/>
  <c r="AJ234" i="80"/>
  <c r="AK234" i="80"/>
  <c r="AL234" i="80"/>
  <c r="AM234" i="80"/>
  <c r="AN234" i="80"/>
  <c r="AO234" i="80"/>
  <c r="AP234" i="80"/>
  <c r="AQ234" i="80"/>
  <c r="AR234" i="80"/>
  <c r="AS234" i="80"/>
  <c r="AT234" i="80"/>
  <c r="AU234" i="80"/>
  <c r="AW234" i="80"/>
  <c r="AX234" i="80"/>
  <c r="AY234" i="80"/>
  <c r="BA234" i="80"/>
  <c r="A235" i="80"/>
  <c r="B235" i="80"/>
  <c r="D235" i="80"/>
  <c r="E235" i="80"/>
  <c r="F235" i="80"/>
  <c r="G235" i="80"/>
  <c r="H235" i="80"/>
  <c r="J235" i="80"/>
  <c r="K235" i="80"/>
  <c r="M235" i="80"/>
  <c r="O235" i="80"/>
  <c r="P235" i="80"/>
  <c r="R235" i="80"/>
  <c r="S235" i="80"/>
  <c r="T235" i="80"/>
  <c r="U235" i="80"/>
  <c r="V235" i="80"/>
  <c r="W235" i="80"/>
  <c r="X235" i="80"/>
  <c r="Z235" i="80"/>
  <c r="AA235" i="80"/>
  <c r="AB235" i="80"/>
  <c r="AC235" i="80"/>
  <c r="AD235" i="80"/>
  <c r="AE235" i="80"/>
  <c r="AF235" i="80"/>
  <c r="AG235" i="80"/>
  <c r="AH235" i="80"/>
  <c r="AI235" i="80"/>
  <c r="AJ235" i="80"/>
  <c r="AK235" i="80"/>
  <c r="AL235" i="80"/>
  <c r="AM235" i="80"/>
  <c r="AN235" i="80"/>
  <c r="AO235" i="80"/>
  <c r="AP235" i="80"/>
  <c r="AQ235" i="80"/>
  <c r="AR235" i="80"/>
  <c r="AS235" i="80"/>
  <c r="AT235" i="80"/>
  <c r="AU235" i="80"/>
  <c r="AW235" i="80"/>
  <c r="AX235" i="80"/>
  <c r="AY235" i="80"/>
  <c r="BA235" i="80"/>
  <c r="A236" i="80"/>
  <c r="B236" i="80"/>
  <c r="D236" i="80"/>
  <c r="E236" i="80"/>
  <c r="F236" i="80"/>
  <c r="G236" i="80"/>
  <c r="H236" i="80"/>
  <c r="J236" i="80"/>
  <c r="K236" i="80"/>
  <c r="M236" i="80"/>
  <c r="O236" i="80"/>
  <c r="P236" i="80"/>
  <c r="R236" i="80"/>
  <c r="S236" i="80"/>
  <c r="T236" i="80"/>
  <c r="U236" i="80"/>
  <c r="V236" i="80"/>
  <c r="W236" i="80"/>
  <c r="X236" i="80"/>
  <c r="Z236" i="80"/>
  <c r="AA236" i="80"/>
  <c r="AB236" i="80"/>
  <c r="AC236" i="80"/>
  <c r="AD236" i="80"/>
  <c r="AE236" i="80"/>
  <c r="AF236" i="80"/>
  <c r="AG236" i="80"/>
  <c r="AH236" i="80"/>
  <c r="AI236" i="80"/>
  <c r="AJ236" i="80"/>
  <c r="AK236" i="80"/>
  <c r="AL236" i="80"/>
  <c r="AM236" i="80"/>
  <c r="AN236" i="80"/>
  <c r="AO236" i="80"/>
  <c r="AP236" i="80"/>
  <c r="AQ236" i="80"/>
  <c r="AR236" i="80"/>
  <c r="AS236" i="80"/>
  <c r="AT236" i="80"/>
  <c r="AU236" i="80"/>
  <c r="AW236" i="80"/>
  <c r="AX236" i="80"/>
  <c r="AY236" i="80"/>
  <c r="BA236" i="80"/>
  <c r="A237" i="80"/>
  <c r="B237" i="80"/>
  <c r="D237" i="80"/>
  <c r="E237" i="80"/>
  <c r="F237" i="80"/>
  <c r="G237" i="80"/>
  <c r="H237" i="80"/>
  <c r="J237" i="80"/>
  <c r="K237" i="80"/>
  <c r="M237" i="80"/>
  <c r="O237" i="80"/>
  <c r="P237" i="80"/>
  <c r="R237" i="80"/>
  <c r="S237" i="80"/>
  <c r="T237" i="80"/>
  <c r="U237" i="80"/>
  <c r="V237" i="80"/>
  <c r="W237" i="80"/>
  <c r="X237" i="80"/>
  <c r="Z237" i="80"/>
  <c r="AA237" i="80"/>
  <c r="AB237" i="80"/>
  <c r="AC237" i="80"/>
  <c r="AD237" i="80"/>
  <c r="AE237" i="80"/>
  <c r="AF237" i="80"/>
  <c r="AG237" i="80"/>
  <c r="AH237" i="80"/>
  <c r="AI237" i="80"/>
  <c r="AJ237" i="80"/>
  <c r="AK237" i="80"/>
  <c r="AL237" i="80"/>
  <c r="AM237" i="80"/>
  <c r="AN237" i="80"/>
  <c r="AO237" i="80"/>
  <c r="AP237" i="80"/>
  <c r="AQ237" i="80"/>
  <c r="AR237" i="80"/>
  <c r="AS237" i="80"/>
  <c r="AT237" i="80"/>
  <c r="AU237" i="80"/>
  <c r="AW237" i="80"/>
  <c r="AX237" i="80"/>
  <c r="AY237" i="80"/>
  <c r="BA237" i="80"/>
  <c r="A238" i="80"/>
  <c r="B238" i="80"/>
  <c r="D238" i="80"/>
  <c r="E238" i="80"/>
  <c r="F238" i="80"/>
  <c r="G238" i="80"/>
  <c r="H238" i="80"/>
  <c r="J238" i="80"/>
  <c r="K238" i="80"/>
  <c r="M238" i="80"/>
  <c r="O238" i="80"/>
  <c r="P238" i="80"/>
  <c r="R238" i="80"/>
  <c r="S238" i="80"/>
  <c r="T238" i="80"/>
  <c r="U238" i="80"/>
  <c r="V238" i="80"/>
  <c r="W238" i="80"/>
  <c r="X238" i="80"/>
  <c r="Z238" i="80"/>
  <c r="AA238" i="80"/>
  <c r="AB238" i="80"/>
  <c r="AC238" i="80"/>
  <c r="AD238" i="80"/>
  <c r="AE238" i="80"/>
  <c r="AF238" i="80"/>
  <c r="AG238" i="80"/>
  <c r="AH238" i="80"/>
  <c r="AI238" i="80"/>
  <c r="AJ238" i="80"/>
  <c r="AK238" i="80"/>
  <c r="AL238" i="80"/>
  <c r="AM238" i="80"/>
  <c r="AN238" i="80"/>
  <c r="AO238" i="80"/>
  <c r="AP238" i="80"/>
  <c r="AQ238" i="80"/>
  <c r="AR238" i="80"/>
  <c r="AS238" i="80"/>
  <c r="AT238" i="80"/>
  <c r="AU238" i="80"/>
  <c r="AW238" i="80"/>
  <c r="AX238" i="80"/>
  <c r="AY238" i="80"/>
  <c r="BA238" i="80"/>
  <c r="A239" i="80"/>
  <c r="B239" i="80"/>
  <c r="D239" i="80"/>
  <c r="E239" i="80"/>
  <c r="F239" i="80"/>
  <c r="G239" i="80"/>
  <c r="H239" i="80"/>
  <c r="J239" i="80"/>
  <c r="K239" i="80"/>
  <c r="M239" i="80"/>
  <c r="O239" i="80"/>
  <c r="P239" i="80"/>
  <c r="R239" i="80"/>
  <c r="S239" i="80"/>
  <c r="T239" i="80"/>
  <c r="U239" i="80"/>
  <c r="V239" i="80"/>
  <c r="W239" i="80"/>
  <c r="X239" i="80"/>
  <c r="Z239" i="80"/>
  <c r="AA239" i="80"/>
  <c r="AB239" i="80"/>
  <c r="AC239" i="80"/>
  <c r="AD239" i="80"/>
  <c r="AE239" i="80"/>
  <c r="AF239" i="80"/>
  <c r="AG239" i="80"/>
  <c r="AH239" i="80"/>
  <c r="AI239" i="80"/>
  <c r="AJ239" i="80"/>
  <c r="AK239" i="80"/>
  <c r="AL239" i="80"/>
  <c r="AM239" i="80"/>
  <c r="AN239" i="80"/>
  <c r="AO239" i="80"/>
  <c r="AP239" i="80"/>
  <c r="AQ239" i="80"/>
  <c r="AR239" i="80"/>
  <c r="AS239" i="80"/>
  <c r="AT239" i="80"/>
  <c r="AU239" i="80"/>
  <c r="AW239" i="80"/>
  <c r="AX239" i="80"/>
  <c r="AY239" i="80"/>
  <c r="BA239" i="80"/>
  <c r="A240" i="80"/>
  <c r="B240" i="80"/>
  <c r="D240" i="80"/>
  <c r="E240" i="80"/>
  <c r="F240" i="80"/>
  <c r="G240" i="80"/>
  <c r="H240" i="80"/>
  <c r="J240" i="80"/>
  <c r="K240" i="80"/>
  <c r="M240" i="80"/>
  <c r="O240" i="80"/>
  <c r="P240" i="80"/>
  <c r="R240" i="80"/>
  <c r="S240" i="80"/>
  <c r="T240" i="80"/>
  <c r="U240" i="80"/>
  <c r="V240" i="80"/>
  <c r="W240" i="80"/>
  <c r="X240" i="80"/>
  <c r="Z240" i="80"/>
  <c r="AA240" i="80"/>
  <c r="AB240" i="80"/>
  <c r="AC240" i="80"/>
  <c r="AD240" i="80"/>
  <c r="AE240" i="80"/>
  <c r="AF240" i="80"/>
  <c r="AG240" i="80"/>
  <c r="AH240" i="80"/>
  <c r="AI240" i="80"/>
  <c r="AJ240" i="80"/>
  <c r="AK240" i="80"/>
  <c r="AL240" i="80"/>
  <c r="AM240" i="80"/>
  <c r="AN240" i="80"/>
  <c r="AO240" i="80"/>
  <c r="AP240" i="80"/>
  <c r="AQ240" i="80"/>
  <c r="AR240" i="80"/>
  <c r="AS240" i="80"/>
  <c r="AT240" i="80"/>
  <c r="AU240" i="80"/>
  <c r="AW240" i="80"/>
  <c r="AX240" i="80"/>
  <c r="AY240" i="80"/>
  <c r="BA240" i="80"/>
  <c r="A241" i="80"/>
  <c r="B241" i="80"/>
  <c r="D241" i="80"/>
  <c r="E241" i="80"/>
  <c r="F241" i="80"/>
  <c r="G241" i="80"/>
  <c r="H241" i="80"/>
  <c r="J241" i="80"/>
  <c r="K241" i="80"/>
  <c r="M241" i="80"/>
  <c r="O241" i="80"/>
  <c r="P241" i="80"/>
  <c r="R241" i="80"/>
  <c r="S241" i="80"/>
  <c r="T241" i="80"/>
  <c r="U241" i="80"/>
  <c r="V241" i="80"/>
  <c r="W241" i="80"/>
  <c r="X241" i="80"/>
  <c r="Z241" i="80"/>
  <c r="AA241" i="80"/>
  <c r="AB241" i="80"/>
  <c r="AC241" i="80"/>
  <c r="AD241" i="80"/>
  <c r="AE241" i="80"/>
  <c r="AF241" i="80"/>
  <c r="AG241" i="80"/>
  <c r="AH241" i="80"/>
  <c r="AI241" i="80"/>
  <c r="AJ241" i="80"/>
  <c r="AK241" i="80"/>
  <c r="AL241" i="80"/>
  <c r="AM241" i="80"/>
  <c r="AN241" i="80"/>
  <c r="AO241" i="80"/>
  <c r="AP241" i="80"/>
  <c r="AQ241" i="80"/>
  <c r="AR241" i="80"/>
  <c r="AS241" i="80"/>
  <c r="AT241" i="80"/>
  <c r="AU241" i="80"/>
  <c r="AW241" i="80"/>
  <c r="AX241" i="80"/>
  <c r="AY241" i="80"/>
  <c r="BA241" i="80"/>
  <c r="A242" i="80"/>
  <c r="B242" i="80"/>
  <c r="D242" i="80"/>
  <c r="E242" i="80"/>
  <c r="F242" i="80"/>
  <c r="G242" i="80"/>
  <c r="H242" i="80"/>
  <c r="J242" i="80"/>
  <c r="K242" i="80"/>
  <c r="M242" i="80"/>
  <c r="O242" i="80"/>
  <c r="P242" i="80"/>
  <c r="R242" i="80"/>
  <c r="S242" i="80"/>
  <c r="T242" i="80"/>
  <c r="U242" i="80"/>
  <c r="V242" i="80"/>
  <c r="W242" i="80"/>
  <c r="X242" i="80"/>
  <c r="Z242" i="80"/>
  <c r="AA242" i="80"/>
  <c r="AB242" i="80"/>
  <c r="AC242" i="80"/>
  <c r="AD242" i="80"/>
  <c r="AE242" i="80"/>
  <c r="AF242" i="80"/>
  <c r="AG242" i="80"/>
  <c r="AH242" i="80"/>
  <c r="AI242" i="80"/>
  <c r="AJ242" i="80"/>
  <c r="AK242" i="80"/>
  <c r="AL242" i="80"/>
  <c r="AM242" i="80"/>
  <c r="AN242" i="80"/>
  <c r="AO242" i="80"/>
  <c r="AP242" i="80"/>
  <c r="AQ242" i="80"/>
  <c r="AR242" i="80"/>
  <c r="AS242" i="80"/>
  <c r="AT242" i="80"/>
  <c r="AU242" i="80"/>
  <c r="AW242" i="80"/>
  <c r="AX242" i="80"/>
  <c r="AY242" i="80"/>
  <c r="BA242" i="80"/>
  <c r="A243" i="80"/>
  <c r="B243" i="80"/>
  <c r="D243" i="80"/>
  <c r="E243" i="80"/>
  <c r="F243" i="80"/>
  <c r="G243" i="80"/>
  <c r="H243" i="80"/>
  <c r="J243" i="80"/>
  <c r="K243" i="80"/>
  <c r="M243" i="80"/>
  <c r="O243" i="80"/>
  <c r="P243" i="80"/>
  <c r="R243" i="80"/>
  <c r="S243" i="80"/>
  <c r="T243" i="80"/>
  <c r="U243" i="80"/>
  <c r="V243" i="80"/>
  <c r="W243" i="80"/>
  <c r="X243" i="80"/>
  <c r="Z243" i="80"/>
  <c r="AA243" i="80"/>
  <c r="AB243" i="80"/>
  <c r="AC243" i="80"/>
  <c r="AD243" i="80"/>
  <c r="AE243" i="80"/>
  <c r="AF243" i="80"/>
  <c r="AG243" i="80"/>
  <c r="AH243" i="80"/>
  <c r="AI243" i="80"/>
  <c r="AJ243" i="80"/>
  <c r="AK243" i="80"/>
  <c r="AL243" i="80"/>
  <c r="AM243" i="80"/>
  <c r="AN243" i="80"/>
  <c r="AO243" i="80"/>
  <c r="AP243" i="80"/>
  <c r="AQ243" i="80"/>
  <c r="AR243" i="80"/>
  <c r="AS243" i="80"/>
  <c r="AT243" i="80"/>
  <c r="AU243" i="80"/>
  <c r="AW243" i="80"/>
  <c r="AX243" i="80"/>
  <c r="AY243" i="80"/>
  <c r="BA243" i="80"/>
  <c r="A244" i="80"/>
  <c r="B244" i="80"/>
  <c r="D244" i="80"/>
  <c r="E244" i="80"/>
  <c r="F244" i="80"/>
  <c r="G244" i="80"/>
  <c r="H244" i="80"/>
  <c r="J244" i="80"/>
  <c r="K244" i="80"/>
  <c r="M244" i="80"/>
  <c r="O244" i="80"/>
  <c r="P244" i="80"/>
  <c r="R244" i="80"/>
  <c r="S244" i="80"/>
  <c r="T244" i="80"/>
  <c r="U244" i="80"/>
  <c r="V244" i="80"/>
  <c r="W244" i="80"/>
  <c r="X244" i="80"/>
  <c r="Z244" i="80"/>
  <c r="AA244" i="80"/>
  <c r="AB244" i="80"/>
  <c r="AC244" i="80"/>
  <c r="AD244" i="80"/>
  <c r="AE244" i="80"/>
  <c r="AF244" i="80"/>
  <c r="AG244" i="80"/>
  <c r="AH244" i="80"/>
  <c r="AI244" i="80"/>
  <c r="AJ244" i="80"/>
  <c r="AK244" i="80"/>
  <c r="AL244" i="80"/>
  <c r="AM244" i="80"/>
  <c r="AN244" i="80"/>
  <c r="AO244" i="80"/>
  <c r="AP244" i="80"/>
  <c r="AQ244" i="80"/>
  <c r="AR244" i="80"/>
  <c r="AS244" i="80"/>
  <c r="AT244" i="80"/>
  <c r="AU244" i="80"/>
  <c r="AW244" i="80"/>
  <c r="AX244" i="80"/>
  <c r="AY244" i="80"/>
  <c r="BA244" i="80"/>
  <c r="A245" i="80"/>
  <c r="B245" i="80"/>
  <c r="D245" i="80"/>
  <c r="E245" i="80"/>
  <c r="F245" i="80"/>
  <c r="G245" i="80"/>
  <c r="H245" i="80"/>
  <c r="J245" i="80"/>
  <c r="K245" i="80"/>
  <c r="M245" i="80"/>
  <c r="O245" i="80"/>
  <c r="P245" i="80"/>
  <c r="R245" i="80"/>
  <c r="S245" i="80"/>
  <c r="T245" i="80"/>
  <c r="U245" i="80"/>
  <c r="V245" i="80"/>
  <c r="W245" i="80"/>
  <c r="X245" i="80"/>
  <c r="Z245" i="80"/>
  <c r="AA245" i="80"/>
  <c r="AB245" i="80"/>
  <c r="AC245" i="80"/>
  <c r="AD245" i="80"/>
  <c r="AE245" i="80"/>
  <c r="AF245" i="80"/>
  <c r="AG245" i="80"/>
  <c r="AH245" i="80"/>
  <c r="AI245" i="80"/>
  <c r="AJ245" i="80"/>
  <c r="AK245" i="80"/>
  <c r="AL245" i="80"/>
  <c r="AM245" i="80"/>
  <c r="AN245" i="80"/>
  <c r="AO245" i="80"/>
  <c r="AP245" i="80"/>
  <c r="AQ245" i="80"/>
  <c r="AR245" i="80"/>
  <c r="AS245" i="80"/>
  <c r="AT245" i="80"/>
  <c r="AU245" i="80"/>
  <c r="AW245" i="80"/>
  <c r="AX245" i="80"/>
  <c r="AY245" i="80"/>
  <c r="BA245" i="80"/>
  <c r="A246" i="80"/>
  <c r="B246" i="80"/>
  <c r="D246" i="80"/>
  <c r="E246" i="80"/>
  <c r="F246" i="80"/>
  <c r="G246" i="80"/>
  <c r="H246" i="80"/>
  <c r="J246" i="80"/>
  <c r="K246" i="80"/>
  <c r="M246" i="80"/>
  <c r="O246" i="80"/>
  <c r="P246" i="80"/>
  <c r="R246" i="80"/>
  <c r="S246" i="80"/>
  <c r="T246" i="80"/>
  <c r="U246" i="80"/>
  <c r="V246" i="80"/>
  <c r="W246" i="80"/>
  <c r="X246" i="80"/>
  <c r="Z246" i="80"/>
  <c r="AA246" i="80"/>
  <c r="AB246" i="80"/>
  <c r="AC246" i="80"/>
  <c r="AD246" i="80"/>
  <c r="AE246" i="80"/>
  <c r="AF246" i="80"/>
  <c r="AG246" i="80"/>
  <c r="AH246" i="80"/>
  <c r="AI246" i="80"/>
  <c r="AJ246" i="80"/>
  <c r="AK246" i="80"/>
  <c r="AL246" i="80"/>
  <c r="AM246" i="80"/>
  <c r="AN246" i="80"/>
  <c r="AO246" i="80"/>
  <c r="AP246" i="80"/>
  <c r="AQ246" i="80"/>
  <c r="AR246" i="80"/>
  <c r="AS246" i="80"/>
  <c r="AT246" i="80"/>
  <c r="AU246" i="80"/>
  <c r="AW246" i="80"/>
  <c r="AX246" i="80"/>
  <c r="AY246" i="80"/>
  <c r="BA246" i="80"/>
  <c r="A247" i="80"/>
  <c r="B247" i="80"/>
  <c r="D247" i="80"/>
  <c r="E247" i="80"/>
  <c r="F247" i="80"/>
  <c r="G247" i="80"/>
  <c r="H247" i="80"/>
  <c r="J247" i="80"/>
  <c r="K247" i="80"/>
  <c r="M247" i="80"/>
  <c r="O247" i="80"/>
  <c r="P247" i="80"/>
  <c r="R247" i="80"/>
  <c r="S247" i="80"/>
  <c r="T247" i="80"/>
  <c r="U247" i="80"/>
  <c r="V247" i="80"/>
  <c r="W247" i="80"/>
  <c r="X247" i="80"/>
  <c r="Z247" i="80"/>
  <c r="AA247" i="80"/>
  <c r="AB247" i="80"/>
  <c r="AC247" i="80"/>
  <c r="AD247" i="80"/>
  <c r="AE247" i="80"/>
  <c r="AF247" i="80"/>
  <c r="AG247" i="80"/>
  <c r="AH247" i="80"/>
  <c r="AI247" i="80"/>
  <c r="AJ247" i="80"/>
  <c r="AK247" i="80"/>
  <c r="AL247" i="80"/>
  <c r="AM247" i="80"/>
  <c r="AN247" i="80"/>
  <c r="AO247" i="80"/>
  <c r="AP247" i="80"/>
  <c r="AQ247" i="80"/>
  <c r="AR247" i="80"/>
  <c r="AS247" i="80"/>
  <c r="AT247" i="80"/>
  <c r="AU247" i="80"/>
  <c r="AW247" i="80"/>
  <c r="AX247" i="80"/>
  <c r="AY247" i="80"/>
  <c r="BA247" i="80"/>
  <c r="A248" i="80"/>
  <c r="B248" i="80"/>
  <c r="D248" i="80"/>
  <c r="E248" i="80"/>
  <c r="F248" i="80"/>
  <c r="G248" i="80"/>
  <c r="H248" i="80"/>
  <c r="J248" i="80"/>
  <c r="K248" i="80"/>
  <c r="M248" i="80"/>
  <c r="O248" i="80"/>
  <c r="P248" i="80"/>
  <c r="R248" i="80"/>
  <c r="S248" i="80"/>
  <c r="T248" i="80"/>
  <c r="U248" i="80"/>
  <c r="V248" i="80"/>
  <c r="W248" i="80"/>
  <c r="X248" i="80"/>
  <c r="Z248" i="80"/>
  <c r="AA248" i="80"/>
  <c r="AB248" i="80"/>
  <c r="AC248" i="80"/>
  <c r="AD248" i="80"/>
  <c r="AE248" i="80"/>
  <c r="AF248" i="80"/>
  <c r="AG248" i="80"/>
  <c r="AH248" i="80"/>
  <c r="AI248" i="80"/>
  <c r="AJ248" i="80"/>
  <c r="AK248" i="80"/>
  <c r="AL248" i="80"/>
  <c r="AM248" i="80"/>
  <c r="AN248" i="80"/>
  <c r="AO248" i="80"/>
  <c r="AP248" i="80"/>
  <c r="AQ248" i="80"/>
  <c r="AR248" i="80"/>
  <c r="AS248" i="80"/>
  <c r="AT248" i="80"/>
  <c r="AU248" i="80"/>
  <c r="AW248" i="80"/>
  <c r="AX248" i="80"/>
  <c r="AY248" i="80"/>
  <c r="BA248" i="80"/>
  <c r="A249" i="80"/>
  <c r="B249" i="80"/>
  <c r="D249" i="80"/>
  <c r="E249" i="80"/>
  <c r="F249" i="80"/>
  <c r="G249" i="80"/>
  <c r="H249" i="80"/>
  <c r="J249" i="80"/>
  <c r="K249" i="80"/>
  <c r="M249" i="80"/>
  <c r="O249" i="80"/>
  <c r="P249" i="80"/>
  <c r="R249" i="80"/>
  <c r="S249" i="80"/>
  <c r="T249" i="80"/>
  <c r="U249" i="80"/>
  <c r="V249" i="80"/>
  <c r="W249" i="80"/>
  <c r="X249" i="80"/>
  <c r="Z249" i="80"/>
  <c r="AA249" i="80"/>
  <c r="AB249" i="80"/>
  <c r="AC249" i="80"/>
  <c r="AD249" i="80"/>
  <c r="AE249" i="80"/>
  <c r="AF249" i="80"/>
  <c r="AG249" i="80"/>
  <c r="AH249" i="80"/>
  <c r="AI249" i="80"/>
  <c r="AJ249" i="80"/>
  <c r="AK249" i="80"/>
  <c r="AL249" i="80"/>
  <c r="AM249" i="80"/>
  <c r="AN249" i="80"/>
  <c r="AO249" i="80"/>
  <c r="AP249" i="80"/>
  <c r="AQ249" i="80"/>
  <c r="AR249" i="80"/>
  <c r="AS249" i="80"/>
  <c r="AT249" i="80"/>
  <c r="AU249" i="80"/>
  <c r="AW249" i="80"/>
  <c r="AX249" i="80"/>
  <c r="AY249" i="80"/>
  <c r="BA249" i="80"/>
  <c r="A250" i="80"/>
  <c r="B250" i="80"/>
  <c r="D250" i="80"/>
  <c r="E250" i="80"/>
  <c r="F250" i="80"/>
  <c r="G250" i="80"/>
  <c r="H250" i="80"/>
  <c r="J250" i="80"/>
  <c r="K250" i="80"/>
  <c r="M250" i="80"/>
  <c r="O250" i="80"/>
  <c r="P250" i="80"/>
  <c r="R250" i="80"/>
  <c r="S250" i="80"/>
  <c r="T250" i="80"/>
  <c r="U250" i="80"/>
  <c r="V250" i="80"/>
  <c r="W250" i="80"/>
  <c r="X250" i="80"/>
  <c r="Z250" i="80"/>
  <c r="AA250" i="80"/>
  <c r="AB250" i="80"/>
  <c r="AC250" i="80"/>
  <c r="AD250" i="80"/>
  <c r="AE250" i="80"/>
  <c r="AF250" i="80"/>
  <c r="AG250" i="80"/>
  <c r="AH250" i="80"/>
  <c r="AI250" i="80"/>
  <c r="AJ250" i="80"/>
  <c r="AK250" i="80"/>
  <c r="AL250" i="80"/>
  <c r="AM250" i="80"/>
  <c r="AN250" i="80"/>
  <c r="AO250" i="80"/>
  <c r="AP250" i="80"/>
  <c r="AQ250" i="80"/>
  <c r="AR250" i="80"/>
  <c r="AS250" i="80"/>
  <c r="AT250" i="80"/>
  <c r="AU250" i="80"/>
  <c r="AW250" i="80"/>
  <c r="AX250" i="80"/>
  <c r="AY250" i="80"/>
  <c r="BA250" i="80"/>
  <c r="A251" i="80"/>
  <c r="B251" i="80"/>
  <c r="D251" i="80"/>
  <c r="E251" i="80"/>
  <c r="F251" i="80"/>
  <c r="G251" i="80"/>
  <c r="H251" i="80"/>
  <c r="J251" i="80"/>
  <c r="K251" i="80"/>
  <c r="M251" i="80"/>
  <c r="O251" i="80"/>
  <c r="P251" i="80"/>
  <c r="R251" i="80"/>
  <c r="S251" i="80"/>
  <c r="T251" i="80"/>
  <c r="U251" i="80"/>
  <c r="V251" i="80"/>
  <c r="W251" i="80"/>
  <c r="X251" i="80"/>
  <c r="Z251" i="80"/>
  <c r="AA251" i="80"/>
  <c r="AB251" i="80"/>
  <c r="AC251" i="80"/>
  <c r="AD251" i="80"/>
  <c r="AE251" i="80"/>
  <c r="AF251" i="80"/>
  <c r="AG251" i="80"/>
  <c r="AH251" i="80"/>
  <c r="AI251" i="80"/>
  <c r="AJ251" i="80"/>
  <c r="AK251" i="80"/>
  <c r="AL251" i="80"/>
  <c r="AM251" i="80"/>
  <c r="AN251" i="80"/>
  <c r="AO251" i="80"/>
  <c r="AP251" i="80"/>
  <c r="AQ251" i="80"/>
  <c r="AR251" i="80"/>
  <c r="AS251" i="80"/>
  <c r="AT251" i="80"/>
  <c r="AU251" i="80"/>
  <c r="AW251" i="80"/>
  <c r="AX251" i="80"/>
  <c r="AY251" i="80"/>
  <c r="BA251" i="80"/>
  <c r="A252" i="80"/>
  <c r="B252" i="80"/>
  <c r="D252" i="80"/>
  <c r="E252" i="80"/>
  <c r="F252" i="80"/>
  <c r="G252" i="80"/>
  <c r="H252" i="80"/>
  <c r="J252" i="80"/>
  <c r="K252" i="80"/>
  <c r="M252" i="80"/>
  <c r="O252" i="80"/>
  <c r="P252" i="80"/>
  <c r="R252" i="80"/>
  <c r="S252" i="80"/>
  <c r="T252" i="80"/>
  <c r="U252" i="80"/>
  <c r="V252" i="80"/>
  <c r="W252" i="80"/>
  <c r="X252" i="80"/>
  <c r="Z252" i="80"/>
  <c r="AA252" i="80"/>
  <c r="AB252" i="80"/>
  <c r="AC252" i="80"/>
  <c r="AD252" i="80"/>
  <c r="AE252" i="80"/>
  <c r="AF252" i="80"/>
  <c r="AG252" i="80"/>
  <c r="AH252" i="80"/>
  <c r="AI252" i="80"/>
  <c r="AJ252" i="80"/>
  <c r="AK252" i="80"/>
  <c r="AL252" i="80"/>
  <c r="AM252" i="80"/>
  <c r="AN252" i="80"/>
  <c r="AO252" i="80"/>
  <c r="AP252" i="80"/>
  <c r="AQ252" i="80"/>
  <c r="AR252" i="80"/>
  <c r="AS252" i="80"/>
  <c r="AT252" i="80"/>
  <c r="AU252" i="80"/>
  <c r="AW252" i="80"/>
  <c r="AX252" i="80"/>
  <c r="AY252" i="80"/>
  <c r="BA252" i="80"/>
  <c r="A253" i="80"/>
  <c r="B253" i="80"/>
  <c r="D253" i="80"/>
  <c r="E253" i="80"/>
  <c r="F253" i="80"/>
  <c r="G253" i="80"/>
  <c r="H253" i="80"/>
  <c r="J253" i="80"/>
  <c r="K253" i="80"/>
  <c r="M253" i="80"/>
  <c r="O253" i="80"/>
  <c r="P253" i="80"/>
  <c r="R253" i="80"/>
  <c r="S253" i="80"/>
  <c r="T253" i="80"/>
  <c r="U253" i="80"/>
  <c r="V253" i="80"/>
  <c r="W253" i="80"/>
  <c r="X253" i="80"/>
  <c r="Z253" i="80"/>
  <c r="AA253" i="80"/>
  <c r="AB253" i="80"/>
  <c r="AC253" i="80"/>
  <c r="AD253" i="80"/>
  <c r="AE253" i="80"/>
  <c r="AF253" i="80"/>
  <c r="AG253" i="80"/>
  <c r="AH253" i="80"/>
  <c r="AI253" i="80"/>
  <c r="AJ253" i="80"/>
  <c r="AK253" i="80"/>
  <c r="AL253" i="80"/>
  <c r="AM253" i="80"/>
  <c r="AN253" i="80"/>
  <c r="AO253" i="80"/>
  <c r="AP253" i="80"/>
  <c r="AQ253" i="80"/>
  <c r="AR253" i="80"/>
  <c r="AS253" i="80"/>
  <c r="AT253" i="80"/>
  <c r="AU253" i="80"/>
  <c r="AW253" i="80"/>
  <c r="AX253" i="80"/>
  <c r="AY253" i="80"/>
  <c r="BA253" i="80"/>
  <c r="A254" i="80"/>
  <c r="B254" i="80"/>
  <c r="D254" i="80"/>
  <c r="E254" i="80"/>
  <c r="F254" i="80"/>
  <c r="G254" i="80"/>
  <c r="H254" i="80"/>
  <c r="J254" i="80"/>
  <c r="K254" i="80"/>
  <c r="M254" i="80"/>
  <c r="O254" i="80"/>
  <c r="P254" i="80"/>
  <c r="R254" i="80"/>
  <c r="S254" i="80"/>
  <c r="T254" i="80"/>
  <c r="U254" i="80"/>
  <c r="V254" i="80"/>
  <c r="W254" i="80"/>
  <c r="X254" i="80"/>
  <c r="Z254" i="80"/>
  <c r="AA254" i="80"/>
  <c r="AB254" i="80"/>
  <c r="AC254" i="80"/>
  <c r="AD254" i="80"/>
  <c r="AE254" i="80"/>
  <c r="AF254" i="80"/>
  <c r="AG254" i="80"/>
  <c r="AH254" i="80"/>
  <c r="AI254" i="80"/>
  <c r="AJ254" i="80"/>
  <c r="AK254" i="80"/>
  <c r="AL254" i="80"/>
  <c r="AM254" i="80"/>
  <c r="AN254" i="80"/>
  <c r="AO254" i="80"/>
  <c r="AP254" i="80"/>
  <c r="AQ254" i="80"/>
  <c r="AR254" i="80"/>
  <c r="AS254" i="80"/>
  <c r="AT254" i="80"/>
  <c r="AU254" i="80"/>
  <c r="AW254" i="80"/>
  <c r="AX254" i="80"/>
  <c r="AY254" i="80"/>
  <c r="BA254" i="80"/>
  <c r="A255" i="80"/>
  <c r="B255" i="80"/>
  <c r="D255" i="80"/>
  <c r="E255" i="80"/>
  <c r="F255" i="80"/>
  <c r="G255" i="80"/>
  <c r="H255" i="80"/>
  <c r="J255" i="80"/>
  <c r="K255" i="80"/>
  <c r="M255" i="80"/>
  <c r="O255" i="80"/>
  <c r="P255" i="80"/>
  <c r="R255" i="80"/>
  <c r="S255" i="80"/>
  <c r="T255" i="80"/>
  <c r="U255" i="80"/>
  <c r="V255" i="80"/>
  <c r="W255" i="80"/>
  <c r="X255" i="80"/>
  <c r="Z255" i="80"/>
  <c r="AA255" i="80"/>
  <c r="AB255" i="80"/>
  <c r="AC255" i="80"/>
  <c r="AD255" i="80"/>
  <c r="AE255" i="80"/>
  <c r="AF255" i="80"/>
  <c r="AG255" i="80"/>
  <c r="AH255" i="80"/>
  <c r="AI255" i="80"/>
  <c r="AJ255" i="80"/>
  <c r="AK255" i="80"/>
  <c r="AL255" i="80"/>
  <c r="AM255" i="80"/>
  <c r="AN255" i="80"/>
  <c r="AO255" i="80"/>
  <c r="AP255" i="80"/>
  <c r="AQ255" i="80"/>
  <c r="AR255" i="80"/>
  <c r="AS255" i="80"/>
  <c r="AT255" i="80"/>
  <c r="AU255" i="80"/>
  <c r="AW255" i="80"/>
  <c r="AX255" i="80"/>
  <c r="AY255" i="80"/>
  <c r="BA255" i="80"/>
  <c r="A256" i="80"/>
  <c r="B256" i="80"/>
  <c r="D256" i="80"/>
  <c r="E256" i="80"/>
  <c r="F256" i="80"/>
  <c r="G256" i="80"/>
  <c r="H256" i="80"/>
  <c r="J256" i="80"/>
  <c r="K256" i="80"/>
  <c r="M256" i="80"/>
  <c r="O256" i="80"/>
  <c r="P256" i="80"/>
  <c r="R256" i="80"/>
  <c r="S256" i="80"/>
  <c r="T256" i="80"/>
  <c r="U256" i="80"/>
  <c r="V256" i="80"/>
  <c r="W256" i="80"/>
  <c r="X256" i="80"/>
  <c r="Z256" i="80"/>
  <c r="AA256" i="80"/>
  <c r="AB256" i="80"/>
  <c r="AC256" i="80"/>
  <c r="AD256" i="80"/>
  <c r="AE256" i="80"/>
  <c r="AF256" i="80"/>
  <c r="AG256" i="80"/>
  <c r="AH256" i="80"/>
  <c r="AI256" i="80"/>
  <c r="AJ256" i="80"/>
  <c r="AK256" i="80"/>
  <c r="AL256" i="80"/>
  <c r="AM256" i="80"/>
  <c r="AN256" i="80"/>
  <c r="AO256" i="80"/>
  <c r="AP256" i="80"/>
  <c r="AQ256" i="80"/>
  <c r="AR256" i="80"/>
  <c r="AS256" i="80"/>
  <c r="AT256" i="80"/>
  <c r="AU256" i="80"/>
  <c r="AW256" i="80"/>
  <c r="AX256" i="80"/>
  <c r="AY256" i="80"/>
  <c r="BA256" i="80"/>
  <c r="A257" i="80"/>
  <c r="B257" i="80"/>
  <c r="D257" i="80"/>
  <c r="E257" i="80"/>
  <c r="F257" i="80"/>
  <c r="G257" i="80"/>
  <c r="H257" i="80"/>
  <c r="J257" i="80"/>
  <c r="K257" i="80"/>
  <c r="M257" i="80"/>
  <c r="O257" i="80"/>
  <c r="P257" i="80"/>
  <c r="R257" i="80"/>
  <c r="S257" i="80"/>
  <c r="T257" i="80"/>
  <c r="U257" i="80"/>
  <c r="V257" i="80"/>
  <c r="W257" i="80"/>
  <c r="X257" i="80"/>
  <c r="Z257" i="80"/>
  <c r="AA257" i="80"/>
  <c r="AB257" i="80"/>
  <c r="AC257" i="80"/>
  <c r="AD257" i="80"/>
  <c r="AE257" i="80"/>
  <c r="AF257" i="80"/>
  <c r="AG257" i="80"/>
  <c r="AH257" i="80"/>
  <c r="AI257" i="80"/>
  <c r="AJ257" i="80"/>
  <c r="AK257" i="80"/>
  <c r="AL257" i="80"/>
  <c r="AM257" i="80"/>
  <c r="AN257" i="80"/>
  <c r="AO257" i="80"/>
  <c r="AP257" i="80"/>
  <c r="AQ257" i="80"/>
  <c r="AR257" i="80"/>
  <c r="AS257" i="80"/>
  <c r="AT257" i="80"/>
  <c r="AU257" i="80"/>
  <c r="AW257" i="80"/>
  <c r="AX257" i="80"/>
  <c r="AY257" i="80"/>
  <c r="BA257" i="80"/>
  <c r="A258" i="80"/>
  <c r="B258" i="80"/>
  <c r="D258" i="80"/>
  <c r="E258" i="80"/>
  <c r="F258" i="80"/>
  <c r="G258" i="80"/>
  <c r="H258" i="80"/>
  <c r="J258" i="80"/>
  <c r="K258" i="80"/>
  <c r="M258" i="80"/>
  <c r="O258" i="80"/>
  <c r="P258" i="80"/>
  <c r="R258" i="80"/>
  <c r="S258" i="80"/>
  <c r="T258" i="80"/>
  <c r="U258" i="80"/>
  <c r="V258" i="80"/>
  <c r="W258" i="80"/>
  <c r="X258" i="80"/>
  <c r="Z258" i="80"/>
  <c r="AA258" i="80"/>
  <c r="AB258" i="80"/>
  <c r="AC258" i="80"/>
  <c r="AD258" i="80"/>
  <c r="AE258" i="80"/>
  <c r="AF258" i="80"/>
  <c r="AG258" i="80"/>
  <c r="AH258" i="80"/>
  <c r="AI258" i="80"/>
  <c r="AJ258" i="80"/>
  <c r="AK258" i="80"/>
  <c r="AL258" i="80"/>
  <c r="AM258" i="80"/>
  <c r="AN258" i="80"/>
  <c r="AO258" i="80"/>
  <c r="AP258" i="80"/>
  <c r="AQ258" i="80"/>
  <c r="AR258" i="80"/>
  <c r="AS258" i="80"/>
  <c r="AT258" i="80"/>
  <c r="AU258" i="80"/>
  <c r="AW258" i="80"/>
  <c r="AX258" i="80"/>
  <c r="AY258" i="80"/>
  <c r="BA258" i="80"/>
  <c r="A259" i="80"/>
  <c r="B259" i="80"/>
  <c r="D259" i="80"/>
  <c r="E259" i="80"/>
  <c r="F259" i="80"/>
  <c r="G259" i="80"/>
  <c r="H259" i="80"/>
  <c r="J259" i="80"/>
  <c r="K259" i="80"/>
  <c r="M259" i="80"/>
  <c r="O259" i="80"/>
  <c r="P259" i="80"/>
  <c r="R259" i="80"/>
  <c r="S259" i="80"/>
  <c r="T259" i="80"/>
  <c r="U259" i="80"/>
  <c r="V259" i="80"/>
  <c r="W259" i="80"/>
  <c r="X259" i="80"/>
  <c r="Z259" i="80"/>
  <c r="AA259" i="80"/>
  <c r="AB259" i="80"/>
  <c r="AC259" i="80"/>
  <c r="AD259" i="80"/>
  <c r="AE259" i="80"/>
  <c r="AF259" i="80"/>
  <c r="AG259" i="80"/>
  <c r="AH259" i="80"/>
  <c r="AI259" i="80"/>
  <c r="AJ259" i="80"/>
  <c r="AK259" i="80"/>
  <c r="AL259" i="80"/>
  <c r="AM259" i="80"/>
  <c r="AN259" i="80"/>
  <c r="AO259" i="80"/>
  <c r="AP259" i="80"/>
  <c r="AQ259" i="80"/>
  <c r="AR259" i="80"/>
  <c r="AS259" i="80"/>
  <c r="AT259" i="80"/>
  <c r="AU259" i="80"/>
  <c r="AW259" i="80"/>
  <c r="AX259" i="80"/>
  <c r="AY259" i="80"/>
  <c r="BA259" i="80"/>
  <c r="A260" i="80"/>
  <c r="B260" i="80"/>
  <c r="D260" i="80"/>
  <c r="E260" i="80"/>
  <c r="F260" i="80"/>
  <c r="G260" i="80"/>
  <c r="H260" i="80"/>
  <c r="J260" i="80"/>
  <c r="K260" i="80"/>
  <c r="M260" i="80"/>
  <c r="O260" i="80"/>
  <c r="P260" i="80"/>
  <c r="R260" i="80"/>
  <c r="S260" i="80"/>
  <c r="T260" i="80"/>
  <c r="U260" i="80"/>
  <c r="V260" i="80"/>
  <c r="W260" i="80"/>
  <c r="X260" i="80"/>
  <c r="Z260" i="80"/>
  <c r="AA260" i="80"/>
  <c r="AB260" i="80"/>
  <c r="AC260" i="80"/>
  <c r="AD260" i="80"/>
  <c r="AE260" i="80"/>
  <c r="AF260" i="80"/>
  <c r="AG260" i="80"/>
  <c r="AH260" i="80"/>
  <c r="AI260" i="80"/>
  <c r="AJ260" i="80"/>
  <c r="AK260" i="80"/>
  <c r="AL260" i="80"/>
  <c r="AM260" i="80"/>
  <c r="AN260" i="80"/>
  <c r="AO260" i="80"/>
  <c r="AP260" i="80"/>
  <c r="AQ260" i="80"/>
  <c r="AR260" i="80"/>
  <c r="AS260" i="80"/>
  <c r="AT260" i="80"/>
  <c r="AU260" i="80"/>
  <c r="AW260" i="80"/>
  <c r="AX260" i="80"/>
  <c r="AY260" i="80"/>
  <c r="BA260" i="80"/>
  <c r="A261" i="80"/>
  <c r="B261" i="80"/>
  <c r="D261" i="80"/>
  <c r="E261" i="80"/>
  <c r="F261" i="80"/>
  <c r="G261" i="80"/>
  <c r="H261" i="80"/>
  <c r="J261" i="80"/>
  <c r="K261" i="80"/>
  <c r="M261" i="80"/>
  <c r="O261" i="80"/>
  <c r="P261" i="80"/>
  <c r="R261" i="80"/>
  <c r="S261" i="80"/>
  <c r="T261" i="80"/>
  <c r="U261" i="80"/>
  <c r="V261" i="80"/>
  <c r="W261" i="80"/>
  <c r="X261" i="80"/>
  <c r="Z261" i="80"/>
  <c r="AA261" i="80"/>
  <c r="AB261" i="80"/>
  <c r="AC261" i="80"/>
  <c r="AD261" i="80"/>
  <c r="AE261" i="80"/>
  <c r="AF261" i="80"/>
  <c r="AG261" i="80"/>
  <c r="AH261" i="80"/>
  <c r="AI261" i="80"/>
  <c r="AJ261" i="80"/>
  <c r="AK261" i="80"/>
  <c r="AL261" i="80"/>
  <c r="AM261" i="80"/>
  <c r="AN261" i="80"/>
  <c r="AO261" i="80"/>
  <c r="AP261" i="80"/>
  <c r="AQ261" i="80"/>
  <c r="AR261" i="80"/>
  <c r="AS261" i="80"/>
  <c r="AT261" i="80"/>
  <c r="AU261" i="80"/>
  <c r="AW261" i="80"/>
  <c r="AX261" i="80"/>
  <c r="AY261" i="80"/>
  <c r="BA261" i="80"/>
  <c r="A262" i="80"/>
  <c r="B262" i="80"/>
  <c r="D262" i="80"/>
  <c r="E262" i="80"/>
  <c r="F262" i="80"/>
  <c r="G262" i="80"/>
  <c r="H262" i="80"/>
  <c r="J262" i="80"/>
  <c r="K262" i="80"/>
  <c r="M262" i="80"/>
  <c r="O262" i="80"/>
  <c r="P262" i="80"/>
  <c r="R262" i="80"/>
  <c r="S262" i="80"/>
  <c r="T262" i="80"/>
  <c r="U262" i="80"/>
  <c r="V262" i="80"/>
  <c r="W262" i="80"/>
  <c r="X262" i="80"/>
  <c r="Z262" i="80"/>
  <c r="AA262" i="80"/>
  <c r="AB262" i="80"/>
  <c r="AC262" i="80"/>
  <c r="AD262" i="80"/>
  <c r="AE262" i="80"/>
  <c r="AF262" i="80"/>
  <c r="AG262" i="80"/>
  <c r="AH262" i="80"/>
  <c r="AI262" i="80"/>
  <c r="AJ262" i="80"/>
  <c r="AK262" i="80"/>
  <c r="AL262" i="80"/>
  <c r="AM262" i="80"/>
  <c r="AN262" i="80"/>
  <c r="AO262" i="80"/>
  <c r="AP262" i="80"/>
  <c r="AQ262" i="80"/>
  <c r="AR262" i="80"/>
  <c r="AS262" i="80"/>
  <c r="AT262" i="80"/>
  <c r="AU262" i="80"/>
  <c r="AW262" i="80"/>
  <c r="AX262" i="80"/>
  <c r="AY262" i="80"/>
  <c r="BA262" i="80"/>
  <c r="A263" i="80"/>
  <c r="B263" i="80"/>
  <c r="D263" i="80"/>
  <c r="E263" i="80"/>
  <c r="F263" i="80"/>
  <c r="G263" i="80"/>
  <c r="H263" i="80"/>
  <c r="J263" i="80"/>
  <c r="K263" i="80"/>
  <c r="M263" i="80"/>
  <c r="O263" i="80"/>
  <c r="P263" i="80"/>
  <c r="R263" i="80"/>
  <c r="S263" i="80"/>
  <c r="T263" i="80"/>
  <c r="U263" i="80"/>
  <c r="V263" i="80"/>
  <c r="W263" i="80"/>
  <c r="X263" i="80"/>
  <c r="Z263" i="80"/>
  <c r="AA263" i="80"/>
  <c r="AB263" i="80"/>
  <c r="AC263" i="80"/>
  <c r="AD263" i="80"/>
  <c r="AE263" i="80"/>
  <c r="AF263" i="80"/>
  <c r="AG263" i="80"/>
  <c r="AH263" i="80"/>
  <c r="AI263" i="80"/>
  <c r="AJ263" i="80"/>
  <c r="AK263" i="80"/>
  <c r="AL263" i="80"/>
  <c r="AM263" i="80"/>
  <c r="AN263" i="80"/>
  <c r="AO263" i="80"/>
  <c r="AP263" i="80"/>
  <c r="AQ263" i="80"/>
  <c r="AR263" i="80"/>
  <c r="AS263" i="80"/>
  <c r="AT263" i="80"/>
  <c r="AU263" i="80"/>
  <c r="AW263" i="80"/>
  <c r="AX263" i="80"/>
  <c r="AY263" i="80"/>
  <c r="BA263" i="80"/>
  <c r="A264" i="80"/>
  <c r="B264" i="80"/>
  <c r="D264" i="80"/>
  <c r="E264" i="80"/>
  <c r="F264" i="80"/>
  <c r="G264" i="80"/>
  <c r="H264" i="80"/>
  <c r="J264" i="80"/>
  <c r="K264" i="80"/>
  <c r="M264" i="80"/>
  <c r="O264" i="80"/>
  <c r="P264" i="80"/>
  <c r="R264" i="80"/>
  <c r="S264" i="80"/>
  <c r="T264" i="80"/>
  <c r="U264" i="80"/>
  <c r="V264" i="80"/>
  <c r="W264" i="80"/>
  <c r="X264" i="80"/>
  <c r="Z264" i="80"/>
  <c r="AA264" i="80"/>
  <c r="AB264" i="80"/>
  <c r="AC264" i="80"/>
  <c r="AD264" i="80"/>
  <c r="AE264" i="80"/>
  <c r="AF264" i="80"/>
  <c r="AG264" i="80"/>
  <c r="AH264" i="80"/>
  <c r="AI264" i="80"/>
  <c r="AJ264" i="80"/>
  <c r="AK264" i="80"/>
  <c r="AL264" i="80"/>
  <c r="AM264" i="80"/>
  <c r="AN264" i="80"/>
  <c r="AO264" i="80"/>
  <c r="AP264" i="80"/>
  <c r="AQ264" i="80"/>
  <c r="AR264" i="80"/>
  <c r="AS264" i="80"/>
  <c r="AT264" i="80"/>
  <c r="AU264" i="80"/>
  <c r="AW264" i="80"/>
  <c r="AX264" i="80"/>
  <c r="AY264" i="80"/>
  <c r="BA264" i="80"/>
  <c r="A265" i="80"/>
  <c r="B265" i="80"/>
  <c r="D265" i="80"/>
  <c r="E265" i="80"/>
  <c r="F265" i="80"/>
  <c r="G265" i="80"/>
  <c r="H265" i="80"/>
  <c r="J265" i="80"/>
  <c r="K265" i="80"/>
  <c r="M265" i="80"/>
  <c r="O265" i="80"/>
  <c r="P265" i="80"/>
  <c r="R265" i="80"/>
  <c r="S265" i="80"/>
  <c r="T265" i="80"/>
  <c r="U265" i="80"/>
  <c r="V265" i="80"/>
  <c r="W265" i="80"/>
  <c r="X265" i="80"/>
  <c r="Z265" i="80"/>
  <c r="AA265" i="80"/>
  <c r="AB265" i="80"/>
  <c r="AC265" i="80"/>
  <c r="AD265" i="80"/>
  <c r="AE265" i="80"/>
  <c r="AF265" i="80"/>
  <c r="AG265" i="80"/>
  <c r="AH265" i="80"/>
  <c r="AI265" i="80"/>
  <c r="AJ265" i="80"/>
  <c r="AK265" i="80"/>
  <c r="AL265" i="80"/>
  <c r="AM265" i="80"/>
  <c r="AN265" i="80"/>
  <c r="AO265" i="80"/>
  <c r="AP265" i="80"/>
  <c r="AQ265" i="80"/>
  <c r="AR265" i="80"/>
  <c r="AS265" i="80"/>
  <c r="AT265" i="80"/>
  <c r="AU265" i="80"/>
  <c r="AW265" i="80"/>
  <c r="AX265" i="80"/>
  <c r="AY265" i="80"/>
  <c r="BA265" i="80"/>
  <c r="A266" i="80"/>
  <c r="B266" i="80"/>
  <c r="D266" i="80"/>
  <c r="E266" i="80"/>
  <c r="F266" i="80"/>
  <c r="G266" i="80"/>
  <c r="H266" i="80"/>
  <c r="J266" i="80"/>
  <c r="K266" i="80"/>
  <c r="M266" i="80"/>
  <c r="O266" i="80"/>
  <c r="P266" i="80"/>
  <c r="R266" i="80"/>
  <c r="S266" i="80"/>
  <c r="T266" i="80"/>
  <c r="U266" i="80"/>
  <c r="V266" i="80"/>
  <c r="W266" i="80"/>
  <c r="X266" i="80"/>
  <c r="Z266" i="80"/>
  <c r="AA266" i="80"/>
  <c r="AB266" i="80"/>
  <c r="AC266" i="80"/>
  <c r="AD266" i="80"/>
  <c r="AE266" i="80"/>
  <c r="AF266" i="80"/>
  <c r="AG266" i="80"/>
  <c r="AH266" i="80"/>
  <c r="AI266" i="80"/>
  <c r="AJ266" i="80"/>
  <c r="AK266" i="80"/>
  <c r="AL266" i="80"/>
  <c r="AM266" i="80"/>
  <c r="AN266" i="80"/>
  <c r="AO266" i="80"/>
  <c r="AP266" i="80"/>
  <c r="AQ266" i="80"/>
  <c r="AR266" i="80"/>
  <c r="AS266" i="80"/>
  <c r="AT266" i="80"/>
  <c r="AU266" i="80"/>
  <c r="AW266" i="80"/>
  <c r="AX266" i="80"/>
  <c r="AY266" i="80"/>
  <c r="BA266" i="80"/>
  <c r="A267" i="80"/>
  <c r="B267" i="80"/>
  <c r="D267" i="80"/>
  <c r="E267" i="80"/>
  <c r="F267" i="80"/>
  <c r="G267" i="80"/>
  <c r="H267" i="80"/>
  <c r="J267" i="80"/>
  <c r="K267" i="80"/>
  <c r="M267" i="80"/>
  <c r="O267" i="80"/>
  <c r="P267" i="80"/>
  <c r="R267" i="80"/>
  <c r="S267" i="80"/>
  <c r="T267" i="80"/>
  <c r="U267" i="80"/>
  <c r="V267" i="80"/>
  <c r="W267" i="80"/>
  <c r="X267" i="80"/>
  <c r="Z267" i="80"/>
  <c r="AA267" i="80"/>
  <c r="AB267" i="80"/>
  <c r="AC267" i="80"/>
  <c r="AD267" i="80"/>
  <c r="AE267" i="80"/>
  <c r="AF267" i="80"/>
  <c r="AG267" i="80"/>
  <c r="AH267" i="80"/>
  <c r="AI267" i="80"/>
  <c r="AJ267" i="80"/>
  <c r="AK267" i="80"/>
  <c r="AL267" i="80"/>
  <c r="AM267" i="80"/>
  <c r="AN267" i="80"/>
  <c r="AO267" i="80"/>
  <c r="AP267" i="80"/>
  <c r="AQ267" i="80"/>
  <c r="AR267" i="80"/>
  <c r="AS267" i="80"/>
  <c r="AT267" i="80"/>
  <c r="AU267" i="80"/>
  <c r="AW267" i="80"/>
  <c r="AX267" i="80"/>
  <c r="AY267" i="80"/>
  <c r="BA267" i="80"/>
  <c r="A268" i="80"/>
  <c r="B268" i="80"/>
  <c r="D268" i="80"/>
  <c r="E268" i="80"/>
  <c r="F268" i="80"/>
  <c r="G268" i="80"/>
  <c r="H268" i="80"/>
  <c r="J268" i="80"/>
  <c r="K268" i="80"/>
  <c r="M268" i="80"/>
  <c r="O268" i="80"/>
  <c r="P268" i="80"/>
  <c r="R268" i="80"/>
  <c r="S268" i="80"/>
  <c r="T268" i="80"/>
  <c r="U268" i="80"/>
  <c r="V268" i="80"/>
  <c r="W268" i="80"/>
  <c r="X268" i="80"/>
  <c r="Z268" i="80"/>
  <c r="AA268" i="80"/>
  <c r="AB268" i="80"/>
  <c r="AC268" i="80"/>
  <c r="AD268" i="80"/>
  <c r="AE268" i="80"/>
  <c r="AF268" i="80"/>
  <c r="AG268" i="80"/>
  <c r="AH268" i="80"/>
  <c r="AI268" i="80"/>
  <c r="AJ268" i="80"/>
  <c r="AK268" i="80"/>
  <c r="AL268" i="80"/>
  <c r="AM268" i="80"/>
  <c r="AN268" i="80"/>
  <c r="AO268" i="80"/>
  <c r="AP268" i="80"/>
  <c r="AQ268" i="80"/>
  <c r="AR268" i="80"/>
  <c r="AS268" i="80"/>
  <c r="AT268" i="80"/>
  <c r="AU268" i="80"/>
  <c r="AW268" i="80"/>
  <c r="AX268" i="80"/>
  <c r="AY268" i="80"/>
  <c r="BA268" i="80"/>
  <c r="A269" i="80"/>
  <c r="B269" i="80"/>
  <c r="D269" i="80"/>
  <c r="E269" i="80"/>
  <c r="F269" i="80"/>
  <c r="G269" i="80"/>
  <c r="H269" i="80"/>
  <c r="J269" i="80"/>
  <c r="K269" i="80"/>
  <c r="M269" i="80"/>
  <c r="O269" i="80"/>
  <c r="P269" i="80"/>
  <c r="R269" i="80"/>
  <c r="S269" i="80"/>
  <c r="T269" i="80"/>
  <c r="U269" i="80"/>
  <c r="V269" i="80"/>
  <c r="W269" i="80"/>
  <c r="X269" i="80"/>
  <c r="Z269" i="80"/>
  <c r="AA269" i="80"/>
  <c r="AB269" i="80"/>
  <c r="AC269" i="80"/>
  <c r="AD269" i="80"/>
  <c r="AE269" i="80"/>
  <c r="AF269" i="80"/>
  <c r="AG269" i="80"/>
  <c r="AH269" i="80"/>
  <c r="AI269" i="80"/>
  <c r="AJ269" i="80"/>
  <c r="AK269" i="80"/>
  <c r="AL269" i="80"/>
  <c r="AM269" i="80"/>
  <c r="AN269" i="80"/>
  <c r="AO269" i="80"/>
  <c r="AP269" i="80"/>
  <c r="AQ269" i="80"/>
  <c r="AR269" i="80"/>
  <c r="AS269" i="80"/>
  <c r="AT269" i="80"/>
  <c r="AU269" i="80"/>
  <c r="AW269" i="80"/>
  <c r="AX269" i="80"/>
  <c r="AY269" i="80"/>
  <c r="BA269" i="80"/>
  <c r="A270" i="80"/>
  <c r="B270" i="80"/>
  <c r="D270" i="80"/>
  <c r="E270" i="80"/>
  <c r="F270" i="80"/>
  <c r="G270" i="80"/>
  <c r="H270" i="80"/>
  <c r="J270" i="80"/>
  <c r="K270" i="80"/>
  <c r="M270" i="80"/>
  <c r="O270" i="80"/>
  <c r="P270" i="80"/>
  <c r="R270" i="80"/>
  <c r="S270" i="80"/>
  <c r="T270" i="80"/>
  <c r="U270" i="80"/>
  <c r="V270" i="80"/>
  <c r="W270" i="80"/>
  <c r="X270" i="80"/>
  <c r="Z270" i="80"/>
  <c r="AA270" i="80"/>
  <c r="AB270" i="80"/>
  <c r="AC270" i="80"/>
  <c r="AD270" i="80"/>
  <c r="AE270" i="80"/>
  <c r="AF270" i="80"/>
  <c r="AG270" i="80"/>
  <c r="AH270" i="80"/>
  <c r="AI270" i="80"/>
  <c r="AJ270" i="80"/>
  <c r="AK270" i="80"/>
  <c r="AL270" i="80"/>
  <c r="AM270" i="80"/>
  <c r="AN270" i="80"/>
  <c r="AO270" i="80"/>
  <c r="AP270" i="80"/>
  <c r="AQ270" i="80"/>
  <c r="AR270" i="80"/>
  <c r="AS270" i="80"/>
  <c r="AT270" i="80"/>
  <c r="AU270" i="80"/>
  <c r="AW270" i="80"/>
  <c r="AX270" i="80"/>
  <c r="AY270" i="80"/>
  <c r="BA270" i="80"/>
  <c r="A271" i="80"/>
  <c r="B271" i="80"/>
  <c r="D271" i="80"/>
  <c r="E271" i="80"/>
  <c r="F271" i="80"/>
  <c r="G271" i="80"/>
  <c r="H271" i="80"/>
  <c r="J271" i="80"/>
  <c r="K271" i="80"/>
  <c r="M271" i="80"/>
  <c r="O271" i="80"/>
  <c r="P271" i="80"/>
  <c r="R271" i="80"/>
  <c r="S271" i="80"/>
  <c r="T271" i="80"/>
  <c r="U271" i="80"/>
  <c r="V271" i="80"/>
  <c r="W271" i="80"/>
  <c r="X271" i="80"/>
  <c r="Z271" i="80"/>
  <c r="AA271" i="80"/>
  <c r="AB271" i="80"/>
  <c r="AC271" i="80"/>
  <c r="AD271" i="80"/>
  <c r="AE271" i="80"/>
  <c r="AF271" i="80"/>
  <c r="AG271" i="80"/>
  <c r="AH271" i="80"/>
  <c r="AI271" i="80"/>
  <c r="AJ271" i="80"/>
  <c r="AK271" i="80"/>
  <c r="AL271" i="80"/>
  <c r="AM271" i="80"/>
  <c r="AN271" i="80"/>
  <c r="AO271" i="80"/>
  <c r="AP271" i="80"/>
  <c r="AQ271" i="80"/>
  <c r="AR271" i="80"/>
  <c r="AS271" i="80"/>
  <c r="AT271" i="80"/>
  <c r="AU271" i="80"/>
  <c r="AW271" i="80"/>
  <c r="AX271" i="80"/>
  <c r="AY271" i="80"/>
  <c r="BA271" i="80"/>
  <c r="A272" i="80"/>
  <c r="B272" i="80"/>
  <c r="D272" i="80"/>
  <c r="E272" i="80"/>
  <c r="F272" i="80"/>
  <c r="G272" i="80"/>
  <c r="H272" i="80"/>
  <c r="J272" i="80"/>
  <c r="K272" i="80"/>
  <c r="M272" i="80"/>
  <c r="O272" i="80"/>
  <c r="P272" i="80"/>
  <c r="R272" i="80"/>
  <c r="S272" i="80"/>
  <c r="T272" i="80"/>
  <c r="U272" i="80"/>
  <c r="V272" i="80"/>
  <c r="W272" i="80"/>
  <c r="X272" i="80"/>
  <c r="Z272" i="80"/>
  <c r="AA272" i="80"/>
  <c r="AB272" i="80"/>
  <c r="AC272" i="80"/>
  <c r="AD272" i="80"/>
  <c r="AE272" i="80"/>
  <c r="AF272" i="80"/>
  <c r="AG272" i="80"/>
  <c r="AH272" i="80"/>
  <c r="AI272" i="80"/>
  <c r="AJ272" i="80"/>
  <c r="AK272" i="80"/>
  <c r="AL272" i="80"/>
  <c r="AM272" i="80"/>
  <c r="AN272" i="80"/>
  <c r="AO272" i="80"/>
  <c r="AP272" i="80"/>
  <c r="AQ272" i="80"/>
  <c r="AR272" i="80"/>
  <c r="AS272" i="80"/>
  <c r="AT272" i="80"/>
  <c r="AU272" i="80"/>
  <c r="AW272" i="80"/>
  <c r="AX272" i="80"/>
  <c r="AY272" i="80"/>
  <c r="BA272" i="80"/>
  <c r="A273" i="80"/>
  <c r="B273" i="80"/>
  <c r="D273" i="80"/>
  <c r="E273" i="80"/>
  <c r="F273" i="80"/>
  <c r="G273" i="80"/>
  <c r="H273" i="80"/>
  <c r="J273" i="80"/>
  <c r="K273" i="80"/>
  <c r="M273" i="80"/>
  <c r="O273" i="80"/>
  <c r="P273" i="80"/>
  <c r="R273" i="80"/>
  <c r="S273" i="80"/>
  <c r="T273" i="80"/>
  <c r="U273" i="80"/>
  <c r="V273" i="80"/>
  <c r="W273" i="80"/>
  <c r="X273" i="80"/>
  <c r="Z273" i="80"/>
  <c r="AA273" i="80"/>
  <c r="AB273" i="80"/>
  <c r="AC273" i="80"/>
  <c r="AD273" i="80"/>
  <c r="AE273" i="80"/>
  <c r="AF273" i="80"/>
  <c r="AG273" i="80"/>
  <c r="AH273" i="80"/>
  <c r="AI273" i="80"/>
  <c r="AJ273" i="80"/>
  <c r="AK273" i="80"/>
  <c r="AL273" i="80"/>
  <c r="AM273" i="80"/>
  <c r="AN273" i="80"/>
  <c r="AO273" i="80"/>
  <c r="AP273" i="80"/>
  <c r="AQ273" i="80"/>
  <c r="AR273" i="80"/>
  <c r="AS273" i="80"/>
  <c r="AT273" i="80"/>
  <c r="AU273" i="80"/>
  <c r="AW273" i="80"/>
  <c r="AX273" i="80"/>
  <c r="AY273" i="80"/>
  <c r="BA273" i="80"/>
  <c r="A274" i="80"/>
  <c r="B274" i="80"/>
  <c r="D274" i="80"/>
  <c r="E274" i="80"/>
  <c r="F274" i="80"/>
  <c r="G274" i="80"/>
  <c r="H274" i="80"/>
  <c r="J274" i="80"/>
  <c r="K274" i="80"/>
  <c r="M274" i="80"/>
  <c r="O274" i="80"/>
  <c r="P274" i="80"/>
  <c r="R274" i="80"/>
  <c r="S274" i="80"/>
  <c r="T274" i="80"/>
  <c r="U274" i="80"/>
  <c r="V274" i="80"/>
  <c r="W274" i="80"/>
  <c r="X274" i="80"/>
  <c r="Z274" i="80"/>
  <c r="AA274" i="80"/>
  <c r="AB274" i="80"/>
  <c r="AC274" i="80"/>
  <c r="AD274" i="80"/>
  <c r="AE274" i="80"/>
  <c r="AF274" i="80"/>
  <c r="AG274" i="80"/>
  <c r="AH274" i="80"/>
  <c r="AI274" i="80"/>
  <c r="AJ274" i="80"/>
  <c r="AK274" i="80"/>
  <c r="AL274" i="80"/>
  <c r="AM274" i="80"/>
  <c r="AN274" i="80"/>
  <c r="AO274" i="80"/>
  <c r="AP274" i="80"/>
  <c r="AQ274" i="80"/>
  <c r="AR274" i="80"/>
  <c r="AS274" i="80"/>
  <c r="AT274" i="80"/>
  <c r="AU274" i="80"/>
  <c r="AW274" i="80"/>
  <c r="AX274" i="80"/>
  <c r="AY274" i="80"/>
  <c r="BA274" i="80"/>
  <c r="A275" i="80"/>
  <c r="B275" i="80"/>
  <c r="D275" i="80"/>
  <c r="E275" i="80"/>
  <c r="F275" i="80"/>
  <c r="G275" i="80"/>
  <c r="H275" i="80"/>
  <c r="J275" i="80"/>
  <c r="K275" i="80"/>
  <c r="M275" i="80"/>
  <c r="O275" i="80"/>
  <c r="P275" i="80"/>
  <c r="R275" i="80"/>
  <c r="S275" i="80"/>
  <c r="T275" i="80"/>
  <c r="U275" i="80"/>
  <c r="V275" i="80"/>
  <c r="W275" i="80"/>
  <c r="X275" i="80"/>
  <c r="Z275" i="80"/>
  <c r="AA275" i="80"/>
  <c r="AB275" i="80"/>
  <c r="AC275" i="80"/>
  <c r="AD275" i="80"/>
  <c r="AE275" i="80"/>
  <c r="AF275" i="80"/>
  <c r="AG275" i="80"/>
  <c r="AH275" i="80"/>
  <c r="AI275" i="80"/>
  <c r="AJ275" i="80"/>
  <c r="AK275" i="80"/>
  <c r="AL275" i="80"/>
  <c r="AM275" i="80"/>
  <c r="AN275" i="80"/>
  <c r="AO275" i="80"/>
  <c r="AP275" i="80"/>
  <c r="AQ275" i="80"/>
  <c r="AR275" i="80"/>
  <c r="AS275" i="80"/>
  <c r="AT275" i="80"/>
  <c r="AU275" i="80"/>
  <c r="AW275" i="80"/>
  <c r="AX275" i="80"/>
  <c r="AY275" i="80"/>
  <c r="BA275" i="80"/>
  <c r="A276" i="80"/>
  <c r="B276" i="80"/>
  <c r="D276" i="80"/>
  <c r="E276" i="80"/>
  <c r="F276" i="80"/>
  <c r="G276" i="80"/>
  <c r="H276" i="80"/>
  <c r="J276" i="80"/>
  <c r="K276" i="80"/>
  <c r="M276" i="80"/>
  <c r="O276" i="80"/>
  <c r="P276" i="80"/>
  <c r="R276" i="80"/>
  <c r="S276" i="80"/>
  <c r="T276" i="80"/>
  <c r="U276" i="80"/>
  <c r="V276" i="80"/>
  <c r="W276" i="80"/>
  <c r="X276" i="80"/>
  <c r="Z276" i="80"/>
  <c r="AA276" i="80"/>
  <c r="AB276" i="80"/>
  <c r="AC276" i="80"/>
  <c r="AD276" i="80"/>
  <c r="AE276" i="80"/>
  <c r="AF276" i="80"/>
  <c r="AG276" i="80"/>
  <c r="AH276" i="80"/>
  <c r="AI276" i="80"/>
  <c r="AJ276" i="80"/>
  <c r="AK276" i="80"/>
  <c r="AL276" i="80"/>
  <c r="AM276" i="80"/>
  <c r="AN276" i="80"/>
  <c r="AO276" i="80"/>
  <c r="AP276" i="80"/>
  <c r="AQ276" i="80"/>
  <c r="AR276" i="80"/>
  <c r="AS276" i="80"/>
  <c r="AT276" i="80"/>
  <c r="AU276" i="80"/>
  <c r="AW276" i="80"/>
  <c r="AX276" i="80"/>
  <c r="AY276" i="80"/>
  <c r="BA276" i="80"/>
  <c r="A277" i="80"/>
  <c r="B277" i="80"/>
  <c r="D277" i="80"/>
  <c r="E277" i="80"/>
  <c r="F277" i="80"/>
  <c r="G277" i="80"/>
  <c r="H277" i="80"/>
  <c r="J277" i="80"/>
  <c r="K277" i="80"/>
  <c r="M277" i="80"/>
  <c r="O277" i="80"/>
  <c r="P277" i="80"/>
  <c r="R277" i="80"/>
  <c r="S277" i="80"/>
  <c r="T277" i="80"/>
  <c r="U277" i="80"/>
  <c r="V277" i="80"/>
  <c r="W277" i="80"/>
  <c r="X277" i="80"/>
  <c r="Z277" i="80"/>
  <c r="AA277" i="80"/>
  <c r="AB277" i="80"/>
  <c r="AC277" i="80"/>
  <c r="AD277" i="80"/>
  <c r="AE277" i="80"/>
  <c r="AF277" i="80"/>
  <c r="AG277" i="80"/>
  <c r="AH277" i="80"/>
  <c r="AI277" i="80"/>
  <c r="AJ277" i="80"/>
  <c r="AK277" i="80"/>
  <c r="AL277" i="80"/>
  <c r="AM277" i="80"/>
  <c r="AN277" i="80"/>
  <c r="AO277" i="80"/>
  <c r="AP277" i="80"/>
  <c r="AQ277" i="80"/>
  <c r="AR277" i="80"/>
  <c r="AS277" i="80"/>
  <c r="AT277" i="80"/>
  <c r="AU277" i="80"/>
  <c r="AW277" i="80"/>
  <c r="AX277" i="80"/>
  <c r="AY277" i="80"/>
  <c r="BA277" i="80"/>
  <c r="A278" i="80"/>
  <c r="B278" i="80"/>
  <c r="D278" i="80"/>
  <c r="E278" i="80"/>
  <c r="F278" i="80"/>
  <c r="G278" i="80"/>
  <c r="H278" i="80"/>
  <c r="J278" i="80"/>
  <c r="K278" i="80"/>
  <c r="M278" i="80"/>
  <c r="O278" i="80"/>
  <c r="P278" i="80"/>
  <c r="R278" i="80"/>
  <c r="S278" i="80"/>
  <c r="T278" i="80"/>
  <c r="U278" i="80"/>
  <c r="V278" i="80"/>
  <c r="W278" i="80"/>
  <c r="X278" i="80"/>
  <c r="Z278" i="80"/>
  <c r="AA278" i="80"/>
  <c r="AB278" i="80"/>
  <c r="AC278" i="80"/>
  <c r="AD278" i="80"/>
  <c r="AE278" i="80"/>
  <c r="AF278" i="80"/>
  <c r="AG278" i="80"/>
  <c r="AH278" i="80"/>
  <c r="AI278" i="80"/>
  <c r="AJ278" i="80"/>
  <c r="AK278" i="80"/>
  <c r="AL278" i="80"/>
  <c r="AM278" i="80"/>
  <c r="AN278" i="80"/>
  <c r="AO278" i="80"/>
  <c r="AP278" i="80"/>
  <c r="AQ278" i="80"/>
  <c r="AR278" i="80"/>
  <c r="AS278" i="80"/>
  <c r="AT278" i="80"/>
  <c r="AU278" i="80"/>
  <c r="AW278" i="80"/>
  <c r="AX278" i="80"/>
  <c r="AY278" i="80"/>
  <c r="BA278" i="80"/>
  <c r="A279" i="80"/>
  <c r="B279" i="80"/>
  <c r="D279" i="80"/>
  <c r="E279" i="80"/>
  <c r="F279" i="80"/>
  <c r="G279" i="80"/>
  <c r="H279" i="80"/>
  <c r="J279" i="80"/>
  <c r="K279" i="80"/>
  <c r="M279" i="80"/>
  <c r="O279" i="80"/>
  <c r="P279" i="80"/>
  <c r="R279" i="80"/>
  <c r="S279" i="80"/>
  <c r="T279" i="80"/>
  <c r="U279" i="80"/>
  <c r="V279" i="80"/>
  <c r="W279" i="80"/>
  <c r="X279" i="80"/>
  <c r="Z279" i="80"/>
  <c r="AA279" i="80"/>
  <c r="AB279" i="80"/>
  <c r="AC279" i="80"/>
  <c r="AD279" i="80"/>
  <c r="AE279" i="80"/>
  <c r="AF279" i="80"/>
  <c r="AG279" i="80"/>
  <c r="AH279" i="80"/>
  <c r="AI279" i="80"/>
  <c r="AJ279" i="80"/>
  <c r="AK279" i="80"/>
  <c r="AL279" i="80"/>
  <c r="AM279" i="80"/>
  <c r="AN279" i="80"/>
  <c r="AO279" i="80"/>
  <c r="AP279" i="80"/>
  <c r="AQ279" i="80"/>
  <c r="AR279" i="80"/>
  <c r="AS279" i="80"/>
  <c r="AT279" i="80"/>
  <c r="AU279" i="80"/>
  <c r="AW279" i="80"/>
  <c r="AX279" i="80"/>
  <c r="AY279" i="80"/>
  <c r="BA279" i="80"/>
  <c r="A280" i="80"/>
  <c r="B280" i="80"/>
  <c r="D280" i="80"/>
  <c r="E280" i="80"/>
  <c r="F280" i="80"/>
  <c r="G280" i="80"/>
  <c r="H280" i="80"/>
  <c r="J280" i="80"/>
  <c r="K280" i="80"/>
  <c r="M280" i="80"/>
  <c r="O280" i="80"/>
  <c r="P280" i="80"/>
  <c r="R280" i="80"/>
  <c r="S280" i="80"/>
  <c r="T280" i="80"/>
  <c r="U280" i="80"/>
  <c r="V280" i="80"/>
  <c r="W280" i="80"/>
  <c r="X280" i="80"/>
  <c r="Z280" i="80"/>
  <c r="AA280" i="80"/>
  <c r="AB280" i="80"/>
  <c r="AC280" i="80"/>
  <c r="AD280" i="80"/>
  <c r="AE280" i="80"/>
  <c r="AF280" i="80"/>
  <c r="AG280" i="80"/>
  <c r="AH280" i="80"/>
  <c r="AI280" i="80"/>
  <c r="AJ280" i="80"/>
  <c r="AK280" i="80"/>
  <c r="AL280" i="80"/>
  <c r="AM280" i="80"/>
  <c r="AN280" i="80"/>
  <c r="AO280" i="80"/>
  <c r="AP280" i="80"/>
  <c r="AQ280" i="80"/>
  <c r="AR280" i="80"/>
  <c r="AS280" i="80"/>
  <c r="AT280" i="80"/>
  <c r="AU280" i="80"/>
  <c r="AW280" i="80"/>
  <c r="AX280" i="80"/>
  <c r="AY280" i="80"/>
  <c r="BA280" i="80"/>
  <c r="A281" i="80"/>
  <c r="B281" i="80"/>
  <c r="D281" i="80"/>
  <c r="E281" i="80"/>
  <c r="F281" i="80"/>
  <c r="G281" i="80"/>
  <c r="H281" i="80"/>
  <c r="J281" i="80"/>
  <c r="K281" i="80"/>
  <c r="M281" i="80"/>
  <c r="O281" i="80"/>
  <c r="P281" i="80"/>
  <c r="R281" i="80"/>
  <c r="S281" i="80"/>
  <c r="T281" i="80"/>
  <c r="U281" i="80"/>
  <c r="V281" i="80"/>
  <c r="W281" i="80"/>
  <c r="X281" i="80"/>
  <c r="Z281" i="80"/>
  <c r="AA281" i="80"/>
  <c r="AB281" i="80"/>
  <c r="AC281" i="80"/>
  <c r="AD281" i="80"/>
  <c r="AE281" i="80"/>
  <c r="AF281" i="80"/>
  <c r="AG281" i="80"/>
  <c r="AH281" i="80"/>
  <c r="AI281" i="80"/>
  <c r="AJ281" i="80"/>
  <c r="AK281" i="80"/>
  <c r="AL281" i="80"/>
  <c r="AM281" i="80"/>
  <c r="AN281" i="80"/>
  <c r="AO281" i="80"/>
  <c r="AP281" i="80"/>
  <c r="AQ281" i="80"/>
  <c r="AR281" i="80"/>
  <c r="AS281" i="80"/>
  <c r="AT281" i="80"/>
  <c r="AU281" i="80"/>
  <c r="AW281" i="80"/>
  <c r="AX281" i="80"/>
  <c r="AY281" i="80"/>
  <c r="BA281" i="80"/>
  <c r="A282" i="80"/>
  <c r="B282" i="80"/>
  <c r="D282" i="80"/>
  <c r="E282" i="80"/>
  <c r="F282" i="80"/>
  <c r="G282" i="80"/>
  <c r="H282" i="80"/>
  <c r="J282" i="80"/>
  <c r="K282" i="80"/>
  <c r="M282" i="80"/>
  <c r="O282" i="80"/>
  <c r="P282" i="80"/>
  <c r="R282" i="80"/>
  <c r="S282" i="80"/>
  <c r="T282" i="80"/>
  <c r="U282" i="80"/>
  <c r="V282" i="80"/>
  <c r="W282" i="80"/>
  <c r="X282" i="80"/>
  <c r="Z282" i="80"/>
  <c r="AA282" i="80"/>
  <c r="AB282" i="80"/>
  <c r="AC282" i="80"/>
  <c r="AD282" i="80"/>
  <c r="AE282" i="80"/>
  <c r="AF282" i="80"/>
  <c r="AG282" i="80"/>
  <c r="AH282" i="80"/>
  <c r="AI282" i="80"/>
  <c r="AJ282" i="80"/>
  <c r="AK282" i="80"/>
  <c r="AL282" i="80"/>
  <c r="AM282" i="80"/>
  <c r="AN282" i="80"/>
  <c r="AO282" i="80"/>
  <c r="AP282" i="80"/>
  <c r="AQ282" i="80"/>
  <c r="AR282" i="80"/>
  <c r="AS282" i="80"/>
  <c r="AT282" i="80"/>
  <c r="AU282" i="80"/>
  <c r="AW282" i="80"/>
  <c r="AX282" i="80"/>
  <c r="AY282" i="80"/>
  <c r="BA282" i="80"/>
  <c r="A283" i="80"/>
  <c r="B283" i="80"/>
  <c r="D283" i="80"/>
  <c r="E283" i="80"/>
  <c r="F283" i="80"/>
  <c r="G283" i="80"/>
  <c r="H283" i="80"/>
  <c r="J283" i="80"/>
  <c r="K283" i="80"/>
  <c r="M283" i="80"/>
  <c r="O283" i="80"/>
  <c r="P283" i="80"/>
  <c r="R283" i="80"/>
  <c r="S283" i="80"/>
  <c r="T283" i="80"/>
  <c r="U283" i="80"/>
  <c r="V283" i="80"/>
  <c r="W283" i="80"/>
  <c r="X283" i="80"/>
  <c r="Z283" i="80"/>
  <c r="AA283" i="80"/>
  <c r="AB283" i="80"/>
  <c r="AC283" i="80"/>
  <c r="AD283" i="80"/>
  <c r="AE283" i="80"/>
  <c r="AF283" i="80"/>
  <c r="AG283" i="80"/>
  <c r="AH283" i="80"/>
  <c r="AI283" i="80"/>
  <c r="AJ283" i="80"/>
  <c r="AK283" i="80"/>
  <c r="AL283" i="80"/>
  <c r="AM283" i="80"/>
  <c r="AN283" i="80"/>
  <c r="AO283" i="80"/>
  <c r="AP283" i="80"/>
  <c r="AQ283" i="80"/>
  <c r="AR283" i="80"/>
  <c r="AS283" i="80"/>
  <c r="AT283" i="80"/>
  <c r="AU283" i="80"/>
  <c r="AW283" i="80"/>
  <c r="AX283" i="80"/>
  <c r="AY283" i="80"/>
  <c r="BA283" i="80"/>
  <c r="A284" i="80"/>
  <c r="B284" i="80"/>
  <c r="D284" i="80"/>
  <c r="E284" i="80"/>
  <c r="F284" i="80"/>
  <c r="G284" i="80"/>
  <c r="H284" i="80"/>
  <c r="J284" i="80"/>
  <c r="K284" i="80"/>
  <c r="M284" i="80"/>
  <c r="O284" i="80"/>
  <c r="P284" i="80"/>
  <c r="R284" i="80"/>
  <c r="S284" i="80"/>
  <c r="T284" i="80"/>
  <c r="U284" i="80"/>
  <c r="V284" i="80"/>
  <c r="W284" i="80"/>
  <c r="X284" i="80"/>
  <c r="Z284" i="80"/>
  <c r="AA284" i="80"/>
  <c r="AB284" i="80"/>
  <c r="AC284" i="80"/>
  <c r="AD284" i="80"/>
  <c r="AE284" i="80"/>
  <c r="AF284" i="80"/>
  <c r="AG284" i="80"/>
  <c r="AH284" i="80"/>
  <c r="AI284" i="80"/>
  <c r="AJ284" i="80"/>
  <c r="AK284" i="80"/>
  <c r="AL284" i="80"/>
  <c r="AM284" i="80"/>
  <c r="AN284" i="80"/>
  <c r="AO284" i="80"/>
  <c r="AP284" i="80"/>
  <c r="AQ284" i="80"/>
  <c r="AR284" i="80"/>
  <c r="AS284" i="80"/>
  <c r="AT284" i="80"/>
  <c r="AU284" i="80"/>
  <c r="AW284" i="80"/>
  <c r="AX284" i="80"/>
  <c r="AY284" i="80"/>
  <c r="BA284" i="80"/>
  <c r="A285" i="80"/>
  <c r="B285" i="80"/>
  <c r="D285" i="80"/>
  <c r="E285" i="80"/>
  <c r="F285" i="80"/>
  <c r="G285" i="80"/>
  <c r="H285" i="80"/>
  <c r="J285" i="80"/>
  <c r="K285" i="80"/>
  <c r="M285" i="80"/>
  <c r="O285" i="80"/>
  <c r="P285" i="80"/>
  <c r="R285" i="80"/>
  <c r="S285" i="80"/>
  <c r="T285" i="80"/>
  <c r="U285" i="80"/>
  <c r="V285" i="80"/>
  <c r="W285" i="80"/>
  <c r="X285" i="80"/>
  <c r="Z285" i="80"/>
  <c r="AA285" i="80"/>
  <c r="AB285" i="80"/>
  <c r="AC285" i="80"/>
  <c r="AD285" i="80"/>
  <c r="AE285" i="80"/>
  <c r="AF285" i="80"/>
  <c r="AG285" i="80"/>
  <c r="AH285" i="80"/>
  <c r="AI285" i="80"/>
  <c r="AJ285" i="80"/>
  <c r="AK285" i="80"/>
  <c r="AL285" i="80"/>
  <c r="AM285" i="80"/>
  <c r="AN285" i="80"/>
  <c r="AO285" i="80"/>
  <c r="AP285" i="80"/>
  <c r="AQ285" i="80"/>
  <c r="AR285" i="80"/>
  <c r="AS285" i="80"/>
  <c r="AT285" i="80"/>
  <c r="AU285" i="80"/>
  <c r="AW285" i="80"/>
  <c r="AX285" i="80"/>
  <c r="AY285" i="80"/>
  <c r="BA285" i="80"/>
  <c r="A286" i="80"/>
  <c r="B286" i="80"/>
  <c r="D286" i="80"/>
  <c r="E286" i="80"/>
  <c r="F286" i="80"/>
  <c r="G286" i="80"/>
  <c r="H286" i="80"/>
  <c r="J286" i="80"/>
  <c r="K286" i="80"/>
  <c r="M286" i="80"/>
  <c r="O286" i="80"/>
  <c r="P286" i="80"/>
  <c r="R286" i="80"/>
  <c r="S286" i="80"/>
  <c r="T286" i="80"/>
  <c r="U286" i="80"/>
  <c r="V286" i="80"/>
  <c r="W286" i="80"/>
  <c r="X286" i="80"/>
  <c r="Z286" i="80"/>
  <c r="AA286" i="80"/>
  <c r="AB286" i="80"/>
  <c r="AC286" i="80"/>
  <c r="AD286" i="80"/>
  <c r="AE286" i="80"/>
  <c r="AF286" i="80"/>
  <c r="AG286" i="80"/>
  <c r="AH286" i="80"/>
  <c r="AI286" i="80"/>
  <c r="AJ286" i="80"/>
  <c r="AK286" i="80"/>
  <c r="AL286" i="80"/>
  <c r="AM286" i="80"/>
  <c r="AN286" i="80"/>
  <c r="AO286" i="80"/>
  <c r="AP286" i="80"/>
  <c r="AQ286" i="80"/>
  <c r="AR286" i="80"/>
  <c r="AS286" i="80"/>
  <c r="AT286" i="80"/>
  <c r="AU286" i="80"/>
  <c r="AW286" i="80"/>
  <c r="AX286" i="80"/>
  <c r="AY286" i="80"/>
  <c r="BA286" i="80"/>
  <c r="A287" i="80"/>
  <c r="B287" i="80"/>
  <c r="D287" i="80"/>
  <c r="E287" i="80"/>
  <c r="F287" i="80"/>
  <c r="G287" i="80"/>
  <c r="H287" i="80"/>
  <c r="J287" i="80"/>
  <c r="K287" i="80"/>
  <c r="M287" i="80"/>
  <c r="O287" i="80"/>
  <c r="P287" i="80"/>
  <c r="R287" i="80"/>
  <c r="S287" i="80"/>
  <c r="T287" i="80"/>
  <c r="U287" i="80"/>
  <c r="V287" i="80"/>
  <c r="W287" i="80"/>
  <c r="X287" i="80"/>
  <c r="Z287" i="80"/>
  <c r="AA287" i="80"/>
  <c r="AB287" i="80"/>
  <c r="AC287" i="80"/>
  <c r="AD287" i="80"/>
  <c r="AE287" i="80"/>
  <c r="AF287" i="80"/>
  <c r="AG287" i="80"/>
  <c r="AH287" i="80"/>
  <c r="AI287" i="80"/>
  <c r="AJ287" i="80"/>
  <c r="AK287" i="80"/>
  <c r="AL287" i="80"/>
  <c r="AM287" i="80"/>
  <c r="AN287" i="80"/>
  <c r="AO287" i="80"/>
  <c r="AP287" i="80"/>
  <c r="AQ287" i="80"/>
  <c r="AR287" i="80"/>
  <c r="AS287" i="80"/>
  <c r="AT287" i="80"/>
  <c r="AU287" i="80"/>
  <c r="AW287" i="80"/>
  <c r="AX287" i="80"/>
  <c r="AY287" i="80"/>
  <c r="BA287" i="80"/>
  <c r="A288" i="80"/>
  <c r="B288" i="80"/>
  <c r="D288" i="80"/>
  <c r="E288" i="80"/>
  <c r="F288" i="80"/>
  <c r="G288" i="80"/>
  <c r="H288" i="80"/>
  <c r="J288" i="80"/>
  <c r="K288" i="80"/>
  <c r="M288" i="80"/>
  <c r="O288" i="80"/>
  <c r="P288" i="80"/>
  <c r="R288" i="80"/>
  <c r="S288" i="80"/>
  <c r="T288" i="80"/>
  <c r="U288" i="80"/>
  <c r="V288" i="80"/>
  <c r="W288" i="80"/>
  <c r="X288" i="80"/>
  <c r="Z288" i="80"/>
  <c r="AA288" i="80"/>
  <c r="AB288" i="80"/>
  <c r="AC288" i="80"/>
  <c r="AD288" i="80"/>
  <c r="AE288" i="80"/>
  <c r="AF288" i="80"/>
  <c r="AG288" i="80"/>
  <c r="AH288" i="80"/>
  <c r="AI288" i="80"/>
  <c r="AJ288" i="80"/>
  <c r="AK288" i="80"/>
  <c r="AL288" i="80"/>
  <c r="AM288" i="80"/>
  <c r="AN288" i="80"/>
  <c r="AO288" i="80"/>
  <c r="AP288" i="80"/>
  <c r="AQ288" i="80"/>
  <c r="AR288" i="80"/>
  <c r="AS288" i="80"/>
  <c r="AT288" i="80"/>
  <c r="AU288" i="80"/>
  <c r="AW288" i="80"/>
  <c r="AX288" i="80"/>
  <c r="AY288" i="80"/>
  <c r="BA288" i="80"/>
  <c r="A289" i="80"/>
  <c r="B289" i="80"/>
  <c r="D289" i="80"/>
  <c r="E289" i="80"/>
  <c r="F289" i="80"/>
  <c r="G289" i="80"/>
  <c r="H289" i="80"/>
  <c r="J289" i="80"/>
  <c r="K289" i="80"/>
  <c r="M289" i="80"/>
  <c r="O289" i="80"/>
  <c r="P289" i="80"/>
  <c r="R289" i="80"/>
  <c r="S289" i="80"/>
  <c r="T289" i="80"/>
  <c r="U289" i="80"/>
  <c r="V289" i="80"/>
  <c r="W289" i="80"/>
  <c r="X289" i="80"/>
  <c r="Z289" i="80"/>
  <c r="AA289" i="80"/>
  <c r="AB289" i="80"/>
  <c r="AC289" i="80"/>
  <c r="AD289" i="80"/>
  <c r="AE289" i="80"/>
  <c r="AF289" i="80"/>
  <c r="AG289" i="80"/>
  <c r="AH289" i="80"/>
  <c r="AI289" i="80"/>
  <c r="AJ289" i="80"/>
  <c r="AK289" i="80"/>
  <c r="AL289" i="80"/>
  <c r="AM289" i="80"/>
  <c r="AN289" i="80"/>
  <c r="AO289" i="80"/>
  <c r="AP289" i="80"/>
  <c r="AQ289" i="80"/>
  <c r="AR289" i="80"/>
  <c r="AS289" i="80"/>
  <c r="AT289" i="80"/>
  <c r="AU289" i="80"/>
  <c r="AW289" i="80"/>
  <c r="AX289" i="80"/>
  <c r="AY289" i="80"/>
  <c r="BA289" i="80"/>
  <c r="A290" i="80"/>
  <c r="B290" i="80"/>
  <c r="D290" i="80"/>
  <c r="E290" i="80"/>
  <c r="F290" i="80"/>
  <c r="G290" i="80"/>
  <c r="H290" i="80"/>
  <c r="J290" i="80"/>
  <c r="K290" i="80"/>
  <c r="M290" i="80"/>
  <c r="O290" i="80"/>
  <c r="P290" i="80"/>
  <c r="R290" i="80"/>
  <c r="S290" i="80"/>
  <c r="T290" i="80"/>
  <c r="U290" i="80"/>
  <c r="V290" i="80"/>
  <c r="W290" i="80"/>
  <c r="X290" i="80"/>
  <c r="Z290" i="80"/>
  <c r="AA290" i="80"/>
  <c r="AB290" i="80"/>
  <c r="AC290" i="80"/>
  <c r="AD290" i="80"/>
  <c r="AE290" i="80"/>
  <c r="AF290" i="80"/>
  <c r="AG290" i="80"/>
  <c r="AH290" i="80"/>
  <c r="AI290" i="80"/>
  <c r="AJ290" i="80"/>
  <c r="AK290" i="80"/>
  <c r="AL290" i="80"/>
  <c r="AM290" i="80"/>
  <c r="AN290" i="80"/>
  <c r="AO290" i="80"/>
  <c r="AP290" i="80"/>
  <c r="AQ290" i="80"/>
  <c r="AR290" i="80"/>
  <c r="AS290" i="80"/>
  <c r="AT290" i="80"/>
  <c r="AU290" i="80"/>
  <c r="AW290" i="80"/>
  <c r="AX290" i="80"/>
  <c r="AY290" i="80"/>
  <c r="BA290" i="80"/>
  <c r="A291" i="80"/>
  <c r="B291" i="80"/>
  <c r="D291" i="80"/>
  <c r="E291" i="80"/>
  <c r="F291" i="80"/>
  <c r="G291" i="80"/>
  <c r="H291" i="80"/>
  <c r="J291" i="80"/>
  <c r="K291" i="80"/>
  <c r="M291" i="80"/>
  <c r="O291" i="80"/>
  <c r="P291" i="80"/>
  <c r="R291" i="80"/>
  <c r="S291" i="80"/>
  <c r="T291" i="80"/>
  <c r="U291" i="80"/>
  <c r="V291" i="80"/>
  <c r="W291" i="80"/>
  <c r="X291" i="80"/>
  <c r="Z291" i="80"/>
  <c r="AA291" i="80"/>
  <c r="AB291" i="80"/>
  <c r="AC291" i="80"/>
  <c r="AD291" i="80"/>
  <c r="AE291" i="80"/>
  <c r="AF291" i="80"/>
  <c r="AG291" i="80"/>
  <c r="AH291" i="80"/>
  <c r="AI291" i="80"/>
  <c r="AJ291" i="80"/>
  <c r="AK291" i="80"/>
  <c r="AL291" i="80"/>
  <c r="AM291" i="80"/>
  <c r="AN291" i="80"/>
  <c r="AO291" i="80"/>
  <c r="AP291" i="80"/>
  <c r="AQ291" i="80"/>
  <c r="AR291" i="80"/>
  <c r="AS291" i="80"/>
  <c r="AT291" i="80"/>
  <c r="AU291" i="80"/>
  <c r="AW291" i="80"/>
  <c r="AX291" i="80"/>
  <c r="AY291" i="80"/>
  <c r="BA291" i="80"/>
  <c r="A292" i="80"/>
  <c r="B292" i="80"/>
  <c r="D292" i="80"/>
  <c r="E292" i="80"/>
  <c r="F292" i="80"/>
  <c r="G292" i="80"/>
  <c r="H292" i="80"/>
  <c r="J292" i="80"/>
  <c r="K292" i="80"/>
  <c r="M292" i="80"/>
  <c r="O292" i="80"/>
  <c r="P292" i="80"/>
  <c r="R292" i="80"/>
  <c r="S292" i="80"/>
  <c r="T292" i="80"/>
  <c r="U292" i="80"/>
  <c r="V292" i="80"/>
  <c r="W292" i="80"/>
  <c r="X292" i="80"/>
  <c r="Z292" i="80"/>
  <c r="AA292" i="80"/>
  <c r="AB292" i="80"/>
  <c r="AC292" i="80"/>
  <c r="AD292" i="80"/>
  <c r="AE292" i="80"/>
  <c r="AF292" i="80"/>
  <c r="AG292" i="80"/>
  <c r="AH292" i="80"/>
  <c r="AI292" i="80"/>
  <c r="AJ292" i="80"/>
  <c r="AK292" i="80"/>
  <c r="AL292" i="80"/>
  <c r="AM292" i="80"/>
  <c r="AN292" i="80"/>
  <c r="AO292" i="80"/>
  <c r="AP292" i="80"/>
  <c r="AQ292" i="80"/>
  <c r="AR292" i="80"/>
  <c r="AS292" i="80"/>
  <c r="AT292" i="80"/>
  <c r="AU292" i="80"/>
  <c r="AW292" i="80"/>
  <c r="AX292" i="80"/>
  <c r="AY292" i="80"/>
  <c r="BA292" i="80"/>
  <c r="A293" i="80"/>
  <c r="B293" i="80"/>
  <c r="D293" i="80"/>
  <c r="E293" i="80"/>
  <c r="F293" i="80"/>
  <c r="G293" i="80"/>
  <c r="H293" i="80"/>
  <c r="J293" i="80"/>
  <c r="K293" i="80"/>
  <c r="M293" i="80"/>
  <c r="O293" i="80"/>
  <c r="P293" i="80"/>
  <c r="R293" i="80"/>
  <c r="S293" i="80"/>
  <c r="T293" i="80"/>
  <c r="U293" i="80"/>
  <c r="V293" i="80"/>
  <c r="W293" i="80"/>
  <c r="X293" i="80"/>
  <c r="Z293" i="80"/>
  <c r="AA293" i="80"/>
  <c r="AB293" i="80"/>
  <c r="AC293" i="80"/>
  <c r="AD293" i="80"/>
  <c r="AE293" i="80"/>
  <c r="AF293" i="80"/>
  <c r="AG293" i="80"/>
  <c r="AH293" i="80"/>
  <c r="AI293" i="80"/>
  <c r="AJ293" i="80"/>
  <c r="AK293" i="80"/>
  <c r="AL293" i="80"/>
  <c r="AM293" i="80"/>
  <c r="AN293" i="80"/>
  <c r="AO293" i="80"/>
  <c r="AP293" i="80"/>
  <c r="AQ293" i="80"/>
  <c r="AR293" i="80"/>
  <c r="AS293" i="80"/>
  <c r="AT293" i="80"/>
  <c r="AU293" i="80"/>
  <c r="AW293" i="80"/>
  <c r="AX293" i="80"/>
  <c r="AY293" i="80"/>
  <c r="BA293" i="80"/>
  <c r="A294" i="80"/>
  <c r="B294" i="80"/>
  <c r="D294" i="80"/>
  <c r="E294" i="80"/>
  <c r="F294" i="80"/>
  <c r="G294" i="80"/>
  <c r="H294" i="80"/>
  <c r="J294" i="80"/>
  <c r="K294" i="80"/>
  <c r="M294" i="80"/>
  <c r="O294" i="80"/>
  <c r="P294" i="80"/>
  <c r="R294" i="80"/>
  <c r="S294" i="80"/>
  <c r="T294" i="80"/>
  <c r="U294" i="80"/>
  <c r="V294" i="80"/>
  <c r="W294" i="80"/>
  <c r="X294" i="80"/>
  <c r="Z294" i="80"/>
  <c r="AA294" i="80"/>
  <c r="AB294" i="80"/>
  <c r="AC294" i="80"/>
  <c r="AD294" i="80"/>
  <c r="AE294" i="80"/>
  <c r="AF294" i="80"/>
  <c r="AG294" i="80"/>
  <c r="AH294" i="80"/>
  <c r="AI294" i="80"/>
  <c r="AJ294" i="80"/>
  <c r="AK294" i="80"/>
  <c r="AL294" i="80"/>
  <c r="AM294" i="80"/>
  <c r="AN294" i="80"/>
  <c r="AO294" i="80"/>
  <c r="AP294" i="80"/>
  <c r="AQ294" i="80"/>
  <c r="AR294" i="80"/>
  <c r="AS294" i="80"/>
  <c r="AT294" i="80"/>
  <c r="AU294" i="80"/>
  <c r="AW294" i="80"/>
  <c r="AX294" i="80"/>
  <c r="AY294" i="80"/>
  <c r="BA294" i="80"/>
  <c r="A295" i="80"/>
  <c r="B295" i="80"/>
  <c r="D295" i="80"/>
  <c r="E295" i="80"/>
  <c r="F295" i="80"/>
  <c r="G295" i="80"/>
  <c r="H295" i="80"/>
  <c r="J295" i="80"/>
  <c r="K295" i="80"/>
  <c r="M295" i="80"/>
  <c r="O295" i="80"/>
  <c r="P295" i="80"/>
  <c r="R295" i="80"/>
  <c r="S295" i="80"/>
  <c r="T295" i="80"/>
  <c r="U295" i="80"/>
  <c r="V295" i="80"/>
  <c r="W295" i="80"/>
  <c r="X295" i="80"/>
  <c r="Z295" i="80"/>
  <c r="AA295" i="80"/>
  <c r="AB295" i="80"/>
  <c r="AC295" i="80"/>
  <c r="AD295" i="80"/>
  <c r="AE295" i="80"/>
  <c r="AF295" i="80"/>
  <c r="AG295" i="80"/>
  <c r="AH295" i="80"/>
  <c r="AI295" i="80"/>
  <c r="AJ295" i="80"/>
  <c r="AK295" i="80"/>
  <c r="AL295" i="80"/>
  <c r="AM295" i="80"/>
  <c r="AN295" i="80"/>
  <c r="AO295" i="80"/>
  <c r="AP295" i="80"/>
  <c r="AQ295" i="80"/>
  <c r="AR295" i="80"/>
  <c r="AS295" i="80"/>
  <c r="AT295" i="80"/>
  <c r="AU295" i="80"/>
  <c r="AW295" i="80"/>
  <c r="AX295" i="80"/>
  <c r="AY295" i="80"/>
  <c r="BA295" i="80"/>
  <c r="A296" i="80"/>
  <c r="B296" i="80"/>
  <c r="D296" i="80"/>
  <c r="E296" i="80"/>
  <c r="F296" i="80"/>
  <c r="G296" i="80"/>
  <c r="H296" i="80"/>
  <c r="J296" i="80"/>
  <c r="K296" i="80"/>
  <c r="M296" i="80"/>
  <c r="O296" i="80"/>
  <c r="P296" i="80"/>
  <c r="R296" i="80"/>
  <c r="S296" i="80"/>
  <c r="T296" i="80"/>
  <c r="U296" i="80"/>
  <c r="V296" i="80"/>
  <c r="W296" i="80"/>
  <c r="X296" i="80"/>
  <c r="Z296" i="80"/>
  <c r="AA296" i="80"/>
  <c r="AB296" i="80"/>
  <c r="AC296" i="80"/>
  <c r="AD296" i="80"/>
  <c r="AE296" i="80"/>
  <c r="AF296" i="80"/>
  <c r="AG296" i="80"/>
  <c r="AH296" i="80"/>
  <c r="AI296" i="80"/>
  <c r="AJ296" i="80"/>
  <c r="AK296" i="80"/>
  <c r="AL296" i="80"/>
  <c r="AM296" i="80"/>
  <c r="AN296" i="80"/>
  <c r="AO296" i="80"/>
  <c r="AP296" i="80"/>
  <c r="AQ296" i="80"/>
  <c r="AR296" i="80"/>
  <c r="AS296" i="80"/>
  <c r="AT296" i="80"/>
  <c r="AU296" i="80"/>
  <c r="AW296" i="80"/>
  <c r="AX296" i="80"/>
  <c r="AY296" i="80"/>
  <c r="BA296" i="80"/>
  <c r="A297" i="80"/>
  <c r="B297" i="80"/>
  <c r="D297" i="80"/>
  <c r="E297" i="80"/>
  <c r="F297" i="80"/>
  <c r="G297" i="80"/>
  <c r="H297" i="80"/>
  <c r="J297" i="80"/>
  <c r="K297" i="80"/>
  <c r="M297" i="80"/>
  <c r="O297" i="80"/>
  <c r="P297" i="80"/>
  <c r="R297" i="80"/>
  <c r="S297" i="80"/>
  <c r="T297" i="80"/>
  <c r="U297" i="80"/>
  <c r="V297" i="80"/>
  <c r="W297" i="80"/>
  <c r="X297" i="80"/>
  <c r="Z297" i="80"/>
  <c r="AA297" i="80"/>
  <c r="AB297" i="80"/>
  <c r="AC297" i="80"/>
  <c r="AD297" i="80"/>
  <c r="AE297" i="80"/>
  <c r="AF297" i="80"/>
  <c r="AG297" i="80"/>
  <c r="AH297" i="80"/>
  <c r="AI297" i="80"/>
  <c r="AJ297" i="80"/>
  <c r="AK297" i="80"/>
  <c r="AL297" i="80"/>
  <c r="AM297" i="80"/>
  <c r="AN297" i="80"/>
  <c r="AO297" i="80"/>
  <c r="AP297" i="80"/>
  <c r="AQ297" i="80"/>
  <c r="AR297" i="80"/>
  <c r="AS297" i="80"/>
  <c r="AT297" i="80"/>
  <c r="AU297" i="80"/>
  <c r="AW297" i="80"/>
  <c r="AX297" i="80"/>
  <c r="AY297" i="80"/>
  <c r="BA297" i="80"/>
  <c r="A298" i="80"/>
  <c r="B298" i="80"/>
  <c r="D298" i="80"/>
  <c r="E298" i="80"/>
  <c r="F298" i="80"/>
  <c r="G298" i="80"/>
  <c r="H298" i="80"/>
  <c r="J298" i="80"/>
  <c r="K298" i="80"/>
  <c r="M298" i="80"/>
  <c r="O298" i="80"/>
  <c r="P298" i="80"/>
  <c r="R298" i="80"/>
  <c r="S298" i="80"/>
  <c r="T298" i="80"/>
  <c r="U298" i="80"/>
  <c r="V298" i="80"/>
  <c r="W298" i="80"/>
  <c r="X298" i="80"/>
  <c r="Z298" i="80"/>
  <c r="AA298" i="80"/>
  <c r="AB298" i="80"/>
  <c r="AC298" i="80"/>
  <c r="AD298" i="80"/>
  <c r="AE298" i="80"/>
  <c r="AF298" i="80"/>
  <c r="AG298" i="80"/>
  <c r="AH298" i="80"/>
  <c r="AI298" i="80"/>
  <c r="AJ298" i="80"/>
  <c r="AK298" i="80"/>
  <c r="AL298" i="80"/>
  <c r="AM298" i="80"/>
  <c r="AN298" i="80"/>
  <c r="AO298" i="80"/>
  <c r="AP298" i="80"/>
  <c r="AQ298" i="80"/>
  <c r="AR298" i="80"/>
  <c r="AS298" i="80"/>
  <c r="AT298" i="80"/>
  <c r="AU298" i="80"/>
  <c r="AW298" i="80"/>
  <c r="AX298" i="80"/>
  <c r="AY298" i="80"/>
  <c r="BA298" i="80"/>
  <c r="A299" i="80"/>
  <c r="B299" i="80"/>
  <c r="D299" i="80"/>
  <c r="E299" i="80"/>
  <c r="F299" i="80"/>
  <c r="G299" i="80"/>
  <c r="H299" i="80"/>
  <c r="J299" i="80"/>
  <c r="K299" i="80"/>
  <c r="M299" i="80"/>
  <c r="O299" i="80"/>
  <c r="P299" i="80"/>
  <c r="R299" i="80"/>
  <c r="S299" i="80"/>
  <c r="T299" i="80"/>
  <c r="U299" i="80"/>
  <c r="V299" i="80"/>
  <c r="W299" i="80"/>
  <c r="X299" i="80"/>
  <c r="Z299" i="80"/>
  <c r="AA299" i="80"/>
  <c r="AB299" i="80"/>
  <c r="AC299" i="80"/>
  <c r="AD299" i="80"/>
  <c r="AE299" i="80"/>
  <c r="AF299" i="80"/>
  <c r="AG299" i="80"/>
  <c r="AH299" i="80"/>
  <c r="AI299" i="80"/>
  <c r="AJ299" i="80"/>
  <c r="AK299" i="80"/>
  <c r="AL299" i="80"/>
  <c r="AM299" i="80"/>
  <c r="AN299" i="80"/>
  <c r="AO299" i="80"/>
  <c r="AP299" i="80"/>
  <c r="AQ299" i="80"/>
  <c r="AR299" i="80"/>
  <c r="AS299" i="80"/>
  <c r="AT299" i="80"/>
  <c r="AU299" i="80"/>
  <c r="AW299" i="80"/>
  <c r="AX299" i="80"/>
  <c r="AY299" i="80"/>
  <c r="BA299" i="80"/>
  <c r="A300" i="80"/>
  <c r="B300" i="80"/>
  <c r="D300" i="80"/>
  <c r="E300" i="80"/>
  <c r="F300" i="80"/>
  <c r="G300" i="80"/>
  <c r="H300" i="80"/>
  <c r="J300" i="80"/>
  <c r="K300" i="80"/>
  <c r="M300" i="80"/>
  <c r="O300" i="80"/>
  <c r="P300" i="80"/>
  <c r="R300" i="80"/>
  <c r="S300" i="80"/>
  <c r="T300" i="80"/>
  <c r="U300" i="80"/>
  <c r="V300" i="80"/>
  <c r="W300" i="80"/>
  <c r="X300" i="80"/>
  <c r="Z300" i="80"/>
  <c r="AA300" i="80"/>
  <c r="AB300" i="80"/>
  <c r="AC300" i="80"/>
  <c r="AD300" i="80"/>
  <c r="AE300" i="80"/>
  <c r="AF300" i="80"/>
  <c r="AG300" i="80"/>
  <c r="AH300" i="80"/>
  <c r="AI300" i="80"/>
  <c r="AJ300" i="80"/>
  <c r="AK300" i="80"/>
  <c r="AL300" i="80"/>
  <c r="AM300" i="80"/>
  <c r="AN300" i="80"/>
  <c r="AO300" i="80"/>
  <c r="AP300" i="80"/>
  <c r="AQ300" i="80"/>
  <c r="AR300" i="80"/>
  <c r="AS300" i="80"/>
  <c r="AT300" i="80"/>
  <c r="AU300" i="80"/>
  <c r="AW300" i="80"/>
  <c r="AX300" i="80"/>
  <c r="AY300" i="80"/>
  <c r="BA300" i="80"/>
  <c r="A301" i="80"/>
  <c r="B301" i="80"/>
  <c r="D301" i="80"/>
  <c r="E301" i="80"/>
  <c r="F301" i="80"/>
  <c r="G301" i="80"/>
  <c r="H301" i="80"/>
  <c r="J301" i="80"/>
  <c r="K301" i="80"/>
  <c r="M301" i="80"/>
  <c r="O301" i="80"/>
  <c r="P301" i="80"/>
  <c r="R301" i="80"/>
  <c r="S301" i="80"/>
  <c r="T301" i="80"/>
  <c r="U301" i="80"/>
  <c r="V301" i="80"/>
  <c r="W301" i="80"/>
  <c r="X301" i="80"/>
  <c r="Z301" i="80"/>
  <c r="AA301" i="80"/>
  <c r="AB301" i="80"/>
  <c r="AC301" i="80"/>
  <c r="AD301" i="80"/>
  <c r="AE301" i="80"/>
  <c r="AF301" i="80"/>
  <c r="AG301" i="80"/>
  <c r="AH301" i="80"/>
  <c r="AI301" i="80"/>
  <c r="AJ301" i="80"/>
  <c r="AK301" i="80"/>
  <c r="AL301" i="80"/>
  <c r="AM301" i="80"/>
  <c r="AN301" i="80"/>
  <c r="AO301" i="80"/>
  <c r="AP301" i="80"/>
  <c r="AQ301" i="80"/>
  <c r="AR301" i="80"/>
  <c r="AS301" i="80"/>
  <c r="AT301" i="80"/>
  <c r="AU301" i="80"/>
  <c r="AW301" i="80"/>
  <c r="AX301" i="80"/>
  <c r="AY301" i="80"/>
  <c r="BA301" i="80"/>
  <c r="A302" i="80"/>
  <c r="B302" i="80"/>
  <c r="D302" i="80"/>
  <c r="E302" i="80"/>
  <c r="F302" i="80"/>
  <c r="G302" i="80"/>
  <c r="H302" i="80"/>
  <c r="J302" i="80"/>
  <c r="K302" i="80"/>
  <c r="M302" i="80"/>
  <c r="O302" i="80"/>
  <c r="P302" i="80"/>
  <c r="R302" i="80"/>
  <c r="S302" i="80"/>
  <c r="T302" i="80"/>
  <c r="U302" i="80"/>
  <c r="V302" i="80"/>
  <c r="W302" i="80"/>
  <c r="X302" i="80"/>
  <c r="Z302" i="80"/>
  <c r="AA302" i="80"/>
  <c r="AB302" i="80"/>
  <c r="AC302" i="80"/>
  <c r="AD302" i="80"/>
  <c r="AE302" i="80"/>
  <c r="AF302" i="80"/>
  <c r="AG302" i="80"/>
  <c r="AH302" i="80"/>
  <c r="AI302" i="80"/>
  <c r="AJ302" i="80"/>
  <c r="AK302" i="80"/>
  <c r="AL302" i="80"/>
  <c r="AM302" i="80"/>
  <c r="AN302" i="80"/>
  <c r="AO302" i="80"/>
  <c r="AP302" i="80"/>
  <c r="AQ302" i="80"/>
  <c r="AR302" i="80"/>
  <c r="AS302" i="80"/>
  <c r="AT302" i="80"/>
  <c r="AU302" i="80"/>
  <c r="AW302" i="80"/>
  <c r="AX302" i="80"/>
  <c r="AY302" i="80"/>
  <c r="BA302" i="80"/>
  <c r="A303" i="80"/>
  <c r="B303" i="80"/>
  <c r="D303" i="80"/>
  <c r="E303" i="80"/>
  <c r="F303" i="80"/>
  <c r="G303" i="80"/>
  <c r="H303" i="80"/>
  <c r="J303" i="80"/>
  <c r="K303" i="80"/>
  <c r="M303" i="80"/>
  <c r="O303" i="80"/>
  <c r="P303" i="80"/>
  <c r="R303" i="80"/>
  <c r="S303" i="80"/>
  <c r="T303" i="80"/>
  <c r="U303" i="80"/>
  <c r="V303" i="80"/>
  <c r="W303" i="80"/>
  <c r="X303" i="80"/>
  <c r="Z303" i="80"/>
  <c r="AA303" i="80"/>
  <c r="AB303" i="80"/>
  <c r="AC303" i="80"/>
  <c r="AD303" i="80"/>
  <c r="AE303" i="80"/>
  <c r="AF303" i="80"/>
  <c r="AG303" i="80"/>
  <c r="AH303" i="80"/>
  <c r="AI303" i="80"/>
  <c r="AJ303" i="80"/>
  <c r="AK303" i="80"/>
  <c r="AL303" i="80"/>
  <c r="AM303" i="80"/>
  <c r="AN303" i="80"/>
  <c r="AO303" i="80"/>
  <c r="AP303" i="80"/>
  <c r="AQ303" i="80"/>
  <c r="AR303" i="80"/>
  <c r="AS303" i="80"/>
  <c r="AT303" i="80"/>
  <c r="AU303" i="80"/>
  <c r="AW303" i="80"/>
  <c r="AX303" i="80"/>
  <c r="AY303" i="80"/>
  <c r="BA303" i="80"/>
  <c r="A304" i="80"/>
  <c r="B304" i="80"/>
  <c r="D304" i="80"/>
  <c r="E304" i="80"/>
  <c r="F304" i="80"/>
  <c r="G304" i="80"/>
  <c r="H304" i="80"/>
  <c r="J304" i="80"/>
  <c r="K304" i="80"/>
  <c r="M304" i="80"/>
  <c r="O304" i="80"/>
  <c r="P304" i="80"/>
  <c r="R304" i="80"/>
  <c r="S304" i="80"/>
  <c r="T304" i="80"/>
  <c r="U304" i="80"/>
  <c r="V304" i="80"/>
  <c r="W304" i="80"/>
  <c r="X304" i="80"/>
  <c r="Z304" i="80"/>
  <c r="AA304" i="80"/>
  <c r="AB304" i="80"/>
  <c r="AC304" i="80"/>
  <c r="AD304" i="80"/>
  <c r="AE304" i="80"/>
  <c r="AF304" i="80"/>
  <c r="AG304" i="80"/>
  <c r="AH304" i="80"/>
  <c r="AI304" i="80"/>
  <c r="AJ304" i="80"/>
  <c r="AK304" i="80"/>
  <c r="AL304" i="80"/>
  <c r="AM304" i="80"/>
  <c r="AN304" i="80"/>
  <c r="AO304" i="80"/>
  <c r="AP304" i="80"/>
  <c r="AQ304" i="80"/>
  <c r="AR304" i="80"/>
  <c r="AS304" i="80"/>
  <c r="AT304" i="80"/>
  <c r="AU304" i="80"/>
  <c r="AW304" i="80"/>
  <c r="AX304" i="80"/>
  <c r="AY304" i="80"/>
  <c r="BA304" i="80"/>
  <c r="A305" i="80"/>
  <c r="B305" i="80"/>
  <c r="D305" i="80"/>
  <c r="E305" i="80"/>
  <c r="F305" i="80"/>
  <c r="G305" i="80"/>
  <c r="H305" i="80"/>
  <c r="J305" i="80"/>
  <c r="K305" i="80"/>
  <c r="M305" i="80"/>
  <c r="O305" i="80"/>
  <c r="P305" i="80"/>
  <c r="R305" i="80"/>
  <c r="S305" i="80"/>
  <c r="T305" i="80"/>
  <c r="U305" i="80"/>
  <c r="V305" i="80"/>
  <c r="W305" i="80"/>
  <c r="X305" i="80"/>
  <c r="Z305" i="80"/>
  <c r="AA305" i="80"/>
  <c r="AB305" i="80"/>
  <c r="AC305" i="80"/>
  <c r="AD305" i="80"/>
  <c r="AE305" i="80"/>
  <c r="AF305" i="80"/>
  <c r="AG305" i="80"/>
  <c r="AH305" i="80"/>
  <c r="AI305" i="80"/>
  <c r="AJ305" i="80"/>
  <c r="AK305" i="80"/>
  <c r="AL305" i="80"/>
  <c r="AM305" i="80"/>
  <c r="AN305" i="80"/>
  <c r="AO305" i="80"/>
  <c r="AP305" i="80"/>
  <c r="AQ305" i="80"/>
  <c r="AR305" i="80"/>
  <c r="AS305" i="80"/>
  <c r="AT305" i="80"/>
  <c r="AU305" i="80"/>
  <c r="AW305" i="80"/>
  <c r="AX305" i="80"/>
  <c r="AY305" i="80"/>
  <c r="BA305" i="80"/>
  <c r="A306" i="80"/>
  <c r="B306" i="80"/>
  <c r="D306" i="80"/>
  <c r="E306" i="80"/>
  <c r="F306" i="80"/>
  <c r="G306" i="80"/>
  <c r="H306" i="80"/>
  <c r="J306" i="80"/>
  <c r="K306" i="80"/>
  <c r="M306" i="80"/>
  <c r="O306" i="80"/>
  <c r="P306" i="80"/>
  <c r="R306" i="80"/>
  <c r="S306" i="80"/>
  <c r="T306" i="80"/>
  <c r="U306" i="80"/>
  <c r="V306" i="80"/>
  <c r="W306" i="80"/>
  <c r="X306" i="80"/>
  <c r="Z306" i="80"/>
  <c r="AA306" i="80"/>
  <c r="AB306" i="80"/>
  <c r="AC306" i="80"/>
  <c r="AD306" i="80"/>
  <c r="AE306" i="80"/>
  <c r="AF306" i="80"/>
  <c r="AG306" i="80"/>
  <c r="AH306" i="80"/>
  <c r="AI306" i="80"/>
  <c r="AJ306" i="80"/>
  <c r="AK306" i="80"/>
  <c r="AL306" i="80"/>
  <c r="AM306" i="80"/>
  <c r="AN306" i="80"/>
  <c r="AO306" i="80"/>
  <c r="AP306" i="80"/>
  <c r="AQ306" i="80"/>
  <c r="AR306" i="80"/>
  <c r="AS306" i="80"/>
  <c r="AT306" i="80"/>
  <c r="AU306" i="80"/>
  <c r="AW306" i="80"/>
  <c r="AX306" i="80"/>
  <c r="AY306" i="80"/>
  <c r="BA306" i="80"/>
  <c r="A307" i="80"/>
  <c r="B307" i="80"/>
  <c r="D307" i="80"/>
  <c r="E307" i="80"/>
  <c r="F307" i="80"/>
  <c r="G307" i="80"/>
  <c r="H307" i="80"/>
  <c r="J307" i="80"/>
  <c r="K307" i="80"/>
  <c r="M307" i="80"/>
  <c r="O307" i="80"/>
  <c r="P307" i="80"/>
  <c r="R307" i="80"/>
  <c r="S307" i="80"/>
  <c r="T307" i="80"/>
  <c r="U307" i="80"/>
  <c r="V307" i="80"/>
  <c r="W307" i="80"/>
  <c r="X307" i="80"/>
  <c r="Z307" i="80"/>
  <c r="AA307" i="80"/>
  <c r="AB307" i="80"/>
  <c r="AC307" i="80"/>
  <c r="AD307" i="80"/>
  <c r="AE307" i="80"/>
  <c r="AF307" i="80"/>
  <c r="AG307" i="80"/>
  <c r="AH307" i="80"/>
  <c r="AI307" i="80"/>
  <c r="AJ307" i="80"/>
  <c r="AK307" i="80"/>
  <c r="AL307" i="80"/>
  <c r="AM307" i="80"/>
  <c r="AN307" i="80"/>
  <c r="AO307" i="80"/>
  <c r="AP307" i="80"/>
  <c r="AQ307" i="80"/>
  <c r="AR307" i="80"/>
  <c r="AS307" i="80"/>
  <c r="AT307" i="80"/>
  <c r="AU307" i="80"/>
  <c r="AW307" i="80"/>
  <c r="AX307" i="80"/>
  <c r="AY307" i="80"/>
  <c r="BA307" i="80"/>
  <c r="A308" i="80"/>
  <c r="B308" i="80"/>
  <c r="D308" i="80"/>
  <c r="E308" i="80"/>
  <c r="F308" i="80"/>
  <c r="G308" i="80"/>
  <c r="H308" i="80"/>
  <c r="J308" i="80"/>
  <c r="K308" i="80"/>
  <c r="M308" i="80"/>
  <c r="O308" i="80"/>
  <c r="P308" i="80"/>
  <c r="R308" i="80"/>
  <c r="S308" i="80"/>
  <c r="T308" i="80"/>
  <c r="U308" i="80"/>
  <c r="V308" i="80"/>
  <c r="W308" i="80"/>
  <c r="X308" i="80"/>
  <c r="Z308" i="80"/>
  <c r="AA308" i="80"/>
  <c r="AB308" i="80"/>
  <c r="AC308" i="80"/>
  <c r="AD308" i="80"/>
  <c r="AE308" i="80"/>
  <c r="AF308" i="80"/>
  <c r="AG308" i="80"/>
  <c r="AH308" i="80"/>
  <c r="AI308" i="80"/>
  <c r="AJ308" i="80"/>
  <c r="AK308" i="80"/>
  <c r="AL308" i="80"/>
  <c r="AM308" i="80"/>
  <c r="AN308" i="80"/>
  <c r="AO308" i="80"/>
  <c r="AP308" i="80"/>
  <c r="AQ308" i="80"/>
  <c r="AR308" i="80"/>
  <c r="AS308" i="80"/>
  <c r="AT308" i="80"/>
  <c r="AU308" i="80"/>
  <c r="AW308" i="80"/>
  <c r="AX308" i="80"/>
  <c r="AY308" i="80"/>
  <c r="BA308" i="80"/>
  <c r="A309" i="80"/>
  <c r="B309" i="80"/>
  <c r="D309" i="80"/>
  <c r="E309" i="80"/>
  <c r="F309" i="80"/>
  <c r="G309" i="80"/>
  <c r="H309" i="80"/>
  <c r="J309" i="80"/>
  <c r="K309" i="80"/>
  <c r="M309" i="80"/>
  <c r="O309" i="80"/>
  <c r="P309" i="80"/>
  <c r="R309" i="80"/>
  <c r="S309" i="80"/>
  <c r="T309" i="80"/>
  <c r="U309" i="80"/>
  <c r="V309" i="80"/>
  <c r="W309" i="80"/>
  <c r="X309" i="80"/>
  <c r="Z309" i="80"/>
  <c r="AA309" i="80"/>
  <c r="AB309" i="80"/>
  <c r="AC309" i="80"/>
  <c r="AD309" i="80"/>
  <c r="AE309" i="80"/>
  <c r="AF309" i="80"/>
  <c r="AG309" i="80"/>
  <c r="AH309" i="80"/>
  <c r="AI309" i="80"/>
  <c r="AJ309" i="80"/>
  <c r="AK309" i="80"/>
  <c r="AL309" i="80"/>
  <c r="AM309" i="80"/>
  <c r="AN309" i="80"/>
  <c r="AO309" i="80"/>
  <c r="AP309" i="80"/>
  <c r="AQ309" i="80"/>
  <c r="AR309" i="80"/>
  <c r="AS309" i="80"/>
  <c r="AT309" i="80"/>
  <c r="AU309" i="80"/>
  <c r="AW309" i="80"/>
  <c r="AX309" i="80"/>
  <c r="AY309" i="80"/>
  <c r="BA309" i="80"/>
  <c r="A310" i="80"/>
  <c r="B310" i="80"/>
  <c r="D310" i="80"/>
  <c r="E310" i="80"/>
  <c r="F310" i="80"/>
  <c r="G310" i="80"/>
  <c r="H310" i="80"/>
  <c r="J310" i="80"/>
  <c r="K310" i="80"/>
  <c r="M310" i="80"/>
  <c r="O310" i="80"/>
  <c r="P310" i="80"/>
  <c r="R310" i="80"/>
  <c r="S310" i="80"/>
  <c r="T310" i="80"/>
  <c r="U310" i="80"/>
  <c r="V310" i="80"/>
  <c r="W310" i="80"/>
  <c r="X310" i="80"/>
  <c r="Z310" i="80"/>
  <c r="AA310" i="80"/>
  <c r="AB310" i="80"/>
  <c r="AC310" i="80"/>
  <c r="AD310" i="80"/>
  <c r="AE310" i="80"/>
  <c r="AF310" i="80"/>
  <c r="AG310" i="80"/>
  <c r="AH310" i="80"/>
  <c r="AI310" i="80"/>
  <c r="AJ310" i="80"/>
  <c r="AK310" i="80"/>
  <c r="AL310" i="80"/>
  <c r="AM310" i="80"/>
  <c r="AN310" i="80"/>
  <c r="AO310" i="80"/>
  <c r="AP310" i="80"/>
  <c r="AQ310" i="80"/>
  <c r="AR310" i="80"/>
  <c r="AS310" i="80"/>
  <c r="AT310" i="80"/>
  <c r="AU310" i="80"/>
  <c r="AW310" i="80"/>
  <c r="AX310" i="80"/>
  <c r="AY310" i="80"/>
  <c r="BA310" i="80"/>
  <c r="A311" i="80"/>
  <c r="B311" i="80"/>
  <c r="D311" i="80"/>
  <c r="E311" i="80"/>
  <c r="F311" i="80"/>
  <c r="G311" i="80"/>
  <c r="H311" i="80"/>
  <c r="J311" i="80"/>
  <c r="K311" i="80"/>
  <c r="M311" i="80"/>
  <c r="O311" i="80"/>
  <c r="P311" i="80"/>
  <c r="R311" i="80"/>
  <c r="S311" i="80"/>
  <c r="T311" i="80"/>
  <c r="U311" i="80"/>
  <c r="V311" i="80"/>
  <c r="W311" i="80"/>
  <c r="X311" i="80"/>
  <c r="Z311" i="80"/>
  <c r="AA311" i="80"/>
  <c r="AB311" i="80"/>
  <c r="AC311" i="80"/>
  <c r="AD311" i="80"/>
  <c r="AE311" i="80"/>
  <c r="AF311" i="80"/>
  <c r="AG311" i="80"/>
  <c r="AH311" i="80"/>
  <c r="AI311" i="80"/>
  <c r="AJ311" i="80"/>
  <c r="AK311" i="80"/>
  <c r="AL311" i="80"/>
  <c r="AM311" i="80"/>
  <c r="AN311" i="80"/>
  <c r="AO311" i="80"/>
  <c r="AP311" i="80"/>
  <c r="AQ311" i="80"/>
  <c r="AR311" i="80"/>
  <c r="AS311" i="80"/>
  <c r="AT311" i="80"/>
  <c r="AU311" i="80"/>
  <c r="AW311" i="80"/>
  <c r="AX311" i="80"/>
  <c r="AY311" i="80"/>
  <c r="BA311" i="80"/>
  <c r="A312" i="80"/>
  <c r="B312" i="80"/>
  <c r="D312" i="80"/>
  <c r="E312" i="80"/>
  <c r="F312" i="80"/>
  <c r="G312" i="80"/>
  <c r="H312" i="80"/>
  <c r="J312" i="80"/>
  <c r="K312" i="80"/>
  <c r="M312" i="80"/>
  <c r="O312" i="80"/>
  <c r="P312" i="80"/>
  <c r="R312" i="80"/>
  <c r="S312" i="80"/>
  <c r="T312" i="80"/>
  <c r="U312" i="80"/>
  <c r="V312" i="80"/>
  <c r="W312" i="80"/>
  <c r="X312" i="80"/>
  <c r="Z312" i="80"/>
  <c r="AA312" i="80"/>
  <c r="AB312" i="80"/>
  <c r="AC312" i="80"/>
  <c r="AD312" i="80"/>
  <c r="AE312" i="80"/>
  <c r="AF312" i="80"/>
  <c r="AG312" i="80"/>
  <c r="AH312" i="80"/>
  <c r="AI312" i="80"/>
  <c r="AJ312" i="80"/>
  <c r="AK312" i="80"/>
  <c r="AL312" i="80"/>
  <c r="AM312" i="80"/>
  <c r="AN312" i="80"/>
  <c r="AO312" i="80"/>
  <c r="AP312" i="80"/>
  <c r="AQ312" i="80"/>
  <c r="AR312" i="80"/>
  <c r="AS312" i="80"/>
  <c r="AT312" i="80"/>
  <c r="AU312" i="80"/>
  <c r="AW312" i="80"/>
  <c r="AX312" i="80"/>
  <c r="AY312" i="80"/>
  <c r="BA312" i="80"/>
  <c r="A313" i="80"/>
  <c r="B313" i="80"/>
  <c r="D313" i="80"/>
  <c r="E313" i="80"/>
  <c r="F313" i="80"/>
  <c r="G313" i="80"/>
  <c r="H313" i="80"/>
  <c r="J313" i="80"/>
  <c r="K313" i="80"/>
  <c r="M313" i="80"/>
  <c r="O313" i="80"/>
  <c r="P313" i="80"/>
  <c r="R313" i="80"/>
  <c r="S313" i="80"/>
  <c r="T313" i="80"/>
  <c r="U313" i="80"/>
  <c r="V313" i="80"/>
  <c r="W313" i="80"/>
  <c r="X313" i="80"/>
  <c r="Z313" i="80"/>
  <c r="AA313" i="80"/>
  <c r="AB313" i="80"/>
  <c r="AC313" i="80"/>
  <c r="AD313" i="80"/>
  <c r="AE313" i="80"/>
  <c r="AF313" i="80"/>
  <c r="AG313" i="80"/>
  <c r="AH313" i="80"/>
  <c r="AI313" i="80"/>
  <c r="AJ313" i="80"/>
  <c r="AK313" i="80"/>
  <c r="AL313" i="80"/>
  <c r="AM313" i="80"/>
  <c r="AN313" i="80"/>
  <c r="AO313" i="80"/>
  <c r="AP313" i="80"/>
  <c r="AQ313" i="80"/>
  <c r="AR313" i="80"/>
  <c r="AS313" i="80"/>
  <c r="AT313" i="80"/>
  <c r="AU313" i="80"/>
  <c r="AW313" i="80"/>
  <c r="AX313" i="80"/>
  <c r="AY313" i="80"/>
  <c r="BA313" i="80"/>
  <c r="A314" i="80"/>
  <c r="B314" i="80"/>
  <c r="D314" i="80"/>
  <c r="E314" i="80"/>
  <c r="F314" i="80"/>
  <c r="G314" i="80"/>
  <c r="H314" i="80"/>
  <c r="J314" i="80"/>
  <c r="K314" i="80"/>
  <c r="M314" i="80"/>
  <c r="O314" i="80"/>
  <c r="P314" i="80"/>
  <c r="R314" i="80"/>
  <c r="S314" i="80"/>
  <c r="T314" i="80"/>
  <c r="U314" i="80"/>
  <c r="V314" i="80"/>
  <c r="W314" i="80"/>
  <c r="X314" i="80"/>
  <c r="Z314" i="80"/>
  <c r="AA314" i="80"/>
  <c r="AB314" i="80"/>
  <c r="AC314" i="80"/>
  <c r="AD314" i="80"/>
  <c r="AE314" i="80"/>
  <c r="AF314" i="80"/>
  <c r="AG314" i="80"/>
  <c r="AH314" i="80"/>
  <c r="AI314" i="80"/>
  <c r="AJ314" i="80"/>
  <c r="AK314" i="80"/>
  <c r="AL314" i="80"/>
  <c r="AM314" i="80"/>
  <c r="AN314" i="80"/>
  <c r="AO314" i="80"/>
  <c r="AP314" i="80"/>
  <c r="AQ314" i="80"/>
  <c r="AR314" i="80"/>
  <c r="AS314" i="80"/>
  <c r="AT314" i="80"/>
  <c r="AU314" i="80"/>
  <c r="AW314" i="80"/>
  <c r="AX314" i="80"/>
  <c r="AY314" i="80"/>
  <c r="BA314" i="80"/>
  <c r="A315" i="80"/>
  <c r="B315" i="80"/>
  <c r="D315" i="80"/>
  <c r="E315" i="80"/>
  <c r="F315" i="80"/>
  <c r="G315" i="80"/>
  <c r="H315" i="80"/>
  <c r="J315" i="80"/>
  <c r="K315" i="80"/>
  <c r="M315" i="80"/>
  <c r="O315" i="80"/>
  <c r="P315" i="80"/>
  <c r="R315" i="80"/>
  <c r="S315" i="80"/>
  <c r="T315" i="80"/>
  <c r="U315" i="80"/>
  <c r="V315" i="80"/>
  <c r="W315" i="80"/>
  <c r="X315" i="80"/>
  <c r="Z315" i="80"/>
  <c r="AA315" i="80"/>
  <c r="AB315" i="80"/>
  <c r="AC315" i="80"/>
  <c r="AD315" i="80"/>
  <c r="AE315" i="80"/>
  <c r="AF315" i="80"/>
  <c r="AG315" i="80"/>
  <c r="AH315" i="80"/>
  <c r="AI315" i="80"/>
  <c r="AJ315" i="80"/>
  <c r="AK315" i="80"/>
  <c r="AL315" i="80"/>
  <c r="AM315" i="80"/>
  <c r="AN315" i="80"/>
  <c r="AO315" i="80"/>
  <c r="AP315" i="80"/>
  <c r="AQ315" i="80"/>
  <c r="AR315" i="80"/>
  <c r="AS315" i="80"/>
  <c r="AT315" i="80"/>
  <c r="AU315" i="80"/>
  <c r="AW315" i="80"/>
  <c r="AX315" i="80"/>
  <c r="AY315" i="80"/>
  <c r="BA315" i="80"/>
  <c r="A316" i="80"/>
  <c r="B316" i="80"/>
  <c r="D316" i="80"/>
  <c r="E316" i="80"/>
  <c r="F316" i="80"/>
  <c r="G316" i="80"/>
  <c r="H316" i="80"/>
  <c r="J316" i="80"/>
  <c r="K316" i="80"/>
  <c r="M316" i="80"/>
  <c r="O316" i="80"/>
  <c r="P316" i="80"/>
  <c r="R316" i="80"/>
  <c r="S316" i="80"/>
  <c r="T316" i="80"/>
  <c r="U316" i="80"/>
  <c r="V316" i="80"/>
  <c r="W316" i="80"/>
  <c r="X316" i="80"/>
  <c r="Z316" i="80"/>
  <c r="AA316" i="80"/>
  <c r="AB316" i="80"/>
  <c r="AC316" i="80"/>
  <c r="AD316" i="80"/>
  <c r="AE316" i="80"/>
  <c r="AF316" i="80"/>
  <c r="AG316" i="80"/>
  <c r="AH316" i="80"/>
  <c r="AI316" i="80"/>
  <c r="AJ316" i="80"/>
  <c r="AK316" i="80"/>
  <c r="AL316" i="80"/>
  <c r="AM316" i="80"/>
  <c r="AN316" i="80"/>
  <c r="AO316" i="80"/>
  <c r="AP316" i="80"/>
  <c r="AQ316" i="80"/>
  <c r="AR316" i="80"/>
  <c r="AS316" i="80"/>
  <c r="AT316" i="80"/>
  <c r="AU316" i="80"/>
  <c r="AW316" i="80"/>
  <c r="AX316" i="80"/>
  <c r="AY316" i="80"/>
  <c r="BA316" i="80"/>
  <c r="A317" i="80"/>
  <c r="B317" i="80"/>
  <c r="D317" i="80"/>
  <c r="E317" i="80"/>
  <c r="F317" i="80"/>
  <c r="G317" i="80"/>
  <c r="H317" i="80"/>
  <c r="J317" i="80"/>
  <c r="K317" i="80"/>
  <c r="M317" i="80"/>
  <c r="O317" i="80"/>
  <c r="P317" i="80"/>
  <c r="R317" i="80"/>
  <c r="S317" i="80"/>
  <c r="T317" i="80"/>
  <c r="U317" i="80"/>
  <c r="V317" i="80"/>
  <c r="W317" i="80"/>
  <c r="X317" i="80"/>
  <c r="Z317" i="80"/>
  <c r="AA317" i="80"/>
  <c r="AB317" i="80"/>
  <c r="AC317" i="80"/>
  <c r="AD317" i="80"/>
  <c r="AE317" i="80"/>
  <c r="AF317" i="80"/>
  <c r="AG317" i="80"/>
  <c r="AH317" i="80"/>
  <c r="AI317" i="80"/>
  <c r="AJ317" i="80"/>
  <c r="AK317" i="80"/>
  <c r="AL317" i="80"/>
  <c r="AM317" i="80"/>
  <c r="AN317" i="80"/>
  <c r="AO317" i="80"/>
  <c r="AP317" i="80"/>
  <c r="AQ317" i="80"/>
  <c r="AR317" i="80"/>
  <c r="AS317" i="80"/>
  <c r="AT317" i="80"/>
  <c r="AU317" i="80"/>
  <c r="AW317" i="80"/>
  <c r="AX317" i="80"/>
  <c r="AY317" i="80"/>
  <c r="BA317" i="80"/>
  <c r="A318" i="80"/>
  <c r="B318" i="80"/>
  <c r="D318" i="80"/>
  <c r="E318" i="80"/>
  <c r="F318" i="80"/>
  <c r="G318" i="80"/>
  <c r="H318" i="80"/>
  <c r="J318" i="80"/>
  <c r="K318" i="80"/>
  <c r="M318" i="80"/>
  <c r="O318" i="80"/>
  <c r="P318" i="80"/>
  <c r="R318" i="80"/>
  <c r="S318" i="80"/>
  <c r="T318" i="80"/>
  <c r="U318" i="80"/>
  <c r="V318" i="80"/>
  <c r="W318" i="80"/>
  <c r="X318" i="80"/>
  <c r="Z318" i="80"/>
  <c r="AA318" i="80"/>
  <c r="AB318" i="80"/>
  <c r="AC318" i="80"/>
  <c r="AD318" i="80"/>
  <c r="AE318" i="80"/>
  <c r="AF318" i="80"/>
  <c r="AG318" i="80"/>
  <c r="AH318" i="80"/>
  <c r="AI318" i="80"/>
  <c r="AJ318" i="80"/>
  <c r="AK318" i="80"/>
  <c r="AL318" i="80"/>
  <c r="AM318" i="80"/>
  <c r="AN318" i="80"/>
  <c r="AO318" i="80"/>
  <c r="AP318" i="80"/>
  <c r="AQ318" i="80"/>
  <c r="AR318" i="80"/>
  <c r="AS318" i="80"/>
  <c r="AT318" i="80"/>
  <c r="AU318" i="80"/>
  <c r="AW318" i="80"/>
  <c r="AX318" i="80"/>
  <c r="AY318" i="80"/>
  <c r="BA318" i="80"/>
  <c r="A319" i="80"/>
  <c r="B319" i="80"/>
  <c r="D319" i="80"/>
  <c r="E319" i="80"/>
  <c r="F319" i="80"/>
  <c r="G319" i="80"/>
  <c r="H319" i="80"/>
  <c r="J319" i="80"/>
  <c r="K319" i="80"/>
  <c r="M319" i="80"/>
  <c r="O319" i="80"/>
  <c r="P319" i="80"/>
  <c r="R319" i="80"/>
  <c r="S319" i="80"/>
  <c r="T319" i="80"/>
  <c r="U319" i="80"/>
  <c r="V319" i="80"/>
  <c r="W319" i="80"/>
  <c r="X319" i="80"/>
  <c r="Z319" i="80"/>
  <c r="AA319" i="80"/>
  <c r="AB319" i="80"/>
  <c r="AC319" i="80"/>
  <c r="AD319" i="80"/>
  <c r="AE319" i="80"/>
  <c r="AF319" i="80"/>
  <c r="AG319" i="80"/>
  <c r="AH319" i="80"/>
  <c r="AI319" i="80"/>
  <c r="AJ319" i="80"/>
  <c r="AK319" i="80"/>
  <c r="AL319" i="80"/>
  <c r="AM319" i="80"/>
  <c r="AN319" i="80"/>
  <c r="AO319" i="80"/>
  <c r="AP319" i="80"/>
  <c r="AQ319" i="80"/>
  <c r="AR319" i="80"/>
  <c r="AS319" i="80"/>
  <c r="AT319" i="80"/>
  <c r="AU319" i="80"/>
  <c r="AW319" i="80"/>
  <c r="AX319" i="80"/>
  <c r="AY319" i="80"/>
  <c r="BA319" i="80"/>
  <c r="A320" i="80"/>
  <c r="B320" i="80"/>
  <c r="D320" i="80"/>
  <c r="E320" i="80"/>
  <c r="F320" i="80"/>
  <c r="G320" i="80"/>
  <c r="H320" i="80"/>
  <c r="J320" i="80"/>
  <c r="K320" i="80"/>
  <c r="M320" i="80"/>
  <c r="O320" i="80"/>
  <c r="P320" i="80"/>
  <c r="R320" i="80"/>
  <c r="S320" i="80"/>
  <c r="T320" i="80"/>
  <c r="U320" i="80"/>
  <c r="V320" i="80"/>
  <c r="W320" i="80"/>
  <c r="X320" i="80"/>
  <c r="Z320" i="80"/>
  <c r="AA320" i="80"/>
  <c r="AB320" i="80"/>
  <c r="AC320" i="80"/>
  <c r="AD320" i="80"/>
  <c r="AE320" i="80"/>
  <c r="AF320" i="80"/>
  <c r="AG320" i="80"/>
  <c r="AH320" i="80"/>
  <c r="AI320" i="80"/>
  <c r="AJ320" i="80"/>
  <c r="AK320" i="80"/>
  <c r="AL320" i="80"/>
  <c r="AM320" i="80"/>
  <c r="AN320" i="80"/>
  <c r="AO320" i="80"/>
  <c r="AP320" i="80"/>
  <c r="AQ320" i="80"/>
  <c r="AR320" i="80"/>
  <c r="AS320" i="80"/>
  <c r="AT320" i="80"/>
  <c r="AU320" i="80"/>
  <c r="AW320" i="80"/>
  <c r="AX320" i="80"/>
  <c r="AY320" i="80"/>
  <c r="BA320" i="80"/>
  <c r="A321" i="80"/>
  <c r="B321" i="80"/>
  <c r="D321" i="80"/>
  <c r="E321" i="80"/>
  <c r="F321" i="80"/>
  <c r="G321" i="80"/>
  <c r="H321" i="80"/>
  <c r="J321" i="80"/>
  <c r="K321" i="80"/>
  <c r="M321" i="80"/>
  <c r="O321" i="80"/>
  <c r="P321" i="80"/>
  <c r="R321" i="80"/>
  <c r="S321" i="80"/>
  <c r="T321" i="80"/>
  <c r="U321" i="80"/>
  <c r="V321" i="80"/>
  <c r="W321" i="80"/>
  <c r="X321" i="80"/>
  <c r="Z321" i="80"/>
  <c r="AA321" i="80"/>
  <c r="AB321" i="80"/>
  <c r="AC321" i="80"/>
  <c r="AD321" i="80"/>
  <c r="AE321" i="80"/>
  <c r="AF321" i="80"/>
  <c r="AG321" i="80"/>
  <c r="AH321" i="80"/>
  <c r="AI321" i="80"/>
  <c r="AJ321" i="80"/>
  <c r="AK321" i="80"/>
  <c r="AL321" i="80"/>
  <c r="AM321" i="80"/>
  <c r="AN321" i="80"/>
  <c r="AO321" i="80"/>
  <c r="AP321" i="80"/>
  <c r="AQ321" i="80"/>
  <c r="AR321" i="80"/>
  <c r="AS321" i="80"/>
  <c r="AT321" i="80"/>
  <c r="AU321" i="80"/>
  <c r="AW321" i="80"/>
  <c r="AX321" i="80"/>
  <c r="AY321" i="80"/>
  <c r="BA321" i="80"/>
  <c r="A322" i="80"/>
  <c r="B322" i="80"/>
  <c r="D322" i="80"/>
  <c r="E322" i="80"/>
  <c r="F322" i="80"/>
  <c r="G322" i="80"/>
  <c r="H322" i="80"/>
  <c r="J322" i="80"/>
  <c r="K322" i="80"/>
  <c r="M322" i="80"/>
  <c r="O322" i="80"/>
  <c r="P322" i="80"/>
  <c r="R322" i="80"/>
  <c r="S322" i="80"/>
  <c r="T322" i="80"/>
  <c r="U322" i="80"/>
  <c r="V322" i="80"/>
  <c r="W322" i="80"/>
  <c r="X322" i="80"/>
  <c r="Z322" i="80"/>
  <c r="AA322" i="80"/>
  <c r="AB322" i="80"/>
  <c r="AC322" i="80"/>
  <c r="AD322" i="80"/>
  <c r="AE322" i="80"/>
  <c r="AF322" i="80"/>
  <c r="AG322" i="80"/>
  <c r="AH322" i="80"/>
  <c r="AI322" i="80"/>
  <c r="AJ322" i="80"/>
  <c r="AK322" i="80"/>
  <c r="AL322" i="80"/>
  <c r="AM322" i="80"/>
  <c r="AN322" i="80"/>
  <c r="AO322" i="80"/>
  <c r="AP322" i="80"/>
  <c r="AQ322" i="80"/>
  <c r="AR322" i="80"/>
  <c r="AS322" i="80"/>
  <c r="AT322" i="80"/>
  <c r="AU322" i="80"/>
  <c r="AW322" i="80"/>
  <c r="AX322" i="80"/>
  <c r="AY322" i="80"/>
  <c r="BA322" i="80"/>
  <c r="A323" i="80"/>
  <c r="B323" i="80"/>
  <c r="D323" i="80"/>
  <c r="E323" i="80"/>
  <c r="F323" i="80"/>
  <c r="G323" i="80"/>
  <c r="H323" i="80"/>
  <c r="J323" i="80"/>
  <c r="K323" i="80"/>
  <c r="M323" i="80"/>
  <c r="O323" i="80"/>
  <c r="P323" i="80"/>
  <c r="R323" i="80"/>
  <c r="S323" i="80"/>
  <c r="T323" i="80"/>
  <c r="U323" i="80"/>
  <c r="V323" i="80"/>
  <c r="W323" i="80"/>
  <c r="X323" i="80"/>
  <c r="Z323" i="80"/>
  <c r="AA323" i="80"/>
  <c r="AB323" i="80"/>
  <c r="AC323" i="80"/>
  <c r="AD323" i="80"/>
  <c r="AE323" i="80"/>
  <c r="AF323" i="80"/>
  <c r="AG323" i="80"/>
  <c r="AH323" i="80"/>
  <c r="AI323" i="80"/>
  <c r="AJ323" i="80"/>
  <c r="AK323" i="80"/>
  <c r="AL323" i="80"/>
  <c r="AM323" i="80"/>
  <c r="AN323" i="80"/>
  <c r="AO323" i="80"/>
  <c r="AP323" i="80"/>
  <c r="AQ323" i="80"/>
  <c r="AR323" i="80"/>
  <c r="AS323" i="80"/>
  <c r="AT323" i="80"/>
  <c r="AU323" i="80"/>
  <c r="AW323" i="80"/>
  <c r="AX323" i="80"/>
  <c r="AY323" i="80"/>
  <c r="BA323" i="80"/>
  <c r="A324" i="80"/>
  <c r="B324" i="80"/>
  <c r="D324" i="80"/>
  <c r="E324" i="80"/>
  <c r="F324" i="80"/>
  <c r="G324" i="80"/>
  <c r="H324" i="80"/>
  <c r="J324" i="80"/>
  <c r="K324" i="80"/>
  <c r="M324" i="80"/>
  <c r="O324" i="80"/>
  <c r="P324" i="80"/>
  <c r="R324" i="80"/>
  <c r="S324" i="80"/>
  <c r="T324" i="80"/>
  <c r="U324" i="80"/>
  <c r="V324" i="80"/>
  <c r="W324" i="80"/>
  <c r="X324" i="80"/>
  <c r="Z324" i="80"/>
  <c r="AA324" i="80"/>
  <c r="AB324" i="80"/>
  <c r="AC324" i="80"/>
  <c r="AD324" i="80"/>
  <c r="AE324" i="80"/>
  <c r="AF324" i="80"/>
  <c r="AG324" i="80"/>
  <c r="AH324" i="80"/>
  <c r="AI324" i="80"/>
  <c r="AJ324" i="80"/>
  <c r="AK324" i="80"/>
  <c r="AL324" i="80"/>
  <c r="AM324" i="80"/>
  <c r="AN324" i="80"/>
  <c r="AO324" i="80"/>
  <c r="AP324" i="80"/>
  <c r="AQ324" i="80"/>
  <c r="AR324" i="80"/>
  <c r="AS324" i="80"/>
  <c r="AT324" i="80"/>
  <c r="AU324" i="80"/>
  <c r="AW324" i="80"/>
  <c r="AX324" i="80"/>
  <c r="AY324" i="80"/>
  <c r="BA324" i="80"/>
  <c r="A325" i="80"/>
  <c r="B325" i="80"/>
  <c r="D325" i="80"/>
  <c r="E325" i="80"/>
  <c r="F325" i="80"/>
  <c r="G325" i="80"/>
  <c r="H325" i="80"/>
  <c r="J325" i="80"/>
  <c r="K325" i="80"/>
  <c r="M325" i="80"/>
  <c r="O325" i="80"/>
  <c r="P325" i="80"/>
  <c r="R325" i="80"/>
  <c r="S325" i="80"/>
  <c r="T325" i="80"/>
  <c r="U325" i="80"/>
  <c r="V325" i="80"/>
  <c r="W325" i="80"/>
  <c r="X325" i="80"/>
  <c r="Z325" i="80"/>
  <c r="AA325" i="80"/>
  <c r="AB325" i="80"/>
  <c r="AC325" i="80"/>
  <c r="AD325" i="80"/>
  <c r="AE325" i="80"/>
  <c r="AF325" i="80"/>
  <c r="AG325" i="80"/>
  <c r="AH325" i="80"/>
  <c r="AI325" i="80"/>
  <c r="AJ325" i="80"/>
  <c r="AK325" i="80"/>
  <c r="AL325" i="80"/>
  <c r="AM325" i="80"/>
  <c r="AN325" i="80"/>
  <c r="AO325" i="80"/>
  <c r="AP325" i="80"/>
  <c r="AQ325" i="80"/>
  <c r="AR325" i="80"/>
  <c r="AS325" i="80"/>
  <c r="AT325" i="80"/>
  <c r="AU325" i="80"/>
  <c r="AW325" i="80"/>
  <c r="AX325" i="80"/>
  <c r="AY325" i="80"/>
  <c r="BA325" i="80"/>
  <c r="A326" i="80"/>
  <c r="B326" i="80"/>
  <c r="D326" i="80"/>
  <c r="E326" i="80"/>
  <c r="F326" i="80"/>
  <c r="G326" i="80"/>
  <c r="H326" i="80"/>
  <c r="J326" i="80"/>
  <c r="K326" i="80"/>
  <c r="M326" i="80"/>
  <c r="O326" i="80"/>
  <c r="P326" i="80"/>
  <c r="R326" i="80"/>
  <c r="S326" i="80"/>
  <c r="T326" i="80"/>
  <c r="U326" i="80"/>
  <c r="V326" i="80"/>
  <c r="W326" i="80"/>
  <c r="X326" i="80"/>
  <c r="Z326" i="80"/>
  <c r="AA326" i="80"/>
  <c r="AB326" i="80"/>
  <c r="AC326" i="80"/>
  <c r="AD326" i="80"/>
  <c r="AE326" i="80"/>
  <c r="AF326" i="80"/>
  <c r="AG326" i="80"/>
  <c r="AH326" i="80"/>
  <c r="AI326" i="80"/>
  <c r="AJ326" i="80"/>
  <c r="AK326" i="80"/>
  <c r="AL326" i="80"/>
  <c r="AM326" i="80"/>
  <c r="AN326" i="80"/>
  <c r="AO326" i="80"/>
  <c r="AP326" i="80"/>
  <c r="AQ326" i="80"/>
  <c r="AR326" i="80"/>
  <c r="AS326" i="80"/>
  <c r="AT326" i="80"/>
  <c r="AU326" i="80"/>
  <c r="AW326" i="80"/>
  <c r="AX326" i="80"/>
  <c r="AY326" i="80"/>
  <c r="BA326" i="80"/>
  <c r="A327" i="80"/>
  <c r="B327" i="80"/>
  <c r="D327" i="80"/>
  <c r="E327" i="80"/>
  <c r="F327" i="80"/>
  <c r="G327" i="80"/>
  <c r="H327" i="80"/>
  <c r="J327" i="80"/>
  <c r="K327" i="80"/>
  <c r="M327" i="80"/>
  <c r="O327" i="80"/>
  <c r="P327" i="80"/>
  <c r="R327" i="80"/>
  <c r="S327" i="80"/>
  <c r="T327" i="80"/>
  <c r="U327" i="80"/>
  <c r="V327" i="80"/>
  <c r="W327" i="80"/>
  <c r="X327" i="80"/>
  <c r="Z327" i="80"/>
  <c r="AA327" i="80"/>
  <c r="AB327" i="80"/>
  <c r="AC327" i="80"/>
  <c r="AD327" i="80"/>
  <c r="AE327" i="80"/>
  <c r="AF327" i="80"/>
  <c r="AG327" i="80"/>
  <c r="AH327" i="80"/>
  <c r="AI327" i="80"/>
  <c r="AJ327" i="80"/>
  <c r="AK327" i="80"/>
  <c r="AL327" i="80"/>
  <c r="AM327" i="80"/>
  <c r="AN327" i="80"/>
  <c r="AO327" i="80"/>
  <c r="AP327" i="80"/>
  <c r="AQ327" i="80"/>
  <c r="AR327" i="80"/>
  <c r="AS327" i="80"/>
  <c r="AT327" i="80"/>
  <c r="AU327" i="80"/>
  <c r="AW327" i="80"/>
  <c r="AX327" i="80"/>
  <c r="AY327" i="80"/>
  <c r="BA327" i="80"/>
  <c r="A328" i="80"/>
  <c r="B328" i="80"/>
  <c r="D328" i="80"/>
  <c r="E328" i="80"/>
  <c r="F328" i="80"/>
  <c r="G328" i="80"/>
  <c r="H328" i="80"/>
  <c r="J328" i="80"/>
  <c r="K328" i="80"/>
  <c r="M328" i="80"/>
  <c r="O328" i="80"/>
  <c r="P328" i="80"/>
  <c r="R328" i="80"/>
  <c r="S328" i="80"/>
  <c r="T328" i="80"/>
  <c r="U328" i="80"/>
  <c r="V328" i="80"/>
  <c r="W328" i="80"/>
  <c r="X328" i="80"/>
  <c r="Z328" i="80"/>
  <c r="AA328" i="80"/>
  <c r="AB328" i="80"/>
  <c r="AC328" i="80"/>
  <c r="AD328" i="80"/>
  <c r="AE328" i="80"/>
  <c r="AF328" i="80"/>
  <c r="AG328" i="80"/>
  <c r="AH328" i="80"/>
  <c r="AI328" i="80"/>
  <c r="AJ328" i="80"/>
  <c r="AK328" i="80"/>
  <c r="AL328" i="80"/>
  <c r="AM328" i="80"/>
  <c r="AN328" i="80"/>
  <c r="AO328" i="80"/>
  <c r="AP328" i="80"/>
  <c r="AQ328" i="80"/>
  <c r="AR328" i="80"/>
  <c r="AS328" i="80"/>
  <c r="AT328" i="80"/>
  <c r="AU328" i="80"/>
  <c r="AW328" i="80"/>
  <c r="AX328" i="80"/>
  <c r="AY328" i="80"/>
  <c r="BA328" i="80"/>
  <c r="A329" i="80"/>
  <c r="B329" i="80"/>
  <c r="D329" i="80"/>
  <c r="E329" i="80"/>
  <c r="F329" i="80"/>
  <c r="G329" i="80"/>
  <c r="H329" i="80"/>
  <c r="J329" i="80"/>
  <c r="K329" i="80"/>
  <c r="M329" i="80"/>
  <c r="O329" i="80"/>
  <c r="P329" i="80"/>
  <c r="R329" i="80"/>
  <c r="S329" i="80"/>
  <c r="T329" i="80"/>
  <c r="U329" i="80"/>
  <c r="V329" i="80"/>
  <c r="W329" i="80"/>
  <c r="X329" i="80"/>
  <c r="Z329" i="80"/>
  <c r="AA329" i="80"/>
  <c r="AB329" i="80"/>
  <c r="AC329" i="80"/>
  <c r="AD329" i="80"/>
  <c r="AE329" i="80"/>
  <c r="AF329" i="80"/>
  <c r="AG329" i="80"/>
  <c r="AH329" i="80"/>
  <c r="AI329" i="80"/>
  <c r="AJ329" i="80"/>
  <c r="AK329" i="80"/>
  <c r="AL329" i="80"/>
  <c r="AM329" i="80"/>
  <c r="AN329" i="80"/>
  <c r="AO329" i="80"/>
  <c r="AP329" i="80"/>
  <c r="AQ329" i="80"/>
  <c r="AR329" i="80"/>
  <c r="AS329" i="80"/>
  <c r="AT329" i="80"/>
  <c r="AU329" i="80"/>
  <c r="AW329" i="80"/>
  <c r="AX329" i="80"/>
  <c r="AY329" i="80"/>
  <c r="BA329" i="80"/>
  <c r="A330" i="80"/>
  <c r="B330" i="80"/>
  <c r="D330" i="80"/>
  <c r="E330" i="80"/>
  <c r="F330" i="80"/>
  <c r="G330" i="80"/>
  <c r="H330" i="80"/>
  <c r="J330" i="80"/>
  <c r="K330" i="80"/>
  <c r="M330" i="80"/>
  <c r="O330" i="80"/>
  <c r="P330" i="80"/>
  <c r="R330" i="80"/>
  <c r="S330" i="80"/>
  <c r="T330" i="80"/>
  <c r="U330" i="80"/>
  <c r="V330" i="80"/>
  <c r="W330" i="80"/>
  <c r="X330" i="80"/>
  <c r="Z330" i="80"/>
  <c r="AA330" i="80"/>
  <c r="AB330" i="80"/>
  <c r="AC330" i="80"/>
  <c r="AD330" i="80"/>
  <c r="AE330" i="80"/>
  <c r="AF330" i="80"/>
  <c r="AG330" i="80"/>
  <c r="AH330" i="80"/>
  <c r="AI330" i="80"/>
  <c r="AJ330" i="80"/>
  <c r="AK330" i="80"/>
  <c r="AL330" i="80"/>
  <c r="AM330" i="80"/>
  <c r="AN330" i="80"/>
  <c r="AO330" i="80"/>
  <c r="AP330" i="80"/>
  <c r="AQ330" i="80"/>
  <c r="AR330" i="80"/>
  <c r="AS330" i="80"/>
  <c r="AT330" i="80"/>
  <c r="AU330" i="80"/>
  <c r="AW330" i="80"/>
  <c r="AX330" i="80"/>
  <c r="AY330" i="80"/>
  <c r="BA330" i="80"/>
  <c r="A331" i="80"/>
  <c r="B331" i="80"/>
  <c r="D331" i="80"/>
  <c r="E331" i="80"/>
  <c r="F331" i="80"/>
  <c r="G331" i="80"/>
  <c r="H331" i="80"/>
  <c r="J331" i="80"/>
  <c r="K331" i="80"/>
  <c r="M331" i="80"/>
  <c r="O331" i="80"/>
  <c r="P331" i="80"/>
  <c r="R331" i="80"/>
  <c r="S331" i="80"/>
  <c r="T331" i="80"/>
  <c r="U331" i="80"/>
  <c r="V331" i="80"/>
  <c r="W331" i="80"/>
  <c r="X331" i="80"/>
  <c r="Z331" i="80"/>
  <c r="AA331" i="80"/>
  <c r="AB331" i="80"/>
  <c r="AC331" i="80"/>
  <c r="AD331" i="80"/>
  <c r="AE331" i="80"/>
  <c r="AF331" i="80"/>
  <c r="AG331" i="80"/>
  <c r="AH331" i="80"/>
  <c r="AI331" i="80"/>
  <c r="AJ331" i="80"/>
  <c r="AK331" i="80"/>
  <c r="AL331" i="80"/>
  <c r="AM331" i="80"/>
  <c r="AN331" i="80"/>
  <c r="AO331" i="80"/>
  <c r="AP331" i="80"/>
  <c r="AQ331" i="80"/>
  <c r="AR331" i="80"/>
  <c r="AS331" i="80"/>
  <c r="AT331" i="80"/>
  <c r="AU331" i="80"/>
  <c r="AW331" i="80"/>
  <c r="AX331" i="80"/>
  <c r="AY331" i="80"/>
  <c r="BA331" i="80"/>
  <c r="A332" i="80"/>
  <c r="B332" i="80"/>
  <c r="D332" i="80"/>
  <c r="E332" i="80"/>
  <c r="F332" i="80"/>
  <c r="G332" i="80"/>
  <c r="H332" i="80"/>
  <c r="J332" i="80"/>
  <c r="K332" i="80"/>
  <c r="M332" i="80"/>
  <c r="O332" i="80"/>
  <c r="P332" i="80"/>
  <c r="R332" i="80"/>
  <c r="S332" i="80"/>
  <c r="T332" i="80"/>
  <c r="U332" i="80"/>
  <c r="V332" i="80"/>
  <c r="W332" i="80"/>
  <c r="X332" i="80"/>
  <c r="Z332" i="80"/>
  <c r="AA332" i="80"/>
  <c r="AB332" i="80"/>
  <c r="AC332" i="80"/>
  <c r="AD332" i="80"/>
  <c r="AE332" i="80"/>
  <c r="AF332" i="80"/>
  <c r="AG332" i="80"/>
  <c r="AH332" i="80"/>
  <c r="AI332" i="80"/>
  <c r="AJ332" i="80"/>
  <c r="AK332" i="80"/>
  <c r="AL332" i="80"/>
  <c r="AM332" i="80"/>
  <c r="AN332" i="80"/>
  <c r="AO332" i="80"/>
  <c r="AP332" i="80"/>
  <c r="AQ332" i="80"/>
  <c r="AR332" i="80"/>
  <c r="AS332" i="80"/>
  <c r="AT332" i="80"/>
  <c r="AU332" i="80"/>
  <c r="AW332" i="80"/>
  <c r="AX332" i="80"/>
  <c r="AY332" i="80"/>
  <c r="BA332" i="80"/>
  <c r="A333" i="80"/>
  <c r="B333" i="80"/>
  <c r="D333" i="80"/>
  <c r="E333" i="80"/>
  <c r="F333" i="80"/>
  <c r="G333" i="80"/>
  <c r="H333" i="80"/>
  <c r="J333" i="80"/>
  <c r="K333" i="80"/>
  <c r="M333" i="80"/>
  <c r="O333" i="80"/>
  <c r="P333" i="80"/>
  <c r="R333" i="80"/>
  <c r="S333" i="80"/>
  <c r="T333" i="80"/>
  <c r="U333" i="80"/>
  <c r="V333" i="80"/>
  <c r="W333" i="80"/>
  <c r="X333" i="80"/>
  <c r="Z333" i="80"/>
  <c r="AA333" i="80"/>
  <c r="AB333" i="80"/>
  <c r="AC333" i="80"/>
  <c r="AD333" i="80"/>
  <c r="AE333" i="80"/>
  <c r="AF333" i="80"/>
  <c r="AG333" i="80"/>
  <c r="AH333" i="80"/>
  <c r="AI333" i="80"/>
  <c r="AJ333" i="80"/>
  <c r="AK333" i="80"/>
  <c r="AL333" i="80"/>
  <c r="AM333" i="80"/>
  <c r="AN333" i="80"/>
  <c r="AO333" i="80"/>
  <c r="AP333" i="80"/>
  <c r="AQ333" i="80"/>
  <c r="AR333" i="80"/>
  <c r="AS333" i="80"/>
  <c r="AT333" i="80"/>
  <c r="AU333" i="80"/>
  <c r="AW333" i="80"/>
  <c r="AX333" i="80"/>
  <c r="AY333" i="80"/>
  <c r="BA333" i="80"/>
  <c r="A334" i="80"/>
  <c r="B334" i="80"/>
  <c r="D334" i="80"/>
  <c r="E334" i="80"/>
  <c r="F334" i="80"/>
  <c r="G334" i="80"/>
  <c r="H334" i="80"/>
  <c r="J334" i="80"/>
  <c r="K334" i="80"/>
  <c r="M334" i="80"/>
  <c r="O334" i="80"/>
  <c r="P334" i="80"/>
  <c r="R334" i="80"/>
  <c r="S334" i="80"/>
  <c r="T334" i="80"/>
  <c r="U334" i="80"/>
  <c r="V334" i="80"/>
  <c r="W334" i="80"/>
  <c r="X334" i="80"/>
  <c r="Z334" i="80"/>
  <c r="AA334" i="80"/>
  <c r="AB334" i="80"/>
  <c r="AC334" i="80"/>
  <c r="AD334" i="80"/>
  <c r="AE334" i="80"/>
  <c r="AF334" i="80"/>
  <c r="AG334" i="80"/>
  <c r="AH334" i="80"/>
  <c r="AI334" i="80"/>
  <c r="AJ334" i="80"/>
  <c r="AK334" i="80"/>
  <c r="AL334" i="80"/>
  <c r="AM334" i="80"/>
  <c r="AN334" i="80"/>
  <c r="AO334" i="80"/>
  <c r="AP334" i="80"/>
  <c r="AQ334" i="80"/>
  <c r="AR334" i="80"/>
  <c r="AS334" i="80"/>
  <c r="AT334" i="80"/>
  <c r="AU334" i="80"/>
  <c r="AW334" i="80"/>
  <c r="AX334" i="80"/>
  <c r="AY334" i="80"/>
  <c r="BA334" i="80"/>
  <c r="A335" i="80"/>
  <c r="B335" i="80"/>
  <c r="D335" i="80"/>
  <c r="E335" i="80"/>
  <c r="F335" i="80"/>
  <c r="G335" i="80"/>
  <c r="H335" i="80"/>
  <c r="J335" i="80"/>
  <c r="K335" i="80"/>
  <c r="M335" i="80"/>
  <c r="O335" i="80"/>
  <c r="P335" i="80"/>
  <c r="R335" i="80"/>
  <c r="S335" i="80"/>
  <c r="T335" i="80"/>
  <c r="U335" i="80"/>
  <c r="V335" i="80"/>
  <c r="W335" i="80"/>
  <c r="X335" i="80"/>
  <c r="Z335" i="80"/>
  <c r="AA335" i="80"/>
  <c r="AB335" i="80"/>
  <c r="AC335" i="80"/>
  <c r="AD335" i="80"/>
  <c r="AE335" i="80"/>
  <c r="AF335" i="80"/>
  <c r="AG335" i="80"/>
  <c r="AH335" i="80"/>
  <c r="AI335" i="80"/>
  <c r="AJ335" i="80"/>
  <c r="AK335" i="80"/>
  <c r="AL335" i="80"/>
  <c r="AM335" i="80"/>
  <c r="AN335" i="80"/>
  <c r="AO335" i="80"/>
  <c r="AP335" i="80"/>
  <c r="AQ335" i="80"/>
  <c r="AR335" i="80"/>
  <c r="AS335" i="80"/>
  <c r="AT335" i="80"/>
  <c r="AU335" i="80"/>
  <c r="AW335" i="80"/>
  <c r="AX335" i="80"/>
  <c r="AY335" i="80"/>
  <c r="BA335" i="80"/>
  <c r="A336" i="80"/>
  <c r="B336" i="80"/>
  <c r="D336" i="80"/>
  <c r="E336" i="80"/>
  <c r="F336" i="80"/>
  <c r="G336" i="80"/>
  <c r="H336" i="80"/>
  <c r="J336" i="80"/>
  <c r="K336" i="80"/>
  <c r="M336" i="80"/>
  <c r="O336" i="80"/>
  <c r="P336" i="80"/>
  <c r="R336" i="80"/>
  <c r="S336" i="80"/>
  <c r="T336" i="80"/>
  <c r="U336" i="80"/>
  <c r="V336" i="80"/>
  <c r="W336" i="80"/>
  <c r="X336" i="80"/>
  <c r="Z336" i="80"/>
  <c r="AA336" i="80"/>
  <c r="AB336" i="80"/>
  <c r="AC336" i="80"/>
  <c r="AD336" i="80"/>
  <c r="AE336" i="80"/>
  <c r="AF336" i="80"/>
  <c r="AG336" i="80"/>
  <c r="AH336" i="80"/>
  <c r="AI336" i="80"/>
  <c r="AJ336" i="80"/>
  <c r="AK336" i="80"/>
  <c r="AL336" i="80"/>
  <c r="AM336" i="80"/>
  <c r="AN336" i="80"/>
  <c r="AO336" i="80"/>
  <c r="AP336" i="80"/>
  <c r="AQ336" i="80"/>
  <c r="AR336" i="80"/>
  <c r="AS336" i="80"/>
  <c r="AT336" i="80"/>
  <c r="AU336" i="80"/>
  <c r="AW336" i="80"/>
  <c r="AX336" i="80"/>
  <c r="AY336" i="80"/>
  <c r="BA336" i="80"/>
  <c r="A337" i="80"/>
  <c r="B337" i="80"/>
  <c r="D337" i="80"/>
  <c r="E337" i="80"/>
  <c r="F337" i="80"/>
  <c r="G337" i="80"/>
  <c r="H337" i="80"/>
  <c r="J337" i="80"/>
  <c r="K337" i="80"/>
  <c r="M337" i="80"/>
  <c r="O337" i="80"/>
  <c r="P337" i="80"/>
  <c r="R337" i="80"/>
  <c r="S337" i="80"/>
  <c r="T337" i="80"/>
  <c r="U337" i="80"/>
  <c r="V337" i="80"/>
  <c r="W337" i="80"/>
  <c r="X337" i="80"/>
  <c r="Z337" i="80"/>
  <c r="AA337" i="80"/>
  <c r="AB337" i="80"/>
  <c r="AC337" i="80"/>
  <c r="AD337" i="80"/>
  <c r="AE337" i="80"/>
  <c r="AF337" i="80"/>
  <c r="AG337" i="80"/>
  <c r="AH337" i="80"/>
  <c r="AI337" i="80"/>
  <c r="AJ337" i="80"/>
  <c r="AK337" i="80"/>
  <c r="AL337" i="80"/>
  <c r="AM337" i="80"/>
  <c r="AN337" i="80"/>
  <c r="AO337" i="80"/>
  <c r="AP337" i="80"/>
  <c r="AQ337" i="80"/>
  <c r="AR337" i="80"/>
  <c r="AS337" i="80"/>
  <c r="AT337" i="80"/>
  <c r="AU337" i="80"/>
  <c r="AW337" i="80"/>
  <c r="AX337" i="80"/>
  <c r="AY337" i="80"/>
  <c r="BA337" i="80"/>
  <c r="A338" i="80"/>
  <c r="B338" i="80"/>
  <c r="D338" i="80"/>
  <c r="E338" i="80"/>
  <c r="F338" i="80"/>
  <c r="G338" i="80"/>
  <c r="H338" i="80"/>
  <c r="J338" i="80"/>
  <c r="K338" i="80"/>
  <c r="M338" i="80"/>
  <c r="O338" i="80"/>
  <c r="P338" i="80"/>
  <c r="R338" i="80"/>
  <c r="S338" i="80"/>
  <c r="T338" i="80"/>
  <c r="U338" i="80"/>
  <c r="V338" i="80"/>
  <c r="W338" i="80"/>
  <c r="X338" i="80"/>
  <c r="Z338" i="80"/>
  <c r="AA338" i="80"/>
  <c r="AB338" i="80"/>
  <c r="AC338" i="80"/>
  <c r="AD338" i="80"/>
  <c r="AE338" i="80"/>
  <c r="AF338" i="80"/>
  <c r="AG338" i="80"/>
  <c r="AH338" i="80"/>
  <c r="AI338" i="80"/>
  <c r="AJ338" i="80"/>
  <c r="AK338" i="80"/>
  <c r="AL338" i="80"/>
  <c r="AM338" i="80"/>
  <c r="AN338" i="80"/>
  <c r="AO338" i="80"/>
  <c r="AP338" i="80"/>
  <c r="AQ338" i="80"/>
  <c r="AR338" i="80"/>
  <c r="AS338" i="80"/>
  <c r="AT338" i="80"/>
  <c r="AU338" i="80"/>
  <c r="AW338" i="80"/>
  <c r="AX338" i="80"/>
  <c r="AY338" i="80"/>
  <c r="BA338" i="80"/>
  <c r="A339" i="80"/>
  <c r="B339" i="80"/>
  <c r="D339" i="80"/>
  <c r="E339" i="80"/>
  <c r="F339" i="80"/>
  <c r="G339" i="80"/>
  <c r="H339" i="80"/>
  <c r="J339" i="80"/>
  <c r="K339" i="80"/>
  <c r="M339" i="80"/>
  <c r="O339" i="80"/>
  <c r="P339" i="80"/>
  <c r="R339" i="80"/>
  <c r="S339" i="80"/>
  <c r="T339" i="80"/>
  <c r="U339" i="80"/>
  <c r="V339" i="80"/>
  <c r="W339" i="80"/>
  <c r="X339" i="80"/>
  <c r="Z339" i="80"/>
  <c r="AA339" i="80"/>
  <c r="AB339" i="80"/>
  <c r="AC339" i="80"/>
  <c r="AD339" i="80"/>
  <c r="AE339" i="80"/>
  <c r="AF339" i="80"/>
  <c r="AG339" i="80"/>
  <c r="AH339" i="80"/>
  <c r="AI339" i="80"/>
  <c r="AJ339" i="80"/>
  <c r="AK339" i="80"/>
  <c r="AL339" i="80"/>
  <c r="AM339" i="80"/>
  <c r="AN339" i="80"/>
  <c r="AO339" i="80"/>
  <c r="AP339" i="80"/>
  <c r="AQ339" i="80"/>
  <c r="AR339" i="80"/>
  <c r="AS339" i="80"/>
  <c r="AT339" i="80"/>
  <c r="AU339" i="80"/>
  <c r="AW339" i="80"/>
  <c r="AX339" i="80"/>
  <c r="AY339" i="80"/>
  <c r="BA339" i="80"/>
  <c r="A340" i="80"/>
  <c r="B340" i="80"/>
  <c r="D340" i="80"/>
  <c r="E340" i="80"/>
  <c r="F340" i="80"/>
  <c r="G340" i="80"/>
  <c r="H340" i="80"/>
  <c r="J340" i="80"/>
  <c r="K340" i="80"/>
  <c r="M340" i="80"/>
  <c r="O340" i="80"/>
  <c r="P340" i="80"/>
  <c r="R340" i="80"/>
  <c r="S340" i="80"/>
  <c r="T340" i="80"/>
  <c r="U340" i="80"/>
  <c r="V340" i="80"/>
  <c r="W340" i="80"/>
  <c r="X340" i="80"/>
  <c r="Z340" i="80"/>
  <c r="AA340" i="80"/>
  <c r="AB340" i="80"/>
  <c r="AC340" i="80"/>
  <c r="AD340" i="80"/>
  <c r="AE340" i="80"/>
  <c r="AF340" i="80"/>
  <c r="AG340" i="80"/>
  <c r="AH340" i="80"/>
  <c r="AI340" i="80"/>
  <c r="AJ340" i="80"/>
  <c r="AK340" i="80"/>
  <c r="AL340" i="80"/>
  <c r="AM340" i="80"/>
  <c r="AN340" i="80"/>
  <c r="AO340" i="80"/>
  <c r="AP340" i="80"/>
  <c r="AQ340" i="80"/>
  <c r="AR340" i="80"/>
  <c r="AS340" i="80"/>
  <c r="AT340" i="80"/>
  <c r="AU340" i="80"/>
  <c r="AW340" i="80"/>
  <c r="AX340" i="80"/>
  <c r="AY340" i="80"/>
  <c r="BA340" i="80"/>
  <c r="A341" i="80"/>
  <c r="B341" i="80"/>
  <c r="D341" i="80"/>
  <c r="E341" i="80"/>
  <c r="F341" i="80"/>
  <c r="G341" i="80"/>
  <c r="H341" i="80"/>
  <c r="J341" i="80"/>
  <c r="K341" i="80"/>
  <c r="M341" i="80"/>
  <c r="O341" i="80"/>
  <c r="P341" i="80"/>
  <c r="R341" i="80"/>
  <c r="S341" i="80"/>
  <c r="T341" i="80"/>
  <c r="U341" i="80"/>
  <c r="V341" i="80"/>
  <c r="W341" i="80"/>
  <c r="X341" i="80"/>
  <c r="Z341" i="80"/>
  <c r="AA341" i="80"/>
  <c r="AB341" i="80"/>
  <c r="AC341" i="80"/>
  <c r="AD341" i="80"/>
  <c r="AE341" i="80"/>
  <c r="AF341" i="80"/>
  <c r="AG341" i="80"/>
  <c r="AH341" i="80"/>
  <c r="AI341" i="80"/>
  <c r="AJ341" i="80"/>
  <c r="AK341" i="80"/>
  <c r="AL341" i="80"/>
  <c r="AM341" i="80"/>
  <c r="AN341" i="80"/>
  <c r="AO341" i="80"/>
  <c r="AP341" i="80"/>
  <c r="AQ341" i="80"/>
  <c r="AR341" i="80"/>
  <c r="AS341" i="80"/>
  <c r="AT341" i="80"/>
  <c r="AU341" i="80"/>
  <c r="AW341" i="80"/>
  <c r="AX341" i="80"/>
  <c r="AY341" i="80"/>
  <c r="BA341" i="80"/>
  <c r="A342" i="80"/>
  <c r="B342" i="80"/>
  <c r="D342" i="80"/>
  <c r="E342" i="80"/>
  <c r="F342" i="80"/>
  <c r="G342" i="80"/>
  <c r="H342" i="80"/>
  <c r="J342" i="80"/>
  <c r="K342" i="80"/>
  <c r="M342" i="80"/>
  <c r="O342" i="80"/>
  <c r="P342" i="80"/>
  <c r="R342" i="80"/>
  <c r="S342" i="80"/>
  <c r="T342" i="80"/>
  <c r="U342" i="80"/>
  <c r="V342" i="80"/>
  <c r="W342" i="80"/>
  <c r="X342" i="80"/>
  <c r="Z342" i="80"/>
  <c r="AA342" i="80"/>
  <c r="AB342" i="80"/>
  <c r="AC342" i="80"/>
  <c r="AD342" i="80"/>
  <c r="AE342" i="80"/>
  <c r="AF342" i="80"/>
  <c r="AG342" i="80"/>
  <c r="AH342" i="80"/>
  <c r="AI342" i="80"/>
  <c r="AJ342" i="80"/>
  <c r="AK342" i="80"/>
  <c r="AL342" i="80"/>
  <c r="AM342" i="80"/>
  <c r="AN342" i="80"/>
  <c r="AO342" i="80"/>
  <c r="AP342" i="80"/>
  <c r="AQ342" i="80"/>
  <c r="AR342" i="80"/>
  <c r="AS342" i="80"/>
  <c r="AT342" i="80"/>
  <c r="AU342" i="80"/>
  <c r="AW342" i="80"/>
  <c r="AX342" i="80"/>
  <c r="AY342" i="80"/>
  <c r="BA342" i="80"/>
  <c r="A343" i="80"/>
  <c r="B343" i="80"/>
  <c r="D343" i="80"/>
  <c r="E343" i="80"/>
  <c r="F343" i="80"/>
  <c r="G343" i="80"/>
  <c r="H343" i="80"/>
  <c r="J343" i="80"/>
  <c r="K343" i="80"/>
  <c r="M343" i="80"/>
  <c r="O343" i="80"/>
  <c r="P343" i="80"/>
  <c r="R343" i="80"/>
  <c r="S343" i="80"/>
  <c r="T343" i="80"/>
  <c r="U343" i="80"/>
  <c r="V343" i="80"/>
  <c r="W343" i="80"/>
  <c r="X343" i="80"/>
  <c r="Z343" i="80"/>
  <c r="AA343" i="80"/>
  <c r="AB343" i="80"/>
  <c r="AC343" i="80"/>
  <c r="AD343" i="80"/>
  <c r="AE343" i="80"/>
  <c r="AF343" i="80"/>
  <c r="AG343" i="80"/>
  <c r="AH343" i="80"/>
  <c r="AI343" i="80"/>
  <c r="AJ343" i="80"/>
  <c r="AK343" i="80"/>
  <c r="AL343" i="80"/>
  <c r="AM343" i="80"/>
  <c r="AN343" i="80"/>
  <c r="AO343" i="80"/>
  <c r="AP343" i="80"/>
  <c r="AQ343" i="80"/>
  <c r="AR343" i="80"/>
  <c r="AS343" i="80"/>
  <c r="AT343" i="80"/>
  <c r="AU343" i="80"/>
  <c r="AW343" i="80"/>
  <c r="AX343" i="80"/>
  <c r="AY343" i="80"/>
  <c r="BA343" i="80"/>
  <c r="A344" i="80"/>
  <c r="B344" i="80"/>
  <c r="D344" i="80"/>
  <c r="E344" i="80"/>
  <c r="F344" i="80"/>
  <c r="G344" i="80"/>
  <c r="H344" i="80"/>
  <c r="J344" i="80"/>
  <c r="K344" i="80"/>
  <c r="M344" i="80"/>
  <c r="O344" i="80"/>
  <c r="P344" i="80"/>
  <c r="R344" i="80"/>
  <c r="S344" i="80"/>
  <c r="T344" i="80"/>
  <c r="U344" i="80"/>
  <c r="V344" i="80"/>
  <c r="W344" i="80"/>
  <c r="X344" i="80"/>
  <c r="Z344" i="80"/>
  <c r="AA344" i="80"/>
  <c r="AB344" i="80"/>
  <c r="AC344" i="80"/>
  <c r="AD344" i="80"/>
  <c r="AE344" i="80"/>
  <c r="AF344" i="80"/>
  <c r="AG344" i="80"/>
  <c r="AH344" i="80"/>
  <c r="AI344" i="80"/>
  <c r="AJ344" i="80"/>
  <c r="AK344" i="80"/>
  <c r="AL344" i="80"/>
  <c r="AM344" i="80"/>
  <c r="AN344" i="80"/>
  <c r="AO344" i="80"/>
  <c r="AP344" i="80"/>
  <c r="AQ344" i="80"/>
  <c r="AR344" i="80"/>
  <c r="AS344" i="80"/>
  <c r="AT344" i="80"/>
  <c r="AU344" i="80"/>
  <c r="AW344" i="80"/>
  <c r="AX344" i="80"/>
  <c r="AY344" i="80"/>
  <c r="BA344" i="80"/>
  <c r="A345" i="80"/>
  <c r="B345" i="80"/>
  <c r="D345" i="80"/>
  <c r="E345" i="80"/>
  <c r="F345" i="80"/>
  <c r="G345" i="80"/>
  <c r="H345" i="80"/>
  <c r="J345" i="80"/>
  <c r="K345" i="80"/>
  <c r="M345" i="80"/>
  <c r="O345" i="80"/>
  <c r="P345" i="80"/>
  <c r="R345" i="80"/>
  <c r="S345" i="80"/>
  <c r="T345" i="80"/>
  <c r="U345" i="80"/>
  <c r="V345" i="80"/>
  <c r="W345" i="80"/>
  <c r="X345" i="80"/>
  <c r="Z345" i="80"/>
  <c r="AA345" i="80"/>
  <c r="AB345" i="80"/>
  <c r="AC345" i="80"/>
  <c r="AD345" i="80"/>
  <c r="AE345" i="80"/>
  <c r="AF345" i="80"/>
  <c r="AG345" i="80"/>
  <c r="AH345" i="80"/>
  <c r="AI345" i="80"/>
  <c r="AJ345" i="80"/>
  <c r="AK345" i="80"/>
  <c r="AL345" i="80"/>
  <c r="AM345" i="80"/>
  <c r="AN345" i="80"/>
  <c r="AO345" i="80"/>
  <c r="AP345" i="80"/>
  <c r="AQ345" i="80"/>
  <c r="AR345" i="80"/>
  <c r="AS345" i="80"/>
  <c r="AT345" i="80"/>
  <c r="AU345" i="80"/>
  <c r="AW345" i="80"/>
  <c r="AX345" i="80"/>
  <c r="AY345" i="80"/>
  <c r="BA345" i="80"/>
  <c r="A346" i="80"/>
  <c r="B346" i="80"/>
  <c r="D346" i="80"/>
  <c r="E346" i="80"/>
  <c r="F346" i="80"/>
  <c r="G346" i="80"/>
  <c r="H346" i="80"/>
  <c r="J346" i="80"/>
  <c r="K346" i="80"/>
  <c r="M346" i="80"/>
  <c r="O346" i="80"/>
  <c r="P346" i="80"/>
  <c r="R346" i="80"/>
  <c r="S346" i="80"/>
  <c r="T346" i="80"/>
  <c r="U346" i="80"/>
  <c r="V346" i="80"/>
  <c r="W346" i="80"/>
  <c r="X346" i="80"/>
  <c r="Z346" i="80"/>
  <c r="AA346" i="80"/>
  <c r="AB346" i="80"/>
  <c r="AC346" i="80"/>
  <c r="AD346" i="80"/>
  <c r="AE346" i="80"/>
  <c r="AF346" i="80"/>
  <c r="AG346" i="80"/>
  <c r="AH346" i="80"/>
  <c r="AI346" i="80"/>
  <c r="AJ346" i="80"/>
  <c r="AK346" i="80"/>
  <c r="AL346" i="80"/>
  <c r="AM346" i="80"/>
  <c r="AN346" i="80"/>
  <c r="AO346" i="80"/>
  <c r="AP346" i="80"/>
  <c r="AQ346" i="80"/>
  <c r="AR346" i="80"/>
  <c r="AS346" i="80"/>
  <c r="AT346" i="80"/>
  <c r="AU346" i="80"/>
  <c r="AW346" i="80"/>
  <c r="AX346" i="80"/>
  <c r="AY346" i="80"/>
  <c r="BA346" i="80"/>
  <c r="A347" i="80"/>
  <c r="B347" i="80"/>
  <c r="D347" i="80"/>
  <c r="E347" i="80"/>
  <c r="F347" i="80"/>
  <c r="G347" i="80"/>
  <c r="H347" i="80"/>
  <c r="J347" i="80"/>
  <c r="K347" i="80"/>
  <c r="M347" i="80"/>
  <c r="O347" i="80"/>
  <c r="P347" i="80"/>
  <c r="R347" i="80"/>
  <c r="S347" i="80"/>
  <c r="T347" i="80"/>
  <c r="U347" i="80"/>
  <c r="V347" i="80"/>
  <c r="W347" i="80"/>
  <c r="X347" i="80"/>
  <c r="Z347" i="80"/>
  <c r="AA347" i="80"/>
  <c r="AB347" i="80"/>
  <c r="AC347" i="80"/>
  <c r="AD347" i="80"/>
  <c r="AE347" i="80"/>
  <c r="AF347" i="80"/>
  <c r="AG347" i="80"/>
  <c r="AH347" i="80"/>
  <c r="AI347" i="80"/>
  <c r="AJ347" i="80"/>
  <c r="AK347" i="80"/>
  <c r="AL347" i="80"/>
  <c r="AM347" i="80"/>
  <c r="AN347" i="80"/>
  <c r="AO347" i="80"/>
  <c r="AP347" i="80"/>
  <c r="AQ347" i="80"/>
  <c r="AR347" i="80"/>
  <c r="AS347" i="80"/>
  <c r="AT347" i="80"/>
  <c r="AU347" i="80"/>
  <c r="AW347" i="80"/>
  <c r="AX347" i="80"/>
  <c r="AY347" i="80"/>
  <c r="BA347" i="80"/>
  <c r="A348" i="80"/>
  <c r="B348" i="80"/>
  <c r="D348" i="80"/>
  <c r="E348" i="80"/>
  <c r="F348" i="80"/>
  <c r="G348" i="80"/>
  <c r="H348" i="80"/>
  <c r="J348" i="80"/>
  <c r="K348" i="80"/>
  <c r="M348" i="80"/>
  <c r="O348" i="80"/>
  <c r="P348" i="80"/>
  <c r="R348" i="80"/>
  <c r="S348" i="80"/>
  <c r="T348" i="80"/>
  <c r="U348" i="80"/>
  <c r="V348" i="80"/>
  <c r="W348" i="80"/>
  <c r="X348" i="80"/>
  <c r="Z348" i="80"/>
  <c r="AA348" i="80"/>
  <c r="AB348" i="80"/>
  <c r="AC348" i="80"/>
  <c r="AD348" i="80"/>
  <c r="AE348" i="80"/>
  <c r="AF348" i="80"/>
  <c r="AG348" i="80"/>
  <c r="AH348" i="80"/>
  <c r="AI348" i="80"/>
  <c r="AJ348" i="80"/>
  <c r="AK348" i="80"/>
  <c r="AL348" i="80"/>
  <c r="AM348" i="80"/>
  <c r="AN348" i="80"/>
  <c r="AO348" i="80"/>
  <c r="AP348" i="80"/>
  <c r="AQ348" i="80"/>
  <c r="AR348" i="80"/>
  <c r="AS348" i="80"/>
  <c r="AT348" i="80"/>
  <c r="AU348" i="80"/>
  <c r="AW348" i="80"/>
  <c r="AX348" i="80"/>
  <c r="AY348" i="80"/>
  <c r="BA348" i="80"/>
  <c r="A349" i="80"/>
  <c r="B349" i="80"/>
  <c r="D349" i="80"/>
  <c r="E349" i="80"/>
  <c r="F349" i="80"/>
  <c r="G349" i="80"/>
  <c r="H349" i="80"/>
  <c r="J349" i="80"/>
  <c r="K349" i="80"/>
  <c r="M349" i="80"/>
  <c r="O349" i="80"/>
  <c r="P349" i="80"/>
  <c r="R349" i="80"/>
  <c r="S349" i="80"/>
  <c r="T349" i="80"/>
  <c r="U349" i="80"/>
  <c r="V349" i="80"/>
  <c r="W349" i="80"/>
  <c r="X349" i="80"/>
  <c r="Z349" i="80"/>
  <c r="AA349" i="80"/>
  <c r="AB349" i="80"/>
  <c r="AC349" i="80"/>
  <c r="AD349" i="80"/>
  <c r="AE349" i="80"/>
  <c r="AF349" i="80"/>
  <c r="AG349" i="80"/>
  <c r="AH349" i="80"/>
  <c r="AI349" i="80"/>
  <c r="AJ349" i="80"/>
  <c r="AK349" i="80"/>
  <c r="AL349" i="80"/>
  <c r="AM349" i="80"/>
  <c r="AN349" i="80"/>
  <c r="AO349" i="80"/>
  <c r="AP349" i="80"/>
  <c r="AQ349" i="80"/>
  <c r="AR349" i="80"/>
  <c r="AS349" i="80"/>
  <c r="AT349" i="80"/>
  <c r="AU349" i="80"/>
  <c r="AW349" i="80"/>
  <c r="AX349" i="80"/>
  <c r="AY349" i="80"/>
  <c r="BA349" i="80"/>
  <c r="A350" i="80"/>
  <c r="B350" i="80"/>
  <c r="D350" i="80"/>
  <c r="E350" i="80"/>
  <c r="F350" i="80"/>
  <c r="G350" i="80"/>
  <c r="H350" i="80"/>
  <c r="J350" i="80"/>
  <c r="K350" i="80"/>
  <c r="M350" i="80"/>
  <c r="O350" i="80"/>
  <c r="P350" i="80"/>
  <c r="R350" i="80"/>
  <c r="S350" i="80"/>
  <c r="T350" i="80"/>
  <c r="U350" i="80"/>
  <c r="V350" i="80"/>
  <c r="W350" i="80"/>
  <c r="X350" i="80"/>
  <c r="Z350" i="80"/>
  <c r="AA350" i="80"/>
  <c r="AB350" i="80"/>
  <c r="AC350" i="80"/>
  <c r="AD350" i="80"/>
  <c r="AE350" i="80"/>
  <c r="AF350" i="80"/>
  <c r="AG350" i="80"/>
  <c r="AH350" i="80"/>
  <c r="AI350" i="80"/>
  <c r="AJ350" i="80"/>
  <c r="AK350" i="80"/>
  <c r="AL350" i="80"/>
  <c r="AM350" i="80"/>
  <c r="AN350" i="80"/>
  <c r="AO350" i="80"/>
  <c r="AP350" i="80"/>
  <c r="AQ350" i="80"/>
  <c r="AR350" i="80"/>
  <c r="AS350" i="80"/>
  <c r="AT350" i="80"/>
  <c r="AU350" i="80"/>
  <c r="AW350" i="80"/>
  <c r="AX350" i="80"/>
  <c r="AY350" i="80"/>
  <c r="BA350" i="80"/>
  <c r="A351" i="80"/>
  <c r="B351" i="80"/>
  <c r="D351" i="80"/>
  <c r="E351" i="80"/>
  <c r="F351" i="80"/>
  <c r="G351" i="80"/>
  <c r="H351" i="80"/>
  <c r="J351" i="80"/>
  <c r="K351" i="80"/>
  <c r="M351" i="80"/>
  <c r="O351" i="80"/>
  <c r="P351" i="80"/>
  <c r="R351" i="80"/>
  <c r="S351" i="80"/>
  <c r="T351" i="80"/>
  <c r="U351" i="80"/>
  <c r="V351" i="80"/>
  <c r="W351" i="80"/>
  <c r="X351" i="80"/>
  <c r="Z351" i="80"/>
  <c r="AA351" i="80"/>
  <c r="AB351" i="80"/>
  <c r="AC351" i="80"/>
  <c r="AD351" i="80"/>
  <c r="AE351" i="80"/>
  <c r="AF351" i="80"/>
  <c r="AG351" i="80"/>
  <c r="AH351" i="80"/>
  <c r="AI351" i="80"/>
  <c r="AJ351" i="80"/>
  <c r="AK351" i="80"/>
  <c r="AL351" i="80"/>
  <c r="AM351" i="80"/>
  <c r="AN351" i="80"/>
  <c r="AO351" i="80"/>
  <c r="AP351" i="80"/>
  <c r="AQ351" i="80"/>
  <c r="AR351" i="80"/>
  <c r="AS351" i="80"/>
  <c r="AT351" i="80"/>
  <c r="AU351" i="80"/>
  <c r="AW351" i="80"/>
  <c r="AX351" i="80"/>
  <c r="AY351" i="80"/>
  <c r="BA351" i="80"/>
  <c r="A352" i="80"/>
  <c r="B352" i="80"/>
  <c r="D352" i="80"/>
  <c r="E352" i="80"/>
  <c r="F352" i="80"/>
  <c r="G352" i="80"/>
  <c r="H352" i="80"/>
  <c r="J352" i="80"/>
  <c r="K352" i="80"/>
  <c r="M352" i="80"/>
  <c r="O352" i="80"/>
  <c r="P352" i="80"/>
  <c r="R352" i="80"/>
  <c r="S352" i="80"/>
  <c r="T352" i="80"/>
  <c r="U352" i="80"/>
  <c r="V352" i="80"/>
  <c r="W352" i="80"/>
  <c r="X352" i="80"/>
  <c r="Z352" i="80"/>
  <c r="AA352" i="80"/>
  <c r="AB352" i="80"/>
  <c r="AC352" i="80"/>
  <c r="AD352" i="80"/>
  <c r="AE352" i="80"/>
  <c r="AF352" i="80"/>
  <c r="AG352" i="80"/>
  <c r="AH352" i="80"/>
  <c r="AI352" i="80"/>
  <c r="AJ352" i="80"/>
  <c r="AK352" i="80"/>
  <c r="AL352" i="80"/>
  <c r="AM352" i="80"/>
  <c r="AN352" i="80"/>
  <c r="AO352" i="80"/>
  <c r="AP352" i="80"/>
  <c r="AQ352" i="80"/>
  <c r="AR352" i="80"/>
  <c r="AS352" i="80"/>
  <c r="AT352" i="80"/>
  <c r="AU352" i="80"/>
  <c r="AW352" i="80"/>
  <c r="AX352" i="80"/>
  <c r="AY352" i="80"/>
  <c r="BA352" i="80"/>
  <c r="A353" i="80"/>
  <c r="B353" i="80"/>
  <c r="D353" i="80"/>
  <c r="E353" i="80"/>
  <c r="F353" i="80"/>
  <c r="G353" i="80"/>
  <c r="H353" i="80"/>
  <c r="J353" i="80"/>
  <c r="K353" i="80"/>
  <c r="M353" i="80"/>
  <c r="O353" i="80"/>
  <c r="P353" i="80"/>
  <c r="R353" i="80"/>
  <c r="S353" i="80"/>
  <c r="T353" i="80"/>
  <c r="U353" i="80"/>
  <c r="V353" i="80"/>
  <c r="W353" i="80"/>
  <c r="X353" i="80"/>
  <c r="Z353" i="80"/>
  <c r="AA353" i="80"/>
  <c r="AB353" i="80"/>
  <c r="AC353" i="80"/>
  <c r="AD353" i="80"/>
  <c r="AE353" i="80"/>
  <c r="AF353" i="80"/>
  <c r="AG353" i="80"/>
  <c r="AH353" i="80"/>
  <c r="AI353" i="80"/>
  <c r="AJ353" i="80"/>
  <c r="AK353" i="80"/>
  <c r="AL353" i="80"/>
  <c r="AM353" i="80"/>
  <c r="AN353" i="80"/>
  <c r="AO353" i="80"/>
  <c r="AP353" i="80"/>
  <c r="AQ353" i="80"/>
  <c r="AR353" i="80"/>
  <c r="AS353" i="80"/>
  <c r="AT353" i="80"/>
  <c r="AU353" i="80"/>
  <c r="AW353" i="80"/>
  <c r="AX353" i="80"/>
  <c r="AY353" i="80"/>
  <c r="BA353" i="80"/>
  <c r="A354" i="80"/>
  <c r="B354" i="80"/>
  <c r="D354" i="80"/>
  <c r="E354" i="80"/>
  <c r="F354" i="80"/>
  <c r="G354" i="80"/>
  <c r="H354" i="80"/>
  <c r="J354" i="80"/>
  <c r="K354" i="80"/>
  <c r="M354" i="80"/>
  <c r="O354" i="80"/>
  <c r="P354" i="80"/>
  <c r="R354" i="80"/>
  <c r="S354" i="80"/>
  <c r="T354" i="80"/>
  <c r="U354" i="80"/>
  <c r="V354" i="80"/>
  <c r="W354" i="80"/>
  <c r="X354" i="80"/>
  <c r="Z354" i="80"/>
  <c r="AA354" i="80"/>
  <c r="AB354" i="80"/>
  <c r="AC354" i="80"/>
  <c r="AD354" i="80"/>
  <c r="AE354" i="80"/>
  <c r="AF354" i="80"/>
  <c r="AG354" i="80"/>
  <c r="AH354" i="80"/>
  <c r="AI354" i="80"/>
  <c r="AJ354" i="80"/>
  <c r="AK354" i="80"/>
  <c r="AL354" i="80"/>
  <c r="AM354" i="80"/>
  <c r="AN354" i="80"/>
  <c r="AO354" i="80"/>
  <c r="AP354" i="80"/>
  <c r="AQ354" i="80"/>
  <c r="AR354" i="80"/>
  <c r="AS354" i="80"/>
  <c r="AT354" i="80"/>
  <c r="AU354" i="80"/>
  <c r="AW354" i="80"/>
  <c r="AX354" i="80"/>
  <c r="AY354" i="80"/>
  <c r="BA354" i="80"/>
  <c r="A355" i="80"/>
  <c r="B355" i="80"/>
  <c r="D355" i="80"/>
  <c r="E355" i="80"/>
  <c r="F355" i="80"/>
  <c r="G355" i="80"/>
  <c r="H355" i="80"/>
  <c r="J355" i="80"/>
  <c r="K355" i="80"/>
  <c r="M355" i="80"/>
  <c r="O355" i="80"/>
  <c r="P355" i="80"/>
  <c r="R355" i="80"/>
  <c r="S355" i="80"/>
  <c r="T355" i="80"/>
  <c r="U355" i="80"/>
  <c r="V355" i="80"/>
  <c r="W355" i="80"/>
  <c r="X355" i="80"/>
  <c r="Z355" i="80"/>
  <c r="AA355" i="80"/>
  <c r="AB355" i="80"/>
  <c r="AC355" i="80"/>
  <c r="AD355" i="80"/>
  <c r="AE355" i="80"/>
  <c r="AF355" i="80"/>
  <c r="AG355" i="80"/>
  <c r="AH355" i="80"/>
  <c r="AI355" i="80"/>
  <c r="AJ355" i="80"/>
  <c r="AK355" i="80"/>
  <c r="AL355" i="80"/>
  <c r="AM355" i="80"/>
  <c r="AN355" i="80"/>
  <c r="AO355" i="80"/>
  <c r="AP355" i="80"/>
  <c r="AQ355" i="80"/>
  <c r="AR355" i="80"/>
  <c r="AS355" i="80"/>
  <c r="AT355" i="80"/>
  <c r="AU355" i="80"/>
  <c r="AW355" i="80"/>
  <c r="AX355" i="80"/>
  <c r="AY355" i="80"/>
  <c r="BA355" i="80"/>
  <c r="A356" i="80"/>
  <c r="B356" i="80"/>
  <c r="D356" i="80"/>
  <c r="E356" i="80"/>
  <c r="F356" i="80"/>
  <c r="G356" i="80"/>
  <c r="H356" i="80"/>
  <c r="J356" i="80"/>
  <c r="K356" i="80"/>
  <c r="M356" i="80"/>
  <c r="O356" i="80"/>
  <c r="P356" i="80"/>
  <c r="R356" i="80"/>
  <c r="S356" i="80"/>
  <c r="T356" i="80"/>
  <c r="U356" i="80"/>
  <c r="V356" i="80"/>
  <c r="W356" i="80"/>
  <c r="X356" i="80"/>
  <c r="Z356" i="80"/>
  <c r="AA356" i="80"/>
  <c r="AB356" i="80"/>
  <c r="AC356" i="80"/>
  <c r="AD356" i="80"/>
  <c r="AE356" i="80"/>
  <c r="AF356" i="80"/>
  <c r="AG356" i="80"/>
  <c r="AH356" i="80"/>
  <c r="AI356" i="80"/>
  <c r="AJ356" i="80"/>
  <c r="AK356" i="80"/>
  <c r="AL356" i="80"/>
  <c r="AM356" i="80"/>
  <c r="AN356" i="80"/>
  <c r="AO356" i="80"/>
  <c r="AP356" i="80"/>
  <c r="AQ356" i="80"/>
  <c r="AR356" i="80"/>
  <c r="AS356" i="80"/>
  <c r="AT356" i="80"/>
  <c r="AU356" i="80"/>
  <c r="AW356" i="80"/>
  <c r="AX356" i="80"/>
  <c r="AY356" i="80"/>
  <c r="BA356" i="80"/>
  <c r="A357" i="80"/>
  <c r="B357" i="80"/>
  <c r="D357" i="80"/>
  <c r="E357" i="80"/>
  <c r="F357" i="80"/>
  <c r="G357" i="80"/>
  <c r="H357" i="80"/>
  <c r="J357" i="80"/>
  <c r="K357" i="80"/>
  <c r="M357" i="80"/>
  <c r="O357" i="80"/>
  <c r="P357" i="80"/>
  <c r="R357" i="80"/>
  <c r="S357" i="80"/>
  <c r="T357" i="80"/>
  <c r="U357" i="80"/>
  <c r="V357" i="80"/>
  <c r="W357" i="80"/>
  <c r="X357" i="80"/>
  <c r="Z357" i="80"/>
  <c r="AA357" i="80"/>
  <c r="AB357" i="80"/>
  <c r="AC357" i="80"/>
  <c r="AD357" i="80"/>
  <c r="AE357" i="80"/>
  <c r="AF357" i="80"/>
  <c r="AG357" i="80"/>
  <c r="AH357" i="80"/>
  <c r="AI357" i="80"/>
  <c r="AJ357" i="80"/>
  <c r="AK357" i="80"/>
  <c r="AL357" i="80"/>
  <c r="AM357" i="80"/>
  <c r="AN357" i="80"/>
  <c r="AO357" i="80"/>
  <c r="AP357" i="80"/>
  <c r="AQ357" i="80"/>
  <c r="AR357" i="80"/>
  <c r="AS357" i="80"/>
  <c r="AT357" i="80"/>
  <c r="AU357" i="80"/>
  <c r="AW357" i="80"/>
  <c r="AX357" i="80"/>
  <c r="AY357" i="80"/>
  <c r="BA357" i="80"/>
  <c r="A358" i="80"/>
  <c r="B358" i="80"/>
  <c r="D358" i="80"/>
  <c r="E358" i="80"/>
  <c r="F358" i="80"/>
  <c r="G358" i="80"/>
  <c r="H358" i="80"/>
  <c r="J358" i="80"/>
  <c r="K358" i="80"/>
  <c r="M358" i="80"/>
  <c r="O358" i="80"/>
  <c r="P358" i="80"/>
  <c r="R358" i="80"/>
  <c r="S358" i="80"/>
  <c r="T358" i="80"/>
  <c r="U358" i="80"/>
  <c r="V358" i="80"/>
  <c r="W358" i="80"/>
  <c r="X358" i="80"/>
  <c r="Z358" i="80"/>
  <c r="AA358" i="80"/>
  <c r="AB358" i="80"/>
  <c r="AC358" i="80"/>
  <c r="AD358" i="80"/>
  <c r="AE358" i="80"/>
  <c r="AF358" i="80"/>
  <c r="AG358" i="80"/>
  <c r="AH358" i="80"/>
  <c r="AI358" i="80"/>
  <c r="AJ358" i="80"/>
  <c r="AK358" i="80"/>
  <c r="AL358" i="80"/>
  <c r="AM358" i="80"/>
  <c r="AN358" i="80"/>
  <c r="AO358" i="80"/>
  <c r="AP358" i="80"/>
  <c r="AQ358" i="80"/>
  <c r="AR358" i="80"/>
  <c r="AS358" i="80"/>
  <c r="AT358" i="80"/>
  <c r="AU358" i="80"/>
  <c r="AW358" i="80"/>
  <c r="AX358" i="80"/>
  <c r="AY358" i="80"/>
  <c r="BA358" i="80"/>
  <c r="A359" i="80"/>
  <c r="B359" i="80"/>
  <c r="D359" i="80"/>
  <c r="E359" i="80"/>
  <c r="F359" i="80"/>
  <c r="G359" i="80"/>
  <c r="H359" i="80"/>
  <c r="J359" i="80"/>
  <c r="K359" i="80"/>
  <c r="M359" i="80"/>
  <c r="O359" i="80"/>
  <c r="P359" i="80"/>
  <c r="R359" i="80"/>
  <c r="S359" i="80"/>
  <c r="T359" i="80"/>
  <c r="U359" i="80"/>
  <c r="V359" i="80"/>
  <c r="W359" i="80"/>
  <c r="X359" i="80"/>
  <c r="Z359" i="80"/>
  <c r="AA359" i="80"/>
  <c r="AB359" i="80"/>
  <c r="AC359" i="80"/>
  <c r="AD359" i="80"/>
  <c r="AE359" i="80"/>
  <c r="AF359" i="80"/>
  <c r="AG359" i="80"/>
  <c r="AH359" i="80"/>
  <c r="AI359" i="80"/>
  <c r="AJ359" i="80"/>
  <c r="AK359" i="80"/>
  <c r="AL359" i="80"/>
  <c r="AM359" i="80"/>
  <c r="AN359" i="80"/>
  <c r="AO359" i="80"/>
  <c r="AP359" i="80"/>
  <c r="AQ359" i="80"/>
  <c r="AR359" i="80"/>
  <c r="AS359" i="80"/>
  <c r="AT359" i="80"/>
  <c r="AU359" i="80"/>
  <c r="AW359" i="80"/>
  <c r="AX359" i="80"/>
  <c r="AY359" i="80"/>
  <c r="BA359" i="80"/>
  <c r="A360" i="80"/>
  <c r="B360" i="80"/>
  <c r="D360" i="80"/>
  <c r="E360" i="80"/>
  <c r="F360" i="80"/>
  <c r="G360" i="80"/>
  <c r="H360" i="80"/>
  <c r="J360" i="80"/>
  <c r="K360" i="80"/>
  <c r="M360" i="80"/>
  <c r="O360" i="80"/>
  <c r="P360" i="80"/>
  <c r="R360" i="80"/>
  <c r="S360" i="80"/>
  <c r="T360" i="80"/>
  <c r="U360" i="80"/>
  <c r="V360" i="80"/>
  <c r="W360" i="80"/>
  <c r="X360" i="80"/>
  <c r="Z360" i="80"/>
  <c r="AA360" i="80"/>
  <c r="AB360" i="80"/>
  <c r="AC360" i="80"/>
  <c r="AD360" i="80"/>
  <c r="AE360" i="80"/>
  <c r="AF360" i="80"/>
  <c r="AG360" i="80"/>
  <c r="AH360" i="80"/>
  <c r="AI360" i="80"/>
  <c r="AJ360" i="80"/>
  <c r="AK360" i="80"/>
  <c r="AL360" i="80"/>
  <c r="AM360" i="80"/>
  <c r="AN360" i="80"/>
  <c r="AO360" i="80"/>
  <c r="AP360" i="80"/>
  <c r="AQ360" i="80"/>
  <c r="AR360" i="80"/>
  <c r="AS360" i="80"/>
  <c r="AT360" i="80"/>
  <c r="AU360" i="80"/>
  <c r="AW360" i="80"/>
  <c r="AX360" i="80"/>
  <c r="AY360" i="80"/>
  <c r="BA360" i="80"/>
  <c r="A361" i="80"/>
  <c r="B361" i="80"/>
  <c r="D361" i="80"/>
  <c r="E361" i="80"/>
  <c r="F361" i="80"/>
  <c r="G361" i="80"/>
  <c r="H361" i="80"/>
  <c r="J361" i="80"/>
  <c r="K361" i="80"/>
  <c r="M361" i="80"/>
  <c r="O361" i="80"/>
  <c r="P361" i="80"/>
  <c r="R361" i="80"/>
  <c r="S361" i="80"/>
  <c r="T361" i="80"/>
  <c r="U361" i="80"/>
  <c r="V361" i="80"/>
  <c r="W361" i="80"/>
  <c r="X361" i="80"/>
  <c r="Z361" i="80"/>
  <c r="AA361" i="80"/>
  <c r="AB361" i="80"/>
  <c r="AC361" i="80"/>
  <c r="AD361" i="80"/>
  <c r="AE361" i="80"/>
  <c r="AF361" i="80"/>
  <c r="AG361" i="80"/>
  <c r="AH361" i="80"/>
  <c r="AI361" i="80"/>
  <c r="AJ361" i="80"/>
  <c r="AK361" i="80"/>
  <c r="AL361" i="80"/>
  <c r="AM361" i="80"/>
  <c r="AN361" i="80"/>
  <c r="AO361" i="80"/>
  <c r="AP361" i="80"/>
  <c r="AQ361" i="80"/>
  <c r="AR361" i="80"/>
  <c r="AS361" i="80"/>
  <c r="AT361" i="80"/>
  <c r="AU361" i="80"/>
  <c r="AW361" i="80"/>
  <c r="AX361" i="80"/>
  <c r="AY361" i="80"/>
  <c r="BA361" i="80"/>
  <c r="A362" i="80"/>
  <c r="B362" i="80"/>
  <c r="D362" i="80"/>
  <c r="E362" i="80"/>
  <c r="F362" i="80"/>
  <c r="G362" i="80"/>
  <c r="H362" i="80"/>
  <c r="J362" i="80"/>
  <c r="K362" i="80"/>
  <c r="M362" i="80"/>
  <c r="O362" i="80"/>
  <c r="P362" i="80"/>
  <c r="R362" i="80"/>
  <c r="S362" i="80"/>
  <c r="T362" i="80"/>
  <c r="U362" i="80"/>
  <c r="V362" i="80"/>
  <c r="W362" i="80"/>
  <c r="X362" i="80"/>
  <c r="Z362" i="80"/>
  <c r="AA362" i="80"/>
  <c r="AB362" i="80"/>
  <c r="AC362" i="80"/>
  <c r="AD362" i="80"/>
  <c r="AE362" i="80"/>
  <c r="AF362" i="80"/>
  <c r="AG362" i="80"/>
  <c r="AH362" i="80"/>
  <c r="AI362" i="80"/>
  <c r="AJ362" i="80"/>
  <c r="AK362" i="80"/>
  <c r="AL362" i="80"/>
  <c r="AM362" i="80"/>
  <c r="AN362" i="80"/>
  <c r="AO362" i="80"/>
  <c r="AP362" i="80"/>
  <c r="AQ362" i="80"/>
  <c r="AR362" i="80"/>
  <c r="AS362" i="80"/>
  <c r="AT362" i="80"/>
  <c r="AU362" i="80"/>
  <c r="AW362" i="80"/>
  <c r="AX362" i="80"/>
  <c r="AY362" i="80"/>
  <c r="BA362" i="80"/>
  <c r="A363" i="80"/>
  <c r="B363" i="80"/>
  <c r="D363" i="80"/>
  <c r="E363" i="80"/>
  <c r="F363" i="80"/>
  <c r="G363" i="80"/>
  <c r="H363" i="80"/>
  <c r="J363" i="80"/>
  <c r="K363" i="80"/>
  <c r="M363" i="80"/>
  <c r="O363" i="80"/>
  <c r="P363" i="80"/>
  <c r="R363" i="80"/>
  <c r="S363" i="80"/>
  <c r="T363" i="80"/>
  <c r="U363" i="80"/>
  <c r="V363" i="80"/>
  <c r="W363" i="80"/>
  <c r="X363" i="80"/>
  <c r="Z363" i="80"/>
  <c r="AA363" i="80"/>
  <c r="AB363" i="80"/>
  <c r="AC363" i="80"/>
  <c r="AD363" i="80"/>
  <c r="AE363" i="80"/>
  <c r="AF363" i="80"/>
  <c r="AG363" i="80"/>
  <c r="AH363" i="80"/>
  <c r="AI363" i="80"/>
  <c r="AJ363" i="80"/>
  <c r="AK363" i="80"/>
  <c r="AL363" i="80"/>
  <c r="AM363" i="80"/>
  <c r="AN363" i="80"/>
  <c r="AO363" i="80"/>
  <c r="AP363" i="80"/>
  <c r="AQ363" i="80"/>
  <c r="AR363" i="80"/>
  <c r="AS363" i="80"/>
  <c r="AT363" i="80"/>
  <c r="AU363" i="80"/>
  <c r="AW363" i="80"/>
  <c r="AX363" i="80"/>
  <c r="AY363" i="80"/>
  <c r="BA363" i="80"/>
  <c r="A364" i="80"/>
  <c r="B364" i="80"/>
  <c r="D364" i="80"/>
  <c r="E364" i="80"/>
  <c r="F364" i="80"/>
  <c r="G364" i="80"/>
  <c r="H364" i="80"/>
  <c r="J364" i="80"/>
  <c r="K364" i="80"/>
  <c r="M364" i="80"/>
  <c r="O364" i="80"/>
  <c r="P364" i="80"/>
  <c r="R364" i="80"/>
  <c r="S364" i="80"/>
  <c r="T364" i="80"/>
  <c r="U364" i="80"/>
  <c r="V364" i="80"/>
  <c r="W364" i="80"/>
  <c r="X364" i="80"/>
  <c r="Z364" i="80"/>
  <c r="AA364" i="80"/>
  <c r="AB364" i="80"/>
  <c r="AC364" i="80"/>
  <c r="AD364" i="80"/>
  <c r="AE364" i="80"/>
  <c r="AF364" i="80"/>
  <c r="AG364" i="80"/>
  <c r="AH364" i="80"/>
  <c r="AI364" i="80"/>
  <c r="AJ364" i="80"/>
  <c r="AK364" i="80"/>
  <c r="AL364" i="80"/>
  <c r="AM364" i="80"/>
  <c r="AN364" i="80"/>
  <c r="AO364" i="80"/>
  <c r="AP364" i="80"/>
  <c r="AQ364" i="80"/>
  <c r="AR364" i="80"/>
  <c r="AS364" i="80"/>
  <c r="AT364" i="80"/>
  <c r="AU364" i="80"/>
  <c r="AW364" i="80"/>
  <c r="AX364" i="80"/>
  <c r="AY364" i="80"/>
  <c r="BA364" i="80"/>
  <c r="A365" i="80"/>
  <c r="B365" i="80"/>
  <c r="D365" i="80"/>
  <c r="E365" i="80"/>
  <c r="F365" i="80"/>
  <c r="G365" i="80"/>
  <c r="H365" i="80"/>
  <c r="J365" i="80"/>
  <c r="K365" i="80"/>
  <c r="M365" i="80"/>
  <c r="O365" i="80"/>
  <c r="P365" i="80"/>
  <c r="R365" i="80"/>
  <c r="S365" i="80"/>
  <c r="T365" i="80"/>
  <c r="U365" i="80"/>
  <c r="V365" i="80"/>
  <c r="W365" i="80"/>
  <c r="X365" i="80"/>
  <c r="Z365" i="80"/>
  <c r="AA365" i="80"/>
  <c r="AB365" i="80"/>
  <c r="AC365" i="80"/>
  <c r="AD365" i="80"/>
  <c r="AE365" i="80"/>
  <c r="AF365" i="80"/>
  <c r="AG365" i="80"/>
  <c r="AH365" i="80"/>
  <c r="AI365" i="80"/>
  <c r="AJ365" i="80"/>
  <c r="AK365" i="80"/>
  <c r="AL365" i="80"/>
  <c r="AM365" i="80"/>
  <c r="AN365" i="80"/>
  <c r="AO365" i="80"/>
  <c r="AP365" i="80"/>
  <c r="AQ365" i="80"/>
  <c r="AR365" i="80"/>
  <c r="AS365" i="80"/>
  <c r="AT365" i="80"/>
  <c r="AU365" i="80"/>
  <c r="AW365" i="80"/>
  <c r="AX365" i="80"/>
  <c r="AY365" i="80"/>
  <c r="BA365" i="80"/>
  <c r="A366" i="80"/>
  <c r="B366" i="80"/>
  <c r="D366" i="80"/>
  <c r="E366" i="80"/>
  <c r="F366" i="80"/>
  <c r="G366" i="80"/>
  <c r="H366" i="80"/>
  <c r="J366" i="80"/>
  <c r="K366" i="80"/>
  <c r="M366" i="80"/>
  <c r="O366" i="80"/>
  <c r="P366" i="80"/>
  <c r="R366" i="80"/>
  <c r="S366" i="80"/>
  <c r="T366" i="80"/>
  <c r="U366" i="80"/>
  <c r="V366" i="80"/>
  <c r="W366" i="80"/>
  <c r="X366" i="80"/>
  <c r="Z366" i="80"/>
  <c r="AA366" i="80"/>
  <c r="AB366" i="80"/>
  <c r="AC366" i="80"/>
  <c r="AD366" i="80"/>
  <c r="AE366" i="80"/>
  <c r="AF366" i="80"/>
  <c r="AG366" i="80"/>
  <c r="AH366" i="80"/>
  <c r="AI366" i="80"/>
  <c r="AJ366" i="80"/>
  <c r="AK366" i="80"/>
  <c r="AL366" i="80"/>
  <c r="AM366" i="80"/>
  <c r="AN366" i="80"/>
  <c r="AO366" i="80"/>
  <c r="AP366" i="80"/>
  <c r="AQ366" i="80"/>
  <c r="AR366" i="80"/>
  <c r="AS366" i="80"/>
  <c r="AT366" i="80"/>
  <c r="AU366" i="80"/>
  <c r="AW366" i="80"/>
  <c r="AX366" i="80"/>
  <c r="AY366" i="80"/>
  <c r="BA366" i="80"/>
  <c r="A367" i="80"/>
  <c r="B367" i="80"/>
  <c r="D367" i="80"/>
  <c r="E367" i="80"/>
  <c r="F367" i="80"/>
  <c r="G367" i="80"/>
  <c r="H367" i="80"/>
  <c r="J367" i="80"/>
  <c r="K367" i="80"/>
  <c r="M367" i="80"/>
  <c r="O367" i="80"/>
  <c r="P367" i="80"/>
  <c r="R367" i="80"/>
  <c r="S367" i="80"/>
  <c r="T367" i="80"/>
  <c r="U367" i="80"/>
  <c r="V367" i="80"/>
  <c r="W367" i="80"/>
  <c r="X367" i="80"/>
  <c r="Z367" i="80"/>
  <c r="AA367" i="80"/>
  <c r="AB367" i="80"/>
  <c r="AC367" i="80"/>
  <c r="AD367" i="80"/>
  <c r="AE367" i="80"/>
  <c r="AF367" i="80"/>
  <c r="AG367" i="80"/>
  <c r="AH367" i="80"/>
  <c r="AI367" i="80"/>
  <c r="AJ367" i="80"/>
  <c r="AK367" i="80"/>
  <c r="AL367" i="80"/>
  <c r="AM367" i="80"/>
  <c r="AN367" i="80"/>
  <c r="AO367" i="80"/>
  <c r="AP367" i="80"/>
  <c r="AQ367" i="80"/>
  <c r="AR367" i="80"/>
  <c r="AS367" i="80"/>
  <c r="AT367" i="80"/>
  <c r="AU367" i="80"/>
  <c r="AW367" i="80"/>
  <c r="AX367" i="80"/>
  <c r="AY367" i="80"/>
  <c r="BA367" i="80"/>
  <c r="A368" i="80"/>
  <c r="B368" i="80"/>
  <c r="D368" i="80"/>
  <c r="E368" i="80"/>
  <c r="F368" i="80"/>
  <c r="G368" i="80"/>
  <c r="H368" i="80"/>
  <c r="J368" i="80"/>
  <c r="K368" i="80"/>
  <c r="M368" i="80"/>
  <c r="O368" i="80"/>
  <c r="P368" i="80"/>
  <c r="R368" i="80"/>
  <c r="S368" i="80"/>
  <c r="T368" i="80"/>
  <c r="U368" i="80"/>
  <c r="V368" i="80"/>
  <c r="W368" i="80"/>
  <c r="X368" i="80"/>
  <c r="Z368" i="80"/>
  <c r="AA368" i="80"/>
  <c r="AB368" i="80"/>
  <c r="AC368" i="80"/>
  <c r="AD368" i="80"/>
  <c r="AE368" i="80"/>
  <c r="AF368" i="80"/>
  <c r="AG368" i="80"/>
  <c r="AH368" i="80"/>
  <c r="AI368" i="80"/>
  <c r="AJ368" i="80"/>
  <c r="AK368" i="80"/>
  <c r="AL368" i="80"/>
  <c r="AM368" i="80"/>
  <c r="AN368" i="80"/>
  <c r="AO368" i="80"/>
  <c r="AP368" i="80"/>
  <c r="AQ368" i="80"/>
  <c r="AR368" i="80"/>
  <c r="AS368" i="80"/>
  <c r="AT368" i="80"/>
  <c r="AU368" i="80"/>
  <c r="AW368" i="80"/>
  <c r="AX368" i="80"/>
  <c r="AY368" i="80"/>
  <c r="BA368" i="80"/>
  <c r="A369" i="80"/>
  <c r="B369" i="80"/>
  <c r="D369" i="80"/>
  <c r="E369" i="80"/>
  <c r="F369" i="80"/>
  <c r="G369" i="80"/>
  <c r="H369" i="80"/>
  <c r="J369" i="80"/>
  <c r="K369" i="80"/>
  <c r="M369" i="80"/>
  <c r="O369" i="80"/>
  <c r="P369" i="80"/>
  <c r="R369" i="80"/>
  <c r="S369" i="80"/>
  <c r="T369" i="80"/>
  <c r="U369" i="80"/>
  <c r="V369" i="80"/>
  <c r="W369" i="80"/>
  <c r="X369" i="80"/>
  <c r="Z369" i="80"/>
  <c r="AA369" i="80"/>
  <c r="AB369" i="80"/>
  <c r="AC369" i="80"/>
  <c r="AD369" i="80"/>
  <c r="AE369" i="80"/>
  <c r="AF369" i="80"/>
  <c r="AG369" i="80"/>
  <c r="AH369" i="80"/>
  <c r="AI369" i="80"/>
  <c r="AJ369" i="80"/>
  <c r="AK369" i="80"/>
  <c r="AL369" i="80"/>
  <c r="AM369" i="80"/>
  <c r="AN369" i="80"/>
  <c r="AO369" i="80"/>
  <c r="AP369" i="80"/>
  <c r="AQ369" i="80"/>
  <c r="AR369" i="80"/>
  <c r="AS369" i="80"/>
  <c r="AT369" i="80"/>
  <c r="AU369" i="80"/>
  <c r="AW369" i="80"/>
  <c r="AX369" i="80"/>
  <c r="AY369" i="80"/>
  <c r="BA369" i="80"/>
  <c r="A370" i="80"/>
  <c r="B370" i="80"/>
  <c r="D370" i="80"/>
  <c r="E370" i="80"/>
  <c r="F370" i="80"/>
  <c r="G370" i="80"/>
  <c r="H370" i="80"/>
  <c r="J370" i="80"/>
  <c r="K370" i="80"/>
  <c r="M370" i="80"/>
  <c r="O370" i="80"/>
  <c r="P370" i="80"/>
  <c r="R370" i="80"/>
  <c r="S370" i="80"/>
  <c r="T370" i="80"/>
  <c r="U370" i="80"/>
  <c r="V370" i="80"/>
  <c r="W370" i="80"/>
  <c r="X370" i="80"/>
  <c r="AO370" i="80"/>
  <c r="AP370" i="80"/>
  <c r="AQ370" i="80"/>
  <c r="AR370" i="80"/>
  <c r="AS370" i="80"/>
  <c r="AT370" i="80"/>
  <c r="AU370" i="80"/>
  <c r="AW370" i="80"/>
  <c r="AX370" i="80"/>
  <c r="AY370" i="80"/>
  <c r="BA370" i="80"/>
  <c r="A371" i="80"/>
  <c r="B371" i="80"/>
  <c r="D371" i="80"/>
  <c r="E371" i="80"/>
  <c r="F371" i="80"/>
  <c r="G371" i="80"/>
  <c r="H371" i="80"/>
  <c r="J371" i="80"/>
  <c r="K371" i="80"/>
  <c r="M371" i="80"/>
  <c r="O371" i="80"/>
  <c r="P371" i="80"/>
  <c r="R371" i="80"/>
  <c r="S371" i="80"/>
  <c r="T371" i="80"/>
  <c r="U371" i="80"/>
  <c r="V371" i="80"/>
  <c r="W371" i="80"/>
  <c r="X371" i="80"/>
  <c r="AO371" i="80"/>
  <c r="AP371" i="80"/>
  <c r="AQ371" i="80"/>
  <c r="AR371" i="80"/>
  <c r="AS371" i="80"/>
  <c r="AT371" i="80"/>
  <c r="AU371" i="80"/>
  <c r="AW371" i="80"/>
  <c r="AX371" i="80"/>
  <c r="AY371" i="80"/>
  <c r="BA371" i="80"/>
  <c r="A372" i="80"/>
  <c r="B372" i="80"/>
  <c r="D372" i="80"/>
  <c r="E372" i="80"/>
  <c r="F372" i="80"/>
  <c r="G372" i="80"/>
  <c r="H372" i="80"/>
  <c r="J372" i="80"/>
  <c r="K372" i="80"/>
  <c r="M372" i="80"/>
  <c r="O372" i="80"/>
  <c r="P372" i="80"/>
  <c r="R372" i="80"/>
  <c r="S372" i="80"/>
  <c r="T372" i="80"/>
  <c r="U372" i="80"/>
  <c r="V372" i="80"/>
  <c r="W372" i="80"/>
  <c r="X372" i="80"/>
  <c r="AO372" i="80"/>
  <c r="AP372" i="80"/>
  <c r="AQ372" i="80"/>
  <c r="AR372" i="80"/>
  <c r="AS372" i="80"/>
  <c r="AT372" i="80"/>
  <c r="AU372" i="80"/>
  <c r="AW372" i="80"/>
  <c r="AX372" i="80"/>
  <c r="AY372" i="80"/>
  <c r="BA372" i="80"/>
  <c r="A373" i="80"/>
  <c r="B373" i="80"/>
  <c r="D373" i="80"/>
  <c r="E373" i="80"/>
  <c r="F373" i="80"/>
  <c r="G373" i="80"/>
  <c r="H373" i="80"/>
  <c r="J373" i="80"/>
  <c r="K373" i="80"/>
  <c r="M373" i="80"/>
  <c r="O373" i="80"/>
  <c r="P373" i="80"/>
  <c r="R373" i="80"/>
  <c r="S373" i="80"/>
  <c r="T373" i="80"/>
  <c r="U373" i="80"/>
  <c r="V373" i="80"/>
  <c r="W373" i="80"/>
  <c r="X373" i="80"/>
  <c r="AO373" i="80"/>
  <c r="AP373" i="80"/>
  <c r="AQ373" i="80"/>
  <c r="AR373" i="80"/>
  <c r="AS373" i="80"/>
  <c r="AT373" i="80"/>
  <c r="AU373" i="80"/>
  <c r="AW373" i="80"/>
  <c r="AX373" i="80"/>
  <c r="AY373" i="80"/>
  <c r="BA373" i="80"/>
  <c r="A374" i="80"/>
  <c r="B374" i="80"/>
  <c r="D374" i="80"/>
  <c r="E374" i="80"/>
  <c r="F374" i="80"/>
  <c r="G374" i="80"/>
  <c r="H374" i="80"/>
  <c r="J374" i="80"/>
  <c r="K374" i="80"/>
  <c r="M374" i="80"/>
  <c r="O374" i="80"/>
  <c r="P374" i="80"/>
  <c r="R374" i="80"/>
  <c r="S374" i="80"/>
  <c r="T374" i="80"/>
  <c r="U374" i="80"/>
  <c r="V374" i="80"/>
  <c r="W374" i="80"/>
  <c r="X374" i="80"/>
  <c r="AO374" i="80"/>
  <c r="AP374" i="80"/>
  <c r="AQ374" i="80"/>
  <c r="AR374" i="80"/>
  <c r="AS374" i="80"/>
  <c r="AT374" i="80"/>
  <c r="AU374" i="80"/>
  <c r="AW374" i="80"/>
  <c r="AX374" i="80"/>
  <c r="AY374" i="80"/>
  <c r="BA374" i="80"/>
  <c r="A375" i="80"/>
  <c r="B375" i="80"/>
  <c r="D375" i="80"/>
  <c r="E375" i="80"/>
  <c r="F375" i="80"/>
  <c r="G375" i="80"/>
  <c r="H375" i="80"/>
  <c r="J375" i="80"/>
  <c r="K375" i="80"/>
  <c r="M375" i="80"/>
  <c r="O375" i="80"/>
  <c r="P375" i="80"/>
  <c r="R375" i="80"/>
  <c r="S375" i="80"/>
  <c r="T375" i="80"/>
  <c r="U375" i="80"/>
  <c r="V375" i="80"/>
  <c r="W375" i="80"/>
  <c r="X375" i="80"/>
  <c r="AO375" i="80"/>
  <c r="AP375" i="80"/>
  <c r="AQ375" i="80"/>
  <c r="AR375" i="80"/>
  <c r="AS375" i="80"/>
  <c r="AT375" i="80"/>
  <c r="AU375" i="80"/>
  <c r="AW375" i="80"/>
  <c r="AX375" i="80"/>
  <c r="AY375" i="80"/>
  <c r="BA375" i="80"/>
  <c r="A376" i="80"/>
  <c r="B376" i="80"/>
  <c r="D376" i="80"/>
  <c r="E376" i="80"/>
  <c r="F376" i="80"/>
  <c r="G376" i="80"/>
  <c r="H376" i="80"/>
  <c r="J376" i="80"/>
  <c r="K376" i="80"/>
  <c r="M376" i="80"/>
  <c r="O376" i="80"/>
  <c r="P376" i="80"/>
  <c r="R376" i="80"/>
  <c r="S376" i="80"/>
  <c r="T376" i="80"/>
  <c r="U376" i="80"/>
  <c r="V376" i="80"/>
  <c r="W376" i="80"/>
  <c r="X376" i="80"/>
  <c r="AO376" i="80"/>
  <c r="AP376" i="80"/>
  <c r="AQ376" i="80"/>
  <c r="AR376" i="80"/>
  <c r="AS376" i="80"/>
  <c r="AT376" i="80"/>
  <c r="AU376" i="80"/>
  <c r="AW376" i="80"/>
  <c r="AX376" i="80"/>
  <c r="AY376" i="80"/>
  <c r="BA376" i="80"/>
  <c r="A377" i="80"/>
  <c r="B377" i="80"/>
  <c r="D377" i="80"/>
  <c r="E377" i="80"/>
  <c r="F377" i="80"/>
  <c r="G377" i="80"/>
  <c r="H377" i="80"/>
  <c r="J377" i="80"/>
  <c r="K377" i="80"/>
  <c r="M377" i="80"/>
  <c r="O377" i="80"/>
  <c r="P377" i="80"/>
  <c r="R377" i="80"/>
  <c r="S377" i="80"/>
  <c r="T377" i="80"/>
  <c r="U377" i="80"/>
  <c r="V377" i="80"/>
  <c r="W377" i="80"/>
  <c r="X377" i="80"/>
  <c r="AO377" i="80"/>
  <c r="AP377" i="80"/>
  <c r="AQ377" i="80"/>
  <c r="AR377" i="80"/>
  <c r="AS377" i="80"/>
  <c r="AT377" i="80"/>
  <c r="AU377" i="80"/>
  <c r="AW377" i="80"/>
  <c r="AX377" i="80"/>
  <c r="AY377" i="80"/>
  <c r="BA377" i="80"/>
  <c r="A378" i="80"/>
  <c r="B378" i="80"/>
  <c r="D378" i="80"/>
  <c r="E378" i="80"/>
  <c r="F378" i="80"/>
  <c r="G378" i="80"/>
  <c r="H378" i="80"/>
  <c r="J378" i="80"/>
  <c r="K378" i="80"/>
  <c r="M378" i="80"/>
  <c r="O378" i="80"/>
  <c r="P378" i="80"/>
  <c r="R378" i="80"/>
  <c r="S378" i="80"/>
  <c r="T378" i="80"/>
  <c r="U378" i="80"/>
  <c r="V378" i="80"/>
  <c r="W378" i="80"/>
  <c r="X378" i="80"/>
  <c r="AO378" i="80"/>
  <c r="AP378" i="80"/>
  <c r="AQ378" i="80"/>
  <c r="AR378" i="80"/>
  <c r="AS378" i="80"/>
  <c r="AT378" i="80"/>
  <c r="AU378" i="80"/>
  <c r="AW378" i="80"/>
  <c r="AX378" i="80"/>
  <c r="AY378" i="80"/>
  <c r="BA378" i="80"/>
  <c r="A379" i="80"/>
  <c r="B379" i="80"/>
  <c r="D379" i="80"/>
  <c r="E379" i="80"/>
  <c r="F379" i="80"/>
  <c r="G379" i="80"/>
  <c r="H379" i="80"/>
  <c r="J379" i="80"/>
  <c r="K379" i="80"/>
  <c r="M379" i="80"/>
  <c r="O379" i="80"/>
  <c r="P379" i="80"/>
  <c r="R379" i="80"/>
  <c r="S379" i="80"/>
  <c r="T379" i="80"/>
  <c r="U379" i="80"/>
  <c r="V379" i="80"/>
  <c r="W379" i="80"/>
  <c r="X379" i="80"/>
  <c r="AO379" i="80"/>
  <c r="AP379" i="80"/>
  <c r="AQ379" i="80"/>
  <c r="AR379" i="80"/>
  <c r="AS379" i="80"/>
  <c r="AT379" i="80"/>
  <c r="AU379" i="80"/>
  <c r="AW379" i="80"/>
  <c r="AX379" i="80"/>
  <c r="AY379" i="80"/>
  <c r="BA379" i="80"/>
  <c r="A380" i="80"/>
  <c r="B380" i="80"/>
  <c r="D380" i="80"/>
  <c r="E380" i="80"/>
  <c r="F380" i="80"/>
  <c r="G380" i="80"/>
  <c r="H380" i="80"/>
  <c r="J380" i="80"/>
  <c r="K380" i="80"/>
  <c r="M380" i="80"/>
  <c r="O380" i="80"/>
  <c r="P380" i="80"/>
  <c r="R380" i="80"/>
  <c r="S380" i="80"/>
  <c r="T380" i="80"/>
  <c r="U380" i="80"/>
  <c r="V380" i="80"/>
  <c r="W380" i="80"/>
  <c r="X380" i="80"/>
  <c r="AO380" i="80"/>
  <c r="AP380" i="80"/>
  <c r="AQ380" i="80"/>
  <c r="AR380" i="80"/>
  <c r="AS380" i="80"/>
  <c r="AT380" i="80"/>
  <c r="AU380" i="80"/>
  <c r="AW380" i="80"/>
  <c r="AX380" i="80"/>
  <c r="AY380" i="80"/>
  <c r="BA380" i="80"/>
  <c r="A381" i="80"/>
  <c r="B381" i="80"/>
  <c r="D381" i="80"/>
  <c r="E381" i="80"/>
  <c r="F381" i="80"/>
  <c r="G381" i="80"/>
  <c r="H381" i="80"/>
  <c r="J381" i="80"/>
  <c r="K381" i="80"/>
  <c r="M381" i="80"/>
  <c r="O381" i="80"/>
  <c r="P381" i="80"/>
  <c r="R381" i="80"/>
  <c r="S381" i="80"/>
  <c r="T381" i="80"/>
  <c r="U381" i="80"/>
  <c r="V381" i="80"/>
  <c r="W381" i="80"/>
  <c r="X381" i="80"/>
  <c r="AO381" i="80"/>
  <c r="AP381" i="80"/>
  <c r="AQ381" i="80"/>
  <c r="AR381" i="80"/>
  <c r="AS381" i="80"/>
  <c r="AT381" i="80"/>
  <c r="AU381" i="80"/>
  <c r="AW381" i="80"/>
  <c r="AX381" i="80"/>
  <c r="AY381" i="80"/>
  <c r="BA381" i="80"/>
  <c r="A382" i="80"/>
  <c r="B382" i="80"/>
  <c r="D382" i="80"/>
  <c r="E382" i="80"/>
  <c r="F382" i="80"/>
  <c r="G382" i="80"/>
  <c r="H382" i="80"/>
  <c r="J382" i="80"/>
  <c r="K382" i="80"/>
  <c r="M382" i="80"/>
  <c r="O382" i="80"/>
  <c r="P382" i="80"/>
  <c r="R382" i="80"/>
  <c r="S382" i="80"/>
  <c r="T382" i="80"/>
  <c r="U382" i="80"/>
  <c r="V382" i="80"/>
  <c r="W382" i="80"/>
  <c r="X382" i="80"/>
  <c r="AO382" i="80"/>
  <c r="AP382" i="80"/>
  <c r="AQ382" i="80"/>
  <c r="AR382" i="80"/>
  <c r="AS382" i="80"/>
  <c r="AT382" i="80"/>
  <c r="AU382" i="80"/>
  <c r="AW382" i="80"/>
  <c r="AX382" i="80"/>
  <c r="AY382" i="80"/>
  <c r="BA382" i="80"/>
  <c r="A383" i="80"/>
  <c r="B383" i="80"/>
  <c r="D383" i="80"/>
  <c r="E383" i="80"/>
  <c r="F383" i="80"/>
  <c r="G383" i="80"/>
  <c r="H383" i="80"/>
  <c r="J383" i="80"/>
  <c r="K383" i="80"/>
  <c r="M383" i="80"/>
  <c r="O383" i="80"/>
  <c r="P383" i="80"/>
  <c r="R383" i="80"/>
  <c r="S383" i="80"/>
  <c r="T383" i="80"/>
  <c r="U383" i="80"/>
  <c r="V383" i="80"/>
  <c r="W383" i="80"/>
  <c r="X383" i="80"/>
  <c r="AO383" i="80"/>
  <c r="AP383" i="80"/>
  <c r="AQ383" i="80"/>
  <c r="AR383" i="80"/>
  <c r="AS383" i="80"/>
  <c r="AT383" i="80"/>
  <c r="AU383" i="80"/>
  <c r="AW383" i="80"/>
  <c r="AX383" i="80"/>
  <c r="AY383" i="80"/>
  <c r="BA383" i="80"/>
  <c r="A384" i="80"/>
  <c r="B384" i="80"/>
  <c r="D384" i="80"/>
  <c r="E384" i="80"/>
  <c r="F384" i="80"/>
  <c r="G384" i="80"/>
  <c r="H384" i="80"/>
  <c r="J384" i="80"/>
  <c r="K384" i="80"/>
  <c r="M384" i="80"/>
  <c r="O384" i="80"/>
  <c r="P384" i="80"/>
  <c r="R384" i="80"/>
  <c r="S384" i="80"/>
  <c r="T384" i="80"/>
  <c r="U384" i="80"/>
  <c r="V384" i="80"/>
  <c r="W384" i="80"/>
  <c r="X384" i="80"/>
  <c r="AO384" i="80"/>
  <c r="AP384" i="80"/>
  <c r="AQ384" i="80"/>
  <c r="AR384" i="80"/>
  <c r="AS384" i="80"/>
  <c r="AT384" i="80"/>
  <c r="AU384" i="80"/>
  <c r="AW384" i="80"/>
  <c r="AX384" i="80"/>
  <c r="AY384" i="80"/>
  <c r="BA384" i="80"/>
  <c r="A385" i="80"/>
  <c r="B385" i="80"/>
  <c r="D385" i="80"/>
  <c r="E385" i="80"/>
  <c r="F385" i="80"/>
  <c r="G385" i="80"/>
  <c r="H385" i="80"/>
  <c r="J385" i="80"/>
  <c r="K385" i="80"/>
  <c r="M385" i="80"/>
  <c r="O385" i="80"/>
  <c r="P385" i="80"/>
  <c r="R385" i="80"/>
  <c r="S385" i="80"/>
  <c r="T385" i="80"/>
  <c r="U385" i="80"/>
  <c r="V385" i="80"/>
  <c r="W385" i="80"/>
  <c r="X385" i="80"/>
  <c r="AO385" i="80"/>
  <c r="AP385" i="80"/>
  <c r="AQ385" i="80"/>
  <c r="AR385" i="80"/>
  <c r="AS385" i="80"/>
  <c r="AT385" i="80"/>
  <c r="AU385" i="80"/>
  <c r="AW385" i="80"/>
  <c r="AX385" i="80"/>
  <c r="AY385" i="80"/>
  <c r="BA385" i="80"/>
  <c r="A386" i="80"/>
  <c r="B386" i="80"/>
  <c r="D386" i="80"/>
  <c r="E386" i="80"/>
  <c r="F386" i="80"/>
  <c r="G386" i="80"/>
  <c r="H386" i="80"/>
  <c r="J386" i="80"/>
  <c r="K386" i="80"/>
  <c r="M386" i="80"/>
  <c r="O386" i="80"/>
  <c r="P386" i="80"/>
  <c r="R386" i="80"/>
  <c r="S386" i="80"/>
  <c r="T386" i="80"/>
  <c r="U386" i="80"/>
  <c r="V386" i="80"/>
  <c r="W386" i="80"/>
  <c r="X386" i="80"/>
  <c r="AO386" i="80"/>
  <c r="AP386" i="80"/>
  <c r="AQ386" i="80"/>
  <c r="AR386" i="80"/>
  <c r="AS386" i="80"/>
  <c r="AT386" i="80"/>
  <c r="AU386" i="80"/>
  <c r="AW386" i="80"/>
  <c r="AX386" i="80"/>
  <c r="AY386" i="80"/>
  <c r="BA386" i="80"/>
  <c r="A387" i="80"/>
  <c r="B387" i="80"/>
  <c r="D387" i="80"/>
  <c r="E387" i="80"/>
  <c r="F387" i="80"/>
  <c r="G387" i="80"/>
  <c r="H387" i="80"/>
  <c r="J387" i="80"/>
  <c r="K387" i="80"/>
  <c r="M387" i="80"/>
  <c r="O387" i="80"/>
  <c r="P387" i="80"/>
  <c r="R387" i="80"/>
  <c r="S387" i="80"/>
  <c r="T387" i="80"/>
  <c r="U387" i="80"/>
  <c r="V387" i="80"/>
  <c r="W387" i="80"/>
  <c r="X387" i="80"/>
  <c r="AO387" i="80"/>
  <c r="AP387" i="80"/>
  <c r="AQ387" i="80"/>
  <c r="AR387" i="80"/>
  <c r="AS387" i="80"/>
  <c r="AT387" i="80"/>
  <c r="AU387" i="80"/>
  <c r="AW387" i="80"/>
  <c r="AX387" i="80"/>
  <c r="AY387" i="80"/>
  <c r="BA387" i="80"/>
  <c r="A388" i="80"/>
  <c r="B388" i="80"/>
  <c r="D388" i="80"/>
  <c r="E388" i="80"/>
  <c r="F388" i="80"/>
  <c r="G388" i="80"/>
  <c r="H388" i="80"/>
  <c r="J388" i="80"/>
  <c r="K388" i="80"/>
  <c r="M388" i="80"/>
  <c r="O388" i="80"/>
  <c r="P388" i="80"/>
  <c r="R388" i="80"/>
  <c r="S388" i="80"/>
  <c r="T388" i="80"/>
  <c r="U388" i="80"/>
  <c r="V388" i="80"/>
  <c r="W388" i="80"/>
  <c r="X388" i="80"/>
  <c r="AO388" i="80"/>
  <c r="AP388" i="80"/>
  <c r="AQ388" i="80"/>
  <c r="AR388" i="80"/>
  <c r="AS388" i="80"/>
  <c r="AT388" i="80"/>
  <c r="AU388" i="80"/>
  <c r="AW388" i="80"/>
  <c r="AX388" i="80"/>
  <c r="AY388" i="80"/>
  <c r="BA388" i="80"/>
  <c r="A389" i="80"/>
  <c r="B389" i="80"/>
  <c r="D389" i="80"/>
  <c r="E389" i="80"/>
  <c r="F389" i="80"/>
  <c r="G389" i="80"/>
  <c r="H389" i="80"/>
  <c r="J389" i="80"/>
  <c r="K389" i="80"/>
  <c r="M389" i="80"/>
  <c r="O389" i="80"/>
  <c r="P389" i="80"/>
  <c r="R389" i="80"/>
  <c r="S389" i="80"/>
  <c r="T389" i="80"/>
  <c r="U389" i="80"/>
  <c r="V389" i="80"/>
  <c r="W389" i="80"/>
  <c r="X389" i="80"/>
  <c r="AO389" i="80"/>
  <c r="AP389" i="80"/>
  <c r="AQ389" i="80"/>
  <c r="AR389" i="80"/>
  <c r="AS389" i="80"/>
  <c r="AT389" i="80"/>
  <c r="AU389" i="80"/>
  <c r="AW389" i="80"/>
  <c r="AX389" i="80"/>
  <c r="AY389" i="80"/>
  <c r="BA389" i="80"/>
  <c r="A390" i="80"/>
  <c r="B390" i="80"/>
  <c r="D390" i="80"/>
  <c r="E390" i="80"/>
  <c r="F390" i="80"/>
  <c r="G390" i="80"/>
  <c r="H390" i="80"/>
  <c r="J390" i="80"/>
  <c r="K390" i="80"/>
  <c r="M390" i="80"/>
  <c r="O390" i="80"/>
  <c r="P390" i="80"/>
  <c r="R390" i="80"/>
  <c r="S390" i="80"/>
  <c r="T390" i="80"/>
  <c r="U390" i="80"/>
  <c r="V390" i="80"/>
  <c r="W390" i="80"/>
  <c r="X390" i="80"/>
  <c r="AO390" i="80"/>
  <c r="AP390" i="80"/>
  <c r="AQ390" i="80"/>
  <c r="AR390" i="80"/>
  <c r="AS390" i="80"/>
  <c r="AT390" i="80"/>
  <c r="AU390" i="80"/>
  <c r="AW390" i="80"/>
  <c r="AX390" i="80"/>
  <c r="AY390" i="80"/>
  <c r="BA390" i="80"/>
  <c r="A391" i="80"/>
  <c r="B391" i="80"/>
  <c r="D391" i="80"/>
  <c r="E391" i="80"/>
  <c r="F391" i="80"/>
  <c r="G391" i="80"/>
  <c r="H391" i="80"/>
  <c r="J391" i="80"/>
  <c r="K391" i="80"/>
  <c r="M391" i="80"/>
  <c r="O391" i="80"/>
  <c r="P391" i="80"/>
  <c r="R391" i="80"/>
  <c r="S391" i="80"/>
  <c r="T391" i="80"/>
  <c r="U391" i="80"/>
  <c r="V391" i="80"/>
  <c r="W391" i="80"/>
  <c r="X391" i="80"/>
  <c r="AO391" i="80"/>
  <c r="AP391" i="80"/>
  <c r="AQ391" i="80"/>
  <c r="AR391" i="80"/>
  <c r="AS391" i="80"/>
  <c r="AT391" i="80"/>
  <c r="AU391" i="80"/>
  <c r="AW391" i="80"/>
  <c r="AX391" i="80"/>
  <c r="AY391" i="80"/>
  <c r="BA391" i="80"/>
  <c r="A392" i="80"/>
  <c r="B392" i="80"/>
  <c r="D392" i="80"/>
  <c r="E392" i="80"/>
  <c r="F392" i="80"/>
  <c r="G392" i="80"/>
  <c r="H392" i="80"/>
  <c r="J392" i="80"/>
  <c r="K392" i="80"/>
  <c r="M392" i="80"/>
  <c r="O392" i="80"/>
  <c r="P392" i="80"/>
  <c r="R392" i="80"/>
  <c r="S392" i="80"/>
  <c r="T392" i="80"/>
  <c r="U392" i="80"/>
  <c r="V392" i="80"/>
  <c r="W392" i="80"/>
  <c r="X392" i="80"/>
  <c r="AO392" i="80"/>
  <c r="AP392" i="80"/>
  <c r="AQ392" i="80"/>
  <c r="AR392" i="80"/>
  <c r="AS392" i="80"/>
  <c r="AT392" i="80"/>
  <c r="AU392" i="80"/>
  <c r="AW392" i="80"/>
  <c r="AX392" i="80"/>
  <c r="AY392" i="80"/>
  <c r="BA392" i="80"/>
  <c r="A393" i="80"/>
  <c r="B393" i="80"/>
  <c r="D393" i="80"/>
  <c r="E393" i="80"/>
  <c r="F393" i="80"/>
  <c r="G393" i="80"/>
  <c r="H393" i="80"/>
  <c r="J393" i="80"/>
  <c r="K393" i="80"/>
  <c r="M393" i="80"/>
  <c r="O393" i="80"/>
  <c r="P393" i="80"/>
  <c r="R393" i="80"/>
  <c r="S393" i="80"/>
  <c r="T393" i="80"/>
  <c r="U393" i="80"/>
  <c r="V393" i="80"/>
  <c r="W393" i="80"/>
  <c r="X393" i="80"/>
  <c r="AO393" i="80"/>
  <c r="AP393" i="80"/>
  <c r="AQ393" i="80"/>
  <c r="AR393" i="80"/>
  <c r="AS393" i="80"/>
  <c r="AT393" i="80"/>
  <c r="AU393" i="80"/>
  <c r="AW393" i="80"/>
  <c r="AX393" i="80"/>
  <c r="AY393" i="80"/>
  <c r="BA393" i="80"/>
  <c r="A394" i="80"/>
  <c r="B394" i="80"/>
  <c r="D394" i="80"/>
  <c r="E394" i="80"/>
  <c r="F394" i="80"/>
  <c r="G394" i="80"/>
  <c r="H394" i="80"/>
  <c r="J394" i="80"/>
  <c r="K394" i="80"/>
  <c r="M394" i="80"/>
  <c r="O394" i="80"/>
  <c r="P394" i="80"/>
  <c r="R394" i="80"/>
  <c r="S394" i="80"/>
  <c r="T394" i="80"/>
  <c r="U394" i="80"/>
  <c r="V394" i="80"/>
  <c r="W394" i="80"/>
  <c r="X394" i="80"/>
  <c r="AO394" i="80"/>
  <c r="AP394" i="80"/>
  <c r="AQ394" i="80"/>
  <c r="AR394" i="80"/>
  <c r="AS394" i="80"/>
  <c r="AT394" i="80"/>
  <c r="AU394" i="80"/>
  <c r="AW394" i="80"/>
  <c r="AX394" i="80"/>
  <c r="AY394" i="80"/>
  <c r="BA394" i="80"/>
  <c r="A395" i="80"/>
  <c r="B395" i="80"/>
  <c r="D395" i="80"/>
  <c r="E395" i="80"/>
  <c r="F395" i="80"/>
  <c r="G395" i="80"/>
  <c r="H395" i="80"/>
  <c r="J395" i="80"/>
  <c r="K395" i="80"/>
  <c r="M395" i="80"/>
  <c r="O395" i="80"/>
  <c r="P395" i="80"/>
  <c r="R395" i="80"/>
  <c r="S395" i="80"/>
  <c r="T395" i="80"/>
  <c r="U395" i="80"/>
  <c r="V395" i="80"/>
  <c r="W395" i="80"/>
  <c r="X395" i="80"/>
  <c r="AO395" i="80"/>
  <c r="AP395" i="80"/>
  <c r="AQ395" i="80"/>
  <c r="AR395" i="80"/>
  <c r="AS395" i="80"/>
  <c r="AT395" i="80"/>
  <c r="AU395" i="80"/>
  <c r="AW395" i="80"/>
  <c r="AX395" i="80"/>
  <c r="AY395" i="80"/>
  <c r="BA395" i="80"/>
  <c r="A396" i="80"/>
  <c r="B396" i="80"/>
  <c r="D396" i="80"/>
  <c r="E396" i="80"/>
  <c r="F396" i="80"/>
  <c r="G396" i="80"/>
  <c r="H396" i="80"/>
  <c r="J396" i="80"/>
  <c r="K396" i="80"/>
  <c r="M396" i="80"/>
  <c r="O396" i="80"/>
  <c r="P396" i="80"/>
  <c r="R396" i="80"/>
  <c r="S396" i="80"/>
  <c r="T396" i="80"/>
  <c r="U396" i="80"/>
  <c r="V396" i="80"/>
  <c r="W396" i="80"/>
  <c r="X396" i="80"/>
  <c r="AO396" i="80"/>
  <c r="AP396" i="80"/>
  <c r="AQ396" i="80"/>
  <c r="AR396" i="80"/>
  <c r="AS396" i="80"/>
  <c r="AT396" i="80"/>
  <c r="AU396" i="80"/>
  <c r="AW396" i="80"/>
  <c r="AX396" i="80"/>
  <c r="AY396" i="80"/>
  <c r="BA396" i="80"/>
  <c r="A397" i="80"/>
  <c r="B397" i="80"/>
  <c r="D397" i="80"/>
  <c r="E397" i="80"/>
  <c r="F397" i="80"/>
  <c r="G397" i="80"/>
  <c r="H397" i="80"/>
  <c r="J397" i="80"/>
  <c r="K397" i="80"/>
  <c r="M397" i="80"/>
  <c r="O397" i="80"/>
  <c r="P397" i="80"/>
  <c r="R397" i="80"/>
  <c r="S397" i="80"/>
  <c r="T397" i="80"/>
  <c r="U397" i="80"/>
  <c r="V397" i="80"/>
  <c r="W397" i="80"/>
  <c r="X397" i="80"/>
  <c r="AO397" i="80"/>
  <c r="AP397" i="80"/>
  <c r="AQ397" i="80"/>
  <c r="AR397" i="80"/>
  <c r="AS397" i="80"/>
  <c r="AT397" i="80"/>
  <c r="AU397" i="80"/>
  <c r="AW397" i="80"/>
  <c r="AX397" i="80"/>
  <c r="AY397" i="80"/>
  <c r="BA397" i="80"/>
  <c r="A398" i="80"/>
  <c r="B398" i="80"/>
  <c r="D398" i="80"/>
  <c r="E398" i="80"/>
  <c r="F398" i="80"/>
  <c r="G398" i="80"/>
  <c r="H398" i="80"/>
  <c r="J398" i="80"/>
  <c r="K398" i="80"/>
  <c r="M398" i="80"/>
  <c r="O398" i="80"/>
  <c r="P398" i="80"/>
  <c r="R398" i="80"/>
  <c r="S398" i="80"/>
  <c r="T398" i="80"/>
  <c r="U398" i="80"/>
  <c r="V398" i="80"/>
  <c r="W398" i="80"/>
  <c r="X398" i="80"/>
  <c r="AO398" i="80"/>
  <c r="AP398" i="80"/>
  <c r="AQ398" i="80"/>
  <c r="AR398" i="80"/>
  <c r="AS398" i="80"/>
  <c r="AT398" i="80"/>
  <c r="AU398" i="80"/>
  <c r="AW398" i="80"/>
  <c r="AX398" i="80"/>
  <c r="AY398" i="80"/>
  <c r="BA398" i="80"/>
  <c r="A399" i="80"/>
  <c r="B399" i="80"/>
  <c r="D399" i="80"/>
  <c r="E399" i="80"/>
  <c r="F399" i="80"/>
  <c r="G399" i="80"/>
  <c r="H399" i="80"/>
  <c r="J399" i="80"/>
  <c r="K399" i="80"/>
  <c r="M399" i="80"/>
  <c r="O399" i="80"/>
  <c r="P399" i="80"/>
  <c r="R399" i="80"/>
  <c r="S399" i="80"/>
  <c r="T399" i="80"/>
  <c r="U399" i="80"/>
  <c r="V399" i="80"/>
  <c r="W399" i="80"/>
  <c r="X399" i="80"/>
  <c r="AO399" i="80"/>
  <c r="AP399" i="80"/>
  <c r="AQ399" i="80"/>
  <c r="AR399" i="80"/>
  <c r="AS399" i="80"/>
  <c r="AT399" i="80"/>
  <c r="AU399" i="80"/>
  <c r="AW399" i="80"/>
  <c r="AX399" i="80"/>
  <c r="AY399" i="80"/>
  <c r="BA399" i="80"/>
  <c r="A400" i="80"/>
  <c r="B400" i="80"/>
  <c r="D400" i="80"/>
  <c r="E400" i="80"/>
  <c r="F400" i="80"/>
  <c r="G400" i="80"/>
  <c r="H400" i="80"/>
  <c r="J400" i="80"/>
  <c r="K400" i="80"/>
  <c r="M400" i="80"/>
  <c r="O400" i="80"/>
  <c r="P400" i="80"/>
  <c r="R400" i="80"/>
  <c r="S400" i="80"/>
  <c r="T400" i="80"/>
  <c r="U400" i="80"/>
  <c r="V400" i="80"/>
  <c r="W400" i="80"/>
  <c r="X400" i="80"/>
  <c r="AO400" i="80"/>
  <c r="AP400" i="80"/>
  <c r="AQ400" i="80"/>
  <c r="AR400" i="80"/>
  <c r="AS400" i="80"/>
  <c r="AT400" i="80"/>
  <c r="AU400" i="80"/>
  <c r="AW400" i="80"/>
  <c r="AX400" i="80"/>
  <c r="AY400" i="80"/>
  <c r="BA400" i="80"/>
  <c r="A401" i="80"/>
  <c r="B401" i="80"/>
  <c r="D401" i="80"/>
  <c r="E401" i="80"/>
  <c r="F401" i="80"/>
  <c r="G401" i="80"/>
  <c r="H401" i="80"/>
  <c r="J401" i="80"/>
  <c r="K401" i="80"/>
  <c r="M401" i="80"/>
  <c r="O401" i="80"/>
  <c r="P401" i="80"/>
  <c r="R401" i="80"/>
  <c r="S401" i="80"/>
  <c r="T401" i="80"/>
  <c r="U401" i="80"/>
  <c r="V401" i="80"/>
  <c r="W401" i="80"/>
  <c r="X401" i="80"/>
  <c r="AO401" i="80"/>
  <c r="AP401" i="80"/>
  <c r="AQ401" i="80"/>
  <c r="AR401" i="80"/>
  <c r="AS401" i="80"/>
  <c r="AT401" i="80"/>
  <c r="AU401" i="80"/>
  <c r="AW401" i="80"/>
  <c r="AX401" i="80"/>
  <c r="AY401" i="80"/>
  <c r="BA401" i="80"/>
  <c r="A402" i="80"/>
  <c r="B402" i="80"/>
  <c r="D402" i="80"/>
  <c r="E402" i="80"/>
  <c r="F402" i="80"/>
  <c r="G402" i="80"/>
  <c r="H402" i="80"/>
  <c r="J402" i="80"/>
  <c r="K402" i="80"/>
  <c r="M402" i="80"/>
  <c r="O402" i="80"/>
  <c r="P402" i="80"/>
  <c r="R402" i="80"/>
  <c r="S402" i="80"/>
  <c r="T402" i="80"/>
  <c r="U402" i="80"/>
  <c r="V402" i="80"/>
  <c r="W402" i="80"/>
  <c r="X402" i="80"/>
  <c r="AO402" i="80"/>
  <c r="AP402" i="80"/>
  <c r="AQ402" i="80"/>
  <c r="AR402" i="80"/>
  <c r="AS402" i="80"/>
  <c r="AT402" i="80"/>
  <c r="AU402" i="80"/>
  <c r="AW402" i="80"/>
  <c r="AX402" i="80"/>
  <c r="AY402" i="80"/>
  <c r="BA402" i="80"/>
  <c r="A403" i="80"/>
  <c r="B403" i="80"/>
  <c r="D403" i="80"/>
  <c r="E403" i="80"/>
  <c r="F403" i="80"/>
  <c r="G403" i="80"/>
  <c r="H403" i="80"/>
  <c r="J403" i="80"/>
  <c r="K403" i="80"/>
  <c r="M403" i="80"/>
  <c r="O403" i="80"/>
  <c r="P403" i="80"/>
  <c r="R403" i="80"/>
  <c r="S403" i="80"/>
  <c r="T403" i="80"/>
  <c r="U403" i="80"/>
  <c r="V403" i="80"/>
  <c r="W403" i="80"/>
  <c r="X403" i="80"/>
  <c r="AO403" i="80"/>
  <c r="AP403" i="80"/>
  <c r="AQ403" i="80"/>
  <c r="AR403" i="80"/>
  <c r="AS403" i="80"/>
  <c r="AT403" i="80"/>
  <c r="AU403" i="80"/>
  <c r="AW403" i="80"/>
  <c r="AX403" i="80"/>
  <c r="AY403" i="80"/>
  <c r="BA403" i="80"/>
  <c r="A404" i="80"/>
  <c r="B404" i="80"/>
  <c r="D404" i="80"/>
  <c r="E404" i="80"/>
  <c r="F404" i="80"/>
  <c r="G404" i="80"/>
  <c r="H404" i="80"/>
  <c r="J404" i="80"/>
  <c r="K404" i="80"/>
  <c r="M404" i="80"/>
  <c r="O404" i="80"/>
  <c r="P404" i="80"/>
  <c r="R404" i="80"/>
  <c r="S404" i="80"/>
  <c r="T404" i="80"/>
  <c r="U404" i="80"/>
  <c r="V404" i="80"/>
  <c r="W404" i="80"/>
  <c r="X404" i="80"/>
  <c r="AO404" i="80"/>
  <c r="AP404" i="80"/>
  <c r="AQ404" i="80"/>
  <c r="AR404" i="80"/>
  <c r="AS404" i="80"/>
  <c r="AT404" i="80"/>
  <c r="AU404" i="80"/>
  <c r="AW404" i="80"/>
  <c r="AX404" i="80"/>
  <c r="AY404" i="80"/>
  <c r="BA404" i="80"/>
  <c r="A405" i="80"/>
  <c r="B405" i="80"/>
  <c r="D405" i="80"/>
  <c r="E405" i="80"/>
  <c r="F405" i="80"/>
  <c r="G405" i="80"/>
  <c r="H405" i="80"/>
  <c r="J405" i="80"/>
  <c r="K405" i="80"/>
  <c r="M405" i="80"/>
  <c r="O405" i="80"/>
  <c r="P405" i="80"/>
  <c r="R405" i="80"/>
  <c r="S405" i="80"/>
  <c r="T405" i="80"/>
  <c r="U405" i="80"/>
  <c r="V405" i="80"/>
  <c r="W405" i="80"/>
  <c r="X405" i="80"/>
  <c r="AO405" i="80"/>
  <c r="AP405" i="80"/>
  <c r="AQ405" i="80"/>
  <c r="AR405" i="80"/>
  <c r="AS405" i="80"/>
  <c r="AT405" i="80"/>
  <c r="AU405" i="80"/>
  <c r="AW405" i="80"/>
  <c r="AX405" i="80"/>
  <c r="AY405" i="80"/>
  <c r="BA405" i="80"/>
  <c r="A406" i="80"/>
  <c r="B406" i="80"/>
  <c r="D406" i="80"/>
  <c r="E406" i="80"/>
  <c r="F406" i="80"/>
  <c r="G406" i="80"/>
  <c r="H406" i="80"/>
  <c r="J406" i="80"/>
  <c r="K406" i="80"/>
  <c r="M406" i="80"/>
  <c r="O406" i="80"/>
  <c r="P406" i="80"/>
  <c r="R406" i="80"/>
  <c r="S406" i="80"/>
  <c r="T406" i="80"/>
  <c r="U406" i="80"/>
  <c r="V406" i="80"/>
  <c r="W406" i="80"/>
  <c r="X406" i="80"/>
  <c r="AO406" i="80"/>
  <c r="AP406" i="80"/>
  <c r="AQ406" i="80"/>
  <c r="AR406" i="80"/>
  <c r="AS406" i="80"/>
  <c r="AT406" i="80"/>
  <c r="AU406" i="80"/>
  <c r="AW406" i="80"/>
  <c r="AX406" i="80"/>
  <c r="AY406" i="80"/>
  <c r="BA406" i="80"/>
  <c r="A407" i="80"/>
  <c r="B407" i="80"/>
  <c r="D407" i="80"/>
  <c r="E407" i="80"/>
  <c r="F407" i="80"/>
  <c r="G407" i="80"/>
  <c r="H407" i="80"/>
  <c r="J407" i="80"/>
  <c r="K407" i="80"/>
  <c r="M407" i="80"/>
  <c r="O407" i="80"/>
  <c r="P407" i="80"/>
  <c r="R407" i="80"/>
  <c r="S407" i="80"/>
  <c r="T407" i="80"/>
  <c r="U407" i="80"/>
  <c r="V407" i="80"/>
  <c r="W407" i="80"/>
  <c r="X407" i="80"/>
  <c r="AO407" i="80"/>
  <c r="AP407" i="80"/>
  <c r="AQ407" i="80"/>
  <c r="AR407" i="80"/>
  <c r="AS407" i="80"/>
  <c r="AT407" i="80"/>
  <c r="AU407" i="80"/>
  <c r="AW407" i="80"/>
  <c r="AX407" i="80"/>
  <c r="AY407" i="80"/>
  <c r="BA407" i="80"/>
  <c r="A408" i="80"/>
  <c r="B408" i="80"/>
  <c r="D408" i="80"/>
  <c r="E408" i="80"/>
  <c r="F408" i="80"/>
  <c r="G408" i="80"/>
  <c r="H408" i="80"/>
  <c r="J408" i="80"/>
  <c r="K408" i="80"/>
  <c r="M408" i="80"/>
  <c r="O408" i="80"/>
  <c r="P408" i="80"/>
  <c r="R408" i="80"/>
  <c r="S408" i="80"/>
  <c r="T408" i="80"/>
  <c r="U408" i="80"/>
  <c r="V408" i="80"/>
  <c r="W408" i="80"/>
  <c r="X408" i="80"/>
  <c r="AO408" i="80"/>
  <c r="AP408" i="80"/>
  <c r="AQ408" i="80"/>
  <c r="AR408" i="80"/>
  <c r="AS408" i="80"/>
  <c r="AT408" i="80"/>
  <c r="AU408" i="80"/>
  <c r="AW408" i="80"/>
  <c r="AX408" i="80"/>
  <c r="AY408" i="80"/>
  <c r="BA408" i="80"/>
  <c r="A409" i="80"/>
  <c r="B409" i="80"/>
  <c r="D409" i="80"/>
  <c r="E409" i="80"/>
  <c r="F409" i="80"/>
  <c r="G409" i="80"/>
  <c r="H409" i="80"/>
  <c r="J409" i="80"/>
  <c r="K409" i="80"/>
  <c r="M409" i="80"/>
  <c r="O409" i="80"/>
  <c r="P409" i="80"/>
  <c r="R409" i="80"/>
  <c r="S409" i="80"/>
  <c r="T409" i="80"/>
  <c r="U409" i="80"/>
  <c r="V409" i="80"/>
  <c r="W409" i="80"/>
  <c r="X409" i="80"/>
  <c r="AO409" i="80"/>
  <c r="AP409" i="80"/>
  <c r="AQ409" i="80"/>
  <c r="AR409" i="80"/>
  <c r="AS409" i="80"/>
  <c r="AT409" i="80"/>
  <c r="AU409" i="80"/>
  <c r="AW409" i="80"/>
  <c r="AX409" i="80"/>
  <c r="AY409" i="80"/>
  <c r="BA409" i="80"/>
  <c r="A410" i="80"/>
  <c r="B410" i="80"/>
  <c r="D410" i="80"/>
  <c r="E410" i="80"/>
  <c r="F410" i="80"/>
  <c r="G410" i="80"/>
  <c r="H410" i="80"/>
  <c r="J410" i="80"/>
  <c r="K410" i="80"/>
  <c r="M410" i="80"/>
  <c r="O410" i="80"/>
  <c r="P410" i="80"/>
  <c r="R410" i="80"/>
  <c r="S410" i="80"/>
  <c r="T410" i="80"/>
  <c r="U410" i="80"/>
  <c r="V410" i="80"/>
  <c r="W410" i="80"/>
  <c r="X410" i="80"/>
  <c r="AO410" i="80"/>
  <c r="AP410" i="80"/>
  <c r="AQ410" i="80"/>
  <c r="AR410" i="80"/>
  <c r="AS410" i="80"/>
  <c r="AT410" i="80"/>
  <c r="AU410" i="80"/>
  <c r="AW410" i="80"/>
  <c r="AX410" i="80"/>
  <c r="AY410" i="80"/>
  <c r="BA410" i="80"/>
  <c r="A411" i="80"/>
  <c r="B411" i="80"/>
  <c r="D411" i="80"/>
  <c r="E411" i="80"/>
  <c r="F411" i="80"/>
  <c r="G411" i="80"/>
  <c r="H411" i="80"/>
  <c r="J411" i="80"/>
  <c r="K411" i="80"/>
  <c r="M411" i="80"/>
  <c r="O411" i="80"/>
  <c r="P411" i="80"/>
  <c r="R411" i="80"/>
  <c r="S411" i="80"/>
  <c r="T411" i="80"/>
  <c r="U411" i="80"/>
  <c r="V411" i="80"/>
  <c r="W411" i="80"/>
  <c r="X411" i="80"/>
  <c r="AO411" i="80"/>
  <c r="AP411" i="80"/>
  <c r="AQ411" i="80"/>
  <c r="AR411" i="80"/>
  <c r="AS411" i="80"/>
  <c r="AT411" i="80"/>
  <c r="AU411" i="80"/>
  <c r="AW411" i="80"/>
  <c r="AX411" i="80"/>
  <c r="AY411" i="80"/>
  <c r="BA411" i="80"/>
  <c r="A412" i="80"/>
  <c r="B412" i="80"/>
  <c r="D412" i="80"/>
  <c r="E412" i="80"/>
  <c r="F412" i="80"/>
  <c r="G412" i="80"/>
  <c r="H412" i="80"/>
  <c r="J412" i="80"/>
  <c r="K412" i="80"/>
  <c r="M412" i="80"/>
  <c r="O412" i="80"/>
  <c r="P412" i="80"/>
  <c r="R412" i="80"/>
  <c r="S412" i="80"/>
  <c r="T412" i="80"/>
  <c r="U412" i="80"/>
  <c r="V412" i="80"/>
  <c r="W412" i="80"/>
  <c r="X412" i="80"/>
  <c r="AO412" i="80"/>
  <c r="AP412" i="80"/>
  <c r="AQ412" i="80"/>
  <c r="AR412" i="80"/>
  <c r="AS412" i="80"/>
  <c r="AT412" i="80"/>
  <c r="AU412" i="80"/>
  <c r="AW412" i="80"/>
  <c r="AX412" i="80"/>
  <c r="AY412" i="80"/>
  <c r="BA412" i="80"/>
  <c r="A413" i="80"/>
  <c r="B413" i="80"/>
  <c r="D413" i="80"/>
  <c r="E413" i="80"/>
  <c r="F413" i="80"/>
  <c r="G413" i="80"/>
  <c r="H413" i="80"/>
  <c r="J413" i="80"/>
  <c r="K413" i="80"/>
  <c r="M413" i="80"/>
  <c r="O413" i="80"/>
  <c r="P413" i="80"/>
  <c r="R413" i="80"/>
  <c r="S413" i="80"/>
  <c r="T413" i="80"/>
  <c r="U413" i="80"/>
  <c r="V413" i="80"/>
  <c r="W413" i="80"/>
  <c r="X413" i="80"/>
  <c r="AO413" i="80"/>
  <c r="AP413" i="80"/>
  <c r="AQ413" i="80"/>
  <c r="AR413" i="80"/>
  <c r="AS413" i="80"/>
  <c r="AT413" i="80"/>
  <c r="AU413" i="80"/>
  <c r="AW413" i="80"/>
  <c r="AX413" i="80"/>
  <c r="AY413" i="80"/>
  <c r="BA413" i="80"/>
  <c r="A414" i="80"/>
  <c r="B414" i="80"/>
  <c r="D414" i="80"/>
  <c r="E414" i="80"/>
  <c r="F414" i="80"/>
  <c r="G414" i="80"/>
  <c r="H414" i="80"/>
  <c r="J414" i="80"/>
  <c r="K414" i="80"/>
  <c r="M414" i="80"/>
  <c r="O414" i="80"/>
  <c r="P414" i="80"/>
  <c r="R414" i="80"/>
  <c r="S414" i="80"/>
  <c r="T414" i="80"/>
  <c r="U414" i="80"/>
  <c r="V414" i="80"/>
  <c r="W414" i="80"/>
  <c r="X414" i="80"/>
  <c r="AO414" i="80"/>
  <c r="AP414" i="80"/>
  <c r="AQ414" i="80"/>
  <c r="AR414" i="80"/>
  <c r="AS414" i="80"/>
  <c r="AT414" i="80"/>
  <c r="AU414" i="80"/>
  <c r="AW414" i="80"/>
  <c r="AX414" i="80"/>
  <c r="AY414" i="80"/>
  <c r="BA414" i="80"/>
  <c r="A415" i="80"/>
  <c r="B415" i="80"/>
  <c r="D415" i="80"/>
  <c r="E415" i="80"/>
  <c r="F415" i="80"/>
  <c r="G415" i="80"/>
  <c r="H415" i="80"/>
  <c r="J415" i="80"/>
  <c r="K415" i="80"/>
  <c r="M415" i="80"/>
  <c r="O415" i="80"/>
  <c r="P415" i="80"/>
  <c r="R415" i="80"/>
  <c r="S415" i="80"/>
  <c r="T415" i="80"/>
  <c r="U415" i="80"/>
  <c r="V415" i="80"/>
  <c r="W415" i="80"/>
  <c r="X415" i="80"/>
  <c r="AO415" i="80"/>
  <c r="AP415" i="80"/>
  <c r="AQ415" i="80"/>
  <c r="AR415" i="80"/>
  <c r="AS415" i="80"/>
  <c r="AT415" i="80"/>
  <c r="AU415" i="80"/>
  <c r="AW415" i="80"/>
  <c r="AX415" i="80"/>
  <c r="AY415" i="80"/>
  <c r="BA415" i="80"/>
  <c r="A416" i="80"/>
  <c r="B416" i="80"/>
  <c r="D416" i="80"/>
  <c r="E416" i="80"/>
  <c r="F416" i="80"/>
  <c r="G416" i="80"/>
  <c r="H416" i="80"/>
  <c r="J416" i="80"/>
  <c r="K416" i="80"/>
  <c r="M416" i="80"/>
  <c r="O416" i="80"/>
  <c r="P416" i="80"/>
  <c r="R416" i="80"/>
  <c r="S416" i="80"/>
  <c r="T416" i="80"/>
  <c r="U416" i="80"/>
  <c r="V416" i="80"/>
  <c r="W416" i="80"/>
  <c r="X416" i="80"/>
  <c r="AO416" i="80"/>
  <c r="AP416" i="80"/>
  <c r="AQ416" i="80"/>
  <c r="AR416" i="80"/>
  <c r="AS416" i="80"/>
  <c r="AT416" i="80"/>
  <c r="AU416" i="80"/>
  <c r="AW416" i="80"/>
  <c r="AX416" i="80"/>
  <c r="AY416" i="80"/>
  <c r="BA416" i="80"/>
  <c r="A417" i="80"/>
  <c r="B417" i="80"/>
  <c r="D417" i="80"/>
  <c r="E417" i="80"/>
  <c r="F417" i="80"/>
  <c r="G417" i="80"/>
  <c r="H417" i="80"/>
  <c r="J417" i="80"/>
  <c r="K417" i="80"/>
  <c r="M417" i="80"/>
  <c r="O417" i="80"/>
  <c r="P417" i="80"/>
  <c r="R417" i="80"/>
  <c r="S417" i="80"/>
  <c r="T417" i="80"/>
  <c r="U417" i="80"/>
  <c r="V417" i="80"/>
  <c r="W417" i="80"/>
  <c r="X417" i="80"/>
  <c r="AO417" i="80"/>
  <c r="AP417" i="80"/>
  <c r="AQ417" i="80"/>
  <c r="AR417" i="80"/>
  <c r="AS417" i="80"/>
  <c r="AT417" i="80"/>
  <c r="AU417" i="80"/>
  <c r="AW417" i="80"/>
  <c r="AX417" i="80"/>
  <c r="AY417" i="80"/>
  <c r="BA417" i="80"/>
  <c r="A418" i="80"/>
  <c r="B418" i="80"/>
  <c r="D418" i="80"/>
  <c r="E418" i="80"/>
  <c r="F418" i="80"/>
  <c r="G418" i="80"/>
  <c r="H418" i="80"/>
  <c r="J418" i="80"/>
  <c r="K418" i="80"/>
  <c r="M418" i="80"/>
  <c r="O418" i="80"/>
  <c r="P418" i="80"/>
  <c r="R418" i="80"/>
  <c r="S418" i="80"/>
  <c r="T418" i="80"/>
  <c r="U418" i="80"/>
  <c r="V418" i="80"/>
  <c r="W418" i="80"/>
  <c r="X418" i="80"/>
  <c r="AO418" i="80"/>
  <c r="AP418" i="80"/>
  <c r="AQ418" i="80"/>
  <c r="AR418" i="80"/>
  <c r="AS418" i="80"/>
  <c r="AT418" i="80"/>
  <c r="AU418" i="80"/>
  <c r="AW418" i="80"/>
  <c r="AX418" i="80"/>
  <c r="AY418" i="80"/>
  <c r="BA418" i="80"/>
  <c r="A419" i="80"/>
  <c r="B419" i="80"/>
  <c r="D419" i="80"/>
  <c r="E419" i="80"/>
  <c r="F419" i="80"/>
  <c r="G419" i="80"/>
  <c r="H419" i="80"/>
  <c r="J419" i="80"/>
  <c r="K419" i="80"/>
  <c r="M419" i="80"/>
  <c r="O419" i="80"/>
  <c r="P419" i="80"/>
  <c r="R419" i="80"/>
  <c r="S419" i="80"/>
  <c r="T419" i="80"/>
  <c r="U419" i="80"/>
  <c r="V419" i="80"/>
  <c r="W419" i="80"/>
  <c r="X419" i="80"/>
  <c r="AO419" i="80"/>
  <c r="AP419" i="80"/>
  <c r="AQ419" i="80"/>
  <c r="AR419" i="80"/>
  <c r="AS419" i="80"/>
  <c r="AT419" i="80"/>
  <c r="AU419" i="80"/>
  <c r="AW419" i="80"/>
  <c r="AX419" i="80"/>
  <c r="AY419" i="80"/>
  <c r="BA419" i="80"/>
  <c r="A420" i="80"/>
  <c r="B420" i="80"/>
  <c r="D420" i="80"/>
  <c r="E420" i="80"/>
  <c r="F420" i="80"/>
  <c r="G420" i="80"/>
  <c r="H420" i="80"/>
  <c r="J420" i="80"/>
  <c r="K420" i="80"/>
  <c r="M420" i="80"/>
  <c r="O420" i="80"/>
  <c r="P420" i="80"/>
  <c r="R420" i="80"/>
  <c r="S420" i="80"/>
  <c r="T420" i="80"/>
  <c r="U420" i="80"/>
  <c r="V420" i="80"/>
  <c r="W420" i="80"/>
  <c r="X420" i="80"/>
  <c r="AO420" i="80"/>
  <c r="AP420" i="80"/>
  <c r="AQ420" i="80"/>
  <c r="AR420" i="80"/>
  <c r="AS420" i="80"/>
  <c r="AT420" i="80"/>
  <c r="AU420" i="80"/>
  <c r="AW420" i="80"/>
  <c r="AX420" i="80"/>
  <c r="AY420" i="80"/>
  <c r="BA420" i="80"/>
  <c r="A421" i="80"/>
  <c r="B421" i="80"/>
  <c r="D421" i="80"/>
  <c r="E421" i="80"/>
  <c r="F421" i="80"/>
  <c r="G421" i="80"/>
  <c r="H421" i="80"/>
  <c r="J421" i="80"/>
  <c r="K421" i="80"/>
  <c r="M421" i="80"/>
  <c r="O421" i="80"/>
  <c r="P421" i="80"/>
  <c r="R421" i="80"/>
  <c r="S421" i="80"/>
  <c r="T421" i="80"/>
  <c r="U421" i="80"/>
  <c r="V421" i="80"/>
  <c r="W421" i="80"/>
  <c r="X421" i="80"/>
  <c r="AO421" i="80"/>
  <c r="AP421" i="80"/>
  <c r="AQ421" i="80"/>
  <c r="AR421" i="80"/>
  <c r="AS421" i="80"/>
  <c r="AT421" i="80"/>
  <c r="AU421" i="80"/>
  <c r="AW421" i="80"/>
  <c r="AX421" i="80"/>
  <c r="AY421" i="80"/>
  <c r="BA421" i="80"/>
  <c r="A422" i="80"/>
  <c r="B422" i="80"/>
  <c r="D422" i="80"/>
  <c r="E422" i="80"/>
  <c r="F422" i="80"/>
  <c r="G422" i="80"/>
  <c r="H422" i="80"/>
  <c r="J422" i="80"/>
  <c r="K422" i="80"/>
  <c r="M422" i="80"/>
  <c r="O422" i="80"/>
  <c r="P422" i="80"/>
  <c r="R422" i="80"/>
  <c r="S422" i="80"/>
  <c r="T422" i="80"/>
  <c r="U422" i="80"/>
  <c r="V422" i="80"/>
  <c r="W422" i="80"/>
  <c r="X422" i="80"/>
  <c r="AO422" i="80"/>
  <c r="AP422" i="80"/>
  <c r="AQ422" i="80"/>
  <c r="AR422" i="80"/>
  <c r="AS422" i="80"/>
  <c r="AT422" i="80"/>
  <c r="AU422" i="80"/>
  <c r="AW422" i="80"/>
  <c r="AX422" i="80"/>
  <c r="AY422" i="80"/>
  <c r="BA422" i="80"/>
  <c r="A423" i="80"/>
  <c r="B423" i="80"/>
  <c r="D423" i="80"/>
  <c r="E423" i="80"/>
  <c r="F423" i="80"/>
  <c r="G423" i="80"/>
  <c r="H423" i="80"/>
  <c r="J423" i="80"/>
  <c r="K423" i="80"/>
  <c r="M423" i="80"/>
  <c r="O423" i="80"/>
  <c r="P423" i="80"/>
  <c r="R423" i="80"/>
  <c r="S423" i="80"/>
  <c r="T423" i="80"/>
  <c r="U423" i="80"/>
  <c r="V423" i="80"/>
  <c r="W423" i="80"/>
  <c r="X423" i="80"/>
  <c r="AO423" i="80"/>
  <c r="AP423" i="80"/>
  <c r="AQ423" i="80"/>
  <c r="AR423" i="80"/>
  <c r="AS423" i="80"/>
  <c r="AT423" i="80"/>
  <c r="AU423" i="80"/>
  <c r="AW423" i="80"/>
  <c r="AX423" i="80"/>
  <c r="AY423" i="80"/>
  <c r="BA423" i="80"/>
  <c r="A424" i="80"/>
  <c r="B424" i="80"/>
  <c r="D424" i="80"/>
  <c r="E424" i="80"/>
  <c r="F424" i="80"/>
  <c r="G424" i="80"/>
  <c r="H424" i="80"/>
  <c r="J424" i="80"/>
  <c r="K424" i="80"/>
  <c r="M424" i="80"/>
  <c r="O424" i="80"/>
  <c r="P424" i="80"/>
  <c r="R424" i="80"/>
  <c r="S424" i="80"/>
  <c r="T424" i="80"/>
  <c r="U424" i="80"/>
  <c r="V424" i="80"/>
  <c r="W424" i="80"/>
  <c r="X424" i="80"/>
  <c r="AO424" i="80"/>
  <c r="AP424" i="80"/>
  <c r="AQ424" i="80"/>
  <c r="AR424" i="80"/>
  <c r="AS424" i="80"/>
  <c r="AT424" i="80"/>
  <c r="AU424" i="80"/>
  <c r="AW424" i="80"/>
  <c r="AX424" i="80"/>
  <c r="AY424" i="80"/>
  <c r="BA424" i="80"/>
  <c r="A425" i="80"/>
  <c r="B425" i="80"/>
  <c r="D425" i="80"/>
  <c r="E425" i="80"/>
  <c r="F425" i="80"/>
  <c r="G425" i="80"/>
  <c r="H425" i="80"/>
  <c r="J425" i="80"/>
  <c r="K425" i="80"/>
  <c r="M425" i="80"/>
  <c r="O425" i="80"/>
  <c r="P425" i="80"/>
  <c r="R425" i="80"/>
  <c r="S425" i="80"/>
  <c r="T425" i="80"/>
  <c r="U425" i="80"/>
  <c r="V425" i="80"/>
  <c r="W425" i="80"/>
  <c r="X425" i="80"/>
  <c r="AO425" i="80"/>
  <c r="AP425" i="80"/>
  <c r="AQ425" i="80"/>
  <c r="AR425" i="80"/>
  <c r="AS425" i="80"/>
  <c r="AT425" i="80"/>
  <c r="AU425" i="80"/>
  <c r="AW425" i="80"/>
  <c r="AX425" i="80"/>
  <c r="AY425" i="80"/>
  <c r="BA425" i="80"/>
  <c r="A426" i="80"/>
  <c r="B426" i="80"/>
  <c r="D426" i="80"/>
  <c r="E426" i="80"/>
  <c r="F426" i="80"/>
  <c r="G426" i="80"/>
  <c r="H426" i="80"/>
  <c r="J426" i="80"/>
  <c r="K426" i="80"/>
  <c r="M426" i="80"/>
  <c r="O426" i="80"/>
  <c r="P426" i="80"/>
  <c r="R426" i="80"/>
  <c r="S426" i="80"/>
  <c r="T426" i="80"/>
  <c r="U426" i="80"/>
  <c r="V426" i="80"/>
  <c r="W426" i="80"/>
  <c r="X426" i="80"/>
  <c r="AO426" i="80"/>
  <c r="AP426" i="80"/>
  <c r="AQ426" i="80"/>
  <c r="AR426" i="80"/>
  <c r="AS426" i="80"/>
  <c r="AT426" i="80"/>
  <c r="AU426" i="80"/>
  <c r="AW426" i="80"/>
  <c r="AX426" i="80"/>
  <c r="AY426" i="80"/>
  <c r="BA426" i="80"/>
  <c r="A427" i="80"/>
  <c r="B427" i="80"/>
  <c r="D427" i="80"/>
  <c r="E427" i="80"/>
  <c r="F427" i="80"/>
  <c r="G427" i="80"/>
  <c r="H427" i="80"/>
  <c r="J427" i="80"/>
  <c r="K427" i="80"/>
  <c r="M427" i="80"/>
  <c r="O427" i="80"/>
  <c r="P427" i="80"/>
  <c r="R427" i="80"/>
  <c r="S427" i="80"/>
  <c r="T427" i="80"/>
  <c r="U427" i="80"/>
  <c r="V427" i="80"/>
  <c r="W427" i="80"/>
  <c r="X427" i="80"/>
  <c r="AO427" i="80"/>
  <c r="AP427" i="80"/>
  <c r="AQ427" i="80"/>
  <c r="AR427" i="80"/>
  <c r="AS427" i="80"/>
  <c r="AT427" i="80"/>
  <c r="AU427" i="80"/>
  <c r="AW427" i="80"/>
  <c r="AX427" i="80"/>
  <c r="AY427" i="80"/>
  <c r="BA427" i="80"/>
  <c r="A428" i="80"/>
  <c r="B428" i="80"/>
  <c r="D428" i="80"/>
  <c r="E428" i="80"/>
  <c r="F428" i="80"/>
  <c r="G428" i="80"/>
  <c r="H428" i="80"/>
  <c r="J428" i="80"/>
  <c r="K428" i="80"/>
  <c r="M428" i="80"/>
  <c r="O428" i="80"/>
  <c r="P428" i="80"/>
  <c r="R428" i="80"/>
  <c r="S428" i="80"/>
  <c r="T428" i="80"/>
  <c r="U428" i="80"/>
  <c r="V428" i="80"/>
  <c r="W428" i="80"/>
  <c r="X428" i="80"/>
  <c r="AO428" i="80"/>
  <c r="AP428" i="80"/>
  <c r="AQ428" i="80"/>
  <c r="AR428" i="80"/>
  <c r="AS428" i="80"/>
  <c r="AT428" i="80"/>
  <c r="AU428" i="80"/>
  <c r="AW428" i="80"/>
  <c r="AX428" i="80"/>
  <c r="AY428" i="80"/>
  <c r="BA428" i="80"/>
  <c r="A429" i="80"/>
  <c r="B429" i="80"/>
  <c r="D429" i="80"/>
  <c r="E429" i="80"/>
  <c r="F429" i="80"/>
  <c r="G429" i="80"/>
  <c r="H429" i="80"/>
  <c r="J429" i="80"/>
  <c r="K429" i="80"/>
  <c r="M429" i="80"/>
  <c r="O429" i="80"/>
  <c r="P429" i="80"/>
  <c r="R429" i="80"/>
  <c r="S429" i="80"/>
  <c r="T429" i="80"/>
  <c r="U429" i="80"/>
  <c r="V429" i="80"/>
  <c r="W429" i="80"/>
  <c r="X429" i="80"/>
  <c r="AO429" i="80"/>
  <c r="AP429" i="80"/>
  <c r="AQ429" i="80"/>
  <c r="AR429" i="80"/>
  <c r="AS429" i="80"/>
  <c r="AT429" i="80"/>
  <c r="AU429" i="80"/>
  <c r="AW429" i="80"/>
  <c r="AX429" i="80"/>
  <c r="AY429" i="80"/>
  <c r="BA429" i="80"/>
  <c r="A430" i="80"/>
  <c r="B430" i="80"/>
  <c r="D430" i="80"/>
  <c r="E430" i="80"/>
  <c r="F430" i="80"/>
  <c r="G430" i="80"/>
  <c r="H430" i="80"/>
  <c r="J430" i="80"/>
  <c r="K430" i="80"/>
  <c r="M430" i="80"/>
  <c r="O430" i="80"/>
  <c r="P430" i="80"/>
  <c r="R430" i="80"/>
  <c r="S430" i="80"/>
  <c r="T430" i="80"/>
  <c r="U430" i="80"/>
  <c r="V430" i="80"/>
  <c r="W430" i="80"/>
  <c r="X430" i="80"/>
  <c r="AO430" i="80"/>
  <c r="AP430" i="80"/>
  <c r="AQ430" i="80"/>
  <c r="AR430" i="80"/>
  <c r="AS430" i="80"/>
  <c r="AT430" i="80"/>
  <c r="AU430" i="80"/>
  <c r="AW430" i="80"/>
  <c r="AX430" i="80"/>
  <c r="AY430" i="80"/>
  <c r="BA430" i="80"/>
  <c r="A431" i="80"/>
  <c r="B431" i="80"/>
  <c r="D431" i="80"/>
  <c r="E431" i="80"/>
  <c r="F431" i="80"/>
  <c r="G431" i="80"/>
  <c r="H431" i="80"/>
  <c r="J431" i="80"/>
  <c r="K431" i="80"/>
  <c r="M431" i="80"/>
  <c r="O431" i="80"/>
  <c r="P431" i="80"/>
  <c r="R431" i="80"/>
  <c r="S431" i="80"/>
  <c r="T431" i="80"/>
  <c r="U431" i="80"/>
  <c r="V431" i="80"/>
  <c r="W431" i="80"/>
  <c r="X431" i="80"/>
  <c r="AO431" i="80"/>
  <c r="AP431" i="80"/>
  <c r="AQ431" i="80"/>
  <c r="AR431" i="80"/>
  <c r="AS431" i="80"/>
  <c r="AT431" i="80"/>
  <c r="AU431" i="80"/>
  <c r="AW431" i="80"/>
  <c r="AX431" i="80"/>
  <c r="AY431" i="80"/>
  <c r="BA431" i="80"/>
  <c r="A432" i="80"/>
  <c r="B432" i="80"/>
  <c r="D432" i="80"/>
  <c r="E432" i="80"/>
  <c r="F432" i="80"/>
  <c r="G432" i="80"/>
  <c r="H432" i="80"/>
  <c r="J432" i="80"/>
  <c r="K432" i="80"/>
  <c r="M432" i="80"/>
  <c r="O432" i="80"/>
  <c r="P432" i="80"/>
  <c r="R432" i="80"/>
  <c r="S432" i="80"/>
  <c r="T432" i="80"/>
  <c r="U432" i="80"/>
  <c r="V432" i="80"/>
  <c r="W432" i="80"/>
  <c r="X432" i="80"/>
  <c r="AO432" i="80"/>
  <c r="AP432" i="80"/>
  <c r="AQ432" i="80"/>
  <c r="AR432" i="80"/>
  <c r="AS432" i="80"/>
  <c r="AT432" i="80"/>
  <c r="AU432" i="80"/>
  <c r="AW432" i="80"/>
  <c r="AX432" i="80"/>
  <c r="AY432" i="80"/>
  <c r="BA432" i="80"/>
  <c r="A433" i="80"/>
  <c r="B433" i="80"/>
  <c r="D433" i="80"/>
  <c r="E433" i="80"/>
  <c r="F433" i="80"/>
  <c r="G433" i="80"/>
  <c r="H433" i="80"/>
  <c r="J433" i="80"/>
  <c r="K433" i="80"/>
  <c r="M433" i="80"/>
  <c r="O433" i="80"/>
  <c r="P433" i="80"/>
  <c r="R433" i="80"/>
  <c r="S433" i="80"/>
  <c r="T433" i="80"/>
  <c r="U433" i="80"/>
  <c r="V433" i="80"/>
  <c r="W433" i="80"/>
  <c r="X433" i="80"/>
  <c r="AO433" i="80"/>
  <c r="AP433" i="80"/>
  <c r="AQ433" i="80"/>
  <c r="AR433" i="80"/>
  <c r="AS433" i="80"/>
  <c r="AT433" i="80"/>
  <c r="AU433" i="80"/>
  <c r="AW433" i="80"/>
  <c r="AX433" i="80"/>
  <c r="AY433" i="80"/>
  <c r="BA433" i="80"/>
  <c r="A434" i="80"/>
  <c r="B434" i="80"/>
  <c r="D434" i="80"/>
  <c r="E434" i="80"/>
  <c r="F434" i="80"/>
  <c r="G434" i="80"/>
  <c r="H434" i="80"/>
  <c r="J434" i="80"/>
  <c r="K434" i="80"/>
  <c r="M434" i="80"/>
  <c r="O434" i="80"/>
  <c r="P434" i="80"/>
  <c r="R434" i="80"/>
  <c r="S434" i="80"/>
  <c r="T434" i="80"/>
  <c r="U434" i="80"/>
  <c r="V434" i="80"/>
  <c r="W434" i="80"/>
  <c r="X434" i="80"/>
  <c r="AO434" i="80"/>
  <c r="AP434" i="80"/>
  <c r="AQ434" i="80"/>
  <c r="AR434" i="80"/>
  <c r="AS434" i="80"/>
  <c r="AT434" i="80"/>
  <c r="AU434" i="80"/>
  <c r="AW434" i="80"/>
  <c r="AX434" i="80"/>
  <c r="AY434" i="80"/>
  <c r="BA434" i="80"/>
  <c r="A435" i="80"/>
  <c r="B435" i="80"/>
  <c r="D435" i="80"/>
  <c r="E435" i="80"/>
  <c r="F435" i="80"/>
  <c r="G435" i="80"/>
  <c r="H435" i="80"/>
  <c r="J435" i="80"/>
  <c r="K435" i="80"/>
  <c r="M435" i="80"/>
  <c r="O435" i="80"/>
  <c r="P435" i="80"/>
  <c r="R435" i="80"/>
  <c r="S435" i="80"/>
  <c r="T435" i="80"/>
  <c r="U435" i="80"/>
  <c r="V435" i="80"/>
  <c r="W435" i="80"/>
  <c r="X435" i="80"/>
  <c r="AO435" i="80"/>
  <c r="AP435" i="80"/>
  <c r="AQ435" i="80"/>
  <c r="AR435" i="80"/>
  <c r="AS435" i="80"/>
  <c r="AT435" i="80"/>
  <c r="AU435" i="80"/>
  <c r="AW435" i="80"/>
  <c r="AX435" i="80"/>
  <c r="AY435" i="80"/>
  <c r="BA435" i="80"/>
  <c r="A436" i="80"/>
  <c r="B436" i="80"/>
  <c r="D436" i="80"/>
  <c r="E436" i="80"/>
  <c r="F436" i="80"/>
  <c r="G436" i="80"/>
  <c r="H436" i="80"/>
  <c r="J436" i="80"/>
  <c r="K436" i="80"/>
  <c r="M436" i="80"/>
  <c r="O436" i="80"/>
  <c r="P436" i="80"/>
  <c r="R436" i="80"/>
  <c r="S436" i="80"/>
  <c r="T436" i="80"/>
  <c r="U436" i="80"/>
  <c r="V436" i="80"/>
  <c r="W436" i="80"/>
  <c r="X436" i="80"/>
  <c r="AO436" i="80"/>
  <c r="AP436" i="80"/>
  <c r="AQ436" i="80"/>
  <c r="AR436" i="80"/>
  <c r="AS436" i="80"/>
  <c r="AT436" i="80"/>
  <c r="AU436" i="80"/>
  <c r="AW436" i="80"/>
  <c r="AX436" i="80"/>
  <c r="AY436" i="80"/>
  <c r="BA436" i="80"/>
  <c r="A437" i="80"/>
  <c r="B437" i="80"/>
  <c r="D437" i="80"/>
  <c r="E437" i="80"/>
  <c r="F437" i="80"/>
  <c r="G437" i="80"/>
  <c r="H437" i="80"/>
  <c r="J437" i="80"/>
  <c r="K437" i="80"/>
  <c r="M437" i="80"/>
  <c r="O437" i="80"/>
  <c r="P437" i="80"/>
  <c r="R437" i="80"/>
  <c r="S437" i="80"/>
  <c r="T437" i="80"/>
  <c r="U437" i="80"/>
  <c r="V437" i="80"/>
  <c r="W437" i="80"/>
  <c r="X437" i="80"/>
  <c r="AO437" i="80"/>
  <c r="AP437" i="80"/>
  <c r="AQ437" i="80"/>
  <c r="AR437" i="80"/>
  <c r="AS437" i="80"/>
  <c r="AT437" i="80"/>
  <c r="AU437" i="80"/>
  <c r="AW437" i="80"/>
  <c r="AX437" i="80"/>
  <c r="AY437" i="80"/>
  <c r="BA437" i="80"/>
  <c r="A438" i="80"/>
  <c r="B438" i="80"/>
  <c r="D438" i="80"/>
  <c r="E438" i="80"/>
  <c r="F438" i="80"/>
  <c r="G438" i="80"/>
  <c r="H438" i="80"/>
  <c r="J438" i="80"/>
  <c r="K438" i="80"/>
  <c r="M438" i="80"/>
  <c r="O438" i="80"/>
  <c r="P438" i="80"/>
  <c r="R438" i="80"/>
  <c r="S438" i="80"/>
  <c r="T438" i="80"/>
  <c r="U438" i="80"/>
  <c r="V438" i="80"/>
  <c r="W438" i="80"/>
  <c r="X438" i="80"/>
  <c r="AO438" i="80"/>
  <c r="AP438" i="80"/>
  <c r="AQ438" i="80"/>
  <c r="AR438" i="80"/>
  <c r="AS438" i="80"/>
  <c r="AT438" i="80"/>
  <c r="AU438" i="80"/>
  <c r="AW438" i="80"/>
  <c r="AX438" i="80"/>
  <c r="AY438" i="80"/>
  <c r="BA438" i="80"/>
  <c r="A439" i="80"/>
  <c r="B439" i="80"/>
  <c r="D439" i="80"/>
  <c r="E439" i="80"/>
  <c r="F439" i="80"/>
  <c r="G439" i="80"/>
  <c r="H439" i="80"/>
  <c r="J439" i="80"/>
  <c r="K439" i="80"/>
  <c r="M439" i="80"/>
  <c r="O439" i="80"/>
  <c r="P439" i="80"/>
  <c r="R439" i="80"/>
  <c r="S439" i="80"/>
  <c r="T439" i="80"/>
  <c r="U439" i="80"/>
  <c r="V439" i="80"/>
  <c r="W439" i="80"/>
  <c r="X439" i="80"/>
  <c r="AO439" i="80"/>
  <c r="AP439" i="80"/>
  <c r="AQ439" i="80"/>
  <c r="AR439" i="80"/>
  <c r="AS439" i="80"/>
  <c r="AT439" i="80"/>
  <c r="AU439" i="80"/>
  <c r="AW439" i="80"/>
  <c r="AX439" i="80"/>
  <c r="AY439" i="80"/>
  <c r="BA439" i="80"/>
  <c r="A440" i="80"/>
  <c r="B440" i="80"/>
  <c r="D440" i="80"/>
  <c r="E440" i="80"/>
  <c r="F440" i="80"/>
  <c r="G440" i="80"/>
  <c r="H440" i="80"/>
  <c r="J440" i="80"/>
  <c r="K440" i="80"/>
  <c r="M440" i="80"/>
  <c r="O440" i="80"/>
  <c r="P440" i="80"/>
  <c r="R440" i="80"/>
  <c r="S440" i="80"/>
  <c r="T440" i="80"/>
  <c r="U440" i="80"/>
  <c r="V440" i="80"/>
  <c r="W440" i="80"/>
  <c r="X440" i="80"/>
  <c r="AO440" i="80"/>
  <c r="AP440" i="80"/>
  <c r="AQ440" i="80"/>
  <c r="AR440" i="80"/>
  <c r="AS440" i="80"/>
  <c r="AT440" i="80"/>
  <c r="AU440" i="80"/>
  <c r="AW440" i="80"/>
  <c r="AX440" i="80"/>
  <c r="AY440" i="80"/>
  <c r="BA440" i="80"/>
  <c r="A441" i="80"/>
  <c r="B441" i="80"/>
  <c r="D441" i="80"/>
  <c r="E441" i="80"/>
  <c r="F441" i="80"/>
  <c r="G441" i="80"/>
  <c r="H441" i="80"/>
  <c r="J441" i="80"/>
  <c r="K441" i="80"/>
  <c r="M441" i="80"/>
  <c r="O441" i="80"/>
  <c r="P441" i="80"/>
  <c r="R441" i="80"/>
  <c r="S441" i="80"/>
  <c r="T441" i="80"/>
  <c r="U441" i="80"/>
  <c r="V441" i="80"/>
  <c r="W441" i="80"/>
  <c r="X441" i="80"/>
  <c r="AO441" i="80"/>
  <c r="AP441" i="80"/>
  <c r="AQ441" i="80"/>
  <c r="AR441" i="80"/>
  <c r="AS441" i="80"/>
  <c r="AT441" i="80"/>
  <c r="AU441" i="80"/>
  <c r="AW441" i="80"/>
  <c r="AX441" i="80"/>
  <c r="AY441" i="80"/>
  <c r="BA441" i="80"/>
  <c r="A442" i="80"/>
  <c r="B442" i="80"/>
  <c r="D442" i="80"/>
  <c r="E442" i="80"/>
  <c r="F442" i="80"/>
  <c r="G442" i="80"/>
  <c r="H442" i="80"/>
  <c r="J442" i="80"/>
  <c r="K442" i="80"/>
  <c r="M442" i="80"/>
  <c r="O442" i="80"/>
  <c r="P442" i="80"/>
  <c r="R442" i="80"/>
  <c r="S442" i="80"/>
  <c r="T442" i="80"/>
  <c r="U442" i="80"/>
  <c r="V442" i="80"/>
  <c r="W442" i="80"/>
  <c r="X442" i="80"/>
  <c r="AO442" i="80"/>
  <c r="AP442" i="80"/>
  <c r="AQ442" i="80"/>
  <c r="AR442" i="80"/>
  <c r="AS442" i="80"/>
  <c r="AT442" i="80"/>
  <c r="AU442" i="80"/>
  <c r="AW442" i="80"/>
  <c r="AX442" i="80"/>
  <c r="AY442" i="80"/>
  <c r="BA442" i="80"/>
  <c r="A443" i="80"/>
  <c r="B443" i="80"/>
  <c r="D443" i="80"/>
  <c r="E443" i="80"/>
  <c r="F443" i="80"/>
  <c r="G443" i="80"/>
  <c r="H443" i="80"/>
  <c r="J443" i="80"/>
  <c r="K443" i="80"/>
  <c r="M443" i="80"/>
  <c r="O443" i="80"/>
  <c r="P443" i="80"/>
  <c r="R443" i="80"/>
  <c r="S443" i="80"/>
  <c r="T443" i="80"/>
  <c r="U443" i="80"/>
  <c r="V443" i="80"/>
  <c r="W443" i="80"/>
  <c r="X443" i="80"/>
  <c r="AO443" i="80"/>
  <c r="AP443" i="80"/>
  <c r="AQ443" i="80"/>
  <c r="AR443" i="80"/>
  <c r="AS443" i="80"/>
  <c r="AT443" i="80"/>
  <c r="AU443" i="80"/>
  <c r="AW443" i="80"/>
  <c r="AX443" i="80"/>
  <c r="AY443" i="80"/>
  <c r="BA443" i="80"/>
  <c r="A444" i="80"/>
  <c r="B444" i="80"/>
  <c r="D444" i="80"/>
  <c r="E444" i="80"/>
  <c r="F444" i="80"/>
  <c r="G444" i="80"/>
  <c r="H444" i="80"/>
  <c r="J444" i="80"/>
  <c r="K444" i="80"/>
  <c r="M444" i="80"/>
  <c r="O444" i="80"/>
  <c r="P444" i="80"/>
  <c r="R444" i="80"/>
  <c r="S444" i="80"/>
  <c r="T444" i="80"/>
  <c r="U444" i="80"/>
  <c r="V444" i="80"/>
  <c r="W444" i="80"/>
  <c r="X444" i="80"/>
  <c r="AO444" i="80"/>
  <c r="AP444" i="80"/>
  <c r="AQ444" i="80"/>
  <c r="AR444" i="80"/>
  <c r="AS444" i="80"/>
  <c r="AT444" i="80"/>
  <c r="AU444" i="80"/>
  <c r="AW444" i="80"/>
  <c r="AX444" i="80"/>
  <c r="AY444" i="80"/>
  <c r="BA444" i="80"/>
  <c r="A445" i="80"/>
  <c r="B445" i="80"/>
  <c r="D445" i="80"/>
  <c r="E445" i="80"/>
  <c r="F445" i="80"/>
  <c r="G445" i="80"/>
  <c r="H445" i="80"/>
  <c r="J445" i="80"/>
  <c r="K445" i="80"/>
  <c r="M445" i="80"/>
  <c r="O445" i="80"/>
  <c r="P445" i="80"/>
  <c r="R445" i="80"/>
  <c r="S445" i="80"/>
  <c r="T445" i="80"/>
  <c r="U445" i="80"/>
  <c r="V445" i="80"/>
  <c r="W445" i="80"/>
  <c r="X445" i="80"/>
  <c r="AO445" i="80"/>
  <c r="AP445" i="80"/>
  <c r="AQ445" i="80"/>
  <c r="AR445" i="80"/>
  <c r="AS445" i="80"/>
  <c r="AT445" i="80"/>
  <c r="AU445" i="80"/>
  <c r="AW445" i="80"/>
  <c r="AX445" i="80"/>
  <c r="AY445" i="80"/>
  <c r="BA445" i="80"/>
  <c r="A446" i="80"/>
  <c r="B446" i="80"/>
  <c r="D446" i="80"/>
  <c r="E446" i="80"/>
  <c r="F446" i="80"/>
  <c r="G446" i="80"/>
  <c r="H446" i="80"/>
  <c r="J446" i="80"/>
  <c r="K446" i="80"/>
  <c r="M446" i="80"/>
  <c r="O446" i="80"/>
  <c r="P446" i="80"/>
  <c r="R446" i="80"/>
  <c r="S446" i="80"/>
  <c r="T446" i="80"/>
  <c r="U446" i="80"/>
  <c r="V446" i="80"/>
  <c r="W446" i="80"/>
  <c r="X446" i="80"/>
  <c r="AO446" i="80"/>
  <c r="AP446" i="80"/>
  <c r="AQ446" i="80"/>
  <c r="AR446" i="80"/>
  <c r="AS446" i="80"/>
  <c r="AT446" i="80"/>
  <c r="AU446" i="80"/>
  <c r="AW446" i="80"/>
  <c r="AX446" i="80"/>
  <c r="AY446" i="80"/>
  <c r="BA446" i="80"/>
  <c r="A447" i="80"/>
  <c r="B447" i="80"/>
  <c r="D447" i="80"/>
  <c r="E447" i="80"/>
  <c r="F447" i="80"/>
  <c r="G447" i="80"/>
  <c r="H447" i="80"/>
  <c r="J447" i="80"/>
  <c r="K447" i="80"/>
  <c r="M447" i="80"/>
  <c r="O447" i="80"/>
  <c r="P447" i="80"/>
  <c r="R447" i="80"/>
  <c r="S447" i="80"/>
  <c r="T447" i="80"/>
  <c r="U447" i="80"/>
  <c r="V447" i="80"/>
  <c r="W447" i="80"/>
  <c r="X447" i="80"/>
  <c r="AO447" i="80"/>
  <c r="AP447" i="80"/>
  <c r="AQ447" i="80"/>
  <c r="AR447" i="80"/>
  <c r="AS447" i="80"/>
  <c r="AT447" i="80"/>
  <c r="AU447" i="80"/>
  <c r="AW447" i="80"/>
  <c r="AX447" i="80"/>
  <c r="AY447" i="80"/>
  <c r="BA447" i="80"/>
  <c r="A448" i="80"/>
  <c r="B448" i="80"/>
  <c r="D448" i="80"/>
  <c r="E448" i="80"/>
  <c r="F448" i="80"/>
  <c r="G448" i="80"/>
  <c r="H448" i="80"/>
  <c r="J448" i="80"/>
  <c r="K448" i="80"/>
  <c r="M448" i="80"/>
  <c r="O448" i="80"/>
  <c r="P448" i="80"/>
  <c r="R448" i="80"/>
  <c r="S448" i="80"/>
  <c r="T448" i="80"/>
  <c r="U448" i="80"/>
  <c r="V448" i="80"/>
  <c r="W448" i="80"/>
  <c r="X448" i="80"/>
  <c r="AO448" i="80"/>
  <c r="AP448" i="80"/>
  <c r="AQ448" i="80"/>
  <c r="AR448" i="80"/>
  <c r="AS448" i="80"/>
  <c r="AT448" i="80"/>
  <c r="AU448" i="80"/>
  <c r="AW448" i="80"/>
  <c r="AX448" i="80"/>
  <c r="AY448" i="80"/>
  <c r="BA448" i="80"/>
  <c r="A449" i="80"/>
  <c r="B449" i="80"/>
  <c r="D449" i="80"/>
  <c r="E449" i="80"/>
  <c r="F449" i="80"/>
  <c r="G449" i="80"/>
  <c r="H449" i="80"/>
  <c r="J449" i="80"/>
  <c r="K449" i="80"/>
  <c r="M449" i="80"/>
  <c r="O449" i="80"/>
  <c r="P449" i="80"/>
  <c r="R449" i="80"/>
  <c r="S449" i="80"/>
  <c r="T449" i="80"/>
  <c r="U449" i="80"/>
  <c r="V449" i="80"/>
  <c r="W449" i="80"/>
  <c r="X449" i="80"/>
  <c r="AO449" i="80"/>
  <c r="AP449" i="80"/>
  <c r="AQ449" i="80"/>
  <c r="AR449" i="80"/>
  <c r="AS449" i="80"/>
  <c r="AT449" i="80"/>
  <c r="AU449" i="80"/>
  <c r="AW449" i="80"/>
  <c r="AX449" i="80"/>
  <c r="AY449" i="80"/>
  <c r="BA449" i="80"/>
  <c r="A450" i="80"/>
  <c r="B450" i="80"/>
  <c r="D450" i="80"/>
  <c r="E450" i="80"/>
  <c r="F450" i="80"/>
  <c r="G450" i="80"/>
  <c r="H450" i="80"/>
  <c r="J450" i="80"/>
  <c r="K450" i="80"/>
  <c r="M450" i="80"/>
  <c r="O450" i="80"/>
  <c r="P450" i="80"/>
  <c r="R450" i="80"/>
  <c r="S450" i="80"/>
  <c r="T450" i="80"/>
  <c r="U450" i="80"/>
  <c r="V450" i="80"/>
  <c r="W450" i="80"/>
  <c r="X450" i="80"/>
  <c r="AO450" i="80"/>
  <c r="AP450" i="80"/>
  <c r="AQ450" i="80"/>
  <c r="AR450" i="80"/>
  <c r="AS450" i="80"/>
  <c r="AT450" i="80"/>
  <c r="AU450" i="80"/>
  <c r="AW450" i="80"/>
  <c r="AX450" i="80"/>
  <c r="AY450" i="80"/>
  <c r="BA450" i="80"/>
  <c r="A451" i="80"/>
  <c r="B451" i="80"/>
  <c r="D451" i="80"/>
  <c r="E451" i="80"/>
  <c r="F451" i="80"/>
  <c r="G451" i="80"/>
  <c r="H451" i="80"/>
  <c r="J451" i="80"/>
  <c r="K451" i="80"/>
  <c r="M451" i="80"/>
  <c r="O451" i="80"/>
  <c r="P451" i="80"/>
  <c r="R451" i="80"/>
  <c r="S451" i="80"/>
  <c r="T451" i="80"/>
  <c r="U451" i="80"/>
  <c r="V451" i="80"/>
  <c r="W451" i="80"/>
  <c r="X451" i="80"/>
  <c r="AO451" i="80"/>
  <c r="AP451" i="80"/>
  <c r="AQ451" i="80"/>
  <c r="AR451" i="80"/>
  <c r="AS451" i="80"/>
  <c r="AT451" i="80"/>
  <c r="AU451" i="80"/>
  <c r="AW451" i="80"/>
  <c r="AX451" i="80"/>
  <c r="AY451" i="80"/>
  <c r="BA451" i="80"/>
  <c r="A452" i="80"/>
  <c r="B452" i="80"/>
  <c r="D452" i="80"/>
  <c r="E452" i="80"/>
  <c r="F452" i="80"/>
  <c r="G452" i="80"/>
  <c r="H452" i="80"/>
  <c r="J452" i="80"/>
  <c r="K452" i="80"/>
  <c r="M452" i="80"/>
  <c r="O452" i="80"/>
  <c r="P452" i="80"/>
  <c r="R452" i="80"/>
  <c r="S452" i="80"/>
  <c r="T452" i="80"/>
  <c r="U452" i="80"/>
  <c r="V452" i="80"/>
  <c r="W452" i="80"/>
  <c r="X452" i="80"/>
  <c r="AO452" i="80"/>
  <c r="AP452" i="80"/>
  <c r="AQ452" i="80"/>
  <c r="AR452" i="80"/>
  <c r="AS452" i="80"/>
  <c r="AT452" i="80"/>
  <c r="AU452" i="80"/>
  <c r="AW452" i="80"/>
  <c r="AX452" i="80"/>
  <c r="AY452" i="80"/>
  <c r="BA452" i="80"/>
  <c r="A453" i="80"/>
  <c r="B453" i="80"/>
  <c r="D453" i="80"/>
  <c r="E453" i="80"/>
  <c r="F453" i="80"/>
  <c r="G453" i="80"/>
  <c r="H453" i="80"/>
  <c r="J453" i="80"/>
  <c r="K453" i="80"/>
  <c r="M453" i="80"/>
  <c r="O453" i="80"/>
  <c r="P453" i="80"/>
  <c r="R453" i="80"/>
  <c r="S453" i="80"/>
  <c r="T453" i="80"/>
  <c r="U453" i="80"/>
  <c r="V453" i="80"/>
  <c r="W453" i="80"/>
  <c r="X453" i="80"/>
  <c r="AO453" i="80"/>
  <c r="AP453" i="80"/>
  <c r="AQ453" i="80"/>
  <c r="AR453" i="80"/>
  <c r="AS453" i="80"/>
  <c r="AT453" i="80"/>
  <c r="AU453" i="80"/>
  <c r="AW453" i="80"/>
  <c r="AX453" i="80"/>
  <c r="AY453" i="80"/>
  <c r="BA453" i="80"/>
  <c r="A454" i="80"/>
  <c r="B454" i="80"/>
  <c r="D454" i="80"/>
  <c r="E454" i="80"/>
  <c r="F454" i="80"/>
  <c r="G454" i="80"/>
  <c r="H454" i="80"/>
  <c r="J454" i="80"/>
  <c r="K454" i="80"/>
  <c r="M454" i="80"/>
  <c r="O454" i="80"/>
  <c r="P454" i="80"/>
  <c r="R454" i="80"/>
  <c r="S454" i="80"/>
  <c r="T454" i="80"/>
  <c r="U454" i="80"/>
  <c r="V454" i="80"/>
  <c r="W454" i="80"/>
  <c r="X454" i="80"/>
  <c r="AO454" i="80"/>
  <c r="AP454" i="80"/>
  <c r="AQ454" i="80"/>
  <c r="AR454" i="80"/>
  <c r="AS454" i="80"/>
  <c r="AT454" i="80"/>
  <c r="AU454" i="80"/>
  <c r="AW454" i="80"/>
  <c r="AX454" i="80"/>
  <c r="AY454" i="80"/>
  <c r="BA454" i="80"/>
  <c r="A455" i="80"/>
  <c r="B455" i="80"/>
  <c r="D455" i="80"/>
  <c r="E455" i="80"/>
  <c r="F455" i="80"/>
  <c r="G455" i="80"/>
  <c r="H455" i="80"/>
  <c r="J455" i="80"/>
  <c r="K455" i="80"/>
  <c r="M455" i="80"/>
  <c r="O455" i="80"/>
  <c r="P455" i="80"/>
  <c r="R455" i="80"/>
  <c r="S455" i="80"/>
  <c r="T455" i="80"/>
  <c r="U455" i="80"/>
  <c r="V455" i="80"/>
  <c r="W455" i="80"/>
  <c r="X455" i="80"/>
  <c r="AO455" i="80"/>
  <c r="AP455" i="80"/>
  <c r="AQ455" i="80"/>
  <c r="AR455" i="80"/>
  <c r="AS455" i="80"/>
  <c r="AT455" i="80"/>
  <c r="AU455" i="80"/>
  <c r="AW455" i="80"/>
  <c r="AX455" i="80"/>
  <c r="AY455" i="80"/>
  <c r="BA455" i="80"/>
  <c r="A456" i="80"/>
  <c r="B456" i="80"/>
  <c r="D456" i="80"/>
  <c r="E456" i="80"/>
  <c r="F456" i="80"/>
  <c r="G456" i="80"/>
  <c r="H456" i="80"/>
  <c r="J456" i="80"/>
  <c r="K456" i="80"/>
  <c r="M456" i="80"/>
  <c r="O456" i="80"/>
  <c r="P456" i="80"/>
  <c r="R456" i="80"/>
  <c r="S456" i="80"/>
  <c r="T456" i="80"/>
  <c r="U456" i="80"/>
  <c r="V456" i="80"/>
  <c r="W456" i="80"/>
  <c r="X456" i="80"/>
  <c r="AO456" i="80"/>
  <c r="AP456" i="80"/>
  <c r="AQ456" i="80"/>
  <c r="AR456" i="80"/>
  <c r="AS456" i="80"/>
  <c r="AT456" i="80"/>
  <c r="AU456" i="80"/>
  <c r="AW456" i="80"/>
  <c r="AX456" i="80"/>
  <c r="AY456" i="80"/>
  <c r="BA456" i="80"/>
  <c r="A457" i="80"/>
  <c r="B457" i="80"/>
  <c r="D457" i="80"/>
  <c r="E457" i="80"/>
  <c r="F457" i="80"/>
  <c r="G457" i="80"/>
  <c r="H457" i="80"/>
  <c r="J457" i="80"/>
  <c r="K457" i="80"/>
  <c r="M457" i="80"/>
  <c r="O457" i="80"/>
  <c r="P457" i="80"/>
  <c r="R457" i="80"/>
  <c r="S457" i="80"/>
  <c r="T457" i="80"/>
  <c r="U457" i="80"/>
  <c r="V457" i="80"/>
  <c r="W457" i="80"/>
  <c r="X457" i="80"/>
  <c r="AO457" i="80"/>
  <c r="AP457" i="80"/>
  <c r="AQ457" i="80"/>
  <c r="AR457" i="80"/>
  <c r="AS457" i="80"/>
  <c r="AT457" i="80"/>
  <c r="AU457" i="80"/>
  <c r="AW457" i="80"/>
  <c r="AX457" i="80"/>
  <c r="AY457" i="80"/>
  <c r="BA457" i="80"/>
  <c r="A458" i="80"/>
  <c r="B458" i="80"/>
  <c r="D458" i="80"/>
  <c r="E458" i="80"/>
  <c r="F458" i="80"/>
  <c r="G458" i="80"/>
  <c r="H458" i="80"/>
  <c r="J458" i="80"/>
  <c r="K458" i="80"/>
  <c r="M458" i="80"/>
  <c r="O458" i="80"/>
  <c r="P458" i="80"/>
  <c r="R458" i="80"/>
  <c r="S458" i="80"/>
  <c r="T458" i="80"/>
  <c r="U458" i="80"/>
  <c r="V458" i="80"/>
  <c r="W458" i="80"/>
  <c r="X458" i="80"/>
  <c r="AO458" i="80"/>
  <c r="AP458" i="80"/>
  <c r="AQ458" i="80"/>
  <c r="AR458" i="80"/>
  <c r="AS458" i="80"/>
  <c r="AT458" i="80"/>
  <c r="AU458" i="80"/>
  <c r="AW458" i="80"/>
  <c r="AX458" i="80"/>
  <c r="AY458" i="80"/>
  <c r="BA458" i="80"/>
  <c r="A459" i="80"/>
  <c r="B459" i="80"/>
  <c r="D459" i="80"/>
  <c r="E459" i="80"/>
  <c r="F459" i="80"/>
  <c r="G459" i="80"/>
  <c r="H459" i="80"/>
  <c r="J459" i="80"/>
  <c r="K459" i="80"/>
  <c r="M459" i="80"/>
  <c r="O459" i="80"/>
  <c r="P459" i="80"/>
  <c r="R459" i="80"/>
  <c r="S459" i="80"/>
  <c r="T459" i="80"/>
  <c r="U459" i="80"/>
  <c r="V459" i="80"/>
  <c r="W459" i="80"/>
  <c r="X459" i="80"/>
  <c r="AO459" i="80"/>
  <c r="AP459" i="80"/>
  <c r="AQ459" i="80"/>
  <c r="AR459" i="80"/>
  <c r="AS459" i="80"/>
  <c r="AT459" i="80"/>
  <c r="AU459" i="80"/>
  <c r="AW459" i="80"/>
  <c r="AX459" i="80"/>
  <c r="AY459" i="80"/>
  <c r="BA459" i="80"/>
  <c r="A460" i="80"/>
  <c r="B460" i="80"/>
  <c r="D460" i="80"/>
  <c r="E460" i="80"/>
  <c r="F460" i="80"/>
  <c r="G460" i="80"/>
  <c r="H460" i="80"/>
  <c r="J460" i="80"/>
  <c r="K460" i="80"/>
  <c r="M460" i="80"/>
  <c r="O460" i="80"/>
  <c r="P460" i="80"/>
  <c r="R460" i="80"/>
  <c r="S460" i="80"/>
  <c r="T460" i="80"/>
  <c r="U460" i="80"/>
  <c r="V460" i="80"/>
  <c r="W460" i="80"/>
  <c r="X460" i="80"/>
  <c r="AO460" i="80"/>
  <c r="AP460" i="80"/>
  <c r="AQ460" i="80"/>
  <c r="AR460" i="80"/>
  <c r="AS460" i="80"/>
  <c r="AT460" i="80"/>
  <c r="AU460" i="80"/>
  <c r="AW460" i="80"/>
  <c r="AX460" i="80"/>
  <c r="AY460" i="80"/>
  <c r="BA460" i="80"/>
  <c r="A461" i="80"/>
  <c r="B461" i="80"/>
  <c r="D461" i="80"/>
  <c r="E461" i="80"/>
  <c r="F461" i="80"/>
  <c r="G461" i="80"/>
  <c r="H461" i="80"/>
  <c r="J461" i="80"/>
  <c r="K461" i="80"/>
  <c r="M461" i="80"/>
  <c r="O461" i="80"/>
  <c r="P461" i="80"/>
  <c r="R461" i="80"/>
  <c r="S461" i="80"/>
  <c r="T461" i="80"/>
  <c r="U461" i="80"/>
  <c r="V461" i="80"/>
  <c r="W461" i="80"/>
  <c r="X461" i="80"/>
  <c r="AO461" i="80"/>
  <c r="AP461" i="80"/>
  <c r="AQ461" i="80"/>
  <c r="AR461" i="80"/>
  <c r="AS461" i="80"/>
  <c r="AT461" i="80"/>
  <c r="AU461" i="80"/>
  <c r="AW461" i="80"/>
  <c r="AX461" i="80"/>
  <c r="AY461" i="80"/>
  <c r="BA461" i="80"/>
  <c r="A462" i="80"/>
  <c r="B462" i="80"/>
  <c r="D462" i="80"/>
  <c r="E462" i="80"/>
  <c r="F462" i="80"/>
  <c r="G462" i="80"/>
  <c r="H462" i="80"/>
  <c r="J462" i="80"/>
  <c r="K462" i="80"/>
  <c r="M462" i="80"/>
  <c r="O462" i="80"/>
  <c r="P462" i="80"/>
  <c r="R462" i="80"/>
  <c r="S462" i="80"/>
  <c r="T462" i="80"/>
  <c r="U462" i="80"/>
  <c r="V462" i="80"/>
  <c r="W462" i="80"/>
  <c r="X462" i="80"/>
  <c r="AO462" i="80"/>
  <c r="AP462" i="80"/>
  <c r="AQ462" i="80"/>
  <c r="AR462" i="80"/>
  <c r="AS462" i="80"/>
  <c r="AT462" i="80"/>
  <c r="AU462" i="80"/>
  <c r="AW462" i="80"/>
  <c r="AX462" i="80"/>
  <c r="AY462" i="80"/>
  <c r="BA462" i="80"/>
  <c r="A463" i="80"/>
  <c r="B463" i="80"/>
  <c r="D463" i="80"/>
  <c r="E463" i="80"/>
  <c r="F463" i="80"/>
  <c r="G463" i="80"/>
  <c r="H463" i="80"/>
  <c r="J463" i="80"/>
  <c r="K463" i="80"/>
  <c r="M463" i="80"/>
  <c r="O463" i="80"/>
  <c r="P463" i="80"/>
  <c r="R463" i="80"/>
  <c r="S463" i="80"/>
  <c r="T463" i="80"/>
  <c r="U463" i="80"/>
  <c r="V463" i="80"/>
  <c r="W463" i="80"/>
  <c r="X463" i="80"/>
  <c r="AO463" i="80"/>
  <c r="AP463" i="80"/>
  <c r="AQ463" i="80"/>
  <c r="AR463" i="80"/>
  <c r="AS463" i="80"/>
  <c r="AT463" i="80"/>
  <c r="AU463" i="80"/>
  <c r="AW463" i="80"/>
  <c r="AX463" i="80"/>
  <c r="AY463" i="80"/>
  <c r="BA463" i="80"/>
  <c r="A464" i="80"/>
  <c r="B464" i="80"/>
  <c r="D464" i="80"/>
  <c r="E464" i="80"/>
  <c r="F464" i="80"/>
  <c r="G464" i="80"/>
  <c r="H464" i="80"/>
  <c r="J464" i="80"/>
  <c r="K464" i="80"/>
  <c r="M464" i="80"/>
  <c r="O464" i="80"/>
  <c r="P464" i="80"/>
  <c r="R464" i="80"/>
  <c r="S464" i="80"/>
  <c r="T464" i="80"/>
  <c r="U464" i="80"/>
  <c r="V464" i="80"/>
  <c r="W464" i="80"/>
  <c r="X464" i="80"/>
  <c r="AO464" i="80"/>
  <c r="AP464" i="80"/>
  <c r="AQ464" i="80"/>
  <c r="AR464" i="80"/>
  <c r="AS464" i="80"/>
  <c r="AT464" i="80"/>
  <c r="AU464" i="80"/>
  <c r="AW464" i="80"/>
  <c r="AX464" i="80"/>
  <c r="AY464" i="80"/>
  <c r="BA464" i="80"/>
  <c r="A465" i="80"/>
  <c r="B465" i="80"/>
  <c r="D465" i="80"/>
  <c r="E465" i="80"/>
  <c r="F465" i="80"/>
  <c r="G465" i="80"/>
  <c r="H465" i="80"/>
  <c r="J465" i="80"/>
  <c r="K465" i="80"/>
  <c r="M465" i="80"/>
  <c r="O465" i="80"/>
  <c r="P465" i="80"/>
  <c r="R465" i="80"/>
  <c r="S465" i="80"/>
  <c r="T465" i="80"/>
  <c r="U465" i="80"/>
  <c r="V465" i="80"/>
  <c r="W465" i="80"/>
  <c r="X465" i="80"/>
  <c r="AO465" i="80"/>
  <c r="AP465" i="80"/>
  <c r="AQ465" i="80"/>
  <c r="AR465" i="80"/>
  <c r="AS465" i="80"/>
  <c r="AT465" i="80"/>
  <c r="AU465" i="80"/>
  <c r="AW465" i="80"/>
  <c r="AX465" i="80"/>
  <c r="AY465" i="80"/>
  <c r="BA465" i="80"/>
  <c r="A466" i="80"/>
  <c r="B466" i="80"/>
  <c r="D466" i="80"/>
  <c r="E466" i="80"/>
  <c r="F466" i="80"/>
  <c r="G466" i="80"/>
  <c r="H466" i="80"/>
  <c r="J466" i="80"/>
  <c r="K466" i="80"/>
  <c r="M466" i="80"/>
  <c r="O466" i="80"/>
  <c r="P466" i="80"/>
  <c r="R466" i="80"/>
  <c r="S466" i="80"/>
  <c r="T466" i="80"/>
  <c r="U466" i="80"/>
  <c r="V466" i="80"/>
  <c r="W466" i="80"/>
  <c r="X466" i="80"/>
  <c r="AO466" i="80"/>
  <c r="AP466" i="80"/>
  <c r="AQ466" i="80"/>
  <c r="AR466" i="80"/>
  <c r="AS466" i="80"/>
  <c r="AT466" i="80"/>
  <c r="AU466" i="80"/>
  <c r="AW466" i="80"/>
  <c r="AX466" i="80"/>
  <c r="AY466" i="80"/>
  <c r="BA466" i="80"/>
  <c r="A467" i="80"/>
  <c r="B467" i="80"/>
  <c r="D467" i="80"/>
  <c r="E467" i="80"/>
  <c r="F467" i="80"/>
  <c r="G467" i="80"/>
  <c r="H467" i="80"/>
  <c r="J467" i="80"/>
  <c r="K467" i="80"/>
  <c r="M467" i="80"/>
  <c r="O467" i="80"/>
  <c r="P467" i="80"/>
  <c r="R467" i="80"/>
  <c r="S467" i="80"/>
  <c r="T467" i="80"/>
  <c r="U467" i="80"/>
  <c r="V467" i="80"/>
  <c r="W467" i="80"/>
  <c r="X467" i="80"/>
  <c r="AO467" i="80"/>
  <c r="AP467" i="80"/>
  <c r="AQ467" i="80"/>
  <c r="AR467" i="80"/>
  <c r="AS467" i="80"/>
  <c r="AT467" i="80"/>
  <c r="AU467" i="80"/>
  <c r="AW467" i="80"/>
  <c r="AX467" i="80"/>
  <c r="AY467" i="80"/>
  <c r="BA467" i="80"/>
  <c r="A468" i="80"/>
  <c r="B468" i="80"/>
  <c r="D468" i="80"/>
  <c r="E468" i="80"/>
  <c r="F468" i="80"/>
  <c r="G468" i="80"/>
  <c r="H468" i="80"/>
  <c r="J468" i="80"/>
  <c r="K468" i="80"/>
  <c r="M468" i="80"/>
  <c r="O468" i="80"/>
  <c r="P468" i="80"/>
  <c r="R468" i="80"/>
  <c r="S468" i="80"/>
  <c r="T468" i="80"/>
  <c r="U468" i="80"/>
  <c r="V468" i="80"/>
  <c r="W468" i="80"/>
  <c r="X468" i="80"/>
  <c r="AO468" i="80"/>
  <c r="AP468" i="80"/>
  <c r="AQ468" i="80"/>
  <c r="AR468" i="80"/>
  <c r="AS468" i="80"/>
  <c r="AT468" i="80"/>
  <c r="AU468" i="80"/>
  <c r="AW468" i="80"/>
  <c r="AX468" i="80"/>
  <c r="AY468" i="80"/>
  <c r="BA468" i="80"/>
  <c r="A469" i="80"/>
  <c r="B469" i="80"/>
  <c r="D469" i="80"/>
  <c r="E469" i="80"/>
  <c r="F469" i="80"/>
  <c r="G469" i="80"/>
  <c r="H469" i="80"/>
  <c r="J469" i="80"/>
  <c r="K469" i="80"/>
  <c r="M469" i="80"/>
  <c r="O469" i="80"/>
  <c r="P469" i="80"/>
  <c r="R469" i="80"/>
  <c r="S469" i="80"/>
  <c r="T469" i="80"/>
  <c r="U469" i="80"/>
  <c r="V469" i="80"/>
  <c r="W469" i="80"/>
  <c r="X469" i="80"/>
  <c r="AO469" i="80"/>
  <c r="AP469" i="80"/>
  <c r="AQ469" i="80"/>
  <c r="AR469" i="80"/>
  <c r="AS469" i="80"/>
  <c r="AT469" i="80"/>
  <c r="AU469" i="80"/>
  <c r="AW469" i="80"/>
  <c r="AX469" i="80"/>
  <c r="AY469" i="80"/>
  <c r="BA469" i="80"/>
  <c r="A470" i="80"/>
  <c r="B470" i="80"/>
  <c r="D470" i="80"/>
  <c r="E470" i="80"/>
  <c r="F470" i="80"/>
  <c r="G470" i="80"/>
  <c r="H470" i="80"/>
  <c r="J470" i="80"/>
  <c r="K470" i="80"/>
  <c r="M470" i="80"/>
  <c r="O470" i="80"/>
  <c r="P470" i="80"/>
  <c r="R470" i="80"/>
  <c r="S470" i="80"/>
  <c r="T470" i="80"/>
  <c r="U470" i="80"/>
  <c r="V470" i="80"/>
  <c r="W470" i="80"/>
  <c r="X470" i="80"/>
  <c r="AO470" i="80"/>
  <c r="AP470" i="80"/>
  <c r="AQ470" i="80"/>
  <c r="AR470" i="80"/>
  <c r="AS470" i="80"/>
  <c r="AT470" i="80"/>
  <c r="AU470" i="80"/>
  <c r="AW470" i="80"/>
  <c r="AX470" i="80"/>
  <c r="AY470" i="80"/>
  <c r="BA470" i="80"/>
  <c r="A471" i="80"/>
  <c r="B471" i="80"/>
  <c r="D471" i="80"/>
  <c r="E471" i="80"/>
  <c r="F471" i="80"/>
  <c r="G471" i="80"/>
  <c r="H471" i="80"/>
  <c r="J471" i="80"/>
  <c r="K471" i="80"/>
  <c r="M471" i="80"/>
  <c r="O471" i="80"/>
  <c r="P471" i="80"/>
  <c r="R471" i="80"/>
  <c r="S471" i="80"/>
  <c r="T471" i="80"/>
  <c r="U471" i="80"/>
  <c r="V471" i="80"/>
  <c r="W471" i="80"/>
  <c r="X471" i="80"/>
  <c r="AO471" i="80"/>
  <c r="AP471" i="80"/>
  <c r="AQ471" i="80"/>
  <c r="AR471" i="80"/>
  <c r="AS471" i="80"/>
  <c r="AT471" i="80"/>
  <c r="AU471" i="80"/>
  <c r="AW471" i="80"/>
  <c r="AX471" i="80"/>
  <c r="AY471" i="80"/>
  <c r="BA471" i="80"/>
  <c r="A472" i="80"/>
  <c r="B472" i="80"/>
  <c r="D472" i="80"/>
  <c r="E472" i="80"/>
  <c r="F472" i="80"/>
  <c r="G472" i="80"/>
  <c r="H472" i="80"/>
  <c r="J472" i="80"/>
  <c r="K472" i="80"/>
  <c r="M472" i="80"/>
  <c r="O472" i="80"/>
  <c r="P472" i="80"/>
  <c r="R472" i="80"/>
  <c r="S472" i="80"/>
  <c r="T472" i="80"/>
  <c r="U472" i="80"/>
  <c r="V472" i="80"/>
  <c r="W472" i="80"/>
  <c r="X472" i="80"/>
  <c r="AO472" i="80"/>
  <c r="AP472" i="80"/>
  <c r="AQ472" i="80"/>
  <c r="AR472" i="80"/>
  <c r="AS472" i="80"/>
  <c r="AT472" i="80"/>
  <c r="AU472" i="80"/>
  <c r="AW472" i="80"/>
  <c r="AX472" i="80"/>
  <c r="AY472" i="80"/>
  <c r="BA472" i="80"/>
  <c r="A473" i="80"/>
  <c r="B473" i="80"/>
  <c r="D473" i="80"/>
  <c r="E473" i="80"/>
  <c r="F473" i="80"/>
  <c r="G473" i="80"/>
  <c r="H473" i="80"/>
  <c r="J473" i="80"/>
  <c r="K473" i="80"/>
  <c r="M473" i="80"/>
  <c r="O473" i="80"/>
  <c r="P473" i="80"/>
  <c r="R473" i="80"/>
  <c r="S473" i="80"/>
  <c r="T473" i="80"/>
  <c r="U473" i="80"/>
  <c r="V473" i="80"/>
  <c r="W473" i="80"/>
  <c r="X473" i="80"/>
  <c r="AO473" i="80"/>
  <c r="AP473" i="80"/>
  <c r="AQ473" i="80"/>
  <c r="AR473" i="80"/>
  <c r="AS473" i="80"/>
  <c r="AT473" i="80"/>
  <c r="AU473" i="80"/>
  <c r="AW473" i="80"/>
  <c r="AX473" i="80"/>
  <c r="AY473" i="80"/>
  <c r="BA473" i="80"/>
  <c r="A474" i="80"/>
  <c r="B474" i="80"/>
  <c r="D474" i="80"/>
  <c r="E474" i="80"/>
  <c r="F474" i="80"/>
  <c r="G474" i="80"/>
  <c r="H474" i="80"/>
  <c r="J474" i="80"/>
  <c r="K474" i="80"/>
  <c r="M474" i="80"/>
  <c r="O474" i="80"/>
  <c r="P474" i="80"/>
  <c r="R474" i="80"/>
  <c r="S474" i="80"/>
  <c r="T474" i="80"/>
  <c r="U474" i="80"/>
  <c r="V474" i="80"/>
  <c r="W474" i="80"/>
  <c r="X474" i="80"/>
  <c r="AO474" i="80"/>
  <c r="AP474" i="80"/>
  <c r="AQ474" i="80"/>
  <c r="AR474" i="80"/>
  <c r="AS474" i="80"/>
  <c r="AT474" i="80"/>
  <c r="AU474" i="80"/>
  <c r="AW474" i="80"/>
  <c r="AX474" i="80"/>
  <c r="AY474" i="80"/>
  <c r="BA474" i="80"/>
  <c r="A475" i="80"/>
  <c r="B475" i="80"/>
  <c r="D475" i="80"/>
  <c r="E475" i="80"/>
  <c r="F475" i="80"/>
  <c r="G475" i="80"/>
  <c r="H475" i="80"/>
  <c r="J475" i="80"/>
  <c r="K475" i="80"/>
  <c r="M475" i="80"/>
  <c r="O475" i="80"/>
  <c r="P475" i="80"/>
  <c r="R475" i="80"/>
  <c r="S475" i="80"/>
  <c r="T475" i="80"/>
  <c r="U475" i="80"/>
  <c r="V475" i="80"/>
  <c r="W475" i="80"/>
  <c r="X475" i="80"/>
  <c r="AO475" i="80"/>
  <c r="AP475" i="80"/>
  <c r="AQ475" i="80"/>
  <c r="AR475" i="80"/>
  <c r="AS475" i="80"/>
  <c r="AT475" i="80"/>
  <c r="AU475" i="80"/>
  <c r="AW475" i="80"/>
  <c r="AX475" i="80"/>
  <c r="AY475" i="80"/>
  <c r="BA475" i="80"/>
  <c r="A476" i="80"/>
  <c r="B476" i="80"/>
  <c r="D476" i="80"/>
  <c r="E476" i="80"/>
  <c r="F476" i="80"/>
  <c r="G476" i="80"/>
  <c r="H476" i="80"/>
  <c r="J476" i="80"/>
  <c r="K476" i="80"/>
  <c r="M476" i="80"/>
  <c r="O476" i="80"/>
  <c r="P476" i="80"/>
  <c r="R476" i="80"/>
  <c r="S476" i="80"/>
  <c r="T476" i="80"/>
  <c r="U476" i="80"/>
  <c r="V476" i="80"/>
  <c r="W476" i="80"/>
  <c r="X476" i="80"/>
  <c r="AO476" i="80"/>
  <c r="AP476" i="80"/>
  <c r="AQ476" i="80"/>
  <c r="AR476" i="80"/>
  <c r="AS476" i="80"/>
  <c r="AT476" i="80"/>
  <c r="AU476" i="80"/>
  <c r="AW476" i="80"/>
  <c r="AX476" i="80"/>
  <c r="AY476" i="80"/>
  <c r="BA476" i="80"/>
  <c r="A477" i="80"/>
  <c r="B477" i="80"/>
  <c r="D477" i="80"/>
  <c r="E477" i="80"/>
  <c r="F477" i="80"/>
  <c r="G477" i="80"/>
  <c r="H477" i="80"/>
  <c r="J477" i="80"/>
  <c r="K477" i="80"/>
  <c r="M477" i="80"/>
  <c r="O477" i="80"/>
  <c r="P477" i="80"/>
  <c r="R477" i="80"/>
  <c r="S477" i="80"/>
  <c r="T477" i="80"/>
  <c r="U477" i="80"/>
  <c r="V477" i="80"/>
  <c r="W477" i="80"/>
  <c r="X477" i="80"/>
  <c r="AO477" i="80"/>
  <c r="AP477" i="80"/>
  <c r="AQ477" i="80"/>
  <c r="AR477" i="80"/>
  <c r="AS477" i="80"/>
  <c r="AT477" i="80"/>
  <c r="AU477" i="80"/>
  <c r="AW477" i="80"/>
  <c r="AX477" i="80"/>
  <c r="AY477" i="80"/>
  <c r="BA477" i="80"/>
  <c r="A478" i="80"/>
  <c r="B478" i="80"/>
  <c r="D478" i="80"/>
  <c r="E478" i="80"/>
  <c r="F478" i="80"/>
  <c r="G478" i="80"/>
  <c r="H478" i="80"/>
  <c r="J478" i="80"/>
  <c r="K478" i="80"/>
  <c r="M478" i="80"/>
  <c r="O478" i="80"/>
  <c r="P478" i="80"/>
  <c r="R478" i="80"/>
  <c r="S478" i="80"/>
  <c r="T478" i="80"/>
  <c r="U478" i="80"/>
  <c r="V478" i="80"/>
  <c r="W478" i="80"/>
  <c r="X478" i="80"/>
  <c r="AO478" i="80"/>
  <c r="AP478" i="80"/>
  <c r="AQ478" i="80"/>
  <c r="AR478" i="80"/>
  <c r="AS478" i="80"/>
  <c r="AT478" i="80"/>
  <c r="AU478" i="80"/>
  <c r="AW478" i="80"/>
  <c r="AX478" i="80"/>
  <c r="AY478" i="80"/>
  <c r="BA478" i="80"/>
  <c r="A479" i="80"/>
  <c r="B479" i="80"/>
  <c r="D479" i="80"/>
  <c r="E479" i="80"/>
  <c r="F479" i="80"/>
  <c r="G479" i="80"/>
  <c r="H479" i="80"/>
  <c r="J479" i="80"/>
  <c r="K479" i="80"/>
  <c r="M479" i="80"/>
  <c r="O479" i="80"/>
  <c r="P479" i="80"/>
  <c r="R479" i="80"/>
  <c r="S479" i="80"/>
  <c r="T479" i="80"/>
  <c r="U479" i="80"/>
  <c r="V479" i="80"/>
  <c r="W479" i="80"/>
  <c r="X479" i="80"/>
  <c r="AO479" i="80"/>
  <c r="AP479" i="80"/>
  <c r="AQ479" i="80"/>
  <c r="AR479" i="80"/>
  <c r="AS479" i="80"/>
  <c r="AT479" i="80"/>
  <c r="AU479" i="80"/>
  <c r="AW479" i="80"/>
  <c r="AX479" i="80"/>
  <c r="AY479" i="80"/>
  <c r="BA479" i="80"/>
  <c r="A480" i="80"/>
  <c r="B480" i="80"/>
  <c r="D480" i="80"/>
  <c r="E480" i="80"/>
  <c r="F480" i="80"/>
  <c r="G480" i="80"/>
  <c r="H480" i="80"/>
  <c r="J480" i="80"/>
  <c r="K480" i="80"/>
  <c r="M480" i="80"/>
  <c r="O480" i="80"/>
  <c r="P480" i="80"/>
  <c r="R480" i="80"/>
  <c r="S480" i="80"/>
  <c r="T480" i="80"/>
  <c r="U480" i="80"/>
  <c r="V480" i="80"/>
  <c r="W480" i="80"/>
  <c r="X480" i="80"/>
  <c r="AO480" i="80"/>
  <c r="AP480" i="80"/>
  <c r="AQ480" i="80"/>
  <c r="AR480" i="80"/>
  <c r="AS480" i="80"/>
  <c r="AT480" i="80"/>
  <c r="AU480" i="80"/>
  <c r="AW480" i="80"/>
  <c r="AX480" i="80"/>
  <c r="AY480" i="80"/>
  <c r="BA480" i="80"/>
  <c r="A481" i="80"/>
  <c r="B481" i="80"/>
  <c r="D481" i="80"/>
  <c r="E481" i="80"/>
  <c r="F481" i="80"/>
  <c r="G481" i="80"/>
  <c r="H481" i="80"/>
  <c r="J481" i="80"/>
  <c r="K481" i="80"/>
  <c r="M481" i="80"/>
  <c r="O481" i="80"/>
  <c r="P481" i="80"/>
  <c r="R481" i="80"/>
  <c r="S481" i="80"/>
  <c r="T481" i="80"/>
  <c r="U481" i="80"/>
  <c r="V481" i="80"/>
  <c r="W481" i="80"/>
  <c r="X481" i="80"/>
  <c r="AO481" i="80"/>
  <c r="AP481" i="80"/>
  <c r="AQ481" i="80"/>
  <c r="AR481" i="80"/>
  <c r="AS481" i="80"/>
  <c r="AT481" i="80"/>
  <c r="AU481" i="80"/>
  <c r="AW481" i="80"/>
  <c r="AX481" i="80"/>
  <c r="AY481" i="80"/>
  <c r="BA481" i="80"/>
  <c r="A482" i="80"/>
  <c r="B482" i="80"/>
  <c r="D482" i="80"/>
  <c r="E482" i="80"/>
  <c r="F482" i="80"/>
  <c r="G482" i="80"/>
  <c r="H482" i="80"/>
  <c r="J482" i="80"/>
  <c r="K482" i="80"/>
  <c r="M482" i="80"/>
  <c r="O482" i="80"/>
  <c r="P482" i="80"/>
  <c r="R482" i="80"/>
  <c r="S482" i="80"/>
  <c r="T482" i="80"/>
  <c r="U482" i="80"/>
  <c r="V482" i="80"/>
  <c r="W482" i="80"/>
  <c r="X482" i="80"/>
  <c r="AO482" i="80"/>
  <c r="AP482" i="80"/>
  <c r="AQ482" i="80"/>
  <c r="AR482" i="80"/>
  <c r="AS482" i="80"/>
  <c r="AT482" i="80"/>
  <c r="AU482" i="80"/>
  <c r="AW482" i="80"/>
  <c r="AX482" i="80"/>
  <c r="AY482" i="80"/>
  <c r="BA482" i="80"/>
  <c r="A483" i="80"/>
  <c r="B483" i="80"/>
  <c r="D483" i="80"/>
  <c r="E483" i="80"/>
  <c r="F483" i="80"/>
  <c r="G483" i="80"/>
  <c r="H483" i="80"/>
  <c r="J483" i="80"/>
  <c r="K483" i="80"/>
  <c r="M483" i="80"/>
  <c r="O483" i="80"/>
  <c r="P483" i="80"/>
  <c r="R483" i="80"/>
  <c r="S483" i="80"/>
  <c r="T483" i="80"/>
  <c r="U483" i="80"/>
  <c r="V483" i="80"/>
  <c r="W483" i="80"/>
  <c r="X483" i="80"/>
  <c r="AO483" i="80"/>
  <c r="AP483" i="80"/>
  <c r="AQ483" i="80"/>
  <c r="AR483" i="80"/>
  <c r="AS483" i="80"/>
  <c r="AT483" i="80"/>
  <c r="AU483" i="80"/>
  <c r="AW483" i="80"/>
  <c r="AX483" i="80"/>
  <c r="AY483" i="80"/>
  <c r="BA483" i="80"/>
  <c r="A484" i="80"/>
  <c r="B484" i="80"/>
  <c r="D484" i="80"/>
  <c r="E484" i="80"/>
  <c r="F484" i="80"/>
  <c r="G484" i="80"/>
  <c r="H484" i="80"/>
  <c r="J484" i="80"/>
  <c r="K484" i="80"/>
  <c r="M484" i="80"/>
  <c r="O484" i="80"/>
  <c r="P484" i="80"/>
  <c r="R484" i="80"/>
  <c r="S484" i="80"/>
  <c r="T484" i="80"/>
  <c r="U484" i="80"/>
  <c r="V484" i="80"/>
  <c r="W484" i="80"/>
  <c r="X484" i="80"/>
  <c r="AO484" i="80"/>
  <c r="AP484" i="80"/>
  <c r="AQ484" i="80"/>
  <c r="AR484" i="80"/>
  <c r="AS484" i="80"/>
  <c r="AT484" i="80"/>
  <c r="AU484" i="80"/>
  <c r="AW484" i="80"/>
  <c r="AX484" i="80"/>
  <c r="AY484" i="80"/>
  <c r="BA484" i="80"/>
  <c r="A485" i="80"/>
  <c r="B485" i="80"/>
  <c r="D485" i="80"/>
  <c r="E485" i="80"/>
  <c r="F485" i="80"/>
  <c r="G485" i="80"/>
  <c r="H485" i="80"/>
  <c r="J485" i="80"/>
  <c r="K485" i="80"/>
  <c r="M485" i="80"/>
  <c r="O485" i="80"/>
  <c r="P485" i="80"/>
  <c r="R485" i="80"/>
  <c r="S485" i="80"/>
  <c r="T485" i="80"/>
  <c r="U485" i="80"/>
  <c r="V485" i="80"/>
  <c r="W485" i="80"/>
  <c r="X485" i="80"/>
  <c r="AO485" i="80"/>
  <c r="AP485" i="80"/>
  <c r="AQ485" i="80"/>
  <c r="AR485" i="80"/>
  <c r="AS485" i="80"/>
  <c r="AT485" i="80"/>
  <c r="AU485" i="80"/>
  <c r="AW485" i="80"/>
  <c r="AX485" i="80"/>
  <c r="AY485" i="80"/>
  <c r="BA485" i="80"/>
  <c r="A486" i="80"/>
  <c r="B486" i="80"/>
  <c r="D486" i="80"/>
  <c r="E486" i="80"/>
  <c r="F486" i="80"/>
  <c r="G486" i="80"/>
  <c r="H486" i="80"/>
  <c r="J486" i="80"/>
  <c r="K486" i="80"/>
  <c r="M486" i="80"/>
  <c r="O486" i="80"/>
  <c r="P486" i="80"/>
  <c r="R486" i="80"/>
  <c r="S486" i="80"/>
  <c r="T486" i="80"/>
  <c r="U486" i="80"/>
  <c r="V486" i="80"/>
  <c r="W486" i="80"/>
  <c r="X486" i="80"/>
  <c r="AO486" i="80"/>
  <c r="AP486" i="80"/>
  <c r="AQ486" i="80"/>
  <c r="AR486" i="80"/>
  <c r="AS486" i="80"/>
  <c r="AT486" i="80"/>
  <c r="AU486" i="80"/>
  <c r="AW486" i="80"/>
  <c r="AX486" i="80"/>
  <c r="AY486" i="80"/>
  <c r="BA486" i="80"/>
  <c r="A487" i="80"/>
  <c r="B487" i="80"/>
  <c r="D487" i="80"/>
  <c r="E487" i="80"/>
  <c r="F487" i="80"/>
  <c r="G487" i="80"/>
  <c r="H487" i="80"/>
  <c r="J487" i="80"/>
  <c r="K487" i="80"/>
  <c r="M487" i="80"/>
  <c r="O487" i="80"/>
  <c r="P487" i="80"/>
  <c r="R487" i="80"/>
  <c r="S487" i="80"/>
  <c r="T487" i="80"/>
  <c r="U487" i="80"/>
  <c r="V487" i="80"/>
  <c r="W487" i="80"/>
  <c r="X487" i="80"/>
  <c r="AO487" i="80"/>
  <c r="AP487" i="80"/>
  <c r="AQ487" i="80"/>
  <c r="AR487" i="80"/>
  <c r="AS487" i="80"/>
  <c r="AT487" i="80"/>
  <c r="AU487" i="80"/>
  <c r="AW487" i="80"/>
  <c r="AX487" i="80"/>
  <c r="AY487" i="80"/>
  <c r="BA487" i="80"/>
  <c r="A488" i="80"/>
  <c r="B488" i="80"/>
  <c r="D488" i="80"/>
  <c r="E488" i="80"/>
  <c r="F488" i="80"/>
  <c r="G488" i="80"/>
  <c r="H488" i="80"/>
  <c r="J488" i="80"/>
  <c r="K488" i="80"/>
  <c r="M488" i="80"/>
  <c r="O488" i="80"/>
  <c r="P488" i="80"/>
  <c r="R488" i="80"/>
  <c r="S488" i="80"/>
  <c r="T488" i="80"/>
  <c r="U488" i="80"/>
  <c r="V488" i="80"/>
  <c r="W488" i="80"/>
  <c r="X488" i="80"/>
  <c r="AO488" i="80"/>
  <c r="AP488" i="80"/>
  <c r="AQ488" i="80"/>
  <c r="AR488" i="80"/>
  <c r="AS488" i="80"/>
  <c r="AT488" i="80"/>
  <c r="AU488" i="80"/>
  <c r="AW488" i="80"/>
  <c r="AX488" i="80"/>
  <c r="AY488" i="80"/>
  <c r="BA488" i="80"/>
  <c r="A489" i="80"/>
  <c r="B489" i="80"/>
  <c r="D489" i="80"/>
  <c r="E489" i="80"/>
  <c r="F489" i="80"/>
  <c r="G489" i="80"/>
  <c r="H489" i="80"/>
  <c r="J489" i="80"/>
  <c r="K489" i="80"/>
  <c r="M489" i="80"/>
  <c r="O489" i="80"/>
  <c r="P489" i="80"/>
  <c r="R489" i="80"/>
  <c r="S489" i="80"/>
  <c r="T489" i="80"/>
  <c r="U489" i="80"/>
  <c r="V489" i="80"/>
  <c r="W489" i="80"/>
  <c r="X489" i="80"/>
  <c r="AO489" i="80"/>
  <c r="AP489" i="80"/>
  <c r="AQ489" i="80"/>
  <c r="AR489" i="80"/>
  <c r="AS489" i="80"/>
  <c r="AT489" i="80"/>
  <c r="AU489" i="80"/>
  <c r="AW489" i="80"/>
  <c r="AX489" i="80"/>
  <c r="AY489" i="80"/>
  <c r="BA489" i="80"/>
  <c r="A490" i="80"/>
  <c r="B490" i="80"/>
  <c r="D490" i="80"/>
  <c r="E490" i="80"/>
  <c r="F490" i="80"/>
  <c r="G490" i="80"/>
  <c r="H490" i="80"/>
  <c r="J490" i="80"/>
  <c r="K490" i="80"/>
  <c r="M490" i="80"/>
  <c r="O490" i="80"/>
  <c r="P490" i="80"/>
  <c r="R490" i="80"/>
  <c r="S490" i="80"/>
  <c r="T490" i="80"/>
  <c r="U490" i="80"/>
  <c r="V490" i="80"/>
  <c r="W490" i="80"/>
  <c r="X490" i="80"/>
  <c r="AO490" i="80"/>
  <c r="AP490" i="80"/>
  <c r="AQ490" i="80"/>
  <c r="AR490" i="80"/>
  <c r="AS490" i="80"/>
  <c r="AT490" i="80"/>
  <c r="AU490" i="80"/>
  <c r="AW490" i="80"/>
  <c r="AX490" i="80"/>
  <c r="AY490" i="80"/>
  <c r="BA490" i="80"/>
  <c r="A491" i="80"/>
  <c r="B491" i="80"/>
  <c r="D491" i="80"/>
  <c r="E491" i="80"/>
  <c r="F491" i="80"/>
  <c r="G491" i="80"/>
  <c r="H491" i="80"/>
  <c r="J491" i="80"/>
  <c r="K491" i="80"/>
  <c r="M491" i="80"/>
  <c r="O491" i="80"/>
  <c r="P491" i="80"/>
  <c r="R491" i="80"/>
  <c r="S491" i="80"/>
  <c r="T491" i="80"/>
  <c r="U491" i="80"/>
  <c r="V491" i="80"/>
  <c r="W491" i="80"/>
  <c r="X491" i="80"/>
  <c r="AO491" i="80"/>
  <c r="AP491" i="80"/>
  <c r="AQ491" i="80"/>
  <c r="AR491" i="80"/>
  <c r="AS491" i="80"/>
  <c r="AT491" i="80"/>
  <c r="AU491" i="80"/>
  <c r="AW491" i="80"/>
  <c r="AX491" i="80"/>
  <c r="AY491" i="80"/>
  <c r="BA491" i="80"/>
  <c r="A492" i="80"/>
  <c r="B492" i="80"/>
  <c r="D492" i="80"/>
  <c r="E492" i="80"/>
  <c r="F492" i="80"/>
  <c r="G492" i="80"/>
  <c r="H492" i="80"/>
  <c r="J492" i="80"/>
  <c r="K492" i="80"/>
  <c r="M492" i="80"/>
  <c r="O492" i="80"/>
  <c r="P492" i="80"/>
  <c r="R492" i="80"/>
  <c r="S492" i="80"/>
  <c r="T492" i="80"/>
  <c r="U492" i="80"/>
  <c r="V492" i="80"/>
  <c r="W492" i="80"/>
  <c r="X492" i="80"/>
  <c r="AO492" i="80"/>
  <c r="AP492" i="80"/>
  <c r="AQ492" i="80"/>
  <c r="AR492" i="80"/>
  <c r="AS492" i="80"/>
  <c r="AT492" i="80"/>
  <c r="AU492" i="80"/>
  <c r="AW492" i="80"/>
  <c r="AX492" i="80"/>
  <c r="AY492" i="80"/>
  <c r="BA492" i="80"/>
  <c r="A493" i="80"/>
  <c r="B493" i="80"/>
  <c r="D493" i="80"/>
  <c r="E493" i="80"/>
  <c r="F493" i="80"/>
  <c r="G493" i="80"/>
  <c r="H493" i="80"/>
  <c r="J493" i="80"/>
  <c r="K493" i="80"/>
  <c r="M493" i="80"/>
  <c r="O493" i="80"/>
  <c r="P493" i="80"/>
  <c r="R493" i="80"/>
  <c r="S493" i="80"/>
  <c r="T493" i="80"/>
  <c r="U493" i="80"/>
  <c r="V493" i="80"/>
  <c r="W493" i="80"/>
  <c r="X493" i="80"/>
  <c r="AO493" i="80"/>
  <c r="AP493" i="80"/>
  <c r="AQ493" i="80"/>
  <c r="AR493" i="80"/>
  <c r="AS493" i="80"/>
  <c r="AT493" i="80"/>
  <c r="AU493" i="80"/>
  <c r="AW493" i="80"/>
  <c r="AX493" i="80"/>
  <c r="AY493" i="80"/>
  <c r="BA493" i="80"/>
  <c r="A494" i="80"/>
  <c r="B494" i="80"/>
  <c r="D494" i="80"/>
  <c r="E494" i="80"/>
  <c r="F494" i="80"/>
  <c r="G494" i="80"/>
  <c r="H494" i="80"/>
  <c r="J494" i="80"/>
  <c r="K494" i="80"/>
  <c r="M494" i="80"/>
  <c r="O494" i="80"/>
  <c r="P494" i="80"/>
  <c r="R494" i="80"/>
  <c r="S494" i="80"/>
  <c r="T494" i="80"/>
  <c r="U494" i="80"/>
  <c r="V494" i="80"/>
  <c r="W494" i="80"/>
  <c r="X494" i="80"/>
  <c r="AO494" i="80"/>
  <c r="AP494" i="80"/>
  <c r="AQ494" i="80"/>
  <c r="AR494" i="80"/>
  <c r="AS494" i="80"/>
  <c r="AT494" i="80"/>
  <c r="AU494" i="80"/>
  <c r="AW494" i="80"/>
  <c r="AX494" i="80"/>
  <c r="AY494" i="80"/>
  <c r="BA494" i="80"/>
  <c r="A495" i="80"/>
  <c r="B495" i="80"/>
  <c r="D495" i="80"/>
  <c r="E495" i="80"/>
  <c r="F495" i="80"/>
  <c r="G495" i="80"/>
  <c r="H495" i="80"/>
  <c r="J495" i="80"/>
  <c r="K495" i="80"/>
  <c r="M495" i="80"/>
  <c r="O495" i="80"/>
  <c r="P495" i="80"/>
  <c r="R495" i="80"/>
  <c r="S495" i="80"/>
  <c r="T495" i="80"/>
  <c r="U495" i="80"/>
  <c r="V495" i="80"/>
  <c r="W495" i="80"/>
  <c r="X495" i="80"/>
  <c r="AO495" i="80"/>
  <c r="AP495" i="80"/>
  <c r="AQ495" i="80"/>
  <c r="AR495" i="80"/>
  <c r="AS495" i="80"/>
  <c r="AT495" i="80"/>
  <c r="AU495" i="80"/>
  <c r="AW495" i="80"/>
  <c r="AX495" i="80"/>
  <c r="AY495" i="80"/>
  <c r="BA495" i="80"/>
  <c r="A496" i="80"/>
  <c r="B496" i="80"/>
  <c r="D496" i="80"/>
  <c r="E496" i="80"/>
  <c r="F496" i="80"/>
  <c r="G496" i="80"/>
  <c r="H496" i="80"/>
  <c r="J496" i="80"/>
  <c r="K496" i="80"/>
  <c r="M496" i="80"/>
  <c r="O496" i="80"/>
  <c r="P496" i="80"/>
  <c r="R496" i="80"/>
  <c r="S496" i="80"/>
  <c r="T496" i="80"/>
  <c r="U496" i="80"/>
  <c r="V496" i="80"/>
  <c r="W496" i="80"/>
  <c r="X496" i="80"/>
  <c r="AO496" i="80"/>
  <c r="AP496" i="80"/>
  <c r="AQ496" i="80"/>
  <c r="AR496" i="80"/>
  <c r="AS496" i="80"/>
  <c r="AT496" i="80"/>
  <c r="AU496" i="80"/>
  <c r="AW496" i="80"/>
  <c r="AX496" i="80"/>
  <c r="AY496" i="80"/>
  <c r="BA496" i="80"/>
  <c r="A497" i="80"/>
  <c r="B497" i="80"/>
  <c r="D497" i="80"/>
  <c r="E497" i="80"/>
  <c r="F497" i="80"/>
  <c r="G497" i="80"/>
  <c r="H497" i="80"/>
  <c r="J497" i="80"/>
  <c r="K497" i="80"/>
  <c r="M497" i="80"/>
  <c r="O497" i="80"/>
  <c r="P497" i="80"/>
  <c r="R497" i="80"/>
  <c r="S497" i="80"/>
  <c r="T497" i="80"/>
  <c r="U497" i="80"/>
  <c r="V497" i="80"/>
  <c r="W497" i="80"/>
  <c r="X497" i="80"/>
  <c r="AO497" i="80"/>
  <c r="AP497" i="80"/>
  <c r="AQ497" i="80"/>
  <c r="AR497" i="80"/>
  <c r="AS497" i="80"/>
  <c r="AT497" i="80"/>
  <c r="AU497" i="80"/>
  <c r="AW497" i="80"/>
  <c r="AX497" i="80"/>
  <c r="AY497" i="80"/>
  <c r="BA497" i="80"/>
  <c r="A498" i="80"/>
  <c r="B498" i="80"/>
  <c r="D498" i="80"/>
  <c r="E498" i="80"/>
  <c r="F498" i="80"/>
  <c r="G498" i="80"/>
  <c r="H498" i="80"/>
  <c r="J498" i="80"/>
  <c r="K498" i="80"/>
  <c r="M498" i="80"/>
  <c r="O498" i="80"/>
  <c r="P498" i="80"/>
  <c r="R498" i="80"/>
  <c r="S498" i="80"/>
  <c r="T498" i="80"/>
  <c r="U498" i="80"/>
  <c r="V498" i="80"/>
  <c r="W498" i="80"/>
  <c r="X498" i="80"/>
  <c r="AO498" i="80"/>
  <c r="AP498" i="80"/>
  <c r="AQ498" i="80"/>
  <c r="AR498" i="80"/>
  <c r="AS498" i="80"/>
  <c r="AT498" i="80"/>
  <c r="AU498" i="80"/>
  <c r="AW498" i="80"/>
  <c r="AX498" i="80"/>
  <c r="AY498" i="80"/>
  <c r="BA498" i="80"/>
  <c r="A499" i="80"/>
  <c r="B499" i="80"/>
  <c r="D499" i="80"/>
  <c r="E499" i="80"/>
  <c r="F499" i="80"/>
  <c r="G499" i="80"/>
  <c r="H499" i="80"/>
  <c r="J499" i="80"/>
  <c r="K499" i="80"/>
  <c r="M499" i="80"/>
  <c r="O499" i="80"/>
  <c r="P499" i="80"/>
  <c r="R499" i="80"/>
  <c r="S499" i="80"/>
  <c r="T499" i="80"/>
  <c r="U499" i="80"/>
  <c r="V499" i="80"/>
  <c r="W499" i="80"/>
  <c r="X499" i="80"/>
  <c r="AO499" i="80"/>
  <c r="AP499" i="80"/>
  <c r="AQ499" i="80"/>
  <c r="AR499" i="80"/>
  <c r="AS499" i="80"/>
  <c r="AT499" i="80"/>
  <c r="AU499" i="80"/>
  <c r="AW499" i="80"/>
  <c r="AX499" i="80"/>
  <c r="AY499" i="80"/>
  <c r="BA499" i="80"/>
  <c r="A500" i="80"/>
  <c r="B500" i="80"/>
  <c r="AW500" i="80"/>
  <c r="AX500" i="80"/>
  <c r="AY500" i="80"/>
  <c r="BA500" i="80"/>
  <c r="A501" i="80"/>
  <c r="B501" i="80"/>
  <c r="AW501" i="80"/>
  <c r="AX501" i="80"/>
  <c r="AY501" i="80"/>
  <c r="BA501" i="80"/>
  <c r="E1" i="77"/>
  <c r="Z1" i="77"/>
  <c r="AA1" i="77"/>
  <c r="AC1" i="77"/>
  <c r="AD1" i="77"/>
  <c r="S2" i="77"/>
  <c r="A3" i="77"/>
  <c r="B3" i="77"/>
  <c r="D3" i="77"/>
  <c r="E3" i="77"/>
  <c r="I3" i="77"/>
  <c r="J3" i="77"/>
  <c r="K3" i="77"/>
  <c r="R3" i="77"/>
  <c r="S3" i="77"/>
  <c r="J4" i="77"/>
  <c r="K4" i="77"/>
  <c r="M4" i="77"/>
  <c r="O4" i="77"/>
  <c r="P4" i="77"/>
  <c r="R4" i="77"/>
  <c r="S4" i="77"/>
  <c r="T4" i="77"/>
  <c r="U4" i="77"/>
  <c r="W4" i="77"/>
  <c r="X4" i="77"/>
  <c r="Z4" i="77"/>
  <c r="AA4" i="77"/>
  <c r="AC4" i="77"/>
  <c r="AD4" i="77"/>
  <c r="AF4" i="77"/>
  <c r="AF5" i="77"/>
  <c r="H6" i="77"/>
  <c r="K6" i="77"/>
  <c r="M6" i="77"/>
  <c r="P6" i="77"/>
  <c r="S6" i="77"/>
  <c r="U6" i="77"/>
  <c r="X6" i="77"/>
  <c r="AA6" i="77"/>
  <c r="AC6" i="77"/>
  <c r="D8" i="77"/>
  <c r="E8" i="77"/>
  <c r="F8" i="77"/>
  <c r="G8" i="77"/>
  <c r="H8" i="77"/>
  <c r="J8" i="77"/>
  <c r="K8" i="77"/>
  <c r="L8" i="77"/>
  <c r="M8" i="77"/>
  <c r="O8" i="77"/>
  <c r="P8" i="77"/>
  <c r="R8" i="77"/>
  <c r="S8" i="77"/>
  <c r="T8" i="77"/>
  <c r="U8" i="77"/>
  <c r="V8" i="77"/>
  <c r="W8" i="77"/>
  <c r="X8" i="77"/>
  <c r="AH8" i="77"/>
  <c r="AL8" i="77"/>
  <c r="AM8" i="77"/>
  <c r="AN8" i="77"/>
  <c r="AT8" i="77"/>
  <c r="AU8" i="77"/>
  <c r="AW8" i="77"/>
  <c r="AX8" i="77"/>
  <c r="AY8" i="77"/>
  <c r="BA8" i="77"/>
  <c r="BC8" i="77"/>
  <c r="A10" i="77"/>
  <c r="B10" i="77"/>
  <c r="D10" i="77"/>
  <c r="E10" i="77"/>
  <c r="F10" i="77"/>
  <c r="G10" i="77"/>
  <c r="H10" i="77"/>
  <c r="J10" i="77"/>
  <c r="K10" i="77"/>
  <c r="M10" i="77"/>
  <c r="O10" i="77"/>
  <c r="P10" i="77"/>
  <c r="R10" i="77"/>
  <c r="S10" i="77"/>
  <c r="U10" i="77"/>
  <c r="V10" i="77"/>
  <c r="W10" i="77"/>
  <c r="X10" i="77"/>
  <c r="Z10" i="77"/>
  <c r="AA10" i="77"/>
  <c r="AB10" i="77"/>
  <c r="AC10" i="77"/>
  <c r="AD10" i="77"/>
  <c r="AE10" i="77"/>
  <c r="AF10" i="77"/>
  <c r="AG10" i="77"/>
  <c r="AH10" i="77"/>
  <c r="AI10" i="77"/>
  <c r="AJ10" i="77"/>
  <c r="AK10" i="77"/>
  <c r="AL10" i="77"/>
  <c r="AM10" i="77"/>
  <c r="AN10" i="77"/>
  <c r="AO10" i="77"/>
  <c r="AP10" i="77"/>
  <c r="AQ10" i="77"/>
  <c r="AR10" i="77"/>
  <c r="AS10" i="77"/>
  <c r="AT10" i="77"/>
  <c r="AU10" i="77"/>
  <c r="AW10" i="77"/>
  <c r="AX10" i="77"/>
  <c r="AY10" i="77"/>
  <c r="BA10" i="77"/>
  <c r="BC10" i="77"/>
  <c r="A11" i="77"/>
  <c r="B11" i="77"/>
  <c r="D11" i="77"/>
  <c r="E11" i="77"/>
  <c r="F11" i="77"/>
  <c r="G11" i="77"/>
  <c r="H11" i="77"/>
  <c r="J11" i="77"/>
  <c r="K11" i="77"/>
  <c r="M11" i="77"/>
  <c r="O11" i="77"/>
  <c r="P11" i="77"/>
  <c r="R11" i="77"/>
  <c r="S11" i="77"/>
  <c r="U11" i="77"/>
  <c r="V11" i="77"/>
  <c r="W11" i="77"/>
  <c r="X11" i="77"/>
  <c r="Z11" i="77"/>
  <c r="AA11" i="77"/>
  <c r="AB11" i="77"/>
  <c r="AC11" i="77"/>
  <c r="AD11" i="77"/>
  <c r="AE11" i="77"/>
  <c r="AF11" i="77"/>
  <c r="AG11" i="77"/>
  <c r="AH11" i="77"/>
  <c r="AI11" i="77"/>
  <c r="AJ11" i="77"/>
  <c r="AK11" i="77"/>
  <c r="AL11" i="77"/>
  <c r="AM11" i="77"/>
  <c r="AN11" i="77"/>
  <c r="AO11" i="77"/>
  <c r="AP11" i="77"/>
  <c r="AQ11" i="77"/>
  <c r="AR11" i="77"/>
  <c r="AS11" i="77"/>
  <c r="AT11" i="77"/>
  <c r="AU11" i="77"/>
  <c r="AW11" i="77"/>
  <c r="AX11" i="77"/>
  <c r="AY11" i="77"/>
  <c r="BA11" i="77"/>
  <c r="BC11" i="77"/>
  <c r="A12" i="77"/>
  <c r="B12" i="77"/>
  <c r="D12" i="77"/>
  <c r="E12" i="77"/>
  <c r="F12" i="77"/>
  <c r="G12" i="77"/>
  <c r="H12" i="77"/>
  <c r="J12" i="77"/>
  <c r="K12" i="77"/>
  <c r="M12" i="77"/>
  <c r="O12" i="77"/>
  <c r="P12" i="77"/>
  <c r="R12" i="77"/>
  <c r="S12" i="77"/>
  <c r="U12" i="77"/>
  <c r="V12" i="77"/>
  <c r="W12" i="77"/>
  <c r="X12" i="77"/>
  <c r="Z12" i="77"/>
  <c r="AA12" i="77"/>
  <c r="AB12" i="77"/>
  <c r="AC12" i="77"/>
  <c r="AD12" i="77"/>
  <c r="AE12" i="77"/>
  <c r="AF12" i="77"/>
  <c r="AG12" i="77"/>
  <c r="AH12" i="77"/>
  <c r="AI12" i="77"/>
  <c r="AJ12" i="77"/>
  <c r="AK12" i="77"/>
  <c r="AL12" i="77"/>
  <c r="AM12" i="77"/>
  <c r="AN12" i="77"/>
  <c r="AO12" i="77"/>
  <c r="AP12" i="77"/>
  <c r="AQ12" i="77"/>
  <c r="AR12" i="77"/>
  <c r="AS12" i="77"/>
  <c r="AT12" i="77"/>
  <c r="AU12" i="77"/>
  <c r="AW12" i="77"/>
  <c r="AX12" i="77"/>
  <c r="AY12" i="77"/>
  <c r="BA12" i="77"/>
  <c r="BC12" i="77"/>
  <c r="A13" i="77"/>
  <c r="B13" i="77"/>
  <c r="D13" i="77"/>
  <c r="E13" i="77"/>
  <c r="F13" i="77"/>
  <c r="G13" i="77"/>
  <c r="H13" i="77"/>
  <c r="J13" i="77"/>
  <c r="K13" i="77"/>
  <c r="M13" i="77"/>
  <c r="O13" i="77"/>
  <c r="P13" i="77"/>
  <c r="R13" i="77"/>
  <c r="S13" i="77"/>
  <c r="U13" i="77"/>
  <c r="V13" i="77"/>
  <c r="W13" i="77"/>
  <c r="X13" i="77"/>
  <c r="Z13" i="77"/>
  <c r="AA13" i="77"/>
  <c r="AB13" i="77"/>
  <c r="AC13" i="77"/>
  <c r="AD13" i="77"/>
  <c r="AE13" i="77"/>
  <c r="AF13" i="77"/>
  <c r="AG13" i="77"/>
  <c r="AH13" i="77"/>
  <c r="AI13" i="77"/>
  <c r="AJ13" i="77"/>
  <c r="AK13" i="77"/>
  <c r="AL13" i="77"/>
  <c r="AM13" i="77"/>
  <c r="AN13" i="77"/>
  <c r="AO13" i="77"/>
  <c r="AP13" i="77"/>
  <c r="AQ13" i="77"/>
  <c r="AR13" i="77"/>
  <c r="AS13" i="77"/>
  <c r="AT13" i="77"/>
  <c r="AU13" i="77"/>
  <c r="AW13" i="77"/>
  <c r="AX13" i="77"/>
  <c r="AY13" i="77"/>
  <c r="BA13" i="77"/>
  <c r="BC13" i="77"/>
  <c r="A14" i="77"/>
  <c r="B14" i="77"/>
  <c r="D14" i="77"/>
  <c r="E14" i="77"/>
  <c r="F14" i="77"/>
  <c r="G14" i="77"/>
  <c r="H14" i="77"/>
  <c r="J14" i="77"/>
  <c r="K14" i="77"/>
  <c r="M14" i="77"/>
  <c r="O14" i="77"/>
  <c r="P14" i="77"/>
  <c r="R14" i="77"/>
  <c r="S14" i="77"/>
  <c r="U14" i="77"/>
  <c r="V14" i="77"/>
  <c r="W14" i="77"/>
  <c r="X14" i="77"/>
  <c r="Z14" i="77"/>
  <c r="AA14" i="77"/>
  <c r="AB14" i="77"/>
  <c r="AC14" i="77"/>
  <c r="AD14" i="77"/>
  <c r="AE14" i="77"/>
  <c r="AF14" i="77"/>
  <c r="AG14" i="77"/>
  <c r="AH14" i="77"/>
  <c r="AI14" i="77"/>
  <c r="AJ14" i="77"/>
  <c r="AK14" i="77"/>
  <c r="AL14" i="77"/>
  <c r="AM14" i="77"/>
  <c r="AN14" i="77"/>
  <c r="AO14" i="77"/>
  <c r="AP14" i="77"/>
  <c r="AQ14" i="77"/>
  <c r="AR14" i="77"/>
  <c r="AS14" i="77"/>
  <c r="AT14" i="77"/>
  <c r="AU14" i="77"/>
  <c r="AW14" i="77"/>
  <c r="AX14" i="77"/>
  <c r="AY14" i="77"/>
  <c r="BA14" i="77"/>
  <c r="BC14" i="77"/>
  <c r="A15" i="77"/>
  <c r="B15" i="77"/>
  <c r="D15" i="77"/>
  <c r="E15" i="77"/>
  <c r="F15" i="77"/>
  <c r="G15" i="77"/>
  <c r="H15" i="77"/>
  <c r="J15" i="77"/>
  <c r="K15" i="77"/>
  <c r="M15" i="77"/>
  <c r="O15" i="77"/>
  <c r="P15" i="77"/>
  <c r="R15" i="77"/>
  <c r="S15" i="77"/>
  <c r="U15" i="77"/>
  <c r="V15" i="77"/>
  <c r="W15" i="77"/>
  <c r="X15" i="77"/>
  <c r="Z15" i="77"/>
  <c r="AA15" i="77"/>
  <c r="AB15" i="77"/>
  <c r="AC15" i="77"/>
  <c r="AD15" i="77"/>
  <c r="AE15" i="77"/>
  <c r="AF15" i="77"/>
  <c r="AG15" i="77"/>
  <c r="AH15" i="77"/>
  <c r="AI15" i="77"/>
  <c r="AJ15" i="77"/>
  <c r="AK15" i="77"/>
  <c r="AL15" i="77"/>
  <c r="AM15" i="77"/>
  <c r="AN15" i="77"/>
  <c r="AO15" i="77"/>
  <c r="AP15" i="77"/>
  <c r="AQ15" i="77"/>
  <c r="AR15" i="77"/>
  <c r="AS15" i="77"/>
  <c r="AT15" i="77"/>
  <c r="AU15" i="77"/>
  <c r="AW15" i="77"/>
  <c r="AX15" i="77"/>
  <c r="AY15" i="77"/>
  <c r="BA15" i="77"/>
  <c r="BC15" i="77"/>
  <c r="A16" i="77"/>
  <c r="B16" i="77"/>
  <c r="D16" i="77"/>
  <c r="E16" i="77"/>
  <c r="F16" i="77"/>
  <c r="G16" i="77"/>
  <c r="H16" i="77"/>
  <c r="J16" i="77"/>
  <c r="K16" i="77"/>
  <c r="M16" i="77"/>
  <c r="O16" i="77"/>
  <c r="P16" i="77"/>
  <c r="R16" i="77"/>
  <c r="S16" i="77"/>
  <c r="U16" i="77"/>
  <c r="V16" i="77"/>
  <c r="W16" i="77"/>
  <c r="X16" i="77"/>
  <c r="Z16" i="77"/>
  <c r="AA16" i="77"/>
  <c r="AB16" i="77"/>
  <c r="AC16" i="77"/>
  <c r="AD16" i="77"/>
  <c r="AE16" i="77"/>
  <c r="AF16" i="77"/>
  <c r="AG16" i="77"/>
  <c r="AH16" i="77"/>
  <c r="AI16" i="77"/>
  <c r="AJ16" i="77"/>
  <c r="AK16" i="77"/>
  <c r="AL16" i="77"/>
  <c r="AM16" i="77"/>
  <c r="AN16" i="77"/>
  <c r="AO16" i="77"/>
  <c r="AP16" i="77"/>
  <c r="AQ16" i="77"/>
  <c r="AR16" i="77"/>
  <c r="AS16" i="77"/>
  <c r="AT16" i="77"/>
  <c r="AU16" i="77"/>
  <c r="AW16" i="77"/>
  <c r="AX16" i="77"/>
  <c r="AY16" i="77"/>
  <c r="BA16" i="77"/>
  <c r="BC16" i="77"/>
  <c r="A17" i="77"/>
  <c r="B17" i="77"/>
  <c r="D17" i="77"/>
  <c r="E17" i="77"/>
  <c r="F17" i="77"/>
  <c r="G17" i="77"/>
  <c r="H17" i="77"/>
  <c r="J17" i="77"/>
  <c r="K17" i="77"/>
  <c r="M17" i="77"/>
  <c r="O17" i="77"/>
  <c r="P17" i="77"/>
  <c r="R17" i="77"/>
  <c r="S17" i="77"/>
  <c r="U17" i="77"/>
  <c r="V17" i="77"/>
  <c r="W17" i="77"/>
  <c r="X17" i="77"/>
  <c r="Z17" i="77"/>
  <c r="AA17" i="77"/>
  <c r="AB17" i="77"/>
  <c r="AC17" i="77"/>
  <c r="AD17" i="77"/>
  <c r="AE17" i="77"/>
  <c r="AF17" i="77"/>
  <c r="AG17" i="77"/>
  <c r="AH17" i="77"/>
  <c r="AI17" i="77"/>
  <c r="AJ17" i="77"/>
  <c r="AK17" i="77"/>
  <c r="AL17" i="77"/>
  <c r="AM17" i="77"/>
  <c r="AN17" i="77"/>
  <c r="AO17" i="77"/>
  <c r="AP17" i="77"/>
  <c r="AQ17" i="77"/>
  <c r="AR17" i="77"/>
  <c r="AS17" i="77"/>
  <c r="AT17" i="77"/>
  <c r="AU17" i="77"/>
  <c r="AW17" i="77"/>
  <c r="AX17" i="77"/>
  <c r="AY17" i="77"/>
  <c r="BA17" i="77"/>
  <c r="BC17" i="77"/>
  <c r="A18" i="77"/>
  <c r="B18" i="77"/>
  <c r="D18" i="77"/>
  <c r="E18" i="77"/>
  <c r="F18" i="77"/>
  <c r="G18" i="77"/>
  <c r="H18" i="77"/>
  <c r="J18" i="77"/>
  <c r="K18" i="77"/>
  <c r="M18" i="77"/>
  <c r="O18" i="77"/>
  <c r="P18" i="77"/>
  <c r="R18" i="77"/>
  <c r="S18" i="77"/>
  <c r="U18" i="77"/>
  <c r="V18" i="77"/>
  <c r="W18" i="77"/>
  <c r="X18" i="77"/>
  <c r="Z18" i="77"/>
  <c r="AA18" i="77"/>
  <c r="AB18" i="77"/>
  <c r="AC18" i="77"/>
  <c r="AD18" i="77"/>
  <c r="AE18" i="77"/>
  <c r="AF18" i="77"/>
  <c r="AG18" i="77"/>
  <c r="AH18" i="77"/>
  <c r="AI18" i="77"/>
  <c r="AJ18" i="77"/>
  <c r="AK18" i="77"/>
  <c r="AL18" i="77"/>
  <c r="AM18" i="77"/>
  <c r="AN18" i="77"/>
  <c r="AO18" i="77"/>
  <c r="AP18" i="77"/>
  <c r="AQ18" i="77"/>
  <c r="AR18" i="77"/>
  <c r="AS18" i="77"/>
  <c r="AT18" i="77"/>
  <c r="AU18" i="77"/>
  <c r="AW18" i="77"/>
  <c r="AX18" i="77"/>
  <c r="AY18" i="77"/>
  <c r="BA18" i="77"/>
  <c r="BC18" i="77"/>
  <c r="A19" i="77"/>
  <c r="B19" i="77"/>
  <c r="D19" i="77"/>
  <c r="E19" i="77"/>
  <c r="F19" i="77"/>
  <c r="G19" i="77"/>
  <c r="H19" i="77"/>
  <c r="J19" i="77"/>
  <c r="K19" i="77"/>
  <c r="M19" i="77"/>
  <c r="O19" i="77"/>
  <c r="P19" i="77"/>
  <c r="R19" i="77"/>
  <c r="S19" i="77"/>
  <c r="U19" i="77"/>
  <c r="V19" i="77"/>
  <c r="W19" i="77"/>
  <c r="X19" i="77"/>
  <c r="Z19" i="77"/>
  <c r="AA19" i="77"/>
  <c r="AB19" i="77"/>
  <c r="AC19" i="77"/>
  <c r="AD19" i="77"/>
  <c r="AE19" i="77"/>
  <c r="AF19" i="77"/>
  <c r="AG19" i="77"/>
  <c r="AH19" i="77"/>
  <c r="AI19" i="77"/>
  <c r="AJ19" i="77"/>
  <c r="AK19" i="77"/>
  <c r="AL19" i="77"/>
  <c r="AM19" i="77"/>
  <c r="AN19" i="77"/>
  <c r="AO19" i="77"/>
  <c r="AP19" i="77"/>
  <c r="AQ19" i="77"/>
  <c r="AR19" i="77"/>
  <c r="AS19" i="77"/>
  <c r="AT19" i="77"/>
  <c r="AU19" i="77"/>
  <c r="AW19" i="77"/>
  <c r="AX19" i="77"/>
  <c r="AY19" i="77"/>
  <c r="BA19" i="77"/>
  <c r="BC19" i="77"/>
  <c r="A20" i="77"/>
  <c r="B20" i="77"/>
  <c r="D20" i="77"/>
  <c r="E20" i="77"/>
  <c r="F20" i="77"/>
  <c r="G20" i="77"/>
  <c r="H20" i="77"/>
  <c r="J20" i="77"/>
  <c r="K20" i="77"/>
  <c r="M20" i="77"/>
  <c r="O20" i="77"/>
  <c r="P20" i="77"/>
  <c r="R20" i="77"/>
  <c r="S20" i="77"/>
  <c r="U20" i="77"/>
  <c r="V20" i="77"/>
  <c r="W20" i="77"/>
  <c r="X20" i="77"/>
  <c r="Z20" i="77"/>
  <c r="AA20" i="77"/>
  <c r="AB20" i="77"/>
  <c r="AC20" i="77"/>
  <c r="AD20" i="77"/>
  <c r="AE20" i="77"/>
  <c r="AF20" i="77"/>
  <c r="AG20" i="77"/>
  <c r="AH20" i="77"/>
  <c r="AI20" i="77"/>
  <c r="AJ20" i="77"/>
  <c r="AK20" i="77"/>
  <c r="AL20" i="77"/>
  <c r="AM20" i="77"/>
  <c r="AN20" i="77"/>
  <c r="AO20" i="77"/>
  <c r="AP20" i="77"/>
  <c r="AQ20" i="77"/>
  <c r="AR20" i="77"/>
  <c r="AS20" i="77"/>
  <c r="AT20" i="77"/>
  <c r="AU20" i="77"/>
  <c r="AW20" i="77"/>
  <c r="AX20" i="77"/>
  <c r="AY20" i="77"/>
  <c r="BA20" i="77"/>
  <c r="BC20" i="77"/>
  <c r="A21" i="77"/>
  <c r="B21" i="77"/>
  <c r="D21" i="77"/>
  <c r="E21" i="77"/>
  <c r="F21" i="77"/>
  <c r="G21" i="77"/>
  <c r="H21" i="77"/>
  <c r="J21" i="77"/>
  <c r="K21" i="77"/>
  <c r="M21" i="77"/>
  <c r="O21" i="77"/>
  <c r="P21" i="77"/>
  <c r="R21" i="77"/>
  <c r="S21" i="77"/>
  <c r="U21" i="77"/>
  <c r="V21" i="77"/>
  <c r="W21" i="77"/>
  <c r="X21" i="77"/>
  <c r="Z21" i="77"/>
  <c r="AA21" i="77"/>
  <c r="AB21" i="77"/>
  <c r="AC21" i="77"/>
  <c r="AD21" i="77"/>
  <c r="AE21" i="77"/>
  <c r="AF21" i="77"/>
  <c r="AG21" i="77"/>
  <c r="AH21" i="77"/>
  <c r="AI21" i="77"/>
  <c r="AJ21" i="77"/>
  <c r="AK21" i="77"/>
  <c r="AL21" i="77"/>
  <c r="AM21" i="77"/>
  <c r="AN21" i="77"/>
  <c r="AO21" i="77"/>
  <c r="AP21" i="77"/>
  <c r="AQ21" i="77"/>
  <c r="AR21" i="77"/>
  <c r="AS21" i="77"/>
  <c r="AT21" i="77"/>
  <c r="AU21" i="77"/>
  <c r="AW21" i="77"/>
  <c r="AX21" i="77"/>
  <c r="AY21" i="77"/>
  <c r="BA21" i="77"/>
  <c r="BC21" i="77"/>
  <c r="A22" i="77"/>
  <c r="B22" i="77"/>
  <c r="D22" i="77"/>
  <c r="E22" i="77"/>
  <c r="F22" i="77"/>
  <c r="G22" i="77"/>
  <c r="H22" i="77"/>
  <c r="J22" i="77"/>
  <c r="K22" i="77"/>
  <c r="M22" i="77"/>
  <c r="O22" i="77"/>
  <c r="P22" i="77"/>
  <c r="R22" i="77"/>
  <c r="S22" i="77"/>
  <c r="U22" i="77"/>
  <c r="V22" i="77"/>
  <c r="W22" i="77"/>
  <c r="X22" i="77"/>
  <c r="Z22" i="77"/>
  <c r="AA22" i="77"/>
  <c r="AB22" i="77"/>
  <c r="AC22" i="77"/>
  <c r="AD22" i="77"/>
  <c r="AE22" i="77"/>
  <c r="AF22" i="77"/>
  <c r="AG22" i="77"/>
  <c r="AH22" i="77"/>
  <c r="AI22" i="77"/>
  <c r="AJ22" i="77"/>
  <c r="AK22" i="77"/>
  <c r="AL22" i="77"/>
  <c r="AM22" i="77"/>
  <c r="AN22" i="77"/>
  <c r="AO22" i="77"/>
  <c r="AP22" i="77"/>
  <c r="AQ22" i="77"/>
  <c r="AR22" i="77"/>
  <c r="AS22" i="77"/>
  <c r="AT22" i="77"/>
  <c r="AU22" i="77"/>
  <c r="AW22" i="77"/>
  <c r="AX22" i="77"/>
  <c r="AY22" i="77"/>
  <c r="BA22" i="77"/>
  <c r="BC22" i="77"/>
  <c r="A23" i="77"/>
  <c r="B23" i="77"/>
  <c r="D23" i="77"/>
  <c r="E23" i="77"/>
  <c r="F23" i="77"/>
  <c r="G23" i="77"/>
  <c r="H23" i="77"/>
  <c r="J23" i="77"/>
  <c r="K23" i="77"/>
  <c r="M23" i="77"/>
  <c r="O23" i="77"/>
  <c r="P23" i="77"/>
  <c r="R23" i="77"/>
  <c r="S23" i="77"/>
  <c r="U23" i="77"/>
  <c r="V23" i="77"/>
  <c r="W23" i="77"/>
  <c r="X23" i="77"/>
  <c r="Z23" i="77"/>
  <c r="AA23" i="77"/>
  <c r="AB23" i="77"/>
  <c r="AC23" i="77"/>
  <c r="AD23" i="77"/>
  <c r="AE23" i="77"/>
  <c r="AF23" i="77"/>
  <c r="AG23" i="77"/>
  <c r="AH23" i="77"/>
  <c r="AI23" i="77"/>
  <c r="AJ23" i="77"/>
  <c r="AK23" i="77"/>
  <c r="AL23" i="77"/>
  <c r="AM23" i="77"/>
  <c r="AN23" i="77"/>
  <c r="AO23" i="77"/>
  <c r="AP23" i="77"/>
  <c r="AQ23" i="77"/>
  <c r="AR23" i="77"/>
  <c r="AS23" i="77"/>
  <c r="AT23" i="77"/>
  <c r="AU23" i="77"/>
  <c r="AW23" i="77"/>
  <c r="AX23" i="77"/>
  <c r="AY23" i="77"/>
  <c r="BA23" i="77"/>
  <c r="BC23" i="77"/>
  <c r="A24" i="77"/>
  <c r="B24" i="77"/>
  <c r="D24" i="77"/>
  <c r="E24" i="77"/>
  <c r="F24" i="77"/>
  <c r="G24" i="77"/>
  <c r="H24" i="77"/>
  <c r="J24" i="77"/>
  <c r="K24" i="77"/>
  <c r="M24" i="77"/>
  <c r="O24" i="77"/>
  <c r="P24" i="77"/>
  <c r="R24" i="77"/>
  <c r="S24" i="77"/>
  <c r="U24" i="77"/>
  <c r="V24" i="77"/>
  <c r="W24" i="77"/>
  <c r="X24" i="77"/>
  <c r="Z24" i="77"/>
  <c r="AA24" i="77"/>
  <c r="AB24" i="77"/>
  <c r="AC24" i="77"/>
  <c r="AD24" i="77"/>
  <c r="AE24" i="77"/>
  <c r="AF24" i="77"/>
  <c r="AG24" i="77"/>
  <c r="AH24" i="77"/>
  <c r="AI24" i="77"/>
  <c r="AJ24" i="77"/>
  <c r="AK24" i="77"/>
  <c r="AL24" i="77"/>
  <c r="AM24" i="77"/>
  <c r="AN24" i="77"/>
  <c r="AO24" i="77"/>
  <c r="AP24" i="77"/>
  <c r="AQ24" i="77"/>
  <c r="AR24" i="77"/>
  <c r="AS24" i="77"/>
  <c r="AT24" i="77"/>
  <c r="AU24" i="77"/>
  <c r="AW24" i="77"/>
  <c r="AX24" i="77"/>
  <c r="AY24" i="77"/>
  <c r="BA24" i="77"/>
  <c r="BC24" i="77"/>
  <c r="A25" i="77"/>
  <c r="B25" i="77"/>
  <c r="D25" i="77"/>
  <c r="E25" i="77"/>
  <c r="F25" i="77"/>
  <c r="G25" i="77"/>
  <c r="H25" i="77"/>
  <c r="J25" i="77"/>
  <c r="K25" i="77"/>
  <c r="M25" i="77"/>
  <c r="O25" i="77"/>
  <c r="P25" i="77"/>
  <c r="R25" i="77"/>
  <c r="S25" i="77"/>
  <c r="U25" i="77"/>
  <c r="V25" i="77"/>
  <c r="W25" i="77"/>
  <c r="X25" i="77"/>
  <c r="Z25" i="77"/>
  <c r="AA25" i="77"/>
  <c r="AB25" i="77"/>
  <c r="AC25" i="77"/>
  <c r="AD25" i="77"/>
  <c r="AE25" i="77"/>
  <c r="AF25" i="77"/>
  <c r="AG25" i="77"/>
  <c r="AH25" i="77"/>
  <c r="AI25" i="77"/>
  <c r="AJ25" i="77"/>
  <c r="AK25" i="77"/>
  <c r="AL25" i="77"/>
  <c r="AM25" i="77"/>
  <c r="AN25" i="77"/>
  <c r="AO25" i="77"/>
  <c r="AP25" i="77"/>
  <c r="AQ25" i="77"/>
  <c r="AR25" i="77"/>
  <c r="AS25" i="77"/>
  <c r="AT25" i="77"/>
  <c r="AU25" i="77"/>
  <c r="AW25" i="77"/>
  <c r="AX25" i="77"/>
  <c r="AY25" i="77"/>
  <c r="BA25" i="77"/>
  <c r="BC25" i="77"/>
  <c r="A26" i="77"/>
  <c r="B26" i="77"/>
  <c r="D26" i="77"/>
  <c r="E26" i="77"/>
  <c r="F26" i="77"/>
  <c r="G26" i="77"/>
  <c r="H26" i="77"/>
  <c r="J26" i="77"/>
  <c r="K26" i="77"/>
  <c r="M26" i="77"/>
  <c r="O26" i="77"/>
  <c r="P26" i="77"/>
  <c r="R26" i="77"/>
  <c r="S26" i="77"/>
  <c r="U26" i="77"/>
  <c r="V26" i="77"/>
  <c r="W26" i="77"/>
  <c r="X26" i="77"/>
  <c r="Z26" i="77"/>
  <c r="AA26" i="77"/>
  <c r="AB26" i="77"/>
  <c r="AC26" i="77"/>
  <c r="AD26" i="77"/>
  <c r="AE26" i="77"/>
  <c r="AF26" i="77"/>
  <c r="AG26" i="77"/>
  <c r="AH26" i="77"/>
  <c r="AI26" i="77"/>
  <c r="AJ26" i="77"/>
  <c r="AK26" i="77"/>
  <c r="AL26" i="77"/>
  <c r="AM26" i="77"/>
  <c r="AN26" i="77"/>
  <c r="AO26" i="77"/>
  <c r="AP26" i="77"/>
  <c r="AQ26" i="77"/>
  <c r="AR26" i="77"/>
  <c r="AS26" i="77"/>
  <c r="AT26" i="77"/>
  <c r="AU26" i="77"/>
  <c r="AW26" i="77"/>
  <c r="AX26" i="77"/>
  <c r="AY26" i="77"/>
  <c r="BA26" i="77"/>
  <c r="BC26" i="77"/>
  <c r="A27" i="77"/>
  <c r="B27" i="77"/>
  <c r="D27" i="77"/>
  <c r="E27" i="77"/>
  <c r="F27" i="77"/>
  <c r="G27" i="77"/>
  <c r="H27" i="77"/>
  <c r="J27" i="77"/>
  <c r="K27" i="77"/>
  <c r="M27" i="77"/>
  <c r="O27" i="77"/>
  <c r="P27" i="77"/>
  <c r="R27" i="77"/>
  <c r="S27" i="77"/>
  <c r="U27" i="77"/>
  <c r="V27" i="77"/>
  <c r="W27" i="77"/>
  <c r="X27" i="77"/>
  <c r="Z27" i="77"/>
  <c r="AA27" i="77"/>
  <c r="AB27" i="77"/>
  <c r="AC27" i="77"/>
  <c r="AD27" i="77"/>
  <c r="AE27" i="77"/>
  <c r="AF27" i="77"/>
  <c r="AG27" i="77"/>
  <c r="AH27" i="77"/>
  <c r="AI27" i="77"/>
  <c r="AJ27" i="77"/>
  <c r="AK27" i="77"/>
  <c r="AL27" i="77"/>
  <c r="AM27" i="77"/>
  <c r="AN27" i="77"/>
  <c r="AO27" i="77"/>
  <c r="AP27" i="77"/>
  <c r="AQ27" i="77"/>
  <c r="AR27" i="77"/>
  <c r="AS27" i="77"/>
  <c r="AT27" i="77"/>
  <c r="AU27" i="77"/>
  <c r="AW27" i="77"/>
  <c r="AX27" i="77"/>
  <c r="AY27" i="77"/>
  <c r="BA27" i="77"/>
  <c r="BC27" i="77"/>
  <c r="A28" i="77"/>
  <c r="B28" i="77"/>
  <c r="D28" i="77"/>
  <c r="E28" i="77"/>
  <c r="F28" i="77"/>
  <c r="G28" i="77"/>
  <c r="H28" i="77"/>
  <c r="J28" i="77"/>
  <c r="K28" i="77"/>
  <c r="M28" i="77"/>
  <c r="O28" i="77"/>
  <c r="P28" i="77"/>
  <c r="R28" i="77"/>
  <c r="S28" i="77"/>
  <c r="U28" i="77"/>
  <c r="V28" i="77"/>
  <c r="W28" i="77"/>
  <c r="X28" i="77"/>
  <c r="Z28" i="77"/>
  <c r="AA28" i="77"/>
  <c r="AB28" i="77"/>
  <c r="AC28" i="77"/>
  <c r="AD28" i="77"/>
  <c r="AE28" i="77"/>
  <c r="AF28" i="77"/>
  <c r="AG28" i="77"/>
  <c r="AH28" i="77"/>
  <c r="AI28" i="77"/>
  <c r="AJ28" i="77"/>
  <c r="AK28" i="77"/>
  <c r="AL28" i="77"/>
  <c r="AM28" i="77"/>
  <c r="AN28" i="77"/>
  <c r="AO28" i="77"/>
  <c r="AP28" i="77"/>
  <c r="AQ28" i="77"/>
  <c r="AR28" i="77"/>
  <c r="AS28" i="77"/>
  <c r="AT28" i="77"/>
  <c r="AU28" i="77"/>
  <c r="AW28" i="77"/>
  <c r="AX28" i="77"/>
  <c r="AY28" i="77"/>
  <c r="BA28" i="77"/>
  <c r="BC28" i="77"/>
  <c r="A29" i="77"/>
  <c r="B29" i="77"/>
  <c r="D29" i="77"/>
  <c r="E29" i="77"/>
  <c r="F29" i="77"/>
  <c r="G29" i="77"/>
  <c r="H29" i="77"/>
  <c r="J29" i="77"/>
  <c r="K29" i="77"/>
  <c r="M29" i="77"/>
  <c r="O29" i="77"/>
  <c r="P29" i="77"/>
  <c r="R29" i="77"/>
  <c r="S29" i="77"/>
  <c r="U29" i="77"/>
  <c r="V29" i="77"/>
  <c r="W29" i="77"/>
  <c r="X29" i="77"/>
  <c r="Z29" i="77"/>
  <c r="AA29" i="77"/>
  <c r="AB29" i="77"/>
  <c r="AC29" i="77"/>
  <c r="AD29" i="77"/>
  <c r="AE29" i="77"/>
  <c r="AF29" i="77"/>
  <c r="AG29" i="77"/>
  <c r="AH29" i="77"/>
  <c r="AI29" i="77"/>
  <c r="AJ29" i="77"/>
  <c r="AK29" i="77"/>
  <c r="AL29" i="77"/>
  <c r="AM29" i="77"/>
  <c r="AN29" i="77"/>
  <c r="AO29" i="77"/>
  <c r="AP29" i="77"/>
  <c r="AQ29" i="77"/>
  <c r="AR29" i="77"/>
  <c r="AS29" i="77"/>
  <c r="AT29" i="77"/>
  <c r="AU29" i="77"/>
  <c r="AW29" i="77"/>
  <c r="AX29" i="77"/>
  <c r="AY29" i="77"/>
  <c r="BA29" i="77"/>
  <c r="BC29" i="77"/>
  <c r="A30" i="77"/>
  <c r="B30" i="77"/>
  <c r="D30" i="77"/>
  <c r="E30" i="77"/>
  <c r="F30" i="77"/>
  <c r="G30" i="77"/>
  <c r="H30" i="77"/>
  <c r="J30" i="77"/>
  <c r="K30" i="77"/>
  <c r="M30" i="77"/>
  <c r="O30" i="77"/>
  <c r="P30" i="77"/>
  <c r="R30" i="77"/>
  <c r="S30" i="77"/>
  <c r="U30" i="77"/>
  <c r="V30" i="77"/>
  <c r="W30" i="77"/>
  <c r="X30" i="77"/>
  <c r="Z30" i="77"/>
  <c r="AA30" i="77"/>
  <c r="AB30" i="77"/>
  <c r="AC30" i="77"/>
  <c r="AD30" i="77"/>
  <c r="AE30" i="77"/>
  <c r="AF30" i="77"/>
  <c r="AG30" i="77"/>
  <c r="AH30" i="77"/>
  <c r="AI30" i="77"/>
  <c r="AJ30" i="77"/>
  <c r="AK30" i="77"/>
  <c r="AL30" i="77"/>
  <c r="AM30" i="77"/>
  <c r="AN30" i="77"/>
  <c r="AO30" i="77"/>
  <c r="AP30" i="77"/>
  <c r="AQ30" i="77"/>
  <c r="AR30" i="77"/>
  <c r="AS30" i="77"/>
  <c r="AT30" i="77"/>
  <c r="AU30" i="77"/>
  <c r="AW30" i="77"/>
  <c r="AX30" i="77"/>
  <c r="AY30" i="77"/>
  <c r="BA30" i="77"/>
  <c r="BC30" i="77"/>
  <c r="A31" i="77"/>
  <c r="B31" i="77"/>
  <c r="D31" i="77"/>
  <c r="E31" i="77"/>
  <c r="F31" i="77"/>
  <c r="G31" i="77"/>
  <c r="H31" i="77"/>
  <c r="J31" i="77"/>
  <c r="K31" i="77"/>
  <c r="M31" i="77"/>
  <c r="O31" i="77"/>
  <c r="P31" i="77"/>
  <c r="R31" i="77"/>
  <c r="S31" i="77"/>
  <c r="U31" i="77"/>
  <c r="V31" i="77"/>
  <c r="W31" i="77"/>
  <c r="X31" i="77"/>
  <c r="Z31" i="77"/>
  <c r="AA31" i="77"/>
  <c r="AB31" i="77"/>
  <c r="AC31" i="77"/>
  <c r="AD31" i="77"/>
  <c r="AE31" i="77"/>
  <c r="AF31" i="77"/>
  <c r="AG31" i="77"/>
  <c r="AH31" i="77"/>
  <c r="AI31" i="77"/>
  <c r="AJ31" i="77"/>
  <c r="AK31" i="77"/>
  <c r="AL31" i="77"/>
  <c r="AM31" i="77"/>
  <c r="AN31" i="77"/>
  <c r="AO31" i="77"/>
  <c r="AP31" i="77"/>
  <c r="AQ31" i="77"/>
  <c r="AR31" i="77"/>
  <c r="AS31" i="77"/>
  <c r="AT31" i="77"/>
  <c r="AU31" i="77"/>
  <c r="AW31" i="77"/>
  <c r="AX31" i="77"/>
  <c r="AY31" i="77"/>
  <c r="BA31" i="77"/>
  <c r="BC31" i="77"/>
  <c r="A32" i="77"/>
  <c r="B32" i="77"/>
  <c r="D32" i="77"/>
  <c r="E32" i="77"/>
  <c r="F32" i="77"/>
  <c r="G32" i="77"/>
  <c r="H32" i="77"/>
  <c r="J32" i="77"/>
  <c r="K32" i="77"/>
  <c r="M32" i="77"/>
  <c r="O32" i="77"/>
  <c r="P32" i="77"/>
  <c r="R32" i="77"/>
  <c r="S32" i="77"/>
  <c r="U32" i="77"/>
  <c r="V32" i="77"/>
  <c r="W32" i="77"/>
  <c r="X32" i="77"/>
  <c r="Z32" i="77"/>
  <c r="AA32" i="77"/>
  <c r="AB32" i="77"/>
  <c r="AC32" i="77"/>
  <c r="AD32" i="77"/>
  <c r="AE32" i="77"/>
  <c r="AF32" i="77"/>
  <c r="AG32" i="77"/>
  <c r="AH32" i="77"/>
  <c r="AI32" i="77"/>
  <c r="AJ32" i="77"/>
  <c r="AK32" i="77"/>
  <c r="AL32" i="77"/>
  <c r="AM32" i="77"/>
  <c r="AN32" i="77"/>
  <c r="AO32" i="77"/>
  <c r="AP32" i="77"/>
  <c r="AQ32" i="77"/>
  <c r="AR32" i="77"/>
  <c r="AS32" i="77"/>
  <c r="AT32" i="77"/>
  <c r="AU32" i="77"/>
  <c r="AW32" i="77"/>
  <c r="AX32" i="77"/>
  <c r="AY32" i="77"/>
  <c r="BA32" i="77"/>
  <c r="BC32" i="77"/>
  <c r="A33" i="77"/>
  <c r="B33" i="77"/>
  <c r="D33" i="77"/>
  <c r="E33" i="77"/>
  <c r="F33" i="77"/>
  <c r="G33" i="77"/>
  <c r="H33" i="77"/>
  <c r="J33" i="77"/>
  <c r="K33" i="77"/>
  <c r="M33" i="77"/>
  <c r="O33" i="77"/>
  <c r="P33" i="77"/>
  <c r="R33" i="77"/>
  <c r="S33" i="77"/>
  <c r="U33" i="77"/>
  <c r="V33" i="77"/>
  <c r="W33" i="77"/>
  <c r="X33" i="77"/>
  <c r="Z33" i="77"/>
  <c r="AA33" i="77"/>
  <c r="AB33" i="77"/>
  <c r="AC33" i="77"/>
  <c r="AD33" i="77"/>
  <c r="AE33" i="77"/>
  <c r="AF33" i="77"/>
  <c r="AG33" i="77"/>
  <c r="AH33" i="77"/>
  <c r="AI33" i="77"/>
  <c r="AJ33" i="77"/>
  <c r="AK33" i="77"/>
  <c r="AL33" i="77"/>
  <c r="AM33" i="77"/>
  <c r="AN33" i="77"/>
  <c r="AO33" i="77"/>
  <c r="AP33" i="77"/>
  <c r="AQ33" i="77"/>
  <c r="AR33" i="77"/>
  <c r="AS33" i="77"/>
  <c r="AT33" i="77"/>
  <c r="AU33" i="77"/>
  <c r="AW33" i="77"/>
  <c r="AX33" i="77"/>
  <c r="AY33" i="77"/>
  <c r="BA33" i="77"/>
  <c r="BC33" i="77"/>
  <c r="A34" i="77"/>
  <c r="B34" i="77"/>
  <c r="D34" i="77"/>
  <c r="E34" i="77"/>
  <c r="F34" i="77"/>
  <c r="G34" i="77"/>
  <c r="H34" i="77"/>
  <c r="J34" i="77"/>
  <c r="K34" i="77"/>
  <c r="M34" i="77"/>
  <c r="O34" i="77"/>
  <c r="P34" i="77"/>
  <c r="R34" i="77"/>
  <c r="S34" i="77"/>
  <c r="U34" i="77"/>
  <c r="V34" i="77"/>
  <c r="W34" i="77"/>
  <c r="X34" i="77"/>
  <c r="Z34" i="77"/>
  <c r="AA34" i="77"/>
  <c r="AB34" i="77"/>
  <c r="AC34" i="77"/>
  <c r="AD34" i="77"/>
  <c r="AE34" i="77"/>
  <c r="AF34" i="77"/>
  <c r="AG34" i="77"/>
  <c r="AH34" i="77"/>
  <c r="AI34" i="77"/>
  <c r="AJ34" i="77"/>
  <c r="AK34" i="77"/>
  <c r="AL34" i="77"/>
  <c r="AM34" i="77"/>
  <c r="AN34" i="77"/>
  <c r="AO34" i="77"/>
  <c r="AP34" i="77"/>
  <c r="AQ34" i="77"/>
  <c r="AR34" i="77"/>
  <c r="AS34" i="77"/>
  <c r="AT34" i="77"/>
  <c r="AU34" i="77"/>
  <c r="AW34" i="77"/>
  <c r="AX34" i="77"/>
  <c r="AY34" i="77"/>
  <c r="BA34" i="77"/>
  <c r="BC34" i="77"/>
  <c r="A35" i="77"/>
  <c r="B35" i="77"/>
  <c r="D35" i="77"/>
  <c r="E35" i="77"/>
  <c r="F35" i="77"/>
  <c r="G35" i="77"/>
  <c r="H35" i="77"/>
  <c r="J35" i="77"/>
  <c r="K35" i="77"/>
  <c r="M35" i="77"/>
  <c r="O35" i="77"/>
  <c r="P35" i="77"/>
  <c r="R35" i="77"/>
  <c r="S35" i="77"/>
  <c r="U35" i="77"/>
  <c r="V35" i="77"/>
  <c r="W35" i="77"/>
  <c r="X35" i="77"/>
  <c r="Z35" i="77"/>
  <c r="AA35" i="77"/>
  <c r="AB35" i="77"/>
  <c r="AC35" i="77"/>
  <c r="AD35" i="77"/>
  <c r="AE35" i="77"/>
  <c r="AF35" i="77"/>
  <c r="AG35" i="77"/>
  <c r="AH35" i="77"/>
  <c r="AI35" i="77"/>
  <c r="AJ35" i="77"/>
  <c r="AK35" i="77"/>
  <c r="AL35" i="77"/>
  <c r="AM35" i="77"/>
  <c r="AN35" i="77"/>
  <c r="AO35" i="77"/>
  <c r="AP35" i="77"/>
  <c r="AQ35" i="77"/>
  <c r="AR35" i="77"/>
  <c r="AS35" i="77"/>
  <c r="AT35" i="77"/>
  <c r="AU35" i="77"/>
  <c r="AW35" i="77"/>
  <c r="AX35" i="77"/>
  <c r="AY35" i="77"/>
  <c r="BA35" i="77"/>
  <c r="BC35" i="77"/>
  <c r="A36" i="77"/>
  <c r="B36" i="77"/>
  <c r="D36" i="77"/>
  <c r="E36" i="77"/>
  <c r="F36" i="77"/>
  <c r="G36" i="77"/>
  <c r="H36" i="77"/>
  <c r="J36" i="77"/>
  <c r="K36" i="77"/>
  <c r="M36" i="77"/>
  <c r="O36" i="77"/>
  <c r="P36" i="77"/>
  <c r="R36" i="77"/>
  <c r="S36" i="77"/>
  <c r="U36" i="77"/>
  <c r="V36" i="77"/>
  <c r="W36" i="77"/>
  <c r="X36" i="77"/>
  <c r="Z36" i="77"/>
  <c r="AA36" i="77"/>
  <c r="AB36" i="77"/>
  <c r="AC36" i="77"/>
  <c r="AD36" i="77"/>
  <c r="AE36" i="77"/>
  <c r="AF36" i="77"/>
  <c r="AG36" i="77"/>
  <c r="AH36" i="77"/>
  <c r="AI36" i="77"/>
  <c r="AJ36" i="77"/>
  <c r="AK36" i="77"/>
  <c r="AL36" i="77"/>
  <c r="AM36" i="77"/>
  <c r="AN36" i="77"/>
  <c r="AO36" i="77"/>
  <c r="AP36" i="77"/>
  <c r="AQ36" i="77"/>
  <c r="AR36" i="77"/>
  <c r="AS36" i="77"/>
  <c r="AT36" i="77"/>
  <c r="AU36" i="77"/>
  <c r="AW36" i="77"/>
  <c r="AX36" i="77"/>
  <c r="AY36" i="77"/>
  <c r="BA36" i="77"/>
  <c r="BC36" i="77"/>
  <c r="A37" i="77"/>
  <c r="B37" i="77"/>
  <c r="D37" i="77"/>
  <c r="E37" i="77"/>
  <c r="F37" i="77"/>
  <c r="G37" i="77"/>
  <c r="H37" i="77"/>
  <c r="J37" i="77"/>
  <c r="K37" i="77"/>
  <c r="M37" i="77"/>
  <c r="O37" i="77"/>
  <c r="P37" i="77"/>
  <c r="R37" i="77"/>
  <c r="S37" i="77"/>
  <c r="U37" i="77"/>
  <c r="V37" i="77"/>
  <c r="W37" i="77"/>
  <c r="X37" i="77"/>
  <c r="Z37" i="77"/>
  <c r="AA37" i="77"/>
  <c r="AB37" i="77"/>
  <c r="AC37" i="77"/>
  <c r="AD37" i="77"/>
  <c r="AE37" i="77"/>
  <c r="AF37" i="77"/>
  <c r="AG37" i="77"/>
  <c r="AH37" i="77"/>
  <c r="AI37" i="77"/>
  <c r="AJ37" i="77"/>
  <c r="AK37" i="77"/>
  <c r="AL37" i="77"/>
  <c r="AM37" i="77"/>
  <c r="AN37" i="77"/>
  <c r="AO37" i="77"/>
  <c r="AP37" i="77"/>
  <c r="AQ37" i="77"/>
  <c r="AR37" i="77"/>
  <c r="AS37" i="77"/>
  <c r="AT37" i="77"/>
  <c r="AU37" i="77"/>
  <c r="AW37" i="77"/>
  <c r="AX37" i="77"/>
  <c r="AY37" i="77"/>
  <c r="BA37" i="77"/>
  <c r="BC37" i="77"/>
  <c r="A38" i="77"/>
  <c r="B38" i="77"/>
  <c r="D38" i="77"/>
  <c r="E38" i="77"/>
  <c r="F38" i="77"/>
  <c r="G38" i="77"/>
  <c r="H38" i="77"/>
  <c r="J38" i="77"/>
  <c r="K38" i="77"/>
  <c r="M38" i="77"/>
  <c r="O38" i="77"/>
  <c r="P38" i="77"/>
  <c r="R38" i="77"/>
  <c r="S38" i="77"/>
  <c r="U38" i="77"/>
  <c r="V38" i="77"/>
  <c r="W38" i="77"/>
  <c r="X38" i="77"/>
  <c r="Z38" i="77"/>
  <c r="AA38" i="77"/>
  <c r="AB38" i="77"/>
  <c r="AC38" i="77"/>
  <c r="AD38" i="77"/>
  <c r="AE38" i="77"/>
  <c r="AF38" i="77"/>
  <c r="AG38" i="77"/>
  <c r="AH38" i="77"/>
  <c r="AI38" i="77"/>
  <c r="AJ38" i="77"/>
  <c r="AK38" i="77"/>
  <c r="AL38" i="77"/>
  <c r="AM38" i="77"/>
  <c r="AN38" i="77"/>
  <c r="AO38" i="77"/>
  <c r="AP38" i="77"/>
  <c r="AQ38" i="77"/>
  <c r="AR38" i="77"/>
  <c r="AS38" i="77"/>
  <c r="AT38" i="77"/>
  <c r="AU38" i="77"/>
  <c r="AW38" i="77"/>
  <c r="AX38" i="77"/>
  <c r="AY38" i="77"/>
  <c r="BA38" i="77"/>
  <c r="BC38" i="77"/>
  <c r="A39" i="77"/>
  <c r="B39" i="77"/>
  <c r="D39" i="77"/>
  <c r="E39" i="77"/>
  <c r="F39" i="77"/>
  <c r="G39" i="77"/>
  <c r="H39" i="77"/>
  <c r="J39" i="77"/>
  <c r="K39" i="77"/>
  <c r="M39" i="77"/>
  <c r="O39" i="77"/>
  <c r="P39" i="77"/>
  <c r="R39" i="77"/>
  <c r="S39" i="77"/>
  <c r="U39" i="77"/>
  <c r="V39" i="77"/>
  <c r="W39" i="77"/>
  <c r="X39" i="77"/>
  <c r="Z39" i="77"/>
  <c r="AA39" i="77"/>
  <c r="AB39" i="77"/>
  <c r="AC39" i="77"/>
  <c r="AD39" i="77"/>
  <c r="AE39" i="77"/>
  <c r="AF39" i="77"/>
  <c r="AG39" i="77"/>
  <c r="AH39" i="77"/>
  <c r="AI39" i="77"/>
  <c r="AJ39" i="77"/>
  <c r="AK39" i="77"/>
  <c r="AL39" i="77"/>
  <c r="AM39" i="77"/>
  <c r="AN39" i="77"/>
  <c r="AO39" i="77"/>
  <c r="AP39" i="77"/>
  <c r="AQ39" i="77"/>
  <c r="AR39" i="77"/>
  <c r="AS39" i="77"/>
  <c r="AT39" i="77"/>
  <c r="AU39" i="77"/>
  <c r="AW39" i="77"/>
  <c r="AX39" i="77"/>
  <c r="AY39" i="77"/>
  <c r="BA39" i="77"/>
  <c r="BC39" i="77"/>
  <c r="A40" i="77"/>
  <c r="B40" i="77"/>
  <c r="D40" i="77"/>
  <c r="E40" i="77"/>
  <c r="F40" i="77"/>
  <c r="G40" i="77"/>
  <c r="H40" i="77"/>
  <c r="J40" i="77"/>
  <c r="K40" i="77"/>
  <c r="M40" i="77"/>
  <c r="O40" i="77"/>
  <c r="P40" i="77"/>
  <c r="R40" i="77"/>
  <c r="S40" i="77"/>
  <c r="U40" i="77"/>
  <c r="V40" i="77"/>
  <c r="W40" i="77"/>
  <c r="X40" i="77"/>
  <c r="Z40" i="77"/>
  <c r="AA40" i="77"/>
  <c r="AB40" i="77"/>
  <c r="AC40" i="77"/>
  <c r="AD40" i="77"/>
  <c r="AE40" i="77"/>
  <c r="AF40" i="77"/>
  <c r="AG40" i="77"/>
  <c r="AH40" i="77"/>
  <c r="AI40" i="77"/>
  <c r="AJ40" i="77"/>
  <c r="AK40" i="77"/>
  <c r="AL40" i="77"/>
  <c r="AM40" i="77"/>
  <c r="AN40" i="77"/>
  <c r="AO40" i="77"/>
  <c r="AP40" i="77"/>
  <c r="AQ40" i="77"/>
  <c r="AR40" i="77"/>
  <c r="AS40" i="77"/>
  <c r="AT40" i="77"/>
  <c r="AU40" i="77"/>
  <c r="AW40" i="77"/>
  <c r="AX40" i="77"/>
  <c r="AY40" i="77"/>
  <c r="BA40" i="77"/>
  <c r="BC40" i="77"/>
  <c r="A41" i="77"/>
  <c r="B41" i="77"/>
  <c r="D41" i="77"/>
  <c r="E41" i="77"/>
  <c r="F41" i="77"/>
  <c r="G41" i="77"/>
  <c r="H41" i="77"/>
  <c r="J41" i="77"/>
  <c r="K41" i="77"/>
  <c r="M41" i="77"/>
  <c r="O41" i="77"/>
  <c r="P41" i="77"/>
  <c r="R41" i="77"/>
  <c r="S41" i="77"/>
  <c r="U41" i="77"/>
  <c r="V41" i="77"/>
  <c r="W41" i="77"/>
  <c r="X41" i="77"/>
  <c r="Z41" i="77"/>
  <c r="AA41" i="77"/>
  <c r="AB41" i="77"/>
  <c r="AC41" i="77"/>
  <c r="AD41" i="77"/>
  <c r="AE41" i="77"/>
  <c r="AF41" i="77"/>
  <c r="AG41" i="77"/>
  <c r="AH41" i="77"/>
  <c r="AI41" i="77"/>
  <c r="AJ41" i="77"/>
  <c r="AK41" i="77"/>
  <c r="AL41" i="77"/>
  <c r="AM41" i="77"/>
  <c r="AN41" i="77"/>
  <c r="AO41" i="77"/>
  <c r="AP41" i="77"/>
  <c r="AQ41" i="77"/>
  <c r="AR41" i="77"/>
  <c r="AS41" i="77"/>
  <c r="AT41" i="77"/>
  <c r="AU41" i="77"/>
  <c r="AW41" i="77"/>
  <c r="AX41" i="77"/>
  <c r="AY41" i="77"/>
  <c r="BA41" i="77"/>
  <c r="BC41" i="77"/>
  <c r="A42" i="77"/>
  <c r="B42" i="77"/>
  <c r="D42" i="77"/>
  <c r="E42" i="77"/>
  <c r="F42" i="77"/>
  <c r="G42" i="77"/>
  <c r="H42" i="77"/>
  <c r="J42" i="77"/>
  <c r="K42" i="77"/>
  <c r="M42" i="77"/>
  <c r="O42" i="77"/>
  <c r="P42" i="77"/>
  <c r="R42" i="77"/>
  <c r="S42" i="77"/>
  <c r="U42" i="77"/>
  <c r="V42" i="77"/>
  <c r="W42" i="77"/>
  <c r="X42" i="77"/>
  <c r="Z42" i="77"/>
  <c r="AA42" i="77"/>
  <c r="AB42" i="77"/>
  <c r="AC42" i="77"/>
  <c r="AD42" i="77"/>
  <c r="AE42" i="77"/>
  <c r="AF42" i="77"/>
  <c r="AG42" i="77"/>
  <c r="AH42" i="77"/>
  <c r="AI42" i="77"/>
  <c r="AJ42" i="77"/>
  <c r="AK42" i="77"/>
  <c r="AL42" i="77"/>
  <c r="AM42" i="77"/>
  <c r="AN42" i="77"/>
  <c r="AO42" i="77"/>
  <c r="AP42" i="77"/>
  <c r="AQ42" i="77"/>
  <c r="AR42" i="77"/>
  <c r="AS42" i="77"/>
  <c r="AT42" i="77"/>
  <c r="AU42" i="77"/>
  <c r="AW42" i="77"/>
  <c r="AX42" i="77"/>
  <c r="AY42" i="77"/>
  <c r="BA42" i="77"/>
  <c r="BC42" i="77"/>
  <c r="A43" i="77"/>
  <c r="B43" i="77"/>
  <c r="D43" i="77"/>
  <c r="E43" i="77"/>
  <c r="F43" i="77"/>
  <c r="G43" i="77"/>
  <c r="H43" i="77"/>
  <c r="J43" i="77"/>
  <c r="K43" i="77"/>
  <c r="M43" i="77"/>
  <c r="O43" i="77"/>
  <c r="P43" i="77"/>
  <c r="R43" i="77"/>
  <c r="S43" i="77"/>
  <c r="U43" i="77"/>
  <c r="V43" i="77"/>
  <c r="W43" i="77"/>
  <c r="X43" i="77"/>
  <c r="Z43" i="77"/>
  <c r="AA43" i="77"/>
  <c r="AB43" i="77"/>
  <c r="AC43" i="77"/>
  <c r="AD43" i="77"/>
  <c r="AE43" i="77"/>
  <c r="AF43" i="77"/>
  <c r="AG43" i="77"/>
  <c r="AH43" i="77"/>
  <c r="AI43" i="77"/>
  <c r="AJ43" i="77"/>
  <c r="AK43" i="77"/>
  <c r="AL43" i="77"/>
  <c r="AM43" i="77"/>
  <c r="AN43" i="77"/>
  <c r="AO43" i="77"/>
  <c r="AP43" i="77"/>
  <c r="AQ43" i="77"/>
  <c r="AR43" i="77"/>
  <c r="AS43" i="77"/>
  <c r="AT43" i="77"/>
  <c r="AU43" i="77"/>
  <c r="AW43" i="77"/>
  <c r="AX43" i="77"/>
  <c r="AY43" i="77"/>
  <c r="BA43" i="77"/>
  <c r="BC43" i="77"/>
  <c r="A44" i="77"/>
  <c r="B44" i="77"/>
  <c r="D44" i="77"/>
  <c r="E44" i="77"/>
  <c r="F44" i="77"/>
  <c r="G44" i="77"/>
  <c r="H44" i="77"/>
  <c r="J44" i="77"/>
  <c r="K44" i="77"/>
  <c r="M44" i="77"/>
  <c r="O44" i="77"/>
  <c r="P44" i="77"/>
  <c r="R44" i="77"/>
  <c r="S44" i="77"/>
  <c r="U44" i="77"/>
  <c r="V44" i="77"/>
  <c r="W44" i="77"/>
  <c r="X44" i="77"/>
  <c r="Z44" i="77"/>
  <c r="AA44" i="77"/>
  <c r="AB44" i="77"/>
  <c r="AC44" i="77"/>
  <c r="AD44" i="77"/>
  <c r="AE44" i="77"/>
  <c r="AF44" i="77"/>
  <c r="AG44" i="77"/>
  <c r="AH44" i="77"/>
  <c r="AI44" i="77"/>
  <c r="AJ44" i="77"/>
  <c r="AK44" i="77"/>
  <c r="AL44" i="77"/>
  <c r="AM44" i="77"/>
  <c r="AN44" i="77"/>
  <c r="AO44" i="77"/>
  <c r="AP44" i="77"/>
  <c r="AQ44" i="77"/>
  <c r="AR44" i="77"/>
  <c r="AS44" i="77"/>
  <c r="AT44" i="77"/>
  <c r="AU44" i="77"/>
  <c r="AW44" i="77"/>
  <c r="AX44" i="77"/>
  <c r="AY44" i="77"/>
  <c r="BA44" i="77"/>
  <c r="BC44" i="77"/>
  <c r="A45" i="77"/>
  <c r="B45" i="77"/>
  <c r="D45" i="77"/>
  <c r="E45" i="77"/>
  <c r="F45" i="77"/>
  <c r="G45" i="77"/>
  <c r="H45" i="77"/>
  <c r="J45" i="77"/>
  <c r="K45" i="77"/>
  <c r="M45" i="77"/>
  <c r="O45" i="77"/>
  <c r="P45" i="77"/>
  <c r="R45" i="77"/>
  <c r="S45" i="77"/>
  <c r="U45" i="77"/>
  <c r="V45" i="77"/>
  <c r="W45" i="77"/>
  <c r="X45" i="77"/>
  <c r="Z45" i="77"/>
  <c r="AA45" i="77"/>
  <c r="AB45" i="77"/>
  <c r="AC45" i="77"/>
  <c r="AD45" i="77"/>
  <c r="AE45" i="77"/>
  <c r="AF45" i="77"/>
  <c r="AG45" i="77"/>
  <c r="AH45" i="77"/>
  <c r="AI45" i="77"/>
  <c r="AJ45" i="77"/>
  <c r="AK45" i="77"/>
  <c r="AL45" i="77"/>
  <c r="AM45" i="77"/>
  <c r="AN45" i="77"/>
  <c r="AO45" i="77"/>
  <c r="AP45" i="77"/>
  <c r="AQ45" i="77"/>
  <c r="AR45" i="77"/>
  <c r="AS45" i="77"/>
  <c r="AT45" i="77"/>
  <c r="AU45" i="77"/>
  <c r="AW45" i="77"/>
  <c r="AX45" i="77"/>
  <c r="AY45" i="77"/>
  <c r="BA45" i="77"/>
  <c r="BC45" i="77"/>
  <c r="A46" i="77"/>
  <c r="B46" i="77"/>
  <c r="D46" i="77"/>
  <c r="E46" i="77"/>
  <c r="F46" i="77"/>
  <c r="G46" i="77"/>
  <c r="H46" i="77"/>
  <c r="J46" i="77"/>
  <c r="K46" i="77"/>
  <c r="M46" i="77"/>
  <c r="O46" i="77"/>
  <c r="P46" i="77"/>
  <c r="R46" i="77"/>
  <c r="S46" i="77"/>
  <c r="U46" i="77"/>
  <c r="V46" i="77"/>
  <c r="W46" i="77"/>
  <c r="X46" i="77"/>
  <c r="Z46" i="77"/>
  <c r="AA46" i="77"/>
  <c r="AB46" i="77"/>
  <c r="AC46" i="77"/>
  <c r="AD46" i="77"/>
  <c r="AE46" i="77"/>
  <c r="AF46" i="77"/>
  <c r="AG46" i="77"/>
  <c r="AH46" i="77"/>
  <c r="AI46" i="77"/>
  <c r="AJ46" i="77"/>
  <c r="AK46" i="77"/>
  <c r="AL46" i="77"/>
  <c r="AM46" i="77"/>
  <c r="AN46" i="77"/>
  <c r="AO46" i="77"/>
  <c r="AP46" i="77"/>
  <c r="AQ46" i="77"/>
  <c r="AR46" i="77"/>
  <c r="AS46" i="77"/>
  <c r="AT46" i="77"/>
  <c r="AU46" i="77"/>
  <c r="AW46" i="77"/>
  <c r="AX46" i="77"/>
  <c r="AY46" i="77"/>
  <c r="BA46" i="77"/>
  <c r="BC46" i="77"/>
  <c r="A47" i="77"/>
  <c r="B47" i="77"/>
  <c r="D47" i="77"/>
  <c r="E47" i="77"/>
  <c r="F47" i="77"/>
  <c r="G47" i="77"/>
  <c r="H47" i="77"/>
  <c r="J47" i="77"/>
  <c r="K47" i="77"/>
  <c r="M47" i="77"/>
  <c r="O47" i="77"/>
  <c r="P47" i="77"/>
  <c r="R47" i="77"/>
  <c r="S47" i="77"/>
  <c r="U47" i="77"/>
  <c r="V47" i="77"/>
  <c r="W47" i="77"/>
  <c r="X47" i="77"/>
  <c r="Z47" i="77"/>
  <c r="AA47" i="77"/>
  <c r="AB47" i="77"/>
  <c r="AC47" i="77"/>
  <c r="AD47" i="77"/>
  <c r="AE47" i="77"/>
  <c r="AF47" i="77"/>
  <c r="AG47" i="77"/>
  <c r="AH47" i="77"/>
  <c r="AI47" i="77"/>
  <c r="AJ47" i="77"/>
  <c r="AK47" i="77"/>
  <c r="AL47" i="77"/>
  <c r="AM47" i="77"/>
  <c r="AN47" i="77"/>
  <c r="AO47" i="77"/>
  <c r="AP47" i="77"/>
  <c r="AQ47" i="77"/>
  <c r="AR47" i="77"/>
  <c r="AS47" i="77"/>
  <c r="AT47" i="77"/>
  <c r="AU47" i="77"/>
  <c r="AW47" i="77"/>
  <c r="AX47" i="77"/>
  <c r="AY47" i="77"/>
  <c r="BA47" i="77"/>
  <c r="BC47" i="77"/>
  <c r="A48" i="77"/>
  <c r="B48" i="77"/>
  <c r="D48" i="77"/>
  <c r="E48" i="77"/>
  <c r="F48" i="77"/>
  <c r="G48" i="77"/>
  <c r="H48" i="77"/>
  <c r="J48" i="77"/>
  <c r="K48" i="77"/>
  <c r="M48" i="77"/>
  <c r="O48" i="77"/>
  <c r="P48" i="77"/>
  <c r="R48" i="77"/>
  <c r="S48" i="77"/>
  <c r="U48" i="77"/>
  <c r="V48" i="77"/>
  <c r="W48" i="77"/>
  <c r="X48" i="77"/>
  <c r="Z48" i="77"/>
  <c r="AA48" i="77"/>
  <c r="AB48" i="77"/>
  <c r="AC48" i="77"/>
  <c r="AD48" i="77"/>
  <c r="AE48" i="77"/>
  <c r="AF48" i="77"/>
  <c r="AG48" i="77"/>
  <c r="AH48" i="77"/>
  <c r="AI48" i="77"/>
  <c r="AJ48" i="77"/>
  <c r="AK48" i="77"/>
  <c r="AL48" i="77"/>
  <c r="AM48" i="77"/>
  <c r="AN48" i="77"/>
  <c r="AO48" i="77"/>
  <c r="AP48" i="77"/>
  <c r="AQ48" i="77"/>
  <c r="AR48" i="77"/>
  <c r="AS48" i="77"/>
  <c r="AT48" i="77"/>
  <c r="AU48" i="77"/>
  <c r="AW48" i="77"/>
  <c r="AX48" i="77"/>
  <c r="AY48" i="77"/>
  <c r="BA48" i="77"/>
  <c r="BC48" i="77"/>
  <c r="A49" i="77"/>
  <c r="B49" i="77"/>
  <c r="D49" i="77"/>
  <c r="E49" i="77"/>
  <c r="F49" i="77"/>
  <c r="G49" i="77"/>
  <c r="H49" i="77"/>
  <c r="J49" i="77"/>
  <c r="K49" i="77"/>
  <c r="M49" i="77"/>
  <c r="O49" i="77"/>
  <c r="P49" i="77"/>
  <c r="R49" i="77"/>
  <c r="S49" i="77"/>
  <c r="U49" i="77"/>
  <c r="V49" i="77"/>
  <c r="W49" i="77"/>
  <c r="X49" i="77"/>
  <c r="Z49" i="77"/>
  <c r="AA49" i="77"/>
  <c r="AB49" i="77"/>
  <c r="AC49" i="77"/>
  <c r="AD49" i="77"/>
  <c r="AE49" i="77"/>
  <c r="AF49" i="77"/>
  <c r="AG49" i="77"/>
  <c r="AH49" i="77"/>
  <c r="AI49" i="77"/>
  <c r="AJ49" i="77"/>
  <c r="AK49" i="77"/>
  <c r="AL49" i="77"/>
  <c r="AM49" i="77"/>
  <c r="AN49" i="77"/>
  <c r="AO49" i="77"/>
  <c r="AP49" i="77"/>
  <c r="AQ49" i="77"/>
  <c r="AR49" i="77"/>
  <c r="AS49" i="77"/>
  <c r="AT49" i="77"/>
  <c r="AU49" i="77"/>
  <c r="AW49" i="77"/>
  <c r="AX49" i="77"/>
  <c r="AY49" i="77"/>
  <c r="BA49" i="77"/>
  <c r="BC49" i="77"/>
  <c r="A50" i="77"/>
  <c r="B50" i="77"/>
  <c r="D50" i="77"/>
  <c r="E50" i="77"/>
  <c r="F50" i="77"/>
  <c r="G50" i="77"/>
  <c r="H50" i="77"/>
  <c r="J50" i="77"/>
  <c r="K50" i="77"/>
  <c r="M50" i="77"/>
  <c r="O50" i="77"/>
  <c r="P50" i="77"/>
  <c r="R50" i="77"/>
  <c r="S50" i="77"/>
  <c r="U50" i="77"/>
  <c r="V50" i="77"/>
  <c r="W50" i="77"/>
  <c r="X50" i="77"/>
  <c r="Z50" i="77"/>
  <c r="AA50" i="77"/>
  <c r="AB50" i="77"/>
  <c r="AC50" i="77"/>
  <c r="AD50" i="77"/>
  <c r="AE50" i="77"/>
  <c r="AF50" i="77"/>
  <c r="AG50" i="77"/>
  <c r="AH50" i="77"/>
  <c r="AI50" i="77"/>
  <c r="AJ50" i="77"/>
  <c r="AK50" i="77"/>
  <c r="AL50" i="77"/>
  <c r="AM50" i="77"/>
  <c r="AN50" i="77"/>
  <c r="AO50" i="77"/>
  <c r="AP50" i="77"/>
  <c r="AQ50" i="77"/>
  <c r="AR50" i="77"/>
  <c r="AS50" i="77"/>
  <c r="AT50" i="77"/>
  <c r="AU50" i="77"/>
  <c r="AW50" i="77"/>
  <c r="AX50" i="77"/>
  <c r="AY50" i="77"/>
  <c r="BA50" i="77"/>
  <c r="BC50" i="77"/>
  <c r="A51" i="77"/>
  <c r="B51" i="77"/>
  <c r="D51" i="77"/>
  <c r="E51" i="77"/>
  <c r="F51" i="77"/>
  <c r="G51" i="77"/>
  <c r="H51" i="77"/>
  <c r="J51" i="77"/>
  <c r="K51" i="77"/>
  <c r="M51" i="77"/>
  <c r="O51" i="77"/>
  <c r="P51" i="77"/>
  <c r="R51" i="77"/>
  <c r="S51" i="77"/>
  <c r="U51" i="77"/>
  <c r="V51" i="77"/>
  <c r="W51" i="77"/>
  <c r="X51" i="77"/>
  <c r="Z51" i="77"/>
  <c r="AA51" i="77"/>
  <c r="AB51" i="77"/>
  <c r="AC51" i="77"/>
  <c r="AD51" i="77"/>
  <c r="AE51" i="77"/>
  <c r="AF51" i="77"/>
  <c r="AG51" i="77"/>
  <c r="AH51" i="77"/>
  <c r="AI51" i="77"/>
  <c r="AJ51" i="77"/>
  <c r="AK51" i="77"/>
  <c r="AL51" i="77"/>
  <c r="AM51" i="77"/>
  <c r="AN51" i="77"/>
  <c r="AO51" i="77"/>
  <c r="AP51" i="77"/>
  <c r="AQ51" i="77"/>
  <c r="AR51" i="77"/>
  <c r="AS51" i="77"/>
  <c r="AT51" i="77"/>
  <c r="AU51" i="77"/>
  <c r="AW51" i="77"/>
  <c r="AX51" i="77"/>
  <c r="AY51" i="77"/>
  <c r="BA51" i="77"/>
  <c r="BC51" i="77"/>
  <c r="A52" i="77"/>
  <c r="B52" i="77"/>
  <c r="D52" i="77"/>
  <c r="E52" i="77"/>
  <c r="F52" i="77"/>
  <c r="G52" i="77"/>
  <c r="H52" i="77"/>
  <c r="J52" i="77"/>
  <c r="K52" i="77"/>
  <c r="M52" i="77"/>
  <c r="O52" i="77"/>
  <c r="P52" i="77"/>
  <c r="R52" i="77"/>
  <c r="S52" i="77"/>
  <c r="U52" i="77"/>
  <c r="V52" i="77"/>
  <c r="W52" i="77"/>
  <c r="X52" i="77"/>
  <c r="Z52" i="77"/>
  <c r="AA52" i="77"/>
  <c r="AB52" i="77"/>
  <c r="AC52" i="77"/>
  <c r="AD52" i="77"/>
  <c r="AE52" i="77"/>
  <c r="AF52" i="77"/>
  <c r="AG52" i="77"/>
  <c r="AH52" i="77"/>
  <c r="AI52" i="77"/>
  <c r="AJ52" i="77"/>
  <c r="AK52" i="77"/>
  <c r="AL52" i="77"/>
  <c r="AM52" i="77"/>
  <c r="AN52" i="77"/>
  <c r="AO52" i="77"/>
  <c r="AP52" i="77"/>
  <c r="AQ52" i="77"/>
  <c r="AR52" i="77"/>
  <c r="AS52" i="77"/>
  <c r="AT52" i="77"/>
  <c r="AU52" i="77"/>
  <c r="AW52" i="77"/>
  <c r="AX52" i="77"/>
  <c r="AY52" i="77"/>
  <c r="BA52" i="77"/>
  <c r="BC52" i="77"/>
  <c r="A53" i="77"/>
  <c r="B53" i="77"/>
  <c r="D53" i="77"/>
  <c r="E53" i="77"/>
  <c r="F53" i="77"/>
  <c r="G53" i="77"/>
  <c r="H53" i="77"/>
  <c r="J53" i="77"/>
  <c r="K53" i="77"/>
  <c r="M53" i="77"/>
  <c r="O53" i="77"/>
  <c r="P53" i="77"/>
  <c r="R53" i="77"/>
  <c r="S53" i="77"/>
  <c r="U53" i="77"/>
  <c r="V53" i="77"/>
  <c r="W53" i="77"/>
  <c r="X53" i="77"/>
  <c r="Z53" i="77"/>
  <c r="AA53" i="77"/>
  <c r="AB53" i="77"/>
  <c r="AC53" i="77"/>
  <c r="AD53" i="77"/>
  <c r="AE53" i="77"/>
  <c r="AF53" i="77"/>
  <c r="AG53" i="77"/>
  <c r="AH53" i="77"/>
  <c r="AI53" i="77"/>
  <c r="AJ53" i="77"/>
  <c r="AK53" i="77"/>
  <c r="AL53" i="77"/>
  <c r="AM53" i="77"/>
  <c r="AN53" i="77"/>
  <c r="AO53" i="77"/>
  <c r="AP53" i="77"/>
  <c r="AQ53" i="77"/>
  <c r="AR53" i="77"/>
  <c r="AS53" i="77"/>
  <c r="AT53" i="77"/>
  <c r="AU53" i="77"/>
  <c r="AW53" i="77"/>
  <c r="AX53" i="77"/>
  <c r="AY53" i="77"/>
  <c r="BA53" i="77"/>
  <c r="BC53" i="77"/>
  <c r="A54" i="77"/>
  <c r="B54" i="77"/>
  <c r="D54" i="77"/>
  <c r="E54" i="77"/>
  <c r="F54" i="77"/>
  <c r="G54" i="77"/>
  <c r="H54" i="77"/>
  <c r="J54" i="77"/>
  <c r="K54" i="77"/>
  <c r="M54" i="77"/>
  <c r="O54" i="77"/>
  <c r="P54" i="77"/>
  <c r="R54" i="77"/>
  <c r="S54" i="77"/>
  <c r="U54" i="77"/>
  <c r="V54" i="77"/>
  <c r="W54" i="77"/>
  <c r="X54" i="77"/>
  <c r="Z54" i="77"/>
  <c r="AA54" i="77"/>
  <c r="AB54" i="77"/>
  <c r="AC54" i="77"/>
  <c r="AD54" i="77"/>
  <c r="AE54" i="77"/>
  <c r="AF54" i="77"/>
  <c r="AG54" i="77"/>
  <c r="AH54" i="77"/>
  <c r="AI54" i="77"/>
  <c r="AJ54" i="77"/>
  <c r="AK54" i="77"/>
  <c r="AL54" i="77"/>
  <c r="AM54" i="77"/>
  <c r="AN54" i="77"/>
  <c r="AO54" i="77"/>
  <c r="AP54" i="77"/>
  <c r="AQ54" i="77"/>
  <c r="AR54" i="77"/>
  <c r="AS54" i="77"/>
  <c r="AT54" i="77"/>
  <c r="AU54" i="77"/>
  <c r="AW54" i="77"/>
  <c r="AX54" i="77"/>
  <c r="AY54" i="77"/>
  <c r="BA54" i="77"/>
  <c r="BC54" i="77"/>
  <c r="A55" i="77"/>
  <c r="B55" i="77"/>
  <c r="D55" i="77"/>
  <c r="E55" i="77"/>
  <c r="F55" i="77"/>
  <c r="G55" i="77"/>
  <c r="H55" i="77"/>
  <c r="J55" i="77"/>
  <c r="K55" i="77"/>
  <c r="M55" i="77"/>
  <c r="O55" i="77"/>
  <c r="P55" i="77"/>
  <c r="R55" i="77"/>
  <c r="S55" i="77"/>
  <c r="U55" i="77"/>
  <c r="V55" i="77"/>
  <c r="W55" i="77"/>
  <c r="X55" i="77"/>
  <c r="Z55" i="77"/>
  <c r="AA55" i="77"/>
  <c r="AB55" i="77"/>
  <c r="AC55" i="77"/>
  <c r="AD55" i="77"/>
  <c r="AE55" i="77"/>
  <c r="AF55" i="77"/>
  <c r="AG55" i="77"/>
  <c r="AH55" i="77"/>
  <c r="AI55" i="77"/>
  <c r="AJ55" i="77"/>
  <c r="AK55" i="77"/>
  <c r="AL55" i="77"/>
  <c r="AM55" i="77"/>
  <c r="AN55" i="77"/>
  <c r="AO55" i="77"/>
  <c r="AP55" i="77"/>
  <c r="AQ55" i="77"/>
  <c r="AR55" i="77"/>
  <c r="AS55" i="77"/>
  <c r="AT55" i="77"/>
  <c r="AU55" i="77"/>
  <c r="AW55" i="77"/>
  <c r="AX55" i="77"/>
  <c r="AY55" i="77"/>
  <c r="BA55" i="77"/>
  <c r="BC55" i="77"/>
  <c r="A56" i="77"/>
  <c r="B56" i="77"/>
  <c r="D56" i="77"/>
  <c r="E56" i="77"/>
  <c r="F56" i="77"/>
  <c r="G56" i="77"/>
  <c r="H56" i="77"/>
  <c r="J56" i="77"/>
  <c r="K56" i="77"/>
  <c r="M56" i="77"/>
  <c r="O56" i="77"/>
  <c r="P56" i="77"/>
  <c r="R56" i="77"/>
  <c r="S56" i="77"/>
  <c r="U56" i="77"/>
  <c r="V56" i="77"/>
  <c r="W56" i="77"/>
  <c r="X56" i="77"/>
  <c r="Z56" i="77"/>
  <c r="AA56" i="77"/>
  <c r="AB56" i="77"/>
  <c r="AC56" i="77"/>
  <c r="AD56" i="77"/>
  <c r="AE56" i="77"/>
  <c r="AF56" i="77"/>
  <c r="AG56" i="77"/>
  <c r="AH56" i="77"/>
  <c r="AI56" i="77"/>
  <c r="AJ56" i="77"/>
  <c r="AK56" i="77"/>
  <c r="AL56" i="77"/>
  <c r="AM56" i="77"/>
  <c r="AN56" i="77"/>
  <c r="AO56" i="77"/>
  <c r="AP56" i="77"/>
  <c r="AQ56" i="77"/>
  <c r="AR56" i="77"/>
  <c r="AS56" i="77"/>
  <c r="AT56" i="77"/>
  <c r="AU56" i="77"/>
  <c r="AW56" i="77"/>
  <c r="AX56" i="77"/>
  <c r="AY56" i="77"/>
  <c r="BA56" i="77"/>
  <c r="BC56" i="77"/>
  <c r="A57" i="77"/>
  <c r="B57" i="77"/>
  <c r="D57" i="77"/>
  <c r="E57" i="77"/>
  <c r="F57" i="77"/>
  <c r="G57" i="77"/>
  <c r="H57" i="77"/>
  <c r="J57" i="77"/>
  <c r="K57" i="77"/>
  <c r="M57" i="77"/>
  <c r="O57" i="77"/>
  <c r="P57" i="77"/>
  <c r="R57" i="77"/>
  <c r="S57" i="77"/>
  <c r="U57" i="77"/>
  <c r="V57" i="77"/>
  <c r="W57" i="77"/>
  <c r="X57" i="77"/>
  <c r="Z57" i="77"/>
  <c r="AA57" i="77"/>
  <c r="AB57" i="77"/>
  <c r="AC57" i="77"/>
  <c r="AD57" i="77"/>
  <c r="AE57" i="77"/>
  <c r="AF57" i="77"/>
  <c r="AG57" i="77"/>
  <c r="AH57" i="77"/>
  <c r="AI57" i="77"/>
  <c r="AJ57" i="77"/>
  <c r="AK57" i="77"/>
  <c r="AL57" i="77"/>
  <c r="AM57" i="77"/>
  <c r="AN57" i="77"/>
  <c r="AO57" i="77"/>
  <c r="AP57" i="77"/>
  <c r="AQ57" i="77"/>
  <c r="AR57" i="77"/>
  <c r="AS57" i="77"/>
  <c r="AT57" i="77"/>
  <c r="AU57" i="77"/>
  <c r="AW57" i="77"/>
  <c r="AX57" i="77"/>
  <c r="AY57" i="77"/>
  <c r="BA57" i="77"/>
  <c r="BC57" i="77"/>
  <c r="A58" i="77"/>
  <c r="B58" i="77"/>
  <c r="D58" i="77"/>
  <c r="E58" i="77"/>
  <c r="F58" i="77"/>
  <c r="G58" i="77"/>
  <c r="H58" i="77"/>
  <c r="J58" i="77"/>
  <c r="K58" i="77"/>
  <c r="M58" i="77"/>
  <c r="O58" i="77"/>
  <c r="P58" i="77"/>
  <c r="R58" i="77"/>
  <c r="S58" i="77"/>
  <c r="U58" i="77"/>
  <c r="V58" i="77"/>
  <c r="W58" i="77"/>
  <c r="X58" i="77"/>
  <c r="Z58" i="77"/>
  <c r="AA58" i="77"/>
  <c r="AB58" i="77"/>
  <c r="AC58" i="77"/>
  <c r="AD58" i="77"/>
  <c r="AE58" i="77"/>
  <c r="AF58" i="77"/>
  <c r="AG58" i="77"/>
  <c r="AH58" i="77"/>
  <c r="AI58" i="77"/>
  <c r="AJ58" i="77"/>
  <c r="AK58" i="77"/>
  <c r="AL58" i="77"/>
  <c r="AM58" i="77"/>
  <c r="AN58" i="77"/>
  <c r="AO58" i="77"/>
  <c r="AP58" i="77"/>
  <c r="AQ58" i="77"/>
  <c r="AR58" i="77"/>
  <c r="AS58" i="77"/>
  <c r="AT58" i="77"/>
  <c r="AU58" i="77"/>
  <c r="AW58" i="77"/>
  <c r="AX58" i="77"/>
  <c r="AY58" i="77"/>
  <c r="BA58" i="77"/>
  <c r="BC58" i="77"/>
  <c r="A59" i="77"/>
  <c r="B59" i="77"/>
  <c r="D59" i="77"/>
  <c r="E59" i="77"/>
  <c r="F59" i="77"/>
  <c r="G59" i="77"/>
  <c r="H59" i="77"/>
  <c r="J59" i="77"/>
  <c r="K59" i="77"/>
  <c r="M59" i="77"/>
  <c r="O59" i="77"/>
  <c r="P59" i="77"/>
  <c r="R59" i="77"/>
  <c r="S59" i="77"/>
  <c r="U59" i="77"/>
  <c r="V59" i="77"/>
  <c r="W59" i="77"/>
  <c r="X59" i="77"/>
  <c r="Z59" i="77"/>
  <c r="AA59" i="77"/>
  <c r="AB59" i="77"/>
  <c r="AC59" i="77"/>
  <c r="AD59" i="77"/>
  <c r="AE59" i="77"/>
  <c r="AF59" i="77"/>
  <c r="AG59" i="77"/>
  <c r="AH59" i="77"/>
  <c r="AI59" i="77"/>
  <c r="AJ59" i="77"/>
  <c r="AK59" i="77"/>
  <c r="AL59" i="77"/>
  <c r="AM59" i="77"/>
  <c r="AN59" i="77"/>
  <c r="AO59" i="77"/>
  <c r="AP59" i="77"/>
  <c r="AQ59" i="77"/>
  <c r="AR59" i="77"/>
  <c r="AS59" i="77"/>
  <c r="AT59" i="77"/>
  <c r="AU59" i="77"/>
  <c r="AW59" i="77"/>
  <c r="AX59" i="77"/>
  <c r="AY59" i="77"/>
  <c r="BA59" i="77"/>
  <c r="BC59" i="77"/>
  <c r="A60" i="77"/>
  <c r="B60" i="77"/>
  <c r="D60" i="77"/>
  <c r="E60" i="77"/>
  <c r="F60" i="77"/>
  <c r="G60" i="77"/>
  <c r="H60" i="77"/>
  <c r="J60" i="77"/>
  <c r="K60" i="77"/>
  <c r="M60" i="77"/>
  <c r="O60" i="77"/>
  <c r="P60" i="77"/>
  <c r="R60" i="77"/>
  <c r="S60" i="77"/>
  <c r="U60" i="77"/>
  <c r="V60" i="77"/>
  <c r="W60" i="77"/>
  <c r="X60" i="77"/>
  <c r="Z60" i="77"/>
  <c r="AA60" i="77"/>
  <c r="AB60" i="77"/>
  <c r="AC60" i="77"/>
  <c r="AD60" i="77"/>
  <c r="AE60" i="77"/>
  <c r="AF60" i="77"/>
  <c r="AG60" i="77"/>
  <c r="AH60" i="77"/>
  <c r="AI60" i="77"/>
  <c r="AJ60" i="77"/>
  <c r="AK60" i="77"/>
  <c r="AL60" i="77"/>
  <c r="AM60" i="77"/>
  <c r="AN60" i="77"/>
  <c r="AO60" i="77"/>
  <c r="AP60" i="77"/>
  <c r="AQ60" i="77"/>
  <c r="AR60" i="77"/>
  <c r="AS60" i="77"/>
  <c r="AT60" i="77"/>
  <c r="AU60" i="77"/>
  <c r="AW60" i="77"/>
  <c r="AX60" i="77"/>
  <c r="AY60" i="77"/>
  <c r="BA60" i="77"/>
  <c r="BC60" i="77"/>
  <c r="A61" i="77"/>
  <c r="B61" i="77"/>
  <c r="D61" i="77"/>
  <c r="E61" i="77"/>
  <c r="F61" i="77"/>
  <c r="G61" i="77"/>
  <c r="H61" i="77"/>
  <c r="J61" i="77"/>
  <c r="K61" i="77"/>
  <c r="M61" i="77"/>
  <c r="O61" i="77"/>
  <c r="P61" i="77"/>
  <c r="R61" i="77"/>
  <c r="S61" i="77"/>
  <c r="U61" i="77"/>
  <c r="V61" i="77"/>
  <c r="W61" i="77"/>
  <c r="X61" i="77"/>
  <c r="Z61" i="77"/>
  <c r="AA61" i="77"/>
  <c r="AB61" i="77"/>
  <c r="AC61" i="77"/>
  <c r="AD61" i="77"/>
  <c r="AE61" i="77"/>
  <c r="AF61" i="77"/>
  <c r="AG61" i="77"/>
  <c r="AH61" i="77"/>
  <c r="AI61" i="77"/>
  <c r="AJ61" i="77"/>
  <c r="AK61" i="77"/>
  <c r="AL61" i="77"/>
  <c r="AM61" i="77"/>
  <c r="AN61" i="77"/>
  <c r="AO61" i="77"/>
  <c r="AP61" i="77"/>
  <c r="AQ61" i="77"/>
  <c r="AR61" i="77"/>
  <c r="AS61" i="77"/>
  <c r="AT61" i="77"/>
  <c r="AU61" i="77"/>
  <c r="AW61" i="77"/>
  <c r="AX61" i="77"/>
  <c r="AY61" i="77"/>
  <c r="BA61" i="77"/>
  <c r="BC61" i="77"/>
  <c r="A62" i="77"/>
  <c r="B62" i="77"/>
  <c r="D62" i="77"/>
  <c r="E62" i="77"/>
  <c r="F62" i="77"/>
  <c r="G62" i="77"/>
  <c r="H62" i="77"/>
  <c r="J62" i="77"/>
  <c r="K62" i="77"/>
  <c r="M62" i="77"/>
  <c r="O62" i="77"/>
  <c r="P62" i="77"/>
  <c r="R62" i="77"/>
  <c r="S62" i="77"/>
  <c r="U62" i="77"/>
  <c r="V62" i="77"/>
  <c r="W62" i="77"/>
  <c r="X62" i="77"/>
  <c r="Z62" i="77"/>
  <c r="AA62" i="77"/>
  <c r="AB62" i="77"/>
  <c r="AC62" i="77"/>
  <c r="AD62" i="77"/>
  <c r="AE62" i="77"/>
  <c r="AF62" i="77"/>
  <c r="AG62" i="77"/>
  <c r="AH62" i="77"/>
  <c r="AI62" i="77"/>
  <c r="AJ62" i="77"/>
  <c r="AK62" i="77"/>
  <c r="AL62" i="77"/>
  <c r="AM62" i="77"/>
  <c r="AN62" i="77"/>
  <c r="AO62" i="77"/>
  <c r="AP62" i="77"/>
  <c r="AQ62" i="77"/>
  <c r="AR62" i="77"/>
  <c r="AS62" i="77"/>
  <c r="AT62" i="77"/>
  <c r="AU62" i="77"/>
  <c r="AW62" i="77"/>
  <c r="AX62" i="77"/>
  <c r="AY62" i="77"/>
  <c r="BA62" i="77"/>
  <c r="BC62" i="77"/>
  <c r="A63" i="77"/>
  <c r="B63" i="77"/>
  <c r="D63" i="77"/>
  <c r="E63" i="77"/>
  <c r="F63" i="77"/>
  <c r="G63" i="77"/>
  <c r="H63" i="77"/>
  <c r="J63" i="77"/>
  <c r="K63" i="77"/>
  <c r="M63" i="77"/>
  <c r="O63" i="77"/>
  <c r="P63" i="77"/>
  <c r="R63" i="77"/>
  <c r="S63" i="77"/>
  <c r="U63" i="77"/>
  <c r="V63" i="77"/>
  <c r="W63" i="77"/>
  <c r="X63" i="77"/>
  <c r="Z63" i="77"/>
  <c r="AA63" i="77"/>
  <c r="AB63" i="77"/>
  <c r="AC63" i="77"/>
  <c r="AD63" i="77"/>
  <c r="AE63" i="77"/>
  <c r="AF63" i="77"/>
  <c r="AG63" i="77"/>
  <c r="AH63" i="77"/>
  <c r="AI63" i="77"/>
  <c r="AJ63" i="77"/>
  <c r="AK63" i="77"/>
  <c r="AL63" i="77"/>
  <c r="AM63" i="77"/>
  <c r="AN63" i="77"/>
  <c r="AO63" i="77"/>
  <c r="AP63" i="77"/>
  <c r="AQ63" i="77"/>
  <c r="AR63" i="77"/>
  <c r="AS63" i="77"/>
  <c r="AT63" i="77"/>
  <c r="AU63" i="77"/>
  <c r="AW63" i="77"/>
  <c r="AX63" i="77"/>
  <c r="AY63" i="77"/>
  <c r="BA63" i="77"/>
  <c r="BC63" i="77"/>
  <c r="A64" i="77"/>
  <c r="B64" i="77"/>
  <c r="D64" i="77"/>
  <c r="E64" i="77"/>
  <c r="F64" i="77"/>
  <c r="G64" i="77"/>
  <c r="H64" i="77"/>
  <c r="J64" i="77"/>
  <c r="K64" i="77"/>
  <c r="M64" i="77"/>
  <c r="O64" i="77"/>
  <c r="P64" i="77"/>
  <c r="R64" i="77"/>
  <c r="S64" i="77"/>
  <c r="U64" i="77"/>
  <c r="V64" i="77"/>
  <c r="W64" i="77"/>
  <c r="X64" i="77"/>
  <c r="Z64" i="77"/>
  <c r="AA64" i="77"/>
  <c r="AB64" i="77"/>
  <c r="AC64" i="77"/>
  <c r="AD64" i="77"/>
  <c r="AE64" i="77"/>
  <c r="AF64" i="77"/>
  <c r="AG64" i="77"/>
  <c r="AH64" i="77"/>
  <c r="AI64" i="77"/>
  <c r="AJ64" i="77"/>
  <c r="AK64" i="77"/>
  <c r="AL64" i="77"/>
  <c r="AM64" i="77"/>
  <c r="AN64" i="77"/>
  <c r="AO64" i="77"/>
  <c r="AP64" i="77"/>
  <c r="AQ64" i="77"/>
  <c r="AR64" i="77"/>
  <c r="AS64" i="77"/>
  <c r="AT64" i="77"/>
  <c r="AU64" i="77"/>
  <c r="AW64" i="77"/>
  <c r="AX64" i="77"/>
  <c r="AY64" i="77"/>
  <c r="BA64" i="77"/>
  <c r="BC64" i="77"/>
  <c r="A65" i="77"/>
  <c r="B65" i="77"/>
  <c r="D65" i="77"/>
  <c r="E65" i="77"/>
  <c r="F65" i="77"/>
  <c r="G65" i="77"/>
  <c r="H65" i="77"/>
  <c r="J65" i="77"/>
  <c r="K65" i="77"/>
  <c r="M65" i="77"/>
  <c r="O65" i="77"/>
  <c r="P65" i="77"/>
  <c r="R65" i="77"/>
  <c r="S65" i="77"/>
  <c r="U65" i="77"/>
  <c r="V65" i="77"/>
  <c r="W65" i="77"/>
  <c r="X65" i="77"/>
  <c r="Z65" i="77"/>
  <c r="AA65" i="77"/>
  <c r="AB65" i="77"/>
  <c r="AC65" i="77"/>
  <c r="AD65" i="77"/>
  <c r="AE65" i="77"/>
  <c r="AF65" i="77"/>
  <c r="AG65" i="77"/>
  <c r="AH65" i="77"/>
  <c r="AI65" i="77"/>
  <c r="AJ65" i="77"/>
  <c r="AK65" i="77"/>
  <c r="AL65" i="77"/>
  <c r="AM65" i="77"/>
  <c r="AN65" i="77"/>
  <c r="AO65" i="77"/>
  <c r="AP65" i="77"/>
  <c r="AQ65" i="77"/>
  <c r="AR65" i="77"/>
  <c r="AS65" i="77"/>
  <c r="AT65" i="77"/>
  <c r="AU65" i="77"/>
  <c r="AW65" i="77"/>
  <c r="AX65" i="77"/>
  <c r="AY65" i="77"/>
  <c r="BA65" i="77"/>
  <c r="BC65" i="77"/>
  <c r="A66" i="77"/>
  <c r="B66" i="77"/>
  <c r="D66" i="77"/>
  <c r="E66" i="77"/>
  <c r="F66" i="77"/>
  <c r="G66" i="77"/>
  <c r="H66" i="77"/>
  <c r="J66" i="77"/>
  <c r="K66" i="77"/>
  <c r="M66" i="77"/>
  <c r="O66" i="77"/>
  <c r="P66" i="77"/>
  <c r="R66" i="77"/>
  <c r="S66" i="77"/>
  <c r="U66" i="77"/>
  <c r="V66" i="77"/>
  <c r="W66" i="77"/>
  <c r="X66" i="77"/>
  <c r="Z66" i="77"/>
  <c r="AA66" i="77"/>
  <c r="AB66" i="77"/>
  <c r="AC66" i="77"/>
  <c r="AD66" i="77"/>
  <c r="AE66" i="77"/>
  <c r="AF66" i="77"/>
  <c r="AG66" i="77"/>
  <c r="AH66" i="77"/>
  <c r="AI66" i="77"/>
  <c r="AJ66" i="77"/>
  <c r="AK66" i="77"/>
  <c r="AL66" i="77"/>
  <c r="AM66" i="77"/>
  <c r="AN66" i="77"/>
  <c r="AO66" i="77"/>
  <c r="AP66" i="77"/>
  <c r="AQ66" i="77"/>
  <c r="AR66" i="77"/>
  <c r="AS66" i="77"/>
  <c r="AT66" i="77"/>
  <c r="AU66" i="77"/>
  <c r="AW66" i="77"/>
  <c r="AX66" i="77"/>
  <c r="AY66" i="77"/>
  <c r="BA66" i="77"/>
  <c r="BC66" i="77"/>
  <c r="A67" i="77"/>
  <c r="B67" i="77"/>
  <c r="D67" i="77"/>
  <c r="E67" i="77"/>
  <c r="F67" i="77"/>
  <c r="G67" i="77"/>
  <c r="H67" i="77"/>
  <c r="J67" i="77"/>
  <c r="K67" i="77"/>
  <c r="M67" i="77"/>
  <c r="O67" i="77"/>
  <c r="P67" i="77"/>
  <c r="R67" i="77"/>
  <c r="S67" i="77"/>
  <c r="U67" i="77"/>
  <c r="V67" i="77"/>
  <c r="W67" i="77"/>
  <c r="X67" i="77"/>
  <c r="Z67" i="77"/>
  <c r="AA67" i="77"/>
  <c r="AB67" i="77"/>
  <c r="AC67" i="77"/>
  <c r="AD67" i="77"/>
  <c r="AE67" i="77"/>
  <c r="AF67" i="77"/>
  <c r="AG67" i="77"/>
  <c r="AH67" i="77"/>
  <c r="AI67" i="77"/>
  <c r="AJ67" i="77"/>
  <c r="AK67" i="77"/>
  <c r="AL67" i="77"/>
  <c r="AM67" i="77"/>
  <c r="AN67" i="77"/>
  <c r="AO67" i="77"/>
  <c r="AP67" i="77"/>
  <c r="AQ67" i="77"/>
  <c r="AR67" i="77"/>
  <c r="AS67" i="77"/>
  <c r="AT67" i="77"/>
  <c r="AU67" i="77"/>
  <c r="AW67" i="77"/>
  <c r="AX67" i="77"/>
  <c r="AY67" i="77"/>
  <c r="BA67" i="77"/>
  <c r="BC67" i="77"/>
  <c r="A68" i="77"/>
  <c r="B68" i="77"/>
  <c r="D68" i="77"/>
  <c r="E68" i="77"/>
  <c r="F68" i="77"/>
  <c r="G68" i="77"/>
  <c r="H68" i="77"/>
  <c r="J68" i="77"/>
  <c r="K68" i="77"/>
  <c r="M68" i="77"/>
  <c r="O68" i="77"/>
  <c r="P68" i="77"/>
  <c r="R68" i="77"/>
  <c r="S68" i="77"/>
  <c r="U68" i="77"/>
  <c r="V68" i="77"/>
  <c r="W68" i="77"/>
  <c r="X68" i="77"/>
  <c r="Z68" i="77"/>
  <c r="AA68" i="77"/>
  <c r="AB68" i="77"/>
  <c r="AC68" i="77"/>
  <c r="AD68" i="77"/>
  <c r="AE68" i="77"/>
  <c r="AF68" i="77"/>
  <c r="AG68" i="77"/>
  <c r="AH68" i="77"/>
  <c r="AI68" i="77"/>
  <c r="AJ68" i="77"/>
  <c r="AK68" i="77"/>
  <c r="AL68" i="77"/>
  <c r="AM68" i="77"/>
  <c r="AN68" i="77"/>
  <c r="AO68" i="77"/>
  <c r="AP68" i="77"/>
  <c r="AQ68" i="77"/>
  <c r="AR68" i="77"/>
  <c r="AS68" i="77"/>
  <c r="AT68" i="77"/>
  <c r="AU68" i="77"/>
  <c r="AW68" i="77"/>
  <c r="AX68" i="77"/>
  <c r="AY68" i="77"/>
  <c r="BA68" i="77"/>
  <c r="BC68" i="77"/>
  <c r="A69" i="77"/>
  <c r="B69" i="77"/>
  <c r="D69" i="77"/>
  <c r="E69" i="77"/>
  <c r="F69" i="77"/>
  <c r="G69" i="77"/>
  <c r="H69" i="77"/>
  <c r="J69" i="77"/>
  <c r="K69" i="77"/>
  <c r="M69" i="77"/>
  <c r="O69" i="77"/>
  <c r="P69" i="77"/>
  <c r="R69" i="77"/>
  <c r="S69" i="77"/>
  <c r="U69" i="77"/>
  <c r="V69" i="77"/>
  <c r="W69" i="77"/>
  <c r="X69" i="77"/>
  <c r="Z69" i="77"/>
  <c r="AA69" i="77"/>
  <c r="AB69" i="77"/>
  <c r="AC69" i="77"/>
  <c r="AD69" i="77"/>
  <c r="AE69" i="77"/>
  <c r="AF69" i="77"/>
  <c r="AG69" i="77"/>
  <c r="AH69" i="77"/>
  <c r="AI69" i="77"/>
  <c r="AJ69" i="77"/>
  <c r="AK69" i="77"/>
  <c r="AL69" i="77"/>
  <c r="AM69" i="77"/>
  <c r="AN69" i="77"/>
  <c r="AO69" i="77"/>
  <c r="AP69" i="77"/>
  <c r="AQ69" i="77"/>
  <c r="AR69" i="77"/>
  <c r="AS69" i="77"/>
  <c r="AT69" i="77"/>
  <c r="AU69" i="77"/>
  <c r="AW69" i="77"/>
  <c r="AX69" i="77"/>
  <c r="AY69" i="77"/>
  <c r="BA69" i="77"/>
  <c r="BC69" i="77"/>
  <c r="A70" i="77"/>
  <c r="B70" i="77"/>
  <c r="D70" i="77"/>
  <c r="E70" i="77"/>
  <c r="F70" i="77"/>
  <c r="G70" i="77"/>
  <c r="H70" i="77"/>
  <c r="J70" i="77"/>
  <c r="K70" i="77"/>
  <c r="M70" i="77"/>
  <c r="O70" i="77"/>
  <c r="P70" i="77"/>
  <c r="R70" i="77"/>
  <c r="S70" i="77"/>
  <c r="U70" i="77"/>
  <c r="V70" i="77"/>
  <c r="W70" i="77"/>
  <c r="X70" i="77"/>
  <c r="Z70" i="77"/>
  <c r="AA70" i="77"/>
  <c r="AB70" i="77"/>
  <c r="AC70" i="77"/>
  <c r="AD70" i="77"/>
  <c r="AE70" i="77"/>
  <c r="AF70" i="77"/>
  <c r="AG70" i="77"/>
  <c r="AH70" i="77"/>
  <c r="AI70" i="77"/>
  <c r="AJ70" i="77"/>
  <c r="AK70" i="77"/>
  <c r="AL70" i="77"/>
  <c r="AM70" i="77"/>
  <c r="AN70" i="77"/>
  <c r="AO70" i="77"/>
  <c r="AP70" i="77"/>
  <c r="AQ70" i="77"/>
  <c r="AR70" i="77"/>
  <c r="AS70" i="77"/>
  <c r="AT70" i="77"/>
  <c r="AU70" i="77"/>
  <c r="AW70" i="77"/>
  <c r="AX70" i="77"/>
  <c r="AY70" i="77"/>
  <c r="BA70" i="77"/>
  <c r="BC70" i="77"/>
  <c r="A71" i="77"/>
  <c r="B71" i="77"/>
  <c r="D71" i="77"/>
  <c r="E71" i="77"/>
  <c r="F71" i="77"/>
  <c r="G71" i="77"/>
  <c r="H71" i="77"/>
  <c r="J71" i="77"/>
  <c r="K71" i="77"/>
  <c r="M71" i="77"/>
  <c r="O71" i="77"/>
  <c r="P71" i="77"/>
  <c r="R71" i="77"/>
  <c r="S71" i="77"/>
  <c r="U71" i="77"/>
  <c r="V71" i="77"/>
  <c r="W71" i="77"/>
  <c r="X71" i="77"/>
  <c r="Z71" i="77"/>
  <c r="AA71" i="77"/>
  <c r="AB71" i="77"/>
  <c r="AC71" i="77"/>
  <c r="AD71" i="77"/>
  <c r="AE71" i="77"/>
  <c r="AF71" i="77"/>
  <c r="AG71" i="77"/>
  <c r="AH71" i="77"/>
  <c r="AI71" i="77"/>
  <c r="AJ71" i="77"/>
  <c r="AK71" i="77"/>
  <c r="AL71" i="77"/>
  <c r="AM71" i="77"/>
  <c r="AN71" i="77"/>
  <c r="AO71" i="77"/>
  <c r="AP71" i="77"/>
  <c r="AQ71" i="77"/>
  <c r="AR71" i="77"/>
  <c r="AS71" i="77"/>
  <c r="AT71" i="77"/>
  <c r="AU71" i="77"/>
  <c r="AW71" i="77"/>
  <c r="AX71" i="77"/>
  <c r="AY71" i="77"/>
  <c r="BA71" i="77"/>
  <c r="BC71" i="77"/>
  <c r="A72" i="77"/>
  <c r="B72" i="77"/>
  <c r="D72" i="77"/>
  <c r="E72" i="77"/>
  <c r="F72" i="77"/>
  <c r="G72" i="77"/>
  <c r="H72" i="77"/>
  <c r="J72" i="77"/>
  <c r="K72" i="77"/>
  <c r="M72" i="77"/>
  <c r="O72" i="77"/>
  <c r="P72" i="77"/>
  <c r="R72" i="77"/>
  <c r="S72" i="77"/>
  <c r="U72" i="77"/>
  <c r="V72" i="77"/>
  <c r="W72" i="77"/>
  <c r="X72" i="77"/>
  <c r="Z72" i="77"/>
  <c r="AA72" i="77"/>
  <c r="AB72" i="77"/>
  <c r="AC72" i="77"/>
  <c r="AD72" i="77"/>
  <c r="AE72" i="77"/>
  <c r="AF72" i="77"/>
  <c r="AG72" i="77"/>
  <c r="AH72" i="77"/>
  <c r="AI72" i="77"/>
  <c r="AJ72" i="77"/>
  <c r="AK72" i="77"/>
  <c r="AL72" i="77"/>
  <c r="AM72" i="77"/>
  <c r="AN72" i="77"/>
  <c r="AO72" i="77"/>
  <c r="AP72" i="77"/>
  <c r="AQ72" i="77"/>
  <c r="AR72" i="77"/>
  <c r="AS72" i="77"/>
  <c r="AT72" i="77"/>
  <c r="AU72" i="77"/>
  <c r="AW72" i="77"/>
  <c r="AX72" i="77"/>
  <c r="AY72" i="77"/>
  <c r="BA72" i="77"/>
  <c r="BC72" i="77"/>
  <c r="A73" i="77"/>
  <c r="B73" i="77"/>
  <c r="D73" i="77"/>
  <c r="E73" i="77"/>
  <c r="F73" i="77"/>
  <c r="G73" i="77"/>
  <c r="H73" i="77"/>
  <c r="J73" i="77"/>
  <c r="K73" i="77"/>
  <c r="M73" i="77"/>
  <c r="O73" i="77"/>
  <c r="P73" i="77"/>
  <c r="R73" i="77"/>
  <c r="S73" i="77"/>
  <c r="U73" i="77"/>
  <c r="V73" i="77"/>
  <c r="W73" i="77"/>
  <c r="X73" i="77"/>
  <c r="Z73" i="77"/>
  <c r="AA73" i="77"/>
  <c r="AB73" i="77"/>
  <c r="AC73" i="77"/>
  <c r="AD73" i="77"/>
  <c r="AE73" i="77"/>
  <c r="AF73" i="77"/>
  <c r="AG73" i="77"/>
  <c r="AH73" i="77"/>
  <c r="AI73" i="77"/>
  <c r="AJ73" i="77"/>
  <c r="AK73" i="77"/>
  <c r="AL73" i="77"/>
  <c r="AM73" i="77"/>
  <c r="AN73" i="77"/>
  <c r="AO73" i="77"/>
  <c r="AP73" i="77"/>
  <c r="AQ73" i="77"/>
  <c r="AR73" i="77"/>
  <c r="AS73" i="77"/>
  <c r="AT73" i="77"/>
  <c r="AU73" i="77"/>
  <c r="AW73" i="77"/>
  <c r="AX73" i="77"/>
  <c r="AY73" i="77"/>
  <c r="BA73" i="77"/>
  <c r="BC73" i="77"/>
  <c r="A74" i="77"/>
  <c r="B74" i="77"/>
  <c r="D74" i="77"/>
  <c r="E74" i="77"/>
  <c r="F74" i="77"/>
  <c r="G74" i="77"/>
  <c r="H74" i="77"/>
  <c r="J74" i="77"/>
  <c r="K74" i="77"/>
  <c r="M74" i="77"/>
  <c r="O74" i="77"/>
  <c r="P74" i="77"/>
  <c r="R74" i="77"/>
  <c r="S74" i="77"/>
  <c r="U74" i="77"/>
  <c r="V74" i="77"/>
  <c r="W74" i="77"/>
  <c r="X74" i="77"/>
  <c r="Z74" i="77"/>
  <c r="AA74" i="77"/>
  <c r="AB74" i="77"/>
  <c r="AC74" i="77"/>
  <c r="AD74" i="77"/>
  <c r="AE74" i="77"/>
  <c r="AF74" i="77"/>
  <c r="AG74" i="77"/>
  <c r="AH74" i="77"/>
  <c r="AI74" i="77"/>
  <c r="AJ74" i="77"/>
  <c r="AK74" i="77"/>
  <c r="AL74" i="77"/>
  <c r="AM74" i="77"/>
  <c r="AN74" i="77"/>
  <c r="AO74" i="77"/>
  <c r="AP74" i="77"/>
  <c r="AQ74" i="77"/>
  <c r="AR74" i="77"/>
  <c r="AS74" i="77"/>
  <c r="AT74" i="77"/>
  <c r="AU74" i="77"/>
  <c r="AW74" i="77"/>
  <c r="AX74" i="77"/>
  <c r="AY74" i="77"/>
  <c r="BA74" i="77"/>
  <c r="BC74" i="77"/>
  <c r="A75" i="77"/>
  <c r="B75" i="77"/>
  <c r="D75" i="77"/>
  <c r="E75" i="77"/>
  <c r="F75" i="77"/>
  <c r="G75" i="77"/>
  <c r="H75" i="77"/>
  <c r="J75" i="77"/>
  <c r="K75" i="77"/>
  <c r="M75" i="77"/>
  <c r="O75" i="77"/>
  <c r="P75" i="77"/>
  <c r="R75" i="77"/>
  <c r="S75" i="77"/>
  <c r="U75" i="77"/>
  <c r="V75" i="77"/>
  <c r="W75" i="77"/>
  <c r="X75" i="77"/>
  <c r="Z75" i="77"/>
  <c r="AA75" i="77"/>
  <c r="AB75" i="77"/>
  <c r="AC75" i="77"/>
  <c r="AD75" i="77"/>
  <c r="AE75" i="77"/>
  <c r="AF75" i="77"/>
  <c r="AG75" i="77"/>
  <c r="AH75" i="77"/>
  <c r="AI75" i="77"/>
  <c r="AJ75" i="77"/>
  <c r="AK75" i="77"/>
  <c r="AL75" i="77"/>
  <c r="AM75" i="77"/>
  <c r="AN75" i="77"/>
  <c r="AO75" i="77"/>
  <c r="AP75" i="77"/>
  <c r="AQ75" i="77"/>
  <c r="AR75" i="77"/>
  <c r="AS75" i="77"/>
  <c r="AT75" i="77"/>
  <c r="AU75" i="77"/>
  <c r="AW75" i="77"/>
  <c r="AX75" i="77"/>
  <c r="AY75" i="77"/>
  <c r="BA75" i="77"/>
  <c r="BC75" i="77"/>
  <c r="A76" i="77"/>
  <c r="B76" i="77"/>
  <c r="D76" i="77"/>
  <c r="E76" i="77"/>
  <c r="F76" i="77"/>
  <c r="G76" i="77"/>
  <c r="H76" i="77"/>
  <c r="J76" i="77"/>
  <c r="K76" i="77"/>
  <c r="M76" i="77"/>
  <c r="O76" i="77"/>
  <c r="P76" i="77"/>
  <c r="R76" i="77"/>
  <c r="S76" i="77"/>
  <c r="U76" i="77"/>
  <c r="V76" i="77"/>
  <c r="W76" i="77"/>
  <c r="X76" i="77"/>
  <c r="Z76" i="77"/>
  <c r="AA76" i="77"/>
  <c r="AB76" i="77"/>
  <c r="AC76" i="77"/>
  <c r="AD76" i="77"/>
  <c r="AE76" i="77"/>
  <c r="AF76" i="77"/>
  <c r="AG76" i="77"/>
  <c r="AH76" i="77"/>
  <c r="AI76" i="77"/>
  <c r="AJ76" i="77"/>
  <c r="AK76" i="77"/>
  <c r="AL76" i="77"/>
  <c r="AM76" i="77"/>
  <c r="AN76" i="77"/>
  <c r="AO76" i="77"/>
  <c r="AP76" i="77"/>
  <c r="AQ76" i="77"/>
  <c r="AR76" i="77"/>
  <c r="AS76" i="77"/>
  <c r="AT76" i="77"/>
  <c r="AU76" i="77"/>
  <c r="AW76" i="77"/>
  <c r="AX76" i="77"/>
  <c r="AY76" i="77"/>
  <c r="BA76" i="77"/>
  <c r="BC76" i="77"/>
  <c r="A77" i="77"/>
  <c r="B77" i="77"/>
  <c r="D77" i="77"/>
  <c r="E77" i="77"/>
  <c r="F77" i="77"/>
  <c r="G77" i="77"/>
  <c r="H77" i="77"/>
  <c r="J77" i="77"/>
  <c r="K77" i="77"/>
  <c r="M77" i="77"/>
  <c r="O77" i="77"/>
  <c r="P77" i="77"/>
  <c r="R77" i="77"/>
  <c r="S77" i="77"/>
  <c r="U77" i="77"/>
  <c r="V77" i="77"/>
  <c r="W77" i="77"/>
  <c r="X77" i="77"/>
  <c r="Z77" i="77"/>
  <c r="AA77" i="77"/>
  <c r="AB77" i="77"/>
  <c r="AC77" i="77"/>
  <c r="AD77" i="77"/>
  <c r="AE77" i="77"/>
  <c r="AF77" i="77"/>
  <c r="AG77" i="77"/>
  <c r="AH77" i="77"/>
  <c r="AI77" i="77"/>
  <c r="AJ77" i="77"/>
  <c r="AK77" i="77"/>
  <c r="AL77" i="77"/>
  <c r="AM77" i="77"/>
  <c r="AN77" i="77"/>
  <c r="AO77" i="77"/>
  <c r="AP77" i="77"/>
  <c r="AQ77" i="77"/>
  <c r="AR77" i="77"/>
  <c r="AS77" i="77"/>
  <c r="AT77" i="77"/>
  <c r="AU77" i="77"/>
  <c r="AW77" i="77"/>
  <c r="AX77" i="77"/>
  <c r="AY77" i="77"/>
  <c r="BA77" i="77"/>
  <c r="BC77" i="77"/>
  <c r="A78" i="77"/>
  <c r="B78" i="77"/>
  <c r="D78" i="77"/>
  <c r="E78" i="77"/>
  <c r="F78" i="77"/>
  <c r="G78" i="77"/>
  <c r="H78" i="77"/>
  <c r="J78" i="77"/>
  <c r="K78" i="77"/>
  <c r="M78" i="77"/>
  <c r="O78" i="77"/>
  <c r="P78" i="77"/>
  <c r="R78" i="77"/>
  <c r="S78" i="77"/>
  <c r="U78" i="77"/>
  <c r="V78" i="77"/>
  <c r="W78" i="77"/>
  <c r="X78" i="77"/>
  <c r="Z78" i="77"/>
  <c r="AA78" i="77"/>
  <c r="AB78" i="77"/>
  <c r="AC78" i="77"/>
  <c r="AD78" i="77"/>
  <c r="AE78" i="77"/>
  <c r="AF78" i="77"/>
  <c r="AG78" i="77"/>
  <c r="AH78" i="77"/>
  <c r="AI78" i="77"/>
  <c r="AJ78" i="77"/>
  <c r="AK78" i="77"/>
  <c r="AL78" i="77"/>
  <c r="AM78" i="77"/>
  <c r="AN78" i="77"/>
  <c r="AO78" i="77"/>
  <c r="AP78" i="77"/>
  <c r="AQ78" i="77"/>
  <c r="AR78" i="77"/>
  <c r="AS78" i="77"/>
  <c r="AT78" i="77"/>
  <c r="AU78" i="77"/>
  <c r="AW78" i="77"/>
  <c r="AX78" i="77"/>
  <c r="AY78" i="77"/>
  <c r="BA78" i="77"/>
  <c r="BC78" i="77"/>
  <c r="A79" i="77"/>
  <c r="B79" i="77"/>
  <c r="D79" i="77"/>
  <c r="E79" i="77"/>
  <c r="F79" i="77"/>
  <c r="G79" i="77"/>
  <c r="H79" i="77"/>
  <c r="J79" i="77"/>
  <c r="K79" i="77"/>
  <c r="M79" i="77"/>
  <c r="O79" i="77"/>
  <c r="P79" i="77"/>
  <c r="R79" i="77"/>
  <c r="S79" i="77"/>
  <c r="U79" i="77"/>
  <c r="V79" i="77"/>
  <c r="W79" i="77"/>
  <c r="X79" i="77"/>
  <c r="Z79" i="77"/>
  <c r="AA79" i="77"/>
  <c r="AB79" i="77"/>
  <c r="AC79" i="77"/>
  <c r="AD79" i="77"/>
  <c r="AE79" i="77"/>
  <c r="AF79" i="77"/>
  <c r="AG79" i="77"/>
  <c r="AH79" i="77"/>
  <c r="AI79" i="77"/>
  <c r="AJ79" i="77"/>
  <c r="AK79" i="77"/>
  <c r="AL79" i="77"/>
  <c r="AM79" i="77"/>
  <c r="AN79" i="77"/>
  <c r="AO79" i="77"/>
  <c r="AP79" i="77"/>
  <c r="AQ79" i="77"/>
  <c r="AR79" i="77"/>
  <c r="AS79" i="77"/>
  <c r="AT79" i="77"/>
  <c r="AU79" i="77"/>
  <c r="AW79" i="77"/>
  <c r="AX79" i="77"/>
  <c r="AY79" i="77"/>
  <c r="BA79" i="77"/>
  <c r="BC79" i="77"/>
  <c r="A80" i="77"/>
  <c r="B80" i="77"/>
  <c r="D80" i="77"/>
  <c r="E80" i="77"/>
  <c r="F80" i="77"/>
  <c r="G80" i="77"/>
  <c r="H80" i="77"/>
  <c r="J80" i="77"/>
  <c r="K80" i="77"/>
  <c r="M80" i="77"/>
  <c r="O80" i="77"/>
  <c r="P80" i="77"/>
  <c r="R80" i="77"/>
  <c r="S80" i="77"/>
  <c r="U80" i="77"/>
  <c r="V80" i="77"/>
  <c r="W80" i="77"/>
  <c r="X80" i="77"/>
  <c r="Z80" i="77"/>
  <c r="AA80" i="77"/>
  <c r="AB80" i="77"/>
  <c r="AC80" i="77"/>
  <c r="AD80" i="77"/>
  <c r="AE80" i="77"/>
  <c r="AF80" i="77"/>
  <c r="AG80" i="77"/>
  <c r="AH80" i="77"/>
  <c r="AI80" i="77"/>
  <c r="AJ80" i="77"/>
  <c r="AK80" i="77"/>
  <c r="AL80" i="77"/>
  <c r="AM80" i="77"/>
  <c r="AN80" i="77"/>
  <c r="AO80" i="77"/>
  <c r="AP80" i="77"/>
  <c r="AQ80" i="77"/>
  <c r="AR80" i="77"/>
  <c r="AS80" i="77"/>
  <c r="AT80" i="77"/>
  <c r="AU80" i="77"/>
  <c r="AW80" i="77"/>
  <c r="AX80" i="77"/>
  <c r="AY80" i="77"/>
  <c r="BA80" i="77"/>
  <c r="BC80" i="77"/>
  <c r="A81" i="77"/>
  <c r="B81" i="77"/>
  <c r="D81" i="77"/>
  <c r="E81" i="77"/>
  <c r="F81" i="77"/>
  <c r="G81" i="77"/>
  <c r="H81" i="77"/>
  <c r="J81" i="77"/>
  <c r="K81" i="77"/>
  <c r="M81" i="77"/>
  <c r="O81" i="77"/>
  <c r="P81" i="77"/>
  <c r="R81" i="77"/>
  <c r="S81" i="77"/>
  <c r="U81" i="77"/>
  <c r="V81" i="77"/>
  <c r="W81" i="77"/>
  <c r="X81" i="77"/>
  <c r="Z81" i="77"/>
  <c r="AA81" i="77"/>
  <c r="AB81" i="77"/>
  <c r="AC81" i="77"/>
  <c r="AD81" i="77"/>
  <c r="AE81" i="77"/>
  <c r="AF81" i="77"/>
  <c r="AG81" i="77"/>
  <c r="AH81" i="77"/>
  <c r="AI81" i="77"/>
  <c r="AJ81" i="77"/>
  <c r="AK81" i="77"/>
  <c r="AL81" i="77"/>
  <c r="AM81" i="77"/>
  <c r="AN81" i="77"/>
  <c r="AO81" i="77"/>
  <c r="AP81" i="77"/>
  <c r="AQ81" i="77"/>
  <c r="AR81" i="77"/>
  <c r="AS81" i="77"/>
  <c r="AT81" i="77"/>
  <c r="AU81" i="77"/>
  <c r="AW81" i="77"/>
  <c r="AX81" i="77"/>
  <c r="AY81" i="77"/>
  <c r="BA81" i="77"/>
  <c r="BC81" i="77"/>
  <c r="A82" i="77"/>
  <c r="B82" i="77"/>
  <c r="D82" i="77"/>
  <c r="E82" i="77"/>
  <c r="F82" i="77"/>
  <c r="G82" i="77"/>
  <c r="H82" i="77"/>
  <c r="J82" i="77"/>
  <c r="K82" i="77"/>
  <c r="M82" i="77"/>
  <c r="O82" i="77"/>
  <c r="P82" i="77"/>
  <c r="R82" i="77"/>
  <c r="S82" i="77"/>
  <c r="U82" i="77"/>
  <c r="V82" i="77"/>
  <c r="W82" i="77"/>
  <c r="X82" i="77"/>
  <c r="Z82" i="77"/>
  <c r="AA82" i="77"/>
  <c r="AB82" i="77"/>
  <c r="AC82" i="77"/>
  <c r="AD82" i="77"/>
  <c r="AE82" i="77"/>
  <c r="AF82" i="77"/>
  <c r="AG82" i="77"/>
  <c r="AH82" i="77"/>
  <c r="AI82" i="77"/>
  <c r="AJ82" i="77"/>
  <c r="AK82" i="77"/>
  <c r="AL82" i="77"/>
  <c r="AM82" i="77"/>
  <c r="AN82" i="77"/>
  <c r="AO82" i="77"/>
  <c r="AP82" i="77"/>
  <c r="AQ82" i="77"/>
  <c r="AR82" i="77"/>
  <c r="AS82" i="77"/>
  <c r="AT82" i="77"/>
  <c r="AU82" i="77"/>
  <c r="AW82" i="77"/>
  <c r="AX82" i="77"/>
  <c r="AY82" i="77"/>
  <c r="BA82" i="77"/>
  <c r="BC82" i="77"/>
  <c r="A83" i="77"/>
  <c r="B83" i="77"/>
  <c r="D83" i="77"/>
  <c r="E83" i="77"/>
  <c r="F83" i="77"/>
  <c r="G83" i="77"/>
  <c r="H83" i="77"/>
  <c r="J83" i="77"/>
  <c r="K83" i="77"/>
  <c r="M83" i="77"/>
  <c r="O83" i="77"/>
  <c r="P83" i="77"/>
  <c r="R83" i="77"/>
  <c r="S83" i="77"/>
  <c r="U83" i="77"/>
  <c r="V83" i="77"/>
  <c r="W83" i="77"/>
  <c r="X83" i="77"/>
  <c r="Z83" i="77"/>
  <c r="AA83" i="77"/>
  <c r="AB83" i="77"/>
  <c r="AC83" i="77"/>
  <c r="AD83" i="77"/>
  <c r="AE83" i="77"/>
  <c r="AF83" i="77"/>
  <c r="AG83" i="77"/>
  <c r="AH83" i="77"/>
  <c r="AI83" i="77"/>
  <c r="AJ83" i="77"/>
  <c r="AK83" i="77"/>
  <c r="AL83" i="77"/>
  <c r="AM83" i="77"/>
  <c r="AN83" i="77"/>
  <c r="AO83" i="77"/>
  <c r="AP83" i="77"/>
  <c r="AQ83" i="77"/>
  <c r="AR83" i="77"/>
  <c r="AS83" i="77"/>
  <c r="AT83" i="77"/>
  <c r="AU83" i="77"/>
  <c r="AW83" i="77"/>
  <c r="AX83" i="77"/>
  <c r="AY83" i="77"/>
  <c r="BA83" i="77"/>
  <c r="BC83" i="77"/>
  <c r="A84" i="77"/>
  <c r="B84" i="77"/>
  <c r="D84" i="77"/>
  <c r="E84" i="77"/>
  <c r="F84" i="77"/>
  <c r="G84" i="77"/>
  <c r="H84" i="77"/>
  <c r="J84" i="77"/>
  <c r="K84" i="77"/>
  <c r="M84" i="77"/>
  <c r="O84" i="77"/>
  <c r="P84" i="77"/>
  <c r="R84" i="77"/>
  <c r="S84" i="77"/>
  <c r="U84" i="77"/>
  <c r="V84" i="77"/>
  <c r="W84" i="77"/>
  <c r="X84" i="77"/>
  <c r="Z84" i="77"/>
  <c r="AA84" i="77"/>
  <c r="AB84" i="77"/>
  <c r="AC84" i="77"/>
  <c r="AD84" i="77"/>
  <c r="AE84" i="77"/>
  <c r="AF84" i="77"/>
  <c r="AG84" i="77"/>
  <c r="AH84" i="77"/>
  <c r="AI84" i="77"/>
  <c r="AJ84" i="77"/>
  <c r="AK84" i="77"/>
  <c r="AL84" i="77"/>
  <c r="AM84" i="77"/>
  <c r="AN84" i="77"/>
  <c r="AO84" i="77"/>
  <c r="AP84" i="77"/>
  <c r="AQ84" i="77"/>
  <c r="AR84" i="77"/>
  <c r="AS84" i="77"/>
  <c r="AT84" i="77"/>
  <c r="AU84" i="77"/>
  <c r="AW84" i="77"/>
  <c r="AX84" i="77"/>
  <c r="AY84" i="77"/>
  <c r="BA84" i="77"/>
  <c r="BC84" i="77"/>
  <c r="A85" i="77"/>
  <c r="B85" i="77"/>
  <c r="D85" i="77"/>
  <c r="E85" i="77"/>
  <c r="F85" i="77"/>
  <c r="G85" i="77"/>
  <c r="H85" i="77"/>
  <c r="J85" i="77"/>
  <c r="K85" i="77"/>
  <c r="M85" i="77"/>
  <c r="O85" i="77"/>
  <c r="P85" i="77"/>
  <c r="R85" i="77"/>
  <c r="S85" i="77"/>
  <c r="U85" i="77"/>
  <c r="V85" i="77"/>
  <c r="W85" i="77"/>
  <c r="X85" i="77"/>
  <c r="Z85" i="77"/>
  <c r="AA85" i="77"/>
  <c r="AB85" i="77"/>
  <c r="AC85" i="77"/>
  <c r="AD85" i="77"/>
  <c r="AE85" i="77"/>
  <c r="AF85" i="77"/>
  <c r="AG85" i="77"/>
  <c r="AH85" i="77"/>
  <c r="AI85" i="77"/>
  <c r="AJ85" i="77"/>
  <c r="AK85" i="77"/>
  <c r="AL85" i="77"/>
  <c r="AM85" i="77"/>
  <c r="AN85" i="77"/>
  <c r="AO85" i="77"/>
  <c r="AP85" i="77"/>
  <c r="AQ85" i="77"/>
  <c r="AR85" i="77"/>
  <c r="AS85" i="77"/>
  <c r="AT85" i="77"/>
  <c r="AU85" i="77"/>
  <c r="AW85" i="77"/>
  <c r="AX85" i="77"/>
  <c r="AY85" i="77"/>
  <c r="BA85" i="77"/>
  <c r="BC85" i="77"/>
  <c r="A86" i="77"/>
  <c r="B86" i="77"/>
  <c r="D86" i="77"/>
  <c r="E86" i="77"/>
  <c r="F86" i="77"/>
  <c r="G86" i="77"/>
  <c r="H86" i="77"/>
  <c r="J86" i="77"/>
  <c r="K86" i="77"/>
  <c r="M86" i="77"/>
  <c r="O86" i="77"/>
  <c r="P86" i="77"/>
  <c r="R86" i="77"/>
  <c r="S86" i="77"/>
  <c r="U86" i="77"/>
  <c r="V86" i="77"/>
  <c r="W86" i="77"/>
  <c r="X86" i="77"/>
  <c r="Z86" i="77"/>
  <c r="AA86" i="77"/>
  <c r="AB86" i="77"/>
  <c r="AC86" i="77"/>
  <c r="AD86" i="77"/>
  <c r="AE86" i="77"/>
  <c r="AF86" i="77"/>
  <c r="AG86" i="77"/>
  <c r="AH86" i="77"/>
  <c r="AI86" i="77"/>
  <c r="AJ86" i="77"/>
  <c r="AK86" i="77"/>
  <c r="AL86" i="77"/>
  <c r="AM86" i="77"/>
  <c r="AN86" i="77"/>
  <c r="AO86" i="77"/>
  <c r="AP86" i="77"/>
  <c r="AQ86" i="77"/>
  <c r="AR86" i="77"/>
  <c r="AS86" i="77"/>
  <c r="AT86" i="77"/>
  <c r="AU86" i="77"/>
  <c r="AW86" i="77"/>
  <c r="AX86" i="77"/>
  <c r="AY86" i="77"/>
  <c r="BA86" i="77"/>
  <c r="BC86" i="77"/>
  <c r="A87" i="77"/>
  <c r="B87" i="77"/>
  <c r="D87" i="77"/>
  <c r="E87" i="77"/>
  <c r="F87" i="77"/>
  <c r="G87" i="77"/>
  <c r="H87" i="77"/>
  <c r="J87" i="77"/>
  <c r="K87" i="77"/>
  <c r="M87" i="77"/>
  <c r="O87" i="77"/>
  <c r="P87" i="77"/>
  <c r="R87" i="77"/>
  <c r="S87" i="77"/>
  <c r="U87" i="77"/>
  <c r="V87" i="77"/>
  <c r="W87" i="77"/>
  <c r="X87" i="77"/>
  <c r="Z87" i="77"/>
  <c r="AA87" i="77"/>
  <c r="AB87" i="77"/>
  <c r="AC87" i="77"/>
  <c r="AD87" i="77"/>
  <c r="AE87" i="77"/>
  <c r="AF87" i="77"/>
  <c r="AG87" i="77"/>
  <c r="AH87" i="77"/>
  <c r="AI87" i="77"/>
  <c r="AJ87" i="77"/>
  <c r="AK87" i="77"/>
  <c r="AL87" i="77"/>
  <c r="AM87" i="77"/>
  <c r="AN87" i="77"/>
  <c r="AO87" i="77"/>
  <c r="AP87" i="77"/>
  <c r="AQ87" i="77"/>
  <c r="AR87" i="77"/>
  <c r="AS87" i="77"/>
  <c r="AT87" i="77"/>
  <c r="AU87" i="77"/>
  <c r="AW87" i="77"/>
  <c r="AX87" i="77"/>
  <c r="AY87" i="77"/>
  <c r="BA87" i="77"/>
  <c r="BC87" i="77"/>
  <c r="A88" i="77"/>
  <c r="B88" i="77"/>
  <c r="D88" i="77"/>
  <c r="E88" i="77"/>
  <c r="F88" i="77"/>
  <c r="G88" i="77"/>
  <c r="H88" i="77"/>
  <c r="J88" i="77"/>
  <c r="K88" i="77"/>
  <c r="M88" i="77"/>
  <c r="O88" i="77"/>
  <c r="P88" i="77"/>
  <c r="R88" i="77"/>
  <c r="S88" i="77"/>
  <c r="U88" i="77"/>
  <c r="V88" i="77"/>
  <c r="W88" i="77"/>
  <c r="X88" i="77"/>
  <c r="Z88" i="77"/>
  <c r="AA88" i="77"/>
  <c r="AB88" i="77"/>
  <c r="AC88" i="77"/>
  <c r="AD88" i="77"/>
  <c r="AE88" i="77"/>
  <c r="AF88" i="77"/>
  <c r="AG88" i="77"/>
  <c r="AH88" i="77"/>
  <c r="AI88" i="77"/>
  <c r="AJ88" i="77"/>
  <c r="AK88" i="77"/>
  <c r="AL88" i="77"/>
  <c r="AM88" i="77"/>
  <c r="AN88" i="77"/>
  <c r="AO88" i="77"/>
  <c r="AP88" i="77"/>
  <c r="AQ88" i="77"/>
  <c r="AR88" i="77"/>
  <c r="AS88" i="77"/>
  <c r="AT88" i="77"/>
  <c r="AU88" i="77"/>
  <c r="AW88" i="77"/>
  <c r="AX88" i="77"/>
  <c r="AY88" i="77"/>
  <c r="BA88" i="77"/>
  <c r="BC88" i="77"/>
  <c r="A89" i="77"/>
  <c r="B89" i="77"/>
  <c r="D89" i="77"/>
  <c r="E89" i="77"/>
  <c r="F89" i="77"/>
  <c r="G89" i="77"/>
  <c r="H89" i="77"/>
  <c r="J89" i="77"/>
  <c r="K89" i="77"/>
  <c r="M89" i="77"/>
  <c r="O89" i="77"/>
  <c r="P89" i="77"/>
  <c r="R89" i="77"/>
  <c r="S89" i="77"/>
  <c r="U89" i="77"/>
  <c r="V89" i="77"/>
  <c r="W89" i="77"/>
  <c r="X89" i="77"/>
  <c r="Z89" i="77"/>
  <c r="AA89" i="77"/>
  <c r="AB89" i="77"/>
  <c r="AC89" i="77"/>
  <c r="AD89" i="77"/>
  <c r="AE89" i="77"/>
  <c r="AF89" i="77"/>
  <c r="AG89" i="77"/>
  <c r="AH89" i="77"/>
  <c r="AI89" i="77"/>
  <c r="AJ89" i="77"/>
  <c r="AK89" i="77"/>
  <c r="AL89" i="77"/>
  <c r="AM89" i="77"/>
  <c r="AN89" i="77"/>
  <c r="AO89" i="77"/>
  <c r="AP89" i="77"/>
  <c r="AQ89" i="77"/>
  <c r="AR89" i="77"/>
  <c r="AS89" i="77"/>
  <c r="AT89" i="77"/>
  <c r="AU89" i="77"/>
  <c r="AW89" i="77"/>
  <c r="AX89" i="77"/>
  <c r="AY89" i="77"/>
  <c r="BA89" i="77"/>
  <c r="BC89" i="77"/>
  <c r="A90" i="77"/>
  <c r="B90" i="77"/>
  <c r="D90" i="77"/>
  <c r="E90" i="77"/>
  <c r="F90" i="77"/>
  <c r="G90" i="77"/>
  <c r="H90" i="77"/>
  <c r="J90" i="77"/>
  <c r="K90" i="77"/>
  <c r="M90" i="77"/>
  <c r="O90" i="77"/>
  <c r="P90" i="77"/>
  <c r="R90" i="77"/>
  <c r="S90" i="77"/>
  <c r="U90" i="77"/>
  <c r="V90" i="77"/>
  <c r="W90" i="77"/>
  <c r="X90" i="77"/>
  <c r="Z90" i="77"/>
  <c r="AA90" i="77"/>
  <c r="AB90" i="77"/>
  <c r="AC90" i="77"/>
  <c r="AD90" i="77"/>
  <c r="AE90" i="77"/>
  <c r="AF90" i="77"/>
  <c r="AG90" i="77"/>
  <c r="AH90" i="77"/>
  <c r="AI90" i="77"/>
  <c r="AJ90" i="77"/>
  <c r="AK90" i="77"/>
  <c r="AL90" i="77"/>
  <c r="AM90" i="77"/>
  <c r="AN90" i="77"/>
  <c r="AO90" i="77"/>
  <c r="AP90" i="77"/>
  <c r="AQ90" i="77"/>
  <c r="AR90" i="77"/>
  <c r="AS90" i="77"/>
  <c r="AT90" i="77"/>
  <c r="AU90" i="77"/>
  <c r="AW90" i="77"/>
  <c r="AX90" i="77"/>
  <c r="AY90" i="77"/>
  <c r="BA90" i="77"/>
  <c r="BC90" i="77"/>
  <c r="A91" i="77"/>
  <c r="B91" i="77"/>
  <c r="D91" i="77"/>
  <c r="E91" i="77"/>
  <c r="F91" i="77"/>
  <c r="G91" i="77"/>
  <c r="H91" i="77"/>
  <c r="J91" i="77"/>
  <c r="K91" i="77"/>
  <c r="M91" i="77"/>
  <c r="O91" i="77"/>
  <c r="P91" i="77"/>
  <c r="R91" i="77"/>
  <c r="S91" i="77"/>
  <c r="U91" i="77"/>
  <c r="V91" i="77"/>
  <c r="W91" i="77"/>
  <c r="X91" i="77"/>
  <c r="Z91" i="77"/>
  <c r="AA91" i="77"/>
  <c r="AB91" i="77"/>
  <c r="AC91" i="77"/>
  <c r="AD91" i="77"/>
  <c r="AE91" i="77"/>
  <c r="AF91" i="77"/>
  <c r="AG91" i="77"/>
  <c r="AH91" i="77"/>
  <c r="AI91" i="77"/>
  <c r="AJ91" i="77"/>
  <c r="AK91" i="77"/>
  <c r="AL91" i="77"/>
  <c r="AM91" i="77"/>
  <c r="AN91" i="77"/>
  <c r="AO91" i="77"/>
  <c r="AP91" i="77"/>
  <c r="AQ91" i="77"/>
  <c r="AR91" i="77"/>
  <c r="AS91" i="77"/>
  <c r="AT91" i="77"/>
  <c r="AU91" i="77"/>
  <c r="AW91" i="77"/>
  <c r="AX91" i="77"/>
  <c r="AY91" i="77"/>
  <c r="BA91" i="77"/>
  <c r="BC91" i="77"/>
  <c r="A92" i="77"/>
  <c r="B92" i="77"/>
  <c r="D92" i="77"/>
  <c r="E92" i="77"/>
  <c r="F92" i="77"/>
  <c r="G92" i="77"/>
  <c r="H92" i="77"/>
  <c r="J92" i="77"/>
  <c r="K92" i="77"/>
  <c r="M92" i="77"/>
  <c r="O92" i="77"/>
  <c r="P92" i="77"/>
  <c r="R92" i="77"/>
  <c r="S92" i="77"/>
  <c r="U92" i="77"/>
  <c r="V92" i="77"/>
  <c r="W92" i="77"/>
  <c r="X92" i="77"/>
  <c r="Z92" i="77"/>
  <c r="AA92" i="77"/>
  <c r="AB92" i="77"/>
  <c r="AC92" i="77"/>
  <c r="AD92" i="77"/>
  <c r="AE92" i="77"/>
  <c r="AF92" i="77"/>
  <c r="AG92" i="77"/>
  <c r="AH92" i="77"/>
  <c r="AI92" i="77"/>
  <c r="AJ92" i="77"/>
  <c r="AK92" i="77"/>
  <c r="AL92" i="77"/>
  <c r="AM92" i="77"/>
  <c r="AN92" i="77"/>
  <c r="AO92" i="77"/>
  <c r="AP92" i="77"/>
  <c r="AQ92" i="77"/>
  <c r="AR92" i="77"/>
  <c r="AS92" i="77"/>
  <c r="AT92" i="77"/>
  <c r="AU92" i="77"/>
  <c r="AW92" i="77"/>
  <c r="AX92" i="77"/>
  <c r="AY92" i="77"/>
  <c r="BA92" i="77"/>
  <c r="BC92" i="77"/>
  <c r="A93" i="77"/>
  <c r="B93" i="77"/>
  <c r="D93" i="77"/>
  <c r="E93" i="77"/>
  <c r="F93" i="77"/>
  <c r="G93" i="77"/>
  <c r="H93" i="77"/>
  <c r="J93" i="77"/>
  <c r="K93" i="77"/>
  <c r="M93" i="77"/>
  <c r="O93" i="77"/>
  <c r="P93" i="77"/>
  <c r="R93" i="77"/>
  <c r="S93" i="77"/>
  <c r="U93" i="77"/>
  <c r="V93" i="77"/>
  <c r="W93" i="77"/>
  <c r="X93" i="77"/>
  <c r="Z93" i="77"/>
  <c r="AA93" i="77"/>
  <c r="AB93" i="77"/>
  <c r="AC93" i="77"/>
  <c r="AD93" i="77"/>
  <c r="AE93" i="77"/>
  <c r="AF93" i="77"/>
  <c r="AG93" i="77"/>
  <c r="AH93" i="77"/>
  <c r="AI93" i="77"/>
  <c r="AJ93" i="77"/>
  <c r="AK93" i="77"/>
  <c r="AL93" i="77"/>
  <c r="AM93" i="77"/>
  <c r="AN93" i="77"/>
  <c r="AO93" i="77"/>
  <c r="AP93" i="77"/>
  <c r="AQ93" i="77"/>
  <c r="AR93" i="77"/>
  <c r="AS93" i="77"/>
  <c r="AT93" i="77"/>
  <c r="AU93" i="77"/>
  <c r="AW93" i="77"/>
  <c r="AX93" i="77"/>
  <c r="AY93" i="77"/>
  <c r="BA93" i="77"/>
  <c r="BC93" i="77"/>
  <c r="A94" i="77"/>
  <c r="B94" i="77"/>
  <c r="D94" i="77"/>
  <c r="E94" i="77"/>
  <c r="F94" i="77"/>
  <c r="G94" i="77"/>
  <c r="H94" i="77"/>
  <c r="J94" i="77"/>
  <c r="K94" i="77"/>
  <c r="M94" i="77"/>
  <c r="O94" i="77"/>
  <c r="P94" i="77"/>
  <c r="R94" i="77"/>
  <c r="S94" i="77"/>
  <c r="U94" i="77"/>
  <c r="V94" i="77"/>
  <c r="W94" i="77"/>
  <c r="X94" i="77"/>
  <c r="Z94" i="77"/>
  <c r="AA94" i="77"/>
  <c r="AB94" i="77"/>
  <c r="AC94" i="77"/>
  <c r="AD94" i="77"/>
  <c r="AE94" i="77"/>
  <c r="AF94" i="77"/>
  <c r="AG94" i="77"/>
  <c r="AH94" i="77"/>
  <c r="AI94" i="77"/>
  <c r="AJ94" i="77"/>
  <c r="AK94" i="77"/>
  <c r="AL94" i="77"/>
  <c r="AM94" i="77"/>
  <c r="AN94" i="77"/>
  <c r="AO94" i="77"/>
  <c r="AP94" i="77"/>
  <c r="AQ94" i="77"/>
  <c r="AR94" i="77"/>
  <c r="AS94" i="77"/>
  <c r="AT94" i="77"/>
  <c r="AU94" i="77"/>
  <c r="AW94" i="77"/>
  <c r="AX94" i="77"/>
  <c r="AY94" i="77"/>
  <c r="BA94" i="77"/>
  <c r="BC94" i="77"/>
  <c r="A95" i="77"/>
  <c r="B95" i="77"/>
  <c r="D95" i="77"/>
  <c r="E95" i="77"/>
  <c r="F95" i="77"/>
  <c r="G95" i="77"/>
  <c r="H95" i="77"/>
  <c r="J95" i="77"/>
  <c r="K95" i="77"/>
  <c r="M95" i="77"/>
  <c r="O95" i="77"/>
  <c r="P95" i="77"/>
  <c r="R95" i="77"/>
  <c r="S95" i="77"/>
  <c r="U95" i="77"/>
  <c r="V95" i="77"/>
  <c r="W95" i="77"/>
  <c r="X95" i="77"/>
  <c r="Z95" i="77"/>
  <c r="AA95" i="77"/>
  <c r="AB95" i="77"/>
  <c r="AC95" i="77"/>
  <c r="AD95" i="77"/>
  <c r="AE95" i="77"/>
  <c r="AF95" i="77"/>
  <c r="AG95" i="77"/>
  <c r="AH95" i="77"/>
  <c r="AI95" i="77"/>
  <c r="AJ95" i="77"/>
  <c r="AK95" i="77"/>
  <c r="AL95" i="77"/>
  <c r="AM95" i="77"/>
  <c r="AN95" i="77"/>
  <c r="AO95" i="77"/>
  <c r="AP95" i="77"/>
  <c r="AQ95" i="77"/>
  <c r="AR95" i="77"/>
  <c r="AS95" i="77"/>
  <c r="AT95" i="77"/>
  <c r="AU95" i="77"/>
  <c r="AW95" i="77"/>
  <c r="AX95" i="77"/>
  <c r="AY95" i="77"/>
  <c r="BA95" i="77"/>
  <c r="BC95" i="77"/>
  <c r="A96" i="77"/>
  <c r="B96" i="77"/>
  <c r="D96" i="77"/>
  <c r="E96" i="77"/>
  <c r="F96" i="77"/>
  <c r="G96" i="77"/>
  <c r="H96" i="77"/>
  <c r="J96" i="77"/>
  <c r="K96" i="77"/>
  <c r="M96" i="77"/>
  <c r="O96" i="77"/>
  <c r="P96" i="77"/>
  <c r="R96" i="77"/>
  <c r="S96" i="77"/>
  <c r="U96" i="77"/>
  <c r="V96" i="77"/>
  <c r="W96" i="77"/>
  <c r="X96" i="77"/>
  <c r="Z96" i="77"/>
  <c r="AA96" i="77"/>
  <c r="AB96" i="77"/>
  <c r="AC96" i="77"/>
  <c r="AD96" i="77"/>
  <c r="AE96" i="77"/>
  <c r="AF96" i="77"/>
  <c r="AG96" i="77"/>
  <c r="AH96" i="77"/>
  <c r="AI96" i="77"/>
  <c r="AJ96" i="77"/>
  <c r="AK96" i="77"/>
  <c r="AL96" i="77"/>
  <c r="AM96" i="77"/>
  <c r="AN96" i="77"/>
  <c r="AO96" i="77"/>
  <c r="AP96" i="77"/>
  <c r="AQ96" i="77"/>
  <c r="AR96" i="77"/>
  <c r="AS96" i="77"/>
  <c r="AT96" i="77"/>
  <c r="AU96" i="77"/>
  <c r="AW96" i="77"/>
  <c r="AX96" i="77"/>
  <c r="AY96" i="77"/>
  <c r="BA96" i="77"/>
  <c r="BC96" i="77"/>
  <c r="A97" i="77"/>
  <c r="B97" i="77"/>
  <c r="D97" i="77"/>
  <c r="E97" i="77"/>
  <c r="F97" i="77"/>
  <c r="G97" i="77"/>
  <c r="H97" i="77"/>
  <c r="J97" i="77"/>
  <c r="K97" i="77"/>
  <c r="M97" i="77"/>
  <c r="O97" i="77"/>
  <c r="P97" i="77"/>
  <c r="R97" i="77"/>
  <c r="S97" i="77"/>
  <c r="U97" i="77"/>
  <c r="V97" i="77"/>
  <c r="W97" i="77"/>
  <c r="X97" i="77"/>
  <c r="Z97" i="77"/>
  <c r="AA97" i="77"/>
  <c r="AB97" i="77"/>
  <c r="AC97" i="77"/>
  <c r="AD97" i="77"/>
  <c r="AE97" i="77"/>
  <c r="AF97" i="77"/>
  <c r="AG97" i="77"/>
  <c r="AH97" i="77"/>
  <c r="AI97" i="77"/>
  <c r="AJ97" i="77"/>
  <c r="AK97" i="77"/>
  <c r="AL97" i="77"/>
  <c r="AM97" i="77"/>
  <c r="AN97" i="77"/>
  <c r="AO97" i="77"/>
  <c r="AP97" i="77"/>
  <c r="AQ97" i="77"/>
  <c r="AR97" i="77"/>
  <c r="AS97" i="77"/>
  <c r="AT97" i="77"/>
  <c r="AU97" i="77"/>
  <c r="AW97" i="77"/>
  <c r="AX97" i="77"/>
  <c r="AY97" i="77"/>
  <c r="BA97" i="77"/>
  <c r="BC97" i="77"/>
  <c r="A98" i="77"/>
  <c r="B98" i="77"/>
  <c r="D98" i="77"/>
  <c r="E98" i="77"/>
  <c r="F98" i="77"/>
  <c r="G98" i="77"/>
  <c r="H98" i="77"/>
  <c r="J98" i="77"/>
  <c r="K98" i="77"/>
  <c r="M98" i="77"/>
  <c r="O98" i="77"/>
  <c r="P98" i="77"/>
  <c r="R98" i="77"/>
  <c r="S98" i="77"/>
  <c r="U98" i="77"/>
  <c r="V98" i="77"/>
  <c r="W98" i="77"/>
  <c r="X98" i="77"/>
  <c r="Z98" i="77"/>
  <c r="AA98" i="77"/>
  <c r="AB98" i="77"/>
  <c r="AC98" i="77"/>
  <c r="AD98" i="77"/>
  <c r="AE98" i="77"/>
  <c r="AF98" i="77"/>
  <c r="AG98" i="77"/>
  <c r="AH98" i="77"/>
  <c r="AI98" i="77"/>
  <c r="AJ98" i="77"/>
  <c r="AK98" i="77"/>
  <c r="AL98" i="77"/>
  <c r="AM98" i="77"/>
  <c r="AN98" i="77"/>
  <c r="AO98" i="77"/>
  <c r="AP98" i="77"/>
  <c r="AQ98" i="77"/>
  <c r="AR98" i="77"/>
  <c r="AS98" i="77"/>
  <c r="AT98" i="77"/>
  <c r="AU98" i="77"/>
  <c r="AW98" i="77"/>
  <c r="AX98" i="77"/>
  <c r="AY98" i="77"/>
  <c r="BA98" i="77"/>
  <c r="BC98" i="77"/>
  <c r="A99" i="77"/>
  <c r="B99" i="77"/>
  <c r="D99" i="77"/>
  <c r="E99" i="77"/>
  <c r="F99" i="77"/>
  <c r="G99" i="77"/>
  <c r="H99" i="77"/>
  <c r="J99" i="77"/>
  <c r="K99" i="77"/>
  <c r="M99" i="77"/>
  <c r="O99" i="77"/>
  <c r="P99" i="77"/>
  <c r="R99" i="77"/>
  <c r="S99" i="77"/>
  <c r="U99" i="77"/>
  <c r="V99" i="77"/>
  <c r="W99" i="77"/>
  <c r="X99" i="77"/>
  <c r="Z99" i="77"/>
  <c r="AA99" i="77"/>
  <c r="AB99" i="77"/>
  <c r="AC99" i="77"/>
  <c r="AD99" i="77"/>
  <c r="AE99" i="77"/>
  <c r="AF99" i="77"/>
  <c r="AG99" i="77"/>
  <c r="AH99" i="77"/>
  <c r="AI99" i="77"/>
  <c r="AJ99" i="77"/>
  <c r="AK99" i="77"/>
  <c r="AL99" i="77"/>
  <c r="AM99" i="77"/>
  <c r="AN99" i="77"/>
  <c r="AO99" i="77"/>
  <c r="AP99" i="77"/>
  <c r="AQ99" i="77"/>
  <c r="AR99" i="77"/>
  <c r="AS99" i="77"/>
  <c r="AT99" i="77"/>
  <c r="AU99" i="77"/>
  <c r="AW99" i="77"/>
  <c r="AX99" i="77"/>
  <c r="AY99" i="77"/>
  <c r="BA99" i="77"/>
  <c r="BC99" i="77"/>
  <c r="A100" i="77"/>
  <c r="B100" i="77"/>
  <c r="D100" i="77"/>
  <c r="E100" i="77"/>
  <c r="F100" i="77"/>
  <c r="G100" i="77"/>
  <c r="H100" i="77"/>
  <c r="J100" i="77"/>
  <c r="K100" i="77"/>
  <c r="M100" i="77"/>
  <c r="O100" i="77"/>
  <c r="P100" i="77"/>
  <c r="R100" i="77"/>
  <c r="S100" i="77"/>
  <c r="U100" i="77"/>
  <c r="V100" i="77"/>
  <c r="W100" i="77"/>
  <c r="X100" i="77"/>
  <c r="Z100" i="77"/>
  <c r="AA100" i="77"/>
  <c r="AB100" i="77"/>
  <c r="AC100" i="77"/>
  <c r="AD100" i="77"/>
  <c r="AE100" i="77"/>
  <c r="AF100" i="77"/>
  <c r="AG100" i="77"/>
  <c r="AH100" i="77"/>
  <c r="AI100" i="77"/>
  <c r="AJ100" i="77"/>
  <c r="AK100" i="77"/>
  <c r="AL100" i="77"/>
  <c r="AM100" i="77"/>
  <c r="AN100" i="77"/>
  <c r="AO100" i="77"/>
  <c r="AP100" i="77"/>
  <c r="AQ100" i="77"/>
  <c r="AR100" i="77"/>
  <c r="AS100" i="77"/>
  <c r="AT100" i="77"/>
  <c r="AU100" i="77"/>
  <c r="AW100" i="77"/>
  <c r="AX100" i="77"/>
  <c r="AY100" i="77"/>
  <c r="BA100" i="77"/>
  <c r="BC100" i="77"/>
  <c r="A101" i="77"/>
  <c r="B101" i="77"/>
  <c r="D101" i="77"/>
  <c r="E101" i="77"/>
  <c r="F101" i="77"/>
  <c r="G101" i="77"/>
  <c r="H101" i="77"/>
  <c r="J101" i="77"/>
  <c r="K101" i="77"/>
  <c r="M101" i="77"/>
  <c r="O101" i="77"/>
  <c r="P101" i="77"/>
  <c r="R101" i="77"/>
  <c r="S101" i="77"/>
  <c r="U101" i="77"/>
  <c r="V101" i="77"/>
  <c r="W101" i="77"/>
  <c r="X101" i="77"/>
  <c r="Z101" i="77"/>
  <c r="AA101" i="77"/>
  <c r="AB101" i="77"/>
  <c r="AC101" i="77"/>
  <c r="AD101" i="77"/>
  <c r="AE101" i="77"/>
  <c r="AF101" i="77"/>
  <c r="AG101" i="77"/>
  <c r="AH101" i="77"/>
  <c r="AI101" i="77"/>
  <c r="AJ101" i="77"/>
  <c r="AK101" i="77"/>
  <c r="AL101" i="77"/>
  <c r="AM101" i="77"/>
  <c r="AN101" i="77"/>
  <c r="AO101" i="77"/>
  <c r="AP101" i="77"/>
  <c r="AQ101" i="77"/>
  <c r="AR101" i="77"/>
  <c r="AS101" i="77"/>
  <c r="AT101" i="77"/>
  <c r="AU101" i="77"/>
  <c r="AW101" i="77"/>
  <c r="AX101" i="77"/>
  <c r="AY101" i="77"/>
  <c r="BA101" i="77"/>
  <c r="BC101" i="77"/>
  <c r="A102" i="77"/>
  <c r="B102" i="77"/>
  <c r="D102" i="77"/>
  <c r="E102" i="77"/>
  <c r="F102" i="77"/>
  <c r="G102" i="77"/>
  <c r="H102" i="77"/>
  <c r="J102" i="77"/>
  <c r="K102" i="77"/>
  <c r="M102" i="77"/>
  <c r="O102" i="77"/>
  <c r="P102" i="77"/>
  <c r="R102" i="77"/>
  <c r="S102" i="77"/>
  <c r="U102" i="77"/>
  <c r="V102" i="77"/>
  <c r="W102" i="77"/>
  <c r="X102" i="77"/>
  <c r="Z102" i="77"/>
  <c r="AA102" i="77"/>
  <c r="AB102" i="77"/>
  <c r="AC102" i="77"/>
  <c r="AD102" i="77"/>
  <c r="AE102" i="77"/>
  <c r="AF102" i="77"/>
  <c r="AG102" i="77"/>
  <c r="AH102" i="77"/>
  <c r="AI102" i="77"/>
  <c r="AJ102" i="77"/>
  <c r="AK102" i="77"/>
  <c r="AL102" i="77"/>
  <c r="AM102" i="77"/>
  <c r="AN102" i="77"/>
  <c r="AO102" i="77"/>
  <c r="AP102" i="77"/>
  <c r="AQ102" i="77"/>
  <c r="AR102" i="77"/>
  <c r="AS102" i="77"/>
  <c r="AT102" i="77"/>
  <c r="AU102" i="77"/>
  <c r="AW102" i="77"/>
  <c r="AX102" i="77"/>
  <c r="AY102" i="77"/>
  <c r="BA102" i="77"/>
  <c r="BC102" i="77"/>
  <c r="A103" i="77"/>
  <c r="B103" i="77"/>
  <c r="D103" i="77"/>
  <c r="E103" i="77"/>
  <c r="F103" i="77"/>
  <c r="G103" i="77"/>
  <c r="H103" i="77"/>
  <c r="J103" i="77"/>
  <c r="K103" i="77"/>
  <c r="M103" i="77"/>
  <c r="O103" i="77"/>
  <c r="P103" i="77"/>
  <c r="R103" i="77"/>
  <c r="S103" i="77"/>
  <c r="U103" i="77"/>
  <c r="V103" i="77"/>
  <c r="W103" i="77"/>
  <c r="X103" i="77"/>
  <c r="Z103" i="77"/>
  <c r="AA103" i="77"/>
  <c r="AB103" i="77"/>
  <c r="AC103" i="77"/>
  <c r="AD103" i="77"/>
  <c r="AE103" i="77"/>
  <c r="AF103" i="77"/>
  <c r="AG103" i="77"/>
  <c r="AH103" i="77"/>
  <c r="AI103" i="77"/>
  <c r="AJ103" i="77"/>
  <c r="AK103" i="77"/>
  <c r="AL103" i="77"/>
  <c r="AM103" i="77"/>
  <c r="AN103" i="77"/>
  <c r="AO103" i="77"/>
  <c r="AP103" i="77"/>
  <c r="AQ103" i="77"/>
  <c r="AR103" i="77"/>
  <c r="AS103" i="77"/>
  <c r="AT103" i="77"/>
  <c r="AU103" i="77"/>
  <c r="AW103" i="77"/>
  <c r="AX103" i="77"/>
  <c r="AY103" i="77"/>
  <c r="BA103" i="77"/>
  <c r="BC103" i="77"/>
  <c r="A104" i="77"/>
  <c r="B104" i="77"/>
  <c r="D104" i="77"/>
  <c r="E104" i="77"/>
  <c r="F104" i="77"/>
  <c r="G104" i="77"/>
  <c r="H104" i="77"/>
  <c r="J104" i="77"/>
  <c r="K104" i="77"/>
  <c r="M104" i="77"/>
  <c r="O104" i="77"/>
  <c r="P104" i="77"/>
  <c r="R104" i="77"/>
  <c r="S104" i="77"/>
  <c r="U104" i="77"/>
  <c r="V104" i="77"/>
  <c r="W104" i="77"/>
  <c r="X104" i="77"/>
  <c r="Z104" i="77"/>
  <c r="AA104" i="77"/>
  <c r="AB104" i="77"/>
  <c r="AC104" i="77"/>
  <c r="AD104" i="77"/>
  <c r="AE104" i="77"/>
  <c r="AF104" i="77"/>
  <c r="AG104" i="77"/>
  <c r="AH104" i="77"/>
  <c r="AI104" i="77"/>
  <c r="AJ104" i="77"/>
  <c r="AK104" i="77"/>
  <c r="AL104" i="77"/>
  <c r="AM104" i="77"/>
  <c r="AN104" i="77"/>
  <c r="AO104" i="77"/>
  <c r="AP104" i="77"/>
  <c r="AQ104" i="77"/>
  <c r="AR104" i="77"/>
  <c r="AS104" i="77"/>
  <c r="AT104" i="77"/>
  <c r="AU104" i="77"/>
  <c r="AW104" i="77"/>
  <c r="AX104" i="77"/>
  <c r="AY104" i="77"/>
  <c r="BA104" i="77"/>
  <c r="BC104" i="77"/>
  <c r="A105" i="77"/>
  <c r="B105" i="77"/>
  <c r="D105" i="77"/>
  <c r="E105" i="77"/>
  <c r="F105" i="77"/>
  <c r="G105" i="77"/>
  <c r="H105" i="77"/>
  <c r="J105" i="77"/>
  <c r="K105" i="77"/>
  <c r="M105" i="77"/>
  <c r="O105" i="77"/>
  <c r="P105" i="77"/>
  <c r="R105" i="77"/>
  <c r="S105" i="77"/>
  <c r="U105" i="77"/>
  <c r="V105" i="77"/>
  <c r="W105" i="77"/>
  <c r="X105" i="77"/>
  <c r="Z105" i="77"/>
  <c r="AA105" i="77"/>
  <c r="AB105" i="77"/>
  <c r="AC105" i="77"/>
  <c r="AD105" i="77"/>
  <c r="AE105" i="77"/>
  <c r="AF105" i="77"/>
  <c r="AG105" i="77"/>
  <c r="AH105" i="77"/>
  <c r="AI105" i="77"/>
  <c r="AJ105" i="77"/>
  <c r="AK105" i="77"/>
  <c r="AL105" i="77"/>
  <c r="AM105" i="77"/>
  <c r="AN105" i="77"/>
  <c r="AO105" i="77"/>
  <c r="AP105" i="77"/>
  <c r="AQ105" i="77"/>
  <c r="AR105" i="77"/>
  <c r="AS105" i="77"/>
  <c r="AT105" i="77"/>
  <c r="AU105" i="77"/>
  <c r="AW105" i="77"/>
  <c r="AX105" i="77"/>
  <c r="AY105" i="77"/>
  <c r="BA105" i="77"/>
  <c r="BC105" i="77"/>
  <c r="A106" i="77"/>
  <c r="B106" i="77"/>
  <c r="D106" i="77"/>
  <c r="E106" i="77"/>
  <c r="F106" i="77"/>
  <c r="G106" i="77"/>
  <c r="H106" i="77"/>
  <c r="J106" i="77"/>
  <c r="K106" i="77"/>
  <c r="M106" i="77"/>
  <c r="O106" i="77"/>
  <c r="P106" i="77"/>
  <c r="R106" i="77"/>
  <c r="S106" i="77"/>
  <c r="U106" i="77"/>
  <c r="V106" i="77"/>
  <c r="W106" i="77"/>
  <c r="X106" i="77"/>
  <c r="Z106" i="77"/>
  <c r="AA106" i="77"/>
  <c r="AB106" i="77"/>
  <c r="AC106" i="77"/>
  <c r="AD106" i="77"/>
  <c r="AE106" i="77"/>
  <c r="AF106" i="77"/>
  <c r="AG106" i="77"/>
  <c r="AH106" i="77"/>
  <c r="AI106" i="77"/>
  <c r="AJ106" i="77"/>
  <c r="AK106" i="77"/>
  <c r="AL106" i="77"/>
  <c r="AM106" i="77"/>
  <c r="AN106" i="77"/>
  <c r="AO106" i="77"/>
  <c r="AP106" i="77"/>
  <c r="AQ106" i="77"/>
  <c r="AR106" i="77"/>
  <c r="AS106" i="77"/>
  <c r="AT106" i="77"/>
  <c r="AU106" i="77"/>
  <c r="AW106" i="77"/>
  <c r="AX106" i="77"/>
  <c r="AY106" i="77"/>
  <c r="BA106" i="77"/>
  <c r="BC106" i="77"/>
  <c r="A107" i="77"/>
  <c r="B107" i="77"/>
  <c r="D107" i="77"/>
  <c r="E107" i="77"/>
  <c r="F107" i="77"/>
  <c r="G107" i="77"/>
  <c r="H107" i="77"/>
  <c r="J107" i="77"/>
  <c r="K107" i="77"/>
  <c r="M107" i="77"/>
  <c r="O107" i="77"/>
  <c r="P107" i="77"/>
  <c r="R107" i="77"/>
  <c r="S107" i="77"/>
  <c r="U107" i="77"/>
  <c r="V107" i="77"/>
  <c r="W107" i="77"/>
  <c r="X107" i="77"/>
  <c r="Z107" i="77"/>
  <c r="AA107" i="77"/>
  <c r="AB107" i="77"/>
  <c r="AC107" i="77"/>
  <c r="AD107" i="77"/>
  <c r="AE107" i="77"/>
  <c r="AF107" i="77"/>
  <c r="AG107" i="77"/>
  <c r="AH107" i="77"/>
  <c r="AI107" i="77"/>
  <c r="AJ107" i="77"/>
  <c r="AK107" i="77"/>
  <c r="AL107" i="77"/>
  <c r="AM107" i="77"/>
  <c r="AN107" i="77"/>
  <c r="AO107" i="77"/>
  <c r="AP107" i="77"/>
  <c r="AQ107" i="77"/>
  <c r="AR107" i="77"/>
  <c r="AS107" i="77"/>
  <c r="AT107" i="77"/>
  <c r="AU107" i="77"/>
  <c r="AW107" i="77"/>
  <c r="AX107" i="77"/>
  <c r="AY107" i="77"/>
  <c r="BA107" i="77"/>
  <c r="BC107" i="77"/>
  <c r="A108" i="77"/>
  <c r="B108" i="77"/>
  <c r="D108" i="77"/>
  <c r="E108" i="77"/>
  <c r="F108" i="77"/>
  <c r="G108" i="77"/>
  <c r="H108" i="77"/>
  <c r="J108" i="77"/>
  <c r="K108" i="77"/>
  <c r="M108" i="77"/>
  <c r="O108" i="77"/>
  <c r="P108" i="77"/>
  <c r="R108" i="77"/>
  <c r="S108" i="77"/>
  <c r="U108" i="77"/>
  <c r="V108" i="77"/>
  <c r="W108" i="77"/>
  <c r="X108" i="77"/>
  <c r="Z108" i="77"/>
  <c r="AA108" i="77"/>
  <c r="AB108" i="77"/>
  <c r="AC108" i="77"/>
  <c r="AD108" i="77"/>
  <c r="AE108" i="77"/>
  <c r="AF108" i="77"/>
  <c r="AG108" i="77"/>
  <c r="AH108" i="77"/>
  <c r="AI108" i="77"/>
  <c r="AJ108" i="77"/>
  <c r="AK108" i="77"/>
  <c r="AL108" i="77"/>
  <c r="AM108" i="77"/>
  <c r="AN108" i="77"/>
  <c r="AO108" i="77"/>
  <c r="AP108" i="77"/>
  <c r="AQ108" i="77"/>
  <c r="AR108" i="77"/>
  <c r="AS108" i="77"/>
  <c r="AT108" i="77"/>
  <c r="AU108" i="77"/>
  <c r="AW108" i="77"/>
  <c r="AX108" i="77"/>
  <c r="AY108" i="77"/>
  <c r="BA108" i="77"/>
  <c r="BC108" i="77"/>
  <c r="A109" i="77"/>
  <c r="B109" i="77"/>
  <c r="D109" i="77"/>
  <c r="E109" i="77"/>
  <c r="F109" i="77"/>
  <c r="G109" i="77"/>
  <c r="H109" i="77"/>
  <c r="J109" i="77"/>
  <c r="K109" i="77"/>
  <c r="M109" i="77"/>
  <c r="O109" i="77"/>
  <c r="P109" i="77"/>
  <c r="R109" i="77"/>
  <c r="S109" i="77"/>
  <c r="U109" i="77"/>
  <c r="V109" i="77"/>
  <c r="W109" i="77"/>
  <c r="X109" i="77"/>
  <c r="Z109" i="77"/>
  <c r="AA109" i="77"/>
  <c r="AB109" i="77"/>
  <c r="AC109" i="77"/>
  <c r="AD109" i="77"/>
  <c r="AE109" i="77"/>
  <c r="AF109" i="77"/>
  <c r="AG109" i="77"/>
  <c r="AH109" i="77"/>
  <c r="AI109" i="77"/>
  <c r="AJ109" i="77"/>
  <c r="AK109" i="77"/>
  <c r="AL109" i="77"/>
  <c r="AM109" i="77"/>
  <c r="AN109" i="77"/>
  <c r="AO109" i="77"/>
  <c r="AP109" i="77"/>
  <c r="AQ109" i="77"/>
  <c r="AR109" i="77"/>
  <c r="AS109" i="77"/>
  <c r="AT109" i="77"/>
  <c r="AU109" i="77"/>
  <c r="AW109" i="77"/>
  <c r="AX109" i="77"/>
  <c r="AY109" i="77"/>
  <c r="BA109" i="77"/>
  <c r="BC109" i="77"/>
  <c r="A110" i="77"/>
  <c r="B110" i="77"/>
  <c r="D110" i="77"/>
  <c r="E110" i="77"/>
  <c r="F110" i="77"/>
  <c r="G110" i="77"/>
  <c r="H110" i="77"/>
  <c r="J110" i="77"/>
  <c r="K110" i="77"/>
  <c r="M110" i="77"/>
  <c r="O110" i="77"/>
  <c r="P110" i="77"/>
  <c r="R110" i="77"/>
  <c r="S110" i="77"/>
  <c r="U110" i="77"/>
  <c r="V110" i="77"/>
  <c r="W110" i="77"/>
  <c r="X110" i="77"/>
  <c r="Z110" i="77"/>
  <c r="AA110" i="77"/>
  <c r="AB110" i="77"/>
  <c r="AC110" i="77"/>
  <c r="AD110" i="77"/>
  <c r="AE110" i="77"/>
  <c r="AF110" i="77"/>
  <c r="AG110" i="77"/>
  <c r="AH110" i="77"/>
  <c r="AI110" i="77"/>
  <c r="AJ110" i="77"/>
  <c r="AK110" i="77"/>
  <c r="AL110" i="77"/>
  <c r="AM110" i="77"/>
  <c r="AN110" i="77"/>
  <c r="AO110" i="77"/>
  <c r="AP110" i="77"/>
  <c r="AQ110" i="77"/>
  <c r="AR110" i="77"/>
  <c r="AS110" i="77"/>
  <c r="AT110" i="77"/>
  <c r="AU110" i="77"/>
  <c r="AW110" i="77"/>
  <c r="AX110" i="77"/>
  <c r="AY110" i="77"/>
  <c r="BA110" i="77"/>
  <c r="BC110" i="77"/>
  <c r="A111" i="77"/>
  <c r="B111" i="77"/>
  <c r="D111" i="77"/>
  <c r="E111" i="77"/>
  <c r="F111" i="77"/>
  <c r="G111" i="77"/>
  <c r="H111" i="77"/>
  <c r="J111" i="77"/>
  <c r="K111" i="77"/>
  <c r="M111" i="77"/>
  <c r="O111" i="77"/>
  <c r="P111" i="77"/>
  <c r="R111" i="77"/>
  <c r="S111" i="77"/>
  <c r="U111" i="77"/>
  <c r="V111" i="77"/>
  <c r="W111" i="77"/>
  <c r="X111" i="77"/>
  <c r="Z111" i="77"/>
  <c r="AA111" i="77"/>
  <c r="AB111" i="77"/>
  <c r="AC111" i="77"/>
  <c r="AD111" i="77"/>
  <c r="AE111" i="77"/>
  <c r="AF111" i="77"/>
  <c r="AG111" i="77"/>
  <c r="AH111" i="77"/>
  <c r="AI111" i="77"/>
  <c r="AJ111" i="77"/>
  <c r="AK111" i="77"/>
  <c r="AL111" i="77"/>
  <c r="AM111" i="77"/>
  <c r="AN111" i="77"/>
  <c r="AO111" i="77"/>
  <c r="AP111" i="77"/>
  <c r="AQ111" i="77"/>
  <c r="AR111" i="77"/>
  <c r="AS111" i="77"/>
  <c r="AT111" i="77"/>
  <c r="AU111" i="77"/>
  <c r="AW111" i="77"/>
  <c r="AX111" i="77"/>
  <c r="AY111" i="77"/>
  <c r="BA111" i="77"/>
  <c r="BC111" i="77"/>
  <c r="A112" i="77"/>
  <c r="B112" i="77"/>
  <c r="D112" i="77"/>
  <c r="E112" i="77"/>
  <c r="F112" i="77"/>
  <c r="G112" i="77"/>
  <c r="H112" i="77"/>
  <c r="J112" i="77"/>
  <c r="K112" i="77"/>
  <c r="M112" i="77"/>
  <c r="O112" i="77"/>
  <c r="P112" i="77"/>
  <c r="R112" i="77"/>
  <c r="S112" i="77"/>
  <c r="U112" i="77"/>
  <c r="V112" i="77"/>
  <c r="W112" i="77"/>
  <c r="X112" i="77"/>
  <c r="Z112" i="77"/>
  <c r="AA112" i="77"/>
  <c r="AB112" i="77"/>
  <c r="AC112" i="77"/>
  <c r="AD112" i="77"/>
  <c r="AE112" i="77"/>
  <c r="AF112" i="77"/>
  <c r="AG112" i="77"/>
  <c r="AH112" i="77"/>
  <c r="AI112" i="77"/>
  <c r="AJ112" i="77"/>
  <c r="AK112" i="77"/>
  <c r="AL112" i="77"/>
  <c r="AM112" i="77"/>
  <c r="AN112" i="77"/>
  <c r="AO112" i="77"/>
  <c r="AP112" i="77"/>
  <c r="AQ112" i="77"/>
  <c r="AR112" i="77"/>
  <c r="AS112" i="77"/>
  <c r="AT112" i="77"/>
  <c r="AU112" i="77"/>
  <c r="AW112" i="77"/>
  <c r="AX112" i="77"/>
  <c r="AY112" i="77"/>
  <c r="BA112" i="77"/>
  <c r="BC112" i="77"/>
  <c r="A113" i="77"/>
  <c r="B113" i="77"/>
  <c r="D113" i="77"/>
  <c r="E113" i="77"/>
  <c r="F113" i="77"/>
  <c r="G113" i="77"/>
  <c r="H113" i="77"/>
  <c r="J113" i="77"/>
  <c r="K113" i="77"/>
  <c r="M113" i="77"/>
  <c r="O113" i="77"/>
  <c r="P113" i="77"/>
  <c r="R113" i="77"/>
  <c r="S113" i="77"/>
  <c r="U113" i="77"/>
  <c r="V113" i="77"/>
  <c r="W113" i="77"/>
  <c r="X113" i="77"/>
  <c r="Z113" i="77"/>
  <c r="AA113" i="77"/>
  <c r="AB113" i="77"/>
  <c r="AC113" i="77"/>
  <c r="AD113" i="77"/>
  <c r="AE113" i="77"/>
  <c r="AF113" i="77"/>
  <c r="AG113" i="77"/>
  <c r="AH113" i="77"/>
  <c r="AI113" i="77"/>
  <c r="AJ113" i="77"/>
  <c r="AK113" i="77"/>
  <c r="AL113" i="77"/>
  <c r="AM113" i="77"/>
  <c r="AN113" i="77"/>
  <c r="AO113" i="77"/>
  <c r="AP113" i="77"/>
  <c r="AQ113" i="77"/>
  <c r="AR113" i="77"/>
  <c r="AS113" i="77"/>
  <c r="AT113" i="77"/>
  <c r="AU113" i="77"/>
  <c r="AW113" i="77"/>
  <c r="AX113" i="77"/>
  <c r="AY113" i="77"/>
  <c r="BA113" i="77"/>
  <c r="BC113" i="77"/>
  <c r="A114" i="77"/>
  <c r="B114" i="77"/>
  <c r="D114" i="77"/>
  <c r="E114" i="77"/>
  <c r="F114" i="77"/>
  <c r="G114" i="77"/>
  <c r="H114" i="77"/>
  <c r="J114" i="77"/>
  <c r="K114" i="77"/>
  <c r="M114" i="77"/>
  <c r="O114" i="77"/>
  <c r="P114" i="77"/>
  <c r="R114" i="77"/>
  <c r="S114" i="77"/>
  <c r="U114" i="77"/>
  <c r="V114" i="77"/>
  <c r="W114" i="77"/>
  <c r="X114" i="77"/>
  <c r="Z114" i="77"/>
  <c r="AA114" i="77"/>
  <c r="AB114" i="77"/>
  <c r="AC114" i="77"/>
  <c r="AD114" i="77"/>
  <c r="AE114" i="77"/>
  <c r="AF114" i="77"/>
  <c r="AG114" i="77"/>
  <c r="AH114" i="77"/>
  <c r="AI114" i="77"/>
  <c r="AJ114" i="77"/>
  <c r="AK114" i="77"/>
  <c r="AL114" i="77"/>
  <c r="AM114" i="77"/>
  <c r="AN114" i="77"/>
  <c r="AO114" i="77"/>
  <c r="AP114" i="77"/>
  <c r="AQ114" i="77"/>
  <c r="AR114" i="77"/>
  <c r="AS114" i="77"/>
  <c r="AT114" i="77"/>
  <c r="AU114" i="77"/>
  <c r="AW114" i="77"/>
  <c r="AX114" i="77"/>
  <c r="AY114" i="77"/>
  <c r="BA114" i="77"/>
  <c r="BC114" i="77"/>
  <c r="A115" i="77"/>
  <c r="B115" i="77"/>
  <c r="D115" i="77"/>
  <c r="E115" i="77"/>
  <c r="F115" i="77"/>
  <c r="G115" i="77"/>
  <c r="H115" i="77"/>
  <c r="J115" i="77"/>
  <c r="K115" i="77"/>
  <c r="M115" i="77"/>
  <c r="O115" i="77"/>
  <c r="P115" i="77"/>
  <c r="R115" i="77"/>
  <c r="S115" i="77"/>
  <c r="U115" i="77"/>
  <c r="V115" i="77"/>
  <c r="W115" i="77"/>
  <c r="X115" i="77"/>
  <c r="Z115" i="77"/>
  <c r="AA115" i="77"/>
  <c r="AB115" i="77"/>
  <c r="AC115" i="77"/>
  <c r="AD115" i="77"/>
  <c r="AE115" i="77"/>
  <c r="AF115" i="77"/>
  <c r="AG115" i="77"/>
  <c r="AH115" i="77"/>
  <c r="AI115" i="77"/>
  <c r="AJ115" i="77"/>
  <c r="AK115" i="77"/>
  <c r="AL115" i="77"/>
  <c r="AM115" i="77"/>
  <c r="AN115" i="77"/>
  <c r="AO115" i="77"/>
  <c r="AP115" i="77"/>
  <c r="AQ115" i="77"/>
  <c r="AR115" i="77"/>
  <c r="AS115" i="77"/>
  <c r="AT115" i="77"/>
  <c r="AU115" i="77"/>
  <c r="AW115" i="77"/>
  <c r="AX115" i="77"/>
  <c r="AY115" i="77"/>
  <c r="BA115" i="77"/>
  <c r="BC115" i="77"/>
  <c r="A116" i="77"/>
  <c r="B116" i="77"/>
  <c r="D116" i="77"/>
  <c r="E116" i="77"/>
  <c r="F116" i="77"/>
  <c r="G116" i="77"/>
  <c r="H116" i="77"/>
  <c r="J116" i="77"/>
  <c r="K116" i="77"/>
  <c r="M116" i="77"/>
  <c r="O116" i="77"/>
  <c r="P116" i="77"/>
  <c r="R116" i="77"/>
  <c r="S116" i="77"/>
  <c r="U116" i="77"/>
  <c r="V116" i="77"/>
  <c r="W116" i="77"/>
  <c r="X116" i="77"/>
  <c r="Z116" i="77"/>
  <c r="AA116" i="77"/>
  <c r="AB116" i="77"/>
  <c r="AC116" i="77"/>
  <c r="AD116" i="77"/>
  <c r="AE116" i="77"/>
  <c r="AF116" i="77"/>
  <c r="AG116" i="77"/>
  <c r="AH116" i="77"/>
  <c r="AI116" i="77"/>
  <c r="AJ116" i="77"/>
  <c r="AK116" i="77"/>
  <c r="AL116" i="77"/>
  <c r="AM116" i="77"/>
  <c r="AN116" i="77"/>
  <c r="AO116" i="77"/>
  <c r="AP116" i="77"/>
  <c r="AQ116" i="77"/>
  <c r="AR116" i="77"/>
  <c r="AS116" i="77"/>
  <c r="AT116" i="77"/>
  <c r="AU116" i="77"/>
  <c r="AW116" i="77"/>
  <c r="AX116" i="77"/>
  <c r="AY116" i="77"/>
  <c r="BA116" i="77"/>
  <c r="BC116" i="77"/>
  <c r="A117" i="77"/>
  <c r="B117" i="77"/>
  <c r="D117" i="77"/>
  <c r="E117" i="77"/>
  <c r="F117" i="77"/>
  <c r="G117" i="77"/>
  <c r="H117" i="77"/>
  <c r="J117" i="77"/>
  <c r="K117" i="77"/>
  <c r="M117" i="77"/>
  <c r="O117" i="77"/>
  <c r="P117" i="77"/>
  <c r="R117" i="77"/>
  <c r="S117" i="77"/>
  <c r="U117" i="77"/>
  <c r="V117" i="77"/>
  <c r="W117" i="77"/>
  <c r="X117" i="77"/>
  <c r="Z117" i="77"/>
  <c r="AA117" i="77"/>
  <c r="AB117" i="77"/>
  <c r="AC117" i="77"/>
  <c r="AD117" i="77"/>
  <c r="AE117" i="77"/>
  <c r="AF117" i="77"/>
  <c r="AG117" i="77"/>
  <c r="AH117" i="77"/>
  <c r="AI117" i="77"/>
  <c r="AJ117" i="77"/>
  <c r="AK117" i="77"/>
  <c r="AL117" i="77"/>
  <c r="AM117" i="77"/>
  <c r="AN117" i="77"/>
  <c r="AO117" i="77"/>
  <c r="AP117" i="77"/>
  <c r="AQ117" i="77"/>
  <c r="AR117" i="77"/>
  <c r="AS117" i="77"/>
  <c r="AT117" i="77"/>
  <c r="AU117" i="77"/>
  <c r="AW117" i="77"/>
  <c r="AX117" i="77"/>
  <c r="AY117" i="77"/>
  <c r="BA117" i="77"/>
  <c r="BC117" i="77"/>
  <c r="A118" i="77"/>
  <c r="B118" i="77"/>
  <c r="D118" i="77"/>
  <c r="E118" i="77"/>
  <c r="F118" i="77"/>
  <c r="G118" i="77"/>
  <c r="H118" i="77"/>
  <c r="J118" i="77"/>
  <c r="K118" i="77"/>
  <c r="M118" i="77"/>
  <c r="O118" i="77"/>
  <c r="P118" i="77"/>
  <c r="R118" i="77"/>
  <c r="S118" i="77"/>
  <c r="U118" i="77"/>
  <c r="V118" i="77"/>
  <c r="W118" i="77"/>
  <c r="X118" i="77"/>
  <c r="Z118" i="77"/>
  <c r="AA118" i="77"/>
  <c r="AB118" i="77"/>
  <c r="AC118" i="77"/>
  <c r="AD118" i="77"/>
  <c r="AE118" i="77"/>
  <c r="AF118" i="77"/>
  <c r="AG118" i="77"/>
  <c r="AH118" i="77"/>
  <c r="AI118" i="77"/>
  <c r="AJ118" i="77"/>
  <c r="AK118" i="77"/>
  <c r="AL118" i="77"/>
  <c r="AM118" i="77"/>
  <c r="AN118" i="77"/>
  <c r="AO118" i="77"/>
  <c r="AP118" i="77"/>
  <c r="AQ118" i="77"/>
  <c r="AR118" i="77"/>
  <c r="AS118" i="77"/>
  <c r="AT118" i="77"/>
  <c r="AU118" i="77"/>
  <c r="AW118" i="77"/>
  <c r="AX118" i="77"/>
  <c r="AY118" i="77"/>
  <c r="BA118" i="77"/>
  <c r="BC118" i="77"/>
  <c r="A119" i="77"/>
  <c r="B119" i="77"/>
  <c r="D119" i="77"/>
  <c r="E119" i="77"/>
  <c r="F119" i="77"/>
  <c r="G119" i="77"/>
  <c r="H119" i="77"/>
  <c r="J119" i="77"/>
  <c r="K119" i="77"/>
  <c r="M119" i="77"/>
  <c r="O119" i="77"/>
  <c r="P119" i="77"/>
  <c r="R119" i="77"/>
  <c r="S119" i="77"/>
  <c r="U119" i="77"/>
  <c r="V119" i="77"/>
  <c r="W119" i="77"/>
  <c r="X119" i="77"/>
  <c r="Z119" i="77"/>
  <c r="AA119" i="77"/>
  <c r="AB119" i="77"/>
  <c r="AC119" i="77"/>
  <c r="AD119" i="77"/>
  <c r="AE119" i="77"/>
  <c r="AF119" i="77"/>
  <c r="AG119" i="77"/>
  <c r="AH119" i="77"/>
  <c r="AI119" i="77"/>
  <c r="AJ119" i="77"/>
  <c r="AK119" i="77"/>
  <c r="AL119" i="77"/>
  <c r="AM119" i="77"/>
  <c r="AN119" i="77"/>
  <c r="AO119" i="77"/>
  <c r="AP119" i="77"/>
  <c r="AQ119" i="77"/>
  <c r="AR119" i="77"/>
  <c r="AS119" i="77"/>
  <c r="AT119" i="77"/>
  <c r="AU119" i="77"/>
  <c r="AW119" i="77"/>
  <c r="AX119" i="77"/>
  <c r="AY119" i="77"/>
  <c r="BA119" i="77"/>
  <c r="BC119" i="77"/>
  <c r="A120" i="77"/>
  <c r="B120" i="77"/>
  <c r="D120" i="77"/>
  <c r="E120" i="77"/>
  <c r="F120" i="77"/>
  <c r="G120" i="77"/>
  <c r="H120" i="77"/>
  <c r="J120" i="77"/>
  <c r="K120" i="77"/>
  <c r="M120" i="77"/>
  <c r="O120" i="77"/>
  <c r="P120" i="77"/>
  <c r="R120" i="77"/>
  <c r="S120" i="77"/>
  <c r="U120" i="77"/>
  <c r="V120" i="77"/>
  <c r="W120" i="77"/>
  <c r="X120" i="77"/>
  <c r="Z120" i="77"/>
  <c r="AA120" i="77"/>
  <c r="AB120" i="77"/>
  <c r="AC120" i="77"/>
  <c r="AD120" i="77"/>
  <c r="AE120" i="77"/>
  <c r="AF120" i="77"/>
  <c r="AG120" i="77"/>
  <c r="AH120" i="77"/>
  <c r="AI120" i="77"/>
  <c r="AJ120" i="77"/>
  <c r="AK120" i="77"/>
  <c r="AL120" i="77"/>
  <c r="AM120" i="77"/>
  <c r="AN120" i="77"/>
  <c r="AO120" i="77"/>
  <c r="AP120" i="77"/>
  <c r="AQ120" i="77"/>
  <c r="AR120" i="77"/>
  <c r="AS120" i="77"/>
  <c r="AT120" i="77"/>
  <c r="AU120" i="77"/>
  <c r="AW120" i="77"/>
  <c r="AX120" i="77"/>
  <c r="AY120" i="77"/>
  <c r="BA120" i="77"/>
  <c r="BC120" i="77"/>
  <c r="A121" i="77"/>
  <c r="B121" i="77"/>
  <c r="D121" i="77"/>
  <c r="E121" i="77"/>
  <c r="F121" i="77"/>
  <c r="G121" i="77"/>
  <c r="H121" i="77"/>
  <c r="J121" i="77"/>
  <c r="K121" i="77"/>
  <c r="M121" i="77"/>
  <c r="O121" i="77"/>
  <c r="P121" i="77"/>
  <c r="R121" i="77"/>
  <c r="S121" i="77"/>
  <c r="U121" i="77"/>
  <c r="V121" i="77"/>
  <c r="W121" i="77"/>
  <c r="X121" i="77"/>
  <c r="Z121" i="77"/>
  <c r="AA121" i="77"/>
  <c r="AB121" i="77"/>
  <c r="AC121" i="77"/>
  <c r="AD121" i="77"/>
  <c r="AE121" i="77"/>
  <c r="AF121" i="77"/>
  <c r="AG121" i="77"/>
  <c r="AH121" i="77"/>
  <c r="AI121" i="77"/>
  <c r="AJ121" i="77"/>
  <c r="AK121" i="77"/>
  <c r="AL121" i="77"/>
  <c r="AM121" i="77"/>
  <c r="AN121" i="77"/>
  <c r="AO121" i="77"/>
  <c r="AP121" i="77"/>
  <c r="AQ121" i="77"/>
  <c r="AR121" i="77"/>
  <c r="AS121" i="77"/>
  <c r="AT121" i="77"/>
  <c r="AU121" i="77"/>
  <c r="AW121" i="77"/>
  <c r="AX121" i="77"/>
  <c r="AY121" i="77"/>
  <c r="BA121" i="77"/>
  <c r="BC121" i="77"/>
  <c r="A122" i="77"/>
  <c r="B122" i="77"/>
  <c r="D122" i="77"/>
  <c r="E122" i="77"/>
  <c r="F122" i="77"/>
  <c r="G122" i="77"/>
  <c r="H122" i="77"/>
  <c r="J122" i="77"/>
  <c r="K122" i="77"/>
  <c r="M122" i="77"/>
  <c r="O122" i="77"/>
  <c r="P122" i="77"/>
  <c r="R122" i="77"/>
  <c r="S122" i="77"/>
  <c r="U122" i="77"/>
  <c r="V122" i="77"/>
  <c r="W122" i="77"/>
  <c r="X122" i="77"/>
  <c r="Z122" i="77"/>
  <c r="AA122" i="77"/>
  <c r="AB122" i="77"/>
  <c r="AC122" i="77"/>
  <c r="AD122" i="77"/>
  <c r="AE122" i="77"/>
  <c r="AF122" i="77"/>
  <c r="AG122" i="77"/>
  <c r="AH122" i="77"/>
  <c r="AI122" i="77"/>
  <c r="AJ122" i="77"/>
  <c r="AK122" i="77"/>
  <c r="AL122" i="77"/>
  <c r="AM122" i="77"/>
  <c r="AN122" i="77"/>
  <c r="AO122" i="77"/>
  <c r="AP122" i="77"/>
  <c r="AQ122" i="77"/>
  <c r="AR122" i="77"/>
  <c r="AS122" i="77"/>
  <c r="AT122" i="77"/>
  <c r="AU122" i="77"/>
  <c r="AW122" i="77"/>
  <c r="AX122" i="77"/>
  <c r="AY122" i="77"/>
  <c r="BA122" i="77"/>
  <c r="BC122" i="77"/>
  <c r="A123" i="77"/>
  <c r="B123" i="77"/>
  <c r="D123" i="77"/>
  <c r="E123" i="77"/>
  <c r="F123" i="77"/>
  <c r="G123" i="77"/>
  <c r="H123" i="77"/>
  <c r="J123" i="77"/>
  <c r="K123" i="77"/>
  <c r="M123" i="77"/>
  <c r="O123" i="77"/>
  <c r="P123" i="77"/>
  <c r="R123" i="77"/>
  <c r="S123" i="77"/>
  <c r="U123" i="77"/>
  <c r="V123" i="77"/>
  <c r="W123" i="77"/>
  <c r="X123" i="77"/>
  <c r="Z123" i="77"/>
  <c r="AA123" i="77"/>
  <c r="AB123" i="77"/>
  <c r="AC123" i="77"/>
  <c r="AD123" i="77"/>
  <c r="AE123" i="77"/>
  <c r="AF123" i="77"/>
  <c r="AG123" i="77"/>
  <c r="AH123" i="77"/>
  <c r="AI123" i="77"/>
  <c r="AJ123" i="77"/>
  <c r="AK123" i="77"/>
  <c r="AL123" i="77"/>
  <c r="AM123" i="77"/>
  <c r="AN123" i="77"/>
  <c r="AO123" i="77"/>
  <c r="AP123" i="77"/>
  <c r="AQ123" i="77"/>
  <c r="AR123" i="77"/>
  <c r="AS123" i="77"/>
  <c r="AT123" i="77"/>
  <c r="AU123" i="77"/>
  <c r="AW123" i="77"/>
  <c r="AX123" i="77"/>
  <c r="AY123" i="77"/>
  <c r="BA123" i="77"/>
  <c r="BC123" i="77"/>
  <c r="A124" i="77"/>
  <c r="B124" i="77"/>
  <c r="D124" i="77"/>
  <c r="E124" i="77"/>
  <c r="F124" i="77"/>
  <c r="G124" i="77"/>
  <c r="H124" i="77"/>
  <c r="J124" i="77"/>
  <c r="K124" i="77"/>
  <c r="M124" i="77"/>
  <c r="O124" i="77"/>
  <c r="P124" i="77"/>
  <c r="R124" i="77"/>
  <c r="S124" i="77"/>
  <c r="U124" i="77"/>
  <c r="V124" i="77"/>
  <c r="W124" i="77"/>
  <c r="X124" i="77"/>
  <c r="Z124" i="77"/>
  <c r="AA124" i="77"/>
  <c r="AB124" i="77"/>
  <c r="AC124" i="77"/>
  <c r="AD124" i="77"/>
  <c r="AE124" i="77"/>
  <c r="AF124" i="77"/>
  <c r="AG124" i="77"/>
  <c r="AH124" i="77"/>
  <c r="AI124" i="77"/>
  <c r="AJ124" i="77"/>
  <c r="AK124" i="77"/>
  <c r="AL124" i="77"/>
  <c r="AM124" i="77"/>
  <c r="AN124" i="77"/>
  <c r="AO124" i="77"/>
  <c r="AP124" i="77"/>
  <c r="AQ124" i="77"/>
  <c r="AR124" i="77"/>
  <c r="AS124" i="77"/>
  <c r="AT124" i="77"/>
  <c r="AU124" i="77"/>
  <c r="AW124" i="77"/>
  <c r="AX124" i="77"/>
  <c r="AY124" i="77"/>
  <c r="BA124" i="77"/>
  <c r="BC124" i="77"/>
  <c r="A125" i="77"/>
  <c r="B125" i="77"/>
  <c r="D125" i="77"/>
  <c r="E125" i="77"/>
  <c r="F125" i="77"/>
  <c r="G125" i="77"/>
  <c r="H125" i="77"/>
  <c r="J125" i="77"/>
  <c r="K125" i="77"/>
  <c r="M125" i="77"/>
  <c r="O125" i="77"/>
  <c r="P125" i="77"/>
  <c r="R125" i="77"/>
  <c r="S125" i="77"/>
  <c r="U125" i="77"/>
  <c r="V125" i="77"/>
  <c r="W125" i="77"/>
  <c r="X125" i="77"/>
  <c r="Z125" i="77"/>
  <c r="AA125" i="77"/>
  <c r="AB125" i="77"/>
  <c r="AC125" i="77"/>
  <c r="AD125" i="77"/>
  <c r="AE125" i="77"/>
  <c r="AF125" i="77"/>
  <c r="AG125" i="77"/>
  <c r="AH125" i="77"/>
  <c r="AI125" i="77"/>
  <c r="AJ125" i="77"/>
  <c r="AK125" i="77"/>
  <c r="AL125" i="77"/>
  <c r="AM125" i="77"/>
  <c r="AN125" i="77"/>
  <c r="AO125" i="77"/>
  <c r="AP125" i="77"/>
  <c r="AQ125" i="77"/>
  <c r="AR125" i="77"/>
  <c r="AS125" i="77"/>
  <c r="AT125" i="77"/>
  <c r="AU125" i="77"/>
  <c r="AW125" i="77"/>
  <c r="AX125" i="77"/>
  <c r="AY125" i="77"/>
  <c r="BA125" i="77"/>
  <c r="BC125" i="77"/>
  <c r="A126" i="77"/>
  <c r="B126" i="77"/>
  <c r="D126" i="77"/>
  <c r="E126" i="77"/>
  <c r="F126" i="77"/>
  <c r="G126" i="77"/>
  <c r="H126" i="77"/>
  <c r="J126" i="77"/>
  <c r="K126" i="77"/>
  <c r="M126" i="77"/>
  <c r="O126" i="77"/>
  <c r="P126" i="77"/>
  <c r="R126" i="77"/>
  <c r="S126" i="77"/>
  <c r="U126" i="77"/>
  <c r="V126" i="77"/>
  <c r="W126" i="77"/>
  <c r="X126" i="77"/>
  <c r="Z126" i="77"/>
  <c r="AA126" i="77"/>
  <c r="AB126" i="77"/>
  <c r="AC126" i="77"/>
  <c r="AD126" i="77"/>
  <c r="AE126" i="77"/>
  <c r="AF126" i="77"/>
  <c r="AG126" i="77"/>
  <c r="AH126" i="77"/>
  <c r="AI126" i="77"/>
  <c r="AJ126" i="77"/>
  <c r="AK126" i="77"/>
  <c r="AL126" i="77"/>
  <c r="AM126" i="77"/>
  <c r="AN126" i="77"/>
  <c r="AO126" i="77"/>
  <c r="AP126" i="77"/>
  <c r="AQ126" i="77"/>
  <c r="AR126" i="77"/>
  <c r="AS126" i="77"/>
  <c r="AT126" i="77"/>
  <c r="AU126" i="77"/>
  <c r="AW126" i="77"/>
  <c r="AX126" i="77"/>
  <c r="AY126" i="77"/>
  <c r="BA126" i="77"/>
  <c r="BC126" i="77"/>
  <c r="A127" i="77"/>
  <c r="B127" i="77"/>
  <c r="D127" i="77"/>
  <c r="E127" i="77"/>
  <c r="F127" i="77"/>
  <c r="G127" i="77"/>
  <c r="H127" i="77"/>
  <c r="J127" i="77"/>
  <c r="K127" i="77"/>
  <c r="M127" i="77"/>
  <c r="O127" i="77"/>
  <c r="P127" i="77"/>
  <c r="R127" i="77"/>
  <c r="S127" i="77"/>
  <c r="U127" i="77"/>
  <c r="V127" i="77"/>
  <c r="W127" i="77"/>
  <c r="X127" i="77"/>
  <c r="Z127" i="77"/>
  <c r="AA127" i="77"/>
  <c r="AB127" i="77"/>
  <c r="AC127" i="77"/>
  <c r="AD127" i="77"/>
  <c r="AE127" i="77"/>
  <c r="AF127" i="77"/>
  <c r="AG127" i="77"/>
  <c r="AH127" i="77"/>
  <c r="AI127" i="77"/>
  <c r="AJ127" i="77"/>
  <c r="AK127" i="77"/>
  <c r="AL127" i="77"/>
  <c r="AM127" i="77"/>
  <c r="AN127" i="77"/>
  <c r="AO127" i="77"/>
  <c r="AP127" i="77"/>
  <c r="AQ127" i="77"/>
  <c r="AR127" i="77"/>
  <c r="AS127" i="77"/>
  <c r="AT127" i="77"/>
  <c r="AU127" i="77"/>
  <c r="AW127" i="77"/>
  <c r="AX127" i="77"/>
  <c r="AY127" i="77"/>
  <c r="BA127" i="77"/>
  <c r="BC127" i="77"/>
  <c r="A128" i="77"/>
  <c r="B128" i="77"/>
  <c r="D128" i="77"/>
  <c r="E128" i="77"/>
  <c r="F128" i="77"/>
  <c r="G128" i="77"/>
  <c r="H128" i="77"/>
  <c r="J128" i="77"/>
  <c r="K128" i="77"/>
  <c r="M128" i="77"/>
  <c r="O128" i="77"/>
  <c r="P128" i="77"/>
  <c r="R128" i="77"/>
  <c r="S128" i="77"/>
  <c r="U128" i="77"/>
  <c r="V128" i="77"/>
  <c r="W128" i="77"/>
  <c r="X128" i="77"/>
  <c r="Z128" i="77"/>
  <c r="AA128" i="77"/>
  <c r="AB128" i="77"/>
  <c r="AC128" i="77"/>
  <c r="AD128" i="77"/>
  <c r="AE128" i="77"/>
  <c r="AF128" i="77"/>
  <c r="AG128" i="77"/>
  <c r="AH128" i="77"/>
  <c r="AI128" i="77"/>
  <c r="AJ128" i="77"/>
  <c r="AK128" i="77"/>
  <c r="AL128" i="77"/>
  <c r="AM128" i="77"/>
  <c r="AN128" i="77"/>
  <c r="AO128" i="77"/>
  <c r="AP128" i="77"/>
  <c r="AQ128" i="77"/>
  <c r="AR128" i="77"/>
  <c r="AS128" i="77"/>
  <c r="AT128" i="77"/>
  <c r="AU128" i="77"/>
  <c r="AW128" i="77"/>
  <c r="AX128" i="77"/>
  <c r="AY128" i="77"/>
  <c r="BA128" i="77"/>
  <c r="BC128" i="77"/>
  <c r="A129" i="77"/>
  <c r="B129" i="77"/>
  <c r="D129" i="77"/>
  <c r="E129" i="77"/>
  <c r="F129" i="77"/>
  <c r="G129" i="77"/>
  <c r="H129" i="77"/>
  <c r="J129" i="77"/>
  <c r="K129" i="77"/>
  <c r="M129" i="77"/>
  <c r="O129" i="77"/>
  <c r="P129" i="77"/>
  <c r="R129" i="77"/>
  <c r="S129" i="77"/>
  <c r="U129" i="77"/>
  <c r="V129" i="77"/>
  <c r="W129" i="77"/>
  <c r="X129" i="77"/>
  <c r="Z129" i="77"/>
  <c r="AA129" i="77"/>
  <c r="AB129" i="77"/>
  <c r="AC129" i="77"/>
  <c r="AD129" i="77"/>
  <c r="AE129" i="77"/>
  <c r="AF129" i="77"/>
  <c r="AG129" i="77"/>
  <c r="AH129" i="77"/>
  <c r="AI129" i="77"/>
  <c r="AJ129" i="77"/>
  <c r="AK129" i="77"/>
  <c r="AL129" i="77"/>
  <c r="AM129" i="77"/>
  <c r="AN129" i="77"/>
  <c r="AO129" i="77"/>
  <c r="AP129" i="77"/>
  <c r="AQ129" i="77"/>
  <c r="AR129" i="77"/>
  <c r="AS129" i="77"/>
  <c r="AT129" i="77"/>
  <c r="AU129" i="77"/>
  <c r="AW129" i="77"/>
  <c r="AX129" i="77"/>
  <c r="AY129" i="77"/>
  <c r="BA129" i="77"/>
  <c r="BC129" i="77"/>
  <c r="A130" i="77"/>
  <c r="B130" i="77"/>
  <c r="D130" i="77"/>
  <c r="E130" i="77"/>
  <c r="F130" i="77"/>
  <c r="G130" i="77"/>
  <c r="H130" i="77"/>
  <c r="J130" i="77"/>
  <c r="K130" i="77"/>
  <c r="M130" i="77"/>
  <c r="O130" i="77"/>
  <c r="P130" i="77"/>
  <c r="R130" i="77"/>
  <c r="S130" i="77"/>
  <c r="U130" i="77"/>
  <c r="V130" i="77"/>
  <c r="W130" i="77"/>
  <c r="X130" i="77"/>
  <c r="Z130" i="77"/>
  <c r="AA130" i="77"/>
  <c r="AB130" i="77"/>
  <c r="AC130" i="77"/>
  <c r="AD130" i="77"/>
  <c r="AE130" i="77"/>
  <c r="AF130" i="77"/>
  <c r="AG130" i="77"/>
  <c r="AH130" i="77"/>
  <c r="AI130" i="77"/>
  <c r="AJ130" i="77"/>
  <c r="AK130" i="77"/>
  <c r="AL130" i="77"/>
  <c r="AM130" i="77"/>
  <c r="AN130" i="77"/>
  <c r="AO130" i="77"/>
  <c r="AP130" i="77"/>
  <c r="AQ130" i="77"/>
  <c r="AR130" i="77"/>
  <c r="AS130" i="77"/>
  <c r="AT130" i="77"/>
  <c r="AU130" i="77"/>
  <c r="AW130" i="77"/>
  <c r="AX130" i="77"/>
  <c r="AY130" i="77"/>
  <c r="BA130" i="77"/>
  <c r="BC130" i="77"/>
  <c r="A131" i="77"/>
  <c r="B131" i="77"/>
  <c r="D131" i="77"/>
  <c r="E131" i="77"/>
  <c r="F131" i="77"/>
  <c r="G131" i="77"/>
  <c r="H131" i="77"/>
  <c r="J131" i="77"/>
  <c r="K131" i="77"/>
  <c r="M131" i="77"/>
  <c r="O131" i="77"/>
  <c r="P131" i="77"/>
  <c r="R131" i="77"/>
  <c r="S131" i="77"/>
  <c r="U131" i="77"/>
  <c r="V131" i="77"/>
  <c r="W131" i="77"/>
  <c r="X131" i="77"/>
  <c r="Z131" i="77"/>
  <c r="AA131" i="77"/>
  <c r="AB131" i="77"/>
  <c r="AC131" i="77"/>
  <c r="AD131" i="77"/>
  <c r="AE131" i="77"/>
  <c r="AF131" i="77"/>
  <c r="AG131" i="77"/>
  <c r="AH131" i="77"/>
  <c r="AI131" i="77"/>
  <c r="AJ131" i="77"/>
  <c r="AK131" i="77"/>
  <c r="AL131" i="77"/>
  <c r="AM131" i="77"/>
  <c r="AN131" i="77"/>
  <c r="AO131" i="77"/>
  <c r="AP131" i="77"/>
  <c r="AQ131" i="77"/>
  <c r="AR131" i="77"/>
  <c r="AS131" i="77"/>
  <c r="AT131" i="77"/>
  <c r="AU131" i="77"/>
  <c r="AW131" i="77"/>
  <c r="AX131" i="77"/>
  <c r="AY131" i="77"/>
  <c r="BA131" i="77"/>
  <c r="BC131" i="77"/>
  <c r="A132" i="77"/>
  <c r="B132" i="77"/>
  <c r="D132" i="77"/>
  <c r="E132" i="77"/>
  <c r="F132" i="77"/>
  <c r="G132" i="77"/>
  <c r="H132" i="77"/>
  <c r="J132" i="77"/>
  <c r="K132" i="77"/>
  <c r="M132" i="77"/>
  <c r="O132" i="77"/>
  <c r="P132" i="77"/>
  <c r="R132" i="77"/>
  <c r="S132" i="77"/>
  <c r="U132" i="77"/>
  <c r="V132" i="77"/>
  <c r="W132" i="77"/>
  <c r="X132" i="77"/>
  <c r="Z132" i="77"/>
  <c r="AA132" i="77"/>
  <c r="AB132" i="77"/>
  <c r="AC132" i="77"/>
  <c r="AD132" i="77"/>
  <c r="AE132" i="77"/>
  <c r="AF132" i="77"/>
  <c r="AG132" i="77"/>
  <c r="AH132" i="77"/>
  <c r="AI132" i="77"/>
  <c r="AJ132" i="77"/>
  <c r="AK132" i="77"/>
  <c r="AL132" i="77"/>
  <c r="AM132" i="77"/>
  <c r="AN132" i="77"/>
  <c r="AO132" i="77"/>
  <c r="AP132" i="77"/>
  <c r="AQ132" i="77"/>
  <c r="AR132" i="77"/>
  <c r="AS132" i="77"/>
  <c r="AT132" i="77"/>
  <c r="AU132" i="77"/>
  <c r="AW132" i="77"/>
  <c r="AX132" i="77"/>
  <c r="AY132" i="77"/>
  <c r="BA132" i="77"/>
  <c r="BC132" i="77"/>
  <c r="A133" i="77"/>
  <c r="B133" i="77"/>
  <c r="D133" i="77"/>
  <c r="E133" i="77"/>
  <c r="F133" i="77"/>
  <c r="G133" i="77"/>
  <c r="H133" i="77"/>
  <c r="J133" i="77"/>
  <c r="K133" i="77"/>
  <c r="M133" i="77"/>
  <c r="O133" i="77"/>
  <c r="P133" i="77"/>
  <c r="R133" i="77"/>
  <c r="S133" i="77"/>
  <c r="U133" i="77"/>
  <c r="V133" i="77"/>
  <c r="W133" i="77"/>
  <c r="X133" i="77"/>
  <c r="Z133" i="77"/>
  <c r="AA133" i="77"/>
  <c r="AB133" i="77"/>
  <c r="AC133" i="77"/>
  <c r="AD133" i="77"/>
  <c r="AE133" i="77"/>
  <c r="AF133" i="77"/>
  <c r="AG133" i="77"/>
  <c r="AH133" i="77"/>
  <c r="AI133" i="77"/>
  <c r="AJ133" i="77"/>
  <c r="AK133" i="77"/>
  <c r="AL133" i="77"/>
  <c r="AM133" i="77"/>
  <c r="AN133" i="77"/>
  <c r="AO133" i="77"/>
  <c r="AP133" i="77"/>
  <c r="AQ133" i="77"/>
  <c r="AR133" i="77"/>
  <c r="AS133" i="77"/>
  <c r="AT133" i="77"/>
  <c r="AU133" i="77"/>
  <c r="AW133" i="77"/>
  <c r="AX133" i="77"/>
  <c r="AY133" i="77"/>
  <c r="BA133" i="77"/>
  <c r="BC133" i="77"/>
  <c r="A134" i="77"/>
  <c r="B134" i="77"/>
  <c r="D134" i="77"/>
  <c r="E134" i="77"/>
  <c r="F134" i="77"/>
  <c r="G134" i="77"/>
  <c r="H134" i="77"/>
  <c r="J134" i="77"/>
  <c r="K134" i="77"/>
  <c r="M134" i="77"/>
  <c r="O134" i="77"/>
  <c r="P134" i="77"/>
  <c r="R134" i="77"/>
  <c r="S134" i="77"/>
  <c r="U134" i="77"/>
  <c r="V134" i="77"/>
  <c r="W134" i="77"/>
  <c r="X134" i="77"/>
  <c r="Z134" i="77"/>
  <c r="AA134" i="77"/>
  <c r="AB134" i="77"/>
  <c r="AC134" i="77"/>
  <c r="AD134" i="77"/>
  <c r="AE134" i="77"/>
  <c r="AF134" i="77"/>
  <c r="AG134" i="77"/>
  <c r="AH134" i="77"/>
  <c r="AI134" i="77"/>
  <c r="AJ134" i="77"/>
  <c r="AK134" i="77"/>
  <c r="AL134" i="77"/>
  <c r="AM134" i="77"/>
  <c r="AN134" i="77"/>
  <c r="AO134" i="77"/>
  <c r="AP134" i="77"/>
  <c r="AQ134" i="77"/>
  <c r="AR134" i="77"/>
  <c r="AS134" i="77"/>
  <c r="AT134" i="77"/>
  <c r="AU134" i="77"/>
  <c r="AW134" i="77"/>
  <c r="AX134" i="77"/>
  <c r="AY134" i="77"/>
  <c r="BA134" i="77"/>
  <c r="BC134" i="77"/>
  <c r="A135" i="77"/>
  <c r="B135" i="77"/>
  <c r="D135" i="77"/>
  <c r="E135" i="77"/>
  <c r="F135" i="77"/>
  <c r="G135" i="77"/>
  <c r="H135" i="77"/>
  <c r="J135" i="77"/>
  <c r="K135" i="77"/>
  <c r="M135" i="77"/>
  <c r="O135" i="77"/>
  <c r="P135" i="77"/>
  <c r="R135" i="77"/>
  <c r="S135" i="77"/>
  <c r="U135" i="77"/>
  <c r="V135" i="77"/>
  <c r="W135" i="77"/>
  <c r="X135" i="77"/>
  <c r="Z135" i="77"/>
  <c r="AA135" i="77"/>
  <c r="AB135" i="77"/>
  <c r="AC135" i="77"/>
  <c r="AD135" i="77"/>
  <c r="AE135" i="77"/>
  <c r="AF135" i="77"/>
  <c r="AG135" i="77"/>
  <c r="AH135" i="77"/>
  <c r="AI135" i="77"/>
  <c r="AJ135" i="77"/>
  <c r="AK135" i="77"/>
  <c r="AL135" i="77"/>
  <c r="AM135" i="77"/>
  <c r="AN135" i="77"/>
  <c r="AO135" i="77"/>
  <c r="AP135" i="77"/>
  <c r="AQ135" i="77"/>
  <c r="AR135" i="77"/>
  <c r="AS135" i="77"/>
  <c r="AT135" i="77"/>
  <c r="AU135" i="77"/>
  <c r="AW135" i="77"/>
  <c r="AX135" i="77"/>
  <c r="AY135" i="77"/>
  <c r="BA135" i="77"/>
  <c r="BC135" i="77"/>
  <c r="A136" i="77"/>
  <c r="B136" i="77"/>
  <c r="D136" i="77"/>
  <c r="E136" i="77"/>
  <c r="F136" i="77"/>
  <c r="G136" i="77"/>
  <c r="H136" i="77"/>
  <c r="J136" i="77"/>
  <c r="K136" i="77"/>
  <c r="M136" i="77"/>
  <c r="O136" i="77"/>
  <c r="P136" i="77"/>
  <c r="R136" i="77"/>
  <c r="S136" i="77"/>
  <c r="U136" i="77"/>
  <c r="V136" i="77"/>
  <c r="W136" i="77"/>
  <c r="X136" i="77"/>
  <c r="Z136" i="77"/>
  <c r="AA136" i="77"/>
  <c r="AB136" i="77"/>
  <c r="AC136" i="77"/>
  <c r="AD136" i="77"/>
  <c r="AE136" i="77"/>
  <c r="AF136" i="77"/>
  <c r="AG136" i="77"/>
  <c r="AH136" i="77"/>
  <c r="AI136" i="77"/>
  <c r="AJ136" i="77"/>
  <c r="AK136" i="77"/>
  <c r="AL136" i="77"/>
  <c r="AM136" i="77"/>
  <c r="AN136" i="77"/>
  <c r="AO136" i="77"/>
  <c r="AP136" i="77"/>
  <c r="AQ136" i="77"/>
  <c r="AR136" i="77"/>
  <c r="AS136" i="77"/>
  <c r="AT136" i="77"/>
  <c r="AU136" i="77"/>
  <c r="AW136" i="77"/>
  <c r="AX136" i="77"/>
  <c r="AY136" i="77"/>
  <c r="BA136" i="77"/>
  <c r="BC136" i="77"/>
  <c r="A137" i="77"/>
  <c r="B137" i="77"/>
  <c r="D137" i="77"/>
  <c r="E137" i="77"/>
  <c r="F137" i="77"/>
  <c r="G137" i="77"/>
  <c r="H137" i="77"/>
  <c r="J137" i="77"/>
  <c r="K137" i="77"/>
  <c r="M137" i="77"/>
  <c r="O137" i="77"/>
  <c r="P137" i="77"/>
  <c r="R137" i="77"/>
  <c r="S137" i="77"/>
  <c r="U137" i="77"/>
  <c r="V137" i="77"/>
  <c r="W137" i="77"/>
  <c r="X137" i="77"/>
  <c r="Z137" i="77"/>
  <c r="AA137" i="77"/>
  <c r="AB137" i="77"/>
  <c r="AC137" i="77"/>
  <c r="AD137" i="77"/>
  <c r="AE137" i="77"/>
  <c r="AF137" i="77"/>
  <c r="AG137" i="77"/>
  <c r="AH137" i="77"/>
  <c r="AI137" i="77"/>
  <c r="AJ137" i="77"/>
  <c r="AK137" i="77"/>
  <c r="AL137" i="77"/>
  <c r="AM137" i="77"/>
  <c r="AN137" i="77"/>
  <c r="AO137" i="77"/>
  <c r="AP137" i="77"/>
  <c r="AQ137" i="77"/>
  <c r="AR137" i="77"/>
  <c r="AS137" i="77"/>
  <c r="AT137" i="77"/>
  <c r="AU137" i="77"/>
  <c r="AW137" i="77"/>
  <c r="AX137" i="77"/>
  <c r="AY137" i="77"/>
  <c r="BA137" i="77"/>
  <c r="BC137" i="77"/>
  <c r="A138" i="77"/>
  <c r="B138" i="77"/>
  <c r="D138" i="77"/>
  <c r="E138" i="77"/>
  <c r="F138" i="77"/>
  <c r="G138" i="77"/>
  <c r="H138" i="77"/>
  <c r="J138" i="77"/>
  <c r="K138" i="77"/>
  <c r="M138" i="77"/>
  <c r="O138" i="77"/>
  <c r="P138" i="77"/>
  <c r="R138" i="77"/>
  <c r="S138" i="77"/>
  <c r="U138" i="77"/>
  <c r="V138" i="77"/>
  <c r="W138" i="77"/>
  <c r="X138" i="77"/>
  <c r="Z138" i="77"/>
  <c r="AA138" i="77"/>
  <c r="AB138" i="77"/>
  <c r="AC138" i="77"/>
  <c r="AD138" i="77"/>
  <c r="AE138" i="77"/>
  <c r="AF138" i="77"/>
  <c r="AG138" i="77"/>
  <c r="AH138" i="77"/>
  <c r="AI138" i="77"/>
  <c r="AJ138" i="77"/>
  <c r="AK138" i="77"/>
  <c r="AL138" i="77"/>
  <c r="AM138" i="77"/>
  <c r="AN138" i="77"/>
  <c r="AO138" i="77"/>
  <c r="AP138" i="77"/>
  <c r="AQ138" i="77"/>
  <c r="AR138" i="77"/>
  <c r="AS138" i="77"/>
  <c r="AT138" i="77"/>
  <c r="AU138" i="77"/>
  <c r="AW138" i="77"/>
  <c r="AX138" i="77"/>
  <c r="AY138" i="77"/>
  <c r="BA138" i="77"/>
  <c r="BC138" i="77"/>
  <c r="A139" i="77"/>
  <c r="B139" i="77"/>
  <c r="D139" i="77"/>
  <c r="E139" i="77"/>
  <c r="F139" i="77"/>
  <c r="G139" i="77"/>
  <c r="H139" i="77"/>
  <c r="J139" i="77"/>
  <c r="K139" i="77"/>
  <c r="M139" i="77"/>
  <c r="O139" i="77"/>
  <c r="P139" i="77"/>
  <c r="R139" i="77"/>
  <c r="S139" i="77"/>
  <c r="U139" i="77"/>
  <c r="V139" i="77"/>
  <c r="W139" i="77"/>
  <c r="X139" i="77"/>
  <c r="Z139" i="77"/>
  <c r="AA139" i="77"/>
  <c r="AB139" i="77"/>
  <c r="AC139" i="77"/>
  <c r="AD139" i="77"/>
  <c r="AE139" i="77"/>
  <c r="AF139" i="77"/>
  <c r="AG139" i="77"/>
  <c r="AH139" i="77"/>
  <c r="AI139" i="77"/>
  <c r="AJ139" i="77"/>
  <c r="AK139" i="77"/>
  <c r="AL139" i="77"/>
  <c r="AM139" i="77"/>
  <c r="AN139" i="77"/>
  <c r="AO139" i="77"/>
  <c r="AP139" i="77"/>
  <c r="AQ139" i="77"/>
  <c r="AR139" i="77"/>
  <c r="AS139" i="77"/>
  <c r="AT139" i="77"/>
  <c r="AU139" i="77"/>
  <c r="AW139" i="77"/>
  <c r="AX139" i="77"/>
  <c r="AY139" i="77"/>
  <c r="BA139" i="77"/>
  <c r="BC139" i="77"/>
  <c r="A140" i="77"/>
  <c r="B140" i="77"/>
  <c r="D140" i="77"/>
  <c r="E140" i="77"/>
  <c r="F140" i="77"/>
  <c r="G140" i="77"/>
  <c r="H140" i="77"/>
  <c r="J140" i="77"/>
  <c r="K140" i="77"/>
  <c r="M140" i="77"/>
  <c r="O140" i="77"/>
  <c r="P140" i="77"/>
  <c r="R140" i="77"/>
  <c r="S140" i="77"/>
  <c r="U140" i="77"/>
  <c r="V140" i="77"/>
  <c r="W140" i="77"/>
  <c r="X140" i="77"/>
  <c r="Z140" i="77"/>
  <c r="AA140" i="77"/>
  <c r="AB140" i="77"/>
  <c r="AC140" i="77"/>
  <c r="AD140" i="77"/>
  <c r="AE140" i="77"/>
  <c r="AF140" i="77"/>
  <c r="AG140" i="77"/>
  <c r="AH140" i="77"/>
  <c r="AI140" i="77"/>
  <c r="AJ140" i="77"/>
  <c r="AK140" i="77"/>
  <c r="AL140" i="77"/>
  <c r="AM140" i="77"/>
  <c r="AN140" i="77"/>
  <c r="AO140" i="77"/>
  <c r="AP140" i="77"/>
  <c r="AQ140" i="77"/>
  <c r="AR140" i="77"/>
  <c r="AS140" i="77"/>
  <c r="AT140" i="77"/>
  <c r="AU140" i="77"/>
  <c r="AW140" i="77"/>
  <c r="AX140" i="77"/>
  <c r="AY140" i="77"/>
  <c r="BA140" i="77"/>
  <c r="BC140" i="77"/>
  <c r="A141" i="77"/>
  <c r="B141" i="77"/>
  <c r="D141" i="77"/>
  <c r="E141" i="77"/>
  <c r="F141" i="77"/>
  <c r="G141" i="77"/>
  <c r="H141" i="77"/>
  <c r="J141" i="77"/>
  <c r="K141" i="77"/>
  <c r="M141" i="77"/>
  <c r="O141" i="77"/>
  <c r="P141" i="77"/>
  <c r="R141" i="77"/>
  <c r="S141" i="77"/>
  <c r="U141" i="77"/>
  <c r="V141" i="77"/>
  <c r="W141" i="77"/>
  <c r="X141" i="77"/>
  <c r="Z141" i="77"/>
  <c r="AA141" i="77"/>
  <c r="AB141" i="77"/>
  <c r="AC141" i="77"/>
  <c r="AD141" i="77"/>
  <c r="AE141" i="77"/>
  <c r="AF141" i="77"/>
  <c r="AG141" i="77"/>
  <c r="AH141" i="77"/>
  <c r="AI141" i="77"/>
  <c r="AJ141" i="77"/>
  <c r="AK141" i="77"/>
  <c r="AL141" i="77"/>
  <c r="AM141" i="77"/>
  <c r="AN141" i="77"/>
  <c r="AO141" i="77"/>
  <c r="AP141" i="77"/>
  <c r="AQ141" i="77"/>
  <c r="AR141" i="77"/>
  <c r="AS141" i="77"/>
  <c r="AT141" i="77"/>
  <c r="AU141" i="77"/>
  <c r="AW141" i="77"/>
  <c r="AX141" i="77"/>
  <c r="AY141" i="77"/>
  <c r="BA141" i="77"/>
  <c r="BC141" i="77"/>
  <c r="A142" i="77"/>
  <c r="B142" i="77"/>
  <c r="D142" i="77"/>
  <c r="E142" i="77"/>
  <c r="F142" i="77"/>
  <c r="G142" i="77"/>
  <c r="H142" i="77"/>
  <c r="J142" i="77"/>
  <c r="K142" i="77"/>
  <c r="M142" i="77"/>
  <c r="O142" i="77"/>
  <c r="P142" i="77"/>
  <c r="R142" i="77"/>
  <c r="S142" i="77"/>
  <c r="U142" i="77"/>
  <c r="V142" i="77"/>
  <c r="W142" i="77"/>
  <c r="X142" i="77"/>
  <c r="Z142" i="77"/>
  <c r="AA142" i="77"/>
  <c r="AB142" i="77"/>
  <c r="AC142" i="77"/>
  <c r="AD142" i="77"/>
  <c r="AE142" i="77"/>
  <c r="AF142" i="77"/>
  <c r="AG142" i="77"/>
  <c r="AH142" i="77"/>
  <c r="AI142" i="77"/>
  <c r="AJ142" i="77"/>
  <c r="AK142" i="77"/>
  <c r="AL142" i="77"/>
  <c r="AM142" i="77"/>
  <c r="AN142" i="77"/>
  <c r="AO142" i="77"/>
  <c r="AP142" i="77"/>
  <c r="AQ142" i="77"/>
  <c r="AR142" i="77"/>
  <c r="AS142" i="77"/>
  <c r="AT142" i="77"/>
  <c r="AU142" i="77"/>
  <c r="AW142" i="77"/>
  <c r="AX142" i="77"/>
  <c r="AY142" i="77"/>
  <c r="BA142" i="77"/>
  <c r="BC142" i="77"/>
  <c r="A143" i="77"/>
  <c r="B143" i="77"/>
  <c r="D143" i="77"/>
  <c r="E143" i="77"/>
  <c r="F143" i="77"/>
  <c r="G143" i="77"/>
  <c r="H143" i="77"/>
  <c r="J143" i="77"/>
  <c r="K143" i="77"/>
  <c r="M143" i="77"/>
  <c r="O143" i="77"/>
  <c r="P143" i="77"/>
  <c r="R143" i="77"/>
  <c r="S143" i="77"/>
  <c r="U143" i="77"/>
  <c r="V143" i="77"/>
  <c r="W143" i="77"/>
  <c r="X143" i="77"/>
  <c r="Z143" i="77"/>
  <c r="AA143" i="77"/>
  <c r="AB143" i="77"/>
  <c r="AC143" i="77"/>
  <c r="AD143" i="77"/>
  <c r="AE143" i="77"/>
  <c r="AF143" i="77"/>
  <c r="AG143" i="77"/>
  <c r="AH143" i="77"/>
  <c r="AI143" i="77"/>
  <c r="AJ143" i="77"/>
  <c r="AK143" i="77"/>
  <c r="AL143" i="77"/>
  <c r="AM143" i="77"/>
  <c r="AN143" i="77"/>
  <c r="AO143" i="77"/>
  <c r="AP143" i="77"/>
  <c r="AQ143" i="77"/>
  <c r="AR143" i="77"/>
  <c r="AS143" i="77"/>
  <c r="AT143" i="77"/>
  <c r="AU143" i="77"/>
  <c r="AW143" i="77"/>
  <c r="AX143" i="77"/>
  <c r="AY143" i="77"/>
  <c r="BA143" i="77"/>
  <c r="BC143" i="77"/>
  <c r="A144" i="77"/>
  <c r="B144" i="77"/>
  <c r="D144" i="77"/>
  <c r="E144" i="77"/>
  <c r="F144" i="77"/>
  <c r="G144" i="77"/>
  <c r="H144" i="77"/>
  <c r="J144" i="77"/>
  <c r="K144" i="77"/>
  <c r="M144" i="77"/>
  <c r="O144" i="77"/>
  <c r="P144" i="77"/>
  <c r="R144" i="77"/>
  <c r="S144" i="77"/>
  <c r="U144" i="77"/>
  <c r="V144" i="77"/>
  <c r="W144" i="77"/>
  <c r="X144" i="77"/>
  <c r="Z144" i="77"/>
  <c r="AA144" i="77"/>
  <c r="AB144" i="77"/>
  <c r="AC144" i="77"/>
  <c r="AD144" i="77"/>
  <c r="AE144" i="77"/>
  <c r="AF144" i="77"/>
  <c r="AG144" i="77"/>
  <c r="AH144" i="77"/>
  <c r="AI144" i="77"/>
  <c r="AJ144" i="77"/>
  <c r="AK144" i="77"/>
  <c r="AL144" i="77"/>
  <c r="AM144" i="77"/>
  <c r="AN144" i="77"/>
  <c r="AO144" i="77"/>
  <c r="AP144" i="77"/>
  <c r="AQ144" i="77"/>
  <c r="AR144" i="77"/>
  <c r="AS144" i="77"/>
  <c r="AT144" i="77"/>
  <c r="AU144" i="77"/>
  <c r="AW144" i="77"/>
  <c r="AX144" i="77"/>
  <c r="AY144" i="77"/>
  <c r="BA144" i="77"/>
  <c r="BC144" i="77"/>
  <c r="A145" i="77"/>
  <c r="B145" i="77"/>
  <c r="D145" i="77"/>
  <c r="E145" i="77"/>
  <c r="F145" i="77"/>
  <c r="G145" i="77"/>
  <c r="H145" i="77"/>
  <c r="J145" i="77"/>
  <c r="K145" i="77"/>
  <c r="M145" i="77"/>
  <c r="O145" i="77"/>
  <c r="P145" i="77"/>
  <c r="R145" i="77"/>
  <c r="S145" i="77"/>
  <c r="U145" i="77"/>
  <c r="V145" i="77"/>
  <c r="W145" i="77"/>
  <c r="X145" i="77"/>
  <c r="Z145" i="77"/>
  <c r="AA145" i="77"/>
  <c r="AB145" i="77"/>
  <c r="AC145" i="77"/>
  <c r="AD145" i="77"/>
  <c r="AE145" i="77"/>
  <c r="AF145" i="77"/>
  <c r="AG145" i="77"/>
  <c r="AH145" i="77"/>
  <c r="AI145" i="77"/>
  <c r="AJ145" i="77"/>
  <c r="AK145" i="77"/>
  <c r="AL145" i="77"/>
  <c r="AM145" i="77"/>
  <c r="AN145" i="77"/>
  <c r="AO145" i="77"/>
  <c r="AP145" i="77"/>
  <c r="AQ145" i="77"/>
  <c r="AR145" i="77"/>
  <c r="AS145" i="77"/>
  <c r="AT145" i="77"/>
  <c r="AU145" i="77"/>
  <c r="AW145" i="77"/>
  <c r="AX145" i="77"/>
  <c r="AY145" i="77"/>
  <c r="BA145" i="77"/>
  <c r="BC145" i="77"/>
  <c r="A146" i="77"/>
  <c r="B146" i="77"/>
  <c r="D146" i="77"/>
  <c r="E146" i="77"/>
  <c r="F146" i="77"/>
  <c r="G146" i="77"/>
  <c r="H146" i="77"/>
  <c r="J146" i="77"/>
  <c r="K146" i="77"/>
  <c r="M146" i="77"/>
  <c r="O146" i="77"/>
  <c r="P146" i="77"/>
  <c r="R146" i="77"/>
  <c r="S146" i="77"/>
  <c r="U146" i="77"/>
  <c r="V146" i="77"/>
  <c r="W146" i="77"/>
  <c r="X146" i="77"/>
  <c r="Z146" i="77"/>
  <c r="AA146" i="77"/>
  <c r="AB146" i="77"/>
  <c r="AC146" i="77"/>
  <c r="AD146" i="77"/>
  <c r="AE146" i="77"/>
  <c r="AF146" i="77"/>
  <c r="AG146" i="77"/>
  <c r="AH146" i="77"/>
  <c r="AI146" i="77"/>
  <c r="AJ146" i="77"/>
  <c r="AK146" i="77"/>
  <c r="AL146" i="77"/>
  <c r="AM146" i="77"/>
  <c r="AN146" i="77"/>
  <c r="AO146" i="77"/>
  <c r="AP146" i="77"/>
  <c r="AQ146" i="77"/>
  <c r="AR146" i="77"/>
  <c r="AS146" i="77"/>
  <c r="AT146" i="77"/>
  <c r="AU146" i="77"/>
  <c r="AW146" i="77"/>
  <c r="AX146" i="77"/>
  <c r="AY146" i="77"/>
  <c r="BA146" i="77"/>
  <c r="BC146" i="77"/>
  <c r="A147" i="77"/>
  <c r="B147" i="77"/>
  <c r="D147" i="77"/>
  <c r="E147" i="77"/>
  <c r="F147" i="77"/>
  <c r="G147" i="77"/>
  <c r="H147" i="77"/>
  <c r="J147" i="77"/>
  <c r="K147" i="77"/>
  <c r="M147" i="77"/>
  <c r="O147" i="77"/>
  <c r="P147" i="77"/>
  <c r="R147" i="77"/>
  <c r="S147" i="77"/>
  <c r="U147" i="77"/>
  <c r="V147" i="77"/>
  <c r="W147" i="77"/>
  <c r="X147" i="77"/>
  <c r="Z147" i="77"/>
  <c r="AA147" i="77"/>
  <c r="AB147" i="77"/>
  <c r="AC147" i="77"/>
  <c r="AD147" i="77"/>
  <c r="AE147" i="77"/>
  <c r="AF147" i="77"/>
  <c r="AG147" i="77"/>
  <c r="AH147" i="77"/>
  <c r="AI147" i="77"/>
  <c r="AJ147" i="77"/>
  <c r="AK147" i="77"/>
  <c r="AL147" i="77"/>
  <c r="AM147" i="77"/>
  <c r="AN147" i="77"/>
  <c r="AO147" i="77"/>
  <c r="AP147" i="77"/>
  <c r="AQ147" i="77"/>
  <c r="AR147" i="77"/>
  <c r="AS147" i="77"/>
  <c r="AT147" i="77"/>
  <c r="AU147" i="77"/>
  <c r="AW147" i="77"/>
  <c r="AX147" i="77"/>
  <c r="AY147" i="77"/>
  <c r="BA147" i="77"/>
  <c r="BC147" i="77"/>
  <c r="A148" i="77"/>
  <c r="B148" i="77"/>
  <c r="D148" i="77"/>
  <c r="E148" i="77"/>
  <c r="F148" i="77"/>
  <c r="G148" i="77"/>
  <c r="H148" i="77"/>
  <c r="J148" i="77"/>
  <c r="K148" i="77"/>
  <c r="M148" i="77"/>
  <c r="O148" i="77"/>
  <c r="P148" i="77"/>
  <c r="R148" i="77"/>
  <c r="S148" i="77"/>
  <c r="U148" i="77"/>
  <c r="V148" i="77"/>
  <c r="W148" i="77"/>
  <c r="X148" i="77"/>
  <c r="Z148" i="77"/>
  <c r="AA148" i="77"/>
  <c r="AB148" i="77"/>
  <c r="AC148" i="77"/>
  <c r="AD148" i="77"/>
  <c r="AE148" i="77"/>
  <c r="AF148" i="77"/>
  <c r="AG148" i="77"/>
  <c r="AH148" i="77"/>
  <c r="AI148" i="77"/>
  <c r="AJ148" i="77"/>
  <c r="AK148" i="77"/>
  <c r="AL148" i="77"/>
  <c r="AM148" i="77"/>
  <c r="AN148" i="77"/>
  <c r="AO148" i="77"/>
  <c r="AP148" i="77"/>
  <c r="AQ148" i="77"/>
  <c r="AR148" i="77"/>
  <c r="AS148" i="77"/>
  <c r="AT148" i="77"/>
  <c r="AU148" i="77"/>
  <c r="AW148" i="77"/>
  <c r="AX148" i="77"/>
  <c r="AY148" i="77"/>
  <c r="BA148" i="77"/>
  <c r="BC148" i="77"/>
  <c r="A149" i="77"/>
  <c r="B149" i="77"/>
  <c r="D149" i="77"/>
  <c r="E149" i="77"/>
  <c r="F149" i="77"/>
  <c r="G149" i="77"/>
  <c r="H149" i="77"/>
  <c r="J149" i="77"/>
  <c r="K149" i="77"/>
  <c r="M149" i="77"/>
  <c r="O149" i="77"/>
  <c r="P149" i="77"/>
  <c r="R149" i="77"/>
  <c r="S149" i="77"/>
  <c r="U149" i="77"/>
  <c r="V149" i="77"/>
  <c r="W149" i="77"/>
  <c r="X149" i="77"/>
  <c r="Z149" i="77"/>
  <c r="AA149" i="77"/>
  <c r="AB149" i="77"/>
  <c r="AC149" i="77"/>
  <c r="AD149" i="77"/>
  <c r="AE149" i="77"/>
  <c r="AF149" i="77"/>
  <c r="AG149" i="77"/>
  <c r="AH149" i="77"/>
  <c r="AI149" i="77"/>
  <c r="AJ149" i="77"/>
  <c r="AK149" i="77"/>
  <c r="AL149" i="77"/>
  <c r="AM149" i="77"/>
  <c r="AN149" i="77"/>
  <c r="AO149" i="77"/>
  <c r="AP149" i="77"/>
  <c r="AQ149" i="77"/>
  <c r="AR149" i="77"/>
  <c r="AS149" i="77"/>
  <c r="AT149" i="77"/>
  <c r="AU149" i="77"/>
  <c r="AW149" i="77"/>
  <c r="AX149" i="77"/>
  <c r="AY149" i="77"/>
  <c r="BA149" i="77"/>
  <c r="BC149" i="77"/>
  <c r="A150" i="77"/>
  <c r="B150" i="77"/>
  <c r="D150" i="77"/>
  <c r="E150" i="77"/>
  <c r="F150" i="77"/>
  <c r="G150" i="77"/>
  <c r="H150" i="77"/>
  <c r="J150" i="77"/>
  <c r="K150" i="77"/>
  <c r="M150" i="77"/>
  <c r="O150" i="77"/>
  <c r="P150" i="77"/>
  <c r="R150" i="77"/>
  <c r="S150" i="77"/>
  <c r="U150" i="77"/>
  <c r="V150" i="77"/>
  <c r="W150" i="77"/>
  <c r="X150" i="77"/>
  <c r="Z150" i="77"/>
  <c r="AA150" i="77"/>
  <c r="AB150" i="77"/>
  <c r="AC150" i="77"/>
  <c r="AD150" i="77"/>
  <c r="AE150" i="77"/>
  <c r="AF150" i="77"/>
  <c r="AG150" i="77"/>
  <c r="AH150" i="77"/>
  <c r="AI150" i="77"/>
  <c r="AJ150" i="77"/>
  <c r="AK150" i="77"/>
  <c r="AL150" i="77"/>
  <c r="AM150" i="77"/>
  <c r="AN150" i="77"/>
  <c r="AO150" i="77"/>
  <c r="AP150" i="77"/>
  <c r="AQ150" i="77"/>
  <c r="AR150" i="77"/>
  <c r="AS150" i="77"/>
  <c r="AT150" i="77"/>
  <c r="AU150" i="77"/>
  <c r="AW150" i="77"/>
  <c r="AX150" i="77"/>
  <c r="AY150" i="77"/>
  <c r="BA150" i="77"/>
  <c r="BC150" i="77"/>
  <c r="A151" i="77"/>
  <c r="B151" i="77"/>
  <c r="D151" i="77"/>
  <c r="E151" i="77"/>
  <c r="F151" i="77"/>
  <c r="G151" i="77"/>
  <c r="H151" i="77"/>
  <c r="J151" i="77"/>
  <c r="K151" i="77"/>
  <c r="M151" i="77"/>
  <c r="O151" i="77"/>
  <c r="P151" i="77"/>
  <c r="R151" i="77"/>
  <c r="S151" i="77"/>
  <c r="U151" i="77"/>
  <c r="V151" i="77"/>
  <c r="W151" i="77"/>
  <c r="X151" i="77"/>
  <c r="Z151" i="77"/>
  <c r="AA151" i="77"/>
  <c r="AB151" i="77"/>
  <c r="AC151" i="77"/>
  <c r="AD151" i="77"/>
  <c r="AE151" i="77"/>
  <c r="AF151" i="77"/>
  <c r="AG151" i="77"/>
  <c r="AH151" i="77"/>
  <c r="AI151" i="77"/>
  <c r="AJ151" i="77"/>
  <c r="AK151" i="77"/>
  <c r="AL151" i="77"/>
  <c r="AM151" i="77"/>
  <c r="AN151" i="77"/>
  <c r="AO151" i="77"/>
  <c r="AP151" i="77"/>
  <c r="AQ151" i="77"/>
  <c r="AR151" i="77"/>
  <c r="AS151" i="77"/>
  <c r="AT151" i="77"/>
  <c r="AU151" i="77"/>
  <c r="AW151" i="77"/>
  <c r="AX151" i="77"/>
  <c r="AY151" i="77"/>
  <c r="BA151" i="77"/>
  <c r="BC151" i="77"/>
  <c r="A152" i="77"/>
  <c r="B152" i="77"/>
  <c r="D152" i="77"/>
  <c r="E152" i="77"/>
  <c r="F152" i="77"/>
  <c r="G152" i="77"/>
  <c r="H152" i="77"/>
  <c r="J152" i="77"/>
  <c r="K152" i="77"/>
  <c r="M152" i="77"/>
  <c r="O152" i="77"/>
  <c r="P152" i="77"/>
  <c r="R152" i="77"/>
  <c r="S152" i="77"/>
  <c r="U152" i="77"/>
  <c r="V152" i="77"/>
  <c r="W152" i="77"/>
  <c r="X152" i="77"/>
  <c r="Z152" i="77"/>
  <c r="AA152" i="77"/>
  <c r="AB152" i="77"/>
  <c r="AC152" i="77"/>
  <c r="AD152" i="77"/>
  <c r="AE152" i="77"/>
  <c r="AF152" i="77"/>
  <c r="AG152" i="77"/>
  <c r="AH152" i="77"/>
  <c r="AI152" i="77"/>
  <c r="AJ152" i="77"/>
  <c r="AK152" i="77"/>
  <c r="AL152" i="77"/>
  <c r="AM152" i="77"/>
  <c r="AN152" i="77"/>
  <c r="AO152" i="77"/>
  <c r="AP152" i="77"/>
  <c r="AQ152" i="77"/>
  <c r="AR152" i="77"/>
  <c r="AS152" i="77"/>
  <c r="AT152" i="77"/>
  <c r="AU152" i="77"/>
  <c r="AW152" i="77"/>
  <c r="AX152" i="77"/>
  <c r="AY152" i="77"/>
  <c r="BA152" i="77"/>
  <c r="BC152" i="77"/>
  <c r="A153" i="77"/>
  <c r="B153" i="77"/>
  <c r="D153" i="77"/>
  <c r="E153" i="77"/>
  <c r="F153" i="77"/>
  <c r="G153" i="77"/>
  <c r="H153" i="77"/>
  <c r="J153" i="77"/>
  <c r="K153" i="77"/>
  <c r="M153" i="77"/>
  <c r="O153" i="77"/>
  <c r="P153" i="77"/>
  <c r="R153" i="77"/>
  <c r="S153" i="77"/>
  <c r="U153" i="77"/>
  <c r="V153" i="77"/>
  <c r="W153" i="77"/>
  <c r="X153" i="77"/>
  <c r="Z153" i="77"/>
  <c r="AA153" i="77"/>
  <c r="AB153" i="77"/>
  <c r="AC153" i="77"/>
  <c r="AD153" i="77"/>
  <c r="AE153" i="77"/>
  <c r="AF153" i="77"/>
  <c r="AG153" i="77"/>
  <c r="AH153" i="77"/>
  <c r="AI153" i="77"/>
  <c r="AJ153" i="77"/>
  <c r="AK153" i="77"/>
  <c r="AL153" i="77"/>
  <c r="AM153" i="77"/>
  <c r="AN153" i="77"/>
  <c r="AO153" i="77"/>
  <c r="AP153" i="77"/>
  <c r="AQ153" i="77"/>
  <c r="AR153" i="77"/>
  <c r="AS153" i="77"/>
  <c r="AT153" i="77"/>
  <c r="AU153" i="77"/>
  <c r="AW153" i="77"/>
  <c r="AX153" i="77"/>
  <c r="AY153" i="77"/>
  <c r="BA153" i="77"/>
  <c r="BC153" i="77"/>
  <c r="A154" i="77"/>
  <c r="B154" i="77"/>
  <c r="D154" i="77"/>
  <c r="E154" i="77"/>
  <c r="F154" i="77"/>
  <c r="G154" i="77"/>
  <c r="H154" i="77"/>
  <c r="J154" i="77"/>
  <c r="K154" i="77"/>
  <c r="M154" i="77"/>
  <c r="O154" i="77"/>
  <c r="P154" i="77"/>
  <c r="R154" i="77"/>
  <c r="S154" i="77"/>
  <c r="U154" i="77"/>
  <c r="V154" i="77"/>
  <c r="W154" i="77"/>
  <c r="X154" i="77"/>
  <c r="Z154" i="77"/>
  <c r="AA154" i="77"/>
  <c r="AB154" i="77"/>
  <c r="AC154" i="77"/>
  <c r="AD154" i="77"/>
  <c r="AE154" i="77"/>
  <c r="AF154" i="77"/>
  <c r="AG154" i="77"/>
  <c r="AH154" i="77"/>
  <c r="AI154" i="77"/>
  <c r="AJ154" i="77"/>
  <c r="AK154" i="77"/>
  <c r="AL154" i="77"/>
  <c r="AM154" i="77"/>
  <c r="AN154" i="77"/>
  <c r="AO154" i="77"/>
  <c r="AP154" i="77"/>
  <c r="AQ154" i="77"/>
  <c r="AR154" i="77"/>
  <c r="AS154" i="77"/>
  <c r="AT154" i="77"/>
  <c r="AU154" i="77"/>
  <c r="AW154" i="77"/>
  <c r="AX154" i="77"/>
  <c r="AY154" i="77"/>
  <c r="BA154" i="77"/>
  <c r="BC154" i="77"/>
  <c r="A155" i="77"/>
  <c r="B155" i="77"/>
  <c r="D155" i="77"/>
  <c r="E155" i="77"/>
  <c r="F155" i="77"/>
  <c r="G155" i="77"/>
  <c r="H155" i="77"/>
  <c r="J155" i="77"/>
  <c r="K155" i="77"/>
  <c r="M155" i="77"/>
  <c r="O155" i="77"/>
  <c r="P155" i="77"/>
  <c r="R155" i="77"/>
  <c r="S155" i="77"/>
  <c r="U155" i="77"/>
  <c r="V155" i="77"/>
  <c r="W155" i="77"/>
  <c r="X155" i="77"/>
  <c r="Z155" i="77"/>
  <c r="AA155" i="77"/>
  <c r="AB155" i="77"/>
  <c r="AC155" i="77"/>
  <c r="AD155" i="77"/>
  <c r="AE155" i="77"/>
  <c r="AF155" i="77"/>
  <c r="AG155" i="77"/>
  <c r="AH155" i="77"/>
  <c r="AI155" i="77"/>
  <c r="AJ155" i="77"/>
  <c r="AK155" i="77"/>
  <c r="AL155" i="77"/>
  <c r="AM155" i="77"/>
  <c r="AN155" i="77"/>
  <c r="AO155" i="77"/>
  <c r="AP155" i="77"/>
  <c r="AQ155" i="77"/>
  <c r="AR155" i="77"/>
  <c r="AS155" i="77"/>
  <c r="AT155" i="77"/>
  <c r="AU155" i="77"/>
  <c r="AW155" i="77"/>
  <c r="AX155" i="77"/>
  <c r="AY155" i="77"/>
  <c r="BA155" i="77"/>
  <c r="BC155" i="77"/>
  <c r="A156" i="77"/>
  <c r="B156" i="77"/>
  <c r="D156" i="77"/>
  <c r="E156" i="77"/>
  <c r="F156" i="77"/>
  <c r="G156" i="77"/>
  <c r="H156" i="77"/>
  <c r="J156" i="77"/>
  <c r="K156" i="77"/>
  <c r="M156" i="77"/>
  <c r="O156" i="77"/>
  <c r="P156" i="77"/>
  <c r="R156" i="77"/>
  <c r="S156" i="77"/>
  <c r="U156" i="77"/>
  <c r="V156" i="77"/>
  <c r="W156" i="77"/>
  <c r="X156" i="77"/>
  <c r="Z156" i="77"/>
  <c r="AA156" i="77"/>
  <c r="AB156" i="77"/>
  <c r="AC156" i="77"/>
  <c r="AD156" i="77"/>
  <c r="AE156" i="77"/>
  <c r="AF156" i="77"/>
  <c r="AG156" i="77"/>
  <c r="AH156" i="77"/>
  <c r="AI156" i="77"/>
  <c r="AJ156" i="77"/>
  <c r="AK156" i="77"/>
  <c r="AL156" i="77"/>
  <c r="AM156" i="77"/>
  <c r="AN156" i="77"/>
  <c r="AO156" i="77"/>
  <c r="AP156" i="77"/>
  <c r="AQ156" i="77"/>
  <c r="AR156" i="77"/>
  <c r="AS156" i="77"/>
  <c r="AT156" i="77"/>
  <c r="AU156" i="77"/>
  <c r="AW156" i="77"/>
  <c r="AX156" i="77"/>
  <c r="AY156" i="77"/>
  <c r="BA156" i="77"/>
  <c r="BC156" i="77"/>
  <c r="A157" i="77"/>
  <c r="B157" i="77"/>
  <c r="D157" i="77"/>
  <c r="E157" i="77"/>
  <c r="F157" i="77"/>
  <c r="G157" i="77"/>
  <c r="H157" i="77"/>
  <c r="J157" i="77"/>
  <c r="K157" i="77"/>
  <c r="M157" i="77"/>
  <c r="O157" i="77"/>
  <c r="P157" i="77"/>
  <c r="R157" i="77"/>
  <c r="S157" i="77"/>
  <c r="U157" i="77"/>
  <c r="V157" i="77"/>
  <c r="W157" i="77"/>
  <c r="X157" i="77"/>
  <c r="Z157" i="77"/>
  <c r="AA157" i="77"/>
  <c r="AB157" i="77"/>
  <c r="AC157" i="77"/>
  <c r="AD157" i="77"/>
  <c r="AE157" i="77"/>
  <c r="AF157" i="77"/>
  <c r="AG157" i="77"/>
  <c r="AH157" i="77"/>
  <c r="AI157" i="77"/>
  <c r="AJ157" i="77"/>
  <c r="AK157" i="77"/>
  <c r="AL157" i="77"/>
  <c r="AM157" i="77"/>
  <c r="AN157" i="77"/>
  <c r="AO157" i="77"/>
  <c r="AP157" i="77"/>
  <c r="AQ157" i="77"/>
  <c r="AR157" i="77"/>
  <c r="AS157" i="77"/>
  <c r="AT157" i="77"/>
  <c r="AU157" i="77"/>
  <c r="AW157" i="77"/>
  <c r="AX157" i="77"/>
  <c r="AY157" i="77"/>
  <c r="BA157" i="77"/>
  <c r="BC157" i="77"/>
  <c r="A158" i="77"/>
  <c r="B158" i="77"/>
  <c r="D158" i="77"/>
  <c r="E158" i="77"/>
  <c r="F158" i="77"/>
  <c r="G158" i="77"/>
  <c r="H158" i="77"/>
  <c r="J158" i="77"/>
  <c r="K158" i="77"/>
  <c r="M158" i="77"/>
  <c r="O158" i="77"/>
  <c r="P158" i="77"/>
  <c r="R158" i="77"/>
  <c r="S158" i="77"/>
  <c r="U158" i="77"/>
  <c r="V158" i="77"/>
  <c r="W158" i="77"/>
  <c r="X158" i="77"/>
  <c r="Z158" i="77"/>
  <c r="AA158" i="77"/>
  <c r="AB158" i="77"/>
  <c r="AC158" i="77"/>
  <c r="AD158" i="77"/>
  <c r="AE158" i="77"/>
  <c r="AF158" i="77"/>
  <c r="AG158" i="77"/>
  <c r="AH158" i="77"/>
  <c r="AI158" i="77"/>
  <c r="AJ158" i="77"/>
  <c r="AK158" i="77"/>
  <c r="AL158" i="77"/>
  <c r="AM158" i="77"/>
  <c r="AN158" i="77"/>
  <c r="AO158" i="77"/>
  <c r="AP158" i="77"/>
  <c r="AQ158" i="77"/>
  <c r="AR158" i="77"/>
  <c r="AS158" i="77"/>
  <c r="AT158" i="77"/>
  <c r="AU158" i="77"/>
  <c r="AW158" i="77"/>
  <c r="AX158" i="77"/>
  <c r="AY158" i="77"/>
  <c r="BA158" i="77"/>
  <c r="BC158" i="77"/>
  <c r="A159" i="77"/>
  <c r="B159" i="77"/>
  <c r="D159" i="77"/>
  <c r="E159" i="77"/>
  <c r="F159" i="77"/>
  <c r="G159" i="77"/>
  <c r="H159" i="77"/>
  <c r="J159" i="77"/>
  <c r="K159" i="77"/>
  <c r="M159" i="77"/>
  <c r="O159" i="77"/>
  <c r="P159" i="77"/>
  <c r="R159" i="77"/>
  <c r="S159" i="77"/>
  <c r="U159" i="77"/>
  <c r="V159" i="77"/>
  <c r="W159" i="77"/>
  <c r="X159" i="77"/>
  <c r="Z159" i="77"/>
  <c r="AA159" i="77"/>
  <c r="AB159" i="77"/>
  <c r="AC159" i="77"/>
  <c r="AD159" i="77"/>
  <c r="AE159" i="77"/>
  <c r="AF159" i="77"/>
  <c r="AG159" i="77"/>
  <c r="AH159" i="77"/>
  <c r="AI159" i="77"/>
  <c r="AJ159" i="77"/>
  <c r="AK159" i="77"/>
  <c r="AL159" i="77"/>
  <c r="AM159" i="77"/>
  <c r="AN159" i="77"/>
  <c r="AO159" i="77"/>
  <c r="AP159" i="77"/>
  <c r="AQ159" i="77"/>
  <c r="AR159" i="77"/>
  <c r="AS159" i="77"/>
  <c r="AT159" i="77"/>
  <c r="AU159" i="77"/>
  <c r="AW159" i="77"/>
  <c r="AX159" i="77"/>
  <c r="AY159" i="77"/>
  <c r="BA159" i="77"/>
  <c r="BC159" i="77"/>
  <c r="A160" i="77"/>
  <c r="B160" i="77"/>
  <c r="D160" i="77"/>
  <c r="E160" i="77"/>
  <c r="F160" i="77"/>
  <c r="G160" i="77"/>
  <c r="H160" i="77"/>
  <c r="J160" i="77"/>
  <c r="K160" i="77"/>
  <c r="M160" i="77"/>
  <c r="O160" i="77"/>
  <c r="P160" i="77"/>
  <c r="R160" i="77"/>
  <c r="S160" i="77"/>
  <c r="U160" i="77"/>
  <c r="V160" i="77"/>
  <c r="W160" i="77"/>
  <c r="X160" i="77"/>
  <c r="Z160" i="77"/>
  <c r="AA160" i="77"/>
  <c r="AB160" i="77"/>
  <c r="AC160" i="77"/>
  <c r="AD160" i="77"/>
  <c r="AE160" i="77"/>
  <c r="AF160" i="77"/>
  <c r="AG160" i="77"/>
  <c r="AH160" i="77"/>
  <c r="AI160" i="77"/>
  <c r="AJ160" i="77"/>
  <c r="AK160" i="77"/>
  <c r="AL160" i="77"/>
  <c r="AM160" i="77"/>
  <c r="AN160" i="77"/>
  <c r="AO160" i="77"/>
  <c r="AP160" i="77"/>
  <c r="AQ160" i="77"/>
  <c r="AR160" i="77"/>
  <c r="AS160" i="77"/>
  <c r="AT160" i="77"/>
  <c r="AU160" i="77"/>
  <c r="AW160" i="77"/>
  <c r="AX160" i="77"/>
  <c r="AY160" i="77"/>
  <c r="BA160" i="77"/>
  <c r="BC160" i="77"/>
  <c r="A161" i="77"/>
  <c r="B161" i="77"/>
  <c r="D161" i="77"/>
  <c r="E161" i="77"/>
  <c r="F161" i="77"/>
  <c r="G161" i="77"/>
  <c r="H161" i="77"/>
  <c r="J161" i="77"/>
  <c r="K161" i="77"/>
  <c r="M161" i="77"/>
  <c r="O161" i="77"/>
  <c r="P161" i="77"/>
  <c r="R161" i="77"/>
  <c r="S161" i="77"/>
  <c r="U161" i="77"/>
  <c r="V161" i="77"/>
  <c r="W161" i="77"/>
  <c r="X161" i="77"/>
  <c r="Z161" i="77"/>
  <c r="AA161" i="77"/>
  <c r="AB161" i="77"/>
  <c r="AC161" i="77"/>
  <c r="AD161" i="77"/>
  <c r="AE161" i="77"/>
  <c r="AF161" i="77"/>
  <c r="AG161" i="77"/>
  <c r="AH161" i="77"/>
  <c r="AI161" i="77"/>
  <c r="AJ161" i="77"/>
  <c r="AK161" i="77"/>
  <c r="AL161" i="77"/>
  <c r="AM161" i="77"/>
  <c r="AN161" i="77"/>
  <c r="AO161" i="77"/>
  <c r="AP161" i="77"/>
  <c r="AQ161" i="77"/>
  <c r="AR161" i="77"/>
  <c r="AS161" i="77"/>
  <c r="AT161" i="77"/>
  <c r="AU161" i="77"/>
  <c r="AW161" i="77"/>
  <c r="AX161" i="77"/>
  <c r="AY161" i="77"/>
  <c r="BA161" i="77"/>
  <c r="BC161" i="77"/>
  <c r="A162" i="77"/>
  <c r="B162" i="77"/>
  <c r="D162" i="77"/>
  <c r="E162" i="77"/>
  <c r="F162" i="77"/>
  <c r="G162" i="77"/>
  <c r="H162" i="77"/>
  <c r="J162" i="77"/>
  <c r="K162" i="77"/>
  <c r="M162" i="77"/>
  <c r="O162" i="77"/>
  <c r="P162" i="77"/>
  <c r="R162" i="77"/>
  <c r="S162" i="77"/>
  <c r="U162" i="77"/>
  <c r="V162" i="77"/>
  <c r="W162" i="77"/>
  <c r="X162" i="77"/>
  <c r="Z162" i="77"/>
  <c r="AA162" i="77"/>
  <c r="AB162" i="77"/>
  <c r="AC162" i="77"/>
  <c r="AD162" i="77"/>
  <c r="AE162" i="77"/>
  <c r="AF162" i="77"/>
  <c r="AG162" i="77"/>
  <c r="AH162" i="77"/>
  <c r="AI162" i="77"/>
  <c r="AJ162" i="77"/>
  <c r="AK162" i="77"/>
  <c r="AL162" i="77"/>
  <c r="AM162" i="77"/>
  <c r="AN162" i="77"/>
  <c r="AO162" i="77"/>
  <c r="AP162" i="77"/>
  <c r="AQ162" i="77"/>
  <c r="AR162" i="77"/>
  <c r="AS162" i="77"/>
  <c r="AT162" i="77"/>
  <c r="AU162" i="77"/>
  <c r="AW162" i="77"/>
  <c r="AX162" i="77"/>
  <c r="AY162" i="77"/>
  <c r="BA162" i="77"/>
  <c r="BC162" i="77"/>
  <c r="A163" i="77"/>
  <c r="B163" i="77"/>
  <c r="D163" i="77"/>
  <c r="E163" i="77"/>
  <c r="F163" i="77"/>
  <c r="G163" i="77"/>
  <c r="H163" i="77"/>
  <c r="J163" i="77"/>
  <c r="K163" i="77"/>
  <c r="M163" i="77"/>
  <c r="O163" i="77"/>
  <c r="P163" i="77"/>
  <c r="R163" i="77"/>
  <c r="S163" i="77"/>
  <c r="U163" i="77"/>
  <c r="V163" i="77"/>
  <c r="W163" i="77"/>
  <c r="X163" i="77"/>
  <c r="Z163" i="77"/>
  <c r="AA163" i="77"/>
  <c r="AB163" i="77"/>
  <c r="AC163" i="77"/>
  <c r="AD163" i="77"/>
  <c r="AE163" i="77"/>
  <c r="AF163" i="77"/>
  <c r="AG163" i="77"/>
  <c r="AH163" i="77"/>
  <c r="AI163" i="77"/>
  <c r="AJ163" i="77"/>
  <c r="AK163" i="77"/>
  <c r="AL163" i="77"/>
  <c r="AM163" i="77"/>
  <c r="AN163" i="77"/>
  <c r="AO163" i="77"/>
  <c r="AP163" i="77"/>
  <c r="AQ163" i="77"/>
  <c r="AR163" i="77"/>
  <c r="AS163" i="77"/>
  <c r="AT163" i="77"/>
  <c r="AU163" i="77"/>
  <c r="AW163" i="77"/>
  <c r="AX163" i="77"/>
  <c r="AY163" i="77"/>
  <c r="BA163" i="77"/>
  <c r="BC163" i="77"/>
  <c r="A164" i="77"/>
  <c r="B164" i="77"/>
  <c r="D164" i="77"/>
  <c r="E164" i="77"/>
  <c r="F164" i="77"/>
  <c r="G164" i="77"/>
  <c r="H164" i="77"/>
  <c r="J164" i="77"/>
  <c r="K164" i="77"/>
  <c r="M164" i="77"/>
  <c r="O164" i="77"/>
  <c r="P164" i="77"/>
  <c r="R164" i="77"/>
  <c r="S164" i="77"/>
  <c r="U164" i="77"/>
  <c r="V164" i="77"/>
  <c r="W164" i="77"/>
  <c r="X164" i="77"/>
  <c r="Z164" i="77"/>
  <c r="AA164" i="77"/>
  <c r="AB164" i="77"/>
  <c r="AC164" i="77"/>
  <c r="AD164" i="77"/>
  <c r="AE164" i="77"/>
  <c r="AF164" i="77"/>
  <c r="AG164" i="77"/>
  <c r="AH164" i="77"/>
  <c r="AI164" i="77"/>
  <c r="AJ164" i="77"/>
  <c r="AK164" i="77"/>
  <c r="AL164" i="77"/>
  <c r="AM164" i="77"/>
  <c r="AN164" i="77"/>
  <c r="AO164" i="77"/>
  <c r="AP164" i="77"/>
  <c r="AQ164" i="77"/>
  <c r="AR164" i="77"/>
  <c r="AS164" i="77"/>
  <c r="AT164" i="77"/>
  <c r="AU164" i="77"/>
  <c r="AW164" i="77"/>
  <c r="AX164" i="77"/>
  <c r="AY164" i="77"/>
  <c r="BA164" i="77"/>
  <c r="BC164" i="77"/>
  <c r="A165" i="77"/>
  <c r="B165" i="77"/>
  <c r="D165" i="77"/>
  <c r="E165" i="77"/>
  <c r="F165" i="77"/>
  <c r="G165" i="77"/>
  <c r="H165" i="77"/>
  <c r="J165" i="77"/>
  <c r="K165" i="77"/>
  <c r="M165" i="77"/>
  <c r="O165" i="77"/>
  <c r="P165" i="77"/>
  <c r="R165" i="77"/>
  <c r="S165" i="77"/>
  <c r="U165" i="77"/>
  <c r="V165" i="77"/>
  <c r="W165" i="77"/>
  <c r="X165" i="77"/>
  <c r="Z165" i="77"/>
  <c r="AA165" i="77"/>
  <c r="AB165" i="77"/>
  <c r="AC165" i="77"/>
  <c r="AD165" i="77"/>
  <c r="AE165" i="77"/>
  <c r="AF165" i="77"/>
  <c r="AG165" i="77"/>
  <c r="AH165" i="77"/>
  <c r="AI165" i="77"/>
  <c r="AJ165" i="77"/>
  <c r="AK165" i="77"/>
  <c r="AL165" i="77"/>
  <c r="AM165" i="77"/>
  <c r="AN165" i="77"/>
  <c r="AO165" i="77"/>
  <c r="AP165" i="77"/>
  <c r="AQ165" i="77"/>
  <c r="AR165" i="77"/>
  <c r="AS165" i="77"/>
  <c r="AT165" i="77"/>
  <c r="AU165" i="77"/>
  <c r="AW165" i="77"/>
  <c r="AX165" i="77"/>
  <c r="AY165" i="77"/>
  <c r="BA165" i="77"/>
  <c r="BC165" i="77"/>
  <c r="A166" i="77"/>
  <c r="B166" i="77"/>
  <c r="D166" i="77"/>
  <c r="E166" i="77"/>
  <c r="F166" i="77"/>
  <c r="G166" i="77"/>
  <c r="H166" i="77"/>
  <c r="J166" i="77"/>
  <c r="K166" i="77"/>
  <c r="M166" i="77"/>
  <c r="O166" i="77"/>
  <c r="P166" i="77"/>
  <c r="R166" i="77"/>
  <c r="S166" i="77"/>
  <c r="U166" i="77"/>
  <c r="V166" i="77"/>
  <c r="W166" i="77"/>
  <c r="X166" i="77"/>
  <c r="Z166" i="77"/>
  <c r="AA166" i="77"/>
  <c r="AB166" i="77"/>
  <c r="AC166" i="77"/>
  <c r="AD166" i="77"/>
  <c r="AE166" i="77"/>
  <c r="AF166" i="77"/>
  <c r="AG166" i="77"/>
  <c r="AH166" i="77"/>
  <c r="AI166" i="77"/>
  <c r="AJ166" i="77"/>
  <c r="AK166" i="77"/>
  <c r="AL166" i="77"/>
  <c r="AM166" i="77"/>
  <c r="AN166" i="77"/>
  <c r="AO166" i="77"/>
  <c r="AP166" i="77"/>
  <c r="AQ166" i="77"/>
  <c r="AR166" i="77"/>
  <c r="AS166" i="77"/>
  <c r="AT166" i="77"/>
  <c r="AU166" i="77"/>
  <c r="AW166" i="77"/>
  <c r="AX166" i="77"/>
  <c r="AY166" i="77"/>
  <c r="BA166" i="77"/>
  <c r="BC166" i="77"/>
  <c r="A167" i="77"/>
  <c r="B167" i="77"/>
  <c r="D167" i="77"/>
  <c r="E167" i="77"/>
  <c r="F167" i="77"/>
  <c r="G167" i="77"/>
  <c r="H167" i="77"/>
  <c r="J167" i="77"/>
  <c r="K167" i="77"/>
  <c r="M167" i="77"/>
  <c r="O167" i="77"/>
  <c r="P167" i="77"/>
  <c r="R167" i="77"/>
  <c r="S167" i="77"/>
  <c r="U167" i="77"/>
  <c r="V167" i="77"/>
  <c r="W167" i="77"/>
  <c r="X167" i="77"/>
  <c r="Z167" i="77"/>
  <c r="AA167" i="77"/>
  <c r="AB167" i="77"/>
  <c r="AC167" i="77"/>
  <c r="AD167" i="77"/>
  <c r="AE167" i="77"/>
  <c r="AF167" i="77"/>
  <c r="AG167" i="77"/>
  <c r="AH167" i="77"/>
  <c r="AI167" i="77"/>
  <c r="AJ167" i="77"/>
  <c r="AK167" i="77"/>
  <c r="AL167" i="77"/>
  <c r="AM167" i="77"/>
  <c r="AN167" i="77"/>
  <c r="AO167" i="77"/>
  <c r="AP167" i="77"/>
  <c r="AQ167" i="77"/>
  <c r="AR167" i="77"/>
  <c r="AS167" i="77"/>
  <c r="AT167" i="77"/>
  <c r="AU167" i="77"/>
  <c r="AW167" i="77"/>
  <c r="AX167" i="77"/>
  <c r="AY167" i="77"/>
  <c r="BA167" i="77"/>
  <c r="BC167" i="77"/>
  <c r="A168" i="77"/>
  <c r="B168" i="77"/>
  <c r="D168" i="77"/>
  <c r="E168" i="77"/>
  <c r="F168" i="77"/>
  <c r="G168" i="77"/>
  <c r="H168" i="77"/>
  <c r="J168" i="77"/>
  <c r="K168" i="77"/>
  <c r="M168" i="77"/>
  <c r="O168" i="77"/>
  <c r="P168" i="77"/>
  <c r="R168" i="77"/>
  <c r="S168" i="77"/>
  <c r="U168" i="77"/>
  <c r="V168" i="77"/>
  <c r="W168" i="77"/>
  <c r="X168" i="77"/>
  <c r="Z168" i="77"/>
  <c r="AA168" i="77"/>
  <c r="AB168" i="77"/>
  <c r="AC168" i="77"/>
  <c r="AD168" i="77"/>
  <c r="AE168" i="77"/>
  <c r="AF168" i="77"/>
  <c r="AG168" i="77"/>
  <c r="AH168" i="77"/>
  <c r="AI168" i="77"/>
  <c r="AJ168" i="77"/>
  <c r="AK168" i="77"/>
  <c r="AL168" i="77"/>
  <c r="AM168" i="77"/>
  <c r="AN168" i="77"/>
  <c r="AO168" i="77"/>
  <c r="AP168" i="77"/>
  <c r="AQ168" i="77"/>
  <c r="AR168" i="77"/>
  <c r="AS168" i="77"/>
  <c r="AT168" i="77"/>
  <c r="AU168" i="77"/>
  <c r="AW168" i="77"/>
  <c r="AX168" i="77"/>
  <c r="AY168" i="77"/>
  <c r="BA168" i="77"/>
  <c r="BC168" i="77"/>
  <c r="A169" i="77"/>
  <c r="B169" i="77"/>
  <c r="D169" i="77"/>
  <c r="E169" i="77"/>
  <c r="F169" i="77"/>
  <c r="G169" i="77"/>
  <c r="H169" i="77"/>
  <c r="J169" i="77"/>
  <c r="K169" i="77"/>
  <c r="M169" i="77"/>
  <c r="O169" i="77"/>
  <c r="P169" i="77"/>
  <c r="R169" i="77"/>
  <c r="S169" i="77"/>
  <c r="U169" i="77"/>
  <c r="V169" i="77"/>
  <c r="W169" i="77"/>
  <c r="X169" i="77"/>
  <c r="Z169" i="77"/>
  <c r="AA169" i="77"/>
  <c r="AB169" i="77"/>
  <c r="AC169" i="77"/>
  <c r="AD169" i="77"/>
  <c r="AE169" i="77"/>
  <c r="AF169" i="77"/>
  <c r="AG169" i="77"/>
  <c r="AH169" i="77"/>
  <c r="AI169" i="77"/>
  <c r="AJ169" i="77"/>
  <c r="AK169" i="77"/>
  <c r="AL169" i="77"/>
  <c r="AM169" i="77"/>
  <c r="AN169" i="77"/>
  <c r="AO169" i="77"/>
  <c r="AP169" i="77"/>
  <c r="AQ169" i="77"/>
  <c r="AR169" i="77"/>
  <c r="AS169" i="77"/>
  <c r="AT169" i="77"/>
  <c r="AU169" i="77"/>
  <c r="AW169" i="77"/>
  <c r="AX169" i="77"/>
  <c r="AY169" i="77"/>
  <c r="BA169" i="77"/>
  <c r="BC169" i="77"/>
  <c r="A170" i="77"/>
  <c r="B170" i="77"/>
  <c r="D170" i="77"/>
  <c r="E170" i="77"/>
  <c r="F170" i="77"/>
  <c r="G170" i="77"/>
  <c r="H170" i="77"/>
  <c r="J170" i="77"/>
  <c r="K170" i="77"/>
  <c r="M170" i="77"/>
  <c r="O170" i="77"/>
  <c r="P170" i="77"/>
  <c r="R170" i="77"/>
  <c r="S170" i="77"/>
  <c r="U170" i="77"/>
  <c r="V170" i="77"/>
  <c r="W170" i="77"/>
  <c r="X170" i="77"/>
  <c r="Z170" i="77"/>
  <c r="AA170" i="77"/>
  <c r="AB170" i="77"/>
  <c r="AC170" i="77"/>
  <c r="AD170" i="77"/>
  <c r="AE170" i="77"/>
  <c r="AF170" i="77"/>
  <c r="AG170" i="77"/>
  <c r="AH170" i="77"/>
  <c r="AI170" i="77"/>
  <c r="AJ170" i="77"/>
  <c r="AK170" i="77"/>
  <c r="AL170" i="77"/>
  <c r="AM170" i="77"/>
  <c r="AN170" i="77"/>
  <c r="AO170" i="77"/>
  <c r="AP170" i="77"/>
  <c r="AQ170" i="77"/>
  <c r="AR170" i="77"/>
  <c r="AS170" i="77"/>
  <c r="AT170" i="77"/>
  <c r="AU170" i="77"/>
  <c r="AW170" i="77"/>
  <c r="AX170" i="77"/>
  <c r="AY170" i="77"/>
  <c r="BA170" i="77"/>
  <c r="BC170" i="77"/>
  <c r="A171" i="77"/>
  <c r="B171" i="77"/>
  <c r="D171" i="77"/>
  <c r="E171" i="77"/>
  <c r="F171" i="77"/>
  <c r="G171" i="77"/>
  <c r="H171" i="77"/>
  <c r="J171" i="77"/>
  <c r="K171" i="77"/>
  <c r="M171" i="77"/>
  <c r="O171" i="77"/>
  <c r="P171" i="77"/>
  <c r="R171" i="77"/>
  <c r="S171" i="77"/>
  <c r="U171" i="77"/>
  <c r="V171" i="77"/>
  <c r="W171" i="77"/>
  <c r="X171" i="77"/>
  <c r="Z171" i="77"/>
  <c r="AA171" i="77"/>
  <c r="AB171" i="77"/>
  <c r="AC171" i="77"/>
  <c r="AD171" i="77"/>
  <c r="AE171" i="77"/>
  <c r="AF171" i="77"/>
  <c r="AG171" i="77"/>
  <c r="AH171" i="77"/>
  <c r="AI171" i="77"/>
  <c r="AJ171" i="77"/>
  <c r="AK171" i="77"/>
  <c r="AL171" i="77"/>
  <c r="AM171" i="77"/>
  <c r="AN171" i="77"/>
  <c r="AO171" i="77"/>
  <c r="AP171" i="77"/>
  <c r="AQ171" i="77"/>
  <c r="AR171" i="77"/>
  <c r="AS171" i="77"/>
  <c r="AT171" i="77"/>
  <c r="AU171" i="77"/>
  <c r="AW171" i="77"/>
  <c r="AX171" i="77"/>
  <c r="AY171" i="77"/>
  <c r="BA171" i="77"/>
  <c r="BC171" i="77"/>
  <c r="A172" i="77"/>
  <c r="B172" i="77"/>
  <c r="D172" i="77"/>
  <c r="E172" i="77"/>
  <c r="F172" i="77"/>
  <c r="G172" i="77"/>
  <c r="H172" i="77"/>
  <c r="J172" i="77"/>
  <c r="K172" i="77"/>
  <c r="M172" i="77"/>
  <c r="O172" i="77"/>
  <c r="P172" i="77"/>
  <c r="R172" i="77"/>
  <c r="S172" i="77"/>
  <c r="U172" i="77"/>
  <c r="V172" i="77"/>
  <c r="W172" i="77"/>
  <c r="X172" i="77"/>
  <c r="Z172" i="77"/>
  <c r="AA172" i="77"/>
  <c r="AB172" i="77"/>
  <c r="AC172" i="77"/>
  <c r="AD172" i="77"/>
  <c r="AE172" i="77"/>
  <c r="AF172" i="77"/>
  <c r="AG172" i="77"/>
  <c r="AH172" i="77"/>
  <c r="AI172" i="77"/>
  <c r="AJ172" i="77"/>
  <c r="AK172" i="77"/>
  <c r="AL172" i="77"/>
  <c r="AM172" i="77"/>
  <c r="AN172" i="77"/>
  <c r="AO172" i="77"/>
  <c r="AP172" i="77"/>
  <c r="AQ172" i="77"/>
  <c r="AR172" i="77"/>
  <c r="AS172" i="77"/>
  <c r="AT172" i="77"/>
  <c r="AU172" i="77"/>
  <c r="AW172" i="77"/>
  <c r="AX172" i="77"/>
  <c r="AY172" i="77"/>
  <c r="BA172" i="77"/>
  <c r="BC172" i="77"/>
  <c r="A173" i="77"/>
  <c r="B173" i="77"/>
  <c r="D173" i="77"/>
  <c r="E173" i="77"/>
  <c r="F173" i="77"/>
  <c r="G173" i="77"/>
  <c r="H173" i="77"/>
  <c r="J173" i="77"/>
  <c r="K173" i="77"/>
  <c r="M173" i="77"/>
  <c r="O173" i="77"/>
  <c r="P173" i="77"/>
  <c r="R173" i="77"/>
  <c r="S173" i="77"/>
  <c r="U173" i="77"/>
  <c r="W173" i="77"/>
  <c r="X173" i="77"/>
  <c r="Z173" i="77"/>
  <c r="AA173" i="77"/>
  <c r="AB173" i="77"/>
  <c r="AC173" i="77"/>
  <c r="AD173" i="77"/>
  <c r="AE173" i="77"/>
  <c r="AF173" i="77"/>
  <c r="AG173" i="77"/>
  <c r="AH173" i="77"/>
  <c r="AI173" i="77"/>
  <c r="AJ173" i="77"/>
  <c r="AK173" i="77"/>
  <c r="AL173" i="77"/>
  <c r="AM173" i="77"/>
  <c r="AN173" i="77"/>
  <c r="AO173" i="77"/>
  <c r="AP173" i="77"/>
  <c r="AQ173" i="77"/>
  <c r="AR173" i="77"/>
  <c r="AS173" i="77"/>
  <c r="AT173" i="77"/>
  <c r="AU173" i="77"/>
  <c r="AW173" i="77"/>
  <c r="AX173" i="77"/>
  <c r="AY173" i="77"/>
  <c r="BA173" i="77"/>
  <c r="BC173" i="77"/>
  <c r="A174" i="77"/>
  <c r="B174" i="77"/>
  <c r="D174" i="77"/>
  <c r="E174" i="77"/>
  <c r="F174" i="77"/>
  <c r="G174" i="77"/>
  <c r="H174" i="77"/>
  <c r="J174" i="77"/>
  <c r="K174" i="77"/>
  <c r="M174" i="77"/>
  <c r="O174" i="77"/>
  <c r="P174" i="77"/>
  <c r="R174" i="77"/>
  <c r="S174" i="77"/>
  <c r="U174" i="77"/>
  <c r="W174" i="77"/>
  <c r="X174" i="77"/>
  <c r="Z174" i="77"/>
  <c r="AA174" i="77"/>
  <c r="AB174" i="77"/>
  <c r="AC174" i="77"/>
  <c r="AD174" i="77"/>
  <c r="AE174" i="77"/>
  <c r="AF174" i="77"/>
  <c r="AG174" i="77"/>
  <c r="AH174" i="77"/>
  <c r="AI174" i="77"/>
  <c r="AJ174" i="77"/>
  <c r="AK174" i="77"/>
  <c r="AL174" i="77"/>
  <c r="AM174" i="77"/>
  <c r="AN174" i="77"/>
  <c r="AO174" i="77"/>
  <c r="AP174" i="77"/>
  <c r="AQ174" i="77"/>
  <c r="AR174" i="77"/>
  <c r="AS174" i="77"/>
  <c r="AT174" i="77"/>
  <c r="AU174" i="77"/>
  <c r="AW174" i="77"/>
  <c r="AX174" i="77"/>
  <c r="AY174" i="77"/>
  <c r="BA174" i="77"/>
  <c r="A175" i="77"/>
  <c r="B175" i="77"/>
  <c r="D175" i="77"/>
  <c r="E175" i="77"/>
  <c r="F175" i="77"/>
  <c r="G175" i="77"/>
  <c r="H175" i="77"/>
  <c r="J175" i="77"/>
  <c r="K175" i="77"/>
  <c r="M175" i="77"/>
  <c r="O175" i="77"/>
  <c r="P175" i="77"/>
  <c r="R175" i="77"/>
  <c r="S175" i="77"/>
  <c r="U175" i="77"/>
  <c r="W175" i="77"/>
  <c r="X175" i="77"/>
  <c r="Z175" i="77"/>
  <c r="AA175" i="77"/>
  <c r="AB175" i="77"/>
  <c r="AC175" i="77"/>
  <c r="AD175" i="77"/>
  <c r="AE175" i="77"/>
  <c r="AF175" i="77"/>
  <c r="AG175" i="77"/>
  <c r="AH175" i="77"/>
  <c r="AI175" i="77"/>
  <c r="AJ175" i="77"/>
  <c r="AK175" i="77"/>
  <c r="AL175" i="77"/>
  <c r="AM175" i="77"/>
  <c r="AN175" i="77"/>
  <c r="AO175" i="77"/>
  <c r="AP175" i="77"/>
  <c r="AQ175" i="77"/>
  <c r="AR175" i="77"/>
  <c r="AS175" i="77"/>
  <c r="AT175" i="77"/>
  <c r="AU175" i="77"/>
  <c r="AW175" i="77"/>
  <c r="AX175" i="77"/>
  <c r="AY175" i="77"/>
  <c r="BA175" i="77"/>
  <c r="A176" i="77"/>
  <c r="B176" i="77"/>
  <c r="D176" i="77"/>
  <c r="E176" i="77"/>
  <c r="F176" i="77"/>
  <c r="G176" i="77"/>
  <c r="H176" i="77"/>
  <c r="J176" i="77"/>
  <c r="K176" i="77"/>
  <c r="M176" i="77"/>
  <c r="O176" i="77"/>
  <c r="P176" i="77"/>
  <c r="R176" i="77"/>
  <c r="S176" i="77"/>
  <c r="U176" i="77"/>
  <c r="W176" i="77"/>
  <c r="X176" i="77"/>
  <c r="Z176" i="77"/>
  <c r="AA176" i="77"/>
  <c r="AB176" i="77"/>
  <c r="AC176" i="77"/>
  <c r="AD176" i="77"/>
  <c r="AE176" i="77"/>
  <c r="AF176" i="77"/>
  <c r="AG176" i="77"/>
  <c r="AH176" i="77"/>
  <c r="AI176" i="77"/>
  <c r="AJ176" i="77"/>
  <c r="AK176" i="77"/>
  <c r="AL176" i="77"/>
  <c r="AM176" i="77"/>
  <c r="AN176" i="77"/>
  <c r="AO176" i="77"/>
  <c r="AP176" i="77"/>
  <c r="AQ176" i="77"/>
  <c r="AR176" i="77"/>
  <c r="AS176" i="77"/>
  <c r="AT176" i="77"/>
  <c r="AU176" i="77"/>
  <c r="AW176" i="77"/>
  <c r="AX176" i="77"/>
  <c r="AY176" i="77"/>
  <c r="BA176" i="77"/>
  <c r="A177" i="77"/>
  <c r="B177" i="77"/>
  <c r="D177" i="77"/>
  <c r="E177" i="77"/>
  <c r="F177" i="77"/>
  <c r="G177" i="77"/>
  <c r="H177" i="77"/>
  <c r="J177" i="77"/>
  <c r="K177" i="77"/>
  <c r="M177" i="77"/>
  <c r="O177" i="77"/>
  <c r="P177" i="77"/>
  <c r="R177" i="77"/>
  <c r="S177" i="77"/>
  <c r="U177" i="77"/>
  <c r="W177" i="77"/>
  <c r="X177" i="77"/>
  <c r="Z177" i="77"/>
  <c r="AA177" i="77"/>
  <c r="AB177" i="77"/>
  <c r="AC177" i="77"/>
  <c r="AD177" i="77"/>
  <c r="AE177" i="77"/>
  <c r="AF177" i="77"/>
  <c r="AG177" i="77"/>
  <c r="AH177" i="77"/>
  <c r="AI177" i="77"/>
  <c r="AJ177" i="77"/>
  <c r="AK177" i="77"/>
  <c r="AL177" i="77"/>
  <c r="AM177" i="77"/>
  <c r="AN177" i="77"/>
  <c r="AO177" i="77"/>
  <c r="AP177" i="77"/>
  <c r="AQ177" i="77"/>
  <c r="AR177" i="77"/>
  <c r="AS177" i="77"/>
  <c r="AT177" i="77"/>
  <c r="AU177" i="77"/>
  <c r="AW177" i="77"/>
  <c r="AX177" i="77"/>
  <c r="AY177" i="77"/>
  <c r="BA177" i="77"/>
  <c r="A178" i="77"/>
  <c r="B178" i="77"/>
  <c r="D178" i="77"/>
  <c r="E178" i="77"/>
  <c r="F178" i="77"/>
  <c r="G178" i="77"/>
  <c r="H178" i="77"/>
  <c r="J178" i="77"/>
  <c r="K178" i="77"/>
  <c r="M178" i="77"/>
  <c r="O178" i="77"/>
  <c r="P178" i="77"/>
  <c r="R178" i="77"/>
  <c r="S178" i="77"/>
  <c r="U178" i="77"/>
  <c r="W178" i="77"/>
  <c r="X178" i="77"/>
  <c r="Z178" i="77"/>
  <c r="AA178" i="77"/>
  <c r="AB178" i="77"/>
  <c r="AC178" i="77"/>
  <c r="AD178" i="77"/>
  <c r="AE178" i="77"/>
  <c r="AF178" i="77"/>
  <c r="AG178" i="77"/>
  <c r="AH178" i="77"/>
  <c r="AI178" i="77"/>
  <c r="AJ178" i="77"/>
  <c r="AK178" i="77"/>
  <c r="AL178" i="77"/>
  <c r="AM178" i="77"/>
  <c r="AN178" i="77"/>
  <c r="AO178" i="77"/>
  <c r="AP178" i="77"/>
  <c r="AQ178" i="77"/>
  <c r="AR178" i="77"/>
  <c r="AS178" i="77"/>
  <c r="AT178" i="77"/>
  <c r="AU178" i="77"/>
  <c r="AW178" i="77"/>
  <c r="AX178" i="77"/>
  <c r="AY178" i="77"/>
  <c r="BA178" i="77"/>
  <c r="A179" i="77"/>
  <c r="B179" i="77"/>
  <c r="D179" i="77"/>
  <c r="E179" i="77"/>
  <c r="F179" i="77"/>
  <c r="G179" i="77"/>
  <c r="H179" i="77"/>
  <c r="J179" i="77"/>
  <c r="K179" i="77"/>
  <c r="M179" i="77"/>
  <c r="O179" i="77"/>
  <c r="P179" i="77"/>
  <c r="R179" i="77"/>
  <c r="S179" i="77"/>
  <c r="U179" i="77"/>
  <c r="W179" i="77"/>
  <c r="X179" i="77"/>
  <c r="Z179" i="77"/>
  <c r="AA179" i="77"/>
  <c r="AB179" i="77"/>
  <c r="AC179" i="77"/>
  <c r="AD179" i="77"/>
  <c r="AE179" i="77"/>
  <c r="AF179" i="77"/>
  <c r="AG179" i="77"/>
  <c r="AH179" i="77"/>
  <c r="AI179" i="77"/>
  <c r="AJ179" i="77"/>
  <c r="AK179" i="77"/>
  <c r="AL179" i="77"/>
  <c r="AM179" i="77"/>
  <c r="AN179" i="77"/>
  <c r="AO179" i="77"/>
  <c r="AP179" i="77"/>
  <c r="AQ179" i="77"/>
  <c r="AR179" i="77"/>
  <c r="AS179" i="77"/>
  <c r="AT179" i="77"/>
  <c r="AU179" i="77"/>
  <c r="AW179" i="77"/>
  <c r="AX179" i="77"/>
  <c r="AY179" i="77"/>
  <c r="BA179" i="77"/>
  <c r="A180" i="77"/>
  <c r="B180" i="77"/>
  <c r="D180" i="77"/>
  <c r="E180" i="77"/>
  <c r="F180" i="77"/>
  <c r="G180" i="77"/>
  <c r="H180" i="77"/>
  <c r="J180" i="77"/>
  <c r="K180" i="77"/>
  <c r="M180" i="77"/>
  <c r="O180" i="77"/>
  <c r="P180" i="77"/>
  <c r="R180" i="77"/>
  <c r="S180" i="77"/>
  <c r="U180" i="77"/>
  <c r="W180" i="77"/>
  <c r="X180" i="77"/>
  <c r="Z180" i="77"/>
  <c r="AA180" i="77"/>
  <c r="AB180" i="77"/>
  <c r="AC180" i="77"/>
  <c r="AD180" i="77"/>
  <c r="AE180" i="77"/>
  <c r="AF180" i="77"/>
  <c r="AG180" i="77"/>
  <c r="AH180" i="77"/>
  <c r="AI180" i="77"/>
  <c r="AJ180" i="77"/>
  <c r="AK180" i="77"/>
  <c r="AL180" i="77"/>
  <c r="AM180" i="77"/>
  <c r="AN180" i="77"/>
  <c r="AO180" i="77"/>
  <c r="AP180" i="77"/>
  <c r="AQ180" i="77"/>
  <c r="AR180" i="77"/>
  <c r="AS180" i="77"/>
  <c r="AT180" i="77"/>
  <c r="AU180" i="77"/>
  <c r="AW180" i="77"/>
  <c r="AX180" i="77"/>
  <c r="AY180" i="77"/>
  <c r="BA180" i="77"/>
  <c r="A181" i="77"/>
  <c r="B181" i="77"/>
  <c r="D181" i="77"/>
  <c r="E181" i="77"/>
  <c r="F181" i="77"/>
  <c r="G181" i="77"/>
  <c r="H181" i="77"/>
  <c r="J181" i="77"/>
  <c r="K181" i="77"/>
  <c r="M181" i="77"/>
  <c r="O181" i="77"/>
  <c r="P181" i="77"/>
  <c r="R181" i="77"/>
  <c r="S181" i="77"/>
  <c r="U181" i="77"/>
  <c r="W181" i="77"/>
  <c r="X181" i="77"/>
  <c r="Z181" i="77"/>
  <c r="AA181" i="77"/>
  <c r="AB181" i="77"/>
  <c r="AC181" i="77"/>
  <c r="AD181" i="77"/>
  <c r="AE181" i="77"/>
  <c r="AF181" i="77"/>
  <c r="AG181" i="77"/>
  <c r="AH181" i="77"/>
  <c r="AI181" i="77"/>
  <c r="AJ181" i="77"/>
  <c r="AK181" i="77"/>
  <c r="AL181" i="77"/>
  <c r="AM181" i="77"/>
  <c r="AN181" i="77"/>
  <c r="AO181" i="77"/>
  <c r="AP181" i="77"/>
  <c r="AQ181" i="77"/>
  <c r="AR181" i="77"/>
  <c r="AS181" i="77"/>
  <c r="AT181" i="77"/>
  <c r="AU181" i="77"/>
  <c r="AW181" i="77"/>
  <c r="AX181" i="77"/>
  <c r="AY181" i="77"/>
  <c r="BA181" i="77"/>
  <c r="A182" i="77"/>
  <c r="B182" i="77"/>
  <c r="D182" i="77"/>
  <c r="E182" i="77"/>
  <c r="F182" i="77"/>
  <c r="G182" i="77"/>
  <c r="H182" i="77"/>
  <c r="J182" i="77"/>
  <c r="K182" i="77"/>
  <c r="M182" i="77"/>
  <c r="O182" i="77"/>
  <c r="P182" i="77"/>
  <c r="R182" i="77"/>
  <c r="S182" i="77"/>
  <c r="U182" i="77"/>
  <c r="W182" i="77"/>
  <c r="X182" i="77"/>
  <c r="Z182" i="77"/>
  <c r="AA182" i="77"/>
  <c r="AB182" i="77"/>
  <c r="AC182" i="77"/>
  <c r="AD182" i="77"/>
  <c r="AE182" i="77"/>
  <c r="AF182" i="77"/>
  <c r="AG182" i="77"/>
  <c r="AH182" i="77"/>
  <c r="AI182" i="77"/>
  <c r="AJ182" i="77"/>
  <c r="AK182" i="77"/>
  <c r="AL182" i="77"/>
  <c r="AM182" i="77"/>
  <c r="AN182" i="77"/>
  <c r="AO182" i="77"/>
  <c r="AP182" i="77"/>
  <c r="AQ182" i="77"/>
  <c r="AR182" i="77"/>
  <c r="AS182" i="77"/>
  <c r="AT182" i="77"/>
  <c r="AU182" i="77"/>
  <c r="AW182" i="77"/>
  <c r="AX182" i="77"/>
  <c r="AY182" i="77"/>
  <c r="BA182" i="77"/>
  <c r="A183" i="77"/>
  <c r="B183" i="77"/>
  <c r="D183" i="77"/>
  <c r="E183" i="77"/>
  <c r="F183" i="77"/>
  <c r="G183" i="77"/>
  <c r="H183" i="77"/>
  <c r="J183" i="77"/>
  <c r="K183" i="77"/>
  <c r="M183" i="77"/>
  <c r="O183" i="77"/>
  <c r="P183" i="77"/>
  <c r="R183" i="77"/>
  <c r="S183" i="77"/>
  <c r="U183" i="77"/>
  <c r="W183" i="77"/>
  <c r="X183" i="77"/>
  <c r="Z183" i="77"/>
  <c r="AA183" i="77"/>
  <c r="AB183" i="77"/>
  <c r="AC183" i="77"/>
  <c r="AD183" i="77"/>
  <c r="AE183" i="77"/>
  <c r="AF183" i="77"/>
  <c r="AG183" i="77"/>
  <c r="AH183" i="77"/>
  <c r="AI183" i="77"/>
  <c r="AJ183" i="77"/>
  <c r="AK183" i="77"/>
  <c r="AL183" i="77"/>
  <c r="AM183" i="77"/>
  <c r="AN183" i="77"/>
  <c r="AO183" i="77"/>
  <c r="AP183" i="77"/>
  <c r="AQ183" i="77"/>
  <c r="AR183" i="77"/>
  <c r="AS183" i="77"/>
  <c r="AT183" i="77"/>
  <c r="AU183" i="77"/>
  <c r="AW183" i="77"/>
  <c r="AX183" i="77"/>
  <c r="AY183" i="77"/>
  <c r="BA183" i="77"/>
  <c r="A184" i="77"/>
  <c r="B184" i="77"/>
  <c r="D184" i="77"/>
  <c r="E184" i="77"/>
  <c r="F184" i="77"/>
  <c r="G184" i="77"/>
  <c r="H184" i="77"/>
  <c r="J184" i="77"/>
  <c r="K184" i="77"/>
  <c r="M184" i="77"/>
  <c r="O184" i="77"/>
  <c r="P184" i="77"/>
  <c r="R184" i="77"/>
  <c r="S184" i="77"/>
  <c r="U184" i="77"/>
  <c r="W184" i="77"/>
  <c r="X184" i="77"/>
  <c r="Z184" i="77"/>
  <c r="AA184" i="77"/>
  <c r="AB184" i="77"/>
  <c r="AC184" i="77"/>
  <c r="AD184" i="77"/>
  <c r="AE184" i="77"/>
  <c r="AF184" i="77"/>
  <c r="AG184" i="77"/>
  <c r="AH184" i="77"/>
  <c r="AI184" i="77"/>
  <c r="AJ184" i="77"/>
  <c r="AK184" i="77"/>
  <c r="AL184" i="77"/>
  <c r="AM184" i="77"/>
  <c r="AN184" i="77"/>
  <c r="AO184" i="77"/>
  <c r="AP184" i="77"/>
  <c r="AQ184" i="77"/>
  <c r="AR184" i="77"/>
  <c r="AS184" i="77"/>
  <c r="AT184" i="77"/>
  <c r="AU184" i="77"/>
  <c r="AW184" i="77"/>
  <c r="AX184" i="77"/>
  <c r="AY184" i="77"/>
  <c r="BA184" i="77"/>
  <c r="A185" i="77"/>
  <c r="B185" i="77"/>
  <c r="D185" i="77"/>
  <c r="E185" i="77"/>
  <c r="F185" i="77"/>
  <c r="G185" i="77"/>
  <c r="H185" i="77"/>
  <c r="J185" i="77"/>
  <c r="K185" i="77"/>
  <c r="M185" i="77"/>
  <c r="O185" i="77"/>
  <c r="P185" i="77"/>
  <c r="R185" i="77"/>
  <c r="S185" i="77"/>
  <c r="U185" i="77"/>
  <c r="W185" i="77"/>
  <c r="X185" i="77"/>
  <c r="Z185" i="77"/>
  <c r="AA185" i="77"/>
  <c r="AB185" i="77"/>
  <c r="AC185" i="77"/>
  <c r="AD185" i="77"/>
  <c r="AE185" i="77"/>
  <c r="AF185" i="77"/>
  <c r="AG185" i="77"/>
  <c r="AH185" i="77"/>
  <c r="AI185" i="77"/>
  <c r="AJ185" i="77"/>
  <c r="AK185" i="77"/>
  <c r="AL185" i="77"/>
  <c r="AM185" i="77"/>
  <c r="AN185" i="77"/>
  <c r="AO185" i="77"/>
  <c r="AP185" i="77"/>
  <c r="AQ185" i="77"/>
  <c r="AR185" i="77"/>
  <c r="AS185" i="77"/>
  <c r="AT185" i="77"/>
  <c r="AU185" i="77"/>
  <c r="AW185" i="77"/>
  <c r="AX185" i="77"/>
  <c r="AY185" i="77"/>
  <c r="BA185" i="77"/>
  <c r="A186" i="77"/>
  <c r="B186" i="77"/>
  <c r="D186" i="77"/>
  <c r="E186" i="77"/>
  <c r="F186" i="77"/>
  <c r="G186" i="77"/>
  <c r="H186" i="77"/>
  <c r="J186" i="77"/>
  <c r="K186" i="77"/>
  <c r="M186" i="77"/>
  <c r="O186" i="77"/>
  <c r="P186" i="77"/>
  <c r="R186" i="77"/>
  <c r="S186" i="77"/>
  <c r="U186" i="77"/>
  <c r="W186" i="77"/>
  <c r="X186" i="77"/>
  <c r="Z186" i="77"/>
  <c r="AA186" i="77"/>
  <c r="AB186" i="77"/>
  <c r="AC186" i="77"/>
  <c r="AD186" i="77"/>
  <c r="AE186" i="77"/>
  <c r="AF186" i="77"/>
  <c r="AG186" i="77"/>
  <c r="AH186" i="77"/>
  <c r="AI186" i="77"/>
  <c r="AJ186" i="77"/>
  <c r="AK186" i="77"/>
  <c r="AL186" i="77"/>
  <c r="AM186" i="77"/>
  <c r="AN186" i="77"/>
  <c r="AO186" i="77"/>
  <c r="AP186" i="77"/>
  <c r="AQ186" i="77"/>
  <c r="AR186" i="77"/>
  <c r="AS186" i="77"/>
  <c r="AT186" i="77"/>
  <c r="AU186" i="77"/>
  <c r="AW186" i="77"/>
  <c r="AX186" i="77"/>
  <c r="AY186" i="77"/>
  <c r="BA186" i="77"/>
  <c r="A187" i="77"/>
  <c r="B187" i="77"/>
  <c r="D187" i="77"/>
  <c r="E187" i="77"/>
  <c r="F187" i="77"/>
  <c r="G187" i="77"/>
  <c r="H187" i="77"/>
  <c r="J187" i="77"/>
  <c r="K187" i="77"/>
  <c r="M187" i="77"/>
  <c r="O187" i="77"/>
  <c r="P187" i="77"/>
  <c r="R187" i="77"/>
  <c r="S187" i="77"/>
  <c r="U187" i="77"/>
  <c r="W187" i="77"/>
  <c r="X187" i="77"/>
  <c r="Z187" i="77"/>
  <c r="AA187" i="77"/>
  <c r="AB187" i="77"/>
  <c r="AC187" i="77"/>
  <c r="AD187" i="77"/>
  <c r="AE187" i="77"/>
  <c r="AF187" i="77"/>
  <c r="AG187" i="77"/>
  <c r="AH187" i="77"/>
  <c r="AI187" i="77"/>
  <c r="AJ187" i="77"/>
  <c r="AK187" i="77"/>
  <c r="AL187" i="77"/>
  <c r="AM187" i="77"/>
  <c r="AN187" i="77"/>
  <c r="AO187" i="77"/>
  <c r="AP187" i="77"/>
  <c r="AQ187" i="77"/>
  <c r="AR187" i="77"/>
  <c r="AS187" i="77"/>
  <c r="AT187" i="77"/>
  <c r="AU187" i="77"/>
  <c r="AW187" i="77"/>
  <c r="AX187" i="77"/>
  <c r="AY187" i="77"/>
  <c r="BA187" i="77"/>
  <c r="A188" i="77"/>
  <c r="B188" i="77"/>
  <c r="D188" i="77"/>
  <c r="E188" i="77"/>
  <c r="F188" i="77"/>
  <c r="G188" i="77"/>
  <c r="H188" i="77"/>
  <c r="J188" i="77"/>
  <c r="K188" i="77"/>
  <c r="M188" i="77"/>
  <c r="O188" i="77"/>
  <c r="P188" i="77"/>
  <c r="R188" i="77"/>
  <c r="S188" i="77"/>
  <c r="U188" i="77"/>
  <c r="W188" i="77"/>
  <c r="X188" i="77"/>
  <c r="Z188" i="77"/>
  <c r="AA188" i="77"/>
  <c r="AB188" i="77"/>
  <c r="AC188" i="77"/>
  <c r="AD188" i="77"/>
  <c r="AE188" i="77"/>
  <c r="AF188" i="77"/>
  <c r="AG188" i="77"/>
  <c r="AH188" i="77"/>
  <c r="AI188" i="77"/>
  <c r="AJ188" i="77"/>
  <c r="AK188" i="77"/>
  <c r="AL188" i="77"/>
  <c r="AM188" i="77"/>
  <c r="AN188" i="77"/>
  <c r="AO188" i="77"/>
  <c r="AP188" i="77"/>
  <c r="AQ188" i="77"/>
  <c r="AR188" i="77"/>
  <c r="AS188" i="77"/>
  <c r="AT188" i="77"/>
  <c r="AU188" i="77"/>
  <c r="AW188" i="77"/>
  <c r="AX188" i="77"/>
  <c r="AY188" i="77"/>
  <c r="BA188" i="77"/>
  <c r="A189" i="77"/>
  <c r="B189" i="77"/>
  <c r="D189" i="77"/>
  <c r="E189" i="77"/>
  <c r="F189" i="77"/>
  <c r="G189" i="77"/>
  <c r="H189" i="77"/>
  <c r="J189" i="77"/>
  <c r="K189" i="77"/>
  <c r="M189" i="77"/>
  <c r="O189" i="77"/>
  <c r="P189" i="77"/>
  <c r="R189" i="77"/>
  <c r="S189" i="77"/>
  <c r="U189" i="77"/>
  <c r="W189" i="77"/>
  <c r="X189" i="77"/>
  <c r="Z189" i="77"/>
  <c r="AA189" i="77"/>
  <c r="AB189" i="77"/>
  <c r="AC189" i="77"/>
  <c r="AD189" i="77"/>
  <c r="AE189" i="77"/>
  <c r="AF189" i="77"/>
  <c r="AG189" i="77"/>
  <c r="AH189" i="77"/>
  <c r="AI189" i="77"/>
  <c r="AJ189" i="77"/>
  <c r="AK189" i="77"/>
  <c r="AL189" i="77"/>
  <c r="AM189" i="77"/>
  <c r="AN189" i="77"/>
  <c r="AO189" i="77"/>
  <c r="AP189" i="77"/>
  <c r="AQ189" i="77"/>
  <c r="AR189" i="77"/>
  <c r="AS189" i="77"/>
  <c r="AT189" i="77"/>
  <c r="AU189" i="77"/>
  <c r="AW189" i="77"/>
  <c r="AX189" i="77"/>
  <c r="AY189" i="77"/>
  <c r="BA189" i="77"/>
  <c r="A190" i="77"/>
  <c r="B190" i="77"/>
  <c r="D190" i="77"/>
  <c r="E190" i="77"/>
  <c r="F190" i="77"/>
  <c r="G190" i="77"/>
  <c r="H190" i="77"/>
  <c r="J190" i="77"/>
  <c r="K190" i="77"/>
  <c r="M190" i="77"/>
  <c r="O190" i="77"/>
  <c r="P190" i="77"/>
  <c r="R190" i="77"/>
  <c r="S190" i="77"/>
  <c r="U190" i="77"/>
  <c r="W190" i="77"/>
  <c r="X190" i="77"/>
  <c r="Z190" i="77"/>
  <c r="AA190" i="77"/>
  <c r="AB190" i="77"/>
  <c r="AC190" i="77"/>
  <c r="AD190" i="77"/>
  <c r="AE190" i="77"/>
  <c r="AF190" i="77"/>
  <c r="AG190" i="77"/>
  <c r="AH190" i="77"/>
  <c r="AI190" i="77"/>
  <c r="AJ190" i="77"/>
  <c r="AK190" i="77"/>
  <c r="AL190" i="77"/>
  <c r="AM190" i="77"/>
  <c r="AN190" i="77"/>
  <c r="AO190" i="77"/>
  <c r="AP190" i="77"/>
  <c r="AQ190" i="77"/>
  <c r="AR190" i="77"/>
  <c r="AS190" i="77"/>
  <c r="AT190" i="77"/>
  <c r="AU190" i="77"/>
  <c r="AW190" i="77"/>
  <c r="AX190" i="77"/>
  <c r="AY190" i="77"/>
  <c r="BA190" i="77"/>
  <c r="A191" i="77"/>
  <c r="B191" i="77"/>
  <c r="D191" i="77"/>
  <c r="E191" i="77"/>
  <c r="F191" i="77"/>
  <c r="G191" i="77"/>
  <c r="H191" i="77"/>
  <c r="J191" i="77"/>
  <c r="K191" i="77"/>
  <c r="M191" i="77"/>
  <c r="O191" i="77"/>
  <c r="P191" i="77"/>
  <c r="R191" i="77"/>
  <c r="S191" i="77"/>
  <c r="U191" i="77"/>
  <c r="W191" i="77"/>
  <c r="X191" i="77"/>
  <c r="Z191" i="77"/>
  <c r="AA191" i="77"/>
  <c r="AB191" i="77"/>
  <c r="AC191" i="77"/>
  <c r="AD191" i="77"/>
  <c r="AE191" i="77"/>
  <c r="AF191" i="77"/>
  <c r="AG191" i="77"/>
  <c r="AH191" i="77"/>
  <c r="AI191" i="77"/>
  <c r="AJ191" i="77"/>
  <c r="AK191" i="77"/>
  <c r="AL191" i="77"/>
  <c r="AM191" i="77"/>
  <c r="AN191" i="77"/>
  <c r="AO191" i="77"/>
  <c r="AP191" i="77"/>
  <c r="AQ191" i="77"/>
  <c r="AR191" i="77"/>
  <c r="AS191" i="77"/>
  <c r="AT191" i="77"/>
  <c r="AU191" i="77"/>
  <c r="AW191" i="77"/>
  <c r="AX191" i="77"/>
  <c r="AY191" i="77"/>
  <c r="BA191" i="77"/>
  <c r="A192" i="77"/>
  <c r="B192" i="77"/>
  <c r="D192" i="77"/>
  <c r="E192" i="77"/>
  <c r="F192" i="77"/>
  <c r="G192" i="77"/>
  <c r="H192" i="77"/>
  <c r="J192" i="77"/>
  <c r="K192" i="77"/>
  <c r="M192" i="77"/>
  <c r="O192" i="77"/>
  <c r="P192" i="77"/>
  <c r="R192" i="77"/>
  <c r="S192" i="77"/>
  <c r="U192" i="77"/>
  <c r="W192" i="77"/>
  <c r="X192" i="77"/>
  <c r="Z192" i="77"/>
  <c r="AA192" i="77"/>
  <c r="AB192" i="77"/>
  <c r="AC192" i="77"/>
  <c r="AD192" i="77"/>
  <c r="AE192" i="77"/>
  <c r="AF192" i="77"/>
  <c r="AG192" i="77"/>
  <c r="AH192" i="77"/>
  <c r="AI192" i="77"/>
  <c r="AJ192" i="77"/>
  <c r="AK192" i="77"/>
  <c r="AL192" i="77"/>
  <c r="AM192" i="77"/>
  <c r="AN192" i="77"/>
  <c r="AO192" i="77"/>
  <c r="AP192" i="77"/>
  <c r="AQ192" i="77"/>
  <c r="AR192" i="77"/>
  <c r="AS192" i="77"/>
  <c r="AT192" i="77"/>
  <c r="AU192" i="77"/>
  <c r="AW192" i="77"/>
  <c r="AX192" i="77"/>
  <c r="AY192" i="77"/>
  <c r="BA192" i="77"/>
  <c r="A193" i="77"/>
  <c r="B193" i="77"/>
  <c r="D193" i="77"/>
  <c r="E193" i="77"/>
  <c r="F193" i="77"/>
  <c r="G193" i="77"/>
  <c r="H193" i="77"/>
  <c r="J193" i="77"/>
  <c r="K193" i="77"/>
  <c r="M193" i="77"/>
  <c r="O193" i="77"/>
  <c r="P193" i="77"/>
  <c r="R193" i="77"/>
  <c r="S193" i="77"/>
  <c r="U193" i="77"/>
  <c r="W193" i="77"/>
  <c r="X193" i="77"/>
  <c r="Z193" i="77"/>
  <c r="AA193" i="77"/>
  <c r="AB193" i="77"/>
  <c r="AC193" i="77"/>
  <c r="AD193" i="77"/>
  <c r="AE193" i="77"/>
  <c r="AF193" i="77"/>
  <c r="AG193" i="77"/>
  <c r="AH193" i="77"/>
  <c r="AI193" i="77"/>
  <c r="AJ193" i="77"/>
  <c r="AK193" i="77"/>
  <c r="AL193" i="77"/>
  <c r="AM193" i="77"/>
  <c r="AN193" i="77"/>
  <c r="AO193" i="77"/>
  <c r="AP193" i="77"/>
  <c r="AQ193" i="77"/>
  <c r="AR193" i="77"/>
  <c r="AS193" i="77"/>
  <c r="AT193" i="77"/>
  <c r="AU193" i="77"/>
  <c r="AW193" i="77"/>
  <c r="AX193" i="77"/>
  <c r="AY193" i="77"/>
  <c r="BA193" i="77"/>
  <c r="A194" i="77"/>
  <c r="B194" i="77"/>
  <c r="D194" i="77"/>
  <c r="E194" i="77"/>
  <c r="F194" i="77"/>
  <c r="G194" i="77"/>
  <c r="H194" i="77"/>
  <c r="J194" i="77"/>
  <c r="K194" i="77"/>
  <c r="M194" i="77"/>
  <c r="O194" i="77"/>
  <c r="P194" i="77"/>
  <c r="R194" i="77"/>
  <c r="S194" i="77"/>
  <c r="U194" i="77"/>
  <c r="W194" i="77"/>
  <c r="X194" i="77"/>
  <c r="Z194" i="77"/>
  <c r="AA194" i="77"/>
  <c r="AB194" i="77"/>
  <c r="AC194" i="77"/>
  <c r="AD194" i="77"/>
  <c r="AE194" i="77"/>
  <c r="AF194" i="77"/>
  <c r="AG194" i="77"/>
  <c r="AH194" i="77"/>
  <c r="AI194" i="77"/>
  <c r="AJ194" i="77"/>
  <c r="AK194" i="77"/>
  <c r="AL194" i="77"/>
  <c r="AM194" i="77"/>
  <c r="AN194" i="77"/>
  <c r="AO194" i="77"/>
  <c r="AP194" i="77"/>
  <c r="AQ194" i="77"/>
  <c r="AR194" i="77"/>
  <c r="AS194" i="77"/>
  <c r="AT194" i="77"/>
  <c r="AU194" i="77"/>
  <c r="AW194" i="77"/>
  <c r="AX194" i="77"/>
  <c r="AY194" i="77"/>
  <c r="BA194" i="77"/>
  <c r="A195" i="77"/>
  <c r="B195" i="77"/>
  <c r="D195" i="77"/>
  <c r="E195" i="77"/>
  <c r="F195" i="77"/>
  <c r="G195" i="77"/>
  <c r="H195" i="77"/>
  <c r="J195" i="77"/>
  <c r="K195" i="77"/>
  <c r="M195" i="77"/>
  <c r="O195" i="77"/>
  <c r="P195" i="77"/>
  <c r="R195" i="77"/>
  <c r="S195" i="77"/>
  <c r="U195" i="77"/>
  <c r="W195" i="77"/>
  <c r="X195" i="77"/>
  <c r="Z195" i="77"/>
  <c r="AA195" i="77"/>
  <c r="AB195" i="77"/>
  <c r="AC195" i="77"/>
  <c r="AD195" i="77"/>
  <c r="AE195" i="77"/>
  <c r="AF195" i="77"/>
  <c r="AG195" i="77"/>
  <c r="AH195" i="77"/>
  <c r="AI195" i="77"/>
  <c r="AJ195" i="77"/>
  <c r="AK195" i="77"/>
  <c r="AL195" i="77"/>
  <c r="AM195" i="77"/>
  <c r="AN195" i="77"/>
  <c r="AO195" i="77"/>
  <c r="AP195" i="77"/>
  <c r="AQ195" i="77"/>
  <c r="AR195" i="77"/>
  <c r="AS195" i="77"/>
  <c r="AT195" i="77"/>
  <c r="AU195" i="77"/>
  <c r="AW195" i="77"/>
  <c r="AX195" i="77"/>
  <c r="AY195" i="77"/>
  <c r="BA195" i="77"/>
  <c r="A196" i="77"/>
  <c r="B196" i="77"/>
  <c r="D196" i="77"/>
  <c r="E196" i="77"/>
  <c r="F196" i="77"/>
  <c r="G196" i="77"/>
  <c r="H196" i="77"/>
  <c r="J196" i="77"/>
  <c r="K196" i="77"/>
  <c r="M196" i="77"/>
  <c r="O196" i="77"/>
  <c r="P196" i="77"/>
  <c r="R196" i="77"/>
  <c r="S196" i="77"/>
  <c r="U196" i="77"/>
  <c r="W196" i="77"/>
  <c r="X196" i="77"/>
  <c r="Z196" i="77"/>
  <c r="AA196" i="77"/>
  <c r="AB196" i="77"/>
  <c r="AC196" i="77"/>
  <c r="AD196" i="77"/>
  <c r="AE196" i="77"/>
  <c r="AF196" i="77"/>
  <c r="AG196" i="77"/>
  <c r="AH196" i="77"/>
  <c r="AI196" i="77"/>
  <c r="AJ196" i="77"/>
  <c r="AK196" i="77"/>
  <c r="AL196" i="77"/>
  <c r="AM196" i="77"/>
  <c r="AN196" i="77"/>
  <c r="AO196" i="77"/>
  <c r="AP196" i="77"/>
  <c r="AQ196" i="77"/>
  <c r="AR196" i="77"/>
  <c r="AS196" i="77"/>
  <c r="AT196" i="77"/>
  <c r="AU196" i="77"/>
  <c r="AW196" i="77"/>
  <c r="AX196" i="77"/>
  <c r="AY196" i="77"/>
  <c r="BA196" i="77"/>
  <c r="A197" i="77"/>
  <c r="B197" i="77"/>
  <c r="D197" i="77"/>
  <c r="E197" i="77"/>
  <c r="F197" i="77"/>
  <c r="G197" i="77"/>
  <c r="H197" i="77"/>
  <c r="J197" i="77"/>
  <c r="K197" i="77"/>
  <c r="M197" i="77"/>
  <c r="O197" i="77"/>
  <c r="P197" i="77"/>
  <c r="R197" i="77"/>
  <c r="S197" i="77"/>
  <c r="U197" i="77"/>
  <c r="W197" i="77"/>
  <c r="X197" i="77"/>
  <c r="Z197" i="77"/>
  <c r="AA197" i="77"/>
  <c r="AB197" i="77"/>
  <c r="AC197" i="77"/>
  <c r="AD197" i="77"/>
  <c r="AE197" i="77"/>
  <c r="AF197" i="77"/>
  <c r="AG197" i="77"/>
  <c r="AH197" i="77"/>
  <c r="AI197" i="77"/>
  <c r="AJ197" i="77"/>
  <c r="AK197" i="77"/>
  <c r="AL197" i="77"/>
  <c r="AM197" i="77"/>
  <c r="AN197" i="77"/>
  <c r="AO197" i="77"/>
  <c r="AP197" i="77"/>
  <c r="AQ197" i="77"/>
  <c r="AR197" i="77"/>
  <c r="AS197" i="77"/>
  <c r="AT197" i="77"/>
  <c r="AU197" i="77"/>
  <c r="AW197" i="77"/>
  <c r="AX197" i="77"/>
  <c r="AY197" i="77"/>
  <c r="BA197" i="77"/>
  <c r="A198" i="77"/>
  <c r="B198" i="77"/>
  <c r="D198" i="77"/>
  <c r="E198" i="77"/>
  <c r="F198" i="77"/>
  <c r="G198" i="77"/>
  <c r="H198" i="77"/>
  <c r="J198" i="77"/>
  <c r="K198" i="77"/>
  <c r="M198" i="77"/>
  <c r="O198" i="77"/>
  <c r="P198" i="77"/>
  <c r="R198" i="77"/>
  <c r="S198" i="77"/>
  <c r="U198" i="77"/>
  <c r="W198" i="77"/>
  <c r="X198" i="77"/>
  <c r="Z198" i="77"/>
  <c r="AA198" i="77"/>
  <c r="AB198" i="77"/>
  <c r="AC198" i="77"/>
  <c r="AD198" i="77"/>
  <c r="AE198" i="77"/>
  <c r="AF198" i="77"/>
  <c r="AG198" i="77"/>
  <c r="AH198" i="77"/>
  <c r="AI198" i="77"/>
  <c r="AJ198" i="77"/>
  <c r="AK198" i="77"/>
  <c r="AL198" i="77"/>
  <c r="AM198" i="77"/>
  <c r="AN198" i="77"/>
  <c r="AO198" i="77"/>
  <c r="AP198" i="77"/>
  <c r="AQ198" i="77"/>
  <c r="AR198" i="77"/>
  <c r="AS198" i="77"/>
  <c r="AT198" i="77"/>
  <c r="AU198" i="77"/>
  <c r="AW198" i="77"/>
  <c r="AX198" i="77"/>
  <c r="AY198" i="77"/>
  <c r="BA198" i="77"/>
  <c r="A199" i="77"/>
  <c r="B199" i="77"/>
  <c r="D199" i="77"/>
  <c r="E199" i="77"/>
  <c r="F199" i="77"/>
  <c r="G199" i="77"/>
  <c r="H199" i="77"/>
  <c r="J199" i="77"/>
  <c r="K199" i="77"/>
  <c r="M199" i="77"/>
  <c r="O199" i="77"/>
  <c r="P199" i="77"/>
  <c r="R199" i="77"/>
  <c r="S199" i="77"/>
  <c r="U199" i="77"/>
  <c r="W199" i="77"/>
  <c r="X199" i="77"/>
  <c r="Z199" i="77"/>
  <c r="AA199" i="77"/>
  <c r="AB199" i="77"/>
  <c r="AC199" i="77"/>
  <c r="AD199" i="77"/>
  <c r="AE199" i="77"/>
  <c r="AF199" i="77"/>
  <c r="AG199" i="77"/>
  <c r="AH199" i="77"/>
  <c r="AI199" i="77"/>
  <c r="AJ199" i="77"/>
  <c r="AK199" i="77"/>
  <c r="AL199" i="77"/>
  <c r="AM199" i="77"/>
  <c r="AN199" i="77"/>
  <c r="AO199" i="77"/>
  <c r="AP199" i="77"/>
  <c r="AQ199" i="77"/>
  <c r="AR199" i="77"/>
  <c r="AS199" i="77"/>
  <c r="AT199" i="77"/>
  <c r="AU199" i="77"/>
  <c r="AW199" i="77"/>
  <c r="AX199" i="77"/>
  <c r="AY199" i="77"/>
  <c r="BA199" i="77"/>
  <c r="A200" i="77"/>
  <c r="B200" i="77"/>
  <c r="D200" i="77"/>
  <c r="E200" i="77"/>
  <c r="F200" i="77"/>
  <c r="G200" i="77"/>
  <c r="H200" i="77"/>
  <c r="J200" i="77"/>
  <c r="K200" i="77"/>
  <c r="M200" i="77"/>
  <c r="O200" i="77"/>
  <c r="P200" i="77"/>
  <c r="R200" i="77"/>
  <c r="S200" i="77"/>
  <c r="U200" i="77"/>
  <c r="W200" i="77"/>
  <c r="X200" i="77"/>
  <c r="Z200" i="77"/>
  <c r="AA200" i="77"/>
  <c r="AB200" i="77"/>
  <c r="AC200" i="77"/>
  <c r="AD200" i="77"/>
  <c r="AE200" i="77"/>
  <c r="AF200" i="77"/>
  <c r="AG200" i="77"/>
  <c r="AH200" i="77"/>
  <c r="AI200" i="77"/>
  <c r="AJ200" i="77"/>
  <c r="AK200" i="77"/>
  <c r="AL200" i="77"/>
  <c r="AM200" i="77"/>
  <c r="AN200" i="77"/>
  <c r="AO200" i="77"/>
  <c r="AP200" i="77"/>
  <c r="AQ200" i="77"/>
  <c r="AR200" i="77"/>
  <c r="AS200" i="77"/>
  <c r="AT200" i="77"/>
  <c r="AU200" i="77"/>
  <c r="AW200" i="77"/>
  <c r="AX200" i="77"/>
  <c r="AY200" i="77"/>
  <c r="BA200" i="77"/>
  <c r="A201" i="77"/>
  <c r="B201" i="77"/>
  <c r="D201" i="77"/>
  <c r="E201" i="77"/>
  <c r="F201" i="77"/>
  <c r="G201" i="77"/>
  <c r="H201" i="77"/>
  <c r="J201" i="77"/>
  <c r="K201" i="77"/>
  <c r="M201" i="77"/>
  <c r="O201" i="77"/>
  <c r="P201" i="77"/>
  <c r="R201" i="77"/>
  <c r="S201" i="77"/>
  <c r="U201" i="77"/>
  <c r="W201" i="77"/>
  <c r="X201" i="77"/>
  <c r="Z201" i="77"/>
  <c r="AA201" i="77"/>
  <c r="AB201" i="77"/>
  <c r="AC201" i="77"/>
  <c r="AD201" i="77"/>
  <c r="AE201" i="77"/>
  <c r="AF201" i="77"/>
  <c r="AG201" i="77"/>
  <c r="AH201" i="77"/>
  <c r="AI201" i="77"/>
  <c r="AJ201" i="77"/>
  <c r="AK201" i="77"/>
  <c r="AL201" i="77"/>
  <c r="AM201" i="77"/>
  <c r="AN201" i="77"/>
  <c r="AO201" i="77"/>
  <c r="AP201" i="77"/>
  <c r="AQ201" i="77"/>
  <c r="AR201" i="77"/>
  <c r="AS201" i="77"/>
  <c r="AT201" i="77"/>
  <c r="AU201" i="77"/>
  <c r="AW201" i="77"/>
  <c r="AX201" i="77"/>
  <c r="AY201" i="77"/>
  <c r="BA201" i="77"/>
  <c r="A202" i="77"/>
  <c r="B202" i="77"/>
  <c r="D202" i="77"/>
  <c r="E202" i="77"/>
  <c r="F202" i="77"/>
  <c r="G202" i="77"/>
  <c r="H202" i="77"/>
  <c r="J202" i="77"/>
  <c r="K202" i="77"/>
  <c r="M202" i="77"/>
  <c r="O202" i="77"/>
  <c r="P202" i="77"/>
  <c r="R202" i="77"/>
  <c r="S202" i="77"/>
  <c r="U202" i="77"/>
  <c r="W202" i="77"/>
  <c r="X202" i="77"/>
  <c r="Z202" i="77"/>
  <c r="AA202" i="77"/>
  <c r="AB202" i="77"/>
  <c r="AC202" i="77"/>
  <c r="AD202" i="77"/>
  <c r="AE202" i="77"/>
  <c r="AF202" i="77"/>
  <c r="AG202" i="77"/>
  <c r="AH202" i="77"/>
  <c r="AI202" i="77"/>
  <c r="AJ202" i="77"/>
  <c r="AK202" i="77"/>
  <c r="AL202" i="77"/>
  <c r="AM202" i="77"/>
  <c r="AN202" i="77"/>
  <c r="AO202" i="77"/>
  <c r="AP202" i="77"/>
  <c r="AQ202" i="77"/>
  <c r="AR202" i="77"/>
  <c r="AS202" i="77"/>
  <c r="AT202" i="77"/>
  <c r="AU202" i="77"/>
  <c r="AW202" i="77"/>
  <c r="AX202" i="77"/>
  <c r="AY202" i="77"/>
  <c r="BA202" i="77"/>
  <c r="A203" i="77"/>
  <c r="B203" i="77"/>
  <c r="D203" i="77"/>
  <c r="E203" i="77"/>
  <c r="F203" i="77"/>
  <c r="G203" i="77"/>
  <c r="H203" i="77"/>
  <c r="J203" i="77"/>
  <c r="K203" i="77"/>
  <c r="M203" i="77"/>
  <c r="O203" i="77"/>
  <c r="P203" i="77"/>
  <c r="R203" i="77"/>
  <c r="S203" i="77"/>
  <c r="U203" i="77"/>
  <c r="W203" i="77"/>
  <c r="X203" i="77"/>
  <c r="Z203" i="77"/>
  <c r="AA203" i="77"/>
  <c r="AB203" i="77"/>
  <c r="AC203" i="77"/>
  <c r="AD203" i="77"/>
  <c r="AE203" i="77"/>
  <c r="AF203" i="77"/>
  <c r="AG203" i="77"/>
  <c r="AH203" i="77"/>
  <c r="AI203" i="77"/>
  <c r="AJ203" i="77"/>
  <c r="AK203" i="77"/>
  <c r="AL203" i="77"/>
  <c r="AM203" i="77"/>
  <c r="AN203" i="77"/>
  <c r="AO203" i="77"/>
  <c r="AP203" i="77"/>
  <c r="AQ203" i="77"/>
  <c r="AR203" i="77"/>
  <c r="AS203" i="77"/>
  <c r="AT203" i="77"/>
  <c r="AU203" i="77"/>
  <c r="AW203" i="77"/>
  <c r="AX203" i="77"/>
  <c r="AY203" i="77"/>
  <c r="BA203" i="77"/>
  <c r="A204" i="77"/>
  <c r="B204" i="77"/>
  <c r="D204" i="77"/>
  <c r="E204" i="77"/>
  <c r="F204" i="77"/>
  <c r="G204" i="77"/>
  <c r="H204" i="77"/>
  <c r="J204" i="77"/>
  <c r="K204" i="77"/>
  <c r="M204" i="77"/>
  <c r="O204" i="77"/>
  <c r="P204" i="77"/>
  <c r="R204" i="77"/>
  <c r="S204" i="77"/>
  <c r="U204" i="77"/>
  <c r="W204" i="77"/>
  <c r="X204" i="77"/>
  <c r="Z204" i="77"/>
  <c r="AA204" i="77"/>
  <c r="AB204" i="77"/>
  <c r="AC204" i="77"/>
  <c r="AD204" i="77"/>
  <c r="AE204" i="77"/>
  <c r="AF204" i="77"/>
  <c r="AG204" i="77"/>
  <c r="AH204" i="77"/>
  <c r="AI204" i="77"/>
  <c r="AJ204" i="77"/>
  <c r="AK204" i="77"/>
  <c r="AL204" i="77"/>
  <c r="AM204" i="77"/>
  <c r="AN204" i="77"/>
  <c r="AO204" i="77"/>
  <c r="AP204" i="77"/>
  <c r="AQ204" i="77"/>
  <c r="AR204" i="77"/>
  <c r="AS204" i="77"/>
  <c r="AT204" i="77"/>
  <c r="AU204" i="77"/>
  <c r="AW204" i="77"/>
  <c r="AX204" i="77"/>
  <c r="AY204" i="77"/>
  <c r="BA204" i="77"/>
  <c r="A205" i="77"/>
  <c r="B205" i="77"/>
  <c r="D205" i="77"/>
  <c r="E205" i="77"/>
  <c r="F205" i="77"/>
  <c r="G205" i="77"/>
  <c r="H205" i="77"/>
  <c r="J205" i="77"/>
  <c r="K205" i="77"/>
  <c r="M205" i="77"/>
  <c r="O205" i="77"/>
  <c r="P205" i="77"/>
  <c r="R205" i="77"/>
  <c r="S205" i="77"/>
  <c r="U205" i="77"/>
  <c r="W205" i="77"/>
  <c r="X205" i="77"/>
  <c r="Z205" i="77"/>
  <c r="AA205" i="77"/>
  <c r="AB205" i="77"/>
  <c r="AC205" i="77"/>
  <c r="AD205" i="77"/>
  <c r="AE205" i="77"/>
  <c r="AF205" i="77"/>
  <c r="AG205" i="77"/>
  <c r="AH205" i="77"/>
  <c r="AI205" i="77"/>
  <c r="AJ205" i="77"/>
  <c r="AK205" i="77"/>
  <c r="AL205" i="77"/>
  <c r="AM205" i="77"/>
  <c r="AN205" i="77"/>
  <c r="AO205" i="77"/>
  <c r="AP205" i="77"/>
  <c r="AQ205" i="77"/>
  <c r="AR205" i="77"/>
  <c r="AS205" i="77"/>
  <c r="AT205" i="77"/>
  <c r="AU205" i="77"/>
  <c r="AW205" i="77"/>
  <c r="AX205" i="77"/>
  <c r="AY205" i="77"/>
  <c r="BA205" i="77"/>
  <c r="A206" i="77"/>
  <c r="B206" i="77"/>
  <c r="D206" i="77"/>
  <c r="E206" i="77"/>
  <c r="F206" i="77"/>
  <c r="G206" i="77"/>
  <c r="H206" i="77"/>
  <c r="J206" i="77"/>
  <c r="K206" i="77"/>
  <c r="M206" i="77"/>
  <c r="O206" i="77"/>
  <c r="P206" i="77"/>
  <c r="R206" i="77"/>
  <c r="S206" i="77"/>
  <c r="U206" i="77"/>
  <c r="W206" i="77"/>
  <c r="X206" i="77"/>
  <c r="Z206" i="77"/>
  <c r="AA206" i="77"/>
  <c r="AB206" i="77"/>
  <c r="AC206" i="77"/>
  <c r="AD206" i="77"/>
  <c r="AE206" i="77"/>
  <c r="AF206" i="77"/>
  <c r="AG206" i="77"/>
  <c r="AH206" i="77"/>
  <c r="AI206" i="77"/>
  <c r="AJ206" i="77"/>
  <c r="AK206" i="77"/>
  <c r="AL206" i="77"/>
  <c r="AM206" i="77"/>
  <c r="AN206" i="77"/>
  <c r="AO206" i="77"/>
  <c r="AP206" i="77"/>
  <c r="AQ206" i="77"/>
  <c r="AR206" i="77"/>
  <c r="AS206" i="77"/>
  <c r="AT206" i="77"/>
  <c r="AU206" i="77"/>
  <c r="AW206" i="77"/>
  <c r="AX206" i="77"/>
  <c r="AY206" i="77"/>
  <c r="BA206" i="77"/>
  <c r="A207" i="77"/>
  <c r="B207" i="77"/>
  <c r="D207" i="77"/>
  <c r="E207" i="77"/>
  <c r="F207" i="77"/>
  <c r="G207" i="77"/>
  <c r="H207" i="77"/>
  <c r="J207" i="77"/>
  <c r="K207" i="77"/>
  <c r="M207" i="77"/>
  <c r="O207" i="77"/>
  <c r="P207" i="77"/>
  <c r="R207" i="77"/>
  <c r="S207" i="77"/>
  <c r="U207" i="77"/>
  <c r="W207" i="77"/>
  <c r="X207" i="77"/>
  <c r="Z207" i="77"/>
  <c r="AA207" i="77"/>
  <c r="AB207" i="77"/>
  <c r="AC207" i="77"/>
  <c r="AD207" i="77"/>
  <c r="AE207" i="77"/>
  <c r="AF207" i="77"/>
  <c r="AG207" i="77"/>
  <c r="AH207" i="77"/>
  <c r="AI207" i="77"/>
  <c r="AJ207" i="77"/>
  <c r="AK207" i="77"/>
  <c r="AL207" i="77"/>
  <c r="AM207" i="77"/>
  <c r="AN207" i="77"/>
  <c r="AO207" i="77"/>
  <c r="AP207" i="77"/>
  <c r="AQ207" i="77"/>
  <c r="AR207" i="77"/>
  <c r="AS207" i="77"/>
  <c r="AT207" i="77"/>
  <c r="AU207" i="77"/>
  <c r="AW207" i="77"/>
  <c r="AX207" i="77"/>
  <c r="AY207" i="77"/>
  <c r="BA207" i="77"/>
  <c r="A208" i="77"/>
  <c r="B208" i="77"/>
  <c r="D208" i="77"/>
  <c r="E208" i="77"/>
  <c r="F208" i="77"/>
  <c r="G208" i="77"/>
  <c r="H208" i="77"/>
  <c r="J208" i="77"/>
  <c r="K208" i="77"/>
  <c r="M208" i="77"/>
  <c r="O208" i="77"/>
  <c r="P208" i="77"/>
  <c r="R208" i="77"/>
  <c r="S208" i="77"/>
  <c r="U208" i="77"/>
  <c r="W208" i="77"/>
  <c r="X208" i="77"/>
  <c r="Z208" i="77"/>
  <c r="AA208" i="77"/>
  <c r="AB208" i="77"/>
  <c r="AC208" i="77"/>
  <c r="AD208" i="77"/>
  <c r="AE208" i="77"/>
  <c r="AF208" i="77"/>
  <c r="AG208" i="77"/>
  <c r="AH208" i="77"/>
  <c r="AI208" i="77"/>
  <c r="AJ208" i="77"/>
  <c r="AK208" i="77"/>
  <c r="AL208" i="77"/>
  <c r="AM208" i="77"/>
  <c r="AN208" i="77"/>
  <c r="AO208" i="77"/>
  <c r="AP208" i="77"/>
  <c r="AQ208" i="77"/>
  <c r="AR208" i="77"/>
  <c r="AS208" i="77"/>
  <c r="AT208" i="77"/>
  <c r="AU208" i="77"/>
  <c r="AW208" i="77"/>
  <c r="AX208" i="77"/>
  <c r="AY208" i="77"/>
  <c r="BA208" i="77"/>
  <c r="A209" i="77"/>
  <c r="B209" i="77"/>
  <c r="D209" i="77"/>
  <c r="E209" i="77"/>
  <c r="F209" i="77"/>
  <c r="G209" i="77"/>
  <c r="H209" i="77"/>
  <c r="J209" i="77"/>
  <c r="K209" i="77"/>
  <c r="M209" i="77"/>
  <c r="O209" i="77"/>
  <c r="P209" i="77"/>
  <c r="R209" i="77"/>
  <c r="S209" i="77"/>
  <c r="U209" i="77"/>
  <c r="W209" i="77"/>
  <c r="X209" i="77"/>
  <c r="Z209" i="77"/>
  <c r="AA209" i="77"/>
  <c r="AB209" i="77"/>
  <c r="AC209" i="77"/>
  <c r="AD209" i="77"/>
  <c r="AE209" i="77"/>
  <c r="AF209" i="77"/>
  <c r="AG209" i="77"/>
  <c r="AH209" i="77"/>
  <c r="AI209" i="77"/>
  <c r="AJ209" i="77"/>
  <c r="AK209" i="77"/>
  <c r="AL209" i="77"/>
  <c r="AM209" i="77"/>
  <c r="AN209" i="77"/>
  <c r="AO209" i="77"/>
  <c r="AP209" i="77"/>
  <c r="AQ209" i="77"/>
  <c r="AR209" i="77"/>
  <c r="AS209" i="77"/>
  <c r="AT209" i="77"/>
  <c r="AU209" i="77"/>
  <c r="AW209" i="77"/>
  <c r="AX209" i="77"/>
  <c r="AY209" i="77"/>
  <c r="BA209" i="77"/>
  <c r="A210" i="77"/>
  <c r="B210" i="77"/>
  <c r="D210" i="77"/>
  <c r="E210" i="77"/>
  <c r="F210" i="77"/>
  <c r="G210" i="77"/>
  <c r="H210" i="77"/>
  <c r="J210" i="77"/>
  <c r="K210" i="77"/>
  <c r="M210" i="77"/>
  <c r="O210" i="77"/>
  <c r="P210" i="77"/>
  <c r="R210" i="77"/>
  <c r="S210" i="77"/>
  <c r="U210" i="77"/>
  <c r="W210" i="77"/>
  <c r="X210" i="77"/>
  <c r="Z210" i="77"/>
  <c r="AA210" i="77"/>
  <c r="AB210" i="77"/>
  <c r="AC210" i="77"/>
  <c r="AD210" i="77"/>
  <c r="AE210" i="77"/>
  <c r="AF210" i="77"/>
  <c r="AG210" i="77"/>
  <c r="AH210" i="77"/>
  <c r="AI210" i="77"/>
  <c r="AJ210" i="77"/>
  <c r="AK210" i="77"/>
  <c r="AL210" i="77"/>
  <c r="AM210" i="77"/>
  <c r="AN210" i="77"/>
  <c r="AO210" i="77"/>
  <c r="AP210" i="77"/>
  <c r="AQ210" i="77"/>
  <c r="AR210" i="77"/>
  <c r="AS210" i="77"/>
  <c r="AT210" i="77"/>
  <c r="AU210" i="77"/>
  <c r="AW210" i="77"/>
  <c r="AX210" i="77"/>
  <c r="AY210" i="77"/>
  <c r="BA210" i="77"/>
  <c r="A211" i="77"/>
  <c r="B211" i="77"/>
  <c r="D211" i="77"/>
  <c r="E211" i="77"/>
  <c r="F211" i="77"/>
  <c r="G211" i="77"/>
  <c r="H211" i="77"/>
  <c r="J211" i="77"/>
  <c r="K211" i="77"/>
  <c r="M211" i="77"/>
  <c r="O211" i="77"/>
  <c r="P211" i="77"/>
  <c r="R211" i="77"/>
  <c r="S211" i="77"/>
  <c r="U211" i="77"/>
  <c r="W211" i="77"/>
  <c r="X211" i="77"/>
  <c r="Z211" i="77"/>
  <c r="AA211" i="77"/>
  <c r="AB211" i="77"/>
  <c r="AC211" i="77"/>
  <c r="AD211" i="77"/>
  <c r="AE211" i="77"/>
  <c r="AF211" i="77"/>
  <c r="AG211" i="77"/>
  <c r="AH211" i="77"/>
  <c r="AI211" i="77"/>
  <c r="AJ211" i="77"/>
  <c r="AK211" i="77"/>
  <c r="AL211" i="77"/>
  <c r="AM211" i="77"/>
  <c r="AN211" i="77"/>
  <c r="AO211" i="77"/>
  <c r="AP211" i="77"/>
  <c r="AQ211" i="77"/>
  <c r="AR211" i="77"/>
  <c r="AS211" i="77"/>
  <c r="AT211" i="77"/>
  <c r="AU211" i="77"/>
  <c r="AW211" i="77"/>
  <c r="AX211" i="77"/>
  <c r="AY211" i="77"/>
  <c r="BA211" i="77"/>
  <c r="A212" i="77"/>
  <c r="B212" i="77"/>
  <c r="D212" i="77"/>
  <c r="E212" i="77"/>
  <c r="F212" i="77"/>
  <c r="G212" i="77"/>
  <c r="H212" i="77"/>
  <c r="J212" i="77"/>
  <c r="K212" i="77"/>
  <c r="M212" i="77"/>
  <c r="O212" i="77"/>
  <c r="P212" i="77"/>
  <c r="R212" i="77"/>
  <c r="S212" i="77"/>
  <c r="U212" i="77"/>
  <c r="W212" i="77"/>
  <c r="X212" i="77"/>
  <c r="Z212" i="77"/>
  <c r="AA212" i="77"/>
  <c r="AB212" i="77"/>
  <c r="AC212" i="77"/>
  <c r="AD212" i="77"/>
  <c r="AE212" i="77"/>
  <c r="AF212" i="77"/>
  <c r="AG212" i="77"/>
  <c r="AH212" i="77"/>
  <c r="AI212" i="77"/>
  <c r="AJ212" i="77"/>
  <c r="AK212" i="77"/>
  <c r="AL212" i="77"/>
  <c r="AM212" i="77"/>
  <c r="AN212" i="77"/>
  <c r="AO212" i="77"/>
  <c r="AP212" i="77"/>
  <c r="AQ212" i="77"/>
  <c r="AR212" i="77"/>
  <c r="AS212" i="77"/>
  <c r="AT212" i="77"/>
  <c r="AU212" i="77"/>
  <c r="AW212" i="77"/>
  <c r="AX212" i="77"/>
  <c r="AY212" i="77"/>
  <c r="BA212" i="77"/>
  <c r="A213" i="77"/>
  <c r="B213" i="77"/>
  <c r="D213" i="77"/>
  <c r="E213" i="77"/>
  <c r="F213" i="77"/>
  <c r="G213" i="77"/>
  <c r="H213" i="77"/>
  <c r="J213" i="77"/>
  <c r="K213" i="77"/>
  <c r="M213" i="77"/>
  <c r="O213" i="77"/>
  <c r="P213" i="77"/>
  <c r="R213" i="77"/>
  <c r="S213" i="77"/>
  <c r="U213" i="77"/>
  <c r="W213" i="77"/>
  <c r="X213" i="77"/>
  <c r="Z213" i="77"/>
  <c r="AA213" i="77"/>
  <c r="AB213" i="77"/>
  <c r="AC213" i="77"/>
  <c r="AD213" i="77"/>
  <c r="AE213" i="77"/>
  <c r="AF213" i="77"/>
  <c r="AG213" i="77"/>
  <c r="AH213" i="77"/>
  <c r="AI213" i="77"/>
  <c r="AJ213" i="77"/>
  <c r="AK213" i="77"/>
  <c r="AL213" i="77"/>
  <c r="AM213" i="77"/>
  <c r="AN213" i="77"/>
  <c r="AO213" i="77"/>
  <c r="AP213" i="77"/>
  <c r="AQ213" i="77"/>
  <c r="AR213" i="77"/>
  <c r="AS213" i="77"/>
  <c r="AT213" i="77"/>
  <c r="AU213" i="77"/>
  <c r="AW213" i="77"/>
  <c r="AX213" i="77"/>
  <c r="AY213" i="77"/>
  <c r="BA213" i="77"/>
  <c r="A214" i="77"/>
  <c r="B214" i="77"/>
  <c r="D214" i="77"/>
  <c r="E214" i="77"/>
  <c r="F214" i="77"/>
  <c r="G214" i="77"/>
  <c r="H214" i="77"/>
  <c r="J214" i="77"/>
  <c r="K214" i="77"/>
  <c r="M214" i="77"/>
  <c r="O214" i="77"/>
  <c r="P214" i="77"/>
  <c r="R214" i="77"/>
  <c r="S214" i="77"/>
  <c r="U214" i="77"/>
  <c r="W214" i="77"/>
  <c r="X214" i="77"/>
  <c r="Z214" i="77"/>
  <c r="AA214" i="77"/>
  <c r="AB214" i="77"/>
  <c r="AC214" i="77"/>
  <c r="AD214" i="77"/>
  <c r="AE214" i="77"/>
  <c r="AF214" i="77"/>
  <c r="AG214" i="77"/>
  <c r="AH214" i="77"/>
  <c r="AI214" i="77"/>
  <c r="AJ214" i="77"/>
  <c r="AK214" i="77"/>
  <c r="AL214" i="77"/>
  <c r="AM214" i="77"/>
  <c r="AN214" i="77"/>
  <c r="AO214" i="77"/>
  <c r="AP214" i="77"/>
  <c r="AQ214" i="77"/>
  <c r="AR214" i="77"/>
  <c r="AS214" i="77"/>
  <c r="AT214" i="77"/>
  <c r="AU214" i="77"/>
  <c r="AW214" i="77"/>
  <c r="AX214" i="77"/>
  <c r="AY214" i="77"/>
  <c r="BA214" i="77"/>
  <c r="A215" i="77"/>
  <c r="B215" i="77"/>
  <c r="D215" i="77"/>
  <c r="E215" i="77"/>
  <c r="F215" i="77"/>
  <c r="G215" i="77"/>
  <c r="H215" i="77"/>
  <c r="J215" i="77"/>
  <c r="K215" i="77"/>
  <c r="M215" i="77"/>
  <c r="O215" i="77"/>
  <c r="P215" i="77"/>
  <c r="R215" i="77"/>
  <c r="S215" i="77"/>
  <c r="U215" i="77"/>
  <c r="W215" i="77"/>
  <c r="X215" i="77"/>
  <c r="Z215" i="77"/>
  <c r="AA215" i="77"/>
  <c r="AB215" i="77"/>
  <c r="AC215" i="77"/>
  <c r="AD215" i="77"/>
  <c r="AE215" i="77"/>
  <c r="AF215" i="77"/>
  <c r="AG215" i="77"/>
  <c r="AH215" i="77"/>
  <c r="AI215" i="77"/>
  <c r="AJ215" i="77"/>
  <c r="AK215" i="77"/>
  <c r="AL215" i="77"/>
  <c r="AM215" i="77"/>
  <c r="AN215" i="77"/>
  <c r="AO215" i="77"/>
  <c r="AP215" i="77"/>
  <c r="AQ215" i="77"/>
  <c r="AR215" i="77"/>
  <c r="AS215" i="77"/>
  <c r="AT215" i="77"/>
  <c r="AU215" i="77"/>
  <c r="AW215" i="77"/>
  <c r="AX215" i="77"/>
  <c r="AY215" i="77"/>
  <c r="BA215" i="77"/>
  <c r="A216" i="77"/>
  <c r="B216" i="77"/>
  <c r="D216" i="77"/>
  <c r="E216" i="77"/>
  <c r="F216" i="77"/>
  <c r="G216" i="77"/>
  <c r="H216" i="77"/>
  <c r="J216" i="77"/>
  <c r="K216" i="77"/>
  <c r="M216" i="77"/>
  <c r="O216" i="77"/>
  <c r="P216" i="77"/>
  <c r="R216" i="77"/>
  <c r="S216" i="77"/>
  <c r="U216" i="77"/>
  <c r="W216" i="77"/>
  <c r="X216" i="77"/>
  <c r="Z216" i="77"/>
  <c r="AA216" i="77"/>
  <c r="AB216" i="77"/>
  <c r="AC216" i="77"/>
  <c r="AD216" i="77"/>
  <c r="AE216" i="77"/>
  <c r="AF216" i="77"/>
  <c r="AG216" i="77"/>
  <c r="AH216" i="77"/>
  <c r="AI216" i="77"/>
  <c r="AJ216" i="77"/>
  <c r="AK216" i="77"/>
  <c r="AL216" i="77"/>
  <c r="AM216" i="77"/>
  <c r="AN216" i="77"/>
  <c r="AO216" i="77"/>
  <c r="AP216" i="77"/>
  <c r="AQ216" i="77"/>
  <c r="AR216" i="77"/>
  <c r="AS216" i="77"/>
  <c r="AT216" i="77"/>
  <c r="AU216" i="77"/>
  <c r="AW216" i="77"/>
  <c r="AX216" i="77"/>
  <c r="AY216" i="77"/>
  <c r="BA216" i="77"/>
  <c r="A217" i="77"/>
  <c r="B217" i="77"/>
  <c r="D217" i="77"/>
  <c r="E217" i="77"/>
  <c r="F217" i="77"/>
  <c r="G217" i="77"/>
  <c r="H217" i="77"/>
  <c r="J217" i="77"/>
  <c r="K217" i="77"/>
  <c r="M217" i="77"/>
  <c r="O217" i="77"/>
  <c r="P217" i="77"/>
  <c r="R217" i="77"/>
  <c r="S217" i="77"/>
  <c r="U217" i="77"/>
  <c r="W217" i="77"/>
  <c r="X217" i="77"/>
  <c r="Z217" i="77"/>
  <c r="AA217" i="77"/>
  <c r="AB217" i="77"/>
  <c r="AC217" i="77"/>
  <c r="AD217" i="77"/>
  <c r="AE217" i="77"/>
  <c r="AF217" i="77"/>
  <c r="AG217" i="77"/>
  <c r="AH217" i="77"/>
  <c r="AI217" i="77"/>
  <c r="AJ217" i="77"/>
  <c r="AK217" i="77"/>
  <c r="AL217" i="77"/>
  <c r="AM217" i="77"/>
  <c r="AN217" i="77"/>
  <c r="AO217" i="77"/>
  <c r="AP217" i="77"/>
  <c r="AQ217" i="77"/>
  <c r="AR217" i="77"/>
  <c r="AS217" i="77"/>
  <c r="AT217" i="77"/>
  <c r="AU217" i="77"/>
  <c r="AW217" i="77"/>
  <c r="AX217" i="77"/>
  <c r="AY217" i="77"/>
  <c r="BA217" i="77"/>
  <c r="A218" i="77"/>
  <c r="B218" i="77"/>
  <c r="D218" i="77"/>
  <c r="E218" i="77"/>
  <c r="F218" i="77"/>
  <c r="G218" i="77"/>
  <c r="H218" i="77"/>
  <c r="J218" i="77"/>
  <c r="K218" i="77"/>
  <c r="M218" i="77"/>
  <c r="O218" i="77"/>
  <c r="P218" i="77"/>
  <c r="R218" i="77"/>
  <c r="S218" i="77"/>
  <c r="U218" i="77"/>
  <c r="W218" i="77"/>
  <c r="X218" i="77"/>
  <c r="Z218" i="77"/>
  <c r="AA218" i="77"/>
  <c r="AB218" i="77"/>
  <c r="AC218" i="77"/>
  <c r="AD218" i="77"/>
  <c r="AE218" i="77"/>
  <c r="AF218" i="77"/>
  <c r="AG218" i="77"/>
  <c r="AH218" i="77"/>
  <c r="AI218" i="77"/>
  <c r="AJ218" i="77"/>
  <c r="AK218" i="77"/>
  <c r="AL218" i="77"/>
  <c r="AM218" i="77"/>
  <c r="AN218" i="77"/>
  <c r="AO218" i="77"/>
  <c r="AP218" i="77"/>
  <c r="AQ218" i="77"/>
  <c r="AR218" i="77"/>
  <c r="AS218" i="77"/>
  <c r="AT218" i="77"/>
  <c r="AU218" i="77"/>
  <c r="AW218" i="77"/>
  <c r="AX218" i="77"/>
  <c r="AY218" i="77"/>
  <c r="BA218" i="77"/>
  <c r="A219" i="77"/>
  <c r="B219" i="77"/>
  <c r="D219" i="77"/>
  <c r="E219" i="77"/>
  <c r="F219" i="77"/>
  <c r="G219" i="77"/>
  <c r="H219" i="77"/>
  <c r="J219" i="77"/>
  <c r="K219" i="77"/>
  <c r="M219" i="77"/>
  <c r="O219" i="77"/>
  <c r="P219" i="77"/>
  <c r="R219" i="77"/>
  <c r="S219" i="77"/>
  <c r="U219" i="77"/>
  <c r="W219" i="77"/>
  <c r="X219" i="77"/>
  <c r="Z219" i="77"/>
  <c r="AA219" i="77"/>
  <c r="AB219" i="77"/>
  <c r="AC219" i="77"/>
  <c r="AD219" i="77"/>
  <c r="AE219" i="77"/>
  <c r="AF219" i="77"/>
  <c r="AG219" i="77"/>
  <c r="AH219" i="77"/>
  <c r="AI219" i="77"/>
  <c r="AJ219" i="77"/>
  <c r="AK219" i="77"/>
  <c r="AL219" i="77"/>
  <c r="AM219" i="77"/>
  <c r="AN219" i="77"/>
  <c r="AO219" i="77"/>
  <c r="AP219" i="77"/>
  <c r="AQ219" i="77"/>
  <c r="AR219" i="77"/>
  <c r="AS219" i="77"/>
  <c r="AT219" i="77"/>
  <c r="AU219" i="77"/>
  <c r="AW219" i="77"/>
  <c r="AX219" i="77"/>
  <c r="AY219" i="77"/>
  <c r="BA219" i="77"/>
  <c r="A220" i="77"/>
  <c r="B220" i="77"/>
  <c r="D220" i="77"/>
  <c r="E220" i="77"/>
  <c r="F220" i="77"/>
  <c r="G220" i="77"/>
  <c r="H220" i="77"/>
  <c r="J220" i="77"/>
  <c r="K220" i="77"/>
  <c r="M220" i="77"/>
  <c r="O220" i="77"/>
  <c r="P220" i="77"/>
  <c r="R220" i="77"/>
  <c r="S220" i="77"/>
  <c r="U220" i="77"/>
  <c r="W220" i="77"/>
  <c r="X220" i="77"/>
  <c r="Z220" i="77"/>
  <c r="AA220" i="77"/>
  <c r="AB220" i="77"/>
  <c r="AC220" i="77"/>
  <c r="AD220" i="77"/>
  <c r="AE220" i="77"/>
  <c r="AF220" i="77"/>
  <c r="AG220" i="77"/>
  <c r="AH220" i="77"/>
  <c r="AI220" i="77"/>
  <c r="AJ220" i="77"/>
  <c r="AK220" i="77"/>
  <c r="AL220" i="77"/>
  <c r="AM220" i="77"/>
  <c r="AN220" i="77"/>
  <c r="AO220" i="77"/>
  <c r="AP220" i="77"/>
  <c r="AQ220" i="77"/>
  <c r="AR220" i="77"/>
  <c r="AS220" i="77"/>
  <c r="AT220" i="77"/>
  <c r="AU220" i="77"/>
  <c r="AW220" i="77"/>
  <c r="AX220" i="77"/>
  <c r="AY220" i="77"/>
  <c r="BA220" i="77"/>
  <c r="A221" i="77"/>
  <c r="B221" i="77"/>
  <c r="D221" i="77"/>
  <c r="E221" i="77"/>
  <c r="F221" i="77"/>
  <c r="G221" i="77"/>
  <c r="H221" i="77"/>
  <c r="J221" i="77"/>
  <c r="K221" i="77"/>
  <c r="M221" i="77"/>
  <c r="O221" i="77"/>
  <c r="P221" i="77"/>
  <c r="R221" i="77"/>
  <c r="S221" i="77"/>
  <c r="U221" i="77"/>
  <c r="W221" i="77"/>
  <c r="X221" i="77"/>
  <c r="Z221" i="77"/>
  <c r="AA221" i="77"/>
  <c r="AB221" i="77"/>
  <c r="AC221" i="77"/>
  <c r="AD221" i="77"/>
  <c r="AE221" i="77"/>
  <c r="AF221" i="77"/>
  <c r="AG221" i="77"/>
  <c r="AH221" i="77"/>
  <c r="AI221" i="77"/>
  <c r="AJ221" i="77"/>
  <c r="AK221" i="77"/>
  <c r="AL221" i="77"/>
  <c r="AM221" i="77"/>
  <c r="AN221" i="77"/>
  <c r="AO221" i="77"/>
  <c r="AP221" i="77"/>
  <c r="AQ221" i="77"/>
  <c r="AR221" i="77"/>
  <c r="AS221" i="77"/>
  <c r="AT221" i="77"/>
  <c r="AU221" i="77"/>
  <c r="AW221" i="77"/>
  <c r="AX221" i="77"/>
  <c r="AY221" i="77"/>
  <c r="BA221" i="77"/>
  <c r="A222" i="77"/>
  <c r="B222" i="77"/>
  <c r="D222" i="77"/>
  <c r="E222" i="77"/>
  <c r="F222" i="77"/>
  <c r="G222" i="77"/>
  <c r="H222" i="77"/>
  <c r="J222" i="77"/>
  <c r="K222" i="77"/>
  <c r="M222" i="77"/>
  <c r="O222" i="77"/>
  <c r="P222" i="77"/>
  <c r="R222" i="77"/>
  <c r="S222" i="77"/>
  <c r="U222" i="77"/>
  <c r="W222" i="77"/>
  <c r="X222" i="77"/>
  <c r="Z222" i="77"/>
  <c r="AA222" i="77"/>
  <c r="AB222" i="77"/>
  <c r="AC222" i="77"/>
  <c r="AD222" i="77"/>
  <c r="AE222" i="77"/>
  <c r="AF222" i="77"/>
  <c r="AG222" i="77"/>
  <c r="AH222" i="77"/>
  <c r="AI222" i="77"/>
  <c r="AJ222" i="77"/>
  <c r="AK222" i="77"/>
  <c r="AL222" i="77"/>
  <c r="AM222" i="77"/>
  <c r="AN222" i="77"/>
  <c r="AO222" i="77"/>
  <c r="AP222" i="77"/>
  <c r="AQ222" i="77"/>
  <c r="AR222" i="77"/>
  <c r="AS222" i="77"/>
  <c r="AT222" i="77"/>
  <c r="AU222" i="77"/>
  <c r="AW222" i="77"/>
  <c r="AX222" i="77"/>
  <c r="AY222" i="77"/>
  <c r="BA222" i="77"/>
  <c r="A223" i="77"/>
  <c r="B223" i="77"/>
  <c r="D223" i="77"/>
  <c r="E223" i="77"/>
  <c r="F223" i="77"/>
  <c r="G223" i="77"/>
  <c r="H223" i="77"/>
  <c r="J223" i="77"/>
  <c r="K223" i="77"/>
  <c r="M223" i="77"/>
  <c r="O223" i="77"/>
  <c r="P223" i="77"/>
  <c r="R223" i="77"/>
  <c r="S223" i="77"/>
  <c r="U223" i="77"/>
  <c r="W223" i="77"/>
  <c r="X223" i="77"/>
  <c r="Z223" i="77"/>
  <c r="AA223" i="77"/>
  <c r="AB223" i="77"/>
  <c r="AC223" i="77"/>
  <c r="AD223" i="77"/>
  <c r="AE223" i="77"/>
  <c r="AF223" i="77"/>
  <c r="AG223" i="77"/>
  <c r="AH223" i="77"/>
  <c r="AI223" i="77"/>
  <c r="AJ223" i="77"/>
  <c r="AK223" i="77"/>
  <c r="AL223" i="77"/>
  <c r="AM223" i="77"/>
  <c r="AN223" i="77"/>
  <c r="AO223" i="77"/>
  <c r="AP223" i="77"/>
  <c r="AQ223" i="77"/>
  <c r="AR223" i="77"/>
  <c r="AS223" i="77"/>
  <c r="AT223" i="77"/>
  <c r="AU223" i="77"/>
  <c r="AW223" i="77"/>
  <c r="AX223" i="77"/>
  <c r="AY223" i="77"/>
  <c r="BA223" i="77"/>
  <c r="A224" i="77"/>
  <c r="B224" i="77"/>
  <c r="D224" i="77"/>
  <c r="E224" i="77"/>
  <c r="F224" i="77"/>
  <c r="G224" i="77"/>
  <c r="H224" i="77"/>
  <c r="J224" i="77"/>
  <c r="K224" i="77"/>
  <c r="M224" i="77"/>
  <c r="O224" i="77"/>
  <c r="P224" i="77"/>
  <c r="R224" i="77"/>
  <c r="S224" i="77"/>
  <c r="U224" i="77"/>
  <c r="W224" i="77"/>
  <c r="X224" i="77"/>
  <c r="Z224" i="77"/>
  <c r="AA224" i="77"/>
  <c r="AB224" i="77"/>
  <c r="AC224" i="77"/>
  <c r="AD224" i="77"/>
  <c r="AE224" i="77"/>
  <c r="AF224" i="77"/>
  <c r="AG224" i="77"/>
  <c r="AH224" i="77"/>
  <c r="AI224" i="77"/>
  <c r="AJ224" i="77"/>
  <c r="AK224" i="77"/>
  <c r="AL224" i="77"/>
  <c r="AM224" i="77"/>
  <c r="AN224" i="77"/>
  <c r="AO224" i="77"/>
  <c r="AP224" i="77"/>
  <c r="AQ224" i="77"/>
  <c r="AR224" i="77"/>
  <c r="AS224" i="77"/>
  <c r="AT224" i="77"/>
  <c r="AU224" i="77"/>
  <c r="AW224" i="77"/>
  <c r="AX224" i="77"/>
  <c r="AY224" i="77"/>
  <c r="BA224" i="77"/>
  <c r="A225" i="77"/>
  <c r="B225" i="77"/>
  <c r="D225" i="77"/>
  <c r="E225" i="77"/>
  <c r="F225" i="77"/>
  <c r="G225" i="77"/>
  <c r="H225" i="77"/>
  <c r="J225" i="77"/>
  <c r="K225" i="77"/>
  <c r="M225" i="77"/>
  <c r="O225" i="77"/>
  <c r="P225" i="77"/>
  <c r="R225" i="77"/>
  <c r="S225" i="77"/>
  <c r="U225" i="77"/>
  <c r="W225" i="77"/>
  <c r="X225" i="77"/>
  <c r="Z225" i="77"/>
  <c r="AA225" i="77"/>
  <c r="AB225" i="77"/>
  <c r="AC225" i="77"/>
  <c r="AD225" i="77"/>
  <c r="AE225" i="77"/>
  <c r="AF225" i="77"/>
  <c r="AG225" i="77"/>
  <c r="AH225" i="77"/>
  <c r="AI225" i="77"/>
  <c r="AJ225" i="77"/>
  <c r="AK225" i="77"/>
  <c r="AL225" i="77"/>
  <c r="AM225" i="77"/>
  <c r="AN225" i="77"/>
  <c r="AO225" i="77"/>
  <c r="AP225" i="77"/>
  <c r="AQ225" i="77"/>
  <c r="AR225" i="77"/>
  <c r="AS225" i="77"/>
  <c r="AT225" i="77"/>
  <c r="AU225" i="77"/>
  <c r="AW225" i="77"/>
  <c r="AX225" i="77"/>
  <c r="AY225" i="77"/>
  <c r="BA225" i="77"/>
  <c r="A226" i="77"/>
  <c r="B226" i="77"/>
  <c r="D226" i="77"/>
  <c r="E226" i="77"/>
  <c r="F226" i="77"/>
  <c r="G226" i="77"/>
  <c r="H226" i="77"/>
  <c r="J226" i="77"/>
  <c r="K226" i="77"/>
  <c r="M226" i="77"/>
  <c r="O226" i="77"/>
  <c r="P226" i="77"/>
  <c r="R226" i="77"/>
  <c r="S226" i="77"/>
  <c r="U226" i="77"/>
  <c r="W226" i="77"/>
  <c r="X226" i="77"/>
  <c r="Z226" i="77"/>
  <c r="AA226" i="77"/>
  <c r="AB226" i="77"/>
  <c r="AC226" i="77"/>
  <c r="AD226" i="77"/>
  <c r="AE226" i="77"/>
  <c r="AF226" i="77"/>
  <c r="AG226" i="77"/>
  <c r="AH226" i="77"/>
  <c r="AI226" i="77"/>
  <c r="AJ226" i="77"/>
  <c r="AK226" i="77"/>
  <c r="AL226" i="77"/>
  <c r="AM226" i="77"/>
  <c r="AN226" i="77"/>
  <c r="AO226" i="77"/>
  <c r="AP226" i="77"/>
  <c r="AQ226" i="77"/>
  <c r="AR226" i="77"/>
  <c r="AS226" i="77"/>
  <c r="AT226" i="77"/>
  <c r="AU226" i="77"/>
  <c r="AW226" i="77"/>
  <c r="AX226" i="77"/>
  <c r="AY226" i="77"/>
  <c r="BA226" i="77"/>
  <c r="A227" i="77"/>
  <c r="B227" i="77"/>
  <c r="D227" i="77"/>
  <c r="E227" i="77"/>
  <c r="F227" i="77"/>
  <c r="G227" i="77"/>
  <c r="H227" i="77"/>
  <c r="J227" i="77"/>
  <c r="K227" i="77"/>
  <c r="M227" i="77"/>
  <c r="O227" i="77"/>
  <c r="P227" i="77"/>
  <c r="R227" i="77"/>
  <c r="S227" i="77"/>
  <c r="U227" i="77"/>
  <c r="W227" i="77"/>
  <c r="X227" i="77"/>
  <c r="Z227" i="77"/>
  <c r="AA227" i="77"/>
  <c r="AB227" i="77"/>
  <c r="AC227" i="77"/>
  <c r="AD227" i="77"/>
  <c r="AE227" i="77"/>
  <c r="AF227" i="77"/>
  <c r="AG227" i="77"/>
  <c r="AH227" i="77"/>
  <c r="AI227" i="77"/>
  <c r="AJ227" i="77"/>
  <c r="AK227" i="77"/>
  <c r="AL227" i="77"/>
  <c r="AM227" i="77"/>
  <c r="AN227" i="77"/>
  <c r="AO227" i="77"/>
  <c r="AP227" i="77"/>
  <c r="AQ227" i="77"/>
  <c r="AR227" i="77"/>
  <c r="AS227" i="77"/>
  <c r="AT227" i="77"/>
  <c r="AU227" i="77"/>
  <c r="AW227" i="77"/>
  <c r="AX227" i="77"/>
  <c r="AY227" i="77"/>
  <c r="BA227" i="77"/>
  <c r="A228" i="77"/>
  <c r="B228" i="77"/>
  <c r="D228" i="77"/>
  <c r="E228" i="77"/>
  <c r="F228" i="77"/>
  <c r="G228" i="77"/>
  <c r="H228" i="77"/>
  <c r="J228" i="77"/>
  <c r="K228" i="77"/>
  <c r="M228" i="77"/>
  <c r="O228" i="77"/>
  <c r="P228" i="77"/>
  <c r="R228" i="77"/>
  <c r="S228" i="77"/>
  <c r="U228" i="77"/>
  <c r="W228" i="77"/>
  <c r="X228" i="77"/>
  <c r="Z228" i="77"/>
  <c r="AA228" i="77"/>
  <c r="AB228" i="77"/>
  <c r="AC228" i="77"/>
  <c r="AD228" i="77"/>
  <c r="AE228" i="77"/>
  <c r="AF228" i="77"/>
  <c r="AG228" i="77"/>
  <c r="AH228" i="77"/>
  <c r="AI228" i="77"/>
  <c r="AJ228" i="77"/>
  <c r="AK228" i="77"/>
  <c r="AL228" i="77"/>
  <c r="AM228" i="77"/>
  <c r="AN228" i="77"/>
  <c r="AO228" i="77"/>
  <c r="AP228" i="77"/>
  <c r="AQ228" i="77"/>
  <c r="AR228" i="77"/>
  <c r="AS228" i="77"/>
  <c r="AT228" i="77"/>
  <c r="AU228" i="77"/>
  <c r="AW228" i="77"/>
  <c r="AX228" i="77"/>
  <c r="AY228" i="77"/>
  <c r="BA228" i="77"/>
  <c r="A229" i="77"/>
  <c r="B229" i="77"/>
  <c r="D229" i="77"/>
  <c r="E229" i="77"/>
  <c r="F229" i="77"/>
  <c r="G229" i="77"/>
  <c r="H229" i="77"/>
  <c r="J229" i="77"/>
  <c r="K229" i="77"/>
  <c r="M229" i="77"/>
  <c r="O229" i="77"/>
  <c r="P229" i="77"/>
  <c r="R229" i="77"/>
  <c r="S229" i="77"/>
  <c r="U229" i="77"/>
  <c r="W229" i="77"/>
  <c r="X229" i="77"/>
  <c r="Z229" i="77"/>
  <c r="AA229" i="77"/>
  <c r="AB229" i="77"/>
  <c r="AC229" i="77"/>
  <c r="AD229" i="77"/>
  <c r="AE229" i="77"/>
  <c r="AF229" i="77"/>
  <c r="AG229" i="77"/>
  <c r="AH229" i="77"/>
  <c r="AI229" i="77"/>
  <c r="AJ229" i="77"/>
  <c r="AK229" i="77"/>
  <c r="AL229" i="77"/>
  <c r="AM229" i="77"/>
  <c r="AN229" i="77"/>
  <c r="AO229" i="77"/>
  <c r="AP229" i="77"/>
  <c r="AQ229" i="77"/>
  <c r="AR229" i="77"/>
  <c r="AS229" i="77"/>
  <c r="AT229" i="77"/>
  <c r="AU229" i="77"/>
  <c r="AW229" i="77"/>
  <c r="AX229" i="77"/>
  <c r="AY229" i="77"/>
  <c r="BA229" i="77"/>
  <c r="A230" i="77"/>
  <c r="B230" i="77"/>
  <c r="D230" i="77"/>
  <c r="E230" i="77"/>
  <c r="F230" i="77"/>
  <c r="G230" i="77"/>
  <c r="H230" i="77"/>
  <c r="J230" i="77"/>
  <c r="K230" i="77"/>
  <c r="M230" i="77"/>
  <c r="O230" i="77"/>
  <c r="P230" i="77"/>
  <c r="R230" i="77"/>
  <c r="S230" i="77"/>
  <c r="U230" i="77"/>
  <c r="W230" i="77"/>
  <c r="X230" i="77"/>
  <c r="Z230" i="77"/>
  <c r="AA230" i="77"/>
  <c r="AB230" i="77"/>
  <c r="AC230" i="77"/>
  <c r="AD230" i="77"/>
  <c r="AE230" i="77"/>
  <c r="AF230" i="77"/>
  <c r="AG230" i="77"/>
  <c r="AH230" i="77"/>
  <c r="AI230" i="77"/>
  <c r="AJ230" i="77"/>
  <c r="AK230" i="77"/>
  <c r="AL230" i="77"/>
  <c r="AM230" i="77"/>
  <c r="AN230" i="77"/>
  <c r="AO230" i="77"/>
  <c r="AP230" i="77"/>
  <c r="AQ230" i="77"/>
  <c r="AR230" i="77"/>
  <c r="AS230" i="77"/>
  <c r="AT230" i="77"/>
  <c r="AU230" i="77"/>
  <c r="AW230" i="77"/>
  <c r="AX230" i="77"/>
  <c r="AY230" i="77"/>
  <c r="BA230" i="77"/>
  <c r="A231" i="77"/>
  <c r="B231" i="77"/>
  <c r="D231" i="77"/>
  <c r="E231" i="77"/>
  <c r="F231" i="77"/>
  <c r="G231" i="77"/>
  <c r="H231" i="77"/>
  <c r="J231" i="77"/>
  <c r="K231" i="77"/>
  <c r="M231" i="77"/>
  <c r="O231" i="77"/>
  <c r="P231" i="77"/>
  <c r="R231" i="77"/>
  <c r="S231" i="77"/>
  <c r="U231" i="77"/>
  <c r="W231" i="77"/>
  <c r="X231" i="77"/>
  <c r="Z231" i="77"/>
  <c r="AA231" i="77"/>
  <c r="AB231" i="77"/>
  <c r="AC231" i="77"/>
  <c r="AD231" i="77"/>
  <c r="AE231" i="77"/>
  <c r="AF231" i="77"/>
  <c r="AG231" i="77"/>
  <c r="AH231" i="77"/>
  <c r="AI231" i="77"/>
  <c r="AJ231" i="77"/>
  <c r="AK231" i="77"/>
  <c r="AL231" i="77"/>
  <c r="AM231" i="77"/>
  <c r="AN231" i="77"/>
  <c r="AO231" i="77"/>
  <c r="AP231" i="77"/>
  <c r="AQ231" i="77"/>
  <c r="AR231" i="77"/>
  <c r="AS231" i="77"/>
  <c r="AT231" i="77"/>
  <c r="AU231" i="77"/>
  <c r="AW231" i="77"/>
  <c r="AX231" i="77"/>
  <c r="AY231" i="77"/>
  <c r="BA231" i="77"/>
  <c r="A232" i="77"/>
  <c r="B232" i="77"/>
  <c r="D232" i="77"/>
  <c r="E232" i="77"/>
  <c r="F232" i="77"/>
  <c r="G232" i="77"/>
  <c r="H232" i="77"/>
  <c r="J232" i="77"/>
  <c r="K232" i="77"/>
  <c r="M232" i="77"/>
  <c r="O232" i="77"/>
  <c r="P232" i="77"/>
  <c r="R232" i="77"/>
  <c r="S232" i="77"/>
  <c r="U232" i="77"/>
  <c r="W232" i="77"/>
  <c r="X232" i="77"/>
  <c r="Z232" i="77"/>
  <c r="AA232" i="77"/>
  <c r="AB232" i="77"/>
  <c r="AC232" i="77"/>
  <c r="AD232" i="77"/>
  <c r="AE232" i="77"/>
  <c r="AF232" i="77"/>
  <c r="AG232" i="77"/>
  <c r="AH232" i="77"/>
  <c r="AI232" i="77"/>
  <c r="AJ232" i="77"/>
  <c r="AK232" i="77"/>
  <c r="AL232" i="77"/>
  <c r="AM232" i="77"/>
  <c r="AN232" i="77"/>
  <c r="AO232" i="77"/>
  <c r="AP232" i="77"/>
  <c r="AQ232" i="77"/>
  <c r="AR232" i="77"/>
  <c r="AS232" i="77"/>
  <c r="AT232" i="77"/>
  <c r="AU232" i="77"/>
  <c r="AW232" i="77"/>
  <c r="AX232" i="77"/>
  <c r="AY232" i="77"/>
  <c r="BA232" i="77"/>
  <c r="A233" i="77"/>
  <c r="B233" i="77"/>
  <c r="D233" i="77"/>
  <c r="E233" i="77"/>
  <c r="F233" i="77"/>
  <c r="G233" i="77"/>
  <c r="H233" i="77"/>
  <c r="J233" i="77"/>
  <c r="K233" i="77"/>
  <c r="M233" i="77"/>
  <c r="O233" i="77"/>
  <c r="P233" i="77"/>
  <c r="R233" i="77"/>
  <c r="S233" i="77"/>
  <c r="U233" i="77"/>
  <c r="W233" i="77"/>
  <c r="X233" i="77"/>
  <c r="Z233" i="77"/>
  <c r="AA233" i="77"/>
  <c r="AB233" i="77"/>
  <c r="AC233" i="77"/>
  <c r="AD233" i="77"/>
  <c r="AE233" i="77"/>
  <c r="AF233" i="77"/>
  <c r="AG233" i="77"/>
  <c r="AH233" i="77"/>
  <c r="AI233" i="77"/>
  <c r="AJ233" i="77"/>
  <c r="AK233" i="77"/>
  <c r="AL233" i="77"/>
  <c r="AM233" i="77"/>
  <c r="AN233" i="77"/>
  <c r="AO233" i="77"/>
  <c r="AP233" i="77"/>
  <c r="AQ233" i="77"/>
  <c r="AR233" i="77"/>
  <c r="AS233" i="77"/>
  <c r="AT233" i="77"/>
  <c r="AU233" i="77"/>
  <c r="AW233" i="77"/>
  <c r="AX233" i="77"/>
  <c r="AY233" i="77"/>
  <c r="BA233" i="77"/>
  <c r="A234" i="77"/>
  <c r="B234" i="77"/>
  <c r="D234" i="77"/>
  <c r="E234" i="77"/>
  <c r="F234" i="77"/>
  <c r="G234" i="77"/>
  <c r="H234" i="77"/>
  <c r="J234" i="77"/>
  <c r="K234" i="77"/>
  <c r="M234" i="77"/>
  <c r="O234" i="77"/>
  <c r="P234" i="77"/>
  <c r="R234" i="77"/>
  <c r="S234" i="77"/>
  <c r="U234" i="77"/>
  <c r="W234" i="77"/>
  <c r="X234" i="77"/>
  <c r="Z234" i="77"/>
  <c r="AA234" i="77"/>
  <c r="AB234" i="77"/>
  <c r="AC234" i="77"/>
  <c r="AD234" i="77"/>
  <c r="AE234" i="77"/>
  <c r="AF234" i="77"/>
  <c r="AG234" i="77"/>
  <c r="AH234" i="77"/>
  <c r="AI234" i="77"/>
  <c r="AJ234" i="77"/>
  <c r="AK234" i="77"/>
  <c r="AL234" i="77"/>
  <c r="AM234" i="77"/>
  <c r="AN234" i="77"/>
  <c r="AO234" i="77"/>
  <c r="AP234" i="77"/>
  <c r="AQ234" i="77"/>
  <c r="AR234" i="77"/>
  <c r="AS234" i="77"/>
  <c r="AT234" i="77"/>
  <c r="AU234" i="77"/>
  <c r="AW234" i="77"/>
  <c r="AX234" i="77"/>
  <c r="AY234" i="77"/>
  <c r="BA234" i="77"/>
  <c r="A235" i="77"/>
  <c r="B235" i="77"/>
  <c r="D235" i="77"/>
  <c r="E235" i="77"/>
  <c r="F235" i="77"/>
  <c r="G235" i="77"/>
  <c r="H235" i="77"/>
  <c r="J235" i="77"/>
  <c r="K235" i="77"/>
  <c r="M235" i="77"/>
  <c r="O235" i="77"/>
  <c r="P235" i="77"/>
  <c r="R235" i="77"/>
  <c r="S235" i="77"/>
  <c r="U235" i="77"/>
  <c r="W235" i="77"/>
  <c r="X235" i="77"/>
  <c r="Z235" i="77"/>
  <c r="AA235" i="77"/>
  <c r="AB235" i="77"/>
  <c r="AC235" i="77"/>
  <c r="AD235" i="77"/>
  <c r="AE235" i="77"/>
  <c r="AF235" i="77"/>
  <c r="AG235" i="77"/>
  <c r="AH235" i="77"/>
  <c r="AI235" i="77"/>
  <c r="AJ235" i="77"/>
  <c r="AK235" i="77"/>
  <c r="AL235" i="77"/>
  <c r="AM235" i="77"/>
  <c r="AN235" i="77"/>
  <c r="AO235" i="77"/>
  <c r="AP235" i="77"/>
  <c r="AQ235" i="77"/>
  <c r="AR235" i="77"/>
  <c r="AS235" i="77"/>
  <c r="AT235" i="77"/>
  <c r="AU235" i="77"/>
  <c r="AW235" i="77"/>
  <c r="AX235" i="77"/>
  <c r="AY235" i="77"/>
  <c r="BA235" i="77"/>
  <c r="A236" i="77"/>
  <c r="B236" i="77"/>
  <c r="D236" i="77"/>
  <c r="E236" i="77"/>
  <c r="F236" i="77"/>
  <c r="G236" i="77"/>
  <c r="H236" i="77"/>
  <c r="J236" i="77"/>
  <c r="K236" i="77"/>
  <c r="M236" i="77"/>
  <c r="O236" i="77"/>
  <c r="P236" i="77"/>
  <c r="R236" i="77"/>
  <c r="S236" i="77"/>
  <c r="U236" i="77"/>
  <c r="W236" i="77"/>
  <c r="X236" i="77"/>
  <c r="Z236" i="77"/>
  <c r="AA236" i="77"/>
  <c r="AB236" i="77"/>
  <c r="AC236" i="77"/>
  <c r="AD236" i="77"/>
  <c r="AE236" i="77"/>
  <c r="AF236" i="77"/>
  <c r="AG236" i="77"/>
  <c r="AH236" i="77"/>
  <c r="AI236" i="77"/>
  <c r="AJ236" i="77"/>
  <c r="AK236" i="77"/>
  <c r="AL236" i="77"/>
  <c r="AM236" i="77"/>
  <c r="AN236" i="77"/>
  <c r="AO236" i="77"/>
  <c r="AP236" i="77"/>
  <c r="AQ236" i="77"/>
  <c r="AR236" i="77"/>
  <c r="AS236" i="77"/>
  <c r="AT236" i="77"/>
  <c r="AU236" i="77"/>
  <c r="AW236" i="77"/>
  <c r="AX236" i="77"/>
  <c r="AY236" i="77"/>
  <c r="BA236" i="77"/>
  <c r="A237" i="77"/>
  <c r="B237" i="77"/>
  <c r="D237" i="77"/>
  <c r="E237" i="77"/>
  <c r="F237" i="77"/>
  <c r="G237" i="77"/>
  <c r="H237" i="77"/>
  <c r="J237" i="77"/>
  <c r="K237" i="77"/>
  <c r="M237" i="77"/>
  <c r="O237" i="77"/>
  <c r="P237" i="77"/>
  <c r="R237" i="77"/>
  <c r="S237" i="77"/>
  <c r="U237" i="77"/>
  <c r="W237" i="77"/>
  <c r="X237" i="77"/>
  <c r="Z237" i="77"/>
  <c r="AA237" i="77"/>
  <c r="AB237" i="77"/>
  <c r="AC237" i="77"/>
  <c r="AD237" i="77"/>
  <c r="AE237" i="77"/>
  <c r="AF237" i="77"/>
  <c r="AG237" i="77"/>
  <c r="AH237" i="77"/>
  <c r="AI237" i="77"/>
  <c r="AJ237" i="77"/>
  <c r="AK237" i="77"/>
  <c r="AL237" i="77"/>
  <c r="AM237" i="77"/>
  <c r="AN237" i="77"/>
  <c r="AO237" i="77"/>
  <c r="AP237" i="77"/>
  <c r="AQ237" i="77"/>
  <c r="AR237" i="77"/>
  <c r="AS237" i="77"/>
  <c r="AT237" i="77"/>
  <c r="AU237" i="77"/>
  <c r="AW237" i="77"/>
  <c r="AX237" i="77"/>
  <c r="AY237" i="77"/>
  <c r="BA237" i="77"/>
  <c r="A238" i="77"/>
  <c r="B238" i="77"/>
  <c r="D238" i="77"/>
  <c r="E238" i="77"/>
  <c r="F238" i="77"/>
  <c r="G238" i="77"/>
  <c r="H238" i="77"/>
  <c r="J238" i="77"/>
  <c r="K238" i="77"/>
  <c r="M238" i="77"/>
  <c r="O238" i="77"/>
  <c r="P238" i="77"/>
  <c r="R238" i="77"/>
  <c r="S238" i="77"/>
  <c r="U238" i="77"/>
  <c r="W238" i="77"/>
  <c r="X238" i="77"/>
  <c r="Z238" i="77"/>
  <c r="AA238" i="77"/>
  <c r="AB238" i="77"/>
  <c r="AC238" i="77"/>
  <c r="AD238" i="77"/>
  <c r="AE238" i="77"/>
  <c r="AF238" i="77"/>
  <c r="AG238" i="77"/>
  <c r="AH238" i="77"/>
  <c r="AI238" i="77"/>
  <c r="AJ238" i="77"/>
  <c r="AK238" i="77"/>
  <c r="AL238" i="77"/>
  <c r="AM238" i="77"/>
  <c r="AN238" i="77"/>
  <c r="AO238" i="77"/>
  <c r="AP238" i="77"/>
  <c r="AQ238" i="77"/>
  <c r="AR238" i="77"/>
  <c r="AS238" i="77"/>
  <c r="AT238" i="77"/>
  <c r="AU238" i="77"/>
  <c r="AW238" i="77"/>
  <c r="AX238" i="77"/>
  <c r="AY238" i="77"/>
  <c r="BA238" i="77"/>
  <c r="A239" i="77"/>
  <c r="B239" i="77"/>
  <c r="D239" i="77"/>
  <c r="E239" i="77"/>
  <c r="F239" i="77"/>
  <c r="G239" i="77"/>
  <c r="H239" i="77"/>
  <c r="J239" i="77"/>
  <c r="K239" i="77"/>
  <c r="M239" i="77"/>
  <c r="O239" i="77"/>
  <c r="P239" i="77"/>
  <c r="R239" i="77"/>
  <c r="S239" i="77"/>
  <c r="U239" i="77"/>
  <c r="W239" i="77"/>
  <c r="X239" i="77"/>
  <c r="Z239" i="77"/>
  <c r="AA239" i="77"/>
  <c r="AB239" i="77"/>
  <c r="AC239" i="77"/>
  <c r="AD239" i="77"/>
  <c r="AE239" i="77"/>
  <c r="AF239" i="77"/>
  <c r="AG239" i="77"/>
  <c r="AH239" i="77"/>
  <c r="AI239" i="77"/>
  <c r="AJ239" i="77"/>
  <c r="AK239" i="77"/>
  <c r="AL239" i="77"/>
  <c r="AM239" i="77"/>
  <c r="AN239" i="77"/>
  <c r="AO239" i="77"/>
  <c r="AP239" i="77"/>
  <c r="AQ239" i="77"/>
  <c r="AR239" i="77"/>
  <c r="AS239" i="77"/>
  <c r="AT239" i="77"/>
  <c r="AU239" i="77"/>
  <c r="AW239" i="77"/>
  <c r="AX239" i="77"/>
  <c r="AY239" i="77"/>
  <c r="BA239" i="77"/>
  <c r="A240" i="77"/>
  <c r="B240" i="77"/>
  <c r="D240" i="77"/>
  <c r="E240" i="77"/>
  <c r="F240" i="77"/>
  <c r="G240" i="77"/>
  <c r="H240" i="77"/>
  <c r="J240" i="77"/>
  <c r="K240" i="77"/>
  <c r="M240" i="77"/>
  <c r="O240" i="77"/>
  <c r="P240" i="77"/>
  <c r="R240" i="77"/>
  <c r="S240" i="77"/>
  <c r="U240" i="77"/>
  <c r="W240" i="77"/>
  <c r="X240" i="77"/>
  <c r="Z240" i="77"/>
  <c r="AA240" i="77"/>
  <c r="AB240" i="77"/>
  <c r="AC240" i="77"/>
  <c r="AD240" i="77"/>
  <c r="AE240" i="77"/>
  <c r="AF240" i="77"/>
  <c r="AG240" i="77"/>
  <c r="AH240" i="77"/>
  <c r="AI240" i="77"/>
  <c r="AJ240" i="77"/>
  <c r="AK240" i="77"/>
  <c r="AL240" i="77"/>
  <c r="AM240" i="77"/>
  <c r="AN240" i="77"/>
  <c r="AO240" i="77"/>
  <c r="AP240" i="77"/>
  <c r="AQ240" i="77"/>
  <c r="AR240" i="77"/>
  <c r="AS240" i="77"/>
  <c r="AT240" i="77"/>
  <c r="AU240" i="77"/>
  <c r="AW240" i="77"/>
  <c r="AX240" i="77"/>
  <c r="AY240" i="77"/>
  <c r="BA240" i="77"/>
  <c r="A241" i="77"/>
  <c r="B241" i="77"/>
  <c r="D241" i="77"/>
  <c r="E241" i="77"/>
  <c r="F241" i="77"/>
  <c r="G241" i="77"/>
  <c r="H241" i="77"/>
  <c r="J241" i="77"/>
  <c r="K241" i="77"/>
  <c r="M241" i="77"/>
  <c r="O241" i="77"/>
  <c r="P241" i="77"/>
  <c r="R241" i="77"/>
  <c r="S241" i="77"/>
  <c r="U241" i="77"/>
  <c r="W241" i="77"/>
  <c r="X241" i="77"/>
  <c r="Z241" i="77"/>
  <c r="AA241" i="77"/>
  <c r="AB241" i="77"/>
  <c r="AC241" i="77"/>
  <c r="AD241" i="77"/>
  <c r="AE241" i="77"/>
  <c r="AF241" i="77"/>
  <c r="AG241" i="77"/>
  <c r="AH241" i="77"/>
  <c r="AI241" i="77"/>
  <c r="AJ241" i="77"/>
  <c r="AK241" i="77"/>
  <c r="AL241" i="77"/>
  <c r="AM241" i="77"/>
  <c r="AN241" i="77"/>
  <c r="AO241" i="77"/>
  <c r="AP241" i="77"/>
  <c r="AQ241" i="77"/>
  <c r="AR241" i="77"/>
  <c r="AS241" i="77"/>
  <c r="AT241" i="77"/>
  <c r="AU241" i="77"/>
  <c r="AW241" i="77"/>
  <c r="AX241" i="77"/>
  <c r="AY241" i="77"/>
  <c r="BA241" i="77"/>
  <c r="A242" i="77"/>
  <c r="B242" i="77"/>
  <c r="D242" i="77"/>
  <c r="E242" i="77"/>
  <c r="F242" i="77"/>
  <c r="G242" i="77"/>
  <c r="H242" i="77"/>
  <c r="J242" i="77"/>
  <c r="K242" i="77"/>
  <c r="M242" i="77"/>
  <c r="O242" i="77"/>
  <c r="P242" i="77"/>
  <c r="R242" i="77"/>
  <c r="S242" i="77"/>
  <c r="U242" i="77"/>
  <c r="W242" i="77"/>
  <c r="X242" i="77"/>
  <c r="Z242" i="77"/>
  <c r="AA242" i="77"/>
  <c r="AB242" i="77"/>
  <c r="AC242" i="77"/>
  <c r="AD242" i="77"/>
  <c r="AE242" i="77"/>
  <c r="AF242" i="77"/>
  <c r="AG242" i="77"/>
  <c r="AH242" i="77"/>
  <c r="AI242" i="77"/>
  <c r="AJ242" i="77"/>
  <c r="AK242" i="77"/>
  <c r="AL242" i="77"/>
  <c r="AM242" i="77"/>
  <c r="AN242" i="77"/>
  <c r="AO242" i="77"/>
  <c r="AP242" i="77"/>
  <c r="AQ242" i="77"/>
  <c r="AR242" i="77"/>
  <c r="AS242" i="77"/>
  <c r="AT242" i="77"/>
  <c r="AU242" i="77"/>
  <c r="AW242" i="77"/>
  <c r="AX242" i="77"/>
  <c r="AY242" i="77"/>
  <c r="BA242" i="77"/>
  <c r="A243" i="77"/>
  <c r="B243" i="77"/>
  <c r="D243" i="77"/>
  <c r="E243" i="77"/>
  <c r="F243" i="77"/>
  <c r="G243" i="77"/>
  <c r="H243" i="77"/>
  <c r="J243" i="77"/>
  <c r="K243" i="77"/>
  <c r="M243" i="77"/>
  <c r="O243" i="77"/>
  <c r="P243" i="77"/>
  <c r="R243" i="77"/>
  <c r="S243" i="77"/>
  <c r="U243" i="77"/>
  <c r="W243" i="77"/>
  <c r="X243" i="77"/>
  <c r="Z243" i="77"/>
  <c r="AA243" i="77"/>
  <c r="AB243" i="77"/>
  <c r="AC243" i="77"/>
  <c r="AD243" i="77"/>
  <c r="AE243" i="77"/>
  <c r="AF243" i="77"/>
  <c r="AG243" i="77"/>
  <c r="AH243" i="77"/>
  <c r="AI243" i="77"/>
  <c r="AJ243" i="77"/>
  <c r="AK243" i="77"/>
  <c r="AL243" i="77"/>
  <c r="AM243" i="77"/>
  <c r="AN243" i="77"/>
  <c r="AO243" i="77"/>
  <c r="AP243" i="77"/>
  <c r="AQ243" i="77"/>
  <c r="AR243" i="77"/>
  <c r="AS243" i="77"/>
  <c r="AT243" i="77"/>
  <c r="AU243" i="77"/>
  <c r="AW243" i="77"/>
  <c r="AX243" i="77"/>
  <c r="AY243" i="77"/>
  <c r="BA243" i="77"/>
  <c r="A244" i="77"/>
  <c r="B244" i="77"/>
  <c r="D244" i="77"/>
  <c r="E244" i="77"/>
  <c r="F244" i="77"/>
  <c r="G244" i="77"/>
  <c r="H244" i="77"/>
  <c r="J244" i="77"/>
  <c r="K244" i="77"/>
  <c r="M244" i="77"/>
  <c r="O244" i="77"/>
  <c r="P244" i="77"/>
  <c r="R244" i="77"/>
  <c r="S244" i="77"/>
  <c r="U244" i="77"/>
  <c r="W244" i="77"/>
  <c r="X244" i="77"/>
  <c r="Z244" i="77"/>
  <c r="AA244" i="77"/>
  <c r="AB244" i="77"/>
  <c r="AC244" i="77"/>
  <c r="AD244" i="77"/>
  <c r="AE244" i="77"/>
  <c r="AF244" i="77"/>
  <c r="AG244" i="77"/>
  <c r="AH244" i="77"/>
  <c r="AI244" i="77"/>
  <c r="AJ244" i="77"/>
  <c r="AK244" i="77"/>
  <c r="AL244" i="77"/>
  <c r="AM244" i="77"/>
  <c r="AN244" i="77"/>
  <c r="AO244" i="77"/>
  <c r="AP244" i="77"/>
  <c r="AQ244" i="77"/>
  <c r="AR244" i="77"/>
  <c r="AS244" i="77"/>
  <c r="AT244" i="77"/>
  <c r="AU244" i="77"/>
  <c r="AW244" i="77"/>
  <c r="AX244" i="77"/>
  <c r="AY244" i="77"/>
  <c r="BA244" i="77"/>
  <c r="A245" i="77"/>
  <c r="B245" i="77"/>
  <c r="D245" i="77"/>
  <c r="E245" i="77"/>
  <c r="F245" i="77"/>
  <c r="G245" i="77"/>
  <c r="H245" i="77"/>
  <c r="J245" i="77"/>
  <c r="K245" i="77"/>
  <c r="M245" i="77"/>
  <c r="O245" i="77"/>
  <c r="P245" i="77"/>
  <c r="R245" i="77"/>
  <c r="S245" i="77"/>
  <c r="U245" i="77"/>
  <c r="W245" i="77"/>
  <c r="X245" i="77"/>
  <c r="Z245" i="77"/>
  <c r="AA245" i="77"/>
  <c r="AB245" i="77"/>
  <c r="AC245" i="77"/>
  <c r="AD245" i="77"/>
  <c r="AE245" i="77"/>
  <c r="AF245" i="77"/>
  <c r="AG245" i="77"/>
  <c r="AH245" i="77"/>
  <c r="AI245" i="77"/>
  <c r="AJ245" i="77"/>
  <c r="AK245" i="77"/>
  <c r="AL245" i="77"/>
  <c r="AM245" i="77"/>
  <c r="AN245" i="77"/>
  <c r="AO245" i="77"/>
  <c r="AP245" i="77"/>
  <c r="AQ245" i="77"/>
  <c r="AR245" i="77"/>
  <c r="AS245" i="77"/>
  <c r="AT245" i="77"/>
  <c r="AU245" i="77"/>
  <c r="AW245" i="77"/>
  <c r="AX245" i="77"/>
  <c r="AY245" i="77"/>
  <c r="BA245" i="77"/>
  <c r="A246" i="77"/>
  <c r="B246" i="77"/>
  <c r="D246" i="77"/>
  <c r="E246" i="77"/>
  <c r="F246" i="77"/>
  <c r="G246" i="77"/>
  <c r="H246" i="77"/>
  <c r="J246" i="77"/>
  <c r="K246" i="77"/>
  <c r="M246" i="77"/>
  <c r="O246" i="77"/>
  <c r="P246" i="77"/>
  <c r="R246" i="77"/>
  <c r="S246" i="77"/>
  <c r="U246" i="77"/>
  <c r="W246" i="77"/>
  <c r="X246" i="77"/>
  <c r="Z246" i="77"/>
  <c r="AA246" i="77"/>
  <c r="AB246" i="77"/>
  <c r="AC246" i="77"/>
  <c r="AD246" i="77"/>
  <c r="AE246" i="77"/>
  <c r="AF246" i="77"/>
  <c r="AG246" i="77"/>
  <c r="AH246" i="77"/>
  <c r="AI246" i="77"/>
  <c r="AJ246" i="77"/>
  <c r="AK246" i="77"/>
  <c r="AL246" i="77"/>
  <c r="AM246" i="77"/>
  <c r="AN246" i="77"/>
  <c r="AO246" i="77"/>
  <c r="AP246" i="77"/>
  <c r="AQ246" i="77"/>
  <c r="AR246" i="77"/>
  <c r="AS246" i="77"/>
  <c r="AT246" i="77"/>
  <c r="AU246" i="77"/>
  <c r="AW246" i="77"/>
  <c r="AX246" i="77"/>
  <c r="AY246" i="77"/>
  <c r="BA246" i="77"/>
  <c r="A247" i="77"/>
  <c r="B247" i="77"/>
  <c r="D247" i="77"/>
  <c r="E247" i="77"/>
  <c r="F247" i="77"/>
  <c r="G247" i="77"/>
  <c r="H247" i="77"/>
  <c r="J247" i="77"/>
  <c r="K247" i="77"/>
  <c r="M247" i="77"/>
  <c r="O247" i="77"/>
  <c r="P247" i="77"/>
  <c r="R247" i="77"/>
  <c r="S247" i="77"/>
  <c r="U247" i="77"/>
  <c r="W247" i="77"/>
  <c r="X247" i="77"/>
  <c r="Z247" i="77"/>
  <c r="AA247" i="77"/>
  <c r="AB247" i="77"/>
  <c r="AC247" i="77"/>
  <c r="AD247" i="77"/>
  <c r="AE247" i="77"/>
  <c r="AF247" i="77"/>
  <c r="AG247" i="77"/>
  <c r="AH247" i="77"/>
  <c r="AI247" i="77"/>
  <c r="AJ247" i="77"/>
  <c r="AK247" i="77"/>
  <c r="AL247" i="77"/>
  <c r="AM247" i="77"/>
  <c r="AN247" i="77"/>
  <c r="AO247" i="77"/>
  <c r="AP247" i="77"/>
  <c r="AQ247" i="77"/>
  <c r="AR247" i="77"/>
  <c r="AS247" i="77"/>
  <c r="AT247" i="77"/>
  <c r="AU247" i="77"/>
  <c r="AW247" i="77"/>
  <c r="AX247" i="77"/>
  <c r="AY247" i="77"/>
  <c r="BA247" i="77"/>
  <c r="A248" i="77"/>
  <c r="B248" i="77"/>
  <c r="D248" i="77"/>
  <c r="E248" i="77"/>
  <c r="F248" i="77"/>
  <c r="G248" i="77"/>
  <c r="H248" i="77"/>
  <c r="J248" i="77"/>
  <c r="K248" i="77"/>
  <c r="M248" i="77"/>
  <c r="O248" i="77"/>
  <c r="P248" i="77"/>
  <c r="R248" i="77"/>
  <c r="S248" i="77"/>
  <c r="U248" i="77"/>
  <c r="W248" i="77"/>
  <c r="X248" i="77"/>
  <c r="Z248" i="77"/>
  <c r="AA248" i="77"/>
  <c r="AB248" i="77"/>
  <c r="AC248" i="77"/>
  <c r="AD248" i="77"/>
  <c r="AE248" i="77"/>
  <c r="AF248" i="77"/>
  <c r="AG248" i="77"/>
  <c r="AH248" i="77"/>
  <c r="AI248" i="77"/>
  <c r="AJ248" i="77"/>
  <c r="AK248" i="77"/>
  <c r="AL248" i="77"/>
  <c r="AM248" i="77"/>
  <c r="AN248" i="77"/>
  <c r="AO248" i="77"/>
  <c r="AP248" i="77"/>
  <c r="AQ248" i="77"/>
  <c r="AR248" i="77"/>
  <c r="AS248" i="77"/>
  <c r="AT248" i="77"/>
  <c r="AU248" i="77"/>
  <c r="AW248" i="77"/>
  <c r="AX248" i="77"/>
  <c r="AY248" i="77"/>
  <c r="BA248" i="77"/>
  <c r="A249" i="77"/>
  <c r="B249" i="77"/>
  <c r="D249" i="77"/>
  <c r="E249" i="77"/>
  <c r="F249" i="77"/>
  <c r="G249" i="77"/>
  <c r="H249" i="77"/>
  <c r="J249" i="77"/>
  <c r="K249" i="77"/>
  <c r="M249" i="77"/>
  <c r="O249" i="77"/>
  <c r="P249" i="77"/>
  <c r="R249" i="77"/>
  <c r="S249" i="77"/>
  <c r="U249" i="77"/>
  <c r="W249" i="77"/>
  <c r="X249" i="77"/>
  <c r="Z249" i="77"/>
  <c r="AA249" i="77"/>
  <c r="AB249" i="77"/>
  <c r="AC249" i="77"/>
  <c r="AD249" i="77"/>
  <c r="AE249" i="77"/>
  <c r="AF249" i="77"/>
  <c r="AG249" i="77"/>
  <c r="AH249" i="77"/>
  <c r="AI249" i="77"/>
  <c r="AJ249" i="77"/>
  <c r="AK249" i="77"/>
  <c r="AL249" i="77"/>
  <c r="AM249" i="77"/>
  <c r="AN249" i="77"/>
  <c r="AO249" i="77"/>
  <c r="AP249" i="77"/>
  <c r="AQ249" i="77"/>
  <c r="AR249" i="77"/>
  <c r="AS249" i="77"/>
  <c r="AT249" i="77"/>
  <c r="AU249" i="77"/>
  <c r="AW249" i="77"/>
  <c r="AX249" i="77"/>
  <c r="AY249" i="77"/>
  <c r="BA249" i="77"/>
  <c r="A250" i="77"/>
  <c r="B250" i="77"/>
  <c r="D250" i="77"/>
  <c r="E250" i="77"/>
  <c r="F250" i="77"/>
  <c r="G250" i="77"/>
  <c r="H250" i="77"/>
  <c r="J250" i="77"/>
  <c r="K250" i="77"/>
  <c r="M250" i="77"/>
  <c r="O250" i="77"/>
  <c r="P250" i="77"/>
  <c r="R250" i="77"/>
  <c r="S250" i="77"/>
  <c r="U250" i="77"/>
  <c r="W250" i="77"/>
  <c r="X250" i="77"/>
  <c r="Z250" i="77"/>
  <c r="AA250" i="77"/>
  <c r="AB250" i="77"/>
  <c r="AC250" i="77"/>
  <c r="AD250" i="77"/>
  <c r="AE250" i="77"/>
  <c r="AF250" i="77"/>
  <c r="AG250" i="77"/>
  <c r="AH250" i="77"/>
  <c r="AI250" i="77"/>
  <c r="AJ250" i="77"/>
  <c r="AK250" i="77"/>
  <c r="AL250" i="77"/>
  <c r="AM250" i="77"/>
  <c r="AN250" i="77"/>
  <c r="AO250" i="77"/>
  <c r="AP250" i="77"/>
  <c r="AQ250" i="77"/>
  <c r="AR250" i="77"/>
  <c r="AS250" i="77"/>
  <c r="AT250" i="77"/>
  <c r="AU250" i="77"/>
  <c r="AW250" i="77"/>
  <c r="AX250" i="77"/>
  <c r="AY250" i="77"/>
  <c r="BA250" i="77"/>
  <c r="A251" i="77"/>
  <c r="B251" i="77"/>
  <c r="D251" i="77"/>
  <c r="E251" i="77"/>
  <c r="F251" i="77"/>
  <c r="G251" i="77"/>
  <c r="H251" i="77"/>
  <c r="J251" i="77"/>
  <c r="K251" i="77"/>
  <c r="M251" i="77"/>
  <c r="O251" i="77"/>
  <c r="P251" i="77"/>
  <c r="R251" i="77"/>
  <c r="S251" i="77"/>
  <c r="U251" i="77"/>
  <c r="W251" i="77"/>
  <c r="X251" i="77"/>
  <c r="Z251" i="77"/>
  <c r="AA251" i="77"/>
  <c r="AB251" i="77"/>
  <c r="AC251" i="77"/>
  <c r="AD251" i="77"/>
  <c r="AE251" i="77"/>
  <c r="AF251" i="77"/>
  <c r="AG251" i="77"/>
  <c r="AH251" i="77"/>
  <c r="AI251" i="77"/>
  <c r="AJ251" i="77"/>
  <c r="AK251" i="77"/>
  <c r="AL251" i="77"/>
  <c r="AM251" i="77"/>
  <c r="AN251" i="77"/>
  <c r="AO251" i="77"/>
  <c r="AP251" i="77"/>
  <c r="AQ251" i="77"/>
  <c r="AR251" i="77"/>
  <c r="AS251" i="77"/>
  <c r="AT251" i="77"/>
  <c r="AU251" i="77"/>
  <c r="AW251" i="77"/>
  <c r="AX251" i="77"/>
  <c r="AY251" i="77"/>
  <c r="BA251" i="77"/>
  <c r="A252" i="77"/>
  <c r="B252" i="77"/>
  <c r="D252" i="77"/>
  <c r="E252" i="77"/>
  <c r="F252" i="77"/>
  <c r="G252" i="77"/>
  <c r="H252" i="77"/>
  <c r="J252" i="77"/>
  <c r="K252" i="77"/>
  <c r="M252" i="77"/>
  <c r="O252" i="77"/>
  <c r="P252" i="77"/>
  <c r="R252" i="77"/>
  <c r="S252" i="77"/>
  <c r="U252" i="77"/>
  <c r="W252" i="77"/>
  <c r="X252" i="77"/>
  <c r="Z252" i="77"/>
  <c r="AA252" i="77"/>
  <c r="AB252" i="77"/>
  <c r="AC252" i="77"/>
  <c r="AD252" i="77"/>
  <c r="AE252" i="77"/>
  <c r="AF252" i="77"/>
  <c r="AG252" i="77"/>
  <c r="AH252" i="77"/>
  <c r="AI252" i="77"/>
  <c r="AJ252" i="77"/>
  <c r="AK252" i="77"/>
  <c r="AL252" i="77"/>
  <c r="AM252" i="77"/>
  <c r="AN252" i="77"/>
  <c r="AO252" i="77"/>
  <c r="AP252" i="77"/>
  <c r="AQ252" i="77"/>
  <c r="AR252" i="77"/>
  <c r="AS252" i="77"/>
  <c r="AT252" i="77"/>
  <c r="AU252" i="77"/>
  <c r="AW252" i="77"/>
  <c r="AX252" i="77"/>
  <c r="AY252" i="77"/>
  <c r="BA252" i="77"/>
  <c r="A253" i="77"/>
  <c r="B253" i="77"/>
  <c r="D253" i="77"/>
  <c r="E253" i="77"/>
  <c r="F253" i="77"/>
  <c r="G253" i="77"/>
  <c r="H253" i="77"/>
  <c r="J253" i="77"/>
  <c r="K253" i="77"/>
  <c r="M253" i="77"/>
  <c r="O253" i="77"/>
  <c r="P253" i="77"/>
  <c r="R253" i="77"/>
  <c r="S253" i="77"/>
  <c r="U253" i="77"/>
  <c r="W253" i="77"/>
  <c r="X253" i="77"/>
  <c r="Z253" i="77"/>
  <c r="AA253" i="77"/>
  <c r="AB253" i="77"/>
  <c r="AC253" i="77"/>
  <c r="AD253" i="77"/>
  <c r="AE253" i="77"/>
  <c r="AF253" i="77"/>
  <c r="AG253" i="77"/>
  <c r="AH253" i="77"/>
  <c r="AI253" i="77"/>
  <c r="AJ253" i="77"/>
  <c r="AK253" i="77"/>
  <c r="AL253" i="77"/>
  <c r="AM253" i="77"/>
  <c r="AN253" i="77"/>
  <c r="AO253" i="77"/>
  <c r="AP253" i="77"/>
  <c r="AQ253" i="77"/>
  <c r="AR253" i="77"/>
  <c r="AS253" i="77"/>
  <c r="AT253" i="77"/>
  <c r="AU253" i="77"/>
  <c r="AW253" i="77"/>
  <c r="AX253" i="77"/>
  <c r="AY253" i="77"/>
  <c r="BA253" i="77"/>
  <c r="A254" i="77"/>
  <c r="B254" i="77"/>
  <c r="D254" i="77"/>
  <c r="E254" i="77"/>
  <c r="F254" i="77"/>
  <c r="G254" i="77"/>
  <c r="H254" i="77"/>
  <c r="J254" i="77"/>
  <c r="K254" i="77"/>
  <c r="M254" i="77"/>
  <c r="O254" i="77"/>
  <c r="P254" i="77"/>
  <c r="R254" i="77"/>
  <c r="S254" i="77"/>
  <c r="U254" i="77"/>
  <c r="W254" i="77"/>
  <c r="X254" i="77"/>
  <c r="Z254" i="77"/>
  <c r="AA254" i="77"/>
  <c r="AB254" i="77"/>
  <c r="AC254" i="77"/>
  <c r="AD254" i="77"/>
  <c r="AE254" i="77"/>
  <c r="AF254" i="77"/>
  <c r="AG254" i="77"/>
  <c r="AH254" i="77"/>
  <c r="AI254" i="77"/>
  <c r="AJ254" i="77"/>
  <c r="AK254" i="77"/>
  <c r="AL254" i="77"/>
  <c r="AM254" i="77"/>
  <c r="AN254" i="77"/>
  <c r="AO254" i="77"/>
  <c r="AP254" i="77"/>
  <c r="AQ254" i="77"/>
  <c r="AR254" i="77"/>
  <c r="AS254" i="77"/>
  <c r="AT254" i="77"/>
  <c r="AU254" i="77"/>
  <c r="AW254" i="77"/>
  <c r="AX254" i="77"/>
  <c r="AY254" i="77"/>
  <c r="BA254" i="77"/>
  <c r="A255" i="77"/>
  <c r="B255" i="77"/>
  <c r="D255" i="77"/>
  <c r="E255" i="77"/>
  <c r="F255" i="77"/>
  <c r="G255" i="77"/>
  <c r="H255" i="77"/>
  <c r="J255" i="77"/>
  <c r="K255" i="77"/>
  <c r="M255" i="77"/>
  <c r="O255" i="77"/>
  <c r="P255" i="77"/>
  <c r="R255" i="77"/>
  <c r="S255" i="77"/>
  <c r="U255" i="77"/>
  <c r="W255" i="77"/>
  <c r="X255" i="77"/>
  <c r="Z255" i="77"/>
  <c r="AA255" i="77"/>
  <c r="AB255" i="77"/>
  <c r="AC255" i="77"/>
  <c r="AD255" i="77"/>
  <c r="AE255" i="77"/>
  <c r="AF255" i="77"/>
  <c r="AG255" i="77"/>
  <c r="AH255" i="77"/>
  <c r="AI255" i="77"/>
  <c r="AJ255" i="77"/>
  <c r="AK255" i="77"/>
  <c r="AL255" i="77"/>
  <c r="AM255" i="77"/>
  <c r="AN255" i="77"/>
  <c r="AO255" i="77"/>
  <c r="AP255" i="77"/>
  <c r="AQ255" i="77"/>
  <c r="AR255" i="77"/>
  <c r="AS255" i="77"/>
  <c r="AT255" i="77"/>
  <c r="AU255" i="77"/>
  <c r="AW255" i="77"/>
  <c r="AX255" i="77"/>
  <c r="AY255" i="77"/>
  <c r="BA255" i="77"/>
  <c r="A256" i="77"/>
  <c r="B256" i="77"/>
  <c r="D256" i="77"/>
  <c r="E256" i="77"/>
  <c r="F256" i="77"/>
  <c r="G256" i="77"/>
  <c r="H256" i="77"/>
  <c r="J256" i="77"/>
  <c r="K256" i="77"/>
  <c r="M256" i="77"/>
  <c r="O256" i="77"/>
  <c r="P256" i="77"/>
  <c r="R256" i="77"/>
  <c r="S256" i="77"/>
  <c r="U256" i="77"/>
  <c r="W256" i="77"/>
  <c r="X256" i="77"/>
  <c r="Z256" i="77"/>
  <c r="AA256" i="77"/>
  <c r="AB256" i="77"/>
  <c r="AC256" i="77"/>
  <c r="AD256" i="77"/>
  <c r="AE256" i="77"/>
  <c r="AF256" i="77"/>
  <c r="AG256" i="77"/>
  <c r="AH256" i="77"/>
  <c r="AI256" i="77"/>
  <c r="AJ256" i="77"/>
  <c r="AK256" i="77"/>
  <c r="AL256" i="77"/>
  <c r="AM256" i="77"/>
  <c r="AN256" i="77"/>
  <c r="AO256" i="77"/>
  <c r="AP256" i="77"/>
  <c r="AQ256" i="77"/>
  <c r="AR256" i="77"/>
  <c r="AS256" i="77"/>
  <c r="AT256" i="77"/>
  <c r="AU256" i="77"/>
  <c r="AW256" i="77"/>
  <c r="AX256" i="77"/>
  <c r="AY256" i="77"/>
  <c r="BA256" i="77"/>
  <c r="A257" i="77"/>
  <c r="B257" i="77"/>
  <c r="D257" i="77"/>
  <c r="E257" i="77"/>
  <c r="F257" i="77"/>
  <c r="G257" i="77"/>
  <c r="H257" i="77"/>
  <c r="J257" i="77"/>
  <c r="K257" i="77"/>
  <c r="M257" i="77"/>
  <c r="O257" i="77"/>
  <c r="P257" i="77"/>
  <c r="R257" i="77"/>
  <c r="S257" i="77"/>
  <c r="U257" i="77"/>
  <c r="W257" i="77"/>
  <c r="X257" i="77"/>
  <c r="Z257" i="77"/>
  <c r="AA257" i="77"/>
  <c r="AB257" i="77"/>
  <c r="AC257" i="77"/>
  <c r="AD257" i="77"/>
  <c r="AE257" i="77"/>
  <c r="AF257" i="77"/>
  <c r="AG257" i="77"/>
  <c r="AH257" i="77"/>
  <c r="AI257" i="77"/>
  <c r="AJ257" i="77"/>
  <c r="AK257" i="77"/>
  <c r="AL257" i="77"/>
  <c r="AM257" i="77"/>
  <c r="AN257" i="77"/>
  <c r="AO257" i="77"/>
  <c r="AP257" i="77"/>
  <c r="AQ257" i="77"/>
  <c r="AR257" i="77"/>
  <c r="AS257" i="77"/>
  <c r="AT257" i="77"/>
  <c r="AU257" i="77"/>
  <c r="AW257" i="77"/>
  <c r="AX257" i="77"/>
  <c r="AY257" i="77"/>
  <c r="BA257" i="77"/>
  <c r="A258" i="77"/>
  <c r="B258" i="77"/>
  <c r="D258" i="77"/>
  <c r="E258" i="77"/>
  <c r="F258" i="77"/>
  <c r="G258" i="77"/>
  <c r="H258" i="77"/>
  <c r="J258" i="77"/>
  <c r="K258" i="77"/>
  <c r="M258" i="77"/>
  <c r="O258" i="77"/>
  <c r="P258" i="77"/>
  <c r="R258" i="77"/>
  <c r="S258" i="77"/>
  <c r="U258" i="77"/>
  <c r="W258" i="77"/>
  <c r="X258" i="77"/>
  <c r="Z258" i="77"/>
  <c r="AA258" i="77"/>
  <c r="AB258" i="77"/>
  <c r="AC258" i="77"/>
  <c r="AD258" i="77"/>
  <c r="AE258" i="77"/>
  <c r="AF258" i="77"/>
  <c r="AG258" i="77"/>
  <c r="AH258" i="77"/>
  <c r="AI258" i="77"/>
  <c r="AJ258" i="77"/>
  <c r="AK258" i="77"/>
  <c r="AL258" i="77"/>
  <c r="AM258" i="77"/>
  <c r="AN258" i="77"/>
  <c r="AO258" i="77"/>
  <c r="AP258" i="77"/>
  <c r="AQ258" i="77"/>
  <c r="AR258" i="77"/>
  <c r="AS258" i="77"/>
  <c r="AT258" i="77"/>
  <c r="AU258" i="77"/>
  <c r="AW258" i="77"/>
  <c r="AX258" i="77"/>
  <c r="AY258" i="77"/>
  <c r="BA258" i="77"/>
  <c r="A259" i="77"/>
  <c r="B259" i="77"/>
  <c r="D259" i="77"/>
  <c r="E259" i="77"/>
  <c r="F259" i="77"/>
  <c r="G259" i="77"/>
  <c r="H259" i="77"/>
  <c r="J259" i="77"/>
  <c r="K259" i="77"/>
  <c r="M259" i="77"/>
  <c r="O259" i="77"/>
  <c r="P259" i="77"/>
  <c r="R259" i="77"/>
  <c r="S259" i="77"/>
  <c r="U259" i="77"/>
  <c r="W259" i="77"/>
  <c r="X259" i="77"/>
  <c r="Z259" i="77"/>
  <c r="AA259" i="77"/>
  <c r="AB259" i="77"/>
  <c r="AC259" i="77"/>
  <c r="AD259" i="77"/>
  <c r="AE259" i="77"/>
  <c r="AF259" i="77"/>
  <c r="AG259" i="77"/>
  <c r="AH259" i="77"/>
  <c r="AI259" i="77"/>
  <c r="AJ259" i="77"/>
  <c r="AK259" i="77"/>
  <c r="AL259" i="77"/>
  <c r="AM259" i="77"/>
  <c r="AN259" i="77"/>
  <c r="AO259" i="77"/>
  <c r="AP259" i="77"/>
  <c r="AQ259" i="77"/>
  <c r="AR259" i="77"/>
  <c r="AS259" i="77"/>
  <c r="AT259" i="77"/>
  <c r="AU259" i="77"/>
  <c r="AW259" i="77"/>
  <c r="AX259" i="77"/>
  <c r="AY259" i="77"/>
  <c r="BA259" i="77"/>
  <c r="A260" i="77"/>
  <c r="B260" i="77"/>
  <c r="D260" i="77"/>
  <c r="E260" i="77"/>
  <c r="F260" i="77"/>
  <c r="G260" i="77"/>
  <c r="H260" i="77"/>
  <c r="J260" i="77"/>
  <c r="K260" i="77"/>
  <c r="M260" i="77"/>
  <c r="O260" i="77"/>
  <c r="P260" i="77"/>
  <c r="R260" i="77"/>
  <c r="S260" i="77"/>
  <c r="U260" i="77"/>
  <c r="W260" i="77"/>
  <c r="X260" i="77"/>
  <c r="Z260" i="77"/>
  <c r="AA260" i="77"/>
  <c r="AB260" i="77"/>
  <c r="AC260" i="77"/>
  <c r="AD260" i="77"/>
  <c r="AE260" i="77"/>
  <c r="AF260" i="77"/>
  <c r="AG260" i="77"/>
  <c r="AH260" i="77"/>
  <c r="AI260" i="77"/>
  <c r="AJ260" i="77"/>
  <c r="AK260" i="77"/>
  <c r="AL260" i="77"/>
  <c r="AM260" i="77"/>
  <c r="AN260" i="77"/>
  <c r="AO260" i="77"/>
  <c r="AP260" i="77"/>
  <c r="AQ260" i="77"/>
  <c r="AR260" i="77"/>
  <c r="AS260" i="77"/>
  <c r="AT260" i="77"/>
  <c r="AU260" i="77"/>
  <c r="AW260" i="77"/>
  <c r="AX260" i="77"/>
  <c r="AY260" i="77"/>
  <c r="BA260" i="77"/>
  <c r="A261" i="77"/>
  <c r="B261" i="77"/>
  <c r="D261" i="77"/>
  <c r="E261" i="77"/>
  <c r="F261" i="77"/>
  <c r="G261" i="77"/>
  <c r="H261" i="77"/>
  <c r="J261" i="77"/>
  <c r="K261" i="77"/>
  <c r="M261" i="77"/>
  <c r="O261" i="77"/>
  <c r="P261" i="77"/>
  <c r="R261" i="77"/>
  <c r="S261" i="77"/>
  <c r="U261" i="77"/>
  <c r="W261" i="77"/>
  <c r="X261" i="77"/>
  <c r="Z261" i="77"/>
  <c r="AA261" i="77"/>
  <c r="AB261" i="77"/>
  <c r="AC261" i="77"/>
  <c r="AD261" i="77"/>
  <c r="AE261" i="77"/>
  <c r="AF261" i="77"/>
  <c r="AG261" i="77"/>
  <c r="AH261" i="77"/>
  <c r="AI261" i="77"/>
  <c r="AJ261" i="77"/>
  <c r="AK261" i="77"/>
  <c r="AL261" i="77"/>
  <c r="AM261" i="77"/>
  <c r="AN261" i="77"/>
  <c r="AO261" i="77"/>
  <c r="AP261" i="77"/>
  <c r="AQ261" i="77"/>
  <c r="AR261" i="77"/>
  <c r="AS261" i="77"/>
  <c r="AT261" i="77"/>
  <c r="AU261" i="77"/>
  <c r="AW261" i="77"/>
  <c r="AX261" i="77"/>
  <c r="AY261" i="77"/>
  <c r="BA261" i="77"/>
  <c r="A262" i="77"/>
  <c r="B262" i="77"/>
  <c r="D262" i="77"/>
  <c r="E262" i="77"/>
  <c r="F262" i="77"/>
  <c r="G262" i="77"/>
  <c r="H262" i="77"/>
  <c r="J262" i="77"/>
  <c r="K262" i="77"/>
  <c r="M262" i="77"/>
  <c r="O262" i="77"/>
  <c r="P262" i="77"/>
  <c r="R262" i="77"/>
  <c r="S262" i="77"/>
  <c r="U262" i="77"/>
  <c r="W262" i="77"/>
  <c r="X262" i="77"/>
  <c r="Z262" i="77"/>
  <c r="AA262" i="77"/>
  <c r="AB262" i="77"/>
  <c r="AC262" i="77"/>
  <c r="AD262" i="77"/>
  <c r="AE262" i="77"/>
  <c r="AF262" i="77"/>
  <c r="AG262" i="77"/>
  <c r="AH262" i="77"/>
  <c r="AI262" i="77"/>
  <c r="AJ262" i="77"/>
  <c r="AK262" i="77"/>
  <c r="AL262" i="77"/>
  <c r="AM262" i="77"/>
  <c r="AN262" i="77"/>
  <c r="AO262" i="77"/>
  <c r="AP262" i="77"/>
  <c r="AQ262" i="77"/>
  <c r="AR262" i="77"/>
  <c r="AS262" i="77"/>
  <c r="AT262" i="77"/>
  <c r="AU262" i="77"/>
  <c r="AW262" i="77"/>
  <c r="AX262" i="77"/>
  <c r="AY262" i="77"/>
  <c r="BA262" i="77"/>
  <c r="A263" i="77"/>
  <c r="B263" i="77"/>
  <c r="D263" i="77"/>
  <c r="E263" i="77"/>
  <c r="F263" i="77"/>
  <c r="G263" i="77"/>
  <c r="H263" i="77"/>
  <c r="J263" i="77"/>
  <c r="K263" i="77"/>
  <c r="M263" i="77"/>
  <c r="O263" i="77"/>
  <c r="P263" i="77"/>
  <c r="R263" i="77"/>
  <c r="S263" i="77"/>
  <c r="U263" i="77"/>
  <c r="W263" i="77"/>
  <c r="X263" i="77"/>
  <c r="Z263" i="77"/>
  <c r="AA263" i="77"/>
  <c r="AB263" i="77"/>
  <c r="AC263" i="77"/>
  <c r="AD263" i="77"/>
  <c r="AE263" i="77"/>
  <c r="AF263" i="77"/>
  <c r="AG263" i="77"/>
  <c r="AH263" i="77"/>
  <c r="AI263" i="77"/>
  <c r="AJ263" i="77"/>
  <c r="AK263" i="77"/>
  <c r="AL263" i="77"/>
  <c r="AM263" i="77"/>
  <c r="AN263" i="77"/>
  <c r="AO263" i="77"/>
  <c r="AP263" i="77"/>
  <c r="AQ263" i="77"/>
  <c r="AR263" i="77"/>
  <c r="AS263" i="77"/>
  <c r="AT263" i="77"/>
  <c r="AU263" i="77"/>
  <c r="AW263" i="77"/>
  <c r="AX263" i="77"/>
  <c r="AY263" i="77"/>
  <c r="BA263" i="77"/>
  <c r="A264" i="77"/>
  <c r="B264" i="77"/>
  <c r="D264" i="77"/>
  <c r="E264" i="77"/>
  <c r="F264" i="77"/>
  <c r="G264" i="77"/>
  <c r="H264" i="77"/>
  <c r="J264" i="77"/>
  <c r="K264" i="77"/>
  <c r="M264" i="77"/>
  <c r="O264" i="77"/>
  <c r="P264" i="77"/>
  <c r="R264" i="77"/>
  <c r="S264" i="77"/>
  <c r="U264" i="77"/>
  <c r="W264" i="77"/>
  <c r="X264" i="77"/>
  <c r="Z264" i="77"/>
  <c r="AA264" i="77"/>
  <c r="AB264" i="77"/>
  <c r="AC264" i="77"/>
  <c r="AD264" i="77"/>
  <c r="AE264" i="77"/>
  <c r="AF264" i="77"/>
  <c r="AG264" i="77"/>
  <c r="AH264" i="77"/>
  <c r="AI264" i="77"/>
  <c r="AJ264" i="77"/>
  <c r="AK264" i="77"/>
  <c r="AL264" i="77"/>
  <c r="AM264" i="77"/>
  <c r="AN264" i="77"/>
  <c r="AO264" i="77"/>
  <c r="AP264" i="77"/>
  <c r="AQ264" i="77"/>
  <c r="AR264" i="77"/>
  <c r="AS264" i="77"/>
  <c r="AT264" i="77"/>
  <c r="AU264" i="77"/>
  <c r="AW264" i="77"/>
  <c r="AX264" i="77"/>
  <c r="AY264" i="77"/>
  <c r="BA264" i="77"/>
  <c r="A265" i="77"/>
  <c r="B265" i="77"/>
  <c r="D265" i="77"/>
  <c r="E265" i="77"/>
  <c r="F265" i="77"/>
  <c r="G265" i="77"/>
  <c r="H265" i="77"/>
  <c r="J265" i="77"/>
  <c r="K265" i="77"/>
  <c r="M265" i="77"/>
  <c r="O265" i="77"/>
  <c r="P265" i="77"/>
  <c r="R265" i="77"/>
  <c r="S265" i="77"/>
  <c r="U265" i="77"/>
  <c r="W265" i="77"/>
  <c r="X265" i="77"/>
  <c r="Z265" i="77"/>
  <c r="AA265" i="77"/>
  <c r="AB265" i="77"/>
  <c r="AC265" i="77"/>
  <c r="AD265" i="77"/>
  <c r="AE265" i="77"/>
  <c r="AF265" i="77"/>
  <c r="AG265" i="77"/>
  <c r="AH265" i="77"/>
  <c r="AI265" i="77"/>
  <c r="AJ265" i="77"/>
  <c r="AK265" i="77"/>
  <c r="AL265" i="77"/>
  <c r="AM265" i="77"/>
  <c r="AN265" i="77"/>
  <c r="AO265" i="77"/>
  <c r="AP265" i="77"/>
  <c r="AQ265" i="77"/>
  <c r="AR265" i="77"/>
  <c r="AS265" i="77"/>
  <c r="AT265" i="77"/>
  <c r="AU265" i="77"/>
  <c r="AW265" i="77"/>
  <c r="AX265" i="77"/>
  <c r="AY265" i="77"/>
  <c r="BA265" i="77"/>
  <c r="A266" i="77"/>
  <c r="B266" i="77"/>
  <c r="D266" i="77"/>
  <c r="E266" i="77"/>
  <c r="F266" i="77"/>
  <c r="G266" i="77"/>
  <c r="H266" i="77"/>
  <c r="J266" i="77"/>
  <c r="K266" i="77"/>
  <c r="M266" i="77"/>
  <c r="O266" i="77"/>
  <c r="P266" i="77"/>
  <c r="R266" i="77"/>
  <c r="S266" i="77"/>
  <c r="U266" i="77"/>
  <c r="W266" i="77"/>
  <c r="X266" i="77"/>
  <c r="Z266" i="77"/>
  <c r="AA266" i="77"/>
  <c r="AB266" i="77"/>
  <c r="AC266" i="77"/>
  <c r="AD266" i="77"/>
  <c r="AE266" i="77"/>
  <c r="AF266" i="77"/>
  <c r="AG266" i="77"/>
  <c r="AH266" i="77"/>
  <c r="AI266" i="77"/>
  <c r="AJ266" i="77"/>
  <c r="AK266" i="77"/>
  <c r="AL266" i="77"/>
  <c r="AM266" i="77"/>
  <c r="AN266" i="77"/>
  <c r="AO266" i="77"/>
  <c r="AP266" i="77"/>
  <c r="AQ266" i="77"/>
  <c r="AR266" i="77"/>
  <c r="AS266" i="77"/>
  <c r="AT266" i="77"/>
  <c r="AU266" i="77"/>
  <c r="AW266" i="77"/>
  <c r="AX266" i="77"/>
  <c r="AY266" i="77"/>
  <c r="BA266" i="77"/>
  <c r="A267" i="77"/>
  <c r="B267" i="77"/>
  <c r="D267" i="77"/>
  <c r="E267" i="77"/>
  <c r="F267" i="77"/>
  <c r="G267" i="77"/>
  <c r="H267" i="77"/>
  <c r="J267" i="77"/>
  <c r="K267" i="77"/>
  <c r="M267" i="77"/>
  <c r="O267" i="77"/>
  <c r="P267" i="77"/>
  <c r="R267" i="77"/>
  <c r="S267" i="77"/>
  <c r="U267" i="77"/>
  <c r="W267" i="77"/>
  <c r="X267" i="77"/>
  <c r="Z267" i="77"/>
  <c r="AA267" i="77"/>
  <c r="AB267" i="77"/>
  <c r="AC267" i="77"/>
  <c r="AD267" i="77"/>
  <c r="AE267" i="77"/>
  <c r="AF267" i="77"/>
  <c r="AG267" i="77"/>
  <c r="AH267" i="77"/>
  <c r="AI267" i="77"/>
  <c r="AJ267" i="77"/>
  <c r="AK267" i="77"/>
  <c r="AL267" i="77"/>
  <c r="AM267" i="77"/>
  <c r="AN267" i="77"/>
  <c r="AO267" i="77"/>
  <c r="AP267" i="77"/>
  <c r="AQ267" i="77"/>
  <c r="AR267" i="77"/>
  <c r="AS267" i="77"/>
  <c r="AT267" i="77"/>
  <c r="AU267" i="77"/>
  <c r="AW267" i="77"/>
  <c r="AX267" i="77"/>
  <c r="AY267" i="77"/>
  <c r="BA267" i="77"/>
  <c r="A268" i="77"/>
  <c r="B268" i="77"/>
  <c r="D268" i="77"/>
  <c r="E268" i="77"/>
  <c r="F268" i="77"/>
  <c r="G268" i="77"/>
  <c r="H268" i="77"/>
  <c r="J268" i="77"/>
  <c r="K268" i="77"/>
  <c r="M268" i="77"/>
  <c r="O268" i="77"/>
  <c r="P268" i="77"/>
  <c r="R268" i="77"/>
  <c r="S268" i="77"/>
  <c r="U268" i="77"/>
  <c r="W268" i="77"/>
  <c r="X268" i="77"/>
  <c r="Z268" i="77"/>
  <c r="AA268" i="77"/>
  <c r="AB268" i="77"/>
  <c r="AC268" i="77"/>
  <c r="AD268" i="77"/>
  <c r="AE268" i="77"/>
  <c r="AF268" i="77"/>
  <c r="AG268" i="77"/>
  <c r="AH268" i="77"/>
  <c r="AI268" i="77"/>
  <c r="AJ268" i="77"/>
  <c r="AK268" i="77"/>
  <c r="AL268" i="77"/>
  <c r="AM268" i="77"/>
  <c r="AN268" i="77"/>
  <c r="AO268" i="77"/>
  <c r="AP268" i="77"/>
  <c r="AQ268" i="77"/>
  <c r="AR268" i="77"/>
  <c r="AS268" i="77"/>
  <c r="AT268" i="77"/>
  <c r="AU268" i="77"/>
  <c r="AW268" i="77"/>
  <c r="AX268" i="77"/>
  <c r="AY268" i="77"/>
  <c r="BA268" i="77"/>
  <c r="A269" i="77"/>
  <c r="B269" i="77"/>
  <c r="D269" i="77"/>
  <c r="E269" i="77"/>
  <c r="F269" i="77"/>
  <c r="G269" i="77"/>
  <c r="H269" i="77"/>
  <c r="J269" i="77"/>
  <c r="K269" i="77"/>
  <c r="M269" i="77"/>
  <c r="O269" i="77"/>
  <c r="P269" i="77"/>
  <c r="R269" i="77"/>
  <c r="S269" i="77"/>
  <c r="U269" i="77"/>
  <c r="W269" i="77"/>
  <c r="X269" i="77"/>
  <c r="Z269" i="77"/>
  <c r="AA269" i="77"/>
  <c r="AB269" i="77"/>
  <c r="AC269" i="77"/>
  <c r="AD269" i="77"/>
  <c r="AE269" i="77"/>
  <c r="AF269" i="77"/>
  <c r="AG269" i="77"/>
  <c r="AH269" i="77"/>
  <c r="AI269" i="77"/>
  <c r="AJ269" i="77"/>
  <c r="AK269" i="77"/>
  <c r="AL269" i="77"/>
  <c r="AM269" i="77"/>
  <c r="AN269" i="77"/>
  <c r="AO269" i="77"/>
  <c r="AP269" i="77"/>
  <c r="AQ269" i="77"/>
  <c r="AR269" i="77"/>
  <c r="AS269" i="77"/>
  <c r="AT269" i="77"/>
  <c r="AU269" i="77"/>
  <c r="AW269" i="77"/>
  <c r="AX269" i="77"/>
  <c r="AY269" i="77"/>
  <c r="BA269" i="77"/>
  <c r="A270" i="77"/>
  <c r="B270" i="77"/>
  <c r="D270" i="77"/>
  <c r="E270" i="77"/>
  <c r="F270" i="77"/>
  <c r="G270" i="77"/>
  <c r="H270" i="77"/>
  <c r="J270" i="77"/>
  <c r="K270" i="77"/>
  <c r="M270" i="77"/>
  <c r="O270" i="77"/>
  <c r="P270" i="77"/>
  <c r="R270" i="77"/>
  <c r="S270" i="77"/>
  <c r="U270" i="77"/>
  <c r="W270" i="77"/>
  <c r="X270" i="77"/>
  <c r="Z270" i="77"/>
  <c r="AA270" i="77"/>
  <c r="AB270" i="77"/>
  <c r="AC270" i="77"/>
  <c r="AD270" i="77"/>
  <c r="AE270" i="77"/>
  <c r="AF270" i="77"/>
  <c r="AG270" i="77"/>
  <c r="AH270" i="77"/>
  <c r="AI270" i="77"/>
  <c r="AJ270" i="77"/>
  <c r="AK270" i="77"/>
  <c r="AL270" i="77"/>
  <c r="AM270" i="77"/>
  <c r="AN270" i="77"/>
  <c r="AO270" i="77"/>
  <c r="AP270" i="77"/>
  <c r="AQ270" i="77"/>
  <c r="AR270" i="77"/>
  <c r="AS270" i="77"/>
  <c r="AT270" i="77"/>
  <c r="AU270" i="77"/>
  <c r="AW270" i="77"/>
  <c r="AX270" i="77"/>
  <c r="AY270" i="77"/>
  <c r="BA270" i="77"/>
  <c r="A271" i="77"/>
  <c r="B271" i="77"/>
  <c r="D271" i="77"/>
  <c r="E271" i="77"/>
  <c r="F271" i="77"/>
  <c r="G271" i="77"/>
  <c r="H271" i="77"/>
  <c r="J271" i="77"/>
  <c r="K271" i="77"/>
  <c r="M271" i="77"/>
  <c r="O271" i="77"/>
  <c r="P271" i="77"/>
  <c r="R271" i="77"/>
  <c r="S271" i="77"/>
  <c r="U271" i="77"/>
  <c r="W271" i="77"/>
  <c r="X271" i="77"/>
  <c r="Z271" i="77"/>
  <c r="AA271" i="77"/>
  <c r="AB271" i="77"/>
  <c r="AC271" i="77"/>
  <c r="AD271" i="77"/>
  <c r="AE271" i="77"/>
  <c r="AF271" i="77"/>
  <c r="AG271" i="77"/>
  <c r="AH271" i="77"/>
  <c r="AI271" i="77"/>
  <c r="AJ271" i="77"/>
  <c r="AK271" i="77"/>
  <c r="AL271" i="77"/>
  <c r="AM271" i="77"/>
  <c r="AN271" i="77"/>
  <c r="AO271" i="77"/>
  <c r="AP271" i="77"/>
  <c r="AQ271" i="77"/>
  <c r="AR271" i="77"/>
  <c r="AS271" i="77"/>
  <c r="AT271" i="77"/>
  <c r="AU271" i="77"/>
  <c r="AW271" i="77"/>
  <c r="AX271" i="77"/>
  <c r="AY271" i="77"/>
  <c r="BA271" i="77"/>
  <c r="A272" i="77"/>
  <c r="B272" i="77"/>
  <c r="D272" i="77"/>
  <c r="E272" i="77"/>
  <c r="F272" i="77"/>
  <c r="G272" i="77"/>
  <c r="H272" i="77"/>
  <c r="J272" i="77"/>
  <c r="K272" i="77"/>
  <c r="M272" i="77"/>
  <c r="O272" i="77"/>
  <c r="P272" i="77"/>
  <c r="R272" i="77"/>
  <c r="S272" i="77"/>
  <c r="U272" i="77"/>
  <c r="W272" i="77"/>
  <c r="X272" i="77"/>
  <c r="Z272" i="77"/>
  <c r="AA272" i="77"/>
  <c r="AB272" i="77"/>
  <c r="AC272" i="77"/>
  <c r="AD272" i="77"/>
  <c r="AE272" i="77"/>
  <c r="AF272" i="77"/>
  <c r="AG272" i="77"/>
  <c r="AH272" i="77"/>
  <c r="AI272" i="77"/>
  <c r="AJ272" i="77"/>
  <c r="AK272" i="77"/>
  <c r="AL272" i="77"/>
  <c r="AM272" i="77"/>
  <c r="AN272" i="77"/>
  <c r="AO272" i="77"/>
  <c r="AP272" i="77"/>
  <c r="AQ272" i="77"/>
  <c r="AR272" i="77"/>
  <c r="AS272" i="77"/>
  <c r="AT272" i="77"/>
  <c r="AU272" i="77"/>
  <c r="AW272" i="77"/>
  <c r="AX272" i="77"/>
  <c r="AY272" i="77"/>
  <c r="BA272" i="77"/>
  <c r="A273" i="77"/>
  <c r="B273" i="77"/>
  <c r="D273" i="77"/>
  <c r="E273" i="77"/>
  <c r="F273" i="77"/>
  <c r="G273" i="77"/>
  <c r="H273" i="77"/>
  <c r="J273" i="77"/>
  <c r="K273" i="77"/>
  <c r="M273" i="77"/>
  <c r="O273" i="77"/>
  <c r="P273" i="77"/>
  <c r="R273" i="77"/>
  <c r="S273" i="77"/>
  <c r="U273" i="77"/>
  <c r="W273" i="77"/>
  <c r="X273" i="77"/>
  <c r="Z273" i="77"/>
  <c r="AA273" i="77"/>
  <c r="AB273" i="77"/>
  <c r="AC273" i="77"/>
  <c r="AD273" i="77"/>
  <c r="AE273" i="77"/>
  <c r="AF273" i="77"/>
  <c r="AG273" i="77"/>
  <c r="AH273" i="77"/>
  <c r="AI273" i="77"/>
  <c r="AJ273" i="77"/>
  <c r="AK273" i="77"/>
  <c r="AL273" i="77"/>
  <c r="AM273" i="77"/>
  <c r="AN273" i="77"/>
  <c r="AO273" i="77"/>
  <c r="AP273" i="77"/>
  <c r="AQ273" i="77"/>
  <c r="AR273" i="77"/>
  <c r="AS273" i="77"/>
  <c r="AT273" i="77"/>
  <c r="AU273" i="77"/>
  <c r="AW273" i="77"/>
  <c r="AX273" i="77"/>
  <c r="AY273" i="77"/>
  <c r="BA273" i="77"/>
  <c r="A274" i="77"/>
  <c r="B274" i="77"/>
  <c r="D274" i="77"/>
  <c r="E274" i="77"/>
  <c r="F274" i="77"/>
  <c r="G274" i="77"/>
  <c r="H274" i="77"/>
  <c r="J274" i="77"/>
  <c r="K274" i="77"/>
  <c r="M274" i="77"/>
  <c r="O274" i="77"/>
  <c r="P274" i="77"/>
  <c r="R274" i="77"/>
  <c r="S274" i="77"/>
  <c r="U274" i="77"/>
  <c r="W274" i="77"/>
  <c r="X274" i="77"/>
  <c r="Z274" i="77"/>
  <c r="AA274" i="77"/>
  <c r="AB274" i="77"/>
  <c r="AC274" i="77"/>
  <c r="AD274" i="77"/>
  <c r="AE274" i="77"/>
  <c r="AF274" i="77"/>
  <c r="AG274" i="77"/>
  <c r="AH274" i="77"/>
  <c r="AI274" i="77"/>
  <c r="AJ274" i="77"/>
  <c r="AK274" i="77"/>
  <c r="AL274" i="77"/>
  <c r="AM274" i="77"/>
  <c r="AN274" i="77"/>
  <c r="AO274" i="77"/>
  <c r="AP274" i="77"/>
  <c r="AQ274" i="77"/>
  <c r="AR274" i="77"/>
  <c r="AS274" i="77"/>
  <c r="AT274" i="77"/>
  <c r="AU274" i="77"/>
  <c r="AW274" i="77"/>
  <c r="AX274" i="77"/>
  <c r="AY274" i="77"/>
  <c r="BA274" i="77"/>
  <c r="A275" i="77"/>
  <c r="B275" i="77"/>
  <c r="D275" i="77"/>
  <c r="E275" i="77"/>
  <c r="F275" i="77"/>
  <c r="G275" i="77"/>
  <c r="H275" i="77"/>
  <c r="J275" i="77"/>
  <c r="K275" i="77"/>
  <c r="M275" i="77"/>
  <c r="O275" i="77"/>
  <c r="P275" i="77"/>
  <c r="R275" i="77"/>
  <c r="S275" i="77"/>
  <c r="U275" i="77"/>
  <c r="W275" i="77"/>
  <c r="X275" i="77"/>
  <c r="Z275" i="77"/>
  <c r="AA275" i="77"/>
  <c r="AB275" i="77"/>
  <c r="AC275" i="77"/>
  <c r="AD275" i="77"/>
  <c r="AE275" i="77"/>
  <c r="AF275" i="77"/>
  <c r="AG275" i="77"/>
  <c r="AH275" i="77"/>
  <c r="AI275" i="77"/>
  <c r="AJ275" i="77"/>
  <c r="AK275" i="77"/>
  <c r="AL275" i="77"/>
  <c r="AM275" i="77"/>
  <c r="AN275" i="77"/>
  <c r="AO275" i="77"/>
  <c r="AP275" i="77"/>
  <c r="AQ275" i="77"/>
  <c r="AR275" i="77"/>
  <c r="AS275" i="77"/>
  <c r="AT275" i="77"/>
  <c r="AU275" i="77"/>
  <c r="AW275" i="77"/>
  <c r="AX275" i="77"/>
  <c r="AY275" i="77"/>
  <c r="BA275" i="77"/>
  <c r="A276" i="77"/>
  <c r="B276" i="77"/>
  <c r="D276" i="77"/>
  <c r="E276" i="77"/>
  <c r="F276" i="77"/>
  <c r="G276" i="77"/>
  <c r="H276" i="77"/>
  <c r="J276" i="77"/>
  <c r="K276" i="77"/>
  <c r="M276" i="77"/>
  <c r="O276" i="77"/>
  <c r="P276" i="77"/>
  <c r="R276" i="77"/>
  <c r="S276" i="77"/>
  <c r="U276" i="77"/>
  <c r="W276" i="77"/>
  <c r="X276" i="77"/>
  <c r="Z276" i="77"/>
  <c r="AA276" i="77"/>
  <c r="AB276" i="77"/>
  <c r="AC276" i="77"/>
  <c r="AD276" i="77"/>
  <c r="AE276" i="77"/>
  <c r="AF276" i="77"/>
  <c r="AG276" i="77"/>
  <c r="AH276" i="77"/>
  <c r="AI276" i="77"/>
  <c r="AJ276" i="77"/>
  <c r="AK276" i="77"/>
  <c r="AL276" i="77"/>
  <c r="AM276" i="77"/>
  <c r="AN276" i="77"/>
  <c r="AO276" i="77"/>
  <c r="AP276" i="77"/>
  <c r="AQ276" i="77"/>
  <c r="AR276" i="77"/>
  <c r="AS276" i="77"/>
  <c r="AT276" i="77"/>
  <c r="AU276" i="77"/>
  <c r="AW276" i="77"/>
  <c r="AX276" i="77"/>
  <c r="AY276" i="77"/>
  <c r="BA276" i="77"/>
  <c r="A277" i="77"/>
  <c r="B277" i="77"/>
  <c r="D277" i="77"/>
  <c r="E277" i="77"/>
  <c r="F277" i="77"/>
  <c r="G277" i="77"/>
  <c r="H277" i="77"/>
  <c r="J277" i="77"/>
  <c r="K277" i="77"/>
  <c r="M277" i="77"/>
  <c r="O277" i="77"/>
  <c r="P277" i="77"/>
  <c r="R277" i="77"/>
  <c r="S277" i="77"/>
  <c r="U277" i="77"/>
  <c r="W277" i="77"/>
  <c r="X277" i="77"/>
  <c r="Z277" i="77"/>
  <c r="AA277" i="77"/>
  <c r="AB277" i="77"/>
  <c r="AC277" i="77"/>
  <c r="AD277" i="77"/>
  <c r="AE277" i="77"/>
  <c r="AF277" i="77"/>
  <c r="AG277" i="77"/>
  <c r="AH277" i="77"/>
  <c r="AI277" i="77"/>
  <c r="AJ277" i="77"/>
  <c r="AK277" i="77"/>
  <c r="AL277" i="77"/>
  <c r="AM277" i="77"/>
  <c r="AN277" i="77"/>
  <c r="AO277" i="77"/>
  <c r="AP277" i="77"/>
  <c r="AQ277" i="77"/>
  <c r="AR277" i="77"/>
  <c r="AS277" i="77"/>
  <c r="AT277" i="77"/>
  <c r="AU277" i="77"/>
  <c r="AW277" i="77"/>
  <c r="AX277" i="77"/>
  <c r="AY277" i="77"/>
  <c r="BA277" i="77"/>
  <c r="A278" i="77"/>
  <c r="B278" i="77"/>
  <c r="D278" i="77"/>
  <c r="E278" i="77"/>
  <c r="F278" i="77"/>
  <c r="G278" i="77"/>
  <c r="H278" i="77"/>
  <c r="J278" i="77"/>
  <c r="K278" i="77"/>
  <c r="M278" i="77"/>
  <c r="O278" i="77"/>
  <c r="P278" i="77"/>
  <c r="R278" i="77"/>
  <c r="S278" i="77"/>
  <c r="U278" i="77"/>
  <c r="W278" i="77"/>
  <c r="X278" i="77"/>
  <c r="Z278" i="77"/>
  <c r="AA278" i="77"/>
  <c r="AB278" i="77"/>
  <c r="AC278" i="77"/>
  <c r="AD278" i="77"/>
  <c r="AE278" i="77"/>
  <c r="AF278" i="77"/>
  <c r="AG278" i="77"/>
  <c r="AH278" i="77"/>
  <c r="AI278" i="77"/>
  <c r="AJ278" i="77"/>
  <c r="AK278" i="77"/>
  <c r="AL278" i="77"/>
  <c r="AM278" i="77"/>
  <c r="AN278" i="77"/>
  <c r="AO278" i="77"/>
  <c r="AP278" i="77"/>
  <c r="AQ278" i="77"/>
  <c r="AR278" i="77"/>
  <c r="AS278" i="77"/>
  <c r="AT278" i="77"/>
  <c r="AU278" i="77"/>
  <c r="AW278" i="77"/>
  <c r="AX278" i="77"/>
  <c r="AY278" i="77"/>
  <c r="BA278" i="77"/>
  <c r="A279" i="77"/>
  <c r="B279" i="77"/>
  <c r="D279" i="77"/>
  <c r="E279" i="77"/>
  <c r="F279" i="77"/>
  <c r="G279" i="77"/>
  <c r="H279" i="77"/>
  <c r="J279" i="77"/>
  <c r="K279" i="77"/>
  <c r="M279" i="77"/>
  <c r="O279" i="77"/>
  <c r="P279" i="77"/>
  <c r="R279" i="77"/>
  <c r="S279" i="77"/>
  <c r="U279" i="77"/>
  <c r="W279" i="77"/>
  <c r="X279" i="77"/>
  <c r="Z279" i="77"/>
  <c r="AA279" i="77"/>
  <c r="AB279" i="77"/>
  <c r="AC279" i="77"/>
  <c r="AD279" i="77"/>
  <c r="AE279" i="77"/>
  <c r="AF279" i="77"/>
  <c r="AG279" i="77"/>
  <c r="AH279" i="77"/>
  <c r="AI279" i="77"/>
  <c r="AJ279" i="77"/>
  <c r="AK279" i="77"/>
  <c r="AL279" i="77"/>
  <c r="AM279" i="77"/>
  <c r="AN279" i="77"/>
  <c r="AO279" i="77"/>
  <c r="AP279" i="77"/>
  <c r="AQ279" i="77"/>
  <c r="AR279" i="77"/>
  <c r="AS279" i="77"/>
  <c r="AT279" i="77"/>
  <c r="AU279" i="77"/>
  <c r="AW279" i="77"/>
  <c r="AX279" i="77"/>
  <c r="AY279" i="77"/>
  <c r="BA279" i="77"/>
  <c r="A280" i="77"/>
  <c r="B280" i="77"/>
  <c r="D280" i="77"/>
  <c r="E280" i="77"/>
  <c r="F280" i="77"/>
  <c r="G280" i="77"/>
  <c r="H280" i="77"/>
  <c r="J280" i="77"/>
  <c r="K280" i="77"/>
  <c r="M280" i="77"/>
  <c r="O280" i="77"/>
  <c r="P280" i="77"/>
  <c r="R280" i="77"/>
  <c r="S280" i="77"/>
  <c r="U280" i="77"/>
  <c r="W280" i="77"/>
  <c r="X280" i="77"/>
  <c r="Z280" i="77"/>
  <c r="AA280" i="77"/>
  <c r="AB280" i="77"/>
  <c r="AC280" i="77"/>
  <c r="AD280" i="77"/>
  <c r="AE280" i="77"/>
  <c r="AF280" i="77"/>
  <c r="AG280" i="77"/>
  <c r="AH280" i="77"/>
  <c r="AI280" i="77"/>
  <c r="AJ280" i="77"/>
  <c r="AK280" i="77"/>
  <c r="AL280" i="77"/>
  <c r="AM280" i="77"/>
  <c r="AN280" i="77"/>
  <c r="AO280" i="77"/>
  <c r="AP280" i="77"/>
  <c r="AQ280" i="77"/>
  <c r="AR280" i="77"/>
  <c r="AS280" i="77"/>
  <c r="AT280" i="77"/>
  <c r="AU280" i="77"/>
  <c r="AW280" i="77"/>
  <c r="AX280" i="77"/>
  <c r="AY280" i="77"/>
  <c r="BA280" i="77"/>
  <c r="A281" i="77"/>
  <c r="B281" i="77"/>
  <c r="D281" i="77"/>
  <c r="E281" i="77"/>
  <c r="F281" i="77"/>
  <c r="G281" i="77"/>
  <c r="H281" i="77"/>
  <c r="J281" i="77"/>
  <c r="K281" i="77"/>
  <c r="M281" i="77"/>
  <c r="O281" i="77"/>
  <c r="P281" i="77"/>
  <c r="R281" i="77"/>
  <c r="S281" i="77"/>
  <c r="U281" i="77"/>
  <c r="W281" i="77"/>
  <c r="X281" i="77"/>
  <c r="Z281" i="77"/>
  <c r="AA281" i="77"/>
  <c r="AB281" i="77"/>
  <c r="AC281" i="77"/>
  <c r="AD281" i="77"/>
  <c r="AE281" i="77"/>
  <c r="AF281" i="77"/>
  <c r="AG281" i="77"/>
  <c r="AH281" i="77"/>
  <c r="AI281" i="77"/>
  <c r="AJ281" i="77"/>
  <c r="AK281" i="77"/>
  <c r="AL281" i="77"/>
  <c r="AM281" i="77"/>
  <c r="AN281" i="77"/>
  <c r="AO281" i="77"/>
  <c r="AP281" i="77"/>
  <c r="AQ281" i="77"/>
  <c r="AR281" i="77"/>
  <c r="AS281" i="77"/>
  <c r="AT281" i="77"/>
  <c r="AU281" i="77"/>
  <c r="AW281" i="77"/>
  <c r="AX281" i="77"/>
  <c r="AY281" i="77"/>
  <c r="BA281" i="77"/>
  <c r="A282" i="77"/>
  <c r="B282" i="77"/>
  <c r="D282" i="77"/>
  <c r="E282" i="77"/>
  <c r="F282" i="77"/>
  <c r="G282" i="77"/>
  <c r="H282" i="77"/>
  <c r="J282" i="77"/>
  <c r="K282" i="77"/>
  <c r="M282" i="77"/>
  <c r="O282" i="77"/>
  <c r="P282" i="77"/>
  <c r="R282" i="77"/>
  <c r="S282" i="77"/>
  <c r="U282" i="77"/>
  <c r="W282" i="77"/>
  <c r="X282" i="77"/>
  <c r="Z282" i="77"/>
  <c r="AA282" i="77"/>
  <c r="AB282" i="77"/>
  <c r="AC282" i="77"/>
  <c r="AD282" i="77"/>
  <c r="AE282" i="77"/>
  <c r="AF282" i="77"/>
  <c r="AG282" i="77"/>
  <c r="AH282" i="77"/>
  <c r="AI282" i="77"/>
  <c r="AJ282" i="77"/>
  <c r="AK282" i="77"/>
  <c r="AL282" i="77"/>
  <c r="AM282" i="77"/>
  <c r="AN282" i="77"/>
  <c r="AO282" i="77"/>
  <c r="AP282" i="77"/>
  <c r="AQ282" i="77"/>
  <c r="AR282" i="77"/>
  <c r="AS282" i="77"/>
  <c r="AT282" i="77"/>
  <c r="AU282" i="77"/>
  <c r="AW282" i="77"/>
  <c r="AX282" i="77"/>
  <c r="AY282" i="77"/>
  <c r="BA282" i="77"/>
  <c r="A283" i="77"/>
  <c r="B283" i="77"/>
  <c r="D283" i="77"/>
  <c r="E283" i="77"/>
  <c r="F283" i="77"/>
  <c r="G283" i="77"/>
  <c r="H283" i="77"/>
  <c r="J283" i="77"/>
  <c r="K283" i="77"/>
  <c r="M283" i="77"/>
  <c r="O283" i="77"/>
  <c r="P283" i="77"/>
  <c r="R283" i="77"/>
  <c r="S283" i="77"/>
  <c r="U283" i="77"/>
  <c r="W283" i="77"/>
  <c r="X283" i="77"/>
  <c r="Z283" i="77"/>
  <c r="AA283" i="77"/>
  <c r="AB283" i="77"/>
  <c r="AC283" i="77"/>
  <c r="AD283" i="77"/>
  <c r="AE283" i="77"/>
  <c r="AF283" i="77"/>
  <c r="AG283" i="77"/>
  <c r="AH283" i="77"/>
  <c r="AI283" i="77"/>
  <c r="AJ283" i="77"/>
  <c r="AK283" i="77"/>
  <c r="AL283" i="77"/>
  <c r="AM283" i="77"/>
  <c r="AN283" i="77"/>
  <c r="AO283" i="77"/>
  <c r="AP283" i="77"/>
  <c r="AQ283" i="77"/>
  <c r="AR283" i="77"/>
  <c r="AS283" i="77"/>
  <c r="AT283" i="77"/>
  <c r="AU283" i="77"/>
  <c r="AW283" i="77"/>
  <c r="AX283" i="77"/>
  <c r="AY283" i="77"/>
  <c r="BA283" i="77"/>
  <c r="A284" i="77"/>
  <c r="B284" i="77"/>
  <c r="D284" i="77"/>
  <c r="E284" i="77"/>
  <c r="F284" i="77"/>
  <c r="G284" i="77"/>
  <c r="H284" i="77"/>
  <c r="J284" i="77"/>
  <c r="K284" i="77"/>
  <c r="M284" i="77"/>
  <c r="O284" i="77"/>
  <c r="P284" i="77"/>
  <c r="R284" i="77"/>
  <c r="S284" i="77"/>
  <c r="U284" i="77"/>
  <c r="W284" i="77"/>
  <c r="X284" i="77"/>
  <c r="Z284" i="77"/>
  <c r="AA284" i="77"/>
  <c r="AB284" i="77"/>
  <c r="AC284" i="77"/>
  <c r="AD284" i="77"/>
  <c r="AE284" i="77"/>
  <c r="AF284" i="77"/>
  <c r="AG284" i="77"/>
  <c r="AH284" i="77"/>
  <c r="AI284" i="77"/>
  <c r="AJ284" i="77"/>
  <c r="AK284" i="77"/>
  <c r="AL284" i="77"/>
  <c r="AM284" i="77"/>
  <c r="AN284" i="77"/>
  <c r="AO284" i="77"/>
  <c r="AP284" i="77"/>
  <c r="AQ284" i="77"/>
  <c r="AR284" i="77"/>
  <c r="AS284" i="77"/>
  <c r="AT284" i="77"/>
  <c r="AU284" i="77"/>
  <c r="AW284" i="77"/>
  <c r="AX284" i="77"/>
  <c r="AY284" i="77"/>
  <c r="BA284" i="77"/>
  <c r="A285" i="77"/>
  <c r="B285" i="77"/>
  <c r="D285" i="77"/>
  <c r="E285" i="77"/>
  <c r="F285" i="77"/>
  <c r="G285" i="77"/>
  <c r="H285" i="77"/>
  <c r="J285" i="77"/>
  <c r="K285" i="77"/>
  <c r="M285" i="77"/>
  <c r="O285" i="77"/>
  <c r="P285" i="77"/>
  <c r="R285" i="77"/>
  <c r="S285" i="77"/>
  <c r="U285" i="77"/>
  <c r="W285" i="77"/>
  <c r="X285" i="77"/>
  <c r="Z285" i="77"/>
  <c r="AA285" i="77"/>
  <c r="AB285" i="77"/>
  <c r="AC285" i="77"/>
  <c r="AD285" i="77"/>
  <c r="AE285" i="77"/>
  <c r="AF285" i="77"/>
  <c r="AG285" i="77"/>
  <c r="AH285" i="77"/>
  <c r="AI285" i="77"/>
  <c r="AJ285" i="77"/>
  <c r="AK285" i="77"/>
  <c r="AL285" i="77"/>
  <c r="AM285" i="77"/>
  <c r="AN285" i="77"/>
  <c r="AO285" i="77"/>
  <c r="AP285" i="77"/>
  <c r="AQ285" i="77"/>
  <c r="AR285" i="77"/>
  <c r="AS285" i="77"/>
  <c r="AT285" i="77"/>
  <c r="AU285" i="77"/>
  <c r="AW285" i="77"/>
  <c r="AX285" i="77"/>
  <c r="AY285" i="77"/>
  <c r="BA285" i="77"/>
  <c r="A286" i="77"/>
  <c r="B286" i="77"/>
  <c r="D286" i="77"/>
  <c r="E286" i="77"/>
  <c r="F286" i="77"/>
  <c r="G286" i="77"/>
  <c r="H286" i="77"/>
  <c r="J286" i="77"/>
  <c r="K286" i="77"/>
  <c r="M286" i="77"/>
  <c r="O286" i="77"/>
  <c r="P286" i="77"/>
  <c r="R286" i="77"/>
  <c r="S286" i="77"/>
  <c r="U286" i="77"/>
  <c r="W286" i="77"/>
  <c r="X286" i="77"/>
  <c r="Z286" i="77"/>
  <c r="AA286" i="77"/>
  <c r="AB286" i="77"/>
  <c r="AC286" i="77"/>
  <c r="AD286" i="77"/>
  <c r="AE286" i="77"/>
  <c r="AF286" i="77"/>
  <c r="AG286" i="77"/>
  <c r="AH286" i="77"/>
  <c r="AI286" i="77"/>
  <c r="AJ286" i="77"/>
  <c r="AK286" i="77"/>
  <c r="AL286" i="77"/>
  <c r="AM286" i="77"/>
  <c r="AN286" i="77"/>
  <c r="AO286" i="77"/>
  <c r="AP286" i="77"/>
  <c r="AQ286" i="77"/>
  <c r="AR286" i="77"/>
  <c r="AS286" i="77"/>
  <c r="AT286" i="77"/>
  <c r="AU286" i="77"/>
  <c r="AW286" i="77"/>
  <c r="AX286" i="77"/>
  <c r="AY286" i="77"/>
  <c r="BA286" i="77"/>
  <c r="A287" i="77"/>
  <c r="B287" i="77"/>
  <c r="D287" i="77"/>
  <c r="E287" i="77"/>
  <c r="F287" i="77"/>
  <c r="G287" i="77"/>
  <c r="H287" i="77"/>
  <c r="J287" i="77"/>
  <c r="K287" i="77"/>
  <c r="M287" i="77"/>
  <c r="O287" i="77"/>
  <c r="P287" i="77"/>
  <c r="R287" i="77"/>
  <c r="S287" i="77"/>
  <c r="U287" i="77"/>
  <c r="W287" i="77"/>
  <c r="X287" i="77"/>
  <c r="Z287" i="77"/>
  <c r="AA287" i="77"/>
  <c r="AB287" i="77"/>
  <c r="AC287" i="77"/>
  <c r="AD287" i="77"/>
  <c r="AE287" i="77"/>
  <c r="AF287" i="77"/>
  <c r="AG287" i="77"/>
  <c r="AH287" i="77"/>
  <c r="AI287" i="77"/>
  <c r="AJ287" i="77"/>
  <c r="AK287" i="77"/>
  <c r="AL287" i="77"/>
  <c r="AM287" i="77"/>
  <c r="AN287" i="77"/>
  <c r="AO287" i="77"/>
  <c r="AP287" i="77"/>
  <c r="AQ287" i="77"/>
  <c r="AR287" i="77"/>
  <c r="AS287" i="77"/>
  <c r="AT287" i="77"/>
  <c r="AU287" i="77"/>
  <c r="AW287" i="77"/>
  <c r="AX287" i="77"/>
  <c r="AY287" i="77"/>
  <c r="BA287" i="77"/>
  <c r="A288" i="77"/>
  <c r="B288" i="77"/>
  <c r="D288" i="77"/>
  <c r="E288" i="77"/>
  <c r="F288" i="77"/>
  <c r="G288" i="77"/>
  <c r="H288" i="77"/>
  <c r="J288" i="77"/>
  <c r="K288" i="77"/>
  <c r="M288" i="77"/>
  <c r="O288" i="77"/>
  <c r="P288" i="77"/>
  <c r="R288" i="77"/>
  <c r="S288" i="77"/>
  <c r="U288" i="77"/>
  <c r="W288" i="77"/>
  <c r="X288" i="77"/>
  <c r="Z288" i="77"/>
  <c r="AA288" i="77"/>
  <c r="AB288" i="77"/>
  <c r="AC288" i="77"/>
  <c r="AD288" i="77"/>
  <c r="AE288" i="77"/>
  <c r="AF288" i="77"/>
  <c r="AG288" i="77"/>
  <c r="AH288" i="77"/>
  <c r="AI288" i="77"/>
  <c r="AJ288" i="77"/>
  <c r="AK288" i="77"/>
  <c r="AL288" i="77"/>
  <c r="AM288" i="77"/>
  <c r="AN288" i="77"/>
  <c r="AO288" i="77"/>
  <c r="AP288" i="77"/>
  <c r="AQ288" i="77"/>
  <c r="AR288" i="77"/>
  <c r="AS288" i="77"/>
  <c r="AT288" i="77"/>
  <c r="AU288" i="77"/>
  <c r="AW288" i="77"/>
  <c r="AX288" i="77"/>
  <c r="AY288" i="77"/>
  <c r="BA288" i="77"/>
  <c r="A289" i="77"/>
  <c r="B289" i="77"/>
  <c r="D289" i="77"/>
  <c r="E289" i="77"/>
  <c r="F289" i="77"/>
  <c r="G289" i="77"/>
  <c r="H289" i="77"/>
  <c r="J289" i="77"/>
  <c r="K289" i="77"/>
  <c r="M289" i="77"/>
  <c r="O289" i="77"/>
  <c r="P289" i="77"/>
  <c r="R289" i="77"/>
  <c r="S289" i="77"/>
  <c r="U289" i="77"/>
  <c r="W289" i="77"/>
  <c r="X289" i="77"/>
  <c r="Z289" i="77"/>
  <c r="AA289" i="77"/>
  <c r="AB289" i="77"/>
  <c r="AC289" i="77"/>
  <c r="AD289" i="77"/>
  <c r="AE289" i="77"/>
  <c r="AF289" i="77"/>
  <c r="AG289" i="77"/>
  <c r="AH289" i="77"/>
  <c r="AI289" i="77"/>
  <c r="AJ289" i="77"/>
  <c r="AK289" i="77"/>
  <c r="AL289" i="77"/>
  <c r="AM289" i="77"/>
  <c r="AN289" i="77"/>
  <c r="AO289" i="77"/>
  <c r="AP289" i="77"/>
  <c r="AQ289" i="77"/>
  <c r="AR289" i="77"/>
  <c r="AS289" i="77"/>
  <c r="AT289" i="77"/>
  <c r="AU289" i="77"/>
  <c r="AW289" i="77"/>
  <c r="AX289" i="77"/>
  <c r="AY289" i="77"/>
  <c r="BA289" i="77"/>
  <c r="A290" i="77"/>
  <c r="B290" i="77"/>
  <c r="D290" i="77"/>
  <c r="E290" i="77"/>
  <c r="F290" i="77"/>
  <c r="G290" i="77"/>
  <c r="H290" i="77"/>
  <c r="J290" i="77"/>
  <c r="K290" i="77"/>
  <c r="M290" i="77"/>
  <c r="O290" i="77"/>
  <c r="P290" i="77"/>
  <c r="R290" i="77"/>
  <c r="S290" i="77"/>
  <c r="U290" i="77"/>
  <c r="W290" i="77"/>
  <c r="X290" i="77"/>
  <c r="Z290" i="77"/>
  <c r="AA290" i="77"/>
  <c r="AB290" i="77"/>
  <c r="AC290" i="77"/>
  <c r="AD290" i="77"/>
  <c r="AE290" i="77"/>
  <c r="AF290" i="77"/>
  <c r="AG290" i="77"/>
  <c r="AH290" i="77"/>
  <c r="AI290" i="77"/>
  <c r="AJ290" i="77"/>
  <c r="AK290" i="77"/>
  <c r="AL290" i="77"/>
  <c r="AM290" i="77"/>
  <c r="AN290" i="77"/>
  <c r="AO290" i="77"/>
  <c r="AP290" i="77"/>
  <c r="AQ290" i="77"/>
  <c r="AR290" i="77"/>
  <c r="AS290" i="77"/>
  <c r="AT290" i="77"/>
  <c r="AU290" i="77"/>
  <c r="AW290" i="77"/>
  <c r="AX290" i="77"/>
  <c r="AY290" i="77"/>
  <c r="BA290" i="77"/>
  <c r="A291" i="77"/>
  <c r="B291" i="77"/>
  <c r="D291" i="77"/>
  <c r="E291" i="77"/>
  <c r="F291" i="77"/>
  <c r="G291" i="77"/>
  <c r="H291" i="77"/>
  <c r="J291" i="77"/>
  <c r="K291" i="77"/>
  <c r="M291" i="77"/>
  <c r="O291" i="77"/>
  <c r="P291" i="77"/>
  <c r="R291" i="77"/>
  <c r="S291" i="77"/>
  <c r="U291" i="77"/>
  <c r="W291" i="77"/>
  <c r="X291" i="77"/>
  <c r="Z291" i="77"/>
  <c r="AA291" i="77"/>
  <c r="AB291" i="77"/>
  <c r="AC291" i="77"/>
  <c r="AD291" i="77"/>
  <c r="AE291" i="77"/>
  <c r="AF291" i="77"/>
  <c r="AG291" i="77"/>
  <c r="AH291" i="77"/>
  <c r="AI291" i="77"/>
  <c r="AJ291" i="77"/>
  <c r="AK291" i="77"/>
  <c r="AL291" i="77"/>
  <c r="AM291" i="77"/>
  <c r="AN291" i="77"/>
  <c r="AO291" i="77"/>
  <c r="AP291" i="77"/>
  <c r="AQ291" i="77"/>
  <c r="AR291" i="77"/>
  <c r="AS291" i="77"/>
  <c r="AT291" i="77"/>
  <c r="AU291" i="77"/>
  <c r="AW291" i="77"/>
  <c r="AX291" i="77"/>
  <c r="AY291" i="77"/>
  <c r="BA291" i="77"/>
  <c r="A292" i="77"/>
  <c r="B292" i="77"/>
  <c r="D292" i="77"/>
  <c r="E292" i="77"/>
  <c r="F292" i="77"/>
  <c r="G292" i="77"/>
  <c r="H292" i="77"/>
  <c r="J292" i="77"/>
  <c r="K292" i="77"/>
  <c r="M292" i="77"/>
  <c r="O292" i="77"/>
  <c r="P292" i="77"/>
  <c r="R292" i="77"/>
  <c r="S292" i="77"/>
  <c r="U292" i="77"/>
  <c r="W292" i="77"/>
  <c r="X292" i="77"/>
  <c r="Z292" i="77"/>
  <c r="AA292" i="77"/>
  <c r="AB292" i="77"/>
  <c r="AC292" i="77"/>
  <c r="AD292" i="77"/>
  <c r="AE292" i="77"/>
  <c r="AF292" i="77"/>
  <c r="AG292" i="77"/>
  <c r="AH292" i="77"/>
  <c r="AI292" i="77"/>
  <c r="AJ292" i="77"/>
  <c r="AK292" i="77"/>
  <c r="AL292" i="77"/>
  <c r="AM292" i="77"/>
  <c r="AN292" i="77"/>
  <c r="AO292" i="77"/>
  <c r="AP292" i="77"/>
  <c r="AQ292" i="77"/>
  <c r="AR292" i="77"/>
  <c r="AS292" i="77"/>
  <c r="AT292" i="77"/>
  <c r="AU292" i="77"/>
  <c r="AW292" i="77"/>
  <c r="AX292" i="77"/>
  <c r="AY292" i="77"/>
  <c r="BA292" i="77"/>
  <c r="A293" i="77"/>
  <c r="B293" i="77"/>
  <c r="D293" i="77"/>
  <c r="E293" i="77"/>
  <c r="F293" i="77"/>
  <c r="G293" i="77"/>
  <c r="H293" i="77"/>
  <c r="J293" i="77"/>
  <c r="K293" i="77"/>
  <c r="M293" i="77"/>
  <c r="O293" i="77"/>
  <c r="P293" i="77"/>
  <c r="R293" i="77"/>
  <c r="S293" i="77"/>
  <c r="U293" i="77"/>
  <c r="W293" i="77"/>
  <c r="X293" i="77"/>
  <c r="Z293" i="77"/>
  <c r="AA293" i="77"/>
  <c r="AB293" i="77"/>
  <c r="AC293" i="77"/>
  <c r="AD293" i="77"/>
  <c r="AE293" i="77"/>
  <c r="AF293" i="77"/>
  <c r="AG293" i="77"/>
  <c r="AH293" i="77"/>
  <c r="AI293" i="77"/>
  <c r="AJ293" i="77"/>
  <c r="AK293" i="77"/>
  <c r="AL293" i="77"/>
  <c r="AM293" i="77"/>
  <c r="AN293" i="77"/>
  <c r="AO293" i="77"/>
  <c r="AP293" i="77"/>
  <c r="AQ293" i="77"/>
  <c r="AR293" i="77"/>
  <c r="AS293" i="77"/>
  <c r="AT293" i="77"/>
  <c r="AU293" i="77"/>
  <c r="AW293" i="77"/>
  <c r="AX293" i="77"/>
  <c r="AY293" i="77"/>
  <c r="BA293" i="77"/>
  <c r="A294" i="77"/>
  <c r="B294" i="77"/>
  <c r="D294" i="77"/>
  <c r="E294" i="77"/>
  <c r="F294" i="77"/>
  <c r="G294" i="77"/>
  <c r="H294" i="77"/>
  <c r="J294" i="77"/>
  <c r="K294" i="77"/>
  <c r="M294" i="77"/>
  <c r="O294" i="77"/>
  <c r="P294" i="77"/>
  <c r="R294" i="77"/>
  <c r="S294" i="77"/>
  <c r="U294" i="77"/>
  <c r="W294" i="77"/>
  <c r="X294" i="77"/>
  <c r="Z294" i="77"/>
  <c r="AA294" i="77"/>
  <c r="AB294" i="77"/>
  <c r="AC294" i="77"/>
  <c r="AD294" i="77"/>
  <c r="AE294" i="77"/>
  <c r="AF294" i="77"/>
  <c r="AG294" i="77"/>
  <c r="AH294" i="77"/>
  <c r="AI294" i="77"/>
  <c r="AJ294" i="77"/>
  <c r="AK294" i="77"/>
  <c r="AL294" i="77"/>
  <c r="AM294" i="77"/>
  <c r="AN294" i="77"/>
  <c r="AO294" i="77"/>
  <c r="AP294" i="77"/>
  <c r="AQ294" i="77"/>
  <c r="AR294" i="77"/>
  <c r="AS294" i="77"/>
  <c r="AT294" i="77"/>
  <c r="AU294" i="77"/>
  <c r="AW294" i="77"/>
  <c r="AX294" i="77"/>
  <c r="AY294" i="77"/>
  <c r="BA294" i="77"/>
  <c r="A295" i="77"/>
  <c r="B295" i="77"/>
  <c r="D295" i="77"/>
  <c r="E295" i="77"/>
  <c r="F295" i="77"/>
  <c r="G295" i="77"/>
  <c r="H295" i="77"/>
  <c r="J295" i="77"/>
  <c r="K295" i="77"/>
  <c r="M295" i="77"/>
  <c r="O295" i="77"/>
  <c r="P295" i="77"/>
  <c r="R295" i="77"/>
  <c r="S295" i="77"/>
  <c r="U295" i="77"/>
  <c r="W295" i="77"/>
  <c r="X295" i="77"/>
  <c r="Z295" i="77"/>
  <c r="AA295" i="77"/>
  <c r="AB295" i="77"/>
  <c r="AC295" i="77"/>
  <c r="AD295" i="77"/>
  <c r="AE295" i="77"/>
  <c r="AF295" i="77"/>
  <c r="AG295" i="77"/>
  <c r="AH295" i="77"/>
  <c r="AI295" i="77"/>
  <c r="AJ295" i="77"/>
  <c r="AK295" i="77"/>
  <c r="AL295" i="77"/>
  <c r="AM295" i="77"/>
  <c r="AN295" i="77"/>
  <c r="AO295" i="77"/>
  <c r="AP295" i="77"/>
  <c r="AQ295" i="77"/>
  <c r="AR295" i="77"/>
  <c r="AS295" i="77"/>
  <c r="AT295" i="77"/>
  <c r="AU295" i="77"/>
  <c r="AW295" i="77"/>
  <c r="AX295" i="77"/>
  <c r="AY295" i="77"/>
  <c r="BA295" i="77"/>
  <c r="A296" i="77"/>
  <c r="B296" i="77"/>
  <c r="D296" i="77"/>
  <c r="E296" i="77"/>
  <c r="F296" i="77"/>
  <c r="G296" i="77"/>
  <c r="H296" i="77"/>
  <c r="J296" i="77"/>
  <c r="K296" i="77"/>
  <c r="M296" i="77"/>
  <c r="O296" i="77"/>
  <c r="P296" i="77"/>
  <c r="R296" i="77"/>
  <c r="S296" i="77"/>
  <c r="U296" i="77"/>
  <c r="W296" i="77"/>
  <c r="X296" i="77"/>
  <c r="Z296" i="77"/>
  <c r="AA296" i="77"/>
  <c r="AB296" i="77"/>
  <c r="AC296" i="77"/>
  <c r="AD296" i="77"/>
  <c r="AE296" i="77"/>
  <c r="AF296" i="77"/>
  <c r="AG296" i="77"/>
  <c r="AH296" i="77"/>
  <c r="AI296" i="77"/>
  <c r="AJ296" i="77"/>
  <c r="AK296" i="77"/>
  <c r="AL296" i="77"/>
  <c r="AM296" i="77"/>
  <c r="AN296" i="77"/>
  <c r="AO296" i="77"/>
  <c r="AP296" i="77"/>
  <c r="AQ296" i="77"/>
  <c r="AR296" i="77"/>
  <c r="AS296" i="77"/>
  <c r="AT296" i="77"/>
  <c r="AU296" i="77"/>
  <c r="AW296" i="77"/>
  <c r="AX296" i="77"/>
  <c r="AY296" i="77"/>
  <c r="BA296" i="77"/>
  <c r="A297" i="77"/>
  <c r="B297" i="77"/>
  <c r="D297" i="77"/>
  <c r="E297" i="77"/>
  <c r="F297" i="77"/>
  <c r="G297" i="77"/>
  <c r="H297" i="77"/>
  <c r="J297" i="77"/>
  <c r="K297" i="77"/>
  <c r="M297" i="77"/>
  <c r="O297" i="77"/>
  <c r="P297" i="77"/>
  <c r="R297" i="77"/>
  <c r="S297" i="77"/>
  <c r="U297" i="77"/>
  <c r="W297" i="77"/>
  <c r="X297" i="77"/>
  <c r="Z297" i="77"/>
  <c r="AA297" i="77"/>
  <c r="AB297" i="77"/>
  <c r="AC297" i="77"/>
  <c r="AD297" i="77"/>
  <c r="AE297" i="77"/>
  <c r="AF297" i="77"/>
  <c r="AG297" i="77"/>
  <c r="AH297" i="77"/>
  <c r="AI297" i="77"/>
  <c r="AJ297" i="77"/>
  <c r="AK297" i="77"/>
  <c r="AL297" i="77"/>
  <c r="AM297" i="77"/>
  <c r="AN297" i="77"/>
  <c r="AO297" i="77"/>
  <c r="AP297" i="77"/>
  <c r="AQ297" i="77"/>
  <c r="AR297" i="77"/>
  <c r="AS297" i="77"/>
  <c r="AT297" i="77"/>
  <c r="AU297" i="77"/>
  <c r="AW297" i="77"/>
  <c r="AX297" i="77"/>
  <c r="AY297" i="77"/>
  <c r="BA297" i="77"/>
  <c r="A298" i="77"/>
  <c r="B298" i="77"/>
  <c r="D298" i="77"/>
  <c r="E298" i="77"/>
  <c r="F298" i="77"/>
  <c r="G298" i="77"/>
  <c r="H298" i="77"/>
  <c r="J298" i="77"/>
  <c r="K298" i="77"/>
  <c r="M298" i="77"/>
  <c r="O298" i="77"/>
  <c r="P298" i="77"/>
  <c r="R298" i="77"/>
  <c r="S298" i="77"/>
  <c r="U298" i="77"/>
  <c r="W298" i="77"/>
  <c r="X298" i="77"/>
  <c r="Z298" i="77"/>
  <c r="AA298" i="77"/>
  <c r="AB298" i="77"/>
  <c r="AC298" i="77"/>
  <c r="AD298" i="77"/>
  <c r="AE298" i="77"/>
  <c r="AF298" i="77"/>
  <c r="AG298" i="77"/>
  <c r="AH298" i="77"/>
  <c r="AI298" i="77"/>
  <c r="AJ298" i="77"/>
  <c r="AK298" i="77"/>
  <c r="AL298" i="77"/>
  <c r="AM298" i="77"/>
  <c r="AN298" i="77"/>
  <c r="AO298" i="77"/>
  <c r="AP298" i="77"/>
  <c r="AQ298" i="77"/>
  <c r="AR298" i="77"/>
  <c r="AS298" i="77"/>
  <c r="AT298" i="77"/>
  <c r="AU298" i="77"/>
  <c r="AW298" i="77"/>
  <c r="AX298" i="77"/>
  <c r="AY298" i="77"/>
  <c r="BA298" i="77"/>
  <c r="A299" i="77"/>
  <c r="B299" i="77"/>
  <c r="D299" i="77"/>
  <c r="E299" i="77"/>
  <c r="F299" i="77"/>
  <c r="G299" i="77"/>
  <c r="H299" i="77"/>
  <c r="J299" i="77"/>
  <c r="K299" i="77"/>
  <c r="M299" i="77"/>
  <c r="O299" i="77"/>
  <c r="P299" i="77"/>
  <c r="R299" i="77"/>
  <c r="S299" i="77"/>
  <c r="U299" i="77"/>
  <c r="W299" i="77"/>
  <c r="X299" i="77"/>
  <c r="Z299" i="77"/>
  <c r="AA299" i="77"/>
  <c r="AB299" i="77"/>
  <c r="AC299" i="77"/>
  <c r="AD299" i="77"/>
  <c r="AE299" i="77"/>
  <c r="AF299" i="77"/>
  <c r="AG299" i="77"/>
  <c r="AH299" i="77"/>
  <c r="AI299" i="77"/>
  <c r="AJ299" i="77"/>
  <c r="AK299" i="77"/>
  <c r="AL299" i="77"/>
  <c r="AM299" i="77"/>
  <c r="AN299" i="77"/>
  <c r="AO299" i="77"/>
  <c r="AP299" i="77"/>
  <c r="AQ299" i="77"/>
  <c r="AR299" i="77"/>
  <c r="AS299" i="77"/>
  <c r="AT299" i="77"/>
  <c r="AU299" i="77"/>
  <c r="AW299" i="77"/>
  <c r="AX299" i="77"/>
  <c r="AY299" i="77"/>
  <c r="BA299" i="77"/>
  <c r="A300" i="77"/>
  <c r="B300" i="77"/>
  <c r="D300" i="77"/>
  <c r="E300" i="77"/>
  <c r="F300" i="77"/>
  <c r="G300" i="77"/>
  <c r="H300" i="77"/>
  <c r="J300" i="77"/>
  <c r="K300" i="77"/>
  <c r="M300" i="77"/>
  <c r="O300" i="77"/>
  <c r="P300" i="77"/>
  <c r="R300" i="77"/>
  <c r="S300" i="77"/>
  <c r="U300" i="77"/>
  <c r="W300" i="77"/>
  <c r="X300" i="77"/>
  <c r="Z300" i="77"/>
  <c r="AA300" i="77"/>
  <c r="AB300" i="77"/>
  <c r="AC300" i="77"/>
  <c r="AD300" i="77"/>
  <c r="AE300" i="77"/>
  <c r="AF300" i="77"/>
  <c r="AG300" i="77"/>
  <c r="AH300" i="77"/>
  <c r="AI300" i="77"/>
  <c r="AJ300" i="77"/>
  <c r="AK300" i="77"/>
  <c r="AL300" i="77"/>
  <c r="AM300" i="77"/>
  <c r="AN300" i="77"/>
  <c r="AO300" i="77"/>
  <c r="AP300" i="77"/>
  <c r="AQ300" i="77"/>
  <c r="AR300" i="77"/>
  <c r="AS300" i="77"/>
  <c r="AT300" i="77"/>
  <c r="AU300" i="77"/>
  <c r="AW300" i="77"/>
  <c r="AX300" i="77"/>
  <c r="AY300" i="77"/>
  <c r="BA300" i="77"/>
  <c r="A301" i="77"/>
  <c r="B301" i="77"/>
  <c r="D301" i="77"/>
  <c r="E301" i="77"/>
  <c r="F301" i="77"/>
  <c r="G301" i="77"/>
  <c r="H301" i="77"/>
  <c r="J301" i="77"/>
  <c r="K301" i="77"/>
  <c r="M301" i="77"/>
  <c r="O301" i="77"/>
  <c r="P301" i="77"/>
  <c r="R301" i="77"/>
  <c r="S301" i="77"/>
  <c r="U301" i="77"/>
  <c r="W301" i="77"/>
  <c r="X301" i="77"/>
  <c r="Z301" i="77"/>
  <c r="AA301" i="77"/>
  <c r="AB301" i="77"/>
  <c r="AC301" i="77"/>
  <c r="AD301" i="77"/>
  <c r="AE301" i="77"/>
  <c r="AF301" i="77"/>
  <c r="AG301" i="77"/>
  <c r="AH301" i="77"/>
  <c r="AI301" i="77"/>
  <c r="AJ301" i="77"/>
  <c r="AK301" i="77"/>
  <c r="AL301" i="77"/>
  <c r="AM301" i="77"/>
  <c r="AN301" i="77"/>
  <c r="AO301" i="77"/>
  <c r="AP301" i="77"/>
  <c r="AQ301" i="77"/>
  <c r="AR301" i="77"/>
  <c r="AS301" i="77"/>
  <c r="AT301" i="77"/>
  <c r="AU301" i="77"/>
  <c r="AW301" i="77"/>
  <c r="AX301" i="77"/>
  <c r="AY301" i="77"/>
  <c r="BA301" i="77"/>
  <c r="A302" i="77"/>
  <c r="B302" i="77"/>
  <c r="D302" i="77"/>
  <c r="E302" i="77"/>
  <c r="F302" i="77"/>
  <c r="G302" i="77"/>
  <c r="H302" i="77"/>
  <c r="J302" i="77"/>
  <c r="K302" i="77"/>
  <c r="M302" i="77"/>
  <c r="O302" i="77"/>
  <c r="P302" i="77"/>
  <c r="R302" i="77"/>
  <c r="S302" i="77"/>
  <c r="U302" i="77"/>
  <c r="W302" i="77"/>
  <c r="X302" i="77"/>
  <c r="Z302" i="77"/>
  <c r="AA302" i="77"/>
  <c r="AB302" i="77"/>
  <c r="AC302" i="77"/>
  <c r="AD302" i="77"/>
  <c r="AE302" i="77"/>
  <c r="AF302" i="77"/>
  <c r="AG302" i="77"/>
  <c r="AH302" i="77"/>
  <c r="AI302" i="77"/>
  <c r="AJ302" i="77"/>
  <c r="AK302" i="77"/>
  <c r="AL302" i="77"/>
  <c r="AM302" i="77"/>
  <c r="AN302" i="77"/>
  <c r="AO302" i="77"/>
  <c r="AP302" i="77"/>
  <c r="AQ302" i="77"/>
  <c r="AR302" i="77"/>
  <c r="AS302" i="77"/>
  <c r="AT302" i="77"/>
  <c r="AU302" i="77"/>
  <c r="AW302" i="77"/>
  <c r="AX302" i="77"/>
  <c r="AY302" i="77"/>
  <c r="BA302" i="77"/>
  <c r="A303" i="77"/>
  <c r="B303" i="77"/>
  <c r="D303" i="77"/>
  <c r="E303" i="77"/>
  <c r="F303" i="77"/>
  <c r="G303" i="77"/>
  <c r="H303" i="77"/>
  <c r="J303" i="77"/>
  <c r="K303" i="77"/>
  <c r="M303" i="77"/>
  <c r="O303" i="77"/>
  <c r="P303" i="77"/>
  <c r="R303" i="77"/>
  <c r="S303" i="77"/>
  <c r="U303" i="77"/>
  <c r="W303" i="77"/>
  <c r="X303" i="77"/>
  <c r="Z303" i="77"/>
  <c r="AA303" i="77"/>
  <c r="AB303" i="77"/>
  <c r="AC303" i="77"/>
  <c r="AD303" i="77"/>
  <c r="AE303" i="77"/>
  <c r="AF303" i="77"/>
  <c r="AG303" i="77"/>
  <c r="AH303" i="77"/>
  <c r="AI303" i="77"/>
  <c r="AJ303" i="77"/>
  <c r="AK303" i="77"/>
  <c r="AL303" i="77"/>
  <c r="AM303" i="77"/>
  <c r="AN303" i="77"/>
  <c r="AO303" i="77"/>
  <c r="AP303" i="77"/>
  <c r="AQ303" i="77"/>
  <c r="AR303" i="77"/>
  <c r="AS303" i="77"/>
  <c r="AT303" i="77"/>
  <c r="AU303" i="77"/>
  <c r="AW303" i="77"/>
  <c r="AX303" i="77"/>
  <c r="AY303" i="77"/>
  <c r="BA303" i="77"/>
  <c r="A304" i="77"/>
  <c r="B304" i="77"/>
  <c r="D304" i="77"/>
  <c r="E304" i="77"/>
  <c r="F304" i="77"/>
  <c r="G304" i="77"/>
  <c r="H304" i="77"/>
  <c r="J304" i="77"/>
  <c r="K304" i="77"/>
  <c r="M304" i="77"/>
  <c r="O304" i="77"/>
  <c r="P304" i="77"/>
  <c r="R304" i="77"/>
  <c r="S304" i="77"/>
  <c r="U304" i="77"/>
  <c r="W304" i="77"/>
  <c r="X304" i="77"/>
  <c r="Z304" i="77"/>
  <c r="AA304" i="77"/>
  <c r="AB304" i="77"/>
  <c r="AC304" i="77"/>
  <c r="AD304" i="77"/>
  <c r="AE304" i="77"/>
  <c r="AF304" i="77"/>
  <c r="AG304" i="77"/>
  <c r="AH304" i="77"/>
  <c r="AI304" i="77"/>
  <c r="AJ304" i="77"/>
  <c r="AK304" i="77"/>
  <c r="AL304" i="77"/>
  <c r="AM304" i="77"/>
  <c r="AN304" i="77"/>
  <c r="AO304" i="77"/>
  <c r="AP304" i="77"/>
  <c r="AQ304" i="77"/>
  <c r="AR304" i="77"/>
  <c r="AS304" i="77"/>
  <c r="AT304" i="77"/>
  <c r="AU304" i="77"/>
  <c r="AW304" i="77"/>
  <c r="AX304" i="77"/>
  <c r="AY304" i="77"/>
  <c r="BA304" i="77"/>
  <c r="A305" i="77"/>
  <c r="B305" i="77"/>
  <c r="D305" i="77"/>
  <c r="E305" i="77"/>
  <c r="F305" i="77"/>
  <c r="G305" i="77"/>
  <c r="H305" i="77"/>
  <c r="J305" i="77"/>
  <c r="K305" i="77"/>
  <c r="M305" i="77"/>
  <c r="O305" i="77"/>
  <c r="P305" i="77"/>
  <c r="R305" i="77"/>
  <c r="S305" i="77"/>
  <c r="U305" i="77"/>
  <c r="W305" i="77"/>
  <c r="X305" i="77"/>
  <c r="Z305" i="77"/>
  <c r="AA305" i="77"/>
  <c r="AB305" i="77"/>
  <c r="AC305" i="77"/>
  <c r="AD305" i="77"/>
  <c r="AE305" i="77"/>
  <c r="AF305" i="77"/>
  <c r="AG305" i="77"/>
  <c r="AH305" i="77"/>
  <c r="AI305" i="77"/>
  <c r="AJ305" i="77"/>
  <c r="AK305" i="77"/>
  <c r="AL305" i="77"/>
  <c r="AM305" i="77"/>
  <c r="AN305" i="77"/>
  <c r="AO305" i="77"/>
  <c r="AP305" i="77"/>
  <c r="AQ305" i="77"/>
  <c r="AR305" i="77"/>
  <c r="AS305" i="77"/>
  <c r="AT305" i="77"/>
  <c r="AU305" i="77"/>
  <c r="AW305" i="77"/>
  <c r="AX305" i="77"/>
  <c r="AY305" i="77"/>
  <c r="BA305" i="77"/>
  <c r="A306" i="77"/>
  <c r="B306" i="77"/>
  <c r="D306" i="77"/>
  <c r="E306" i="77"/>
  <c r="F306" i="77"/>
  <c r="G306" i="77"/>
  <c r="H306" i="77"/>
  <c r="J306" i="77"/>
  <c r="K306" i="77"/>
  <c r="M306" i="77"/>
  <c r="O306" i="77"/>
  <c r="P306" i="77"/>
  <c r="R306" i="77"/>
  <c r="S306" i="77"/>
  <c r="U306" i="77"/>
  <c r="W306" i="77"/>
  <c r="X306" i="77"/>
  <c r="Z306" i="77"/>
  <c r="AA306" i="77"/>
  <c r="AB306" i="77"/>
  <c r="AC306" i="77"/>
  <c r="AD306" i="77"/>
  <c r="AE306" i="77"/>
  <c r="AF306" i="77"/>
  <c r="AG306" i="77"/>
  <c r="AH306" i="77"/>
  <c r="AI306" i="77"/>
  <c r="AJ306" i="77"/>
  <c r="AK306" i="77"/>
  <c r="AL306" i="77"/>
  <c r="AM306" i="77"/>
  <c r="AN306" i="77"/>
  <c r="AO306" i="77"/>
  <c r="AP306" i="77"/>
  <c r="AQ306" i="77"/>
  <c r="AR306" i="77"/>
  <c r="AS306" i="77"/>
  <c r="AT306" i="77"/>
  <c r="AU306" i="77"/>
  <c r="AW306" i="77"/>
  <c r="AX306" i="77"/>
  <c r="AY306" i="77"/>
  <c r="BA306" i="77"/>
  <c r="A307" i="77"/>
  <c r="B307" i="77"/>
  <c r="D307" i="77"/>
  <c r="E307" i="77"/>
  <c r="F307" i="77"/>
  <c r="G307" i="77"/>
  <c r="H307" i="77"/>
  <c r="J307" i="77"/>
  <c r="K307" i="77"/>
  <c r="M307" i="77"/>
  <c r="O307" i="77"/>
  <c r="P307" i="77"/>
  <c r="R307" i="77"/>
  <c r="S307" i="77"/>
  <c r="U307" i="77"/>
  <c r="W307" i="77"/>
  <c r="X307" i="77"/>
  <c r="Z307" i="77"/>
  <c r="AA307" i="77"/>
  <c r="AB307" i="77"/>
  <c r="AC307" i="77"/>
  <c r="AD307" i="77"/>
  <c r="AE307" i="77"/>
  <c r="AF307" i="77"/>
  <c r="AG307" i="77"/>
  <c r="AH307" i="77"/>
  <c r="AI307" i="77"/>
  <c r="AJ307" i="77"/>
  <c r="AK307" i="77"/>
  <c r="AL307" i="77"/>
  <c r="AM307" i="77"/>
  <c r="AN307" i="77"/>
  <c r="AO307" i="77"/>
  <c r="AP307" i="77"/>
  <c r="AQ307" i="77"/>
  <c r="AR307" i="77"/>
  <c r="AS307" i="77"/>
  <c r="AT307" i="77"/>
  <c r="AU307" i="77"/>
  <c r="AW307" i="77"/>
  <c r="AX307" i="77"/>
  <c r="AY307" i="77"/>
  <c r="BA307" i="77"/>
  <c r="A308" i="77"/>
  <c r="B308" i="77"/>
  <c r="D308" i="77"/>
  <c r="E308" i="77"/>
  <c r="F308" i="77"/>
  <c r="G308" i="77"/>
  <c r="H308" i="77"/>
  <c r="J308" i="77"/>
  <c r="K308" i="77"/>
  <c r="M308" i="77"/>
  <c r="O308" i="77"/>
  <c r="P308" i="77"/>
  <c r="R308" i="77"/>
  <c r="S308" i="77"/>
  <c r="U308" i="77"/>
  <c r="W308" i="77"/>
  <c r="X308" i="77"/>
  <c r="Z308" i="77"/>
  <c r="AA308" i="77"/>
  <c r="AB308" i="77"/>
  <c r="AC308" i="77"/>
  <c r="AD308" i="77"/>
  <c r="AE308" i="77"/>
  <c r="AF308" i="77"/>
  <c r="AG308" i="77"/>
  <c r="AH308" i="77"/>
  <c r="AI308" i="77"/>
  <c r="AJ308" i="77"/>
  <c r="AK308" i="77"/>
  <c r="AL308" i="77"/>
  <c r="AM308" i="77"/>
  <c r="AN308" i="77"/>
  <c r="AO308" i="77"/>
  <c r="AP308" i="77"/>
  <c r="AQ308" i="77"/>
  <c r="AR308" i="77"/>
  <c r="AS308" i="77"/>
  <c r="AT308" i="77"/>
  <c r="AU308" i="77"/>
  <c r="AW308" i="77"/>
  <c r="AX308" i="77"/>
  <c r="AY308" i="77"/>
  <c r="BA308" i="77"/>
  <c r="A309" i="77"/>
  <c r="B309" i="77"/>
  <c r="D309" i="77"/>
  <c r="E309" i="77"/>
  <c r="F309" i="77"/>
  <c r="G309" i="77"/>
  <c r="H309" i="77"/>
  <c r="J309" i="77"/>
  <c r="K309" i="77"/>
  <c r="M309" i="77"/>
  <c r="O309" i="77"/>
  <c r="P309" i="77"/>
  <c r="R309" i="77"/>
  <c r="S309" i="77"/>
  <c r="U309" i="77"/>
  <c r="W309" i="77"/>
  <c r="X309" i="77"/>
  <c r="Z309" i="77"/>
  <c r="AA309" i="77"/>
  <c r="AB309" i="77"/>
  <c r="AC309" i="77"/>
  <c r="AD309" i="77"/>
  <c r="AE309" i="77"/>
  <c r="AF309" i="77"/>
  <c r="AG309" i="77"/>
  <c r="AH309" i="77"/>
  <c r="AI309" i="77"/>
  <c r="AJ309" i="77"/>
  <c r="AK309" i="77"/>
  <c r="AL309" i="77"/>
  <c r="AM309" i="77"/>
  <c r="AN309" i="77"/>
  <c r="AO309" i="77"/>
  <c r="AP309" i="77"/>
  <c r="AQ309" i="77"/>
  <c r="AR309" i="77"/>
  <c r="AS309" i="77"/>
  <c r="AT309" i="77"/>
  <c r="AU309" i="77"/>
  <c r="AW309" i="77"/>
  <c r="AX309" i="77"/>
  <c r="AY309" i="77"/>
  <c r="BA309" i="77"/>
  <c r="A310" i="77"/>
  <c r="B310" i="77"/>
  <c r="D310" i="77"/>
  <c r="E310" i="77"/>
  <c r="F310" i="77"/>
  <c r="G310" i="77"/>
  <c r="H310" i="77"/>
  <c r="J310" i="77"/>
  <c r="K310" i="77"/>
  <c r="M310" i="77"/>
  <c r="O310" i="77"/>
  <c r="P310" i="77"/>
  <c r="R310" i="77"/>
  <c r="S310" i="77"/>
  <c r="U310" i="77"/>
  <c r="W310" i="77"/>
  <c r="X310" i="77"/>
  <c r="Z310" i="77"/>
  <c r="AA310" i="77"/>
  <c r="AB310" i="77"/>
  <c r="AC310" i="77"/>
  <c r="AD310" i="77"/>
  <c r="AE310" i="77"/>
  <c r="AF310" i="77"/>
  <c r="AG310" i="77"/>
  <c r="AH310" i="77"/>
  <c r="AI310" i="77"/>
  <c r="AJ310" i="77"/>
  <c r="AK310" i="77"/>
  <c r="AL310" i="77"/>
  <c r="AM310" i="77"/>
  <c r="AN310" i="77"/>
  <c r="AO310" i="77"/>
  <c r="AP310" i="77"/>
  <c r="AQ310" i="77"/>
  <c r="AR310" i="77"/>
  <c r="AS310" i="77"/>
  <c r="AT310" i="77"/>
  <c r="AU310" i="77"/>
  <c r="AW310" i="77"/>
  <c r="AX310" i="77"/>
  <c r="AY310" i="77"/>
  <c r="BA310" i="77"/>
  <c r="A311" i="77"/>
  <c r="B311" i="77"/>
  <c r="D311" i="77"/>
  <c r="E311" i="77"/>
  <c r="F311" i="77"/>
  <c r="G311" i="77"/>
  <c r="H311" i="77"/>
  <c r="J311" i="77"/>
  <c r="K311" i="77"/>
  <c r="M311" i="77"/>
  <c r="O311" i="77"/>
  <c r="P311" i="77"/>
  <c r="R311" i="77"/>
  <c r="S311" i="77"/>
  <c r="U311" i="77"/>
  <c r="W311" i="77"/>
  <c r="X311" i="77"/>
  <c r="Z311" i="77"/>
  <c r="AA311" i="77"/>
  <c r="AB311" i="77"/>
  <c r="AC311" i="77"/>
  <c r="AD311" i="77"/>
  <c r="AE311" i="77"/>
  <c r="AF311" i="77"/>
  <c r="AG311" i="77"/>
  <c r="AH311" i="77"/>
  <c r="AI311" i="77"/>
  <c r="AJ311" i="77"/>
  <c r="AK311" i="77"/>
  <c r="AL311" i="77"/>
  <c r="AM311" i="77"/>
  <c r="AN311" i="77"/>
  <c r="AO311" i="77"/>
  <c r="AP311" i="77"/>
  <c r="AQ311" i="77"/>
  <c r="AR311" i="77"/>
  <c r="AS311" i="77"/>
  <c r="AT311" i="77"/>
  <c r="AU311" i="77"/>
  <c r="AW311" i="77"/>
  <c r="AX311" i="77"/>
  <c r="AY311" i="77"/>
  <c r="BA311" i="77"/>
  <c r="A312" i="77"/>
  <c r="B312" i="77"/>
  <c r="D312" i="77"/>
  <c r="E312" i="77"/>
  <c r="F312" i="77"/>
  <c r="G312" i="77"/>
  <c r="H312" i="77"/>
  <c r="J312" i="77"/>
  <c r="K312" i="77"/>
  <c r="M312" i="77"/>
  <c r="O312" i="77"/>
  <c r="P312" i="77"/>
  <c r="R312" i="77"/>
  <c r="S312" i="77"/>
  <c r="U312" i="77"/>
  <c r="W312" i="77"/>
  <c r="X312" i="77"/>
  <c r="Z312" i="77"/>
  <c r="AA312" i="77"/>
  <c r="AB312" i="77"/>
  <c r="AC312" i="77"/>
  <c r="AD312" i="77"/>
  <c r="AE312" i="77"/>
  <c r="AF312" i="77"/>
  <c r="AG312" i="77"/>
  <c r="AH312" i="77"/>
  <c r="AI312" i="77"/>
  <c r="AJ312" i="77"/>
  <c r="AK312" i="77"/>
  <c r="AL312" i="77"/>
  <c r="AM312" i="77"/>
  <c r="AN312" i="77"/>
  <c r="AO312" i="77"/>
  <c r="AP312" i="77"/>
  <c r="AQ312" i="77"/>
  <c r="AR312" i="77"/>
  <c r="AS312" i="77"/>
  <c r="AT312" i="77"/>
  <c r="AU312" i="77"/>
  <c r="AW312" i="77"/>
  <c r="AX312" i="77"/>
  <c r="AY312" i="77"/>
  <c r="BA312" i="77"/>
  <c r="A313" i="77"/>
  <c r="B313" i="77"/>
  <c r="D313" i="77"/>
  <c r="E313" i="77"/>
  <c r="F313" i="77"/>
  <c r="G313" i="77"/>
  <c r="H313" i="77"/>
  <c r="J313" i="77"/>
  <c r="K313" i="77"/>
  <c r="M313" i="77"/>
  <c r="O313" i="77"/>
  <c r="P313" i="77"/>
  <c r="R313" i="77"/>
  <c r="S313" i="77"/>
  <c r="U313" i="77"/>
  <c r="W313" i="77"/>
  <c r="X313" i="77"/>
  <c r="Z313" i="77"/>
  <c r="AA313" i="77"/>
  <c r="AB313" i="77"/>
  <c r="AC313" i="77"/>
  <c r="AD313" i="77"/>
  <c r="AE313" i="77"/>
  <c r="AF313" i="77"/>
  <c r="AG313" i="77"/>
  <c r="AH313" i="77"/>
  <c r="AI313" i="77"/>
  <c r="AJ313" i="77"/>
  <c r="AK313" i="77"/>
  <c r="AL313" i="77"/>
  <c r="AM313" i="77"/>
  <c r="AN313" i="77"/>
  <c r="AO313" i="77"/>
  <c r="AP313" i="77"/>
  <c r="AQ313" i="77"/>
  <c r="AR313" i="77"/>
  <c r="AS313" i="77"/>
  <c r="AT313" i="77"/>
  <c r="AU313" i="77"/>
  <c r="AW313" i="77"/>
  <c r="AX313" i="77"/>
  <c r="AY313" i="77"/>
  <c r="BA313" i="77"/>
  <c r="A314" i="77"/>
  <c r="B314" i="77"/>
  <c r="D314" i="77"/>
  <c r="E314" i="77"/>
  <c r="F314" i="77"/>
  <c r="G314" i="77"/>
  <c r="H314" i="77"/>
  <c r="J314" i="77"/>
  <c r="K314" i="77"/>
  <c r="M314" i="77"/>
  <c r="O314" i="77"/>
  <c r="P314" i="77"/>
  <c r="R314" i="77"/>
  <c r="S314" i="77"/>
  <c r="U314" i="77"/>
  <c r="W314" i="77"/>
  <c r="X314" i="77"/>
  <c r="Z314" i="77"/>
  <c r="AA314" i="77"/>
  <c r="AB314" i="77"/>
  <c r="AC314" i="77"/>
  <c r="AD314" i="77"/>
  <c r="AE314" i="77"/>
  <c r="AF314" i="77"/>
  <c r="AG314" i="77"/>
  <c r="AH314" i="77"/>
  <c r="AI314" i="77"/>
  <c r="AJ314" i="77"/>
  <c r="AK314" i="77"/>
  <c r="AL314" i="77"/>
  <c r="AM314" i="77"/>
  <c r="AN314" i="77"/>
  <c r="AO314" i="77"/>
  <c r="AP314" i="77"/>
  <c r="AQ314" i="77"/>
  <c r="AR314" i="77"/>
  <c r="AS314" i="77"/>
  <c r="AT314" i="77"/>
  <c r="AU314" i="77"/>
  <c r="AW314" i="77"/>
  <c r="AX314" i="77"/>
  <c r="AY314" i="77"/>
  <c r="BA314" i="77"/>
  <c r="A315" i="77"/>
  <c r="B315" i="77"/>
  <c r="D315" i="77"/>
  <c r="E315" i="77"/>
  <c r="F315" i="77"/>
  <c r="G315" i="77"/>
  <c r="H315" i="77"/>
  <c r="J315" i="77"/>
  <c r="K315" i="77"/>
  <c r="M315" i="77"/>
  <c r="O315" i="77"/>
  <c r="P315" i="77"/>
  <c r="R315" i="77"/>
  <c r="S315" i="77"/>
  <c r="U315" i="77"/>
  <c r="W315" i="77"/>
  <c r="X315" i="77"/>
  <c r="Z315" i="77"/>
  <c r="AA315" i="77"/>
  <c r="AB315" i="77"/>
  <c r="AC315" i="77"/>
  <c r="AD315" i="77"/>
  <c r="AE315" i="77"/>
  <c r="AF315" i="77"/>
  <c r="AG315" i="77"/>
  <c r="AH315" i="77"/>
  <c r="AI315" i="77"/>
  <c r="AJ315" i="77"/>
  <c r="AK315" i="77"/>
  <c r="AL315" i="77"/>
  <c r="AM315" i="77"/>
  <c r="AN315" i="77"/>
  <c r="AO315" i="77"/>
  <c r="AP315" i="77"/>
  <c r="AQ315" i="77"/>
  <c r="AR315" i="77"/>
  <c r="AS315" i="77"/>
  <c r="AT315" i="77"/>
  <c r="AU315" i="77"/>
  <c r="AW315" i="77"/>
  <c r="AX315" i="77"/>
  <c r="AY315" i="77"/>
  <c r="BA315" i="77"/>
  <c r="A316" i="77"/>
  <c r="B316" i="77"/>
  <c r="D316" i="77"/>
  <c r="E316" i="77"/>
  <c r="F316" i="77"/>
  <c r="G316" i="77"/>
  <c r="H316" i="77"/>
  <c r="J316" i="77"/>
  <c r="K316" i="77"/>
  <c r="M316" i="77"/>
  <c r="O316" i="77"/>
  <c r="P316" i="77"/>
  <c r="R316" i="77"/>
  <c r="S316" i="77"/>
  <c r="U316" i="77"/>
  <c r="W316" i="77"/>
  <c r="X316" i="77"/>
  <c r="Z316" i="77"/>
  <c r="AA316" i="77"/>
  <c r="AB316" i="77"/>
  <c r="AC316" i="77"/>
  <c r="AD316" i="77"/>
  <c r="AE316" i="77"/>
  <c r="AF316" i="77"/>
  <c r="AG316" i="77"/>
  <c r="AH316" i="77"/>
  <c r="AI316" i="77"/>
  <c r="AJ316" i="77"/>
  <c r="AK316" i="77"/>
  <c r="AL316" i="77"/>
  <c r="AM316" i="77"/>
  <c r="AN316" i="77"/>
  <c r="AO316" i="77"/>
  <c r="AP316" i="77"/>
  <c r="AQ316" i="77"/>
  <c r="AR316" i="77"/>
  <c r="AS316" i="77"/>
  <c r="AT316" i="77"/>
  <c r="AU316" i="77"/>
  <c r="AW316" i="77"/>
  <c r="AX316" i="77"/>
  <c r="AY316" i="77"/>
  <c r="BA316" i="77"/>
  <c r="A317" i="77"/>
  <c r="B317" i="77"/>
  <c r="D317" i="77"/>
  <c r="E317" i="77"/>
  <c r="F317" i="77"/>
  <c r="G317" i="77"/>
  <c r="H317" i="77"/>
  <c r="J317" i="77"/>
  <c r="K317" i="77"/>
  <c r="M317" i="77"/>
  <c r="O317" i="77"/>
  <c r="P317" i="77"/>
  <c r="R317" i="77"/>
  <c r="S317" i="77"/>
  <c r="U317" i="77"/>
  <c r="W317" i="77"/>
  <c r="X317" i="77"/>
  <c r="Z317" i="77"/>
  <c r="AA317" i="77"/>
  <c r="AB317" i="77"/>
  <c r="AC317" i="77"/>
  <c r="AD317" i="77"/>
  <c r="AE317" i="77"/>
  <c r="AF317" i="77"/>
  <c r="AG317" i="77"/>
  <c r="AH317" i="77"/>
  <c r="AI317" i="77"/>
  <c r="AJ317" i="77"/>
  <c r="AK317" i="77"/>
  <c r="AL317" i="77"/>
  <c r="AM317" i="77"/>
  <c r="AN317" i="77"/>
  <c r="AO317" i="77"/>
  <c r="AP317" i="77"/>
  <c r="AQ317" i="77"/>
  <c r="AR317" i="77"/>
  <c r="AS317" i="77"/>
  <c r="AT317" i="77"/>
  <c r="AU317" i="77"/>
  <c r="AW317" i="77"/>
  <c r="AX317" i="77"/>
  <c r="AY317" i="77"/>
  <c r="BA317" i="77"/>
  <c r="A318" i="77"/>
  <c r="B318" i="77"/>
  <c r="D318" i="77"/>
  <c r="E318" i="77"/>
  <c r="F318" i="77"/>
  <c r="G318" i="77"/>
  <c r="H318" i="77"/>
  <c r="J318" i="77"/>
  <c r="K318" i="77"/>
  <c r="M318" i="77"/>
  <c r="O318" i="77"/>
  <c r="P318" i="77"/>
  <c r="R318" i="77"/>
  <c r="S318" i="77"/>
  <c r="U318" i="77"/>
  <c r="W318" i="77"/>
  <c r="X318" i="77"/>
  <c r="Z318" i="77"/>
  <c r="AA318" i="77"/>
  <c r="AB318" i="77"/>
  <c r="AC318" i="77"/>
  <c r="AD318" i="77"/>
  <c r="AE318" i="77"/>
  <c r="AF318" i="77"/>
  <c r="AG318" i="77"/>
  <c r="AH318" i="77"/>
  <c r="AI318" i="77"/>
  <c r="AJ318" i="77"/>
  <c r="AK318" i="77"/>
  <c r="AL318" i="77"/>
  <c r="AM318" i="77"/>
  <c r="AN318" i="77"/>
  <c r="AO318" i="77"/>
  <c r="AP318" i="77"/>
  <c r="AQ318" i="77"/>
  <c r="AR318" i="77"/>
  <c r="AS318" i="77"/>
  <c r="AT318" i="77"/>
  <c r="AU318" i="77"/>
  <c r="AW318" i="77"/>
  <c r="AX318" i="77"/>
  <c r="AY318" i="77"/>
  <c r="BA318" i="77"/>
  <c r="A319" i="77"/>
  <c r="B319" i="77"/>
  <c r="D319" i="77"/>
  <c r="E319" i="77"/>
  <c r="F319" i="77"/>
  <c r="G319" i="77"/>
  <c r="H319" i="77"/>
  <c r="J319" i="77"/>
  <c r="K319" i="77"/>
  <c r="M319" i="77"/>
  <c r="O319" i="77"/>
  <c r="P319" i="77"/>
  <c r="R319" i="77"/>
  <c r="S319" i="77"/>
  <c r="U319" i="77"/>
  <c r="W319" i="77"/>
  <c r="X319" i="77"/>
  <c r="Z319" i="77"/>
  <c r="AA319" i="77"/>
  <c r="AB319" i="77"/>
  <c r="AC319" i="77"/>
  <c r="AD319" i="77"/>
  <c r="AE319" i="77"/>
  <c r="AF319" i="77"/>
  <c r="AG319" i="77"/>
  <c r="AH319" i="77"/>
  <c r="AI319" i="77"/>
  <c r="AJ319" i="77"/>
  <c r="AK319" i="77"/>
  <c r="AL319" i="77"/>
  <c r="AM319" i="77"/>
  <c r="AN319" i="77"/>
  <c r="AO319" i="77"/>
  <c r="AP319" i="77"/>
  <c r="AQ319" i="77"/>
  <c r="AR319" i="77"/>
  <c r="AS319" i="77"/>
  <c r="AT319" i="77"/>
  <c r="AU319" i="77"/>
  <c r="AW319" i="77"/>
  <c r="AX319" i="77"/>
  <c r="AY319" i="77"/>
  <c r="BA319" i="77"/>
  <c r="A320" i="77"/>
  <c r="B320" i="77"/>
  <c r="D320" i="77"/>
  <c r="E320" i="77"/>
  <c r="F320" i="77"/>
  <c r="G320" i="77"/>
  <c r="H320" i="77"/>
  <c r="J320" i="77"/>
  <c r="K320" i="77"/>
  <c r="M320" i="77"/>
  <c r="O320" i="77"/>
  <c r="P320" i="77"/>
  <c r="R320" i="77"/>
  <c r="S320" i="77"/>
  <c r="U320" i="77"/>
  <c r="W320" i="77"/>
  <c r="X320" i="77"/>
  <c r="Z320" i="77"/>
  <c r="AA320" i="77"/>
  <c r="AB320" i="77"/>
  <c r="AC320" i="77"/>
  <c r="AD320" i="77"/>
  <c r="AE320" i="77"/>
  <c r="AF320" i="77"/>
  <c r="AG320" i="77"/>
  <c r="AH320" i="77"/>
  <c r="AI320" i="77"/>
  <c r="AJ320" i="77"/>
  <c r="AK320" i="77"/>
  <c r="AL320" i="77"/>
  <c r="AM320" i="77"/>
  <c r="AN320" i="77"/>
  <c r="AO320" i="77"/>
  <c r="AP320" i="77"/>
  <c r="AQ320" i="77"/>
  <c r="AR320" i="77"/>
  <c r="AS320" i="77"/>
  <c r="AT320" i="77"/>
  <c r="AU320" i="77"/>
  <c r="AW320" i="77"/>
  <c r="AX320" i="77"/>
  <c r="AY320" i="77"/>
  <c r="BA320" i="77"/>
  <c r="A321" i="77"/>
  <c r="B321" i="77"/>
  <c r="D321" i="77"/>
  <c r="E321" i="77"/>
  <c r="F321" i="77"/>
  <c r="G321" i="77"/>
  <c r="H321" i="77"/>
  <c r="J321" i="77"/>
  <c r="K321" i="77"/>
  <c r="M321" i="77"/>
  <c r="O321" i="77"/>
  <c r="P321" i="77"/>
  <c r="R321" i="77"/>
  <c r="S321" i="77"/>
  <c r="U321" i="77"/>
  <c r="W321" i="77"/>
  <c r="X321" i="77"/>
  <c r="Z321" i="77"/>
  <c r="AA321" i="77"/>
  <c r="AB321" i="77"/>
  <c r="AC321" i="77"/>
  <c r="AD321" i="77"/>
  <c r="AE321" i="77"/>
  <c r="AF321" i="77"/>
  <c r="AG321" i="77"/>
  <c r="AH321" i="77"/>
  <c r="AI321" i="77"/>
  <c r="AJ321" i="77"/>
  <c r="AK321" i="77"/>
  <c r="AL321" i="77"/>
  <c r="AM321" i="77"/>
  <c r="AN321" i="77"/>
  <c r="AO321" i="77"/>
  <c r="AP321" i="77"/>
  <c r="AQ321" i="77"/>
  <c r="AR321" i="77"/>
  <c r="AS321" i="77"/>
  <c r="AT321" i="77"/>
  <c r="AU321" i="77"/>
  <c r="AW321" i="77"/>
  <c r="AX321" i="77"/>
  <c r="AY321" i="77"/>
  <c r="BA321" i="77"/>
  <c r="A322" i="77"/>
  <c r="B322" i="77"/>
  <c r="D322" i="77"/>
  <c r="E322" i="77"/>
  <c r="F322" i="77"/>
  <c r="G322" i="77"/>
  <c r="H322" i="77"/>
  <c r="J322" i="77"/>
  <c r="K322" i="77"/>
  <c r="M322" i="77"/>
  <c r="O322" i="77"/>
  <c r="P322" i="77"/>
  <c r="R322" i="77"/>
  <c r="S322" i="77"/>
  <c r="U322" i="77"/>
  <c r="W322" i="77"/>
  <c r="X322" i="77"/>
  <c r="Z322" i="77"/>
  <c r="AA322" i="77"/>
  <c r="AB322" i="77"/>
  <c r="AC322" i="77"/>
  <c r="AD322" i="77"/>
  <c r="AE322" i="77"/>
  <c r="AF322" i="77"/>
  <c r="AG322" i="77"/>
  <c r="AH322" i="77"/>
  <c r="AI322" i="77"/>
  <c r="AJ322" i="77"/>
  <c r="AK322" i="77"/>
  <c r="AL322" i="77"/>
  <c r="AM322" i="77"/>
  <c r="AN322" i="77"/>
  <c r="AO322" i="77"/>
  <c r="AP322" i="77"/>
  <c r="AQ322" i="77"/>
  <c r="AR322" i="77"/>
  <c r="AS322" i="77"/>
  <c r="AT322" i="77"/>
  <c r="AU322" i="77"/>
  <c r="AW322" i="77"/>
  <c r="AX322" i="77"/>
  <c r="AY322" i="77"/>
  <c r="BA322" i="77"/>
  <c r="A323" i="77"/>
  <c r="B323" i="77"/>
  <c r="D323" i="77"/>
  <c r="E323" i="77"/>
  <c r="F323" i="77"/>
  <c r="G323" i="77"/>
  <c r="H323" i="77"/>
  <c r="J323" i="77"/>
  <c r="K323" i="77"/>
  <c r="M323" i="77"/>
  <c r="O323" i="77"/>
  <c r="P323" i="77"/>
  <c r="R323" i="77"/>
  <c r="S323" i="77"/>
  <c r="U323" i="77"/>
  <c r="W323" i="77"/>
  <c r="X323" i="77"/>
  <c r="Z323" i="77"/>
  <c r="AA323" i="77"/>
  <c r="AB323" i="77"/>
  <c r="AC323" i="77"/>
  <c r="AD323" i="77"/>
  <c r="AE323" i="77"/>
  <c r="AF323" i="77"/>
  <c r="AG323" i="77"/>
  <c r="AH323" i="77"/>
  <c r="AI323" i="77"/>
  <c r="AJ323" i="77"/>
  <c r="AK323" i="77"/>
  <c r="AL323" i="77"/>
  <c r="AM323" i="77"/>
  <c r="AN323" i="77"/>
  <c r="AO323" i="77"/>
  <c r="AP323" i="77"/>
  <c r="AQ323" i="77"/>
  <c r="AR323" i="77"/>
  <c r="AS323" i="77"/>
  <c r="AT323" i="77"/>
  <c r="AU323" i="77"/>
  <c r="AW323" i="77"/>
  <c r="AX323" i="77"/>
  <c r="AY323" i="77"/>
  <c r="BA323" i="77"/>
  <c r="A324" i="77"/>
  <c r="B324" i="77"/>
  <c r="D324" i="77"/>
  <c r="E324" i="77"/>
  <c r="F324" i="77"/>
  <c r="G324" i="77"/>
  <c r="H324" i="77"/>
  <c r="J324" i="77"/>
  <c r="K324" i="77"/>
  <c r="M324" i="77"/>
  <c r="O324" i="77"/>
  <c r="P324" i="77"/>
  <c r="R324" i="77"/>
  <c r="S324" i="77"/>
  <c r="U324" i="77"/>
  <c r="W324" i="77"/>
  <c r="X324" i="77"/>
  <c r="Z324" i="77"/>
  <c r="AA324" i="77"/>
  <c r="AB324" i="77"/>
  <c r="AC324" i="77"/>
  <c r="AD324" i="77"/>
  <c r="AE324" i="77"/>
  <c r="AF324" i="77"/>
  <c r="AG324" i="77"/>
  <c r="AH324" i="77"/>
  <c r="AI324" i="77"/>
  <c r="AJ324" i="77"/>
  <c r="AK324" i="77"/>
  <c r="AL324" i="77"/>
  <c r="AM324" i="77"/>
  <c r="AN324" i="77"/>
  <c r="AO324" i="77"/>
  <c r="AP324" i="77"/>
  <c r="AQ324" i="77"/>
  <c r="AR324" i="77"/>
  <c r="AS324" i="77"/>
  <c r="AT324" i="77"/>
  <c r="AU324" i="77"/>
  <c r="AW324" i="77"/>
  <c r="AX324" i="77"/>
  <c r="AY324" i="77"/>
  <c r="BA324" i="77"/>
  <c r="A325" i="77"/>
  <c r="B325" i="77"/>
  <c r="D325" i="77"/>
  <c r="E325" i="77"/>
  <c r="F325" i="77"/>
  <c r="G325" i="77"/>
  <c r="H325" i="77"/>
  <c r="J325" i="77"/>
  <c r="K325" i="77"/>
  <c r="M325" i="77"/>
  <c r="O325" i="77"/>
  <c r="P325" i="77"/>
  <c r="R325" i="77"/>
  <c r="S325" i="77"/>
  <c r="U325" i="77"/>
  <c r="W325" i="77"/>
  <c r="X325" i="77"/>
  <c r="Z325" i="77"/>
  <c r="AA325" i="77"/>
  <c r="AB325" i="77"/>
  <c r="AC325" i="77"/>
  <c r="AD325" i="77"/>
  <c r="AE325" i="77"/>
  <c r="AF325" i="77"/>
  <c r="AG325" i="77"/>
  <c r="AH325" i="77"/>
  <c r="AI325" i="77"/>
  <c r="AJ325" i="77"/>
  <c r="AK325" i="77"/>
  <c r="AL325" i="77"/>
  <c r="AM325" i="77"/>
  <c r="AN325" i="77"/>
  <c r="AO325" i="77"/>
  <c r="AP325" i="77"/>
  <c r="AQ325" i="77"/>
  <c r="AR325" i="77"/>
  <c r="AS325" i="77"/>
  <c r="AT325" i="77"/>
  <c r="AU325" i="77"/>
  <c r="AW325" i="77"/>
  <c r="AX325" i="77"/>
  <c r="AY325" i="77"/>
  <c r="BA325" i="77"/>
  <c r="A326" i="77"/>
  <c r="B326" i="77"/>
  <c r="D326" i="77"/>
  <c r="E326" i="77"/>
  <c r="F326" i="77"/>
  <c r="G326" i="77"/>
  <c r="H326" i="77"/>
  <c r="J326" i="77"/>
  <c r="K326" i="77"/>
  <c r="M326" i="77"/>
  <c r="O326" i="77"/>
  <c r="P326" i="77"/>
  <c r="R326" i="77"/>
  <c r="S326" i="77"/>
  <c r="U326" i="77"/>
  <c r="W326" i="77"/>
  <c r="X326" i="77"/>
  <c r="Z326" i="77"/>
  <c r="AA326" i="77"/>
  <c r="AB326" i="77"/>
  <c r="AC326" i="77"/>
  <c r="AD326" i="77"/>
  <c r="AE326" i="77"/>
  <c r="AF326" i="77"/>
  <c r="AG326" i="77"/>
  <c r="AH326" i="77"/>
  <c r="AI326" i="77"/>
  <c r="AJ326" i="77"/>
  <c r="AK326" i="77"/>
  <c r="AL326" i="77"/>
  <c r="AM326" i="77"/>
  <c r="AN326" i="77"/>
  <c r="AO326" i="77"/>
  <c r="AP326" i="77"/>
  <c r="AQ326" i="77"/>
  <c r="AR326" i="77"/>
  <c r="AS326" i="77"/>
  <c r="AT326" i="77"/>
  <c r="AU326" i="77"/>
  <c r="AW326" i="77"/>
  <c r="AX326" i="77"/>
  <c r="AY326" i="77"/>
  <c r="BA326" i="77"/>
  <c r="A327" i="77"/>
  <c r="B327" i="77"/>
  <c r="D327" i="77"/>
  <c r="E327" i="77"/>
  <c r="F327" i="77"/>
  <c r="G327" i="77"/>
  <c r="H327" i="77"/>
  <c r="J327" i="77"/>
  <c r="K327" i="77"/>
  <c r="M327" i="77"/>
  <c r="O327" i="77"/>
  <c r="P327" i="77"/>
  <c r="R327" i="77"/>
  <c r="S327" i="77"/>
  <c r="U327" i="77"/>
  <c r="W327" i="77"/>
  <c r="X327" i="77"/>
  <c r="Z327" i="77"/>
  <c r="AA327" i="77"/>
  <c r="AB327" i="77"/>
  <c r="AC327" i="77"/>
  <c r="AD327" i="77"/>
  <c r="AE327" i="77"/>
  <c r="AF327" i="77"/>
  <c r="AG327" i="77"/>
  <c r="AH327" i="77"/>
  <c r="AI327" i="77"/>
  <c r="AJ327" i="77"/>
  <c r="AK327" i="77"/>
  <c r="AL327" i="77"/>
  <c r="AM327" i="77"/>
  <c r="AN327" i="77"/>
  <c r="AO327" i="77"/>
  <c r="AP327" i="77"/>
  <c r="AQ327" i="77"/>
  <c r="AR327" i="77"/>
  <c r="AS327" i="77"/>
  <c r="AT327" i="77"/>
  <c r="AU327" i="77"/>
  <c r="AW327" i="77"/>
  <c r="AX327" i="77"/>
  <c r="AY327" i="77"/>
  <c r="BA327" i="77"/>
  <c r="A328" i="77"/>
  <c r="B328" i="77"/>
  <c r="D328" i="77"/>
  <c r="E328" i="77"/>
  <c r="F328" i="77"/>
  <c r="G328" i="77"/>
  <c r="H328" i="77"/>
  <c r="J328" i="77"/>
  <c r="K328" i="77"/>
  <c r="M328" i="77"/>
  <c r="O328" i="77"/>
  <c r="P328" i="77"/>
  <c r="R328" i="77"/>
  <c r="S328" i="77"/>
  <c r="U328" i="77"/>
  <c r="W328" i="77"/>
  <c r="X328" i="77"/>
  <c r="Z328" i="77"/>
  <c r="AA328" i="77"/>
  <c r="AB328" i="77"/>
  <c r="AC328" i="77"/>
  <c r="AD328" i="77"/>
  <c r="AE328" i="77"/>
  <c r="AF328" i="77"/>
  <c r="AG328" i="77"/>
  <c r="AH328" i="77"/>
  <c r="AI328" i="77"/>
  <c r="AJ328" i="77"/>
  <c r="AK328" i="77"/>
  <c r="AL328" i="77"/>
  <c r="AM328" i="77"/>
  <c r="AN328" i="77"/>
  <c r="AO328" i="77"/>
  <c r="AP328" i="77"/>
  <c r="AQ328" i="77"/>
  <c r="AR328" i="77"/>
  <c r="AS328" i="77"/>
  <c r="AT328" i="77"/>
  <c r="AU328" i="77"/>
  <c r="AW328" i="77"/>
  <c r="AX328" i="77"/>
  <c r="AY328" i="77"/>
  <c r="BA328" i="77"/>
  <c r="A329" i="77"/>
  <c r="B329" i="77"/>
  <c r="D329" i="77"/>
  <c r="E329" i="77"/>
  <c r="F329" i="77"/>
  <c r="G329" i="77"/>
  <c r="H329" i="77"/>
  <c r="J329" i="77"/>
  <c r="K329" i="77"/>
  <c r="M329" i="77"/>
  <c r="O329" i="77"/>
  <c r="P329" i="77"/>
  <c r="R329" i="77"/>
  <c r="S329" i="77"/>
  <c r="U329" i="77"/>
  <c r="W329" i="77"/>
  <c r="X329" i="77"/>
  <c r="Z329" i="77"/>
  <c r="AA329" i="77"/>
  <c r="AB329" i="77"/>
  <c r="AC329" i="77"/>
  <c r="AD329" i="77"/>
  <c r="AE329" i="77"/>
  <c r="AF329" i="77"/>
  <c r="AG329" i="77"/>
  <c r="AH329" i="77"/>
  <c r="AI329" i="77"/>
  <c r="AJ329" i="77"/>
  <c r="AK329" i="77"/>
  <c r="AL329" i="77"/>
  <c r="AM329" i="77"/>
  <c r="AN329" i="77"/>
  <c r="AO329" i="77"/>
  <c r="AP329" i="77"/>
  <c r="AQ329" i="77"/>
  <c r="AR329" i="77"/>
  <c r="AS329" i="77"/>
  <c r="AT329" i="77"/>
  <c r="AU329" i="77"/>
  <c r="AW329" i="77"/>
  <c r="AX329" i="77"/>
  <c r="AY329" i="77"/>
  <c r="BA329" i="77"/>
  <c r="A330" i="77"/>
  <c r="B330" i="77"/>
  <c r="D330" i="77"/>
  <c r="E330" i="77"/>
  <c r="F330" i="77"/>
  <c r="G330" i="77"/>
  <c r="H330" i="77"/>
  <c r="J330" i="77"/>
  <c r="K330" i="77"/>
  <c r="M330" i="77"/>
  <c r="O330" i="77"/>
  <c r="P330" i="77"/>
  <c r="R330" i="77"/>
  <c r="S330" i="77"/>
  <c r="U330" i="77"/>
  <c r="W330" i="77"/>
  <c r="X330" i="77"/>
  <c r="Z330" i="77"/>
  <c r="AA330" i="77"/>
  <c r="AB330" i="77"/>
  <c r="AC330" i="77"/>
  <c r="AD330" i="77"/>
  <c r="AE330" i="77"/>
  <c r="AF330" i="77"/>
  <c r="AG330" i="77"/>
  <c r="AH330" i="77"/>
  <c r="AI330" i="77"/>
  <c r="AJ330" i="77"/>
  <c r="AK330" i="77"/>
  <c r="AL330" i="77"/>
  <c r="AM330" i="77"/>
  <c r="AN330" i="77"/>
  <c r="AO330" i="77"/>
  <c r="AP330" i="77"/>
  <c r="AQ330" i="77"/>
  <c r="AR330" i="77"/>
  <c r="AS330" i="77"/>
  <c r="AT330" i="77"/>
  <c r="AU330" i="77"/>
  <c r="AW330" i="77"/>
  <c r="AX330" i="77"/>
  <c r="AY330" i="77"/>
  <c r="BA330" i="77"/>
  <c r="A331" i="77"/>
  <c r="B331" i="77"/>
  <c r="D331" i="77"/>
  <c r="E331" i="77"/>
  <c r="F331" i="77"/>
  <c r="G331" i="77"/>
  <c r="H331" i="77"/>
  <c r="J331" i="77"/>
  <c r="K331" i="77"/>
  <c r="M331" i="77"/>
  <c r="O331" i="77"/>
  <c r="P331" i="77"/>
  <c r="R331" i="77"/>
  <c r="S331" i="77"/>
  <c r="U331" i="77"/>
  <c r="W331" i="77"/>
  <c r="X331" i="77"/>
  <c r="Z331" i="77"/>
  <c r="AA331" i="77"/>
  <c r="AB331" i="77"/>
  <c r="AC331" i="77"/>
  <c r="AD331" i="77"/>
  <c r="AE331" i="77"/>
  <c r="AF331" i="77"/>
  <c r="AG331" i="77"/>
  <c r="AH331" i="77"/>
  <c r="AI331" i="77"/>
  <c r="AJ331" i="77"/>
  <c r="AK331" i="77"/>
  <c r="AL331" i="77"/>
  <c r="AM331" i="77"/>
  <c r="AN331" i="77"/>
  <c r="AO331" i="77"/>
  <c r="AP331" i="77"/>
  <c r="AQ331" i="77"/>
  <c r="AR331" i="77"/>
  <c r="AS331" i="77"/>
  <c r="AT331" i="77"/>
  <c r="AU331" i="77"/>
  <c r="AW331" i="77"/>
  <c r="AX331" i="77"/>
  <c r="AY331" i="77"/>
  <c r="BA331" i="77"/>
  <c r="A332" i="77"/>
  <c r="B332" i="77"/>
  <c r="D332" i="77"/>
  <c r="E332" i="77"/>
  <c r="F332" i="77"/>
  <c r="G332" i="77"/>
  <c r="H332" i="77"/>
  <c r="J332" i="77"/>
  <c r="K332" i="77"/>
  <c r="M332" i="77"/>
  <c r="O332" i="77"/>
  <c r="P332" i="77"/>
  <c r="R332" i="77"/>
  <c r="S332" i="77"/>
  <c r="U332" i="77"/>
  <c r="W332" i="77"/>
  <c r="X332" i="77"/>
  <c r="Z332" i="77"/>
  <c r="AA332" i="77"/>
  <c r="AB332" i="77"/>
  <c r="AC332" i="77"/>
  <c r="AD332" i="77"/>
  <c r="AE332" i="77"/>
  <c r="AF332" i="77"/>
  <c r="AG332" i="77"/>
  <c r="AH332" i="77"/>
  <c r="AI332" i="77"/>
  <c r="AJ332" i="77"/>
  <c r="AK332" i="77"/>
  <c r="AL332" i="77"/>
  <c r="AM332" i="77"/>
  <c r="AN332" i="77"/>
  <c r="AO332" i="77"/>
  <c r="AP332" i="77"/>
  <c r="AQ332" i="77"/>
  <c r="AR332" i="77"/>
  <c r="AS332" i="77"/>
  <c r="AT332" i="77"/>
  <c r="AU332" i="77"/>
  <c r="AW332" i="77"/>
  <c r="AX332" i="77"/>
  <c r="AY332" i="77"/>
  <c r="BA332" i="77"/>
  <c r="A333" i="77"/>
  <c r="B333" i="77"/>
  <c r="D333" i="77"/>
  <c r="E333" i="77"/>
  <c r="F333" i="77"/>
  <c r="G333" i="77"/>
  <c r="H333" i="77"/>
  <c r="J333" i="77"/>
  <c r="K333" i="77"/>
  <c r="M333" i="77"/>
  <c r="O333" i="77"/>
  <c r="P333" i="77"/>
  <c r="R333" i="77"/>
  <c r="S333" i="77"/>
  <c r="U333" i="77"/>
  <c r="W333" i="77"/>
  <c r="X333" i="77"/>
  <c r="Z333" i="77"/>
  <c r="AA333" i="77"/>
  <c r="AB333" i="77"/>
  <c r="AC333" i="77"/>
  <c r="AD333" i="77"/>
  <c r="AE333" i="77"/>
  <c r="AF333" i="77"/>
  <c r="AG333" i="77"/>
  <c r="AH333" i="77"/>
  <c r="AI333" i="77"/>
  <c r="AJ333" i="77"/>
  <c r="AK333" i="77"/>
  <c r="AL333" i="77"/>
  <c r="AM333" i="77"/>
  <c r="AN333" i="77"/>
  <c r="AO333" i="77"/>
  <c r="AP333" i="77"/>
  <c r="AQ333" i="77"/>
  <c r="AR333" i="77"/>
  <c r="AS333" i="77"/>
  <c r="AT333" i="77"/>
  <c r="AU333" i="77"/>
  <c r="AW333" i="77"/>
  <c r="AX333" i="77"/>
  <c r="AY333" i="77"/>
  <c r="BA333" i="77"/>
  <c r="A334" i="77"/>
  <c r="B334" i="77"/>
  <c r="D334" i="77"/>
  <c r="E334" i="77"/>
  <c r="F334" i="77"/>
  <c r="G334" i="77"/>
  <c r="H334" i="77"/>
  <c r="J334" i="77"/>
  <c r="K334" i="77"/>
  <c r="M334" i="77"/>
  <c r="O334" i="77"/>
  <c r="P334" i="77"/>
  <c r="R334" i="77"/>
  <c r="S334" i="77"/>
  <c r="U334" i="77"/>
  <c r="W334" i="77"/>
  <c r="X334" i="77"/>
  <c r="Z334" i="77"/>
  <c r="AA334" i="77"/>
  <c r="AB334" i="77"/>
  <c r="AC334" i="77"/>
  <c r="AD334" i="77"/>
  <c r="AE334" i="77"/>
  <c r="AF334" i="77"/>
  <c r="AG334" i="77"/>
  <c r="AH334" i="77"/>
  <c r="AI334" i="77"/>
  <c r="AJ334" i="77"/>
  <c r="AK334" i="77"/>
  <c r="AL334" i="77"/>
  <c r="AM334" i="77"/>
  <c r="AN334" i="77"/>
  <c r="AO334" i="77"/>
  <c r="AP334" i="77"/>
  <c r="AQ334" i="77"/>
  <c r="AR334" i="77"/>
  <c r="AS334" i="77"/>
  <c r="AT334" i="77"/>
  <c r="AU334" i="77"/>
  <c r="AW334" i="77"/>
  <c r="AX334" i="77"/>
  <c r="AY334" i="77"/>
  <c r="BA334" i="77"/>
  <c r="A335" i="77"/>
  <c r="B335" i="77"/>
  <c r="D335" i="77"/>
  <c r="E335" i="77"/>
  <c r="F335" i="77"/>
  <c r="G335" i="77"/>
  <c r="H335" i="77"/>
  <c r="J335" i="77"/>
  <c r="K335" i="77"/>
  <c r="M335" i="77"/>
  <c r="O335" i="77"/>
  <c r="P335" i="77"/>
  <c r="R335" i="77"/>
  <c r="S335" i="77"/>
  <c r="U335" i="77"/>
  <c r="W335" i="77"/>
  <c r="X335" i="77"/>
  <c r="Z335" i="77"/>
  <c r="AA335" i="77"/>
  <c r="AB335" i="77"/>
  <c r="AC335" i="77"/>
  <c r="AD335" i="77"/>
  <c r="AE335" i="77"/>
  <c r="AF335" i="77"/>
  <c r="AG335" i="77"/>
  <c r="AH335" i="77"/>
  <c r="AI335" i="77"/>
  <c r="AJ335" i="77"/>
  <c r="AK335" i="77"/>
  <c r="AL335" i="77"/>
  <c r="AM335" i="77"/>
  <c r="AN335" i="77"/>
  <c r="AO335" i="77"/>
  <c r="AP335" i="77"/>
  <c r="AQ335" i="77"/>
  <c r="AR335" i="77"/>
  <c r="AS335" i="77"/>
  <c r="AT335" i="77"/>
  <c r="AU335" i="77"/>
  <c r="AW335" i="77"/>
  <c r="AX335" i="77"/>
  <c r="AY335" i="77"/>
  <c r="BA335" i="77"/>
  <c r="A336" i="77"/>
  <c r="B336" i="77"/>
  <c r="D336" i="77"/>
  <c r="E336" i="77"/>
  <c r="F336" i="77"/>
  <c r="G336" i="77"/>
  <c r="H336" i="77"/>
  <c r="J336" i="77"/>
  <c r="K336" i="77"/>
  <c r="M336" i="77"/>
  <c r="O336" i="77"/>
  <c r="P336" i="77"/>
  <c r="R336" i="77"/>
  <c r="S336" i="77"/>
  <c r="U336" i="77"/>
  <c r="W336" i="77"/>
  <c r="X336" i="77"/>
  <c r="Z336" i="77"/>
  <c r="AA336" i="77"/>
  <c r="AB336" i="77"/>
  <c r="AC336" i="77"/>
  <c r="AD336" i="77"/>
  <c r="AE336" i="77"/>
  <c r="AF336" i="77"/>
  <c r="AG336" i="77"/>
  <c r="AH336" i="77"/>
  <c r="AI336" i="77"/>
  <c r="AJ336" i="77"/>
  <c r="AK336" i="77"/>
  <c r="AL336" i="77"/>
  <c r="AM336" i="77"/>
  <c r="AN336" i="77"/>
  <c r="AO336" i="77"/>
  <c r="AP336" i="77"/>
  <c r="AQ336" i="77"/>
  <c r="AR336" i="77"/>
  <c r="AS336" i="77"/>
  <c r="AT336" i="77"/>
  <c r="AU336" i="77"/>
  <c r="AW336" i="77"/>
  <c r="AX336" i="77"/>
  <c r="AY336" i="77"/>
  <c r="BA336" i="77"/>
  <c r="A337" i="77"/>
  <c r="B337" i="77"/>
  <c r="D337" i="77"/>
  <c r="E337" i="77"/>
  <c r="F337" i="77"/>
  <c r="G337" i="77"/>
  <c r="H337" i="77"/>
  <c r="J337" i="77"/>
  <c r="K337" i="77"/>
  <c r="M337" i="77"/>
  <c r="O337" i="77"/>
  <c r="P337" i="77"/>
  <c r="R337" i="77"/>
  <c r="S337" i="77"/>
  <c r="U337" i="77"/>
  <c r="W337" i="77"/>
  <c r="X337" i="77"/>
  <c r="Z337" i="77"/>
  <c r="AA337" i="77"/>
  <c r="AB337" i="77"/>
  <c r="AC337" i="77"/>
  <c r="AD337" i="77"/>
  <c r="AE337" i="77"/>
  <c r="AF337" i="77"/>
  <c r="AG337" i="77"/>
  <c r="AH337" i="77"/>
  <c r="AI337" i="77"/>
  <c r="AJ337" i="77"/>
  <c r="AK337" i="77"/>
  <c r="AL337" i="77"/>
  <c r="AM337" i="77"/>
  <c r="AN337" i="77"/>
  <c r="AO337" i="77"/>
  <c r="AP337" i="77"/>
  <c r="AQ337" i="77"/>
  <c r="AR337" i="77"/>
  <c r="AS337" i="77"/>
  <c r="AT337" i="77"/>
  <c r="AU337" i="77"/>
  <c r="AW337" i="77"/>
  <c r="AX337" i="77"/>
  <c r="AY337" i="77"/>
  <c r="BA337" i="77"/>
  <c r="A338" i="77"/>
  <c r="B338" i="77"/>
  <c r="D338" i="77"/>
  <c r="E338" i="77"/>
  <c r="F338" i="77"/>
  <c r="G338" i="77"/>
  <c r="H338" i="77"/>
  <c r="J338" i="77"/>
  <c r="K338" i="77"/>
  <c r="M338" i="77"/>
  <c r="O338" i="77"/>
  <c r="P338" i="77"/>
  <c r="R338" i="77"/>
  <c r="S338" i="77"/>
  <c r="U338" i="77"/>
  <c r="W338" i="77"/>
  <c r="X338" i="77"/>
  <c r="Z338" i="77"/>
  <c r="AA338" i="77"/>
  <c r="AB338" i="77"/>
  <c r="AC338" i="77"/>
  <c r="AD338" i="77"/>
  <c r="AE338" i="77"/>
  <c r="AF338" i="77"/>
  <c r="AG338" i="77"/>
  <c r="AH338" i="77"/>
  <c r="AI338" i="77"/>
  <c r="AJ338" i="77"/>
  <c r="AK338" i="77"/>
  <c r="AL338" i="77"/>
  <c r="AM338" i="77"/>
  <c r="AN338" i="77"/>
  <c r="AO338" i="77"/>
  <c r="AP338" i="77"/>
  <c r="AQ338" i="77"/>
  <c r="AR338" i="77"/>
  <c r="AS338" i="77"/>
  <c r="AT338" i="77"/>
  <c r="AU338" i="77"/>
  <c r="AW338" i="77"/>
  <c r="AX338" i="77"/>
  <c r="AY338" i="77"/>
  <c r="BA338" i="77"/>
  <c r="A339" i="77"/>
  <c r="B339" i="77"/>
  <c r="D339" i="77"/>
  <c r="E339" i="77"/>
  <c r="F339" i="77"/>
  <c r="G339" i="77"/>
  <c r="H339" i="77"/>
  <c r="J339" i="77"/>
  <c r="K339" i="77"/>
  <c r="M339" i="77"/>
  <c r="O339" i="77"/>
  <c r="P339" i="77"/>
  <c r="R339" i="77"/>
  <c r="S339" i="77"/>
  <c r="U339" i="77"/>
  <c r="W339" i="77"/>
  <c r="X339" i="77"/>
  <c r="Z339" i="77"/>
  <c r="AA339" i="77"/>
  <c r="AB339" i="77"/>
  <c r="AC339" i="77"/>
  <c r="AD339" i="77"/>
  <c r="AE339" i="77"/>
  <c r="AF339" i="77"/>
  <c r="AG339" i="77"/>
  <c r="AH339" i="77"/>
  <c r="AI339" i="77"/>
  <c r="AJ339" i="77"/>
  <c r="AK339" i="77"/>
  <c r="AL339" i="77"/>
  <c r="AM339" i="77"/>
  <c r="AN339" i="77"/>
  <c r="AO339" i="77"/>
  <c r="AP339" i="77"/>
  <c r="AQ339" i="77"/>
  <c r="AR339" i="77"/>
  <c r="AS339" i="77"/>
  <c r="AT339" i="77"/>
  <c r="AU339" i="77"/>
  <c r="AW339" i="77"/>
  <c r="AX339" i="77"/>
  <c r="AY339" i="77"/>
  <c r="BA339" i="77"/>
  <c r="A340" i="77"/>
  <c r="B340" i="77"/>
  <c r="D340" i="77"/>
  <c r="E340" i="77"/>
  <c r="F340" i="77"/>
  <c r="G340" i="77"/>
  <c r="H340" i="77"/>
  <c r="J340" i="77"/>
  <c r="K340" i="77"/>
  <c r="M340" i="77"/>
  <c r="O340" i="77"/>
  <c r="P340" i="77"/>
  <c r="R340" i="77"/>
  <c r="S340" i="77"/>
  <c r="U340" i="77"/>
  <c r="W340" i="77"/>
  <c r="X340" i="77"/>
  <c r="Z340" i="77"/>
  <c r="AA340" i="77"/>
  <c r="AB340" i="77"/>
  <c r="AC340" i="77"/>
  <c r="AD340" i="77"/>
  <c r="AE340" i="77"/>
  <c r="AF340" i="77"/>
  <c r="AG340" i="77"/>
  <c r="AH340" i="77"/>
  <c r="AI340" i="77"/>
  <c r="AJ340" i="77"/>
  <c r="AK340" i="77"/>
  <c r="AL340" i="77"/>
  <c r="AM340" i="77"/>
  <c r="AN340" i="77"/>
  <c r="AO340" i="77"/>
  <c r="AP340" i="77"/>
  <c r="AQ340" i="77"/>
  <c r="AR340" i="77"/>
  <c r="AS340" i="77"/>
  <c r="AT340" i="77"/>
  <c r="AU340" i="77"/>
  <c r="AW340" i="77"/>
  <c r="AX340" i="77"/>
  <c r="AY340" i="77"/>
  <c r="BA340" i="77"/>
  <c r="A341" i="77"/>
  <c r="B341" i="77"/>
  <c r="D341" i="77"/>
  <c r="E341" i="77"/>
  <c r="F341" i="77"/>
  <c r="G341" i="77"/>
  <c r="H341" i="77"/>
  <c r="J341" i="77"/>
  <c r="K341" i="77"/>
  <c r="M341" i="77"/>
  <c r="O341" i="77"/>
  <c r="P341" i="77"/>
  <c r="R341" i="77"/>
  <c r="S341" i="77"/>
  <c r="U341" i="77"/>
  <c r="W341" i="77"/>
  <c r="X341" i="77"/>
  <c r="Z341" i="77"/>
  <c r="AA341" i="77"/>
  <c r="AB341" i="77"/>
  <c r="AC341" i="77"/>
  <c r="AD341" i="77"/>
  <c r="AE341" i="77"/>
  <c r="AF341" i="77"/>
  <c r="AG341" i="77"/>
  <c r="AH341" i="77"/>
  <c r="AI341" i="77"/>
  <c r="AJ341" i="77"/>
  <c r="AK341" i="77"/>
  <c r="AL341" i="77"/>
  <c r="AM341" i="77"/>
  <c r="AN341" i="77"/>
  <c r="AO341" i="77"/>
  <c r="AP341" i="77"/>
  <c r="AQ341" i="77"/>
  <c r="AR341" i="77"/>
  <c r="AS341" i="77"/>
  <c r="AT341" i="77"/>
  <c r="AU341" i="77"/>
  <c r="AW341" i="77"/>
  <c r="AX341" i="77"/>
  <c r="AY341" i="77"/>
  <c r="BA341" i="77"/>
  <c r="A342" i="77"/>
  <c r="B342" i="77"/>
  <c r="D342" i="77"/>
  <c r="E342" i="77"/>
  <c r="F342" i="77"/>
  <c r="G342" i="77"/>
  <c r="H342" i="77"/>
  <c r="J342" i="77"/>
  <c r="K342" i="77"/>
  <c r="M342" i="77"/>
  <c r="O342" i="77"/>
  <c r="P342" i="77"/>
  <c r="R342" i="77"/>
  <c r="S342" i="77"/>
  <c r="U342" i="77"/>
  <c r="W342" i="77"/>
  <c r="X342" i="77"/>
  <c r="Z342" i="77"/>
  <c r="AA342" i="77"/>
  <c r="AB342" i="77"/>
  <c r="AC342" i="77"/>
  <c r="AD342" i="77"/>
  <c r="AE342" i="77"/>
  <c r="AF342" i="77"/>
  <c r="AG342" i="77"/>
  <c r="AH342" i="77"/>
  <c r="AI342" i="77"/>
  <c r="AJ342" i="77"/>
  <c r="AK342" i="77"/>
  <c r="AL342" i="77"/>
  <c r="AM342" i="77"/>
  <c r="AN342" i="77"/>
  <c r="AO342" i="77"/>
  <c r="AP342" i="77"/>
  <c r="AQ342" i="77"/>
  <c r="AR342" i="77"/>
  <c r="AS342" i="77"/>
  <c r="AT342" i="77"/>
  <c r="AU342" i="77"/>
  <c r="AW342" i="77"/>
  <c r="AX342" i="77"/>
  <c r="AY342" i="77"/>
  <c r="BA342" i="77"/>
  <c r="A343" i="77"/>
  <c r="B343" i="77"/>
  <c r="D343" i="77"/>
  <c r="E343" i="77"/>
  <c r="F343" i="77"/>
  <c r="G343" i="77"/>
  <c r="H343" i="77"/>
  <c r="J343" i="77"/>
  <c r="K343" i="77"/>
  <c r="M343" i="77"/>
  <c r="O343" i="77"/>
  <c r="P343" i="77"/>
  <c r="R343" i="77"/>
  <c r="S343" i="77"/>
  <c r="U343" i="77"/>
  <c r="W343" i="77"/>
  <c r="X343" i="77"/>
  <c r="Z343" i="77"/>
  <c r="AA343" i="77"/>
  <c r="AB343" i="77"/>
  <c r="AC343" i="77"/>
  <c r="AD343" i="77"/>
  <c r="AE343" i="77"/>
  <c r="AF343" i="77"/>
  <c r="AG343" i="77"/>
  <c r="AH343" i="77"/>
  <c r="AI343" i="77"/>
  <c r="AJ343" i="77"/>
  <c r="AK343" i="77"/>
  <c r="AL343" i="77"/>
  <c r="AM343" i="77"/>
  <c r="AN343" i="77"/>
  <c r="AO343" i="77"/>
  <c r="AP343" i="77"/>
  <c r="AQ343" i="77"/>
  <c r="AR343" i="77"/>
  <c r="AS343" i="77"/>
  <c r="AT343" i="77"/>
  <c r="AU343" i="77"/>
  <c r="AW343" i="77"/>
  <c r="AX343" i="77"/>
  <c r="AY343" i="77"/>
  <c r="BA343" i="77"/>
  <c r="A344" i="77"/>
  <c r="B344" i="77"/>
  <c r="D344" i="77"/>
  <c r="E344" i="77"/>
  <c r="F344" i="77"/>
  <c r="G344" i="77"/>
  <c r="H344" i="77"/>
  <c r="J344" i="77"/>
  <c r="K344" i="77"/>
  <c r="M344" i="77"/>
  <c r="O344" i="77"/>
  <c r="P344" i="77"/>
  <c r="R344" i="77"/>
  <c r="S344" i="77"/>
  <c r="U344" i="77"/>
  <c r="W344" i="77"/>
  <c r="X344" i="77"/>
  <c r="Z344" i="77"/>
  <c r="AA344" i="77"/>
  <c r="AB344" i="77"/>
  <c r="AC344" i="77"/>
  <c r="AD344" i="77"/>
  <c r="AE344" i="77"/>
  <c r="AF344" i="77"/>
  <c r="AG344" i="77"/>
  <c r="AH344" i="77"/>
  <c r="AI344" i="77"/>
  <c r="AJ344" i="77"/>
  <c r="AK344" i="77"/>
  <c r="AL344" i="77"/>
  <c r="AM344" i="77"/>
  <c r="AN344" i="77"/>
  <c r="AO344" i="77"/>
  <c r="AP344" i="77"/>
  <c r="AQ344" i="77"/>
  <c r="AR344" i="77"/>
  <c r="AS344" i="77"/>
  <c r="AT344" i="77"/>
  <c r="AU344" i="77"/>
  <c r="AW344" i="77"/>
  <c r="AX344" i="77"/>
  <c r="AY344" i="77"/>
  <c r="BA344" i="77"/>
  <c r="A345" i="77"/>
  <c r="B345" i="77"/>
  <c r="D345" i="77"/>
  <c r="E345" i="77"/>
  <c r="F345" i="77"/>
  <c r="G345" i="77"/>
  <c r="H345" i="77"/>
  <c r="J345" i="77"/>
  <c r="K345" i="77"/>
  <c r="M345" i="77"/>
  <c r="O345" i="77"/>
  <c r="P345" i="77"/>
  <c r="R345" i="77"/>
  <c r="S345" i="77"/>
  <c r="U345" i="77"/>
  <c r="W345" i="77"/>
  <c r="X345" i="77"/>
  <c r="Z345" i="77"/>
  <c r="AA345" i="77"/>
  <c r="AB345" i="77"/>
  <c r="AC345" i="77"/>
  <c r="AD345" i="77"/>
  <c r="AE345" i="77"/>
  <c r="AF345" i="77"/>
  <c r="AG345" i="77"/>
  <c r="AH345" i="77"/>
  <c r="AI345" i="77"/>
  <c r="AJ345" i="77"/>
  <c r="AK345" i="77"/>
  <c r="AL345" i="77"/>
  <c r="AM345" i="77"/>
  <c r="AN345" i="77"/>
  <c r="AO345" i="77"/>
  <c r="AP345" i="77"/>
  <c r="AQ345" i="77"/>
  <c r="AR345" i="77"/>
  <c r="AS345" i="77"/>
  <c r="AT345" i="77"/>
  <c r="AU345" i="77"/>
  <c r="AW345" i="77"/>
  <c r="AX345" i="77"/>
  <c r="AY345" i="77"/>
  <c r="BA345" i="77"/>
  <c r="A346" i="77"/>
  <c r="B346" i="77"/>
  <c r="D346" i="77"/>
  <c r="E346" i="77"/>
  <c r="F346" i="77"/>
  <c r="G346" i="77"/>
  <c r="H346" i="77"/>
  <c r="J346" i="77"/>
  <c r="K346" i="77"/>
  <c r="M346" i="77"/>
  <c r="O346" i="77"/>
  <c r="P346" i="77"/>
  <c r="R346" i="77"/>
  <c r="S346" i="77"/>
  <c r="U346" i="77"/>
  <c r="W346" i="77"/>
  <c r="X346" i="77"/>
  <c r="Z346" i="77"/>
  <c r="AA346" i="77"/>
  <c r="AB346" i="77"/>
  <c r="AC346" i="77"/>
  <c r="AD346" i="77"/>
  <c r="AE346" i="77"/>
  <c r="AF346" i="77"/>
  <c r="AG346" i="77"/>
  <c r="AH346" i="77"/>
  <c r="AI346" i="77"/>
  <c r="AJ346" i="77"/>
  <c r="AK346" i="77"/>
  <c r="AL346" i="77"/>
  <c r="AM346" i="77"/>
  <c r="AN346" i="77"/>
  <c r="AO346" i="77"/>
  <c r="AP346" i="77"/>
  <c r="AQ346" i="77"/>
  <c r="AR346" i="77"/>
  <c r="AS346" i="77"/>
  <c r="AT346" i="77"/>
  <c r="AU346" i="77"/>
  <c r="AW346" i="77"/>
  <c r="AX346" i="77"/>
  <c r="AY346" i="77"/>
  <c r="BA346" i="77"/>
  <c r="A347" i="77"/>
  <c r="B347" i="77"/>
  <c r="D347" i="77"/>
  <c r="E347" i="77"/>
  <c r="F347" i="77"/>
  <c r="G347" i="77"/>
  <c r="H347" i="77"/>
  <c r="J347" i="77"/>
  <c r="K347" i="77"/>
  <c r="M347" i="77"/>
  <c r="O347" i="77"/>
  <c r="P347" i="77"/>
  <c r="R347" i="77"/>
  <c r="S347" i="77"/>
  <c r="U347" i="77"/>
  <c r="W347" i="77"/>
  <c r="X347" i="77"/>
  <c r="Z347" i="77"/>
  <c r="AA347" i="77"/>
  <c r="AB347" i="77"/>
  <c r="AC347" i="77"/>
  <c r="AD347" i="77"/>
  <c r="AE347" i="77"/>
  <c r="AF347" i="77"/>
  <c r="AG347" i="77"/>
  <c r="AH347" i="77"/>
  <c r="AI347" i="77"/>
  <c r="AJ347" i="77"/>
  <c r="AK347" i="77"/>
  <c r="AL347" i="77"/>
  <c r="AM347" i="77"/>
  <c r="AN347" i="77"/>
  <c r="AO347" i="77"/>
  <c r="AP347" i="77"/>
  <c r="AQ347" i="77"/>
  <c r="AR347" i="77"/>
  <c r="AS347" i="77"/>
  <c r="AT347" i="77"/>
  <c r="AU347" i="77"/>
  <c r="AW347" i="77"/>
  <c r="AX347" i="77"/>
  <c r="AY347" i="77"/>
  <c r="BA347" i="77"/>
  <c r="A348" i="77"/>
  <c r="B348" i="77"/>
  <c r="D348" i="77"/>
  <c r="E348" i="77"/>
  <c r="F348" i="77"/>
  <c r="G348" i="77"/>
  <c r="H348" i="77"/>
  <c r="J348" i="77"/>
  <c r="K348" i="77"/>
  <c r="M348" i="77"/>
  <c r="O348" i="77"/>
  <c r="P348" i="77"/>
  <c r="R348" i="77"/>
  <c r="S348" i="77"/>
  <c r="U348" i="77"/>
  <c r="W348" i="77"/>
  <c r="X348" i="77"/>
  <c r="Z348" i="77"/>
  <c r="AA348" i="77"/>
  <c r="AB348" i="77"/>
  <c r="AC348" i="77"/>
  <c r="AD348" i="77"/>
  <c r="AE348" i="77"/>
  <c r="AF348" i="77"/>
  <c r="AG348" i="77"/>
  <c r="AH348" i="77"/>
  <c r="AI348" i="77"/>
  <c r="AJ348" i="77"/>
  <c r="AK348" i="77"/>
  <c r="AL348" i="77"/>
  <c r="AM348" i="77"/>
  <c r="AN348" i="77"/>
  <c r="AO348" i="77"/>
  <c r="AP348" i="77"/>
  <c r="AQ348" i="77"/>
  <c r="AR348" i="77"/>
  <c r="AS348" i="77"/>
  <c r="AT348" i="77"/>
  <c r="AU348" i="77"/>
  <c r="AW348" i="77"/>
  <c r="AX348" i="77"/>
  <c r="AY348" i="77"/>
  <c r="BA348" i="77"/>
  <c r="A349" i="77"/>
  <c r="B349" i="77"/>
  <c r="D349" i="77"/>
  <c r="E349" i="77"/>
  <c r="F349" i="77"/>
  <c r="G349" i="77"/>
  <c r="H349" i="77"/>
  <c r="J349" i="77"/>
  <c r="K349" i="77"/>
  <c r="M349" i="77"/>
  <c r="O349" i="77"/>
  <c r="P349" i="77"/>
  <c r="R349" i="77"/>
  <c r="S349" i="77"/>
  <c r="U349" i="77"/>
  <c r="W349" i="77"/>
  <c r="X349" i="77"/>
  <c r="Z349" i="77"/>
  <c r="AA349" i="77"/>
  <c r="AB349" i="77"/>
  <c r="AC349" i="77"/>
  <c r="AD349" i="77"/>
  <c r="AE349" i="77"/>
  <c r="AF349" i="77"/>
  <c r="AG349" i="77"/>
  <c r="AH349" i="77"/>
  <c r="AI349" i="77"/>
  <c r="AJ349" i="77"/>
  <c r="AK349" i="77"/>
  <c r="AL349" i="77"/>
  <c r="AM349" i="77"/>
  <c r="AN349" i="77"/>
  <c r="AO349" i="77"/>
  <c r="AP349" i="77"/>
  <c r="AQ349" i="77"/>
  <c r="AR349" i="77"/>
  <c r="AS349" i="77"/>
  <c r="AT349" i="77"/>
  <c r="AU349" i="77"/>
  <c r="AW349" i="77"/>
  <c r="AX349" i="77"/>
  <c r="AY349" i="77"/>
  <c r="BA349" i="77"/>
  <c r="A350" i="77"/>
  <c r="B350" i="77"/>
  <c r="D350" i="77"/>
  <c r="E350" i="77"/>
  <c r="F350" i="77"/>
  <c r="G350" i="77"/>
  <c r="H350" i="77"/>
  <c r="J350" i="77"/>
  <c r="K350" i="77"/>
  <c r="M350" i="77"/>
  <c r="O350" i="77"/>
  <c r="P350" i="77"/>
  <c r="R350" i="77"/>
  <c r="S350" i="77"/>
  <c r="U350" i="77"/>
  <c r="W350" i="77"/>
  <c r="X350" i="77"/>
  <c r="Z350" i="77"/>
  <c r="AA350" i="77"/>
  <c r="AB350" i="77"/>
  <c r="AC350" i="77"/>
  <c r="AD350" i="77"/>
  <c r="AE350" i="77"/>
  <c r="AF350" i="77"/>
  <c r="AG350" i="77"/>
  <c r="AH350" i="77"/>
  <c r="AI350" i="77"/>
  <c r="AJ350" i="77"/>
  <c r="AK350" i="77"/>
  <c r="AL350" i="77"/>
  <c r="AM350" i="77"/>
  <c r="AN350" i="77"/>
  <c r="AO350" i="77"/>
  <c r="AP350" i="77"/>
  <c r="AQ350" i="77"/>
  <c r="AR350" i="77"/>
  <c r="AS350" i="77"/>
  <c r="AT350" i="77"/>
  <c r="AU350" i="77"/>
  <c r="AW350" i="77"/>
  <c r="AX350" i="77"/>
  <c r="AY350" i="77"/>
  <c r="BA350" i="77"/>
  <c r="A351" i="77"/>
  <c r="B351" i="77"/>
  <c r="D351" i="77"/>
  <c r="E351" i="77"/>
  <c r="F351" i="77"/>
  <c r="G351" i="77"/>
  <c r="H351" i="77"/>
  <c r="J351" i="77"/>
  <c r="K351" i="77"/>
  <c r="M351" i="77"/>
  <c r="O351" i="77"/>
  <c r="P351" i="77"/>
  <c r="R351" i="77"/>
  <c r="S351" i="77"/>
  <c r="U351" i="77"/>
  <c r="W351" i="77"/>
  <c r="X351" i="77"/>
  <c r="Z351" i="77"/>
  <c r="AA351" i="77"/>
  <c r="AB351" i="77"/>
  <c r="AC351" i="77"/>
  <c r="AD351" i="77"/>
  <c r="AE351" i="77"/>
  <c r="AF351" i="77"/>
  <c r="AG351" i="77"/>
  <c r="AH351" i="77"/>
  <c r="AI351" i="77"/>
  <c r="AJ351" i="77"/>
  <c r="AK351" i="77"/>
  <c r="AL351" i="77"/>
  <c r="AM351" i="77"/>
  <c r="AN351" i="77"/>
  <c r="AO351" i="77"/>
  <c r="AP351" i="77"/>
  <c r="AQ351" i="77"/>
  <c r="AR351" i="77"/>
  <c r="AS351" i="77"/>
  <c r="AT351" i="77"/>
  <c r="AU351" i="77"/>
  <c r="AW351" i="77"/>
  <c r="AX351" i="77"/>
  <c r="AY351" i="77"/>
  <c r="BA351" i="77"/>
  <c r="A352" i="77"/>
  <c r="B352" i="77"/>
  <c r="D352" i="77"/>
  <c r="E352" i="77"/>
  <c r="F352" i="77"/>
  <c r="G352" i="77"/>
  <c r="H352" i="77"/>
  <c r="J352" i="77"/>
  <c r="K352" i="77"/>
  <c r="M352" i="77"/>
  <c r="O352" i="77"/>
  <c r="P352" i="77"/>
  <c r="R352" i="77"/>
  <c r="S352" i="77"/>
  <c r="U352" i="77"/>
  <c r="W352" i="77"/>
  <c r="X352" i="77"/>
  <c r="Z352" i="77"/>
  <c r="AA352" i="77"/>
  <c r="AB352" i="77"/>
  <c r="AC352" i="77"/>
  <c r="AD352" i="77"/>
  <c r="AE352" i="77"/>
  <c r="AF352" i="77"/>
  <c r="AG352" i="77"/>
  <c r="AH352" i="77"/>
  <c r="AI352" i="77"/>
  <c r="AJ352" i="77"/>
  <c r="AK352" i="77"/>
  <c r="AL352" i="77"/>
  <c r="AM352" i="77"/>
  <c r="AN352" i="77"/>
  <c r="AO352" i="77"/>
  <c r="AP352" i="77"/>
  <c r="AQ352" i="77"/>
  <c r="AR352" i="77"/>
  <c r="AS352" i="77"/>
  <c r="AT352" i="77"/>
  <c r="AU352" i="77"/>
  <c r="AW352" i="77"/>
  <c r="AX352" i="77"/>
  <c r="AY352" i="77"/>
  <c r="BA352" i="77"/>
  <c r="A353" i="77"/>
  <c r="B353" i="77"/>
  <c r="D353" i="77"/>
  <c r="E353" i="77"/>
  <c r="F353" i="77"/>
  <c r="G353" i="77"/>
  <c r="H353" i="77"/>
  <c r="J353" i="77"/>
  <c r="K353" i="77"/>
  <c r="M353" i="77"/>
  <c r="O353" i="77"/>
  <c r="P353" i="77"/>
  <c r="R353" i="77"/>
  <c r="S353" i="77"/>
  <c r="U353" i="77"/>
  <c r="W353" i="77"/>
  <c r="X353" i="77"/>
  <c r="Z353" i="77"/>
  <c r="AA353" i="77"/>
  <c r="AB353" i="77"/>
  <c r="AC353" i="77"/>
  <c r="AD353" i="77"/>
  <c r="AE353" i="77"/>
  <c r="AF353" i="77"/>
  <c r="AG353" i="77"/>
  <c r="AH353" i="77"/>
  <c r="AI353" i="77"/>
  <c r="AJ353" i="77"/>
  <c r="AK353" i="77"/>
  <c r="AL353" i="77"/>
  <c r="AM353" i="77"/>
  <c r="AN353" i="77"/>
  <c r="AO353" i="77"/>
  <c r="AP353" i="77"/>
  <c r="AQ353" i="77"/>
  <c r="AR353" i="77"/>
  <c r="AS353" i="77"/>
  <c r="AT353" i="77"/>
  <c r="AU353" i="77"/>
  <c r="AW353" i="77"/>
  <c r="AX353" i="77"/>
  <c r="AY353" i="77"/>
  <c r="BA353" i="77"/>
  <c r="A354" i="77"/>
  <c r="B354" i="77"/>
  <c r="D354" i="77"/>
  <c r="E354" i="77"/>
  <c r="F354" i="77"/>
  <c r="G354" i="77"/>
  <c r="H354" i="77"/>
  <c r="J354" i="77"/>
  <c r="K354" i="77"/>
  <c r="M354" i="77"/>
  <c r="O354" i="77"/>
  <c r="P354" i="77"/>
  <c r="R354" i="77"/>
  <c r="S354" i="77"/>
  <c r="U354" i="77"/>
  <c r="W354" i="77"/>
  <c r="X354" i="77"/>
  <c r="Z354" i="77"/>
  <c r="AA354" i="77"/>
  <c r="AB354" i="77"/>
  <c r="AC354" i="77"/>
  <c r="AD354" i="77"/>
  <c r="AE354" i="77"/>
  <c r="AF354" i="77"/>
  <c r="AG354" i="77"/>
  <c r="AH354" i="77"/>
  <c r="AI354" i="77"/>
  <c r="AJ354" i="77"/>
  <c r="AK354" i="77"/>
  <c r="AL354" i="77"/>
  <c r="AM354" i="77"/>
  <c r="AN354" i="77"/>
  <c r="AO354" i="77"/>
  <c r="AP354" i="77"/>
  <c r="AQ354" i="77"/>
  <c r="AR354" i="77"/>
  <c r="AS354" i="77"/>
  <c r="AT354" i="77"/>
  <c r="AU354" i="77"/>
  <c r="AW354" i="77"/>
  <c r="AX354" i="77"/>
  <c r="AY354" i="77"/>
  <c r="BA354" i="77"/>
  <c r="A355" i="77"/>
  <c r="B355" i="77"/>
  <c r="D355" i="77"/>
  <c r="E355" i="77"/>
  <c r="F355" i="77"/>
  <c r="G355" i="77"/>
  <c r="H355" i="77"/>
  <c r="J355" i="77"/>
  <c r="K355" i="77"/>
  <c r="M355" i="77"/>
  <c r="O355" i="77"/>
  <c r="P355" i="77"/>
  <c r="R355" i="77"/>
  <c r="S355" i="77"/>
  <c r="U355" i="77"/>
  <c r="W355" i="77"/>
  <c r="X355" i="77"/>
  <c r="Z355" i="77"/>
  <c r="AA355" i="77"/>
  <c r="AB355" i="77"/>
  <c r="AC355" i="77"/>
  <c r="AD355" i="77"/>
  <c r="AE355" i="77"/>
  <c r="AF355" i="77"/>
  <c r="AG355" i="77"/>
  <c r="AH355" i="77"/>
  <c r="AI355" i="77"/>
  <c r="AJ355" i="77"/>
  <c r="AK355" i="77"/>
  <c r="AL355" i="77"/>
  <c r="AM355" i="77"/>
  <c r="AN355" i="77"/>
  <c r="AO355" i="77"/>
  <c r="AP355" i="77"/>
  <c r="AQ355" i="77"/>
  <c r="AR355" i="77"/>
  <c r="AS355" i="77"/>
  <c r="AT355" i="77"/>
  <c r="AU355" i="77"/>
  <c r="AW355" i="77"/>
  <c r="AX355" i="77"/>
  <c r="AY355" i="77"/>
  <c r="BA355" i="77"/>
  <c r="A356" i="77"/>
  <c r="B356" i="77"/>
  <c r="D356" i="77"/>
  <c r="E356" i="77"/>
  <c r="F356" i="77"/>
  <c r="G356" i="77"/>
  <c r="H356" i="77"/>
  <c r="J356" i="77"/>
  <c r="K356" i="77"/>
  <c r="M356" i="77"/>
  <c r="O356" i="77"/>
  <c r="P356" i="77"/>
  <c r="R356" i="77"/>
  <c r="S356" i="77"/>
  <c r="U356" i="77"/>
  <c r="W356" i="77"/>
  <c r="X356" i="77"/>
  <c r="Z356" i="77"/>
  <c r="AA356" i="77"/>
  <c r="AB356" i="77"/>
  <c r="AC356" i="77"/>
  <c r="AD356" i="77"/>
  <c r="AE356" i="77"/>
  <c r="AF356" i="77"/>
  <c r="AG356" i="77"/>
  <c r="AH356" i="77"/>
  <c r="AI356" i="77"/>
  <c r="AJ356" i="77"/>
  <c r="AK356" i="77"/>
  <c r="AL356" i="77"/>
  <c r="AM356" i="77"/>
  <c r="AN356" i="77"/>
  <c r="AO356" i="77"/>
  <c r="AP356" i="77"/>
  <c r="AQ356" i="77"/>
  <c r="AR356" i="77"/>
  <c r="AS356" i="77"/>
  <c r="AT356" i="77"/>
  <c r="AU356" i="77"/>
  <c r="AW356" i="77"/>
  <c r="AX356" i="77"/>
  <c r="AY356" i="77"/>
  <c r="BA356" i="77"/>
  <c r="A357" i="77"/>
  <c r="B357" i="77"/>
  <c r="D357" i="77"/>
  <c r="E357" i="77"/>
  <c r="F357" i="77"/>
  <c r="G357" i="77"/>
  <c r="H357" i="77"/>
  <c r="J357" i="77"/>
  <c r="K357" i="77"/>
  <c r="M357" i="77"/>
  <c r="O357" i="77"/>
  <c r="P357" i="77"/>
  <c r="R357" i="77"/>
  <c r="S357" i="77"/>
  <c r="U357" i="77"/>
  <c r="W357" i="77"/>
  <c r="X357" i="77"/>
  <c r="Z357" i="77"/>
  <c r="AA357" i="77"/>
  <c r="AB357" i="77"/>
  <c r="AC357" i="77"/>
  <c r="AD357" i="77"/>
  <c r="AE357" i="77"/>
  <c r="AF357" i="77"/>
  <c r="AG357" i="77"/>
  <c r="AH357" i="77"/>
  <c r="AI357" i="77"/>
  <c r="AJ357" i="77"/>
  <c r="AK357" i="77"/>
  <c r="AL357" i="77"/>
  <c r="AM357" i="77"/>
  <c r="AN357" i="77"/>
  <c r="AO357" i="77"/>
  <c r="AP357" i="77"/>
  <c r="AQ357" i="77"/>
  <c r="AR357" i="77"/>
  <c r="AS357" i="77"/>
  <c r="AT357" i="77"/>
  <c r="AU357" i="77"/>
  <c r="AW357" i="77"/>
  <c r="AX357" i="77"/>
  <c r="AY357" i="77"/>
  <c r="BA357" i="77"/>
  <c r="A358" i="77"/>
  <c r="B358" i="77"/>
  <c r="D358" i="77"/>
  <c r="E358" i="77"/>
  <c r="F358" i="77"/>
  <c r="G358" i="77"/>
  <c r="H358" i="77"/>
  <c r="J358" i="77"/>
  <c r="K358" i="77"/>
  <c r="M358" i="77"/>
  <c r="O358" i="77"/>
  <c r="P358" i="77"/>
  <c r="R358" i="77"/>
  <c r="S358" i="77"/>
  <c r="U358" i="77"/>
  <c r="W358" i="77"/>
  <c r="X358" i="77"/>
  <c r="Z358" i="77"/>
  <c r="AA358" i="77"/>
  <c r="AB358" i="77"/>
  <c r="AC358" i="77"/>
  <c r="AD358" i="77"/>
  <c r="AE358" i="77"/>
  <c r="AF358" i="77"/>
  <c r="AG358" i="77"/>
  <c r="AH358" i="77"/>
  <c r="AI358" i="77"/>
  <c r="AJ358" i="77"/>
  <c r="AK358" i="77"/>
  <c r="AL358" i="77"/>
  <c r="AM358" i="77"/>
  <c r="AN358" i="77"/>
  <c r="AO358" i="77"/>
  <c r="AP358" i="77"/>
  <c r="AQ358" i="77"/>
  <c r="AR358" i="77"/>
  <c r="AS358" i="77"/>
  <c r="AT358" i="77"/>
  <c r="AU358" i="77"/>
  <c r="AW358" i="77"/>
  <c r="AX358" i="77"/>
  <c r="AY358" i="77"/>
  <c r="BA358" i="77"/>
  <c r="A359" i="77"/>
  <c r="B359" i="77"/>
  <c r="D359" i="77"/>
  <c r="E359" i="77"/>
  <c r="F359" i="77"/>
  <c r="G359" i="77"/>
  <c r="H359" i="77"/>
  <c r="J359" i="77"/>
  <c r="K359" i="77"/>
  <c r="M359" i="77"/>
  <c r="O359" i="77"/>
  <c r="P359" i="77"/>
  <c r="R359" i="77"/>
  <c r="S359" i="77"/>
  <c r="U359" i="77"/>
  <c r="W359" i="77"/>
  <c r="X359" i="77"/>
  <c r="Z359" i="77"/>
  <c r="AA359" i="77"/>
  <c r="AB359" i="77"/>
  <c r="AC359" i="77"/>
  <c r="AD359" i="77"/>
  <c r="AE359" i="77"/>
  <c r="AF359" i="77"/>
  <c r="AG359" i="77"/>
  <c r="AH359" i="77"/>
  <c r="AI359" i="77"/>
  <c r="AJ359" i="77"/>
  <c r="AK359" i="77"/>
  <c r="AL359" i="77"/>
  <c r="AM359" i="77"/>
  <c r="AN359" i="77"/>
  <c r="AO359" i="77"/>
  <c r="AP359" i="77"/>
  <c r="AQ359" i="77"/>
  <c r="AR359" i="77"/>
  <c r="AS359" i="77"/>
  <c r="AT359" i="77"/>
  <c r="AU359" i="77"/>
  <c r="AW359" i="77"/>
  <c r="AX359" i="77"/>
  <c r="AY359" i="77"/>
  <c r="BA359" i="77"/>
  <c r="A360" i="77"/>
  <c r="B360" i="77"/>
  <c r="D360" i="77"/>
  <c r="E360" i="77"/>
  <c r="F360" i="77"/>
  <c r="G360" i="77"/>
  <c r="H360" i="77"/>
  <c r="J360" i="77"/>
  <c r="K360" i="77"/>
  <c r="M360" i="77"/>
  <c r="O360" i="77"/>
  <c r="P360" i="77"/>
  <c r="R360" i="77"/>
  <c r="S360" i="77"/>
  <c r="U360" i="77"/>
  <c r="W360" i="77"/>
  <c r="X360" i="77"/>
  <c r="Z360" i="77"/>
  <c r="AA360" i="77"/>
  <c r="AB360" i="77"/>
  <c r="AC360" i="77"/>
  <c r="AD360" i="77"/>
  <c r="AE360" i="77"/>
  <c r="AF360" i="77"/>
  <c r="AG360" i="77"/>
  <c r="AH360" i="77"/>
  <c r="AI360" i="77"/>
  <c r="AJ360" i="77"/>
  <c r="AK360" i="77"/>
  <c r="AL360" i="77"/>
  <c r="AM360" i="77"/>
  <c r="AN360" i="77"/>
  <c r="AO360" i="77"/>
  <c r="AP360" i="77"/>
  <c r="AQ360" i="77"/>
  <c r="AR360" i="77"/>
  <c r="AS360" i="77"/>
  <c r="AT360" i="77"/>
  <c r="AU360" i="77"/>
  <c r="AW360" i="77"/>
  <c r="AX360" i="77"/>
  <c r="AY360" i="77"/>
  <c r="BA360" i="77"/>
  <c r="A361" i="77"/>
  <c r="B361" i="77"/>
  <c r="D361" i="77"/>
  <c r="E361" i="77"/>
  <c r="F361" i="77"/>
  <c r="G361" i="77"/>
  <c r="H361" i="77"/>
  <c r="J361" i="77"/>
  <c r="K361" i="77"/>
  <c r="M361" i="77"/>
  <c r="O361" i="77"/>
  <c r="P361" i="77"/>
  <c r="R361" i="77"/>
  <c r="S361" i="77"/>
  <c r="U361" i="77"/>
  <c r="W361" i="77"/>
  <c r="X361" i="77"/>
  <c r="Z361" i="77"/>
  <c r="AA361" i="77"/>
  <c r="AB361" i="77"/>
  <c r="AC361" i="77"/>
  <c r="AD361" i="77"/>
  <c r="AE361" i="77"/>
  <c r="AF361" i="77"/>
  <c r="AG361" i="77"/>
  <c r="AH361" i="77"/>
  <c r="AI361" i="77"/>
  <c r="AJ361" i="77"/>
  <c r="AK361" i="77"/>
  <c r="AL361" i="77"/>
  <c r="AM361" i="77"/>
  <c r="AN361" i="77"/>
  <c r="AO361" i="77"/>
  <c r="AP361" i="77"/>
  <c r="AQ361" i="77"/>
  <c r="AR361" i="77"/>
  <c r="AS361" i="77"/>
  <c r="AT361" i="77"/>
  <c r="AU361" i="77"/>
  <c r="AW361" i="77"/>
  <c r="AX361" i="77"/>
  <c r="AY361" i="77"/>
  <c r="BA361" i="77"/>
  <c r="A362" i="77"/>
  <c r="B362" i="77"/>
  <c r="D362" i="77"/>
  <c r="E362" i="77"/>
  <c r="F362" i="77"/>
  <c r="G362" i="77"/>
  <c r="H362" i="77"/>
  <c r="J362" i="77"/>
  <c r="K362" i="77"/>
  <c r="M362" i="77"/>
  <c r="O362" i="77"/>
  <c r="P362" i="77"/>
  <c r="R362" i="77"/>
  <c r="S362" i="77"/>
  <c r="U362" i="77"/>
  <c r="W362" i="77"/>
  <c r="X362" i="77"/>
  <c r="Z362" i="77"/>
  <c r="AA362" i="77"/>
  <c r="AB362" i="77"/>
  <c r="AC362" i="77"/>
  <c r="AD362" i="77"/>
  <c r="AE362" i="77"/>
  <c r="AF362" i="77"/>
  <c r="AG362" i="77"/>
  <c r="AH362" i="77"/>
  <c r="AI362" i="77"/>
  <c r="AJ362" i="77"/>
  <c r="AK362" i="77"/>
  <c r="AL362" i="77"/>
  <c r="AM362" i="77"/>
  <c r="AN362" i="77"/>
  <c r="AO362" i="77"/>
  <c r="AP362" i="77"/>
  <c r="AQ362" i="77"/>
  <c r="AR362" i="77"/>
  <c r="AS362" i="77"/>
  <c r="AT362" i="77"/>
  <c r="AU362" i="77"/>
  <c r="AW362" i="77"/>
  <c r="AX362" i="77"/>
  <c r="AY362" i="77"/>
  <c r="BA362" i="77"/>
  <c r="A363" i="77"/>
  <c r="B363" i="77"/>
  <c r="D363" i="77"/>
  <c r="E363" i="77"/>
  <c r="F363" i="77"/>
  <c r="G363" i="77"/>
  <c r="H363" i="77"/>
  <c r="J363" i="77"/>
  <c r="K363" i="77"/>
  <c r="M363" i="77"/>
  <c r="O363" i="77"/>
  <c r="P363" i="77"/>
  <c r="R363" i="77"/>
  <c r="S363" i="77"/>
  <c r="U363" i="77"/>
  <c r="W363" i="77"/>
  <c r="X363" i="77"/>
  <c r="Z363" i="77"/>
  <c r="AA363" i="77"/>
  <c r="AB363" i="77"/>
  <c r="AC363" i="77"/>
  <c r="AD363" i="77"/>
  <c r="AE363" i="77"/>
  <c r="AF363" i="77"/>
  <c r="AG363" i="77"/>
  <c r="AH363" i="77"/>
  <c r="AI363" i="77"/>
  <c r="AJ363" i="77"/>
  <c r="AK363" i="77"/>
  <c r="AL363" i="77"/>
  <c r="AM363" i="77"/>
  <c r="AN363" i="77"/>
  <c r="AO363" i="77"/>
  <c r="AP363" i="77"/>
  <c r="AQ363" i="77"/>
  <c r="AR363" i="77"/>
  <c r="AS363" i="77"/>
  <c r="AT363" i="77"/>
  <c r="AU363" i="77"/>
  <c r="AW363" i="77"/>
  <c r="AX363" i="77"/>
  <c r="AY363" i="77"/>
  <c r="BA363" i="77"/>
  <c r="A364" i="77"/>
  <c r="B364" i="77"/>
  <c r="D364" i="77"/>
  <c r="E364" i="77"/>
  <c r="F364" i="77"/>
  <c r="G364" i="77"/>
  <c r="H364" i="77"/>
  <c r="J364" i="77"/>
  <c r="K364" i="77"/>
  <c r="M364" i="77"/>
  <c r="O364" i="77"/>
  <c r="P364" i="77"/>
  <c r="R364" i="77"/>
  <c r="S364" i="77"/>
  <c r="U364" i="77"/>
  <c r="W364" i="77"/>
  <c r="X364" i="77"/>
  <c r="Z364" i="77"/>
  <c r="AA364" i="77"/>
  <c r="AB364" i="77"/>
  <c r="AC364" i="77"/>
  <c r="AD364" i="77"/>
  <c r="AE364" i="77"/>
  <c r="AF364" i="77"/>
  <c r="AG364" i="77"/>
  <c r="AH364" i="77"/>
  <c r="AI364" i="77"/>
  <c r="AJ364" i="77"/>
  <c r="AK364" i="77"/>
  <c r="AL364" i="77"/>
  <c r="AM364" i="77"/>
  <c r="AN364" i="77"/>
  <c r="AO364" i="77"/>
  <c r="AP364" i="77"/>
  <c r="AQ364" i="77"/>
  <c r="AR364" i="77"/>
  <c r="AS364" i="77"/>
  <c r="AT364" i="77"/>
  <c r="AU364" i="77"/>
  <c r="AW364" i="77"/>
  <c r="AX364" i="77"/>
  <c r="AY364" i="77"/>
  <c r="BA364" i="77"/>
  <c r="A365" i="77"/>
  <c r="B365" i="77"/>
  <c r="D365" i="77"/>
  <c r="E365" i="77"/>
  <c r="F365" i="77"/>
  <c r="G365" i="77"/>
  <c r="H365" i="77"/>
  <c r="J365" i="77"/>
  <c r="K365" i="77"/>
  <c r="M365" i="77"/>
  <c r="O365" i="77"/>
  <c r="P365" i="77"/>
  <c r="R365" i="77"/>
  <c r="S365" i="77"/>
  <c r="U365" i="77"/>
  <c r="W365" i="77"/>
  <c r="X365" i="77"/>
  <c r="Z365" i="77"/>
  <c r="AA365" i="77"/>
  <c r="AB365" i="77"/>
  <c r="AC365" i="77"/>
  <c r="AD365" i="77"/>
  <c r="AE365" i="77"/>
  <c r="AF365" i="77"/>
  <c r="AG365" i="77"/>
  <c r="AH365" i="77"/>
  <c r="AI365" i="77"/>
  <c r="AJ365" i="77"/>
  <c r="AK365" i="77"/>
  <c r="AL365" i="77"/>
  <c r="AM365" i="77"/>
  <c r="AN365" i="77"/>
  <c r="AO365" i="77"/>
  <c r="AP365" i="77"/>
  <c r="AQ365" i="77"/>
  <c r="AR365" i="77"/>
  <c r="AS365" i="77"/>
  <c r="AT365" i="77"/>
  <c r="AU365" i="77"/>
  <c r="AW365" i="77"/>
  <c r="AX365" i="77"/>
  <c r="AY365" i="77"/>
  <c r="BA365" i="77"/>
  <c r="A366" i="77"/>
  <c r="B366" i="77"/>
  <c r="D366" i="77"/>
  <c r="E366" i="77"/>
  <c r="F366" i="77"/>
  <c r="G366" i="77"/>
  <c r="H366" i="77"/>
  <c r="J366" i="77"/>
  <c r="K366" i="77"/>
  <c r="M366" i="77"/>
  <c r="O366" i="77"/>
  <c r="P366" i="77"/>
  <c r="R366" i="77"/>
  <c r="S366" i="77"/>
  <c r="U366" i="77"/>
  <c r="W366" i="77"/>
  <c r="X366" i="77"/>
  <c r="Z366" i="77"/>
  <c r="AA366" i="77"/>
  <c r="AB366" i="77"/>
  <c r="AC366" i="77"/>
  <c r="AD366" i="77"/>
  <c r="AE366" i="77"/>
  <c r="AF366" i="77"/>
  <c r="AG366" i="77"/>
  <c r="AH366" i="77"/>
  <c r="AI366" i="77"/>
  <c r="AJ366" i="77"/>
  <c r="AK366" i="77"/>
  <c r="AL366" i="77"/>
  <c r="AM366" i="77"/>
  <c r="AN366" i="77"/>
  <c r="AO366" i="77"/>
  <c r="AP366" i="77"/>
  <c r="AQ366" i="77"/>
  <c r="AR366" i="77"/>
  <c r="AS366" i="77"/>
  <c r="AT366" i="77"/>
  <c r="AU366" i="77"/>
  <c r="AW366" i="77"/>
  <c r="AX366" i="77"/>
  <c r="AY366" i="77"/>
  <c r="BA366" i="77"/>
  <c r="A367" i="77"/>
  <c r="B367" i="77"/>
  <c r="D367" i="77"/>
  <c r="E367" i="77"/>
  <c r="F367" i="77"/>
  <c r="G367" i="77"/>
  <c r="H367" i="77"/>
  <c r="J367" i="77"/>
  <c r="K367" i="77"/>
  <c r="M367" i="77"/>
  <c r="O367" i="77"/>
  <c r="P367" i="77"/>
  <c r="R367" i="77"/>
  <c r="S367" i="77"/>
  <c r="U367" i="77"/>
  <c r="W367" i="77"/>
  <c r="X367" i="77"/>
  <c r="Z367" i="77"/>
  <c r="AA367" i="77"/>
  <c r="AB367" i="77"/>
  <c r="AC367" i="77"/>
  <c r="AD367" i="77"/>
  <c r="AE367" i="77"/>
  <c r="AF367" i="77"/>
  <c r="AG367" i="77"/>
  <c r="AH367" i="77"/>
  <c r="AI367" i="77"/>
  <c r="AJ367" i="77"/>
  <c r="AK367" i="77"/>
  <c r="AL367" i="77"/>
  <c r="AM367" i="77"/>
  <c r="AN367" i="77"/>
  <c r="AO367" i="77"/>
  <c r="AP367" i="77"/>
  <c r="AQ367" i="77"/>
  <c r="AR367" i="77"/>
  <c r="AS367" i="77"/>
  <c r="AT367" i="77"/>
  <c r="AU367" i="77"/>
  <c r="AW367" i="77"/>
  <c r="AX367" i="77"/>
  <c r="AY367" i="77"/>
  <c r="BA367" i="77"/>
  <c r="A368" i="77"/>
  <c r="B368" i="77"/>
  <c r="D368" i="77"/>
  <c r="E368" i="77"/>
  <c r="F368" i="77"/>
  <c r="G368" i="77"/>
  <c r="H368" i="77"/>
  <c r="J368" i="77"/>
  <c r="K368" i="77"/>
  <c r="M368" i="77"/>
  <c r="O368" i="77"/>
  <c r="P368" i="77"/>
  <c r="R368" i="77"/>
  <c r="S368" i="77"/>
  <c r="U368" i="77"/>
  <c r="W368" i="77"/>
  <c r="X368" i="77"/>
  <c r="Z368" i="77"/>
  <c r="AA368" i="77"/>
  <c r="AB368" i="77"/>
  <c r="AC368" i="77"/>
  <c r="AD368" i="77"/>
  <c r="AE368" i="77"/>
  <c r="AF368" i="77"/>
  <c r="AG368" i="77"/>
  <c r="AH368" i="77"/>
  <c r="AI368" i="77"/>
  <c r="AJ368" i="77"/>
  <c r="AK368" i="77"/>
  <c r="AL368" i="77"/>
  <c r="AM368" i="77"/>
  <c r="AN368" i="77"/>
  <c r="AO368" i="77"/>
  <c r="AP368" i="77"/>
  <c r="AQ368" i="77"/>
  <c r="AR368" i="77"/>
  <c r="AS368" i="77"/>
  <c r="AT368" i="77"/>
  <c r="AU368" i="77"/>
  <c r="AW368" i="77"/>
  <c r="AX368" i="77"/>
  <c r="AY368" i="77"/>
  <c r="BA368" i="77"/>
  <c r="A369" i="77"/>
  <c r="B369" i="77"/>
  <c r="D369" i="77"/>
  <c r="E369" i="77"/>
  <c r="F369" i="77"/>
  <c r="G369" i="77"/>
  <c r="H369" i="77"/>
  <c r="J369" i="77"/>
  <c r="K369" i="77"/>
  <c r="M369" i="77"/>
  <c r="O369" i="77"/>
  <c r="P369" i="77"/>
  <c r="R369" i="77"/>
  <c r="S369" i="77"/>
  <c r="U369" i="77"/>
  <c r="W369" i="77"/>
  <c r="X369" i="77"/>
  <c r="Z369" i="77"/>
  <c r="AA369" i="77"/>
  <c r="AB369" i="77"/>
  <c r="AC369" i="77"/>
  <c r="AD369" i="77"/>
  <c r="AE369" i="77"/>
  <c r="AF369" i="77"/>
  <c r="AG369" i="77"/>
  <c r="AH369" i="77"/>
  <c r="AI369" i="77"/>
  <c r="AJ369" i="77"/>
  <c r="AK369" i="77"/>
  <c r="AL369" i="77"/>
  <c r="AM369" i="77"/>
  <c r="AN369" i="77"/>
  <c r="AO369" i="77"/>
  <c r="AP369" i="77"/>
  <c r="AQ369" i="77"/>
  <c r="AR369" i="77"/>
  <c r="AS369" i="77"/>
  <c r="AT369" i="77"/>
  <c r="AU369" i="77"/>
  <c r="AW369" i="77"/>
  <c r="AX369" i="77"/>
  <c r="AY369" i="77"/>
  <c r="BA369" i="77"/>
  <c r="A370" i="77"/>
  <c r="B370" i="77"/>
  <c r="D370" i="77"/>
  <c r="E370" i="77"/>
  <c r="F370" i="77"/>
  <c r="G370" i="77"/>
  <c r="H370" i="77"/>
  <c r="J370" i="77"/>
  <c r="K370" i="77"/>
  <c r="M370" i="77"/>
  <c r="O370" i="77"/>
  <c r="P370" i="77"/>
  <c r="R370" i="77"/>
  <c r="S370" i="77"/>
  <c r="U370" i="77"/>
  <c r="W370" i="77"/>
  <c r="X370" i="77"/>
  <c r="AO370" i="77"/>
  <c r="AP370" i="77"/>
  <c r="AQ370" i="77"/>
  <c r="AR370" i="77"/>
  <c r="AS370" i="77"/>
  <c r="AT370" i="77"/>
  <c r="AU370" i="77"/>
  <c r="AW370" i="77"/>
  <c r="AX370" i="77"/>
  <c r="AY370" i="77"/>
  <c r="BA370" i="77"/>
  <c r="A371" i="77"/>
  <c r="B371" i="77"/>
  <c r="D371" i="77"/>
  <c r="E371" i="77"/>
  <c r="F371" i="77"/>
  <c r="G371" i="77"/>
  <c r="H371" i="77"/>
  <c r="J371" i="77"/>
  <c r="K371" i="77"/>
  <c r="M371" i="77"/>
  <c r="O371" i="77"/>
  <c r="P371" i="77"/>
  <c r="R371" i="77"/>
  <c r="S371" i="77"/>
  <c r="U371" i="77"/>
  <c r="W371" i="77"/>
  <c r="X371" i="77"/>
  <c r="AO371" i="77"/>
  <c r="AP371" i="77"/>
  <c r="AQ371" i="77"/>
  <c r="AR371" i="77"/>
  <c r="AS371" i="77"/>
  <c r="AT371" i="77"/>
  <c r="AU371" i="77"/>
  <c r="AW371" i="77"/>
  <c r="AX371" i="77"/>
  <c r="AY371" i="77"/>
  <c r="BA371" i="77"/>
  <c r="A372" i="77"/>
  <c r="B372" i="77"/>
  <c r="D372" i="77"/>
  <c r="E372" i="77"/>
  <c r="F372" i="77"/>
  <c r="G372" i="77"/>
  <c r="H372" i="77"/>
  <c r="J372" i="77"/>
  <c r="K372" i="77"/>
  <c r="M372" i="77"/>
  <c r="O372" i="77"/>
  <c r="P372" i="77"/>
  <c r="R372" i="77"/>
  <c r="S372" i="77"/>
  <c r="U372" i="77"/>
  <c r="W372" i="77"/>
  <c r="X372" i="77"/>
  <c r="AO372" i="77"/>
  <c r="AP372" i="77"/>
  <c r="AQ372" i="77"/>
  <c r="AR372" i="77"/>
  <c r="AS372" i="77"/>
  <c r="AT372" i="77"/>
  <c r="AU372" i="77"/>
  <c r="AW372" i="77"/>
  <c r="AX372" i="77"/>
  <c r="AY372" i="77"/>
  <c r="BA372" i="77"/>
  <c r="A373" i="77"/>
  <c r="B373" i="77"/>
  <c r="D373" i="77"/>
  <c r="E373" i="77"/>
  <c r="F373" i="77"/>
  <c r="G373" i="77"/>
  <c r="H373" i="77"/>
  <c r="J373" i="77"/>
  <c r="K373" i="77"/>
  <c r="M373" i="77"/>
  <c r="O373" i="77"/>
  <c r="P373" i="77"/>
  <c r="R373" i="77"/>
  <c r="S373" i="77"/>
  <c r="U373" i="77"/>
  <c r="W373" i="77"/>
  <c r="X373" i="77"/>
  <c r="AO373" i="77"/>
  <c r="AP373" i="77"/>
  <c r="AQ373" i="77"/>
  <c r="AR373" i="77"/>
  <c r="AS373" i="77"/>
  <c r="AT373" i="77"/>
  <c r="AU373" i="77"/>
  <c r="AW373" i="77"/>
  <c r="AX373" i="77"/>
  <c r="AY373" i="77"/>
  <c r="BA373" i="77"/>
  <c r="A374" i="77"/>
  <c r="B374" i="77"/>
  <c r="D374" i="77"/>
  <c r="E374" i="77"/>
  <c r="F374" i="77"/>
  <c r="G374" i="77"/>
  <c r="H374" i="77"/>
  <c r="J374" i="77"/>
  <c r="K374" i="77"/>
  <c r="M374" i="77"/>
  <c r="O374" i="77"/>
  <c r="P374" i="77"/>
  <c r="R374" i="77"/>
  <c r="S374" i="77"/>
  <c r="U374" i="77"/>
  <c r="W374" i="77"/>
  <c r="X374" i="77"/>
  <c r="AO374" i="77"/>
  <c r="AP374" i="77"/>
  <c r="AQ374" i="77"/>
  <c r="AR374" i="77"/>
  <c r="AS374" i="77"/>
  <c r="AT374" i="77"/>
  <c r="AU374" i="77"/>
  <c r="AW374" i="77"/>
  <c r="AX374" i="77"/>
  <c r="AY374" i="77"/>
  <c r="BA374" i="77"/>
  <c r="A375" i="77"/>
  <c r="B375" i="77"/>
  <c r="D375" i="77"/>
  <c r="E375" i="77"/>
  <c r="F375" i="77"/>
  <c r="G375" i="77"/>
  <c r="H375" i="77"/>
  <c r="J375" i="77"/>
  <c r="K375" i="77"/>
  <c r="M375" i="77"/>
  <c r="O375" i="77"/>
  <c r="P375" i="77"/>
  <c r="R375" i="77"/>
  <c r="S375" i="77"/>
  <c r="U375" i="77"/>
  <c r="W375" i="77"/>
  <c r="X375" i="77"/>
  <c r="AO375" i="77"/>
  <c r="AP375" i="77"/>
  <c r="AQ375" i="77"/>
  <c r="AR375" i="77"/>
  <c r="AS375" i="77"/>
  <c r="AT375" i="77"/>
  <c r="AU375" i="77"/>
  <c r="AW375" i="77"/>
  <c r="AX375" i="77"/>
  <c r="AY375" i="77"/>
  <c r="BA375" i="77"/>
  <c r="A376" i="77"/>
  <c r="B376" i="77"/>
  <c r="D376" i="77"/>
  <c r="E376" i="77"/>
  <c r="F376" i="77"/>
  <c r="G376" i="77"/>
  <c r="H376" i="77"/>
  <c r="J376" i="77"/>
  <c r="K376" i="77"/>
  <c r="M376" i="77"/>
  <c r="O376" i="77"/>
  <c r="P376" i="77"/>
  <c r="R376" i="77"/>
  <c r="S376" i="77"/>
  <c r="U376" i="77"/>
  <c r="W376" i="77"/>
  <c r="X376" i="77"/>
  <c r="AO376" i="77"/>
  <c r="AP376" i="77"/>
  <c r="AQ376" i="77"/>
  <c r="AR376" i="77"/>
  <c r="AS376" i="77"/>
  <c r="AT376" i="77"/>
  <c r="AU376" i="77"/>
  <c r="AW376" i="77"/>
  <c r="AX376" i="77"/>
  <c r="AY376" i="77"/>
  <c r="BA376" i="77"/>
  <c r="A377" i="77"/>
  <c r="B377" i="77"/>
  <c r="D377" i="77"/>
  <c r="E377" i="77"/>
  <c r="F377" i="77"/>
  <c r="G377" i="77"/>
  <c r="H377" i="77"/>
  <c r="J377" i="77"/>
  <c r="K377" i="77"/>
  <c r="M377" i="77"/>
  <c r="O377" i="77"/>
  <c r="P377" i="77"/>
  <c r="R377" i="77"/>
  <c r="S377" i="77"/>
  <c r="U377" i="77"/>
  <c r="W377" i="77"/>
  <c r="X377" i="77"/>
  <c r="AO377" i="77"/>
  <c r="AP377" i="77"/>
  <c r="AQ377" i="77"/>
  <c r="AR377" i="77"/>
  <c r="AS377" i="77"/>
  <c r="AT377" i="77"/>
  <c r="AU377" i="77"/>
  <c r="AW377" i="77"/>
  <c r="AX377" i="77"/>
  <c r="AY377" i="77"/>
  <c r="BA377" i="77"/>
  <c r="A378" i="77"/>
  <c r="B378" i="77"/>
  <c r="D378" i="77"/>
  <c r="E378" i="77"/>
  <c r="F378" i="77"/>
  <c r="G378" i="77"/>
  <c r="H378" i="77"/>
  <c r="J378" i="77"/>
  <c r="K378" i="77"/>
  <c r="M378" i="77"/>
  <c r="O378" i="77"/>
  <c r="P378" i="77"/>
  <c r="R378" i="77"/>
  <c r="S378" i="77"/>
  <c r="U378" i="77"/>
  <c r="W378" i="77"/>
  <c r="X378" i="77"/>
  <c r="AO378" i="77"/>
  <c r="AP378" i="77"/>
  <c r="AQ378" i="77"/>
  <c r="AR378" i="77"/>
  <c r="AS378" i="77"/>
  <c r="AT378" i="77"/>
  <c r="AU378" i="77"/>
  <c r="AW378" i="77"/>
  <c r="AX378" i="77"/>
  <c r="AY378" i="77"/>
  <c r="BA378" i="77"/>
  <c r="A379" i="77"/>
  <c r="B379" i="77"/>
  <c r="D379" i="77"/>
  <c r="E379" i="77"/>
  <c r="F379" i="77"/>
  <c r="G379" i="77"/>
  <c r="H379" i="77"/>
  <c r="J379" i="77"/>
  <c r="K379" i="77"/>
  <c r="M379" i="77"/>
  <c r="O379" i="77"/>
  <c r="P379" i="77"/>
  <c r="R379" i="77"/>
  <c r="S379" i="77"/>
  <c r="U379" i="77"/>
  <c r="W379" i="77"/>
  <c r="X379" i="77"/>
  <c r="AO379" i="77"/>
  <c r="AP379" i="77"/>
  <c r="AQ379" i="77"/>
  <c r="AR379" i="77"/>
  <c r="AS379" i="77"/>
  <c r="AT379" i="77"/>
  <c r="AU379" i="77"/>
  <c r="AW379" i="77"/>
  <c r="AX379" i="77"/>
  <c r="AY379" i="77"/>
  <c r="BA379" i="77"/>
  <c r="A380" i="77"/>
  <c r="B380" i="77"/>
  <c r="D380" i="77"/>
  <c r="E380" i="77"/>
  <c r="F380" i="77"/>
  <c r="G380" i="77"/>
  <c r="H380" i="77"/>
  <c r="J380" i="77"/>
  <c r="K380" i="77"/>
  <c r="M380" i="77"/>
  <c r="O380" i="77"/>
  <c r="P380" i="77"/>
  <c r="R380" i="77"/>
  <c r="S380" i="77"/>
  <c r="U380" i="77"/>
  <c r="W380" i="77"/>
  <c r="X380" i="77"/>
  <c r="AO380" i="77"/>
  <c r="AP380" i="77"/>
  <c r="AQ380" i="77"/>
  <c r="AR380" i="77"/>
  <c r="AS380" i="77"/>
  <c r="AT380" i="77"/>
  <c r="AU380" i="77"/>
  <c r="AW380" i="77"/>
  <c r="AX380" i="77"/>
  <c r="AY380" i="77"/>
  <c r="BA380" i="77"/>
  <c r="A381" i="77"/>
  <c r="B381" i="77"/>
  <c r="D381" i="77"/>
  <c r="E381" i="77"/>
  <c r="F381" i="77"/>
  <c r="G381" i="77"/>
  <c r="H381" i="77"/>
  <c r="J381" i="77"/>
  <c r="K381" i="77"/>
  <c r="M381" i="77"/>
  <c r="O381" i="77"/>
  <c r="P381" i="77"/>
  <c r="R381" i="77"/>
  <c r="S381" i="77"/>
  <c r="U381" i="77"/>
  <c r="W381" i="77"/>
  <c r="X381" i="77"/>
  <c r="AO381" i="77"/>
  <c r="AP381" i="77"/>
  <c r="AQ381" i="77"/>
  <c r="AR381" i="77"/>
  <c r="AS381" i="77"/>
  <c r="AT381" i="77"/>
  <c r="AU381" i="77"/>
  <c r="AW381" i="77"/>
  <c r="AX381" i="77"/>
  <c r="AY381" i="77"/>
  <c r="BA381" i="77"/>
  <c r="A382" i="77"/>
  <c r="B382" i="77"/>
  <c r="D382" i="77"/>
  <c r="E382" i="77"/>
  <c r="F382" i="77"/>
  <c r="G382" i="77"/>
  <c r="H382" i="77"/>
  <c r="J382" i="77"/>
  <c r="K382" i="77"/>
  <c r="M382" i="77"/>
  <c r="O382" i="77"/>
  <c r="P382" i="77"/>
  <c r="R382" i="77"/>
  <c r="S382" i="77"/>
  <c r="U382" i="77"/>
  <c r="W382" i="77"/>
  <c r="X382" i="77"/>
  <c r="AO382" i="77"/>
  <c r="AP382" i="77"/>
  <c r="AQ382" i="77"/>
  <c r="AR382" i="77"/>
  <c r="AS382" i="77"/>
  <c r="AT382" i="77"/>
  <c r="AU382" i="77"/>
  <c r="AW382" i="77"/>
  <c r="AX382" i="77"/>
  <c r="AY382" i="77"/>
  <c r="BA382" i="77"/>
  <c r="A383" i="77"/>
  <c r="B383" i="77"/>
  <c r="D383" i="77"/>
  <c r="E383" i="77"/>
  <c r="F383" i="77"/>
  <c r="G383" i="77"/>
  <c r="H383" i="77"/>
  <c r="J383" i="77"/>
  <c r="K383" i="77"/>
  <c r="M383" i="77"/>
  <c r="O383" i="77"/>
  <c r="P383" i="77"/>
  <c r="R383" i="77"/>
  <c r="S383" i="77"/>
  <c r="U383" i="77"/>
  <c r="W383" i="77"/>
  <c r="X383" i="77"/>
  <c r="AO383" i="77"/>
  <c r="AP383" i="77"/>
  <c r="AQ383" i="77"/>
  <c r="AR383" i="77"/>
  <c r="AS383" i="77"/>
  <c r="AT383" i="77"/>
  <c r="AU383" i="77"/>
  <c r="AW383" i="77"/>
  <c r="AX383" i="77"/>
  <c r="AY383" i="77"/>
  <c r="BA383" i="77"/>
  <c r="A384" i="77"/>
  <c r="B384" i="77"/>
  <c r="D384" i="77"/>
  <c r="E384" i="77"/>
  <c r="F384" i="77"/>
  <c r="G384" i="77"/>
  <c r="H384" i="77"/>
  <c r="J384" i="77"/>
  <c r="K384" i="77"/>
  <c r="M384" i="77"/>
  <c r="O384" i="77"/>
  <c r="P384" i="77"/>
  <c r="R384" i="77"/>
  <c r="S384" i="77"/>
  <c r="U384" i="77"/>
  <c r="W384" i="77"/>
  <c r="X384" i="77"/>
  <c r="AO384" i="77"/>
  <c r="AP384" i="77"/>
  <c r="AQ384" i="77"/>
  <c r="AR384" i="77"/>
  <c r="AS384" i="77"/>
  <c r="AT384" i="77"/>
  <c r="AU384" i="77"/>
  <c r="AW384" i="77"/>
  <c r="AX384" i="77"/>
  <c r="AY384" i="77"/>
  <c r="BA384" i="77"/>
  <c r="A385" i="77"/>
  <c r="B385" i="77"/>
  <c r="D385" i="77"/>
  <c r="E385" i="77"/>
  <c r="F385" i="77"/>
  <c r="G385" i="77"/>
  <c r="H385" i="77"/>
  <c r="J385" i="77"/>
  <c r="K385" i="77"/>
  <c r="M385" i="77"/>
  <c r="O385" i="77"/>
  <c r="P385" i="77"/>
  <c r="R385" i="77"/>
  <c r="S385" i="77"/>
  <c r="U385" i="77"/>
  <c r="W385" i="77"/>
  <c r="X385" i="77"/>
  <c r="AO385" i="77"/>
  <c r="AP385" i="77"/>
  <c r="AQ385" i="77"/>
  <c r="AR385" i="77"/>
  <c r="AS385" i="77"/>
  <c r="AT385" i="77"/>
  <c r="AU385" i="77"/>
  <c r="AW385" i="77"/>
  <c r="AX385" i="77"/>
  <c r="AY385" i="77"/>
  <c r="BA385" i="77"/>
  <c r="A386" i="77"/>
  <c r="B386" i="77"/>
  <c r="D386" i="77"/>
  <c r="E386" i="77"/>
  <c r="F386" i="77"/>
  <c r="G386" i="77"/>
  <c r="H386" i="77"/>
  <c r="J386" i="77"/>
  <c r="K386" i="77"/>
  <c r="M386" i="77"/>
  <c r="O386" i="77"/>
  <c r="P386" i="77"/>
  <c r="R386" i="77"/>
  <c r="S386" i="77"/>
  <c r="U386" i="77"/>
  <c r="W386" i="77"/>
  <c r="X386" i="77"/>
  <c r="AO386" i="77"/>
  <c r="AP386" i="77"/>
  <c r="AQ386" i="77"/>
  <c r="AR386" i="77"/>
  <c r="AS386" i="77"/>
  <c r="AT386" i="77"/>
  <c r="AU386" i="77"/>
  <c r="AW386" i="77"/>
  <c r="AX386" i="77"/>
  <c r="AY386" i="77"/>
  <c r="BA386" i="77"/>
  <c r="A387" i="77"/>
  <c r="B387" i="77"/>
  <c r="D387" i="77"/>
  <c r="E387" i="77"/>
  <c r="F387" i="77"/>
  <c r="G387" i="77"/>
  <c r="H387" i="77"/>
  <c r="J387" i="77"/>
  <c r="K387" i="77"/>
  <c r="M387" i="77"/>
  <c r="O387" i="77"/>
  <c r="P387" i="77"/>
  <c r="R387" i="77"/>
  <c r="S387" i="77"/>
  <c r="U387" i="77"/>
  <c r="W387" i="77"/>
  <c r="X387" i="77"/>
  <c r="AO387" i="77"/>
  <c r="AP387" i="77"/>
  <c r="AQ387" i="77"/>
  <c r="AR387" i="77"/>
  <c r="AS387" i="77"/>
  <c r="AT387" i="77"/>
  <c r="AU387" i="77"/>
  <c r="AW387" i="77"/>
  <c r="AX387" i="77"/>
  <c r="AY387" i="77"/>
  <c r="BA387" i="77"/>
  <c r="A388" i="77"/>
  <c r="B388" i="77"/>
  <c r="D388" i="77"/>
  <c r="E388" i="77"/>
  <c r="F388" i="77"/>
  <c r="G388" i="77"/>
  <c r="H388" i="77"/>
  <c r="J388" i="77"/>
  <c r="K388" i="77"/>
  <c r="M388" i="77"/>
  <c r="O388" i="77"/>
  <c r="P388" i="77"/>
  <c r="R388" i="77"/>
  <c r="S388" i="77"/>
  <c r="U388" i="77"/>
  <c r="W388" i="77"/>
  <c r="X388" i="77"/>
  <c r="AO388" i="77"/>
  <c r="AP388" i="77"/>
  <c r="AQ388" i="77"/>
  <c r="AR388" i="77"/>
  <c r="AS388" i="77"/>
  <c r="AT388" i="77"/>
  <c r="AU388" i="77"/>
  <c r="AW388" i="77"/>
  <c r="AX388" i="77"/>
  <c r="AY388" i="77"/>
  <c r="BA388" i="77"/>
  <c r="A389" i="77"/>
  <c r="B389" i="77"/>
  <c r="D389" i="77"/>
  <c r="E389" i="77"/>
  <c r="F389" i="77"/>
  <c r="G389" i="77"/>
  <c r="H389" i="77"/>
  <c r="J389" i="77"/>
  <c r="K389" i="77"/>
  <c r="M389" i="77"/>
  <c r="O389" i="77"/>
  <c r="P389" i="77"/>
  <c r="R389" i="77"/>
  <c r="S389" i="77"/>
  <c r="U389" i="77"/>
  <c r="W389" i="77"/>
  <c r="X389" i="77"/>
  <c r="AO389" i="77"/>
  <c r="AP389" i="77"/>
  <c r="AQ389" i="77"/>
  <c r="AR389" i="77"/>
  <c r="AS389" i="77"/>
  <c r="AT389" i="77"/>
  <c r="AU389" i="77"/>
  <c r="AW389" i="77"/>
  <c r="AX389" i="77"/>
  <c r="AY389" i="77"/>
  <c r="BA389" i="77"/>
  <c r="A390" i="77"/>
  <c r="B390" i="77"/>
  <c r="D390" i="77"/>
  <c r="E390" i="77"/>
  <c r="F390" i="77"/>
  <c r="G390" i="77"/>
  <c r="H390" i="77"/>
  <c r="J390" i="77"/>
  <c r="K390" i="77"/>
  <c r="M390" i="77"/>
  <c r="O390" i="77"/>
  <c r="P390" i="77"/>
  <c r="R390" i="77"/>
  <c r="S390" i="77"/>
  <c r="U390" i="77"/>
  <c r="W390" i="77"/>
  <c r="X390" i="77"/>
  <c r="AO390" i="77"/>
  <c r="AP390" i="77"/>
  <c r="AQ390" i="77"/>
  <c r="AR390" i="77"/>
  <c r="AS390" i="77"/>
  <c r="AT390" i="77"/>
  <c r="AU390" i="77"/>
  <c r="AW390" i="77"/>
  <c r="AX390" i="77"/>
  <c r="AY390" i="77"/>
  <c r="BA390" i="77"/>
  <c r="A391" i="77"/>
  <c r="B391" i="77"/>
  <c r="D391" i="77"/>
  <c r="E391" i="77"/>
  <c r="F391" i="77"/>
  <c r="G391" i="77"/>
  <c r="H391" i="77"/>
  <c r="J391" i="77"/>
  <c r="K391" i="77"/>
  <c r="M391" i="77"/>
  <c r="O391" i="77"/>
  <c r="P391" i="77"/>
  <c r="R391" i="77"/>
  <c r="S391" i="77"/>
  <c r="U391" i="77"/>
  <c r="W391" i="77"/>
  <c r="X391" i="77"/>
  <c r="AO391" i="77"/>
  <c r="AP391" i="77"/>
  <c r="AQ391" i="77"/>
  <c r="AR391" i="77"/>
  <c r="AS391" i="77"/>
  <c r="AT391" i="77"/>
  <c r="AU391" i="77"/>
  <c r="AW391" i="77"/>
  <c r="AX391" i="77"/>
  <c r="AY391" i="77"/>
  <c r="BA391" i="77"/>
  <c r="A392" i="77"/>
  <c r="B392" i="77"/>
  <c r="D392" i="77"/>
  <c r="E392" i="77"/>
  <c r="F392" i="77"/>
  <c r="G392" i="77"/>
  <c r="H392" i="77"/>
  <c r="J392" i="77"/>
  <c r="K392" i="77"/>
  <c r="M392" i="77"/>
  <c r="O392" i="77"/>
  <c r="P392" i="77"/>
  <c r="R392" i="77"/>
  <c r="S392" i="77"/>
  <c r="U392" i="77"/>
  <c r="W392" i="77"/>
  <c r="X392" i="77"/>
  <c r="AO392" i="77"/>
  <c r="AP392" i="77"/>
  <c r="AQ392" i="77"/>
  <c r="AR392" i="77"/>
  <c r="AS392" i="77"/>
  <c r="AT392" i="77"/>
  <c r="AU392" i="77"/>
  <c r="AW392" i="77"/>
  <c r="AX392" i="77"/>
  <c r="AY392" i="77"/>
  <c r="BA392" i="77"/>
  <c r="A393" i="77"/>
  <c r="B393" i="77"/>
  <c r="D393" i="77"/>
  <c r="E393" i="77"/>
  <c r="F393" i="77"/>
  <c r="G393" i="77"/>
  <c r="H393" i="77"/>
  <c r="J393" i="77"/>
  <c r="K393" i="77"/>
  <c r="M393" i="77"/>
  <c r="O393" i="77"/>
  <c r="P393" i="77"/>
  <c r="R393" i="77"/>
  <c r="S393" i="77"/>
  <c r="U393" i="77"/>
  <c r="W393" i="77"/>
  <c r="X393" i="77"/>
  <c r="AO393" i="77"/>
  <c r="AP393" i="77"/>
  <c r="AQ393" i="77"/>
  <c r="AR393" i="77"/>
  <c r="AS393" i="77"/>
  <c r="AT393" i="77"/>
  <c r="AU393" i="77"/>
  <c r="AW393" i="77"/>
  <c r="AX393" i="77"/>
  <c r="AY393" i="77"/>
  <c r="BA393" i="77"/>
  <c r="A394" i="77"/>
  <c r="B394" i="77"/>
  <c r="D394" i="77"/>
  <c r="E394" i="77"/>
  <c r="F394" i="77"/>
  <c r="G394" i="77"/>
  <c r="H394" i="77"/>
  <c r="J394" i="77"/>
  <c r="K394" i="77"/>
  <c r="M394" i="77"/>
  <c r="O394" i="77"/>
  <c r="P394" i="77"/>
  <c r="R394" i="77"/>
  <c r="S394" i="77"/>
  <c r="U394" i="77"/>
  <c r="W394" i="77"/>
  <c r="X394" i="77"/>
  <c r="AO394" i="77"/>
  <c r="AP394" i="77"/>
  <c r="AQ394" i="77"/>
  <c r="AR394" i="77"/>
  <c r="AS394" i="77"/>
  <c r="AT394" i="77"/>
  <c r="AU394" i="77"/>
  <c r="AW394" i="77"/>
  <c r="AX394" i="77"/>
  <c r="AY394" i="77"/>
  <c r="BA394" i="77"/>
  <c r="A395" i="77"/>
  <c r="B395" i="77"/>
  <c r="D395" i="77"/>
  <c r="E395" i="77"/>
  <c r="F395" i="77"/>
  <c r="G395" i="77"/>
  <c r="H395" i="77"/>
  <c r="J395" i="77"/>
  <c r="K395" i="77"/>
  <c r="M395" i="77"/>
  <c r="O395" i="77"/>
  <c r="P395" i="77"/>
  <c r="R395" i="77"/>
  <c r="S395" i="77"/>
  <c r="U395" i="77"/>
  <c r="W395" i="77"/>
  <c r="X395" i="77"/>
  <c r="AO395" i="77"/>
  <c r="AP395" i="77"/>
  <c r="AQ395" i="77"/>
  <c r="AR395" i="77"/>
  <c r="AS395" i="77"/>
  <c r="AT395" i="77"/>
  <c r="AU395" i="77"/>
  <c r="AW395" i="77"/>
  <c r="AX395" i="77"/>
  <c r="AY395" i="77"/>
  <c r="BA395" i="77"/>
  <c r="A396" i="77"/>
  <c r="B396" i="77"/>
  <c r="D396" i="77"/>
  <c r="E396" i="77"/>
  <c r="F396" i="77"/>
  <c r="G396" i="77"/>
  <c r="H396" i="77"/>
  <c r="J396" i="77"/>
  <c r="K396" i="77"/>
  <c r="M396" i="77"/>
  <c r="O396" i="77"/>
  <c r="P396" i="77"/>
  <c r="R396" i="77"/>
  <c r="S396" i="77"/>
  <c r="U396" i="77"/>
  <c r="W396" i="77"/>
  <c r="X396" i="77"/>
  <c r="AO396" i="77"/>
  <c r="AP396" i="77"/>
  <c r="AQ396" i="77"/>
  <c r="AR396" i="77"/>
  <c r="AS396" i="77"/>
  <c r="AT396" i="77"/>
  <c r="AU396" i="77"/>
  <c r="AW396" i="77"/>
  <c r="AX396" i="77"/>
  <c r="AY396" i="77"/>
  <c r="BA396" i="77"/>
  <c r="A397" i="77"/>
  <c r="B397" i="77"/>
  <c r="D397" i="77"/>
  <c r="E397" i="77"/>
  <c r="F397" i="77"/>
  <c r="G397" i="77"/>
  <c r="H397" i="77"/>
  <c r="J397" i="77"/>
  <c r="K397" i="77"/>
  <c r="M397" i="77"/>
  <c r="O397" i="77"/>
  <c r="P397" i="77"/>
  <c r="R397" i="77"/>
  <c r="S397" i="77"/>
  <c r="U397" i="77"/>
  <c r="W397" i="77"/>
  <c r="X397" i="77"/>
  <c r="AO397" i="77"/>
  <c r="AP397" i="77"/>
  <c r="AQ397" i="77"/>
  <c r="AR397" i="77"/>
  <c r="AS397" i="77"/>
  <c r="AT397" i="77"/>
  <c r="AU397" i="77"/>
  <c r="AW397" i="77"/>
  <c r="AX397" i="77"/>
  <c r="AY397" i="77"/>
  <c r="BA397" i="77"/>
  <c r="A398" i="77"/>
  <c r="B398" i="77"/>
  <c r="D398" i="77"/>
  <c r="E398" i="77"/>
  <c r="F398" i="77"/>
  <c r="G398" i="77"/>
  <c r="H398" i="77"/>
  <c r="J398" i="77"/>
  <c r="K398" i="77"/>
  <c r="M398" i="77"/>
  <c r="O398" i="77"/>
  <c r="P398" i="77"/>
  <c r="R398" i="77"/>
  <c r="S398" i="77"/>
  <c r="U398" i="77"/>
  <c r="W398" i="77"/>
  <c r="X398" i="77"/>
  <c r="AO398" i="77"/>
  <c r="AP398" i="77"/>
  <c r="AQ398" i="77"/>
  <c r="AR398" i="77"/>
  <c r="AS398" i="77"/>
  <c r="AT398" i="77"/>
  <c r="AU398" i="77"/>
  <c r="AW398" i="77"/>
  <c r="AX398" i="77"/>
  <c r="AY398" i="77"/>
  <c r="BA398" i="77"/>
  <c r="A399" i="77"/>
  <c r="B399" i="77"/>
  <c r="D399" i="77"/>
  <c r="E399" i="77"/>
  <c r="F399" i="77"/>
  <c r="G399" i="77"/>
  <c r="H399" i="77"/>
  <c r="J399" i="77"/>
  <c r="K399" i="77"/>
  <c r="M399" i="77"/>
  <c r="O399" i="77"/>
  <c r="P399" i="77"/>
  <c r="R399" i="77"/>
  <c r="S399" i="77"/>
  <c r="U399" i="77"/>
  <c r="W399" i="77"/>
  <c r="X399" i="77"/>
  <c r="AO399" i="77"/>
  <c r="AP399" i="77"/>
  <c r="AQ399" i="77"/>
  <c r="AR399" i="77"/>
  <c r="AS399" i="77"/>
  <c r="AT399" i="77"/>
  <c r="AU399" i="77"/>
  <c r="AW399" i="77"/>
  <c r="AX399" i="77"/>
  <c r="AY399" i="77"/>
  <c r="BA399" i="77"/>
  <c r="A400" i="77"/>
  <c r="B400" i="77"/>
  <c r="D400" i="77"/>
  <c r="E400" i="77"/>
  <c r="F400" i="77"/>
  <c r="G400" i="77"/>
  <c r="H400" i="77"/>
  <c r="J400" i="77"/>
  <c r="K400" i="77"/>
  <c r="M400" i="77"/>
  <c r="O400" i="77"/>
  <c r="P400" i="77"/>
  <c r="R400" i="77"/>
  <c r="S400" i="77"/>
  <c r="U400" i="77"/>
  <c r="W400" i="77"/>
  <c r="X400" i="77"/>
  <c r="AO400" i="77"/>
  <c r="AP400" i="77"/>
  <c r="AQ400" i="77"/>
  <c r="AR400" i="77"/>
  <c r="AS400" i="77"/>
  <c r="AT400" i="77"/>
  <c r="AU400" i="77"/>
  <c r="AW400" i="77"/>
  <c r="AX400" i="77"/>
  <c r="AY400" i="77"/>
  <c r="BA400" i="77"/>
  <c r="A401" i="77"/>
  <c r="B401" i="77"/>
  <c r="D401" i="77"/>
  <c r="E401" i="77"/>
  <c r="F401" i="77"/>
  <c r="G401" i="77"/>
  <c r="H401" i="77"/>
  <c r="J401" i="77"/>
  <c r="K401" i="77"/>
  <c r="M401" i="77"/>
  <c r="O401" i="77"/>
  <c r="P401" i="77"/>
  <c r="R401" i="77"/>
  <c r="S401" i="77"/>
  <c r="U401" i="77"/>
  <c r="W401" i="77"/>
  <c r="X401" i="77"/>
  <c r="AO401" i="77"/>
  <c r="AP401" i="77"/>
  <c r="AQ401" i="77"/>
  <c r="AR401" i="77"/>
  <c r="AS401" i="77"/>
  <c r="AT401" i="77"/>
  <c r="AU401" i="77"/>
  <c r="AW401" i="77"/>
  <c r="AX401" i="77"/>
  <c r="AY401" i="77"/>
  <c r="BA401" i="77"/>
  <c r="A402" i="77"/>
  <c r="B402" i="77"/>
  <c r="D402" i="77"/>
  <c r="E402" i="77"/>
  <c r="F402" i="77"/>
  <c r="G402" i="77"/>
  <c r="H402" i="77"/>
  <c r="J402" i="77"/>
  <c r="K402" i="77"/>
  <c r="M402" i="77"/>
  <c r="O402" i="77"/>
  <c r="P402" i="77"/>
  <c r="R402" i="77"/>
  <c r="S402" i="77"/>
  <c r="U402" i="77"/>
  <c r="W402" i="77"/>
  <c r="X402" i="77"/>
  <c r="AO402" i="77"/>
  <c r="AP402" i="77"/>
  <c r="AQ402" i="77"/>
  <c r="AR402" i="77"/>
  <c r="AS402" i="77"/>
  <c r="AT402" i="77"/>
  <c r="AU402" i="77"/>
  <c r="AW402" i="77"/>
  <c r="AX402" i="77"/>
  <c r="AY402" i="77"/>
  <c r="BA402" i="77"/>
  <c r="A403" i="77"/>
  <c r="B403" i="77"/>
  <c r="D403" i="77"/>
  <c r="E403" i="77"/>
  <c r="F403" i="77"/>
  <c r="G403" i="77"/>
  <c r="H403" i="77"/>
  <c r="J403" i="77"/>
  <c r="K403" i="77"/>
  <c r="M403" i="77"/>
  <c r="O403" i="77"/>
  <c r="P403" i="77"/>
  <c r="R403" i="77"/>
  <c r="S403" i="77"/>
  <c r="U403" i="77"/>
  <c r="W403" i="77"/>
  <c r="X403" i="77"/>
  <c r="AO403" i="77"/>
  <c r="AP403" i="77"/>
  <c r="AQ403" i="77"/>
  <c r="AR403" i="77"/>
  <c r="AS403" i="77"/>
  <c r="AT403" i="77"/>
  <c r="AU403" i="77"/>
  <c r="AW403" i="77"/>
  <c r="AX403" i="77"/>
  <c r="AY403" i="77"/>
  <c r="BA403" i="77"/>
  <c r="A404" i="77"/>
  <c r="B404" i="77"/>
  <c r="D404" i="77"/>
  <c r="E404" i="77"/>
  <c r="F404" i="77"/>
  <c r="G404" i="77"/>
  <c r="H404" i="77"/>
  <c r="J404" i="77"/>
  <c r="K404" i="77"/>
  <c r="M404" i="77"/>
  <c r="O404" i="77"/>
  <c r="P404" i="77"/>
  <c r="R404" i="77"/>
  <c r="S404" i="77"/>
  <c r="U404" i="77"/>
  <c r="W404" i="77"/>
  <c r="X404" i="77"/>
  <c r="AO404" i="77"/>
  <c r="AP404" i="77"/>
  <c r="AQ404" i="77"/>
  <c r="AR404" i="77"/>
  <c r="AS404" i="77"/>
  <c r="AT404" i="77"/>
  <c r="AU404" i="77"/>
  <c r="AW404" i="77"/>
  <c r="AX404" i="77"/>
  <c r="AY404" i="77"/>
  <c r="BA404" i="77"/>
  <c r="A405" i="77"/>
  <c r="B405" i="77"/>
  <c r="D405" i="77"/>
  <c r="E405" i="77"/>
  <c r="F405" i="77"/>
  <c r="G405" i="77"/>
  <c r="H405" i="77"/>
  <c r="J405" i="77"/>
  <c r="K405" i="77"/>
  <c r="M405" i="77"/>
  <c r="O405" i="77"/>
  <c r="P405" i="77"/>
  <c r="R405" i="77"/>
  <c r="S405" i="77"/>
  <c r="U405" i="77"/>
  <c r="W405" i="77"/>
  <c r="X405" i="77"/>
  <c r="AO405" i="77"/>
  <c r="AP405" i="77"/>
  <c r="AQ405" i="77"/>
  <c r="AR405" i="77"/>
  <c r="AS405" i="77"/>
  <c r="AT405" i="77"/>
  <c r="AU405" i="77"/>
  <c r="AW405" i="77"/>
  <c r="AX405" i="77"/>
  <c r="AY405" i="77"/>
  <c r="BA405" i="77"/>
  <c r="A406" i="77"/>
  <c r="B406" i="77"/>
  <c r="D406" i="77"/>
  <c r="E406" i="77"/>
  <c r="F406" i="77"/>
  <c r="G406" i="77"/>
  <c r="H406" i="77"/>
  <c r="J406" i="77"/>
  <c r="K406" i="77"/>
  <c r="M406" i="77"/>
  <c r="O406" i="77"/>
  <c r="P406" i="77"/>
  <c r="R406" i="77"/>
  <c r="S406" i="77"/>
  <c r="U406" i="77"/>
  <c r="W406" i="77"/>
  <c r="X406" i="77"/>
  <c r="AO406" i="77"/>
  <c r="AP406" i="77"/>
  <c r="AQ406" i="77"/>
  <c r="AR406" i="77"/>
  <c r="AS406" i="77"/>
  <c r="AT406" i="77"/>
  <c r="AU406" i="77"/>
  <c r="AW406" i="77"/>
  <c r="AX406" i="77"/>
  <c r="AY406" i="77"/>
  <c r="BA406" i="77"/>
  <c r="A407" i="77"/>
  <c r="B407" i="77"/>
  <c r="D407" i="77"/>
  <c r="E407" i="77"/>
  <c r="F407" i="77"/>
  <c r="G407" i="77"/>
  <c r="H407" i="77"/>
  <c r="J407" i="77"/>
  <c r="K407" i="77"/>
  <c r="M407" i="77"/>
  <c r="O407" i="77"/>
  <c r="P407" i="77"/>
  <c r="R407" i="77"/>
  <c r="S407" i="77"/>
  <c r="U407" i="77"/>
  <c r="W407" i="77"/>
  <c r="X407" i="77"/>
  <c r="AO407" i="77"/>
  <c r="AP407" i="77"/>
  <c r="AQ407" i="77"/>
  <c r="AR407" i="77"/>
  <c r="AS407" i="77"/>
  <c r="AT407" i="77"/>
  <c r="AU407" i="77"/>
  <c r="AW407" i="77"/>
  <c r="AX407" i="77"/>
  <c r="AY407" i="77"/>
  <c r="BA407" i="77"/>
  <c r="A408" i="77"/>
  <c r="B408" i="77"/>
  <c r="D408" i="77"/>
  <c r="E408" i="77"/>
  <c r="F408" i="77"/>
  <c r="G408" i="77"/>
  <c r="H408" i="77"/>
  <c r="J408" i="77"/>
  <c r="K408" i="77"/>
  <c r="M408" i="77"/>
  <c r="O408" i="77"/>
  <c r="P408" i="77"/>
  <c r="R408" i="77"/>
  <c r="S408" i="77"/>
  <c r="U408" i="77"/>
  <c r="W408" i="77"/>
  <c r="X408" i="77"/>
  <c r="AO408" i="77"/>
  <c r="AP408" i="77"/>
  <c r="AQ408" i="77"/>
  <c r="AR408" i="77"/>
  <c r="AS408" i="77"/>
  <c r="AT408" i="77"/>
  <c r="AU408" i="77"/>
  <c r="AW408" i="77"/>
  <c r="AX408" i="77"/>
  <c r="AY408" i="77"/>
  <c r="BA408" i="77"/>
  <c r="A409" i="77"/>
  <c r="B409" i="77"/>
  <c r="D409" i="77"/>
  <c r="E409" i="77"/>
  <c r="F409" i="77"/>
  <c r="G409" i="77"/>
  <c r="H409" i="77"/>
  <c r="J409" i="77"/>
  <c r="K409" i="77"/>
  <c r="M409" i="77"/>
  <c r="O409" i="77"/>
  <c r="P409" i="77"/>
  <c r="R409" i="77"/>
  <c r="S409" i="77"/>
  <c r="U409" i="77"/>
  <c r="W409" i="77"/>
  <c r="X409" i="77"/>
  <c r="AO409" i="77"/>
  <c r="AP409" i="77"/>
  <c r="AQ409" i="77"/>
  <c r="AR409" i="77"/>
  <c r="AS409" i="77"/>
  <c r="AT409" i="77"/>
  <c r="AU409" i="77"/>
  <c r="AW409" i="77"/>
  <c r="AX409" i="77"/>
  <c r="AY409" i="77"/>
  <c r="BA409" i="77"/>
  <c r="A410" i="77"/>
  <c r="B410" i="77"/>
  <c r="D410" i="77"/>
  <c r="E410" i="77"/>
  <c r="F410" i="77"/>
  <c r="G410" i="77"/>
  <c r="H410" i="77"/>
  <c r="J410" i="77"/>
  <c r="K410" i="77"/>
  <c r="M410" i="77"/>
  <c r="O410" i="77"/>
  <c r="P410" i="77"/>
  <c r="R410" i="77"/>
  <c r="S410" i="77"/>
  <c r="U410" i="77"/>
  <c r="W410" i="77"/>
  <c r="X410" i="77"/>
  <c r="AO410" i="77"/>
  <c r="AP410" i="77"/>
  <c r="AQ410" i="77"/>
  <c r="AR410" i="77"/>
  <c r="AS410" i="77"/>
  <c r="AT410" i="77"/>
  <c r="AU410" i="77"/>
  <c r="AW410" i="77"/>
  <c r="AX410" i="77"/>
  <c r="AY410" i="77"/>
  <c r="BA410" i="77"/>
  <c r="A411" i="77"/>
  <c r="B411" i="77"/>
  <c r="D411" i="77"/>
  <c r="E411" i="77"/>
  <c r="F411" i="77"/>
  <c r="G411" i="77"/>
  <c r="H411" i="77"/>
  <c r="J411" i="77"/>
  <c r="K411" i="77"/>
  <c r="M411" i="77"/>
  <c r="O411" i="77"/>
  <c r="P411" i="77"/>
  <c r="R411" i="77"/>
  <c r="S411" i="77"/>
  <c r="U411" i="77"/>
  <c r="W411" i="77"/>
  <c r="X411" i="77"/>
  <c r="AO411" i="77"/>
  <c r="AP411" i="77"/>
  <c r="AQ411" i="77"/>
  <c r="AR411" i="77"/>
  <c r="AS411" i="77"/>
  <c r="AT411" i="77"/>
  <c r="AU411" i="77"/>
  <c r="AW411" i="77"/>
  <c r="AX411" i="77"/>
  <c r="AY411" i="77"/>
  <c r="BA411" i="77"/>
  <c r="A412" i="77"/>
  <c r="B412" i="77"/>
  <c r="D412" i="77"/>
  <c r="E412" i="77"/>
  <c r="F412" i="77"/>
  <c r="G412" i="77"/>
  <c r="H412" i="77"/>
  <c r="J412" i="77"/>
  <c r="K412" i="77"/>
  <c r="M412" i="77"/>
  <c r="O412" i="77"/>
  <c r="P412" i="77"/>
  <c r="R412" i="77"/>
  <c r="S412" i="77"/>
  <c r="U412" i="77"/>
  <c r="W412" i="77"/>
  <c r="X412" i="77"/>
  <c r="AO412" i="77"/>
  <c r="AP412" i="77"/>
  <c r="AQ412" i="77"/>
  <c r="AR412" i="77"/>
  <c r="AS412" i="77"/>
  <c r="AT412" i="77"/>
  <c r="AU412" i="77"/>
  <c r="AW412" i="77"/>
  <c r="AX412" i="77"/>
  <c r="AY412" i="77"/>
  <c r="BA412" i="77"/>
  <c r="A413" i="77"/>
  <c r="B413" i="77"/>
  <c r="D413" i="77"/>
  <c r="E413" i="77"/>
  <c r="F413" i="77"/>
  <c r="G413" i="77"/>
  <c r="H413" i="77"/>
  <c r="J413" i="77"/>
  <c r="K413" i="77"/>
  <c r="M413" i="77"/>
  <c r="O413" i="77"/>
  <c r="P413" i="77"/>
  <c r="R413" i="77"/>
  <c r="S413" i="77"/>
  <c r="U413" i="77"/>
  <c r="W413" i="77"/>
  <c r="X413" i="77"/>
  <c r="AO413" i="77"/>
  <c r="AP413" i="77"/>
  <c r="AQ413" i="77"/>
  <c r="AR413" i="77"/>
  <c r="AS413" i="77"/>
  <c r="AT413" i="77"/>
  <c r="AU413" i="77"/>
  <c r="AW413" i="77"/>
  <c r="AX413" i="77"/>
  <c r="AY413" i="77"/>
  <c r="BA413" i="77"/>
  <c r="A414" i="77"/>
  <c r="B414" i="77"/>
  <c r="D414" i="77"/>
  <c r="E414" i="77"/>
  <c r="F414" i="77"/>
  <c r="G414" i="77"/>
  <c r="H414" i="77"/>
  <c r="J414" i="77"/>
  <c r="K414" i="77"/>
  <c r="M414" i="77"/>
  <c r="O414" i="77"/>
  <c r="P414" i="77"/>
  <c r="R414" i="77"/>
  <c r="S414" i="77"/>
  <c r="U414" i="77"/>
  <c r="W414" i="77"/>
  <c r="X414" i="77"/>
  <c r="AO414" i="77"/>
  <c r="AP414" i="77"/>
  <c r="AQ414" i="77"/>
  <c r="AR414" i="77"/>
  <c r="AS414" i="77"/>
  <c r="AT414" i="77"/>
  <c r="AU414" i="77"/>
  <c r="AW414" i="77"/>
  <c r="AX414" i="77"/>
  <c r="AY414" i="77"/>
  <c r="BA414" i="77"/>
  <c r="A415" i="77"/>
  <c r="B415" i="77"/>
  <c r="D415" i="77"/>
  <c r="E415" i="77"/>
  <c r="F415" i="77"/>
  <c r="G415" i="77"/>
  <c r="H415" i="77"/>
  <c r="J415" i="77"/>
  <c r="K415" i="77"/>
  <c r="M415" i="77"/>
  <c r="O415" i="77"/>
  <c r="P415" i="77"/>
  <c r="R415" i="77"/>
  <c r="S415" i="77"/>
  <c r="U415" i="77"/>
  <c r="W415" i="77"/>
  <c r="X415" i="77"/>
  <c r="AO415" i="77"/>
  <c r="AP415" i="77"/>
  <c r="AQ415" i="77"/>
  <c r="AR415" i="77"/>
  <c r="AS415" i="77"/>
  <c r="AT415" i="77"/>
  <c r="AU415" i="77"/>
  <c r="AW415" i="77"/>
  <c r="AX415" i="77"/>
  <c r="AY415" i="77"/>
  <c r="BA415" i="77"/>
  <c r="A416" i="77"/>
  <c r="B416" i="77"/>
  <c r="D416" i="77"/>
  <c r="E416" i="77"/>
  <c r="F416" i="77"/>
  <c r="G416" i="77"/>
  <c r="H416" i="77"/>
  <c r="J416" i="77"/>
  <c r="K416" i="77"/>
  <c r="M416" i="77"/>
  <c r="O416" i="77"/>
  <c r="P416" i="77"/>
  <c r="R416" i="77"/>
  <c r="S416" i="77"/>
  <c r="U416" i="77"/>
  <c r="W416" i="77"/>
  <c r="X416" i="77"/>
  <c r="AO416" i="77"/>
  <c r="AP416" i="77"/>
  <c r="AQ416" i="77"/>
  <c r="AR416" i="77"/>
  <c r="AS416" i="77"/>
  <c r="AT416" i="77"/>
  <c r="AU416" i="77"/>
  <c r="AW416" i="77"/>
  <c r="AX416" i="77"/>
  <c r="AY416" i="77"/>
  <c r="BA416" i="77"/>
  <c r="A417" i="77"/>
  <c r="B417" i="77"/>
  <c r="D417" i="77"/>
  <c r="E417" i="77"/>
  <c r="F417" i="77"/>
  <c r="G417" i="77"/>
  <c r="H417" i="77"/>
  <c r="J417" i="77"/>
  <c r="K417" i="77"/>
  <c r="M417" i="77"/>
  <c r="O417" i="77"/>
  <c r="P417" i="77"/>
  <c r="R417" i="77"/>
  <c r="S417" i="77"/>
  <c r="U417" i="77"/>
  <c r="W417" i="77"/>
  <c r="X417" i="77"/>
  <c r="AO417" i="77"/>
  <c r="AP417" i="77"/>
  <c r="AQ417" i="77"/>
  <c r="AR417" i="77"/>
  <c r="AS417" i="77"/>
  <c r="AT417" i="77"/>
  <c r="AU417" i="77"/>
  <c r="AW417" i="77"/>
  <c r="AX417" i="77"/>
  <c r="AY417" i="77"/>
  <c r="BA417" i="77"/>
  <c r="A418" i="77"/>
  <c r="B418" i="77"/>
  <c r="D418" i="77"/>
  <c r="E418" i="77"/>
  <c r="F418" i="77"/>
  <c r="G418" i="77"/>
  <c r="H418" i="77"/>
  <c r="J418" i="77"/>
  <c r="K418" i="77"/>
  <c r="M418" i="77"/>
  <c r="O418" i="77"/>
  <c r="P418" i="77"/>
  <c r="R418" i="77"/>
  <c r="S418" i="77"/>
  <c r="U418" i="77"/>
  <c r="W418" i="77"/>
  <c r="X418" i="77"/>
  <c r="AO418" i="77"/>
  <c r="AP418" i="77"/>
  <c r="AQ418" i="77"/>
  <c r="AR418" i="77"/>
  <c r="AS418" i="77"/>
  <c r="AT418" i="77"/>
  <c r="AU418" i="77"/>
  <c r="AW418" i="77"/>
  <c r="AX418" i="77"/>
  <c r="AY418" i="77"/>
  <c r="BA418" i="77"/>
  <c r="A419" i="77"/>
  <c r="B419" i="77"/>
  <c r="D419" i="77"/>
  <c r="E419" i="77"/>
  <c r="F419" i="77"/>
  <c r="G419" i="77"/>
  <c r="H419" i="77"/>
  <c r="J419" i="77"/>
  <c r="K419" i="77"/>
  <c r="M419" i="77"/>
  <c r="O419" i="77"/>
  <c r="P419" i="77"/>
  <c r="R419" i="77"/>
  <c r="S419" i="77"/>
  <c r="U419" i="77"/>
  <c r="W419" i="77"/>
  <c r="X419" i="77"/>
  <c r="AO419" i="77"/>
  <c r="AP419" i="77"/>
  <c r="AQ419" i="77"/>
  <c r="AR419" i="77"/>
  <c r="AS419" i="77"/>
  <c r="AT419" i="77"/>
  <c r="AU419" i="77"/>
  <c r="AW419" i="77"/>
  <c r="AX419" i="77"/>
  <c r="AY419" i="77"/>
  <c r="BA419" i="77"/>
  <c r="A420" i="77"/>
  <c r="B420" i="77"/>
  <c r="D420" i="77"/>
  <c r="E420" i="77"/>
  <c r="F420" i="77"/>
  <c r="G420" i="77"/>
  <c r="H420" i="77"/>
  <c r="J420" i="77"/>
  <c r="K420" i="77"/>
  <c r="M420" i="77"/>
  <c r="O420" i="77"/>
  <c r="P420" i="77"/>
  <c r="R420" i="77"/>
  <c r="S420" i="77"/>
  <c r="U420" i="77"/>
  <c r="W420" i="77"/>
  <c r="X420" i="77"/>
  <c r="AO420" i="77"/>
  <c r="AP420" i="77"/>
  <c r="AQ420" i="77"/>
  <c r="AR420" i="77"/>
  <c r="AS420" i="77"/>
  <c r="AT420" i="77"/>
  <c r="AU420" i="77"/>
  <c r="AW420" i="77"/>
  <c r="AX420" i="77"/>
  <c r="AY420" i="77"/>
  <c r="BA420" i="77"/>
  <c r="A421" i="77"/>
  <c r="B421" i="77"/>
  <c r="D421" i="77"/>
  <c r="E421" i="77"/>
  <c r="F421" i="77"/>
  <c r="G421" i="77"/>
  <c r="H421" i="77"/>
  <c r="J421" i="77"/>
  <c r="K421" i="77"/>
  <c r="M421" i="77"/>
  <c r="O421" i="77"/>
  <c r="P421" i="77"/>
  <c r="R421" i="77"/>
  <c r="S421" i="77"/>
  <c r="U421" i="77"/>
  <c r="W421" i="77"/>
  <c r="X421" i="77"/>
  <c r="AO421" i="77"/>
  <c r="AP421" i="77"/>
  <c r="AQ421" i="77"/>
  <c r="AR421" i="77"/>
  <c r="AS421" i="77"/>
  <c r="AT421" i="77"/>
  <c r="AU421" i="77"/>
  <c r="AW421" i="77"/>
  <c r="AX421" i="77"/>
  <c r="AY421" i="77"/>
  <c r="BA421" i="77"/>
  <c r="A422" i="77"/>
  <c r="B422" i="77"/>
  <c r="D422" i="77"/>
  <c r="E422" i="77"/>
  <c r="F422" i="77"/>
  <c r="G422" i="77"/>
  <c r="H422" i="77"/>
  <c r="J422" i="77"/>
  <c r="K422" i="77"/>
  <c r="M422" i="77"/>
  <c r="O422" i="77"/>
  <c r="P422" i="77"/>
  <c r="R422" i="77"/>
  <c r="S422" i="77"/>
  <c r="U422" i="77"/>
  <c r="W422" i="77"/>
  <c r="X422" i="77"/>
  <c r="AO422" i="77"/>
  <c r="AP422" i="77"/>
  <c r="AQ422" i="77"/>
  <c r="AR422" i="77"/>
  <c r="AS422" i="77"/>
  <c r="AT422" i="77"/>
  <c r="AU422" i="77"/>
  <c r="AW422" i="77"/>
  <c r="AX422" i="77"/>
  <c r="AY422" i="77"/>
  <c r="BA422" i="77"/>
  <c r="A423" i="77"/>
  <c r="B423" i="77"/>
  <c r="D423" i="77"/>
  <c r="E423" i="77"/>
  <c r="F423" i="77"/>
  <c r="G423" i="77"/>
  <c r="H423" i="77"/>
  <c r="J423" i="77"/>
  <c r="K423" i="77"/>
  <c r="M423" i="77"/>
  <c r="O423" i="77"/>
  <c r="P423" i="77"/>
  <c r="R423" i="77"/>
  <c r="S423" i="77"/>
  <c r="U423" i="77"/>
  <c r="W423" i="77"/>
  <c r="X423" i="77"/>
  <c r="AO423" i="77"/>
  <c r="AP423" i="77"/>
  <c r="AQ423" i="77"/>
  <c r="AR423" i="77"/>
  <c r="AS423" i="77"/>
  <c r="AT423" i="77"/>
  <c r="AU423" i="77"/>
  <c r="AW423" i="77"/>
  <c r="AX423" i="77"/>
  <c r="AY423" i="77"/>
  <c r="BA423" i="77"/>
  <c r="A424" i="77"/>
  <c r="B424" i="77"/>
  <c r="D424" i="77"/>
  <c r="E424" i="77"/>
  <c r="F424" i="77"/>
  <c r="G424" i="77"/>
  <c r="H424" i="77"/>
  <c r="J424" i="77"/>
  <c r="K424" i="77"/>
  <c r="M424" i="77"/>
  <c r="O424" i="77"/>
  <c r="P424" i="77"/>
  <c r="R424" i="77"/>
  <c r="S424" i="77"/>
  <c r="U424" i="77"/>
  <c r="W424" i="77"/>
  <c r="X424" i="77"/>
  <c r="AO424" i="77"/>
  <c r="AP424" i="77"/>
  <c r="AQ424" i="77"/>
  <c r="AR424" i="77"/>
  <c r="AS424" i="77"/>
  <c r="AT424" i="77"/>
  <c r="AU424" i="77"/>
  <c r="AW424" i="77"/>
  <c r="AX424" i="77"/>
  <c r="AY424" i="77"/>
  <c r="BA424" i="77"/>
  <c r="A425" i="77"/>
  <c r="B425" i="77"/>
  <c r="D425" i="77"/>
  <c r="E425" i="77"/>
  <c r="F425" i="77"/>
  <c r="G425" i="77"/>
  <c r="H425" i="77"/>
  <c r="J425" i="77"/>
  <c r="K425" i="77"/>
  <c r="M425" i="77"/>
  <c r="O425" i="77"/>
  <c r="P425" i="77"/>
  <c r="R425" i="77"/>
  <c r="S425" i="77"/>
  <c r="U425" i="77"/>
  <c r="W425" i="77"/>
  <c r="X425" i="77"/>
  <c r="AO425" i="77"/>
  <c r="AP425" i="77"/>
  <c r="AQ425" i="77"/>
  <c r="AR425" i="77"/>
  <c r="AS425" i="77"/>
  <c r="AT425" i="77"/>
  <c r="AU425" i="77"/>
  <c r="AW425" i="77"/>
  <c r="AX425" i="77"/>
  <c r="AY425" i="77"/>
  <c r="BA425" i="77"/>
  <c r="A426" i="77"/>
  <c r="B426" i="77"/>
  <c r="D426" i="77"/>
  <c r="E426" i="77"/>
  <c r="F426" i="77"/>
  <c r="G426" i="77"/>
  <c r="H426" i="77"/>
  <c r="J426" i="77"/>
  <c r="K426" i="77"/>
  <c r="M426" i="77"/>
  <c r="O426" i="77"/>
  <c r="P426" i="77"/>
  <c r="R426" i="77"/>
  <c r="S426" i="77"/>
  <c r="U426" i="77"/>
  <c r="W426" i="77"/>
  <c r="X426" i="77"/>
  <c r="AO426" i="77"/>
  <c r="AP426" i="77"/>
  <c r="AQ426" i="77"/>
  <c r="AR426" i="77"/>
  <c r="AS426" i="77"/>
  <c r="AT426" i="77"/>
  <c r="AU426" i="77"/>
  <c r="AW426" i="77"/>
  <c r="AX426" i="77"/>
  <c r="AY426" i="77"/>
  <c r="BA426" i="77"/>
  <c r="A427" i="77"/>
  <c r="B427" i="77"/>
  <c r="D427" i="77"/>
  <c r="E427" i="77"/>
  <c r="F427" i="77"/>
  <c r="G427" i="77"/>
  <c r="H427" i="77"/>
  <c r="J427" i="77"/>
  <c r="K427" i="77"/>
  <c r="M427" i="77"/>
  <c r="O427" i="77"/>
  <c r="P427" i="77"/>
  <c r="R427" i="77"/>
  <c r="S427" i="77"/>
  <c r="U427" i="77"/>
  <c r="W427" i="77"/>
  <c r="X427" i="77"/>
  <c r="AO427" i="77"/>
  <c r="AP427" i="77"/>
  <c r="AQ427" i="77"/>
  <c r="AR427" i="77"/>
  <c r="AS427" i="77"/>
  <c r="AT427" i="77"/>
  <c r="AU427" i="77"/>
  <c r="AW427" i="77"/>
  <c r="AX427" i="77"/>
  <c r="AY427" i="77"/>
  <c r="BA427" i="77"/>
  <c r="A428" i="77"/>
  <c r="B428" i="77"/>
  <c r="D428" i="77"/>
  <c r="E428" i="77"/>
  <c r="F428" i="77"/>
  <c r="G428" i="77"/>
  <c r="H428" i="77"/>
  <c r="J428" i="77"/>
  <c r="K428" i="77"/>
  <c r="M428" i="77"/>
  <c r="O428" i="77"/>
  <c r="P428" i="77"/>
  <c r="R428" i="77"/>
  <c r="S428" i="77"/>
  <c r="U428" i="77"/>
  <c r="W428" i="77"/>
  <c r="X428" i="77"/>
  <c r="AO428" i="77"/>
  <c r="AP428" i="77"/>
  <c r="AQ428" i="77"/>
  <c r="AR428" i="77"/>
  <c r="AS428" i="77"/>
  <c r="AT428" i="77"/>
  <c r="AU428" i="77"/>
  <c r="AW428" i="77"/>
  <c r="AX428" i="77"/>
  <c r="AY428" i="77"/>
  <c r="BA428" i="77"/>
  <c r="A429" i="77"/>
  <c r="B429" i="77"/>
  <c r="D429" i="77"/>
  <c r="E429" i="77"/>
  <c r="F429" i="77"/>
  <c r="G429" i="77"/>
  <c r="H429" i="77"/>
  <c r="J429" i="77"/>
  <c r="K429" i="77"/>
  <c r="M429" i="77"/>
  <c r="O429" i="77"/>
  <c r="P429" i="77"/>
  <c r="R429" i="77"/>
  <c r="S429" i="77"/>
  <c r="U429" i="77"/>
  <c r="W429" i="77"/>
  <c r="X429" i="77"/>
  <c r="AO429" i="77"/>
  <c r="AP429" i="77"/>
  <c r="AQ429" i="77"/>
  <c r="AR429" i="77"/>
  <c r="AS429" i="77"/>
  <c r="AT429" i="77"/>
  <c r="AU429" i="77"/>
  <c r="AW429" i="77"/>
  <c r="AX429" i="77"/>
  <c r="AY429" i="77"/>
  <c r="BA429" i="77"/>
  <c r="A430" i="77"/>
  <c r="B430" i="77"/>
  <c r="D430" i="77"/>
  <c r="E430" i="77"/>
  <c r="F430" i="77"/>
  <c r="G430" i="77"/>
  <c r="H430" i="77"/>
  <c r="J430" i="77"/>
  <c r="K430" i="77"/>
  <c r="M430" i="77"/>
  <c r="O430" i="77"/>
  <c r="P430" i="77"/>
  <c r="R430" i="77"/>
  <c r="S430" i="77"/>
  <c r="U430" i="77"/>
  <c r="W430" i="77"/>
  <c r="X430" i="77"/>
  <c r="AO430" i="77"/>
  <c r="AP430" i="77"/>
  <c r="AQ430" i="77"/>
  <c r="AR430" i="77"/>
  <c r="AS430" i="77"/>
  <c r="AT430" i="77"/>
  <c r="AU430" i="77"/>
  <c r="AW430" i="77"/>
  <c r="AX430" i="77"/>
  <c r="AY430" i="77"/>
  <c r="BA430" i="77"/>
  <c r="A431" i="77"/>
  <c r="B431" i="77"/>
  <c r="D431" i="77"/>
  <c r="E431" i="77"/>
  <c r="F431" i="77"/>
  <c r="G431" i="77"/>
  <c r="H431" i="77"/>
  <c r="J431" i="77"/>
  <c r="K431" i="77"/>
  <c r="M431" i="77"/>
  <c r="O431" i="77"/>
  <c r="P431" i="77"/>
  <c r="R431" i="77"/>
  <c r="S431" i="77"/>
  <c r="U431" i="77"/>
  <c r="W431" i="77"/>
  <c r="X431" i="77"/>
  <c r="AO431" i="77"/>
  <c r="AP431" i="77"/>
  <c r="AQ431" i="77"/>
  <c r="AR431" i="77"/>
  <c r="AS431" i="77"/>
  <c r="AT431" i="77"/>
  <c r="AU431" i="77"/>
  <c r="AW431" i="77"/>
  <c r="AX431" i="77"/>
  <c r="AY431" i="77"/>
  <c r="BA431" i="77"/>
  <c r="A432" i="77"/>
  <c r="B432" i="77"/>
  <c r="D432" i="77"/>
  <c r="E432" i="77"/>
  <c r="F432" i="77"/>
  <c r="G432" i="77"/>
  <c r="H432" i="77"/>
  <c r="J432" i="77"/>
  <c r="K432" i="77"/>
  <c r="M432" i="77"/>
  <c r="O432" i="77"/>
  <c r="P432" i="77"/>
  <c r="R432" i="77"/>
  <c r="S432" i="77"/>
  <c r="U432" i="77"/>
  <c r="W432" i="77"/>
  <c r="X432" i="77"/>
  <c r="AO432" i="77"/>
  <c r="AP432" i="77"/>
  <c r="AQ432" i="77"/>
  <c r="AR432" i="77"/>
  <c r="AS432" i="77"/>
  <c r="AT432" i="77"/>
  <c r="AU432" i="77"/>
  <c r="AW432" i="77"/>
  <c r="AX432" i="77"/>
  <c r="AY432" i="77"/>
  <c r="BA432" i="77"/>
  <c r="A433" i="77"/>
  <c r="B433" i="77"/>
  <c r="D433" i="77"/>
  <c r="E433" i="77"/>
  <c r="F433" i="77"/>
  <c r="G433" i="77"/>
  <c r="H433" i="77"/>
  <c r="J433" i="77"/>
  <c r="K433" i="77"/>
  <c r="M433" i="77"/>
  <c r="O433" i="77"/>
  <c r="P433" i="77"/>
  <c r="R433" i="77"/>
  <c r="S433" i="77"/>
  <c r="U433" i="77"/>
  <c r="W433" i="77"/>
  <c r="X433" i="77"/>
  <c r="AO433" i="77"/>
  <c r="AP433" i="77"/>
  <c r="AQ433" i="77"/>
  <c r="AR433" i="77"/>
  <c r="AS433" i="77"/>
  <c r="AT433" i="77"/>
  <c r="AU433" i="77"/>
  <c r="AW433" i="77"/>
  <c r="AX433" i="77"/>
  <c r="AY433" i="77"/>
  <c r="BA433" i="77"/>
  <c r="A434" i="77"/>
  <c r="B434" i="77"/>
  <c r="D434" i="77"/>
  <c r="E434" i="77"/>
  <c r="F434" i="77"/>
  <c r="G434" i="77"/>
  <c r="H434" i="77"/>
  <c r="J434" i="77"/>
  <c r="K434" i="77"/>
  <c r="M434" i="77"/>
  <c r="O434" i="77"/>
  <c r="P434" i="77"/>
  <c r="R434" i="77"/>
  <c r="S434" i="77"/>
  <c r="U434" i="77"/>
  <c r="W434" i="77"/>
  <c r="X434" i="77"/>
  <c r="AO434" i="77"/>
  <c r="AP434" i="77"/>
  <c r="AQ434" i="77"/>
  <c r="AR434" i="77"/>
  <c r="AS434" i="77"/>
  <c r="AT434" i="77"/>
  <c r="AU434" i="77"/>
  <c r="AW434" i="77"/>
  <c r="AX434" i="77"/>
  <c r="AY434" i="77"/>
  <c r="BA434" i="77"/>
  <c r="A435" i="77"/>
  <c r="B435" i="77"/>
  <c r="D435" i="77"/>
  <c r="E435" i="77"/>
  <c r="F435" i="77"/>
  <c r="G435" i="77"/>
  <c r="H435" i="77"/>
  <c r="J435" i="77"/>
  <c r="K435" i="77"/>
  <c r="M435" i="77"/>
  <c r="O435" i="77"/>
  <c r="P435" i="77"/>
  <c r="R435" i="77"/>
  <c r="S435" i="77"/>
  <c r="U435" i="77"/>
  <c r="W435" i="77"/>
  <c r="X435" i="77"/>
  <c r="AO435" i="77"/>
  <c r="AP435" i="77"/>
  <c r="AQ435" i="77"/>
  <c r="AR435" i="77"/>
  <c r="AS435" i="77"/>
  <c r="AT435" i="77"/>
  <c r="AU435" i="77"/>
  <c r="AW435" i="77"/>
  <c r="AX435" i="77"/>
  <c r="AY435" i="77"/>
  <c r="BA435" i="77"/>
  <c r="A436" i="77"/>
  <c r="B436" i="77"/>
  <c r="D436" i="77"/>
  <c r="E436" i="77"/>
  <c r="F436" i="77"/>
  <c r="G436" i="77"/>
  <c r="H436" i="77"/>
  <c r="J436" i="77"/>
  <c r="K436" i="77"/>
  <c r="M436" i="77"/>
  <c r="O436" i="77"/>
  <c r="P436" i="77"/>
  <c r="R436" i="77"/>
  <c r="S436" i="77"/>
  <c r="U436" i="77"/>
  <c r="W436" i="77"/>
  <c r="X436" i="77"/>
  <c r="AO436" i="77"/>
  <c r="AP436" i="77"/>
  <c r="AQ436" i="77"/>
  <c r="AR436" i="77"/>
  <c r="AS436" i="77"/>
  <c r="AT436" i="77"/>
  <c r="AU436" i="77"/>
  <c r="AW436" i="77"/>
  <c r="AX436" i="77"/>
  <c r="AY436" i="77"/>
  <c r="BA436" i="77"/>
  <c r="A437" i="77"/>
  <c r="B437" i="77"/>
  <c r="D437" i="77"/>
  <c r="E437" i="77"/>
  <c r="F437" i="77"/>
  <c r="G437" i="77"/>
  <c r="H437" i="77"/>
  <c r="J437" i="77"/>
  <c r="K437" i="77"/>
  <c r="M437" i="77"/>
  <c r="O437" i="77"/>
  <c r="P437" i="77"/>
  <c r="R437" i="77"/>
  <c r="S437" i="77"/>
  <c r="U437" i="77"/>
  <c r="W437" i="77"/>
  <c r="X437" i="77"/>
  <c r="AO437" i="77"/>
  <c r="AP437" i="77"/>
  <c r="AQ437" i="77"/>
  <c r="AR437" i="77"/>
  <c r="AS437" i="77"/>
  <c r="AT437" i="77"/>
  <c r="AU437" i="77"/>
  <c r="AW437" i="77"/>
  <c r="AX437" i="77"/>
  <c r="AY437" i="77"/>
  <c r="BA437" i="77"/>
  <c r="A438" i="77"/>
  <c r="B438" i="77"/>
  <c r="D438" i="77"/>
  <c r="E438" i="77"/>
  <c r="F438" i="77"/>
  <c r="G438" i="77"/>
  <c r="H438" i="77"/>
  <c r="J438" i="77"/>
  <c r="K438" i="77"/>
  <c r="M438" i="77"/>
  <c r="O438" i="77"/>
  <c r="P438" i="77"/>
  <c r="R438" i="77"/>
  <c r="S438" i="77"/>
  <c r="U438" i="77"/>
  <c r="W438" i="77"/>
  <c r="X438" i="77"/>
  <c r="AO438" i="77"/>
  <c r="AP438" i="77"/>
  <c r="AQ438" i="77"/>
  <c r="AR438" i="77"/>
  <c r="AS438" i="77"/>
  <c r="AT438" i="77"/>
  <c r="AU438" i="77"/>
  <c r="AW438" i="77"/>
  <c r="AX438" i="77"/>
  <c r="AY438" i="77"/>
  <c r="BA438" i="77"/>
  <c r="A439" i="77"/>
  <c r="B439" i="77"/>
  <c r="D439" i="77"/>
  <c r="E439" i="77"/>
  <c r="F439" i="77"/>
  <c r="G439" i="77"/>
  <c r="H439" i="77"/>
  <c r="J439" i="77"/>
  <c r="K439" i="77"/>
  <c r="M439" i="77"/>
  <c r="O439" i="77"/>
  <c r="P439" i="77"/>
  <c r="R439" i="77"/>
  <c r="S439" i="77"/>
  <c r="U439" i="77"/>
  <c r="W439" i="77"/>
  <c r="X439" i="77"/>
  <c r="AO439" i="77"/>
  <c r="AP439" i="77"/>
  <c r="AQ439" i="77"/>
  <c r="AR439" i="77"/>
  <c r="AS439" i="77"/>
  <c r="AT439" i="77"/>
  <c r="AU439" i="77"/>
  <c r="AW439" i="77"/>
  <c r="AX439" i="77"/>
  <c r="AY439" i="77"/>
  <c r="BA439" i="77"/>
  <c r="A440" i="77"/>
  <c r="B440" i="77"/>
  <c r="D440" i="77"/>
  <c r="E440" i="77"/>
  <c r="F440" i="77"/>
  <c r="G440" i="77"/>
  <c r="H440" i="77"/>
  <c r="J440" i="77"/>
  <c r="K440" i="77"/>
  <c r="M440" i="77"/>
  <c r="O440" i="77"/>
  <c r="P440" i="77"/>
  <c r="R440" i="77"/>
  <c r="S440" i="77"/>
  <c r="U440" i="77"/>
  <c r="W440" i="77"/>
  <c r="X440" i="77"/>
  <c r="AO440" i="77"/>
  <c r="AP440" i="77"/>
  <c r="AQ440" i="77"/>
  <c r="AR440" i="77"/>
  <c r="AS440" i="77"/>
  <c r="AT440" i="77"/>
  <c r="AU440" i="77"/>
  <c r="AW440" i="77"/>
  <c r="AX440" i="77"/>
  <c r="AY440" i="77"/>
  <c r="BA440" i="77"/>
  <c r="A441" i="77"/>
  <c r="B441" i="77"/>
  <c r="D441" i="77"/>
  <c r="E441" i="77"/>
  <c r="F441" i="77"/>
  <c r="G441" i="77"/>
  <c r="H441" i="77"/>
  <c r="J441" i="77"/>
  <c r="K441" i="77"/>
  <c r="M441" i="77"/>
  <c r="O441" i="77"/>
  <c r="P441" i="77"/>
  <c r="R441" i="77"/>
  <c r="S441" i="77"/>
  <c r="U441" i="77"/>
  <c r="W441" i="77"/>
  <c r="X441" i="77"/>
  <c r="AO441" i="77"/>
  <c r="AP441" i="77"/>
  <c r="AQ441" i="77"/>
  <c r="AR441" i="77"/>
  <c r="AS441" i="77"/>
  <c r="AT441" i="77"/>
  <c r="AU441" i="77"/>
  <c r="AW441" i="77"/>
  <c r="AX441" i="77"/>
  <c r="AY441" i="77"/>
  <c r="BA441" i="77"/>
  <c r="A442" i="77"/>
  <c r="B442" i="77"/>
  <c r="D442" i="77"/>
  <c r="E442" i="77"/>
  <c r="F442" i="77"/>
  <c r="G442" i="77"/>
  <c r="H442" i="77"/>
  <c r="J442" i="77"/>
  <c r="K442" i="77"/>
  <c r="M442" i="77"/>
  <c r="O442" i="77"/>
  <c r="P442" i="77"/>
  <c r="R442" i="77"/>
  <c r="S442" i="77"/>
  <c r="U442" i="77"/>
  <c r="W442" i="77"/>
  <c r="X442" i="77"/>
  <c r="AO442" i="77"/>
  <c r="AP442" i="77"/>
  <c r="AQ442" i="77"/>
  <c r="AR442" i="77"/>
  <c r="AS442" i="77"/>
  <c r="AT442" i="77"/>
  <c r="AU442" i="77"/>
  <c r="AW442" i="77"/>
  <c r="AX442" i="77"/>
  <c r="AY442" i="77"/>
  <c r="BA442" i="77"/>
  <c r="A443" i="77"/>
  <c r="B443" i="77"/>
  <c r="D443" i="77"/>
  <c r="E443" i="77"/>
  <c r="F443" i="77"/>
  <c r="G443" i="77"/>
  <c r="H443" i="77"/>
  <c r="J443" i="77"/>
  <c r="K443" i="77"/>
  <c r="M443" i="77"/>
  <c r="O443" i="77"/>
  <c r="P443" i="77"/>
  <c r="R443" i="77"/>
  <c r="S443" i="77"/>
  <c r="U443" i="77"/>
  <c r="W443" i="77"/>
  <c r="X443" i="77"/>
  <c r="AO443" i="77"/>
  <c r="AP443" i="77"/>
  <c r="AQ443" i="77"/>
  <c r="AR443" i="77"/>
  <c r="AS443" i="77"/>
  <c r="AT443" i="77"/>
  <c r="AU443" i="77"/>
  <c r="AW443" i="77"/>
  <c r="AX443" i="77"/>
  <c r="AY443" i="77"/>
  <c r="BA443" i="77"/>
  <c r="A444" i="77"/>
  <c r="B444" i="77"/>
  <c r="D444" i="77"/>
  <c r="E444" i="77"/>
  <c r="F444" i="77"/>
  <c r="G444" i="77"/>
  <c r="H444" i="77"/>
  <c r="J444" i="77"/>
  <c r="K444" i="77"/>
  <c r="M444" i="77"/>
  <c r="O444" i="77"/>
  <c r="P444" i="77"/>
  <c r="R444" i="77"/>
  <c r="S444" i="77"/>
  <c r="U444" i="77"/>
  <c r="W444" i="77"/>
  <c r="X444" i="77"/>
  <c r="AO444" i="77"/>
  <c r="AP444" i="77"/>
  <c r="AQ444" i="77"/>
  <c r="AR444" i="77"/>
  <c r="AS444" i="77"/>
  <c r="AT444" i="77"/>
  <c r="AU444" i="77"/>
  <c r="AW444" i="77"/>
  <c r="AX444" i="77"/>
  <c r="AY444" i="77"/>
  <c r="BA444" i="77"/>
  <c r="A445" i="77"/>
  <c r="B445" i="77"/>
  <c r="D445" i="77"/>
  <c r="E445" i="77"/>
  <c r="F445" i="77"/>
  <c r="G445" i="77"/>
  <c r="H445" i="77"/>
  <c r="J445" i="77"/>
  <c r="K445" i="77"/>
  <c r="M445" i="77"/>
  <c r="O445" i="77"/>
  <c r="P445" i="77"/>
  <c r="R445" i="77"/>
  <c r="S445" i="77"/>
  <c r="U445" i="77"/>
  <c r="W445" i="77"/>
  <c r="X445" i="77"/>
  <c r="AO445" i="77"/>
  <c r="AP445" i="77"/>
  <c r="AQ445" i="77"/>
  <c r="AR445" i="77"/>
  <c r="AS445" i="77"/>
  <c r="AT445" i="77"/>
  <c r="AU445" i="77"/>
  <c r="AW445" i="77"/>
  <c r="AX445" i="77"/>
  <c r="AY445" i="77"/>
  <c r="BA445" i="77"/>
  <c r="A446" i="77"/>
  <c r="B446" i="77"/>
  <c r="D446" i="77"/>
  <c r="E446" i="77"/>
  <c r="F446" i="77"/>
  <c r="G446" i="77"/>
  <c r="H446" i="77"/>
  <c r="J446" i="77"/>
  <c r="K446" i="77"/>
  <c r="M446" i="77"/>
  <c r="O446" i="77"/>
  <c r="P446" i="77"/>
  <c r="R446" i="77"/>
  <c r="S446" i="77"/>
  <c r="U446" i="77"/>
  <c r="W446" i="77"/>
  <c r="X446" i="77"/>
  <c r="AO446" i="77"/>
  <c r="AP446" i="77"/>
  <c r="AQ446" i="77"/>
  <c r="AR446" i="77"/>
  <c r="AS446" i="77"/>
  <c r="AT446" i="77"/>
  <c r="AU446" i="77"/>
  <c r="AW446" i="77"/>
  <c r="AX446" i="77"/>
  <c r="AY446" i="77"/>
  <c r="BA446" i="77"/>
  <c r="A447" i="77"/>
  <c r="B447" i="77"/>
  <c r="D447" i="77"/>
  <c r="E447" i="77"/>
  <c r="F447" i="77"/>
  <c r="G447" i="77"/>
  <c r="H447" i="77"/>
  <c r="J447" i="77"/>
  <c r="K447" i="77"/>
  <c r="M447" i="77"/>
  <c r="O447" i="77"/>
  <c r="P447" i="77"/>
  <c r="R447" i="77"/>
  <c r="S447" i="77"/>
  <c r="U447" i="77"/>
  <c r="W447" i="77"/>
  <c r="X447" i="77"/>
  <c r="AO447" i="77"/>
  <c r="AP447" i="77"/>
  <c r="AQ447" i="77"/>
  <c r="AR447" i="77"/>
  <c r="AS447" i="77"/>
  <c r="AT447" i="77"/>
  <c r="AU447" i="77"/>
  <c r="AW447" i="77"/>
  <c r="AX447" i="77"/>
  <c r="AY447" i="77"/>
  <c r="BA447" i="77"/>
  <c r="A448" i="77"/>
  <c r="B448" i="77"/>
  <c r="D448" i="77"/>
  <c r="E448" i="77"/>
  <c r="F448" i="77"/>
  <c r="G448" i="77"/>
  <c r="H448" i="77"/>
  <c r="J448" i="77"/>
  <c r="K448" i="77"/>
  <c r="M448" i="77"/>
  <c r="O448" i="77"/>
  <c r="P448" i="77"/>
  <c r="R448" i="77"/>
  <c r="S448" i="77"/>
  <c r="U448" i="77"/>
  <c r="W448" i="77"/>
  <c r="X448" i="77"/>
  <c r="AO448" i="77"/>
  <c r="AP448" i="77"/>
  <c r="AQ448" i="77"/>
  <c r="AR448" i="77"/>
  <c r="AS448" i="77"/>
  <c r="AT448" i="77"/>
  <c r="AU448" i="77"/>
  <c r="AW448" i="77"/>
  <c r="AX448" i="77"/>
  <c r="AY448" i="77"/>
  <c r="BA448" i="77"/>
  <c r="A449" i="77"/>
  <c r="B449" i="77"/>
  <c r="D449" i="77"/>
  <c r="E449" i="77"/>
  <c r="F449" i="77"/>
  <c r="G449" i="77"/>
  <c r="H449" i="77"/>
  <c r="J449" i="77"/>
  <c r="K449" i="77"/>
  <c r="M449" i="77"/>
  <c r="O449" i="77"/>
  <c r="P449" i="77"/>
  <c r="R449" i="77"/>
  <c r="S449" i="77"/>
  <c r="U449" i="77"/>
  <c r="W449" i="77"/>
  <c r="X449" i="77"/>
  <c r="AO449" i="77"/>
  <c r="AP449" i="77"/>
  <c r="AQ449" i="77"/>
  <c r="AR449" i="77"/>
  <c r="AS449" i="77"/>
  <c r="AT449" i="77"/>
  <c r="AU449" i="77"/>
  <c r="AW449" i="77"/>
  <c r="AX449" i="77"/>
  <c r="AY449" i="77"/>
  <c r="BA449" i="77"/>
  <c r="A450" i="77"/>
  <c r="B450" i="77"/>
  <c r="D450" i="77"/>
  <c r="E450" i="77"/>
  <c r="F450" i="77"/>
  <c r="G450" i="77"/>
  <c r="H450" i="77"/>
  <c r="J450" i="77"/>
  <c r="K450" i="77"/>
  <c r="M450" i="77"/>
  <c r="O450" i="77"/>
  <c r="P450" i="77"/>
  <c r="R450" i="77"/>
  <c r="S450" i="77"/>
  <c r="U450" i="77"/>
  <c r="W450" i="77"/>
  <c r="X450" i="77"/>
  <c r="AO450" i="77"/>
  <c r="AP450" i="77"/>
  <c r="AQ450" i="77"/>
  <c r="AR450" i="77"/>
  <c r="AS450" i="77"/>
  <c r="AT450" i="77"/>
  <c r="AU450" i="77"/>
  <c r="AW450" i="77"/>
  <c r="AX450" i="77"/>
  <c r="AY450" i="77"/>
  <c r="BA450" i="77"/>
  <c r="A451" i="77"/>
  <c r="B451" i="77"/>
  <c r="D451" i="77"/>
  <c r="E451" i="77"/>
  <c r="F451" i="77"/>
  <c r="G451" i="77"/>
  <c r="H451" i="77"/>
  <c r="J451" i="77"/>
  <c r="K451" i="77"/>
  <c r="M451" i="77"/>
  <c r="O451" i="77"/>
  <c r="P451" i="77"/>
  <c r="R451" i="77"/>
  <c r="S451" i="77"/>
  <c r="U451" i="77"/>
  <c r="W451" i="77"/>
  <c r="X451" i="77"/>
  <c r="AO451" i="77"/>
  <c r="AP451" i="77"/>
  <c r="AQ451" i="77"/>
  <c r="AR451" i="77"/>
  <c r="AS451" i="77"/>
  <c r="AT451" i="77"/>
  <c r="AU451" i="77"/>
  <c r="AW451" i="77"/>
  <c r="AX451" i="77"/>
  <c r="AY451" i="77"/>
  <c r="BA451" i="77"/>
  <c r="A452" i="77"/>
  <c r="B452" i="77"/>
  <c r="D452" i="77"/>
  <c r="E452" i="77"/>
  <c r="F452" i="77"/>
  <c r="G452" i="77"/>
  <c r="H452" i="77"/>
  <c r="J452" i="77"/>
  <c r="K452" i="77"/>
  <c r="M452" i="77"/>
  <c r="O452" i="77"/>
  <c r="P452" i="77"/>
  <c r="R452" i="77"/>
  <c r="S452" i="77"/>
  <c r="U452" i="77"/>
  <c r="W452" i="77"/>
  <c r="X452" i="77"/>
  <c r="AO452" i="77"/>
  <c r="AP452" i="77"/>
  <c r="AQ452" i="77"/>
  <c r="AR452" i="77"/>
  <c r="AS452" i="77"/>
  <c r="AT452" i="77"/>
  <c r="AU452" i="77"/>
  <c r="AW452" i="77"/>
  <c r="AX452" i="77"/>
  <c r="AY452" i="77"/>
  <c r="BA452" i="77"/>
  <c r="A453" i="77"/>
  <c r="B453" i="77"/>
  <c r="D453" i="77"/>
  <c r="E453" i="77"/>
  <c r="F453" i="77"/>
  <c r="G453" i="77"/>
  <c r="H453" i="77"/>
  <c r="J453" i="77"/>
  <c r="K453" i="77"/>
  <c r="M453" i="77"/>
  <c r="O453" i="77"/>
  <c r="P453" i="77"/>
  <c r="R453" i="77"/>
  <c r="S453" i="77"/>
  <c r="U453" i="77"/>
  <c r="W453" i="77"/>
  <c r="X453" i="77"/>
  <c r="AO453" i="77"/>
  <c r="AP453" i="77"/>
  <c r="AQ453" i="77"/>
  <c r="AR453" i="77"/>
  <c r="AS453" i="77"/>
  <c r="AT453" i="77"/>
  <c r="AU453" i="77"/>
  <c r="AW453" i="77"/>
  <c r="AX453" i="77"/>
  <c r="AY453" i="77"/>
  <c r="BA453" i="77"/>
  <c r="A454" i="77"/>
  <c r="B454" i="77"/>
  <c r="D454" i="77"/>
  <c r="E454" i="77"/>
  <c r="F454" i="77"/>
  <c r="G454" i="77"/>
  <c r="H454" i="77"/>
  <c r="J454" i="77"/>
  <c r="K454" i="77"/>
  <c r="M454" i="77"/>
  <c r="O454" i="77"/>
  <c r="P454" i="77"/>
  <c r="R454" i="77"/>
  <c r="S454" i="77"/>
  <c r="U454" i="77"/>
  <c r="W454" i="77"/>
  <c r="X454" i="77"/>
  <c r="AO454" i="77"/>
  <c r="AP454" i="77"/>
  <c r="AQ454" i="77"/>
  <c r="AR454" i="77"/>
  <c r="AS454" i="77"/>
  <c r="AT454" i="77"/>
  <c r="AU454" i="77"/>
  <c r="AW454" i="77"/>
  <c r="AX454" i="77"/>
  <c r="AY454" i="77"/>
  <c r="BA454" i="77"/>
  <c r="A455" i="77"/>
  <c r="B455" i="77"/>
  <c r="D455" i="77"/>
  <c r="E455" i="77"/>
  <c r="F455" i="77"/>
  <c r="G455" i="77"/>
  <c r="H455" i="77"/>
  <c r="J455" i="77"/>
  <c r="K455" i="77"/>
  <c r="M455" i="77"/>
  <c r="O455" i="77"/>
  <c r="P455" i="77"/>
  <c r="R455" i="77"/>
  <c r="S455" i="77"/>
  <c r="U455" i="77"/>
  <c r="W455" i="77"/>
  <c r="X455" i="77"/>
  <c r="AO455" i="77"/>
  <c r="AP455" i="77"/>
  <c r="AQ455" i="77"/>
  <c r="AR455" i="77"/>
  <c r="AS455" i="77"/>
  <c r="AT455" i="77"/>
  <c r="AU455" i="77"/>
  <c r="AW455" i="77"/>
  <c r="AX455" i="77"/>
  <c r="AY455" i="77"/>
  <c r="BA455" i="77"/>
  <c r="A456" i="77"/>
  <c r="B456" i="77"/>
  <c r="D456" i="77"/>
  <c r="E456" i="77"/>
  <c r="F456" i="77"/>
  <c r="G456" i="77"/>
  <c r="H456" i="77"/>
  <c r="J456" i="77"/>
  <c r="K456" i="77"/>
  <c r="M456" i="77"/>
  <c r="O456" i="77"/>
  <c r="P456" i="77"/>
  <c r="R456" i="77"/>
  <c r="S456" i="77"/>
  <c r="U456" i="77"/>
  <c r="W456" i="77"/>
  <c r="X456" i="77"/>
  <c r="AO456" i="77"/>
  <c r="AP456" i="77"/>
  <c r="AQ456" i="77"/>
  <c r="AR456" i="77"/>
  <c r="AS456" i="77"/>
  <c r="AT456" i="77"/>
  <c r="AU456" i="77"/>
  <c r="AW456" i="77"/>
  <c r="AX456" i="77"/>
  <c r="AY456" i="77"/>
  <c r="BA456" i="77"/>
  <c r="A457" i="77"/>
  <c r="B457" i="77"/>
  <c r="D457" i="77"/>
  <c r="E457" i="77"/>
  <c r="F457" i="77"/>
  <c r="G457" i="77"/>
  <c r="H457" i="77"/>
  <c r="J457" i="77"/>
  <c r="K457" i="77"/>
  <c r="M457" i="77"/>
  <c r="O457" i="77"/>
  <c r="P457" i="77"/>
  <c r="R457" i="77"/>
  <c r="S457" i="77"/>
  <c r="U457" i="77"/>
  <c r="W457" i="77"/>
  <c r="X457" i="77"/>
  <c r="AO457" i="77"/>
  <c r="AP457" i="77"/>
  <c r="AQ457" i="77"/>
  <c r="AR457" i="77"/>
  <c r="AS457" i="77"/>
  <c r="AT457" i="77"/>
  <c r="AU457" i="77"/>
  <c r="AW457" i="77"/>
  <c r="AX457" i="77"/>
  <c r="AY457" i="77"/>
  <c r="BA457" i="77"/>
  <c r="A458" i="77"/>
  <c r="B458" i="77"/>
  <c r="D458" i="77"/>
  <c r="E458" i="77"/>
  <c r="F458" i="77"/>
  <c r="G458" i="77"/>
  <c r="H458" i="77"/>
  <c r="J458" i="77"/>
  <c r="K458" i="77"/>
  <c r="M458" i="77"/>
  <c r="O458" i="77"/>
  <c r="P458" i="77"/>
  <c r="R458" i="77"/>
  <c r="S458" i="77"/>
  <c r="U458" i="77"/>
  <c r="W458" i="77"/>
  <c r="X458" i="77"/>
  <c r="AO458" i="77"/>
  <c r="AP458" i="77"/>
  <c r="AQ458" i="77"/>
  <c r="AR458" i="77"/>
  <c r="AS458" i="77"/>
  <c r="AT458" i="77"/>
  <c r="AU458" i="77"/>
  <c r="AW458" i="77"/>
  <c r="AX458" i="77"/>
  <c r="AY458" i="77"/>
  <c r="BA458" i="77"/>
  <c r="A459" i="77"/>
  <c r="B459" i="77"/>
  <c r="D459" i="77"/>
  <c r="E459" i="77"/>
  <c r="F459" i="77"/>
  <c r="G459" i="77"/>
  <c r="H459" i="77"/>
  <c r="J459" i="77"/>
  <c r="K459" i="77"/>
  <c r="M459" i="77"/>
  <c r="O459" i="77"/>
  <c r="P459" i="77"/>
  <c r="R459" i="77"/>
  <c r="S459" i="77"/>
  <c r="U459" i="77"/>
  <c r="W459" i="77"/>
  <c r="X459" i="77"/>
  <c r="AO459" i="77"/>
  <c r="AP459" i="77"/>
  <c r="AQ459" i="77"/>
  <c r="AR459" i="77"/>
  <c r="AS459" i="77"/>
  <c r="AT459" i="77"/>
  <c r="AU459" i="77"/>
  <c r="AW459" i="77"/>
  <c r="AX459" i="77"/>
  <c r="AY459" i="77"/>
  <c r="BA459" i="77"/>
  <c r="A460" i="77"/>
  <c r="B460" i="77"/>
  <c r="D460" i="77"/>
  <c r="E460" i="77"/>
  <c r="F460" i="77"/>
  <c r="G460" i="77"/>
  <c r="H460" i="77"/>
  <c r="J460" i="77"/>
  <c r="K460" i="77"/>
  <c r="M460" i="77"/>
  <c r="O460" i="77"/>
  <c r="P460" i="77"/>
  <c r="R460" i="77"/>
  <c r="S460" i="77"/>
  <c r="U460" i="77"/>
  <c r="W460" i="77"/>
  <c r="X460" i="77"/>
  <c r="AO460" i="77"/>
  <c r="AP460" i="77"/>
  <c r="AQ460" i="77"/>
  <c r="AR460" i="77"/>
  <c r="AS460" i="77"/>
  <c r="AT460" i="77"/>
  <c r="AU460" i="77"/>
  <c r="AW460" i="77"/>
  <c r="AX460" i="77"/>
  <c r="AY460" i="77"/>
  <c r="BA460" i="77"/>
  <c r="A461" i="77"/>
  <c r="B461" i="77"/>
  <c r="D461" i="77"/>
  <c r="E461" i="77"/>
  <c r="F461" i="77"/>
  <c r="G461" i="77"/>
  <c r="H461" i="77"/>
  <c r="J461" i="77"/>
  <c r="K461" i="77"/>
  <c r="M461" i="77"/>
  <c r="O461" i="77"/>
  <c r="P461" i="77"/>
  <c r="R461" i="77"/>
  <c r="S461" i="77"/>
  <c r="U461" i="77"/>
  <c r="W461" i="77"/>
  <c r="X461" i="77"/>
  <c r="AO461" i="77"/>
  <c r="AP461" i="77"/>
  <c r="AQ461" i="77"/>
  <c r="AR461" i="77"/>
  <c r="AS461" i="77"/>
  <c r="AT461" i="77"/>
  <c r="AU461" i="77"/>
  <c r="AW461" i="77"/>
  <c r="AX461" i="77"/>
  <c r="AY461" i="77"/>
  <c r="BA461" i="77"/>
  <c r="A462" i="77"/>
  <c r="B462" i="77"/>
  <c r="D462" i="77"/>
  <c r="E462" i="77"/>
  <c r="F462" i="77"/>
  <c r="G462" i="77"/>
  <c r="H462" i="77"/>
  <c r="J462" i="77"/>
  <c r="K462" i="77"/>
  <c r="M462" i="77"/>
  <c r="O462" i="77"/>
  <c r="P462" i="77"/>
  <c r="R462" i="77"/>
  <c r="S462" i="77"/>
  <c r="U462" i="77"/>
  <c r="W462" i="77"/>
  <c r="X462" i="77"/>
  <c r="AO462" i="77"/>
  <c r="AP462" i="77"/>
  <c r="AQ462" i="77"/>
  <c r="AR462" i="77"/>
  <c r="AS462" i="77"/>
  <c r="AT462" i="77"/>
  <c r="AU462" i="77"/>
  <c r="AW462" i="77"/>
  <c r="AX462" i="77"/>
  <c r="AY462" i="77"/>
  <c r="BA462" i="77"/>
  <c r="A463" i="77"/>
  <c r="B463" i="77"/>
  <c r="D463" i="77"/>
  <c r="E463" i="77"/>
  <c r="F463" i="77"/>
  <c r="G463" i="77"/>
  <c r="H463" i="77"/>
  <c r="J463" i="77"/>
  <c r="K463" i="77"/>
  <c r="M463" i="77"/>
  <c r="O463" i="77"/>
  <c r="P463" i="77"/>
  <c r="R463" i="77"/>
  <c r="S463" i="77"/>
  <c r="U463" i="77"/>
  <c r="W463" i="77"/>
  <c r="X463" i="77"/>
  <c r="AO463" i="77"/>
  <c r="AP463" i="77"/>
  <c r="AQ463" i="77"/>
  <c r="AR463" i="77"/>
  <c r="AS463" i="77"/>
  <c r="AT463" i="77"/>
  <c r="AU463" i="77"/>
  <c r="AW463" i="77"/>
  <c r="AX463" i="77"/>
  <c r="AY463" i="77"/>
  <c r="BA463" i="77"/>
  <c r="A464" i="77"/>
  <c r="B464" i="77"/>
  <c r="D464" i="77"/>
  <c r="E464" i="77"/>
  <c r="F464" i="77"/>
  <c r="G464" i="77"/>
  <c r="H464" i="77"/>
  <c r="J464" i="77"/>
  <c r="K464" i="77"/>
  <c r="M464" i="77"/>
  <c r="O464" i="77"/>
  <c r="P464" i="77"/>
  <c r="R464" i="77"/>
  <c r="S464" i="77"/>
  <c r="U464" i="77"/>
  <c r="W464" i="77"/>
  <c r="X464" i="77"/>
  <c r="AO464" i="77"/>
  <c r="AP464" i="77"/>
  <c r="AQ464" i="77"/>
  <c r="AR464" i="77"/>
  <c r="AS464" i="77"/>
  <c r="AT464" i="77"/>
  <c r="AU464" i="77"/>
  <c r="AW464" i="77"/>
  <c r="AX464" i="77"/>
  <c r="AY464" i="77"/>
  <c r="BA464" i="77"/>
  <c r="A465" i="77"/>
  <c r="B465" i="77"/>
  <c r="D465" i="77"/>
  <c r="E465" i="77"/>
  <c r="F465" i="77"/>
  <c r="G465" i="77"/>
  <c r="H465" i="77"/>
  <c r="J465" i="77"/>
  <c r="K465" i="77"/>
  <c r="M465" i="77"/>
  <c r="O465" i="77"/>
  <c r="P465" i="77"/>
  <c r="R465" i="77"/>
  <c r="S465" i="77"/>
  <c r="U465" i="77"/>
  <c r="W465" i="77"/>
  <c r="X465" i="77"/>
  <c r="AO465" i="77"/>
  <c r="AP465" i="77"/>
  <c r="AQ465" i="77"/>
  <c r="AR465" i="77"/>
  <c r="AS465" i="77"/>
  <c r="AT465" i="77"/>
  <c r="AU465" i="77"/>
  <c r="AW465" i="77"/>
  <c r="AX465" i="77"/>
  <c r="AY465" i="77"/>
  <c r="BA465" i="77"/>
  <c r="A466" i="77"/>
  <c r="B466" i="77"/>
  <c r="D466" i="77"/>
  <c r="E466" i="77"/>
  <c r="F466" i="77"/>
  <c r="G466" i="77"/>
  <c r="H466" i="77"/>
  <c r="J466" i="77"/>
  <c r="K466" i="77"/>
  <c r="M466" i="77"/>
  <c r="O466" i="77"/>
  <c r="P466" i="77"/>
  <c r="R466" i="77"/>
  <c r="S466" i="77"/>
  <c r="U466" i="77"/>
  <c r="W466" i="77"/>
  <c r="X466" i="77"/>
  <c r="AO466" i="77"/>
  <c r="AP466" i="77"/>
  <c r="AQ466" i="77"/>
  <c r="AR466" i="77"/>
  <c r="AS466" i="77"/>
  <c r="AT466" i="77"/>
  <c r="AU466" i="77"/>
  <c r="AW466" i="77"/>
  <c r="AX466" i="77"/>
  <c r="AY466" i="77"/>
  <c r="BA466" i="77"/>
  <c r="A467" i="77"/>
  <c r="B467" i="77"/>
  <c r="D467" i="77"/>
  <c r="E467" i="77"/>
  <c r="F467" i="77"/>
  <c r="G467" i="77"/>
  <c r="H467" i="77"/>
  <c r="J467" i="77"/>
  <c r="K467" i="77"/>
  <c r="M467" i="77"/>
  <c r="O467" i="77"/>
  <c r="P467" i="77"/>
  <c r="R467" i="77"/>
  <c r="S467" i="77"/>
  <c r="U467" i="77"/>
  <c r="W467" i="77"/>
  <c r="X467" i="77"/>
  <c r="AO467" i="77"/>
  <c r="AP467" i="77"/>
  <c r="AQ467" i="77"/>
  <c r="AR467" i="77"/>
  <c r="AS467" i="77"/>
  <c r="AT467" i="77"/>
  <c r="AU467" i="77"/>
  <c r="AW467" i="77"/>
  <c r="AX467" i="77"/>
  <c r="AY467" i="77"/>
  <c r="BA467" i="77"/>
  <c r="A468" i="77"/>
  <c r="B468" i="77"/>
  <c r="D468" i="77"/>
  <c r="E468" i="77"/>
  <c r="F468" i="77"/>
  <c r="G468" i="77"/>
  <c r="H468" i="77"/>
  <c r="J468" i="77"/>
  <c r="K468" i="77"/>
  <c r="M468" i="77"/>
  <c r="O468" i="77"/>
  <c r="P468" i="77"/>
  <c r="R468" i="77"/>
  <c r="S468" i="77"/>
  <c r="U468" i="77"/>
  <c r="W468" i="77"/>
  <c r="X468" i="77"/>
  <c r="AO468" i="77"/>
  <c r="AP468" i="77"/>
  <c r="AQ468" i="77"/>
  <c r="AR468" i="77"/>
  <c r="AS468" i="77"/>
  <c r="AT468" i="77"/>
  <c r="AU468" i="77"/>
  <c r="AW468" i="77"/>
  <c r="AX468" i="77"/>
  <c r="AY468" i="77"/>
  <c r="BA468" i="77"/>
  <c r="A469" i="77"/>
  <c r="B469" i="77"/>
  <c r="D469" i="77"/>
  <c r="E469" i="77"/>
  <c r="F469" i="77"/>
  <c r="G469" i="77"/>
  <c r="H469" i="77"/>
  <c r="J469" i="77"/>
  <c r="K469" i="77"/>
  <c r="M469" i="77"/>
  <c r="O469" i="77"/>
  <c r="P469" i="77"/>
  <c r="R469" i="77"/>
  <c r="S469" i="77"/>
  <c r="U469" i="77"/>
  <c r="W469" i="77"/>
  <c r="X469" i="77"/>
  <c r="AO469" i="77"/>
  <c r="AP469" i="77"/>
  <c r="AQ469" i="77"/>
  <c r="AR469" i="77"/>
  <c r="AS469" i="77"/>
  <c r="AT469" i="77"/>
  <c r="AU469" i="77"/>
  <c r="AW469" i="77"/>
  <c r="AX469" i="77"/>
  <c r="AY469" i="77"/>
  <c r="BA469" i="77"/>
  <c r="A470" i="77"/>
  <c r="B470" i="77"/>
  <c r="D470" i="77"/>
  <c r="E470" i="77"/>
  <c r="F470" i="77"/>
  <c r="G470" i="77"/>
  <c r="H470" i="77"/>
  <c r="J470" i="77"/>
  <c r="K470" i="77"/>
  <c r="M470" i="77"/>
  <c r="O470" i="77"/>
  <c r="P470" i="77"/>
  <c r="R470" i="77"/>
  <c r="S470" i="77"/>
  <c r="U470" i="77"/>
  <c r="W470" i="77"/>
  <c r="X470" i="77"/>
  <c r="AO470" i="77"/>
  <c r="AP470" i="77"/>
  <c r="AQ470" i="77"/>
  <c r="AR470" i="77"/>
  <c r="AS470" i="77"/>
  <c r="AT470" i="77"/>
  <c r="AU470" i="77"/>
  <c r="AW470" i="77"/>
  <c r="AX470" i="77"/>
  <c r="AY470" i="77"/>
  <c r="BA470" i="77"/>
  <c r="A471" i="77"/>
  <c r="B471" i="77"/>
  <c r="D471" i="77"/>
  <c r="E471" i="77"/>
  <c r="F471" i="77"/>
  <c r="G471" i="77"/>
  <c r="H471" i="77"/>
  <c r="J471" i="77"/>
  <c r="K471" i="77"/>
  <c r="M471" i="77"/>
  <c r="O471" i="77"/>
  <c r="P471" i="77"/>
  <c r="R471" i="77"/>
  <c r="S471" i="77"/>
  <c r="U471" i="77"/>
  <c r="W471" i="77"/>
  <c r="X471" i="77"/>
  <c r="AO471" i="77"/>
  <c r="AP471" i="77"/>
  <c r="AQ471" i="77"/>
  <c r="AR471" i="77"/>
  <c r="AS471" i="77"/>
  <c r="AT471" i="77"/>
  <c r="AU471" i="77"/>
  <c r="AW471" i="77"/>
  <c r="AX471" i="77"/>
  <c r="AY471" i="77"/>
  <c r="BA471" i="77"/>
  <c r="A472" i="77"/>
  <c r="B472" i="77"/>
  <c r="D472" i="77"/>
  <c r="E472" i="77"/>
  <c r="F472" i="77"/>
  <c r="G472" i="77"/>
  <c r="H472" i="77"/>
  <c r="J472" i="77"/>
  <c r="K472" i="77"/>
  <c r="M472" i="77"/>
  <c r="O472" i="77"/>
  <c r="P472" i="77"/>
  <c r="R472" i="77"/>
  <c r="S472" i="77"/>
  <c r="U472" i="77"/>
  <c r="W472" i="77"/>
  <c r="X472" i="77"/>
  <c r="AO472" i="77"/>
  <c r="AP472" i="77"/>
  <c r="AQ472" i="77"/>
  <c r="AR472" i="77"/>
  <c r="AS472" i="77"/>
  <c r="AT472" i="77"/>
  <c r="AU472" i="77"/>
  <c r="AW472" i="77"/>
  <c r="AX472" i="77"/>
  <c r="AY472" i="77"/>
  <c r="BA472" i="77"/>
  <c r="A473" i="77"/>
  <c r="B473" i="77"/>
  <c r="D473" i="77"/>
  <c r="E473" i="77"/>
  <c r="F473" i="77"/>
  <c r="G473" i="77"/>
  <c r="H473" i="77"/>
  <c r="J473" i="77"/>
  <c r="K473" i="77"/>
  <c r="M473" i="77"/>
  <c r="O473" i="77"/>
  <c r="P473" i="77"/>
  <c r="R473" i="77"/>
  <c r="S473" i="77"/>
  <c r="U473" i="77"/>
  <c r="W473" i="77"/>
  <c r="X473" i="77"/>
  <c r="AO473" i="77"/>
  <c r="AP473" i="77"/>
  <c r="AQ473" i="77"/>
  <c r="AR473" i="77"/>
  <c r="AS473" i="77"/>
  <c r="AT473" i="77"/>
  <c r="AU473" i="77"/>
  <c r="AW473" i="77"/>
  <c r="AX473" i="77"/>
  <c r="AY473" i="77"/>
  <c r="BA473" i="77"/>
  <c r="A474" i="77"/>
  <c r="B474" i="77"/>
  <c r="D474" i="77"/>
  <c r="E474" i="77"/>
  <c r="F474" i="77"/>
  <c r="G474" i="77"/>
  <c r="H474" i="77"/>
  <c r="J474" i="77"/>
  <c r="K474" i="77"/>
  <c r="M474" i="77"/>
  <c r="O474" i="77"/>
  <c r="P474" i="77"/>
  <c r="R474" i="77"/>
  <c r="S474" i="77"/>
  <c r="U474" i="77"/>
  <c r="W474" i="77"/>
  <c r="X474" i="77"/>
  <c r="AO474" i="77"/>
  <c r="AP474" i="77"/>
  <c r="AQ474" i="77"/>
  <c r="AR474" i="77"/>
  <c r="AS474" i="77"/>
  <c r="AT474" i="77"/>
  <c r="AU474" i="77"/>
  <c r="AW474" i="77"/>
  <c r="AX474" i="77"/>
  <c r="AY474" i="77"/>
  <c r="BA474" i="77"/>
  <c r="A475" i="77"/>
  <c r="B475" i="77"/>
  <c r="D475" i="77"/>
  <c r="E475" i="77"/>
  <c r="F475" i="77"/>
  <c r="G475" i="77"/>
  <c r="H475" i="77"/>
  <c r="J475" i="77"/>
  <c r="K475" i="77"/>
  <c r="M475" i="77"/>
  <c r="O475" i="77"/>
  <c r="P475" i="77"/>
  <c r="R475" i="77"/>
  <c r="S475" i="77"/>
  <c r="U475" i="77"/>
  <c r="W475" i="77"/>
  <c r="X475" i="77"/>
  <c r="AO475" i="77"/>
  <c r="AP475" i="77"/>
  <c r="AQ475" i="77"/>
  <c r="AR475" i="77"/>
  <c r="AS475" i="77"/>
  <c r="AT475" i="77"/>
  <c r="AU475" i="77"/>
  <c r="AW475" i="77"/>
  <c r="AX475" i="77"/>
  <c r="AY475" i="77"/>
  <c r="BA475" i="77"/>
  <c r="A476" i="77"/>
  <c r="B476" i="77"/>
  <c r="D476" i="77"/>
  <c r="E476" i="77"/>
  <c r="F476" i="77"/>
  <c r="G476" i="77"/>
  <c r="H476" i="77"/>
  <c r="J476" i="77"/>
  <c r="K476" i="77"/>
  <c r="M476" i="77"/>
  <c r="O476" i="77"/>
  <c r="P476" i="77"/>
  <c r="R476" i="77"/>
  <c r="S476" i="77"/>
  <c r="U476" i="77"/>
  <c r="W476" i="77"/>
  <c r="X476" i="77"/>
  <c r="AO476" i="77"/>
  <c r="AP476" i="77"/>
  <c r="AQ476" i="77"/>
  <c r="AR476" i="77"/>
  <c r="AS476" i="77"/>
  <c r="AT476" i="77"/>
  <c r="AU476" i="77"/>
  <c r="AW476" i="77"/>
  <c r="AX476" i="77"/>
  <c r="AY476" i="77"/>
  <c r="BA476" i="77"/>
  <c r="A477" i="77"/>
  <c r="B477" i="77"/>
  <c r="D477" i="77"/>
  <c r="E477" i="77"/>
  <c r="F477" i="77"/>
  <c r="G477" i="77"/>
  <c r="H477" i="77"/>
  <c r="J477" i="77"/>
  <c r="K477" i="77"/>
  <c r="M477" i="77"/>
  <c r="O477" i="77"/>
  <c r="P477" i="77"/>
  <c r="R477" i="77"/>
  <c r="S477" i="77"/>
  <c r="U477" i="77"/>
  <c r="W477" i="77"/>
  <c r="X477" i="77"/>
  <c r="AO477" i="77"/>
  <c r="AP477" i="77"/>
  <c r="AQ477" i="77"/>
  <c r="AR477" i="77"/>
  <c r="AS477" i="77"/>
  <c r="AT477" i="77"/>
  <c r="AU477" i="77"/>
  <c r="AW477" i="77"/>
  <c r="AX477" i="77"/>
  <c r="AY477" i="77"/>
  <c r="BA477" i="77"/>
  <c r="A478" i="77"/>
  <c r="B478" i="77"/>
  <c r="D478" i="77"/>
  <c r="E478" i="77"/>
  <c r="F478" i="77"/>
  <c r="G478" i="77"/>
  <c r="H478" i="77"/>
  <c r="J478" i="77"/>
  <c r="K478" i="77"/>
  <c r="M478" i="77"/>
  <c r="O478" i="77"/>
  <c r="P478" i="77"/>
  <c r="R478" i="77"/>
  <c r="S478" i="77"/>
  <c r="U478" i="77"/>
  <c r="W478" i="77"/>
  <c r="X478" i="77"/>
  <c r="AO478" i="77"/>
  <c r="AP478" i="77"/>
  <c r="AQ478" i="77"/>
  <c r="AR478" i="77"/>
  <c r="AS478" i="77"/>
  <c r="AT478" i="77"/>
  <c r="AU478" i="77"/>
  <c r="AW478" i="77"/>
  <c r="AX478" i="77"/>
  <c r="AY478" i="77"/>
  <c r="BA478" i="77"/>
  <c r="A479" i="77"/>
  <c r="B479" i="77"/>
  <c r="D479" i="77"/>
  <c r="E479" i="77"/>
  <c r="F479" i="77"/>
  <c r="G479" i="77"/>
  <c r="H479" i="77"/>
  <c r="J479" i="77"/>
  <c r="K479" i="77"/>
  <c r="M479" i="77"/>
  <c r="O479" i="77"/>
  <c r="P479" i="77"/>
  <c r="R479" i="77"/>
  <c r="S479" i="77"/>
  <c r="U479" i="77"/>
  <c r="W479" i="77"/>
  <c r="X479" i="77"/>
  <c r="AO479" i="77"/>
  <c r="AP479" i="77"/>
  <c r="AQ479" i="77"/>
  <c r="AR479" i="77"/>
  <c r="AS479" i="77"/>
  <c r="AT479" i="77"/>
  <c r="AU479" i="77"/>
  <c r="AW479" i="77"/>
  <c r="AX479" i="77"/>
  <c r="AY479" i="77"/>
  <c r="BA479" i="77"/>
  <c r="A480" i="77"/>
  <c r="B480" i="77"/>
  <c r="D480" i="77"/>
  <c r="E480" i="77"/>
  <c r="F480" i="77"/>
  <c r="G480" i="77"/>
  <c r="H480" i="77"/>
  <c r="J480" i="77"/>
  <c r="K480" i="77"/>
  <c r="M480" i="77"/>
  <c r="O480" i="77"/>
  <c r="P480" i="77"/>
  <c r="R480" i="77"/>
  <c r="S480" i="77"/>
  <c r="U480" i="77"/>
  <c r="W480" i="77"/>
  <c r="X480" i="77"/>
  <c r="AO480" i="77"/>
  <c r="AP480" i="77"/>
  <c r="AQ480" i="77"/>
  <c r="AR480" i="77"/>
  <c r="AS480" i="77"/>
  <c r="AT480" i="77"/>
  <c r="AU480" i="77"/>
  <c r="AW480" i="77"/>
  <c r="AX480" i="77"/>
  <c r="AY480" i="77"/>
  <c r="BA480" i="77"/>
  <c r="A481" i="77"/>
  <c r="B481" i="77"/>
  <c r="D481" i="77"/>
  <c r="E481" i="77"/>
  <c r="F481" i="77"/>
  <c r="G481" i="77"/>
  <c r="H481" i="77"/>
  <c r="J481" i="77"/>
  <c r="K481" i="77"/>
  <c r="M481" i="77"/>
  <c r="O481" i="77"/>
  <c r="P481" i="77"/>
  <c r="R481" i="77"/>
  <c r="S481" i="77"/>
  <c r="U481" i="77"/>
  <c r="W481" i="77"/>
  <c r="X481" i="77"/>
  <c r="AO481" i="77"/>
  <c r="AP481" i="77"/>
  <c r="AQ481" i="77"/>
  <c r="AR481" i="77"/>
  <c r="AS481" i="77"/>
  <c r="AT481" i="77"/>
  <c r="AU481" i="77"/>
  <c r="AW481" i="77"/>
  <c r="AX481" i="77"/>
  <c r="AY481" i="77"/>
  <c r="BA481" i="77"/>
  <c r="A482" i="77"/>
  <c r="B482" i="77"/>
  <c r="D482" i="77"/>
  <c r="E482" i="77"/>
  <c r="F482" i="77"/>
  <c r="G482" i="77"/>
  <c r="H482" i="77"/>
  <c r="J482" i="77"/>
  <c r="K482" i="77"/>
  <c r="M482" i="77"/>
  <c r="O482" i="77"/>
  <c r="P482" i="77"/>
  <c r="R482" i="77"/>
  <c r="S482" i="77"/>
  <c r="U482" i="77"/>
  <c r="W482" i="77"/>
  <c r="X482" i="77"/>
  <c r="AO482" i="77"/>
  <c r="AP482" i="77"/>
  <c r="AQ482" i="77"/>
  <c r="AR482" i="77"/>
  <c r="AS482" i="77"/>
  <c r="AT482" i="77"/>
  <c r="AU482" i="77"/>
  <c r="AW482" i="77"/>
  <c r="AX482" i="77"/>
  <c r="AY482" i="77"/>
  <c r="BA482" i="77"/>
  <c r="A483" i="77"/>
  <c r="B483" i="77"/>
  <c r="D483" i="77"/>
  <c r="E483" i="77"/>
  <c r="F483" i="77"/>
  <c r="G483" i="77"/>
  <c r="H483" i="77"/>
  <c r="J483" i="77"/>
  <c r="K483" i="77"/>
  <c r="M483" i="77"/>
  <c r="O483" i="77"/>
  <c r="P483" i="77"/>
  <c r="R483" i="77"/>
  <c r="S483" i="77"/>
  <c r="U483" i="77"/>
  <c r="W483" i="77"/>
  <c r="X483" i="77"/>
  <c r="AO483" i="77"/>
  <c r="AP483" i="77"/>
  <c r="AQ483" i="77"/>
  <c r="AR483" i="77"/>
  <c r="AS483" i="77"/>
  <c r="AT483" i="77"/>
  <c r="AU483" i="77"/>
  <c r="AW483" i="77"/>
  <c r="AX483" i="77"/>
  <c r="AY483" i="77"/>
  <c r="BA483" i="77"/>
  <c r="A484" i="77"/>
  <c r="B484" i="77"/>
  <c r="D484" i="77"/>
  <c r="E484" i="77"/>
  <c r="F484" i="77"/>
  <c r="G484" i="77"/>
  <c r="H484" i="77"/>
  <c r="J484" i="77"/>
  <c r="K484" i="77"/>
  <c r="M484" i="77"/>
  <c r="O484" i="77"/>
  <c r="P484" i="77"/>
  <c r="R484" i="77"/>
  <c r="S484" i="77"/>
  <c r="U484" i="77"/>
  <c r="W484" i="77"/>
  <c r="X484" i="77"/>
  <c r="AO484" i="77"/>
  <c r="AP484" i="77"/>
  <c r="AQ484" i="77"/>
  <c r="AR484" i="77"/>
  <c r="AS484" i="77"/>
  <c r="AT484" i="77"/>
  <c r="AU484" i="77"/>
  <c r="AW484" i="77"/>
  <c r="AX484" i="77"/>
  <c r="AY484" i="77"/>
  <c r="BA484" i="77"/>
  <c r="A485" i="77"/>
  <c r="B485" i="77"/>
  <c r="D485" i="77"/>
  <c r="E485" i="77"/>
  <c r="F485" i="77"/>
  <c r="G485" i="77"/>
  <c r="H485" i="77"/>
  <c r="J485" i="77"/>
  <c r="K485" i="77"/>
  <c r="M485" i="77"/>
  <c r="O485" i="77"/>
  <c r="P485" i="77"/>
  <c r="R485" i="77"/>
  <c r="S485" i="77"/>
  <c r="U485" i="77"/>
  <c r="W485" i="77"/>
  <c r="X485" i="77"/>
  <c r="AO485" i="77"/>
  <c r="AP485" i="77"/>
  <c r="AQ485" i="77"/>
  <c r="AR485" i="77"/>
  <c r="AS485" i="77"/>
  <c r="AT485" i="77"/>
  <c r="AU485" i="77"/>
  <c r="AW485" i="77"/>
  <c r="AX485" i="77"/>
  <c r="AY485" i="77"/>
  <c r="BA485" i="77"/>
  <c r="A486" i="77"/>
  <c r="B486" i="77"/>
  <c r="D486" i="77"/>
  <c r="E486" i="77"/>
  <c r="F486" i="77"/>
  <c r="G486" i="77"/>
  <c r="H486" i="77"/>
  <c r="J486" i="77"/>
  <c r="K486" i="77"/>
  <c r="M486" i="77"/>
  <c r="O486" i="77"/>
  <c r="P486" i="77"/>
  <c r="R486" i="77"/>
  <c r="S486" i="77"/>
  <c r="U486" i="77"/>
  <c r="W486" i="77"/>
  <c r="X486" i="77"/>
  <c r="AO486" i="77"/>
  <c r="AP486" i="77"/>
  <c r="AQ486" i="77"/>
  <c r="AR486" i="77"/>
  <c r="AS486" i="77"/>
  <c r="AT486" i="77"/>
  <c r="AU486" i="77"/>
  <c r="AW486" i="77"/>
  <c r="AX486" i="77"/>
  <c r="AY486" i="77"/>
  <c r="BA486" i="77"/>
  <c r="A487" i="77"/>
  <c r="B487" i="77"/>
  <c r="D487" i="77"/>
  <c r="E487" i="77"/>
  <c r="F487" i="77"/>
  <c r="G487" i="77"/>
  <c r="H487" i="77"/>
  <c r="J487" i="77"/>
  <c r="K487" i="77"/>
  <c r="M487" i="77"/>
  <c r="O487" i="77"/>
  <c r="P487" i="77"/>
  <c r="R487" i="77"/>
  <c r="S487" i="77"/>
  <c r="U487" i="77"/>
  <c r="W487" i="77"/>
  <c r="X487" i="77"/>
  <c r="AO487" i="77"/>
  <c r="AP487" i="77"/>
  <c r="AQ487" i="77"/>
  <c r="AR487" i="77"/>
  <c r="AS487" i="77"/>
  <c r="AT487" i="77"/>
  <c r="AU487" i="77"/>
  <c r="AW487" i="77"/>
  <c r="AX487" i="77"/>
  <c r="AY487" i="77"/>
  <c r="BA487" i="77"/>
  <c r="A488" i="77"/>
  <c r="B488" i="77"/>
  <c r="D488" i="77"/>
  <c r="E488" i="77"/>
  <c r="F488" i="77"/>
  <c r="G488" i="77"/>
  <c r="H488" i="77"/>
  <c r="J488" i="77"/>
  <c r="K488" i="77"/>
  <c r="M488" i="77"/>
  <c r="O488" i="77"/>
  <c r="P488" i="77"/>
  <c r="R488" i="77"/>
  <c r="S488" i="77"/>
  <c r="U488" i="77"/>
  <c r="W488" i="77"/>
  <c r="X488" i="77"/>
  <c r="AO488" i="77"/>
  <c r="AP488" i="77"/>
  <c r="AQ488" i="77"/>
  <c r="AR488" i="77"/>
  <c r="AS488" i="77"/>
  <c r="AT488" i="77"/>
  <c r="AU488" i="77"/>
  <c r="AW488" i="77"/>
  <c r="AX488" i="77"/>
  <c r="AY488" i="77"/>
  <c r="BA488" i="77"/>
  <c r="A489" i="77"/>
  <c r="B489" i="77"/>
  <c r="D489" i="77"/>
  <c r="E489" i="77"/>
  <c r="F489" i="77"/>
  <c r="G489" i="77"/>
  <c r="H489" i="77"/>
  <c r="J489" i="77"/>
  <c r="K489" i="77"/>
  <c r="M489" i="77"/>
  <c r="O489" i="77"/>
  <c r="P489" i="77"/>
  <c r="R489" i="77"/>
  <c r="S489" i="77"/>
  <c r="U489" i="77"/>
  <c r="W489" i="77"/>
  <c r="X489" i="77"/>
  <c r="AO489" i="77"/>
  <c r="AP489" i="77"/>
  <c r="AQ489" i="77"/>
  <c r="AR489" i="77"/>
  <c r="AS489" i="77"/>
  <c r="AT489" i="77"/>
  <c r="AU489" i="77"/>
  <c r="AW489" i="77"/>
  <c r="AX489" i="77"/>
  <c r="AY489" i="77"/>
  <c r="BA489" i="77"/>
  <c r="A490" i="77"/>
  <c r="B490" i="77"/>
  <c r="D490" i="77"/>
  <c r="E490" i="77"/>
  <c r="F490" i="77"/>
  <c r="G490" i="77"/>
  <c r="H490" i="77"/>
  <c r="J490" i="77"/>
  <c r="K490" i="77"/>
  <c r="M490" i="77"/>
  <c r="O490" i="77"/>
  <c r="P490" i="77"/>
  <c r="R490" i="77"/>
  <c r="S490" i="77"/>
  <c r="U490" i="77"/>
  <c r="W490" i="77"/>
  <c r="X490" i="77"/>
  <c r="AO490" i="77"/>
  <c r="AP490" i="77"/>
  <c r="AQ490" i="77"/>
  <c r="AR490" i="77"/>
  <c r="AS490" i="77"/>
  <c r="AT490" i="77"/>
  <c r="AU490" i="77"/>
  <c r="AW490" i="77"/>
  <c r="AX490" i="77"/>
  <c r="AY490" i="77"/>
  <c r="BA490" i="77"/>
  <c r="A491" i="77"/>
  <c r="B491" i="77"/>
  <c r="D491" i="77"/>
  <c r="E491" i="77"/>
  <c r="F491" i="77"/>
  <c r="G491" i="77"/>
  <c r="H491" i="77"/>
  <c r="J491" i="77"/>
  <c r="K491" i="77"/>
  <c r="M491" i="77"/>
  <c r="O491" i="77"/>
  <c r="P491" i="77"/>
  <c r="R491" i="77"/>
  <c r="S491" i="77"/>
  <c r="U491" i="77"/>
  <c r="W491" i="77"/>
  <c r="X491" i="77"/>
  <c r="AO491" i="77"/>
  <c r="AP491" i="77"/>
  <c r="AQ491" i="77"/>
  <c r="AR491" i="77"/>
  <c r="AS491" i="77"/>
  <c r="AT491" i="77"/>
  <c r="AU491" i="77"/>
  <c r="AW491" i="77"/>
  <c r="AX491" i="77"/>
  <c r="AY491" i="77"/>
  <c r="BA491" i="77"/>
  <c r="A492" i="77"/>
  <c r="B492" i="77"/>
  <c r="D492" i="77"/>
  <c r="E492" i="77"/>
  <c r="F492" i="77"/>
  <c r="G492" i="77"/>
  <c r="H492" i="77"/>
  <c r="J492" i="77"/>
  <c r="K492" i="77"/>
  <c r="M492" i="77"/>
  <c r="O492" i="77"/>
  <c r="P492" i="77"/>
  <c r="R492" i="77"/>
  <c r="S492" i="77"/>
  <c r="U492" i="77"/>
  <c r="W492" i="77"/>
  <c r="X492" i="77"/>
  <c r="AO492" i="77"/>
  <c r="AP492" i="77"/>
  <c r="AQ492" i="77"/>
  <c r="AR492" i="77"/>
  <c r="AS492" i="77"/>
  <c r="AT492" i="77"/>
  <c r="AU492" i="77"/>
  <c r="AW492" i="77"/>
  <c r="AX492" i="77"/>
  <c r="AY492" i="77"/>
  <c r="BA492" i="77"/>
  <c r="A493" i="77"/>
  <c r="B493" i="77"/>
  <c r="D493" i="77"/>
  <c r="E493" i="77"/>
  <c r="F493" i="77"/>
  <c r="G493" i="77"/>
  <c r="H493" i="77"/>
  <c r="J493" i="77"/>
  <c r="K493" i="77"/>
  <c r="M493" i="77"/>
  <c r="O493" i="77"/>
  <c r="P493" i="77"/>
  <c r="R493" i="77"/>
  <c r="S493" i="77"/>
  <c r="U493" i="77"/>
  <c r="W493" i="77"/>
  <c r="X493" i="77"/>
  <c r="AO493" i="77"/>
  <c r="AP493" i="77"/>
  <c r="AQ493" i="77"/>
  <c r="AR493" i="77"/>
  <c r="AS493" i="77"/>
  <c r="AT493" i="77"/>
  <c r="AU493" i="77"/>
  <c r="AW493" i="77"/>
  <c r="AX493" i="77"/>
  <c r="AY493" i="77"/>
  <c r="BA493" i="77"/>
  <c r="A494" i="77"/>
  <c r="B494" i="77"/>
  <c r="D494" i="77"/>
  <c r="E494" i="77"/>
  <c r="F494" i="77"/>
  <c r="G494" i="77"/>
  <c r="H494" i="77"/>
  <c r="J494" i="77"/>
  <c r="K494" i="77"/>
  <c r="M494" i="77"/>
  <c r="O494" i="77"/>
  <c r="P494" i="77"/>
  <c r="R494" i="77"/>
  <c r="S494" i="77"/>
  <c r="U494" i="77"/>
  <c r="W494" i="77"/>
  <c r="X494" i="77"/>
  <c r="AO494" i="77"/>
  <c r="AP494" i="77"/>
  <c r="AQ494" i="77"/>
  <c r="AR494" i="77"/>
  <c r="AS494" i="77"/>
  <c r="AT494" i="77"/>
  <c r="AU494" i="77"/>
  <c r="AW494" i="77"/>
  <c r="AX494" i="77"/>
  <c r="AY494" i="77"/>
  <c r="BA494" i="77"/>
  <c r="A495" i="77"/>
  <c r="B495" i="77"/>
  <c r="D495" i="77"/>
  <c r="E495" i="77"/>
  <c r="F495" i="77"/>
  <c r="G495" i="77"/>
  <c r="H495" i="77"/>
  <c r="J495" i="77"/>
  <c r="K495" i="77"/>
  <c r="M495" i="77"/>
  <c r="O495" i="77"/>
  <c r="P495" i="77"/>
  <c r="R495" i="77"/>
  <c r="S495" i="77"/>
  <c r="U495" i="77"/>
  <c r="W495" i="77"/>
  <c r="X495" i="77"/>
  <c r="AO495" i="77"/>
  <c r="AP495" i="77"/>
  <c r="AQ495" i="77"/>
  <c r="AR495" i="77"/>
  <c r="AS495" i="77"/>
  <c r="AT495" i="77"/>
  <c r="AU495" i="77"/>
  <c r="AW495" i="77"/>
  <c r="AX495" i="77"/>
  <c r="AY495" i="77"/>
  <c r="BA495" i="77"/>
  <c r="A496" i="77"/>
  <c r="B496" i="77"/>
  <c r="D496" i="77"/>
  <c r="E496" i="77"/>
  <c r="F496" i="77"/>
  <c r="G496" i="77"/>
  <c r="H496" i="77"/>
  <c r="J496" i="77"/>
  <c r="K496" i="77"/>
  <c r="M496" i="77"/>
  <c r="O496" i="77"/>
  <c r="P496" i="77"/>
  <c r="R496" i="77"/>
  <c r="S496" i="77"/>
  <c r="U496" i="77"/>
  <c r="W496" i="77"/>
  <c r="X496" i="77"/>
  <c r="AO496" i="77"/>
  <c r="AP496" i="77"/>
  <c r="AQ496" i="77"/>
  <c r="AR496" i="77"/>
  <c r="AS496" i="77"/>
  <c r="AT496" i="77"/>
  <c r="AU496" i="77"/>
  <c r="AW496" i="77"/>
  <c r="AX496" i="77"/>
  <c r="AY496" i="77"/>
  <c r="BA496" i="77"/>
  <c r="A497" i="77"/>
  <c r="B497" i="77"/>
  <c r="D497" i="77"/>
  <c r="E497" i="77"/>
  <c r="F497" i="77"/>
  <c r="G497" i="77"/>
  <c r="H497" i="77"/>
  <c r="J497" i="77"/>
  <c r="K497" i="77"/>
  <c r="M497" i="77"/>
  <c r="O497" i="77"/>
  <c r="P497" i="77"/>
  <c r="R497" i="77"/>
  <c r="S497" i="77"/>
  <c r="U497" i="77"/>
  <c r="W497" i="77"/>
  <c r="X497" i="77"/>
  <c r="AO497" i="77"/>
  <c r="AP497" i="77"/>
  <c r="AQ497" i="77"/>
  <c r="AR497" i="77"/>
  <c r="AS497" i="77"/>
  <c r="AT497" i="77"/>
  <c r="AU497" i="77"/>
  <c r="AW497" i="77"/>
  <c r="AX497" i="77"/>
  <c r="AY497" i="77"/>
  <c r="BA497" i="77"/>
  <c r="A498" i="77"/>
  <c r="B498" i="77"/>
  <c r="D498" i="77"/>
  <c r="E498" i="77"/>
  <c r="F498" i="77"/>
  <c r="G498" i="77"/>
  <c r="H498" i="77"/>
  <c r="J498" i="77"/>
  <c r="K498" i="77"/>
  <c r="M498" i="77"/>
  <c r="O498" i="77"/>
  <c r="P498" i="77"/>
  <c r="R498" i="77"/>
  <c r="S498" i="77"/>
  <c r="U498" i="77"/>
  <c r="W498" i="77"/>
  <c r="X498" i="77"/>
  <c r="AO498" i="77"/>
  <c r="AP498" i="77"/>
  <c r="AQ498" i="77"/>
  <c r="AR498" i="77"/>
  <c r="AS498" i="77"/>
  <c r="AT498" i="77"/>
  <c r="AU498" i="77"/>
  <c r="AW498" i="77"/>
  <c r="AX498" i="77"/>
  <c r="AY498" i="77"/>
  <c r="BA498" i="77"/>
  <c r="A499" i="77"/>
  <c r="B499" i="77"/>
  <c r="D499" i="77"/>
  <c r="E499" i="77"/>
  <c r="F499" i="77"/>
  <c r="G499" i="77"/>
  <c r="H499" i="77"/>
  <c r="J499" i="77"/>
  <c r="K499" i="77"/>
  <c r="M499" i="77"/>
  <c r="O499" i="77"/>
  <c r="P499" i="77"/>
  <c r="R499" i="77"/>
  <c r="S499" i="77"/>
  <c r="U499" i="77"/>
  <c r="W499" i="77"/>
  <c r="X499" i="77"/>
  <c r="AO499" i="77"/>
  <c r="AP499" i="77"/>
  <c r="AQ499" i="77"/>
  <c r="AR499" i="77"/>
  <c r="AS499" i="77"/>
  <c r="AT499" i="77"/>
  <c r="AU499" i="77"/>
  <c r="AW499" i="77"/>
  <c r="AX499" i="77"/>
  <c r="AY499" i="77"/>
  <c r="BA499" i="77"/>
  <c r="A500" i="77"/>
  <c r="B500" i="77"/>
  <c r="AW500" i="77"/>
  <c r="AX500" i="77"/>
  <c r="AY500" i="77"/>
  <c r="BA500" i="77"/>
  <c r="A501" i="77"/>
  <c r="B501" i="77"/>
  <c r="AW501" i="77"/>
  <c r="AX501" i="77"/>
  <c r="AY501" i="77"/>
  <c r="BA501" i="77"/>
  <c r="C3" i="81"/>
  <c r="D3" i="81"/>
  <c r="E3" i="81"/>
  <c r="F3" i="81"/>
  <c r="G3" i="81"/>
  <c r="H3" i="81"/>
  <c r="I3" i="81"/>
  <c r="B4" i="81"/>
  <c r="C4" i="81"/>
  <c r="D4" i="81"/>
  <c r="E4" i="81"/>
  <c r="F4" i="81"/>
  <c r="G4" i="81"/>
  <c r="H4" i="81"/>
  <c r="I4" i="81"/>
  <c r="B5" i="81"/>
  <c r="C5" i="81"/>
  <c r="D5" i="81"/>
  <c r="E5" i="81"/>
  <c r="F5" i="81"/>
  <c r="G5" i="81"/>
  <c r="H5" i="81"/>
  <c r="I5" i="81"/>
  <c r="B6" i="81"/>
  <c r="C6" i="81"/>
  <c r="D6" i="81"/>
  <c r="E6" i="81"/>
  <c r="F6" i="81"/>
  <c r="G6" i="81"/>
  <c r="H6" i="81"/>
  <c r="I6" i="81"/>
  <c r="B7" i="81"/>
  <c r="C7" i="81"/>
  <c r="D7" i="81"/>
  <c r="E7" i="81"/>
  <c r="F7" i="81"/>
  <c r="G7" i="81"/>
  <c r="H7" i="81"/>
  <c r="I7" i="81"/>
  <c r="B8" i="81"/>
  <c r="C8" i="81"/>
  <c r="D8" i="81"/>
  <c r="E8" i="81"/>
  <c r="F8" i="81"/>
  <c r="G8" i="81"/>
  <c r="H8" i="81"/>
  <c r="I8" i="81"/>
  <c r="B9" i="81"/>
  <c r="C9" i="81"/>
  <c r="D9" i="81"/>
  <c r="E9" i="81"/>
  <c r="F9" i="81"/>
  <c r="G9" i="81"/>
  <c r="H9" i="81"/>
  <c r="I9" i="81"/>
  <c r="B10" i="81"/>
  <c r="C10" i="81"/>
  <c r="D10" i="81"/>
  <c r="E10" i="81"/>
  <c r="F10" i="81"/>
  <c r="G10" i="81"/>
  <c r="H10" i="81"/>
  <c r="I10" i="81"/>
  <c r="B11" i="81"/>
  <c r="C11" i="81"/>
  <c r="D11" i="81"/>
  <c r="E11" i="81"/>
  <c r="F11" i="81"/>
  <c r="G11" i="81"/>
  <c r="H11" i="81"/>
  <c r="I11" i="81"/>
  <c r="B12" i="81"/>
  <c r="C12" i="81"/>
  <c r="D12" i="81"/>
  <c r="E12" i="81"/>
  <c r="F12" i="81"/>
  <c r="G12" i="81"/>
  <c r="H12" i="81"/>
  <c r="I12" i="81"/>
  <c r="B13" i="81"/>
  <c r="C13" i="81"/>
  <c r="D13" i="81"/>
  <c r="E13" i="81"/>
  <c r="F13" i="81"/>
  <c r="G13" i="81"/>
  <c r="H13" i="81"/>
  <c r="I13" i="81"/>
  <c r="B14" i="81"/>
  <c r="C14" i="81"/>
  <c r="D14" i="81"/>
  <c r="E14" i="81"/>
  <c r="F14" i="81"/>
  <c r="G14" i="81"/>
  <c r="H14" i="81"/>
  <c r="I14" i="81"/>
  <c r="B15" i="81"/>
  <c r="C15" i="81"/>
  <c r="D15" i="81"/>
  <c r="E15" i="81"/>
  <c r="F15" i="81"/>
  <c r="G15" i="81"/>
  <c r="H15" i="81"/>
  <c r="I15" i="81"/>
  <c r="B16" i="81"/>
  <c r="C16" i="81"/>
  <c r="D16" i="81"/>
  <c r="E16" i="81"/>
  <c r="F16" i="81"/>
  <c r="G16" i="81"/>
  <c r="H16" i="81"/>
  <c r="I16" i="81"/>
  <c r="B23" i="81"/>
  <c r="C23" i="81"/>
  <c r="D23" i="81"/>
  <c r="E23" i="81"/>
  <c r="F23" i="81"/>
  <c r="G23" i="81"/>
  <c r="H23" i="81"/>
  <c r="I23" i="81"/>
  <c r="J23" i="81"/>
  <c r="B24" i="81"/>
  <c r="C24" i="81"/>
  <c r="D24" i="81"/>
  <c r="E24" i="81"/>
  <c r="F24" i="81"/>
  <c r="G24" i="81"/>
  <c r="H24" i="81"/>
  <c r="I24" i="81"/>
  <c r="J24" i="81"/>
  <c r="B25" i="81"/>
  <c r="C25" i="81"/>
  <c r="D25" i="81"/>
  <c r="E25" i="81"/>
  <c r="F25" i="81"/>
  <c r="G25" i="81"/>
  <c r="H25" i="81"/>
  <c r="I25" i="81"/>
  <c r="J25" i="81"/>
  <c r="B26" i="81"/>
  <c r="C26" i="81"/>
  <c r="D26" i="81"/>
  <c r="E26" i="81"/>
  <c r="F26" i="81"/>
  <c r="G26" i="81"/>
  <c r="H26" i="81"/>
  <c r="I26" i="81"/>
  <c r="J26" i="81"/>
  <c r="B27" i="81"/>
  <c r="C27" i="81"/>
  <c r="D27" i="81"/>
  <c r="E27" i="81"/>
  <c r="F27" i="81"/>
  <c r="G27" i="81"/>
  <c r="H27" i="81"/>
  <c r="I27" i="81"/>
  <c r="J27" i="81"/>
  <c r="B28" i="81"/>
  <c r="C28" i="81"/>
  <c r="D28" i="81"/>
  <c r="E28" i="81"/>
  <c r="F28" i="81"/>
  <c r="G28" i="81"/>
  <c r="H28" i="81"/>
  <c r="I28" i="81"/>
  <c r="J28" i="81"/>
  <c r="B29" i="81"/>
  <c r="C29" i="81"/>
  <c r="D29" i="81"/>
  <c r="E29" i="81"/>
  <c r="F29" i="81"/>
  <c r="G29" i="81"/>
  <c r="H29" i="81"/>
  <c r="I29" i="81"/>
  <c r="J29" i="81"/>
  <c r="B30" i="81"/>
  <c r="C30" i="81"/>
  <c r="D30" i="81"/>
  <c r="E30" i="81"/>
  <c r="F30" i="81"/>
  <c r="G30" i="81"/>
  <c r="H30" i="81"/>
  <c r="I30" i="81"/>
  <c r="J30" i="81"/>
  <c r="B31" i="81"/>
  <c r="C31" i="81"/>
  <c r="D31" i="81"/>
  <c r="E31" i="81"/>
  <c r="F31" i="81"/>
  <c r="G31" i="81"/>
  <c r="H31" i="81"/>
  <c r="I31" i="81"/>
  <c r="J31" i="81"/>
  <c r="B32" i="81"/>
  <c r="C32" i="81"/>
  <c r="D32" i="81"/>
  <c r="E32" i="81"/>
  <c r="F32" i="81"/>
  <c r="G32" i="81"/>
  <c r="H32" i="81"/>
  <c r="I32" i="81"/>
  <c r="J32" i="81"/>
  <c r="B33" i="81"/>
  <c r="C33" i="81"/>
  <c r="D33" i="81"/>
  <c r="E33" i="81"/>
  <c r="F33" i="81"/>
  <c r="G33" i="81"/>
  <c r="H33" i="81"/>
  <c r="I33" i="81"/>
  <c r="J33" i="81"/>
  <c r="B34" i="81"/>
  <c r="C34" i="81"/>
  <c r="D34" i="81"/>
  <c r="E34" i="81"/>
  <c r="F34" i="81"/>
  <c r="G34" i="81"/>
  <c r="H34" i="81"/>
  <c r="I34" i="81"/>
  <c r="J34" i="81"/>
  <c r="B35" i="81"/>
  <c r="C35" i="81"/>
  <c r="D35" i="81"/>
  <c r="E35" i="81"/>
  <c r="F35" i="81"/>
  <c r="G35" i="81"/>
  <c r="H35" i="81"/>
  <c r="I35" i="81"/>
  <c r="J35" i="81"/>
  <c r="B36" i="81"/>
  <c r="C36" i="81"/>
  <c r="D36" i="81"/>
  <c r="E36" i="81"/>
  <c r="F36" i="81"/>
  <c r="G36" i="81"/>
  <c r="H36" i="81"/>
  <c r="I36" i="81"/>
  <c r="J36" i="81"/>
  <c r="B37" i="81"/>
  <c r="C37" i="81"/>
  <c r="D37" i="81"/>
  <c r="E37" i="81"/>
  <c r="F37" i="81"/>
  <c r="G37" i="81"/>
  <c r="H37" i="81"/>
  <c r="I37" i="81"/>
  <c r="J37" i="81"/>
  <c r="B38" i="81"/>
  <c r="C38" i="81"/>
  <c r="D38" i="81"/>
  <c r="E38" i="81"/>
  <c r="F38" i="81"/>
  <c r="G38" i="81"/>
  <c r="H38" i="81"/>
  <c r="I38" i="81"/>
  <c r="J38" i="81"/>
  <c r="B39" i="81"/>
  <c r="C39" i="81"/>
  <c r="D39" i="81"/>
  <c r="E39" i="81"/>
  <c r="F39" i="81"/>
  <c r="G39" i="81"/>
  <c r="H39" i="81"/>
  <c r="I39" i="81"/>
  <c r="J39" i="81"/>
  <c r="B40" i="81"/>
  <c r="C40" i="81"/>
  <c r="D40" i="81"/>
  <c r="E40" i="81"/>
  <c r="F40" i="81"/>
  <c r="G40" i="81"/>
  <c r="H40" i="81"/>
  <c r="I40" i="81"/>
  <c r="J40" i="81"/>
  <c r="B41" i="81"/>
  <c r="C41" i="81"/>
  <c r="D41" i="81"/>
  <c r="E41" i="81"/>
  <c r="F41" i="81"/>
  <c r="G41" i="81"/>
  <c r="H41" i="81"/>
  <c r="I41" i="81"/>
  <c r="J41" i="81"/>
  <c r="B42" i="81"/>
  <c r="C42" i="81"/>
  <c r="D42" i="81"/>
  <c r="E42" i="81"/>
  <c r="F42" i="81"/>
  <c r="G42" i="81"/>
  <c r="H42" i="81"/>
  <c r="I42" i="81"/>
  <c r="J42" i="81"/>
  <c r="B43" i="81"/>
  <c r="C43" i="81"/>
  <c r="D43" i="81"/>
  <c r="E43" i="81"/>
  <c r="F43" i="81"/>
  <c r="G43" i="81"/>
  <c r="H43" i="81"/>
  <c r="I43" i="81"/>
  <c r="J43" i="81"/>
  <c r="B44" i="81"/>
  <c r="C44" i="81"/>
  <c r="D44" i="81"/>
  <c r="E44" i="81"/>
  <c r="F44" i="81"/>
  <c r="G44" i="81"/>
  <c r="H44" i="81"/>
  <c r="I44" i="81"/>
  <c r="J44" i="81"/>
  <c r="B45" i="81"/>
  <c r="C45" i="81"/>
  <c r="D45" i="81"/>
  <c r="E45" i="81"/>
  <c r="F45" i="81"/>
  <c r="G45" i="81"/>
  <c r="H45" i="81"/>
  <c r="I45" i="81"/>
  <c r="J45" i="81"/>
  <c r="B46" i="81"/>
  <c r="C46" i="81"/>
  <c r="D46" i="81"/>
  <c r="E46" i="81"/>
  <c r="F46" i="81"/>
  <c r="G46" i="81"/>
  <c r="H46" i="81"/>
  <c r="I46" i="81"/>
  <c r="J46" i="81"/>
  <c r="B47" i="81"/>
  <c r="C47" i="81"/>
  <c r="D47" i="81"/>
  <c r="E47" i="81"/>
  <c r="F47" i="81"/>
  <c r="G47" i="81"/>
  <c r="H47" i="81"/>
  <c r="I47" i="81"/>
  <c r="J47" i="81"/>
  <c r="B48" i="81"/>
  <c r="C48" i="81"/>
  <c r="D48" i="81"/>
  <c r="E48" i="81"/>
  <c r="F48" i="81"/>
  <c r="G48" i="81"/>
  <c r="H48" i="81"/>
  <c r="I48" i="81"/>
  <c r="J48" i="81"/>
  <c r="B49" i="81"/>
  <c r="C49" i="81"/>
  <c r="D49" i="81"/>
  <c r="E49" i="81"/>
  <c r="F49" i="81"/>
  <c r="G49" i="81"/>
  <c r="H49" i="81"/>
  <c r="I49" i="81"/>
  <c r="J49" i="81"/>
  <c r="B50" i="81"/>
  <c r="C50" i="81"/>
  <c r="D50" i="81"/>
  <c r="E50" i="81"/>
  <c r="F50" i="81"/>
  <c r="G50" i="81"/>
  <c r="H50" i="81"/>
  <c r="I50" i="81"/>
  <c r="J50" i="81"/>
  <c r="B51" i="81"/>
  <c r="C51" i="81"/>
  <c r="D51" i="81"/>
  <c r="E51" i="81"/>
  <c r="F51" i="81"/>
  <c r="G51" i="81"/>
  <c r="H51" i="81"/>
  <c r="I51" i="81"/>
  <c r="J51" i="81"/>
  <c r="B52" i="81"/>
  <c r="C52" i="81"/>
  <c r="D52" i="81"/>
  <c r="E52" i="81"/>
  <c r="F52" i="81"/>
  <c r="G52" i="81"/>
  <c r="H52" i="81"/>
  <c r="I52" i="81"/>
  <c r="J52" i="81"/>
  <c r="B53" i="81"/>
  <c r="C53" i="81"/>
  <c r="D53" i="81"/>
  <c r="E53" i="81"/>
  <c r="F53" i="81"/>
  <c r="G53" i="81"/>
  <c r="H53" i="81"/>
  <c r="I53" i="81"/>
  <c r="J53" i="81"/>
  <c r="B54" i="81"/>
  <c r="C54" i="81"/>
  <c r="D54" i="81"/>
  <c r="E54" i="81"/>
  <c r="F54" i="81"/>
  <c r="G54" i="81"/>
  <c r="H54" i="81"/>
  <c r="I54" i="81"/>
  <c r="J54" i="81"/>
  <c r="B55" i="81"/>
  <c r="C55" i="81"/>
  <c r="D55" i="81"/>
  <c r="E55" i="81"/>
  <c r="F55" i="81"/>
  <c r="G55" i="81"/>
  <c r="H55" i="81"/>
  <c r="I55" i="81"/>
  <c r="J55" i="81"/>
  <c r="B56" i="81"/>
  <c r="C56" i="81"/>
  <c r="D56" i="81"/>
  <c r="E56" i="81"/>
  <c r="F56" i="81"/>
  <c r="G56" i="81"/>
  <c r="H56" i="81"/>
  <c r="I56" i="81"/>
  <c r="J56" i="81"/>
  <c r="B57" i="81"/>
  <c r="C57" i="81"/>
  <c r="D57" i="81"/>
  <c r="E57" i="81"/>
  <c r="F57" i="81"/>
  <c r="G57" i="81"/>
  <c r="H57" i="81"/>
  <c r="I57" i="81"/>
  <c r="J57" i="81"/>
  <c r="B58" i="81"/>
  <c r="C58" i="81"/>
  <c r="D58" i="81"/>
  <c r="E58" i="81"/>
  <c r="F58" i="81"/>
  <c r="G58" i="81"/>
  <c r="H58" i="81"/>
  <c r="I58" i="81"/>
  <c r="J58" i="81"/>
  <c r="B59" i="81"/>
  <c r="C59" i="81"/>
  <c r="D59" i="81"/>
  <c r="E59" i="81"/>
  <c r="F59" i="81"/>
  <c r="G59" i="81"/>
  <c r="H59" i="81"/>
  <c r="I59" i="81"/>
  <c r="J59" i="81"/>
  <c r="B60" i="81"/>
  <c r="C60" i="81"/>
  <c r="D60" i="81"/>
  <c r="E60" i="81"/>
  <c r="F60" i="81"/>
  <c r="G60" i="81"/>
  <c r="H60" i="81"/>
  <c r="I60" i="81"/>
  <c r="J60" i="81"/>
  <c r="B61" i="81"/>
  <c r="C61" i="81"/>
  <c r="D61" i="81"/>
  <c r="E61" i="81"/>
  <c r="F61" i="81"/>
  <c r="G61" i="81"/>
  <c r="H61" i="81"/>
  <c r="I61" i="81"/>
  <c r="J61" i="81"/>
  <c r="B62" i="81"/>
  <c r="C62" i="81"/>
  <c r="D62" i="81"/>
  <c r="E62" i="81"/>
  <c r="F62" i="81"/>
  <c r="G62" i="81"/>
  <c r="H62" i="81"/>
  <c r="I62" i="81"/>
  <c r="J62" i="81"/>
  <c r="B63" i="81"/>
  <c r="C63" i="81"/>
  <c r="D63" i="81"/>
  <c r="E63" i="81"/>
  <c r="F63" i="81"/>
  <c r="G63" i="81"/>
  <c r="H63" i="81"/>
  <c r="I63" i="81"/>
  <c r="J63" i="81"/>
  <c r="B64" i="81"/>
  <c r="C64" i="81"/>
  <c r="D64" i="81"/>
  <c r="E64" i="81"/>
  <c r="F64" i="81"/>
  <c r="G64" i="81"/>
  <c r="H64" i="81"/>
  <c r="I64" i="81"/>
  <c r="J64" i="81"/>
  <c r="B65" i="81"/>
  <c r="C65" i="81"/>
  <c r="D65" i="81"/>
  <c r="E65" i="81"/>
  <c r="F65" i="81"/>
  <c r="G65" i="81"/>
  <c r="H65" i="81"/>
  <c r="I65" i="81"/>
  <c r="J65" i="81"/>
  <c r="B66" i="81"/>
  <c r="C66" i="81"/>
  <c r="D66" i="81"/>
  <c r="E66" i="81"/>
  <c r="F66" i="81"/>
  <c r="G66" i="81"/>
  <c r="H66" i="81"/>
  <c r="I66" i="81"/>
  <c r="J66" i="81"/>
  <c r="B67" i="81"/>
  <c r="C67" i="81"/>
  <c r="D67" i="81"/>
  <c r="E67" i="81"/>
  <c r="F67" i="81"/>
  <c r="G67" i="81"/>
  <c r="H67" i="81"/>
  <c r="I67" i="81"/>
  <c r="J67" i="81"/>
  <c r="B68" i="81"/>
  <c r="C68" i="81"/>
  <c r="D68" i="81"/>
  <c r="E68" i="81"/>
  <c r="F68" i="81"/>
  <c r="G68" i="81"/>
  <c r="H68" i="81"/>
  <c r="I68" i="81"/>
  <c r="J68" i="81"/>
  <c r="B69" i="81"/>
  <c r="C69" i="81"/>
  <c r="D69" i="81"/>
  <c r="E69" i="81"/>
  <c r="F69" i="81"/>
  <c r="G69" i="81"/>
  <c r="H69" i="81"/>
  <c r="I69" i="81"/>
  <c r="J69" i="81"/>
  <c r="B70" i="81"/>
  <c r="C70" i="81"/>
  <c r="D70" i="81"/>
  <c r="E70" i="81"/>
  <c r="F70" i="81"/>
  <c r="G70" i="81"/>
  <c r="H70" i="81"/>
  <c r="I70" i="81"/>
  <c r="J70" i="81"/>
  <c r="B71" i="81"/>
  <c r="C71" i="81"/>
  <c r="D71" i="81"/>
  <c r="E71" i="81"/>
  <c r="F71" i="81"/>
  <c r="G71" i="81"/>
  <c r="H71" i="81"/>
  <c r="I71" i="81"/>
  <c r="J71" i="81"/>
  <c r="B72" i="81"/>
  <c r="C72" i="81"/>
  <c r="D72" i="81"/>
  <c r="E72" i="81"/>
  <c r="F72" i="81"/>
  <c r="G72" i="81"/>
  <c r="H72" i="81"/>
  <c r="I72" i="81"/>
  <c r="J72" i="81"/>
  <c r="B73" i="81"/>
  <c r="C73" i="81"/>
  <c r="D73" i="81"/>
  <c r="E73" i="81"/>
  <c r="F73" i="81"/>
  <c r="G73" i="81"/>
  <c r="H73" i="81"/>
  <c r="I73" i="81"/>
  <c r="J73" i="81"/>
  <c r="B74" i="81"/>
  <c r="C74" i="81"/>
  <c r="D74" i="81"/>
  <c r="E74" i="81"/>
  <c r="F74" i="81"/>
  <c r="G74" i="81"/>
  <c r="H74" i="81"/>
  <c r="I74" i="81"/>
  <c r="J74" i="81"/>
  <c r="B75" i="81"/>
  <c r="C75" i="81"/>
  <c r="D75" i="81"/>
  <c r="E75" i="81"/>
  <c r="F75" i="81"/>
  <c r="G75" i="81"/>
  <c r="H75" i="81"/>
  <c r="I75" i="81"/>
  <c r="J75" i="81"/>
  <c r="B76" i="81"/>
  <c r="C76" i="81"/>
  <c r="D76" i="81"/>
  <c r="E76" i="81"/>
  <c r="F76" i="81"/>
  <c r="G76" i="81"/>
  <c r="H76" i="81"/>
  <c r="I76" i="81"/>
  <c r="J76" i="81"/>
  <c r="B77" i="81"/>
  <c r="C77" i="81"/>
  <c r="D77" i="81"/>
  <c r="E77" i="81"/>
  <c r="F77" i="81"/>
  <c r="G77" i="81"/>
  <c r="H77" i="81"/>
  <c r="I77" i="81"/>
  <c r="J77" i="81"/>
  <c r="B78" i="81"/>
  <c r="C78" i="81"/>
  <c r="D78" i="81"/>
  <c r="E78" i="81"/>
  <c r="F78" i="81"/>
  <c r="G78" i="81"/>
  <c r="H78" i="81"/>
  <c r="I78" i="81"/>
  <c r="J78" i="81"/>
  <c r="B79" i="81"/>
  <c r="C79" i="81"/>
  <c r="D79" i="81"/>
  <c r="E79" i="81"/>
  <c r="F79" i="81"/>
  <c r="G79" i="81"/>
  <c r="H79" i="81"/>
  <c r="I79" i="81"/>
  <c r="J79" i="81"/>
  <c r="B80" i="81"/>
  <c r="C80" i="81"/>
  <c r="D80" i="81"/>
  <c r="E80" i="81"/>
  <c r="F80" i="81"/>
  <c r="G80" i="81"/>
  <c r="H80" i="81"/>
  <c r="I80" i="81"/>
  <c r="J80" i="81"/>
  <c r="B81" i="81"/>
  <c r="C81" i="81"/>
  <c r="D81" i="81"/>
  <c r="E81" i="81"/>
  <c r="F81" i="81"/>
  <c r="G81" i="81"/>
  <c r="H81" i="81"/>
  <c r="I81" i="81"/>
  <c r="J81" i="81"/>
  <c r="B82" i="81"/>
  <c r="C82" i="81"/>
  <c r="D82" i="81"/>
  <c r="E82" i="81"/>
  <c r="F82" i="81"/>
  <c r="G82" i="81"/>
  <c r="H82" i="81"/>
  <c r="I82" i="81"/>
  <c r="J82" i="81"/>
  <c r="B83" i="81"/>
  <c r="C83" i="81"/>
  <c r="D83" i="81"/>
  <c r="E83" i="81"/>
  <c r="F83" i="81"/>
  <c r="G83" i="81"/>
  <c r="H83" i="81"/>
  <c r="I83" i="81"/>
  <c r="J83" i="81"/>
  <c r="B84" i="81"/>
  <c r="C84" i="81"/>
  <c r="D84" i="81"/>
  <c r="E84" i="81"/>
  <c r="F84" i="81"/>
  <c r="G84" i="81"/>
  <c r="H84" i="81"/>
  <c r="I84" i="81"/>
  <c r="J84" i="81"/>
  <c r="B85" i="81"/>
  <c r="C85" i="81"/>
  <c r="D85" i="81"/>
  <c r="E85" i="81"/>
  <c r="F85" i="81"/>
  <c r="G85" i="81"/>
  <c r="H85" i="81"/>
  <c r="I85" i="81"/>
  <c r="J85" i="81"/>
  <c r="B86" i="81"/>
  <c r="C86" i="81"/>
  <c r="D86" i="81"/>
  <c r="E86" i="81"/>
  <c r="F86" i="81"/>
  <c r="G86" i="81"/>
  <c r="H86" i="81"/>
  <c r="I86" i="81"/>
  <c r="J86" i="81"/>
  <c r="B87" i="81"/>
  <c r="C87" i="81"/>
  <c r="D87" i="81"/>
  <c r="E87" i="81"/>
  <c r="F87" i="81"/>
  <c r="G87" i="81"/>
  <c r="H87" i="81"/>
  <c r="I87" i="81"/>
  <c r="J87" i="81"/>
  <c r="B88" i="81"/>
  <c r="C88" i="81"/>
  <c r="D88" i="81"/>
  <c r="E88" i="81"/>
  <c r="F88" i="81"/>
  <c r="G88" i="81"/>
  <c r="H88" i="81"/>
  <c r="I88" i="81"/>
  <c r="J88" i="81"/>
  <c r="B89" i="81"/>
  <c r="C89" i="81"/>
  <c r="D89" i="81"/>
  <c r="E89" i="81"/>
  <c r="F89" i="81"/>
  <c r="G89" i="81"/>
  <c r="H89" i="81"/>
  <c r="I89" i="81"/>
  <c r="J89" i="81"/>
  <c r="B90" i="81"/>
  <c r="C90" i="81"/>
  <c r="D90" i="81"/>
  <c r="E90" i="81"/>
  <c r="F90" i="81"/>
  <c r="G90" i="81"/>
  <c r="H90" i="81"/>
  <c r="I90" i="81"/>
  <c r="J90" i="81"/>
  <c r="B91" i="81"/>
  <c r="C91" i="81"/>
  <c r="D91" i="81"/>
  <c r="E91" i="81"/>
  <c r="F91" i="81"/>
  <c r="G91" i="81"/>
  <c r="H91" i="81"/>
  <c r="I91" i="81"/>
  <c r="J91" i="81"/>
  <c r="B92" i="81"/>
  <c r="C92" i="81"/>
  <c r="D92" i="81"/>
  <c r="E92" i="81"/>
  <c r="F92" i="81"/>
  <c r="G92" i="81"/>
  <c r="H92" i="81"/>
  <c r="I92" i="81"/>
  <c r="J92" i="81"/>
  <c r="B93" i="81"/>
  <c r="C93" i="81"/>
  <c r="D93" i="81"/>
  <c r="E93" i="81"/>
  <c r="F93" i="81"/>
  <c r="G93" i="81"/>
  <c r="H93" i="81"/>
  <c r="I93" i="81"/>
  <c r="J93" i="81"/>
  <c r="B94" i="81"/>
  <c r="C94" i="81"/>
  <c r="D94" i="81"/>
  <c r="E94" i="81"/>
  <c r="F94" i="81"/>
  <c r="G94" i="81"/>
  <c r="H94" i="81"/>
  <c r="I94" i="81"/>
  <c r="J94" i="81"/>
  <c r="B95" i="81"/>
  <c r="C95" i="81"/>
  <c r="D95" i="81"/>
  <c r="E95" i="81"/>
  <c r="F95" i="81"/>
  <c r="G95" i="81"/>
  <c r="H95" i="81"/>
  <c r="I95" i="81"/>
  <c r="J95" i="81"/>
  <c r="B96" i="81"/>
  <c r="C96" i="81"/>
  <c r="D96" i="81"/>
  <c r="E96" i="81"/>
  <c r="F96" i="81"/>
  <c r="G96" i="81"/>
  <c r="H96" i="81"/>
  <c r="I96" i="81"/>
  <c r="J96" i="81"/>
  <c r="B97" i="81"/>
  <c r="C97" i="81"/>
  <c r="D97" i="81"/>
  <c r="E97" i="81"/>
  <c r="F97" i="81"/>
  <c r="G97" i="81"/>
  <c r="H97" i="81"/>
  <c r="I97" i="81"/>
  <c r="J97" i="81"/>
  <c r="B98" i="81"/>
  <c r="C98" i="81"/>
  <c r="D98" i="81"/>
  <c r="E98" i="81"/>
  <c r="F98" i="81"/>
  <c r="G98" i="81"/>
  <c r="H98" i="81"/>
  <c r="I98" i="81"/>
  <c r="J98" i="81"/>
  <c r="B99" i="81"/>
  <c r="C99" i="81"/>
  <c r="D99" i="81"/>
  <c r="E99" i="81"/>
  <c r="F99" i="81"/>
  <c r="G99" i="81"/>
  <c r="H99" i="81"/>
  <c r="I99" i="81"/>
  <c r="J99" i="81"/>
  <c r="B100" i="81"/>
  <c r="C100" i="81"/>
  <c r="D100" i="81"/>
  <c r="E100" i="81"/>
  <c r="F100" i="81"/>
  <c r="G100" i="81"/>
  <c r="H100" i="81"/>
  <c r="I100" i="81"/>
  <c r="J100" i="81"/>
  <c r="B101" i="81"/>
  <c r="C101" i="81"/>
  <c r="D101" i="81"/>
  <c r="E101" i="81"/>
  <c r="F101" i="81"/>
  <c r="G101" i="81"/>
  <c r="H101" i="81"/>
  <c r="I101" i="81"/>
  <c r="J101" i="81"/>
  <c r="B102" i="81"/>
  <c r="C102" i="81"/>
  <c r="D102" i="81"/>
  <c r="E102" i="81"/>
  <c r="F102" i="81"/>
  <c r="G102" i="81"/>
  <c r="H102" i="81"/>
  <c r="I102" i="81"/>
  <c r="J102" i="81"/>
  <c r="B103" i="81"/>
  <c r="C103" i="81"/>
  <c r="D103" i="81"/>
  <c r="E103" i="81"/>
  <c r="F103" i="81"/>
  <c r="G103" i="81"/>
  <c r="H103" i="81"/>
  <c r="I103" i="81"/>
  <c r="J103" i="81"/>
  <c r="B104" i="81"/>
  <c r="C104" i="81"/>
  <c r="D104" i="81"/>
  <c r="E104" i="81"/>
  <c r="F104" i="81"/>
  <c r="G104" i="81"/>
  <c r="H104" i="81"/>
  <c r="I104" i="81"/>
  <c r="J104" i="81"/>
  <c r="B105" i="81"/>
  <c r="C105" i="81"/>
  <c r="D105" i="81"/>
  <c r="E105" i="81"/>
  <c r="F105" i="81"/>
  <c r="G105" i="81"/>
  <c r="H105" i="81"/>
  <c r="I105" i="81"/>
  <c r="J105" i="81"/>
  <c r="B106" i="81"/>
  <c r="C106" i="81"/>
  <c r="D106" i="81"/>
  <c r="E106" i="81"/>
  <c r="F106" i="81"/>
  <c r="G106" i="81"/>
  <c r="H106" i="81"/>
  <c r="I106" i="81"/>
  <c r="J106" i="81"/>
  <c r="B107" i="81"/>
  <c r="C107" i="81"/>
  <c r="D107" i="81"/>
  <c r="E107" i="81"/>
  <c r="F107" i="81"/>
  <c r="G107" i="81"/>
  <c r="H107" i="81"/>
  <c r="I107" i="81"/>
  <c r="J107" i="81"/>
  <c r="B108" i="81"/>
  <c r="C108" i="81"/>
  <c r="D108" i="81"/>
  <c r="E108" i="81"/>
  <c r="F108" i="81"/>
  <c r="G108" i="81"/>
  <c r="H108" i="81"/>
  <c r="I108" i="81"/>
  <c r="J108" i="81"/>
  <c r="B109" i="81"/>
  <c r="C109" i="81"/>
  <c r="D109" i="81"/>
  <c r="E109" i="81"/>
  <c r="F109" i="81"/>
  <c r="G109" i="81"/>
  <c r="H109" i="81"/>
  <c r="I109" i="81"/>
  <c r="J109" i="81"/>
  <c r="B110" i="81"/>
  <c r="C110" i="81"/>
  <c r="D110" i="81"/>
  <c r="E110" i="81"/>
  <c r="F110" i="81"/>
  <c r="G110" i="81"/>
  <c r="H110" i="81"/>
  <c r="I110" i="81"/>
  <c r="J110" i="81"/>
  <c r="B111" i="81"/>
  <c r="C111" i="81"/>
  <c r="D111" i="81"/>
  <c r="E111" i="81"/>
  <c r="F111" i="81"/>
  <c r="G111" i="81"/>
  <c r="H111" i="81"/>
  <c r="I111" i="81"/>
  <c r="J111" i="81"/>
  <c r="B112" i="81"/>
  <c r="C112" i="81"/>
  <c r="D112" i="81"/>
  <c r="E112" i="81"/>
  <c r="F112" i="81"/>
  <c r="G112" i="81"/>
  <c r="H112" i="81"/>
  <c r="I112" i="81"/>
  <c r="J112" i="81"/>
  <c r="B113" i="81"/>
  <c r="C113" i="81"/>
  <c r="D113" i="81"/>
  <c r="E113" i="81"/>
  <c r="F113" i="81"/>
  <c r="G113" i="81"/>
  <c r="H113" i="81"/>
  <c r="I113" i="81"/>
  <c r="J113" i="81"/>
  <c r="B114" i="81"/>
  <c r="C114" i="81"/>
  <c r="D114" i="81"/>
  <c r="E114" i="81"/>
  <c r="F114" i="81"/>
  <c r="G114" i="81"/>
  <c r="H114" i="81"/>
  <c r="I114" i="81"/>
  <c r="J114" i="81"/>
  <c r="B115" i="81"/>
  <c r="C115" i="81"/>
  <c r="D115" i="81"/>
  <c r="E115" i="81"/>
  <c r="F115" i="81"/>
  <c r="G115" i="81"/>
  <c r="H115" i="81"/>
  <c r="I115" i="81"/>
  <c r="J115" i="81"/>
  <c r="B116" i="81"/>
  <c r="C116" i="81"/>
  <c r="D116" i="81"/>
  <c r="E116" i="81"/>
  <c r="F116" i="81"/>
  <c r="G116" i="81"/>
  <c r="H116" i="81"/>
  <c r="I116" i="81"/>
  <c r="J116" i="81"/>
  <c r="B117" i="81"/>
  <c r="C117" i="81"/>
  <c r="D117" i="81"/>
  <c r="E117" i="81"/>
  <c r="F117" i="81"/>
  <c r="G117" i="81"/>
  <c r="H117" i="81"/>
  <c r="I117" i="81"/>
  <c r="J117" i="81"/>
  <c r="B118" i="81"/>
  <c r="C118" i="81"/>
  <c r="D118" i="81"/>
  <c r="E118" i="81"/>
  <c r="F118" i="81"/>
  <c r="G118" i="81"/>
  <c r="H118" i="81"/>
  <c r="I118" i="81"/>
  <c r="J118" i="81"/>
  <c r="B119" i="81"/>
  <c r="C119" i="81"/>
  <c r="D119" i="81"/>
  <c r="E119" i="81"/>
  <c r="F119" i="81"/>
  <c r="G119" i="81"/>
  <c r="H119" i="81"/>
  <c r="I119" i="81"/>
  <c r="J119" i="81"/>
  <c r="B120" i="81"/>
  <c r="C120" i="81"/>
  <c r="D120" i="81"/>
  <c r="E120" i="81"/>
  <c r="F120" i="81"/>
  <c r="G120" i="81"/>
  <c r="H120" i="81"/>
  <c r="I120" i="81"/>
  <c r="J120" i="81"/>
  <c r="B121" i="81"/>
  <c r="C121" i="81"/>
  <c r="D121" i="81"/>
  <c r="E121" i="81"/>
  <c r="F121" i="81"/>
  <c r="G121" i="81"/>
  <c r="H121" i="81"/>
  <c r="I121" i="81"/>
  <c r="J121" i="81"/>
  <c r="B122" i="81"/>
  <c r="C122" i="81"/>
  <c r="D122" i="81"/>
  <c r="E122" i="81"/>
  <c r="F122" i="81"/>
  <c r="G122" i="81"/>
  <c r="H122" i="81"/>
  <c r="I122" i="81"/>
  <c r="J122" i="81"/>
  <c r="B123" i="81"/>
  <c r="C123" i="81"/>
  <c r="D123" i="81"/>
  <c r="E123" i="81"/>
  <c r="F123" i="81"/>
  <c r="G123" i="81"/>
  <c r="H123" i="81"/>
  <c r="I123" i="81"/>
  <c r="J123" i="81"/>
  <c r="B124" i="81"/>
  <c r="C124" i="81"/>
  <c r="D124" i="81"/>
  <c r="E124" i="81"/>
  <c r="F124" i="81"/>
  <c r="G124" i="81"/>
  <c r="H124" i="81"/>
  <c r="I124" i="81"/>
  <c r="J124" i="81"/>
  <c r="B125" i="81"/>
  <c r="C125" i="81"/>
  <c r="D125" i="81"/>
  <c r="E125" i="81"/>
  <c r="F125" i="81"/>
  <c r="G125" i="81"/>
  <c r="H125" i="81"/>
  <c r="I125" i="81"/>
  <c r="J125" i="81"/>
  <c r="B126" i="81"/>
  <c r="C126" i="81"/>
  <c r="D126" i="81"/>
  <c r="E126" i="81"/>
  <c r="F126" i="81"/>
  <c r="G126" i="81"/>
  <c r="H126" i="81"/>
  <c r="I126" i="81"/>
  <c r="J126" i="81"/>
  <c r="B127" i="81"/>
  <c r="C127" i="81"/>
  <c r="D127" i="81"/>
  <c r="E127" i="81"/>
  <c r="F127" i="81"/>
  <c r="G127" i="81"/>
  <c r="H127" i="81"/>
  <c r="I127" i="81"/>
  <c r="J127" i="81"/>
  <c r="B128" i="81"/>
  <c r="C128" i="81"/>
  <c r="D128" i="81"/>
  <c r="E128" i="81"/>
  <c r="F128" i="81"/>
  <c r="G128" i="81"/>
  <c r="H128" i="81"/>
  <c r="I128" i="81"/>
  <c r="J128" i="81"/>
  <c r="B129" i="81"/>
  <c r="C129" i="81"/>
  <c r="D129" i="81"/>
  <c r="E129" i="81"/>
  <c r="F129" i="81"/>
  <c r="G129" i="81"/>
  <c r="H129" i="81"/>
  <c r="I129" i="81"/>
  <c r="J129" i="81"/>
  <c r="B130" i="81"/>
  <c r="C130" i="81"/>
  <c r="D130" i="81"/>
  <c r="E130" i="81"/>
  <c r="F130" i="81"/>
  <c r="G130" i="81"/>
  <c r="H130" i="81"/>
  <c r="I130" i="81"/>
  <c r="J130" i="81"/>
  <c r="B131" i="81"/>
  <c r="C131" i="81"/>
  <c r="D131" i="81"/>
  <c r="E131" i="81"/>
  <c r="F131" i="81"/>
  <c r="G131" i="81"/>
  <c r="H131" i="81"/>
  <c r="I131" i="81"/>
  <c r="J131" i="81"/>
  <c r="B132" i="81"/>
  <c r="C132" i="81"/>
  <c r="D132" i="81"/>
  <c r="E132" i="81"/>
  <c r="F132" i="81"/>
  <c r="G132" i="81"/>
  <c r="H132" i="81"/>
  <c r="I132" i="81"/>
  <c r="J132" i="81"/>
  <c r="B133" i="81"/>
  <c r="C133" i="81"/>
  <c r="D133" i="81"/>
  <c r="E133" i="81"/>
  <c r="F133" i="81"/>
  <c r="G133" i="81"/>
  <c r="H133" i="81"/>
  <c r="I133" i="81"/>
  <c r="J133" i="81"/>
  <c r="B134" i="81"/>
  <c r="C134" i="81"/>
  <c r="D134" i="81"/>
  <c r="E134" i="81"/>
  <c r="F134" i="81"/>
  <c r="G134" i="81"/>
  <c r="H134" i="81"/>
  <c r="I134" i="81"/>
  <c r="J134" i="81"/>
  <c r="B135" i="81"/>
  <c r="C135" i="81"/>
  <c r="D135" i="81"/>
  <c r="E135" i="81"/>
  <c r="F135" i="81"/>
  <c r="G135" i="81"/>
  <c r="H135" i="81"/>
  <c r="I135" i="81"/>
  <c r="J135" i="81"/>
  <c r="B136" i="81"/>
  <c r="C136" i="81"/>
  <c r="D136" i="81"/>
  <c r="E136" i="81"/>
  <c r="F136" i="81"/>
  <c r="G136" i="81"/>
  <c r="H136" i="81"/>
  <c r="I136" i="81"/>
  <c r="J136" i="81"/>
  <c r="B137" i="81"/>
  <c r="C137" i="81"/>
  <c r="D137" i="81"/>
  <c r="E137" i="81"/>
  <c r="F137" i="81"/>
  <c r="G137" i="81"/>
  <c r="H137" i="81"/>
  <c r="I137" i="81"/>
  <c r="J137" i="81"/>
  <c r="B138" i="81"/>
  <c r="C138" i="81"/>
  <c r="D138" i="81"/>
  <c r="E138" i="81"/>
  <c r="F138" i="81"/>
  <c r="G138" i="81"/>
  <c r="H138" i="81"/>
  <c r="I138" i="81"/>
  <c r="J138" i="81"/>
  <c r="B139" i="81"/>
  <c r="C139" i="81"/>
  <c r="D139" i="81"/>
  <c r="E139" i="81"/>
  <c r="F139" i="81"/>
  <c r="G139" i="81"/>
  <c r="H139" i="81"/>
  <c r="I139" i="81"/>
  <c r="J139" i="81"/>
  <c r="B140" i="81"/>
  <c r="C140" i="81"/>
  <c r="D140" i="81"/>
  <c r="E140" i="81"/>
  <c r="F140" i="81"/>
  <c r="G140" i="81"/>
  <c r="H140" i="81"/>
  <c r="I140" i="81"/>
  <c r="J140" i="81"/>
  <c r="B141" i="81"/>
  <c r="C141" i="81"/>
  <c r="D141" i="81"/>
  <c r="E141" i="81"/>
  <c r="F141" i="81"/>
  <c r="G141" i="81"/>
  <c r="H141" i="81"/>
  <c r="I141" i="81"/>
  <c r="J141" i="81"/>
  <c r="B142" i="81"/>
  <c r="C142" i="81"/>
  <c r="D142" i="81"/>
  <c r="E142" i="81"/>
  <c r="F142" i="81"/>
  <c r="G142" i="81"/>
  <c r="H142" i="81"/>
  <c r="I142" i="81"/>
  <c r="J142" i="81"/>
  <c r="B143" i="81"/>
  <c r="C143" i="81"/>
  <c r="D143" i="81"/>
  <c r="E143" i="81"/>
  <c r="F143" i="81"/>
  <c r="G143" i="81"/>
  <c r="H143" i="81"/>
  <c r="I143" i="81"/>
  <c r="J143" i="81"/>
  <c r="B144" i="81"/>
  <c r="C144" i="81"/>
  <c r="D144" i="81"/>
  <c r="E144" i="81"/>
  <c r="F144" i="81"/>
  <c r="G144" i="81"/>
  <c r="H144" i="81"/>
  <c r="I144" i="81"/>
  <c r="J144" i="81"/>
  <c r="B145" i="81"/>
  <c r="C145" i="81"/>
  <c r="D145" i="81"/>
  <c r="E145" i="81"/>
  <c r="F145" i="81"/>
  <c r="G145" i="81"/>
  <c r="H145" i="81"/>
  <c r="I145" i="81"/>
  <c r="J145" i="81"/>
  <c r="B146" i="81"/>
  <c r="C146" i="81"/>
  <c r="D146" i="81"/>
  <c r="E146" i="81"/>
  <c r="F146" i="81"/>
  <c r="G146" i="81"/>
  <c r="H146" i="81"/>
  <c r="I146" i="81"/>
  <c r="J146" i="81"/>
  <c r="B147" i="81"/>
  <c r="C147" i="81"/>
  <c r="D147" i="81"/>
  <c r="E147" i="81"/>
  <c r="F147" i="81"/>
  <c r="G147" i="81"/>
  <c r="H147" i="81"/>
  <c r="I147" i="81"/>
  <c r="J147" i="81"/>
  <c r="B148" i="81"/>
  <c r="C148" i="81"/>
  <c r="D148" i="81"/>
  <c r="E148" i="81"/>
  <c r="F148" i="81"/>
  <c r="G148" i="81"/>
  <c r="H148" i="81"/>
  <c r="I148" i="81"/>
  <c r="J148" i="81"/>
  <c r="B149" i="81"/>
  <c r="C149" i="81"/>
  <c r="D149" i="81"/>
  <c r="E149" i="81"/>
  <c r="F149" i="81"/>
  <c r="G149" i="81"/>
  <c r="H149" i="81"/>
  <c r="I149" i="81"/>
  <c r="J149" i="81"/>
  <c r="B150" i="81"/>
  <c r="C150" i="81"/>
  <c r="D150" i="81"/>
  <c r="E150" i="81"/>
  <c r="F150" i="81"/>
  <c r="G150" i="81"/>
  <c r="H150" i="81"/>
  <c r="I150" i="81"/>
  <c r="J150" i="81"/>
  <c r="B151" i="81"/>
  <c r="C151" i="81"/>
  <c r="D151" i="81"/>
  <c r="E151" i="81"/>
  <c r="F151" i="81"/>
  <c r="G151" i="81"/>
  <c r="H151" i="81"/>
  <c r="I151" i="81"/>
  <c r="J151" i="81"/>
  <c r="B152" i="81"/>
  <c r="C152" i="81"/>
  <c r="D152" i="81"/>
  <c r="E152" i="81"/>
  <c r="F152" i="81"/>
  <c r="G152" i="81"/>
  <c r="H152" i="81"/>
  <c r="I152" i="81"/>
  <c r="J152" i="81"/>
  <c r="B153" i="81"/>
  <c r="C153" i="81"/>
  <c r="D153" i="81"/>
  <c r="E153" i="81"/>
  <c r="F153" i="81"/>
  <c r="G153" i="81"/>
  <c r="H153" i="81"/>
  <c r="I153" i="81"/>
  <c r="J153" i="81"/>
  <c r="B154" i="81"/>
  <c r="C154" i="81"/>
  <c r="D154" i="81"/>
  <c r="E154" i="81"/>
  <c r="F154" i="81"/>
  <c r="G154" i="81"/>
  <c r="H154" i="81"/>
  <c r="I154" i="81"/>
  <c r="J154" i="81"/>
  <c r="B155" i="81"/>
  <c r="C155" i="81"/>
  <c r="D155" i="81"/>
  <c r="E155" i="81"/>
  <c r="F155" i="81"/>
  <c r="G155" i="81"/>
  <c r="H155" i="81"/>
  <c r="I155" i="81"/>
  <c r="J155" i="81"/>
  <c r="B156" i="81"/>
  <c r="C156" i="81"/>
  <c r="D156" i="81"/>
  <c r="E156" i="81"/>
  <c r="F156" i="81"/>
  <c r="G156" i="81"/>
  <c r="H156" i="81"/>
  <c r="I156" i="81"/>
  <c r="J156" i="81"/>
  <c r="B157" i="81"/>
  <c r="C157" i="81"/>
  <c r="D157" i="81"/>
  <c r="E157" i="81"/>
  <c r="F157" i="81"/>
  <c r="G157" i="81"/>
  <c r="H157" i="81"/>
  <c r="I157" i="81"/>
  <c r="J157" i="81"/>
  <c r="B158" i="81"/>
  <c r="C158" i="81"/>
  <c r="D158" i="81"/>
  <c r="E158" i="81"/>
  <c r="F158" i="81"/>
  <c r="G158" i="81"/>
  <c r="H158" i="81"/>
  <c r="I158" i="81"/>
  <c r="J158" i="81"/>
  <c r="B159" i="81"/>
  <c r="C159" i="81"/>
  <c r="D159" i="81"/>
  <c r="E159" i="81"/>
  <c r="F159" i="81"/>
  <c r="G159" i="81"/>
  <c r="H159" i="81"/>
  <c r="I159" i="81"/>
  <c r="J159" i="81"/>
  <c r="B160" i="81"/>
  <c r="C160" i="81"/>
  <c r="D160" i="81"/>
  <c r="E160" i="81"/>
  <c r="F160" i="81"/>
  <c r="G160" i="81"/>
  <c r="H160" i="81"/>
  <c r="I160" i="81"/>
  <c r="J160" i="81"/>
  <c r="B161" i="81"/>
  <c r="C161" i="81"/>
  <c r="D161" i="81"/>
  <c r="E161" i="81"/>
  <c r="F161" i="81"/>
  <c r="G161" i="81"/>
  <c r="H161" i="81"/>
  <c r="I161" i="81"/>
  <c r="J161" i="81"/>
  <c r="B162" i="81"/>
  <c r="C162" i="81"/>
  <c r="D162" i="81"/>
  <c r="E162" i="81"/>
  <c r="F162" i="81"/>
  <c r="G162" i="81"/>
  <c r="H162" i="81"/>
  <c r="I162" i="81"/>
  <c r="J162" i="81"/>
  <c r="B163" i="81"/>
  <c r="C163" i="81"/>
  <c r="D163" i="81"/>
  <c r="E163" i="81"/>
  <c r="F163" i="81"/>
  <c r="G163" i="81"/>
  <c r="H163" i="81"/>
  <c r="I163" i="81"/>
  <c r="J163" i="81"/>
  <c r="B164" i="81"/>
  <c r="C164" i="81"/>
  <c r="D164" i="81"/>
  <c r="E164" i="81"/>
  <c r="F164" i="81"/>
  <c r="G164" i="81"/>
  <c r="H164" i="81"/>
  <c r="I164" i="81"/>
  <c r="J164" i="81"/>
  <c r="B165" i="81"/>
  <c r="C165" i="81"/>
  <c r="D165" i="81"/>
  <c r="E165" i="81"/>
  <c r="F165" i="81"/>
  <c r="G165" i="81"/>
  <c r="H165" i="81"/>
  <c r="I165" i="81"/>
  <c r="J165" i="81"/>
  <c r="B166" i="81"/>
  <c r="C166" i="81"/>
  <c r="D166" i="81"/>
  <c r="E166" i="81"/>
  <c r="F166" i="81"/>
  <c r="G166" i="81"/>
  <c r="H166" i="81"/>
  <c r="I166" i="81"/>
  <c r="J166" i="81"/>
  <c r="B167" i="81"/>
  <c r="C167" i="81"/>
  <c r="D167" i="81"/>
  <c r="E167" i="81"/>
  <c r="F167" i="81"/>
  <c r="G167" i="81"/>
  <c r="H167" i="81"/>
  <c r="I167" i="81"/>
  <c r="J167" i="81"/>
  <c r="B168" i="81"/>
  <c r="C168" i="81"/>
  <c r="D168" i="81"/>
  <c r="E168" i="81"/>
  <c r="F168" i="81"/>
  <c r="G168" i="81"/>
  <c r="H168" i="81"/>
  <c r="I168" i="81"/>
  <c r="J168" i="81"/>
  <c r="B169" i="81"/>
  <c r="C169" i="81"/>
  <c r="D169" i="81"/>
  <c r="E169" i="81"/>
  <c r="F169" i="81"/>
  <c r="G169" i="81"/>
  <c r="H169" i="81"/>
  <c r="I169" i="81"/>
  <c r="J169" i="81"/>
  <c r="B170" i="81"/>
  <c r="C170" i="81"/>
  <c r="D170" i="81"/>
  <c r="E170" i="81"/>
  <c r="F170" i="81"/>
  <c r="G170" i="81"/>
  <c r="H170" i="81"/>
  <c r="I170" i="81"/>
  <c r="J170" i="81"/>
  <c r="B171" i="81"/>
  <c r="C171" i="81"/>
  <c r="D171" i="81"/>
  <c r="E171" i="81"/>
  <c r="F171" i="81"/>
  <c r="G171" i="81"/>
  <c r="H171" i="81"/>
  <c r="I171" i="81"/>
  <c r="J171" i="81"/>
  <c r="B172" i="81"/>
  <c r="C172" i="81"/>
  <c r="D172" i="81"/>
  <c r="E172" i="81"/>
  <c r="F172" i="81"/>
  <c r="G172" i="81"/>
  <c r="H172" i="81"/>
  <c r="I172" i="81"/>
  <c r="J172" i="81"/>
  <c r="B173" i="81"/>
  <c r="C173" i="81"/>
  <c r="D173" i="81"/>
  <c r="E173" i="81"/>
  <c r="F173" i="81"/>
  <c r="G173" i="81"/>
  <c r="H173" i="81"/>
  <c r="I173" i="81"/>
  <c r="J173" i="81"/>
  <c r="B174" i="81"/>
  <c r="C174" i="81"/>
  <c r="D174" i="81"/>
  <c r="E174" i="81"/>
  <c r="F174" i="81"/>
  <c r="G174" i="81"/>
  <c r="H174" i="81"/>
  <c r="I174" i="81"/>
  <c r="J174" i="81"/>
  <c r="B175" i="81"/>
  <c r="C175" i="81"/>
  <c r="D175" i="81"/>
  <c r="E175" i="81"/>
  <c r="F175" i="81"/>
  <c r="G175" i="81"/>
  <c r="H175" i="81"/>
  <c r="I175" i="81"/>
  <c r="J175" i="81"/>
  <c r="B176" i="81"/>
  <c r="C176" i="81"/>
  <c r="D176" i="81"/>
  <c r="E176" i="81"/>
  <c r="F176" i="81"/>
  <c r="G176" i="81"/>
  <c r="H176" i="81"/>
  <c r="I176" i="81"/>
  <c r="J176" i="81"/>
  <c r="B177" i="81"/>
  <c r="C177" i="81"/>
  <c r="D177" i="81"/>
  <c r="E177" i="81"/>
  <c r="F177" i="81"/>
  <c r="G177" i="81"/>
  <c r="H177" i="81"/>
  <c r="I177" i="81"/>
  <c r="J177" i="81"/>
  <c r="B178" i="81"/>
  <c r="C178" i="81"/>
  <c r="D178" i="81"/>
  <c r="E178" i="81"/>
  <c r="F178" i="81"/>
  <c r="G178" i="81"/>
  <c r="H178" i="81"/>
  <c r="I178" i="81"/>
  <c r="J178" i="81"/>
  <c r="B179" i="81"/>
  <c r="C179" i="81"/>
  <c r="D179" i="81"/>
  <c r="E179" i="81"/>
  <c r="F179" i="81"/>
  <c r="G179" i="81"/>
  <c r="H179" i="81"/>
  <c r="I179" i="81"/>
  <c r="J179" i="81"/>
  <c r="B180" i="81"/>
  <c r="C180" i="81"/>
  <c r="D180" i="81"/>
  <c r="E180" i="81"/>
  <c r="F180" i="81"/>
  <c r="G180" i="81"/>
  <c r="H180" i="81"/>
  <c r="I180" i="81"/>
  <c r="J180" i="81"/>
  <c r="B181" i="81"/>
  <c r="C181" i="81"/>
  <c r="D181" i="81"/>
  <c r="E181" i="81"/>
  <c r="F181" i="81"/>
  <c r="G181" i="81"/>
  <c r="H181" i="81"/>
  <c r="I181" i="81"/>
  <c r="J181" i="81"/>
  <c r="B182" i="81"/>
  <c r="C182" i="81"/>
  <c r="D182" i="81"/>
  <c r="E182" i="81"/>
  <c r="F182" i="81"/>
  <c r="G182" i="81"/>
  <c r="H182" i="81"/>
  <c r="I182" i="81"/>
  <c r="J182" i="81"/>
  <c r="B183" i="81"/>
  <c r="C183" i="81"/>
  <c r="D183" i="81"/>
  <c r="E183" i="81"/>
  <c r="F183" i="81"/>
  <c r="G183" i="81"/>
  <c r="H183" i="81"/>
  <c r="I183" i="81"/>
  <c r="J183" i="81"/>
  <c r="B184" i="81"/>
  <c r="C184" i="81"/>
  <c r="D184" i="81"/>
  <c r="E184" i="81"/>
  <c r="F184" i="81"/>
  <c r="G184" i="81"/>
  <c r="H184" i="81"/>
  <c r="I184" i="81"/>
  <c r="J184" i="81"/>
  <c r="B185" i="81"/>
  <c r="C185" i="81"/>
  <c r="D185" i="81"/>
  <c r="E185" i="81"/>
  <c r="F185" i="81"/>
  <c r="G185" i="81"/>
  <c r="H185" i="81"/>
  <c r="I185" i="81"/>
  <c r="J185" i="81"/>
  <c r="B186" i="81"/>
  <c r="B192" i="81"/>
  <c r="B193" i="81"/>
  <c r="B194" i="81"/>
  <c r="B195" i="81"/>
  <c r="B196" i="81"/>
  <c r="B197" i="81"/>
  <c r="B198" i="81"/>
  <c r="B199" i="81"/>
  <c r="C199" i="81"/>
  <c r="D199" i="81"/>
  <c r="E199" i="81"/>
  <c r="F199" i="81"/>
  <c r="G199" i="81"/>
  <c r="H199" i="81"/>
  <c r="I199" i="81"/>
  <c r="J199" i="81"/>
  <c r="B200" i="81"/>
  <c r="B201" i="81"/>
  <c r="B202" i="81"/>
  <c r="B203" i="81"/>
  <c r="B204" i="81"/>
  <c r="B205" i="81"/>
  <c r="B206" i="81"/>
  <c r="B207" i="81"/>
  <c r="B208" i="81"/>
  <c r="B209" i="81"/>
  <c r="B210" i="81"/>
  <c r="B211" i="81"/>
  <c r="C211" i="81"/>
  <c r="D211" i="81"/>
  <c r="E211" i="81"/>
  <c r="F211" i="81"/>
  <c r="G211" i="81"/>
  <c r="H211" i="81"/>
  <c r="I211" i="81"/>
  <c r="J211" i="81"/>
  <c r="B212" i="81"/>
  <c r="B213" i="81"/>
  <c r="B214" i="81"/>
  <c r="B215" i="81"/>
  <c r="B216" i="81"/>
  <c r="B217" i="81"/>
  <c r="B218" i="81"/>
  <c r="B219" i="81"/>
  <c r="B220" i="81"/>
  <c r="B221" i="81"/>
  <c r="B222" i="81"/>
  <c r="B223" i="81"/>
  <c r="C223" i="81"/>
  <c r="D223" i="81"/>
  <c r="E223" i="81"/>
  <c r="F223" i="81"/>
  <c r="G223" i="81"/>
  <c r="H223" i="81"/>
  <c r="I223" i="81"/>
  <c r="J223" i="81"/>
  <c r="B224" i="81"/>
  <c r="B225" i="81"/>
  <c r="B226" i="81"/>
  <c r="B227" i="81"/>
  <c r="B228" i="81"/>
  <c r="B229" i="81"/>
  <c r="B230" i="81"/>
  <c r="B231" i="81"/>
  <c r="B232" i="81"/>
  <c r="B233" i="81"/>
  <c r="B234" i="81"/>
  <c r="B235" i="81"/>
  <c r="C235" i="81"/>
  <c r="D235" i="81"/>
  <c r="E235" i="81"/>
  <c r="F235" i="81"/>
  <c r="G235" i="81"/>
  <c r="H235" i="81"/>
  <c r="I235" i="81"/>
  <c r="J235" i="81"/>
  <c r="B236" i="81"/>
  <c r="B237" i="81"/>
  <c r="B238" i="81"/>
  <c r="B239" i="81"/>
  <c r="B240" i="81"/>
  <c r="B241" i="81"/>
  <c r="B242" i="81"/>
  <c r="B243" i="81"/>
  <c r="B244" i="81"/>
  <c r="B245" i="81"/>
  <c r="B246" i="81"/>
  <c r="B247" i="81"/>
  <c r="C247" i="81"/>
  <c r="D247" i="81"/>
  <c r="E247" i="81"/>
  <c r="F247" i="81"/>
  <c r="G247" i="81"/>
  <c r="H247" i="81"/>
  <c r="I247" i="81"/>
  <c r="J247" i="81"/>
  <c r="B248" i="81"/>
  <c r="B249" i="81"/>
  <c r="B250" i="81"/>
  <c r="B251" i="81"/>
  <c r="B252" i="81"/>
  <c r="B253" i="81"/>
  <c r="B254" i="81"/>
  <c r="B255" i="81"/>
  <c r="B256" i="81"/>
  <c r="B257" i="81"/>
  <c r="B258" i="81"/>
  <c r="B259" i="81"/>
  <c r="C259" i="81"/>
  <c r="D259" i="81"/>
  <c r="E259" i="81"/>
  <c r="F259" i="81"/>
  <c r="G259" i="81"/>
  <c r="H259" i="81"/>
  <c r="I259" i="81"/>
  <c r="J259" i="81"/>
  <c r="B260" i="81"/>
  <c r="B261" i="81"/>
  <c r="B262" i="81"/>
  <c r="B263" i="81"/>
  <c r="B264" i="81"/>
  <c r="B265" i="81"/>
  <c r="B266" i="81"/>
  <c r="B267" i="81"/>
  <c r="B268" i="81"/>
  <c r="B269" i="81"/>
  <c r="B270" i="81"/>
  <c r="B271" i="81"/>
  <c r="C271" i="81"/>
  <c r="D271" i="81"/>
  <c r="E271" i="81"/>
  <c r="F271" i="81"/>
  <c r="G271" i="81"/>
  <c r="H271" i="81"/>
  <c r="I271" i="81"/>
  <c r="J271" i="81"/>
  <c r="B272" i="81"/>
  <c r="B273" i="81"/>
  <c r="B274" i="81"/>
  <c r="B275" i="81"/>
  <c r="B276" i="81"/>
  <c r="B277" i="81"/>
  <c r="B278" i="81"/>
  <c r="B279" i="81"/>
  <c r="B280" i="81"/>
  <c r="B281" i="81"/>
  <c r="B282" i="81"/>
  <c r="B283" i="81"/>
  <c r="C283" i="81"/>
  <c r="D283" i="81"/>
  <c r="E283" i="81"/>
  <c r="F283" i="81"/>
  <c r="G283" i="81"/>
  <c r="H283" i="81"/>
  <c r="I283" i="81"/>
  <c r="J283" i="81"/>
  <c r="B284" i="81"/>
  <c r="B285" i="81"/>
  <c r="B286" i="81"/>
  <c r="B287" i="81"/>
  <c r="B288" i="81"/>
  <c r="B289" i="81"/>
  <c r="B290" i="81"/>
  <c r="B291" i="81"/>
  <c r="B292" i="81"/>
  <c r="B293" i="81"/>
  <c r="B294" i="81"/>
  <c r="B295" i="81"/>
  <c r="C295" i="81"/>
  <c r="D295" i="81"/>
  <c r="E295" i="81"/>
  <c r="F295" i="81"/>
  <c r="G295" i="81"/>
  <c r="H295" i="81"/>
  <c r="I295" i="81"/>
  <c r="J295" i="81"/>
  <c r="B296" i="81"/>
  <c r="B297" i="81"/>
  <c r="B298" i="81"/>
  <c r="B299" i="81"/>
  <c r="B300" i="81"/>
  <c r="B301" i="81"/>
  <c r="B302" i="81"/>
  <c r="B303" i="81"/>
  <c r="B304" i="81"/>
  <c r="B305" i="81"/>
  <c r="B306" i="81"/>
  <c r="B307" i="81"/>
  <c r="C307" i="81"/>
  <c r="D307" i="81"/>
  <c r="E307" i="81"/>
  <c r="F307" i="81"/>
  <c r="G307" i="81"/>
  <c r="H307" i="81"/>
  <c r="I307" i="81"/>
  <c r="J307" i="81"/>
  <c r="B308" i="81"/>
  <c r="B309" i="81"/>
  <c r="B310" i="81"/>
  <c r="B311" i="81"/>
  <c r="B312" i="81"/>
  <c r="B313" i="81"/>
  <c r="B314" i="81"/>
  <c r="B315" i="81"/>
  <c r="B316" i="81"/>
  <c r="B317" i="81"/>
  <c r="B318" i="81"/>
  <c r="B319" i="81"/>
  <c r="C319" i="81"/>
  <c r="D319" i="81"/>
  <c r="E319" i="81"/>
  <c r="F319" i="81"/>
  <c r="G319" i="81"/>
  <c r="H319" i="81"/>
  <c r="I319" i="81"/>
  <c r="J319" i="81"/>
  <c r="B320" i="81"/>
  <c r="B321" i="81"/>
  <c r="B322" i="81"/>
  <c r="B323" i="81"/>
  <c r="B324" i="81"/>
  <c r="B325" i="81"/>
  <c r="B326" i="81"/>
  <c r="B327" i="81"/>
  <c r="B328" i="81"/>
  <c r="B329" i="81"/>
  <c r="B330" i="81"/>
  <c r="B331" i="81"/>
  <c r="C331" i="81"/>
  <c r="D331" i="81"/>
  <c r="E331" i="81"/>
  <c r="F331" i="81"/>
  <c r="G331" i="81"/>
  <c r="H331" i="81"/>
  <c r="I331" i="81"/>
  <c r="J331" i="81"/>
  <c r="B332" i="81"/>
  <c r="B333" i="81"/>
  <c r="B334" i="81"/>
  <c r="B335" i="81"/>
  <c r="B336" i="81"/>
  <c r="B337" i="81"/>
  <c r="B338" i="81"/>
  <c r="B339" i="81"/>
  <c r="B340" i="81"/>
  <c r="B341" i="81"/>
  <c r="B342" i="81"/>
  <c r="B343" i="81"/>
  <c r="C343" i="81"/>
  <c r="D343" i="81"/>
  <c r="E343" i="81"/>
  <c r="F343" i="81"/>
  <c r="G343" i="81"/>
  <c r="H343" i="81"/>
  <c r="I343" i="81"/>
  <c r="J343" i="81"/>
  <c r="B344" i="81"/>
  <c r="B345" i="81"/>
  <c r="B346" i="81"/>
  <c r="B347" i="81"/>
  <c r="B348" i="81"/>
  <c r="B349" i="81"/>
  <c r="B350" i="81"/>
  <c r="B351" i="81"/>
  <c r="B352" i="81"/>
  <c r="B353" i="81"/>
  <c r="B354" i="81"/>
  <c r="B355" i="81"/>
  <c r="Z5" i="54"/>
  <c r="AA5" i="54"/>
  <c r="AB5" i="54"/>
  <c r="AD5" i="54"/>
  <c r="AE5" i="54"/>
  <c r="AF5" i="54"/>
  <c r="Z6" i="54"/>
  <c r="AA6" i="54"/>
  <c r="AB6" i="54"/>
  <c r="AD6" i="54"/>
  <c r="AE6" i="54"/>
  <c r="AF6" i="54"/>
  <c r="Z7" i="54"/>
  <c r="AA7" i="54"/>
  <c r="AB7" i="54"/>
  <c r="AD7" i="54"/>
  <c r="AE7" i="54"/>
  <c r="AF7" i="54"/>
  <c r="Z8" i="54"/>
  <c r="AA8" i="54"/>
  <c r="AB8" i="54"/>
  <c r="AD8" i="54"/>
  <c r="AE8" i="54"/>
  <c r="AF8" i="54"/>
  <c r="Z9" i="54"/>
  <c r="AA9" i="54"/>
  <c r="AB9" i="54"/>
  <c r="AD9" i="54"/>
  <c r="AE9" i="54"/>
  <c r="AF9" i="54"/>
  <c r="D10" i="54"/>
  <c r="G10" i="54"/>
  <c r="N10" i="54"/>
  <c r="Z10" i="54"/>
  <c r="AA10" i="54"/>
  <c r="AB10" i="54"/>
  <c r="AD10" i="54"/>
  <c r="AE10" i="54"/>
  <c r="AF10" i="54"/>
  <c r="G11" i="54"/>
  <c r="N11" i="54"/>
  <c r="Z11" i="54"/>
  <c r="AA11" i="54"/>
  <c r="AB11" i="54"/>
  <c r="AD11" i="54"/>
  <c r="AE11" i="54"/>
  <c r="AF11" i="54"/>
  <c r="D12" i="54"/>
  <c r="Z12" i="54"/>
  <c r="AA12" i="54"/>
  <c r="AB12" i="54"/>
  <c r="AD12" i="54"/>
  <c r="AE12" i="54"/>
  <c r="AF12" i="54"/>
  <c r="D13" i="54"/>
  <c r="F13" i="54"/>
  <c r="Z13" i="54"/>
  <c r="AA13" i="54"/>
  <c r="AB13" i="54"/>
  <c r="AD13" i="54"/>
  <c r="AE13" i="54"/>
  <c r="AF13" i="54"/>
  <c r="D14" i="54"/>
  <c r="F14" i="54"/>
  <c r="S14" i="54"/>
  <c r="Z14" i="54"/>
  <c r="AA14" i="54"/>
  <c r="AB14" i="54"/>
  <c r="AD14" i="54"/>
  <c r="AE14" i="54"/>
  <c r="AF14" i="54"/>
  <c r="D15" i="54"/>
  <c r="F15" i="54"/>
  <c r="S15" i="54"/>
  <c r="Z15" i="54"/>
  <c r="AA15" i="54"/>
  <c r="AB15" i="54"/>
  <c r="AD15" i="54"/>
  <c r="AE15" i="54"/>
  <c r="AF15" i="54"/>
  <c r="C16" i="54"/>
  <c r="D16" i="54"/>
  <c r="F16" i="54"/>
  <c r="S16" i="54"/>
  <c r="Z16" i="54"/>
  <c r="AA16" i="54"/>
  <c r="AB16" i="54"/>
  <c r="AD16" i="54"/>
  <c r="AE16" i="54"/>
  <c r="AF16" i="54"/>
  <c r="C17" i="54"/>
  <c r="D17" i="54"/>
  <c r="F17" i="54"/>
  <c r="S17" i="54"/>
  <c r="Z17" i="54"/>
  <c r="AA17" i="54"/>
  <c r="AB17" i="54"/>
  <c r="AD17" i="54"/>
  <c r="AE17" i="54"/>
  <c r="AF17" i="54"/>
  <c r="C18" i="54"/>
  <c r="D18" i="54"/>
  <c r="F18" i="54"/>
  <c r="S18" i="54"/>
  <c r="Z18" i="54"/>
  <c r="AA18" i="54"/>
  <c r="AB18" i="54"/>
  <c r="AD18" i="54"/>
  <c r="AE18" i="54"/>
  <c r="AF18" i="54"/>
  <c r="C19" i="54"/>
  <c r="D19" i="54"/>
  <c r="S19" i="54"/>
  <c r="Z19" i="54"/>
  <c r="AA19" i="54"/>
  <c r="AB19" i="54"/>
  <c r="AD19" i="54"/>
  <c r="AE19" i="54"/>
  <c r="AF19" i="54"/>
  <c r="S20" i="54"/>
  <c r="Z20" i="54"/>
  <c r="AA20" i="54"/>
  <c r="AB20" i="54"/>
  <c r="AD20" i="54"/>
  <c r="AE20" i="54"/>
  <c r="AF20" i="54"/>
  <c r="S21" i="54"/>
  <c r="Z21" i="54"/>
  <c r="AA21" i="54"/>
  <c r="AB21" i="54"/>
  <c r="AD21" i="54"/>
  <c r="AE21" i="54"/>
  <c r="AF21" i="54"/>
  <c r="S22" i="54"/>
  <c r="Z22" i="54"/>
  <c r="AA22" i="54"/>
  <c r="AB22" i="54"/>
  <c r="AD22" i="54"/>
  <c r="AE22" i="54"/>
  <c r="AF22" i="54"/>
  <c r="S23" i="54"/>
  <c r="Z23" i="54"/>
  <c r="AA23" i="54"/>
  <c r="AB23" i="54"/>
  <c r="AD23" i="54"/>
  <c r="AE23" i="54"/>
  <c r="AF23" i="54"/>
  <c r="S24" i="54"/>
  <c r="Z24" i="54"/>
  <c r="AA24" i="54"/>
  <c r="AB24" i="54"/>
  <c r="AD24" i="54"/>
  <c r="AE24" i="54"/>
  <c r="AF24" i="54"/>
  <c r="S25" i="54"/>
  <c r="Z25" i="54"/>
  <c r="AA25" i="54"/>
  <c r="AB25" i="54"/>
  <c r="D26" i="54"/>
  <c r="G26" i="54"/>
  <c r="S26" i="54"/>
  <c r="Z26" i="54"/>
  <c r="AA26" i="54"/>
  <c r="AB26" i="54"/>
  <c r="D27" i="54"/>
  <c r="G27" i="54"/>
  <c r="S27" i="54"/>
  <c r="Z27" i="54"/>
  <c r="AA27" i="54"/>
  <c r="AB27" i="54"/>
  <c r="D28" i="54"/>
  <c r="G28" i="54"/>
  <c r="S28" i="54"/>
  <c r="Z28" i="54"/>
  <c r="AA28" i="54"/>
  <c r="AB28" i="54"/>
  <c r="D29" i="54"/>
  <c r="G29" i="54"/>
  <c r="S29" i="54"/>
  <c r="Z29" i="54"/>
  <c r="AA29" i="54"/>
  <c r="AB29" i="54"/>
  <c r="D30" i="54"/>
  <c r="G30" i="54"/>
  <c r="S30" i="54"/>
  <c r="Z30" i="54"/>
  <c r="AA30" i="54"/>
  <c r="AB30" i="54"/>
  <c r="S31" i="54"/>
  <c r="Z31" i="54"/>
  <c r="AA31" i="54"/>
  <c r="AB31" i="54"/>
  <c r="S32" i="54"/>
  <c r="Z32" i="54"/>
  <c r="AA32" i="54"/>
  <c r="AB32" i="54"/>
  <c r="S33" i="54"/>
  <c r="Z33" i="54"/>
  <c r="AA33" i="54"/>
  <c r="AB33" i="54"/>
  <c r="S34" i="54"/>
  <c r="Z34" i="54"/>
  <c r="AA34" i="54"/>
  <c r="AB34" i="54"/>
  <c r="S35" i="54"/>
  <c r="Z35" i="54"/>
  <c r="AA35" i="54"/>
  <c r="AB35" i="54"/>
  <c r="S36" i="54"/>
  <c r="Z36" i="54"/>
  <c r="AA36" i="54"/>
  <c r="AB36" i="54"/>
  <c r="S37" i="54"/>
  <c r="Z37" i="54"/>
  <c r="AA37" i="54"/>
  <c r="AB37" i="54"/>
  <c r="S38" i="54"/>
  <c r="Z38" i="54"/>
  <c r="AA38" i="54"/>
  <c r="AB38" i="54"/>
  <c r="S39" i="54"/>
  <c r="Z39" i="54"/>
  <c r="AA39" i="54"/>
  <c r="AB39" i="54"/>
  <c r="S40" i="54"/>
  <c r="Z40" i="54"/>
  <c r="AA40" i="54"/>
  <c r="AB40" i="54"/>
  <c r="S41" i="54"/>
  <c r="Z41" i="54"/>
  <c r="AA41" i="54"/>
  <c r="AB41" i="54"/>
  <c r="S42" i="54"/>
  <c r="Z42" i="54"/>
  <c r="AA42" i="54"/>
  <c r="AB42" i="54"/>
  <c r="S43" i="54"/>
  <c r="Z43" i="54"/>
  <c r="AA43" i="54"/>
  <c r="AB43" i="54"/>
  <c r="S44" i="54"/>
  <c r="Z44" i="54"/>
  <c r="AA44" i="54"/>
  <c r="AB44" i="54"/>
  <c r="S45" i="54"/>
  <c r="Z45" i="54"/>
  <c r="AA45" i="54"/>
  <c r="AB45" i="54"/>
  <c r="S46" i="54"/>
  <c r="Z46" i="54"/>
  <c r="AA46" i="54"/>
  <c r="AB46" i="54"/>
  <c r="S47" i="54"/>
  <c r="Z47" i="54"/>
  <c r="AA47" i="54"/>
  <c r="AB47" i="54"/>
  <c r="S48" i="54"/>
  <c r="Z48" i="54"/>
  <c r="AA48" i="54"/>
  <c r="AB48" i="54"/>
  <c r="S49" i="54"/>
  <c r="Z49" i="54"/>
  <c r="AA49" i="54"/>
  <c r="AB49" i="54"/>
  <c r="S50" i="54"/>
  <c r="Z50" i="54"/>
  <c r="AA50" i="54"/>
  <c r="AB50" i="54"/>
  <c r="S51" i="54"/>
  <c r="Z51" i="54"/>
  <c r="AA51" i="54"/>
  <c r="AB51" i="54"/>
  <c r="S52" i="54"/>
  <c r="Z52" i="54"/>
  <c r="AA52" i="54"/>
  <c r="AB52" i="54"/>
  <c r="S53" i="54"/>
  <c r="Z53" i="54"/>
  <c r="AA53" i="54"/>
  <c r="AB53" i="54"/>
  <c r="S54" i="54"/>
  <c r="Z54" i="54"/>
  <c r="AA54" i="54"/>
  <c r="AB54" i="54"/>
  <c r="S55" i="54"/>
  <c r="Z55" i="54"/>
  <c r="AA55" i="54"/>
  <c r="AB55" i="54"/>
  <c r="S56" i="54"/>
  <c r="Z56" i="54"/>
  <c r="AA56" i="54"/>
  <c r="AB56" i="54"/>
  <c r="S57" i="54"/>
  <c r="Z57" i="54"/>
  <c r="AA57" i="54"/>
  <c r="AB57" i="54"/>
  <c r="S58" i="54"/>
  <c r="Z58" i="54"/>
  <c r="AA58" i="54"/>
  <c r="AB58" i="54"/>
  <c r="S59" i="54"/>
  <c r="Z59" i="54"/>
  <c r="AA59" i="54"/>
  <c r="AB59" i="54"/>
  <c r="S60" i="54"/>
  <c r="Z60" i="54"/>
  <c r="AA60" i="54"/>
  <c r="AB60" i="54"/>
  <c r="S61" i="54"/>
  <c r="Z61" i="54"/>
  <c r="AA61" i="54"/>
  <c r="AB61" i="54"/>
  <c r="S62" i="54"/>
  <c r="Z62" i="54"/>
  <c r="AA62" i="54"/>
  <c r="AB62" i="54"/>
  <c r="S63" i="54"/>
  <c r="Z63" i="54"/>
  <c r="AA63" i="54"/>
  <c r="AB63" i="54"/>
  <c r="S64" i="54"/>
  <c r="Z64" i="54"/>
  <c r="AA64" i="54"/>
  <c r="AB64" i="54"/>
  <c r="S65" i="54"/>
  <c r="Z65" i="54"/>
  <c r="AA65" i="54"/>
  <c r="AB65" i="54"/>
  <c r="S66" i="54"/>
  <c r="Z66" i="54"/>
  <c r="AA66" i="54"/>
  <c r="AB66" i="54"/>
  <c r="S67" i="54"/>
  <c r="Z67" i="54"/>
  <c r="AA67" i="54"/>
  <c r="AB67" i="54"/>
  <c r="S68" i="54"/>
  <c r="Z68" i="54"/>
  <c r="AA68" i="54"/>
  <c r="AB68" i="54"/>
  <c r="S69" i="54"/>
  <c r="Z69" i="54"/>
  <c r="AA69" i="54"/>
  <c r="AB69" i="54"/>
  <c r="S70" i="54"/>
  <c r="Z70" i="54"/>
  <c r="AA70" i="54"/>
  <c r="AB70" i="54"/>
  <c r="S71" i="54"/>
  <c r="Z71" i="54"/>
  <c r="AA71" i="54"/>
  <c r="AB71" i="54"/>
  <c r="S72" i="54"/>
  <c r="Z72" i="54"/>
  <c r="AA72" i="54"/>
  <c r="AB72" i="54"/>
  <c r="S73" i="54"/>
  <c r="Z73" i="54"/>
  <c r="AA73" i="54"/>
  <c r="AB73" i="54"/>
  <c r="S74" i="54"/>
  <c r="Z74" i="54"/>
  <c r="AA74" i="54"/>
  <c r="AB74" i="54"/>
  <c r="S75" i="54"/>
  <c r="Z75" i="54"/>
  <c r="AA75" i="54"/>
  <c r="AB75" i="54"/>
  <c r="S76" i="54"/>
  <c r="Z76" i="54"/>
  <c r="AA76" i="54"/>
  <c r="AB76" i="54"/>
  <c r="S77" i="54"/>
  <c r="Z77" i="54"/>
  <c r="AA77" i="54"/>
  <c r="AB77" i="54"/>
  <c r="S78" i="54"/>
  <c r="Z78" i="54"/>
  <c r="AA78" i="54"/>
  <c r="AB78" i="54"/>
  <c r="S79" i="54"/>
  <c r="Z79" i="54"/>
  <c r="AA79" i="54"/>
  <c r="AB79" i="54"/>
  <c r="S80" i="54"/>
  <c r="Z80" i="54"/>
  <c r="AA80" i="54"/>
  <c r="AB80" i="54"/>
  <c r="S81" i="54"/>
  <c r="Z81" i="54"/>
  <c r="AA81" i="54"/>
  <c r="AB81" i="54"/>
  <c r="S82" i="54"/>
  <c r="Z82" i="54"/>
  <c r="AA82" i="54"/>
  <c r="AB82" i="54"/>
  <c r="S83" i="54"/>
  <c r="Z83" i="54"/>
  <c r="AA83" i="54"/>
  <c r="AB83" i="54"/>
  <c r="S84" i="54"/>
  <c r="Z84" i="54"/>
  <c r="AA84" i="54"/>
  <c r="AB84" i="54"/>
  <c r="S85" i="54"/>
  <c r="Z85" i="54"/>
  <c r="AA85" i="54"/>
  <c r="AB85" i="54"/>
  <c r="S86" i="54"/>
  <c r="Z86" i="54"/>
  <c r="AA86" i="54"/>
  <c r="AB86" i="54"/>
  <c r="S87" i="54"/>
  <c r="Z87" i="54"/>
  <c r="AA87" i="54"/>
  <c r="AB87" i="54"/>
  <c r="S88" i="54"/>
  <c r="Z88" i="54"/>
  <c r="AA88" i="54"/>
  <c r="AB88" i="54"/>
  <c r="S89" i="54"/>
  <c r="Z89" i="54"/>
  <c r="AA89" i="54"/>
  <c r="AB89" i="54"/>
  <c r="S90" i="54"/>
  <c r="Z90" i="54"/>
  <c r="AA90" i="54"/>
  <c r="AB90" i="54"/>
  <c r="S91" i="54"/>
  <c r="Z91" i="54"/>
  <c r="AA91" i="54"/>
  <c r="AB91" i="54"/>
  <c r="S92" i="54"/>
  <c r="Z92" i="54"/>
  <c r="AA92" i="54"/>
  <c r="AB92" i="54"/>
  <c r="S93" i="54"/>
  <c r="Z93" i="54"/>
  <c r="AA93" i="54"/>
  <c r="AB93" i="54"/>
  <c r="S94" i="54"/>
  <c r="Z94" i="54"/>
  <c r="AA94" i="54"/>
  <c r="AB94" i="54"/>
  <c r="S95" i="54"/>
  <c r="Z95" i="54"/>
  <c r="AA95" i="54"/>
  <c r="AB95" i="54"/>
  <c r="S96" i="54"/>
  <c r="Z96" i="54"/>
  <c r="AA96" i="54"/>
  <c r="AB96" i="54"/>
  <c r="S97" i="54"/>
  <c r="Z97" i="54"/>
  <c r="AA97" i="54"/>
  <c r="AB97" i="54"/>
  <c r="S98" i="54"/>
  <c r="Z98" i="54"/>
  <c r="AA98" i="54"/>
  <c r="AB98" i="54"/>
  <c r="S99" i="54"/>
  <c r="Z99" i="54"/>
  <c r="AA99" i="54"/>
  <c r="AB99" i="54"/>
  <c r="S100" i="54"/>
  <c r="Z100" i="54"/>
  <c r="AA100" i="54"/>
  <c r="AB100" i="54"/>
  <c r="S101" i="54"/>
  <c r="Z101" i="54"/>
  <c r="AA101" i="54"/>
  <c r="AB101" i="54"/>
  <c r="S102" i="54"/>
  <c r="Z102" i="54"/>
  <c r="AA102" i="54"/>
  <c r="AB102" i="54"/>
  <c r="S103" i="54"/>
  <c r="Z103" i="54"/>
  <c r="AA103" i="54"/>
  <c r="AB103" i="54"/>
  <c r="S104" i="54"/>
  <c r="Z104" i="54"/>
  <c r="AA104" i="54"/>
  <c r="AB104" i="54"/>
  <c r="S105" i="54"/>
  <c r="Z105" i="54"/>
  <c r="AA105" i="54"/>
  <c r="AB105" i="54"/>
  <c r="S106" i="54"/>
  <c r="Z106" i="54"/>
  <c r="AA106" i="54"/>
  <c r="AB106" i="54"/>
  <c r="S107" i="54"/>
  <c r="Z107" i="54"/>
  <c r="AA107" i="54"/>
  <c r="AB107" i="54"/>
  <c r="S108" i="54"/>
  <c r="Z108" i="54"/>
  <c r="AA108" i="54"/>
  <c r="AB108" i="54"/>
  <c r="S109" i="54"/>
  <c r="Z109" i="54"/>
  <c r="AA109" i="54"/>
  <c r="AB109" i="54"/>
  <c r="S110" i="54"/>
  <c r="Z110" i="54"/>
  <c r="AA110" i="54"/>
  <c r="AB110" i="54"/>
  <c r="S111" i="54"/>
  <c r="Z111" i="54"/>
  <c r="AA111" i="54"/>
  <c r="AB111" i="54"/>
  <c r="S112" i="54"/>
  <c r="Z112" i="54"/>
  <c r="AA112" i="54"/>
  <c r="AB112" i="54"/>
  <c r="S113" i="54"/>
  <c r="Z113" i="54"/>
  <c r="AA113" i="54"/>
  <c r="AB113" i="54"/>
  <c r="S114" i="54"/>
  <c r="Z114" i="54"/>
  <c r="AA114" i="54"/>
  <c r="AB114" i="54"/>
  <c r="S115" i="54"/>
  <c r="Z115" i="54"/>
  <c r="AA115" i="54"/>
  <c r="AB115" i="54"/>
  <c r="S116" i="54"/>
  <c r="Z116" i="54"/>
  <c r="AA116" i="54"/>
  <c r="AB116" i="54"/>
  <c r="S117" i="54"/>
  <c r="Z117" i="54"/>
  <c r="AA117" i="54"/>
  <c r="AB117" i="54"/>
  <c r="S118" i="54"/>
  <c r="Z118" i="54"/>
  <c r="AA118" i="54"/>
  <c r="AB118" i="54"/>
  <c r="S119" i="54"/>
  <c r="Z119" i="54"/>
  <c r="AA119" i="54"/>
  <c r="AB119" i="54"/>
  <c r="S120" i="54"/>
  <c r="Z120" i="54"/>
  <c r="AA120" i="54"/>
  <c r="AB120" i="54"/>
  <c r="S121" i="54"/>
  <c r="Z121" i="54"/>
  <c r="AA121" i="54"/>
  <c r="AB121" i="54"/>
  <c r="S122" i="54"/>
  <c r="Z122" i="54"/>
  <c r="AA122" i="54"/>
  <c r="AB122" i="54"/>
  <c r="S123" i="54"/>
  <c r="Z123" i="54"/>
  <c r="AA123" i="54"/>
  <c r="AB123" i="54"/>
  <c r="S124" i="54"/>
  <c r="Z124" i="54"/>
  <c r="AA124" i="54"/>
  <c r="AB124" i="54"/>
  <c r="S125" i="54"/>
  <c r="Z125" i="54"/>
  <c r="AA125" i="54"/>
  <c r="AB125" i="54"/>
  <c r="S126" i="54"/>
  <c r="Z126" i="54"/>
  <c r="AA126" i="54"/>
  <c r="AB126" i="54"/>
  <c r="S127" i="54"/>
  <c r="Z127" i="54"/>
  <c r="AA127" i="54"/>
  <c r="AB127" i="54"/>
  <c r="S128" i="54"/>
  <c r="Z128" i="54"/>
  <c r="AA128" i="54"/>
  <c r="AB128" i="54"/>
  <c r="S129" i="54"/>
  <c r="Z129" i="54"/>
  <c r="AA129" i="54"/>
  <c r="AB129" i="54"/>
  <c r="S130" i="54"/>
  <c r="Z130" i="54"/>
  <c r="AA130" i="54"/>
  <c r="AB130" i="54"/>
  <c r="S131" i="54"/>
  <c r="Z131" i="54"/>
  <c r="AA131" i="54"/>
  <c r="AB131" i="54"/>
  <c r="S132" i="54"/>
  <c r="Z132" i="54"/>
  <c r="AA132" i="54"/>
  <c r="AB132" i="54"/>
  <c r="S133" i="54"/>
  <c r="Z133" i="54"/>
  <c r="AA133" i="54"/>
  <c r="AB133" i="54"/>
  <c r="S134" i="54"/>
  <c r="Z134" i="54"/>
  <c r="AA134" i="54"/>
  <c r="AB134" i="54"/>
  <c r="S135" i="54"/>
  <c r="Z135" i="54"/>
  <c r="AA135" i="54"/>
  <c r="AB135" i="54"/>
  <c r="S136" i="54"/>
  <c r="Z136" i="54"/>
  <c r="AA136" i="54"/>
  <c r="AB136" i="54"/>
  <c r="S137" i="54"/>
  <c r="Z137" i="54"/>
  <c r="AA137" i="54"/>
  <c r="AB137" i="54"/>
  <c r="S138" i="54"/>
  <c r="Z138" i="54"/>
  <c r="AA138" i="54"/>
  <c r="AB138" i="54"/>
  <c r="S139" i="54"/>
  <c r="Z139" i="54"/>
  <c r="AA139" i="54"/>
  <c r="AB139" i="54"/>
  <c r="S140" i="54"/>
  <c r="Z140" i="54"/>
  <c r="AA140" i="54"/>
  <c r="AB140" i="54"/>
  <c r="S141" i="54"/>
  <c r="Z141" i="54"/>
  <c r="AA141" i="54"/>
  <c r="AB141" i="54"/>
  <c r="S142" i="54"/>
  <c r="Z142" i="54"/>
  <c r="AA142" i="54"/>
  <c r="AB142" i="54"/>
  <c r="S143" i="54"/>
  <c r="Z143" i="54"/>
  <c r="AA143" i="54"/>
  <c r="AB143" i="54"/>
  <c r="S144" i="54"/>
  <c r="Z144" i="54"/>
  <c r="AA144" i="54"/>
  <c r="AB144" i="54"/>
  <c r="S145" i="54"/>
  <c r="Z145" i="54"/>
  <c r="AA145" i="54"/>
  <c r="AB145" i="54"/>
  <c r="S146" i="54"/>
  <c r="Z146" i="54"/>
  <c r="AA146" i="54"/>
  <c r="AB146" i="54"/>
  <c r="S147" i="54"/>
  <c r="Z147" i="54"/>
  <c r="AA147" i="54"/>
  <c r="AB147" i="54"/>
  <c r="S148" i="54"/>
  <c r="Z148" i="54"/>
  <c r="AA148" i="54"/>
  <c r="AB148" i="54"/>
  <c r="S149" i="54"/>
  <c r="Z149" i="54"/>
  <c r="AA149" i="54"/>
  <c r="AB149" i="54"/>
  <c r="S150" i="54"/>
  <c r="Z150" i="54"/>
  <c r="AA150" i="54"/>
  <c r="AB150" i="54"/>
  <c r="S151" i="54"/>
  <c r="Z151" i="54"/>
  <c r="AA151" i="54"/>
  <c r="AB151" i="54"/>
  <c r="S152" i="54"/>
  <c r="Z152" i="54"/>
  <c r="AA152" i="54"/>
  <c r="AB152" i="54"/>
  <c r="S153" i="54"/>
  <c r="Z153" i="54"/>
  <c r="AA153" i="54"/>
  <c r="AB153" i="54"/>
  <c r="S154" i="54"/>
  <c r="Z154" i="54"/>
  <c r="AA154" i="54"/>
  <c r="AB154" i="54"/>
  <c r="S155" i="54"/>
  <c r="Z155" i="54"/>
  <c r="AA155" i="54"/>
  <c r="AB155" i="54"/>
  <c r="S156" i="54"/>
  <c r="Z156" i="54"/>
  <c r="AA156" i="54"/>
  <c r="AB156" i="54"/>
  <c r="S157" i="54"/>
  <c r="Z157" i="54"/>
  <c r="AA157" i="54"/>
  <c r="AB157" i="54"/>
  <c r="S158" i="54"/>
  <c r="Z158" i="54"/>
  <c r="AA158" i="54"/>
  <c r="AB158" i="54"/>
  <c r="S159" i="54"/>
  <c r="Z159" i="54"/>
  <c r="AA159" i="54"/>
  <c r="AB159" i="54"/>
  <c r="S160" i="54"/>
  <c r="Z160" i="54"/>
  <c r="AA160" i="54"/>
  <c r="AB160" i="54"/>
  <c r="S161" i="54"/>
  <c r="Z161" i="54"/>
  <c r="AA161" i="54"/>
  <c r="AB161" i="54"/>
  <c r="S162" i="54"/>
  <c r="Z162" i="54"/>
  <c r="AA162" i="54"/>
  <c r="AB162" i="54"/>
  <c r="S163" i="54"/>
  <c r="Z163" i="54"/>
  <c r="AA163" i="54"/>
  <c r="AB163" i="54"/>
  <c r="S164" i="54"/>
  <c r="Z164" i="54"/>
  <c r="AA164" i="54"/>
  <c r="AB164" i="54"/>
  <c r="S165" i="54"/>
  <c r="Z165" i="54"/>
  <c r="AA165" i="54"/>
  <c r="AB165" i="54"/>
  <c r="S166" i="54"/>
  <c r="Z166" i="54"/>
  <c r="AA166" i="54"/>
  <c r="AB166" i="54"/>
  <c r="S167" i="54"/>
  <c r="Z167" i="54"/>
  <c r="AA167" i="54"/>
  <c r="AB167" i="54"/>
  <c r="S168" i="54"/>
  <c r="Z168" i="54"/>
  <c r="AA168" i="54"/>
  <c r="AB168" i="54"/>
  <c r="S169" i="54"/>
  <c r="Z169" i="54"/>
  <c r="AA169" i="54"/>
  <c r="AB169" i="54"/>
  <c r="S170" i="54"/>
  <c r="Z170" i="54"/>
  <c r="AA170" i="54"/>
  <c r="AB170" i="54"/>
  <c r="S171" i="54"/>
  <c r="Z171" i="54"/>
  <c r="AA171" i="54"/>
  <c r="AB171" i="54"/>
  <c r="S172" i="54"/>
  <c r="Z172" i="54"/>
  <c r="AA172" i="54"/>
  <c r="AB172" i="54"/>
  <c r="S173" i="54"/>
  <c r="Z173" i="54"/>
  <c r="AA173" i="54"/>
  <c r="AB173" i="54"/>
  <c r="S174" i="54"/>
  <c r="Z174" i="54"/>
  <c r="AA174" i="54"/>
  <c r="AB174" i="54"/>
  <c r="S175" i="54"/>
  <c r="Z175" i="54"/>
  <c r="AA175" i="54"/>
  <c r="AB175" i="54"/>
  <c r="S176" i="54"/>
  <c r="Z176" i="54"/>
  <c r="AA176" i="54"/>
  <c r="AB176" i="54"/>
  <c r="S177" i="54"/>
  <c r="Z177" i="54"/>
  <c r="AA177" i="54"/>
  <c r="AB177" i="54"/>
  <c r="S178" i="54"/>
  <c r="Z178" i="54"/>
  <c r="AA178" i="54"/>
  <c r="AB178" i="54"/>
  <c r="S179" i="54"/>
  <c r="Z179" i="54"/>
  <c r="AA179" i="54"/>
  <c r="AB179" i="54"/>
  <c r="S180" i="54"/>
  <c r="Z180" i="54"/>
  <c r="AA180" i="54"/>
  <c r="AB180" i="54"/>
  <c r="S181" i="54"/>
  <c r="Z181" i="54"/>
  <c r="AA181" i="54"/>
  <c r="AB181" i="54"/>
  <c r="S182" i="54"/>
  <c r="Z182" i="54"/>
  <c r="AA182" i="54"/>
  <c r="AB182" i="54"/>
  <c r="S183" i="54"/>
  <c r="Z183" i="54"/>
  <c r="AA183" i="54"/>
  <c r="AB183" i="54"/>
  <c r="S184" i="54"/>
  <c r="Z184" i="54"/>
  <c r="AA184" i="54"/>
  <c r="AB184" i="54"/>
  <c r="S185" i="54"/>
  <c r="Z185" i="54"/>
  <c r="AA185" i="54"/>
  <c r="AB185" i="54"/>
  <c r="S186" i="54"/>
  <c r="Z186" i="54"/>
  <c r="AA186" i="54"/>
  <c r="AB186" i="54"/>
  <c r="S187" i="54"/>
  <c r="Z187" i="54"/>
  <c r="AA187" i="54"/>
  <c r="AB187" i="54"/>
  <c r="S188" i="54"/>
  <c r="Z188" i="54"/>
  <c r="AA188" i="54"/>
  <c r="AB188" i="54"/>
  <c r="S189" i="54"/>
  <c r="Z189" i="54"/>
  <c r="AA189" i="54"/>
  <c r="AB189" i="54"/>
  <c r="S190" i="54"/>
  <c r="Z190" i="54"/>
  <c r="AA190" i="54"/>
  <c r="AB190" i="54"/>
  <c r="S191" i="54"/>
  <c r="Z191" i="54"/>
  <c r="AA191" i="54"/>
  <c r="AB191" i="54"/>
  <c r="S192" i="54"/>
  <c r="Z192" i="54"/>
  <c r="AA192" i="54"/>
  <c r="AB192" i="54"/>
  <c r="S193" i="54"/>
  <c r="Z193" i="54"/>
  <c r="AA193" i="54"/>
  <c r="AB193" i="54"/>
  <c r="S194" i="54"/>
  <c r="Z194" i="54"/>
  <c r="AA194" i="54"/>
  <c r="AB194" i="54"/>
  <c r="S195" i="54"/>
  <c r="Z195" i="54"/>
  <c r="AA195" i="54"/>
  <c r="AB195" i="54"/>
  <c r="S196" i="54"/>
  <c r="Z196" i="54"/>
  <c r="AA196" i="54"/>
  <c r="AB196" i="54"/>
  <c r="S197" i="54"/>
  <c r="Z197" i="54"/>
  <c r="AA197" i="54"/>
  <c r="AB197" i="54"/>
  <c r="S198" i="54"/>
  <c r="Z198" i="54"/>
  <c r="AA198" i="54"/>
  <c r="AB198" i="54"/>
  <c r="S199" i="54"/>
  <c r="Z199" i="54"/>
  <c r="AA199" i="54"/>
  <c r="AB199" i="54"/>
  <c r="S200" i="54"/>
  <c r="Z200" i="54"/>
  <c r="AA200" i="54"/>
  <c r="AB200" i="54"/>
  <c r="S201" i="54"/>
  <c r="Z201" i="54"/>
  <c r="AA201" i="54"/>
  <c r="AB201" i="54"/>
  <c r="S202" i="54"/>
  <c r="Z202" i="54"/>
  <c r="AA202" i="54"/>
  <c r="AB202" i="54"/>
  <c r="S203" i="54"/>
  <c r="Z203" i="54"/>
  <c r="AA203" i="54"/>
  <c r="AB203" i="54"/>
  <c r="S204" i="54"/>
  <c r="Z204" i="54"/>
  <c r="AA204" i="54"/>
  <c r="AB204" i="54"/>
  <c r="S205" i="54"/>
  <c r="Z205" i="54"/>
  <c r="AA205" i="54"/>
  <c r="AB205" i="54"/>
  <c r="S206" i="54"/>
  <c r="Z206" i="54"/>
  <c r="AA206" i="54"/>
  <c r="AB206" i="54"/>
  <c r="S207" i="54"/>
  <c r="Z207" i="54"/>
  <c r="AA207" i="54"/>
  <c r="AB207" i="54"/>
  <c r="S208" i="54"/>
  <c r="Z208" i="54"/>
  <c r="AA208" i="54"/>
  <c r="AB208" i="54"/>
  <c r="S209" i="54"/>
  <c r="Z209" i="54"/>
  <c r="AA209" i="54"/>
  <c r="AB209" i="54"/>
  <c r="S210" i="54"/>
  <c r="Z210" i="54"/>
  <c r="AA210" i="54"/>
  <c r="AB210" i="54"/>
  <c r="S211" i="54"/>
  <c r="Z211" i="54"/>
  <c r="AA211" i="54"/>
  <c r="AB211" i="54"/>
  <c r="S212" i="54"/>
  <c r="Z212" i="54"/>
  <c r="AA212" i="54"/>
  <c r="AB212" i="54"/>
  <c r="S213" i="54"/>
  <c r="Z213" i="54"/>
  <c r="AA213" i="54"/>
  <c r="AB213" i="54"/>
  <c r="S214" i="54"/>
  <c r="Z214" i="54"/>
  <c r="AA214" i="54"/>
  <c r="AB214" i="54"/>
  <c r="S215" i="54"/>
  <c r="Z215" i="54"/>
  <c r="AA215" i="54"/>
  <c r="AB215" i="54"/>
  <c r="S216" i="54"/>
  <c r="Z216" i="54"/>
  <c r="AA216" i="54"/>
  <c r="AB216" i="54"/>
  <c r="S217" i="54"/>
  <c r="Z217" i="54"/>
  <c r="AA217" i="54"/>
  <c r="AB217" i="54"/>
  <c r="S218" i="54"/>
  <c r="Z218" i="54"/>
  <c r="AA218" i="54"/>
  <c r="AB218" i="54"/>
  <c r="S219" i="54"/>
  <c r="Z219" i="54"/>
  <c r="AA219" i="54"/>
  <c r="AB219" i="54"/>
  <c r="S220" i="54"/>
  <c r="Z220" i="54"/>
  <c r="AA220" i="54"/>
  <c r="AB220" i="54"/>
  <c r="S221" i="54"/>
  <c r="Z221" i="54"/>
  <c r="AA221" i="54"/>
  <c r="AB221" i="54"/>
  <c r="S222" i="54"/>
  <c r="Z222" i="54"/>
  <c r="AA222" i="54"/>
  <c r="AB222" i="54"/>
  <c r="S223" i="54"/>
  <c r="Z223" i="54"/>
  <c r="AA223" i="54"/>
  <c r="AB223" i="54"/>
  <c r="S224" i="54"/>
  <c r="Z224" i="54"/>
  <c r="AA224" i="54"/>
  <c r="AB224" i="54"/>
  <c r="S225" i="54"/>
  <c r="Z225" i="54"/>
  <c r="AA225" i="54"/>
  <c r="AB225" i="54"/>
  <c r="S226" i="54"/>
  <c r="Z226" i="54"/>
  <c r="AA226" i="54"/>
  <c r="AB226" i="54"/>
  <c r="S227" i="54"/>
  <c r="Z227" i="54"/>
  <c r="AA227" i="54"/>
  <c r="AB227" i="54"/>
  <c r="S228" i="54"/>
  <c r="Z228" i="54"/>
  <c r="AA228" i="54"/>
  <c r="AB228" i="54"/>
  <c r="S229" i="54"/>
  <c r="Z229" i="54"/>
  <c r="AA229" i="54"/>
  <c r="AB229" i="54"/>
  <c r="S230" i="54"/>
  <c r="Z230" i="54"/>
  <c r="AA230" i="54"/>
  <c r="AB230" i="54"/>
  <c r="S231" i="54"/>
  <c r="Z231" i="54"/>
  <c r="AA231" i="54"/>
  <c r="AB231" i="54"/>
  <c r="S232" i="54"/>
  <c r="Z232" i="54"/>
  <c r="AA232" i="54"/>
  <c r="AB232" i="54"/>
  <c r="S233" i="54"/>
  <c r="Z233" i="54"/>
  <c r="AA233" i="54"/>
  <c r="AB233" i="54"/>
  <c r="S234" i="54"/>
  <c r="Z234" i="54"/>
  <c r="AA234" i="54"/>
  <c r="AB234" i="54"/>
  <c r="S235" i="54"/>
  <c r="Z235" i="54"/>
  <c r="AA235" i="54"/>
  <c r="AB235" i="54"/>
  <c r="S236" i="54"/>
  <c r="Z236" i="54"/>
  <c r="AA236" i="54"/>
  <c r="AB236" i="54"/>
  <c r="S237" i="54"/>
  <c r="Z237" i="54"/>
  <c r="AA237" i="54"/>
  <c r="AB237" i="54"/>
  <c r="S238" i="54"/>
  <c r="Z238" i="54"/>
  <c r="AA238" i="54"/>
  <c r="AB238" i="54"/>
  <c r="S239" i="54"/>
  <c r="Z239" i="54"/>
  <c r="AA239" i="54"/>
  <c r="AB239" i="54"/>
  <c r="S240" i="54"/>
  <c r="Z240" i="54"/>
  <c r="AA240" i="54"/>
  <c r="AB240" i="54"/>
  <c r="S241" i="54"/>
  <c r="Z241" i="54"/>
  <c r="AA241" i="54"/>
  <c r="AB241" i="54"/>
  <c r="S242" i="54"/>
  <c r="Z242" i="54"/>
  <c r="AA242" i="54"/>
  <c r="AB242" i="54"/>
  <c r="S243" i="54"/>
  <c r="Z243" i="54"/>
  <c r="AA243" i="54"/>
  <c r="AB243" i="54"/>
  <c r="S244" i="54"/>
  <c r="Z244" i="54"/>
  <c r="AA244" i="54"/>
  <c r="AB244" i="54"/>
  <c r="S245" i="54"/>
  <c r="Z245" i="54"/>
  <c r="AA245" i="54"/>
  <c r="AB245" i="54"/>
  <c r="S246" i="54"/>
  <c r="Z246" i="54"/>
  <c r="AA246" i="54"/>
  <c r="AB246" i="54"/>
  <c r="S247" i="54"/>
  <c r="Z247" i="54"/>
  <c r="AA247" i="54"/>
  <c r="AB247" i="54"/>
  <c r="S248" i="54"/>
  <c r="Z248" i="54"/>
  <c r="AA248" i="54"/>
  <c r="AB248" i="54"/>
  <c r="S249" i="54"/>
  <c r="Z249" i="54"/>
  <c r="AA249" i="54"/>
  <c r="AB249" i="54"/>
  <c r="S250" i="54"/>
  <c r="Z250" i="54"/>
  <c r="AA250" i="54"/>
  <c r="AB250" i="54"/>
  <c r="S251" i="54"/>
  <c r="Z251" i="54"/>
  <c r="AA251" i="54"/>
  <c r="AB251" i="54"/>
  <c r="S252" i="54"/>
  <c r="Z252" i="54"/>
  <c r="AA252" i="54"/>
  <c r="AB252" i="54"/>
  <c r="S253" i="54"/>
  <c r="Z253" i="54"/>
  <c r="AA253" i="54"/>
  <c r="AB253" i="54"/>
  <c r="S254" i="54"/>
  <c r="Z254" i="54"/>
  <c r="AA254" i="54"/>
  <c r="AB254" i="54"/>
  <c r="S255" i="54"/>
  <c r="Z255" i="54"/>
  <c r="AA255" i="54"/>
  <c r="AB255" i="54"/>
  <c r="S256" i="54"/>
  <c r="Z256" i="54"/>
  <c r="AA256" i="54"/>
  <c r="AB256" i="54"/>
  <c r="S257" i="54"/>
  <c r="Z257" i="54"/>
  <c r="AA257" i="54"/>
  <c r="AB257" i="54"/>
  <c r="S258" i="54"/>
  <c r="Z258" i="54"/>
  <c r="AA258" i="54"/>
  <c r="AB258" i="54"/>
  <c r="S259" i="54"/>
  <c r="Z259" i="54"/>
  <c r="AA259" i="54"/>
  <c r="AB259" i="54"/>
  <c r="S260" i="54"/>
  <c r="Z260" i="54"/>
  <c r="AA260" i="54"/>
  <c r="AB260" i="54"/>
  <c r="S261" i="54"/>
  <c r="Z261" i="54"/>
  <c r="AA261" i="54"/>
  <c r="AB261" i="54"/>
  <c r="S262" i="54"/>
  <c r="Z262" i="54"/>
  <c r="AA262" i="54"/>
  <c r="AB262" i="54"/>
  <c r="S263" i="54"/>
  <c r="Z263" i="54"/>
  <c r="AA263" i="54"/>
  <c r="AB263" i="54"/>
  <c r="S264" i="54"/>
  <c r="Z264" i="54"/>
  <c r="AA264" i="54"/>
  <c r="AB264" i="54"/>
  <c r="S265" i="54"/>
  <c r="Z265" i="54"/>
  <c r="AA265" i="54"/>
  <c r="AB265" i="54"/>
  <c r="S266" i="54"/>
  <c r="Z266" i="54"/>
  <c r="AA266" i="54"/>
  <c r="AB266" i="54"/>
  <c r="S267" i="54"/>
  <c r="Z267" i="54"/>
  <c r="AA267" i="54"/>
  <c r="AB267" i="54"/>
  <c r="S268" i="54"/>
  <c r="Z268" i="54"/>
  <c r="AA268" i="54"/>
  <c r="AB268" i="54"/>
  <c r="S269" i="54"/>
  <c r="S270" i="54"/>
  <c r="S271" i="54"/>
  <c r="S272" i="54"/>
  <c r="S273" i="54"/>
  <c r="S274" i="54"/>
  <c r="S275" i="54"/>
  <c r="S276" i="54"/>
  <c r="S277" i="54"/>
  <c r="S278" i="54"/>
  <c r="S279" i="54"/>
  <c r="S280" i="54"/>
  <c r="S281" i="54"/>
  <c r="S282" i="54"/>
  <c r="S283" i="54"/>
  <c r="S284" i="54"/>
  <c r="S285" i="54"/>
  <c r="S286" i="54"/>
  <c r="S287" i="54"/>
  <c r="S288" i="54"/>
  <c r="S289" i="54"/>
  <c r="S290" i="54"/>
  <c r="S291" i="54"/>
  <c r="S292" i="54"/>
  <c r="S293" i="54"/>
  <c r="S294" i="54"/>
  <c r="S295" i="54"/>
  <c r="S296" i="54"/>
  <c r="S297" i="54"/>
  <c r="S298" i="54"/>
  <c r="S299" i="54"/>
  <c r="S300" i="54"/>
  <c r="S301" i="54"/>
  <c r="S302" i="54"/>
  <c r="S303" i="54"/>
  <c r="S304" i="54"/>
  <c r="S305" i="54"/>
  <c r="S306" i="54"/>
  <c r="S307" i="54"/>
  <c r="S308" i="54"/>
  <c r="S309" i="54"/>
  <c r="S310" i="54"/>
  <c r="S311" i="54"/>
  <c r="S312" i="54"/>
  <c r="S313" i="54"/>
  <c r="S314" i="54"/>
  <c r="S315" i="54"/>
  <c r="S316" i="54"/>
  <c r="S317" i="54"/>
  <c r="S318" i="54"/>
  <c r="S319" i="54"/>
  <c r="S320" i="54"/>
  <c r="S321" i="54"/>
  <c r="S322" i="54"/>
  <c r="S323" i="54"/>
  <c r="S324" i="54"/>
  <c r="S325" i="54"/>
  <c r="S326" i="54"/>
  <c r="S327" i="54"/>
  <c r="S328" i="54"/>
  <c r="S329" i="54"/>
  <c r="S330" i="54"/>
  <c r="S331" i="54"/>
  <c r="S332" i="54"/>
  <c r="S333" i="54"/>
  <c r="S334" i="54"/>
  <c r="S335" i="54"/>
  <c r="S336" i="54"/>
  <c r="S337" i="54"/>
  <c r="S338" i="54"/>
  <c r="S339" i="54"/>
  <c r="S340" i="54"/>
  <c r="S341" i="54"/>
  <c r="S342" i="54"/>
  <c r="S343" i="54"/>
  <c r="S344" i="54"/>
  <c r="S345" i="54"/>
  <c r="S346" i="54"/>
  <c r="S347" i="54"/>
  <c r="S348" i="54"/>
  <c r="S349" i="54"/>
  <c r="S350" i="54"/>
  <c r="S351" i="54"/>
  <c r="S352" i="54"/>
  <c r="S353" i="54"/>
  <c r="S354" i="54"/>
  <c r="S355" i="54"/>
  <c r="S356" i="54"/>
  <c r="S357" i="54"/>
  <c r="S358" i="54"/>
  <c r="S359" i="54"/>
  <c r="S360" i="54"/>
  <c r="S361" i="54"/>
  <c r="S362" i="54"/>
  <c r="S363" i="54"/>
  <c r="S364" i="54"/>
  <c r="S365" i="54"/>
  <c r="S366" i="54"/>
  <c r="S367" i="54"/>
  <c r="S368" i="54"/>
  <c r="S369" i="54"/>
  <c r="S370" i="54"/>
  <c r="S371" i="54"/>
  <c r="S372" i="54"/>
  <c r="S373" i="54"/>
  <c r="E1" i="62"/>
  <c r="Z1" i="62"/>
  <c r="AA1" i="62"/>
  <c r="AC1" i="62"/>
  <c r="AD1" i="62"/>
  <c r="S2" i="62"/>
  <c r="A3" i="62"/>
  <c r="B3" i="62"/>
  <c r="D3" i="62"/>
  <c r="E3" i="62"/>
  <c r="I3" i="62"/>
  <c r="J3" i="62"/>
  <c r="K3" i="62"/>
  <c r="R3" i="62"/>
  <c r="S3" i="62"/>
  <c r="J4" i="62"/>
  <c r="K4" i="62"/>
  <c r="L4" i="62"/>
  <c r="M4" i="62"/>
  <c r="O4" i="62"/>
  <c r="P4" i="62"/>
  <c r="R4" i="62"/>
  <c r="S4" i="62"/>
  <c r="T4" i="62"/>
  <c r="U4" i="62"/>
  <c r="W4" i="62"/>
  <c r="X4" i="62"/>
  <c r="Z4" i="62"/>
  <c r="AA4" i="62"/>
  <c r="AC4" i="62"/>
  <c r="AD4" i="62"/>
  <c r="AF4" i="62"/>
  <c r="AF5" i="62"/>
  <c r="H6" i="62"/>
  <c r="K6" i="62"/>
  <c r="M6" i="62"/>
  <c r="P6" i="62"/>
  <c r="S6" i="62"/>
  <c r="U6" i="62"/>
  <c r="X6" i="62"/>
  <c r="AA6" i="62"/>
  <c r="AC6" i="62"/>
  <c r="D8" i="62"/>
  <c r="E8" i="62"/>
  <c r="F8" i="62"/>
  <c r="G8" i="62"/>
  <c r="H8" i="62"/>
  <c r="J8" i="62"/>
  <c r="K8" i="62"/>
  <c r="L8" i="62"/>
  <c r="M8" i="62"/>
  <c r="O8" i="62"/>
  <c r="P8" i="62"/>
  <c r="R8" i="62"/>
  <c r="S8" i="62"/>
  <c r="T8" i="62"/>
  <c r="U8" i="62"/>
  <c r="V8" i="62"/>
  <c r="W8" i="62"/>
  <c r="X8" i="62"/>
  <c r="AH8" i="62"/>
  <c r="AL8" i="62"/>
  <c r="AM8" i="62"/>
  <c r="AN8" i="62"/>
  <c r="AT8" i="62"/>
  <c r="AU8" i="62"/>
  <c r="AW8" i="62"/>
  <c r="AX8" i="62"/>
  <c r="AY8" i="62"/>
  <c r="BA8" i="62"/>
  <c r="BC8" i="62"/>
  <c r="A10" i="62"/>
  <c r="B10" i="62"/>
  <c r="D10" i="62"/>
  <c r="E10" i="62"/>
  <c r="F10" i="62"/>
  <c r="G10" i="62"/>
  <c r="H10" i="62"/>
  <c r="J10" i="62"/>
  <c r="K10" i="62"/>
  <c r="M10" i="62"/>
  <c r="O10" i="62"/>
  <c r="P10" i="62"/>
  <c r="R10" i="62"/>
  <c r="S10" i="62"/>
  <c r="T10" i="62"/>
  <c r="U10" i="62"/>
  <c r="V10" i="62"/>
  <c r="W10" i="62"/>
  <c r="X10" i="62"/>
  <c r="Z10" i="62"/>
  <c r="AA10" i="62"/>
  <c r="AB10" i="62"/>
  <c r="AC10" i="62"/>
  <c r="AD10" i="62"/>
  <c r="AE10" i="62"/>
  <c r="AF10" i="62"/>
  <c r="AG10" i="62"/>
  <c r="AH10" i="62"/>
  <c r="AI10" i="62"/>
  <c r="AJ10" i="62"/>
  <c r="AK10" i="62"/>
  <c r="AL10" i="62"/>
  <c r="AM10" i="62"/>
  <c r="AN10" i="62"/>
  <c r="AO10" i="62"/>
  <c r="AP10" i="62"/>
  <c r="AQ10" i="62"/>
  <c r="AR10" i="62"/>
  <c r="AS10" i="62"/>
  <c r="AT10" i="62"/>
  <c r="AU10" i="62"/>
  <c r="AW10" i="62"/>
  <c r="AX10" i="62"/>
  <c r="AY10" i="62"/>
  <c r="BA10" i="62"/>
  <c r="BC10" i="62"/>
  <c r="A11" i="62"/>
  <c r="B11" i="62"/>
  <c r="D11" i="62"/>
  <c r="E11" i="62"/>
  <c r="F11" i="62"/>
  <c r="G11" i="62"/>
  <c r="H11" i="62"/>
  <c r="J11" i="62"/>
  <c r="K11" i="62"/>
  <c r="M11" i="62"/>
  <c r="O11" i="62"/>
  <c r="P11" i="62"/>
  <c r="R11" i="62"/>
  <c r="S11" i="62"/>
  <c r="T11" i="62"/>
  <c r="U11" i="62"/>
  <c r="V11" i="62"/>
  <c r="W11" i="62"/>
  <c r="X11" i="62"/>
  <c r="Z11" i="62"/>
  <c r="AA11" i="62"/>
  <c r="AB11" i="62"/>
  <c r="AC11" i="62"/>
  <c r="AD11" i="62"/>
  <c r="AE11" i="62"/>
  <c r="AF11" i="62"/>
  <c r="AG11" i="62"/>
  <c r="AH11" i="62"/>
  <c r="AI11" i="62"/>
  <c r="AJ11" i="62"/>
  <c r="AK11" i="62"/>
  <c r="AL11" i="62"/>
  <c r="AM11" i="62"/>
  <c r="AN11" i="62"/>
  <c r="AO11" i="62"/>
  <c r="AP11" i="62"/>
  <c r="AQ11" i="62"/>
  <c r="AR11" i="62"/>
  <c r="AS11" i="62"/>
  <c r="AT11" i="62"/>
  <c r="AU11" i="62"/>
  <c r="AW11" i="62"/>
  <c r="AX11" i="62"/>
  <c r="AY11" i="62"/>
  <c r="BA11" i="62"/>
  <c r="BC11" i="62"/>
  <c r="A12" i="62"/>
  <c r="B12" i="62"/>
  <c r="D12" i="62"/>
  <c r="E12" i="62"/>
  <c r="F12" i="62"/>
  <c r="G12" i="62"/>
  <c r="H12" i="62"/>
  <c r="J12" i="62"/>
  <c r="K12" i="62"/>
  <c r="M12" i="62"/>
  <c r="O12" i="62"/>
  <c r="P12" i="62"/>
  <c r="R12" i="62"/>
  <c r="S12" i="62"/>
  <c r="T12" i="62"/>
  <c r="U12" i="62"/>
  <c r="V12" i="62"/>
  <c r="W12" i="62"/>
  <c r="X12" i="62"/>
  <c r="Z12" i="62"/>
  <c r="AA12" i="62"/>
  <c r="AB12" i="62"/>
  <c r="AC12" i="62"/>
  <c r="AD12" i="62"/>
  <c r="AE12" i="62"/>
  <c r="AF12" i="62"/>
  <c r="AG12" i="62"/>
  <c r="AH12" i="62"/>
  <c r="AI12" i="62"/>
  <c r="AJ12" i="62"/>
  <c r="AK12" i="62"/>
  <c r="AL12" i="62"/>
  <c r="AM12" i="62"/>
  <c r="AN12" i="62"/>
  <c r="AO12" i="62"/>
  <c r="AP12" i="62"/>
  <c r="AQ12" i="62"/>
  <c r="AR12" i="62"/>
  <c r="AS12" i="62"/>
  <c r="AT12" i="62"/>
  <c r="AU12" i="62"/>
  <c r="AW12" i="62"/>
  <c r="AX12" i="62"/>
  <c r="AY12" i="62"/>
  <c r="BA12" i="62"/>
  <c r="BC12" i="62"/>
  <c r="A13" i="62"/>
  <c r="B13" i="62"/>
  <c r="D13" i="62"/>
  <c r="E13" i="62"/>
  <c r="F13" i="62"/>
  <c r="G13" i="62"/>
  <c r="H13" i="62"/>
  <c r="J13" i="62"/>
  <c r="K13" i="62"/>
  <c r="M13" i="62"/>
  <c r="O13" i="62"/>
  <c r="P13" i="62"/>
  <c r="R13" i="62"/>
  <c r="S13" i="62"/>
  <c r="T13" i="62"/>
  <c r="U13" i="62"/>
  <c r="V13" i="62"/>
  <c r="W13" i="62"/>
  <c r="X13" i="62"/>
  <c r="Z13" i="62"/>
  <c r="AA13" i="62"/>
  <c r="AB13" i="62"/>
  <c r="AC13" i="62"/>
  <c r="AD13" i="62"/>
  <c r="AE13" i="62"/>
  <c r="AF13" i="62"/>
  <c r="AG13" i="62"/>
  <c r="AH13" i="62"/>
  <c r="AI13" i="62"/>
  <c r="AJ13" i="62"/>
  <c r="AK13" i="62"/>
  <c r="AL13" i="62"/>
  <c r="AM13" i="62"/>
  <c r="AN13" i="62"/>
  <c r="AO13" i="62"/>
  <c r="AP13" i="62"/>
  <c r="AQ13" i="62"/>
  <c r="AR13" i="62"/>
  <c r="AS13" i="62"/>
  <c r="AT13" i="62"/>
  <c r="AU13" i="62"/>
  <c r="AW13" i="62"/>
  <c r="AX13" i="62"/>
  <c r="AY13" i="62"/>
  <c r="BA13" i="62"/>
  <c r="BC13" i="62"/>
  <c r="A14" i="62"/>
  <c r="B14" i="62"/>
  <c r="D14" i="62"/>
  <c r="E14" i="62"/>
  <c r="F14" i="62"/>
  <c r="G14" i="62"/>
  <c r="H14" i="62"/>
  <c r="J14" i="62"/>
  <c r="K14" i="62"/>
  <c r="M14" i="62"/>
  <c r="O14" i="62"/>
  <c r="P14" i="62"/>
  <c r="R14" i="62"/>
  <c r="S14" i="62"/>
  <c r="T14" i="62"/>
  <c r="U14" i="62"/>
  <c r="V14" i="62"/>
  <c r="W14" i="62"/>
  <c r="X14" i="62"/>
  <c r="Z14" i="62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N14" i="62"/>
  <c r="AO14" i="62"/>
  <c r="AP14" i="62"/>
  <c r="AQ14" i="62"/>
  <c r="AR14" i="62"/>
  <c r="AS14" i="62"/>
  <c r="AT14" i="62"/>
  <c r="AU14" i="62"/>
  <c r="AW14" i="62"/>
  <c r="AX14" i="62"/>
  <c r="AY14" i="62"/>
  <c r="BA14" i="62"/>
  <c r="BC14" i="62"/>
  <c r="A15" i="62"/>
  <c r="B15" i="62"/>
  <c r="D15" i="62"/>
  <c r="E15" i="62"/>
  <c r="F15" i="62"/>
  <c r="G15" i="62"/>
  <c r="H15" i="62"/>
  <c r="J15" i="62"/>
  <c r="K15" i="62"/>
  <c r="M15" i="62"/>
  <c r="O15" i="62"/>
  <c r="P15" i="62"/>
  <c r="R15" i="62"/>
  <c r="S15" i="62"/>
  <c r="T15" i="62"/>
  <c r="U15" i="62"/>
  <c r="V15" i="62"/>
  <c r="W15" i="62"/>
  <c r="X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AP15" i="62"/>
  <c r="AQ15" i="62"/>
  <c r="AR15" i="62"/>
  <c r="AS15" i="62"/>
  <c r="AT15" i="62"/>
  <c r="AU15" i="62"/>
  <c r="AW15" i="62"/>
  <c r="AX15" i="62"/>
  <c r="AY15" i="62"/>
  <c r="BA15" i="62"/>
  <c r="BC15" i="62"/>
  <c r="A16" i="62"/>
  <c r="B16" i="62"/>
  <c r="D16" i="62"/>
  <c r="E16" i="62"/>
  <c r="F16" i="62"/>
  <c r="G16" i="62"/>
  <c r="H16" i="62"/>
  <c r="J16" i="62"/>
  <c r="K16" i="62"/>
  <c r="M16" i="62"/>
  <c r="O16" i="62"/>
  <c r="P16" i="62"/>
  <c r="R16" i="62"/>
  <c r="S16" i="62"/>
  <c r="T16" i="62"/>
  <c r="U16" i="62"/>
  <c r="V16" i="62"/>
  <c r="W16" i="62"/>
  <c r="X16" i="62"/>
  <c r="Z16" i="62"/>
  <c r="AA16" i="62"/>
  <c r="AB16" i="62"/>
  <c r="AC16" i="62"/>
  <c r="AD16" i="62"/>
  <c r="AE16" i="62"/>
  <c r="AF16" i="62"/>
  <c r="AG16" i="62"/>
  <c r="AH16" i="62"/>
  <c r="AI16" i="62"/>
  <c r="AJ16" i="62"/>
  <c r="AK16" i="62"/>
  <c r="AL16" i="62"/>
  <c r="AM16" i="62"/>
  <c r="AN16" i="62"/>
  <c r="AO16" i="62"/>
  <c r="AP16" i="62"/>
  <c r="AQ16" i="62"/>
  <c r="AR16" i="62"/>
  <c r="AS16" i="62"/>
  <c r="AT16" i="62"/>
  <c r="AU16" i="62"/>
  <c r="AW16" i="62"/>
  <c r="AX16" i="62"/>
  <c r="AY16" i="62"/>
  <c r="BA16" i="62"/>
  <c r="BC16" i="62"/>
  <c r="A17" i="62"/>
  <c r="B17" i="62"/>
  <c r="D17" i="62"/>
  <c r="E17" i="62"/>
  <c r="F17" i="62"/>
  <c r="G17" i="62"/>
  <c r="H17" i="62"/>
  <c r="J17" i="62"/>
  <c r="K17" i="62"/>
  <c r="M17" i="62"/>
  <c r="O17" i="62"/>
  <c r="P17" i="62"/>
  <c r="R17" i="62"/>
  <c r="S17" i="62"/>
  <c r="T17" i="62"/>
  <c r="U17" i="62"/>
  <c r="V17" i="62"/>
  <c r="W17" i="62"/>
  <c r="X17" i="62"/>
  <c r="Z17" i="62"/>
  <c r="AA17" i="62"/>
  <c r="AB17" i="62"/>
  <c r="AC17" i="62"/>
  <c r="AD17" i="62"/>
  <c r="AE17" i="62"/>
  <c r="AF17" i="62"/>
  <c r="AG17" i="62"/>
  <c r="AH17" i="62"/>
  <c r="AI17" i="62"/>
  <c r="AJ17" i="62"/>
  <c r="AK17" i="62"/>
  <c r="AL17" i="62"/>
  <c r="AM17" i="62"/>
  <c r="AN17" i="62"/>
  <c r="AO17" i="62"/>
  <c r="AP17" i="62"/>
  <c r="AQ17" i="62"/>
  <c r="AR17" i="62"/>
  <c r="AS17" i="62"/>
  <c r="AT17" i="62"/>
  <c r="AU17" i="62"/>
  <c r="AW17" i="62"/>
  <c r="AX17" i="62"/>
  <c r="AY17" i="62"/>
  <c r="BA17" i="62"/>
  <c r="BC17" i="62"/>
  <c r="A18" i="62"/>
  <c r="B18" i="62"/>
  <c r="D18" i="62"/>
  <c r="E18" i="62"/>
  <c r="F18" i="62"/>
  <c r="G18" i="62"/>
  <c r="H18" i="62"/>
  <c r="J18" i="62"/>
  <c r="K18" i="62"/>
  <c r="M18" i="62"/>
  <c r="O18" i="62"/>
  <c r="P18" i="62"/>
  <c r="R18" i="62"/>
  <c r="S18" i="62"/>
  <c r="T18" i="62"/>
  <c r="U18" i="62"/>
  <c r="V18" i="62"/>
  <c r="W18" i="62"/>
  <c r="X18" i="62"/>
  <c r="Z18" i="62"/>
  <c r="AA18" i="62"/>
  <c r="AB18" i="62"/>
  <c r="AC18" i="62"/>
  <c r="AD18" i="62"/>
  <c r="AE18" i="62"/>
  <c r="AF18" i="62"/>
  <c r="AG18" i="62"/>
  <c r="AH18" i="62"/>
  <c r="AI18" i="62"/>
  <c r="AJ18" i="62"/>
  <c r="AK18" i="62"/>
  <c r="AL18" i="62"/>
  <c r="AM18" i="62"/>
  <c r="AN18" i="62"/>
  <c r="AO18" i="62"/>
  <c r="AP18" i="62"/>
  <c r="AQ18" i="62"/>
  <c r="AR18" i="62"/>
  <c r="AS18" i="62"/>
  <c r="AT18" i="62"/>
  <c r="AU18" i="62"/>
  <c r="AW18" i="62"/>
  <c r="AX18" i="62"/>
  <c r="AY18" i="62"/>
  <c r="BA18" i="62"/>
  <c r="BC18" i="62"/>
  <c r="A19" i="62"/>
  <c r="B19" i="62"/>
  <c r="D19" i="62"/>
  <c r="E19" i="62"/>
  <c r="F19" i="62"/>
  <c r="G19" i="62"/>
  <c r="H19" i="62"/>
  <c r="J19" i="62"/>
  <c r="K19" i="62"/>
  <c r="M19" i="62"/>
  <c r="O19" i="62"/>
  <c r="P19" i="62"/>
  <c r="R19" i="62"/>
  <c r="S19" i="62"/>
  <c r="T19" i="62"/>
  <c r="U19" i="62"/>
  <c r="V19" i="62"/>
  <c r="W19" i="62"/>
  <c r="X19" i="62"/>
  <c r="Z19" i="62"/>
  <c r="AA19" i="62"/>
  <c r="AB19" i="62"/>
  <c r="AC19" i="62"/>
  <c r="AD19" i="62"/>
  <c r="AE19" i="62"/>
  <c r="AF19" i="62"/>
  <c r="AG19" i="62"/>
  <c r="AH19" i="62"/>
  <c r="AI19" i="62"/>
  <c r="AJ19" i="62"/>
  <c r="AK19" i="62"/>
  <c r="AL19" i="62"/>
  <c r="AM19" i="62"/>
  <c r="AN19" i="62"/>
  <c r="AO19" i="62"/>
  <c r="AP19" i="62"/>
  <c r="AQ19" i="62"/>
  <c r="AR19" i="62"/>
  <c r="AS19" i="62"/>
  <c r="AT19" i="62"/>
  <c r="AU19" i="62"/>
  <c r="AW19" i="62"/>
  <c r="AX19" i="62"/>
  <c r="AY19" i="62"/>
  <c r="BA19" i="62"/>
  <c r="BC19" i="62"/>
  <c r="A20" i="62"/>
  <c r="B20" i="62"/>
  <c r="D20" i="62"/>
  <c r="E20" i="62"/>
  <c r="F20" i="62"/>
  <c r="G20" i="62"/>
  <c r="H20" i="62"/>
  <c r="J20" i="62"/>
  <c r="K20" i="62"/>
  <c r="M20" i="62"/>
  <c r="O20" i="62"/>
  <c r="P20" i="62"/>
  <c r="R20" i="62"/>
  <c r="S20" i="62"/>
  <c r="T20" i="62"/>
  <c r="U20" i="62"/>
  <c r="V20" i="62"/>
  <c r="W20" i="62"/>
  <c r="X20" i="62"/>
  <c r="Z20" i="62"/>
  <c r="AA20" i="62"/>
  <c r="AB20" i="62"/>
  <c r="AC20" i="62"/>
  <c r="AD20" i="62"/>
  <c r="AE20" i="62"/>
  <c r="AF20" i="62"/>
  <c r="AG20" i="62"/>
  <c r="AH20" i="62"/>
  <c r="AI20" i="62"/>
  <c r="AJ20" i="62"/>
  <c r="AK20" i="62"/>
  <c r="AL20" i="62"/>
  <c r="AM20" i="62"/>
  <c r="AN20" i="62"/>
  <c r="AO20" i="62"/>
  <c r="AP20" i="62"/>
  <c r="AQ20" i="62"/>
  <c r="AR20" i="62"/>
  <c r="AS20" i="62"/>
  <c r="AT20" i="62"/>
  <c r="AU20" i="62"/>
  <c r="AW20" i="62"/>
  <c r="AX20" i="62"/>
  <c r="AY20" i="62"/>
  <c r="BA20" i="62"/>
  <c r="BC20" i="62"/>
  <c r="A21" i="62"/>
  <c r="B21" i="62"/>
  <c r="D21" i="62"/>
  <c r="E21" i="62"/>
  <c r="F21" i="62"/>
  <c r="G21" i="62"/>
  <c r="H21" i="62"/>
  <c r="J21" i="62"/>
  <c r="K21" i="62"/>
  <c r="M21" i="62"/>
  <c r="O21" i="62"/>
  <c r="P21" i="62"/>
  <c r="R21" i="62"/>
  <c r="S21" i="62"/>
  <c r="T21" i="62"/>
  <c r="U21" i="62"/>
  <c r="V21" i="62"/>
  <c r="W21" i="62"/>
  <c r="X21" i="62"/>
  <c r="Z21" i="62"/>
  <c r="AA21" i="62"/>
  <c r="AB21" i="62"/>
  <c r="AC21" i="62"/>
  <c r="AD21" i="62"/>
  <c r="AE21" i="62"/>
  <c r="AF21" i="62"/>
  <c r="AG21" i="62"/>
  <c r="AH21" i="62"/>
  <c r="AI21" i="62"/>
  <c r="AJ21" i="62"/>
  <c r="AK21" i="62"/>
  <c r="AL21" i="62"/>
  <c r="AM21" i="62"/>
  <c r="AN21" i="62"/>
  <c r="AO21" i="62"/>
  <c r="AP21" i="62"/>
  <c r="AQ21" i="62"/>
  <c r="AR21" i="62"/>
  <c r="AS21" i="62"/>
  <c r="AT21" i="62"/>
  <c r="AU21" i="62"/>
  <c r="AW21" i="62"/>
  <c r="AX21" i="62"/>
  <c r="AY21" i="62"/>
  <c r="BA21" i="62"/>
  <c r="BC21" i="62"/>
  <c r="A22" i="62"/>
  <c r="B22" i="62"/>
  <c r="D22" i="62"/>
  <c r="E22" i="62"/>
  <c r="F22" i="62"/>
  <c r="G22" i="62"/>
  <c r="H22" i="62"/>
  <c r="J22" i="62"/>
  <c r="K22" i="62"/>
  <c r="M22" i="62"/>
  <c r="O22" i="62"/>
  <c r="P22" i="62"/>
  <c r="R22" i="62"/>
  <c r="S22" i="62"/>
  <c r="T22" i="62"/>
  <c r="U22" i="62"/>
  <c r="V22" i="62"/>
  <c r="W22" i="62"/>
  <c r="X22" i="62"/>
  <c r="Z22" i="62"/>
  <c r="AA22" i="62"/>
  <c r="AB22" i="62"/>
  <c r="AC22" i="62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AP22" i="62"/>
  <c r="AQ22" i="62"/>
  <c r="AR22" i="62"/>
  <c r="AS22" i="62"/>
  <c r="AT22" i="62"/>
  <c r="AU22" i="62"/>
  <c r="AW22" i="62"/>
  <c r="AX22" i="62"/>
  <c r="AY22" i="62"/>
  <c r="BA22" i="62"/>
  <c r="BC22" i="62"/>
  <c r="A23" i="62"/>
  <c r="B23" i="62"/>
  <c r="D23" i="62"/>
  <c r="E23" i="62"/>
  <c r="F23" i="62"/>
  <c r="G23" i="62"/>
  <c r="H23" i="62"/>
  <c r="J23" i="62"/>
  <c r="K23" i="62"/>
  <c r="M23" i="62"/>
  <c r="O23" i="62"/>
  <c r="P23" i="62"/>
  <c r="R23" i="62"/>
  <c r="S23" i="62"/>
  <c r="T23" i="62"/>
  <c r="U23" i="62"/>
  <c r="V23" i="62"/>
  <c r="W23" i="62"/>
  <c r="X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AP23" i="62"/>
  <c r="AQ23" i="62"/>
  <c r="AR23" i="62"/>
  <c r="AS23" i="62"/>
  <c r="AT23" i="62"/>
  <c r="AU23" i="62"/>
  <c r="AW23" i="62"/>
  <c r="AX23" i="62"/>
  <c r="AY23" i="62"/>
  <c r="BA23" i="62"/>
  <c r="BC23" i="62"/>
  <c r="A24" i="62"/>
  <c r="B24" i="62"/>
  <c r="D24" i="62"/>
  <c r="E24" i="62"/>
  <c r="F24" i="62"/>
  <c r="G24" i="62"/>
  <c r="H24" i="62"/>
  <c r="J24" i="62"/>
  <c r="K24" i="62"/>
  <c r="M24" i="62"/>
  <c r="O24" i="62"/>
  <c r="P24" i="62"/>
  <c r="R24" i="62"/>
  <c r="S24" i="62"/>
  <c r="T24" i="62"/>
  <c r="U24" i="62"/>
  <c r="V24" i="62"/>
  <c r="W24" i="62"/>
  <c r="X24" i="62"/>
  <c r="Z24" i="62"/>
  <c r="AA24" i="62"/>
  <c r="AB24" i="62"/>
  <c r="AC24" i="62"/>
  <c r="AD24" i="62"/>
  <c r="AE24" i="62"/>
  <c r="AF24" i="62"/>
  <c r="AG24" i="62"/>
  <c r="AH24" i="62"/>
  <c r="AI24" i="62"/>
  <c r="AJ24" i="62"/>
  <c r="AK24" i="62"/>
  <c r="AL24" i="62"/>
  <c r="AM24" i="62"/>
  <c r="AN24" i="62"/>
  <c r="AO24" i="62"/>
  <c r="AP24" i="62"/>
  <c r="AQ24" i="62"/>
  <c r="AR24" i="62"/>
  <c r="AS24" i="62"/>
  <c r="AT24" i="62"/>
  <c r="AU24" i="62"/>
  <c r="AW24" i="62"/>
  <c r="AX24" i="62"/>
  <c r="AY24" i="62"/>
  <c r="BA24" i="62"/>
  <c r="BC24" i="62"/>
  <c r="A25" i="62"/>
  <c r="B25" i="62"/>
  <c r="D25" i="62"/>
  <c r="E25" i="62"/>
  <c r="F25" i="62"/>
  <c r="G25" i="62"/>
  <c r="H25" i="62"/>
  <c r="J25" i="62"/>
  <c r="K25" i="62"/>
  <c r="M25" i="62"/>
  <c r="O25" i="62"/>
  <c r="P25" i="62"/>
  <c r="R25" i="62"/>
  <c r="S25" i="62"/>
  <c r="T25" i="62"/>
  <c r="U25" i="62"/>
  <c r="V25" i="62"/>
  <c r="W25" i="62"/>
  <c r="X25" i="62"/>
  <c r="Z25" i="62"/>
  <c r="AA25" i="62"/>
  <c r="AB25" i="62"/>
  <c r="AC25" i="62"/>
  <c r="AD25" i="62"/>
  <c r="AE25" i="62"/>
  <c r="AF25" i="62"/>
  <c r="AG25" i="62"/>
  <c r="AH25" i="62"/>
  <c r="AI25" i="62"/>
  <c r="AJ25" i="62"/>
  <c r="AK25" i="62"/>
  <c r="AL25" i="62"/>
  <c r="AM25" i="62"/>
  <c r="AN25" i="62"/>
  <c r="AO25" i="62"/>
  <c r="AP25" i="62"/>
  <c r="AQ25" i="62"/>
  <c r="AR25" i="62"/>
  <c r="AS25" i="62"/>
  <c r="AT25" i="62"/>
  <c r="AU25" i="62"/>
  <c r="AW25" i="62"/>
  <c r="AX25" i="62"/>
  <c r="AY25" i="62"/>
  <c r="BA25" i="62"/>
  <c r="BC25" i="62"/>
  <c r="A26" i="62"/>
  <c r="B26" i="62"/>
  <c r="D26" i="62"/>
  <c r="E26" i="62"/>
  <c r="F26" i="62"/>
  <c r="G26" i="62"/>
  <c r="H26" i="62"/>
  <c r="J26" i="62"/>
  <c r="K26" i="62"/>
  <c r="M26" i="62"/>
  <c r="O26" i="62"/>
  <c r="P26" i="62"/>
  <c r="R26" i="62"/>
  <c r="S26" i="62"/>
  <c r="T26" i="62"/>
  <c r="U26" i="62"/>
  <c r="V26" i="62"/>
  <c r="W26" i="62"/>
  <c r="X26" i="62"/>
  <c r="Z26" i="62"/>
  <c r="AA26" i="62"/>
  <c r="AB26" i="62"/>
  <c r="AC26" i="62"/>
  <c r="AD26" i="62"/>
  <c r="AE26" i="62"/>
  <c r="AF26" i="62"/>
  <c r="AG26" i="62"/>
  <c r="AH26" i="62"/>
  <c r="AI26" i="62"/>
  <c r="AJ26" i="62"/>
  <c r="AK26" i="62"/>
  <c r="AL26" i="62"/>
  <c r="AM26" i="62"/>
  <c r="AN26" i="62"/>
  <c r="AO26" i="62"/>
  <c r="AP26" i="62"/>
  <c r="AQ26" i="62"/>
  <c r="AR26" i="62"/>
  <c r="AS26" i="62"/>
  <c r="AT26" i="62"/>
  <c r="AU26" i="62"/>
  <c r="AW26" i="62"/>
  <c r="AX26" i="62"/>
  <c r="AY26" i="62"/>
  <c r="BA26" i="62"/>
  <c r="BC26" i="62"/>
  <c r="A27" i="62"/>
  <c r="B27" i="62"/>
  <c r="D27" i="62"/>
  <c r="E27" i="62"/>
  <c r="F27" i="62"/>
  <c r="G27" i="62"/>
  <c r="H27" i="62"/>
  <c r="J27" i="62"/>
  <c r="K27" i="62"/>
  <c r="M27" i="62"/>
  <c r="O27" i="62"/>
  <c r="P27" i="62"/>
  <c r="R27" i="62"/>
  <c r="S27" i="62"/>
  <c r="T27" i="62"/>
  <c r="U27" i="62"/>
  <c r="V27" i="62"/>
  <c r="W27" i="62"/>
  <c r="X27" i="62"/>
  <c r="Z27" i="62"/>
  <c r="AA27" i="62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AP27" i="62"/>
  <c r="AQ27" i="62"/>
  <c r="AR27" i="62"/>
  <c r="AS27" i="62"/>
  <c r="AT27" i="62"/>
  <c r="AU27" i="62"/>
  <c r="AW27" i="62"/>
  <c r="AX27" i="62"/>
  <c r="AY27" i="62"/>
  <c r="BA27" i="62"/>
  <c r="BC27" i="62"/>
  <c r="A28" i="62"/>
  <c r="B28" i="62"/>
  <c r="D28" i="62"/>
  <c r="E28" i="62"/>
  <c r="F28" i="62"/>
  <c r="G28" i="62"/>
  <c r="H28" i="62"/>
  <c r="J28" i="62"/>
  <c r="K28" i="62"/>
  <c r="M28" i="62"/>
  <c r="O28" i="62"/>
  <c r="P28" i="62"/>
  <c r="R28" i="62"/>
  <c r="S28" i="62"/>
  <c r="T28" i="62"/>
  <c r="U28" i="62"/>
  <c r="V28" i="62"/>
  <c r="W28" i="62"/>
  <c r="X28" i="62"/>
  <c r="Z28" i="62"/>
  <c r="AA28" i="62"/>
  <c r="AB28" i="62"/>
  <c r="AC28" i="62"/>
  <c r="AD28" i="62"/>
  <c r="AE28" i="62"/>
  <c r="AF28" i="62"/>
  <c r="AG28" i="62"/>
  <c r="AH28" i="62"/>
  <c r="AI28" i="62"/>
  <c r="AJ28" i="62"/>
  <c r="AK28" i="62"/>
  <c r="AL28" i="62"/>
  <c r="AM28" i="62"/>
  <c r="AN28" i="62"/>
  <c r="AO28" i="62"/>
  <c r="AP28" i="62"/>
  <c r="AQ28" i="62"/>
  <c r="AR28" i="62"/>
  <c r="AS28" i="62"/>
  <c r="AT28" i="62"/>
  <c r="AU28" i="62"/>
  <c r="AW28" i="62"/>
  <c r="AX28" i="62"/>
  <c r="AY28" i="62"/>
  <c r="BA28" i="62"/>
  <c r="BC28" i="62"/>
  <c r="A29" i="62"/>
  <c r="B29" i="62"/>
  <c r="D29" i="62"/>
  <c r="E29" i="62"/>
  <c r="F29" i="62"/>
  <c r="G29" i="62"/>
  <c r="H29" i="62"/>
  <c r="J29" i="62"/>
  <c r="K29" i="62"/>
  <c r="M29" i="62"/>
  <c r="O29" i="62"/>
  <c r="P29" i="62"/>
  <c r="R29" i="62"/>
  <c r="S29" i="62"/>
  <c r="T29" i="62"/>
  <c r="U29" i="62"/>
  <c r="V29" i="62"/>
  <c r="W29" i="62"/>
  <c r="X29" i="62"/>
  <c r="Z29" i="62"/>
  <c r="AA29" i="62"/>
  <c r="AB29" i="62"/>
  <c r="AC29" i="62"/>
  <c r="AD29" i="62"/>
  <c r="AE29" i="62"/>
  <c r="AF29" i="62"/>
  <c r="AG29" i="62"/>
  <c r="AH29" i="62"/>
  <c r="AI29" i="62"/>
  <c r="AJ29" i="62"/>
  <c r="AK29" i="62"/>
  <c r="AL29" i="62"/>
  <c r="AM29" i="62"/>
  <c r="AN29" i="62"/>
  <c r="AO29" i="62"/>
  <c r="AP29" i="62"/>
  <c r="AQ29" i="62"/>
  <c r="AR29" i="62"/>
  <c r="AS29" i="62"/>
  <c r="AT29" i="62"/>
  <c r="AU29" i="62"/>
  <c r="AW29" i="62"/>
  <c r="AX29" i="62"/>
  <c r="AY29" i="62"/>
  <c r="BA29" i="62"/>
  <c r="BC29" i="62"/>
  <c r="A30" i="62"/>
  <c r="B30" i="62"/>
  <c r="D30" i="62"/>
  <c r="E30" i="62"/>
  <c r="F30" i="62"/>
  <c r="G30" i="62"/>
  <c r="H30" i="62"/>
  <c r="J30" i="62"/>
  <c r="K30" i="62"/>
  <c r="M30" i="62"/>
  <c r="O30" i="62"/>
  <c r="P30" i="62"/>
  <c r="R30" i="62"/>
  <c r="S30" i="62"/>
  <c r="T30" i="62"/>
  <c r="U30" i="62"/>
  <c r="V30" i="62"/>
  <c r="W30" i="62"/>
  <c r="X30" i="62"/>
  <c r="Z30" i="62"/>
  <c r="AA30" i="62"/>
  <c r="AB30" i="62"/>
  <c r="AC30" i="62"/>
  <c r="AD30" i="62"/>
  <c r="AE30" i="62"/>
  <c r="AF30" i="62"/>
  <c r="AG30" i="62"/>
  <c r="AH30" i="62"/>
  <c r="AI30" i="62"/>
  <c r="AJ30" i="62"/>
  <c r="AK30" i="62"/>
  <c r="AL30" i="62"/>
  <c r="AM30" i="62"/>
  <c r="AN30" i="62"/>
  <c r="AO30" i="62"/>
  <c r="AP30" i="62"/>
  <c r="AQ30" i="62"/>
  <c r="AR30" i="62"/>
  <c r="AS30" i="62"/>
  <c r="AT30" i="62"/>
  <c r="AU30" i="62"/>
  <c r="AW30" i="62"/>
  <c r="AX30" i="62"/>
  <c r="AY30" i="62"/>
  <c r="BA30" i="62"/>
  <c r="BC30" i="62"/>
  <c r="A31" i="62"/>
  <c r="B31" i="62"/>
  <c r="D31" i="62"/>
  <c r="E31" i="62"/>
  <c r="F31" i="62"/>
  <c r="G31" i="62"/>
  <c r="H31" i="62"/>
  <c r="J31" i="62"/>
  <c r="K31" i="62"/>
  <c r="M31" i="62"/>
  <c r="O31" i="62"/>
  <c r="P31" i="62"/>
  <c r="R31" i="62"/>
  <c r="S31" i="62"/>
  <c r="T31" i="62"/>
  <c r="U31" i="62"/>
  <c r="V31" i="62"/>
  <c r="W31" i="62"/>
  <c r="X31" i="62"/>
  <c r="Z31" i="62"/>
  <c r="AA31" i="62"/>
  <c r="AB31" i="62"/>
  <c r="AC31" i="62"/>
  <c r="AD31" i="62"/>
  <c r="AE31" i="62"/>
  <c r="AF31" i="62"/>
  <c r="AG31" i="62"/>
  <c r="AH31" i="62"/>
  <c r="AI31" i="62"/>
  <c r="AJ31" i="62"/>
  <c r="AK31" i="62"/>
  <c r="AL31" i="62"/>
  <c r="AM31" i="62"/>
  <c r="AN31" i="62"/>
  <c r="AO31" i="62"/>
  <c r="AP31" i="62"/>
  <c r="AQ31" i="62"/>
  <c r="AR31" i="62"/>
  <c r="AS31" i="62"/>
  <c r="AT31" i="62"/>
  <c r="AU31" i="62"/>
  <c r="AW31" i="62"/>
  <c r="AX31" i="62"/>
  <c r="AY31" i="62"/>
  <c r="BA31" i="62"/>
  <c r="BC31" i="62"/>
  <c r="A32" i="62"/>
  <c r="B32" i="62"/>
  <c r="D32" i="62"/>
  <c r="E32" i="62"/>
  <c r="F32" i="62"/>
  <c r="G32" i="62"/>
  <c r="H32" i="62"/>
  <c r="J32" i="62"/>
  <c r="K32" i="62"/>
  <c r="M32" i="62"/>
  <c r="O32" i="62"/>
  <c r="P32" i="62"/>
  <c r="R32" i="62"/>
  <c r="S32" i="62"/>
  <c r="T32" i="62"/>
  <c r="U32" i="62"/>
  <c r="V32" i="62"/>
  <c r="W32" i="62"/>
  <c r="X32" i="62"/>
  <c r="Z32" i="62"/>
  <c r="AA32" i="62"/>
  <c r="AB32" i="62"/>
  <c r="AC32" i="62"/>
  <c r="AD32" i="62"/>
  <c r="AE32" i="62"/>
  <c r="AF32" i="62"/>
  <c r="AG32" i="62"/>
  <c r="AH32" i="62"/>
  <c r="AI32" i="62"/>
  <c r="AJ32" i="62"/>
  <c r="AK32" i="62"/>
  <c r="AL32" i="62"/>
  <c r="AM32" i="62"/>
  <c r="AN32" i="62"/>
  <c r="AO32" i="62"/>
  <c r="AP32" i="62"/>
  <c r="AQ32" i="62"/>
  <c r="AR32" i="62"/>
  <c r="AS32" i="62"/>
  <c r="AT32" i="62"/>
  <c r="AU32" i="62"/>
  <c r="AW32" i="62"/>
  <c r="AX32" i="62"/>
  <c r="AY32" i="62"/>
  <c r="BA32" i="62"/>
  <c r="BC32" i="62"/>
  <c r="A33" i="62"/>
  <c r="B33" i="62"/>
  <c r="D33" i="62"/>
  <c r="E33" i="62"/>
  <c r="F33" i="62"/>
  <c r="G33" i="62"/>
  <c r="H33" i="62"/>
  <c r="J33" i="62"/>
  <c r="K33" i="62"/>
  <c r="M33" i="62"/>
  <c r="O33" i="62"/>
  <c r="P33" i="62"/>
  <c r="R33" i="62"/>
  <c r="S33" i="62"/>
  <c r="T33" i="62"/>
  <c r="U33" i="62"/>
  <c r="V33" i="62"/>
  <c r="W33" i="62"/>
  <c r="X33" i="62"/>
  <c r="Z33" i="62"/>
  <c r="AA33" i="62"/>
  <c r="AB33" i="62"/>
  <c r="AC33" i="62"/>
  <c r="AD33" i="62"/>
  <c r="AE33" i="62"/>
  <c r="AF33" i="62"/>
  <c r="AG33" i="62"/>
  <c r="AH33" i="62"/>
  <c r="AI33" i="62"/>
  <c r="AJ33" i="62"/>
  <c r="AK33" i="62"/>
  <c r="AL33" i="62"/>
  <c r="AM33" i="62"/>
  <c r="AN33" i="62"/>
  <c r="AO33" i="62"/>
  <c r="AP33" i="62"/>
  <c r="AQ33" i="62"/>
  <c r="AR33" i="62"/>
  <c r="AS33" i="62"/>
  <c r="AT33" i="62"/>
  <c r="AU33" i="62"/>
  <c r="AW33" i="62"/>
  <c r="AX33" i="62"/>
  <c r="AY33" i="62"/>
  <c r="BA33" i="62"/>
  <c r="BC33" i="62"/>
  <c r="A34" i="62"/>
  <c r="B34" i="62"/>
  <c r="D34" i="62"/>
  <c r="E34" i="62"/>
  <c r="F34" i="62"/>
  <c r="G34" i="62"/>
  <c r="H34" i="62"/>
  <c r="J34" i="62"/>
  <c r="K34" i="62"/>
  <c r="M34" i="62"/>
  <c r="O34" i="62"/>
  <c r="P34" i="62"/>
  <c r="R34" i="62"/>
  <c r="S34" i="62"/>
  <c r="T34" i="62"/>
  <c r="U34" i="62"/>
  <c r="V34" i="62"/>
  <c r="W34" i="62"/>
  <c r="X34" i="62"/>
  <c r="Z34" i="62"/>
  <c r="AA34" i="62"/>
  <c r="AB34" i="62"/>
  <c r="AC34" i="62"/>
  <c r="AD34" i="62"/>
  <c r="AE34" i="62"/>
  <c r="AF34" i="62"/>
  <c r="AG34" i="62"/>
  <c r="AH34" i="62"/>
  <c r="AI34" i="62"/>
  <c r="AJ34" i="62"/>
  <c r="AK34" i="62"/>
  <c r="AL34" i="62"/>
  <c r="AM34" i="62"/>
  <c r="AN34" i="62"/>
  <c r="AO34" i="62"/>
  <c r="AP34" i="62"/>
  <c r="AQ34" i="62"/>
  <c r="AR34" i="62"/>
  <c r="AS34" i="62"/>
  <c r="AT34" i="62"/>
  <c r="AU34" i="62"/>
  <c r="AW34" i="62"/>
  <c r="AX34" i="62"/>
  <c r="AY34" i="62"/>
  <c r="BA34" i="62"/>
  <c r="BC34" i="62"/>
  <c r="A35" i="62"/>
  <c r="B35" i="62"/>
  <c r="D35" i="62"/>
  <c r="E35" i="62"/>
  <c r="F35" i="62"/>
  <c r="G35" i="62"/>
  <c r="H35" i="62"/>
  <c r="J35" i="62"/>
  <c r="K35" i="62"/>
  <c r="M35" i="62"/>
  <c r="O35" i="62"/>
  <c r="P35" i="62"/>
  <c r="R35" i="62"/>
  <c r="S35" i="62"/>
  <c r="T35" i="62"/>
  <c r="U35" i="62"/>
  <c r="V35" i="62"/>
  <c r="W35" i="62"/>
  <c r="X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AP35" i="62"/>
  <c r="AQ35" i="62"/>
  <c r="AR35" i="62"/>
  <c r="AS35" i="62"/>
  <c r="AT35" i="62"/>
  <c r="AU35" i="62"/>
  <c r="AW35" i="62"/>
  <c r="AX35" i="62"/>
  <c r="AY35" i="62"/>
  <c r="BA35" i="62"/>
  <c r="BC35" i="62"/>
  <c r="A36" i="62"/>
  <c r="B36" i="62"/>
  <c r="D36" i="62"/>
  <c r="E36" i="62"/>
  <c r="F36" i="62"/>
  <c r="G36" i="62"/>
  <c r="H36" i="62"/>
  <c r="J36" i="62"/>
  <c r="K36" i="62"/>
  <c r="M36" i="62"/>
  <c r="O36" i="62"/>
  <c r="P36" i="62"/>
  <c r="R36" i="62"/>
  <c r="S36" i="62"/>
  <c r="T36" i="62"/>
  <c r="U36" i="62"/>
  <c r="V36" i="62"/>
  <c r="W36" i="62"/>
  <c r="X36" i="62"/>
  <c r="Z36" i="62"/>
  <c r="AA36" i="62"/>
  <c r="AB36" i="62"/>
  <c r="AC36" i="62"/>
  <c r="AD36" i="62"/>
  <c r="AE36" i="62"/>
  <c r="AF36" i="62"/>
  <c r="AG36" i="62"/>
  <c r="AH36" i="62"/>
  <c r="AI36" i="62"/>
  <c r="AJ36" i="62"/>
  <c r="AK36" i="62"/>
  <c r="AL36" i="62"/>
  <c r="AM36" i="62"/>
  <c r="AN36" i="62"/>
  <c r="AO36" i="62"/>
  <c r="AP36" i="62"/>
  <c r="AQ36" i="62"/>
  <c r="AR36" i="62"/>
  <c r="AS36" i="62"/>
  <c r="AT36" i="62"/>
  <c r="AU36" i="62"/>
  <c r="AW36" i="62"/>
  <c r="AX36" i="62"/>
  <c r="AY36" i="62"/>
  <c r="BA36" i="62"/>
  <c r="BC36" i="62"/>
  <c r="A37" i="62"/>
  <c r="B37" i="62"/>
  <c r="D37" i="62"/>
  <c r="E37" i="62"/>
  <c r="F37" i="62"/>
  <c r="G37" i="62"/>
  <c r="H37" i="62"/>
  <c r="J37" i="62"/>
  <c r="K37" i="62"/>
  <c r="M37" i="62"/>
  <c r="O37" i="62"/>
  <c r="P37" i="62"/>
  <c r="R37" i="62"/>
  <c r="S37" i="62"/>
  <c r="T37" i="62"/>
  <c r="U37" i="62"/>
  <c r="V37" i="62"/>
  <c r="W37" i="62"/>
  <c r="X37" i="62"/>
  <c r="Z37" i="62"/>
  <c r="AA37" i="62"/>
  <c r="AB37" i="62"/>
  <c r="AC37" i="62"/>
  <c r="AD37" i="62"/>
  <c r="AE37" i="62"/>
  <c r="AF37" i="62"/>
  <c r="AG37" i="62"/>
  <c r="AH37" i="62"/>
  <c r="AI37" i="62"/>
  <c r="AJ37" i="62"/>
  <c r="AK37" i="62"/>
  <c r="AL37" i="62"/>
  <c r="AM37" i="62"/>
  <c r="AN37" i="62"/>
  <c r="AO37" i="62"/>
  <c r="AP37" i="62"/>
  <c r="AQ37" i="62"/>
  <c r="AR37" i="62"/>
  <c r="AS37" i="62"/>
  <c r="AT37" i="62"/>
  <c r="AU37" i="62"/>
  <c r="AW37" i="62"/>
  <c r="AX37" i="62"/>
  <c r="AY37" i="62"/>
  <c r="BA37" i="62"/>
  <c r="BC37" i="62"/>
  <c r="A38" i="62"/>
  <c r="B38" i="62"/>
  <c r="D38" i="62"/>
  <c r="E38" i="62"/>
  <c r="F38" i="62"/>
  <c r="G38" i="62"/>
  <c r="H38" i="62"/>
  <c r="J38" i="62"/>
  <c r="K38" i="62"/>
  <c r="M38" i="62"/>
  <c r="O38" i="62"/>
  <c r="P38" i="62"/>
  <c r="R38" i="62"/>
  <c r="S38" i="62"/>
  <c r="T38" i="62"/>
  <c r="U38" i="62"/>
  <c r="V38" i="62"/>
  <c r="W38" i="62"/>
  <c r="X38" i="62"/>
  <c r="Z38" i="62"/>
  <c r="AA38" i="62"/>
  <c r="AB38" i="62"/>
  <c r="AC38" i="62"/>
  <c r="AD38" i="62"/>
  <c r="AE38" i="62"/>
  <c r="AF38" i="62"/>
  <c r="AG38" i="62"/>
  <c r="AH38" i="62"/>
  <c r="AI38" i="62"/>
  <c r="AJ38" i="62"/>
  <c r="AK38" i="62"/>
  <c r="AL38" i="62"/>
  <c r="AM38" i="62"/>
  <c r="AN38" i="62"/>
  <c r="AO38" i="62"/>
  <c r="AP38" i="62"/>
  <c r="AQ38" i="62"/>
  <c r="AR38" i="62"/>
  <c r="AS38" i="62"/>
  <c r="AT38" i="62"/>
  <c r="AU38" i="62"/>
  <c r="AW38" i="62"/>
  <c r="AX38" i="62"/>
  <c r="AY38" i="62"/>
  <c r="BA38" i="62"/>
  <c r="BC38" i="62"/>
  <c r="A39" i="62"/>
  <c r="B39" i="62"/>
  <c r="D39" i="62"/>
  <c r="E39" i="62"/>
  <c r="F39" i="62"/>
  <c r="G39" i="62"/>
  <c r="H39" i="62"/>
  <c r="J39" i="62"/>
  <c r="K39" i="62"/>
  <c r="M39" i="62"/>
  <c r="O39" i="62"/>
  <c r="P39" i="62"/>
  <c r="R39" i="62"/>
  <c r="S39" i="62"/>
  <c r="T39" i="62"/>
  <c r="U39" i="62"/>
  <c r="V39" i="62"/>
  <c r="W39" i="62"/>
  <c r="X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AP39" i="62"/>
  <c r="AQ39" i="62"/>
  <c r="AR39" i="62"/>
  <c r="AS39" i="62"/>
  <c r="AT39" i="62"/>
  <c r="AU39" i="62"/>
  <c r="AW39" i="62"/>
  <c r="AX39" i="62"/>
  <c r="AY39" i="62"/>
  <c r="BA39" i="62"/>
  <c r="BC39" i="62"/>
  <c r="A40" i="62"/>
  <c r="B40" i="62"/>
  <c r="D40" i="62"/>
  <c r="E40" i="62"/>
  <c r="F40" i="62"/>
  <c r="G40" i="62"/>
  <c r="H40" i="62"/>
  <c r="J40" i="62"/>
  <c r="K40" i="62"/>
  <c r="M40" i="62"/>
  <c r="O40" i="62"/>
  <c r="P40" i="62"/>
  <c r="R40" i="62"/>
  <c r="S40" i="62"/>
  <c r="T40" i="62"/>
  <c r="U40" i="62"/>
  <c r="V40" i="62"/>
  <c r="W40" i="62"/>
  <c r="X40" i="62"/>
  <c r="Z40" i="62"/>
  <c r="AA40" i="62"/>
  <c r="AB40" i="62"/>
  <c r="AC40" i="62"/>
  <c r="AD40" i="62"/>
  <c r="AE40" i="62"/>
  <c r="AF40" i="62"/>
  <c r="AG40" i="62"/>
  <c r="AH40" i="62"/>
  <c r="AI40" i="62"/>
  <c r="AJ40" i="62"/>
  <c r="AK40" i="62"/>
  <c r="AL40" i="62"/>
  <c r="AM40" i="62"/>
  <c r="AN40" i="62"/>
  <c r="AO40" i="62"/>
  <c r="AP40" i="62"/>
  <c r="AQ40" i="62"/>
  <c r="AR40" i="62"/>
  <c r="AS40" i="62"/>
  <c r="AT40" i="62"/>
  <c r="AU40" i="62"/>
  <c r="AW40" i="62"/>
  <c r="AX40" i="62"/>
  <c r="AY40" i="62"/>
  <c r="BA40" i="62"/>
  <c r="BC40" i="62"/>
  <c r="A41" i="62"/>
  <c r="B41" i="62"/>
  <c r="D41" i="62"/>
  <c r="E41" i="62"/>
  <c r="F41" i="62"/>
  <c r="G41" i="62"/>
  <c r="H41" i="62"/>
  <c r="J41" i="62"/>
  <c r="K41" i="62"/>
  <c r="M41" i="62"/>
  <c r="O41" i="62"/>
  <c r="P41" i="62"/>
  <c r="R41" i="62"/>
  <c r="S41" i="62"/>
  <c r="T41" i="62"/>
  <c r="U41" i="62"/>
  <c r="V41" i="62"/>
  <c r="W41" i="62"/>
  <c r="X41" i="62"/>
  <c r="Z41" i="62"/>
  <c r="AA41" i="62"/>
  <c r="AB41" i="62"/>
  <c r="AC41" i="62"/>
  <c r="AD41" i="62"/>
  <c r="AE41" i="62"/>
  <c r="AF41" i="62"/>
  <c r="AG41" i="62"/>
  <c r="AH41" i="62"/>
  <c r="AI41" i="62"/>
  <c r="AJ41" i="62"/>
  <c r="AK41" i="62"/>
  <c r="AL41" i="62"/>
  <c r="AM41" i="62"/>
  <c r="AN41" i="62"/>
  <c r="AO41" i="62"/>
  <c r="AP41" i="62"/>
  <c r="AQ41" i="62"/>
  <c r="AR41" i="62"/>
  <c r="AS41" i="62"/>
  <c r="AT41" i="62"/>
  <c r="AU41" i="62"/>
  <c r="AW41" i="62"/>
  <c r="AX41" i="62"/>
  <c r="AY41" i="62"/>
  <c r="BA41" i="62"/>
  <c r="BC41" i="62"/>
  <c r="A42" i="62"/>
  <c r="B42" i="62"/>
  <c r="D42" i="62"/>
  <c r="E42" i="62"/>
  <c r="F42" i="62"/>
  <c r="G42" i="62"/>
  <c r="H42" i="62"/>
  <c r="J42" i="62"/>
  <c r="K42" i="62"/>
  <c r="M42" i="62"/>
  <c r="O42" i="62"/>
  <c r="P42" i="62"/>
  <c r="R42" i="62"/>
  <c r="S42" i="62"/>
  <c r="T42" i="62"/>
  <c r="U42" i="62"/>
  <c r="V42" i="62"/>
  <c r="W42" i="62"/>
  <c r="X42" i="62"/>
  <c r="Z42" i="62"/>
  <c r="AA42" i="62"/>
  <c r="AB42" i="62"/>
  <c r="AC42" i="62"/>
  <c r="AD42" i="62"/>
  <c r="AE42" i="62"/>
  <c r="AF42" i="62"/>
  <c r="AG42" i="62"/>
  <c r="AH42" i="62"/>
  <c r="AI42" i="62"/>
  <c r="AJ42" i="62"/>
  <c r="AK42" i="62"/>
  <c r="AL42" i="62"/>
  <c r="AM42" i="62"/>
  <c r="AN42" i="62"/>
  <c r="AO42" i="62"/>
  <c r="AP42" i="62"/>
  <c r="AQ42" i="62"/>
  <c r="AR42" i="62"/>
  <c r="AS42" i="62"/>
  <c r="AT42" i="62"/>
  <c r="AU42" i="62"/>
  <c r="AW42" i="62"/>
  <c r="AX42" i="62"/>
  <c r="AY42" i="62"/>
  <c r="BA42" i="62"/>
  <c r="BC42" i="62"/>
  <c r="A43" i="62"/>
  <c r="B43" i="62"/>
  <c r="D43" i="62"/>
  <c r="E43" i="62"/>
  <c r="F43" i="62"/>
  <c r="G43" i="62"/>
  <c r="H43" i="62"/>
  <c r="J43" i="62"/>
  <c r="K43" i="62"/>
  <c r="M43" i="62"/>
  <c r="O43" i="62"/>
  <c r="P43" i="62"/>
  <c r="R43" i="62"/>
  <c r="S43" i="62"/>
  <c r="T43" i="62"/>
  <c r="U43" i="62"/>
  <c r="V43" i="62"/>
  <c r="W43" i="62"/>
  <c r="X43" i="62"/>
  <c r="Z43" i="62"/>
  <c r="AA43" i="62"/>
  <c r="AB43" i="62"/>
  <c r="AC43" i="62"/>
  <c r="AD43" i="62"/>
  <c r="AE43" i="62"/>
  <c r="AF43" i="62"/>
  <c r="AG43" i="62"/>
  <c r="AH43" i="62"/>
  <c r="AI43" i="62"/>
  <c r="AJ43" i="62"/>
  <c r="AK43" i="62"/>
  <c r="AL43" i="62"/>
  <c r="AM43" i="62"/>
  <c r="AN43" i="62"/>
  <c r="AO43" i="62"/>
  <c r="AP43" i="62"/>
  <c r="AQ43" i="62"/>
  <c r="AR43" i="62"/>
  <c r="AS43" i="62"/>
  <c r="AT43" i="62"/>
  <c r="AU43" i="62"/>
  <c r="AW43" i="62"/>
  <c r="AX43" i="62"/>
  <c r="AY43" i="62"/>
  <c r="BA43" i="62"/>
  <c r="BC43" i="62"/>
  <c r="A44" i="62"/>
  <c r="B44" i="62"/>
  <c r="D44" i="62"/>
  <c r="E44" i="62"/>
  <c r="F44" i="62"/>
  <c r="G44" i="62"/>
  <c r="H44" i="62"/>
  <c r="J44" i="62"/>
  <c r="K44" i="62"/>
  <c r="M44" i="62"/>
  <c r="O44" i="62"/>
  <c r="P44" i="62"/>
  <c r="R44" i="62"/>
  <c r="S44" i="62"/>
  <c r="T44" i="62"/>
  <c r="U44" i="62"/>
  <c r="V44" i="62"/>
  <c r="W44" i="62"/>
  <c r="X44" i="62"/>
  <c r="Z44" i="62"/>
  <c r="AA44" i="62"/>
  <c r="AB44" i="62"/>
  <c r="AC44" i="62"/>
  <c r="AD44" i="62"/>
  <c r="AE44" i="62"/>
  <c r="AF44" i="62"/>
  <c r="AG44" i="62"/>
  <c r="AH44" i="62"/>
  <c r="AI44" i="62"/>
  <c r="AJ44" i="62"/>
  <c r="AK44" i="62"/>
  <c r="AL44" i="62"/>
  <c r="AM44" i="62"/>
  <c r="AN44" i="62"/>
  <c r="AO44" i="62"/>
  <c r="AP44" i="62"/>
  <c r="AQ44" i="62"/>
  <c r="AR44" i="62"/>
  <c r="AS44" i="62"/>
  <c r="AT44" i="62"/>
  <c r="AU44" i="62"/>
  <c r="AW44" i="62"/>
  <c r="AX44" i="62"/>
  <c r="AY44" i="62"/>
  <c r="BA44" i="62"/>
  <c r="BC44" i="62"/>
  <c r="A45" i="62"/>
  <c r="B45" i="62"/>
  <c r="D45" i="62"/>
  <c r="E45" i="62"/>
  <c r="F45" i="62"/>
  <c r="G45" i="62"/>
  <c r="H45" i="62"/>
  <c r="J45" i="62"/>
  <c r="K45" i="62"/>
  <c r="M45" i="62"/>
  <c r="O45" i="62"/>
  <c r="P45" i="62"/>
  <c r="R45" i="62"/>
  <c r="S45" i="62"/>
  <c r="T45" i="62"/>
  <c r="U45" i="62"/>
  <c r="V45" i="62"/>
  <c r="W45" i="62"/>
  <c r="X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AP45" i="62"/>
  <c r="AQ45" i="62"/>
  <c r="AR45" i="62"/>
  <c r="AS45" i="62"/>
  <c r="AT45" i="62"/>
  <c r="AU45" i="62"/>
  <c r="AW45" i="62"/>
  <c r="AX45" i="62"/>
  <c r="AY45" i="62"/>
  <c r="BA45" i="62"/>
  <c r="BC45" i="62"/>
  <c r="A46" i="62"/>
  <c r="B46" i="62"/>
  <c r="D46" i="62"/>
  <c r="E46" i="62"/>
  <c r="F46" i="62"/>
  <c r="G46" i="62"/>
  <c r="H46" i="62"/>
  <c r="J46" i="62"/>
  <c r="K46" i="62"/>
  <c r="M46" i="62"/>
  <c r="O46" i="62"/>
  <c r="P46" i="62"/>
  <c r="R46" i="62"/>
  <c r="S46" i="62"/>
  <c r="T46" i="62"/>
  <c r="U46" i="62"/>
  <c r="V46" i="62"/>
  <c r="W46" i="62"/>
  <c r="X46" i="62"/>
  <c r="Z46" i="62"/>
  <c r="AA46" i="62"/>
  <c r="AB46" i="62"/>
  <c r="AC46" i="62"/>
  <c r="AD46" i="62"/>
  <c r="AE46" i="62"/>
  <c r="AF46" i="62"/>
  <c r="AG46" i="62"/>
  <c r="AH46" i="62"/>
  <c r="AI46" i="62"/>
  <c r="AJ46" i="62"/>
  <c r="AK46" i="62"/>
  <c r="AL46" i="62"/>
  <c r="AM46" i="62"/>
  <c r="AN46" i="62"/>
  <c r="AO46" i="62"/>
  <c r="AP46" i="62"/>
  <c r="AQ46" i="62"/>
  <c r="AR46" i="62"/>
  <c r="AS46" i="62"/>
  <c r="AT46" i="62"/>
  <c r="AU46" i="62"/>
  <c r="AW46" i="62"/>
  <c r="AX46" i="62"/>
  <c r="AY46" i="62"/>
  <c r="BA46" i="62"/>
  <c r="BC46" i="62"/>
  <c r="A47" i="62"/>
  <c r="B47" i="62"/>
  <c r="D47" i="62"/>
  <c r="E47" i="62"/>
  <c r="F47" i="62"/>
  <c r="G47" i="62"/>
  <c r="H47" i="62"/>
  <c r="J47" i="62"/>
  <c r="K47" i="62"/>
  <c r="M47" i="62"/>
  <c r="O47" i="62"/>
  <c r="P47" i="62"/>
  <c r="R47" i="62"/>
  <c r="S47" i="62"/>
  <c r="T47" i="62"/>
  <c r="U47" i="62"/>
  <c r="V47" i="62"/>
  <c r="W47" i="62"/>
  <c r="X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AP47" i="62"/>
  <c r="AQ47" i="62"/>
  <c r="AR47" i="62"/>
  <c r="AS47" i="62"/>
  <c r="AT47" i="62"/>
  <c r="AU47" i="62"/>
  <c r="AW47" i="62"/>
  <c r="AX47" i="62"/>
  <c r="AY47" i="62"/>
  <c r="BA47" i="62"/>
  <c r="BC47" i="62"/>
  <c r="A48" i="62"/>
  <c r="B48" i="62"/>
  <c r="D48" i="62"/>
  <c r="E48" i="62"/>
  <c r="F48" i="62"/>
  <c r="G48" i="62"/>
  <c r="H48" i="62"/>
  <c r="J48" i="62"/>
  <c r="K48" i="62"/>
  <c r="M48" i="62"/>
  <c r="O48" i="62"/>
  <c r="P48" i="62"/>
  <c r="R48" i="62"/>
  <c r="S48" i="62"/>
  <c r="T48" i="62"/>
  <c r="U48" i="62"/>
  <c r="V48" i="62"/>
  <c r="W48" i="62"/>
  <c r="X48" i="62"/>
  <c r="Z48" i="62"/>
  <c r="AA48" i="62"/>
  <c r="AB48" i="62"/>
  <c r="AC48" i="62"/>
  <c r="AD48" i="62"/>
  <c r="AE48" i="62"/>
  <c r="AF48" i="62"/>
  <c r="AG48" i="62"/>
  <c r="AH48" i="62"/>
  <c r="AI48" i="62"/>
  <c r="AJ48" i="62"/>
  <c r="AK48" i="62"/>
  <c r="AL48" i="62"/>
  <c r="AM48" i="62"/>
  <c r="AN48" i="62"/>
  <c r="AO48" i="62"/>
  <c r="AP48" i="62"/>
  <c r="AQ48" i="62"/>
  <c r="AR48" i="62"/>
  <c r="AS48" i="62"/>
  <c r="AT48" i="62"/>
  <c r="AU48" i="62"/>
  <c r="AW48" i="62"/>
  <c r="AX48" i="62"/>
  <c r="AY48" i="62"/>
  <c r="BA48" i="62"/>
  <c r="BC48" i="62"/>
  <c r="A49" i="62"/>
  <c r="B49" i="62"/>
  <c r="D49" i="62"/>
  <c r="E49" i="62"/>
  <c r="F49" i="62"/>
  <c r="G49" i="62"/>
  <c r="H49" i="62"/>
  <c r="J49" i="62"/>
  <c r="K49" i="62"/>
  <c r="M49" i="62"/>
  <c r="O49" i="62"/>
  <c r="P49" i="62"/>
  <c r="R49" i="62"/>
  <c r="S49" i="62"/>
  <c r="T49" i="62"/>
  <c r="U49" i="62"/>
  <c r="V49" i="62"/>
  <c r="W49" i="62"/>
  <c r="X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AP49" i="62"/>
  <c r="AQ49" i="62"/>
  <c r="AR49" i="62"/>
  <c r="AS49" i="62"/>
  <c r="AT49" i="62"/>
  <c r="AU49" i="62"/>
  <c r="AW49" i="62"/>
  <c r="AX49" i="62"/>
  <c r="AY49" i="62"/>
  <c r="BA49" i="62"/>
  <c r="BC49" i="62"/>
  <c r="A50" i="62"/>
  <c r="B50" i="62"/>
  <c r="D50" i="62"/>
  <c r="E50" i="62"/>
  <c r="F50" i="62"/>
  <c r="G50" i="62"/>
  <c r="H50" i="62"/>
  <c r="J50" i="62"/>
  <c r="K50" i="62"/>
  <c r="M50" i="62"/>
  <c r="O50" i="62"/>
  <c r="P50" i="62"/>
  <c r="R50" i="62"/>
  <c r="S50" i="62"/>
  <c r="T50" i="62"/>
  <c r="U50" i="62"/>
  <c r="V50" i="62"/>
  <c r="W50" i="62"/>
  <c r="X50" i="62"/>
  <c r="Z50" i="62"/>
  <c r="AA50" i="62"/>
  <c r="AB50" i="62"/>
  <c r="AC50" i="62"/>
  <c r="AD50" i="62"/>
  <c r="AE50" i="62"/>
  <c r="AF50" i="62"/>
  <c r="AG50" i="62"/>
  <c r="AH50" i="62"/>
  <c r="AI50" i="62"/>
  <c r="AJ50" i="62"/>
  <c r="AK50" i="62"/>
  <c r="AL50" i="62"/>
  <c r="AM50" i="62"/>
  <c r="AN50" i="62"/>
  <c r="AO50" i="62"/>
  <c r="AP50" i="62"/>
  <c r="AQ50" i="62"/>
  <c r="AR50" i="62"/>
  <c r="AS50" i="62"/>
  <c r="AT50" i="62"/>
  <c r="AU50" i="62"/>
  <c r="AW50" i="62"/>
  <c r="AX50" i="62"/>
  <c r="AY50" i="62"/>
  <c r="BA50" i="62"/>
  <c r="BC50" i="62"/>
  <c r="A51" i="62"/>
  <c r="B51" i="62"/>
  <c r="D51" i="62"/>
  <c r="E51" i="62"/>
  <c r="F51" i="62"/>
  <c r="G51" i="62"/>
  <c r="H51" i="62"/>
  <c r="J51" i="62"/>
  <c r="K51" i="62"/>
  <c r="M51" i="62"/>
  <c r="O51" i="62"/>
  <c r="P51" i="62"/>
  <c r="R51" i="62"/>
  <c r="S51" i="62"/>
  <c r="T51" i="62"/>
  <c r="U51" i="62"/>
  <c r="V51" i="62"/>
  <c r="W51" i="62"/>
  <c r="X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AP51" i="62"/>
  <c r="AQ51" i="62"/>
  <c r="AR51" i="62"/>
  <c r="AS51" i="62"/>
  <c r="AT51" i="62"/>
  <c r="AU51" i="62"/>
  <c r="AW51" i="62"/>
  <c r="AX51" i="62"/>
  <c r="AY51" i="62"/>
  <c r="BA51" i="62"/>
  <c r="BC51" i="62"/>
  <c r="A52" i="62"/>
  <c r="B52" i="62"/>
  <c r="D52" i="62"/>
  <c r="E52" i="62"/>
  <c r="F52" i="62"/>
  <c r="G52" i="62"/>
  <c r="H52" i="62"/>
  <c r="J52" i="62"/>
  <c r="K52" i="62"/>
  <c r="M52" i="62"/>
  <c r="O52" i="62"/>
  <c r="P52" i="62"/>
  <c r="R52" i="62"/>
  <c r="S52" i="62"/>
  <c r="T52" i="62"/>
  <c r="U52" i="62"/>
  <c r="V52" i="62"/>
  <c r="W52" i="62"/>
  <c r="X52" i="62"/>
  <c r="Z52" i="62"/>
  <c r="AA52" i="62"/>
  <c r="AB52" i="62"/>
  <c r="AC52" i="62"/>
  <c r="AD52" i="62"/>
  <c r="AE52" i="62"/>
  <c r="AF52" i="62"/>
  <c r="AG52" i="62"/>
  <c r="AH52" i="62"/>
  <c r="AI52" i="62"/>
  <c r="AJ52" i="62"/>
  <c r="AK52" i="62"/>
  <c r="AL52" i="62"/>
  <c r="AM52" i="62"/>
  <c r="AN52" i="62"/>
  <c r="AO52" i="62"/>
  <c r="AP52" i="62"/>
  <c r="AQ52" i="62"/>
  <c r="AR52" i="62"/>
  <c r="AS52" i="62"/>
  <c r="AT52" i="62"/>
  <c r="AU52" i="62"/>
  <c r="AW52" i="62"/>
  <c r="AX52" i="62"/>
  <c r="AY52" i="62"/>
  <c r="BA52" i="62"/>
  <c r="BC52" i="62"/>
  <c r="A53" i="62"/>
  <c r="B53" i="62"/>
  <c r="D53" i="62"/>
  <c r="E53" i="62"/>
  <c r="F53" i="62"/>
  <c r="G53" i="62"/>
  <c r="H53" i="62"/>
  <c r="J53" i="62"/>
  <c r="K53" i="62"/>
  <c r="M53" i="62"/>
  <c r="O53" i="62"/>
  <c r="P53" i="62"/>
  <c r="R53" i="62"/>
  <c r="S53" i="62"/>
  <c r="T53" i="62"/>
  <c r="U53" i="62"/>
  <c r="V53" i="62"/>
  <c r="W53" i="62"/>
  <c r="X53" i="62"/>
  <c r="Z53" i="62"/>
  <c r="AA53" i="62"/>
  <c r="AB53" i="62"/>
  <c r="AC53" i="62"/>
  <c r="AD53" i="62"/>
  <c r="AE53" i="62"/>
  <c r="AF53" i="62"/>
  <c r="AG53" i="62"/>
  <c r="AH53" i="62"/>
  <c r="AI53" i="62"/>
  <c r="AJ53" i="62"/>
  <c r="AK53" i="62"/>
  <c r="AL53" i="62"/>
  <c r="AM53" i="62"/>
  <c r="AN53" i="62"/>
  <c r="AO53" i="62"/>
  <c r="AP53" i="62"/>
  <c r="AQ53" i="62"/>
  <c r="AR53" i="62"/>
  <c r="AS53" i="62"/>
  <c r="AT53" i="62"/>
  <c r="AU53" i="62"/>
  <c r="AW53" i="62"/>
  <c r="AX53" i="62"/>
  <c r="AY53" i="62"/>
  <c r="BA53" i="62"/>
  <c r="BC53" i="62"/>
  <c r="A54" i="62"/>
  <c r="B54" i="62"/>
  <c r="D54" i="62"/>
  <c r="E54" i="62"/>
  <c r="F54" i="62"/>
  <c r="G54" i="62"/>
  <c r="H54" i="62"/>
  <c r="J54" i="62"/>
  <c r="K54" i="62"/>
  <c r="M54" i="62"/>
  <c r="O54" i="62"/>
  <c r="P54" i="62"/>
  <c r="R54" i="62"/>
  <c r="S54" i="62"/>
  <c r="T54" i="62"/>
  <c r="U54" i="62"/>
  <c r="V54" i="62"/>
  <c r="W54" i="62"/>
  <c r="X54" i="62"/>
  <c r="Z54" i="62"/>
  <c r="AA54" i="62"/>
  <c r="AB54" i="62"/>
  <c r="AC54" i="62"/>
  <c r="AD54" i="62"/>
  <c r="AE54" i="62"/>
  <c r="AF54" i="62"/>
  <c r="AG54" i="62"/>
  <c r="AH54" i="62"/>
  <c r="AI54" i="62"/>
  <c r="AJ54" i="62"/>
  <c r="AK54" i="62"/>
  <c r="AL54" i="62"/>
  <c r="AM54" i="62"/>
  <c r="AN54" i="62"/>
  <c r="AO54" i="62"/>
  <c r="AP54" i="62"/>
  <c r="AQ54" i="62"/>
  <c r="AR54" i="62"/>
  <c r="AS54" i="62"/>
  <c r="AT54" i="62"/>
  <c r="AU54" i="62"/>
  <c r="AW54" i="62"/>
  <c r="AX54" i="62"/>
  <c r="AY54" i="62"/>
  <c r="BA54" i="62"/>
  <c r="BC54" i="62"/>
  <c r="A55" i="62"/>
  <c r="B55" i="62"/>
  <c r="D55" i="62"/>
  <c r="E55" i="62"/>
  <c r="F55" i="62"/>
  <c r="G55" i="62"/>
  <c r="H55" i="62"/>
  <c r="J55" i="62"/>
  <c r="K55" i="62"/>
  <c r="M55" i="62"/>
  <c r="O55" i="62"/>
  <c r="P55" i="62"/>
  <c r="R55" i="62"/>
  <c r="S55" i="62"/>
  <c r="T55" i="62"/>
  <c r="U55" i="62"/>
  <c r="V55" i="62"/>
  <c r="W55" i="62"/>
  <c r="X55" i="62"/>
  <c r="Z55" i="62"/>
  <c r="AA55" i="62"/>
  <c r="AB55" i="62"/>
  <c r="AC55" i="62"/>
  <c r="AD55" i="62"/>
  <c r="AE55" i="62"/>
  <c r="AF55" i="62"/>
  <c r="AG55" i="62"/>
  <c r="AH55" i="62"/>
  <c r="AI55" i="62"/>
  <c r="AJ55" i="62"/>
  <c r="AK55" i="62"/>
  <c r="AL55" i="62"/>
  <c r="AM55" i="62"/>
  <c r="AN55" i="62"/>
  <c r="AO55" i="62"/>
  <c r="AP55" i="62"/>
  <c r="AQ55" i="62"/>
  <c r="AR55" i="62"/>
  <c r="AS55" i="62"/>
  <c r="AT55" i="62"/>
  <c r="AU55" i="62"/>
  <c r="AW55" i="62"/>
  <c r="AX55" i="62"/>
  <c r="AY55" i="62"/>
  <c r="BA55" i="62"/>
  <c r="BC55" i="62"/>
  <c r="A56" i="62"/>
  <c r="B56" i="62"/>
  <c r="D56" i="62"/>
  <c r="E56" i="62"/>
  <c r="F56" i="62"/>
  <c r="G56" i="62"/>
  <c r="H56" i="62"/>
  <c r="J56" i="62"/>
  <c r="K56" i="62"/>
  <c r="M56" i="62"/>
  <c r="O56" i="62"/>
  <c r="P56" i="62"/>
  <c r="R56" i="62"/>
  <c r="S56" i="62"/>
  <c r="T56" i="62"/>
  <c r="U56" i="62"/>
  <c r="V56" i="62"/>
  <c r="W56" i="62"/>
  <c r="X56" i="62"/>
  <c r="Z56" i="62"/>
  <c r="AA56" i="62"/>
  <c r="AB56" i="62"/>
  <c r="AC56" i="62"/>
  <c r="AD56" i="62"/>
  <c r="AE56" i="62"/>
  <c r="AF56" i="62"/>
  <c r="AG56" i="62"/>
  <c r="AH56" i="62"/>
  <c r="AI56" i="62"/>
  <c r="AJ56" i="62"/>
  <c r="AK56" i="62"/>
  <c r="AL56" i="62"/>
  <c r="AM56" i="62"/>
  <c r="AN56" i="62"/>
  <c r="AO56" i="62"/>
  <c r="AP56" i="62"/>
  <c r="AQ56" i="62"/>
  <c r="AR56" i="62"/>
  <c r="AS56" i="62"/>
  <c r="AT56" i="62"/>
  <c r="AU56" i="62"/>
  <c r="AW56" i="62"/>
  <c r="AX56" i="62"/>
  <c r="AY56" i="62"/>
  <c r="BA56" i="62"/>
  <c r="BC56" i="62"/>
  <c r="A57" i="62"/>
  <c r="B57" i="62"/>
  <c r="D57" i="62"/>
  <c r="E57" i="62"/>
  <c r="F57" i="62"/>
  <c r="G57" i="62"/>
  <c r="H57" i="62"/>
  <c r="J57" i="62"/>
  <c r="K57" i="62"/>
  <c r="M57" i="62"/>
  <c r="O57" i="62"/>
  <c r="P57" i="62"/>
  <c r="R57" i="62"/>
  <c r="S57" i="62"/>
  <c r="T57" i="62"/>
  <c r="U57" i="62"/>
  <c r="V57" i="62"/>
  <c r="W57" i="62"/>
  <c r="X57" i="62"/>
  <c r="Z57" i="62"/>
  <c r="AA57" i="62"/>
  <c r="AB57" i="62"/>
  <c r="AC57" i="62"/>
  <c r="AD57" i="62"/>
  <c r="AE57" i="62"/>
  <c r="AF57" i="62"/>
  <c r="AG57" i="62"/>
  <c r="AH57" i="62"/>
  <c r="AI57" i="62"/>
  <c r="AJ57" i="62"/>
  <c r="AK57" i="62"/>
  <c r="AL57" i="62"/>
  <c r="AM57" i="62"/>
  <c r="AN57" i="62"/>
  <c r="AO57" i="62"/>
  <c r="AP57" i="62"/>
  <c r="AQ57" i="62"/>
  <c r="AR57" i="62"/>
  <c r="AS57" i="62"/>
  <c r="AT57" i="62"/>
  <c r="AU57" i="62"/>
  <c r="AW57" i="62"/>
  <c r="AX57" i="62"/>
  <c r="AY57" i="62"/>
  <c r="BA57" i="62"/>
  <c r="BC57" i="62"/>
  <c r="A58" i="62"/>
  <c r="B58" i="62"/>
  <c r="D58" i="62"/>
  <c r="E58" i="62"/>
  <c r="F58" i="62"/>
  <c r="G58" i="62"/>
  <c r="H58" i="62"/>
  <c r="J58" i="62"/>
  <c r="K58" i="62"/>
  <c r="M58" i="62"/>
  <c r="O58" i="62"/>
  <c r="P58" i="62"/>
  <c r="R58" i="62"/>
  <c r="S58" i="62"/>
  <c r="T58" i="62"/>
  <c r="U58" i="62"/>
  <c r="V58" i="62"/>
  <c r="W58" i="62"/>
  <c r="X58" i="62"/>
  <c r="Z58" i="62"/>
  <c r="AA58" i="62"/>
  <c r="AB58" i="62"/>
  <c r="AC58" i="62"/>
  <c r="AD58" i="62"/>
  <c r="AE58" i="62"/>
  <c r="AF58" i="62"/>
  <c r="AG58" i="62"/>
  <c r="AH58" i="62"/>
  <c r="AI58" i="62"/>
  <c r="AJ58" i="62"/>
  <c r="AK58" i="62"/>
  <c r="AL58" i="62"/>
  <c r="AM58" i="62"/>
  <c r="AN58" i="62"/>
  <c r="AO58" i="62"/>
  <c r="AP58" i="62"/>
  <c r="AQ58" i="62"/>
  <c r="AR58" i="62"/>
  <c r="AS58" i="62"/>
  <c r="AT58" i="62"/>
  <c r="AU58" i="62"/>
  <c r="AW58" i="62"/>
  <c r="AX58" i="62"/>
  <c r="AY58" i="62"/>
  <c r="BA58" i="62"/>
  <c r="BC58" i="62"/>
  <c r="A59" i="62"/>
  <c r="B59" i="62"/>
  <c r="D59" i="62"/>
  <c r="E59" i="62"/>
  <c r="F59" i="62"/>
  <c r="G59" i="62"/>
  <c r="H59" i="62"/>
  <c r="J59" i="62"/>
  <c r="K59" i="62"/>
  <c r="M59" i="62"/>
  <c r="O59" i="62"/>
  <c r="P59" i="62"/>
  <c r="R59" i="62"/>
  <c r="S59" i="62"/>
  <c r="T59" i="62"/>
  <c r="U59" i="62"/>
  <c r="V59" i="62"/>
  <c r="W59" i="62"/>
  <c r="X59" i="62"/>
  <c r="Z59" i="62"/>
  <c r="AA59" i="62"/>
  <c r="AB59" i="62"/>
  <c r="AC59" i="62"/>
  <c r="AD59" i="62"/>
  <c r="AE59" i="62"/>
  <c r="AF59" i="62"/>
  <c r="AG59" i="62"/>
  <c r="AH59" i="62"/>
  <c r="AI59" i="62"/>
  <c r="AJ59" i="62"/>
  <c r="AK59" i="62"/>
  <c r="AL59" i="62"/>
  <c r="AM59" i="62"/>
  <c r="AN59" i="62"/>
  <c r="AO59" i="62"/>
  <c r="AP59" i="62"/>
  <c r="AQ59" i="62"/>
  <c r="AR59" i="62"/>
  <c r="AS59" i="62"/>
  <c r="AT59" i="62"/>
  <c r="AU59" i="62"/>
  <c r="AW59" i="62"/>
  <c r="AX59" i="62"/>
  <c r="AY59" i="62"/>
  <c r="BA59" i="62"/>
  <c r="BC59" i="62"/>
  <c r="A60" i="62"/>
  <c r="B60" i="62"/>
  <c r="D60" i="62"/>
  <c r="E60" i="62"/>
  <c r="F60" i="62"/>
  <c r="G60" i="62"/>
  <c r="H60" i="62"/>
  <c r="J60" i="62"/>
  <c r="K60" i="62"/>
  <c r="M60" i="62"/>
  <c r="O60" i="62"/>
  <c r="P60" i="62"/>
  <c r="R60" i="62"/>
  <c r="S60" i="62"/>
  <c r="T60" i="62"/>
  <c r="U60" i="62"/>
  <c r="V60" i="62"/>
  <c r="W60" i="62"/>
  <c r="X60" i="62"/>
  <c r="Z60" i="62"/>
  <c r="AA60" i="62"/>
  <c r="AB60" i="62"/>
  <c r="AC60" i="62"/>
  <c r="AD60" i="62"/>
  <c r="AE60" i="62"/>
  <c r="AF60" i="62"/>
  <c r="AG60" i="62"/>
  <c r="AH60" i="62"/>
  <c r="AI60" i="62"/>
  <c r="AJ60" i="62"/>
  <c r="AK60" i="62"/>
  <c r="AL60" i="62"/>
  <c r="AM60" i="62"/>
  <c r="AN60" i="62"/>
  <c r="AO60" i="62"/>
  <c r="AP60" i="62"/>
  <c r="AQ60" i="62"/>
  <c r="AR60" i="62"/>
  <c r="AS60" i="62"/>
  <c r="AT60" i="62"/>
  <c r="AU60" i="62"/>
  <c r="AW60" i="62"/>
  <c r="AX60" i="62"/>
  <c r="AY60" i="62"/>
  <c r="BA60" i="62"/>
  <c r="BC60" i="62"/>
  <c r="A61" i="62"/>
  <c r="B61" i="62"/>
  <c r="D61" i="62"/>
  <c r="E61" i="62"/>
  <c r="F61" i="62"/>
  <c r="G61" i="62"/>
  <c r="H61" i="62"/>
  <c r="J61" i="62"/>
  <c r="K61" i="62"/>
  <c r="M61" i="62"/>
  <c r="O61" i="62"/>
  <c r="P61" i="62"/>
  <c r="R61" i="62"/>
  <c r="S61" i="62"/>
  <c r="T61" i="62"/>
  <c r="U61" i="62"/>
  <c r="V61" i="62"/>
  <c r="W61" i="62"/>
  <c r="X61" i="62"/>
  <c r="Z61" i="62"/>
  <c r="AA61" i="62"/>
  <c r="AB61" i="62"/>
  <c r="AC61" i="62"/>
  <c r="AD61" i="62"/>
  <c r="AE61" i="62"/>
  <c r="AF61" i="62"/>
  <c r="AG61" i="62"/>
  <c r="AH61" i="62"/>
  <c r="AI61" i="62"/>
  <c r="AJ61" i="62"/>
  <c r="AK61" i="62"/>
  <c r="AL61" i="62"/>
  <c r="AM61" i="62"/>
  <c r="AN61" i="62"/>
  <c r="AO61" i="62"/>
  <c r="AP61" i="62"/>
  <c r="AQ61" i="62"/>
  <c r="AR61" i="62"/>
  <c r="AS61" i="62"/>
  <c r="AT61" i="62"/>
  <c r="AU61" i="62"/>
  <c r="AW61" i="62"/>
  <c r="AX61" i="62"/>
  <c r="AY61" i="62"/>
  <c r="BA61" i="62"/>
  <c r="BC61" i="62"/>
  <c r="A62" i="62"/>
  <c r="B62" i="62"/>
  <c r="D62" i="62"/>
  <c r="E62" i="62"/>
  <c r="F62" i="62"/>
  <c r="G62" i="62"/>
  <c r="H62" i="62"/>
  <c r="J62" i="62"/>
  <c r="K62" i="62"/>
  <c r="M62" i="62"/>
  <c r="O62" i="62"/>
  <c r="P62" i="62"/>
  <c r="R62" i="62"/>
  <c r="S62" i="62"/>
  <c r="T62" i="62"/>
  <c r="U62" i="62"/>
  <c r="V62" i="62"/>
  <c r="W62" i="62"/>
  <c r="X62" i="62"/>
  <c r="Z62" i="62"/>
  <c r="AA62" i="62"/>
  <c r="AB62" i="62"/>
  <c r="AC62" i="62"/>
  <c r="AD62" i="62"/>
  <c r="AE62" i="62"/>
  <c r="AF62" i="62"/>
  <c r="AG62" i="62"/>
  <c r="AH62" i="62"/>
  <c r="AI62" i="62"/>
  <c r="AJ62" i="62"/>
  <c r="AK62" i="62"/>
  <c r="AL62" i="62"/>
  <c r="AM62" i="62"/>
  <c r="AN62" i="62"/>
  <c r="AO62" i="62"/>
  <c r="AP62" i="62"/>
  <c r="AQ62" i="62"/>
  <c r="AR62" i="62"/>
  <c r="AS62" i="62"/>
  <c r="AT62" i="62"/>
  <c r="AU62" i="62"/>
  <c r="AW62" i="62"/>
  <c r="AX62" i="62"/>
  <c r="AY62" i="62"/>
  <c r="BA62" i="62"/>
  <c r="BC62" i="62"/>
  <c r="A63" i="62"/>
  <c r="B63" i="62"/>
  <c r="D63" i="62"/>
  <c r="E63" i="62"/>
  <c r="F63" i="62"/>
  <c r="G63" i="62"/>
  <c r="H63" i="62"/>
  <c r="J63" i="62"/>
  <c r="K63" i="62"/>
  <c r="M63" i="62"/>
  <c r="O63" i="62"/>
  <c r="P63" i="62"/>
  <c r="R63" i="62"/>
  <c r="S63" i="62"/>
  <c r="T63" i="62"/>
  <c r="U63" i="62"/>
  <c r="V63" i="62"/>
  <c r="W63" i="62"/>
  <c r="X63" i="62"/>
  <c r="Z63" i="62"/>
  <c r="AA63" i="62"/>
  <c r="AB63" i="62"/>
  <c r="AC63" i="62"/>
  <c r="AD63" i="62"/>
  <c r="AE63" i="62"/>
  <c r="AF63" i="62"/>
  <c r="AG63" i="62"/>
  <c r="AH63" i="62"/>
  <c r="AI63" i="62"/>
  <c r="AJ63" i="62"/>
  <c r="AK63" i="62"/>
  <c r="AL63" i="62"/>
  <c r="AM63" i="62"/>
  <c r="AN63" i="62"/>
  <c r="AO63" i="62"/>
  <c r="AP63" i="62"/>
  <c r="AQ63" i="62"/>
  <c r="AR63" i="62"/>
  <c r="AS63" i="62"/>
  <c r="AT63" i="62"/>
  <c r="AU63" i="62"/>
  <c r="AW63" i="62"/>
  <c r="AX63" i="62"/>
  <c r="AY63" i="62"/>
  <c r="BA63" i="62"/>
  <c r="BC63" i="62"/>
  <c r="A64" i="62"/>
  <c r="B64" i="62"/>
  <c r="D64" i="62"/>
  <c r="E64" i="62"/>
  <c r="F64" i="62"/>
  <c r="G64" i="62"/>
  <c r="H64" i="62"/>
  <c r="J64" i="62"/>
  <c r="K64" i="62"/>
  <c r="M64" i="62"/>
  <c r="O64" i="62"/>
  <c r="P64" i="62"/>
  <c r="R64" i="62"/>
  <c r="S64" i="62"/>
  <c r="T64" i="62"/>
  <c r="U64" i="62"/>
  <c r="V64" i="62"/>
  <c r="W64" i="62"/>
  <c r="X64" i="62"/>
  <c r="Z64" i="62"/>
  <c r="AA64" i="62"/>
  <c r="AB64" i="62"/>
  <c r="AC64" i="62"/>
  <c r="AD64" i="62"/>
  <c r="AE64" i="62"/>
  <c r="AF64" i="62"/>
  <c r="AG64" i="62"/>
  <c r="AH64" i="62"/>
  <c r="AI64" i="62"/>
  <c r="AJ64" i="62"/>
  <c r="AK64" i="62"/>
  <c r="AL64" i="62"/>
  <c r="AM64" i="62"/>
  <c r="AN64" i="62"/>
  <c r="AO64" i="62"/>
  <c r="AP64" i="62"/>
  <c r="AQ64" i="62"/>
  <c r="AR64" i="62"/>
  <c r="AS64" i="62"/>
  <c r="AT64" i="62"/>
  <c r="AU64" i="62"/>
  <c r="AW64" i="62"/>
  <c r="AX64" i="62"/>
  <c r="AY64" i="62"/>
  <c r="BA64" i="62"/>
  <c r="BC64" i="62"/>
  <c r="A65" i="62"/>
  <c r="B65" i="62"/>
  <c r="D65" i="62"/>
  <c r="E65" i="62"/>
  <c r="F65" i="62"/>
  <c r="G65" i="62"/>
  <c r="H65" i="62"/>
  <c r="J65" i="62"/>
  <c r="K65" i="62"/>
  <c r="M65" i="62"/>
  <c r="O65" i="62"/>
  <c r="P65" i="62"/>
  <c r="R65" i="62"/>
  <c r="S65" i="62"/>
  <c r="T65" i="62"/>
  <c r="U65" i="62"/>
  <c r="V65" i="62"/>
  <c r="W65" i="62"/>
  <c r="X65" i="62"/>
  <c r="Z65" i="62"/>
  <c r="AA65" i="62"/>
  <c r="AB65" i="62"/>
  <c r="AC65" i="62"/>
  <c r="AD65" i="62"/>
  <c r="AE65" i="62"/>
  <c r="AF65" i="62"/>
  <c r="AG65" i="62"/>
  <c r="AH65" i="62"/>
  <c r="AI65" i="62"/>
  <c r="AJ65" i="62"/>
  <c r="AK65" i="62"/>
  <c r="AL65" i="62"/>
  <c r="AM65" i="62"/>
  <c r="AN65" i="62"/>
  <c r="AO65" i="62"/>
  <c r="AP65" i="62"/>
  <c r="AQ65" i="62"/>
  <c r="AR65" i="62"/>
  <c r="AS65" i="62"/>
  <c r="AT65" i="62"/>
  <c r="AU65" i="62"/>
  <c r="AW65" i="62"/>
  <c r="AX65" i="62"/>
  <c r="AY65" i="62"/>
  <c r="BA65" i="62"/>
  <c r="BC65" i="62"/>
  <c r="A66" i="62"/>
  <c r="B66" i="62"/>
  <c r="D66" i="62"/>
  <c r="E66" i="62"/>
  <c r="F66" i="62"/>
  <c r="G66" i="62"/>
  <c r="H66" i="62"/>
  <c r="J66" i="62"/>
  <c r="K66" i="62"/>
  <c r="M66" i="62"/>
  <c r="O66" i="62"/>
  <c r="P66" i="62"/>
  <c r="R66" i="62"/>
  <c r="S66" i="62"/>
  <c r="T66" i="62"/>
  <c r="U66" i="62"/>
  <c r="V66" i="62"/>
  <c r="W66" i="62"/>
  <c r="X66" i="62"/>
  <c r="Z66" i="62"/>
  <c r="AA66" i="62"/>
  <c r="AB66" i="62"/>
  <c r="AC66" i="62"/>
  <c r="AD66" i="62"/>
  <c r="AE66" i="62"/>
  <c r="AF66" i="62"/>
  <c r="AG66" i="62"/>
  <c r="AH66" i="62"/>
  <c r="AI66" i="62"/>
  <c r="AJ66" i="62"/>
  <c r="AK66" i="62"/>
  <c r="AL66" i="62"/>
  <c r="AM66" i="62"/>
  <c r="AN66" i="62"/>
  <c r="AO66" i="62"/>
  <c r="AP66" i="62"/>
  <c r="AQ66" i="62"/>
  <c r="AR66" i="62"/>
  <c r="AS66" i="62"/>
  <c r="AT66" i="62"/>
  <c r="AU66" i="62"/>
  <c r="AW66" i="62"/>
  <c r="AX66" i="62"/>
  <c r="AY66" i="62"/>
  <c r="BA66" i="62"/>
  <c r="BC66" i="62"/>
  <c r="A67" i="62"/>
  <c r="B67" i="62"/>
  <c r="D67" i="62"/>
  <c r="E67" i="62"/>
  <c r="F67" i="62"/>
  <c r="G67" i="62"/>
  <c r="H67" i="62"/>
  <c r="J67" i="62"/>
  <c r="K67" i="62"/>
  <c r="M67" i="62"/>
  <c r="O67" i="62"/>
  <c r="P67" i="62"/>
  <c r="R67" i="62"/>
  <c r="S67" i="62"/>
  <c r="T67" i="62"/>
  <c r="U67" i="62"/>
  <c r="V67" i="62"/>
  <c r="W67" i="62"/>
  <c r="X67" i="62"/>
  <c r="Z67" i="62"/>
  <c r="AA67" i="62"/>
  <c r="AB67" i="62"/>
  <c r="AC67" i="62"/>
  <c r="AD67" i="62"/>
  <c r="AE67" i="62"/>
  <c r="AF67" i="62"/>
  <c r="AG67" i="62"/>
  <c r="AH67" i="62"/>
  <c r="AI67" i="62"/>
  <c r="AJ67" i="62"/>
  <c r="AK67" i="62"/>
  <c r="AL67" i="62"/>
  <c r="AM67" i="62"/>
  <c r="AN67" i="62"/>
  <c r="AO67" i="62"/>
  <c r="AP67" i="62"/>
  <c r="AQ67" i="62"/>
  <c r="AR67" i="62"/>
  <c r="AS67" i="62"/>
  <c r="AT67" i="62"/>
  <c r="AU67" i="62"/>
  <c r="AW67" i="62"/>
  <c r="AX67" i="62"/>
  <c r="AY67" i="62"/>
  <c r="BA67" i="62"/>
  <c r="BC67" i="62"/>
  <c r="A68" i="62"/>
  <c r="B68" i="62"/>
  <c r="D68" i="62"/>
  <c r="E68" i="62"/>
  <c r="F68" i="62"/>
  <c r="G68" i="62"/>
  <c r="H68" i="62"/>
  <c r="J68" i="62"/>
  <c r="K68" i="62"/>
  <c r="M68" i="62"/>
  <c r="O68" i="62"/>
  <c r="P68" i="62"/>
  <c r="R68" i="62"/>
  <c r="S68" i="62"/>
  <c r="T68" i="62"/>
  <c r="U68" i="62"/>
  <c r="V68" i="62"/>
  <c r="W68" i="62"/>
  <c r="X68" i="62"/>
  <c r="Z68" i="62"/>
  <c r="AA68" i="62"/>
  <c r="AB68" i="62"/>
  <c r="AC68" i="62"/>
  <c r="AD68" i="62"/>
  <c r="AE68" i="62"/>
  <c r="AF68" i="62"/>
  <c r="AG68" i="62"/>
  <c r="AH68" i="62"/>
  <c r="AI68" i="62"/>
  <c r="AJ68" i="62"/>
  <c r="AK68" i="62"/>
  <c r="AL68" i="62"/>
  <c r="AM68" i="62"/>
  <c r="AN68" i="62"/>
  <c r="AO68" i="62"/>
  <c r="AP68" i="62"/>
  <c r="AQ68" i="62"/>
  <c r="AR68" i="62"/>
  <c r="AS68" i="62"/>
  <c r="AT68" i="62"/>
  <c r="AU68" i="62"/>
  <c r="AW68" i="62"/>
  <c r="AX68" i="62"/>
  <c r="AY68" i="62"/>
  <c r="BA68" i="62"/>
  <c r="BC68" i="62"/>
  <c r="A69" i="62"/>
  <c r="B69" i="62"/>
  <c r="D69" i="62"/>
  <c r="E69" i="62"/>
  <c r="F69" i="62"/>
  <c r="G69" i="62"/>
  <c r="H69" i="62"/>
  <c r="J69" i="62"/>
  <c r="K69" i="62"/>
  <c r="M69" i="62"/>
  <c r="O69" i="62"/>
  <c r="P69" i="62"/>
  <c r="R69" i="62"/>
  <c r="S69" i="62"/>
  <c r="T69" i="62"/>
  <c r="U69" i="62"/>
  <c r="V69" i="62"/>
  <c r="W69" i="62"/>
  <c r="X69" i="62"/>
  <c r="Z69" i="62"/>
  <c r="AA69" i="62"/>
  <c r="AB69" i="62"/>
  <c r="AC69" i="62"/>
  <c r="AD69" i="62"/>
  <c r="AE69" i="62"/>
  <c r="AF69" i="62"/>
  <c r="AG69" i="62"/>
  <c r="AH69" i="62"/>
  <c r="AI69" i="62"/>
  <c r="AJ69" i="62"/>
  <c r="AK69" i="62"/>
  <c r="AL69" i="62"/>
  <c r="AM69" i="62"/>
  <c r="AN69" i="62"/>
  <c r="AO69" i="62"/>
  <c r="AP69" i="62"/>
  <c r="AQ69" i="62"/>
  <c r="AR69" i="62"/>
  <c r="AS69" i="62"/>
  <c r="AT69" i="62"/>
  <c r="AU69" i="62"/>
  <c r="AW69" i="62"/>
  <c r="AX69" i="62"/>
  <c r="AY69" i="62"/>
  <c r="BA69" i="62"/>
  <c r="BC69" i="62"/>
  <c r="A70" i="62"/>
  <c r="B70" i="62"/>
  <c r="D70" i="62"/>
  <c r="E70" i="62"/>
  <c r="F70" i="62"/>
  <c r="G70" i="62"/>
  <c r="H70" i="62"/>
  <c r="J70" i="62"/>
  <c r="K70" i="62"/>
  <c r="M70" i="62"/>
  <c r="O70" i="62"/>
  <c r="P70" i="62"/>
  <c r="R70" i="62"/>
  <c r="S70" i="62"/>
  <c r="T70" i="62"/>
  <c r="U70" i="62"/>
  <c r="V70" i="62"/>
  <c r="W70" i="62"/>
  <c r="X70" i="62"/>
  <c r="Z70" i="62"/>
  <c r="AA70" i="62"/>
  <c r="AB70" i="62"/>
  <c r="AC70" i="62"/>
  <c r="AD70" i="62"/>
  <c r="AE70" i="62"/>
  <c r="AF70" i="62"/>
  <c r="AG70" i="62"/>
  <c r="AH70" i="62"/>
  <c r="AI70" i="62"/>
  <c r="AJ70" i="62"/>
  <c r="AK70" i="62"/>
  <c r="AL70" i="62"/>
  <c r="AM70" i="62"/>
  <c r="AN70" i="62"/>
  <c r="AO70" i="62"/>
  <c r="AP70" i="62"/>
  <c r="AQ70" i="62"/>
  <c r="AR70" i="62"/>
  <c r="AS70" i="62"/>
  <c r="AT70" i="62"/>
  <c r="AU70" i="62"/>
  <c r="AW70" i="62"/>
  <c r="AX70" i="62"/>
  <c r="AY70" i="62"/>
  <c r="BA70" i="62"/>
  <c r="BC70" i="62"/>
  <c r="A71" i="62"/>
  <c r="B71" i="62"/>
  <c r="D71" i="62"/>
  <c r="E71" i="62"/>
  <c r="F71" i="62"/>
  <c r="G71" i="62"/>
  <c r="H71" i="62"/>
  <c r="J71" i="62"/>
  <c r="K71" i="62"/>
  <c r="M71" i="62"/>
  <c r="O71" i="62"/>
  <c r="P71" i="62"/>
  <c r="R71" i="62"/>
  <c r="S71" i="62"/>
  <c r="T71" i="62"/>
  <c r="U71" i="62"/>
  <c r="V71" i="62"/>
  <c r="W71" i="62"/>
  <c r="X71" i="62"/>
  <c r="Z71" i="62"/>
  <c r="AA71" i="62"/>
  <c r="AB71" i="62"/>
  <c r="AC71" i="62"/>
  <c r="AD71" i="62"/>
  <c r="AE71" i="62"/>
  <c r="AF71" i="62"/>
  <c r="AG71" i="62"/>
  <c r="AH71" i="62"/>
  <c r="AI71" i="62"/>
  <c r="AJ71" i="62"/>
  <c r="AK71" i="62"/>
  <c r="AL71" i="62"/>
  <c r="AM71" i="62"/>
  <c r="AN71" i="62"/>
  <c r="AO71" i="62"/>
  <c r="AP71" i="62"/>
  <c r="AQ71" i="62"/>
  <c r="AR71" i="62"/>
  <c r="AS71" i="62"/>
  <c r="AT71" i="62"/>
  <c r="AU71" i="62"/>
  <c r="AW71" i="62"/>
  <c r="AX71" i="62"/>
  <c r="AY71" i="62"/>
  <c r="BA71" i="62"/>
  <c r="BC71" i="62"/>
  <c r="A72" i="62"/>
  <c r="B72" i="62"/>
  <c r="D72" i="62"/>
  <c r="E72" i="62"/>
  <c r="F72" i="62"/>
  <c r="G72" i="62"/>
  <c r="H72" i="62"/>
  <c r="J72" i="62"/>
  <c r="K72" i="62"/>
  <c r="M72" i="62"/>
  <c r="O72" i="62"/>
  <c r="P72" i="62"/>
  <c r="R72" i="62"/>
  <c r="S72" i="62"/>
  <c r="T72" i="62"/>
  <c r="U72" i="62"/>
  <c r="V72" i="62"/>
  <c r="W72" i="62"/>
  <c r="X72" i="62"/>
  <c r="Z72" i="62"/>
  <c r="AA72" i="62"/>
  <c r="AB72" i="62"/>
  <c r="AC72" i="62"/>
  <c r="AD72" i="62"/>
  <c r="AE72" i="62"/>
  <c r="AF72" i="62"/>
  <c r="AG72" i="62"/>
  <c r="AH72" i="62"/>
  <c r="AI72" i="62"/>
  <c r="AJ72" i="62"/>
  <c r="AK72" i="62"/>
  <c r="AL72" i="62"/>
  <c r="AM72" i="62"/>
  <c r="AN72" i="62"/>
  <c r="AO72" i="62"/>
  <c r="AP72" i="62"/>
  <c r="AQ72" i="62"/>
  <c r="AR72" i="62"/>
  <c r="AS72" i="62"/>
  <c r="AT72" i="62"/>
  <c r="AU72" i="62"/>
  <c r="AW72" i="62"/>
  <c r="AX72" i="62"/>
  <c r="AY72" i="62"/>
  <c r="BA72" i="62"/>
  <c r="BC72" i="62"/>
  <c r="A73" i="62"/>
  <c r="B73" i="62"/>
  <c r="D73" i="62"/>
  <c r="E73" i="62"/>
  <c r="F73" i="62"/>
  <c r="G73" i="62"/>
  <c r="H73" i="62"/>
  <c r="J73" i="62"/>
  <c r="K73" i="62"/>
  <c r="M73" i="62"/>
  <c r="O73" i="62"/>
  <c r="P73" i="62"/>
  <c r="R73" i="62"/>
  <c r="S73" i="62"/>
  <c r="T73" i="62"/>
  <c r="U73" i="62"/>
  <c r="V73" i="62"/>
  <c r="W73" i="62"/>
  <c r="X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AP73" i="62"/>
  <c r="AQ73" i="62"/>
  <c r="AR73" i="62"/>
  <c r="AS73" i="62"/>
  <c r="AT73" i="62"/>
  <c r="AU73" i="62"/>
  <c r="AW73" i="62"/>
  <c r="AX73" i="62"/>
  <c r="AY73" i="62"/>
  <c r="BA73" i="62"/>
  <c r="BC73" i="62"/>
  <c r="A74" i="62"/>
  <c r="B74" i="62"/>
  <c r="D74" i="62"/>
  <c r="E74" i="62"/>
  <c r="F74" i="62"/>
  <c r="G74" i="62"/>
  <c r="H74" i="62"/>
  <c r="J74" i="62"/>
  <c r="K74" i="62"/>
  <c r="M74" i="62"/>
  <c r="O74" i="62"/>
  <c r="P74" i="62"/>
  <c r="R74" i="62"/>
  <c r="S74" i="62"/>
  <c r="T74" i="62"/>
  <c r="U74" i="62"/>
  <c r="V74" i="62"/>
  <c r="W74" i="62"/>
  <c r="X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AP74" i="62"/>
  <c r="AQ74" i="62"/>
  <c r="AR74" i="62"/>
  <c r="AS74" i="62"/>
  <c r="AT74" i="62"/>
  <c r="AU74" i="62"/>
  <c r="AW74" i="62"/>
  <c r="AX74" i="62"/>
  <c r="AY74" i="62"/>
  <c r="BA74" i="62"/>
  <c r="BC74" i="62"/>
  <c r="A75" i="62"/>
  <c r="B75" i="62"/>
  <c r="D75" i="62"/>
  <c r="E75" i="62"/>
  <c r="F75" i="62"/>
  <c r="G75" i="62"/>
  <c r="H75" i="62"/>
  <c r="J75" i="62"/>
  <c r="K75" i="62"/>
  <c r="M75" i="62"/>
  <c r="O75" i="62"/>
  <c r="P75" i="62"/>
  <c r="R75" i="62"/>
  <c r="S75" i="62"/>
  <c r="T75" i="62"/>
  <c r="U75" i="62"/>
  <c r="V75" i="62"/>
  <c r="W75" i="62"/>
  <c r="X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AP75" i="62"/>
  <c r="AQ75" i="62"/>
  <c r="AR75" i="62"/>
  <c r="AS75" i="62"/>
  <c r="AT75" i="62"/>
  <c r="AU75" i="62"/>
  <c r="AW75" i="62"/>
  <c r="AX75" i="62"/>
  <c r="AY75" i="62"/>
  <c r="BA75" i="62"/>
  <c r="BC75" i="62"/>
  <c r="A76" i="62"/>
  <c r="B76" i="62"/>
  <c r="D76" i="62"/>
  <c r="E76" i="62"/>
  <c r="F76" i="62"/>
  <c r="G76" i="62"/>
  <c r="H76" i="62"/>
  <c r="J76" i="62"/>
  <c r="K76" i="62"/>
  <c r="M76" i="62"/>
  <c r="O76" i="62"/>
  <c r="P76" i="62"/>
  <c r="R76" i="62"/>
  <c r="S76" i="62"/>
  <c r="T76" i="62"/>
  <c r="U76" i="62"/>
  <c r="V76" i="62"/>
  <c r="W76" i="62"/>
  <c r="X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AP76" i="62"/>
  <c r="AQ76" i="62"/>
  <c r="AR76" i="62"/>
  <c r="AS76" i="62"/>
  <c r="AT76" i="62"/>
  <c r="AU76" i="62"/>
  <c r="AW76" i="62"/>
  <c r="AX76" i="62"/>
  <c r="AY76" i="62"/>
  <c r="BA76" i="62"/>
  <c r="BC76" i="62"/>
  <c r="A77" i="62"/>
  <c r="B77" i="62"/>
  <c r="D77" i="62"/>
  <c r="E77" i="62"/>
  <c r="F77" i="62"/>
  <c r="G77" i="62"/>
  <c r="H77" i="62"/>
  <c r="J77" i="62"/>
  <c r="K77" i="62"/>
  <c r="M77" i="62"/>
  <c r="O77" i="62"/>
  <c r="P77" i="62"/>
  <c r="R77" i="62"/>
  <c r="S77" i="62"/>
  <c r="T77" i="62"/>
  <c r="U77" i="62"/>
  <c r="V77" i="62"/>
  <c r="W77" i="62"/>
  <c r="X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AP77" i="62"/>
  <c r="AQ77" i="62"/>
  <c r="AR77" i="62"/>
  <c r="AS77" i="62"/>
  <c r="AT77" i="62"/>
  <c r="AU77" i="62"/>
  <c r="AW77" i="62"/>
  <c r="AX77" i="62"/>
  <c r="AY77" i="62"/>
  <c r="BA77" i="62"/>
  <c r="BC77" i="62"/>
  <c r="A78" i="62"/>
  <c r="B78" i="62"/>
  <c r="D78" i="62"/>
  <c r="E78" i="62"/>
  <c r="F78" i="62"/>
  <c r="G78" i="62"/>
  <c r="H78" i="62"/>
  <c r="J78" i="62"/>
  <c r="K78" i="62"/>
  <c r="M78" i="62"/>
  <c r="O78" i="62"/>
  <c r="P78" i="62"/>
  <c r="R78" i="62"/>
  <c r="S78" i="62"/>
  <c r="T78" i="62"/>
  <c r="U78" i="62"/>
  <c r="V78" i="62"/>
  <c r="W78" i="62"/>
  <c r="X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AP78" i="62"/>
  <c r="AQ78" i="62"/>
  <c r="AR78" i="62"/>
  <c r="AS78" i="62"/>
  <c r="AT78" i="62"/>
  <c r="AU78" i="62"/>
  <c r="AW78" i="62"/>
  <c r="AX78" i="62"/>
  <c r="AY78" i="62"/>
  <c r="BA78" i="62"/>
  <c r="BC78" i="62"/>
  <c r="A79" i="62"/>
  <c r="B79" i="62"/>
  <c r="D79" i="62"/>
  <c r="E79" i="62"/>
  <c r="F79" i="62"/>
  <c r="G79" i="62"/>
  <c r="H79" i="62"/>
  <c r="J79" i="62"/>
  <c r="K79" i="62"/>
  <c r="M79" i="62"/>
  <c r="O79" i="62"/>
  <c r="P79" i="62"/>
  <c r="R79" i="62"/>
  <c r="S79" i="62"/>
  <c r="T79" i="62"/>
  <c r="U79" i="62"/>
  <c r="V79" i="62"/>
  <c r="W79" i="62"/>
  <c r="X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AP79" i="62"/>
  <c r="AQ79" i="62"/>
  <c r="AR79" i="62"/>
  <c r="AS79" i="62"/>
  <c r="AT79" i="62"/>
  <c r="AU79" i="62"/>
  <c r="AW79" i="62"/>
  <c r="AX79" i="62"/>
  <c r="AY79" i="62"/>
  <c r="BA79" i="62"/>
  <c r="BC79" i="62"/>
  <c r="A80" i="62"/>
  <c r="B80" i="62"/>
  <c r="D80" i="62"/>
  <c r="E80" i="62"/>
  <c r="F80" i="62"/>
  <c r="G80" i="62"/>
  <c r="H80" i="62"/>
  <c r="J80" i="62"/>
  <c r="K80" i="62"/>
  <c r="M80" i="62"/>
  <c r="O80" i="62"/>
  <c r="P80" i="62"/>
  <c r="R80" i="62"/>
  <c r="S80" i="62"/>
  <c r="T80" i="62"/>
  <c r="U80" i="62"/>
  <c r="V80" i="62"/>
  <c r="W80" i="62"/>
  <c r="X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AP80" i="62"/>
  <c r="AQ80" i="62"/>
  <c r="AR80" i="62"/>
  <c r="AS80" i="62"/>
  <c r="AT80" i="62"/>
  <c r="AU80" i="62"/>
  <c r="AW80" i="62"/>
  <c r="AX80" i="62"/>
  <c r="AY80" i="62"/>
  <c r="BA80" i="62"/>
  <c r="BC80" i="62"/>
  <c r="A81" i="62"/>
  <c r="B81" i="62"/>
  <c r="D81" i="62"/>
  <c r="E81" i="62"/>
  <c r="F81" i="62"/>
  <c r="G81" i="62"/>
  <c r="H81" i="62"/>
  <c r="J81" i="62"/>
  <c r="K81" i="62"/>
  <c r="M81" i="62"/>
  <c r="O81" i="62"/>
  <c r="P81" i="62"/>
  <c r="R81" i="62"/>
  <c r="S81" i="62"/>
  <c r="T81" i="62"/>
  <c r="U81" i="62"/>
  <c r="V81" i="62"/>
  <c r="W81" i="62"/>
  <c r="X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AP81" i="62"/>
  <c r="AQ81" i="62"/>
  <c r="AR81" i="62"/>
  <c r="AS81" i="62"/>
  <c r="AT81" i="62"/>
  <c r="AU81" i="62"/>
  <c r="AW81" i="62"/>
  <c r="AX81" i="62"/>
  <c r="AY81" i="62"/>
  <c r="BA81" i="62"/>
  <c r="BC81" i="62"/>
  <c r="A82" i="62"/>
  <c r="B82" i="62"/>
  <c r="D82" i="62"/>
  <c r="E82" i="62"/>
  <c r="F82" i="62"/>
  <c r="G82" i="62"/>
  <c r="H82" i="62"/>
  <c r="J82" i="62"/>
  <c r="K82" i="62"/>
  <c r="M82" i="62"/>
  <c r="O82" i="62"/>
  <c r="P82" i="62"/>
  <c r="R82" i="62"/>
  <c r="S82" i="62"/>
  <c r="T82" i="62"/>
  <c r="U82" i="62"/>
  <c r="V82" i="62"/>
  <c r="W82" i="62"/>
  <c r="X82" i="62"/>
  <c r="Z82" i="62"/>
  <c r="AA82" i="62"/>
  <c r="AB82" i="62"/>
  <c r="AC82" i="62"/>
  <c r="AD82" i="62"/>
  <c r="AE82" i="62"/>
  <c r="AF82" i="62"/>
  <c r="AG82" i="62"/>
  <c r="AH82" i="62"/>
  <c r="AI82" i="62"/>
  <c r="AJ82" i="62"/>
  <c r="AK82" i="62"/>
  <c r="AL82" i="62"/>
  <c r="AM82" i="62"/>
  <c r="AN82" i="62"/>
  <c r="AO82" i="62"/>
  <c r="AP82" i="62"/>
  <c r="AQ82" i="62"/>
  <c r="AR82" i="62"/>
  <c r="AS82" i="62"/>
  <c r="AT82" i="62"/>
  <c r="AU82" i="62"/>
  <c r="AW82" i="62"/>
  <c r="AX82" i="62"/>
  <c r="AY82" i="62"/>
  <c r="BA82" i="62"/>
  <c r="BC82" i="62"/>
  <c r="A83" i="62"/>
  <c r="B83" i="62"/>
  <c r="D83" i="62"/>
  <c r="E83" i="62"/>
  <c r="F83" i="62"/>
  <c r="G83" i="62"/>
  <c r="H83" i="62"/>
  <c r="J83" i="62"/>
  <c r="K83" i="62"/>
  <c r="M83" i="62"/>
  <c r="O83" i="62"/>
  <c r="P83" i="62"/>
  <c r="R83" i="62"/>
  <c r="S83" i="62"/>
  <c r="T83" i="62"/>
  <c r="U83" i="62"/>
  <c r="V83" i="62"/>
  <c r="W83" i="62"/>
  <c r="X83" i="62"/>
  <c r="Z83" i="62"/>
  <c r="AA83" i="62"/>
  <c r="AB83" i="62"/>
  <c r="AC83" i="62"/>
  <c r="AD83" i="62"/>
  <c r="AE83" i="62"/>
  <c r="AF83" i="62"/>
  <c r="AG83" i="62"/>
  <c r="AH83" i="62"/>
  <c r="AI83" i="62"/>
  <c r="AJ83" i="62"/>
  <c r="AK83" i="62"/>
  <c r="AL83" i="62"/>
  <c r="AM83" i="62"/>
  <c r="AN83" i="62"/>
  <c r="AO83" i="62"/>
  <c r="AP83" i="62"/>
  <c r="AQ83" i="62"/>
  <c r="AR83" i="62"/>
  <c r="AS83" i="62"/>
  <c r="AT83" i="62"/>
  <c r="AU83" i="62"/>
  <c r="AW83" i="62"/>
  <c r="AX83" i="62"/>
  <c r="AY83" i="62"/>
  <c r="BA83" i="62"/>
  <c r="BC83" i="62"/>
  <c r="A84" i="62"/>
  <c r="B84" i="62"/>
  <c r="D84" i="62"/>
  <c r="E84" i="62"/>
  <c r="F84" i="62"/>
  <c r="G84" i="62"/>
  <c r="H84" i="62"/>
  <c r="J84" i="62"/>
  <c r="K84" i="62"/>
  <c r="M84" i="62"/>
  <c r="O84" i="62"/>
  <c r="P84" i="62"/>
  <c r="R84" i="62"/>
  <c r="S84" i="62"/>
  <c r="T84" i="62"/>
  <c r="U84" i="62"/>
  <c r="V84" i="62"/>
  <c r="W84" i="62"/>
  <c r="X84" i="62"/>
  <c r="Z84" i="62"/>
  <c r="AA84" i="62"/>
  <c r="AB84" i="62"/>
  <c r="AC84" i="62"/>
  <c r="AD84" i="62"/>
  <c r="AE84" i="62"/>
  <c r="AF84" i="62"/>
  <c r="AG84" i="62"/>
  <c r="AH84" i="62"/>
  <c r="AI84" i="62"/>
  <c r="AJ84" i="62"/>
  <c r="AK84" i="62"/>
  <c r="AL84" i="62"/>
  <c r="AM84" i="62"/>
  <c r="AN84" i="62"/>
  <c r="AO84" i="62"/>
  <c r="AP84" i="62"/>
  <c r="AQ84" i="62"/>
  <c r="AR84" i="62"/>
  <c r="AS84" i="62"/>
  <c r="AT84" i="62"/>
  <c r="AU84" i="62"/>
  <c r="AW84" i="62"/>
  <c r="AX84" i="62"/>
  <c r="AY84" i="62"/>
  <c r="BA84" i="62"/>
  <c r="BC84" i="62"/>
  <c r="A85" i="62"/>
  <c r="B85" i="62"/>
  <c r="D85" i="62"/>
  <c r="E85" i="62"/>
  <c r="F85" i="62"/>
  <c r="G85" i="62"/>
  <c r="H85" i="62"/>
  <c r="J85" i="62"/>
  <c r="K85" i="62"/>
  <c r="M85" i="62"/>
  <c r="O85" i="62"/>
  <c r="P85" i="62"/>
  <c r="R85" i="62"/>
  <c r="S85" i="62"/>
  <c r="T85" i="62"/>
  <c r="U85" i="62"/>
  <c r="V85" i="62"/>
  <c r="W85" i="62"/>
  <c r="X85" i="62"/>
  <c r="Z85" i="62"/>
  <c r="AA85" i="62"/>
  <c r="AB85" i="62"/>
  <c r="AC85" i="62"/>
  <c r="AD85" i="62"/>
  <c r="AE85" i="62"/>
  <c r="AF85" i="62"/>
  <c r="AG85" i="62"/>
  <c r="AH85" i="62"/>
  <c r="AI85" i="62"/>
  <c r="AJ85" i="62"/>
  <c r="AK85" i="62"/>
  <c r="AL85" i="62"/>
  <c r="AM85" i="62"/>
  <c r="AN85" i="62"/>
  <c r="AO85" i="62"/>
  <c r="AP85" i="62"/>
  <c r="AQ85" i="62"/>
  <c r="AR85" i="62"/>
  <c r="AS85" i="62"/>
  <c r="AT85" i="62"/>
  <c r="AU85" i="62"/>
  <c r="AW85" i="62"/>
  <c r="AX85" i="62"/>
  <c r="AY85" i="62"/>
  <c r="BA85" i="62"/>
  <c r="BC85" i="62"/>
  <c r="A86" i="62"/>
  <c r="B86" i="62"/>
  <c r="D86" i="62"/>
  <c r="E86" i="62"/>
  <c r="F86" i="62"/>
  <c r="G86" i="62"/>
  <c r="H86" i="62"/>
  <c r="J86" i="62"/>
  <c r="K86" i="62"/>
  <c r="M86" i="62"/>
  <c r="O86" i="62"/>
  <c r="P86" i="62"/>
  <c r="R86" i="62"/>
  <c r="S86" i="62"/>
  <c r="T86" i="62"/>
  <c r="U86" i="62"/>
  <c r="V86" i="62"/>
  <c r="W86" i="62"/>
  <c r="X86" i="62"/>
  <c r="Z86" i="62"/>
  <c r="AA86" i="62"/>
  <c r="AB86" i="62"/>
  <c r="AC86" i="62"/>
  <c r="AD86" i="62"/>
  <c r="AE86" i="62"/>
  <c r="AF86" i="62"/>
  <c r="AG86" i="62"/>
  <c r="AH86" i="62"/>
  <c r="AI86" i="62"/>
  <c r="AJ86" i="62"/>
  <c r="AK86" i="62"/>
  <c r="AL86" i="62"/>
  <c r="AM86" i="62"/>
  <c r="AN86" i="62"/>
  <c r="AO86" i="62"/>
  <c r="AP86" i="62"/>
  <c r="AQ86" i="62"/>
  <c r="AR86" i="62"/>
  <c r="AS86" i="62"/>
  <c r="AT86" i="62"/>
  <c r="AU86" i="62"/>
  <c r="AW86" i="62"/>
  <c r="AX86" i="62"/>
  <c r="AY86" i="62"/>
  <c r="BA86" i="62"/>
  <c r="BC86" i="62"/>
  <c r="A87" i="62"/>
  <c r="B87" i="62"/>
  <c r="D87" i="62"/>
  <c r="E87" i="62"/>
  <c r="F87" i="62"/>
  <c r="G87" i="62"/>
  <c r="H87" i="62"/>
  <c r="J87" i="62"/>
  <c r="K87" i="62"/>
  <c r="M87" i="62"/>
  <c r="O87" i="62"/>
  <c r="P87" i="62"/>
  <c r="R87" i="62"/>
  <c r="S87" i="62"/>
  <c r="T87" i="62"/>
  <c r="U87" i="62"/>
  <c r="V87" i="62"/>
  <c r="W87" i="62"/>
  <c r="X87" i="62"/>
  <c r="Z87" i="62"/>
  <c r="AA87" i="62"/>
  <c r="AB87" i="62"/>
  <c r="AC87" i="62"/>
  <c r="AD87" i="62"/>
  <c r="AE87" i="62"/>
  <c r="AF87" i="62"/>
  <c r="AG87" i="62"/>
  <c r="AH87" i="62"/>
  <c r="AI87" i="62"/>
  <c r="AJ87" i="62"/>
  <c r="AK87" i="62"/>
  <c r="AL87" i="62"/>
  <c r="AM87" i="62"/>
  <c r="AN87" i="62"/>
  <c r="AO87" i="62"/>
  <c r="AP87" i="62"/>
  <c r="AQ87" i="62"/>
  <c r="AR87" i="62"/>
  <c r="AS87" i="62"/>
  <c r="AT87" i="62"/>
  <c r="AU87" i="62"/>
  <c r="AW87" i="62"/>
  <c r="AX87" i="62"/>
  <c r="AY87" i="62"/>
  <c r="BA87" i="62"/>
  <c r="BC87" i="62"/>
  <c r="A88" i="62"/>
  <c r="B88" i="62"/>
  <c r="D88" i="62"/>
  <c r="E88" i="62"/>
  <c r="F88" i="62"/>
  <c r="G88" i="62"/>
  <c r="H88" i="62"/>
  <c r="J88" i="62"/>
  <c r="K88" i="62"/>
  <c r="M88" i="62"/>
  <c r="O88" i="62"/>
  <c r="P88" i="62"/>
  <c r="R88" i="62"/>
  <c r="S88" i="62"/>
  <c r="T88" i="62"/>
  <c r="U88" i="62"/>
  <c r="V88" i="62"/>
  <c r="W88" i="62"/>
  <c r="X88" i="62"/>
  <c r="Z88" i="62"/>
  <c r="AA88" i="62"/>
  <c r="AB88" i="62"/>
  <c r="AC88" i="62"/>
  <c r="AD88" i="62"/>
  <c r="AE88" i="62"/>
  <c r="AF88" i="62"/>
  <c r="AG88" i="62"/>
  <c r="AH88" i="62"/>
  <c r="AI88" i="62"/>
  <c r="AJ88" i="62"/>
  <c r="AK88" i="62"/>
  <c r="AL88" i="62"/>
  <c r="AM88" i="62"/>
  <c r="AN88" i="62"/>
  <c r="AO88" i="62"/>
  <c r="AP88" i="62"/>
  <c r="AQ88" i="62"/>
  <c r="AR88" i="62"/>
  <c r="AS88" i="62"/>
  <c r="AT88" i="62"/>
  <c r="AU88" i="62"/>
  <c r="AW88" i="62"/>
  <c r="AX88" i="62"/>
  <c r="AY88" i="62"/>
  <c r="BA88" i="62"/>
  <c r="BC88" i="62"/>
  <c r="A89" i="62"/>
  <c r="B89" i="62"/>
  <c r="D89" i="62"/>
  <c r="E89" i="62"/>
  <c r="F89" i="62"/>
  <c r="G89" i="62"/>
  <c r="H89" i="62"/>
  <c r="J89" i="62"/>
  <c r="K89" i="62"/>
  <c r="M89" i="62"/>
  <c r="O89" i="62"/>
  <c r="P89" i="62"/>
  <c r="R89" i="62"/>
  <c r="S89" i="62"/>
  <c r="T89" i="62"/>
  <c r="U89" i="62"/>
  <c r="V89" i="62"/>
  <c r="W89" i="62"/>
  <c r="X89" i="62"/>
  <c r="Z89" i="62"/>
  <c r="AA89" i="62"/>
  <c r="AB89" i="62"/>
  <c r="AC89" i="62"/>
  <c r="AD89" i="62"/>
  <c r="AE89" i="62"/>
  <c r="AF89" i="62"/>
  <c r="AG89" i="62"/>
  <c r="AH89" i="62"/>
  <c r="AI89" i="62"/>
  <c r="AJ89" i="62"/>
  <c r="AK89" i="62"/>
  <c r="AL89" i="62"/>
  <c r="AM89" i="62"/>
  <c r="AN89" i="62"/>
  <c r="AO89" i="62"/>
  <c r="AP89" i="62"/>
  <c r="AQ89" i="62"/>
  <c r="AR89" i="62"/>
  <c r="AS89" i="62"/>
  <c r="AT89" i="62"/>
  <c r="AU89" i="62"/>
  <c r="AW89" i="62"/>
  <c r="AX89" i="62"/>
  <c r="AY89" i="62"/>
  <c r="BA89" i="62"/>
  <c r="BC89" i="62"/>
  <c r="A90" i="62"/>
  <c r="B90" i="62"/>
  <c r="D90" i="62"/>
  <c r="E90" i="62"/>
  <c r="F90" i="62"/>
  <c r="G90" i="62"/>
  <c r="H90" i="62"/>
  <c r="J90" i="62"/>
  <c r="K90" i="62"/>
  <c r="M90" i="62"/>
  <c r="O90" i="62"/>
  <c r="P90" i="62"/>
  <c r="R90" i="62"/>
  <c r="S90" i="62"/>
  <c r="T90" i="62"/>
  <c r="U90" i="62"/>
  <c r="V90" i="62"/>
  <c r="W90" i="62"/>
  <c r="X90" i="62"/>
  <c r="Z90" i="62"/>
  <c r="AA90" i="62"/>
  <c r="AB90" i="62"/>
  <c r="AC90" i="62"/>
  <c r="AD90" i="62"/>
  <c r="AE90" i="62"/>
  <c r="AF90" i="62"/>
  <c r="AG90" i="62"/>
  <c r="AH90" i="62"/>
  <c r="AI90" i="62"/>
  <c r="AJ90" i="62"/>
  <c r="AK90" i="62"/>
  <c r="AL90" i="62"/>
  <c r="AM90" i="62"/>
  <c r="AN90" i="62"/>
  <c r="AO90" i="62"/>
  <c r="AP90" i="62"/>
  <c r="AQ90" i="62"/>
  <c r="AR90" i="62"/>
  <c r="AS90" i="62"/>
  <c r="AT90" i="62"/>
  <c r="AU90" i="62"/>
  <c r="AW90" i="62"/>
  <c r="AX90" i="62"/>
  <c r="AY90" i="62"/>
  <c r="BA90" i="62"/>
  <c r="BC90" i="62"/>
  <c r="A91" i="62"/>
  <c r="B91" i="62"/>
  <c r="D91" i="62"/>
  <c r="E91" i="62"/>
  <c r="F91" i="62"/>
  <c r="G91" i="62"/>
  <c r="H91" i="62"/>
  <c r="J91" i="62"/>
  <c r="K91" i="62"/>
  <c r="M91" i="62"/>
  <c r="O91" i="62"/>
  <c r="P91" i="62"/>
  <c r="R91" i="62"/>
  <c r="S91" i="62"/>
  <c r="T91" i="62"/>
  <c r="U91" i="62"/>
  <c r="V91" i="62"/>
  <c r="W91" i="62"/>
  <c r="X91" i="62"/>
  <c r="Z91" i="62"/>
  <c r="AA91" i="62"/>
  <c r="AB91" i="62"/>
  <c r="AC91" i="62"/>
  <c r="AD91" i="62"/>
  <c r="AE91" i="62"/>
  <c r="AF91" i="62"/>
  <c r="AG91" i="62"/>
  <c r="AH91" i="62"/>
  <c r="AI91" i="62"/>
  <c r="AJ91" i="62"/>
  <c r="AK91" i="62"/>
  <c r="AL91" i="62"/>
  <c r="AM91" i="62"/>
  <c r="AN91" i="62"/>
  <c r="AO91" i="62"/>
  <c r="AP91" i="62"/>
  <c r="AQ91" i="62"/>
  <c r="AR91" i="62"/>
  <c r="AS91" i="62"/>
  <c r="AT91" i="62"/>
  <c r="AU91" i="62"/>
  <c r="AW91" i="62"/>
  <c r="AX91" i="62"/>
  <c r="AY91" i="62"/>
  <c r="BA91" i="62"/>
  <c r="BC91" i="62"/>
  <c r="A92" i="62"/>
  <c r="B92" i="62"/>
  <c r="D92" i="62"/>
  <c r="E92" i="62"/>
  <c r="F92" i="62"/>
  <c r="G92" i="62"/>
  <c r="H92" i="62"/>
  <c r="J92" i="62"/>
  <c r="K92" i="62"/>
  <c r="M92" i="62"/>
  <c r="O92" i="62"/>
  <c r="P92" i="62"/>
  <c r="R92" i="62"/>
  <c r="S92" i="62"/>
  <c r="T92" i="62"/>
  <c r="U92" i="62"/>
  <c r="V92" i="62"/>
  <c r="W92" i="62"/>
  <c r="X92" i="62"/>
  <c r="Z92" i="62"/>
  <c r="AA92" i="62"/>
  <c r="AB92" i="62"/>
  <c r="AC92" i="62"/>
  <c r="AD92" i="62"/>
  <c r="AE92" i="62"/>
  <c r="AF92" i="62"/>
  <c r="AG92" i="62"/>
  <c r="AH92" i="62"/>
  <c r="AI92" i="62"/>
  <c r="AJ92" i="62"/>
  <c r="AK92" i="62"/>
  <c r="AL92" i="62"/>
  <c r="AM92" i="62"/>
  <c r="AN92" i="62"/>
  <c r="AO92" i="62"/>
  <c r="AP92" i="62"/>
  <c r="AQ92" i="62"/>
  <c r="AR92" i="62"/>
  <c r="AS92" i="62"/>
  <c r="AT92" i="62"/>
  <c r="AU92" i="62"/>
  <c r="AW92" i="62"/>
  <c r="AX92" i="62"/>
  <c r="AY92" i="62"/>
  <c r="BA92" i="62"/>
  <c r="BC92" i="62"/>
  <c r="A93" i="62"/>
  <c r="B93" i="62"/>
  <c r="D93" i="62"/>
  <c r="E93" i="62"/>
  <c r="F93" i="62"/>
  <c r="G93" i="62"/>
  <c r="H93" i="62"/>
  <c r="J93" i="62"/>
  <c r="K93" i="62"/>
  <c r="M93" i="62"/>
  <c r="O93" i="62"/>
  <c r="P93" i="62"/>
  <c r="R93" i="62"/>
  <c r="S93" i="62"/>
  <c r="T93" i="62"/>
  <c r="U93" i="62"/>
  <c r="V93" i="62"/>
  <c r="W93" i="62"/>
  <c r="X93" i="62"/>
  <c r="Z93" i="62"/>
  <c r="AA93" i="62"/>
  <c r="AB93" i="62"/>
  <c r="AC93" i="62"/>
  <c r="AD93" i="62"/>
  <c r="AE93" i="62"/>
  <c r="AF93" i="62"/>
  <c r="AG93" i="62"/>
  <c r="AH93" i="62"/>
  <c r="AI93" i="62"/>
  <c r="AJ93" i="62"/>
  <c r="AK93" i="62"/>
  <c r="AL93" i="62"/>
  <c r="AM93" i="62"/>
  <c r="AN93" i="62"/>
  <c r="AO93" i="62"/>
  <c r="AP93" i="62"/>
  <c r="AQ93" i="62"/>
  <c r="AR93" i="62"/>
  <c r="AS93" i="62"/>
  <c r="AT93" i="62"/>
  <c r="AU93" i="62"/>
  <c r="AW93" i="62"/>
  <c r="AX93" i="62"/>
  <c r="AY93" i="62"/>
  <c r="BA93" i="62"/>
  <c r="BC93" i="62"/>
  <c r="A94" i="62"/>
  <c r="B94" i="62"/>
  <c r="D94" i="62"/>
  <c r="E94" i="62"/>
  <c r="F94" i="62"/>
  <c r="G94" i="62"/>
  <c r="H94" i="62"/>
  <c r="J94" i="62"/>
  <c r="K94" i="62"/>
  <c r="M94" i="62"/>
  <c r="O94" i="62"/>
  <c r="P94" i="62"/>
  <c r="R94" i="62"/>
  <c r="S94" i="62"/>
  <c r="T94" i="62"/>
  <c r="U94" i="62"/>
  <c r="V94" i="62"/>
  <c r="W94" i="62"/>
  <c r="X94" i="62"/>
  <c r="Z94" i="62"/>
  <c r="AA94" i="62"/>
  <c r="AB94" i="62"/>
  <c r="AC94" i="62"/>
  <c r="AD94" i="62"/>
  <c r="AE94" i="62"/>
  <c r="AF94" i="62"/>
  <c r="AG94" i="62"/>
  <c r="AH94" i="62"/>
  <c r="AI94" i="62"/>
  <c r="AJ94" i="62"/>
  <c r="AK94" i="62"/>
  <c r="AL94" i="62"/>
  <c r="AM94" i="62"/>
  <c r="AN94" i="62"/>
  <c r="AO94" i="62"/>
  <c r="AP94" i="62"/>
  <c r="AQ94" i="62"/>
  <c r="AR94" i="62"/>
  <c r="AS94" i="62"/>
  <c r="AT94" i="62"/>
  <c r="AU94" i="62"/>
  <c r="AW94" i="62"/>
  <c r="AX94" i="62"/>
  <c r="AY94" i="62"/>
  <c r="BA94" i="62"/>
  <c r="BC94" i="62"/>
  <c r="A95" i="62"/>
  <c r="B95" i="62"/>
  <c r="D95" i="62"/>
  <c r="E95" i="62"/>
  <c r="F95" i="62"/>
  <c r="G95" i="62"/>
  <c r="H95" i="62"/>
  <c r="J95" i="62"/>
  <c r="K95" i="62"/>
  <c r="M95" i="62"/>
  <c r="O95" i="62"/>
  <c r="P95" i="62"/>
  <c r="R95" i="62"/>
  <c r="S95" i="62"/>
  <c r="T95" i="62"/>
  <c r="U95" i="62"/>
  <c r="V95" i="62"/>
  <c r="W95" i="62"/>
  <c r="X95" i="62"/>
  <c r="Z95" i="62"/>
  <c r="AA95" i="62"/>
  <c r="AB95" i="62"/>
  <c r="AC95" i="62"/>
  <c r="AD95" i="62"/>
  <c r="AE95" i="62"/>
  <c r="AF95" i="62"/>
  <c r="AG95" i="62"/>
  <c r="AH95" i="62"/>
  <c r="AI95" i="62"/>
  <c r="AJ95" i="62"/>
  <c r="AK95" i="62"/>
  <c r="AL95" i="62"/>
  <c r="AM95" i="62"/>
  <c r="AN95" i="62"/>
  <c r="AO95" i="62"/>
  <c r="AP95" i="62"/>
  <c r="AQ95" i="62"/>
  <c r="AR95" i="62"/>
  <c r="AS95" i="62"/>
  <c r="AT95" i="62"/>
  <c r="AU95" i="62"/>
  <c r="AW95" i="62"/>
  <c r="AX95" i="62"/>
  <c r="AY95" i="62"/>
  <c r="BA95" i="62"/>
  <c r="BC95" i="62"/>
  <c r="A96" i="62"/>
  <c r="B96" i="62"/>
  <c r="D96" i="62"/>
  <c r="E96" i="62"/>
  <c r="F96" i="62"/>
  <c r="G96" i="62"/>
  <c r="H96" i="62"/>
  <c r="J96" i="62"/>
  <c r="K96" i="62"/>
  <c r="M96" i="62"/>
  <c r="O96" i="62"/>
  <c r="P96" i="62"/>
  <c r="R96" i="62"/>
  <c r="S96" i="62"/>
  <c r="T96" i="62"/>
  <c r="U96" i="62"/>
  <c r="V96" i="62"/>
  <c r="W96" i="62"/>
  <c r="X96" i="62"/>
  <c r="Z96" i="62"/>
  <c r="AA96" i="62"/>
  <c r="AB96" i="62"/>
  <c r="AC96" i="62"/>
  <c r="AD96" i="62"/>
  <c r="AE96" i="62"/>
  <c r="AF96" i="62"/>
  <c r="AG96" i="62"/>
  <c r="AH96" i="62"/>
  <c r="AI96" i="62"/>
  <c r="AJ96" i="62"/>
  <c r="AK96" i="62"/>
  <c r="AL96" i="62"/>
  <c r="AM96" i="62"/>
  <c r="AN96" i="62"/>
  <c r="AO96" i="62"/>
  <c r="AP96" i="62"/>
  <c r="AQ96" i="62"/>
  <c r="AR96" i="62"/>
  <c r="AS96" i="62"/>
  <c r="AT96" i="62"/>
  <c r="AU96" i="62"/>
  <c r="AW96" i="62"/>
  <c r="AX96" i="62"/>
  <c r="AY96" i="62"/>
  <c r="BA96" i="62"/>
  <c r="BC96" i="62"/>
  <c r="A97" i="62"/>
  <c r="B97" i="62"/>
  <c r="D97" i="62"/>
  <c r="E97" i="62"/>
  <c r="F97" i="62"/>
  <c r="G97" i="62"/>
  <c r="H97" i="62"/>
  <c r="J97" i="62"/>
  <c r="K97" i="62"/>
  <c r="M97" i="62"/>
  <c r="O97" i="62"/>
  <c r="P97" i="62"/>
  <c r="R97" i="62"/>
  <c r="S97" i="62"/>
  <c r="T97" i="62"/>
  <c r="U97" i="62"/>
  <c r="V97" i="62"/>
  <c r="W97" i="62"/>
  <c r="X97" i="62"/>
  <c r="Z97" i="62"/>
  <c r="AA97" i="62"/>
  <c r="AB97" i="62"/>
  <c r="AC97" i="62"/>
  <c r="AD97" i="62"/>
  <c r="AE97" i="62"/>
  <c r="AF97" i="62"/>
  <c r="AG97" i="62"/>
  <c r="AH97" i="62"/>
  <c r="AI97" i="62"/>
  <c r="AJ97" i="62"/>
  <c r="AK97" i="62"/>
  <c r="AL97" i="62"/>
  <c r="AM97" i="62"/>
  <c r="AN97" i="62"/>
  <c r="AO97" i="62"/>
  <c r="AP97" i="62"/>
  <c r="AQ97" i="62"/>
  <c r="AR97" i="62"/>
  <c r="AS97" i="62"/>
  <c r="AT97" i="62"/>
  <c r="AU97" i="62"/>
  <c r="AW97" i="62"/>
  <c r="AX97" i="62"/>
  <c r="AY97" i="62"/>
  <c r="BA97" i="62"/>
  <c r="BC97" i="62"/>
  <c r="A98" i="62"/>
  <c r="B98" i="62"/>
  <c r="D98" i="62"/>
  <c r="E98" i="62"/>
  <c r="F98" i="62"/>
  <c r="G98" i="62"/>
  <c r="H98" i="62"/>
  <c r="J98" i="62"/>
  <c r="K98" i="62"/>
  <c r="M98" i="62"/>
  <c r="O98" i="62"/>
  <c r="P98" i="62"/>
  <c r="R98" i="62"/>
  <c r="S98" i="62"/>
  <c r="T98" i="62"/>
  <c r="U98" i="62"/>
  <c r="V98" i="62"/>
  <c r="W98" i="62"/>
  <c r="X98" i="62"/>
  <c r="Z98" i="62"/>
  <c r="AA98" i="62"/>
  <c r="AB98" i="62"/>
  <c r="AC98" i="62"/>
  <c r="AD98" i="62"/>
  <c r="AE98" i="62"/>
  <c r="AF98" i="62"/>
  <c r="AG98" i="62"/>
  <c r="AH98" i="62"/>
  <c r="AI98" i="62"/>
  <c r="AJ98" i="62"/>
  <c r="AK98" i="62"/>
  <c r="AL98" i="62"/>
  <c r="AM98" i="62"/>
  <c r="AN98" i="62"/>
  <c r="AO98" i="62"/>
  <c r="AP98" i="62"/>
  <c r="AQ98" i="62"/>
  <c r="AR98" i="62"/>
  <c r="AS98" i="62"/>
  <c r="AT98" i="62"/>
  <c r="AU98" i="62"/>
  <c r="AW98" i="62"/>
  <c r="AX98" i="62"/>
  <c r="AY98" i="62"/>
  <c r="BA98" i="62"/>
  <c r="BC98" i="62"/>
  <c r="A99" i="62"/>
  <c r="B99" i="62"/>
  <c r="D99" i="62"/>
  <c r="E99" i="62"/>
  <c r="F99" i="62"/>
  <c r="G99" i="62"/>
  <c r="H99" i="62"/>
  <c r="J99" i="62"/>
  <c r="K99" i="62"/>
  <c r="M99" i="62"/>
  <c r="O99" i="62"/>
  <c r="P99" i="62"/>
  <c r="R99" i="62"/>
  <c r="S99" i="62"/>
  <c r="T99" i="62"/>
  <c r="U99" i="62"/>
  <c r="V99" i="62"/>
  <c r="W99" i="62"/>
  <c r="X99" i="62"/>
  <c r="Z99" i="62"/>
  <c r="AA99" i="62"/>
  <c r="AB99" i="62"/>
  <c r="AC99" i="62"/>
  <c r="AD99" i="62"/>
  <c r="AE99" i="62"/>
  <c r="AF99" i="62"/>
  <c r="AG99" i="62"/>
  <c r="AH99" i="62"/>
  <c r="AI99" i="62"/>
  <c r="AJ99" i="62"/>
  <c r="AK99" i="62"/>
  <c r="AL99" i="62"/>
  <c r="AM99" i="62"/>
  <c r="AN99" i="62"/>
  <c r="AO99" i="62"/>
  <c r="AP99" i="62"/>
  <c r="AQ99" i="62"/>
  <c r="AR99" i="62"/>
  <c r="AS99" i="62"/>
  <c r="AT99" i="62"/>
  <c r="AU99" i="62"/>
  <c r="AW99" i="62"/>
  <c r="AX99" i="62"/>
  <c r="AY99" i="62"/>
  <c r="BA99" i="62"/>
  <c r="BC99" i="62"/>
  <c r="A100" i="62"/>
  <c r="B100" i="62"/>
  <c r="D100" i="62"/>
  <c r="E100" i="62"/>
  <c r="F100" i="62"/>
  <c r="G100" i="62"/>
  <c r="H100" i="62"/>
  <c r="J100" i="62"/>
  <c r="K100" i="62"/>
  <c r="M100" i="62"/>
  <c r="O100" i="62"/>
  <c r="P100" i="62"/>
  <c r="R100" i="62"/>
  <c r="S100" i="62"/>
  <c r="T100" i="62"/>
  <c r="U100" i="62"/>
  <c r="V100" i="62"/>
  <c r="W100" i="62"/>
  <c r="X100" i="62"/>
  <c r="Z100" i="62"/>
  <c r="AA100" i="62"/>
  <c r="AB100" i="62"/>
  <c r="AC100" i="62"/>
  <c r="AD100" i="62"/>
  <c r="AE100" i="62"/>
  <c r="AF100" i="62"/>
  <c r="AG100" i="62"/>
  <c r="AH100" i="62"/>
  <c r="AI100" i="62"/>
  <c r="AJ100" i="62"/>
  <c r="AK100" i="62"/>
  <c r="AL100" i="62"/>
  <c r="AM100" i="62"/>
  <c r="AN100" i="62"/>
  <c r="AO100" i="62"/>
  <c r="AP100" i="62"/>
  <c r="AQ100" i="62"/>
  <c r="AR100" i="62"/>
  <c r="AS100" i="62"/>
  <c r="AT100" i="62"/>
  <c r="AU100" i="62"/>
  <c r="AW100" i="62"/>
  <c r="AX100" i="62"/>
  <c r="AY100" i="62"/>
  <c r="BA100" i="62"/>
  <c r="BC100" i="62"/>
  <c r="A101" i="62"/>
  <c r="B101" i="62"/>
  <c r="D101" i="62"/>
  <c r="E101" i="62"/>
  <c r="F101" i="62"/>
  <c r="G101" i="62"/>
  <c r="H101" i="62"/>
  <c r="J101" i="62"/>
  <c r="K101" i="62"/>
  <c r="M101" i="62"/>
  <c r="O101" i="62"/>
  <c r="P101" i="62"/>
  <c r="R101" i="62"/>
  <c r="S101" i="62"/>
  <c r="T101" i="62"/>
  <c r="U101" i="62"/>
  <c r="V101" i="62"/>
  <c r="W101" i="62"/>
  <c r="X101" i="62"/>
  <c r="Z101" i="62"/>
  <c r="AA101" i="62"/>
  <c r="AB101" i="62"/>
  <c r="AC101" i="62"/>
  <c r="AD101" i="62"/>
  <c r="AE101" i="62"/>
  <c r="AF101" i="62"/>
  <c r="AG101" i="62"/>
  <c r="AH101" i="62"/>
  <c r="AI101" i="62"/>
  <c r="AJ101" i="62"/>
  <c r="AK101" i="62"/>
  <c r="AL101" i="62"/>
  <c r="AM101" i="62"/>
  <c r="AN101" i="62"/>
  <c r="AO101" i="62"/>
  <c r="AP101" i="62"/>
  <c r="AQ101" i="62"/>
  <c r="AR101" i="62"/>
  <c r="AS101" i="62"/>
  <c r="AT101" i="62"/>
  <c r="AU101" i="62"/>
  <c r="AW101" i="62"/>
  <c r="AX101" i="62"/>
  <c r="AY101" i="62"/>
  <c r="BA101" i="62"/>
  <c r="BC101" i="62"/>
  <c r="A102" i="62"/>
  <c r="B102" i="62"/>
  <c r="D102" i="62"/>
  <c r="E102" i="62"/>
  <c r="F102" i="62"/>
  <c r="G102" i="62"/>
  <c r="H102" i="62"/>
  <c r="J102" i="62"/>
  <c r="K102" i="62"/>
  <c r="M102" i="62"/>
  <c r="O102" i="62"/>
  <c r="P102" i="62"/>
  <c r="R102" i="62"/>
  <c r="S102" i="62"/>
  <c r="T102" i="62"/>
  <c r="U102" i="62"/>
  <c r="V102" i="62"/>
  <c r="W102" i="62"/>
  <c r="X102" i="62"/>
  <c r="Z102" i="62"/>
  <c r="AA102" i="62"/>
  <c r="AB102" i="62"/>
  <c r="AC102" i="62"/>
  <c r="AD102" i="62"/>
  <c r="AE102" i="62"/>
  <c r="AF102" i="62"/>
  <c r="AG102" i="62"/>
  <c r="AH102" i="62"/>
  <c r="AI102" i="62"/>
  <c r="AJ102" i="62"/>
  <c r="AK102" i="62"/>
  <c r="AL102" i="62"/>
  <c r="AM102" i="62"/>
  <c r="AN102" i="62"/>
  <c r="AO102" i="62"/>
  <c r="AP102" i="62"/>
  <c r="AQ102" i="62"/>
  <c r="AR102" i="62"/>
  <c r="AS102" i="62"/>
  <c r="AT102" i="62"/>
  <c r="AU102" i="62"/>
  <c r="AW102" i="62"/>
  <c r="AX102" i="62"/>
  <c r="AY102" i="62"/>
  <c r="BA102" i="62"/>
  <c r="BC102" i="62"/>
  <c r="A103" i="62"/>
  <c r="B103" i="62"/>
  <c r="D103" i="62"/>
  <c r="E103" i="62"/>
  <c r="F103" i="62"/>
  <c r="G103" i="62"/>
  <c r="H103" i="62"/>
  <c r="J103" i="62"/>
  <c r="K103" i="62"/>
  <c r="M103" i="62"/>
  <c r="O103" i="62"/>
  <c r="P103" i="62"/>
  <c r="R103" i="62"/>
  <c r="S103" i="62"/>
  <c r="T103" i="62"/>
  <c r="U103" i="62"/>
  <c r="V103" i="62"/>
  <c r="W103" i="62"/>
  <c r="X103" i="62"/>
  <c r="Z103" i="62"/>
  <c r="AA103" i="62"/>
  <c r="AB103" i="62"/>
  <c r="AC103" i="62"/>
  <c r="AD103" i="62"/>
  <c r="AE103" i="62"/>
  <c r="AF103" i="62"/>
  <c r="AG103" i="62"/>
  <c r="AH103" i="62"/>
  <c r="AI103" i="62"/>
  <c r="AJ103" i="62"/>
  <c r="AK103" i="62"/>
  <c r="AL103" i="62"/>
  <c r="AM103" i="62"/>
  <c r="AN103" i="62"/>
  <c r="AO103" i="62"/>
  <c r="AP103" i="62"/>
  <c r="AQ103" i="62"/>
  <c r="AR103" i="62"/>
  <c r="AS103" i="62"/>
  <c r="AT103" i="62"/>
  <c r="AU103" i="62"/>
  <c r="AW103" i="62"/>
  <c r="AX103" i="62"/>
  <c r="AY103" i="62"/>
  <c r="BA103" i="62"/>
  <c r="BC103" i="62"/>
  <c r="A104" i="62"/>
  <c r="B104" i="62"/>
  <c r="D104" i="62"/>
  <c r="E104" i="62"/>
  <c r="F104" i="62"/>
  <c r="G104" i="62"/>
  <c r="H104" i="62"/>
  <c r="J104" i="62"/>
  <c r="K104" i="62"/>
  <c r="M104" i="62"/>
  <c r="O104" i="62"/>
  <c r="P104" i="62"/>
  <c r="R104" i="62"/>
  <c r="S104" i="62"/>
  <c r="T104" i="62"/>
  <c r="U104" i="62"/>
  <c r="V104" i="62"/>
  <c r="W104" i="62"/>
  <c r="X104" i="62"/>
  <c r="Z104" i="62"/>
  <c r="AA104" i="62"/>
  <c r="AB104" i="62"/>
  <c r="AC104" i="62"/>
  <c r="AD104" i="62"/>
  <c r="AE104" i="62"/>
  <c r="AF104" i="62"/>
  <c r="AG104" i="62"/>
  <c r="AH104" i="62"/>
  <c r="AI104" i="62"/>
  <c r="AJ104" i="62"/>
  <c r="AK104" i="62"/>
  <c r="AL104" i="62"/>
  <c r="AM104" i="62"/>
  <c r="AN104" i="62"/>
  <c r="AO104" i="62"/>
  <c r="AP104" i="62"/>
  <c r="AQ104" i="62"/>
  <c r="AR104" i="62"/>
  <c r="AS104" i="62"/>
  <c r="AT104" i="62"/>
  <c r="AU104" i="62"/>
  <c r="AW104" i="62"/>
  <c r="AX104" i="62"/>
  <c r="AY104" i="62"/>
  <c r="BA104" i="62"/>
  <c r="BC104" i="62"/>
  <c r="A105" i="62"/>
  <c r="B105" i="62"/>
  <c r="D105" i="62"/>
  <c r="E105" i="62"/>
  <c r="F105" i="62"/>
  <c r="G105" i="62"/>
  <c r="H105" i="62"/>
  <c r="J105" i="62"/>
  <c r="K105" i="62"/>
  <c r="M105" i="62"/>
  <c r="O105" i="62"/>
  <c r="P105" i="62"/>
  <c r="R105" i="62"/>
  <c r="S105" i="62"/>
  <c r="T105" i="62"/>
  <c r="U105" i="62"/>
  <c r="V105" i="62"/>
  <c r="W105" i="62"/>
  <c r="X105" i="62"/>
  <c r="Z105" i="62"/>
  <c r="AA105" i="62"/>
  <c r="AB105" i="62"/>
  <c r="AC105" i="62"/>
  <c r="AD105" i="62"/>
  <c r="AE105" i="62"/>
  <c r="AF105" i="62"/>
  <c r="AG105" i="62"/>
  <c r="AH105" i="62"/>
  <c r="AI105" i="62"/>
  <c r="AJ105" i="62"/>
  <c r="AK105" i="62"/>
  <c r="AL105" i="62"/>
  <c r="AM105" i="62"/>
  <c r="AN105" i="62"/>
  <c r="AO105" i="62"/>
  <c r="AP105" i="62"/>
  <c r="AQ105" i="62"/>
  <c r="AR105" i="62"/>
  <c r="AS105" i="62"/>
  <c r="AT105" i="62"/>
  <c r="AU105" i="62"/>
  <c r="AW105" i="62"/>
  <c r="AX105" i="62"/>
  <c r="AY105" i="62"/>
  <c r="BA105" i="62"/>
  <c r="BC105" i="62"/>
  <c r="A106" i="62"/>
  <c r="B106" i="62"/>
  <c r="D106" i="62"/>
  <c r="E106" i="62"/>
  <c r="F106" i="62"/>
  <c r="G106" i="62"/>
  <c r="H106" i="62"/>
  <c r="J106" i="62"/>
  <c r="K106" i="62"/>
  <c r="M106" i="62"/>
  <c r="O106" i="62"/>
  <c r="P106" i="62"/>
  <c r="R106" i="62"/>
  <c r="S106" i="62"/>
  <c r="T106" i="62"/>
  <c r="U106" i="62"/>
  <c r="V106" i="62"/>
  <c r="W106" i="62"/>
  <c r="X106" i="62"/>
  <c r="Z106" i="62"/>
  <c r="AA106" i="62"/>
  <c r="AB106" i="62"/>
  <c r="AC106" i="62"/>
  <c r="AD106" i="62"/>
  <c r="AE106" i="62"/>
  <c r="AF106" i="62"/>
  <c r="AG106" i="62"/>
  <c r="AH106" i="62"/>
  <c r="AI106" i="62"/>
  <c r="AJ106" i="62"/>
  <c r="AK106" i="62"/>
  <c r="AL106" i="62"/>
  <c r="AM106" i="62"/>
  <c r="AN106" i="62"/>
  <c r="AO106" i="62"/>
  <c r="AP106" i="62"/>
  <c r="AQ106" i="62"/>
  <c r="AR106" i="62"/>
  <c r="AS106" i="62"/>
  <c r="AT106" i="62"/>
  <c r="AU106" i="62"/>
  <c r="AW106" i="62"/>
  <c r="AX106" i="62"/>
  <c r="AY106" i="62"/>
  <c r="BA106" i="62"/>
  <c r="BC106" i="62"/>
  <c r="A107" i="62"/>
  <c r="B107" i="62"/>
  <c r="D107" i="62"/>
  <c r="E107" i="62"/>
  <c r="F107" i="62"/>
  <c r="G107" i="62"/>
  <c r="H107" i="62"/>
  <c r="J107" i="62"/>
  <c r="K107" i="62"/>
  <c r="M107" i="62"/>
  <c r="O107" i="62"/>
  <c r="P107" i="62"/>
  <c r="R107" i="62"/>
  <c r="S107" i="62"/>
  <c r="T107" i="62"/>
  <c r="U107" i="62"/>
  <c r="V107" i="62"/>
  <c r="W107" i="62"/>
  <c r="X107" i="62"/>
  <c r="Z107" i="62"/>
  <c r="AA107" i="62"/>
  <c r="AB107" i="62"/>
  <c r="AC107" i="62"/>
  <c r="AD107" i="62"/>
  <c r="AE107" i="62"/>
  <c r="AF107" i="62"/>
  <c r="AG107" i="62"/>
  <c r="AH107" i="62"/>
  <c r="AI107" i="62"/>
  <c r="AJ107" i="62"/>
  <c r="AK107" i="62"/>
  <c r="AL107" i="62"/>
  <c r="AM107" i="62"/>
  <c r="AN107" i="62"/>
  <c r="AO107" i="62"/>
  <c r="AP107" i="62"/>
  <c r="AQ107" i="62"/>
  <c r="AR107" i="62"/>
  <c r="AS107" i="62"/>
  <c r="AT107" i="62"/>
  <c r="AU107" i="62"/>
  <c r="AW107" i="62"/>
  <c r="AX107" i="62"/>
  <c r="AY107" i="62"/>
  <c r="BA107" i="62"/>
  <c r="BC107" i="62"/>
  <c r="A108" i="62"/>
  <c r="B108" i="62"/>
  <c r="D108" i="62"/>
  <c r="E108" i="62"/>
  <c r="F108" i="62"/>
  <c r="G108" i="62"/>
  <c r="H108" i="62"/>
  <c r="J108" i="62"/>
  <c r="K108" i="62"/>
  <c r="M108" i="62"/>
  <c r="O108" i="62"/>
  <c r="P108" i="62"/>
  <c r="R108" i="62"/>
  <c r="S108" i="62"/>
  <c r="T108" i="62"/>
  <c r="U108" i="62"/>
  <c r="V108" i="62"/>
  <c r="W108" i="62"/>
  <c r="X108" i="62"/>
  <c r="Z108" i="62"/>
  <c r="AA108" i="62"/>
  <c r="AB108" i="62"/>
  <c r="AC108" i="62"/>
  <c r="AD108" i="62"/>
  <c r="AE108" i="62"/>
  <c r="AF108" i="62"/>
  <c r="AG108" i="62"/>
  <c r="AH108" i="62"/>
  <c r="AI108" i="62"/>
  <c r="AJ108" i="62"/>
  <c r="AK108" i="62"/>
  <c r="AL108" i="62"/>
  <c r="AM108" i="62"/>
  <c r="AN108" i="62"/>
  <c r="AO108" i="62"/>
  <c r="AP108" i="62"/>
  <c r="AQ108" i="62"/>
  <c r="AR108" i="62"/>
  <c r="AS108" i="62"/>
  <c r="AT108" i="62"/>
  <c r="AU108" i="62"/>
  <c r="AW108" i="62"/>
  <c r="AX108" i="62"/>
  <c r="AY108" i="62"/>
  <c r="BA108" i="62"/>
  <c r="BC108" i="62"/>
  <c r="A109" i="62"/>
  <c r="B109" i="62"/>
  <c r="D109" i="62"/>
  <c r="E109" i="62"/>
  <c r="F109" i="62"/>
  <c r="G109" i="62"/>
  <c r="H109" i="62"/>
  <c r="J109" i="62"/>
  <c r="K109" i="62"/>
  <c r="M109" i="62"/>
  <c r="O109" i="62"/>
  <c r="P109" i="62"/>
  <c r="R109" i="62"/>
  <c r="S109" i="62"/>
  <c r="T109" i="62"/>
  <c r="U109" i="62"/>
  <c r="V109" i="62"/>
  <c r="W109" i="62"/>
  <c r="X109" i="62"/>
  <c r="Z109" i="62"/>
  <c r="AA109" i="62"/>
  <c r="AB109" i="62"/>
  <c r="AC109" i="62"/>
  <c r="AD109" i="62"/>
  <c r="AE109" i="62"/>
  <c r="AF109" i="62"/>
  <c r="AG109" i="62"/>
  <c r="AH109" i="62"/>
  <c r="AI109" i="62"/>
  <c r="AJ109" i="62"/>
  <c r="AK109" i="62"/>
  <c r="AL109" i="62"/>
  <c r="AM109" i="62"/>
  <c r="AN109" i="62"/>
  <c r="AO109" i="62"/>
  <c r="AP109" i="62"/>
  <c r="AQ109" i="62"/>
  <c r="AR109" i="62"/>
  <c r="AS109" i="62"/>
  <c r="AT109" i="62"/>
  <c r="AU109" i="62"/>
  <c r="AW109" i="62"/>
  <c r="AX109" i="62"/>
  <c r="AY109" i="62"/>
  <c r="BA109" i="62"/>
  <c r="BC109" i="62"/>
  <c r="A110" i="62"/>
  <c r="B110" i="62"/>
  <c r="D110" i="62"/>
  <c r="E110" i="62"/>
  <c r="F110" i="62"/>
  <c r="G110" i="62"/>
  <c r="H110" i="62"/>
  <c r="J110" i="62"/>
  <c r="K110" i="62"/>
  <c r="M110" i="62"/>
  <c r="O110" i="62"/>
  <c r="P110" i="62"/>
  <c r="R110" i="62"/>
  <c r="S110" i="62"/>
  <c r="T110" i="62"/>
  <c r="U110" i="62"/>
  <c r="V110" i="62"/>
  <c r="W110" i="62"/>
  <c r="X110" i="62"/>
  <c r="Z110" i="62"/>
  <c r="AA110" i="62"/>
  <c r="AB110" i="62"/>
  <c r="AC110" i="62"/>
  <c r="AD110" i="62"/>
  <c r="AE110" i="62"/>
  <c r="AF110" i="62"/>
  <c r="AG110" i="62"/>
  <c r="AH110" i="62"/>
  <c r="AI110" i="62"/>
  <c r="AJ110" i="62"/>
  <c r="AK110" i="62"/>
  <c r="AL110" i="62"/>
  <c r="AM110" i="62"/>
  <c r="AN110" i="62"/>
  <c r="AO110" i="62"/>
  <c r="AP110" i="62"/>
  <c r="AQ110" i="62"/>
  <c r="AR110" i="62"/>
  <c r="AS110" i="62"/>
  <c r="AT110" i="62"/>
  <c r="AU110" i="62"/>
  <c r="AW110" i="62"/>
  <c r="AX110" i="62"/>
  <c r="AY110" i="62"/>
  <c r="BA110" i="62"/>
  <c r="BC110" i="62"/>
  <c r="A111" i="62"/>
  <c r="B111" i="62"/>
  <c r="D111" i="62"/>
  <c r="E111" i="62"/>
  <c r="F111" i="62"/>
  <c r="G111" i="62"/>
  <c r="H111" i="62"/>
  <c r="J111" i="62"/>
  <c r="K111" i="62"/>
  <c r="M111" i="62"/>
  <c r="O111" i="62"/>
  <c r="P111" i="62"/>
  <c r="R111" i="62"/>
  <c r="S111" i="62"/>
  <c r="T111" i="62"/>
  <c r="U111" i="62"/>
  <c r="V111" i="62"/>
  <c r="W111" i="62"/>
  <c r="X111" i="62"/>
  <c r="Z111" i="62"/>
  <c r="AA111" i="62"/>
  <c r="AB111" i="62"/>
  <c r="AC111" i="62"/>
  <c r="AD111" i="62"/>
  <c r="AE111" i="62"/>
  <c r="AF111" i="62"/>
  <c r="AG111" i="62"/>
  <c r="AH111" i="62"/>
  <c r="AI111" i="62"/>
  <c r="AJ111" i="62"/>
  <c r="AK111" i="62"/>
  <c r="AL111" i="62"/>
  <c r="AM111" i="62"/>
  <c r="AN111" i="62"/>
  <c r="AO111" i="62"/>
  <c r="AP111" i="62"/>
  <c r="AQ111" i="62"/>
  <c r="AR111" i="62"/>
  <c r="AS111" i="62"/>
  <c r="AT111" i="62"/>
  <c r="AU111" i="62"/>
  <c r="AW111" i="62"/>
  <c r="AX111" i="62"/>
  <c r="AY111" i="62"/>
  <c r="BA111" i="62"/>
  <c r="BC111" i="62"/>
  <c r="A112" i="62"/>
  <c r="B112" i="62"/>
  <c r="D112" i="62"/>
  <c r="E112" i="62"/>
  <c r="F112" i="62"/>
  <c r="G112" i="62"/>
  <c r="H112" i="62"/>
  <c r="J112" i="62"/>
  <c r="K112" i="62"/>
  <c r="M112" i="62"/>
  <c r="O112" i="62"/>
  <c r="P112" i="62"/>
  <c r="R112" i="62"/>
  <c r="S112" i="62"/>
  <c r="T112" i="62"/>
  <c r="U112" i="62"/>
  <c r="V112" i="62"/>
  <c r="W112" i="62"/>
  <c r="X112" i="62"/>
  <c r="Z112" i="62"/>
  <c r="AA112" i="62"/>
  <c r="AB112" i="62"/>
  <c r="AC112" i="62"/>
  <c r="AD112" i="62"/>
  <c r="AE112" i="62"/>
  <c r="AF112" i="62"/>
  <c r="AG112" i="62"/>
  <c r="AH112" i="62"/>
  <c r="AI112" i="62"/>
  <c r="AJ112" i="62"/>
  <c r="AK112" i="62"/>
  <c r="AL112" i="62"/>
  <c r="AM112" i="62"/>
  <c r="AN112" i="62"/>
  <c r="AO112" i="62"/>
  <c r="AP112" i="62"/>
  <c r="AQ112" i="62"/>
  <c r="AR112" i="62"/>
  <c r="AS112" i="62"/>
  <c r="AT112" i="62"/>
  <c r="AU112" i="62"/>
  <c r="AW112" i="62"/>
  <c r="AX112" i="62"/>
  <c r="AY112" i="62"/>
  <c r="BA112" i="62"/>
  <c r="BC112" i="62"/>
  <c r="A113" i="62"/>
  <c r="B113" i="62"/>
  <c r="D113" i="62"/>
  <c r="E113" i="62"/>
  <c r="F113" i="62"/>
  <c r="G113" i="62"/>
  <c r="H113" i="62"/>
  <c r="J113" i="62"/>
  <c r="K113" i="62"/>
  <c r="M113" i="62"/>
  <c r="O113" i="62"/>
  <c r="P113" i="62"/>
  <c r="R113" i="62"/>
  <c r="S113" i="62"/>
  <c r="T113" i="62"/>
  <c r="U113" i="62"/>
  <c r="V113" i="62"/>
  <c r="W113" i="62"/>
  <c r="X113" i="62"/>
  <c r="Z113" i="62"/>
  <c r="AA113" i="62"/>
  <c r="AB113" i="62"/>
  <c r="AC113" i="62"/>
  <c r="AD113" i="62"/>
  <c r="AE113" i="62"/>
  <c r="AF113" i="62"/>
  <c r="AG113" i="62"/>
  <c r="AH113" i="62"/>
  <c r="AI113" i="62"/>
  <c r="AJ113" i="62"/>
  <c r="AK113" i="62"/>
  <c r="AL113" i="62"/>
  <c r="AM113" i="62"/>
  <c r="AN113" i="62"/>
  <c r="AO113" i="62"/>
  <c r="AP113" i="62"/>
  <c r="AQ113" i="62"/>
  <c r="AR113" i="62"/>
  <c r="AS113" i="62"/>
  <c r="AT113" i="62"/>
  <c r="AU113" i="62"/>
  <c r="AW113" i="62"/>
  <c r="AX113" i="62"/>
  <c r="AY113" i="62"/>
  <c r="BA113" i="62"/>
  <c r="BC113" i="62"/>
  <c r="A114" i="62"/>
  <c r="B114" i="62"/>
  <c r="D114" i="62"/>
  <c r="E114" i="62"/>
  <c r="F114" i="62"/>
  <c r="G114" i="62"/>
  <c r="H114" i="62"/>
  <c r="J114" i="62"/>
  <c r="K114" i="62"/>
  <c r="M114" i="62"/>
  <c r="O114" i="62"/>
  <c r="P114" i="62"/>
  <c r="R114" i="62"/>
  <c r="S114" i="62"/>
  <c r="T114" i="62"/>
  <c r="U114" i="62"/>
  <c r="V114" i="62"/>
  <c r="W114" i="62"/>
  <c r="X114" i="62"/>
  <c r="Z114" i="62"/>
  <c r="AA114" i="62"/>
  <c r="AB114" i="62"/>
  <c r="AC114" i="62"/>
  <c r="AD114" i="62"/>
  <c r="AE114" i="62"/>
  <c r="AF114" i="62"/>
  <c r="AG114" i="62"/>
  <c r="AH114" i="62"/>
  <c r="AI114" i="62"/>
  <c r="AJ114" i="62"/>
  <c r="AK114" i="62"/>
  <c r="AL114" i="62"/>
  <c r="AM114" i="62"/>
  <c r="AN114" i="62"/>
  <c r="AO114" i="62"/>
  <c r="AP114" i="62"/>
  <c r="AQ114" i="62"/>
  <c r="AR114" i="62"/>
  <c r="AS114" i="62"/>
  <c r="AT114" i="62"/>
  <c r="AU114" i="62"/>
  <c r="AW114" i="62"/>
  <c r="AX114" i="62"/>
  <c r="AY114" i="62"/>
  <c r="BA114" i="62"/>
  <c r="BC114" i="62"/>
  <c r="A115" i="62"/>
  <c r="B115" i="62"/>
  <c r="D115" i="62"/>
  <c r="E115" i="62"/>
  <c r="F115" i="62"/>
  <c r="G115" i="62"/>
  <c r="H115" i="62"/>
  <c r="J115" i="62"/>
  <c r="K115" i="62"/>
  <c r="M115" i="62"/>
  <c r="O115" i="62"/>
  <c r="P115" i="62"/>
  <c r="R115" i="62"/>
  <c r="S115" i="62"/>
  <c r="T115" i="62"/>
  <c r="U115" i="62"/>
  <c r="V115" i="62"/>
  <c r="W115" i="62"/>
  <c r="X115" i="62"/>
  <c r="Z115" i="62"/>
  <c r="AA115" i="62"/>
  <c r="AB115" i="62"/>
  <c r="AC115" i="62"/>
  <c r="AD115" i="62"/>
  <c r="AE115" i="62"/>
  <c r="AF115" i="62"/>
  <c r="AG115" i="62"/>
  <c r="AH115" i="62"/>
  <c r="AI115" i="62"/>
  <c r="AJ115" i="62"/>
  <c r="AK115" i="62"/>
  <c r="AL115" i="62"/>
  <c r="AM115" i="62"/>
  <c r="AN115" i="62"/>
  <c r="AO115" i="62"/>
  <c r="AP115" i="62"/>
  <c r="AQ115" i="62"/>
  <c r="AR115" i="62"/>
  <c r="AS115" i="62"/>
  <c r="AT115" i="62"/>
  <c r="AU115" i="62"/>
  <c r="AW115" i="62"/>
  <c r="AX115" i="62"/>
  <c r="AY115" i="62"/>
  <c r="BA115" i="62"/>
  <c r="BC115" i="62"/>
  <c r="A116" i="62"/>
  <c r="B116" i="62"/>
  <c r="D116" i="62"/>
  <c r="E116" i="62"/>
  <c r="F116" i="62"/>
  <c r="G116" i="62"/>
  <c r="H116" i="62"/>
  <c r="J116" i="62"/>
  <c r="K116" i="62"/>
  <c r="M116" i="62"/>
  <c r="O116" i="62"/>
  <c r="P116" i="62"/>
  <c r="R116" i="62"/>
  <c r="S116" i="62"/>
  <c r="T116" i="62"/>
  <c r="U116" i="62"/>
  <c r="V116" i="62"/>
  <c r="W116" i="62"/>
  <c r="X116" i="62"/>
  <c r="Z116" i="62"/>
  <c r="AA116" i="62"/>
  <c r="AB116" i="62"/>
  <c r="AC116" i="62"/>
  <c r="AD116" i="62"/>
  <c r="AE116" i="62"/>
  <c r="AF116" i="62"/>
  <c r="AG116" i="62"/>
  <c r="AH116" i="62"/>
  <c r="AI116" i="62"/>
  <c r="AJ116" i="62"/>
  <c r="AK116" i="62"/>
  <c r="AL116" i="62"/>
  <c r="AM116" i="62"/>
  <c r="AN116" i="62"/>
  <c r="AO116" i="62"/>
  <c r="AP116" i="62"/>
  <c r="AQ116" i="62"/>
  <c r="AR116" i="62"/>
  <c r="AS116" i="62"/>
  <c r="AT116" i="62"/>
  <c r="AU116" i="62"/>
  <c r="AW116" i="62"/>
  <c r="AX116" i="62"/>
  <c r="AY116" i="62"/>
  <c r="BA116" i="62"/>
  <c r="BC116" i="62"/>
  <c r="A117" i="62"/>
  <c r="B117" i="62"/>
  <c r="D117" i="62"/>
  <c r="E117" i="62"/>
  <c r="F117" i="62"/>
  <c r="G117" i="62"/>
  <c r="H117" i="62"/>
  <c r="J117" i="62"/>
  <c r="K117" i="62"/>
  <c r="M117" i="62"/>
  <c r="O117" i="62"/>
  <c r="P117" i="62"/>
  <c r="R117" i="62"/>
  <c r="S117" i="62"/>
  <c r="T117" i="62"/>
  <c r="U117" i="62"/>
  <c r="V117" i="62"/>
  <c r="W117" i="62"/>
  <c r="X117" i="62"/>
  <c r="Z117" i="62"/>
  <c r="AA117" i="62"/>
  <c r="AB117" i="62"/>
  <c r="AC117" i="62"/>
  <c r="AD117" i="62"/>
  <c r="AE117" i="62"/>
  <c r="AF117" i="62"/>
  <c r="AG117" i="62"/>
  <c r="AH117" i="62"/>
  <c r="AI117" i="62"/>
  <c r="AJ117" i="62"/>
  <c r="AK117" i="62"/>
  <c r="AL117" i="62"/>
  <c r="AM117" i="62"/>
  <c r="AN117" i="62"/>
  <c r="AO117" i="62"/>
  <c r="AP117" i="62"/>
  <c r="AQ117" i="62"/>
  <c r="AR117" i="62"/>
  <c r="AS117" i="62"/>
  <c r="AT117" i="62"/>
  <c r="AU117" i="62"/>
  <c r="AW117" i="62"/>
  <c r="AX117" i="62"/>
  <c r="AY117" i="62"/>
  <c r="BA117" i="62"/>
  <c r="BC117" i="62"/>
  <c r="A118" i="62"/>
  <c r="B118" i="62"/>
  <c r="D118" i="62"/>
  <c r="E118" i="62"/>
  <c r="F118" i="62"/>
  <c r="G118" i="62"/>
  <c r="H118" i="62"/>
  <c r="J118" i="62"/>
  <c r="K118" i="62"/>
  <c r="M118" i="62"/>
  <c r="O118" i="62"/>
  <c r="P118" i="62"/>
  <c r="R118" i="62"/>
  <c r="S118" i="62"/>
  <c r="T118" i="62"/>
  <c r="U118" i="62"/>
  <c r="V118" i="62"/>
  <c r="W118" i="62"/>
  <c r="X118" i="62"/>
  <c r="Z118" i="62"/>
  <c r="AA118" i="62"/>
  <c r="AB118" i="62"/>
  <c r="AC118" i="62"/>
  <c r="AD118" i="62"/>
  <c r="AE118" i="62"/>
  <c r="AF118" i="62"/>
  <c r="AG118" i="62"/>
  <c r="AH118" i="62"/>
  <c r="AI118" i="62"/>
  <c r="AJ118" i="62"/>
  <c r="AK118" i="62"/>
  <c r="AL118" i="62"/>
  <c r="AM118" i="62"/>
  <c r="AN118" i="62"/>
  <c r="AO118" i="62"/>
  <c r="AP118" i="62"/>
  <c r="AQ118" i="62"/>
  <c r="AR118" i="62"/>
  <c r="AS118" i="62"/>
  <c r="AT118" i="62"/>
  <c r="AU118" i="62"/>
  <c r="AW118" i="62"/>
  <c r="AX118" i="62"/>
  <c r="AY118" i="62"/>
  <c r="BA118" i="62"/>
  <c r="BC118" i="62"/>
  <c r="A119" i="62"/>
  <c r="B119" i="62"/>
  <c r="D119" i="62"/>
  <c r="E119" i="62"/>
  <c r="F119" i="62"/>
  <c r="G119" i="62"/>
  <c r="H119" i="62"/>
  <c r="J119" i="62"/>
  <c r="K119" i="62"/>
  <c r="M119" i="62"/>
  <c r="O119" i="62"/>
  <c r="P119" i="62"/>
  <c r="R119" i="62"/>
  <c r="S119" i="62"/>
  <c r="T119" i="62"/>
  <c r="U119" i="62"/>
  <c r="V119" i="62"/>
  <c r="W119" i="62"/>
  <c r="X119" i="62"/>
  <c r="Z119" i="62"/>
  <c r="AA119" i="62"/>
  <c r="AB119" i="62"/>
  <c r="AC119" i="62"/>
  <c r="AD119" i="62"/>
  <c r="AE119" i="62"/>
  <c r="AF119" i="62"/>
  <c r="AG119" i="62"/>
  <c r="AH119" i="62"/>
  <c r="AI119" i="62"/>
  <c r="AJ119" i="62"/>
  <c r="AK119" i="62"/>
  <c r="AL119" i="62"/>
  <c r="AM119" i="62"/>
  <c r="AN119" i="62"/>
  <c r="AO119" i="62"/>
  <c r="AP119" i="62"/>
  <c r="AQ119" i="62"/>
  <c r="AR119" i="62"/>
  <c r="AS119" i="62"/>
  <c r="AT119" i="62"/>
  <c r="AU119" i="62"/>
  <c r="AW119" i="62"/>
  <c r="AX119" i="62"/>
  <c r="AY119" i="62"/>
  <c r="BA119" i="62"/>
  <c r="BC119" i="62"/>
  <c r="A120" i="62"/>
  <c r="B120" i="62"/>
  <c r="D120" i="62"/>
  <c r="E120" i="62"/>
  <c r="F120" i="62"/>
  <c r="G120" i="62"/>
  <c r="H120" i="62"/>
  <c r="J120" i="62"/>
  <c r="K120" i="62"/>
  <c r="M120" i="62"/>
  <c r="O120" i="62"/>
  <c r="P120" i="62"/>
  <c r="R120" i="62"/>
  <c r="S120" i="62"/>
  <c r="T120" i="62"/>
  <c r="U120" i="62"/>
  <c r="V120" i="62"/>
  <c r="W120" i="62"/>
  <c r="X120" i="62"/>
  <c r="Z120" i="62"/>
  <c r="AA120" i="62"/>
  <c r="AB120" i="62"/>
  <c r="AC120" i="62"/>
  <c r="AD120" i="62"/>
  <c r="AE120" i="62"/>
  <c r="AF120" i="62"/>
  <c r="AG120" i="62"/>
  <c r="AH120" i="62"/>
  <c r="AI120" i="62"/>
  <c r="AJ120" i="62"/>
  <c r="AK120" i="62"/>
  <c r="AL120" i="62"/>
  <c r="AM120" i="62"/>
  <c r="AN120" i="62"/>
  <c r="AO120" i="62"/>
  <c r="AP120" i="62"/>
  <c r="AQ120" i="62"/>
  <c r="AR120" i="62"/>
  <c r="AS120" i="62"/>
  <c r="AT120" i="62"/>
  <c r="AU120" i="62"/>
  <c r="AW120" i="62"/>
  <c r="AX120" i="62"/>
  <c r="AY120" i="62"/>
  <c r="BA120" i="62"/>
  <c r="BC120" i="62"/>
  <c r="A121" i="62"/>
  <c r="B121" i="62"/>
  <c r="D121" i="62"/>
  <c r="E121" i="62"/>
  <c r="F121" i="62"/>
  <c r="G121" i="62"/>
  <c r="H121" i="62"/>
  <c r="J121" i="62"/>
  <c r="K121" i="62"/>
  <c r="M121" i="62"/>
  <c r="O121" i="62"/>
  <c r="P121" i="62"/>
  <c r="R121" i="62"/>
  <c r="S121" i="62"/>
  <c r="T121" i="62"/>
  <c r="U121" i="62"/>
  <c r="V121" i="62"/>
  <c r="W121" i="62"/>
  <c r="X121" i="62"/>
  <c r="Z121" i="62"/>
  <c r="AA121" i="62"/>
  <c r="AB121" i="62"/>
  <c r="AC121" i="62"/>
  <c r="AD121" i="62"/>
  <c r="AE121" i="62"/>
  <c r="AF121" i="62"/>
  <c r="AG121" i="62"/>
  <c r="AH121" i="62"/>
  <c r="AI121" i="62"/>
  <c r="AJ121" i="62"/>
  <c r="AK121" i="62"/>
  <c r="AL121" i="62"/>
  <c r="AM121" i="62"/>
  <c r="AN121" i="62"/>
  <c r="AO121" i="62"/>
  <c r="AP121" i="62"/>
  <c r="AQ121" i="62"/>
  <c r="AR121" i="62"/>
  <c r="AS121" i="62"/>
  <c r="AT121" i="62"/>
  <c r="AU121" i="62"/>
  <c r="AW121" i="62"/>
  <c r="AX121" i="62"/>
  <c r="AY121" i="62"/>
  <c r="BA121" i="62"/>
  <c r="BC121" i="62"/>
  <c r="A122" i="62"/>
  <c r="B122" i="62"/>
  <c r="D122" i="62"/>
  <c r="E122" i="62"/>
  <c r="F122" i="62"/>
  <c r="G122" i="62"/>
  <c r="H122" i="62"/>
  <c r="J122" i="62"/>
  <c r="K122" i="62"/>
  <c r="M122" i="62"/>
  <c r="O122" i="62"/>
  <c r="P122" i="62"/>
  <c r="R122" i="62"/>
  <c r="S122" i="62"/>
  <c r="T122" i="62"/>
  <c r="U122" i="62"/>
  <c r="V122" i="62"/>
  <c r="W122" i="62"/>
  <c r="X122" i="62"/>
  <c r="Z122" i="62"/>
  <c r="AA122" i="62"/>
  <c r="AB122" i="62"/>
  <c r="AC122" i="62"/>
  <c r="AD122" i="62"/>
  <c r="AE122" i="62"/>
  <c r="AF122" i="62"/>
  <c r="AG122" i="62"/>
  <c r="AH122" i="62"/>
  <c r="AI122" i="62"/>
  <c r="AJ122" i="62"/>
  <c r="AK122" i="62"/>
  <c r="AL122" i="62"/>
  <c r="AM122" i="62"/>
  <c r="AN122" i="62"/>
  <c r="AO122" i="62"/>
  <c r="AP122" i="62"/>
  <c r="AQ122" i="62"/>
  <c r="AR122" i="62"/>
  <c r="AS122" i="62"/>
  <c r="AT122" i="62"/>
  <c r="AU122" i="62"/>
  <c r="AW122" i="62"/>
  <c r="AX122" i="62"/>
  <c r="AY122" i="62"/>
  <c r="BA122" i="62"/>
  <c r="BC122" i="62"/>
  <c r="A123" i="62"/>
  <c r="B123" i="62"/>
  <c r="D123" i="62"/>
  <c r="E123" i="62"/>
  <c r="F123" i="62"/>
  <c r="G123" i="62"/>
  <c r="H123" i="62"/>
  <c r="J123" i="62"/>
  <c r="K123" i="62"/>
  <c r="M123" i="62"/>
  <c r="O123" i="62"/>
  <c r="P123" i="62"/>
  <c r="R123" i="62"/>
  <c r="S123" i="62"/>
  <c r="T123" i="62"/>
  <c r="U123" i="62"/>
  <c r="V123" i="62"/>
  <c r="W123" i="62"/>
  <c r="X123" i="62"/>
  <c r="Z123" i="62"/>
  <c r="AA123" i="62"/>
  <c r="AB123" i="62"/>
  <c r="AC123" i="62"/>
  <c r="AD123" i="62"/>
  <c r="AE123" i="62"/>
  <c r="AF123" i="62"/>
  <c r="AG123" i="62"/>
  <c r="AH123" i="62"/>
  <c r="AI123" i="62"/>
  <c r="AJ123" i="62"/>
  <c r="AK123" i="62"/>
  <c r="AL123" i="62"/>
  <c r="AM123" i="62"/>
  <c r="AN123" i="62"/>
  <c r="AO123" i="62"/>
  <c r="AP123" i="62"/>
  <c r="AQ123" i="62"/>
  <c r="AR123" i="62"/>
  <c r="AS123" i="62"/>
  <c r="AT123" i="62"/>
  <c r="AU123" i="62"/>
  <c r="AW123" i="62"/>
  <c r="AX123" i="62"/>
  <c r="AY123" i="62"/>
  <c r="BA123" i="62"/>
  <c r="BC123" i="62"/>
  <c r="A124" i="62"/>
  <c r="B124" i="62"/>
  <c r="D124" i="62"/>
  <c r="E124" i="62"/>
  <c r="F124" i="62"/>
  <c r="G124" i="62"/>
  <c r="H124" i="62"/>
  <c r="J124" i="62"/>
  <c r="K124" i="62"/>
  <c r="M124" i="62"/>
  <c r="O124" i="62"/>
  <c r="P124" i="62"/>
  <c r="R124" i="62"/>
  <c r="S124" i="62"/>
  <c r="T124" i="62"/>
  <c r="U124" i="62"/>
  <c r="V124" i="62"/>
  <c r="W124" i="62"/>
  <c r="X124" i="62"/>
  <c r="Z124" i="62"/>
  <c r="AA124" i="62"/>
  <c r="AB124" i="62"/>
  <c r="AC124" i="62"/>
  <c r="AD124" i="62"/>
  <c r="AE124" i="62"/>
  <c r="AF124" i="62"/>
  <c r="AG124" i="62"/>
  <c r="AH124" i="62"/>
  <c r="AI124" i="62"/>
  <c r="AJ124" i="62"/>
  <c r="AK124" i="62"/>
  <c r="AL124" i="62"/>
  <c r="AM124" i="62"/>
  <c r="AN124" i="62"/>
  <c r="AO124" i="62"/>
  <c r="AP124" i="62"/>
  <c r="AQ124" i="62"/>
  <c r="AR124" i="62"/>
  <c r="AS124" i="62"/>
  <c r="AT124" i="62"/>
  <c r="AU124" i="62"/>
  <c r="AW124" i="62"/>
  <c r="AX124" i="62"/>
  <c r="AY124" i="62"/>
  <c r="BA124" i="62"/>
  <c r="BC124" i="62"/>
  <c r="A125" i="62"/>
  <c r="B125" i="62"/>
  <c r="D125" i="62"/>
  <c r="E125" i="62"/>
  <c r="F125" i="62"/>
  <c r="G125" i="62"/>
  <c r="H125" i="62"/>
  <c r="J125" i="62"/>
  <c r="K125" i="62"/>
  <c r="M125" i="62"/>
  <c r="O125" i="62"/>
  <c r="P125" i="62"/>
  <c r="R125" i="62"/>
  <c r="S125" i="62"/>
  <c r="T125" i="62"/>
  <c r="U125" i="62"/>
  <c r="V125" i="62"/>
  <c r="W125" i="62"/>
  <c r="X125" i="62"/>
  <c r="Z125" i="62"/>
  <c r="AA125" i="62"/>
  <c r="AB125" i="62"/>
  <c r="AC125" i="62"/>
  <c r="AD125" i="62"/>
  <c r="AE125" i="62"/>
  <c r="AF125" i="62"/>
  <c r="AG125" i="62"/>
  <c r="AH125" i="62"/>
  <c r="AI125" i="62"/>
  <c r="AJ125" i="62"/>
  <c r="AK125" i="62"/>
  <c r="AL125" i="62"/>
  <c r="AM125" i="62"/>
  <c r="AN125" i="62"/>
  <c r="AO125" i="62"/>
  <c r="AP125" i="62"/>
  <c r="AQ125" i="62"/>
  <c r="AR125" i="62"/>
  <c r="AS125" i="62"/>
  <c r="AT125" i="62"/>
  <c r="AU125" i="62"/>
  <c r="AW125" i="62"/>
  <c r="AX125" i="62"/>
  <c r="AY125" i="62"/>
  <c r="BA125" i="62"/>
  <c r="BC125" i="62"/>
  <c r="A126" i="62"/>
  <c r="B126" i="62"/>
  <c r="D126" i="62"/>
  <c r="E126" i="62"/>
  <c r="F126" i="62"/>
  <c r="G126" i="62"/>
  <c r="H126" i="62"/>
  <c r="J126" i="62"/>
  <c r="K126" i="62"/>
  <c r="M126" i="62"/>
  <c r="O126" i="62"/>
  <c r="P126" i="62"/>
  <c r="R126" i="62"/>
  <c r="S126" i="62"/>
  <c r="T126" i="62"/>
  <c r="U126" i="62"/>
  <c r="V126" i="62"/>
  <c r="W126" i="62"/>
  <c r="X126" i="62"/>
  <c r="Z126" i="62"/>
  <c r="AA126" i="62"/>
  <c r="AB126" i="62"/>
  <c r="AC126" i="62"/>
  <c r="AD126" i="62"/>
  <c r="AE126" i="62"/>
  <c r="AF126" i="62"/>
  <c r="AG126" i="62"/>
  <c r="AH126" i="62"/>
  <c r="AI126" i="62"/>
  <c r="AJ126" i="62"/>
  <c r="AK126" i="62"/>
  <c r="AL126" i="62"/>
  <c r="AM126" i="62"/>
  <c r="AN126" i="62"/>
  <c r="AO126" i="62"/>
  <c r="AP126" i="62"/>
  <c r="AQ126" i="62"/>
  <c r="AR126" i="62"/>
  <c r="AS126" i="62"/>
  <c r="AT126" i="62"/>
  <c r="AU126" i="62"/>
  <c r="AW126" i="62"/>
  <c r="AX126" i="62"/>
  <c r="AY126" i="62"/>
  <c r="BA126" i="62"/>
  <c r="BC126" i="62"/>
  <c r="A127" i="62"/>
  <c r="B127" i="62"/>
  <c r="D127" i="62"/>
  <c r="E127" i="62"/>
  <c r="F127" i="62"/>
  <c r="G127" i="62"/>
  <c r="H127" i="62"/>
  <c r="J127" i="62"/>
  <c r="K127" i="62"/>
  <c r="M127" i="62"/>
  <c r="O127" i="62"/>
  <c r="P127" i="62"/>
  <c r="R127" i="62"/>
  <c r="S127" i="62"/>
  <c r="T127" i="62"/>
  <c r="U127" i="62"/>
  <c r="V127" i="62"/>
  <c r="W127" i="62"/>
  <c r="X127" i="62"/>
  <c r="Z127" i="62"/>
  <c r="AA127" i="62"/>
  <c r="AB127" i="62"/>
  <c r="AC127" i="62"/>
  <c r="AD127" i="62"/>
  <c r="AE127" i="62"/>
  <c r="AF127" i="62"/>
  <c r="AG127" i="62"/>
  <c r="AH127" i="62"/>
  <c r="AI127" i="62"/>
  <c r="AJ127" i="62"/>
  <c r="AK127" i="62"/>
  <c r="AL127" i="62"/>
  <c r="AM127" i="62"/>
  <c r="AN127" i="62"/>
  <c r="AO127" i="62"/>
  <c r="AP127" i="62"/>
  <c r="AQ127" i="62"/>
  <c r="AR127" i="62"/>
  <c r="AS127" i="62"/>
  <c r="AT127" i="62"/>
  <c r="AU127" i="62"/>
  <c r="AW127" i="62"/>
  <c r="AX127" i="62"/>
  <c r="AY127" i="62"/>
  <c r="BA127" i="62"/>
  <c r="BC127" i="62"/>
  <c r="A128" i="62"/>
  <c r="B128" i="62"/>
  <c r="D128" i="62"/>
  <c r="E128" i="62"/>
  <c r="F128" i="62"/>
  <c r="G128" i="62"/>
  <c r="H128" i="62"/>
  <c r="J128" i="62"/>
  <c r="K128" i="62"/>
  <c r="M128" i="62"/>
  <c r="O128" i="62"/>
  <c r="P128" i="62"/>
  <c r="R128" i="62"/>
  <c r="S128" i="62"/>
  <c r="T128" i="62"/>
  <c r="U128" i="62"/>
  <c r="V128" i="62"/>
  <c r="W128" i="62"/>
  <c r="X128" i="62"/>
  <c r="Z128" i="62"/>
  <c r="AA128" i="62"/>
  <c r="AB128" i="62"/>
  <c r="AC128" i="62"/>
  <c r="AD128" i="62"/>
  <c r="AE128" i="62"/>
  <c r="AF128" i="62"/>
  <c r="AG128" i="62"/>
  <c r="AH128" i="62"/>
  <c r="AI128" i="62"/>
  <c r="AJ128" i="62"/>
  <c r="AK128" i="62"/>
  <c r="AL128" i="62"/>
  <c r="AM128" i="62"/>
  <c r="AN128" i="62"/>
  <c r="AO128" i="62"/>
  <c r="AP128" i="62"/>
  <c r="AQ128" i="62"/>
  <c r="AR128" i="62"/>
  <c r="AS128" i="62"/>
  <c r="AT128" i="62"/>
  <c r="AU128" i="62"/>
  <c r="AW128" i="62"/>
  <c r="AX128" i="62"/>
  <c r="AY128" i="62"/>
  <c r="BA128" i="62"/>
  <c r="BC128" i="62"/>
  <c r="A129" i="62"/>
  <c r="B129" i="62"/>
  <c r="D129" i="62"/>
  <c r="E129" i="62"/>
  <c r="F129" i="62"/>
  <c r="G129" i="62"/>
  <c r="H129" i="62"/>
  <c r="J129" i="62"/>
  <c r="K129" i="62"/>
  <c r="M129" i="62"/>
  <c r="O129" i="62"/>
  <c r="P129" i="62"/>
  <c r="R129" i="62"/>
  <c r="S129" i="62"/>
  <c r="T129" i="62"/>
  <c r="U129" i="62"/>
  <c r="V129" i="62"/>
  <c r="W129" i="62"/>
  <c r="X129" i="62"/>
  <c r="Z129" i="62"/>
  <c r="AA129" i="62"/>
  <c r="AB129" i="62"/>
  <c r="AC129" i="62"/>
  <c r="AD129" i="62"/>
  <c r="AE129" i="62"/>
  <c r="AF129" i="62"/>
  <c r="AG129" i="62"/>
  <c r="AH129" i="62"/>
  <c r="AI129" i="62"/>
  <c r="AJ129" i="62"/>
  <c r="AK129" i="62"/>
  <c r="AL129" i="62"/>
  <c r="AM129" i="62"/>
  <c r="AN129" i="62"/>
  <c r="AO129" i="62"/>
  <c r="AP129" i="62"/>
  <c r="AQ129" i="62"/>
  <c r="AR129" i="62"/>
  <c r="AS129" i="62"/>
  <c r="AT129" i="62"/>
  <c r="AU129" i="62"/>
  <c r="AW129" i="62"/>
  <c r="AX129" i="62"/>
  <c r="AY129" i="62"/>
  <c r="BA129" i="62"/>
  <c r="BC129" i="62"/>
  <c r="A130" i="62"/>
  <c r="B130" i="62"/>
  <c r="D130" i="62"/>
  <c r="E130" i="62"/>
  <c r="F130" i="62"/>
  <c r="G130" i="62"/>
  <c r="H130" i="62"/>
  <c r="J130" i="62"/>
  <c r="K130" i="62"/>
  <c r="M130" i="62"/>
  <c r="O130" i="62"/>
  <c r="P130" i="62"/>
  <c r="R130" i="62"/>
  <c r="S130" i="62"/>
  <c r="T130" i="62"/>
  <c r="U130" i="62"/>
  <c r="V130" i="62"/>
  <c r="W130" i="62"/>
  <c r="X130" i="62"/>
  <c r="Z130" i="62"/>
  <c r="AA130" i="62"/>
  <c r="AB130" i="62"/>
  <c r="AC130" i="62"/>
  <c r="AD130" i="62"/>
  <c r="AE130" i="62"/>
  <c r="AF130" i="62"/>
  <c r="AG130" i="62"/>
  <c r="AH130" i="62"/>
  <c r="AI130" i="62"/>
  <c r="AJ130" i="62"/>
  <c r="AK130" i="62"/>
  <c r="AL130" i="62"/>
  <c r="AM130" i="62"/>
  <c r="AN130" i="62"/>
  <c r="AO130" i="62"/>
  <c r="AP130" i="62"/>
  <c r="AQ130" i="62"/>
  <c r="AR130" i="62"/>
  <c r="AS130" i="62"/>
  <c r="AT130" i="62"/>
  <c r="AU130" i="62"/>
  <c r="AW130" i="62"/>
  <c r="AX130" i="62"/>
  <c r="AY130" i="62"/>
  <c r="BA130" i="62"/>
  <c r="BC130" i="62"/>
  <c r="A131" i="62"/>
  <c r="B131" i="62"/>
  <c r="D131" i="62"/>
  <c r="E131" i="62"/>
  <c r="F131" i="62"/>
  <c r="G131" i="62"/>
  <c r="H131" i="62"/>
  <c r="J131" i="62"/>
  <c r="K131" i="62"/>
  <c r="M131" i="62"/>
  <c r="O131" i="62"/>
  <c r="P131" i="62"/>
  <c r="R131" i="62"/>
  <c r="S131" i="62"/>
  <c r="T131" i="62"/>
  <c r="U131" i="62"/>
  <c r="V131" i="62"/>
  <c r="W131" i="62"/>
  <c r="X131" i="62"/>
  <c r="Z131" i="62"/>
  <c r="AA131" i="62"/>
  <c r="AB131" i="62"/>
  <c r="AC131" i="62"/>
  <c r="AD131" i="62"/>
  <c r="AE131" i="62"/>
  <c r="AF131" i="62"/>
  <c r="AG131" i="62"/>
  <c r="AH131" i="62"/>
  <c r="AI131" i="62"/>
  <c r="AJ131" i="62"/>
  <c r="AK131" i="62"/>
  <c r="AL131" i="62"/>
  <c r="AM131" i="62"/>
  <c r="AN131" i="62"/>
  <c r="AO131" i="62"/>
  <c r="AP131" i="62"/>
  <c r="AQ131" i="62"/>
  <c r="AR131" i="62"/>
  <c r="AS131" i="62"/>
  <c r="AT131" i="62"/>
  <c r="AU131" i="62"/>
  <c r="AW131" i="62"/>
  <c r="AX131" i="62"/>
  <c r="AY131" i="62"/>
  <c r="BA131" i="62"/>
  <c r="BC131" i="62"/>
  <c r="A132" i="62"/>
  <c r="B132" i="62"/>
  <c r="D132" i="62"/>
  <c r="E132" i="62"/>
  <c r="F132" i="62"/>
  <c r="G132" i="62"/>
  <c r="H132" i="62"/>
  <c r="J132" i="62"/>
  <c r="K132" i="62"/>
  <c r="M132" i="62"/>
  <c r="O132" i="62"/>
  <c r="P132" i="62"/>
  <c r="R132" i="62"/>
  <c r="S132" i="62"/>
  <c r="T132" i="62"/>
  <c r="U132" i="62"/>
  <c r="V132" i="62"/>
  <c r="W132" i="62"/>
  <c r="X132" i="62"/>
  <c r="Z132" i="62"/>
  <c r="AA132" i="62"/>
  <c r="AB132" i="62"/>
  <c r="AC132" i="62"/>
  <c r="AD132" i="62"/>
  <c r="AE132" i="62"/>
  <c r="AF132" i="62"/>
  <c r="AG132" i="62"/>
  <c r="AH132" i="62"/>
  <c r="AI132" i="62"/>
  <c r="AJ132" i="62"/>
  <c r="AK132" i="62"/>
  <c r="AL132" i="62"/>
  <c r="AM132" i="62"/>
  <c r="AN132" i="62"/>
  <c r="AO132" i="62"/>
  <c r="AP132" i="62"/>
  <c r="AQ132" i="62"/>
  <c r="AR132" i="62"/>
  <c r="AS132" i="62"/>
  <c r="AT132" i="62"/>
  <c r="AU132" i="62"/>
  <c r="AW132" i="62"/>
  <c r="AX132" i="62"/>
  <c r="AY132" i="62"/>
  <c r="BA132" i="62"/>
  <c r="BC132" i="62"/>
  <c r="A133" i="62"/>
  <c r="B133" i="62"/>
  <c r="D133" i="62"/>
  <c r="E133" i="62"/>
  <c r="F133" i="62"/>
  <c r="G133" i="62"/>
  <c r="H133" i="62"/>
  <c r="J133" i="62"/>
  <c r="K133" i="62"/>
  <c r="M133" i="62"/>
  <c r="O133" i="62"/>
  <c r="P133" i="62"/>
  <c r="R133" i="62"/>
  <c r="S133" i="62"/>
  <c r="T133" i="62"/>
  <c r="U133" i="62"/>
  <c r="V133" i="62"/>
  <c r="W133" i="62"/>
  <c r="X133" i="62"/>
  <c r="Z133" i="62"/>
  <c r="AA133" i="62"/>
  <c r="AB133" i="62"/>
  <c r="AC133" i="62"/>
  <c r="AD133" i="62"/>
  <c r="AE133" i="62"/>
  <c r="AF133" i="62"/>
  <c r="AG133" i="62"/>
  <c r="AH133" i="62"/>
  <c r="AI133" i="62"/>
  <c r="AJ133" i="62"/>
  <c r="AK133" i="62"/>
  <c r="AL133" i="62"/>
  <c r="AM133" i="62"/>
  <c r="AN133" i="62"/>
  <c r="AO133" i="62"/>
  <c r="AP133" i="62"/>
  <c r="AQ133" i="62"/>
  <c r="AR133" i="62"/>
  <c r="AS133" i="62"/>
  <c r="AT133" i="62"/>
  <c r="AU133" i="62"/>
  <c r="AW133" i="62"/>
  <c r="AX133" i="62"/>
  <c r="AY133" i="62"/>
  <c r="BA133" i="62"/>
  <c r="BC133" i="62"/>
  <c r="A134" i="62"/>
  <c r="B134" i="62"/>
  <c r="D134" i="62"/>
  <c r="E134" i="62"/>
  <c r="F134" i="62"/>
  <c r="G134" i="62"/>
  <c r="H134" i="62"/>
  <c r="J134" i="62"/>
  <c r="K134" i="62"/>
  <c r="M134" i="62"/>
  <c r="O134" i="62"/>
  <c r="P134" i="62"/>
  <c r="R134" i="62"/>
  <c r="S134" i="62"/>
  <c r="T134" i="62"/>
  <c r="U134" i="62"/>
  <c r="V134" i="62"/>
  <c r="W134" i="62"/>
  <c r="X134" i="62"/>
  <c r="Z134" i="62"/>
  <c r="AA134" i="62"/>
  <c r="AB134" i="62"/>
  <c r="AC134" i="62"/>
  <c r="AD134" i="62"/>
  <c r="AE134" i="62"/>
  <c r="AF134" i="62"/>
  <c r="AG134" i="62"/>
  <c r="AH134" i="62"/>
  <c r="AI134" i="62"/>
  <c r="AJ134" i="62"/>
  <c r="AK134" i="62"/>
  <c r="AL134" i="62"/>
  <c r="AM134" i="62"/>
  <c r="AN134" i="62"/>
  <c r="AO134" i="62"/>
  <c r="AP134" i="62"/>
  <c r="AQ134" i="62"/>
  <c r="AR134" i="62"/>
  <c r="AS134" i="62"/>
  <c r="AT134" i="62"/>
  <c r="AU134" i="62"/>
  <c r="AW134" i="62"/>
  <c r="AX134" i="62"/>
  <c r="AY134" i="62"/>
  <c r="BA134" i="62"/>
  <c r="BC134" i="62"/>
  <c r="A135" i="62"/>
  <c r="B135" i="62"/>
  <c r="D135" i="62"/>
  <c r="E135" i="62"/>
  <c r="F135" i="62"/>
  <c r="G135" i="62"/>
  <c r="H135" i="62"/>
  <c r="J135" i="62"/>
  <c r="K135" i="62"/>
  <c r="M135" i="62"/>
  <c r="O135" i="62"/>
  <c r="P135" i="62"/>
  <c r="R135" i="62"/>
  <c r="S135" i="62"/>
  <c r="T135" i="62"/>
  <c r="U135" i="62"/>
  <c r="V135" i="62"/>
  <c r="W135" i="62"/>
  <c r="X135" i="62"/>
  <c r="Z135" i="62"/>
  <c r="AA135" i="62"/>
  <c r="AB135" i="62"/>
  <c r="AC135" i="62"/>
  <c r="AD135" i="62"/>
  <c r="AE135" i="62"/>
  <c r="AF135" i="62"/>
  <c r="AG135" i="62"/>
  <c r="AH135" i="62"/>
  <c r="AI135" i="62"/>
  <c r="AJ135" i="62"/>
  <c r="AK135" i="62"/>
  <c r="AL135" i="62"/>
  <c r="AM135" i="62"/>
  <c r="AN135" i="62"/>
  <c r="AO135" i="62"/>
  <c r="AP135" i="62"/>
  <c r="AQ135" i="62"/>
  <c r="AR135" i="62"/>
  <c r="AS135" i="62"/>
  <c r="AT135" i="62"/>
  <c r="AU135" i="62"/>
  <c r="AW135" i="62"/>
  <c r="AX135" i="62"/>
  <c r="AY135" i="62"/>
  <c r="BA135" i="62"/>
  <c r="BC135" i="62"/>
  <c r="A136" i="62"/>
  <c r="B136" i="62"/>
  <c r="D136" i="62"/>
  <c r="E136" i="62"/>
  <c r="F136" i="62"/>
  <c r="G136" i="62"/>
  <c r="H136" i="62"/>
  <c r="J136" i="62"/>
  <c r="K136" i="62"/>
  <c r="M136" i="62"/>
  <c r="O136" i="62"/>
  <c r="P136" i="62"/>
  <c r="R136" i="62"/>
  <c r="S136" i="62"/>
  <c r="T136" i="62"/>
  <c r="U136" i="62"/>
  <c r="V136" i="62"/>
  <c r="W136" i="62"/>
  <c r="X136" i="62"/>
  <c r="Z136" i="62"/>
  <c r="AA136" i="62"/>
  <c r="AB136" i="62"/>
  <c r="AC136" i="62"/>
  <c r="AD136" i="62"/>
  <c r="AE136" i="62"/>
  <c r="AF136" i="62"/>
  <c r="AG136" i="62"/>
  <c r="AH136" i="62"/>
  <c r="AI136" i="62"/>
  <c r="AJ136" i="62"/>
  <c r="AK136" i="62"/>
  <c r="AL136" i="62"/>
  <c r="AM136" i="62"/>
  <c r="AN136" i="62"/>
  <c r="AO136" i="62"/>
  <c r="AP136" i="62"/>
  <c r="AQ136" i="62"/>
  <c r="AR136" i="62"/>
  <c r="AS136" i="62"/>
  <c r="AT136" i="62"/>
  <c r="AU136" i="62"/>
  <c r="AW136" i="62"/>
  <c r="AX136" i="62"/>
  <c r="AY136" i="62"/>
  <c r="BA136" i="62"/>
  <c r="BC136" i="62"/>
  <c r="A137" i="62"/>
  <c r="B137" i="62"/>
  <c r="D137" i="62"/>
  <c r="E137" i="62"/>
  <c r="F137" i="62"/>
  <c r="G137" i="62"/>
  <c r="H137" i="62"/>
  <c r="J137" i="62"/>
  <c r="K137" i="62"/>
  <c r="M137" i="62"/>
  <c r="O137" i="62"/>
  <c r="P137" i="62"/>
  <c r="R137" i="62"/>
  <c r="S137" i="62"/>
  <c r="T137" i="62"/>
  <c r="U137" i="62"/>
  <c r="V137" i="62"/>
  <c r="W137" i="62"/>
  <c r="X137" i="62"/>
  <c r="Z137" i="62"/>
  <c r="AA137" i="62"/>
  <c r="AB137" i="62"/>
  <c r="AC137" i="62"/>
  <c r="AD137" i="62"/>
  <c r="AE137" i="62"/>
  <c r="AF137" i="62"/>
  <c r="AG137" i="62"/>
  <c r="AH137" i="62"/>
  <c r="AI137" i="62"/>
  <c r="AJ137" i="62"/>
  <c r="AK137" i="62"/>
  <c r="AL137" i="62"/>
  <c r="AM137" i="62"/>
  <c r="AN137" i="62"/>
  <c r="AO137" i="62"/>
  <c r="AP137" i="62"/>
  <c r="AQ137" i="62"/>
  <c r="AR137" i="62"/>
  <c r="AS137" i="62"/>
  <c r="AT137" i="62"/>
  <c r="AU137" i="62"/>
  <c r="AW137" i="62"/>
  <c r="AX137" i="62"/>
  <c r="AY137" i="62"/>
  <c r="BA137" i="62"/>
  <c r="BC137" i="62"/>
  <c r="A138" i="62"/>
  <c r="B138" i="62"/>
  <c r="D138" i="62"/>
  <c r="E138" i="62"/>
  <c r="F138" i="62"/>
  <c r="G138" i="62"/>
  <c r="H138" i="62"/>
  <c r="J138" i="62"/>
  <c r="K138" i="62"/>
  <c r="M138" i="62"/>
  <c r="O138" i="62"/>
  <c r="P138" i="62"/>
  <c r="R138" i="62"/>
  <c r="S138" i="62"/>
  <c r="T138" i="62"/>
  <c r="U138" i="62"/>
  <c r="V138" i="62"/>
  <c r="W138" i="62"/>
  <c r="X138" i="62"/>
  <c r="Z138" i="62"/>
  <c r="AA138" i="62"/>
  <c r="AB138" i="62"/>
  <c r="AC138" i="62"/>
  <c r="AD138" i="62"/>
  <c r="AE138" i="62"/>
  <c r="AF138" i="62"/>
  <c r="AG138" i="62"/>
  <c r="AH138" i="62"/>
  <c r="AI138" i="62"/>
  <c r="AJ138" i="62"/>
  <c r="AK138" i="62"/>
  <c r="AL138" i="62"/>
  <c r="AM138" i="62"/>
  <c r="AN138" i="62"/>
  <c r="AO138" i="62"/>
  <c r="AP138" i="62"/>
  <c r="AQ138" i="62"/>
  <c r="AR138" i="62"/>
  <c r="AS138" i="62"/>
  <c r="AT138" i="62"/>
  <c r="AU138" i="62"/>
  <c r="AW138" i="62"/>
  <c r="AX138" i="62"/>
  <c r="AY138" i="62"/>
  <c r="BA138" i="62"/>
  <c r="BC138" i="62"/>
  <c r="A139" i="62"/>
  <c r="B139" i="62"/>
  <c r="D139" i="62"/>
  <c r="E139" i="62"/>
  <c r="F139" i="62"/>
  <c r="G139" i="62"/>
  <c r="H139" i="62"/>
  <c r="J139" i="62"/>
  <c r="K139" i="62"/>
  <c r="M139" i="62"/>
  <c r="O139" i="62"/>
  <c r="P139" i="62"/>
  <c r="R139" i="62"/>
  <c r="S139" i="62"/>
  <c r="T139" i="62"/>
  <c r="U139" i="62"/>
  <c r="V139" i="62"/>
  <c r="W139" i="62"/>
  <c r="X139" i="62"/>
  <c r="Z139" i="62"/>
  <c r="AA139" i="62"/>
  <c r="AB139" i="62"/>
  <c r="AC139" i="62"/>
  <c r="AD139" i="62"/>
  <c r="AE139" i="62"/>
  <c r="AF139" i="62"/>
  <c r="AG139" i="62"/>
  <c r="AH139" i="62"/>
  <c r="AI139" i="62"/>
  <c r="AJ139" i="62"/>
  <c r="AK139" i="62"/>
  <c r="AL139" i="62"/>
  <c r="AM139" i="62"/>
  <c r="AN139" i="62"/>
  <c r="AO139" i="62"/>
  <c r="AP139" i="62"/>
  <c r="AQ139" i="62"/>
  <c r="AR139" i="62"/>
  <c r="AS139" i="62"/>
  <c r="AT139" i="62"/>
  <c r="AU139" i="62"/>
  <c r="AW139" i="62"/>
  <c r="AX139" i="62"/>
  <c r="AY139" i="62"/>
  <c r="BA139" i="62"/>
  <c r="BC139" i="62"/>
  <c r="A140" i="62"/>
  <c r="B140" i="62"/>
  <c r="D140" i="62"/>
  <c r="E140" i="62"/>
  <c r="F140" i="62"/>
  <c r="G140" i="62"/>
  <c r="H140" i="62"/>
  <c r="J140" i="62"/>
  <c r="K140" i="62"/>
  <c r="M140" i="62"/>
  <c r="O140" i="62"/>
  <c r="P140" i="62"/>
  <c r="R140" i="62"/>
  <c r="S140" i="62"/>
  <c r="T140" i="62"/>
  <c r="U140" i="62"/>
  <c r="V140" i="62"/>
  <c r="W140" i="62"/>
  <c r="X140" i="62"/>
  <c r="Z140" i="62"/>
  <c r="AA140" i="62"/>
  <c r="AB140" i="62"/>
  <c r="AC140" i="62"/>
  <c r="AD140" i="62"/>
  <c r="AE140" i="62"/>
  <c r="AF140" i="62"/>
  <c r="AG140" i="62"/>
  <c r="AH140" i="62"/>
  <c r="AI140" i="62"/>
  <c r="AJ140" i="62"/>
  <c r="AK140" i="62"/>
  <c r="AL140" i="62"/>
  <c r="AM140" i="62"/>
  <c r="AN140" i="62"/>
  <c r="AO140" i="62"/>
  <c r="AP140" i="62"/>
  <c r="AQ140" i="62"/>
  <c r="AR140" i="62"/>
  <c r="AS140" i="62"/>
  <c r="AT140" i="62"/>
  <c r="AU140" i="62"/>
  <c r="AW140" i="62"/>
  <c r="AX140" i="62"/>
  <c r="AY140" i="62"/>
  <c r="BA140" i="62"/>
  <c r="BC140" i="62"/>
  <c r="A141" i="62"/>
  <c r="B141" i="62"/>
  <c r="D141" i="62"/>
  <c r="E141" i="62"/>
  <c r="F141" i="62"/>
  <c r="G141" i="62"/>
  <c r="H141" i="62"/>
  <c r="J141" i="62"/>
  <c r="K141" i="62"/>
  <c r="M141" i="62"/>
  <c r="O141" i="62"/>
  <c r="P141" i="62"/>
  <c r="R141" i="62"/>
  <c r="S141" i="62"/>
  <c r="T141" i="62"/>
  <c r="U141" i="62"/>
  <c r="V141" i="62"/>
  <c r="W141" i="62"/>
  <c r="X141" i="62"/>
  <c r="Z141" i="62"/>
  <c r="AA141" i="62"/>
  <c r="AB141" i="62"/>
  <c r="AC141" i="62"/>
  <c r="AD141" i="62"/>
  <c r="AE141" i="62"/>
  <c r="AF141" i="62"/>
  <c r="AG141" i="62"/>
  <c r="AH141" i="62"/>
  <c r="AI141" i="62"/>
  <c r="AJ141" i="62"/>
  <c r="AK141" i="62"/>
  <c r="AL141" i="62"/>
  <c r="AM141" i="62"/>
  <c r="AN141" i="62"/>
  <c r="AO141" i="62"/>
  <c r="AP141" i="62"/>
  <c r="AQ141" i="62"/>
  <c r="AR141" i="62"/>
  <c r="AS141" i="62"/>
  <c r="AT141" i="62"/>
  <c r="AU141" i="62"/>
  <c r="AW141" i="62"/>
  <c r="AX141" i="62"/>
  <c r="AY141" i="62"/>
  <c r="BA141" i="62"/>
  <c r="BC141" i="62"/>
  <c r="A142" i="62"/>
  <c r="B142" i="62"/>
  <c r="D142" i="62"/>
  <c r="E142" i="62"/>
  <c r="F142" i="62"/>
  <c r="G142" i="62"/>
  <c r="H142" i="62"/>
  <c r="J142" i="62"/>
  <c r="K142" i="62"/>
  <c r="M142" i="62"/>
  <c r="O142" i="62"/>
  <c r="P142" i="62"/>
  <c r="R142" i="62"/>
  <c r="S142" i="62"/>
  <c r="T142" i="62"/>
  <c r="U142" i="62"/>
  <c r="V142" i="62"/>
  <c r="W142" i="62"/>
  <c r="X142" i="62"/>
  <c r="Z142" i="62"/>
  <c r="AA142" i="62"/>
  <c r="AB142" i="62"/>
  <c r="AC142" i="62"/>
  <c r="AD142" i="62"/>
  <c r="AE142" i="62"/>
  <c r="AF142" i="62"/>
  <c r="AG142" i="62"/>
  <c r="AH142" i="62"/>
  <c r="AI142" i="62"/>
  <c r="AJ142" i="62"/>
  <c r="AK142" i="62"/>
  <c r="AL142" i="62"/>
  <c r="AM142" i="62"/>
  <c r="AN142" i="62"/>
  <c r="AO142" i="62"/>
  <c r="AP142" i="62"/>
  <c r="AQ142" i="62"/>
  <c r="AR142" i="62"/>
  <c r="AS142" i="62"/>
  <c r="AT142" i="62"/>
  <c r="AU142" i="62"/>
  <c r="AW142" i="62"/>
  <c r="AX142" i="62"/>
  <c r="AY142" i="62"/>
  <c r="BA142" i="62"/>
  <c r="BC142" i="62"/>
  <c r="A143" i="62"/>
  <c r="B143" i="62"/>
  <c r="D143" i="62"/>
  <c r="E143" i="62"/>
  <c r="F143" i="62"/>
  <c r="G143" i="62"/>
  <c r="H143" i="62"/>
  <c r="J143" i="62"/>
  <c r="K143" i="62"/>
  <c r="M143" i="62"/>
  <c r="O143" i="62"/>
  <c r="P143" i="62"/>
  <c r="R143" i="62"/>
  <c r="S143" i="62"/>
  <c r="T143" i="62"/>
  <c r="U143" i="62"/>
  <c r="V143" i="62"/>
  <c r="W143" i="62"/>
  <c r="X143" i="62"/>
  <c r="Z143" i="62"/>
  <c r="AA143" i="62"/>
  <c r="AB143" i="62"/>
  <c r="AC143" i="62"/>
  <c r="AD143" i="62"/>
  <c r="AE143" i="62"/>
  <c r="AF143" i="62"/>
  <c r="AG143" i="62"/>
  <c r="AH143" i="62"/>
  <c r="AI143" i="62"/>
  <c r="AJ143" i="62"/>
  <c r="AK143" i="62"/>
  <c r="AL143" i="62"/>
  <c r="AM143" i="62"/>
  <c r="AN143" i="62"/>
  <c r="AO143" i="62"/>
  <c r="AP143" i="62"/>
  <c r="AQ143" i="62"/>
  <c r="AR143" i="62"/>
  <c r="AS143" i="62"/>
  <c r="AT143" i="62"/>
  <c r="AU143" i="62"/>
  <c r="AW143" i="62"/>
  <c r="AX143" i="62"/>
  <c r="AY143" i="62"/>
  <c r="BA143" i="62"/>
  <c r="BC143" i="62"/>
  <c r="A144" i="62"/>
  <c r="B144" i="62"/>
  <c r="D144" i="62"/>
  <c r="E144" i="62"/>
  <c r="F144" i="62"/>
  <c r="G144" i="62"/>
  <c r="H144" i="62"/>
  <c r="J144" i="62"/>
  <c r="K144" i="62"/>
  <c r="M144" i="62"/>
  <c r="O144" i="62"/>
  <c r="P144" i="62"/>
  <c r="R144" i="62"/>
  <c r="S144" i="62"/>
  <c r="T144" i="62"/>
  <c r="U144" i="62"/>
  <c r="V144" i="62"/>
  <c r="W144" i="62"/>
  <c r="X144" i="62"/>
  <c r="Z144" i="62"/>
  <c r="AA144" i="62"/>
  <c r="AB144" i="62"/>
  <c r="AC144" i="62"/>
  <c r="AD144" i="62"/>
  <c r="AE144" i="62"/>
  <c r="AF144" i="62"/>
  <c r="AG144" i="62"/>
  <c r="AH144" i="62"/>
  <c r="AI144" i="62"/>
  <c r="AJ144" i="62"/>
  <c r="AK144" i="62"/>
  <c r="AL144" i="62"/>
  <c r="AM144" i="62"/>
  <c r="AN144" i="62"/>
  <c r="AO144" i="62"/>
  <c r="AP144" i="62"/>
  <c r="AQ144" i="62"/>
  <c r="AR144" i="62"/>
  <c r="AS144" i="62"/>
  <c r="AT144" i="62"/>
  <c r="AU144" i="62"/>
  <c r="AW144" i="62"/>
  <c r="AX144" i="62"/>
  <c r="AY144" i="62"/>
  <c r="BA144" i="62"/>
  <c r="BC144" i="62"/>
  <c r="A145" i="62"/>
  <c r="B145" i="62"/>
  <c r="D145" i="62"/>
  <c r="E145" i="62"/>
  <c r="F145" i="62"/>
  <c r="G145" i="62"/>
  <c r="H145" i="62"/>
  <c r="J145" i="62"/>
  <c r="K145" i="62"/>
  <c r="M145" i="62"/>
  <c r="O145" i="62"/>
  <c r="P145" i="62"/>
  <c r="R145" i="62"/>
  <c r="S145" i="62"/>
  <c r="T145" i="62"/>
  <c r="U145" i="62"/>
  <c r="V145" i="62"/>
  <c r="W145" i="62"/>
  <c r="X145" i="62"/>
  <c r="Z145" i="62"/>
  <c r="AA145" i="62"/>
  <c r="AB145" i="62"/>
  <c r="AC145" i="62"/>
  <c r="AD145" i="62"/>
  <c r="AE145" i="62"/>
  <c r="AF145" i="62"/>
  <c r="AG145" i="62"/>
  <c r="AH145" i="62"/>
  <c r="AI145" i="62"/>
  <c r="AJ145" i="62"/>
  <c r="AK145" i="62"/>
  <c r="AL145" i="62"/>
  <c r="AM145" i="62"/>
  <c r="AN145" i="62"/>
  <c r="AO145" i="62"/>
  <c r="AP145" i="62"/>
  <c r="AQ145" i="62"/>
  <c r="AR145" i="62"/>
  <c r="AS145" i="62"/>
  <c r="AT145" i="62"/>
  <c r="AU145" i="62"/>
  <c r="AW145" i="62"/>
  <c r="AX145" i="62"/>
  <c r="AY145" i="62"/>
  <c r="BA145" i="62"/>
  <c r="BC145" i="62"/>
  <c r="A146" i="62"/>
  <c r="B146" i="62"/>
  <c r="D146" i="62"/>
  <c r="E146" i="62"/>
  <c r="F146" i="62"/>
  <c r="G146" i="62"/>
  <c r="H146" i="62"/>
  <c r="J146" i="62"/>
  <c r="K146" i="62"/>
  <c r="M146" i="62"/>
  <c r="O146" i="62"/>
  <c r="P146" i="62"/>
  <c r="R146" i="62"/>
  <c r="S146" i="62"/>
  <c r="T146" i="62"/>
  <c r="U146" i="62"/>
  <c r="V146" i="62"/>
  <c r="W146" i="62"/>
  <c r="X146" i="62"/>
  <c r="Z146" i="62"/>
  <c r="AA146" i="62"/>
  <c r="AB146" i="62"/>
  <c r="AC146" i="62"/>
  <c r="AD146" i="62"/>
  <c r="AE146" i="62"/>
  <c r="AF146" i="62"/>
  <c r="AG146" i="62"/>
  <c r="AH146" i="62"/>
  <c r="AI146" i="62"/>
  <c r="AJ146" i="62"/>
  <c r="AK146" i="62"/>
  <c r="AL146" i="62"/>
  <c r="AM146" i="62"/>
  <c r="AN146" i="62"/>
  <c r="AO146" i="62"/>
  <c r="AP146" i="62"/>
  <c r="AQ146" i="62"/>
  <c r="AR146" i="62"/>
  <c r="AS146" i="62"/>
  <c r="AT146" i="62"/>
  <c r="AU146" i="62"/>
  <c r="AW146" i="62"/>
  <c r="AX146" i="62"/>
  <c r="AY146" i="62"/>
  <c r="BA146" i="62"/>
  <c r="BC146" i="62"/>
  <c r="A147" i="62"/>
  <c r="B147" i="62"/>
  <c r="D147" i="62"/>
  <c r="E147" i="62"/>
  <c r="F147" i="62"/>
  <c r="G147" i="62"/>
  <c r="H147" i="62"/>
  <c r="J147" i="62"/>
  <c r="K147" i="62"/>
  <c r="M147" i="62"/>
  <c r="O147" i="62"/>
  <c r="P147" i="62"/>
  <c r="R147" i="62"/>
  <c r="S147" i="62"/>
  <c r="T147" i="62"/>
  <c r="U147" i="62"/>
  <c r="V147" i="62"/>
  <c r="W147" i="62"/>
  <c r="X147" i="62"/>
  <c r="Z147" i="62"/>
  <c r="AA147" i="62"/>
  <c r="AB147" i="62"/>
  <c r="AC147" i="62"/>
  <c r="AD147" i="62"/>
  <c r="AE147" i="62"/>
  <c r="AF147" i="62"/>
  <c r="AG147" i="62"/>
  <c r="AH147" i="62"/>
  <c r="AI147" i="62"/>
  <c r="AJ147" i="62"/>
  <c r="AK147" i="62"/>
  <c r="AL147" i="62"/>
  <c r="AM147" i="62"/>
  <c r="AN147" i="62"/>
  <c r="AO147" i="62"/>
  <c r="AP147" i="62"/>
  <c r="AQ147" i="62"/>
  <c r="AR147" i="62"/>
  <c r="AS147" i="62"/>
  <c r="AT147" i="62"/>
  <c r="AU147" i="62"/>
  <c r="AW147" i="62"/>
  <c r="AX147" i="62"/>
  <c r="AY147" i="62"/>
  <c r="BA147" i="62"/>
  <c r="BC147" i="62"/>
  <c r="A148" i="62"/>
  <c r="B148" i="62"/>
  <c r="D148" i="62"/>
  <c r="E148" i="62"/>
  <c r="F148" i="62"/>
  <c r="G148" i="62"/>
  <c r="H148" i="62"/>
  <c r="J148" i="62"/>
  <c r="K148" i="62"/>
  <c r="M148" i="62"/>
  <c r="O148" i="62"/>
  <c r="P148" i="62"/>
  <c r="R148" i="62"/>
  <c r="S148" i="62"/>
  <c r="T148" i="62"/>
  <c r="U148" i="62"/>
  <c r="V148" i="62"/>
  <c r="W148" i="62"/>
  <c r="X148" i="62"/>
  <c r="Z148" i="62"/>
  <c r="AA148" i="62"/>
  <c r="AB148" i="62"/>
  <c r="AC148" i="62"/>
  <c r="AD148" i="62"/>
  <c r="AE148" i="62"/>
  <c r="AF148" i="62"/>
  <c r="AG148" i="62"/>
  <c r="AH148" i="62"/>
  <c r="AI148" i="62"/>
  <c r="AJ148" i="62"/>
  <c r="AK148" i="62"/>
  <c r="AL148" i="62"/>
  <c r="AM148" i="62"/>
  <c r="AN148" i="62"/>
  <c r="AO148" i="62"/>
  <c r="AP148" i="62"/>
  <c r="AQ148" i="62"/>
  <c r="AR148" i="62"/>
  <c r="AS148" i="62"/>
  <c r="AT148" i="62"/>
  <c r="AU148" i="62"/>
  <c r="AW148" i="62"/>
  <c r="AX148" i="62"/>
  <c r="AY148" i="62"/>
  <c r="BA148" i="62"/>
  <c r="BC148" i="62"/>
  <c r="A149" i="62"/>
  <c r="B149" i="62"/>
  <c r="D149" i="62"/>
  <c r="E149" i="62"/>
  <c r="F149" i="62"/>
  <c r="G149" i="62"/>
  <c r="H149" i="62"/>
  <c r="J149" i="62"/>
  <c r="K149" i="62"/>
  <c r="M149" i="62"/>
  <c r="O149" i="62"/>
  <c r="P149" i="62"/>
  <c r="R149" i="62"/>
  <c r="S149" i="62"/>
  <c r="T149" i="62"/>
  <c r="U149" i="62"/>
  <c r="V149" i="62"/>
  <c r="W149" i="62"/>
  <c r="X149" i="62"/>
  <c r="Z149" i="62"/>
  <c r="AA149" i="62"/>
  <c r="AB149" i="62"/>
  <c r="AC149" i="62"/>
  <c r="AD149" i="62"/>
  <c r="AE149" i="62"/>
  <c r="AF149" i="62"/>
  <c r="AG149" i="62"/>
  <c r="AH149" i="62"/>
  <c r="AI149" i="62"/>
  <c r="AJ149" i="62"/>
  <c r="AK149" i="62"/>
  <c r="AL149" i="62"/>
  <c r="AM149" i="62"/>
  <c r="AN149" i="62"/>
  <c r="AO149" i="62"/>
  <c r="AP149" i="62"/>
  <c r="AQ149" i="62"/>
  <c r="AR149" i="62"/>
  <c r="AS149" i="62"/>
  <c r="AT149" i="62"/>
  <c r="AU149" i="62"/>
  <c r="AW149" i="62"/>
  <c r="AX149" i="62"/>
  <c r="AY149" i="62"/>
  <c r="BA149" i="62"/>
  <c r="BC149" i="62"/>
  <c r="A150" i="62"/>
  <c r="B150" i="62"/>
  <c r="D150" i="62"/>
  <c r="E150" i="62"/>
  <c r="F150" i="62"/>
  <c r="G150" i="62"/>
  <c r="H150" i="62"/>
  <c r="J150" i="62"/>
  <c r="K150" i="62"/>
  <c r="M150" i="62"/>
  <c r="O150" i="62"/>
  <c r="P150" i="62"/>
  <c r="R150" i="62"/>
  <c r="S150" i="62"/>
  <c r="T150" i="62"/>
  <c r="U150" i="62"/>
  <c r="V150" i="62"/>
  <c r="W150" i="62"/>
  <c r="X150" i="62"/>
  <c r="Z150" i="62"/>
  <c r="AA150" i="62"/>
  <c r="AB150" i="62"/>
  <c r="AC150" i="62"/>
  <c r="AD150" i="62"/>
  <c r="AE150" i="62"/>
  <c r="AF150" i="62"/>
  <c r="AG150" i="62"/>
  <c r="AH150" i="62"/>
  <c r="AI150" i="62"/>
  <c r="AJ150" i="62"/>
  <c r="AK150" i="62"/>
  <c r="AL150" i="62"/>
  <c r="AM150" i="62"/>
  <c r="AN150" i="62"/>
  <c r="AO150" i="62"/>
  <c r="AP150" i="62"/>
  <c r="AQ150" i="62"/>
  <c r="AR150" i="62"/>
  <c r="AS150" i="62"/>
  <c r="AT150" i="62"/>
  <c r="AU150" i="62"/>
  <c r="AW150" i="62"/>
  <c r="AX150" i="62"/>
  <c r="AY150" i="62"/>
  <c r="BA150" i="62"/>
  <c r="BC150" i="62"/>
  <c r="A151" i="62"/>
  <c r="B151" i="62"/>
  <c r="D151" i="62"/>
  <c r="E151" i="62"/>
  <c r="F151" i="62"/>
  <c r="G151" i="62"/>
  <c r="H151" i="62"/>
  <c r="J151" i="62"/>
  <c r="K151" i="62"/>
  <c r="M151" i="62"/>
  <c r="O151" i="62"/>
  <c r="P151" i="62"/>
  <c r="R151" i="62"/>
  <c r="S151" i="62"/>
  <c r="T151" i="62"/>
  <c r="U151" i="62"/>
  <c r="V151" i="62"/>
  <c r="W151" i="62"/>
  <c r="X151" i="62"/>
  <c r="Z151" i="62"/>
  <c r="AA151" i="62"/>
  <c r="AB151" i="62"/>
  <c r="AC151" i="62"/>
  <c r="AD151" i="62"/>
  <c r="AE151" i="62"/>
  <c r="AF151" i="62"/>
  <c r="AG151" i="62"/>
  <c r="AH151" i="62"/>
  <c r="AI151" i="62"/>
  <c r="AJ151" i="62"/>
  <c r="AK151" i="62"/>
  <c r="AL151" i="62"/>
  <c r="AM151" i="62"/>
  <c r="AN151" i="62"/>
  <c r="AO151" i="62"/>
  <c r="AP151" i="62"/>
  <c r="AQ151" i="62"/>
  <c r="AR151" i="62"/>
  <c r="AS151" i="62"/>
  <c r="AT151" i="62"/>
  <c r="AU151" i="62"/>
  <c r="AW151" i="62"/>
  <c r="AX151" i="62"/>
  <c r="AY151" i="62"/>
  <c r="BA151" i="62"/>
  <c r="BC151" i="62"/>
  <c r="A152" i="62"/>
  <c r="B152" i="62"/>
  <c r="D152" i="62"/>
  <c r="E152" i="62"/>
  <c r="F152" i="62"/>
  <c r="G152" i="62"/>
  <c r="H152" i="62"/>
  <c r="J152" i="62"/>
  <c r="K152" i="62"/>
  <c r="M152" i="62"/>
  <c r="O152" i="62"/>
  <c r="P152" i="62"/>
  <c r="R152" i="62"/>
  <c r="S152" i="62"/>
  <c r="T152" i="62"/>
  <c r="U152" i="62"/>
  <c r="V152" i="62"/>
  <c r="W152" i="62"/>
  <c r="X152" i="62"/>
  <c r="Z152" i="62"/>
  <c r="AA152" i="62"/>
  <c r="AB152" i="62"/>
  <c r="AC152" i="62"/>
  <c r="AD152" i="62"/>
  <c r="AE152" i="62"/>
  <c r="AF152" i="62"/>
  <c r="AG152" i="62"/>
  <c r="AH152" i="62"/>
  <c r="AI152" i="62"/>
  <c r="AJ152" i="62"/>
  <c r="AK152" i="62"/>
  <c r="AL152" i="62"/>
  <c r="AM152" i="62"/>
  <c r="AN152" i="62"/>
  <c r="AO152" i="62"/>
  <c r="AP152" i="62"/>
  <c r="AQ152" i="62"/>
  <c r="AR152" i="62"/>
  <c r="AS152" i="62"/>
  <c r="AT152" i="62"/>
  <c r="AU152" i="62"/>
  <c r="AW152" i="62"/>
  <c r="AX152" i="62"/>
  <c r="AY152" i="62"/>
  <c r="BA152" i="62"/>
  <c r="BC152" i="62"/>
  <c r="A153" i="62"/>
  <c r="B153" i="62"/>
  <c r="D153" i="62"/>
  <c r="E153" i="62"/>
  <c r="F153" i="62"/>
  <c r="G153" i="62"/>
  <c r="H153" i="62"/>
  <c r="J153" i="62"/>
  <c r="K153" i="62"/>
  <c r="M153" i="62"/>
  <c r="O153" i="62"/>
  <c r="P153" i="62"/>
  <c r="R153" i="62"/>
  <c r="S153" i="62"/>
  <c r="T153" i="62"/>
  <c r="U153" i="62"/>
  <c r="V153" i="62"/>
  <c r="W153" i="62"/>
  <c r="X153" i="62"/>
  <c r="Z153" i="62"/>
  <c r="AA153" i="62"/>
  <c r="AB153" i="62"/>
  <c r="AC153" i="62"/>
  <c r="AD153" i="62"/>
  <c r="AE153" i="62"/>
  <c r="AF153" i="62"/>
  <c r="AG153" i="62"/>
  <c r="AH153" i="62"/>
  <c r="AI153" i="62"/>
  <c r="AJ153" i="62"/>
  <c r="AK153" i="62"/>
  <c r="AL153" i="62"/>
  <c r="AM153" i="62"/>
  <c r="AN153" i="62"/>
  <c r="AO153" i="62"/>
  <c r="AP153" i="62"/>
  <c r="AQ153" i="62"/>
  <c r="AR153" i="62"/>
  <c r="AS153" i="62"/>
  <c r="AT153" i="62"/>
  <c r="AU153" i="62"/>
  <c r="AW153" i="62"/>
  <c r="AX153" i="62"/>
  <c r="AY153" i="62"/>
  <c r="BA153" i="62"/>
  <c r="BC153" i="62"/>
  <c r="A154" i="62"/>
  <c r="B154" i="62"/>
  <c r="D154" i="62"/>
  <c r="E154" i="62"/>
  <c r="F154" i="62"/>
  <c r="G154" i="62"/>
  <c r="H154" i="62"/>
  <c r="J154" i="62"/>
  <c r="K154" i="62"/>
  <c r="M154" i="62"/>
  <c r="O154" i="62"/>
  <c r="P154" i="62"/>
  <c r="R154" i="62"/>
  <c r="S154" i="62"/>
  <c r="T154" i="62"/>
  <c r="U154" i="62"/>
  <c r="V154" i="62"/>
  <c r="W154" i="62"/>
  <c r="X154" i="62"/>
  <c r="Z154" i="62"/>
  <c r="AA154" i="62"/>
  <c r="AB154" i="62"/>
  <c r="AC154" i="62"/>
  <c r="AD154" i="62"/>
  <c r="AE154" i="62"/>
  <c r="AF154" i="62"/>
  <c r="AG154" i="62"/>
  <c r="AH154" i="62"/>
  <c r="AI154" i="62"/>
  <c r="AJ154" i="62"/>
  <c r="AK154" i="62"/>
  <c r="AL154" i="62"/>
  <c r="AM154" i="62"/>
  <c r="AN154" i="62"/>
  <c r="AO154" i="62"/>
  <c r="AP154" i="62"/>
  <c r="AQ154" i="62"/>
  <c r="AR154" i="62"/>
  <c r="AS154" i="62"/>
  <c r="AT154" i="62"/>
  <c r="AU154" i="62"/>
  <c r="AW154" i="62"/>
  <c r="AX154" i="62"/>
  <c r="AY154" i="62"/>
  <c r="BA154" i="62"/>
  <c r="BC154" i="62"/>
  <c r="A155" i="62"/>
  <c r="B155" i="62"/>
  <c r="D155" i="62"/>
  <c r="E155" i="62"/>
  <c r="F155" i="62"/>
  <c r="G155" i="62"/>
  <c r="H155" i="62"/>
  <c r="J155" i="62"/>
  <c r="K155" i="62"/>
  <c r="M155" i="62"/>
  <c r="O155" i="62"/>
  <c r="P155" i="62"/>
  <c r="R155" i="62"/>
  <c r="S155" i="62"/>
  <c r="T155" i="62"/>
  <c r="U155" i="62"/>
  <c r="V155" i="62"/>
  <c r="W155" i="62"/>
  <c r="X155" i="62"/>
  <c r="Z155" i="62"/>
  <c r="AA155" i="62"/>
  <c r="AB155" i="62"/>
  <c r="AC155" i="62"/>
  <c r="AD155" i="62"/>
  <c r="AE155" i="62"/>
  <c r="AF155" i="62"/>
  <c r="AG155" i="62"/>
  <c r="AH155" i="62"/>
  <c r="AI155" i="62"/>
  <c r="AJ155" i="62"/>
  <c r="AK155" i="62"/>
  <c r="AL155" i="62"/>
  <c r="AM155" i="62"/>
  <c r="AN155" i="62"/>
  <c r="AO155" i="62"/>
  <c r="AP155" i="62"/>
  <c r="AQ155" i="62"/>
  <c r="AR155" i="62"/>
  <c r="AS155" i="62"/>
  <c r="AT155" i="62"/>
  <c r="AU155" i="62"/>
  <c r="AW155" i="62"/>
  <c r="AX155" i="62"/>
  <c r="AY155" i="62"/>
  <c r="BA155" i="62"/>
  <c r="BC155" i="62"/>
  <c r="A156" i="62"/>
  <c r="B156" i="62"/>
  <c r="D156" i="62"/>
  <c r="E156" i="62"/>
  <c r="F156" i="62"/>
  <c r="G156" i="62"/>
  <c r="H156" i="62"/>
  <c r="J156" i="62"/>
  <c r="K156" i="62"/>
  <c r="M156" i="62"/>
  <c r="O156" i="62"/>
  <c r="P156" i="62"/>
  <c r="R156" i="62"/>
  <c r="S156" i="62"/>
  <c r="T156" i="62"/>
  <c r="U156" i="62"/>
  <c r="V156" i="62"/>
  <c r="W156" i="62"/>
  <c r="X156" i="62"/>
  <c r="Z156" i="62"/>
  <c r="AA156" i="62"/>
  <c r="AB156" i="62"/>
  <c r="AC156" i="62"/>
  <c r="AD156" i="62"/>
  <c r="AE156" i="62"/>
  <c r="AF156" i="62"/>
  <c r="AG156" i="62"/>
  <c r="AH156" i="62"/>
  <c r="AI156" i="62"/>
  <c r="AJ156" i="62"/>
  <c r="AK156" i="62"/>
  <c r="AL156" i="62"/>
  <c r="AM156" i="62"/>
  <c r="AN156" i="62"/>
  <c r="AO156" i="62"/>
  <c r="AP156" i="62"/>
  <c r="AQ156" i="62"/>
  <c r="AR156" i="62"/>
  <c r="AS156" i="62"/>
  <c r="AT156" i="62"/>
  <c r="AU156" i="62"/>
  <c r="AW156" i="62"/>
  <c r="AX156" i="62"/>
  <c r="AY156" i="62"/>
  <c r="BA156" i="62"/>
  <c r="BC156" i="62"/>
  <c r="A157" i="62"/>
  <c r="B157" i="62"/>
  <c r="D157" i="62"/>
  <c r="E157" i="62"/>
  <c r="F157" i="62"/>
  <c r="G157" i="62"/>
  <c r="H157" i="62"/>
  <c r="J157" i="62"/>
  <c r="K157" i="62"/>
  <c r="M157" i="62"/>
  <c r="O157" i="62"/>
  <c r="P157" i="62"/>
  <c r="R157" i="62"/>
  <c r="S157" i="62"/>
  <c r="T157" i="62"/>
  <c r="U157" i="62"/>
  <c r="V157" i="62"/>
  <c r="W157" i="62"/>
  <c r="X157" i="62"/>
  <c r="Z157" i="62"/>
  <c r="AA157" i="62"/>
  <c r="AB157" i="62"/>
  <c r="AC157" i="62"/>
  <c r="AD157" i="62"/>
  <c r="AE157" i="62"/>
  <c r="AF157" i="62"/>
  <c r="AG157" i="62"/>
  <c r="AH157" i="62"/>
  <c r="AI157" i="62"/>
  <c r="AJ157" i="62"/>
  <c r="AK157" i="62"/>
  <c r="AL157" i="62"/>
  <c r="AM157" i="62"/>
  <c r="AN157" i="62"/>
  <c r="AO157" i="62"/>
  <c r="AP157" i="62"/>
  <c r="AQ157" i="62"/>
  <c r="AR157" i="62"/>
  <c r="AS157" i="62"/>
  <c r="AT157" i="62"/>
  <c r="AU157" i="62"/>
  <c r="AW157" i="62"/>
  <c r="AX157" i="62"/>
  <c r="AY157" i="62"/>
  <c r="BA157" i="62"/>
  <c r="BC157" i="62"/>
  <c r="A158" i="62"/>
  <c r="B158" i="62"/>
  <c r="D158" i="62"/>
  <c r="E158" i="62"/>
  <c r="F158" i="62"/>
  <c r="G158" i="62"/>
  <c r="H158" i="62"/>
  <c r="J158" i="62"/>
  <c r="K158" i="62"/>
  <c r="M158" i="62"/>
  <c r="O158" i="62"/>
  <c r="P158" i="62"/>
  <c r="R158" i="62"/>
  <c r="S158" i="62"/>
  <c r="T158" i="62"/>
  <c r="U158" i="62"/>
  <c r="V158" i="62"/>
  <c r="W158" i="62"/>
  <c r="X158" i="62"/>
  <c r="Z158" i="62"/>
  <c r="AA158" i="62"/>
  <c r="AB158" i="62"/>
  <c r="AC158" i="62"/>
  <c r="AD158" i="62"/>
  <c r="AE158" i="62"/>
  <c r="AF158" i="62"/>
  <c r="AG158" i="62"/>
  <c r="AH158" i="62"/>
  <c r="AI158" i="62"/>
  <c r="AJ158" i="62"/>
  <c r="AK158" i="62"/>
  <c r="AL158" i="62"/>
  <c r="AM158" i="62"/>
  <c r="AN158" i="62"/>
  <c r="AO158" i="62"/>
  <c r="AP158" i="62"/>
  <c r="AQ158" i="62"/>
  <c r="AR158" i="62"/>
  <c r="AS158" i="62"/>
  <c r="AT158" i="62"/>
  <c r="AU158" i="62"/>
  <c r="AW158" i="62"/>
  <c r="AX158" i="62"/>
  <c r="AY158" i="62"/>
  <c r="BA158" i="62"/>
  <c r="BC158" i="62"/>
  <c r="A159" i="62"/>
  <c r="B159" i="62"/>
  <c r="D159" i="62"/>
  <c r="E159" i="62"/>
  <c r="F159" i="62"/>
  <c r="G159" i="62"/>
  <c r="H159" i="62"/>
  <c r="J159" i="62"/>
  <c r="K159" i="62"/>
  <c r="M159" i="62"/>
  <c r="O159" i="62"/>
  <c r="P159" i="62"/>
  <c r="R159" i="62"/>
  <c r="S159" i="62"/>
  <c r="T159" i="62"/>
  <c r="U159" i="62"/>
  <c r="V159" i="62"/>
  <c r="W159" i="62"/>
  <c r="X159" i="62"/>
  <c r="Z159" i="62"/>
  <c r="AA159" i="62"/>
  <c r="AB159" i="62"/>
  <c r="AC159" i="62"/>
  <c r="AD159" i="62"/>
  <c r="AE159" i="62"/>
  <c r="AF159" i="62"/>
  <c r="AG159" i="62"/>
  <c r="AH159" i="62"/>
  <c r="AI159" i="62"/>
  <c r="AJ159" i="62"/>
  <c r="AK159" i="62"/>
  <c r="AL159" i="62"/>
  <c r="AM159" i="62"/>
  <c r="AN159" i="62"/>
  <c r="AO159" i="62"/>
  <c r="AP159" i="62"/>
  <c r="AQ159" i="62"/>
  <c r="AR159" i="62"/>
  <c r="AS159" i="62"/>
  <c r="AT159" i="62"/>
  <c r="AU159" i="62"/>
  <c r="AW159" i="62"/>
  <c r="AX159" i="62"/>
  <c r="AY159" i="62"/>
  <c r="BA159" i="62"/>
  <c r="BC159" i="62"/>
  <c r="A160" i="62"/>
  <c r="B160" i="62"/>
  <c r="D160" i="62"/>
  <c r="E160" i="62"/>
  <c r="F160" i="62"/>
  <c r="G160" i="62"/>
  <c r="H160" i="62"/>
  <c r="J160" i="62"/>
  <c r="K160" i="62"/>
  <c r="M160" i="62"/>
  <c r="O160" i="62"/>
  <c r="P160" i="62"/>
  <c r="R160" i="62"/>
  <c r="S160" i="62"/>
  <c r="T160" i="62"/>
  <c r="U160" i="62"/>
  <c r="V160" i="62"/>
  <c r="W160" i="62"/>
  <c r="X160" i="62"/>
  <c r="Z160" i="62"/>
  <c r="AA160" i="62"/>
  <c r="AB160" i="62"/>
  <c r="AC160" i="62"/>
  <c r="AD160" i="62"/>
  <c r="AE160" i="62"/>
  <c r="AF160" i="62"/>
  <c r="AG160" i="62"/>
  <c r="AH160" i="62"/>
  <c r="AI160" i="62"/>
  <c r="AJ160" i="62"/>
  <c r="AK160" i="62"/>
  <c r="AL160" i="62"/>
  <c r="AM160" i="62"/>
  <c r="AN160" i="62"/>
  <c r="AO160" i="62"/>
  <c r="AP160" i="62"/>
  <c r="AQ160" i="62"/>
  <c r="AR160" i="62"/>
  <c r="AS160" i="62"/>
  <c r="AT160" i="62"/>
  <c r="AU160" i="62"/>
  <c r="AW160" i="62"/>
  <c r="AX160" i="62"/>
  <c r="AY160" i="62"/>
  <c r="BA160" i="62"/>
  <c r="BC160" i="62"/>
  <c r="A161" i="62"/>
  <c r="B161" i="62"/>
  <c r="D161" i="62"/>
  <c r="E161" i="62"/>
  <c r="F161" i="62"/>
  <c r="G161" i="62"/>
  <c r="H161" i="62"/>
  <c r="J161" i="62"/>
  <c r="K161" i="62"/>
  <c r="M161" i="62"/>
  <c r="O161" i="62"/>
  <c r="P161" i="62"/>
  <c r="R161" i="62"/>
  <c r="S161" i="62"/>
  <c r="T161" i="62"/>
  <c r="U161" i="62"/>
  <c r="V161" i="62"/>
  <c r="W161" i="62"/>
  <c r="X161" i="62"/>
  <c r="Z161" i="62"/>
  <c r="AA161" i="62"/>
  <c r="AB161" i="62"/>
  <c r="AC161" i="62"/>
  <c r="AD161" i="62"/>
  <c r="AE161" i="62"/>
  <c r="AF161" i="62"/>
  <c r="AG161" i="62"/>
  <c r="AH161" i="62"/>
  <c r="AI161" i="62"/>
  <c r="AJ161" i="62"/>
  <c r="AK161" i="62"/>
  <c r="AL161" i="62"/>
  <c r="AM161" i="62"/>
  <c r="AN161" i="62"/>
  <c r="AO161" i="62"/>
  <c r="AP161" i="62"/>
  <c r="AQ161" i="62"/>
  <c r="AR161" i="62"/>
  <c r="AS161" i="62"/>
  <c r="AT161" i="62"/>
  <c r="AU161" i="62"/>
  <c r="AW161" i="62"/>
  <c r="AX161" i="62"/>
  <c r="AY161" i="62"/>
  <c r="BA161" i="62"/>
  <c r="BC161" i="62"/>
  <c r="A162" i="62"/>
  <c r="B162" i="62"/>
  <c r="D162" i="62"/>
  <c r="E162" i="62"/>
  <c r="F162" i="62"/>
  <c r="G162" i="62"/>
  <c r="H162" i="62"/>
  <c r="J162" i="62"/>
  <c r="K162" i="62"/>
  <c r="M162" i="62"/>
  <c r="O162" i="62"/>
  <c r="P162" i="62"/>
  <c r="R162" i="62"/>
  <c r="S162" i="62"/>
  <c r="T162" i="62"/>
  <c r="U162" i="62"/>
  <c r="V162" i="62"/>
  <c r="W162" i="62"/>
  <c r="X162" i="62"/>
  <c r="Z162" i="62"/>
  <c r="AA162" i="62"/>
  <c r="AB162" i="62"/>
  <c r="AC162" i="62"/>
  <c r="AD162" i="62"/>
  <c r="AE162" i="62"/>
  <c r="AF162" i="62"/>
  <c r="AG162" i="62"/>
  <c r="AH162" i="62"/>
  <c r="AI162" i="62"/>
  <c r="AJ162" i="62"/>
  <c r="AK162" i="62"/>
  <c r="AL162" i="62"/>
  <c r="AM162" i="62"/>
  <c r="AN162" i="62"/>
  <c r="AO162" i="62"/>
  <c r="AP162" i="62"/>
  <c r="AQ162" i="62"/>
  <c r="AR162" i="62"/>
  <c r="AS162" i="62"/>
  <c r="AT162" i="62"/>
  <c r="AU162" i="62"/>
  <c r="AW162" i="62"/>
  <c r="AX162" i="62"/>
  <c r="AY162" i="62"/>
  <c r="BA162" i="62"/>
  <c r="BC162" i="62"/>
  <c r="A163" i="62"/>
  <c r="B163" i="62"/>
  <c r="D163" i="62"/>
  <c r="E163" i="62"/>
  <c r="F163" i="62"/>
  <c r="G163" i="62"/>
  <c r="H163" i="62"/>
  <c r="J163" i="62"/>
  <c r="K163" i="62"/>
  <c r="M163" i="62"/>
  <c r="O163" i="62"/>
  <c r="P163" i="62"/>
  <c r="R163" i="62"/>
  <c r="S163" i="62"/>
  <c r="T163" i="62"/>
  <c r="U163" i="62"/>
  <c r="V163" i="62"/>
  <c r="W163" i="62"/>
  <c r="X163" i="62"/>
  <c r="Z163" i="62"/>
  <c r="AA163" i="62"/>
  <c r="AB163" i="62"/>
  <c r="AC163" i="62"/>
  <c r="AD163" i="62"/>
  <c r="AE163" i="62"/>
  <c r="AF163" i="62"/>
  <c r="AG163" i="62"/>
  <c r="AH163" i="62"/>
  <c r="AI163" i="62"/>
  <c r="AJ163" i="62"/>
  <c r="AK163" i="62"/>
  <c r="AL163" i="62"/>
  <c r="AM163" i="62"/>
  <c r="AN163" i="62"/>
  <c r="AO163" i="62"/>
  <c r="AP163" i="62"/>
  <c r="AQ163" i="62"/>
  <c r="AR163" i="62"/>
  <c r="AS163" i="62"/>
  <c r="AT163" i="62"/>
  <c r="AU163" i="62"/>
  <c r="AW163" i="62"/>
  <c r="AX163" i="62"/>
  <c r="AY163" i="62"/>
  <c r="BA163" i="62"/>
  <c r="BC163" i="62"/>
  <c r="A164" i="62"/>
  <c r="B164" i="62"/>
  <c r="D164" i="62"/>
  <c r="E164" i="62"/>
  <c r="F164" i="62"/>
  <c r="G164" i="62"/>
  <c r="H164" i="62"/>
  <c r="J164" i="62"/>
  <c r="K164" i="62"/>
  <c r="M164" i="62"/>
  <c r="O164" i="62"/>
  <c r="P164" i="62"/>
  <c r="R164" i="62"/>
  <c r="S164" i="62"/>
  <c r="T164" i="62"/>
  <c r="U164" i="62"/>
  <c r="V164" i="62"/>
  <c r="W164" i="62"/>
  <c r="X164" i="62"/>
  <c r="Z164" i="62"/>
  <c r="AA164" i="62"/>
  <c r="AB164" i="62"/>
  <c r="AC164" i="62"/>
  <c r="AD164" i="62"/>
  <c r="AE164" i="62"/>
  <c r="AF164" i="62"/>
  <c r="AG164" i="62"/>
  <c r="AH164" i="62"/>
  <c r="AI164" i="62"/>
  <c r="AJ164" i="62"/>
  <c r="AK164" i="62"/>
  <c r="AL164" i="62"/>
  <c r="AM164" i="62"/>
  <c r="AN164" i="62"/>
  <c r="AO164" i="62"/>
  <c r="AP164" i="62"/>
  <c r="AQ164" i="62"/>
  <c r="AR164" i="62"/>
  <c r="AS164" i="62"/>
  <c r="AT164" i="62"/>
  <c r="AU164" i="62"/>
  <c r="AW164" i="62"/>
  <c r="AX164" i="62"/>
  <c r="AY164" i="62"/>
  <c r="BA164" i="62"/>
  <c r="BC164" i="62"/>
  <c r="A165" i="62"/>
  <c r="B165" i="62"/>
  <c r="D165" i="62"/>
  <c r="E165" i="62"/>
  <c r="F165" i="62"/>
  <c r="G165" i="62"/>
  <c r="H165" i="62"/>
  <c r="J165" i="62"/>
  <c r="K165" i="62"/>
  <c r="M165" i="62"/>
  <c r="O165" i="62"/>
  <c r="P165" i="62"/>
  <c r="R165" i="62"/>
  <c r="S165" i="62"/>
  <c r="T165" i="62"/>
  <c r="U165" i="62"/>
  <c r="V165" i="62"/>
  <c r="W165" i="62"/>
  <c r="X165" i="62"/>
  <c r="Z165" i="62"/>
  <c r="AA165" i="62"/>
  <c r="AB165" i="62"/>
  <c r="AC165" i="62"/>
  <c r="AD165" i="62"/>
  <c r="AE165" i="62"/>
  <c r="AF165" i="62"/>
  <c r="AG165" i="62"/>
  <c r="AH165" i="62"/>
  <c r="AI165" i="62"/>
  <c r="AJ165" i="62"/>
  <c r="AK165" i="62"/>
  <c r="AL165" i="62"/>
  <c r="AM165" i="62"/>
  <c r="AN165" i="62"/>
  <c r="AO165" i="62"/>
  <c r="AP165" i="62"/>
  <c r="AQ165" i="62"/>
  <c r="AR165" i="62"/>
  <c r="AS165" i="62"/>
  <c r="AT165" i="62"/>
  <c r="AU165" i="62"/>
  <c r="AW165" i="62"/>
  <c r="AX165" i="62"/>
  <c r="AY165" i="62"/>
  <c r="BA165" i="62"/>
  <c r="BC165" i="62"/>
  <c r="A166" i="62"/>
  <c r="B166" i="62"/>
  <c r="D166" i="62"/>
  <c r="E166" i="62"/>
  <c r="F166" i="62"/>
  <c r="G166" i="62"/>
  <c r="H166" i="62"/>
  <c r="J166" i="62"/>
  <c r="K166" i="62"/>
  <c r="M166" i="62"/>
  <c r="O166" i="62"/>
  <c r="P166" i="62"/>
  <c r="R166" i="62"/>
  <c r="S166" i="62"/>
  <c r="T166" i="62"/>
  <c r="U166" i="62"/>
  <c r="V166" i="62"/>
  <c r="W166" i="62"/>
  <c r="X166" i="62"/>
  <c r="Z166" i="62"/>
  <c r="AA166" i="62"/>
  <c r="AB166" i="62"/>
  <c r="AC166" i="62"/>
  <c r="AD166" i="62"/>
  <c r="AE166" i="62"/>
  <c r="AF166" i="62"/>
  <c r="AG166" i="62"/>
  <c r="AH166" i="62"/>
  <c r="AI166" i="62"/>
  <c r="AJ166" i="62"/>
  <c r="AK166" i="62"/>
  <c r="AL166" i="62"/>
  <c r="AM166" i="62"/>
  <c r="AN166" i="62"/>
  <c r="AO166" i="62"/>
  <c r="AP166" i="62"/>
  <c r="AQ166" i="62"/>
  <c r="AR166" i="62"/>
  <c r="AS166" i="62"/>
  <c r="AT166" i="62"/>
  <c r="AU166" i="62"/>
  <c r="AW166" i="62"/>
  <c r="AX166" i="62"/>
  <c r="AY166" i="62"/>
  <c r="BA166" i="62"/>
  <c r="BC166" i="62"/>
  <c r="A167" i="62"/>
  <c r="B167" i="62"/>
  <c r="D167" i="62"/>
  <c r="E167" i="62"/>
  <c r="F167" i="62"/>
  <c r="G167" i="62"/>
  <c r="H167" i="62"/>
  <c r="J167" i="62"/>
  <c r="K167" i="62"/>
  <c r="M167" i="62"/>
  <c r="O167" i="62"/>
  <c r="P167" i="62"/>
  <c r="R167" i="62"/>
  <c r="S167" i="62"/>
  <c r="T167" i="62"/>
  <c r="U167" i="62"/>
  <c r="V167" i="62"/>
  <c r="W167" i="62"/>
  <c r="X167" i="62"/>
  <c r="Z167" i="62"/>
  <c r="AA167" i="62"/>
  <c r="AB167" i="62"/>
  <c r="AC167" i="62"/>
  <c r="AD167" i="62"/>
  <c r="AE167" i="62"/>
  <c r="AF167" i="62"/>
  <c r="AG167" i="62"/>
  <c r="AH167" i="62"/>
  <c r="AI167" i="62"/>
  <c r="AJ167" i="62"/>
  <c r="AK167" i="62"/>
  <c r="AL167" i="62"/>
  <c r="AM167" i="62"/>
  <c r="AN167" i="62"/>
  <c r="AO167" i="62"/>
  <c r="AP167" i="62"/>
  <c r="AQ167" i="62"/>
  <c r="AR167" i="62"/>
  <c r="AS167" i="62"/>
  <c r="AT167" i="62"/>
  <c r="AU167" i="62"/>
  <c r="AW167" i="62"/>
  <c r="AX167" i="62"/>
  <c r="AY167" i="62"/>
  <c r="BA167" i="62"/>
  <c r="BC167" i="62"/>
  <c r="A168" i="62"/>
  <c r="B168" i="62"/>
  <c r="D168" i="62"/>
  <c r="E168" i="62"/>
  <c r="F168" i="62"/>
  <c r="G168" i="62"/>
  <c r="H168" i="62"/>
  <c r="J168" i="62"/>
  <c r="K168" i="62"/>
  <c r="M168" i="62"/>
  <c r="O168" i="62"/>
  <c r="P168" i="62"/>
  <c r="R168" i="62"/>
  <c r="S168" i="62"/>
  <c r="T168" i="62"/>
  <c r="U168" i="62"/>
  <c r="V168" i="62"/>
  <c r="W168" i="62"/>
  <c r="X168" i="62"/>
  <c r="Z168" i="62"/>
  <c r="AA168" i="62"/>
  <c r="AB168" i="62"/>
  <c r="AC168" i="62"/>
  <c r="AD168" i="62"/>
  <c r="AE168" i="62"/>
  <c r="AF168" i="62"/>
  <c r="AG168" i="62"/>
  <c r="AH168" i="62"/>
  <c r="AI168" i="62"/>
  <c r="AJ168" i="62"/>
  <c r="AK168" i="62"/>
  <c r="AL168" i="62"/>
  <c r="AM168" i="62"/>
  <c r="AN168" i="62"/>
  <c r="AO168" i="62"/>
  <c r="AP168" i="62"/>
  <c r="AQ168" i="62"/>
  <c r="AR168" i="62"/>
  <c r="AS168" i="62"/>
  <c r="AT168" i="62"/>
  <c r="AU168" i="62"/>
  <c r="AW168" i="62"/>
  <c r="AX168" i="62"/>
  <c r="AY168" i="62"/>
  <c r="BA168" i="62"/>
  <c r="BC168" i="62"/>
  <c r="A169" i="62"/>
  <c r="B169" i="62"/>
  <c r="D169" i="62"/>
  <c r="E169" i="62"/>
  <c r="F169" i="62"/>
  <c r="G169" i="62"/>
  <c r="H169" i="62"/>
  <c r="J169" i="62"/>
  <c r="K169" i="62"/>
  <c r="M169" i="62"/>
  <c r="O169" i="62"/>
  <c r="P169" i="62"/>
  <c r="R169" i="62"/>
  <c r="S169" i="62"/>
  <c r="T169" i="62"/>
  <c r="U169" i="62"/>
  <c r="V169" i="62"/>
  <c r="W169" i="62"/>
  <c r="X169" i="62"/>
  <c r="Z169" i="62"/>
  <c r="AA169" i="62"/>
  <c r="AB169" i="62"/>
  <c r="AC169" i="62"/>
  <c r="AD169" i="62"/>
  <c r="AE169" i="62"/>
  <c r="AF169" i="62"/>
  <c r="AG169" i="62"/>
  <c r="AH169" i="62"/>
  <c r="AI169" i="62"/>
  <c r="AJ169" i="62"/>
  <c r="AK169" i="62"/>
  <c r="AL169" i="62"/>
  <c r="AM169" i="62"/>
  <c r="AN169" i="62"/>
  <c r="AO169" i="62"/>
  <c r="AP169" i="62"/>
  <c r="AQ169" i="62"/>
  <c r="AR169" i="62"/>
  <c r="AS169" i="62"/>
  <c r="AT169" i="62"/>
  <c r="AU169" i="62"/>
  <c r="AW169" i="62"/>
  <c r="AX169" i="62"/>
  <c r="AY169" i="62"/>
  <c r="BA169" i="62"/>
  <c r="BC169" i="62"/>
  <c r="A170" i="62"/>
  <c r="B170" i="62"/>
  <c r="D170" i="62"/>
  <c r="E170" i="62"/>
  <c r="F170" i="62"/>
  <c r="G170" i="62"/>
  <c r="H170" i="62"/>
  <c r="J170" i="62"/>
  <c r="K170" i="62"/>
  <c r="M170" i="62"/>
  <c r="O170" i="62"/>
  <c r="P170" i="62"/>
  <c r="R170" i="62"/>
  <c r="S170" i="62"/>
  <c r="T170" i="62"/>
  <c r="U170" i="62"/>
  <c r="V170" i="62"/>
  <c r="W170" i="62"/>
  <c r="X170" i="62"/>
  <c r="Z170" i="62"/>
  <c r="AA170" i="62"/>
  <c r="AB170" i="62"/>
  <c r="AC170" i="62"/>
  <c r="AD170" i="62"/>
  <c r="AE170" i="62"/>
  <c r="AF170" i="62"/>
  <c r="AG170" i="62"/>
  <c r="AH170" i="62"/>
  <c r="AI170" i="62"/>
  <c r="AJ170" i="62"/>
  <c r="AK170" i="62"/>
  <c r="AL170" i="62"/>
  <c r="AM170" i="62"/>
  <c r="AN170" i="62"/>
  <c r="AO170" i="62"/>
  <c r="AP170" i="62"/>
  <c r="AQ170" i="62"/>
  <c r="AR170" i="62"/>
  <c r="AS170" i="62"/>
  <c r="AT170" i="62"/>
  <c r="AU170" i="62"/>
  <c r="AW170" i="62"/>
  <c r="AX170" i="62"/>
  <c r="AY170" i="62"/>
  <c r="BA170" i="62"/>
  <c r="BC170" i="62"/>
  <c r="A171" i="62"/>
  <c r="B171" i="62"/>
  <c r="D171" i="62"/>
  <c r="E171" i="62"/>
  <c r="F171" i="62"/>
  <c r="G171" i="62"/>
  <c r="H171" i="62"/>
  <c r="J171" i="62"/>
  <c r="K171" i="62"/>
  <c r="M171" i="62"/>
  <c r="O171" i="62"/>
  <c r="P171" i="62"/>
  <c r="R171" i="62"/>
  <c r="S171" i="62"/>
  <c r="T171" i="62"/>
  <c r="U171" i="62"/>
  <c r="V171" i="62"/>
  <c r="W171" i="62"/>
  <c r="X171" i="62"/>
  <c r="Z171" i="62"/>
  <c r="AA171" i="62"/>
  <c r="AB171" i="62"/>
  <c r="AC171" i="62"/>
  <c r="AD171" i="62"/>
  <c r="AE171" i="62"/>
  <c r="AF171" i="62"/>
  <c r="AG171" i="62"/>
  <c r="AH171" i="62"/>
  <c r="AI171" i="62"/>
  <c r="AJ171" i="62"/>
  <c r="AK171" i="62"/>
  <c r="AL171" i="62"/>
  <c r="AM171" i="62"/>
  <c r="AN171" i="62"/>
  <c r="AO171" i="62"/>
  <c r="AP171" i="62"/>
  <c r="AQ171" i="62"/>
  <c r="AR171" i="62"/>
  <c r="AS171" i="62"/>
  <c r="AT171" i="62"/>
  <c r="AU171" i="62"/>
  <c r="AW171" i="62"/>
  <c r="AX171" i="62"/>
  <c r="AY171" i="62"/>
  <c r="BA171" i="62"/>
  <c r="BC171" i="62"/>
  <c r="A172" i="62"/>
  <c r="B172" i="62"/>
  <c r="D172" i="62"/>
  <c r="E172" i="62"/>
  <c r="F172" i="62"/>
  <c r="G172" i="62"/>
  <c r="H172" i="62"/>
  <c r="J172" i="62"/>
  <c r="K172" i="62"/>
  <c r="M172" i="62"/>
  <c r="O172" i="62"/>
  <c r="P172" i="62"/>
  <c r="R172" i="62"/>
  <c r="S172" i="62"/>
  <c r="T172" i="62"/>
  <c r="U172" i="62"/>
  <c r="V172" i="62"/>
  <c r="W172" i="62"/>
  <c r="X172" i="62"/>
  <c r="Z172" i="62"/>
  <c r="AA172" i="62"/>
  <c r="AB172" i="62"/>
  <c r="AC172" i="62"/>
  <c r="AD172" i="62"/>
  <c r="AE172" i="62"/>
  <c r="AF172" i="62"/>
  <c r="AG172" i="62"/>
  <c r="AH172" i="62"/>
  <c r="AI172" i="62"/>
  <c r="AJ172" i="62"/>
  <c r="AK172" i="62"/>
  <c r="AL172" i="62"/>
  <c r="AM172" i="62"/>
  <c r="AN172" i="62"/>
  <c r="AO172" i="62"/>
  <c r="AP172" i="62"/>
  <c r="AQ172" i="62"/>
  <c r="AR172" i="62"/>
  <c r="AS172" i="62"/>
  <c r="AT172" i="62"/>
  <c r="AU172" i="62"/>
  <c r="AW172" i="62"/>
  <c r="AX172" i="62"/>
  <c r="AY172" i="62"/>
  <c r="BA172" i="62"/>
  <c r="BC172" i="62"/>
  <c r="A173" i="62"/>
  <c r="B173" i="62"/>
  <c r="D173" i="62"/>
  <c r="E173" i="62"/>
  <c r="F173" i="62"/>
  <c r="G173" i="62"/>
  <c r="H173" i="62"/>
  <c r="J173" i="62"/>
  <c r="K173" i="62"/>
  <c r="M173" i="62"/>
  <c r="O173" i="62"/>
  <c r="P173" i="62"/>
  <c r="R173" i="62"/>
  <c r="S173" i="62"/>
  <c r="T173" i="62"/>
  <c r="U173" i="62"/>
  <c r="V173" i="62"/>
  <c r="W173" i="62"/>
  <c r="X173" i="62"/>
  <c r="Z173" i="62"/>
  <c r="AA173" i="62"/>
  <c r="AB173" i="62"/>
  <c r="AC173" i="62"/>
  <c r="AD173" i="62"/>
  <c r="AE173" i="62"/>
  <c r="AF173" i="62"/>
  <c r="AG173" i="62"/>
  <c r="AH173" i="62"/>
  <c r="AI173" i="62"/>
  <c r="AJ173" i="62"/>
  <c r="AK173" i="62"/>
  <c r="AL173" i="62"/>
  <c r="AM173" i="62"/>
  <c r="AN173" i="62"/>
  <c r="AO173" i="62"/>
  <c r="AP173" i="62"/>
  <c r="AQ173" i="62"/>
  <c r="AR173" i="62"/>
  <c r="AS173" i="62"/>
  <c r="AT173" i="62"/>
  <c r="AU173" i="62"/>
  <c r="AW173" i="62"/>
  <c r="AX173" i="62"/>
  <c r="AY173" i="62"/>
  <c r="BA173" i="62"/>
  <c r="BC173" i="62"/>
  <c r="A174" i="62"/>
  <c r="B174" i="62"/>
  <c r="D174" i="62"/>
  <c r="E174" i="62"/>
  <c r="F174" i="62"/>
  <c r="G174" i="62"/>
  <c r="H174" i="62"/>
  <c r="J174" i="62"/>
  <c r="K174" i="62"/>
  <c r="M174" i="62"/>
  <c r="O174" i="62"/>
  <c r="P174" i="62"/>
  <c r="R174" i="62"/>
  <c r="S174" i="62"/>
  <c r="T174" i="62"/>
  <c r="U174" i="62"/>
  <c r="V174" i="62"/>
  <c r="W174" i="62"/>
  <c r="X174" i="62"/>
  <c r="Z174" i="62"/>
  <c r="AA174" i="62"/>
  <c r="AB174" i="62"/>
  <c r="AC174" i="62"/>
  <c r="AD174" i="62"/>
  <c r="AE174" i="62"/>
  <c r="AF174" i="62"/>
  <c r="AG174" i="62"/>
  <c r="AH174" i="62"/>
  <c r="AI174" i="62"/>
  <c r="AJ174" i="62"/>
  <c r="AK174" i="62"/>
  <c r="AL174" i="62"/>
  <c r="AM174" i="62"/>
  <c r="AN174" i="62"/>
  <c r="AO174" i="62"/>
  <c r="AP174" i="62"/>
  <c r="AQ174" i="62"/>
  <c r="AR174" i="62"/>
  <c r="AS174" i="62"/>
  <c r="AT174" i="62"/>
  <c r="AU174" i="62"/>
  <c r="AW174" i="62"/>
  <c r="AX174" i="62"/>
  <c r="AY174" i="62"/>
  <c r="BA174" i="62"/>
  <c r="A175" i="62"/>
  <c r="B175" i="62"/>
  <c r="D175" i="62"/>
  <c r="E175" i="62"/>
  <c r="F175" i="62"/>
  <c r="G175" i="62"/>
  <c r="H175" i="62"/>
  <c r="J175" i="62"/>
  <c r="K175" i="62"/>
  <c r="M175" i="62"/>
  <c r="O175" i="62"/>
  <c r="P175" i="62"/>
  <c r="R175" i="62"/>
  <c r="S175" i="62"/>
  <c r="T175" i="62"/>
  <c r="U175" i="62"/>
  <c r="V175" i="62"/>
  <c r="W175" i="62"/>
  <c r="X175" i="62"/>
  <c r="Z175" i="62"/>
  <c r="AA175" i="62"/>
  <c r="AB175" i="62"/>
  <c r="AC175" i="62"/>
  <c r="AD175" i="62"/>
  <c r="AE175" i="62"/>
  <c r="AF175" i="62"/>
  <c r="AG175" i="62"/>
  <c r="AH175" i="62"/>
  <c r="AI175" i="62"/>
  <c r="AJ175" i="62"/>
  <c r="AK175" i="62"/>
  <c r="AL175" i="62"/>
  <c r="AM175" i="62"/>
  <c r="AN175" i="62"/>
  <c r="AO175" i="62"/>
  <c r="AP175" i="62"/>
  <c r="AQ175" i="62"/>
  <c r="AR175" i="62"/>
  <c r="AS175" i="62"/>
  <c r="AT175" i="62"/>
  <c r="AU175" i="62"/>
  <c r="AW175" i="62"/>
  <c r="AX175" i="62"/>
  <c r="AY175" i="62"/>
  <c r="BA175" i="62"/>
  <c r="A176" i="62"/>
  <c r="B176" i="62"/>
  <c r="D176" i="62"/>
  <c r="E176" i="62"/>
  <c r="F176" i="62"/>
  <c r="G176" i="62"/>
  <c r="H176" i="62"/>
  <c r="J176" i="62"/>
  <c r="K176" i="62"/>
  <c r="M176" i="62"/>
  <c r="O176" i="62"/>
  <c r="P176" i="62"/>
  <c r="R176" i="62"/>
  <c r="S176" i="62"/>
  <c r="T176" i="62"/>
  <c r="U176" i="62"/>
  <c r="V176" i="62"/>
  <c r="W176" i="62"/>
  <c r="X176" i="62"/>
  <c r="Z176" i="62"/>
  <c r="AA176" i="62"/>
  <c r="AB176" i="62"/>
  <c r="AC176" i="62"/>
  <c r="AD176" i="62"/>
  <c r="AE176" i="62"/>
  <c r="AF176" i="62"/>
  <c r="AG176" i="62"/>
  <c r="AH176" i="62"/>
  <c r="AI176" i="62"/>
  <c r="AJ176" i="62"/>
  <c r="AK176" i="62"/>
  <c r="AL176" i="62"/>
  <c r="AM176" i="62"/>
  <c r="AN176" i="62"/>
  <c r="AO176" i="62"/>
  <c r="AP176" i="62"/>
  <c r="AQ176" i="62"/>
  <c r="AR176" i="62"/>
  <c r="AS176" i="62"/>
  <c r="AT176" i="62"/>
  <c r="AU176" i="62"/>
  <c r="AW176" i="62"/>
  <c r="AX176" i="62"/>
  <c r="AY176" i="62"/>
  <c r="BA176" i="62"/>
  <c r="A177" i="62"/>
  <c r="B177" i="62"/>
  <c r="D177" i="62"/>
  <c r="E177" i="62"/>
  <c r="F177" i="62"/>
  <c r="G177" i="62"/>
  <c r="H177" i="62"/>
  <c r="J177" i="62"/>
  <c r="K177" i="62"/>
  <c r="M177" i="62"/>
  <c r="O177" i="62"/>
  <c r="P177" i="62"/>
  <c r="R177" i="62"/>
  <c r="S177" i="62"/>
  <c r="T177" i="62"/>
  <c r="U177" i="62"/>
  <c r="V177" i="62"/>
  <c r="W177" i="62"/>
  <c r="X177" i="62"/>
  <c r="Z177" i="62"/>
  <c r="AA177" i="62"/>
  <c r="AB177" i="62"/>
  <c r="AC177" i="62"/>
  <c r="AD177" i="62"/>
  <c r="AE177" i="62"/>
  <c r="AF177" i="62"/>
  <c r="AG177" i="62"/>
  <c r="AH177" i="62"/>
  <c r="AI177" i="62"/>
  <c r="AJ177" i="62"/>
  <c r="AK177" i="62"/>
  <c r="AL177" i="62"/>
  <c r="AM177" i="62"/>
  <c r="AN177" i="62"/>
  <c r="AO177" i="62"/>
  <c r="AP177" i="62"/>
  <c r="AQ177" i="62"/>
  <c r="AR177" i="62"/>
  <c r="AS177" i="62"/>
  <c r="AT177" i="62"/>
  <c r="AU177" i="62"/>
  <c r="AW177" i="62"/>
  <c r="AX177" i="62"/>
  <c r="AY177" i="62"/>
  <c r="BA177" i="62"/>
  <c r="A178" i="62"/>
  <c r="B178" i="62"/>
  <c r="D178" i="62"/>
  <c r="E178" i="62"/>
  <c r="F178" i="62"/>
  <c r="G178" i="62"/>
  <c r="H178" i="62"/>
  <c r="J178" i="62"/>
  <c r="K178" i="62"/>
  <c r="M178" i="62"/>
  <c r="O178" i="62"/>
  <c r="P178" i="62"/>
  <c r="R178" i="62"/>
  <c r="S178" i="62"/>
  <c r="T178" i="62"/>
  <c r="U178" i="62"/>
  <c r="V178" i="62"/>
  <c r="W178" i="62"/>
  <c r="X178" i="62"/>
  <c r="Z178" i="62"/>
  <c r="AA178" i="62"/>
  <c r="AB178" i="62"/>
  <c r="AC178" i="62"/>
  <c r="AD178" i="62"/>
  <c r="AE178" i="62"/>
  <c r="AF178" i="62"/>
  <c r="AG178" i="62"/>
  <c r="AH178" i="62"/>
  <c r="AI178" i="62"/>
  <c r="AJ178" i="62"/>
  <c r="AK178" i="62"/>
  <c r="AL178" i="62"/>
  <c r="AM178" i="62"/>
  <c r="AN178" i="62"/>
  <c r="AO178" i="62"/>
  <c r="AP178" i="62"/>
  <c r="AQ178" i="62"/>
  <c r="AR178" i="62"/>
  <c r="AS178" i="62"/>
  <c r="AT178" i="62"/>
  <c r="AU178" i="62"/>
  <c r="AW178" i="62"/>
  <c r="AX178" i="62"/>
  <c r="AY178" i="62"/>
  <c r="BA178" i="62"/>
  <c r="A179" i="62"/>
  <c r="B179" i="62"/>
  <c r="D179" i="62"/>
  <c r="E179" i="62"/>
  <c r="F179" i="62"/>
  <c r="G179" i="62"/>
  <c r="H179" i="62"/>
  <c r="J179" i="62"/>
  <c r="K179" i="62"/>
  <c r="M179" i="62"/>
  <c r="O179" i="62"/>
  <c r="P179" i="62"/>
  <c r="R179" i="62"/>
  <c r="S179" i="62"/>
  <c r="T179" i="62"/>
  <c r="U179" i="62"/>
  <c r="V179" i="62"/>
  <c r="W179" i="62"/>
  <c r="X179" i="62"/>
  <c r="Z179" i="62"/>
  <c r="AA179" i="62"/>
  <c r="AB179" i="62"/>
  <c r="AC179" i="62"/>
  <c r="AD179" i="62"/>
  <c r="AE179" i="62"/>
  <c r="AF179" i="62"/>
  <c r="AG179" i="62"/>
  <c r="AH179" i="62"/>
  <c r="AI179" i="62"/>
  <c r="AJ179" i="62"/>
  <c r="AK179" i="62"/>
  <c r="AL179" i="62"/>
  <c r="AM179" i="62"/>
  <c r="AN179" i="62"/>
  <c r="AO179" i="62"/>
  <c r="AP179" i="62"/>
  <c r="AQ179" i="62"/>
  <c r="AR179" i="62"/>
  <c r="AS179" i="62"/>
  <c r="AT179" i="62"/>
  <c r="AU179" i="62"/>
  <c r="AW179" i="62"/>
  <c r="AX179" i="62"/>
  <c r="AY179" i="62"/>
  <c r="BA179" i="62"/>
  <c r="A180" i="62"/>
  <c r="B180" i="62"/>
  <c r="D180" i="62"/>
  <c r="E180" i="62"/>
  <c r="F180" i="62"/>
  <c r="G180" i="62"/>
  <c r="H180" i="62"/>
  <c r="J180" i="62"/>
  <c r="K180" i="62"/>
  <c r="M180" i="62"/>
  <c r="O180" i="62"/>
  <c r="P180" i="62"/>
  <c r="R180" i="62"/>
  <c r="S180" i="62"/>
  <c r="T180" i="62"/>
  <c r="U180" i="62"/>
  <c r="V180" i="62"/>
  <c r="W180" i="62"/>
  <c r="X180" i="62"/>
  <c r="Z180" i="62"/>
  <c r="AA180" i="62"/>
  <c r="AB180" i="62"/>
  <c r="AC180" i="62"/>
  <c r="AD180" i="62"/>
  <c r="AE180" i="62"/>
  <c r="AF180" i="62"/>
  <c r="AG180" i="62"/>
  <c r="AH180" i="62"/>
  <c r="AI180" i="62"/>
  <c r="AJ180" i="62"/>
  <c r="AK180" i="62"/>
  <c r="AL180" i="62"/>
  <c r="AM180" i="62"/>
  <c r="AN180" i="62"/>
  <c r="AO180" i="62"/>
  <c r="AP180" i="62"/>
  <c r="AQ180" i="62"/>
  <c r="AR180" i="62"/>
  <c r="AS180" i="62"/>
  <c r="AT180" i="62"/>
  <c r="AU180" i="62"/>
  <c r="AW180" i="62"/>
  <c r="AX180" i="62"/>
  <c r="AY180" i="62"/>
  <c r="BA180" i="62"/>
  <c r="A181" i="62"/>
  <c r="B181" i="62"/>
  <c r="D181" i="62"/>
  <c r="E181" i="62"/>
  <c r="F181" i="62"/>
  <c r="G181" i="62"/>
  <c r="H181" i="62"/>
  <c r="J181" i="62"/>
  <c r="K181" i="62"/>
  <c r="M181" i="62"/>
  <c r="O181" i="62"/>
  <c r="P181" i="62"/>
  <c r="R181" i="62"/>
  <c r="S181" i="62"/>
  <c r="T181" i="62"/>
  <c r="U181" i="62"/>
  <c r="V181" i="62"/>
  <c r="W181" i="62"/>
  <c r="X181" i="62"/>
  <c r="Z181" i="62"/>
  <c r="AA181" i="62"/>
  <c r="AB181" i="62"/>
  <c r="AC181" i="62"/>
  <c r="AD181" i="62"/>
  <c r="AE181" i="62"/>
  <c r="AF181" i="62"/>
  <c r="AG181" i="62"/>
  <c r="AH181" i="62"/>
  <c r="AI181" i="62"/>
  <c r="AJ181" i="62"/>
  <c r="AK181" i="62"/>
  <c r="AL181" i="62"/>
  <c r="AM181" i="62"/>
  <c r="AN181" i="62"/>
  <c r="AO181" i="62"/>
  <c r="AP181" i="62"/>
  <c r="AQ181" i="62"/>
  <c r="AR181" i="62"/>
  <c r="AS181" i="62"/>
  <c r="AT181" i="62"/>
  <c r="AU181" i="62"/>
  <c r="AW181" i="62"/>
  <c r="AX181" i="62"/>
  <c r="AY181" i="62"/>
  <c r="BA181" i="62"/>
  <c r="A182" i="62"/>
  <c r="B182" i="62"/>
  <c r="D182" i="62"/>
  <c r="E182" i="62"/>
  <c r="F182" i="62"/>
  <c r="G182" i="62"/>
  <c r="H182" i="62"/>
  <c r="J182" i="62"/>
  <c r="K182" i="62"/>
  <c r="M182" i="62"/>
  <c r="O182" i="62"/>
  <c r="P182" i="62"/>
  <c r="R182" i="62"/>
  <c r="S182" i="62"/>
  <c r="T182" i="62"/>
  <c r="U182" i="62"/>
  <c r="V182" i="62"/>
  <c r="W182" i="62"/>
  <c r="X182" i="62"/>
  <c r="Z182" i="62"/>
  <c r="AA182" i="62"/>
  <c r="AB182" i="62"/>
  <c r="AC182" i="62"/>
  <c r="AD182" i="62"/>
  <c r="AE182" i="62"/>
  <c r="AF182" i="62"/>
  <c r="AG182" i="62"/>
  <c r="AH182" i="62"/>
  <c r="AI182" i="62"/>
  <c r="AJ182" i="62"/>
  <c r="AK182" i="62"/>
  <c r="AL182" i="62"/>
  <c r="AM182" i="62"/>
  <c r="AN182" i="62"/>
  <c r="AO182" i="62"/>
  <c r="AP182" i="62"/>
  <c r="AQ182" i="62"/>
  <c r="AR182" i="62"/>
  <c r="AS182" i="62"/>
  <c r="AT182" i="62"/>
  <c r="AU182" i="62"/>
  <c r="AW182" i="62"/>
  <c r="AX182" i="62"/>
  <c r="AY182" i="62"/>
  <c r="BA182" i="62"/>
  <c r="A183" i="62"/>
  <c r="B183" i="62"/>
  <c r="D183" i="62"/>
  <c r="E183" i="62"/>
  <c r="F183" i="62"/>
  <c r="G183" i="62"/>
  <c r="H183" i="62"/>
  <c r="J183" i="62"/>
  <c r="K183" i="62"/>
  <c r="M183" i="62"/>
  <c r="O183" i="62"/>
  <c r="P183" i="62"/>
  <c r="R183" i="62"/>
  <c r="S183" i="62"/>
  <c r="T183" i="62"/>
  <c r="U183" i="62"/>
  <c r="V183" i="62"/>
  <c r="W183" i="62"/>
  <c r="X183" i="62"/>
  <c r="Z183" i="62"/>
  <c r="AA183" i="62"/>
  <c r="AB183" i="62"/>
  <c r="AC183" i="62"/>
  <c r="AD183" i="62"/>
  <c r="AE183" i="62"/>
  <c r="AF183" i="62"/>
  <c r="AG183" i="62"/>
  <c r="AH183" i="62"/>
  <c r="AI183" i="62"/>
  <c r="AJ183" i="62"/>
  <c r="AK183" i="62"/>
  <c r="AL183" i="62"/>
  <c r="AM183" i="62"/>
  <c r="AN183" i="62"/>
  <c r="AO183" i="62"/>
  <c r="AP183" i="62"/>
  <c r="AQ183" i="62"/>
  <c r="AR183" i="62"/>
  <c r="AS183" i="62"/>
  <c r="AT183" i="62"/>
  <c r="AU183" i="62"/>
  <c r="AW183" i="62"/>
  <c r="AX183" i="62"/>
  <c r="AY183" i="62"/>
  <c r="BA183" i="62"/>
  <c r="A184" i="62"/>
  <c r="B184" i="62"/>
  <c r="D184" i="62"/>
  <c r="E184" i="62"/>
  <c r="F184" i="62"/>
  <c r="G184" i="62"/>
  <c r="H184" i="62"/>
  <c r="J184" i="62"/>
  <c r="K184" i="62"/>
  <c r="M184" i="62"/>
  <c r="O184" i="62"/>
  <c r="P184" i="62"/>
  <c r="R184" i="62"/>
  <c r="S184" i="62"/>
  <c r="T184" i="62"/>
  <c r="U184" i="62"/>
  <c r="V184" i="62"/>
  <c r="W184" i="62"/>
  <c r="X184" i="62"/>
  <c r="Z184" i="62"/>
  <c r="AA184" i="62"/>
  <c r="AB184" i="62"/>
  <c r="AC184" i="62"/>
  <c r="AD184" i="62"/>
  <c r="AE184" i="62"/>
  <c r="AF184" i="62"/>
  <c r="AG184" i="62"/>
  <c r="AH184" i="62"/>
  <c r="AI184" i="62"/>
  <c r="AJ184" i="62"/>
  <c r="AK184" i="62"/>
  <c r="AL184" i="62"/>
  <c r="AM184" i="62"/>
  <c r="AN184" i="62"/>
  <c r="AO184" i="62"/>
  <c r="AP184" i="62"/>
  <c r="AQ184" i="62"/>
  <c r="AR184" i="62"/>
  <c r="AS184" i="62"/>
  <c r="AT184" i="62"/>
  <c r="AU184" i="62"/>
  <c r="AW184" i="62"/>
  <c r="AX184" i="62"/>
  <c r="AY184" i="62"/>
  <c r="BA184" i="62"/>
  <c r="A185" i="62"/>
  <c r="B185" i="62"/>
  <c r="D185" i="62"/>
  <c r="E185" i="62"/>
  <c r="F185" i="62"/>
  <c r="G185" i="62"/>
  <c r="H185" i="62"/>
  <c r="J185" i="62"/>
  <c r="K185" i="62"/>
  <c r="M185" i="62"/>
  <c r="O185" i="62"/>
  <c r="P185" i="62"/>
  <c r="R185" i="62"/>
  <c r="S185" i="62"/>
  <c r="T185" i="62"/>
  <c r="U185" i="62"/>
  <c r="V185" i="62"/>
  <c r="W185" i="62"/>
  <c r="X185" i="62"/>
  <c r="Z185" i="62"/>
  <c r="AA185" i="62"/>
  <c r="AB185" i="62"/>
  <c r="AC185" i="62"/>
  <c r="AD185" i="62"/>
  <c r="AE185" i="62"/>
  <c r="AF185" i="62"/>
  <c r="AG185" i="62"/>
  <c r="AH185" i="62"/>
  <c r="AI185" i="62"/>
  <c r="AJ185" i="62"/>
  <c r="AK185" i="62"/>
  <c r="AL185" i="62"/>
  <c r="AM185" i="62"/>
  <c r="AN185" i="62"/>
  <c r="AO185" i="62"/>
  <c r="AP185" i="62"/>
  <c r="AQ185" i="62"/>
  <c r="AR185" i="62"/>
  <c r="AS185" i="62"/>
  <c r="AT185" i="62"/>
  <c r="AU185" i="62"/>
  <c r="AW185" i="62"/>
  <c r="AX185" i="62"/>
  <c r="AY185" i="62"/>
  <c r="BA185" i="62"/>
  <c r="A186" i="62"/>
  <c r="B186" i="62"/>
  <c r="D186" i="62"/>
  <c r="E186" i="62"/>
  <c r="F186" i="62"/>
  <c r="G186" i="62"/>
  <c r="H186" i="62"/>
  <c r="J186" i="62"/>
  <c r="K186" i="62"/>
  <c r="M186" i="62"/>
  <c r="O186" i="62"/>
  <c r="P186" i="62"/>
  <c r="R186" i="62"/>
  <c r="S186" i="62"/>
  <c r="T186" i="62"/>
  <c r="U186" i="62"/>
  <c r="V186" i="62"/>
  <c r="W186" i="62"/>
  <c r="X186" i="62"/>
  <c r="Z186" i="62"/>
  <c r="AA186" i="62"/>
  <c r="AB186" i="62"/>
  <c r="AC186" i="62"/>
  <c r="AD186" i="62"/>
  <c r="AE186" i="62"/>
  <c r="AF186" i="62"/>
  <c r="AG186" i="62"/>
  <c r="AH186" i="62"/>
  <c r="AI186" i="62"/>
  <c r="AJ186" i="62"/>
  <c r="AK186" i="62"/>
  <c r="AL186" i="62"/>
  <c r="AM186" i="62"/>
  <c r="AN186" i="62"/>
  <c r="AO186" i="62"/>
  <c r="AP186" i="62"/>
  <c r="AQ186" i="62"/>
  <c r="AR186" i="62"/>
  <c r="AS186" i="62"/>
  <c r="AT186" i="62"/>
  <c r="AU186" i="62"/>
  <c r="AW186" i="62"/>
  <c r="AX186" i="62"/>
  <c r="AY186" i="62"/>
  <c r="BA186" i="62"/>
  <c r="A187" i="62"/>
  <c r="B187" i="62"/>
  <c r="D187" i="62"/>
  <c r="E187" i="62"/>
  <c r="F187" i="62"/>
  <c r="G187" i="62"/>
  <c r="H187" i="62"/>
  <c r="J187" i="62"/>
  <c r="K187" i="62"/>
  <c r="M187" i="62"/>
  <c r="O187" i="62"/>
  <c r="P187" i="62"/>
  <c r="R187" i="62"/>
  <c r="S187" i="62"/>
  <c r="T187" i="62"/>
  <c r="U187" i="62"/>
  <c r="V187" i="62"/>
  <c r="W187" i="62"/>
  <c r="X187" i="62"/>
  <c r="Z187" i="62"/>
  <c r="AA187" i="62"/>
  <c r="AB187" i="62"/>
  <c r="AC187" i="62"/>
  <c r="AD187" i="62"/>
  <c r="AE187" i="62"/>
  <c r="AF187" i="62"/>
  <c r="AG187" i="62"/>
  <c r="AH187" i="62"/>
  <c r="AI187" i="62"/>
  <c r="AJ187" i="62"/>
  <c r="AK187" i="62"/>
  <c r="AL187" i="62"/>
  <c r="AM187" i="62"/>
  <c r="AN187" i="62"/>
  <c r="AO187" i="62"/>
  <c r="AP187" i="62"/>
  <c r="AQ187" i="62"/>
  <c r="AR187" i="62"/>
  <c r="AS187" i="62"/>
  <c r="AT187" i="62"/>
  <c r="AU187" i="62"/>
  <c r="AW187" i="62"/>
  <c r="AX187" i="62"/>
  <c r="AY187" i="62"/>
  <c r="BA187" i="62"/>
  <c r="A188" i="62"/>
  <c r="B188" i="62"/>
  <c r="D188" i="62"/>
  <c r="E188" i="62"/>
  <c r="F188" i="62"/>
  <c r="G188" i="62"/>
  <c r="H188" i="62"/>
  <c r="J188" i="62"/>
  <c r="K188" i="62"/>
  <c r="M188" i="62"/>
  <c r="O188" i="62"/>
  <c r="P188" i="62"/>
  <c r="R188" i="62"/>
  <c r="S188" i="62"/>
  <c r="T188" i="62"/>
  <c r="U188" i="62"/>
  <c r="V188" i="62"/>
  <c r="W188" i="62"/>
  <c r="X188" i="62"/>
  <c r="Z188" i="62"/>
  <c r="AA188" i="62"/>
  <c r="AB188" i="62"/>
  <c r="AC188" i="62"/>
  <c r="AD188" i="62"/>
  <c r="AE188" i="62"/>
  <c r="AF188" i="62"/>
  <c r="AG188" i="62"/>
  <c r="AH188" i="62"/>
  <c r="AI188" i="62"/>
  <c r="AJ188" i="62"/>
  <c r="AK188" i="62"/>
  <c r="AL188" i="62"/>
  <c r="AM188" i="62"/>
  <c r="AN188" i="62"/>
  <c r="AO188" i="62"/>
  <c r="AP188" i="62"/>
  <c r="AQ188" i="62"/>
  <c r="AR188" i="62"/>
  <c r="AS188" i="62"/>
  <c r="AT188" i="62"/>
  <c r="AU188" i="62"/>
  <c r="AW188" i="62"/>
  <c r="AX188" i="62"/>
  <c r="AY188" i="62"/>
  <c r="BA188" i="62"/>
  <c r="A189" i="62"/>
  <c r="B189" i="62"/>
  <c r="D189" i="62"/>
  <c r="E189" i="62"/>
  <c r="F189" i="62"/>
  <c r="G189" i="62"/>
  <c r="H189" i="62"/>
  <c r="J189" i="62"/>
  <c r="K189" i="62"/>
  <c r="M189" i="62"/>
  <c r="O189" i="62"/>
  <c r="P189" i="62"/>
  <c r="R189" i="62"/>
  <c r="S189" i="62"/>
  <c r="T189" i="62"/>
  <c r="U189" i="62"/>
  <c r="V189" i="62"/>
  <c r="W189" i="62"/>
  <c r="X189" i="62"/>
  <c r="Z189" i="62"/>
  <c r="AA189" i="62"/>
  <c r="AB189" i="62"/>
  <c r="AC189" i="62"/>
  <c r="AD189" i="62"/>
  <c r="AE189" i="62"/>
  <c r="AF189" i="62"/>
  <c r="AG189" i="62"/>
  <c r="AH189" i="62"/>
  <c r="AI189" i="62"/>
  <c r="AJ189" i="62"/>
  <c r="AK189" i="62"/>
  <c r="AL189" i="62"/>
  <c r="AM189" i="62"/>
  <c r="AN189" i="62"/>
  <c r="AO189" i="62"/>
  <c r="AP189" i="62"/>
  <c r="AQ189" i="62"/>
  <c r="AR189" i="62"/>
  <c r="AS189" i="62"/>
  <c r="AT189" i="62"/>
  <c r="AU189" i="62"/>
  <c r="AW189" i="62"/>
  <c r="AX189" i="62"/>
  <c r="AY189" i="62"/>
  <c r="BA189" i="62"/>
  <c r="A190" i="62"/>
  <c r="B190" i="62"/>
  <c r="D190" i="62"/>
  <c r="E190" i="62"/>
  <c r="F190" i="62"/>
  <c r="G190" i="62"/>
  <c r="H190" i="62"/>
  <c r="J190" i="62"/>
  <c r="K190" i="62"/>
  <c r="M190" i="62"/>
  <c r="O190" i="62"/>
  <c r="P190" i="62"/>
  <c r="R190" i="62"/>
  <c r="S190" i="62"/>
  <c r="T190" i="62"/>
  <c r="U190" i="62"/>
  <c r="V190" i="62"/>
  <c r="W190" i="62"/>
  <c r="X190" i="62"/>
  <c r="Z190" i="62"/>
  <c r="AA190" i="62"/>
  <c r="AB190" i="62"/>
  <c r="AC190" i="62"/>
  <c r="AD190" i="62"/>
  <c r="AE190" i="62"/>
  <c r="AF190" i="62"/>
  <c r="AG190" i="62"/>
  <c r="AH190" i="62"/>
  <c r="AI190" i="62"/>
  <c r="AJ190" i="62"/>
  <c r="AK190" i="62"/>
  <c r="AL190" i="62"/>
  <c r="AM190" i="62"/>
  <c r="AN190" i="62"/>
  <c r="AO190" i="62"/>
  <c r="AP190" i="62"/>
  <c r="AQ190" i="62"/>
  <c r="AR190" i="62"/>
  <c r="AS190" i="62"/>
  <c r="AT190" i="62"/>
  <c r="AU190" i="62"/>
  <c r="AW190" i="62"/>
  <c r="AX190" i="62"/>
  <c r="AY190" i="62"/>
  <c r="BA190" i="62"/>
  <c r="A191" i="62"/>
  <c r="B191" i="62"/>
  <c r="D191" i="62"/>
  <c r="E191" i="62"/>
  <c r="F191" i="62"/>
  <c r="G191" i="62"/>
  <c r="H191" i="62"/>
  <c r="J191" i="62"/>
  <c r="K191" i="62"/>
  <c r="M191" i="62"/>
  <c r="O191" i="62"/>
  <c r="P191" i="62"/>
  <c r="R191" i="62"/>
  <c r="S191" i="62"/>
  <c r="T191" i="62"/>
  <c r="U191" i="62"/>
  <c r="V191" i="62"/>
  <c r="W191" i="62"/>
  <c r="X191" i="62"/>
  <c r="Z191" i="62"/>
  <c r="AA191" i="62"/>
  <c r="AB191" i="62"/>
  <c r="AC191" i="62"/>
  <c r="AD191" i="62"/>
  <c r="AE191" i="62"/>
  <c r="AF191" i="62"/>
  <c r="AG191" i="62"/>
  <c r="AH191" i="62"/>
  <c r="AI191" i="62"/>
  <c r="AJ191" i="62"/>
  <c r="AK191" i="62"/>
  <c r="AL191" i="62"/>
  <c r="AM191" i="62"/>
  <c r="AN191" i="62"/>
  <c r="AO191" i="62"/>
  <c r="AP191" i="62"/>
  <c r="AQ191" i="62"/>
  <c r="AR191" i="62"/>
  <c r="AS191" i="62"/>
  <c r="AT191" i="62"/>
  <c r="AU191" i="62"/>
  <c r="AW191" i="62"/>
  <c r="AX191" i="62"/>
  <c r="AY191" i="62"/>
  <c r="BA191" i="62"/>
  <c r="A192" i="62"/>
  <c r="B192" i="62"/>
  <c r="D192" i="62"/>
  <c r="E192" i="62"/>
  <c r="F192" i="62"/>
  <c r="G192" i="62"/>
  <c r="H192" i="62"/>
  <c r="J192" i="62"/>
  <c r="K192" i="62"/>
  <c r="M192" i="62"/>
  <c r="O192" i="62"/>
  <c r="P192" i="62"/>
  <c r="R192" i="62"/>
  <c r="S192" i="62"/>
  <c r="T192" i="62"/>
  <c r="U192" i="62"/>
  <c r="V192" i="62"/>
  <c r="W192" i="62"/>
  <c r="X192" i="62"/>
  <c r="Z192" i="62"/>
  <c r="AA192" i="62"/>
  <c r="AB192" i="62"/>
  <c r="AC192" i="62"/>
  <c r="AD192" i="62"/>
  <c r="AE192" i="62"/>
  <c r="AF192" i="62"/>
  <c r="AG192" i="62"/>
  <c r="AH192" i="62"/>
  <c r="AI192" i="62"/>
  <c r="AJ192" i="62"/>
  <c r="AK192" i="62"/>
  <c r="AL192" i="62"/>
  <c r="AM192" i="62"/>
  <c r="AN192" i="62"/>
  <c r="AO192" i="62"/>
  <c r="AP192" i="62"/>
  <c r="AQ192" i="62"/>
  <c r="AR192" i="62"/>
  <c r="AS192" i="62"/>
  <c r="AT192" i="62"/>
  <c r="AU192" i="62"/>
  <c r="AW192" i="62"/>
  <c r="AX192" i="62"/>
  <c r="AY192" i="62"/>
  <c r="BA192" i="62"/>
  <c r="A193" i="62"/>
  <c r="B193" i="62"/>
  <c r="D193" i="62"/>
  <c r="E193" i="62"/>
  <c r="F193" i="62"/>
  <c r="G193" i="62"/>
  <c r="H193" i="62"/>
  <c r="J193" i="62"/>
  <c r="K193" i="62"/>
  <c r="M193" i="62"/>
  <c r="O193" i="62"/>
  <c r="P193" i="62"/>
  <c r="R193" i="62"/>
  <c r="S193" i="62"/>
  <c r="T193" i="62"/>
  <c r="U193" i="62"/>
  <c r="V193" i="62"/>
  <c r="W193" i="62"/>
  <c r="X193" i="62"/>
  <c r="Z193" i="62"/>
  <c r="AA193" i="62"/>
  <c r="AB193" i="62"/>
  <c r="AC193" i="62"/>
  <c r="AD193" i="62"/>
  <c r="AE193" i="62"/>
  <c r="AF193" i="62"/>
  <c r="AG193" i="62"/>
  <c r="AH193" i="62"/>
  <c r="AI193" i="62"/>
  <c r="AJ193" i="62"/>
  <c r="AK193" i="62"/>
  <c r="AL193" i="62"/>
  <c r="AM193" i="62"/>
  <c r="AN193" i="62"/>
  <c r="AO193" i="62"/>
  <c r="AP193" i="62"/>
  <c r="AQ193" i="62"/>
  <c r="AR193" i="62"/>
  <c r="AS193" i="62"/>
  <c r="AT193" i="62"/>
  <c r="AU193" i="62"/>
  <c r="AW193" i="62"/>
  <c r="AX193" i="62"/>
  <c r="AY193" i="62"/>
  <c r="BA193" i="62"/>
  <c r="A194" i="62"/>
  <c r="B194" i="62"/>
  <c r="D194" i="62"/>
  <c r="E194" i="62"/>
  <c r="F194" i="62"/>
  <c r="G194" i="62"/>
  <c r="H194" i="62"/>
  <c r="J194" i="62"/>
  <c r="K194" i="62"/>
  <c r="M194" i="62"/>
  <c r="O194" i="62"/>
  <c r="P194" i="62"/>
  <c r="R194" i="62"/>
  <c r="S194" i="62"/>
  <c r="T194" i="62"/>
  <c r="U194" i="62"/>
  <c r="V194" i="62"/>
  <c r="W194" i="62"/>
  <c r="X194" i="62"/>
  <c r="Z194" i="62"/>
  <c r="AA194" i="62"/>
  <c r="AB194" i="62"/>
  <c r="AC194" i="62"/>
  <c r="AD194" i="62"/>
  <c r="AE194" i="62"/>
  <c r="AF194" i="62"/>
  <c r="AG194" i="62"/>
  <c r="AH194" i="62"/>
  <c r="AI194" i="62"/>
  <c r="AJ194" i="62"/>
  <c r="AK194" i="62"/>
  <c r="AL194" i="62"/>
  <c r="AM194" i="62"/>
  <c r="AN194" i="62"/>
  <c r="AO194" i="62"/>
  <c r="AP194" i="62"/>
  <c r="AQ194" i="62"/>
  <c r="AR194" i="62"/>
  <c r="AS194" i="62"/>
  <c r="AT194" i="62"/>
  <c r="AU194" i="62"/>
  <c r="AW194" i="62"/>
  <c r="AX194" i="62"/>
  <c r="AY194" i="62"/>
  <c r="BA194" i="62"/>
  <c r="A195" i="62"/>
  <c r="B195" i="62"/>
  <c r="D195" i="62"/>
  <c r="E195" i="62"/>
  <c r="F195" i="62"/>
  <c r="G195" i="62"/>
  <c r="H195" i="62"/>
  <c r="J195" i="62"/>
  <c r="K195" i="62"/>
  <c r="M195" i="62"/>
  <c r="O195" i="62"/>
  <c r="P195" i="62"/>
  <c r="R195" i="62"/>
  <c r="S195" i="62"/>
  <c r="T195" i="62"/>
  <c r="U195" i="62"/>
  <c r="V195" i="62"/>
  <c r="W195" i="62"/>
  <c r="X195" i="62"/>
  <c r="Z195" i="62"/>
  <c r="AA195" i="62"/>
  <c r="AB195" i="62"/>
  <c r="AC195" i="62"/>
  <c r="AD195" i="62"/>
  <c r="AE195" i="62"/>
  <c r="AF195" i="62"/>
  <c r="AG195" i="62"/>
  <c r="AH195" i="62"/>
  <c r="AI195" i="62"/>
  <c r="AJ195" i="62"/>
  <c r="AK195" i="62"/>
  <c r="AL195" i="62"/>
  <c r="AM195" i="62"/>
  <c r="AN195" i="62"/>
  <c r="AO195" i="62"/>
  <c r="AP195" i="62"/>
  <c r="AQ195" i="62"/>
  <c r="AR195" i="62"/>
  <c r="AS195" i="62"/>
  <c r="AT195" i="62"/>
  <c r="AU195" i="62"/>
  <c r="AW195" i="62"/>
  <c r="AX195" i="62"/>
  <c r="AY195" i="62"/>
  <c r="BA195" i="62"/>
  <c r="A196" i="62"/>
  <c r="B196" i="62"/>
  <c r="D196" i="62"/>
  <c r="E196" i="62"/>
  <c r="F196" i="62"/>
  <c r="G196" i="62"/>
  <c r="H196" i="62"/>
  <c r="J196" i="62"/>
  <c r="K196" i="62"/>
  <c r="M196" i="62"/>
  <c r="O196" i="62"/>
  <c r="P196" i="62"/>
  <c r="R196" i="62"/>
  <c r="S196" i="62"/>
  <c r="T196" i="62"/>
  <c r="U196" i="62"/>
  <c r="V196" i="62"/>
  <c r="W196" i="62"/>
  <c r="X196" i="62"/>
  <c r="Z196" i="62"/>
  <c r="AA196" i="62"/>
  <c r="AB196" i="62"/>
  <c r="AC196" i="62"/>
  <c r="AD196" i="62"/>
  <c r="AE196" i="62"/>
  <c r="AF196" i="62"/>
  <c r="AG196" i="62"/>
  <c r="AH196" i="62"/>
  <c r="AI196" i="62"/>
  <c r="AJ196" i="62"/>
  <c r="AK196" i="62"/>
  <c r="AL196" i="62"/>
  <c r="AM196" i="62"/>
  <c r="AN196" i="62"/>
  <c r="AO196" i="62"/>
  <c r="AP196" i="62"/>
  <c r="AQ196" i="62"/>
  <c r="AR196" i="62"/>
  <c r="AS196" i="62"/>
  <c r="AT196" i="62"/>
  <c r="AU196" i="62"/>
  <c r="AW196" i="62"/>
  <c r="AX196" i="62"/>
  <c r="AY196" i="62"/>
  <c r="BA196" i="62"/>
  <c r="A197" i="62"/>
  <c r="B197" i="62"/>
  <c r="D197" i="62"/>
  <c r="E197" i="62"/>
  <c r="F197" i="62"/>
  <c r="G197" i="62"/>
  <c r="H197" i="62"/>
  <c r="J197" i="62"/>
  <c r="K197" i="62"/>
  <c r="M197" i="62"/>
  <c r="O197" i="62"/>
  <c r="P197" i="62"/>
  <c r="R197" i="62"/>
  <c r="S197" i="62"/>
  <c r="T197" i="62"/>
  <c r="U197" i="62"/>
  <c r="V197" i="62"/>
  <c r="W197" i="62"/>
  <c r="X197" i="62"/>
  <c r="Z197" i="62"/>
  <c r="AA197" i="62"/>
  <c r="AB197" i="62"/>
  <c r="AC197" i="62"/>
  <c r="AD197" i="62"/>
  <c r="AE197" i="62"/>
  <c r="AF197" i="62"/>
  <c r="AG197" i="62"/>
  <c r="AH197" i="62"/>
  <c r="AI197" i="62"/>
  <c r="AJ197" i="62"/>
  <c r="AK197" i="62"/>
  <c r="AL197" i="62"/>
  <c r="AM197" i="62"/>
  <c r="AN197" i="62"/>
  <c r="AO197" i="62"/>
  <c r="AP197" i="62"/>
  <c r="AQ197" i="62"/>
  <c r="AR197" i="62"/>
  <c r="AS197" i="62"/>
  <c r="AT197" i="62"/>
  <c r="AU197" i="62"/>
  <c r="AW197" i="62"/>
  <c r="AX197" i="62"/>
  <c r="AY197" i="62"/>
  <c r="BA197" i="62"/>
  <c r="A198" i="62"/>
  <c r="B198" i="62"/>
  <c r="D198" i="62"/>
  <c r="E198" i="62"/>
  <c r="F198" i="62"/>
  <c r="G198" i="62"/>
  <c r="H198" i="62"/>
  <c r="J198" i="62"/>
  <c r="K198" i="62"/>
  <c r="M198" i="62"/>
  <c r="O198" i="62"/>
  <c r="P198" i="62"/>
  <c r="R198" i="62"/>
  <c r="S198" i="62"/>
  <c r="T198" i="62"/>
  <c r="U198" i="62"/>
  <c r="V198" i="62"/>
  <c r="W198" i="62"/>
  <c r="X198" i="62"/>
  <c r="Z198" i="62"/>
  <c r="AA198" i="62"/>
  <c r="AB198" i="62"/>
  <c r="AC198" i="62"/>
  <c r="AD198" i="62"/>
  <c r="AE198" i="62"/>
  <c r="AF198" i="62"/>
  <c r="AG198" i="62"/>
  <c r="AH198" i="62"/>
  <c r="AI198" i="62"/>
  <c r="AJ198" i="62"/>
  <c r="AK198" i="62"/>
  <c r="AL198" i="62"/>
  <c r="AM198" i="62"/>
  <c r="AN198" i="62"/>
  <c r="AO198" i="62"/>
  <c r="AP198" i="62"/>
  <c r="AQ198" i="62"/>
  <c r="AR198" i="62"/>
  <c r="AS198" i="62"/>
  <c r="AT198" i="62"/>
  <c r="AU198" i="62"/>
  <c r="AW198" i="62"/>
  <c r="AX198" i="62"/>
  <c r="AY198" i="62"/>
  <c r="BA198" i="62"/>
  <c r="A199" i="62"/>
  <c r="B199" i="62"/>
  <c r="D199" i="62"/>
  <c r="E199" i="62"/>
  <c r="F199" i="62"/>
  <c r="G199" i="62"/>
  <c r="H199" i="62"/>
  <c r="J199" i="62"/>
  <c r="K199" i="62"/>
  <c r="M199" i="62"/>
  <c r="O199" i="62"/>
  <c r="P199" i="62"/>
  <c r="R199" i="62"/>
  <c r="S199" i="62"/>
  <c r="T199" i="62"/>
  <c r="U199" i="62"/>
  <c r="V199" i="62"/>
  <c r="W199" i="62"/>
  <c r="X199" i="62"/>
  <c r="Z199" i="62"/>
  <c r="AA199" i="62"/>
  <c r="AB199" i="62"/>
  <c r="AC199" i="62"/>
  <c r="AD199" i="62"/>
  <c r="AE199" i="62"/>
  <c r="AF199" i="62"/>
  <c r="AG199" i="62"/>
  <c r="AH199" i="62"/>
  <c r="AI199" i="62"/>
  <c r="AJ199" i="62"/>
  <c r="AK199" i="62"/>
  <c r="AL199" i="62"/>
  <c r="AM199" i="62"/>
  <c r="AN199" i="62"/>
  <c r="AO199" i="62"/>
  <c r="AP199" i="62"/>
  <c r="AQ199" i="62"/>
  <c r="AR199" i="62"/>
  <c r="AS199" i="62"/>
  <c r="AT199" i="62"/>
  <c r="AU199" i="62"/>
  <c r="AW199" i="62"/>
  <c r="AX199" i="62"/>
  <c r="AY199" i="62"/>
  <c r="BA199" i="62"/>
  <c r="A200" i="62"/>
  <c r="B200" i="62"/>
  <c r="D200" i="62"/>
  <c r="E200" i="62"/>
  <c r="F200" i="62"/>
  <c r="G200" i="62"/>
  <c r="H200" i="62"/>
  <c r="J200" i="62"/>
  <c r="K200" i="62"/>
  <c r="M200" i="62"/>
  <c r="O200" i="62"/>
  <c r="P200" i="62"/>
  <c r="R200" i="62"/>
  <c r="S200" i="62"/>
  <c r="T200" i="62"/>
  <c r="U200" i="62"/>
  <c r="V200" i="62"/>
  <c r="W200" i="62"/>
  <c r="X200" i="62"/>
  <c r="Z200" i="62"/>
  <c r="AA200" i="62"/>
  <c r="AB200" i="62"/>
  <c r="AC200" i="62"/>
  <c r="AD200" i="62"/>
  <c r="AE200" i="62"/>
  <c r="AF200" i="62"/>
  <c r="AG200" i="62"/>
  <c r="AH200" i="62"/>
  <c r="AI200" i="62"/>
  <c r="AJ200" i="62"/>
  <c r="AK200" i="62"/>
  <c r="AL200" i="62"/>
  <c r="AM200" i="62"/>
  <c r="AN200" i="62"/>
  <c r="AO200" i="62"/>
  <c r="AP200" i="62"/>
  <c r="AQ200" i="62"/>
  <c r="AR200" i="62"/>
  <c r="AS200" i="62"/>
  <c r="AT200" i="62"/>
  <c r="AU200" i="62"/>
  <c r="AW200" i="62"/>
  <c r="AX200" i="62"/>
  <c r="AY200" i="62"/>
  <c r="BA200" i="62"/>
  <c r="A201" i="62"/>
  <c r="B201" i="62"/>
  <c r="D201" i="62"/>
  <c r="E201" i="62"/>
  <c r="F201" i="62"/>
  <c r="G201" i="62"/>
  <c r="H201" i="62"/>
  <c r="J201" i="62"/>
  <c r="K201" i="62"/>
  <c r="M201" i="62"/>
  <c r="O201" i="62"/>
  <c r="P201" i="62"/>
  <c r="R201" i="62"/>
  <c r="S201" i="62"/>
  <c r="T201" i="62"/>
  <c r="U201" i="62"/>
  <c r="V201" i="62"/>
  <c r="W201" i="62"/>
  <c r="X201" i="62"/>
  <c r="Z201" i="62"/>
  <c r="AA201" i="62"/>
  <c r="AB201" i="62"/>
  <c r="AC201" i="62"/>
  <c r="AD201" i="62"/>
  <c r="AE201" i="62"/>
  <c r="AF201" i="62"/>
  <c r="AG201" i="62"/>
  <c r="AH201" i="62"/>
  <c r="AI201" i="62"/>
  <c r="AJ201" i="62"/>
  <c r="AK201" i="62"/>
  <c r="AL201" i="62"/>
  <c r="AM201" i="62"/>
  <c r="AN201" i="62"/>
  <c r="AO201" i="62"/>
  <c r="AP201" i="62"/>
  <c r="AQ201" i="62"/>
  <c r="AR201" i="62"/>
  <c r="AS201" i="62"/>
  <c r="AT201" i="62"/>
  <c r="AU201" i="62"/>
  <c r="AW201" i="62"/>
  <c r="AX201" i="62"/>
  <c r="AY201" i="62"/>
  <c r="BA201" i="62"/>
  <c r="A202" i="62"/>
  <c r="B202" i="62"/>
  <c r="D202" i="62"/>
  <c r="E202" i="62"/>
  <c r="F202" i="62"/>
  <c r="G202" i="62"/>
  <c r="H202" i="62"/>
  <c r="J202" i="62"/>
  <c r="K202" i="62"/>
  <c r="M202" i="62"/>
  <c r="O202" i="62"/>
  <c r="P202" i="62"/>
  <c r="R202" i="62"/>
  <c r="S202" i="62"/>
  <c r="T202" i="62"/>
  <c r="U202" i="62"/>
  <c r="V202" i="62"/>
  <c r="W202" i="62"/>
  <c r="X202" i="62"/>
  <c r="Z202" i="62"/>
  <c r="AA202" i="62"/>
  <c r="AB202" i="62"/>
  <c r="AC202" i="62"/>
  <c r="AD202" i="62"/>
  <c r="AE202" i="62"/>
  <c r="AF202" i="62"/>
  <c r="AG202" i="62"/>
  <c r="AH202" i="62"/>
  <c r="AI202" i="62"/>
  <c r="AJ202" i="62"/>
  <c r="AK202" i="62"/>
  <c r="AL202" i="62"/>
  <c r="AM202" i="62"/>
  <c r="AN202" i="62"/>
  <c r="AO202" i="62"/>
  <c r="AP202" i="62"/>
  <c r="AQ202" i="62"/>
  <c r="AR202" i="62"/>
  <c r="AS202" i="62"/>
  <c r="AT202" i="62"/>
  <c r="AU202" i="62"/>
  <c r="AW202" i="62"/>
  <c r="AX202" i="62"/>
  <c r="AY202" i="62"/>
  <c r="BA202" i="62"/>
  <c r="A203" i="62"/>
  <c r="B203" i="62"/>
  <c r="D203" i="62"/>
  <c r="E203" i="62"/>
  <c r="F203" i="62"/>
  <c r="G203" i="62"/>
  <c r="H203" i="62"/>
  <c r="J203" i="62"/>
  <c r="K203" i="62"/>
  <c r="M203" i="62"/>
  <c r="O203" i="62"/>
  <c r="P203" i="62"/>
  <c r="R203" i="62"/>
  <c r="S203" i="62"/>
  <c r="T203" i="62"/>
  <c r="U203" i="62"/>
  <c r="V203" i="62"/>
  <c r="W203" i="62"/>
  <c r="X203" i="62"/>
  <c r="Z203" i="62"/>
  <c r="AA203" i="62"/>
  <c r="AB203" i="62"/>
  <c r="AC203" i="62"/>
  <c r="AD203" i="62"/>
  <c r="AE203" i="62"/>
  <c r="AF203" i="62"/>
  <c r="AG203" i="62"/>
  <c r="AH203" i="62"/>
  <c r="AI203" i="62"/>
  <c r="AJ203" i="62"/>
  <c r="AK203" i="62"/>
  <c r="AL203" i="62"/>
  <c r="AM203" i="62"/>
  <c r="AN203" i="62"/>
  <c r="AO203" i="62"/>
  <c r="AP203" i="62"/>
  <c r="AQ203" i="62"/>
  <c r="AR203" i="62"/>
  <c r="AS203" i="62"/>
  <c r="AT203" i="62"/>
  <c r="AU203" i="62"/>
  <c r="AW203" i="62"/>
  <c r="AX203" i="62"/>
  <c r="AY203" i="62"/>
  <c r="BA203" i="62"/>
  <c r="A204" i="62"/>
  <c r="B204" i="62"/>
  <c r="D204" i="62"/>
  <c r="E204" i="62"/>
  <c r="F204" i="62"/>
  <c r="G204" i="62"/>
  <c r="H204" i="62"/>
  <c r="J204" i="62"/>
  <c r="K204" i="62"/>
  <c r="M204" i="62"/>
  <c r="O204" i="62"/>
  <c r="P204" i="62"/>
  <c r="R204" i="62"/>
  <c r="S204" i="62"/>
  <c r="T204" i="62"/>
  <c r="U204" i="62"/>
  <c r="V204" i="62"/>
  <c r="W204" i="62"/>
  <c r="X204" i="62"/>
  <c r="Z204" i="62"/>
  <c r="AA204" i="62"/>
  <c r="AB204" i="62"/>
  <c r="AC204" i="62"/>
  <c r="AD204" i="62"/>
  <c r="AE204" i="62"/>
  <c r="AF204" i="62"/>
  <c r="AG204" i="62"/>
  <c r="AH204" i="62"/>
  <c r="AI204" i="62"/>
  <c r="AJ204" i="62"/>
  <c r="AK204" i="62"/>
  <c r="AL204" i="62"/>
  <c r="AM204" i="62"/>
  <c r="AN204" i="62"/>
  <c r="AO204" i="62"/>
  <c r="AP204" i="62"/>
  <c r="AQ204" i="62"/>
  <c r="AR204" i="62"/>
  <c r="AS204" i="62"/>
  <c r="AT204" i="62"/>
  <c r="AU204" i="62"/>
  <c r="AW204" i="62"/>
  <c r="AX204" i="62"/>
  <c r="AY204" i="62"/>
  <c r="BA204" i="62"/>
  <c r="A205" i="62"/>
  <c r="B205" i="62"/>
  <c r="D205" i="62"/>
  <c r="E205" i="62"/>
  <c r="F205" i="62"/>
  <c r="G205" i="62"/>
  <c r="H205" i="62"/>
  <c r="J205" i="62"/>
  <c r="K205" i="62"/>
  <c r="M205" i="62"/>
  <c r="O205" i="62"/>
  <c r="P205" i="62"/>
  <c r="R205" i="62"/>
  <c r="S205" i="62"/>
  <c r="T205" i="62"/>
  <c r="U205" i="62"/>
  <c r="V205" i="62"/>
  <c r="W205" i="62"/>
  <c r="X205" i="62"/>
  <c r="Z205" i="62"/>
  <c r="AA205" i="62"/>
  <c r="AB205" i="62"/>
  <c r="AC205" i="62"/>
  <c r="AD205" i="62"/>
  <c r="AE205" i="62"/>
  <c r="AF205" i="62"/>
  <c r="AG205" i="62"/>
  <c r="AH205" i="62"/>
  <c r="AI205" i="62"/>
  <c r="AJ205" i="62"/>
  <c r="AK205" i="62"/>
  <c r="AL205" i="62"/>
  <c r="AM205" i="62"/>
  <c r="AN205" i="62"/>
  <c r="AO205" i="62"/>
  <c r="AP205" i="62"/>
  <c r="AQ205" i="62"/>
  <c r="AR205" i="62"/>
  <c r="AS205" i="62"/>
  <c r="AT205" i="62"/>
  <c r="AU205" i="62"/>
  <c r="AW205" i="62"/>
  <c r="AX205" i="62"/>
  <c r="AY205" i="62"/>
  <c r="BA205" i="62"/>
  <c r="A206" i="62"/>
  <c r="B206" i="62"/>
  <c r="D206" i="62"/>
  <c r="E206" i="62"/>
  <c r="F206" i="62"/>
  <c r="G206" i="62"/>
  <c r="H206" i="62"/>
  <c r="J206" i="62"/>
  <c r="K206" i="62"/>
  <c r="M206" i="62"/>
  <c r="O206" i="62"/>
  <c r="P206" i="62"/>
  <c r="R206" i="62"/>
  <c r="S206" i="62"/>
  <c r="T206" i="62"/>
  <c r="U206" i="62"/>
  <c r="V206" i="62"/>
  <c r="W206" i="62"/>
  <c r="X206" i="62"/>
  <c r="Z206" i="62"/>
  <c r="AA206" i="62"/>
  <c r="AB206" i="62"/>
  <c r="AC206" i="62"/>
  <c r="AD206" i="62"/>
  <c r="AE206" i="62"/>
  <c r="AF206" i="62"/>
  <c r="AG206" i="62"/>
  <c r="AH206" i="62"/>
  <c r="AI206" i="62"/>
  <c r="AJ206" i="62"/>
  <c r="AK206" i="62"/>
  <c r="AL206" i="62"/>
  <c r="AM206" i="62"/>
  <c r="AN206" i="62"/>
  <c r="AO206" i="62"/>
  <c r="AP206" i="62"/>
  <c r="AQ206" i="62"/>
  <c r="AR206" i="62"/>
  <c r="AS206" i="62"/>
  <c r="AT206" i="62"/>
  <c r="AU206" i="62"/>
  <c r="AW206" i="62"/>
  <c r="AX206" i="62"/>
  <c r="AY206" i="62"/>
  <c r="BA206" i="62"/>
  <c r="A207" i="62"/>
  <c r="B207" i="62"/>
  <c r="D207" i="62"/>
  <c r="E207" i="62"/>
  <c r="F207" i="62"/>
  <c r="G207" i="62"/>
  <c r="H207" i="62"/>
  <c r="J207" i="62"/>
  <c r="K207" i="62"/>
  <c r="M207" i="62"/>
  <c r="O207" i="62"/>
  <c r="P207" i="62"/>
  <c r="R207" i="62"/>
  <c r="S207" i="62"/>
  <c r="T207" i="62"/>
  <c r="U207" i="62"/>
  <c r="V207" i="62"/>
  <c r="W207" i="62"/>
  <c r="X207" i="62"/>
  <c r="Z207" i="62"/>
  <c r="AA207" i="62"/>
  <c r="AB207" i="62"/>
  <c r="AC207" i="62"/>
  <c r="AD207" i="62"/>
  <c r="AE207" i="62"/>
  <c r="AF207" i="62"/>
  <c r="AG207" i="62"/>
  <c r="AH207" i="62"/>
  <c r="AI207" i="62"/>
  <c r="AJ207" i="62"/>
  <c r="AK207" i="62"/>
  <c r="AL207" i="62"/>
  <c r="AM207" i="62"/>
  <c r="AN207" i="62"/>
  <c r="AO207" i="62"/>
  <c r="AP207" i="62"/>
  <c r="AQ207" i="62"/>
  <c r="AR207" i="62"/>
  <c r="AS207" i="62"/>
  <c r="AT207" i="62"/>
  <c r="AU207" i="62"/>
  <c r="AW207" i="62"/>
  <c r="AX207" i="62"/>
  <c r="AY207" i="62"/>
  <c r="BA207" i="62"/>
  <c r="A208" i="62"/>
  <c r="B208" i="62"/>
  <c r="D208" i="62"/>
  <c r="E208" i="62"/>
  <c r="F208" i="62"/>
  <c r="G208" i="62"/>
  <c r="H208" i="62"/>
  <c r="J208" i="62"/>
  <c r="K208" i="62"/>
  <c r="M208" i="62"/>
  <c r="O208" i="62"/>
  <c r="P208" i="62"/>
  <c r="R208" i="62"/>
  <c r="S208" i="62"/>
  <c r="T208" i="62"/>
  <c r="U208" i="62"/>
  <c r="V208" i="62"/>
  <c r="W208" i="62"/>
  <c r="X208" i="62"/>
  <c r="Z208" i="62"/>
  <c r="AA208" i="62"/>
  <c r="AB208" i="62"/>
  <c r="AC208" i="62"/>
  <c r="AD208" i="62"/>
  <c r="AE208" i="62"/>
  <c r="AF208" i="62"/>
  <c r="AG208" i="62"/>
  <c r="AH208" i="62"/>
  <c r="AI208" i="62"/>
  <c r="AJ208" i="62"/>
  <c r="AK208" i="62"/>
  <c r="AL208" i="62"/>
  <c r="AM208" i="62"/>
  <c r="AN208" i="62"/>
  <c r="AO208" i="62"/>
  <c r="AP208" i="62"/>
  <c r="AQ208" i="62"/>
  <c r="AR208" i="62"/>
  <c r="AS208" i="62"/>
  <c r="AT208" i="62"/>
  <c r="AU208" i="62"/>
  <c r="AW208" i="62"/>
  <c r="AX208" i="62"/>
  <c r="AY208" i="62"/>
  <c r="BA208" i="62"/>
  <c r="A209" i="62"/>
  <c r="B209" i="62"/>
  <c r="D209" i="62"/>
  <c r="E209" i="62"/>
  <c r="F209" i="62"/>
  <c r="G209" i="62"/>
  <c r="H209" i="62"/>
  <c r="J209" i="62"/>
  <c r="K209" i="62"/>
  <c r="M209" i="62"/>
  <c r="O209" i="62"/>
  <c r="P209" i="62"/>
  <c r="R209" i="62"/>
  <c r="S209" i="62"/>
  <c r="T209" i="62"/>
  <c r="U209" i="62"/>
  <c r="V209" i="62"/>
  <c r="W209" i="62"/>
  <c r="X209" i="62"/>
  <c r="Z209" i="62"/>
  <c r="AA209" i="62"/>
  <c r="AB209" i="62"/>
  <c r="AC209" i="62"/>
  <c r="AD209" i="62"/>
  <c r="AE209" i="62"/>
  <c r="AF209" i="62"/>
  <c r="AG209" i="62"/>
  <c r="AH209" i="62"/>
  <c r="AI209" i="62"/>
  <c r="AJ209" i="62"/>
  <c r="AK209" i="62"/>
  <c r="AL209" i="62"/>
  <c r="AM209" i="62"/>
  <c r="AN209" i="62"/>
  <c r="AO209" i="62"/>
  <c r="AP209" i="62"/>
  <c r="AQ209" i="62"/>
  <c r="AR209" i="62"/>
  <c r="AS209" i="62"/>
  <c r="AT209" i="62"/>
  <c r="AU209" i="62"/>
  <c r="AW209" i="62"/>
  <c r="AX209" i="62"/>
  <c r="AY209" i="62"/>
  <c r="BA209" i="62"/>
  <c r="A210" i="62"/>
  <c r="B210" i="62"/>
  <c r="D210" i="62"/>
  <c r="E210" i="62"/>
  <c r="F210" i="62"/>
  <c r="G210" i="62"/>
  <c r="H210" i="62"/>
  <c r="J210" i="62"/>
  <c r="K210" i="62"/>
  <c r="M210" i="62"/>
  <c r="O210" i="62"/>
  <c r="P210" i="62"/>
  <c r="R210" i="62"/>
  <c r="S210" i="62"/>
  <c r="T210" i="62"/>
  <c r="U210" i="62"/>
  <c r="V210" i="62"/>
  <c r="W210" i="62"/>
  <c r="X210" i="62"/>
  <c r="Z210" i="62"/>
  <c r="AA210" i="62"/>
  <c r="AB210" i="62"/>
  <c r="AC210" i="62"/>
  <c r="AD210" i="62"/>
  <c r="AE210" i="62"/>
  <c r="AF210" i="62"/>
  <c r="AG210" i="62"/>
  <c r="AH210" i="62"/>
  <c r="AI210" i="62"/>
  <c r="AJ210" i="62"/>
  <c r="AK210" i="62"/>
  <c r="AL210" i="62"/>
  <c r="AM210" i="62"/>
  <c r="AN210" i="62"/>
  <c r="AO210" i="62"/>
  <c r="AP210" i="62"/>
  <c r="AQ210" i="62"/>
  <c r="AR210" i="62"/>
  <c r="AS210" i="62"/>
  <c r="AT210" i="62"/>
  <c r="AU210" i="62"/>
  <c r="AW210" i="62"/>
  <c r="AX210" i="62"/>
  <c r="AY210" i="62"/>
  <c r="BA210" i="62"/>
  <c r="A211" i="62"/>
  <c r="B211" i="62"/>
  <c r="D211" i="62"/>
  <c r="E211" i="62"/>
  <c r="F211" i="62"/>
  <c r="G211" i="62"/>
  <c r="H211" i="62"/>
  <c r="J211" i="62"/>
  <c r="K211" i="62"/>
  <c r="M211" i="62"/>
  <c r="O211" i="62"/>
  <c r="P211" i="62"/>
  <c r="R211" i="62"/>
  <c r="S211" i="62"/>
  <c r="T211" i="62"/>
  <c r="U211" i="62"/>
  <c r="V211" i="62"/>
  <c r="W211" i="62"/>
  <c r="X211" i="62"/>
  <c r="Z211" i="62"/>
  <c r="AA211" i="62"/>
  <c r="AB211" i="62"/>
  <c r="AC211" i="62"/>
  <c r="AD211" i="62"/>
  <c r="AE211" i="62"/>
  <c r="AF211" i="62"/>
  <c r="AG211" i="62"/>
  <c r="AH211" i="62"/>
  <c r="AI211" i="62"/>
  <c r="AJ211" i="62"/>
  <c r="AK211" i="62"/>
  <c r="AL211" i="62"/>
  <c r="AM211" i="62"/>
  <c r="AN211" i="62"/>
  <c r="AO211" i="62"/>
  <c r="AP211" i="62"/>
  <c r="AQ211" i="62"/>
  <c r="AR211" i="62"/>
  <c r="AS211" i="62"/>
  <c r="AT211" i="62"/>
  <c r="AU211" i="62"/>
  <c r="AW211" i="62"/>
  <c r="AX211" i="62"/>
  <c r="AY211" i="62"/>
  <c r="BA211" i="62"/>
  <c r="A212" i="62"/>
  <c r="B212" i="62"/>
  <c r="D212" i="62"/>
  <c r="E212" i="62"/>
  <c r="F212" i="62"/>
  <c r="G212" i="62"/>
  <c r="H212" i="62"/>
  <c r="J212" i="62"/>
  <c r="K212" i="62"/>
  <c r="M212" i="62"/>
  <c r="O212" i="62"/>
  <c r="P212" i="62"/>
  <c r="R212" i="62"/>
  <c r="S212" i="62"/>
  <c r="T212" i="62"/>
  <c r="U212" i="62"/>
  <c r="V212" i="62"/>
  <c r="W212" i="62"/>
  <c r="X212" i="62"/>
  <c r="Z212" i="62"/>
  <c r="AA212" i="62"/>
  <c r="AB212" i="62"/>
  <c r="AC212" i="62"/>
  <c r="AD212" i="62"/>
  <c r="AE212" i="62"/>
  <c r="AF212" i="62"/>
  <c r="AG212" i="62"/>
  <c r="AH212" i="62"/>
  <c r="AI212" i="62"/>
  <c r="AJ212" i="62"/>
  <c r="AK212" i="62"/>
  <c r="AL212" i="62"/>
  <c r="AM212" i="62"/>
  <c r="AN212" i="62"/>
  <c r="AO212" i="62"/>
  <c r="AP212" i="62"/>
  <c r="AQ212" i="62"/>
  <c r="AR212" i="62"/>
  <c r="AS212" i="62"/>
  <c r="AT212" i="62"/>
  <c r="AU212" i="62"/>
  <c r="AW212" i="62"/>
  <c r="AX212" i="62"/>
  <c r="AY212" i="62"/>
  <c r="BA212" i="62"/>
  <c r="A213" i="62"/>
  <c r="B213" i="62"/>
  <c r="D213" i="62"/>
  <c r="E213" i="62"/>
  <c r="F213" i="62"/>
  <c r="G213" i="62"/>
  <c r="H213" i="62"/>
  <c r="J213" i="62"/>
  <c r="K213" i="62"/>
  <c r="M213" i="62"/>
  <c r="O213" i="62"/>
  <c r="P213" i="62"/>
  <c r="R213" i="62"/>
  <c r="S213" i="62"/>
  <c r="T213" i="62"/>
  <c r="U213" i="62"/>
  <c r="V213" i="62"/>
  <c r="W213" i="62"/>
  <c r="X213" i="62"/>
  <c r="Z213" i="62"/>
  <c r="AA213" i="62"/>
  <c r="AB213" i="62"/>
  <c r="AC213" i="62"/>
  <c r="AD213" i="62"/>
  <c r="AE213" i="62"/>
  <c r="AF213" i="62"/>
  <c r="AG213" i="62"/>
  <c r="AH213" i="62"/>
  <c r="AI213" i="62"/>
  <c r="AJ213" i="62"/>
  <c r="AK213" i="62"/>
  <c r="AL213" i="62"/>
  <c r="AM213" i="62"/>
  <c r="AN213" i="62"/>
  <c r="AO213" i="62"/>
  <c r="AP213" i="62"/>
  <c r="AQ213" i="62"/>
  <c r="AR213" i="62"/>
  <c r="AS213" i="62"/>
  <c r="AT213" i="62"/>
  <c r="AU213" i="62"/>
  <c r="AW213" i="62"/>
  <c r="AX213" i="62"/>
  <c r="AY213" i="62"/>
  <c r="BA213" i="62"/>
  <c r="A214" i="62"/>
  <c r="B214" i="62"/>
  <c r="D214" i="62"/>
  <c r="E214" i="62"/>
  <c r="F214" i="62"/>
  <c r="G214" i="62"/>
  <c r="H214" i="62"/>
  <c r="J214" i="62"/>
  <c r="K214" i="62"/>
  <c r="M214" i="62"/>
  <c r="O214" i="62"/>
  <c r="P214" i="62"/>
  <c r="R214" i="62"/>
  <c r="S214" i="62"/>
  <c r="T214" i="62"/>
  <c r="U214" i="62"/>
  <c r="V214" i="62"/>
  <c r="W214" i="62"/>
  <c r="X214" i="62"/>
  <c r="Z214" i="62"/>
  <c r="AA214" i="62"/>
  <c r="AB214" i="62"/>
  <c r="AC214" i="62"/>
  <c r="AD214" i="62"/>
  <c r="AE214" i="62"/>
  <c r="AF214" i="62"/>
  <c r="AG214" i="62"/>
  <c r="AH214" i="62"/>
  <c r="AI214" i="62"/>
  <c r="AJ214" i="62"/>
  <c r="AK214" i="62"/>
  <c r="AL214" i="62"/>
  <c r="AM214" i="62"/>
  <c r="AN214" i="62"/>
  <c r="AO214" i="62"/>
  <c r="AP214" i="62"/>
  <c r="AQ214" i="62"/>
  <c r="AR214" i="62"/>
  <c r="AS214" i="62"/>
  <c r="AT214" i="62"/>
  <c r="AU214" i="62"/>
  <c r="AW214" i="62"/>
  <c r="AX214" i="62"/>
  <c r="AY214" i="62"/>
  <c r="BA214" i="62"/>
  <c r="A215" i="62"/>
  <c r="B215" i="62"/>
  <c r="D215" i="62"/>
  <c r="E215" i="62"/>
  <c r="F215" i="62"/>
  <c r="G215" i="62"/>
  <c r="H215" i="62"/>
  <c r="J215" i="62"/>
  <c r="K215" i="62"/>
  <c r="M215" i="62"/>
  <c r="O215" i="62"/>
  <c r="P215" i="62"/>
  <c r="R215" i="62"/>
  <c r="S215" i="62"/>
  <c r="T215" i="62"/>
  <c r="U215" i="62"/>
  <c r="V215" i="62"/>
  <c r="W215" i="62"/>
  <c r="X215" i="62"/>
  <c r="Z215" i="62"/>
  <c r="AA215" i="62"/>
  <c r="AB215" i="62"/>
  <c r="AC215" i="62"/>
  <c r="AD215" i="62"/>
  <c r="AE215" i="62"/>
  <c r="AF215" i="62"/>
  <c r="AG215" i="62"/>
  <c r="AH215" i="62"/>
  <c r="AI215" i="62"/>
  <c r="AJ215" i="62"/>
  <c r="AK215" i="62"/>
  <c r="AL215" i="62"/>
  <c r="AM215" i="62"/>
  <c r="AN215" i="62"/>
  <c r="AO215" i="62"/>
  <c r="AP215" i="62"/>
  <c r="AQ215" i="62"/>
  <c r="AR215" i="62"/>
  <c r="AS215" i="62"/>
  <c r="AT215" i="62"/>
  <c r="AU215" i="62"/>
  <c r="AW215" i="62"/>
  <c r="AX215" i="62"/>
  <c r="AY215" i="62"/>
  <c r="BA215" i="62"/>
  <c r="A216" i="62"/>
  <c r="B216" i="62"/>
  <c r="D216" i="62"/>
  <c r="E216" i="62"/>
  <c r="F216" i="62"/>
  <c r="G216" i="62"/>
  <c r="H216" i="62"/>
  <c r="J216" i="62"/>
  <c r="K216" i="62"/>
  <c r="M216" i="62"/>
  <c r="O216" i="62"/>
  <c r="P216" i="62"/>
  <c r="R216" i="62"/>
  <c r="S216" i="62"/>
  <c r="T216" i="62"/>
  <c r="U216" i="62"/>
  <c r="V216" i="62"/>
  <c r="W216" i="62"/>
  <c r="X216" i="62"/>
  <c r="Z216" i="62"/>
  <c r="AA216" i="62"/>
  <c r="AB216" i="62"/>
  <c r="AC216" i="62"/>
  <c r="AD216" i="62"/>
  <c r="AE216" i="62"/>
  <c r="AF216" i="62"/>
  <c r="AG216" i="62"/>
  <c r="AH216" i="62"/>
  <c r="AI216" i="62"/>
  <c r="AJ216" i="62"/>
  <c r="AK216" i="62"/>
  <c r="AL216" i="62"/>
  <c r="AM216" i="62"/>
  <c r="AN216" i="62"/>
  <c r="AO216" i="62"/>
  <c r="AP216" i="62"/>
  <c r="AQ216" i="62"/>
  <c r="AR216" i="62"/>
  <c r="AS216" i="62"/>
  <c r="AT216" i="62"/>
  <c r="AU216" i="62"/>
  <c r="AW216" i="62"/>
  <c r="AX216" i="62"/>
  <c r="AY216" i="62"/>
  <c r="BA216" i="62"/>
  <c r="A217" i="62"/>
  <c r="B217" i="62"/>
  <c r="D217" i="62"/>
  <c r="E217" i="62"/>
  <c r="F217" i="62"/>
  <c r="G217" i="62"/>
  <c r="H217" i="62"/>
  <c r="J217" i="62"/>
  <c r="K217" i="62"/>
  <c r="M217" i="62"/>
  <c r="O217" i="62"/>
  <c r="P217" i="62"/>
  <c r="R217" i="62"/>
  <c r="S217" i="62"/>
  <c r="T217" i="62"/>
  <c r="U217" i="62"/>
  <c r="V217" i="62"/>
  <c r="W217" i="62"/>
  <c r="X217" i="62"/>
  <c r="Z217" i="62"/>
  <c r="AA217" i="62"/>
  <c r="AB217" i="62"/>
  <c r="AC217" i="62"/>
  <c r="AD217" i="62"/>
  <c r="AE217" i="62"/>
  <c r="AF217" i="62"/>
  <c r="AG217" i="62"/>
  <c r="AH217" i="62"/>
  <c r="AI217" i="62"/>
  <c r="AJ217" i="62"/>
  <c r="AK217" i="62"/>
  <c r="AL217" i="62"/>
  <c r="AM217" i="62"/>
  <c r="AN217" i="62"/>
  <c r="AO217" i="62"/>
  <c r="AP217" i="62"/>
  <c r="AQ217" i="62"/>
  <c r="AR217" i="62"/>
  <c r="AS217" i="62"/>
  <c r="AT217" i="62"/>
  <c r="AU217" i="62"/>
  <c r="AW217" i="62"/>
  <c r="AX217" i="62"/>
  <c r="AY217" i="62"/>
  <c r="BA217" i="62"/>
  <c r="A218" i="62"/>
  <c r="B218" i="62"/>
  <c r="D218" i="62"/>
  <c r="E218" i="62"/>
  <c r="F218" i="62"/>
  <c r="G218" i="62"/>
  <c r="H218" i="62"/>
  <c r="J218" i="62"/>
  <c r="K218" i="62"/>
  <c r="M218" i="62"/>
  <c r="O218" i="62"/>
  <c r="P218" i="62"/>
  <c r="R218" i="62"/>
  <c r="S218" i="62"/>
  <c r="T218" i="62"/>
  <c r="U218" i="62"/>
  <c r="V218" i="62"/>
  <c r="W218" i="62"/>
  <c r="X218" i="62"/>
  <c r="Z218" i="62"/>
  <c r="AA218" i="62"/>
  <c r="AB218" i="62"/>
  <c r="AC218" i="62"/>
  <c r="AD218" i="62"/>
  <c r="AE218" i="62"/>
  <c r="AF218" i="62"/>
  <c r="AG218" i="62"/>
  <c r="AH218" i="62"/>
  <c r="AI218" i="62"/>
  <c r="AJ218" i="62"/>
  <c r="AK218" i="62"/>
  <c r="AL218" i="62"/>
  <c r="AM218" i="62"/>
  <c r="AN218" i="62"/>
  <c r="AO218" i="62"/>
  <c r="AP218" i="62"/>
  <c r="AQ218" i="62"/>
  <c r="AR218" i="62"/>
  <c r="AS218" i="62"/>
  <c r="AT218" i="62"/>
  <c r="AU218" i="62"/>
  <c r="AW218" i="62"/>
  <c r="AX218" i="62"/>
  <c r="AY218" i="62"/>
  <c r="BA218" i="62"/>
  <c r="A219" i="62"/>
  <c r="B219" i="62"/>
  <c r="D219" i="62"/>
  <c r="E219" i="62"/>
  <c r="F219" i="62"/>
  <c r="G219" i="62"/>
  <c r="H219" i="62"/>
  <c r="J219" i="62"/>
  <c r="K219" i="62"/>
  <c r="M219" i="62"/>
  <c r="O219" i="62"/>
  <c r="P219" i="62"/>
  <c r="R219" i="62"/>
  <c r="S219" i="62"/>
  <c r="T219" i="62"/>
  <c r="U219" i="62"/>
  <c r="V219" i="62"/>
  <c r="W219" i="62"/>
  <c r="X219" i="62"/>
  <c r="Z219" i="62"/>
  <c r="AA219" i="62"/>
  <c r="AB219" i="62"/>
  <c r="AC219" i="62"/>
  <c r="AD219" i="62"/>
  <c r="AE219" i="62"/>
  <c r="AF219" i="62"/>
  <c r="AG219" i="62"/>
  <c r="AH219" i="62"/>
  <c r="AI219" i="62"/>
  <c r="AJ219" i="62"/>
  <c r="AK219" i="62"/>
  <c r="AL219" i="62"/>
  <c r="AM219" i="62"/>
  <c r="AN219" i="62"/>
  <c r="AO219" i="62"/>
  <c r="AP219" i="62"/>
  <c r="AQ219" i="62"/>
  <c r="AR219" i="62"/>
  <c r="AS219" i="62"/>
  <c r="AT219" i="62"/>
  <c r="AU219" i="62"/>
  <c r="AW219" i="62"/>
  <c r="AX219" i="62"/>
  <c r="AY219" i="62"/>
  <c r="BA219" i="62"/>
  <c r="A220" i="62"/>
  <c r="B220" i="62"/>
  <c r="D220" i="62"/>
  <c r="E220" i="62"/>
  <c r="F220" i="62"/>
  <c r="G220" i="62"/>
  <c r="H220" i="62"/>
  <c r="J220" i="62"/>
  <c r="K220" i="62"/>
  <c r="M220" i="62"/>
  <c r="O220" i="62"/>
  <c r="P220" i="62"/>
  <c r="R220" i="62"/>
  <c r="S220" i="62"/>
  <c r="T220" i="62"/>
  <c r="U220" i="62"/>
  <c r="V220" i="62"/>
  <c r="W220" i="62"/>
  <c r="X220" i="62"/>
  <c r="Z220" i="62"/>
  <c r="AA220" i="62"/>
  <c r="AB220" i="62"/>
  <c r="AC220" i="62"/>
  <c r="AD220" i="62"/>
  <c r="AE220" i="62"/>
  <c r="AF220" i="62"/>
  <c r="AG220" i="62"/>
  <c r="AH220" i="62"/>
  <c r="AI220" i="62"/>
  <c r="AJ220" i="62"/>
  <c r="AK220" i="62"/>
  <c r="AL220" i="62"/>
  <c r="AM220" i="62"/>
  <c r="AN220" i="62"/>
  <c r="AO220" i="62"/>
  <c r="AP220" i="62"/>
  <c r="AQ220" i="62"/>
  <c r="AR220" i="62"/>
  <c r="AS220" i="62"/>
  <c r="AT220" i="62"/>
  <c r="AU220" i="62"/>
  <c r="AW220" i="62"/>
  <c r="AX220" i="62"/>
  <c r="AY220" i="62"/>
  <c r="BA220" i="62"/>
  <c r="A221" i="62"/>
  <c r="B221" i="62"/>
  <c r="D221" i="62"/>
  <c r="E221" i="62"/>
  <c r="F221" i="62"/>
  <c r="G221" i="62"/>
  <c r="H221" i="62"/>
  <c r="J221" i="62"/>
  <c r="K221" i="62"/>
  <c r="M221" i="62"/>
  <c r="O221" i="62"/>
  <c r="P221" i="62"/>
  <c r="R221" i="62"/>
  <c r="S221" i="62"/>
  <c r="T221" i="62"/>
  <c r="U221" i="62"/>
  <c r="V221" i="62"/>
  <c r="W221" i="62"/>
  <c r="X221" i="62"/>
  <c r="Z221" i="62"/>
  <c r="AA221" i="62"/>
  <c r="AB221" i="62"/>
  <c r="AC221" i="62"/>
  <c r="AD221" i="62"/>
  <c r="AE221" i="62"/>
  <c r="AF221" i="62"/>
  <c r="AG221" i="62"/>
  <c r="AH221" i="62"/>
  <c r="AI221" i="62"/>
  <c r="AJ221" i="62"/>
  <c r="AK221" i="62"/>
  <c r="AL221" i="62"/>
  <c r="AM221" i="62"/>
  <c r="AN221" i="62"/>
  <c r="AO221" i="62"/>
  <c r="AP221" i="62"/>
  <c r="AQ221" i="62"/>
  <c r="AR221" i="62"/>
  <c r="AS221" i="62"/>
  <c r="AT221" i="62"/>
  <c r="AU221" i="62"/>
  <c r="AW221" i="62"/>
  <c r="AX221" i="62"/>
  <c r="AY221" i="62"/>
  <c r="BA221" i="62"/>
  <c r="A222" i="62"/>
  <c r="B222" i="62"/>
  <c r="D222" i="62"/>
  <c r="E222" i="62"/>
  <c r="F222" i="62"/>
  <c r="G222" i="62"/>
  <c r="H222" i="62"/>
  <c r="J222" i="62"/>
  <c r="K222" i="62"/>
  <c r="M222" i="62"/>
  <c r="O222" i="62"/>
  <c r="P222" i="62"/>
  <c r="R222" i="62"/>
  <c r="S222" i="62"/>
  <c r="T222" i="62"/>
  <c r="U222" i="62"/>
  <c r="V222" i="62"/>
  <c r="W222" i="62"/>
  <c r="X222" i="62"/>
  <c r="Z222" i="62"/>
  <c r="AA222" i="62"/>
  <c r="AB222" i="62"/>
  <c r="AC222" i="62"/>
  <c r="AD222" i="62"/>
  <c r="AE222" i="62"/>
  <c r="AF222" i="62"/>
  <c r="AG222" i="62"/>
  <c r="AH222" i="62"/>
  <c r="AI222" i="62"/>
  <c r="AJ222" i="62"/>
  <c r="AK222" i="62"/>
  <c r="AL222" i="62"/>
  <c r="AM222" i="62"/>
  <c r="AN222" i="62"/>
  <c r="AO222" i="62"/>
  <c r="AP222" i="62"/>
  <c r="AQ222" i="62"/>
  <c r="AR222" i="62"/>
  <c r="AS222" i="62"/>
  <c r="AT222" i="62"/>
  <c r="AU222" i="62"/>
  <c r="AW222" i="62"/>
  <c r="AX222" i="62"/>
  <c r="AY222" i="62"/>
  <c r="BA222" i="62"/>
  <c r="A223" i="62"/>
  <c r="B223" i="62"/>
  <c r="D223" i="62"/>
  <c r="E223" i="62"/>
  <c r="F223" i="62"/>
  <c r="G223" i="62"/>
  <c r="H223" i="62"/>
  <c r="J223" i="62"/>
  <c r="K223" i="62"/>
  <c r="M223" i="62"/>
  <c r="O223" i="62"/>
  <c r="P223" i="62"/>
  <c r="R223" i="62"/>
  <c r="S223" i="62"/>
  <c r="T223" i="62"/>
  <c r="U223" i="62"/>
  <c r="V223" i="62"/>
  <c r="W223" i="62"/>
  <c r="X223" i="62"/>
  <c r="Z223" i="62"/>
  <c r="AA223" i="62"/>
  <c r="AB223" i="62"/>
  <c r="AC223" i="62"/>
  <c r="AD223" i="62"/>
  <c r="AE223" i="62"/>
  <c r="AF223" i="62"/>
  <c r="AG223" i="62"/>
  <c r="AH223" i="62"/>
  <c r="AI223" i="62"/>
  <c r="AJ223" i="62"/>
  <c r="AK223" i="62"/>
  <c r="AL223" i="62"/>
  <c r="AM223" i="62"/>
  <c r="AN223" i="62"/>
  <c r="AO223" i="62"/>
  <c r="AP223" i="62"/>
  <c r="AQ223" i="62"/>
  <c r="AR223" i="62"/>
  <c r="AS223" i="62"/>
  <c r="AT223" i="62"/>
  <c r="AU223" i="62"/>
  <c r="AW223" i="62"/>
  <c r="AX223" i="62"/>
  <c r="AY223" i="62"/>
  <c r="BA223" i="62"/>
  <c r="A224" i="62"/>
  <c r="B224" i="62"/>
  <c r="D224" i="62"/>
  <c r="E224" i="62"/>
  <c r="F224" i="62"/>
  <c r="G224" i="62"/>
  <c r="H224" i="62"/>
  <c r="J224" i="62"/>
  <c r="K224" i="62"/>
  <c r="M224" i="62"/>
  <c r="O224" i="62"/>
  <c r="P224" i="62"/>
  <c r="R224" i="62"/>
  <c r="S224" i="62"/>
  <c r="T224" i="62"/>
  <c r="U224" i="62"/>
  <c r="V224" i="62"/>
  <c r="W224" i="62"/>
  <c r="X224" i="62"/>
  <c r="Z224" i="62"/>
  <c r="AA224" i="62"/>
  <c r="AB224" i="62"/>
  <c r="AC224" i="62"/>
  <c r="AD224" i="62"/>
  <c r="AE224" i="62"/>
  <c r="AF224" i="62"/>
  <c r="AG224" i="62"/>
  <c r="AH224" i="62"/>
  <c r="AI224" i="62"/>
  <c r="AJ224" i="62"/>
  <c r="AK224" i="62"/>
  <c r="AL224" i="62"/>
  <c r="AM224" i="62"/>
  <c r="AN224" i="62"/>
  <c r="AO224" i="62"/>
  <c r="AP224" i="62"/>
  <c r="AQ224" i="62"/>
  <c r="AR224" i="62"/>
  <c r="AS224" i="62"/>
  <c r="AT224" i="62"/>
  <c r="AU224" i="62"/>
  <c r="AW224" i="62"/>
  <c r="AX224" i="62"/>
  <c r="AY224" i="62"/>
  <c r="BA224" i="62"/>
  <c r="A225" i="62"/>
  <c r="B225" i="62"/>
  <c r="D225" i="62"/>
  <c r="E225" i="62"/>
  <c r="F225" i="62"/>
  <c r="G225" i="62"/>
  <c r="H225" i="62"/>
  <c r="J225" i="62"/>
  <c r="K225" i="62"/>
  <c r="M225" i="62"/>
  <c r="O225" i="62"/>
  <c r="P225" i="62"/>
  <c r="R225" i="62"/>
  <c r="S225" i="62"/>
  <c r="T225" i="62"/>
  <c r="U225" i="62"/>
  <c r="V225" i="62"/>
  <c r="W225" i="62"/>
  <c r="X225" i="62"/>
  <c r="Z225" i="62"/>
  <c r="AA225" i="62"/>
  <c r="AB225" i="62"/>
  <c r="AC225" i="62"/>
  <c r="AD225" i="62"/>
  <c r="AE225" i="62"/>
  <c r="AF225" i="62"/>
  <c r="AG225" i="62"/>
  <c r="AH225" i="62"/>
  <c r="AI225" i="62"/>
  <c r="AJ225" i="62"/>
  <c r="AK225" i="62"/>
  <c r="AL225" i="62"/>
  <c r="AM225" i="62"/>
  <c r="AN225" i="62"/>
  <c r="AO225" i="62"/>
  <c r="AP225" i="62"/>
  <c r="AQ225" i="62"/>
  <c r="AR225" i="62"/>
  <c r="AS225" i="62"/>
  <c r="AT225" i="62"/>
  <c r="AU225" i="62"/>
  <c r="AW225" i="62"/>
  <c r="AX225" i="62"/>
  <c r="AY225" i="62"/>
  <c r="BA225" i="62"/>
  <c r="A226" i="62"/>
  <c r="B226" i="62"/>
  <c r="D226" i="62"/>
  <c r="E226" i="62"/>
  <c r="F226" i="62"/>
  <c r="G226" i="62"/>
  <c r="H226" i="62"/>
  <c r="J226" i="62"/>
  <c r="K226" i="62"/>
  <c r="M226" i="62"/>
  <c r="O226" i="62"/>
  <c r="P226" i="62"/>
  <c r="R226" i="62"/>
  <c r="S226" i="62"/>
  <c r="T226" i="62"/>
  <c r="U226" i="62"/>
  <c r="V226" i="62"/>
  <c r="W226" i="62"/>
  <c r="X226" i="62"/>
  <c r="Z226" i="62"/>
  <c r="AA226" i="62"/>
  <c r="AB226" i="62"/>
  <c r="AC226" i="62"/>
  <c r="AD226" i="62"/>
  <c r="AE226" i="62"/>
  <c r="AF226" i="62"/>
  <c r="AG226" i="62"/>
  <c r="AH226" i="62"/>
  <c r="AI226" i="62"/>
  <c r="AJ226" i="62"/>
  <c r="AK226" i="62"/>
  <c r="AL226" i="62"/>
  <c r="AM226" i="62"/>
  <c r="AN226" i="62"/>
  <c r="AO226" i="62"/>
  <c r="AP226" i="62"/>
  <c r="AQ226" i="62"/>
  <c r="AR226" i="62"/>
  <c r="AS226" i="62"/>
  <c r="AT226" i="62"/>
  <c r="AU226" i="62"/>
  <c r="AW226" i="62"/>
  <c r="AX226" i="62"/>
  <c r="AY226" i="62"/>
  <c r="BA226" i="62"/>
  <c r="A227" i="62"/>
  <c r="B227" i="62"/>
  <c r="D227" i="62"/>
  <c r="E227" i="62"/>
  <c r="F227" i="62"/>
  <c r="G227" i="62"/>
  <c r="H227" i="62"/>
  <c r="J227" i="62"/>
  <c r="K227" i="62"/>
  <c r="M227" i="62"/>
  <c r="O227" i="62"/>
  <c r="P227" i="62"/>
  <c r="R227" i="62"/>
  <c r="S227" i="62"/>
  <c r="T227" i="62"/>
  <c r="U227" i="62"/>
  <c r="V227" i="62"/>
  <c r="W227" i="62"/>
  <c r="X227" i="62"/>
  <c r="Z227" i="62"/>
  <c r="AA227" i="62"/>
  <c r="AB227" i="62"/>
  <c r="AC227" i="62"/>
  <c r="AD227" i="62"/>
  <c r="AE227" i="62"/>
  <c r="AF227" i="62"/>
  <c r="AG227" i="62"/>
  <c r="AH227" i="62"/>
  <c r="AI227" i="62"/>
  <c r="AJ227" i="62"/>
  <c r="AK227" i="62"/>
  <c r="AL227" i="62"/>
  <c r="AM227" i="62"/>
  <c r="AN227" i="62"/>
  <c r="AO227" i="62"/>
  <c r="AP227" i="62"/>
  <c r="AQ227" i="62"/>
  <c r="AR227" i="62"/>
  <c r="AS227" i="62"/>
  <c r="AT227" i="62"/>
  <c r="AU227" i="62"/>
  <c r="AW227" i="62"/>
  <c r="AX227" i="62"/>
  <c r="AY227" i="62"/>
  <c r="BA227" i="62"/>
  <c r="A228" i="62"/>
  <c r="B228" i="62"/>
  <c r="D228" i="62"/>
  <c r="E228" i="62"/>
  <c r="F228" i="62"/>
  <c r="G228" i="62"/>
  <c r="H228" i="62"/>
  <c r="J228" i="62"/>
  <c r="K228" i="62"/>
  <c r="M228" i="62"/>
  <c r="O228" i="62"/>
  <c r="P228" i="62"/>
  <c r="R228" i="62"/>
  <c r="S228" i="62"/>
  <c r="T228" i="62"/>
  <c r="U228" i="62"/>
  <c r="V228" i="62"/>
  <c r="W228" i="62"/>
  <c r="X228" i="62"/>
  <c r="Z228" i="62"/>
  <c r="AA228" i="62"/>
  <c r="AB228" i="62"/>
  <c r="AC228" i="62"/>
  <c r="AD228" i="62"/>
  <c r="AE228" i="62"/>
  <c r="AF228" i="62"/>
  <c r="AG228" i="62"/>
  <c r="AH228" i="62"/>
  <c r="AI228" i="62"/>
  <c r="AJ228" i="62"/>
  <c r="AK228" i="62"/>
  <c r="AL228" i="62"/>
  <c r="AM228" i="62"/>
  <c r="AN228" i="62"/>
  <c r="AO228" i="62"/>
  <c r="AP228" i="62"/>
  <c r="AQ228" i="62"/>
  <c r="AR228" i="62"/>
  <c r="AS228" i="62"/>
  <c r="AT228" i="62"/>
  <c r="AU228" i="62"/>
  <c r="AW228" i="62"/>
  <c r="AX228" i="62"/>
  <c r="AY228" i="62"/>
  <c r="BA228" i="62"/>
  <c r="A229" i="62"/>
  <c r="B229" i="62"/>
  <c r="D229" i="62"/>
  <c r="E229" i="62"/>
  <c r="F229" i="62"/>
  <c r="G229" i="62"/>
  <c r="H229" i="62"/>
  <c r="J229" i="62"/>
  <c r="K229" i="62"/>
  <c r="M229" i="62"/>
  <c r="O229" i="62"/>
  <c r="P229" i="62"/>
  <c r="R229" i="62"/>
  <c r="S229" i="62"/>
  <c r="T229" i="62"/>
  <c r="U229" i="62"/>
  <c r="V229" i="62"/>
  <c r="W229" i="62"/>
  <c r="X229" i="62"/>
  <c r="Z229" i="62"/>
  <c r="AA229" i="62"/>
  <c r="AB229" i="62"/>
  <c r="AC229" i="62"/>
  <c r="AD229" i="62"/>
  <c r="AE229" i="62"/>
  <c r="AF229" i="62"/>
  <c r="AG229" i="62"/>
  <c r="AH229" i="62"/>
  <c r="AI229" i="62"/>
  <c r="AJ229" i="62"/>
  <c r="AK229" i="62"/>
  <c r="AL229" i="62"/>
  <c r="AM229" i="62"/>
  <c r="AN229" i="62"/>
  <c r="AO229" i="62"/>
  <c r="AP229" i="62"/>
  <c r="AQ229" i="62"/>
  <c r="AR229" i="62"/>
  <c r="AS229" i="62"/>
  <c r="AT229" i="62"/>
  <c r="AU229" i="62"/>
  <c r="AW229" i="62"/>
  <c r="AX229" i="62"/>
  <c r="AY229" i="62"/>
  <c r="BA229" i="62"/>
  <c r="A230" i="62"/>
  <c r="B230" i="62"/>
  <c r="D230" i="62"/>
  <c r="E230" i="62"/>
  <c r="F230" i="62"/>
  <c r="G230" i="62"/>
  <c r="H230" i="62"/>
  <c r="J230" i="62"/>
  <c r="K230" i="62"/>
  <c r="M230" i="62"/>
  <c r="O230" i="62"/>
  <c r="P230" i="62"/>
  <c r="R230" i="62"/>
  <c r="S230" i="62"/>
  <c r="T230" i="62"/>
  <c r="U230" i="62"/>
  <c r="V230" i="62"/>
  <c r="W230" i="62"/>
  <c r="X230" i="62"/>
  <c r="Z230" i="62"/>
  <c r="AA230" i="62"/>
  <c r="AB230" i="62"/>
  <c r="AC230" i="62"/>
  <c r="AD230" i="62"/>
  <c r="AE230" i="62"/>
  <c r="AF230" i="62"/>
  <c r="AG230" i="62"/>
  <c r="AH230" i="62"/>
  <c r="AI230" i="62"/>
  <c r="AJ230" i="62"/>
  <c r="AK230" i="62"/>
  <c r="AL230" i="62"/>
  <c r="AM230" i="62"/>
  <c r="AN230" i="62"/>
  <c r="AO230" i="62"/>
  <c r="AP230" i="62"/>
  <c r="AQ230" i="62"/>
  <c r="AR230" i="62"/>
  <c r="AS230" i="62"/>
  <c r="AT230" i="62"/>
  <c r="AU230" i="62"/>
  <c r="AW230" i="62"/>
  <c r="AX230" i="62"/>
  <c r="AY230" i="62"/>
  <c r="BA230" i="62"/>
  <c r="A231" i="62"/>
  <c r="B231" i="62"/>
  <c r="D231" i="62"/>
  <c r="E231" i="62"/>
  <c r="F231" i="62"/>
  <c r="G231" i="62"/>
  <c r="H231" i="62"/>
  <c r="J231" i="62"/>
  <c r="K231" i="62"/>
  <c r="M231" i="62"/>
  <c r="O231" i="62"/>
  <c r="P231" i="62"/>
  <c r="R231" i="62"/>
  <c r="S231" i="62"/>
  <c r="T231" i="62"/>
  <c r="U231" i="62"/>
  <c r="V231" i="62"/>
  <c r="W231" i="62"/>
  <c r="X231" i="62"/>
  <c r="Z231" i="62"/>
  <c r="AA231" i="62"/>
  <c r="AB231" i="62"/>
  <c r="AC231" i="62"/>
  <c r="AD231" i="62"/>
  <c r="AE231" i="62"/>
  <c r="AF231" i="62"/>
  <c r="AG231" i="62"/>
  <c r="AH231" i="62"/>
  <c r="AI231" i="62"/>
  <c r="AJ231" i="62"/>
  <c r="AK231" i="62"/>
  <c r="AL231" i="62"/>
  <c r="AM231" i="62"/>
  <c r="AN231" i="62"/>
  <c r="AO231" i="62"/>
  <c r="AP231" i="62"/>
  <c r="AQ231" i="62"/>
  <c r="AR231" i="62"/>
  <c r="AS231" i="62"/>
  <c r="AT231" i="62"/>
  <c r="AU231" i="62"/>
  <c r="AW231" i="62"/>
  <c r="AX231" i="62"/>
  <c r="AY231" i="62"/>
  <c r="BA231" i="62"/>
  <c r="A232" i="62"/>
  <c r="B232" i="62"/>
  <c r="D232" i="62"/>
  <c r="E232" i="62"/>
  <c r="F232" i="62"/>
  <c r="G232" i="62"/>
  <c r="H232" i="62"/>
  <c r="J232" i="62"/>
  <c r="K232" i="62"/>
  <c r="M232" i="62"/>
  <c r="O232" i="62"/>
  <c r="P232" i="62"/>
  <c r="R232" i="62"/>
  <c r="S232" i="62"/>
  <c r="T232" i="62"/>
  <c r="U232" i="62"/>
  <c r="V232" i="62"/>
  <c r="W232" i="62"/>
  <c r="X232" i="62"/>
  <c r="Z232" i="62"/>
  <c r="AA232" i="62"/>
  <c r="AB232" i="62"/>
  <c r="AC232" i="62"/>
  <c r="AD232" i="62"/>
  <c r="AE232" i="62"/>
  <c r="AF232" i="62"/>
  <c r="AG232" i="62"/>
  <c r="AH232" i="62"/>
  <c r="AI232" i="62"/>
  <c r="AJ232" i="62"/>
  <c r="AK232" i="62"/>
  <c r="AL232" i="62"/>
  <c r="AM232" i="62"/>
  <c r="AN232" i="62"/>
  <c r="AO232" i="62"/>
  <c r="AP232" i="62"/>
  <c r="AQ232" i="62"/>
  <c r="AR232" i="62"/>
  <c r="AS232" i="62"/>
  <c r="AT232" i="62"/>
  <c r="AU232" i="62"/>
  <c r="AW232" i="62"/>
  <c r="AX232" i="62"/>
  <c r="AY232" i="62"/>
  <c r="BA232" i="62"/>
  <c r="A233" i="62"/>
  <c r="B233" i="62"/>
  <c r="D233" i="62"/>
  <c r="E233" i="62"/>
  <c r="F233" i="62"/>
  <c r="G233" i="62"/>
  <c r="H233" i="62"/>
  <c r="J233" i="62"/>
  <c r="K233" i="62"/>
  <c r="M233" i="62"/>
  <c r="O233" i="62"/>
  <c r="P233" i="62"/>
  <c r="R233" i="62"/>
  <c r="S233" i="62"/>
  <c r="T233" i="62"/>
  <c r="U233" i="62"/>
  <c r="V233" i="62"/>
  <c r="W233" i="62"/>
  <c r="X233" i="62"/>
  <c r="Z233" i="62"/>
  <c r="AA233" i="62"/>
  <c r="AB233" i="62"/>
  <c r="AC233" i="62"/>
  <c r="AD233" i="62"/>
  <c r="AE233" i="62"/>
  <c r="AF233" i="62"/>
  <c r="AG233" i="62"/>
  <c r="AH233" i="62"/>
  <c r="AI233" i="62"/>
  <c r="AJ233" i="62"/>
  <c r="AK233" i="62"/>
  <c r="AL233" i="62"/>
  <c r="AM233" i="62"/>
  <c r="AN233" i="62"/>
  <c r="AO233" i="62"/>
  <c r="AP233" i="62"/>
  <c r="AQ233" i="62"/>
  <c r="AR233" i="62"/>
  <c r="AS233" i="62"/>
  <c r="AT233" i="62"/>
  <c r="AU233" i="62"/>
  <c r="AW233" i="62"/>
  <c r="AX233" i="62"/>
  <c r="AY233" i="62"/>
  <c r="BA233" i="62"/>
  <c r="A234" i="62"/>
  <c r="B234" i="62"/>
  <c r="D234" i="62"/>
  <c r="E234" i="62"/>
  <c r="F234" i="62"/>
  <c r="G234" i="62"/>
  <c r="H234" i="62"/>
  <c r="J234" i="62"/>
  <c r="K234" i="62"/>
  <c r="M234" i="62"/>
  <c r="O234" i="62"/>
  <c r="P234" i="62"/>
  <c r="R234" i="62"/>
  <c r="S234" i="62"/>
  <c r="T234" i="62"/>
  <c r="U234" i="62"/>
  <c r="V234" i="62"/>
  <c r="W234" i="62"/>
  <c r="X234" i="62"/>
  <c r="Z234" i="62"/>
  <c r="AA234" i="62"/>
  <c r="AB234" i="62"/>
  <c r="AC234" i="62"/>
  <c r="AD234" i="62"/>
  <c r="AE234" i="62"/>
  <c r="AF234" i="62"/>
  <c r="AG234" i="62"/>
  <c r="AH234" i="62"/>
  <c r="AI234" i="62"/>
  <c r="AJ234" i="62"/>
  <c r="AK234" i="62"/>
  <c r="AL234" i="62"/>
  <c r="AM234" i="62"/>
  <c r="AN234" i="62"/>
  <c r="AO234" i="62"/>
  <c r="AP234" i="62"/>
  <c r="AQ234" i="62"/>
  <c r="AR234" i="62"/>
  <c r="AS234" i="62"/>
  <c r="AT234" i="62"/>
  <c r="AU234" i="62"/>
  <c r="AW234" i="62"/>
  <c r="AX234" i="62"/>
  <c r="AY234" i="62"/>
  <c r="BA234" i="62"/>
  <c r="A235" i="62"/>
  <c r="B235" i="62"/>
  <c r="D235" i="62"/>
  <c r="E235" i="62"/>
  <c r="F235" i="62"/>
  <c r="G235" i="62"/>
  <c r="H235" i="62"/>
  <c r="J235" i="62"/>
  <c r="K235" i="62"/>
  <c r="M235" i="62"/>
  <c r="O235" i="62"/>
  <c r="P235" i="62"/>
  <c r="R235" i="62"/>
  <c r="S235" i="62"/>
  <c r="T235" i="62"/>
  <c r="U235" i="62"/>
  <c r="V235" i="62"/>
  <c r="W235" i="62"/>
  <c r="X235" i="62"/>
  <c r="Z235" i="62"/>
  <c r="AA235" i="62"/>
  <c r="AB235" i="62"/>
  <c r="AC235" i="62"/>
  <c r="AD235" i="62"/>
  <c r="AE235" i="62"/>
  <c r="AF235" i="62"/>
  <c r="AG235" i="62"/>
  <c r="AH235" i="62"/>
  <c r="AI235" i="62"/>
  <c r="AJ235" i="62"/>
  <c r="AK235" i="62"/>
  <c r="AL235" i="62"/>
  <c r="AM235" i="62"/>
  <c r="AN235" i="62"/>
  <c r="AO235" i="62"/>
  <c r="AP235" i="62"/>
  <c r="AQ235" i="62"/>
  <c r="AR235" i="62"/>
  <c r="AS235" i="62"/>
  <c r="AT235" i="62"/>
  <c r="AU235" i="62"/>
  <c r="AW235" i="62"/>
  <c r="AX235" i="62"/>
  <c r="AY235" i="62"/>
  <c r="BA235" i="62"/>
  <c r="A236" i="62"/>
  <c r="B236" i="62"/>
  <c r="D236" i="62"/>
  <c r="E236" i="62"/>
  <c r="F236" i="62"/>
  <c r="G236" i="62"/>
  <c r="H236" i="62"/>
  <c r="J236" i="62"/>
  <c r="K236" i="62"/>
  <c r="M236" i="62"/>
  <c r="O236" i="62"/>
  <c r="P236" i="62"/>
  <c r="R236" i="62"/>
  <c r="S236" i="62"/>
  <c r="T236" i="62"/>
  <c r="U236" i="62"/>
  <c r="V236" i="62"/>
  <c r="W236" i="62"/>
  <c r="X236" i="62"/>
  <c r="Z236" i="62"/>
  <c r="AA236" i="62"/>
  <c r="AB236" i="62"/>
  <c r="AC236" i="62"/>
  <c r="AD236" i="62"/>
  <c r="AE236" i="62"/>
  <c r="AF236" i="62"/>
  <c r="AG236" i="62"/>
  <c r="AH236" i="62"/>
  <c r="AI236" i="62"/>
  <c r="AJ236" i="62"/>
  <c r="AK236" i="62"/>
  <c r="AL236" i="62"/>
  <c r="AM236" i="62"/>
  <c r="AN236" i="62"/>
  <c r="AO236" i="62"/>
  <c r="AP236" i="62"/>
  <c r="AQ236" i="62"/>
  <c r="AR236" i="62"/>
  <c r="AS236" i="62"/>
  <c r="AT236" i="62"/>
  <c r="AU236" i="62"/>
  <c r="AW236" i="62"/>
  <c r="AX236" i="62"/>
  <c r="AY236" i="62"/>
  <c r="BA236" i="62"/>
  <c r="A237" i="62"/>
  <c r="B237" i="62"/>
  <c r="D237" i="62"/>
  <c r="E237" i="62"/>
  <c r="F237" i="62"/>
  <c r="G237" i="62"/>
  <c r="H237" i="62"/>
  <c r="J237" i="62"/>
  <c r="K237" i="62"/>
  <c r="M237" i="62"/>
  <c r="O237" i="62"/>
  <c r="P237" i="62"/>
  <c r="R237" i="62"/>
  <c r="S237" i="62"/>
  <c r="T237" i="62"/>
  <c r="U237" i="62"/>
  <c r="V237" i="62"/>
  <c r="W237" i="62"/>
  <c r="X237" i="62"/>
  <c r="Z237" i="62"/>
  <c r="AA237" i="62"/>
  <c r="AB237" i="62"/>
  <c r="AC237" i="62"/>
  <c r="AD237" i="62"/>
  <c r="AE237" i="62"/>
  <c r="AF237" i="62"/>
  <c r="AG237" i="62"/>
  <c r="AH237" i="62"/>
  <c r="AI237" i="62"/>
  <c r="AJ237" i="62"/>
  <c r="AK237" i="62"/>
  <c r="AL237" i="62"/>
  <c r="AM237" i="62"/>
  <c r="AN237" i="62"/>
  <c r="AO237" i="62"/>
  <c r="AP237" i="62"/>
  <c r="AQ237" i="62"/>
  <c r="AR237" i="62"/>
  <c r="AS237" i="62"/>
  <c r="AT237" i="62"/>
  <c r="AU237" i="62"/>
  <c r="AW237" i="62"/>
  <c r="AX237" i="62"/>
  <c r="AY237" i="62"/>
  <c r="BA237" i="62"/>
  <c r="A238" i="62"/>
  <c r="B238" i="62"/>
  <c r="D238" i="62"/>
  <c r="E238" i="62"/>
  <c r="F238" i="62"/>
  <c r="G238" i="62"/>
  <c r="H238" i="62"/>
  <c r="J238" i="62"/>
  <c r="K238" i="62"/>
  <c r="M238" i="62"/>
  <c r="O238" i="62"/>
  <c r="P238" i="62"/>
  <c r="R238" i="62"/>
  <c r="S238" i="62"/>
  <c r="T238" i="62"/>
  <c r="U238" i="62"/>
  <c r="V238" i="62"/>
  <c r="W238" i="62"/>
  <c r="X238" i="62"/>
  <c r="Z238" i="62"/>
  <c r="AA238" i="62"/>
  <c r="AB238" i="62"/>
  <c r="AC238" i="62"/>
  <c r="AD238" i="62"/>
  <c r="AE238" i="62"/>
  <c r="AF238" i="62"/>
  <c r="AG238" i="62"/>
  <c r="AH238" i="62"/>
  <c r="AI238" i="62"/>
  <c r="AJ238" i="62"/>
  <c r="AK238" i="62"/>
  <c r="AL238" i="62"/>
  <c r="AM238" i="62"/>
  <c r="AN238" i="62"/>
  <c r="AO238" i="62"/>
  <c r="AP238" i="62"/>
  <c r="AQ238" i="62"/>
  <c r="AR238" i="62"/>
  <c r="AS238" i="62"/>
  <c r="AT238" i="62"/>
  <c r="AU238" i="62"/>
  <c r="AW238" i="62"/>
  <c r="AX238" i="62"/>
  <c r="AY238" i="62"/>
  <c r="BA238" i="62"/>
  <c r="A239" i="62"/>
  <c r="B239" i="62"/>
  <c r="D239" i="62"/>
  <c r="E239" i="62"/>
  <c r="F239" i="62"/>
  <c r="G239" i="62"/>
  <c r="H239" i="62"/>
  <c r="J239" i="62"/>
  <c r="K239" i="62"/>
  <c r="M239" i="62"/>
  <c r="O239" i="62"/>
  <c r="P239" i="62"/>
  <c r="R239" i="62"/>
  <c r="S239" i="62"/>
  <c r="T239" i="62"/>
  <c r="U239" i="62"/>
  <c r="V239" i="62"/>
  <c r="W239" i="62"/>
  <c r="X239" i="62"/>
  <c r="Z239" i="62"/>
  <c r="AA239" i="62"/>
  <c r="AB239" i="62"/>
  <c r="AC239" i="62"/>
  <c r="AD239" i="62"/>
  <c r="AE239" i="62"/>
  <c r="AF239" i="62"/>
  <c r="AG239" i="62"/>
  <c r="AH239" i="62"/>
  <c r="AI239" i="62"/>
  <c r="AJ239" i="62"/>
  <c r="AK239" i="62"/>
  <c r="AL239" i="62"/>
  <c r="AM239" i="62"/>
  <c r="AN239" i="62"/>
  <c r="AO239" i="62"/>
  <c r="AP239" i="62"/>
  <c r="AQ239" i="62"/>
  <c r="AR239" i="62"/>
  <c r="AS239" i="62"/>
  <c r="AT239" i="62"/>
  <c r="AU239" i="62"/>
  <c r="AW239" i="62"/>
  <c r="AX239" i="62"/>
  <c r="AY239" i="62"/>
  <c r="BA239" i="62"/>
  <c r="A240" i="62"/>
  <c r="B240" i="62"/>
  <c r="D240" i="62"/>
  <c r="E240" i="62"/>
  <c r="F240" i="62"/>
  <c r="G240" i="62"/>
  <c r="H240" i="62"/>
  <c r="J240" i="62"/>
  <c r="K240" i="62"/>
  <c r="M240" i="62"/>
  <c r="O240" i="62"/>
  <c r="P240" i="62"/>
  <c r="R240" i="62"/>
  <c r="S240" i="62"/>
  <c r="T240" i="62"/>
  <c r="U240" i="62"/>
  <c r="V240" i="62"/>
  <c r="W240" i="62"/>
  <c r="X240" i="62"/>
  <c r="Z240" i="62"/>
  <c r="AA240" i="62"/>
  <c r="AB240" i="62"/>
  <c r="AC240" i="62"/>
  <c r="AD240" i="62"/>
  <c r="AE240" i="62"/>
  <c r="AF240" i="62"/>
  <c r="AG240" i="62"/>
  <c r="AH240" i="62"/>
  <c r="AI240" i="62"/>
  <c r="AJ240" i="62"/>
  <c r="AK240" i="62"/>
  <c r="AL240" i="62"/>
  <c r="AM240" i="62"/>
  <c r="AN240" i="62"/>
  <c r="AO240" i="62"/>
  <c r="AP240" i="62"/>
  <c r="AQ240" i="62"/>
  <c r="AR240" i="62"/>
  <c r="AS240" i="62"/>
  <c r="AT240" i="62"/>
  <c r="AU240" i="62"/>
  <c r="AW240" i="62"/>
  <c r="AX240" i="62"/>
  <c r="AY240" i="62"/>
  <c r="BA240" i="62"/>
  <c r="A241" i="62"/>
  <c r="B241" i="62"/>
  <c r="D241" i="62"/>
  <c r="E241" i="62"/>
  <c r="F241" i="62"/>
  <c r="G241" i="62"/>
  <c r="H241" i="62"/>
  <c r="J241" i="62"/>
  <c r="K241" i="62"/>
  <c r="M241" i="62"/>
  <c r="O241" i="62"/>
  <c r="P241" i="62"/>
  <c r="R241" i="62"/>
  <c r="S241" i="62"/>
  <c r="T241" i="62"/>
  <c r="U241" i="62"/>
  <c r="V241" i="62"/>
  <c r="W241" i="62"/>
  <c r="X241" i="62"/>
  <c r="Z241" i="62"/>
  <c r="AA241" i="62"/>
  <c r="AB241" i="62"/>
  <c r="AC241" i="62"/>
  <c r="AD241" i="62"/>
  <c r="AE241" i="62"/>
  <c r="AF241" i="62"/>
  <c r="AG241" i="62"/>
  <c r="AH241" i="62"/>
  <c r="AI241" i="62"/>
  <c r="AJ241" i="62"/>
  <c r="AK241" i="62"/>
  <c r="AL241" i="62"/>
  <c r="AM241" i="62"/>
  <c r="AN241" i="62"/>
  <c r="AO241" i="62"/>
  <c r="AP241" i="62"/>
  <c r="AQ241" i="62"/>
  <c r="AR241" i="62"/>
  <c r="AS241" i="62"/>
  <c r="AT241" i="62"/>
  <c r="AU241" i="62"/>
  <c r="AW241" i="62"/>
  <c r="AX241" i="62"/>
  <c r="AY241" i="62"/>
  <c r="BA241" i="62"/>
  <c r="A242" i="62"/>
  <c r="B242" i="62"/>
  <c r="D242" i="62"/>
  <c r="E242" i="62"/>
  <c r="F242" i="62"/>
  <c r="G242" i="62"/>
  <c r="H242" i="62"/>
  <c r="J242" i="62"/>
  <c r="K242" i="62"/>
  <c r="M242" i="62"/>
  <c r="O242" i="62"/>
  <c r="P242" i="62"/>
  <c r="R242" i="62"/>
  <c r="S242" i="62"/>
  <c r="T242" i="62"/>
  <c r="U242" i="62"/>
  <c r="V242" i="62"/>
  <c r="W242" i="62"/>
  <c r="X242" i="62"/>
  <c r="Z242" i="62"/>
  <c r="AA242" i="62"/>
  <c r="AB242" i="62"/>
  <c r="AC242" i="62"/>
  <c r="AD242" i="62"/>
  <c r="AE242" i="62"/>
  <c r="AF242" i="62"/>
  <c r="AG242" i="62"/>
  <c r="AH242" i="62"/>
  <c r="AI242" i="62"/>
  <c r="AJ242" i="62"/>
  <c r="AK242" i="62"/>
  <c r="AL242" i="62"/>
  <c r="AM242" i="62"/>
  <c r="AN242" i="62"/>
  <c r="AO242" i="62"/>
  <c r="AP242" i="62"/>
  <c r="AQ242" i="62"/>
  <c r="AR242" i="62"/>
  <c r="AS242" i="62"/>
  <c r="AT242" i="62"/>
  <c r="AU242" i="62"/>
  <c r="AW242" i="62"/>
  <c r="AX242" i="62"/>
  <c r="AY242" i="62"/>
  <c r="BA242" i="62"/>
  <c r="A243" i="62"/>
  <c r="B243" i="62"/>
  <c r="D243" i="62"/>
  <c r="E243" i="62"/>
  <c r="F243" i="62"/>
  <c r="G243" i="62"/>
  <c r="H243" i="62"/>
  <c r="J243" i="62"/>
  <c r="K243" i="62"/>
  <c r="M243" i="62"/>
  <c r="O243" i="62"/>
  <c r="P243" i="62"/>
  <c r="R243" i="62"/>
  <c r="S243" i="62"/>
  <c r="T243" i="62"/>
  <c r="U243" i="62"/>
  <c r="V243" i="62"/>
  <c r="W243" i="62"/>
  <c r="X243" i="62"/>
  <c r="Z243" i="62"/>
  <c r="AA243" i="62"/>
  <c r="AB243" i="62"/>
  <c r="AC243" i="62"/>
  <c r="AD243" i="62"/>
  <c r="AE243" i="62"/>
  <c r="AF243" i="62"/>
  <c r="AG243" i="62"/>
  <c r="AH243" i="62"/>
  <c r="AI243" i="62"/>
  <c r="AJ243" i="62"/>
  <c r="AK243" i="62"/>
  <c r="AL243" i="62"/>
  <c r="AM243" i="62"/>
  <c r="AN243" i="62"/>
  <c r="AO243" i="62"/>
  <c r="AP243" i="62"/>
  <c r="AQ243" i="62"/>
  <c r="AR243" i="62"/>
  <c r="AS243" i="62"/>
  <c r="AT243" i="62"/>
  <c r="AU243" i="62"/>
  <c r="AW243" i="62"/>
  <c r="AX243" i="62"/>
  <c r="AY243" i="62"/>
  <c r="BA243" i="62"/>
  <c r="A244" i="62"/>
  <c r="B244" i="62"/>
  <c r="D244" i="62"/>
  <c r="E244" i="62"/>
  <c r="F244" i="62"/>
  <c r="G244" i="62"/>
  <c r="H244" i="62"/>
  <c r="J244" i="62"/>
  <c r="K244" i="62"/>
  <c r="M244" i="62"/>
  <c r="O244" i="62"/>
  <c r="P244" i="62"/>
  <c r="R244" i="62"/>
  <c r="S244" i="62"/>
  <c r="T244" i="62"/>
  <c r="U244" i="62"/>
  <c r="V244" i="62"/>
  <c r="W244" i="62"/>
  <c r="X244" i="62"/>
  <c r="Z244" i="62"/>
  <c r="AA244" i="62"/>
  <c r="AB244" i="62"/>
  <c r="AC244" i="62"/>
  <c r="AD244" i="62"/>
  <c r="AE244" i="62"/>
  <c r="AF244" i="62"/>
  <c r="AG244" i="62"/>
  <c r="AH244" i="62"/>
  <c r="AI244" i="62"/>
  <c r="AJ244" i="62"/>
  <c r="AK244" i="62"/>
  <c r="AL244" i="62"/>
  <c r="AM244" i="62"/>
  <c r="AN244" i="62"/>
  <c r="AO244" i="62"/>
  <c r="AP244" i="62"/>
  <c r="AQ244" i="62"/>
  <c r="AR244" i="62"/>
  <c r="AS244" i="62"/>
  <c r="AT244" i="62"/>
  <c r="AU244" i="62"/>
  <c r="AW244" i="62"/>
  <c r="AX244" i="62"/>
  <c r="AY244" i="62"/>
  <c r="BA244" i="62"/>
  <c r="A245" i="62"/>
  <c r="B245" i="62"/>
  <c r="D245" i="62"/>
  <c r="E245" i="62"/>
  <c r="F245" i="62"/>
  <c r="G245" i="62"/>
  <c r="H245" i="62"/>
  <c r="J245" i="62"/>
  <c r="K245" i="62"/>
  <c r="M245" i="62"/>
  <c r="O245" i="62"/>
  <c r="P245" i="62"/>
  <c r="R245" i="62"/>
  <c r="S245" i="62"/>
  <c r="T245" i="62"/>
  <c r="U245" i="62"/>
  <c r="V245" i="62"/>
  <c r="W245" i="62"/>
  <c r="X245" i="62"/>
  <c r="Z245" i="62"/>
  <c r="AA245" i="62"/>
  <c r="AB245" i="62"/>
  <c r="AC245" i="62"/>
  <c r="AD245" i="62"/>
  <c r="AE245" i="62"/>
  <c r="AF245" i="62"/>
  <c r="AG245" i="62"/>
  <c r="AH245" i="62"/>
  <c r="AI245" i="62"/>
  <c r="AJ245" i="62"/>
  <c r="AK245" i="62"/>
  <c r="AL245" i="62"/>
  <c r="AM245" i="62"/>
  <c r="AN245" i="62"/>
  <c r="AO245" i="62"/>
  <c r="AP245" i="62"/>
  <c r="AQ245" i="62"/>
  <c r="AR245" i="62"/>
  <c r="AS245" i="62"/>
  <c r="AT245" i="62"/>
  <c r="AU245" i="62"/>
  <c r="AW245" i="62"/>
  <c r="AX245" i="62"/>
  <c r="AY245" i="62"/>
  <c r="BA245" i="62"/>
  <c r="A246" i="62"/>
  <c r="B246" i="62"/>
  <c r="D246" i="62"/>
  <c r="E246" i="62"/>
  <c r="F246" i="62"/>
  <c r="G246" i="62"/>
  <c r="H246" i="62"/>
  <c r="J246" i="62"/>
  <c r="K246" i="62"/>
  <c r="M246" i="62"/>
  <c r="O246" i="62"/>
  <c r="P246" i="62"/>
  <c r="R246" i="62"/>
  <c r="S246" i="62"/>
  <c r="T246" i="62"/>
  <c r="U246" i="62"/>
  <c r="V246" i="62"/>
  <c r="W246" i="62"/>
  <c r="X246" i="62"/>
  <c r="Z246" i="62"/>
  <c r="AA246" i="62"/>
  <c r="AB246" i="62"/>
  <c r="AC246" i="62"/>
  <c r="AD246" i="62"/>
  <c r="AE246" i="62"/>
  <c r="AF246" i="62"/>
  <c r="AG246" i="62"/>
  <c r="AH246" i="62"/>
  <c r="AI246" i="62"/>
  <c r="AJ246" i="62"/>
  <c r="AK246" i="62"/>
  <c r="AL246" i="62"/>
  <c r="AM246" i="62"/>
  <c r="AN246" i="62"/>
  <c r="AO246" i="62"/>
  <c r="AP246" i="62"/>
  <c r="AQ246" i="62"/>
  <c r="AR246" i="62"/>
  <c r="AS246" i="62"/>
  <c r="AT246" i="62"/>
  <c r="AU246" i="62"/>
  <c r="AW246" i="62"/>
  <c r="AX246" i="62"/>
  <c r="AY246" i="62"/>
  <c r="BA246" i="62"/>
  <c r="A247" i="62"/>
  <c r="B247" i="62"/>
  <c r="D247" i="62"/>
  <c r="E247" i="62"/>
  <c r="F247" i="62"/>
  <c r="G247" i="62"/>
  <c r="H247" i="62"/>
  <c r="J247" i="62"/>
  <c r="K247" i="62"/>
  <c r="M247" i="62"/>
  <c r="O247" i="62"/>
  <c r="P247" i="62"/>
  <c r="R247" i="62"/>
  <c r="S247" i="62"/>
  <c r="T247" i="62"/>
  <c r="U247" i="62"/>
  <c r="V247" i="62"/>
  <c r="W247" i="62"/>
  <c r="X247" i="62"/>
  <c r="Z247" i="62"/>
  <c r="AA247" i="62"/>
  <c r="AB247" i="62"/>
  <c r="AC247" i="62"/>
  <c r="AD247" i="62"/>
  <c r="AE247" i="62"/>
  <c r="AF247" i="62"/>
  <c r="AG247" i="62"/>
  <c r="AH247" i="62"/>
  <c r="AI247" i="62"/>
  <c r="AJ247" i="62"/>
  <c r="AK247" i="62"/>
  <c r="AL247" i="62"/>
  <c r="AM247" i="62"/>
  <c r="AN247" i="62"/>
  <c r="AO247" i="62"/>
  <c r="AP247" i="62"/>
  <c r="AQ247" i="62"/>
  <c r="AR247" i="62"/>
  <c r="AS247" i="62"/>
  <c r="AT247" i="62"/>
  <c r="AU247" i="62"/>
  <c r="AW247" i="62"/>
  <c r="AX247" i="62"/>
  <c r="AY247" i="62"/>
  <c r="BA247" i="62"/>
  <c r="A248" i="62"/>
  <c r="B248" i="62"/>
  <c r="D248" i="62"/>
  <c r="E248" i="62"/>
  <c r="F248" i="62"/>
  <c r="G248" i="62"/>
  <c r="H248" i="62"/>
  <c r="J248" i="62"/>
  <c r="K248" i="62"/>
  <c r="M248" i="62"/>
  <c r="O248" i="62"/>
  <c r="P248" i="62"/>
  <c r="R248" i="62"/>
  <c r="S248" i="62"/>
  <c r="T248" i="62"/>
  <c r="U248" i="62"/>
  <c r="V248" i="62"/>
  <c r="W248" i="62"/>
  <c r="X248" i="62"/>
  <c r="Z248" i="62"/>
  <c r="AA248" i="62"/>
  <c r="AB248" i="62"/>
  <c r="AC248" i="62"/>
  <c r="AD248" i="62"/>
  <c r="AE248" i="62"/>
  <c r="AF248" i="62"/>
  <c r="AG248" i="62"/>
  <c r="AH248" i="62"/>
  <c r="AI248" i="62"/>
  <c r="AJ248" i="62"/>
  <c r="AK248" i="62"/>
  <c r="AL248" i="62"/>
  <c r="AM248" i="62"/>
  <c r="AN248" i="62"/>
  <c r="AO248" i="62"/>
  <c r="AP248" i="62"/>
  <c r="AQ248" i="62"/>
  <c r="AR248" i="62"/>
  <c r="AS248" i="62"/>
  <c r="AT248" i="62"/>
  <c r="AU248" i="62"/>
  <c r="AW248" i="62"/>
  <c r="AX248" i="62"/>
  <c r="AY248" i="62"/>
  <c r="BA248" i="62"/>
  <c r="A249" i="62"/>
  <c r="B249" i="62"/>
  <c r="D249" i="62"/>
  <c r="E249" i="62"/>
  <c r="F249" i="62"/>
  <c r="G249" i="62"/>
  <c r="H249" i="62"/>
  <c r="J249" i="62"/>
  <c r="K249" i="62"/>
  <c r="M249" i="62"/>
  <c r="O249" i="62"/>
  <c r="P249" i="62"/>
  <c r="R249" i="62"/>
  <c r="S249" i="62"/>
  <c r="T249" i="62"/>
  <c r="U249" i="62"/>
  <c r="V249" i="62"/>
  <c r="W249" i="62"/>
  <c r="X249" i="62"/>
  <c r="Z249" i="62"/>
  <c r="AA249" i="62"/>
  <c r="AB249" i="62"/>
  <c r="AC249" i="62"/>
  <c r="AD249" i="62"/>
  <c r="AE249" i="62"/>
  <c r="AF249" i="62"/>
  <c r="AG249" i="62"/>
  <c r="AH249" i="62"/>
  <c r="AI249" i="62"/>
  <c r="AJ249" i="62"/>
  <c r="AK249" i="62"/>
  <c r="AL249" i="62"/>
  <c r="AM249" i="62"/>
  <c r="AN249" i="62"/>
  <c r="AO249" i="62"/>
  <c r="AP249" i="62"/>
  <c r="AQ249" i="62"/>
  <c r="AR249" i="62"/>
  <c r="AS249" i="62"/>
  <c r="AT249" i="62"/>
  <c r="AU249" i="62"/>
  <c r="AW249" i="62"/>
  <c r="AX249" i="62"/>
  <c r="AY249" i="62"/>
  <c r="BA249" i="62"/>
  <c r="A250" i="62"/>
  <c r="B250" i="62"/>
  <c r="D250" i="62"/>
  <c r="E250" i="62"/>
  <c r="F250" i="62"/>
  <c r="G250" i="62"/>
  <c r="H250" i="62"/>
  <c r="J250" i="62"/>
  <c r="K250" i="62"/>
  <c r="M250" i="62"/>
  <c r="O250" i="62"/>
  <c r="P250" i="62"/>
  <c r="R250" i="62"/>
  <c r="S250" i="62"/>
  <c r="T250" i="62"/>
  <c r="U250" i="62"/>
  <c r="V250" i="62"/>
  <c r="W250" i="62"/>
  <c r="X250" i="62"/>
  <c r="Z250" i="62"/>
  <c r="AA250" i="62"/>
  <c r="AB250" i="62"/>
  <c r="AC250" i="62"/>
  <c r="AD250" i="62"/>
  <c r="AE250" i="62"/>
  <c r="AF250" i="62"/>
  <c r="AG250" i="62"/>
  <c r="AH250" i="62"/>
  <c r="AI250" i="62"/>
  <c r="AJ250" i="62"/>
  <c r="AK250" i="62"/>
  <c r="AL250" i="62"/>
  <c r="AM250" i="62"/>
  <c r="AN250" i="62"/>
  <c r="AO250" i="62"/>
  <c r="AP250" i="62"/>
  <c r="AQ250" i="62"/>
  <c r="AR250" i="62"/>
  <c r="AS250" i="62"/>
  <c r="AT250" i="62"/>
  <c r="AU250" i="62"/>
  <c r="AW250" i="62"/>
  <c r="AX250" i="62"/>
  <c r="AY250" i="62"/>
  <c r="BA250" i="62"/>
  <c r="A251" i="62"/>
  <c r="B251" i="62"/>
  <c r="D251" i="62"/>
  <c r="E251" i="62"/>
  <c r="F251" i="62"/>
  <c r="G251" i="62"/>
  <c r="H251" i="62"/>
  <c r="J251" i="62"/>
  <c r="K251" i="62"/>
  <c r="M251" i="62"/>
  <c r="O251" i="62"/>
  <c r="P251" i="62"/>
  <c r="R251" i="62"/>
  <c r="S251" i="62"/>
  <c r="T251" i="62"/>
  <c r="U251" i="62"/>
  <c r="V251" i="62"/>
  <c r="W251" i="62"/>
  <c r="X251" i="62"/>
  <c r="Z251" i="62"/>
  <c r="AA251" i="62"/>
  <c r="AB251" i="62"/>
  <c r="AC251" i="62"/>
  <c r="AD251" i="62"/>
  <c r="AE251" i="62"/>
  <c r="AF251" i="62"/>
  <c r="AG251" i="62"/>
  <c r="AH251" i="62"/>
  <c r="AI251" i="62"/>
  <c r="AJ251" i="62"/>
  <c r="AK251" i="62"/>
  <c r="AL251" i="62"/>
  <c r="AM251" i="62"/>
  <c r="AN251" i="62"/>
  <c r="AO251" i="62"/>
  <c r="AP251" i="62"/>
  <c r="AQ251" i="62"/>
  <c r="AR251" i="62"/>
  <c r="AS251" i="62"/>
  <c r="AT251" i="62"/>
  <c r="AU251" i="62"/>
  <c r="AW251" i="62"/>
  <c r="AX251" i="62"/>
  <c r="AY251" i="62"/>
  <c r="BA251" i="62"/>
  <c r="A252" i="62"/>
  <c r="B252" i="62"/>
  <c r="D252" i="62"/>
  <c r="E252" i="62"/>
  <c r="F252" i="62"/>
  <c r="G252" i="62"/>
  <c r="H252" i="62"/>
  <c r="J252" i="62"/>
  <c r="K252" i="62"/>
  <c r="M252" i="62"/>
  <c r="O252" i="62"/>
  <c r="P252" i="62"/>
  <c r="R252" i="62"/>
  <c r="S252" i="62"/>
  <c r="T252" i="62"/>
  <c r="U252" i="62"/>
  <c r="V252" i="62"/>
  <c r="W252" i="62"/>
  <c r="X252" i="62"/>
  <c r="Z252" i="62"/>
  <c r="AA252" i="62"/>
  <c r="AB252" i="62"/>
  <c r="AC252" i="62"/>
  <c r="AD252" i="62"/>
  <c r="AE252" i="62"/>
  <c r="AF252" i="62"/>
  <c r="AG252" i="62"/>
  <c r="AH252" i="62"/>
  <c r="AI252" i="62"/>
  <c r="AJ252" i="62"/>
  <c r="AK252" i="62"/>
  <c r="AL252" i="62"/>
  <c r="AM252" i="62"/>
  <c r="AN252" i="62"/>
  <c r="AO252" i="62"/>
  <c r="AP252" i="62"/>
  <c r="AQ252" i="62"/>
  <c r="AR252" i="62"/>
  <c r="AS252" i="62"/>
  <c r="AT252" i="62"/>
  <c r="AU252" i="62"/>
  <c r="AW252" i="62"/>
  <c r="AX252" i="62"/>
  <c r="AY252" i="62"/>
  <c r="BA252" i="62"/>
  <c r="A253" i="62"/>
  <c r="B253" i="62"/>
  <c r="D253" i="62"/>
  <c r="E253" i="62"/>
  <c r="F253" i="62"/>
  <c r="G253" i="62"/>
  <c r="H253" i="62"/>
  <c r="J253" i="62"/>
  <c r="K253" i="62"/>
  <c r="M253" i="62"/>
  <c r="O253" i="62"/>
  <c r="P253" i="62"/>
  <c r="R253" i="62"/>
  <c r="S253" i="62"/>
  <c r="T253" i="62"/>
  <c r="U253" i="62"/>
  <c r="V253" i="62"/>
  <c r="W253" i="62"/>
  <c r="X253" i="62"/>
  <c r="Z253" i="62"/>
  <c r="AA253" i="62"/>
  <c r="AB253" i="62"/>
  <c r="AC253" i="62"/>
  <c r="AD253" i="62"/>
  <c r="AE253" i="62"/>
  <c r="AF253" i="62"/>
  <c r="AG253" i="62"/>
  <c r="AH253" i="62"/>
  <c r="AI253" i="62"/>
  <c r="AJ253" i="62"/>
  <c r="AK253" i="62"/>
  <c r="AL253" i="62"/>
  <c r="AM253" i="62"/>
  <c r="AN253" i="62"/>
  <c r="AO253" i="62"/>
  <c r="AP253" i="62"/>
  <c r="AQ253" i="62"/>
  <c r="AR253" i="62"/>
  <c r="AS253" i="62"/>
  <c r="AT253" i="62"/>
  <c r="AU253" i="62"/>
  <c r="AW253" i="62"/>
  <c r="AX253" i="62"/>
  <c r="AY253" i="62"/>
  <c r="BA253" i="62"/>
  <c r="A254" i="62"/>
  <c r="B254" i="62"/>
  <c r="D254" i="62"/>
  <c r="E254" i="62"/>
  <c r="F254" i="62"/>
  <c r="G254" i="62"/>
  <c r="H254" i="62"/>
  <c r="J254" i="62"/>
  <c r="K254" i="62"/>
  <c r="M254" i="62"/>
  <c r="O254" i="62"/>
  <c r="P254" i="62"/>
  <c r="R254" i="62"/>
  <c r="S254" i="62"/>
  <c r="T254" i="62"/>
  <c r="U254" i="62"/>
  <c r="V254" i="62"/>
  <c r="W254" i="62"/>
  <c r="X254" i="62"/>
  <c r="Z254" i="62"/>
  <c r="AA254" i="62"/>
  <c r="AB254" i="62"/>
  <c r="AC254" i="62"/>
  <c r="AD254" i="62"/>
  <c r="AE254" i="62"/>
  <c r="AF254" i="62"/>
  <c r="AG254" i="62"/>
  <c r="AH254" i="62"/>
  <c r="AI254" i="62"/>
  <c r="AJ254" i="62"/>
  <c r="AK254" i="62"/>
  <c r="AL254" i="62"/>
  <c r="AM254" i="62"/>
  <c r="AN254" i="62"/>
  <c r="AO254" i="62"/>
  <c r="AP254" i="62"/>
  <c r="AQ254" i="62"/>
  <c r="AR254" i="62"/>
  <c r="AS254" i="62"/>
  <c r="AT254" i="62"/>
  <c r="AU254" i="62"/>
  <c r="AW254" i="62"/>
  <c r="AX254" i="62"/>
  <c r="AY254" i="62"/>
  <c r="BA254" i="62"/>
  <c r="A255" i="62"/>
  <c r="B255" i="62"/>
  <c r="D255" i="62"/>
  <c r="E255" i="62"/>
  <c r="F255" i="62"/>
  <c r="G255" i="62"/>
  <c r="H255" i="62"/>
  <c r="J255" i="62"/>
  <c r="K255" i="62"/>
  <c r="M255" i="62"/>
  <c r="O255" i="62"/>
  <c r="P255" i="62"/>
  <c r="R255" i="62"/>
  <c r="S255" i="62"/>
  <c r="T255" i="62"/>
  <c r="U255" i="62"/>
  <c r="V255" i="62"/>
  <c r="W255" i="62"/>
  <c r="X255" i="62"/>
  <c r="Z255" i="62"/>
  <c r="AA255" i="62"/>
  <c r="AB255" i="62"/>
  <c r="AC255" i="62"/>
  <c r="AD255" i="62"/>
  <c r="AE255" i="62"/>
  <c r="AF255" i="62"/>
  <c r="AG255" i="62"/>
  <c r="AH255" i="62"/>
  <c r="AI255" i="62"/>
  <c r="AJ255" i="62"/>
  <c r="AK255" i="62"/>
  <c r="AL255" i="62"/>
  <c r="AM255" i="62"/>
  <c r="AN255" i="62"/>
  <c r="AO255" i="62"/>
  <c r="AP255" i="62"/>
  <c r="AQ255" i="62"/>
  <c r="AR255" i="62"/>
  <c r="AS255" i="62"/>
  <c r="AT255" i="62"/>
  <c r="AU255" i="62"/>
  <c r="AW255" i="62"/>
  <c r="AX255" i="62"/>
  <c r="AY255" i="62"/>
  <c r="BA255" i="62"/>
  <c r="A256" i="62"/>
  <c r="B256" i="62"/>
  <c r="D256" i="62"/>
  <c r="E256" i="62"/>
  <c r="F256" i="62"/>
  <c r="G256" i="62"/>
  <c r="H256" i="62"/>
  <c r="J256" i="62"/>
  <c r="K256" i="62"/>
  <c r="M256" i="62"/>
  <c r="O256" i="62"/>
  <c r="P256" i="62"/>
  <c r="R256" i="62"/>
  <c r="S256" i="62"/>
  <c r="T256" i="62"/>
  <c r="U256" i="62"/>
  <c r="V256" i="62"/>
  <c r="W256" i="62"/>
  <c r="X256" i="62"/>
  <c r="Z256" i="62"/>
  <c r="AA256" i="62"/>
  <c r="AB256" i="62"/>
  <c r="AC256" i="62"/>
  <c r="AD256" i="62"/>
  <c r="AE256" i="62"/>
  <c r="AF256" i="62"/>
  <c r="AG256" i="62"/>
  <c r="AH256" i="62"/>
  <c r="AI256" i="62"/>
  <c r="AJ256" i="62"/>
  <c r="AK256" i="62"/>
  <c r="AL256" i="62"/>
  <c r="AM256" i="62"/>
  <c r="AN256" i="62"/>
  <c r="AO256" i="62"/>
  <c r="AP256" i="62"/>
  <c r="AQ256" i="62"/>
  <c r="AR256" i="62"/>
  <c r="AS256" i="62"/>
  <c r="AT256" i="62"/>
  <c r="AU256" i="62"/>
  <c r="AW256" i="62"/>
  <c r="AX256" i="62"/>
  <c r="AY256" i="62"/>
  <c r="BA256" i="62"/>
  <c r="A257" i="62"/>
  <c r="B257" i="62"/>
  <c r="D257" i="62"/>
  <c r="E257" i="62"/>
  <c r="F257" i="62"/>
  <c r="G257" i="62"/>
  <c r="H257" i="62"/>
  <c r="J257" i="62"/>
  <c r="K257" i="62"/>
  <c r="M257" i="62"/>
  <c r="O257" i="62"/>
  <c r="P257" i="62"/>
  <c r="R257" i="62"/>
  <c r="S257" i="62"/>
  <c r="T257" i="62"/>
  <c r="U257" i="62"/>
  <c r="V257" i="62"/>
  <c r="W257" i="62"/>
  <c r="X257" i="62"/>
  <c r="Z257" i="62"/>
  <c r="AA257" i="62"/>
  <c r="AB257" i="62"/>
  <c r="AC257" i="62"/>
  <c r="AD257" i="62"/>
  <c r="AE257" i="62"/>
  <c r="AF257" i="62"/>
  <c r="AG257" i="62"/>
  <c r="AH257" i="62"/>
  <c r="AI257" i="62"/>
  <c r="AJ257" i="62"/>
  <c r="AK257" i="62"/>
  <c r="AL257" i="62"/>
  <c r="AM257" i="62"/>
  <c r="AN257" i="62"/>
  <c r="AO257" i="62"/>
  <c r="AP257" i="62"/>
  <c r="AQ257" i="62"/>
  <c r="AR257" i="62"/>
  <c r="AS257" i="62"/>
  <c r="AT257" i="62"/>
  <c r="AU257" i="62"/>
  <c r="AW257" i="62"/>
  <c r="AX257" i="62"/>
  <c r="AY257" i="62"/>
  <c r="BA257" i="62"/>
  <c r="A258" i="62"/>
  <c r="B258" i="62"/>
  <c r="D258" i="62"/>
  <c r="E258" i="62"/>
  <c r="F258" i="62"/>
  <c r="G258" i="62"/>
  <c r="H258" i="62"/>
  <c r="J258" i="62"/>
  <c r="K258" i="62"/>
  <c r="M258" i="62"/>
  <c r="O258" i="62"/>
  <c r="P258" i="62"/>
  <c r="R258" i="62"/>
  <c r="S258" i="62"/>
  <c r="T258" i="62"/>
  <c r="U258" i="62"/>
  <c r="V258" i="62"/>
  <c r="W258" i="62"/>
  <c r="X258" i="62"/>
  <c r="Z258" i="62"/>
  <c r="AA258" i="62"/>
  <c r="AB258" i="62"/>
  <c r="AC258" i="62"/>
  <c r="AD258" i="62"/>
  <c r="AE258" i="62"/>
  <c r="AF258" i="62"/>
  <c r="AG258" i="62"/>
  <c r="AH258" i="62"/>
  <c r="AI258" i="62"/>
  <c r="AJ258" i="62"/>
  <c r="AK258" i="62"/>
  <c r="AL258" i="62"/>
  <c r="AM258" i="62"/>
  <c r="AN258" i="62"/>
  <c r="AO258" i="62"/>
  <c r="AP258" i="62"/>
  <c r="AQ258" i="62"/>
  <c r="AR258" i="62"/>
  <c r="AS258" i="62"/>
  <c r="AT258" i="62"/>
  <c r="AU258" i="62"/>
  <c r="AW258" i="62"/>
  <c r="AX258" i="62"/>
  <c r="AY258" i="62"/>
  <c r="BA258" i="62"/>
  <c r="A259" i="62"/>
  <c r="B259" i="62"/>
  <c r="D259" i="62"/>
  <c r="E259" i="62"/>
  <c r="F259" i="62"/>
  <c r="G259" i="62"/>
  <c r="H259" i="62"/>
  <c r="J259" i="62"/>
  <c r="K259" i="62"/>
  <c r="M259" i="62"/>
  <c r="O259" i="62"/>
  <c r="P259" i="62"/>
  <c r="R259" i="62"/>
  <c r="S259" i="62"/>
  <c r="T259" i="62"/>
  <c r="U259" i="62"/>
  <c r="V259" i="62"/>
  <c r="W259" i="62"/>
  <c r="X259" i="62"/>
  <c r="Z259" i="62"/>
  <c r="AA259" i="62"/>
  <c r="AB259" i="62"/>
  <c r="AC259" i="62"/>
  <c r="AD259" i="62"/>
  <c r="AE259" i="62"/>
  <c r="AF259" i="62"/>
  <c r="AG259" i="62"/>
  <c r="AH259" i="62"/>
  <c r="AI259" i="62"/>
  <c r="AJ259" i="62"/>
  <c r="AK259" i="62"/>
  <c r="AL259" i="62"/>
  <c r="AM259" i="62"/>
  <c r="AN259" i="62"/>
  <c r="AO259" i="62"/>
  <c r="AP259" i="62"/>
  <c r="AQ259" i="62"/>
  <c r="AR259" i="62"/>
  <c r="AS259" i="62"/>
  <c r="AT259" i="62"/>
  <c r="AU259" i="62"/>
  <c r="AW259" i="62"/>
  <c r="AX259" i="62"/>
  <c r="AY259" i="62"/>
  <c r="BA259" i="62"/>
  <c r="A260" i="62"/>
  <c r="B260" i="62"/>
  <c r="D260" i="62"/>
  <c r="E260" i="62"/>
  <c r="F260" i="62"/>
  <c r="G260" i="62"/>
  <c r="H260" i="62"/>
  <c r="J260" i="62"/>
  <c r="K260" i="62"/>
  <c r="M260" i="62"/>
  <c r="O260" i="62"/>
  <c r="P260" i="62"/>
  <c r="R260" i="62"/>
  <c r="S260" i="62"/>
  <c r="T260" i="62"/>
  <c r="U260" i="62"/>
  <c r="V260" i="62"/>
  <c r="W260" i="62"/>
  <c r="X260" i="62"/>
  <c r="Z260" i="62"/>
  <c r="AA260" i="62"/>
  <c r="AB260" i="62"/>
  <c r="AC260" i="62"/>
  <c r="AD260" i="62"/>
  <c r="AE260" i="62"/>
  <c r="AF260" i="62"/>
  <c r="AG260" i="62"/>
  <c r="AH260" i="62"/>
  <c r="AI260" i="62"/>
  <c r="AJ260" i="62"/>
  <c r="AK260" i="62"/>
  <c r="AL260" i="62"/>
  <c r="AM260" i="62"/>
  <c r="AN260" i="62"/>
  <c r="AO260" i="62"/>
  <c r="AP260" i="62"/>
  <c r="AQ260" i="62"/>
  <c r="AR260" i="62"/>
  <c r="AS260" i="62"/>
  <c r="AT260" i="62"/>
  <c r="AU260" i="62"/>
  <c r="AW260" i="62"/>
  <c r="AX260" i="62"/>
  <c r="AY260" i="62"/>
  <c r="BA260" i="62"/>
  <c r="A261" i="62"/>
  <c r="B261" i="62"/>
  <c r="D261" i="62"/>
  <c r="E261" i="62"/>
  <c r="F261" i="62"/>
  <c r="G261" i="62"/>
  <c r="H261" i="62"/>
  <c r="J261" i="62"/>
  <c r="K261" i="62"/>
  <c r="M261" i="62"/>
  <c r="O261" i="62"/>
  <c r="P261" i="62"/>
  <c r="R261" i="62"/>
  <c r="S261" i="62"/>
  <c r="T261" i="62"/>
  <c r="U261" i="62"/>
  <c r="V261" i="62"/>
  <c r="W261" i="62"/>
  <c r="X261" i="62"/>
  <c r="Z261" i="62"/>
  <c r="AA261" i="62"/>
  <c r="AB261" i="62"/>
  <c r="AC261" i="62"/>
  <c r="AD261" i="62"/>
  <c r="AE261" i="62"/>
  <c r="AF261" i="62"/>
  <c r="AG261" i="62"/>
  <c r="AH261" i="62"/>
  <c r="AI261" i="62"/>
  <c r="AJ261" i="62"/>
  <c r="AK261" i="62"/>
  <c r="AL261" i="62"/>
  <c r="AM261" i="62"/>
  <c r="AN261" i="62"/>
  <c r="AO261" i="62"/>
  <c r="AP261" i="62"/>
  <c r="AQ261" i="62"/>
  <c r="AR261" i="62"/>
  <c r="AS261" i="62"/>
  <c r="AT261" i="62"/>
  <c r="AU261" i="62"/>
  <c r="AW261" i="62"/>
  <c r="AX261" i="62"/>
  <c r="AY261" i="62"/>
  <c r="BA261" i="62"/>
  <c r="A262" i="62"/>
  <c r="B262" i="62"/>
  <c r="D262" i="62"/>
  <c r="E262" i="62"/>
  <c r="F262" i="62"/>
  <c r="G262" i="62"/>
  <c r="H262" i="62"/>
  <c r="J262" i="62"/>
  <c r="K262" i="62"/>
  <c r="M262" i="62"/>
  <c r="O262" i="62"/>
  <c r="P262" i="62"/>
  <c r="R262" i="62"/>
  <c r="S262" i="62"/>
  <c r="T262" i="62"/>
  <c r="U262" i="62"/>
  <c r="V262" i="62"/>
  <c r="W262" i="62"/>
  <c r="X262" i="62"/>
  <c r="Z262" i="62"/>
  <c r="AA262" i="62"/>
  <c r="AB262" i="62"/>
  <c r="AC262" i="62"/>
  <c r="AD262" i="62"/>
  <c r="AE262" i="62"/>
  <c r="AF262" i="62"/>
  <c r="AG262" i="62"/>
  <c r="AH262" i="62"/>
  <c r="AI262" i="62"/>
  <c r="AJ262" i="62"/>
  <c r="AK262" i="62"/>
  <c r="AL262" i="62"/>
  <c r="AM262" i="62"/>
  <c r="AN262" i="62"/>
  <c r="AO262" i="62"/>
  <c r="AP262" i="62"/>
  <c r="AQ262" i="62"/>
  <c r="AR262" i="62"/>
  <c r="AS262" i="62"/>
  <c r="AT262" i="62"/>
  <c r="AU262" i="62"/>
  <c r="AW262" i="62"/>
  <c r="AX262" i="62"/>
  <c r="AY262" i="62"/>
  <c r="BA262" i="62"/>
  <c r="A263" i="62"/>
  <c r="B263" i="62"/>
  <c r="D263" i="62"/>
  <c r="E263" i="62"/>
  <c r="F263" i="62"/>
  <c r="G263" i="62"/>
  <c r="H263" i="62"/>
  <c r="J263" i="62"/>
  <c r="K263" i="62"/>
  <c r="M263" i="62"/>
  <c r="O263" i="62"/>
  <c r="P263" i="62"/>
  <c r="R263" i="62"/>
  <c r="S263" i="62"/>
  <c r="T263" i="62"/>
  <c r="U263" i="62"/>
  <c r="V263" i="62"/>
  <c r="W263" i="62"/>
  <c r="X263" i="62"/>
  <c r="Z263" i="62"/>
  <c r="AA263" i="62"/>
  <c r="AB263" i="62"/>
  <c r="AC263" i="62"/>
  <c r="AD263" i="62"/>
  <c r="AE263" i="62"/>
  <c r="AF263" i="62"/>
  <c r="AG263" i="62"/>
  <c r="AH263" i="62"/>
  <c r="AI263" i="62"/>
  <c r="AJ263" i="62"/>
  <c r="AK263" i="62"/>
  <c r="AL263" i="62"/>
  <c r="AM263" i="62"/>
  <c r="AN263" i="62"/>
  <c r="AO263" i="62"/>
  <c r="AP263" i="62"/>
  <c r="AQ263" i="62"/>
  <c r="AR263" i="62"/>
  <c r="AS263" i="62"/>
  <c r="AT263" i="62"/>
  <c r="AU263" i="62"/>
  <c r="AW263" i="62"/>
  <c r="AX263" i="62"/>
  <c r="AY263" i="62"/>
  <c r="BA263" i="62"/>
  <c r="A264" i="62"/>
  <c r="B264" i="62"/>
  <c r="D264" i="62"/>
  <c r="E264" i="62"/>
  <c r="F264" i="62"/>
  <c r="G264" i="62"/>
  <c r="H264" i="62"/>
  <c r="J264" i="62"/>
  <c r="K264" i="62"/>
  <c r="M264" i="62"/>
  <c r="O264" i="62"/>
  <c r="P264" i="62"/>
  <c r="R264" i="62"/>
  <c r="S264" i="62"/>
  <c r="T264" i="62"/>
  <c r="U264" i="62"/>
  <c r="V264" i="62"/>
  <c r="W264" i="62"/>
  <c r="X264" i="62"/>
  <c r="Z264" i="62"/>
  <c r="AA264" i="62"/>
  <c r="AB264" i="62"/>
  <c r="AC264" i="62"/>
  <c r="AD264" i="62"/>
  <c r="AE264" i="62"/>
  <c r="AF264" i="62"/>
  <c r="AG264" i="62"/>
  <c r="AH264" i="62"/>
  <c r="AI264" i="62"/>
  <c r="AJ264" i="62"/>
  <c r="AK264" i="62"/>
  <c r="AL264" i="62"/>
  <c r="AM264" i="62"/>
  <c r="AN264" i="62"/>
  <c r="AO264" i="62"/>
  <c r="AP264" i="62"/>
  <c r="AQ264" i="62"/>
  <c r="AR264" i="62"/>
  <c r="AS264" i="62"/>
  <c r="AT264" i="62"/>
  <c r="AU264" i="62"/>
  <c r="AW264" i="62"/>
  <c r="AX264" i="62"/>
  <c r="AY264" i="62"/>
  <c r="BA264" i="62"/>
  <c r="A265" i="62"/>
  <c r="B265" i="62"/>
  <c r="D265" i="62"/>
  <c r="E265" i="62"/>
  <c r="F265" i="62"/>
  <c r="G265" i="62"/>
  <c r="H265" i="62"/>
  <c r="J265" i="62"/>
  <c r="K265" i="62"/>
  <c r="M265" i="62"/>
  <c r="O265" i="62"/>
  <c r="P265" i="62"/>
  <c r="R265" i="62"/>
  <c r="S265" i="62"/>
  <c r="T265" i="62"/>
  <c r="U265" i="62"/>
  <c r="V265" i="62"/>
  <c r="W265" i="62"/>
  <c r="X265" i="62"/>
  <c r="Z265" i="62"/>
  <c r="AA265" i="62"/>
  <c r="AB265" i="62"/>
  <c r="AC265" i="62"/>
  <c r="AD265" i="62"/>
  <c r="AE265" i="62"/>
  <c r="AF265" i="62"/>
  <c r="AG265" i="62"/>
  <c r="AH265" i="62"/>
  <c r="AI265" i="62"/>
  <c r="AJ265" i="62"/>
  <c r="AK265" i="62"/>
  <c r="AL265" i="62"/>
  <c r="AM265" i="62"/>
  <c r="AN265" i="62"/>
  <c r="AO265" i="62"/>
  <c r="AP265" i="62"/>
  <c r="AQ265" i="62"/>
  <c r="AR265" i="62"/>
  <c r="AS265" i="62"/>
  <c r="AT265" i="62"/>
  <c r="AU265" i="62"/>
  <c r="AW265" i="62"/>
  <c r="AX265" i="62"/>
  <c r="AY265" i="62"/>
  <c r="BA265" i="62"/>
  <c r="A266" i="62"/>
  <c r="B266" i="62"/>
  <c r="D266" i="62"/>
  <c r="E266" i="62"/>
  <c r="F266" i="62"/>
  <c r="G266" i="62"/>
  <c r="H266" i="62"/>
  <c r="J266" i="62"/>
  <c r="K266" i="62"/>
  <c r="M266" i="62"/>
  <c r="O266" i="62"/>
  <c r="P266" i="62"/>
  <c r="R266" i="62"/>
  <c r="S266" i="62"/>
  <c r="T266" i="62"/>
  <c r="U266" i="62"/>
  <c r="V266" i="62"/>
  <c r="W266" i="62"/>
  <c r="X266" i="62"/>
  <c r="Z266" i="62"/>
  <c r="AA266" i="62"/>
  <c r="AB266" i="62"/>
  <c r="AC266" i="62"/>
  <c r="AD266" i="62"/>
  <c r="AE266" i="62"/>
  <c r="AF266" i="62"/>
  <c r="AG266" i="62"/>
  <c r="AH266" i="62"/>
  <c r="AI266" i="62"/>
  <c r="AJ266" i="62"/>
  <c r="AK266" i="62"/>
  <c r="AL266" i="62"/>
  <c r="AM266" i="62"/>
  <c r="AN266" i="62"/>
  <c r="AO266" i="62"/>
  <c r="AP266" i="62"/>
  <c r="AQ266" i="62"/>
  <c r="AR266" i="62"/>
  <c r="AS266" i="62"/>
  <c r="AT266" i="62"/>
  <c r="AU266" i="62"/>
  <c r="AW266" i="62"/>
  <c r="AX266" i="62"/>
  <c r="AY266" i="62"/>
  <c r="BA266" i="62"/>
  <c r="A267" i="62"/>
  <c r="B267" i="62"/>
  <c r="D267" i="62"/>
  <c r="E267" i="62"/>
  <c r="F267" i="62"/>
  <c r="G267" i="62"/>
  <c r="H267" i="62"/>
  <c r="J267" i="62"/>
  <c r="K267" i="62"/>
  <c r="M267" i="62"/>
  <c r="O267" i="62"/>
  <c r="P267" i="62"/>
  <c r="R267" i="62"/>
  <c r="S267" i="62"/>
  <c r="T267" i="62"/>
  <c r="U267" i="62"/>
  <c r="V267" i="62"/>
  <c r="W267" i="62"/>
  <c r="X267" i="62"/>
  <c r="Z267" i="62"/>
  <c r="AA267" i="62"/>
  <c r="AB267" i="62"/>
  <c r="AC267" i="62"/>
  <c r="AD267" i="62"/>
  <c r="AE267" i="62"/>
  <c r="AF267" i="62"/>
  <c r="AG267" i="62"/>
  <c r="AH267" i="62"/>
  <c r="AI267" i="62"/>
  <c r="AJ267" i="62"/>
  <c r="AK267" i="62"/>
  <c r="AL267" i="62"/>
  <c r="AM267" i="62"/>
  <c r="AN267" i="62"/>
  <c r="AO267" i="62"/>
  <c r="AP267" i="62"/>
  <c r="AQ267" i="62"/>
  <c r="AR267" i="62"/>
  <c r="AS267" i="62"/>
  <c r="AT267" i="62"/>
  <c r="AU267" i="62"/>
  <c r="AW267" i="62"/>
  <c r="AX267" i="62"/>
  <c r="AY267" i="62"/>
  <c r="BA267" i="62"/>
  <c r="A268" i="62"/>
  <c r="B268" i="62"/>
  <c r="D268" i="62"/>
  <c r="E268" i="62"/>
  <c r="F268" i="62"/>
  <c r="G268" i="62"/>
  <c r="H268" i="62"/>
  <c r="J268" i="62"/>
  <c r="K268" i="62"/>
  <c r="M268" i="62"/>
  <c r="O268" i="62"/>
  <c r="P268" i="62"/>
  <c r="R268" i="62"/>
  <c r="S268" i="62"/>
  <c r="T268" i="62"/>
  <c r="U268" i="62"/>
  <c r="V268" i="62"/>
  <c r="W268" i="62"/>
  <c r="X268" i="62"/>
  <c r="Z268" i="62"/>
  <c r="AA268" i="62"/>
  <c r="AB268" i="62"/>
  <c r="AC268" i="62"/>
  <c r="AD268" i="62"/>
  <c r="AE268" i="62"/>
  <c r="AF268" i="62"/>
  <c r="AG268" i="62"/>
  <c r="AH268" i="62"/>
  <c r="AI268" i="62"/>
  <c r="AJ268" i="62"/>
  <c r="AK268" i="62"/>
  <c r="AL268" i="62"/>
  <c r="AM268" i="62"/>
  <c r="AN268" i="62"/>
  <c r="AO268" i="62"/>
  <c r="AP268" i="62"/>
  <c r="AQ268" i="62"/>
  <c r="AR268" i="62"/>
  <c r="AS268" i="62"/>
  <c r="AT268" i="62"/>
  <c r="AU268" i="62"/>
  <c r="AW268" i="62"/>
  <c r="AX268" i="62"/>
  <c r="AY268" i="62"/>
  <c r="BA268" i="62"/>
  <c r="A269" i="62"/>
  <c r="B269" i="62"/>
  <c r="D269" i="62"/>
  <c r="E269" i="62"/>
  <c r="F269" i="62"/>
  <c r="G269" i="62"/>
  <c r="H269" i="62"/>
  <c r="J269" i="62"/>
  <c r="K269" i="62"/>
  <c r="M269" i="62"/>
  <c r="O269" i="62"/>
  <c r="P269" i="62"/>
  <c r="R269" i="62"/>
  <c r="S269" i="62"/>
  <c r="T269" i="62"/>
  <c r="U269" i="62"/>
  <c r="V269" i="62"/>
  <c r="W269" i="62"/>
  <c r="X269" i="62"/>
  <c r="Z269" i="62"/>
  <c r="AA269" i="62"/>
  <c r="AB269" i="62"/>
  <c r="AC269" i="62"/>
  <c r="AD269" i="62"/>
  <c r="AE269" i="62"/>
  <c r="AF269" i="62"/>
  <c r="AG269" i="62"/>
  <c r="AH269" i="62"/>
  <c r="AI269" i="62"/>
  <c r="AJ269" i="62"/>
  <c r="AK269" i="62"/>
  <c r="AL269" i="62"/>
  <c r="AM269" i="62"/>
  <c r="AN269" i="62"/>
  <c r="AO269" i="62"/>
  <c r="AP269" i="62"/>
  <c r="AQ269" i="62"/>
  <c r="AR269" i="62"/>
  <c r="AS269" i="62"/>
  <c r="AT269" i="62"/>
  <c r="AU269" i="62"/>
  <c r="AW269" i="62"/>
  <c r="AX269" i="62"/>
  <c r="AY269" i="62"/>
  <c r="BA269" i="62"/>
  <c r="A270" i="62"/>
  <c r="B270" i="62"/>
  <c r="D270" i="62"/>
  <c r="E270" i="62"/>
  <c r="F270" i="62"/>
  <c r="G270" i="62"/>
  <c r="H270" i="62"/>
  <c r="J270" i="62"/>
  <c r="K270" i="62"/>
  <c r="M270" i="62"/>
  <c r="O270" i="62"/>
  <c r="P270" i="62"/>
  <c r="R270" i="62"/>
  <c r="S270" i="62"/>
  <c r="T270" i="62"/>
  <c r="U270" i="62"/>
  <c r="V270" i="62"/>
  <c r="W270" i="62"/>
  <c r="X270" i="62"/>
  <c r="Z270" i="62"/>
  <c r="AA270" i="62"/>
  <c r="AB270" i="62"/>
  <c r="AC270" i="62"/>
  <c r="AD270" i="62"/>
  <c r="AE270" i="62"/>
  <c r="AF270" i="62"/>
  <c r="AG270" i="62"/>
  <c r="AH270" i="62"/>
  <c r="AI270" i="62"/>
  <c r="AJ270" i="62"/>
  <c r="AK270" i="62"/>
  <c r="AL270" i="62"/>
  <c r="AM270" i="62"/>
  <c r="AN270" i="62"/>
  <c r="AO270" i="62"/>
  <c r="AP270" i="62"/>
  <c r="AQ270" i="62"/>
  <c r="AR270" i="62"/>
  <c r="AS270" i="62"/>
  <c r="AT270" i="62"/>
  <c r="AU270" i="62"/>
  <c r="AW270" i="62"/>
  <c r="AX270" i="62"/>
  <c r="AY270" i="62"/>
  <c r="BA270" i="62"/>
  <c r="A271" i="62"/>
  <c r="B271" i="62"/>
  <c r="D271" i="62"/>
  <c r="E271" i="62"/>
  <c r="F271" i="62"/>
  <c r="G271" i="62"/>
  <c r="H271" i="62"/>
  <c r="J271" i="62"/>
  <c r="K271" i="62"/>
  <c r="M271" i="62"/>
  <c r="O271" i="62"/>
  <c r="P271" i="62"/>
  <c r="R271" i="62"/>
  <c r="S271" i="62"/>
  <c r="T271" i="62"/>
  <c r="U271" i="62"/>
  <c r="V271" i="62"/>
  <c r="W271" i="62"/>
  <c r="X271" i="62"/>
  <c r="Z271" i="62"/>
  <c r="AA271" i="62"/>
  <c r="AB271" i="62"/>
  <c r="AC271" i="62"/>
  <c r="AD271" i="62"/>
  <c r="AE271" i="62"/>
  <c r="AF271" i="62"/>
  <c r="AG271" i="62"/>
  <c r="AH271" i="62"/>
  <c r="AI271" i="62"/>
  <c r="AJ271" i="62"/>
  <c r="AK271" i="62"/>
  <c r="AL271" i="62"/>
  <c r="AM271" i="62"/>
  <c r="AN271" i="62"/>
  <c r="AO271" i="62"/>
  <c r="AP271" i="62"/>
  <c r="AQ271" i="62"/>
  <c r="AR271" i="62"/>
  <c r="AS271" i="62"/>
  <c r="AT271" i="62"/>
  <c r="AU271" i="62"/>
  <c r="AW271" i="62"/>
  <c r="AX271" i="62"/>
  <c r="AY271" i="62"/>
  <c r="BA271" i="62"/>
  <c r="A272" i="62"/>
  <c r="B272" i="62"/>
  <c r="D272" i="62"/>
  <c r="E272" i="62"/>
  <c r="F272" i="62"/>
  <c r="G272" i="62"/>
  <c r="H272" i="62"/>
  <c r="J272" i="62"/>
  <c r="K272" i="62"/>
  <c r="M272" i="62"/>
  <c r="O272" i="62"/>
  <c r="P272" i="62"/>
  <c r="R272" i="62"/>
  <c r="S272" i="62"/>
  <c r="T272" i="62"/>
  <c r="U272" i="62"/>
  <c r="V272" i="62"/>
  <c r="W272" i="62"/>
  <c r="X272" i="62"/>
  <c r="Z272" i="62"/>
  <c r="AA272" i="62"/>
  <c r="AB272" i="62"/>
  <c r="AC272" i="62"/>
  <c r="AD272" i="62"/>
  <c r="AE272" i="62"/>
  <c r="AF272" i="62"/>
  <c r="AG272" i="62"/>
  <c r="AH272" i="62"/>
  <c r="AI272" i="62"/>
  <c r="AJ272" i="62"/>
  <c r="AK272" i="62"/>
  <c r="AL272" i="62"/>
  <c r="AM272" i="62"/>
  <c r="AN272" i="62"/>
  <c r="AO272" i="62"/>
  <c r="AP272" i="62"/>
  <c r="AQ272" i="62"/>
  <c r="AR272" i="62"/>
  <c r="AS272" i="62"/>
  <c r="AT272" i="62"/>
  <c r="AU272" i="62"/>
  <c r="AW272" i="62"/>
  <c r="AX272" i="62"/>
  <c r="AY272" i="62"/>
  <c r="BA272" i="62"/>
  <c r="A273" i="62"/>
  <c r="B273" i="62"/>
  <c r="D273" i="62"/>
  <c r="E273" i="62"/>
  <c r="F273" i="62"/>
  <c r="G273" i="62"/>
  <c r="H273" i="62"/>
  <c r="J273" i="62"/>
  <c r="K273" i="62"/>
  <c r="M273" i="62"/>
  <c r="O273" i="62"/>
  <c r="P273" i="62"/>
  <c r="R273" i="62"/>
  <c r="S273" i="62"/>
  <c r="T273" i="62"/>
  <c r="U273" i="62"/>
  <c r="V273" i="62"/>
  <c r="W273" i="62"/>
  <c r="X273" i="62"/>
  <c r="Z273" i="62"/>
  <c r="AA273" i="62"/>
  <c r="AB273" i="62"/>
  <c r="AC273" i="62"/>
  <c r="AD273" i="62"/>
  <c r="AE273" i="62"/>
  <c r="AF273" i="62"/>
  <c r="AG273" i="62"/>
  <c r="AH273" i="62"/>
  <c r="AI273" i="62"/>
  <c r="AJ273" i="62"/>
  <c r="AK273" i="62"/>
  <c r="AL273" i="62"/>
  <c r="AM273" i="62"/>
  <c r="AN273" i="62"/>
  <c r="AO273" i="62"/>
  <c r="AP273" i="62"/>
  <c r="AQ273" i="62"/>
  <c r="AR273" i="62"/>
  <c r="AS273" i="62"/>
  <c r="AT273" i="62"/>
  <c r="AU273" i="62"/>
  <c r="AW273" i="62"/>
  <c r="AX273" i="62"/>
  <c r="AY273" i="62"/>
  <c r="BA273" i="62"/>
  <c r="A274" i="62"/>
  <c r="B274" i="62"/>
  <c r="D274" i="62"/>
  <c r="E274" i="62"/>
  <c r="F274" i="62"/>
  <c r="G274" i="62"/>
  <c r="H274" i="62"/>
  <c r="J274" i="62"/>
  <c r="K274" i="62"/>
  <c r="M274" i="62"/>
  <c r="O274" i="62"/>
  <c r="P274" i="62"/>
  <c r="R274" i="62"/>
  <c r="S274" i="62"/>
  <c r="T274" i="62"/>
  <c r="U274" i="62"/>
  <c r="V274" i="62"/>
  <c r="W274" i="62"/>
  <c r="X274" i="62"/>
  <c r="Z274" i="62"/>
  <c r="AA274" i="62"/>
  <c r="AB274" i="62"/>
  <c r="AC274" i="62"/>
  <c r="AD274" i="62"/>
  <c r="AE274" i="62"/>
  <c r="AF274" i="62"/>
  <c r="AG274" i="62"/>
  <c r="AH274" i="62"/>
  <c r="AI274" i="62"/>
  <c r="AJ274" i="62"/>
  <c r="AK274" i="62"/>
  <c r="AL274" i="62"/>
  <c r="AM274" i="62"/>
  <c r="AN274" i="62"/>
  <c r="AO274" i="62"/>
  <c r="AP274" i="62"/>
  <c r="AQ274" i="62"/>
  <c r="AR274" i="62"/>
  <c r="AS274" i="62"/>
  <c r="AT274" i="62"/>
  <c r="AU274" i="62"/>
  <c r="AW274" i="62"/>
  <c r="AX274" i="62"/>
  <c r="AY274" i="62"/>
  <c r="BA274" i="62"/>
  <c r="A275" i="62"/>
  <c r="B275" i="62"/>
  <c r="D275" i="62"/>
  <c r="E275" i="62"/>
  <c r="F275" i="62"/>
  <c r="G275" i="62"/>
  <c r="H275" i="62"/>
  <c r="J275" i="62"/>
  <c r="K275" i="62"/>
  <c r="M275" i="62"/>
  <c r="O275" i="62"/>
  <c r="P275" i="62"/>
  <c r="R275" i="62"/>
  <c r="S275" i="62"/>
  <c r="T275" i="62"/>
  <c r="U275" i="62"/>
  <c r="V275" i="62"/>
  <c r="W275" i="62"/>
  <c r="X275" i="62"/>
  <c r="Z275" i="62"/>
  <c r="AA275" i="62"/>
  <c r="AB275" i="62"/>
  <c r="AC275" i="62"/>
  <c r="AD275" i="62"/>
  <c r="AE275" i="62"/>
  <c r="AF275" i="62"/>
  <c r="AG275" i="62"/>
  <c r="AH275" i="62"/>
  <c r="AI275" i="62"/>
  <c r="AJ275" i="62"/>
  <c r="AK275" i="62"/>
  <c r="AL275" i="62"/>
  <c r="AM275" i="62"/>
  <c r="AN275" i="62"/>
  <c r="AO275" i="62"/>
  <c r="AP275" i="62"/>
  <c r="AQ275" i="62"/>
  <c r="AR275" i="62"/>
  <c r="AS275" i="62"/>
  <c r="AT275" i="62"/>
  <c r="AU275" i="62"/>
  <c r="AW275" i="62"/>
  <c r="AX275" i="62"/>
  <c r="AY275" i="62"/>
  <c r="BA275" i="62"/>
  <c r="A276" i="62"/>
  <c r="B276" i="62"/>
  <c r="D276" i="62"/>
  <c r="E276" i="62"/>
  <c r="F276" i="62"/>
  <c r="G276" i="62"/>
  <c r="H276" i="62"/>
  <c r="J276" i="62"/>
  <c r="K276" i="62"/>
  <c r="M276" i="62"/>
  <c r="O276" i="62"/>
  <c r="P276" i="62"/>
  <c r="R276" i="62"/>
  <c r="S276" i="62"/>
  <c r="T276" i="62"/>
  <c r="U276" i="62"/>
  <c r="V276" i="62"/>
  <c r="W276" i="62"/>
  <c r="X276" i="62"/>
  <c r="Z276" i="62"/>
  <c r="AA276" i="62"/>
  <c r="AB276" i="62"/>
  <c r="AC276" i="62"/>
  <c r="AD276" i="62"/>
  <c r="AE276" i="62"/>
  <c r="AF276" i="62"/>
  <c r="AG276" i="62"/>
  <c r="AH276" i="62"/>
  <c r="AI276" i="62"/>
  <c r="AJ276" i="62"/>
  <c r="AK276" i="62"/>
  <c r="AL276" i="62"/>
  <c r="AM276" i="62"/>
  <c r="AN276" i="62"/>
  <c r="AO276" i="62"/>
  <c r="AP276" i="62"/>
  <c r="AQ276" i="62"/>
  <c r="AR276" i="62"/>
  <c r="AS276" i="62"/>
  <c r="AT276" i="62"/>
  <c r="AU276" i="62"/>
  <c r="AW276" i="62"/>
  <c r="AX276" i="62"/>
  <c r="AY276" i="62"/>
  <c r="BA276" i="62"/>
  <c r="A277" i="62"/>
  <c r="B277" i="62"/>
  <c r="D277" i="62"/>
  <c r="E277" i="62"/>
  <c r="F277" i="62"/>
  <c r="G277" i="62"/>
  <c r="H277" i="62"/>
  <c r="J277" i="62"/>
  <c r="K277" i="62"/>
  <c r="M277" i="62"/>
  <c r="O277" i="62"/>
  <c r="P277" i="62"/>
  <c r="R277" i="62"/>
  <c r="S277" i="62"/>
  <c r="T277" i="62"/>
  <c r="U277" i="62"/>
  <c r="V277" i="62"/>
  <c r="W277" i="62"/>
  <c r="X277" i="62"/>
  <c r="Z277" i="62"/>
  <c r="AA277" i="62"/>
  <c r="AB277" i="62"/>
  <c r="AC277" i="62"/>
  <c r="AD277" i="62"/>
  <c r="AE277" i="62"/>
  <c r="AF277" i="62"/>
  <c r="AG277" i="62"/>
  <c r="AH277" i="62"/>
  <c r="AI277" i="62"/>
  <c r="AJ277" i="62"/>
  <c r="AK277" i="62"/>
  <c r="AL277" i="62"/>
  <c r="AM277" i="62"/>
  <c r="AN277" i="62"/>
  <c r="AO277" i="62"/>
  <c r="AP277" i="62"/>
  <c r="AQ277" i="62"/>
  <c r="AR277" i="62"/>
  <c r="AS277" i="62"/>
  <c r="AT277" i="62"/>
  <c r="AU277" i="62"/>
  <c r="AW277" i="62"/>
  <c r="AX277" i="62"/>
  <c r="AY277" i="62"/>
  <c r="BA277" i="62"/>
  <c r="A278" i="62"/>
  <c r="B278" i="62"/>
  <c r="D278" i="62"/>
  <c r="E278" i="62"/>
  <c r="F278" i="62"/>
  <c r="G278" i="62"/>
  <c r="H278" i="62"/>
  <c r="J278" i="62"/>
  <c r="K278" i="62"/>
  <c r="M278" i="62"/>
  <c r="O278" i="62"/>
  <c r="P278" i="62"/>
  <c r="R278" i="62"/>
  <c r="S278" i="62"/>
  <c r="T278" i="62"/>
  <c r="U278" i="62"/>
  <c r="V278" i="62"/>
  <c r="W278" i="62"/>
  <c r="X278" i="62"/>
  <c r="Z278" i="62"/>
  <c r="AA278" i="62"/>
  <c r="AB278" i="62"/>
  <c r="AC278" i="62"/>
  <c r="AD278" i="62"/>
  <c r="AE278" i="62"/>
  <c r="AF278" i="62"/>
  <c r="AG278" i="62"/>
  <c r="AH278" i="62"/>
  <c r="AI278" i="62"/>
  <c r="AJ278" i="62"/>
  <c r="AK278" i="62"/>
  <c r="AL278" i="62"/>
  <c r="AM278" i="62"/>
  <c r="AN278" i="62"/>
  <c r="AO278" i="62"/>
  <c r="AP278" i="62"/>
  <c r="AQ278" i="62"/>
  <c r="AR278" i="62"/>
  <c r="AS278" i="62"/>
  <c r="AT278" i="62"/>
  <c r="AU278" i="62"/>
  <c r="AW278" i="62"/>
  <c r="AX278" i="62"/>
  <c r="AY278" i="62"/>
  <c r="BA278" i="62"/>
  <c r="A279" i="62"/>
  <c r="B279" i="62"/>
  <c r="D279" i="62"/>
  <c r="E279" i="62"/>
  <c r="F279" i="62"/>
  <c r="G279" i="62"/>
  <c r="H279" i="62"/>
  <c r="J279" i="62"/>
  <c r="K279" i="62"/>
  <c r="M279" i="62"/>
  <c r="O279" i="62"/>
  <c r="P279" i="62"/>
  <c r="R279" i="62"/>
  <c r="S279" i="62"/>
  <c r="T279" i="62"/>
  <c r="U279" i="62"/>
  <c r="V279" i="62"/>
  <c r="W279" i="62"/>
  <c r="X279" i="62"/>
  <c r="Z279" i="62"/>
  <c r="AA279" i="62"/>
  <c r="AB279" i="62"/>
  <c r="AC279" i="62"/>
  <c r="AD279" i="62"/>
  <c r="AE279" i="62"/>
  <c r="AF279" i="62"/>
  <c r="AG279" i="62"/>
  <c r="AH279" i="62"/>
  <c r="AI279" i="62"/>
  <c r="AJ279" i="62"/>
  <c r="AK279" i="62"/>
  <c r="AL279" i="62"/>
  <c r="AM279" i="62"/>
  <c r="AN279" i="62"/>
  <c r="AO279" i="62"/>
  <c r="AP279" i="62"/>
  <c r="AQ279" i="62"/>
  <c r="AR279" i="62"/>
  <c r="AS279" i="62"/>
  <c r="AT279" i="62"/>
  <c r="AU279" i="62"/>
  <c r="AW279" i="62"/>
  <c r="AX279" i="62"/>
  <c r="AY279" i="62"/>
  <c r="BA279" i="62"/>
  <c r="A280" i="62"/>
  <c r="B280" i="62"/>
  <c r="D280" i="62"/>
  <c r="E280" i="62"/>
  <c r="F280" i="62"/>
  <c r="G280" i="62"/>
  <c r="H280" i="62"/>
  <c r="J280" i="62"/>
  <c r="K280" i="62"/>
  <c r="M280" i="62"/>
  <c r="O280" i="62"/>
  <c r="P280" i="62"/>
  <c r="R280" i="62"/>
  <c r="S280" i="62"/>
  <c r="T280" i="62"/>
  <c r="U280" i="62"/>
  <c r="V280" i="62"/>
  <c r="W280" i="62"/>
  <c r="X280" i="62"/>
  <c r="Z280" i="62"/>
  <c r="AA280" i="62"/>
  <c r="AB280" i="62"/>
  <c r="AC280" i="62"/>
  <c r="AD280" i="62"/>
  <c r="AE280" i="62"/>
  <c r="AF280" i="62"/>
  <c r="AG280" i="62"/>
  <c r="AH280" i="62"/>
  <c r="AI280" i="62"/>
  <c r="AJ280" i="62"/>
  <c r="AK280" i="62"/>
  <c r="AL280" i="62"/>
  <c r="AM280" i="62"/>
  <c r="AN280" i="62"/>
  <c r="AO280" i="62"/>
  <c r="AP280" i="62"/>
  <c r="AQ280" i="62"/>
  <c r="AR280" i="62"/>
  <c r="AS280" i="62"/>
  <c r="AT280" i="62"/>
  <c r="AU280" i="62"/>
  <c r="AW280" i="62"/>
  <c r="AX280" i="62"/>
  <c r="AY280" i="62"/>
  <c r="BA280" i="62"/>
  <c r="A281" i="62"/>
  <c r="B281" i="62"/>
  <c r="D281" i="62"/>
  <c r="E281" i="62"/>
  <c r="F281" i="62"/>
  <c r="G281" i="62"/>
  <c r="H281" i="62"/>
  <c r="J281" i="62"/>
  <c r="K281" i="62"/>
  <c r="M281" i="62"/>
  <c r="O281" i="62"/>
  <c r="P281" i="62"/>
  <c r="R281" i="62"/>
  <c r="S281" i="62"/>
  <c r="T281" i="62"/>
  <c r="U281" i="62"/>
  <c r="V281" i="62"/>
  <c r="W281" i="62"/>
  <c r="X281" i="62"/>
  <c r="Z281" i="62"/>
  <c r="AA281" i="62"/>
  <c r="AB281" i="62"/>
  <c r="AC281" i="62"/>
  <c r="AD281" i="62"/>
  <c r="AE281" i="62"/>
  <c r="AF281" i="62"/>
  <c r="AG281" i="62"/>
  <c r="AH281" i="62"/>
  <c r="AI281" i="62"/>
  <c r="AJ281" i="62"/>
  <c r="AK281" i="62"/>
  <c r="AL281" i="62"/>
  <c r="AM281" i="62"/>
  <c r="AN281" i="62"/>
  <c r="AO281" i="62"/>
  <c r="AP281" i="62"/>
  <c r="AQ281" i="62"/>
  <c r="AR281" i="62"/>
  <c r="AS281" i="62"/>
  <c r="AT281" i="62"/>
  <c r="AU281" i="62"/>
  <c r="AW281" i="62"/>
  <c r="AX281" i="62"/>
  <c r="AY281" i="62"/>
  <c r="BA281" i="62"/>
  <c r="A282" i="62"/>
  <c r="B282" i="62"/>
  <c r="D282" i="62"/>
  <c r="E282" i="62"/>
  <c r="F282" i="62"/>
  <c r="G282" i="62"/>
  <c r="H282" i="62"/>
  <c r="J282" i="62"/>
  <c r="K282" i="62"/>
  <c r="M282" i="62"/>
  <c r="O282" i="62"/>
  <c r="P282" i="62"/>
  <c r="R282" i="62"/>
  <c r="S282" i="62"/>
  <c r="T282" i="62"/>
  <c r="U282" i="62"/>
  <c r="V282" i="62"/>
  <c r="W282" i="62"/>
  <c r="X282" i="62"/>
  <c r="Z282" i="62"/>
  <c r="AA282" i="62"/>
  <c r="AB282" i="62"/>
  <c r="AC282" i="62"/>
  <c r="AD282" i="62"/>
  <c r="AE282" i="62"/>
  <c r="AF282" i="62"/>
  <c r="AG282" i="62"/>
  <c r="AH282" i="62"/>
  <c r="AI282" i="62"/>
  <c r="AJ282" i="62"/>
  <c r="AK282" i="62"/>
  <c r="AL282" i="62"/>
  <c r="AM282" i="62"/>
  <c r="AN282" i="62"/>
  <c r="AO282" i="62"/>
  <c r="AP282" i="62"/>
  <c r="AQ282" i="62"/>
  <c r="AR282" i="62"/>
  <c r="AS282" i="62"/>
  <c r="AT282" i="62"/>
  <c r="AU282" i="62"/>
  <c r="AW282" i="62"/>
  <c r="AX282" i="62"/>
  <c r="AY282" i="62"/>
  <c r="BA282" i="62"/>
  <c r="A283" i="62"/>
  <c r="B283" i="62"/>
  <c r="D283" i="62"/>
  <c r="E283" i="62"/>
  <c r="F283" i="62"/>
  <c r="G283" i="62"/>
  <c r="H283" i="62"/>
  <c r="J283" i="62"/>
  <c r="K283" i="62"/>
  <c r="M283" i="62"/>
  <c r="O283" i="62"/>
  <c r="P283" i="62"/>
  <c r="R283" i="62"/>
  <c r="S283" i="62"/>
  <c r="T283" i="62"/>
  <c r="U283" i="62"/>
  <c r="V283" i="62"/>
  <c r="W283" i="62"/>
  <c r="X283" i="62"/>
  <c r="Z283" i="62"/>
  <c r="AA283" i="62"/>
  <c r="AB283" i="62"/>
  <c r="AC283" i="62"/>
  <c r="AD283" i="62"/>
  <c r="AE283" i="62"/>
  <c r="AF283" i="62"/>
  <c r="AG283" i="62"/>
  <c r="AH283" i="62"/>
  <c r="AI283" i="62"/>
  <c r="AJ283" i="62"/>
  <c r="AK283" i="62"/>
  <c r="AL283" i="62"/>
  <c r="AM283" i="62"/>
  <c r="AN283" i="62"/>
  <c r="AO283" i="62"/>
  <c r="AP283" i="62"/>
  <c r="AQ283" i="62"/>
  <c r="AR283" i="62"/>
  <c r="AS283" i="62"/>
  <c r="AT283" i="62"/>
  <c r="AU283" i="62"/>
  <c r="AW283" i="62"/>
  <c r="AX283" i="62"/>
  <c r="AY283" i="62"/>
  <c r="BA283" i="62"/>
  <c r="A284" i="62"/>
  <c r="B284" i="62"/>
  <c r="D284" i="62"/>
  <c r="E284" i="62"/>
  <c r="F284" i="62"/>
  <c r="G284" i="62"/>
  <c r="H284" i="62"/>
  <c r="J284" i="62"/>
  <c r="K284" i="62"/>
  <c r="M284" i="62"/>
  <c r="O284" i="62"/>
  <c r="P284" i="62"/>
  <c r="R284" i="62"/>
  <c r="S284" i="62"/>
  <c r="T284" i="62"/>
  <c r="U284" i="62"/>
  <c r="V284" i="62"/>
  <c r="W284" i="62"/>
  <c r="X284" i="62"/>
  <c r="Z284" i="62"/>
  <c r="AA284" i="62"/>
  <c r="AB284" i="62"/>
  <c r="AC284" i="62"/>
  <c r="AD284" i="62"/>
  <c r="AE284" i="62"/>
  <c r="AF284" i="62"/>
  <c r="AG284" i="62"/>
  <c r="AH284" i="62"/>
  <c r="AI284" i="62"/>
  <c r="AJ284" i="62"/>
  <c r="AK284" i="62"/>
  <c r="AL284" i="62"/>
  <c r="AM284" i="62"/>
  <c r="AN284" i="62"/>
  <c r="AO284" i="62"/>
  <c r="AP284" i="62"/>
  <c r="AQ284" i="62"/>
  <c r="AR284" i="62"/>
  <c r="AS284" i="62"/>
  <c r="AT284" i="62"/>
  <c r="AU284" i="62"/>
  <c r="AW284" i="62"/>
  <c r="AX284" i="62"/>
  <c r="AY284" i="62"/>
  <c r="BA284" i="62"/>
  <c r="A285" i="62"/>
  <c r="B285" i="62"/>
  <c r="D285" i="62"/>
  <c r="E285" i="62"/>
  <c r="F285" i="62"/>
  <c r="G285" i="62"/>
  <c r="H285" i="62"/>
  <c r="J285" i="62"/>
  <c r="K285" i="62"/>
  <c r="M285" i="62"/>
  <c r="O285" i="62"/>
  <c r="P285" i="62"/>
  <c r="R285" i="62"/>
  <c r="S285" i="62"/>
  <c r="T285" i="62"/>
  <c r="U285" i="62"/>
  <c r="V285" i="62"/>
  <c r="W285" i="62"/>
  <c r="X285" i="62"/>
  <c r="Z285" i="62"/>
  <c r="AA285" i="62"/>
  <c r="AB285" i="62"/>
  <c r="AC285" i="62"/>
  <c r="AD285" i="62"/>
  <c r="AE285" i="62"/>
  <c r="AF285" i="62"/>
  <c r="AG285" i="62"/>
  <c r="AH285" i="62"/>
  <c r="AI285" i="62"/>
  <c r="AJ285" i="62"/>
  <c r="AK285" i="62"/>
  <c r="AL285" i="62"/>
  <c r="AM285" i="62"/>
  <c r="AN285" i="62"/>
  <c r="AO285" i="62"/>
  <c r="AP285" i="62"/>
  <c r="AQ285" i="62"/>
  <c r="AR285" i="62"/>
  <c r="AS285" i="62"/>
  <c r="AT285" i="62"/>
  <c r="AU285" i="62"/>
  <c r="AW285" i="62"/>
  <c r="AX285" i="62"/>
  <c r="AY285" i="62"/>
  <c r="BA285" i="62"/>
  <c r="A286" i="62"/>
  <c r="B286" i="62"/>
  <c r="D286" i="62"/>
  <c r="E286" i="62"/>
  <c r="F286" i="62"/>
  <c r="G286" i="62"/>
  <c r="H286" i="62"/>
  <c r="J286" i="62"/>
  <c r="K286" i="62"/>
  <c r="M286" i="62"/>
  <c r="O286" i="62"/>
  <c r="P286" i="62"/>
  <c r="R286" i="62"/>
  <c r="S286" i="62"/>
  <c r="T286" i="62"/>
  <c r="U286" i="62"/>
  <c r="V286" i="62"/>
  <c r="W286" i="62"/>
  <c r="X286" i="62"/>
  <c r="Z286" i="62"/>
  <c r="AA286" i="62"/>
  <c r="AB286" i="62"/>
  <c r="AC286" i="62"/>
  <c r="AD286" i="62"/>
  <c r="AE286" i="62"/>
  <c r="AF286" i="62"/>
  <c r="AG286" i="62"/>
  <c r="AH286" i="62"/>
  <c r="AI286" i="62"/>
  <c r="AJ286" i="62"/>
  <c r="AK286" i="62"/>
  <c r="AL286" i="62"/>
  <c r="AM286" i="62"/>
  <c r="AN286" i="62"/>
  <c r="AO286" i="62"/>
  <c r="AP286" i="62"/>
  <c r="AQ286" i="62"/>
  <c r="AR286" i="62"/>
  <c r="AS286" i="62"/>
  <c r="AT286" i="62"/>
  <c r="AU286" i="62"/>
  <c r="AW286" i="62"/>
  <c r="AX286" i="62"/>
  <c r="AY286" i="62"/>
  <c r="BA286" i="62"/>
  <c r="A287" i="62"/>
  <c r="B287" i="62"/>
  <c r="D287" i="62"/>
  <c r="E287" i="62"/>
  <c r="F287" i="62"/>
  <c r="G287" i="62"/>
  <c r="H287" i="62"/>
  <c r="J287" i="62"/>
  <c r="K287" i="62"/>
  <c r="M287" i="62"/>
  <c r="O287" i="62"/>
  <c r="P287" i="62"/>
  <c r="R287" i="62"/>
  <c r="S287" i="62"/>
  <c r="T287" i="62"/>
  <c r="U287" i="62"/>
  <c r="V287" i="62"/>
  <c r="W287" i="62"/>
  <c r="X287" i="62"/>
  <c r="Z287" i="62"/>
  <c r="AA287" i="62"/>
  <c r="AB287" i="62"/>
  <c r="AC287" i="62"/>
  <c r="AD287" i="62"/>
  <c r="AE287" i="62"/>
  <c r="AF287" i="62"/>
  <c r="AG287" i="62"/>
  <c r="AH287" i="62"/>
  <c r="AI287" i="62"/>
  <c r="AJ287" i="62"/>
  <c r="AK287" i="62"/>
  <c r="AL287" i="62"/>
  <c r="AM287" i="62"/>
  <c r="AN287" i="62"/>
  <c r="AO287" i="62"/>
  <c r="AP287" i="62"/>
  <c r="AQ287" i="62"/>
  <c r="AR287" i="62"/>
  <c r="AS287" i="62"/>
  <c r="AT287" i="62"/>
  <c r="AU287" i="62"/>
  <c r="AW287" i="62"/>
  <c r="AX287" i="62"/>
  <c r="AY287" i="62"/>
  <c r="BA287" i="62"/>
  <c r="A288" i="62"/>
  <c r="B288" i="62"/>
  <c r="D288" i="62"/>
  <c r="E288" i="62"/>
  <c r="F288" i="62"/>
  <c r="G288" i="62"/>
  <c r="H288" i="62"/>
  <c r="J288" i="62"/>
  <c r="K288" i="62"/>
  <c r="M288" i="62"/>
  <c r="O288" i="62"/>
  <c r="P288" i="62"/>
  <c r="R288" i="62"/>
  <c r="S288" i="62"/>
  <c r="T288" i="62"/>
  <c r="U288" i="62"/>
  <c r="V288" i="62"/>
  <c r="W288" i="62"/>
  <c r="X288" i="62"/>
  <c r="Z288" i="62"/>
  <c r="AA288" i="62"/>
  <c r="AB288" i="62"/>
  <c r="AC288" i="62"/>
  <c r="AD288" i="62"/>
  <c r="AE288" i="62"/>
  <c r="AF288" i="62"/>
  <c r="AG288" i="62"/>
  <c r="AH288" i="62"/>
  <c r="AI288" i="62"/>
  <c r="AJ288" i="62"/>
  <c r="AK288" i="62"/>
  <c r="AL288" i="62"/>
  <c r="AM288" i="62"/>
  <c r="AN288" i="62"/>
  <c r="AO288" i="62"/>
  <c r="AP288" i="62"/>
  <c r="AQ288" i="62"/>
  <c r="AR288" i="62"/>
  <c r="AS288" i="62"/>
  <c r="AT288" i="62"/>
  <c r="AU288" i="62"/>
  <c r="AW288" i="62"/>
  <c r="AX288" i="62"/>
  <c r="AY288" i="62"/>
  <c r="BA288" i="62"/>
  <c r="A289" i="62"/>
  <c r="B289" i="62"/>
  <c r="D289" i="62"/>
  <c r="E289" i="62"/>
  <c r="F289" i="62"/>
  <c r="G289" i="62"/>
  <c r="H289" i="62"/>
  <c r="J289" i="62"/>
  <c r="K289" i="62"/>
  <c r="M289" i="62"/>
  <c r="O289" i="62"/>
  <c r="P289" i="62"/>
  <c r="R289" i="62"/>
  <c r="S289" i="62"/>
  <c r="T289" i="62"/>
  <c r="U289" i="62"/>
  <c r="V289" i="62"/>
  <c r="W289" i="62"/>
  <c r="X289" i="62"/>
  <c r="Z289" i="62"/>
  <c r="AA289" i="62"/>
  <c r="AB289" i="62"/>
  <c r="AC289" i="62"/>
  <c r="AD289" i="62"/>
  <c r="AE289" i="62"/>
  <c r="AF289" i="62"/>
  <c r="AG289" i="62"/>
  <c r="AH289" i="62"/>
  <c r="AI289" i="62"/>
  <c r="AJ289" i="62"/>
  <c r="AK289" i="62"/>
  <c r="AL289" i="62"/>
  <c r="AM289" i="62"/>
  <c r="AN289" i="62"/>
  <c r="AO289" i="62"/>
  <c r="AP289" i="62"/>
  <c r="AQ289" i="62"/>
  <c r="AR289" i="62"/>
  <c r="AS289" i="62"/>
  <c r="AT289" i="62"/>
  <c r="AU289" i="62"/>
  <c r="AW289" i="62"/>
  <c r="AX289" i="62"/>
  <c r="AY289" i="62"/>
  <c r="BA289" i="62"/>
  <c r="A290" i="62"/>
  <c r="B290" i="62"/>
  <c r="D290" i="62"/>
  <c r="E290" i="62"/>
  <c r="F290" i="62"/>
  <c r="G290" i="62"/>
  <c r="H290" i="62"/>
  <c r="J290" i="62"/>
  <c r="K290" i="62"/>
  <c r="M290" i="62"/>
  <c r="O290" i="62"/>
  <c r="P290" i="62"/>
  <c r="R290" i="62"/>
  <c r="S290" i="62"/>
  <c r="T290" i="62"/>
  <c r="U290" i="62"/>
  <c r="V290" i="62"/>
  <c r="W290" i="62"/>
  <c r="X290" i="62"/>
  <c r="Z290" i="62"/>
  <c r="AA290" i="62"/>
  <c r="AB290" i="62"/>
  <c r="AC290" i="62"/>
  <c r="AD290" i="62"/>
  <c r="AE290" i="62"/>
  <c r="AF290" i="62"/>
  <c r="AG290" i="62"/>
  <c r="AH290" i="62"/>
  <c r="AI290" i="62"/>
  <c r="AJ290" i="62"/>
  <c r="AK290" i="62"/>
  <c r="AL290" i="62"/>
  <c r="AM290" i="62"/>
  <c r="AN290" i="62"/>
  <c r="AO290" i="62"/>
  <c r="AP290" i="62"/>
  <c r="AQ290" i="62"/>
  <c r="AR290" i="62"/>
  <c r="AS290" i="62"/>
  <c r="AT290" i="62"/>
  <c r="AU290" i="62"/>
  <c r="AW290" i="62"/>
  <c r="AX290" i="62"/>
  <c r="AY290" i="62"/>
  <c r="BA290" i="62"/>
  <c r="A291" i="62"/>
  <c r="B291" i="62"/>
  <c r="D291" i="62"/>
  <c r="E291" i="62"/>
  <c r="F291" i="62"/>
  <c r="G291" i="62"/>
  <c r="H291" i="62"/>
  <c r="J291" i="62"/>
  <c r="K291" i="62"/>
  <c r="M291" i="62"/>
  <c r="O291" i="62"/>
  <c r="P291" i="62"/>
  <c r="R291" i="62"/>
  <c r="S291" i="62"/>
  <c r="T291" i="62"/>
  <c r="U291" i="62"/>
  <c r="V291" i="62"/>
  <c r="W291" i="62"/>
  <c r="X291" i="62"/>
  <c r="Z291" i="62"/>
  <c r="AA291" i="62"/>
  <c r="AB291" i="62"/>
  <c r="AC291" i="62"/>
  <c r="AD291" i="62"/>
  <c r="AE291" i="62"/>
  <c r="AF291" i="62"/>
  <c r="AG291" i="62"/>
  <c r="AH291" i="62"/>
  <c r="AI291" i="62"/>
  <c r="AJ291" i="62"/>
  <c r="AK291" i="62"/>
  <c r="AL291" i="62"/>
  <c r="AM291" i="62"/>
  <c r="AN291" i="62"/>
  <c r="AO291" i="62"/>
  <c r="AP291" i="62"/>
  <c r="AQ291" i="62"/>
  <c r="AR291" i="62"/>
  <c r="AS291" i="62"/>
  <c r="AT291" i="62"/>
  <c r="AU291" i="62"/>
  <c r="AW291" i="62"/>
  <c r="AX291" i="62"/>
  <c r="AY291" i="62"/>
  <c r="BA291" i="62"/>
  <c r="A292" i="62"/>
  <c r="B292" i="62"/>
  <c r="D292" i="62"/>
  <c r="E292" i="62"/>
  <c r="F292" i="62"/>
  <c r="G292" i="62"/>
  <c r="H292" i="62"/>
  <c r="J292" i="62"/>
  <c r="K292" i="62"/>
  <c r="M292" i="62"/>
  <c r="O292" i="62"/>
  <c r="P292" i="62"/>
  <c r="R292" i="62"/>
  <c r="S292" i="62"/>
  <c r="T292" i="62"/>
  <c r="U292" i="62"/>
  <c r="V292" i="62"/>
  <c r="W292" i="62"/>
  <c r="X292" i="62"/>
  <c r="Z292" i="62"/>
  <c r="AA292" i="62"/>
  <c r="AB292" i="62"/>
  <c r="AC292" i="62"/>
  <c r="AD292" i="62"/>
  <c r="AE292" i="62"/>
  <c r="AF292" i="62"/>
  <c r="AG292" i="62"/>
  <c r="AH292" i="62"/>
  <c r="AI292" i="62"/>
  <c r="AJ292" i="62"/>
  <c r="AK292" i="62"/>
  <c r="AL292" i="62"/>
  <c r="AM292" i="62"/>
  <c r="AN292" i="62"/>
  <c r="AO292" i="62"/>
  <c r="AP292" i="62"/>
  <c r="AQ292" i="62"/>
  <c r="AR292" i="62"/>
  <c r="AS292" i="62"/>
  <c r="AT292" i="62"/>
  <c r="AU292" i="62"/>
  <c r="AW292" i="62"/>
  <c r="AX292" i="62"/>
  <c r="AY292" i="62"/>
  <c r="BA292" i="62"/>
  <c r="A293" i="62"/>
  <c r="B293" i="62"/>
  <c r="D293" i="62"/>
  <c r="E293" i="62"/>
  <c r="F293" i="62"/>
  <c r="G293" i="62"/>
  <c r="H293" i="62"/>
  <c r="J293" i="62"/>
  <c r="K293" i="62"/>
  <c r="M293" i="62"/>
  <c r="O293" i="62"/>
  <c r="P293" i="62"/>
  <c r="R293" i="62"/>
  <c r="S293" i="62"/>
  <c r="T293" i="62"/>
  <c r="U293" i="62"/>
  <c r="V293" i="62"/>
  <c r="W293" i="62"/>
  <c r="X293" i="62"/>
  <c r="Z293" i="62"/>
  <c r="AA293" i="62"/>
  <c r="AB293" i="62"/>
  <c r="AC293" i="62"/>
  <c r="AD293" i="62"/>
  <c r="AE293" i="62"/>
  <c r="AF293" i="62"/>
  <c r="AG293" i="62"/>
  <c r="AH293" i="62"/>
  <c r="AI293" i="62"/>
  <c r="AJ293" i="62"/>
  <c r="AK293" i="62"/>
  <c r="AL293" i="62"/>
  <c r="AM293" i="62"/>
  <c r="AN293" i="62"/>
  <c r="AO293" i="62"/>
  <c r="AP293" i="62"/>
  <c r="AQ293" i="62"/>
  <c r="AR293" i="62"/>
  <c r="AS293" i="62"/>
  <c r="AT293" i="62"/>
  <c r="AU293" i="62"/>
  <c r="AW293" i="62"/>
  <c r="AX293" i="62"/>
  <c r="AY293" i="62"/>
  <c r="BA293" i="62"/>
  <c r="A294" i="62"/>
  <c r="B294" i="62"/>
  <c r="D294" i="62"/>
  <c r="E294" i="62"/>
  <c r="F294" i="62"/>
  <c r="G294" i="62"/>
  <c r="H294" i="62"/>
  <c r="J294" i="62"/>
  <c r="K294" i="62"/>
  <c r="M294" i="62"/>
  <c r="O294" i="62"/>
  <c r="P294" i="62"/>
  <c r="R294" i="62"/>
  <c r="S294" i="62"/>
  <c r="T294" i="62"/>
  <c r="U294" i="62"/>
  <c r="V294" i="62"/>
  <c r="W294" i="62"/>
  <c r="X294" i="62"/>
  <c r="Z294" i="62"/>
  <c r="AA294" i="62"/>
  <c r="AB294" i="62"/>
  <c r="AC294" i="62"/>
  <c r="AD294" i="62"/>
  <c r="AE294" i="62"/>
  <c r="AF294" i="62"/>
  <c r="AG294" i="62"/>
  <c r="AH294" i="62"/>
  <c r="AI294" i="62"/>
  <c r="AJ294" i="62"/>
  <c r="AK294" i="62"/>
  <c r="AL294" i="62"/>
  <c r="AM294" i="62"/>
  <c r="AN294" i="62"/>
  <c r="AO294" i="62"/>
  <c r="AP294" i="62"/>
  <c r="AQ294" i="62"/>
  <c r="AR294" i="62"/>
  <c r="AS294" i="62"/>
  <c r="AT294" i="62"/>
  <c r="AU294" i="62"/>
  <c r="AW294" i="62"/>
  <c r="AX294" i="62"/>
  <c r="AY294" i="62"/>
  <c r="BA294" i="62"/>
  <c r="A295" i="62"/>
  <c r="B295" i="62"/>
  <c r="D295" i="62"/>
  <c r="E295" i="62"/>
  <c r="F295" i="62"/>
  <c r="G295" i="62"/>
  <c r="H295" i="62"/>
  <c r="J295" i="62"/>
  <c r="K295" i="62"/>
  <c r="M295" i="62"/>
  <c r="O295" i="62"/>
  <c r="P295" i="62"/>
  <c r="R295" i="62"/>
  <c r="S295" i="62"/>
  <c r="T295" i="62"/>
  <c r="U295" i="62"/>
  <c r="V295" i="62"/>
  <c r="W295" i="62"/>
  <c r="X295" i="62"/>
  <c r="Z295" i="62"/>
  <c r="AA295" i="62"/>
  <c r="AB295" i="62"/>
  <c r="AC295" i="62"/>
  <c r="AD295" i="62"/>
  <c r="AE295" i="62"/>
  <c r="AF295" i="62"/>
  <c r="AG295" i="62"/>
  <c r="AH295" i="62"/>
  <c r="AI295" i="62"/>
  <c r="AJ295" i="62"/>
  <c r="AK295" i="62"/>
  <c r="AL295" i="62"/>
  <c r="AM295" i="62"/>
  <c r="AN295" i="62"/>
  <c r="AO295" i="62"/>
  <c r="AP295" i="62"/>
  <c r="AQ295" i="62"/>
  <c r="AR295" i="62"/>
  <c r="AS295" i="62"/>
  <c r="AT295" i="62"/>
  <c r="AU295" i="62"/>
  <c r="AW295" i="62"/>
  <c r="AX295" i="62"/>
  <c r="AY295" i="62"/>
  <c r="BA295" i="62"/>
  <c r="A296" i="62"/>
  <c r="B296" i="62"/>
  <c r="D296" i="62"/>
  <c r="E296" i="62"/>
  <c r="F296" i="62"/>
  <c r="G296" i="62"/>
  <c r="H296" i="62"/>
  <c r="J296" i="62"/>
  <c r="K296" i="62"/>
  <c r="M296" i="62"/>
  <c r="O296" i="62"/>
  <c r="P296" i="62"/>
  <c r="R296" i="62"/>
  <c r="S296" i="62"/>
  <c r="T296" i="62"/>
  <c r="U296" i="62"/>
  <c r="V296" i="62"/>
  <c r="W296" i="62"/>
  <c r="X296" i="62"/>
  <c r="Z296" i="62"/>
  <c r="AA296" i="62"/>
  <c r="AB296" i="62"/>
  <c r="AC296" i="62"/>
  <c r="AD296" i="62"/>
  <c r="AE296" i="62"/>
  <c r="AF296" i="62"/>
  <c r="AG296" i="62"/>
  <c r="AH296" i="62"/>
  <c r="AI296" i="62"/>
  <c r="AJ296" i="62"/>
  <c r="AK296" i="62"/>
  <c r="AL296" i="62"/>
  <c r="AM296" i="62"/>
  <c r="AN296" i="62"/>
  <c r="AO296" i="62"/>
  <c r="AP296" i="62"/>
  <c r="AQ296" i="62"/>
  <c r="AR296" i="62"/>
  <c r="AS296" i="62"/>
  <c r="AT296" i="62"/>
  <c r="AU296" i="62"/>
  <c r="AW296" i="62"/>
  <c r="AX296" i="62"/>
  <c r="AY296" i="62"/>
  <c r="BA296" i="62"/>
  <c r="A297" i="62"/>
  <c r="B297" i="62"/>
  <c r="D297" i="62"/>
  <c r="E297" i="62"/>
  <c r="F297" i="62"/>
  <c r="G297" i="62"/>
  <c r="H297" i="62"/>
  <c r="J297" i="62"/>
  <c r="K297" i="62"/>
  <c r="M297" i="62"/>
  <c r="O297" i="62"/>
  <c r="P297" i="62"/>
  <c r="R297" i="62"/>
  <c r="S297" i="62"/>
  <c r="T297" i="62"/>
  <c r="U297" i="62"/>
  <c r="V297" i="62"/>
  <c r="W297" i="62"/>
  <c r="X297" i="62"/>
  <c r="Z297" i="62"/>
  <c r="AA297" i="62"/>
  <c r="AB297" i="62"/>
  <c r="AC297" i="62"/>
  <c r="AD297" i="62"/>
  <c r="AE297" i="62"/>
  <c r="AF297" i="62"/>
  <c r="AG297" i="62"/>
  <c r="AH297" i="62"/>
  <c r="AI297" i="62"/>
  <c r="AJ297" i="62"/>
  <c r="AK297" i="62"/>
  <c r="AL297" i="62"/>
  <c r="AM297" i="62"/>
  <c r="AN297" i="62"/>
  <c r="AO297" i="62"/>
  <c r="AP297" i="62"/>
  <c r="AQ297" i="62"/>
  <c r="AR297" i="62"/>
  <c r="AS297" i="62"/>
  <c r="AT297" i="62"/>
  <c r="AU297" i="62"/>
  <c r="AW297" i="62"/>
  <c r="AX297" i="62"/>
  <c r="AY297" i="62"/>
  <c r="BA297" i="62"/>
  <c r="A298" i="62"/>
  <c r="B298" i="62"/>
  <c r="D298" i="62"/>
  <c r="E298" i="62"/>
  <c r="F298" i="62"/>
  <c r="G298" i="62"/>
  <c r="H298" i="62"/>
  <c r="J298" i="62"/>
  <c r="K298" i="62"/>
  <c r="M298" i="62"/>
  <c r="O298" i="62"/>
  <c r="P298" i="62"/>
  <c r="R298" i="62"/>
  <c r="S298" i="62"/>
  <c r="T298" i="62"/>
  <c r="U298" i="62"/>
  <c r="V298" i="62"/>
  <c r="W298" i="62"/>
  <c r="X298" i="62"/>
  <c r="Z298" i="62"/>
  <c r="AA298" i="62"/>
  <c r="AB298" i="62"/>
  <c r="AC298" i="62"/>
  <c r="AD298" i="62"/>
  <c r="AE298" i="62"/>
  <c r="AF298" i="62"/>
  <c r="AG298" i="62"/>
  <c r="AH298" i="62"/>
  <c r="AI298" i="62"/>
  <c r="AJ298" i="62"/>
  <c r="AK298" i="62"/>
  <c r="AL298" i="62"/>
  <c r="AM298" i="62"/>
  <c r="AN298" i="62"/>
  <c r="AO298" i="62"/>
  <c r="AP298" i="62"/>
  <c r="AQ298" i="62"/>
  <c r="AR298" i="62"/>
  <c r="AS298" i="62"/>
  <c r="AT298" i="62"/>
  <c r="AU298" i="62"/>
  <c r="AW298" i="62"/>
  <c r="AX298" i="62"/>
  <c r="AY298" i="62"/>
  <c r="BA298" i="62"/>
  <c r="A299" i="62"/>
  <c r="B299" i="62"/>
  <c r="D299" i="62"/>
  <c r="E299" i="62"/>
  <c r="F299" i="62"/>
  <c r="G299" i="62"/>
  <c r="H299" i="62"/>
  <c r="J299" i="62"/>
  <c r="K299" i="62"/>
  <c r="M299" i="62"/>
  <c r="O299" i="62"/>
  <c r="P299" i="62"/>
  <c r="R299" i="62"/>
  <c r="S299" i="62"/>
  <c r="T299" i="62"/>
  <c r="U299" i="62"/>
  <c r="V299" i="62"/>
  <c r="W299" i="62"/>
  <c r="X299" i="62"/>
  <c r="Z299" i="62"/>
  <c r="AA299" i="62"/>
  <c r="AB299" i="62"/>
  <c r="AC299" i="62"/>
  <c r="AD299" i="62"/>
  <c r="AE299" i="62"/>
  <c r="AF299" i="62"/>
  <c r="AG299" i="62"/>
  <c r="AH299" i="62"/>
  <c r="AI299" i="62"/>
  <c r="AJ299" i="62"/>
  <c r="AK299" i="62"/>
  <c r="AL299" i="62"/>
  <c r="AM299" i="62"/>
  <c r="AN299" i="62"/>
  <c r="AO299" i="62"/>
  <c r="AP299" i="62"/>
  <c r="AQ299" i="62"/>
  <c r="AR299" i="62"/>
  <c r="AS299" i="62"/>
  <c r="AT299" i="62"/>
  <c r="AU299" i="62"/>
  <c r="AW299" i="62"/>
  <c r="AX299" i="62"/>
  <c r="AY299" i="62"/>
  <c r="BA299" i="62"/>
  <c r="A300" i="62"/>
  <c r="B300" i="62"/>
  <c r="D300" i="62"/>
  <c r="E300" i="62"/>
  <c r="F300" i="62"/>
  <c r="G300" i="62"/>
  <c r="H300" i="62"/>
  <c r="J300" i="62"/>
  <c r="K300" i="62"/>
  <c r="M300" i="62"/>
  <c r="O300" i="62"/>
  <c r="P300" i="62"/>
  <c r="R300" i="62"/>
  <c r="S300" i="62"/>
  <c r="T300" i="62"/>
  <c r="U300" i="62"/>
  <c r="V300" i="62"/>
  <c r="W300" i="62"/>
  <c r="X300" i="62"/>
  <c r="Z300" i="62"/>
  <c r="AA300" i="62"/>
  <c r="AB300" i="62"/>
  <c r="AC300" i="62"/>
  <c r="AD300" i="62"/>
  <c r="AE300" i="62"/>
  <c r="AF300" i="62"/>
  <c r="AG300" i="62"/>
  <c r="AH300" i="62"/>
  <c r="AI300" i="62"/>
  <c r="AJ300" i="62"/>
  <c r="AK300" i="62"/>
  <c r="AL300" i="62"/>
  <c r="AM300" i="62"/>
  <c r="AN300" i="62"/>
  <c r="AO300" i="62"/>
  <c r="AP300" i="62"/>
  <c r="AQ300" i="62"/>
  <c r="AR300" i="62"/>
  <c r="AS300" i="62"/>
  <c r="AT300" i="62"/>
  <c r="AU300" i="62"/>
  <c r="AW300" i="62"/>
  <c r="AX300" i="62"/>
  <c r="AY300" i="62"/>
  <c r="BA300" i="62"/>
  <c r="A301" i="62"/>
  <c r="B301" i="62"/>
  <c r="D301" i="62"/>
  <c r="E301" i="62"/>
  <c r="F301" i="62"/>
  <c r="G301" i="62"/>
  <c r="H301" i="62"/>
  <c r="J301" i="62"/>
  <c r="K301" i="62"/>
  <c r="M301" i="62"/>
  <c r="O301" i="62"/>
  <c r="P301" i="62"/>
  <c r="R301" i="62"/>
  <c r="S301" i="62"/>
  <c r="T301" i="62"/>
  <c r="U301" i="62"/>
  <c r="V301" i="62"/>
  <c r="W301" i="62"/>
  <c r="X301" i="62"/>
  <c r="Z301" i="62"/>
  <c r="AA301" i="62"/>
  <c r="AB301" i="62"/>
  <c r="AC301" i="62"/>
  <c r="AD301" i="62"/>
  <c r="AE301" i="62"/>
  <c r="AF301" i="62"/>
  <c r="AG301" i="62"/>
  <c r="AH301" i="62"/>
  <c r="AI301" i="62"/>
  <c r="AJ301" i="62"/>
  <c r="AK301" i="62"/>
  <c r="AL301" i="62"/>
  <c r="AM301" i="62"/>
  <c r="AN301" i="62"/>
  <c r="AO301" i="62"/>
  <c r="AP301" i="62"/>
  <c r="AQ301" i="62"/>
  <c r="AR301" i="62"/>
  <c r="AS301" i="62"/>
  <c r="AT301" i="62"/>
  <c r="AU301" i="62"/>
  <c r="AW301" i="62"/>
  <c r="AX301" i="62"/>
  <c r="AY301" i="62"/>
  <c r="BA301" i="62"/>
  <c r="A302" i="62"/>
  <c r="B302" i="62"/>
  <c r="D302" i="62"/>
  <c r="E302" i="62"/>
  <c r="F302" i="62"/>
  <c r="G302" i="62"/>
  <c r="H302" i="62"/>
  <c r="J302" i="62"/>
  <c r="K302" i="62"/>
  <c r="M302" i="62"/>
  <c r="O302" i="62"/>
  <c r="P302" i="62"/>
  <c r="R302" i="62"/>
  <c r="S302" i="62"/>
  <c r="T302" i="62"/>
  <c r="U302" i="62"/>
  <c r="V302" i="62"/>
  <c r="W302" i="62"/>
  <c r="X302" i="62"/>
  <c r="Z302" i="62"/>
  <c r="AA302" i="62"/>
  <c r="AB302" i="62"/>
  <c r="AC302" i="62"/>
  <c r="AD302" i="62"/>
  <c r="AE302" i="62"/>
  <c r="AF302" i="62"/>
  <c r="AG302" i="62"/>
  <c r="AH302" i="62"/>
  <c r="AI302" i="62"/>
  <c r="AJ302" i="62"/>
  <c r="AK302" i="62"/>
  <c r="AL302" i="62"/>
  <c r="AM302" i="62"/>
  <c r="AN302" i="62"/>
  <c r="AO302" i="62"/>
  <c r="AP302" i="62"/>
  <c r="AQ302" i="62"/>
  <c r="AR302" i="62"/>
  <c r="AS302" i="62"/>
  <c r="AT302" i="62"/>
  <c r="AU302" i="62"/>
  <c r="AW302" i="62"/>
  <c r="AX302" i="62"/>
  <c r="AY302" i="62"/>
  <c r="BA302" i="62"/>
  <c r="A303" i="62"/>
  <c r="B303" i="62"/>
  <c r="D303" i="62"/>
  <c r="E303" i="62"/>
  <c r="F303" i="62"/>
  <c r="G303" i="62"/>
  <c r="H303" i="62"/>
  <c r="J303" i="62"/>
  <c r="K303" i="62"/>
  <c r="M303" i="62"/>
  <c r="O303" i="62"/>
  <c r="P303" i="62"/>
  <c r="R303" i="62"/>
  <c r="S303" i="62"/>
  <c r="T303" i="62"/>
  <c r="U303" i="62"/>
  <c r="V303" i="62"/>
  <c r="W303" i="62"/>
  <c r="X303" i="62"/>
  <c r="Z303" i="62"/>
  <c r="AA303" i="62"/>
  <c r="AB303" i="62"/>
  <c r="AC303" i="62"/>
  <c r="AD303" i="62"/>
  <c r="AE303" i="62"/>
  <c r="AF303" i="62"/>
  <c r="AG303" i="62"/>
  <c r="AH303" i="62"/>
  <c r="AI303" i="62"/>
  <c r="AJ303" i="62"/>
  <c r="AK303" i="62"/>
  <c r="AL303" i="62"/>
  <c r="AM303" i="62"/>
  <c r="AN303" i="62"/>
  <c r="AO303" i="62"/>
  <c r="AP303" i="62"/>
  <c r="AQ303" i="62"/>
  <c r="AR303" i="62"/>
  <c r="AS303" i="62"/>
  <c r="AT303" i="62"/>
  <c r="AU303" i="62"/>
  <c r="AW303" i="62"/>
  <c r="AX303" i="62"/>
  <c r="AY303" i="62"/>
  <c r="BA303" i="62"/>
  <c r="A304" i="62"/>
  <c r="B304" i="62"/>
  <c r="D304" i="62"/>
  <c r="E304" i="62"/>
  <c r="F304" i="62"/>
  <c r="G304" i="62"/>
  <c r="H304" i="62"/>
  <c r="J304" i="62"/>
  <c r="K304" i="62"/>
  <c r="M304" i="62"/>
  <c r="O304" i="62"/>
  <c r="P304" i="62"/>
  <c r="R304" i="62"/>
  <c r="S304" i="62"/>
  <c r="T304" i="62"/>
  <c r="U304" i="62"/>
  <c r="V304" i="62"/>
  <c r="W304" i="62"/>
  <c r="X304" i="62"/>
  <c r="Z304" i="62"/>
  <c r="AA304" i="62"/>
  <c r="AB304" i="62"/>
  <c r="AC304" i="62"/>
  <c r="AD304" i="62"/>
  <c r="AE304" i="62"/>
  <c r="AF304" i="62"/>
  <c r="AG304" i="62"/>
  <c r="AH304" i="62"/>
  <c r="AI304" i="62"/>
  <c r="AJ304" i="62"/>
  <c r="AK304" i="62"/>
  <c r="AL304" i="62"/>
  <c r="AM304" i="62"/>
  <c r="AN304" i="62"/>
  <c r="AO304" i="62"/>
  <c r="AP304" i="62"/>
  <c r="AQ304" i="62"/>
  <c r="AR304" i="62"/>
  <c r="AS304" i="62"/>
  <c r="AT304" i="62"/>
  <c r="AU304" i="62"/>
  <c r="AW304" i="62"/>
  <c r="AX304" i="62"/>
  <c r="AY304" i="62"/>
  <c r="BA304" i="62"/>
  <c r="A305" i="62"/>
  <c r="B305" i="62"/>
  <c r="D305" i="62"/>
  <c r="E305" i="62"/>
  <c r="F305" i="62"/>
  <c r="G305" i="62"/>
  <c r="H305" i="62"/>
  <c r="J305" i="62"/>
  <c r="K305" i="62"/>
  <c r="M305" i="62"/>
  <c r="O305" i="62"/>
  <c r="P305" i="62"/>
  <c r="R305" i="62"/>
  <c r="S305" i="62"/>
  <c r="T305" i="62"/>
  <c r="U305" i="62"/>
  <c r="V305" i="62"/>
  <c r="W305" i="62"/>
  <c r="X305" i="62"/>
  <c r="Z305" i="62"/>
  <c r="AA305" i="62"/>
  <c r="AB305" i="62"/>
  <c r="AC305" i="62"/>
  <c r="AD305" i="62"/>
  <c r="AE305" i="62"/>
  <c r="AF305" i="62"/>
  <c r="AG305" i="62"/>
  <c r="AH305" i="62"/>
  <c r="AI305" i="62"/>
  <c r="AJ305" i="62"/>
  <c r="AK305" i="62"/>
  <c r="AL305" i="62"/>
  <c r="AM305" i="62"/>
  <c r="AN305" i="62"/>
  <c r="AO305" i="62"/>
  <c r="AP305" i="62"/>
  <c r="AQ305" i="62"/>
  <c r="AR305" i="62"/>
  <c r="AS305" i="62"/>
  <c r="AT305" i="62"/>
  <c r="AU305" i="62"/>
  <c r="AW305" i="62"/>
  <c r="AX305" i="62"/>
  <c r="AY305" i="62"/>
  <c r="BA305" i="62"/>
  <c r="A306" i="62"/>
  <c r="B306" i="62"/>
  <c r="D306" i="62"/>
  <c r="E306" i="62"/>
  <c r="F306" i="62"/>
  <c r="G306" i="62"/>
  <c r="H306" i="62"/>
  <c r="J306" i="62"/>
  <c r="K306" i="62"/>
  <c r="M306" i="62"/>
  <c r="O306" i="62"/>
  <c r="P306" i="62"/>
  <c r="R306" i="62"/>
  <c r="S306" i="62"/>
  <c r="T306" i="62"/>
  <c r="U306" i="62"/>
  <c r="V306" i="62"/>
  <c r="W306" i="62"/>
  <c r="X306" i="62"/>
  <c r="Z306" i="62"/>
  <c r="AA306" i="62"/>
  <c r="AB306" i="62"/>
  <c r="AC306" i="62"/>
  <c r="AD306" i="62"/>
  <c r="AE306" i="62"/>
  <c r="AF306" i="62"/>
  <c r="AG306" i="62"/>
  <c r="AH306" i="62"/>
  <c r="AI306" i="62"/>
  <c r="AJ306" i="62"/>
  <c r="AK306" i="62"/>
  <c r="AL306" i="62"/>
  <c r="AM306" i="62"/>
  <c r="AN306" i="62"/>
  <c r="AO306" i="62"/>
  <c r="AP306" i="62"/>
  <c r="AQ306" i="62"/>
  <c r="AR306" i="62"/>
  <c r="AS306" i="62"/>
  <c r="AT306" i="62"/>
  <c r="AU306" i="62"/>
  <c r="AW306" i="62"/>
  <c r="AX306" i="62"/>
  <c r="AY306" i="62"/>
  <c r="BA306" i="62"/>
  <c r="A307" i="62"/>
  <c r="B307" i="62"/>
  <c r="D307" i="62"/>
  <c r="E307" i="62"/>
  <c r="F307" i="62"/>
  <c r="G307" i="62"/>
  <c r="H307" i="62"/>
  <c r="J307" i="62"/>
  <c r="K307" i="62"/>
  <c r="M307" i="62"/>
  <c r="O307" i="62"/>
  <c r="P307" i="62"/>
  <c r="R307" i="62"/>
  <c r="S307" i="62"/>
  <c r="T307" i="62"/>
  <c r="U307" i="62"/>
  <c r="V307" i="62"/>
  <c r="W307" i="62"/>
  <c r="X307" i="62"/>
  <c r="Z307" i="62"/>
  <c r="AA307" i="62"/>
  <c r="AB307" i="62"/>
  <c r="AC307" i="62"/>
  <c r="AD307" i="62"/>
  <c r="AE307" i="62"/>
  <c r="AF307" i="62"/>
  <c r="AG307" i="62"/>
  <c r="AH307" i="62"/>
  <c r="AI307" i="62"/>
  <c r="AJ307" i="62"/>
  <c r="AK307" i="62"/>
  <c r="AL307" i="62"/>
  <c r="AM307" i="62"/>
  <c r="AN307" i="62"/>
  <c r="AO307" i="62"/>
  <c r="AP307" i="62"/>
  <c r="AQ307" i="62"/>
  <c r="AR307" i="62"/>
  <c r="AS307" i="62"/>
  <c r="AT307" i="62"/>
  <c r="AU307" i="62"/>
  <c r="AW307" i="62"/>
  <c r="AX307" i="62"/>
  <c r="AY307" i="62"/>
  <c r="BA307" i="62"/>
  <c r="A308" i="62"/>
  <c r="B308" i="62"/>
  <c r="D308" i="62"/>
  <c r="E308" i="62"/>
  <c r="F308" i="62"/>
  <c r="G308" i="62"/>
  <c r="H308" i="62"/>
  <c r="J308" i="62"/>
  <c r="K308" i="62"/>
  <c r="M308" i="62"/>
  <c r="O308" i="62"/>
  <c r="P308" i="62"/>
  <c r="R308" i="62"/>
  <c r="S308" i="62"/>
  <c r="T308" i="62"/>
  <c r="U308" i="62"/>
  <c r="V308" i="62"/>
  <c r="W308" i="62"/>
  <c r="X308" i="62"/>
  <c r="Z308" i="62"/>
  <c r="AA308" i="62"/>
  <c r="AB308" i="62"/>
  <c r="AC308" i="62"/>
  <c r="AD308" i="62"/>
  <c r="AE308" i="62"/>
  <c r="AF308" i="62"/>
  <c r="AG308" i="62"/>
  <c r="AH308" i="62"/>
  <c r="AI308" i="62"/>
  <c r="AJ308" i="62"/>
  <c r="AK308" i="62"/>
  <c r="AL308" i="62"/>
  <c r="AM308" i="62"/>
  <c r="AN308" i="62"/>
  <c r="AO308" i="62"/>
  <c r="AP308" i="62"/>
  <c r="AQ308" i="62"/>
  <c r="AR308" i="62"/>
  <c r="AS308" i="62"/>
  <c r="AT308" i="62"/>
  <c r="AU308" i="62"/>
  <c r="AW308" i="62"/>
  <c r="AX308" i="62"/>
  <c r="AY308" i="62"/>
  <c r="BA308" i="62"/>
  <c r="A309" i="62"/>
  <c r="B309" i="62"/>
  <c r="D309" i="62"/>
  <c r="E309" i="62"/>
  <c r="F309" i="62"/>
  <c r="G309" i="62"/>
  <c r="H309" i="62"/>
  <c r="J309" i="62"/>
  <c r="K309" i="62"/>
  <c r="M309" i="62"/>
  <c r="O309" i="62"/>
  <c r="P309" i="62"/>
  <c r="R309" i="62"/>
  <c r="S309" i="62"/>
  <c r="T309" i="62"/>
  <c r="U309" i="62"/>
  <c r="V309" i="62"/>
  <c r="W309" i="62"/>
  <c r="X309" i="62"/>
  <c r="Z309" i="62"/>
  <c r="AA309" i="62"/>
  <c r="AB309" i="62"/>
  <c r="AC309" i="62"/>
  <c r="AD309" i="62"/>
  <c r="AE309" i="62"/>
  <c r="AF309" i="62"/>
  <c r="AG309" i="62"/>
  <c r="AH309" i="62"/>
  <c r="AI309" i="62"/>
  <c r="AJ309" i="62"/>
  <c r="AK309" i="62"/>
  <c r="AL309" i="62"/>
  <c r="AM309" i="62"/>
  <c r="AN309" i="62"/>
  <c r="AO309" i="62"/>
  <c r="AP309" i="62"/>
  <c r="AQ309" i="62"/>
  <c r="AR309" i="62"/>
  <c r="AS309" i="62"/>
  <c r="AT309" i="62"/>
  <c r="AU309" i="62"/>
  <c r="AW309" i="62"/>
  <c r="AX309" i="62"/>
  <c r="AY309" i="62"/>
  <c r="BA309" i="62"/>
  <c r="A310" i="62"/>
  <c r="B310" i="62"/>
  <c r="D310" i="62"/>
  <c r="E310" i="62"/>
  <c r="F310" i="62"/>
  <c r="G310" i="62"/>
  <c r="H310" i="62"/>
  <c r="J310" i="62"/>
  <c r="K310" i="62"/>
  <c r="M310" i="62"/>
  <c r="O310" i="62"/>
  <c r="P310" i="62"/>
  <c r="R310" i="62"/>
  <c r="S310" i="62"/>
  <c r="T310" i="62"/>
  <c r="U310" i="62"/>
  <c r="V310" i="62"/>
  <c r="W310" i="62"/>
  <c r="X310" i="62"/>
  <c r="Z310" i="62"/>
  <c r="AA310" i="62"/>
  <c r="AB310" i="62"/>
  <c r="AC310" i="62"/>
  <c r="AD310" i="62"/>
  <c r="AE310" i="62"/>
  <c r="AF310" i="62"/>
  <c r="AG310" i="62"/>
  <c r="AH310" i="62"/>
  <c r="AI310" i="62"/>
  <c r="AJ310" i="62"/>
  <c r="AK310" i="62"/>
  <c r="AL310" i="62"/>
  <c r="AM310" i="62"/>
  <c r="AN310" i="62"/>
  <c r="AO310" i="62"/>
  <c r="AP310" i="62"/>
  <c r="AQ310" i="62"/>
  <c r="AR310" i="62"/>
  <c r="AS310" i="62"/>
  <c r="AT310" i="62"/>
  <c r="AU310" i="62"/>
  <c r="AW310" i="62"/>
  <c r="AX310" i="62"/>
  <c r="AY310" i="62"/>
  <c r="BA310" i="62"/>
  <c r="A311" i="62"/>
  <c r="B311" i="62"/>
  <c r="D311" i="62"/>
  <c r="E311" i="62"/>
  <c r="F311" i="62"/>
  <c r="G311" i="62"/>
  <c r="H311" i="62"/>
  <c r="J311" i="62"/>
  <c r="K311" i="62"/>
  <c r="M311" i="62"/>
  <c r="O311" i="62"/>
  <c r="P311" i="62"/>
  <c r="R311" i="62"/>
  <c r="S311" i="62"/>
  <c r="T311" i="62"/>
  <c r="U311" i="62"/>
  <c r="V311" i="62"/>
  <c r="W311" i="62"/>
  <c r="X311" i="62"/>
  <c r="Z311" i="62"/>
  <c r="AA311" i="62"/>
  <c r="AB311" i="62"/>
  <c r="AC311" i="62"/>
  <c r="AD311" i="62"/>
  <c r="AE311" i="62"/>
  <c r="AF311" i="62"/>
  <c r="AG311" i="62"/>
  <c r="AH311" i="62"/>
  <c r="AI311" i="62"/>
  <c r="AJ311" i="62"/>
  <c r="AK311" i="62"/>
  <c r="AL311" i="62"/>
  <c r="AM311" i="62"/>
  <c r="AN311" i="62"/>
  <c r="AO311" i="62"/>
  <c r="AP311" i="62"/>
  <c r="AQ311" i="62"/>
  <c r="AR311" i="62"/>
  <c r="AS311" i="62"/>
  <c r="AT311" i="62"/>
  <c r="AU311" i="62"/>
  <c r="AW311" i="62"/>
  <c r="AX311" i="62"/>
  <c r="AY311" i="62"/>
  <c r="BA311" i="62"/>
  <c r="A312" i="62"/>
  <c r="B312" i="62"/>
  <c r="D312" i="62"/>
  <c r="E312" i="62"/>
  <c r="F312" i="62"/>
  <c r="G312" i="62"/>
  <c r="H312" i="62"/>
  <c r="J312" i="62"/>
  <c r="K312" i="62"/>
  <c r="M312" i="62"/>
  <c r="O312" i="62"/>
  <c r="P312" i="62"/>
  <c r="R312" i="62"/>
  <c r="S312" i="62"/>
  <c r="T312" i="62"/>
  <c r="U312" i="62"/>
  <c r="V312" i="62"/>
  <c r="W312" i="62"/>
  <c r="X312" i="62"/>
  <c r="Z312" i="62"/>
  <c r="AA312" i="62"/>
  <c r="AB312" i="62"/>
  <c r="AC312" i="62"/>
  <c r="AD312" i="62"/>
  <c r="AE312" i="62"/>
  <c r="AF312" i="62"/>
  <c r="AG312" i="62"/>
  <c r="AH312" i="62"/>
  <c r="AI312" i="62"/>
  <c r="AJ312" i="62"/>
  <c r="AK312" i="62"/>
  <c r="AL312" i="62"/>
  <c r="AM312" i="62"/>
  <c r="AN312" i="62"/>
  <c r="AO312" i="62"/>
  <c r="AP312" i="62"/>
  <c r="AQ312" i="62"/>
  <c r="AR312" i="62"/>
  <c r="AS312" i="62"/>
  <c r="AT312" i="62"/>
  <c r="AU312" i="62"/>
  <c r="AW312" i="62"/>
  <c r="AX312" i="62"/>
  <c r="AY312" i="62"/>
  <c r="BA312" i="62"/>
  <c r="A313" i="62"/>
  <c r="B313" i="62"/>
  <c r="D313" i="62"/>
  <c r="E313" i="62"/>
  <c r="F313" i="62"/>
  <c r="G313" i="62"/>
  <c r="H313" i="62"/>
  <c r="J313" i="62"/>
  <c r="K313" i="62"/>
  <c r="M313" i="62"/>
  <c r="O313" i="62"/>
  <c r="P313" i="62"/>
  <c r="R313" i="62"/>
  <c r="S313" i="62"/>
  <c r="T313" i="62"/>
  <c r="U313" i="62"/>
  <c r="V313" i="62"/>
  <c r="W313" i="62"/>
  <c r="X313" i="62"/>
  <c r="Z313" i="62"/>
  <c r="AA313" i="62"/>
  <c r="AB313" i="62"/>
  <c r="AC313" i="62"/>
  <c r="AD313" i="62"/>
  <c r="AE313" i="62"/>
  <c r="AF313" i="62"/>
  <c r="AG313" i="62"/>
  <c r="AH313" i="62"/>
  <c r="AI313" i="62"/>
  <c r="AJ313" i="62"/>
  <c r="AK313" i="62"/>
  <c r="AL313" i="62"/>
  <c r="AM313" i="62"/>
  <c r="AN313" i="62"/>
  <c r="AO313" i="62"/>
  <c r="AP313" i="62"/>
  <c r="AQ313" i="62"/>
  <c r="AR313" i="62"/>
  <c r="AS313" i="62"/>
  <c r="AT313" i="62"/>
  <c r="AU313" i="62"/>
  <c r="AW313" i="62"/>
  <c r="AX313" i="62"/>
  <c r="AY313" i="62"/>
  <c r="BA313" i="62"/>
  <c r="A314" i="62"/>
  <c r="B314" i="62"/>
  <c r="D314" i="62"/>
  <c r="E314" i="62"/>
  <c r="F314" i="62"/>
  <c r="G314" i="62"/>
  <c r="H314" i="62"/>
  <c r="J314" i="62"/>
  <c r="K314" i="62"/>
  <c r="M314" i="62"/>
  <c r="O314" i="62"/>
  <c r="P314" i="62"/>
  <c r="R314" i="62"/>
  <c r="S314" i="62"/>
  <c r="T314" i="62"/>
  <c r="U314" i="62"/>
  <c r="V314" i="62"/>
  <c r="W314" i="62"/>
  <c r="X314" i="62"/>
  <c r="Z314" i="62"/>
  <c r="AA314" i="62"/>
  <c r="AB314" i="62"/>
  <c r="AC314" i="62"/>
  <c r="AD314" i="62"/>
  <c r="AE314" i="62"/>
  <c r="AF314" i="62"/>
  <c r="AG314" i="62"/>
  <c r="AH314" i="62"/>
  <c r="AI314" i="62"/>
  <c r="AJ314" i="62"/>
  <c r="AK314" i="62"/>
  <c r="AL314" i="62"/>
  <c r="AM314" i="62"/>
  <c r="AN314" i="62"/>
  <c r="AO314" i="62"/>
  <c r="AP314" i="62"/>
  <c r="AQ314" i="62"/>
  <c r="AR314" i="62"/>
  <c r="AS314" i="62"/>
  <c r="AT314" i="62"/>
  <c r="AU314" i="62"/>
  <c r="AW314" i="62"/>
  <c r="AX314" i="62"/>
  <c r="AY314" i="62"/>
  <c r="BA314" i="62"/>
  <c r="A315" i="62"/>
  <c r="B315" i="62"/>
  <c r="D315" i="62"/>
  <c r="E315" i="62"/>
  <c r="F315" i="62"/>
  <c r="G315" i="62"/>
  <c r="H315" i="62"/>
  <c r="J315" i="62"/>
  <c r="K315" i="62"/>
  <c r="M315" i="62"/>
  <c r="O315" i="62"/>
  <c r="P315" i="62"/>
  <c r="R315" i="62"/>
  <c r="S315" i="62"/>
  <c r="T315" i="62"/>
  <c r="U315" i="62"/>
  <c r="V315" i="62"/>
  <c r="W315" i="62"/>
  <c r="X315" i="62"/>
  <c r="Z315" i="62"/>
  <c r="AA315" i="62"/>
  <c r="AB315" i="62"/>
  <c r="AC315" i="62"/>
  <c r="AD315" i="62"/>
  <c r="AE315" i="62"/>
  <c r="AF315" i="62"/>
  <c r="AG315" i="62"/>
  <c r="AH315" i="62"/>
  <c r="AI315" i="62"/>
  <c r="AJ315" i="62"/>
  <c r="AK315" i="62"/>
  <c r="AL315" i="62"/>
  <c r="AM315" i="62"/>
  <c r="AN315" i="62"/>
  <c r="AO315" i="62"/>
  <c r="AP315" i="62"/>
  <c r="AQ315" i="62"/>
  <c r="AR315" i="62"/>
  <c r="AS315" i="62"/>
  <c r="AT315" i="62"/>
  <c r="AU315" i="62"/>
  <c r="AW315" i="62"/>
  <c r="AX315" i="62"/>
  <c r="AY315" i="62"/>
  <c r="BA315" i="62"/>
  <c r="A316" i="62"/>
  <c r="B316" i="62"/>
  <c r="D316" i="62"/>
  <c r="E316" i="62"/>
  <c r="F316" i="62"/>
  <c r="G316" i="62"/>
  <c r="H316" i="62"/>
  <c r="J316" i="62"/>
  <c r="K316" i="62"/>
  <c r="M316" i="62"/>
  <c r="O316" i="62"/>
  <c r="P316" i="62"/>
  <c r="R316" i="62"/>
  <c r="S316" i="62"/>
  <c r="T316" i="62"/>
  <c r="U316" i="62"/>
  <c r="V316" i="62"/>
  <c r="W316" i="62"/>
  <c r="X316" i="62"/>
  <c r="Z316" i="62"/>
  <c r="AA316" i="62"/>
  <c r="AB316" i="62"/>
  <c r="AC316" i="62"/>
  <c r="AD316" i="62"/>
  <c r="AE316" i="62"/>
  <c r="AF316" i="62"/>
  <c r="AG316" i="62"/>
  <c r="AH316" i="62"/>
  <c r="AI316" i="62"/>
  <c r="AJ316" i="62"/>
  <c r="AK316" i="62"/>
  <c r="AL316" i="62"/>
  <c r="AM316" i="62"/>
  <c r="AN316" i="62"/>
  <c r="AO316" i="62"/>
  <c r="AP316" i="62"/>
  <c r="AQ316" i="62"/>
  <c r="AR316" i="62"/>
  <c r="AS316" i="62"/>
  <c r="AT316" i="62"/>
  <c r="AU316" i="62"/>
  <c r="AW316" i="62"/>
  <c r="AX316" i="62"/>
  <c r="AY316" i="62"/>
  <c r="BA316" i="62"/>
  <c r="A317" i="62"/>
  <c r="B317" i="62"/>
  <c r="D317" i="62"/>
  <c r="E317" i="62"/>
  <c r="F317" i="62"/>
  <c r="G317" i="62"/>
  <c r="H317" i="62"/>
  <c r="J317" i="62"/>
  <c r="K317" i="62"/>
  <c r="M317" i="62"/>
  <c r="O317" i="62"/>
  <c r="P317" i="62"/>
  <c r="R317" i="62"/>
  <c r="S317" i="62"/>
  <c r="T317" i="62"/>
  <c r="U317" i="62"/>
  <c r="V317" i="62"/>
  <c r="W317" i="62"/>
  <c r="X317" i="62"/>
  <c r="Z317" i="62"/>
  <c r="AA317" i="62"/>
  <c r="AB317" i="62"/>
  <c r="AC317" i="62"/>
  <c r="AD317" i="62"/>
  <c r="AE317" i="62"/>
  <c r="AF317" i="62"/>
  <c r="AG317" i="62"/>
  <c r="AH317" i="62"/>
  <c r="AI317" i="62"/>
  <c r="AJ317" i="62"/>
  <c r="AK317" i="62"/>
  <c r="AL317" i="62"/>
  <c r="AM317" i="62"/>
  <c r="AN317" i="62"/>
  <c r="AO317" i="62"/>
  <c r="AP317" i="62"/>
  <c r="AQ317" i="62"/>
  <c r="AR317" i="62"/>
  <c r="AS317" i="62"/>
  <c r="AT317" i="62"/>
  <c r="AU317" i="62"/>
  <c r="AW317" i="62"/>
  <c r="AX317" i="62"/>
  <c r="AY317" i="62"/>
  <c r="BA317" i="62"/>
  <c r="A318" i="62"/>
  <c r="B318" i="62"/>
  <c r="D318" i="62"/>
  <c r="E318" i="62"/>
  <c r="F318" i="62"/>
  <c r="G318" i="62"/>
  <c r="H318" i="62"/>
  <c r="J318" i="62"/>
  <c r="K318" i="62"/>
  <c r="M318" i="62"/>
  <c r="O318" i="62"/>
  <c r="P318" i="62"/>
  <c r="R318" i="62"/>
  <c r="S318" i="62"/>
  <c r="T318" i="62"/>
  <c r="U318" i="62"/>
  <c r="V318" i="62"/>
  <c r="W318" i="62"/>
  <c r="X318" i="62"/>
  <c r="Z318" i="62"/>
  <c r="AA318" i="62"/>
  <c r="AB318" i="62"/>
  <c r="AC318" i="62"/>
  <c r="AD318" i="62"/>
  <c r="AE318" i="62"/>
  <c r="AF318" i="62"/>
  <c r="AG318" i="62"/>
  <c r="AH318" i="62"/>
  <c r="AI318" i="62"/>
  <c r="AJ318" i="62"/>
  <c r="AK318" i="62"/>
  <c r="AL318" i="62"/>
  <c r="AM318" i="62"/>
  <c r="AN318" i="62"/>
  <c r="AO318" i="62"/>
  <c r="AP318" i="62"/>
  <c r="AQ318" i="62"/>
  <c r="AR318" i="62"/>
  <c r="AS318" i="62"/>
  <c r="AT318" i="62"/>
  <c r="AU318" i="62"/>
  <c r="AW318" i="62"/>
  <c r="AX318" i="62"/>
  <c r="AY318" i="62"/>
  <c r="BA318" i="62"/>
  <c r="A319" i="62"/>
  <c r="B319" i="62"/>
  <c r="D319" i="62"/>
  <c r="E319" i="62"/>
  <c r="F319" i="62"/>
  <c r="G319" i="62"/>
  <c r="H319" i="62"/>
  <c r="J319" i="62"/>
  <c r="K319" i="62"/>
  <c r="M319" i="62"/>
  <c r="O319" i="62"/>
  <c r="P319" i="62"/>
  <c r="R319" i="62"/>
  <c r="S319" i="62"/>
  <c r="T319" i="62"/>
  <c r="U319" i="62"/>
  <c r="V319" i="62"/>
  <c r="W319" i="62"/>
  <c r="X319" i="62"/>
  <c r="Z319" i="62"/>
  <c r="AA319" i="62"/>
  <c r="AB319" i="62"/>
  <c r="AC319" i="62"/>
  <c r="AD319" i="62"/>
  <c r="AE319" i="62"/>
  <c r="AF319" i="62"/>
  <c r="AG319" i="62"/>
  <c r="AH319" i="62"/>
  <c r="AI319" i="62"/>
  <c r="AJ319" i="62"/>
  <c r="AK319" i="62"/>
  <c r="AL319" i="62"/>
  <c r="AM319" i="62"/>
  <c r="AN319" i="62"/>
  <c r="AO319" i="62"/>
  <c r="AP319" i="62"/>
  <c r="AQ319" i="62"/>
  <c r="AR319" i="62"/>
  <c r="AS319" i="62"/>
  <c r="AT319" i="62"/>
  <c r="AU319" i="62"/>
  <c r="AW319" i="62"/>
  <c r="AX319" i="62"/>
  <c r="AY319" i="62"/>
  <c r="BA319" i="62"/>
  <c r="A320" i="62"/>
  <c r="B320" i="62"/>
  <c r="D320" i="62"/>
  <c r="E320" i="62"/>
  <c r="F320" i="62"/>
  <c r="G320" i="62"/>
  <c r="H320" i="62"/>
  <c r="J320" i="62"/>
  <c r="K320" i="62"/>
  <c r="M320" i="62"/>
  <c r="O320" i="62"/>
  <c r="P320" i="62"/>
  <c r="R320" i="62"/>
  <c r="S320" i="62"/>
  <c r="T320" i="62"/>
  <c r="U320" i="62"/>
  <c r="V320" i="62"/>
  <c r="W320" i="62"/>
  <c r="X320" i="62"/>
  <c r="Z320" i="62"/>
  <c r="AA320" i="62"/>
  <c r="AB320" i="62"/>
  <c r="AC320" i="62"/>
  <c r="AD320" i="62"/>
  <c r="AE320" i="62"/>
  <c r="AF320" i="62"/>
  <c r="AG320" i="62"/>
  <c r="AH320" i="62"/>
  <c r="AI320" i="62"/>
  <c r="AJ320" i="62"/>
  <c r="AK320" i="62"/>
  <c r="AL320" i="62"/>
  <c r="AM320" i="62"/>
  <c r="AN320" i="62"/>
  <c r="AO320" i="62"/>
  <c r="AP320" i="62"/>
  <c r="AQ320" i="62"/>
  <c r="AR320" i="62"/>
  <c r="AS320" i="62"/>
  <c r="AT320" i="62"/>
  <c r="AU320" i="62"/>
  <c r="AW320" i="62"/>
  <c r="AX320" i="62"/>
  <c r="AY320" i="62"/>
  <c r="BA320" i="62"/>
  <c r="A321" i="62"/>
  <c r="B321" i="62"/>
  <c r="D321" i="62"/>
  <c r="E321" i="62"/>
  <c r="F321" i="62"/>
  <c r="G321" i="62"/>
  <c r="H321" i="62"/>
  <c r="J321" i="62"/>
  <c r="K321" i="62"/>
  <c r="M321" i="62"/>
  <c r="O321" i="62"/>
  <c r="P321" i="62"/>
  <c r="R321" i="62"/>
  <c r="S321" i="62"/>
  <c r="T321" i="62"/>
  <c r="U321" i="62"/>
  <c r="V321" i="62"/>
  <c r="W321" i="62"/>
  <c r="X321" i="62"/>
  <c r="Z321" i="62"/>
  <c r="AA321" i="62"/>
  <c r="AB321" i="62"/>
  <c r="AC321" i="62"/>
  <c r="AD321" i="62"/>
  <c r="AE321" i="62"/>
  <c r="AF321" i="62"/>
  <c r="AG321" i="62"/>
  <c r="AH321" i="62"/>
  <c r="AI321" i="62"/>
  <c r="AJ321" i="62"/>
  <c r="AK321" i="62"/>
  <c r="AL321" i="62"/>
  <c r="AM321" i="62"/>
  <c r="AN321" i="62"/>
  <c r="AO321" i="62"/>
  <c r="AP321" i="62"/>
  <c r="AQ321" i="62"/>
  <c r="AR321" i="62"/>
  <c r="AS321" i="62"/>
  <c r="AT321" i="62"/>
  <c r="AU321" i="62"/>
  <c r="AW321" i="62"/>
  <c r="AX321" i="62"/>
  <c r="AY321" i="62"/>
  <c r="BA321" i="62"/>
  <c r="A322" i="62"/>
  <c r="B322" i="62"/>
  <c r="D322" i="62"/>
  <c r="E322" i="62"/>
  <c r="F322" i="62"/>
  <c r="G322" i="62"/>
  <c r="H322" i="62"/>
  <c r="J322" i="62"/>
  <c r="K322" i="62"/>
  <c r="M322" i="62"/>
  <c r="O322" i="62"/>
  <c r="P322" i="62"/>
  <c r="R322" i="62"/>
  <c r="S322" i="62"/>
  <c r="T322" i="62"/>
  <c r="U322" i="62"/>
  <c r="V322" i="62"/>
  <c r="W322" i="62"/>
  <c r="X322" i="62"/>
  <c r="Z322" i="62"/>
  <c r="AA322" i="62"/>
  <c r="AB322" i="62"/>
  <c r="AC322" i="62"/>
  <c r="AD322" i="62"/>
  <c r="AE322" i="62"/>
  <c r="AF322" i="62"/>
  <c r="AG322" i="62"/>
  <c r="AH322" i="62"/>
  <c r="AI322" i="62"/>
  <c r="AJ322" i="62"/>
  <c r="AK322" i="62"/>
  <c r="AL322" i="62"/>
  <c r="AM322" i="62"/>
  <c r="AN322" i="62"/>
  <c r="AO322" i="62"/>
  <c r="AP322" i="62"/>
  <c r="AQ322" i="62"/>
  <c r="AR322" i="62"/>
  <c r="AS322" i="62"/>
  <c r="AT322" i="62"/>
  <c r="AU322" i="62"/>
  <c r="AW322" i="62"/>
  <c r="AX322" i="62"/>
  <c r="AY322" i="62"/>
  <c r="BA322" i="62"/>
  <c r="A323" i="62"/>
  <c r="B323" i="62"/>
  <c r="D323" i="62"/>
  <c r="E323" i="62"/>
  <c r="F323" i="62"/>
  <c r="G323" i="62"/>
  <c r="H323" i="62"/>
  <c r="J323" i="62"/>
  <c r="K323" i="62"/>
  <c r="M323" i="62"/>
  <c r="O323" i="62"/>
  <c r="P323" i="62"/>
  <c r="R323" i="62"/>
  <c r="S323" i="62"/>
  <c r="T323" i="62"/>
  <c r="U323" i="62"/>
  <c r="V323" i="62"/>
  <c r="W323" i="62"/>
  <c r="X323" i="62"/>
  <c r="Z323" i="62"/>
  <c r="AA323" i="62"/>
  <c r="AB323" i="62"/>
  <c r="AC323" i="62"/>
  <c r="AD323" i="62"/>
  <c r="AE323" i="62"/>
  <c r="AF323" i="62"/>
  <c r="AG323" i="62"/>
  <c r="AH323" i="62"/>
  <c r="AI323" i="62"/>
  <c r="AJ323" i="62"/>
  <c r="AK323" i="62"/>
  <c r="AL323" i="62"/>
  <c r="AM323" i="62"/>
  <c r="AN323" i="62"/>
  <c r="AO323" i="62"/>
  <c r="AP323" i="62"/>
  <c r="AQ323" i="62"/>
  <c r="AR323" i="62"/>
  <c r="AS323" i="62"/>
  <c r="AT323" i="62"/>
  <c r="AU323" i="62"/>
  <c r="AW323" i="62"/>
  <c r="AX323" i="62"/>
  <c r="AY323" i="62"/>
  <c r="BA323" i="62"/>
  <c r="A324" i="62"/>
  <c r="B324" i="62"/>
  <c r="D324" i="62"/>
  <c r="E324" i="62"/>
  <c r="F324" i="62"/>
  <c r="G324" i="62"/>
  <c r="H324" i="62"/>
  <c r="J324" i="62"/>
  <c r="K324" i="62"/>
  <c r="M324" i="62"/>
  <c r="O324" i="62"/>
  <c r="P324" i="62"/>
  <c r="R324" i="62"/>
  <c r="S324" i="62"/>
  <c r="T324" i="62"/>
  <c r="U324" i="62"/>
  <c r="V324" i="62"/>
  <c r="W324" i="62"/>
  <c r="X324" i="62"/>
  <c r="Z324" i="62"/>
  <c r="AA324" i="62"/>
  <c r="AB324" i="62"/>
  <c r="AC324" i="62"/>
  <c r="AD324" i="62"/>
  <c r="AE324" i="62"/>
  <c r="AF324" i="62"/>
  <c r="AG324" i="62"/>
  <c r="AH324" i="62"/>
  <c r="AI324" i="62"/>
  <c r="AJ324" i="62"/>
  <c r="AK324" i="62"/>
  <c r="AL324" i="62"/>
  <c r="AM324" i="62"/>
  <c r="AN324" i="62"/>
  <c r="AO324" i="62"/>
  <c r="AP324" i="62"/>
  <c r="AQ324" i="62"/>
  <c r="AR324" i="62"/>
  <c r="AS324" i="62"/>
  <c r="AT324" i="62"/>
  <c r="AU324" i="62"/>
  <c r="AW324" i="62"/>
  <c r="AX324" i="62"/>
  <c r="AY324" i="62"/>
  <c r="BA324" i="62"/>
  <c r="A325" i="62"/>
  <c r="B325" i="62"/>
  <c r="D325" i="62"/>
  <c r="E325" i="62"/>
  <c r="F325" i="62"/>
  <c r="G325" i="62"/>
  <c r="H325" i="62"/>
  <c r="J325" i="62"/>
  <c r="K325" i="62"/>
  <c r="M325" i="62"/>
  <c r="O325" i="62"/>
  <c r="P325" i="62"/>
  <c r="R325" i="62"/>
  <c r="S325" i="62"/>
  <c r="T325" i="62"/>
  <c r="U325" i="62"/>
  <c r="V325" i="62"/>
  <c r="W325" i="62"/>
  <c r="X325" i="62"/>
  <c r="Z325" i="62"/>
  <c r="AA325" i="62"/>
  <c r="AB325" i="62"/>
  <c r="AC325" i="62"/>
  <c r="AD325" i="62"/>
  <c r="AE325" i="62"/>
  <c r="AF325" i="62"/>
  <c r="AG325" i="62"/>
  <c r="AH325" i="62"/>
  <c r="AI325" i="62"/>
  <c r="AJ325" i="62"/>
  <c r="AK325" i="62"/>
  <c r="AL325" i="62"/>
  <c r="AM325" i="62"/>
  <c r="AN325" i="62"/>
  <c r="AO325" i="62"/>
  <c r="AP325" i="62"/>
  <c r="AQ325" i="62"/>
  <c r="AR325" i="62"/>
  <c r="AS325" i="62"/>
  <c r="AT325" i="62"/>
  <c r="AU325" i="62"/>
  <c r="AW325" i="62"/>
  <c r="AX325" i="62"/>
  <c r="AY325" i="62"/>
  <c r="BA325" i="62"/>
  <c r="A326" i="62"/>
  <c r="B326" i="62"/>
  <c r="D326" i="62"/>
  <c r="E326" i="62"/>
  <c r="F326" i="62"/>
  <c r="G326" i="62"/>
  <c r="H326" i="62"/>
  <c r="J326" i="62"/>
  <c r="K326" i="62"/>
  <c r="M326" i="62"/>
  <c r="O326" i="62"/>
  <c r="P326" i="62"/>
  <c r="R326" i="62"/>
  <c r="S326" i="62"/>
  <c r="T326" i="62"/>
  <c r="U326" i="62"/>
  <c r="V326" i="62"/>
  <c r="W326" i="62"/>
  <c r="X326" i="62"/>
  <c r="Z326" i="62"/>
  <c r="AA326" i="62"/>
  <c r="AB326" i="62"/>
  <c r="AC326" i="62"/>
  <c r="AD326" i="62"/>
  <c r="AE326" i="62"/>
  <c r="AF326" i="62"/>
  <c r="AG326" i="62"/>
  <c r="AH326" i="62"/>
  <c r="AI326" i="62"/>
  <c r="AJ326" i="62"/>
  <c r="AK326" i="62"/>
  <c r="AL326" i="62"/>
  <c r="AM326" i="62"/>
  <c r="AN326" i="62"/>
  <c r="AO326" i="62"/>
  <c r="AP326" i="62"/>
  <c r="AQ326" i="62"/>
  <c r="AR326" i="62"/>
  <c r="AS326" i="62"/>
  <c r="AT326" i="62"/>
  <c r="AU326" i="62"/>
  <c r="AW326" i="62"/>
  <c r="AX326" i="62"/>
  <c r="AY326" i="62"/>
  <c r="BA326" i="62"/>
  <c r="A327" i="62"/>
  <c r="B327" i="62"/>
  <c r="D327" i="62"/>
  <c r="E327" i="62"/>
  <c r="F327" i="62"/>
  <c r="G327" i="62"/>
  <c r="H327" i="62"/>
  <c r="J327" i="62"/>
  <c r="K327" i="62"/>
  <c r="M327" i="62"/>
  <c r="O327" i="62"/>
  <c r="P327" i="62"/>
  <c r="R327" i="62"/>
  <c r="S327" i="62"/>
  <c r="T327" i="62"/>
  <c r="U327" i="62"/>
  <c r="V327" i="62"/>
  <c r="W327" i="62"/>
  <c r="X327" i="62"/>
  <c r="Z327" i="62"/>
  <c r="AA327" i="62"/>
  <c r="AB327" i="62"/>
  <c r="AC327" i="62"/>
  <c r="AD327" i="62"/>
  <c r="AE327" i="62"/>
  <c r="AF327" i="62"/>
  <c r="AG327" i="62"/>
  <c r="AH327" i="62"/>
  <c r="AI327" i="62"/>
  <c r="AJ327" i="62"/>
  <c r="AK327" i="62"/>
  <c r="AL327" i="62"/>
  <c r="AM327" i="62"/>
  <c r="AN327" i="62"/>
  <c r="AO327" i="62"/>
  <c r="AP327" i="62"/>
  <c r="AQ327" i="62"/>
  <c r="AR327" i="62"/>
  <c r="AS327" i="62"/>
  <c r="AT327" i="62"/>
  <c r="AU327" i="62"/>
  <c r="AW327" i="62"/>
  <c r="AX327" i="62"/>
  <c r="AY327" i="62"/>
  <c r="BA327" i="62"/>
  <c r="A328" i="62"/>
  <c r="B328" i="62"/>
  <c r="D328" i="62"/>
  <c r="E328" i="62"/>
  <c r="F328" i="62"/>
  <c r="G328" i="62"/>
  <c r="H328" i="62"/>
  <c r="J328" i="62"/>
  <c r="K328" i="62"/>
  <c r="M328" i="62"/>
  <c r="O328" i="62"/>
  <c r="P328" i="62"/>
  <c r="R328" i="62"/>
  <c r="S328" i="62"/>
  <c r="T328" i="62"/>
  <c r="U328" i="62"/>
  <c r="V328" i="62"/>
  <c r="W328" i="62"/>
  <c r="X328" i="62"/>
  <c r="Z328" i="62"/>
  <c r="AA328" i="62"/>
  <c r="AB328" i="62"/>
  <c r="AC328" i="62"/>
  <c r="AD328" i="62"/>
  <c r="AE328" i="62"/>
  <c r="AF328" i="62"/>
  <c r="AG328" i="62"/>
  <c r="AH328" i="62"/>
  <c r="AI328" i="62"/>
  <c r="AJ328" i="62"/>
  <c r="AK328" i="62"/>
  <c r="AL328" i="62"/>
  <c r="AM328" i="62"/>
  <c r="AN328" i="62"/>
  <c r="AO328" i="62"/>
  <c r="AP328" i="62"/>
  <c r="AQ328" i="62"/>
  <c r="AR328" i="62"/>
  <c r="AS328" i="62"/>
  <c r="AT328" i="62"/>
  <c r="AU328" i="62"/>
  <c r="AW328" i="62"/>
  <c r="AX328" i="62"/>
  <c r="AY328" i="62"/>
  <c r="BA328" i="62"/>
  <c r="A329" i="62"/>
  <c r="B329" i="62"/>
  <c r="D329" i="62"/>
  <c r="E329" i="62"/>
  <c r="F329" i="62"/>
  <c r="G329" i="62"/>
  <c r="H329" i="62"/>
  <c r="J329" i="62"/>
  <c r="K329" i="62"/>
  <c r="M329" i="62"/>
  <c r="O329" i="62"/>
  <c r="P329" i="62"/>
  <c r="R329" i="62"/>
  <c r="S329" i="62"/>
  <c r="T329" i="62"/>
  <c r="U329" i="62"/>
  <c r="V329" i="62"/>
  <c r="W329" i="62"/>
  <c r="X329" i="62"/>
  <c r="Z329" i="62"/>
  <c r="AA329" i="62"/>
  <c r="AB329" i="62"/>
  <c r="AC329" i="62"/>
  <c r="AD329" i="62"/>
  <c r="AE329" i="62"/>
  <c r="AF329" i="62"/>
  <c r="AG329" i="62"/>
  <c r="AH329" i="62"/>
  <c r="AI329" i="62"/>
  <c r="AJ329" i="62"/>
  <c r="AK329" i="62"/>
  <c r="AL329" i="62"/>
  <c r="AM329" i="62"/>
  <c r="AN329" i="62"/>
  <c r="AO329" i="62"/>
  <c r="AP329" i="62"/>
  <c r="AQ329" i="62"/>
  <c r="AR329" i="62"/>
  <c r="AS329" i="62"/>
  <c r="AT329" i="62"/>
  <c r="AU329" i="62"/>
  <c r="AW329" i="62"/>
  <c r="AX329" i="62"/>
  <c r="AY329" i="62"/>
  <c r="BA329" i="62"/>
  <c r="A330" i="62"/>
  <c r="B330" i="62"/>
  <c r="D330" i="62"/>
  <c r="E330" i="62"/>
  <c r="F330" i="62"/>
  <c r="G330" i="62"/>
  <c r="H330" i="62"/>
  <c r="J330" i="62"/>
  <c r="K330" i="62"/>
  <c r="M330" i="62"/>
  <c r="O330" i="62"/>
  <c r="P330" i="62"/>
  <c r="R330" i="62"/>
  <c r="S330" i="62"/>
  <c r="T330" i="62"/>
  <c r="U330" i="62"/>
  <c r="V330" i="62"/>
  <c r="W330" i="62"/>
  <c r="X330" i="62"/>
  <c r="Z330" i="62"/>
  <c r="AA330" i="62"/>
  <c r="AB330" i="62"/>
  <c r="AC330" i="62"/>
  <c r="AD330" i="62"/>
  <c r="AE330" i="62"/>
  <c r="AF330" i="62"/>
  <c r="AG330" i="62"/>
  <c r="AH330" i="62"/>
  <c r="AI330" i="62"/>
  <c r="AJ330" i="62"/>
  <c r="AK330" i="62"/>
  <c r="AL330" i="62"/>
  <c r="AM330" i="62"/>
  <c r="AN330" i="62"/>
  <c r="AO330" i="62"/>
  <c r="AP330" i="62"/>
  <c r="AQ330" i="62"/>
  <c r="AR330" i="62"/>
  <c r="AS330" i="62"/>
  <c r="AT330" i="62"/>
  <c r="AU330" i="62"/>
  <c r="AW330" i="62"/>
  <c r="AX330" i="62"/>
  <c r="AY330" i="62"/>
  <c r="BA330" i="62"/>
  <c r="A331" i="62"/>
  <c r="B331" i="62"/>
  <c r="D331" i="62"/>
  <c r="E331" i="62"/>
  <c r="F331" i="62"/>
  <c r="G331" i="62"/>
  <c r="H331" i="62"/>
  <c r="J331" i="62"/>
  <c r="K331" i="62"/>
  <c r="M331" i="62"/>
  <c r="O331" i="62"/>
  <c r="P331" i="62"/>
  <c r="R331" i="62"/>
  <c r="S331" i="62"/>
  <c r="T331" i="62"/>
  <c r="U331" i="62"/>
  <c r="V331" i="62"/>
  <c r="W331" i="62"/>
  <c r="X331" i="62"/>
  <c r="Z331" i="62"/>
  <c r="AA331" i="62"/>
  <c r="AB331" i="62"/>
  <c r="AC331" i="62"/>
  <c r="AD331" i="62"/>
  <c r="AE331" i="62"/>
  <c r="AF331" i="62"/>
  <c r="AG331" i="62"/>
  <c r="AH331" i="62"/>
  <c r="AI331" i="62"/>
  <c r="AJ331" i="62"/>
  <c r="AK331" i="62"/>
  <c r="AL331" i="62"/>
  <c r="AM331" i="62"/>
  <c r="AN331" i="62"/>
  <c r="AO331" i="62"/>
  <c r="AP331" i="62"/>
  <c r="AQ331" i="62"/>
  <c r="AR331" i="62"/>
  <c r="AS331" i="62"/>
  <c r="AT331" i="62"/>
  <c r="AU331" i="62"/>
  <c r="AW331" i="62"/>
  <c r="AX331" i="62"/>
  <c r="AY331" i="62"/>
  <c r="BA331" i="62"/>
  <c r="A332" i="62"/>
  <c r="B332" i="62"/>
  <c r="D332" i="62"/>
  <c r="E332" i="62"/>
  <c r="F332" i="62"/>
  <c r="G332" i="62"/>
  <c r="H332" i="62"/>
  <c r="J332" i="62"/>
  <c r="K332" i="62"/>
  <c r="M332" i="62"/>
  <c r="O332" i="62"/>
  <c r="P332" i="62"/>
  <c r="R332" i="62"/>
  <c r="S332" i="62"/>
  <c r="T332" i="62"/>
  <c r="U332" i="62"/>
  <c r="V332" i="62"/>
  <c r="W332" i="62"/>
  <c r="X332" i="62"/>
  <c r="Z332" i="62"/>
  <c r="AA332" i="62"/>
  <c r="AB332" i="62"/>
  <c r="AC332" i="62"/>
  <c r="AD332" i="62"/>
  <c r="AE332" i="62"/>
  <c r="AF332" i="62"/>
  <c r="AG332" i="62"/>
  <c r="AH332" i="62"/>
  <c r="AI332" i="62"/>
  <c r="AJ332" i="62"/>
  <c r="AK332" i="62"/>
  <c r="AL332" i="62"/>
  <c r="AM332" i="62"/>
  <c r="AN332" i="62"/>
  <c r="AO332" i="62"/>
  <c r="AP332" i="62"/>
  <c r="AQ332" i="62"/>
  <c r="AR332" i="62"/>
  <c r="AS332" i="62"/>
  <c r="AT332" i="62"/>
  <c r="AU332" i="62"/>
  <c r="AW332" i="62"/>
  <c r="AX332" i="62"/>
  <c r="AY332" i="62"/>
  <c r="BA332" i="62"/>
  <c r="A333" i="62"/>
  <c r="B333" i="62"/>
  <c r="D333" i="62"/>
  <c r="E333" i="62"/>
  <c r="F333" i="62"/>
  <c r="G333" i="62"/>
  <c r="H333" i="62"/>
  <c r="J333" i="62"/>
  <c r="K333" i="62"/>
  <c r="M333" i="62"/>
  <c r="O333" i="62"/>
  <c r="P333" i="62"/>
  <c r="R333" i="62"/>
  <c r="S333" i="62"/>
  <c r="T333" i="62"/>
  <c r="U333" i="62"/>
  <c r="V333" i="62"/>
  <c r="W333" i="62"/>
  <c r="X333" i="62"/>
  <c r="Z333" i="62"/>
  <c r="AA333" i="62"/>
  <c r="AB333" i="62"/>
  <c r="AC333" i="62"/>
  <c r="AD333" i="62"/>
  <c r="AE333" i="62"/>
  <c r="AF333" i="62"/>
  <c r="AG333" i="62"/>
  <c r="AH333" i="62"/>
  <c r="AI333" i="62"/>
  <c r="AJ333" i="62"/>
  <c r="AK333" i="62"/>
  <c r="AL333" i="62"/>
  <c r="AM333" i="62"/>
  <c r="AN333" i="62"/>
  <c r="AO333" i="62"/>
  <c r="AP333" i="62"/>
  <c r="AQ333" i="62"/>
  <c r="AR333" i="62"/>
  <c r="AS333" i="62"/>
  <c r="AT333" i="62"/>
  <c r="AU333" i="62"/>
  <c r="AW333" i="62"/>
  <c r="AX333" i="62"/>
  <c r="AY333" i="62"/>
  <c r="BA333" i="62"/>
  <c r="A334" i="62"/>
  <c r="B334" i="62"/>
  <c r="D334" i="62"/>
  <c r="E334" i="62"/>
  <c r="F334" i="62"/>
  <c r="G334" i="62"/>
  <c r="H334" i="62"/>
  <c r="J334" i="62"/>
  <c r="K334" i="62"/>
  <c r="M334" i="62"/>
  <c r="O334" i="62"/>
  <c r="P334" i="62"/>
  <c r="R334" i="62"/>
  <c r="S334" i="62"/>
  <c r="T334" i="62"/>
  <c r="U334" i="62"/>
  <c r="V334" i="62"/>
  <c r="W334" i="62"/>
  <c r="X334" i="62"/>
  <c r="Z334" i="62"/>
  <c r="AA334" i="62"/>
  <c r="AB334" i="62"/>
  <c r="AC334" i="62"/>
  <c r="AD334" i="62"/>
  <c r="AE334" i="62"/>
  <c r="AF334" i="62"/>
  <c r="AG334" i="62"/>
  <c r="AH334" i="62"/>
  <c r="AI334" i="62"/>
  <c r="AJ334" i="62"/>
  <c r="AK334" i="62"/>
  <c r="AL334" i="62"/>
  <c r="AM334" i="62"/>
  <c r="AN334" i="62"/>
  <c r="AO334" i="62"/>
  <c r="AP334" i="62"/>
  <c r="AQ334" i="62"/>
  <c r="AR334" i="62"/>
  <c r="AS334" i="62"/>
  <c r="AT334" i="62"/>
  <c r="AU334" i="62"/>
  <c r="AW334" i="62"/>
  <c r="AX334" i="62"/>
  <c r="AY334" i="62"/>
  <c r="BA334" i="62"/>
  <c r="A335" i="62"/>
  <c r="B335" i="62"/>
  <c r="D335" i="62"/>
  <c r="E335" i="62"/>
  <c r="F335" i="62"/>
  <c r="G335" i="62"/>
  <c r="H335" i="62"/>
  <c r="J335" i="62"/>
  <c r="K335" i="62"/>
  <c r="M335" i="62"/>
  <c r="O335" i="62"/>
  <c r="P335" i="62"/>
  <c r="R335" i="62"/>
  <c r="S335" i="62"/>
  <c r="T335" i="62"/>
  <c r="U335" i="62"/>
  <c r="V335" i="62"/>
  <c r="W335" i="62"/>
  <c r="X335" i="62"/>
  <c r="Z335" i="62"/>
  <c r="AA335" i="62"/>
  <c r="AB335" i="62"/>
  <c r="AC335" i="62"/>
  <c r="AD335" i="62"/>
  <c r="AE335" i="62"/>
  <c r="AF335" i="62"/>
  <c r="AG335" i="62"/>
  <c r="AH335" i="62"/>
  <c r="AI335" i="62"/>
  <c r="AJ335" i="62"/>
  <c r="AK335" i="62"/>
  <c r="AL335" i="62"/>
  <c r="AM335" i="62"/>
  <c r="AN335" i="62"/>
  <c r="AO335" i="62"/>
  <c r="AP335" i="62"/>
  <c r="AQ335" i="62"/>
  <c r="AR335" i="62"/>
  <c r="AS335" i="62"/>
  <c r="AT335" i="62"/>
  <c r="AU335" i="62"/>
  <c r="AW335" i="62"/>
  <c r="AX335" i="62"/>
  <c r="AY335" i="62"/>
  <c r="BA335" i="62"/>
  <c r="A336" i="62"/>
  <c r="B336" i="62"/>
  <c r="D336" i="62"/>
  <c r="E336" i="62"/>
  <c r="F336" i="62"/>
  <c r="G336" i="62"/>
  <c r="H336" i="62"/>
  <c r="J336" i="62"/>
  <c r="K336" i="62"/>
  <c r="M336" i="62"/>
  <c r="O336" i="62"/>
  <c r="P336" i="62"/>
  <c r="R336" i="62"/>
  <c r="S336" i="62"/>
  <c r="T336" i="62"/>
  <c r="U336" i="62"/>
  <c r="V336" i="62"/>
  <c r="W336" i="62"/>
  <c r="X336" i="62"/>
  <c r="Z336" i="62"/>
  <c r="AA336" i="62"/>
  <c r="AB336" i="62"/>
  <c r="AC336" i="62"/>
  <c r="AD336" i="62"/>
  <c r="AE336" i="62"/>
  <c r="AF336" i="62"/>
  <c r="AG336" i="62"/>
  <c r="AH336" i="62"/>
  <c r="AI336" i="62"/>
  <c r="AJ336" i="62"/>
  <c r="AK336" i="62"/>
  <c r="AL336" i="62"/>
  <c r="AM336" i="62"/>
  <c r="AN336" i="62"/>
  <c r="AO336" i="62"/>
  <c r="AP336" i="62"/>
  <c r="AQ336" i="62"/>
  <c r="AR336" i="62"/>
  <c r="AS336" i="62"/>
  <c r="AT336" i="62"/>
  <c r="AU336" i="62"/>
  <c r="AW336" i="62"/>
  <c r="AX336" i="62"/>
  <c r="AY336" i="62"/>
  <c r="BA336" i="62"/>
  <c r="A337" i="62"/>
  <c r="B337" i="62"/>
  <c r="D337" i="62"/>
  <c r="E337" i="62"/>
  <c r="F337" i="62"/>
  <c r="G337" i="62"/>
  <c r="H337" i="62"/>
  <c r="J337" i="62"/>
  <c r="K337" i="62"/>
  <c r="M337" i="62"/>
  <c r="O337" i="62"/>
  <c r="P337" i="62"/>
  <c r="R337" i="62"/>
  <c r="S337" i="62"/>
  <c r="T337" i="62"/>
  <c r="U337" i="62"/>
  <c r="V337" i="62"/>
  <c r="W337" i="62"/>
  <c r="X337" i="62"/>
  <c r="Z337" i="62"/>
  <c r="AA337" i="62"/>
  <c r="AB337" i="62"/>
  <c r="AC337" i="62"/>
  <c r="AD337" i="62"/>
  <c r="AE337" i="62"/>
  <c r="AF337" i="62"/>
  <c r="AG337" i="62"/>
  <c r="AH337" i="62"/>
  <c r="AI337" i="62"/>
  <c r="AJ337" i="62"/>
  <c r="AK337" i="62"/>
  <c r="AL337" i="62"/>
  <c r="AM337" i="62"/>
  <c r="AN337" i="62"/>
  <c r="AO337" i="62"/>
  <c r="AP337" i="62"/>
  <c r="AQ337" i="62"/>
  <c r="AR337" i="62"/>
  <c r="AS337" i="62"/>
  <c r="AT337" i="62"/>
  <c r="AU337" i="62"/>
  <c r="AW337" i="62"/>
  <c r="AX337" i="62"/>
  <c r="AY337" i="62"/>
  <c r="BA337" i="62"/>
  <c r="A338" i="62"/>
  <c r="B338" i="62"/>
  <c r="D338" i="62"/>
  <c r="E338" i="62"/>
  <c r="F338" i="62"/>
  <c r="G338" i="62"/>
  <c r="H338" i="62"/>
  <c r="J338" i="62"/>
  <c r="K338" i="62"/>
  <c r="M338" i="62"/>
  <c r="O338" i="62"/>
  <c r="P338" i="62"/>
  <c r="R338" i="62"/>
  <c r="S338" i="62"/>
  <c r="T338" i="62"/>
  <c r="U338" i="62"/>
  <c r="V338" i="62"/>
  <c r="W338" i="62"/>
  <c r="X338" i="62"/>
  <c r="Z338" i="62"/>
  <c r="AA338" i="62"/>
  <c r="AB338" i="62"/>
  <c r="AC338" i="62"/>
  <c r="AD338" i="62"/>
  <c r="AE338" i="62"/>
  <c r="AF338" i="62"/>
  <c r="AG338" i="62"/>
  <c r="AH338" i="62"/>
  <c r="AI338" i="62"/>
  <c r="AJ338" i="62"/>
  <c r="AK338" i="62"/>
  <c r="AL338" i="62"/>
  <c r="AM338" i="62"/>
  <c r="AN338" i="62"/>
  <c r="AO338" i="62"/>
  <c r="AP338" i="62"/>
  <c r="AQ338" i="62"/>
  <c r="AR338" i="62"/>
  <c r="AS338" i="62"/>
  <c r="AT338" i="62"/>
  <c r="AU338" i="62"/>
  <c r="AW338" i="62"/>
  <c r="AX338" i="62"/>
  <c r="AY338" i="62"/>
  <c r="BA338" i="62"/>
  <c r="A339" i="62"/>
  <c r="B339" i="62"/>
  <c r="D339" i="62"/>
  <c r="E339" i="62"/>
  <c r="F339" i="62"/>
  <c r="G339" i="62"/>
  <c r="H339" i="62"/>
  <c r="J339" i="62"/>
  <c r="K339" i="62"/>
  <c r="M339" i="62"/>
  <c r="O339" i="62"/>
  <c r="P339" i="62"/>
  <c r="R339" i="62"/>
  <c r="S339" i="62"/>
  <c r="T339" i="62"/>
  <c r="U339" i="62"/>
  <c r="V339" i="62"/>
  <c r="W339" i="62"/>
  <c r="X339" i="62"/>
  <c r="Z339" i="62"/>
  <c r="AA339" i="62"/>
  <c r="AB339" i="62"/>
  <c r="AC339" i="62"/>
  <c r="AD339" i="62"/>
  <c r="AE339" i="62"/>
  <c r="AF339" i="62"/>
  <c r="AG339" i="62"/>
  <c r="AH339" i="62"/>
  <c r="AI339" i="62"/>
  <c r="AJ339" i="62"/>
  <c r="AK339" i="62"/>
  <c r="AL339" i="62"/>
  <c r="AM339" i="62"/>
  <c r="AN339" i="62"/>
  <c r="AO339" i="62"/>
  <c r="AP339" i="62"/>
  <c r="AQ339" i="62"/>
  <c r="AR339" i="62"/>
  <c r="AS339" i="62"/>
  <c r="AT339" i="62"/>
  <c r="AU339" i="62"/>
  <c r="AW339" i="62"/>
  <c r="AX339" i="62"/>
  <c r="AY339" i="62"/>
  <c r="BA339" i="62"/>
  <c r="A340" i="62"/>
  <c r="B340" i="62"/>
  <c r="D340" i="62"/>
  <c r="E340" i="62"/>
  <c r="F340" i="62"/>
  <c r="G340" i="62"/>
  <c r="H340" i="62"/>
  <c r="J340" i="62"/>
  <c r="K340" i="62"/>
  <c r="M340" i="62"/>
  <c r="O340" i="62"/>
  <c r="P340" i="62"/>
  <c r="R340" i="62"/>
  <c r="S340" i="62"/>
  <c r="T340" i="62"/>
  <c r="U340" i="62"/>
  <c r="V340" i="62"/>
  <c r="W340" i="62"/>
  <c r="X340" i="62"/>
  <c r="Z340" i="62"/>
  <c r="AA340" i="62"/>
  <c r="AB340" i="62"/>
  <c r="AC340" i="62"/>
  <c r="AD340" i="62"/>
  <c r="AE340" i="62"/>
  <c r="AF340" i="62"/>
  <c r="AG340" i="62"/>
  <c r="AH340" i="62"/>
  <c r="AI340" i="62"/>
  <c r="AJ340" i="62"/>
  <c r="AK340" i="62"/>
  <c r="AL340" i="62"/>
  <c r="AM340" i="62"/>
  <c r="AN340" i="62"/>
  <c r="AO340" i="62"/>
  <c r="AP340" i="62"/>
  <c r="AQ340" i="62"/>
  <c r="AR340" i="62"/>
  <c r="AS340" i="62"/>
  <c r="AT340" i="62"/>
  <c r="AU340" i="62"/>
  <c r="AW340" i="62"/>
  <c r="AX340" i="62"/>
  <c r="AY340" i="62"/>
  <c r="BA340" i="62"/>
  <c r="A341" i="62"/>
  <c r="B341" i="62"/>
  <c r="D341" i="62"/>
  <c r="E341" i="62"/>
  <c r="F341" i="62"/>
  <c r="G341" i="62"/>
  <c r="H341" i="62"/>
  <c r="J341" i="62"/>
  <c r="K341" i="62"/>
  <c r="M341" i="62"/>
  <c r="O341" i="62"/>
  <c r="P341" i="62"/>
  <c r="R341" i="62"/>
  <c r="S341" i="62"/>
  <c r="T341" i="62"/>
  <c r="U341" i="62"/>
  <c r="V341" i="62"/>
  <c r="W341" i="62"/>
  <c r="X341" i="62"/>
  <c r="Z341" i="62"/>
  <c r="AA341" i="62"/>
  <c r="AB341" i="62"/>
  <c r="AC341" i="62"/>
  <c r="AD341" i="62"/>
  <c r="AE341" i="62"/>
  <c r="AF341" i="62"/>
  <c r="AG341" i="62"/>
  <c r="AH341" i="62"/>
  <c r="AI341" i="62"/>
  <c r="AJ341" i="62"/>
  <c r="AK341" i="62"/>
  <c r="AL341" i="62"/>
  <c r="AM341" i="62"/>
  <c r="AN341" i="62"/>
  <c r="AO341" i="62"/>
  <c r="AP341" i="62"/>
  <c r="AQ341" i="62"/>
  <c r="AR341" i="62"/>
  <c r="AS341" i="62"/>
  <c r="AT341" i="62"/>
  <c r="AU341" i="62"/>
  <c r="AW341" i="62"/>
  <c r="AX341" i="62"/>
  <c r="AY341" i="62"/>
  <c r="BA341" i="62"/>
  <c r="A342" i="62"/>
  <c r="B342" i="62"/>
  <c r="D342" i="62"/>
  <c r="E342" i="62"/>
  <c r="F342" i="62"/>
  <c r="G342" i="62"/>
  <c r="H342" i="62"/>
  <c r="J342" i="62"/>
  <c r="K342" i="62"/>
  <c r="M342" i="62"/>
  <c r="O342" i="62"/>
  <c r="P342" i="62"/>
  <c r="R342" i="62"/>
  <c r="S342" i="62"/>
  <c r="T342" i="62"/>
  <c r="U342" i="62"/>
  <c r="V342" i="62"/>
  <c r="W342" i="62"/>
  <c r="X342" i="62"/>
  <c r="Z342" i="62"/>
  <c r="AA342" i="62"/>
  <c r="AB342" i="62"/>
  <c r="AC342" i="62"/>
  <c r="AD342" i="62"/>
  <c r="AE342" i="62"/>
  <c r="AF342" i="62"/>
  <c r="AG342" i="62"/>
  <c r="AH342" i="62"/>
  <c r="AI342" i="62"/>
  <c r="AJ342" i="62"/>
  <c r="AK342" i="62"/>
  <c r="AL342" i="62"/>
  <c r="AM342" i="62"/>
  <c r="AN342" i="62"/>
  <c r="AO342" i="62"/>
  <c r="AP342" i="62"/>
  <c r="AQ342" i="62"/>
  <c r="AR342" i="62"/>
  <c r="AS342" i="62"/>
  <c r="AT342" i="62"/>
  <c r="AU342" i="62"/>
  <c r="AW342" i="62"/>
  <c r="AX342" i="62"/>
  <c r="AY342" i="62"/>
  <c r="BA342" i="62"/>
  <c r="A343" i="62"/>
  <c r="B343" i="62"/>
  <c r="D343" i="62"/>
  <c r="E343" i="62"/>
  <c r="F343" i="62"/>
  <c r="G343" i="62"/>
  <c r="H343" i="62"/>
  <c r="J343" i="62"/>
  <c r="K343" i="62"/>
  <c r="M343" i="62"/>
  <c r="O343" i="62"/>
  <c r="P343" i="62"/>
  <c r="R343" i="62"/>
  <c r="S343" i="62"/>
  <c r="T343" i="62"/>
  <c r="U343" i="62"/>
  <c r="V343" i="62"/>
  <c r="W343" i="62"/>
  <c r="X343" i="62"/>
  <c r="Z343" i="62"/>
  <c r="AA343" i="62"/>
  <c r="AB343" i="62"/>
  <c r="AC343" i="62"/>
  <c r="AD343" i="62"/>
  <c r="AE343" i="62"/>
  <c r="AF343" i="62"/>
  <c r="AG343" i="62"/>
  <c r="AH343" i="62"/>
  <c r="AI343" i="62"/>
  <c r="AJ343" i="62"/>
  <c r="AK343" i="62"/>
  <c r="AL343" i="62"/>
  <c r="AM343" i="62"/>
  <c r="AN343" i="62"/>
  <c r="AO343" i="62"/>
  <c r="AP343" i="62"/>
  <c r="AQ343" i="62"/>
  <c r="AR343" i="62"/>
  <c r="AS343" i="62"/>
  <c r="AT343" i="62"/>
  <c r="AU343" i="62"/>
  <c r="AW343" i="62"/>
  <c r="AX343" i="62"/>
  <c r="AY343" i="62"/>
  <c r="BA343" i="62"/>
  <c r="A344" i="62"/>
  <c r="B344" i="62"/>
  <c r="D344" i="62"/>
  <c r="E344" i="62"/>
  <c r="F344" i="62"/>
  <c r="G344" i="62"/>
  <c r="H344" i="62"/>
  <c r="J344" i="62"/>
  <c r="K344" i="62"/>
  <c r="M344" i="62"/>
  <c r="O344" i="62"/>
  <c r="P344" i="62"/>
  <c r="R344" i="62"/>
  <c r="S344" i="62"/>
  <c r="T344" i="62"/>
  <c r="U344" i="62"/>
  <c r="V344" i="62"/>
  <c r="W344" i="62"/>
  <c r="X344" i="62"/>
  <c r="Z344" i="62"/>
  <c r="AA344" i="62"/>
  <c r="AB344" i="62"/>
  <c r="AC344" i="62"/>
  <c r="AD344" i="62"/>
  <c r="AE344" i="62"/>
  <c r="AF344" i="62"/>
  <c r="AG344" i="62"/>
  <c r="AH344" i="62"/>
  <c r="AI344" i="62"/>
  <c r="AJ344" i="62"/>
  <c r="AK344" i="62"/>
  <c r="AL344" i="62"/>
  <c r="AM344" i="62"/>
  <c r="AN344" i="62"/>
  <c r="AO344" i="62"/>
  <c r="AP344" i="62"/>
  <c r="AQ344" i="62"/>
  <c r="AR344" i="62"/>
  <c r="AS344" i="62"/>
  <c r="AT344" i="62"/>
  <c r="AU344" i="62"/>
  <c r="AW344" i="62"/>
  <c r="AX344" i="62"/>
  <c r="AY344" i="62"/>
  <c r="BA344" i="62"/>
  <c r="A345" i="62"/>
  <c r="B345" i="62"/>
  <c r="D345" i="62"/>
  <c r="E345" i="62"/>
  <c r="F345" i="62"/>
  <c r="G345" i="62"/>
  <c r="H345" i="62"/>
  <c r="J345" i="62"/>
  <c r="K345" i="62"/>
  <c r="M345" i="62"/>
  <c r="O345" i="62"/>
  <c r="P345" i="62"/>
  <c r="R345" i="62"/>
  <c r="S345" i="62"/>
  <c r="T345" i="62"/>
  <c r="U345" i="62"/>
  <c r="V345" i="62"/>
  <c r="W345" i="62"/>
  <c r="X345" i="62"/>
  <c r="Z345" i="62"/>
  <c r="AA345" i="62"/>
  <c r="AB345" i="62"/>
  <c r="AC345" i="62"/>
  <c r="AD345" i="62"/>
  <c r="AE345" i="62"/>
  <c r="AF345" i="62"/>
  <c r="AG345" i="62"/>
  <c r="AH345" i="62"/>
  <c r="AI345" i="62"/>
  <c r="AJ345" i="62"/>
  <c r="AK345" i="62"/>
  <c r="AL345" i="62"/>
  <c r="AM345" i="62"/>
  <c r="AN345" i="62"/>
  <c r="AO345" i="62"/>
  <c r="AP345" i="62"/>
  <c r="AQ345" i="62"/>
  <c r="AR345" i="62"/>
  <c r="AS345" i="62"/>
  <c r="AT345" i="62"/>
  <c r="AU345" i="62"/>
  <c r="AW345" i="62"/>
  <c r="AX345" i="62"/>
  <c r="AY345" i="62"/>
  <c r="BA345" i="62"/>
  <c r="A346" i="62"/>
  <c r="B346" i="62"/>
  <c r="D346" i="62"/>
  <c r="E346" i="62"/>
  <c r="F346" i="62"/>
  <c r="G346" i="62"/>
  <c r="H346" i="62"/>
  <c r="J346" i="62"/>
  <c r="K346" i="62"/>
  <c r="M346" i="62"/>
  <c r="O346" i="62"/>
  <c r="P346" i="62"/>
  <c r="R346" i="62"/>
  <c r="S346" i="62"/>
  <c r="T346" i="62"/>
  <c r="U346" i="62"/>
  <c r="V346" i="62"/>
  <c r="W346" i="62"/>
  <c r="X346" i="62"/>
  <c r="Z346" i="62"/>
  <c r="AA346" i="62"/>
  <c r="AB346" i="62"/>
  <c r="AC346" i="62"/>
  <c r="AD346" i="62"/>
  <c r="AE346" i="62"/>
  <c r="AF346" i="62"/>
  <c r="AG346" i="62"/>
  <c r="AH346" i="62"/>
  <c r="AI346" i="62"/>
  <c r="AJ346" i="62"/>
  <c r="AK346" i="62"/>
  <c r="AL346" i="62"/>
  <c r="AM346" i="62"/>
  <c r="AN346" i="62"/>
  <c r="AO346" i="62"/>
  <c r="AP346" i="62"/>
  <c r="AQ346" i="62"/>
  <c r="AR346" i="62"/>
  <c r="AS346" i="62"/>
  <c r="AT346" i="62"/>
  <c r="AU346" i="62"/>
  <c r="AW346" i="62"/>
  <c r="AX346" i="62"/>
  <c r="AY346" i="62"/>
  <c r="BA346" i="62"/>
  <c r="A347" i="62"/>
  <c r="B347" i="62"/>
  <c r="D347" i="62"/>
  <c r="E347" i="62"/>
  <c r="F347" i="62"/>
  <c r="G347" i="62"/>
  <c r="H347" i="62"/>
  <c r="J347" i="62"/>
  <c r="K347" i="62"/>
  <c r="M347" i="62"/>
  <c r="O347" i="62"/>
  <c r="P347" i="62"/>
  <c r="R347" i="62"/>
  <c r="S347" i="62"/>
  <c r="T347" i="62"/>
  <c r="U347" i="62"/>
  <c r="V347" i="62"/>
  <c r="W347" i="62"/>
  <c r="X347" i="62"/>
  <c r="Z347" i="62"/>
  <c r="AA347" i="62"/>
  <c r="AB347" i="62"/>
  <c r="AC347" i="62"/>
  <c r="AD347" i="62"/>
  <c r="AE347" i="62"/>
  <c r="AF347" i="62"/>
  <c r="AG347" i="62"/>
  <c r="AH347" i="62"/>
  <c r="AI347" i="62"/>
  <c r="AJ347" i="62"/>
  <c r="AK347" i="62"/>
  <c r="AL347" i="62"/>
  <c r="AM347" i="62"/>
  <c r="AN347" i="62"/>
  <c r="AO347" i="62"/>
  <c r="AP347" i="62"/>
  <c r="AQ347" i="62"/>
  <c r="AR347" i="62"/>
  <c r="AS347" i="62"/>
  <c r="AT347" i="62"/>
  <c r="AU347" i="62"/>
  <c r="AW347" i="62"/>
  <c r="AX347" i="62"/>
  <c r="AY347" i="62"/>
  <c r="BA347" i="62"/>
  <c r="A348" i="62"/>
  <c r="B348" i="62"/>
  <c r="D348" i="62"/>
  <c r="E348" i="62"/>
  <c r="F348" i="62"/>
  <c r="G348" i="62"/>
  <c r="H348" i="62"/>
  <c r="J348" i="62"/>
  <c r="K348" i="62"/>
  <c r="M348" i="62"/>
  <c r="O348" i="62"/>
  <c r="P348" i="62"/>
  <c r="R348" i="62"/>
  <c r="S348" i="62"/>
  <c r="T348" i="62"/>
  <c r="U348" i="62"/>
  <c r="V348" i="62"/>
  <c r="W348" i="62"/>
  <c r="X348" i="62"/>
  <c r="Z348" i="62"/>
  <c r="AA348" i="62"/>
  <c r="AB348" i="62"/>
  <c r="AC348" i="62"/>
  <c r="AD348" i="62"/>
  <c r="AE348" i="62"/>
  <c r="AF348" i="62"/>
  <c r="AG348" i="62"/>
  <c r="AH348" i="62"/>
  <c r="AI348" i="62"/>
  <c r="AJ348" i="62"/>
  <c r="AK348" i="62"/>
  <c r="AL348" i="62"/>
  <c r="AM348" i="62"/>
  <c r="AN348" i="62"/>
  <c r="AO348" i="62"/>
  <c r="AP348" i="62"/>
  <c r="AQ348" i="62"/>
  <c r="AR348" i="62"/>
  <c r="AS348" i="62"/>
  <c r="AT348" i="62"/>
  <c r="AU348" i="62"/>
  <c r="AW348" i="62"/>
  <c r="AX348" i="62"/>
  <c r="AY348" i="62"/>
  <c r="BA348" i="62"/>
  <c r="A349" i="62"/>
  <c r="B349" i="62"/>
  <c r="D349" i="62"/>
  <c r="E349" i="62"/>
  <c r="F349" i="62"/>
  <c r="G349" i="62"/>
  <c r="H349" i="62"/>
  <c r="J349" i="62"/>
  <c r="K349" i="62"/>
  <c r="M349" i="62"/>
  <c r="O349" i="62"/>
  <c r="P349" i="62"/>
  <c r="R349" i="62"/>
  <c r="S349" i="62"/>
  <c r="T349" i="62"/>
  <c r="U349" i="62"/>
  <c r="V349" i="62"/>
  <c r="W349" i="62"/>
  <c r="X349" i="62"/>
  <c r="Z349" i="62"/>
  <c r="AA349" i="62"/>
  <c r="AB349" i="62"/>
  <c r="AC349" i="62"/>
  <c r="AD349" i="62"/>
  <c r="AE349" i="62"/>
  <c r="AF349" i="62"/>
  <c r="AG349" i="62"/>
  <c r="AH349" i="62"/>
  <c r="AI349" i="62"/>
  <c r="AJ349" i="62"/>
  <c r="AK349" i="62"/>
  <c r="AL349" i="62"/>
  <c r="AM349" i="62"/>
  <c r="AN349" i="62"/>
  <c r="AO349" i="62"/>
  <c r="AP349" i="62"/>
  <c r="AQ349" i="62"/>
  <c r="AR349" i="62"/>
  <c r="AS349" i="62"/>
  <c r="AT349" i="62"/>
  <c r="AU349" i="62"/>
  <c r="AW349" i="62"/>
  <c r="AX349" i="62"/>
  <c r="AY349" i="62"/>
  <c r="BA349" i="62"/>
  <c r="A350" i="62"/>
  <c r="B350" i="62"/>
  <c r="D350" i="62"/>
  <c r="E350" i="62"/>
  <c r="F350" i="62"/>
  <c r="G350" i="62"/>
  <c r="H350" i="62"/>
  <c r="J350" i="62"/>
  <c r="K350" i="62"/>
  <c r="M350" i="62"/>
  <c r="O350" i="62"/>
  <c r="P350" i="62"/>
  <c r="R350" i="62"/>
  <c r="S350" i="62"/>
  <c r="T350" i="62"/>
  <c r="U350" i="62"/>
  <c r="V350" i="62"/>
  <c r="W350" i="62"/>
  <c r="X350" i="62"/>
  <c r="Z350" i="62"/>
  <c r="AA350" i="62"/>
  <c r="AB350" i="62"/>
  <c r="AC350" i="62"/>
  <c r="AD350" i="62"/>
  <c r="AE350" i="62"/>
  <c r="AF350" i="62"/>
  <c r="AG350" i="62"/>
  <c r="AH350" i="62"/>
  <c r="AI350" i="62"/>
  <c r="AJ350" i="62"/>
  <c r="AK350" i="62"/>
  <c r="AL350" i="62"/>
  <c r="AM350" i="62"/>
  <c r="AN350" i="62"/>
  <c r="AO350" i="62"/>
  <c r="AP350" i="62"/>
  <c r="AQ350" i="62"/>
  <c r="AR350" i="62"/>
  <c r="AS350" i="62"/>
  <c r="AT350" i="62"/>
  <c r="AU350" i="62"/>
  <c r="AW350" i="62"/>
  <c r="AX350" i="62"/>
  <c r="AY350" i="62"/>
  <c r="BA350" i="62"/>
  <c r="A351" i="62"/>
  <c r="B351" i="62"/>
  <c r="D351" i="62"/>
  <c r="E351" i="62"/>
  <c r="F351" i="62"/>
  <c r="G351" i="62"/>
  <c r="H351" i="62"/>
  <c r="J351" i="62"/>
  <c r="K351" i="62"/>
  <c r="M351" i="62"/>
  <c r="O351" i="62"/>
  <c r="P351" i="62"/>
  <c r="R351" i="62"/>
  <c r="S351" i="62"/>
  <c r="T351" i="62"/>
  <c r="U351" i="62"/>
  <c r="V351" i="62"/>
  <c r="W351" i="62"/>
  <c r="X351" i="62"/>
  <c r="Z351" i="62"/>
  <c r="AA351" i="62"/>
  <c r="AB351" i="62"/>
  <c r="AC351" i="62"/>
  <c r="AD351" i="62"/>
  <c r="AE351" i="62"/>
  <c r="AF351" i="62"/>
  <c r="AG351" i="62"/>
  <c r="AH351" i="62"/>
  <c r="AI351" i="62"/>
  <c r="AJ351" i="62"/>
  <c r="AK351" i="62"/>
  <c r="AL351" i="62"/>
  <c r="AM351" i="62"/>
  <c r="AN351" i="62"/>
  <c r="AO351" i="62"/>
  <c r="AP351" i="62"/>
  <c r="AQ351" i="62"/>
  <c r="AR351" i="62"/>
  <c r="AS351" i="62"/>
  <c r="AT351" i="62"/>
  <c r="AU351" i="62"/>
  <c r="AW351" i="62"/>
  <c r="AX351" i="62"/>
  <c r="AY351" i="62"/>
  <c r="BA351" i="62"/>
  <c r="A352" i="62"/>
  <c r="B352" i="62"/>
  <c r="D352" i="62"/>
  <c r="E352" i="62"/>
  <c r="F352" i="62"/>
  <c r="G352" i="62"/>
  <c r="H352" i="62"/>
  <c r="J352" i="62"/>
  <c r="K352" i="62"/>
  <c r="M352" i="62"/>
  <c r="O352" i="62"/>
  <c r="P352" i="62"/>
  <c r="R352" i="62"/>
  <c r="S352" i="62"/>
  <c r="T352" i="62"/>
  <c r="U352" i="62"/>
  <c r="V352" i="62"/>
  <c r="W352" i="62"/>
  <c r="X352" i="62"/>
  <c r="Z352" i="62"/>
  <c r="AA352" i="62"/>
  <c r="AB352" i="62"/>
  <c r="AC352" i="62"/>
  <c r="AD352" i="62"/>
  <c r="AE352" i="62"/>
  <c r="AF352" i="62"/>
  <c r="AG352" i="62"/>
  <c r="AH352" i="62"/>
  <c r="AI352" i="62"/>
  <c r="AJ352" i="62"/>
  <c r="AK352" i="62"/>
  <c r="AL352" i="62"/>
  <c r="AM352" i="62"/>
  <c r="AN352" i="62"/>
  <c r="AO352" i="62"/>
  <c r="AP352" i="62"/>
  <c r="AQ352" i="62"/>
  <c r="AR352" i="62"/>
  <c r="AS352" i="62"/>
  <c r="AT352" i="62"/>
  <c r="AU352" i="62"/>
  <c r="AW352" i="62"/>
  <c r="AX352" i="62"/>
  <c r="AY352" i="62"/>
  <c r="BA352" i="62"/>
  <c r="A353" i="62"/>
  <c r="B353" i="62"/>
  <c r="D353" i="62"/>
  <c r="E353" i="62"/>
  <c r="F353" i="62"/>
  <c r="G353" i="62"/>
  <c r="H353" i="62"/>
  <c r="J353" i="62"/>
  <c r="K353" i="62"/>
  <c r="M353" i="62"/>
  <c r="O353" i="62"/>
  <c r="P353" i="62"/>
  <c r="R353" i="62"/>
  <c r="S353" i="62"/>
  <c r="T353" i="62"/>
  <c r="U353" i="62"/>
  <c r="V353" i="62"/>
  <c r="W353" i="62"/>
  <c r="X353" i="62"/>
  <c r="Z353" i="62"/>
  <c r="AA353" i="62"/>
  <c r="AB353" i="62"/>
  <c r="AC353" i="62"/>
  <c r="AD353" i="62"/>
  <c r="AE353" i="62"/>
  <c r="AF353" i="62"/>
  <c r="AG353" i="62"/>
  <c r="AH353" i="62"/>
  <c r="AI353" i="62"/>
  <c r="AJ353" i="62"/>
  <c r="AK353" i="62"/>
  <c r="AL353" i="62"/>
  <c r="AM353" i="62"/>
  <c r="AN353" i="62"/>
  <c r="AO353" i="62"/>
  <c r="AP353" i="62"/>
  <c r="AQ353" i="62"/>
  <c r="AR353" i="62"/>
  <c r="AS353" i="62"/>
  <c r="AT353" i="62"/>
  <c r="AU353" i="62"/>
  <c r="AW353" i="62"/>
  <c r="AX353" i="62"/>
  <c r="AY353" i="62"/>
  <c r="BA353" i="62"/>
  <c r="A354" i="62"/>
  <c r="B354" i="62"/>
  <c r="D354" i="62"/>
  <c r="E354" i="62"/>
  <c r="F354" i="62"/>
  <c r="G354" i="62"/>
  <c r="H354" i="62"/>
  <c r="J354" i="62"/>
  <c r="K354" i="62"/>
  <c r="M354" i="62"/>
  <c r="O354" i="62"/>
  <c r="P354" i="62"/>
  <c r="R354" i="62"/>
  <c r="S354" i="62"/>
  <c r="T354" i="62"/>
  <c r="U354" i="62"/>
  <c r="V354" i="62"/>
  <c r="W354" i="62"/>
  <c r="X354" i="62"/>
  <c r="Z354" i="62"/>
  <c r="AA354" i="62"/>
  <c r="AB354" i="62"/>
  <c r="AC354" i="62"/>
  <c r="AD354" i="62"/>
  <c r="AE354" i="62"/>
  <c r="AF354" i="62"/>
  <c r="AG354" i="62"/>
  <c r="AH354" i="62"/>
  <c r="AI354" i="62"/>
  <c r="AJ354" i="62"/>
  <c r="AK354" i="62"/>
  <c r="AL354" i="62"/>
  <c r="AM354" i="62"/>
  <c r="AN354" i="62"/>
  <c r="AO354" i="62"/>
  <c r="AP354" i="62"/>
  <c r="AQ354" i="62"/>
  <c r="AR354" i="62"/>
  <c r="AS354" i="62"/>
  <c r="AT354" i="62"/>
  <c r="AU354" i="62"/>
  <c r="AW354" i="62"/>
  <c r="AX354" i="62"/>
  <c r="AY354" i="62"/>
  <c r="BA354" i="62"/>
  <c r="A355" i="62"/>
  <c r="B355" i="62"/>
  <c r="D355" i="62"/>
  <c r="E355" i="62"/>
  <c r="F355" i="62"/>
  <c r="G355" i="62"/>
  <c r="H355" i="62"/>
  <c r="J355" i="62"/>
  <c r="K355" i="62"/>
  <c r="M355" i="62"/>
  <c r="O355" i="62"/>
  <c r="P355" i="62"/>
  <c r="R355" i="62"/>
  <c r="S355" i="62"/>
  <c r="T355" i="62"/>
  <c r="U355" i="62"/>
  <c r="V355" i="62"/>
  <c r="W355" i="62"/>
  <c r="X355" i="62"/>
  <c r="Z355" i="62"/>
  <c r="AA355" i="62"/>
  <c r="AB355" i="62"/>
  <c r="AC355" i="62"/>
  <c r="AD355" i="62"/>
  <c r="AE355" i="62"/>
  <c r="AF355" i="62"/>
  <c r="AG355" i="62"/>
  <c r="AH355" i="62"/>
  <c r="AI355" i="62"/>
  <c r="AJ355" i="62"/>
  <c r="AK355" i="62"/>
  <c r="AL355" i="62"/>
  <c r="AM355" i="62"/>
  <c r="AN355" i="62"/>
  <c r="AO355" i="62"/>
  <c r="AP355" i="62"/>
  <c r="AQ355" i="62"/>
  <c r="AR355" i="62"/>
  <c r="AS355" i="62"/>
  <c r="AT355" i="62"/>
  <c r="AU355" i="62"/>
  <c r="AW355" i="62"/>
  <c r="AX355" i="62"/>
  <c r="AY355" i="62"/>
  <c r="BA355" i="62"/>
  <c r="A356" i="62"/>
  <c r="B356" i="62"/>
  <c r="D356" i="62"/>
  <c r="E356" i="62"/>
  <c r="F356" i="62"/>
  <c r="G356" i="62"/>
  <c r="H356" i="62"/>
  <c r="J356" i="62"/>
  <c r="K356" i="62"/>
  <c r="M356" i="62"/>
  <c r="O356" i="62"/>
  <c r="P356" i="62"/>
  <c r="R356" i="62"/>
  <c r="S356" i="62"/>
  <c r="T356" i="62"/>
  <c r="U356" i="62"/>
  <c r="V356" i="62"/>
  <c r="W356" i="62"/>
  <c r="X356" i="62"/>
  <c r="Z356" i="62"/>
  <c r="AA356" i="62"/>
  <c r="AB356" i="62"/>
  <c r="AC356" i="62"/>
  <c r="AD356" i="62"/>
  <c r="AE356" i="62"/>
  <c r="AF356" i="62"/>
  <c r="AG356" i="62"/>
  <c r="AH356" i="62"/>
  <c r="AI356" i="62"/>
  <c r="AJ356" i="62"/>
  <c r="AK356" i="62"/>
  <c r="AL356" i="62"/>
  <c r="AM356" i="62"/>
  <c r="AN356" i="62"/>
  <c r="AO356" i="62"/>
  <c r="AP356" i="62"/>
  <c r="AQ356" i="62"/>
  <c r="AR356" i="62"/>
  <c r="AS356" i="62"/>
  <c r="AT356" i="62"/>
  <c r="AU356" i="62"/>
  <c r="AW356" i="62"/>
  <c r="AX356" i="62"/>
  <c r="AY356" i="62"/>
  <c r="BA356" i="62"/>
  <c r="A357" i="62"/>
  <c r="B357" i="62"/>
  <c r="D357" i="62"/>
  <c r="E357" i="62"/>
  <c r="F357" i="62"/>
  <c r="G357" i="62"/>
  <c r="H357" i="62"/>
  <c r="J357" i="62"/>
  <c r="K357" i="62"/>
  <c r="M357" i="62"/>
  <c r="O357" i="62"/>
  <c r="P357" i="62"/>
  <c r="R357" i="62"/>
  <c r="S357" i="62"/>
  <c r="T357" i="62"/>
  <c r="U357" i="62"/>
  <c r="V357" i="62"/>
  <c r="W357" i="62"/>
  <c r="X357" i="62"/>
  <c r="Z357" i="62"/>
  <c r="AA357" i="62"/>
  <c r="AB357" i="62"/>
  <c r="AC357" i="62"/>
  <c r="AD357" i="62"/>
  <c r="AE357" i="62"/>
  <c r="AF357" i="62"/>
  <c r="AG357" i="62"/>
  <c r="AH357" i="62"/>
  <c r="AI357" i="62"/>
  <c r="AJ357" i="62"/>
  <c r="AK357" i="62"/>
  <c r="AL357" i="62"/>
  <c r="AM357" i="62"/>
  <c r="AN357" i="62"/>
  <c r="AO357" i="62"/>
  <c r="AP357" i="62"/>
  <c r="AQ357" i="62"/>
  <c r="AR357" i="62"/>
  <c r="AS357" i="62"/>
  <c r="AT357" i="62"/>
  <c r="AU357" i="62"/>
  <c r="AW357" i="62"/>
  <c r="AX357" i="62"/>
  <c r="AY357" i="62"/>
  <c r="BA357" i="62"/>
  <c r="A358" i="62"/>
  <c r="B358" i="62"/>
  <c r="D358" i="62"/>
  <c r="E358" i="62"/>
  <c r="F358" i="62"/>
  <c r="G358" i="62"/>
  <c r="H358" i="62"/>
  <c r="J358" i="62"/>
  <c r="K358" i="62"/>
  <c r="M358" i="62"/>
  <c r="O358" i="62"/>
  <c r="P358" i="62"/>
  <c r="R358" i="62"/>
  <c r="S358" i="62"/>
  <c r="T358" i="62"/>
  <c r="U358" i="62"/>
  <c r="V358" i="62"/>
  <c r="W358" i="62"/>
  <c r="X358" i="62"/>
  <c r="Z358" i="62"/>
  <c r="AA358" i="62"/>
  <c r="AB358" i="62"/>
  <c r="AC358" i="62"/>
  <c r="AD358" i="62"/>
  <c r="AE358" i="62"/>
  <c r="AF358" i="62"/>
  <c r="AG358" i="62"/>
  <c r="AH358" i="62"/>
  <c r="AI358" i="62"/>
  <c r="AJ358" i="62"/>
  <c r="AK358" i="62"/>
  <c r="AL358" i="62"/>
  <c r="AM358" i="62"/>
  <c r="AN358" i="62"/>
  <c r="AO358" i="62"/>
  <c r="AP358" i="62"/>
  <c r="AQ358" i="62"/>
  <c r="AR358" i="62"/>
  <c r="AS358" i="62"/>
  <c r="AT358" i="62"/>
  <c r="AU358" i="62"/>
  <c r="AW358" i="62"/>
  <c r="AX358" i="62"/>
  <c r="AY358" i="62"/>
  <c r="BA358" i="62"/>
  <c r="A359" i="62"/>
  <c r="B359" i="62"/>
  <c r="D359" i="62"/>
  <c r="E359" i="62"/>
  <c r="F359" i="62"/>
  <c r="G359" i="62"/>
  <c r="H359" i="62"/>
  <c r="J359" i="62"/>
  <c r="K359" i="62"/>
  <c r="M359" i="62"/>
  <c r="O359" i="62"/>
  <c r="P359" i="62"/>
  <c r="R359" i="62"/>
  <c r="S359" i="62"/>
  <c r="T359" i="62"/>
  <c r="U359" i="62"/>
  <c r="V359" i="62"/>
  <c r="W359" i="62"/>
  <c r="X359" i="62"/>
  <c r="Z359" i="62"/>
  <c r="AA359" i="62"/>
  <c r="AB359" i="62"/>
  <c r="AC359" i="62"/>
  <c r="AD359" i="62"/>
  <c r="AE359" i="62"/>
  <c r="AF359" i="62"/>
  <c r="AG359" i="62"/>
  <c r="AH359" i="62"/>
  <c r="AI359" i="62"/>
  <c r="AJ359" i="62"/>
  <c r="AK359" i="62"/>
  <c r="AL359" i="62"/>
  <c r="AM359" i="62"/>
  <c r="AN359" i="62"/>
  <c r="AO359" i="62"/>
  <c r="AP359" i="62"/>
  <c r="AQ359" i="62"/>
  <c r="AR359" i="62"/>
  <c r="AS359" i="62"/>
  <c r="AT359" i="62"/>
  <c r="AU359" i="62"/>
  <c r="AW359" i="62"/>
  <c r="AX359" i="62"/>
  <c r="AY359" i="62"/>
  <c r="BA359" i="62"/>
  <c r="A360" i="62"/>
  <c r="B360" i="62"/>
  <c r="D360" i="62"/>
  <c r="E360" i="62"/>
  <c r="F360" i="62"/>
  <c r="G360" i="62"/>
  <c r="H360" i="62"/>
  <c r="J360" i="62"/>
  <c r="K360" i="62"/>
  <c r="M360" i="62"/>
  <c r="O360" i="62"/>
  <c r="P360" i="62"/>
  <c r="R360" i="62"/>
  <c r="S360" i="62"/>
  <c r="T360" i="62"/>
  <c r="U360" i="62"/>
  <c r="V360" i="62"/>
  <c r="W360" i="62"/>
  <c r="X360" i="62"/>
  <c r="Z360" i="62"/>
  <c r="AA360" i="62"/>
  <c r="AB360" i="62"/>
  <c r="AC360" i="62"/>
  <c r="AD360" i="62"/>
  <c r="AE360" i="62"/>
  <c r="AF360" i="62"/>
  <c r="AG360" i="62"/>
  <c r="AH360" i="62"/>
  <c r="AI360" i="62"/>
  <c r="AJ360" i="62"/>
  <c r="AK360" i="62"/>
  <c r="AL360" i="62"/>
  <c r="AM360" i="62"/>
  <c r="AN360" i="62"/>
  <c r="AO360" i="62"/>
  <c r="AP360" i="62"/>
  <c r="AQ360" i="62"/>
  <c r="AR360" i="62"/>
  <c r="AS360" i="62"/>
  <c r="AT360" i="62"/>
  <c r="AU360" i="62"/>
  <c r="AW360" i="62"/>
  <c r="AX360" i="62"/>
  <c r="AY360" i="62"/>
  <c r="BA360" i="62"/>
  <c r="A361" i="62"/>
  <c r="B361" i="62"/>
  <c r="D361" i="62"/>
  <c r="E361" i="62"/>
  <c r="F361" i="62"/>
  <c r="G361" i="62"/>
  <c r="H361" i="62"/>
  <c r="J361" i="62"/>
  <c r="K361" i="62"/>
  <c r="M361" i="62"/>
  <c r="O361" i="62"/>
  <c r="P361" i="62"/>
  <c r="R361" i="62"/>
  <c r="S361" i="62"/>
  <c r="T361" i="62"/>
  <c r="U361" i="62"/>
  <c r="V361" i="62"/>
  <c r="W361" i="62"/>
  <c r="X361" i="62"/>
  <c r="Z361" i="62"/>
  <c r="AA361" i="62"/>
  <c r="AB361" i="62"/>
  <c r="AC361" i="62"/>
  <c r="AD361" i="62"/>
  <c r="AE361" i="62"/>
  <c r="AF361" i="62"/>
  <c r="AG361" i="62"/>
  <c r="AH361" i="62"/>
  <c r="AI361" i="62"/>
  <c r="AJ361" i="62"/>
  <c r="AK361" i="62"/>
  <c r="AL361" i="62"/>
  <c r="AM361" i="62"/>
  <c r="AN361" i="62"/>
  <c r="AO361" i="62"/>
  <c r="AP361" i="62"/>
  <c r="AQ361" i="62"/>
  <c r="AR361" i="62"/>
  <c r="AS361" i="62"/>
  <c r="AT361" i="62"/>
  <c r="AU361" i="62"/>
  <c r="AW361" i="62"/>
  <c r="AX361" i="62"/>
  <c r="AY361" i="62"/>
  <c r="BA361" i="62"/>
  <c r="A362" i="62"/>
  <c r="B362" i="62"/>
  <c r="D362" i="62"/>
  <c r="E362" i="62"/>
  <c r="F362" i="62"/>
  <c r="G362" i="62"/>
  <c r="H362" i="62"/>
  <c r="J362" i="62"/>
  <c r="K362" i="62"/>
  <c r="M362" i="62"/>
  <c r="O362" i="62"/>
  <c r="P362" i="62"/>
  <c r="R362" i="62"/>
  <c r="S362" i="62"/>
  <c r="T362" i="62"/>
  <c r="U362" i="62"/>
  <c r="V362" i="62"/>
  <c r="W362" i="62"/>
  <c r="X362" i="62"/>
  <c r="Z362" i="62"/>
  <c r="AA362" i="62"/>
  <c r="AB362" i="62"/>
  <c r="AC362" i="62"/>
  <c r="AD362" i="62"/>
  <c r="AE362" i="62"/>
  <c r="AF362" i="62"/>
  <c r="AG362" i="62"/>
  <c r="AH362" i="62"/>
  <c r="AI362" i="62"/>
  <c r="AJ362" i="62"/>
  <c r="AK362" i="62"/>
  <c r="AL362" i="62"/>
  <c r="AM362" i="62"/>
  <c r="AN362" i="62"/>
  <c r="AO362" i="62"/>
  <c r="AP362" i="62"/>
  <c r="AQ362" i="62"/>
  <c r="AR362" i="62"/>
  <c r="AS362" i="62"/>
  <c r="AT362" i="62"/>
  <c r="AU362" i="62"/>
  <c r="AW362" i="62"/>
  <c r="AX362" i="62"/>
  <c r="AY362" i="62"/>
  <c r="BA362" i="62"/>
  <c r="A363" i="62"/>
  <c r="B363" i="62"/>
  <c r="D363" i="62"/>
  <c r="E363" i="62"/>
  <c r="F363" i="62"/>
  <c r="G363" i="62"/>
  <c r="H363" i="62"/>
  <c r="J363" i="62"/>
  <c r="K363" i="62"/>
  <c r="M363" i="62"/>
  <c r="O363" i="62"/>
  <c r="P363" i="62"/>
  <c r="R363" i="62"/>
  <c r="S363" i="62"/>
  <c r="T363" i="62"/>
  <c r="U363" i="62"/>
  <c r="V363" i="62"/>
  <c r="W363" i="62"/>
  <c r="X363" i="62"/>
  <c r="Z363" i="62"/>
  <c r="AA363" i="62"/>
  <c r="AB363" i="62"/>
  <c r="AC363" i="62"/>
  <c r="AD363" i="62"/>
  <c r="AE363" i="62"/>
  <c r="AF363" i="62"/>
  <c r="AG363" i="62"/>
  <c r="AH363" i="62"/>
  <c r="AI363" i="62"/>
  <c r="AJ363" i="62"/>
  <c r="AK363" i="62"/>
  <c r="AL363" i="62"/>
  <c r="AM363" i="62"/>
  <c r="AN363" i="62"/>
  <c r="AO363" i="62"/>
  <c r="AP363" i="62"/>
  <c r="AQ363" i="62"/>
  <c r="AR363" i="62"/>
  <c r="AS363" i="62"/>
  <c r="AT363" i="62"/>
  <c r="AU363" i="62"/>
  <c r="AW363" i="62"/>
  <c r="AX363" i="62"/>
  <c r="AY363" i="62"/>
  <c r="BA363" i="62"/>
  <c r="A364" i="62"/>
  <c r="B364" i="62"/>
  <c r="D364" i="62"/>
  <c r="E364" i="62"/>
  <c r="F364" i="62"/>
  <c r="G364" i="62"/>
  <c r="H364" i="62"/>
  <c r="J364" i="62"/>
  <c r="K364" i="62"/>
  <c r="M364" i="62"/>
  <c r="O364" i="62"/>
  <c r="P364" i="62"/>
  <c r="R364" i="62"/>
  <c r="S364" i="62"/>
  <c r="T364" i="62"/>
  <c r="U364" i="62"/>
  <c r="V364" i="62"/>
  <c r="W364" i="62"/>
  <c r="X364" i="62"/>
  <c r="Z364" i="62"/>
  <c r="AA364" i="62"/>
  <c r="AB364" i="62"/>
  <c r="AC364" i="62"/>
  <c r="AD364" i="62"/>
  <c r="AE364" i="62"/>
  <c r="AF364" i="62"/>
  <c r="AG364" i="62"/>
  <c r="AH364" i="62"/>
  <c r="AI364" i="62"/>
  <c r="AJ364" i="62"/>
  <c r="AK364" i="62"/>
  <c r="AL364" i="62"/>
  <c r="AM364" i="62"/>
  <c r="AN364" i="62"/>
  <c r="AO364" i="62"/>
  <c r="AP364" i="62"/>
  <c r="AQ364" i="62"/>
  <c r="AR364" i="62"/>
  <c r="AS364" i="62"/>
  <c r="AT364" i="62"/>
  <c r="AU364" i="62"/>
  <c r="AW364" i="62"/>
  <c r="AX364" i="62"/>
  <c r="AY364" i="62"/>
  <c r="BA364" i="62"/>
  <c r="A365" i="62"/>
  <c r="B365" i="62"/>
  <c r="D365" i="62"/>
  <c r="E365" i="62"/>
  <c r="F365" i="62"/>
  <c r="G365" i="62"/>
  <c r="H365" i="62"/>
  <c r="J365" i="62"/>
  <c r="K365" i="62"/>
  <c r="M365" i="62"/>
  <c r="O365" i="62"/>
  <c r="P365" i="62"/>
  <c r="R365" i="62"/>
  <c r="S365" i="62"/>
  <c r="T365" i="62"/>
  <c r="U365" i="62"/>
  <c r="V365" i="62"/>
  <c r="W365" i="62"/>
  <c r="X365" i="62"/>
  <c r="Z365" i="62"/>
  <c r="AA365" i="62"/>
  <c r="AB365" i="62"/>
  <c r="AC365" i="62"/>
  <c r="AD365" i="62"/>
  <c r="AE365" i="62"/>
  <c r="AF365" i="62"/>
  <c r="AG365" i="62"/>
  <c r="AH365" i="62"/>
  <c r="AI365" i="62"/>
  <c r="AJ365" i="62"/>
  <c r="AK365" i="62"/>
  <c r="AL365" i="62"/>
  <c r="AM365" i="62"/>
  <c r="AN365" i="62"/>
  <c r="AO365" i="62"/>
  <c r="AP365" i="62"/>
  <c r="AQ365" i="62"/>
  <c r="AR365" i="62"/>
  <c r="AS365" i="62"/>
  <c r="AT365" i="62"/>
  <c r="AU365" i="62"/>
  <c r="AW365" i="62"/>
  <c r="AX365" i="62"/>
  <c r="AY365" i="62"/>
  <c r="BA365" i="62"/>
  <c r="A366" i="62"/>
  <c r="B366" i="62"/>
  <c r="D366" i="62"/>
  <c r="E366" i="62"/>
  <c r="F366" i="62"/>
  <c r="G366" i="62"/>
  <c r="H366" i="62"/>
  <c r="J366" i="62"/>
  <c r="K366" i="62"/>
  <c r="M366" i="62"/>
  <c r="O366" i="62"/>
  <c r="P366" i="62"/>
  <c r="R366" i="62"/>
  <c r="S366" i="62"/>
  <c r="T366" i="62"/>
  <c r="U366" i="62"/>
  <c r="V366" i="62"/>
  <c r="W366" i="62"/>
  <c r="X366" i="62"/>
  <c r="Z366" i="62"/>
  <c r="AA366" i="62"/>
  <c r="AB366" i="62"/>
  <c r="AC366" i="62"/>
  <c r="AD366" i="62"/>
  <c r="AE366" i="62"/>
  <c r="AF366" i="62"/>
  <c r="AG366" i="62"/>
  <c r="AH366" i="62"/>
  <c r="AI366" i="62"/>
  <c r="AJ366" i="62"/>
  <c r="AK366" i="62"/>
  <c r="AL366" i="62"/>
  <c r="AM366" i="62"/>
  <c r="AN366" i="62"/>
  <c r="AO366" i="62"/>
  <c r="AP366" i="62"/>
  <c r="AQ366" i="62"/>
  <c r="AR366" i="62"/>
  <c r="AS366" i="62"/>
  <c r="AT366" i="62"/>
  <c r="AU366" i="62"/>
  <c r="AW366" i="62"/>
  <c r="AX366" i="62"/>
  <c r="AY366" i="62"/>
  <c r="BA366" i="62"/>
  <c r="A367" i="62"/>
  <c r="B367" i="62"/>
  <c r="D367" i="62"/>
  <c r="E367" i="62"/>
  <c r="F367" i="62"/>
  <c r="G367" i="62"/>
  <c r="H367" i="62"/>
  <c r="J367" i="62"/>
  <c r="K367" i="62"/>
  <c r="M367" i="62"/>
  <c r="O367" i="62"/>
  <c r="P367" i="62"/>
  <c r="R367" i="62"/>
  <c r="S367" i="62"/>
  <c r="T367" i="62"/>
  <c r="U367" i="62"/>
  <c r="V367" i="62"/>
  <c r="W367" i="62"/>
  <c r="X367" i="62"/>
  <c r="Z367" i="62"/>
  <c r="AA367" i="62"/>
  <c r="AB367" i="62"/>
  <c r="AC367" i="62"/>
  <c r="AD367" i="62"/>
  <c r="AE367" i="62"/>
  <c r="AF367" i="62"/>
  <c r="AG367" i="62"/>
  <c r="AH367" i="62"/>
  <c r="AI367" i="62"/>
  <c r="AJ367" i="62"/>
  <c r="AK367" i="62"/>
  <c r="AL367" i="62"/>
  <c r="AM367" i="62"/>
  <c r="AN367" i="62"/>
  <c r="AO367" i="62"/>
  <c r="AP367" i="62"/>
  <c r="AQ367" i="62"/>
  <c r="AR367" i="62"/>
  <c r="AS367" i="62"/>
  <c r="AT367" i="62"/>
  <c r="AU367" i="62"/>
  <c r="AW367" i="62"/>
  <c r="AX367" i="62"/>
  <c r="AY367" i="62"/>
  <c r="BA367" i="62"/>
  <c r="A368" i="62"/>
  <c r="B368" i="62"/>
  <c r="D368" i="62"/>
  <c r="E368" i="62"/>
  <c r="F368" i="62"/>
  <c r="G368" i="62"/>
  <c r="H368" i="62"/>
  <c r="J368" i="62"/>
  <c r="K368" i="62"/>
  <c r="M368" i="62"/>
  <c r="O368" i="62"/>
  <c r="P368" i="62"/>
  <c r="R368" i="62"/>
  <c r="S368" i="62"/>
  <c r="T368" i="62"/>
  <c r="U368" i="62"/>
  <c r="V368" i="62"/>
  <c r="W368" i="62"/>
  <c r="X368" i="62"/>
  <c r="Z368" i="62"/>
  <c r="AA368" i="62"/>
  <c r="AB368" i="62"/>
  <c r="AC368" i="62"/>
  <c r="AD368" i="62"/>
  <c r="AE368" i="62"/>
  <c r="AF368" i="62"/>
  <c r="AG368" i="62"/>
  <c r="AH368" i="62"/>
  <c r="AI368" i="62"/>
  <c r="AJ368" i="62"/>
  <c r="AK368" i="62"/>
  <c r="AL368" i="62"/>
  <c r="AM368" i="62"/>
  <c r="AN368" i="62"/>
  <c r="AO368" i="62"/>
  <c r="AP368" i="62"/>
  <c r="AQ368" i="62"/>
  <c r="AR368" i="62"/>
  <c r="AS368" i="62"/>
  <c r="AT368" i="62"/>
  <c r="AU368" i="62"/>
  <c r="AW368" i="62"/>
  <c r="AX368" i="62"/>
  <c r="AY368" i="62"/>
  <c r="BA368" i="62"/>
  <c r="A369" i="62"/>
  <c r="B369" i="62"/>
  <c r="D369" i="62"/>
  <c r="E369" i="62"/>
  <c r="F369" i="62"/>
  <c r="G369" i="62"/>
  <c r="H369" i="62"/>
  <c r="J369" i="62"/>
  <c r="K369" i="62"/>
  <c r="M369" i="62"/>
  <c r="O369" i="62"/>
  <c r="P369" i="62"/>
  <c r="R369" i="62"/>
  <c r="S369" i="62"/>
  <c r="T369" i="62"/>
  <c r="U369" i="62"/>
  <c r="V369" i="62"/>
  <c r="W369" i="62"/>
  <c r="X369" i="62"/>
  <c r="Z369" i="62"/>
  <c r="AA369" i="62"/>
  <c r="AB369" i="62"/>
  <c r="AC369" i="62"/>
  <c r="AD369" i="62"/>
  <c r="AE369" i="62"/>
  <c r="AF369" i="62"/>
  <c r="AG369" i="62"/>
  <c r="AH369" i="62"/>
  <c r="AI369" i="62"/>
  <c r="AJ369" i="62"/>
  <c r="AK369" i="62"/>
  <c r="AL369" i="62"/>
  <c r="AM369" i="62"/>
  <c r="AN369" i="62"/>
  <c r="AO369" i="62"/>
  <c r="AP369" i="62"/>
  <c r="AQ369" i="62"/>
  <c r="AR369" i="62"/>
  <c r="AS369" i="62"/>
  <c r="AT369" i="62"/>
  <c r="AU369" i="62"/>
  <c r="AW369" i="62"/>
  <c r="AX369" i="62"/>
  <c r="AY369" i="62"/>
  <c r="BA369" i="62"/>
  <c r="A370" i="62"/>
  <c r="B370" i="62"/>
  <c r="D370" i="62"/>
  <c r="E370" i="62"/>
  <c r="F370" i="62"/>
  <c r="G370" i="62"/>
  <c r="H370" i="62"/>
  <c r="J370" i="62"/>
  <c r="K370" i="62"/>
  <c r="M370" i="62"/>
  <c r="O370" i="62"/>
  <c r="P370" i="62"/>
  <c r="R370" i="62"/>
  <c r="S370" i="62"/>
  <c r="T370" i="62"/>
  <c r="U370" i="62"/>
  <c r="V370" i="62"/>
  <c r="W370" i="62"/>
  <c r="X370" i="62"/>
  <c r="AO370" i="62"/>
  <c r="AP370" i="62"/>
  <c r="AQ370" i="62"/>
  <c r="AR370" i="62"/>
  <c r="AS370" i="62"/>
  <c r="AT370" i="62"/>
  <c r="AU370" i="62"/>
  <c r="AW370" i="62"/>
  <c r="AX370" i="62"/>
  <c r="AY370" i="62"/>
  <c r="BA370" i="62"/>
  <c r="A371" i="62"/>
  <c r="B371" i="62"/>
  <c r="D371" i="62"/>
  <c r="E371" i="62"/>
  <c r="F371" i="62"/>
  <c r="G371" i="62"/>
  <c r="H371" i="62"/>
  <c r="J371" i="62"/>
  <c r="K371" i="62"/>
  <c r="M371" i="62"/>
  <c r="O371" i="62"/>
  <c r="P371" i="62"/>
  <c r="R371" i="62"/>
  <c r="S371" i="62"/>
  <c r="T371" i="62"/>
  <c r="U371" i="62"/>
  <c r="V371" i="62"/>
  <c r="W371" i="62"/>
  <c r="X371" i="62"/>
  <c r="AO371" i="62"/>
  <c r="AP371" i="62"/>
  <c r="AQ371" i="62"/>
  <c r="AR371" i="62"/>
  <c r="AS371" i="62"/>
  <c r="AT371" i="62"/>
  <c r="AU371" i="62"/>
  <c r="AW371" i="62"/>
  <c r="AX371" i="62"/>
  <c r="AY371" i="62"/>
  <c r="BA371" i="62"/>
  <c r="A372" i="62"/>
  <c r="B372" i="62"/>
  <c r="D372" i="62"/>
  <c r="E372" i="62"/>
  <c r="F372" i="62"/>
  <c r="G372" i="62"/>
  <c r="H372" i="62"/>
  <c r="J372" i="62"/>
  <c r="K372" i="62"/>
  <c r="M372" i="62"/>
  <c r="O372" i="62"/>
  <c r="P372" i="62"/>
  <c r="R372" i="62"/>
  <c r="S372" i="62"/>
  <c r="T372" i="62"/>
  <c r="U372" i="62"/>
  <c r="V372" i="62"/>
  <c r="W372" i="62"/>
  <c r="X372" i="62"/>
  <c r="AO372" i="62"/>
  <c r="AP372" i="62"/>
  <c r="AQ372" i="62"/>
  <c r="AR372" i="62"/>
  <c r="AS372" i="62"/>
  <c r="AT372" i="62"/>
  <c r="AU372" i="62"/>
  <c r="AW372" i="62"/>
  <c r="AX372" i="62"/>
  <c r="AY372" i="62"/>
  <c r="BA372" i="62"/>
  <c r="A373" i="62"/>
  <c r="B373" i="62"/>
  <c r="D373" i="62"/>
  <c r="E373" i="62"/>
  <c r="F373" i="62"/>
  <c r="G373" i="62"/>
  <c r="H373" i="62"/>
  <c r="J373" i="62"/>
  <c r="K373" i="62"/>
  <c r="M373" i="62"/>
  <c r="O373" i="62"/>
  <c r="P373" i="62"/>
  <c r="R373" i="62"/>
  <c r="S373" i="62"/>
  <c r="T373" i="62"/>
  <c r="U373" i="62"/>
  <c r="V373" i="62"/>
  <c r="W373" i="62"/>
  <c r="X373" i="62"/>
  <c r="AO373" i="62"/>
  <c r="AP373" i="62"/>
  <c r="AQ373" i="62"/>
  <c r="AR373" i="62"/>
  <c r="AS373" i="62"/>
  <c r="AT373" i="62"/>
  <c r="AU373" i="62"/>
  <c r="AW373" i="62"/>
  <c r="AX373" i="62"/>
  <c r="AY373" i="62"/>
  <c r="BA373" i="62"/>
  <c r="A374" i="62"/>
  <c r="B374" i="62"/>
  <c r="D374" i="62"/>
  <c r="E374" i="62"/>
  <c r="F374" i="62"/>
  <c r="G374" i="62"/>
  <c r="H374" i="62"/>
  <c r="J374" i="62"/>
  <c r="K374" i="62"/>
  <c r="M374" i="62"/>
  <c r="O374" i="62"/>
  <c r="P374" i="62"/>
  <c r="R374" i="62"/>
  <c r="S374" i="62"/>
  <c r="T374" i="62"/>
  <c r="U374" i="62"/>
  <c r="V374" i="62"/>
  <c r="W374" i="62"/>
  <c r="X374" i="62"/>
  <c r="AO374" i="62"/>
  <c r="AP374" i="62"/>
  <c r="AQ374" i="62"/>
  <c r="AR374" i="62"/>
  <c r="AS374" i="62"/>
  <c r="AT374" i="62"/>
  <c r="AU374" i="62"/>
  <c r="AW374" i="62"/>
  <c r="AX374" i="62"/>
  <c r="AY374" i="62"/>
  <c r="BA374" i="62"/>
  <c r="A375" i="62"/>
  <c r="B375" i="62"/>
  <c r="D375" i="62"/>
  <c r="E375" i="62"/>
  <c r="F375" i="62"/>
  <c r="G375" i="62"/>
  <c r="H375" i="62"/>
  <c r="J375" i="62"/>
  <c r="K375" i="62"/>
  <c r="M375" i="62"/>
  <c r="O375" i="62"/>
  <c r="P375" i="62"/>
  <c r="R375" i="62"/>
  <c r="S375" i="62"/>
  <c r="T375" i="62"/>
  <c r="U375" i="62"/>
  <c r="V375" i="62"/>
  <c r="W375" i="62"/>
  <c r="X375" i="62"/>
  <c r="AO375" i="62"/>
  <c r="AP375" i="62"/>
  <c r="AQ375" i="62"/>
  <c r="AR375" i="62"/>
  <c r="AS375" i="62"/>
  <c r="AT375" i="62"/>
  <c r="AU375" i="62"/>
  <c r="AW375" i="62"/>
  <c r="AX375" i="62"/>
  <c r="AY375" i="62"/>
  <c r="BA375" i="62"/>
  <c r="A376" i="62"/>
  <c r="B376" i="62"/>
  <c r="D376" i="62"/>
  <c r="E376" i="62"/>
  <c r="F376" i="62"/>
  <c r="G376" i="62"/>
  <c r="H376" i="62"/>
  <c r="J376" i="62"/>
  <c r="K376" i="62"/>
  <c r="M376" i="62"/>
  <c r="O376" i="62"/>
  <c r="P376" i="62"/>
  <c r="R376" i="62"/>
  <c r="S376" i="62"/>
  <c r="T376" i="62"/>
  <c r="U376" i="62"/>
  <c r="V376" i="62"/>
  <c r="W376" i="62"/>
  <c r="X376" i="62"/>
  <c r="AO376" i="62"/>
  <c r="AP376" i="62"/>
  <c r="AQ376" i="62"/>
  <c r="AR376" i="62"/>
  <c r="AS376" i="62"/>
  <c r="AT376" i="62"/>
  <c r="AU376" i="62"/>
  <c r="AW376" i="62"/>
  <c r="AX376" i="62"/>
  <c r="AY376" i="62"/>
  <c r="BA376" i="62"/>
  <c r="A377" i="62"/>
  <c r="B377" i="62"/>
  <c r="D377" i="62"/>
  <c r="E377" i="62"/>
  <c r="F377" i="62"/>
  <c r="G377" i="62"/>
  <c r="H377" i="62"/>
  <c r="J377" i="62"/>
  <c r="K377" i="62"/>
  <c r="M377" i="62"/>
  <c r="O377" i="62"/>
  <c r="P377" i="62"/>
  <c r="R377" i="62"/>
  <c r="S377" i="62"/>
  <c r="T377" i="62"/>
  <c r="U377" i="62"/>
  <c r="V377" i="62"/>
  <c r="W377" i="62"/>
  <c r="X377" i="62"/>
  <c r="AO377" i="62"/>
  <c r="AP377" i="62"/>
  <c r="AQ377" i="62"/>
  <c r="AR377" i="62"/>
  <c r="AS377" i="62"/>
  <c r="AT377" i="62"/>
  <c r="AU377" i="62"/>
  <c r="AW377" i="62"/>
  <c r="AX377" i="62"/>
  <c r="AY377" i="62"/>
  <c r="BA377" i="62"/>
  <c r="A378" i="62"/>
  <c r="B378" i="62"/>
  <c r="D378" i="62"/>
  <c r="E378" i="62"/>
  <c r="F378" i="62"/>
  <c r="G378" i="62"/>
  <c r="H378" i="62"/>
  <c r="J378" i="62"/>
  <c r="K378" i="62"/>
  <c r="M378" i="62"/>
  <c r="O378" i="62"/>
  <c r="P378" i="62"/>
  <c r="R378" i="62"/>
  <c r="S378" i="62"/>
  <c r="T378" i="62"/>
  <c r="U378" i="62"/>
  <c r="V378" i="62"/>
  <c r="W378" i="62"/>
  <c r="X378" i="62"/>
  <c r="AO378" i="62"/>
  <c r="AP378" i="62"/>
  <c r="AQ378" i="62"/>
  <c r="AR378" i="62"/>
  <c r="AS378" i="62"/>
  <c r="AT378" i="62"/>
  <c r="AU378" i="62"/>
  <c r="AW378" i="62"/>
  <c r="AX378" i="62"/>
  <c r="AY378" i="62"/>
  <c r="BA378" i="62"/>
  <c r="A379" i="62"/>
  <c r="B379" i="62"/>
  <c r="D379" i="62"/>
  <c r="E379" i="62"/>
  <c r="F379" i="62"/>
  <c r="G379" i="62"/>
  <c r="H379" i="62"/>
  <c r="J379" i="62"/>
  <c r="K379" i="62"/>
  <c r="M379" i="62"/>
  <c r="O379" i="62"/>
  <c r="P379" i="62"/>
  <c r="R379" i="62"/>
  <c r="S379" i="62"/>
  <c r="T379" i="62"/>
  <c r="U379" i="62"/>
  <c r="V379" i="62"/>
  <c r="W379" i="62"/>
  <c r="X379" i="62"/>
  <c r="AO379" i="62"/>
  <c r="AP379" i="62"/>
  <c r="AQ379" i="62"/>
  <c r="AR379" i="62"/>
  <c r="AS379" i="62"/>
  <c r="AT379" i="62"/>
  <c r="AU379" i="62"/>
  <c r="AW379" i="62"/>
  <c r="AX379" i="62"/>
  <c r="AY379" i="62"/>
  <c r="BA379" i="62"/>
  <c r="A380" i="62"/>
  <c r="B380" i="62"/>
  <c r="D380" i="62"/>
  <c r="E380" i="62"/>
  <c r="F380" i="62"/>
  <c r="G380" i="62"/>
  <c r="H380" i="62"/>
  <c r="J380" i="62"/>
  <c r="K380" i="62"/>
  <c r="M380" i="62"/>
  <c r="O380" i="62"/>
  <c r="P380" i="62"/>
  <c r="R380" i="62"/>
  <c r="S380" i="62"/>
  <c r="T380" i="62"/>
  <c r="U380" i="62"/>
  <c r="V380" i="62"/>
  <c r="W380" i="62"/>
  <c r="X380" i="62"/>
  <c r="AO380" i="62"/>
  <c r="AP380" i="62"/>
  <c r="AQ380" i="62"/>
  <c r="AR380" i="62"/>
  <c r="AS380" i="62"/>
  <c r="AT380" i="62"/>
  <c r="AU380" i="62"/>
  <c r="AW380" i="62"/>
  <c r="AX380" i="62"/>
  <c r="AY380" i="62"/>
  <c r="BA380" i="62"/>
  <c r="A381" i="62"/>
  <c r="B381" i="62"/>
  <c r="D381" i="62"/>
  <c r="E381" i="62"/>
  <c r="F381" i="62"/>
  <c r="G381" i="62"/>
  <c r="H381" i="62"/>
  <c r="J381" i="62"/>
  <c r="K381" i="62"/>
  <c r="M381" i="62"/>
  <c r="O381" i="62"/>
  <c r="P381" i="62"/>
  <c r="R381" i="62"/>
  <c r="S381" i="62"/>
  <c r="T381" i="62"/>
  <c r="U381" i="62"/>
  <c r="V381" i="62"/>
  <c r="W381" i="62"/>
  <c r="X381" i="62"/>
  <c r="AO381" i="62"/>
  <c r="AP381" i="62"/>
  <c r="AQ381" i="62"/>
  <c r="AR381" i="62"/>
  <c r="AS381" i="62"/>
  <c r="AT381" i="62"/>
  <c r="AU381" i="62"/>
  <c r="AW381" i="62"/>
  <c r="AX381" i="62"/>
  <c r="AY381" i="62"/>
  <c r="BA381" i="62"/>
  <c r="A382" i="62"/>
  <c r="B382" i="62"/>
  <c r="D382" i="62"/>
  <c r="E382" i="62"/>
  <c r="F382" i="62"/>
  <c r="G382" i="62"/>
  <c r="H382" i="62"/>
  <c r="J382" i="62"/>
  <c r="K382" i="62"/>
  <c r="M382" i="62"/>
  <c r="O382" i="62"/>
  <c r="P382" i="62"/>
  <c r="R382" i="62"/>
  <c r="S382" i="62"/>
  <c r="T382" i="62"/>
  <c r="U382" i="62"/>
  <c r="V382" i="62"/>
  <c r="W382" i="62"/>
  <c r="X382" i="62"/>
  <c r="AO382" i="62"/>
  <c r="AP382" i="62"/>
  <c r="AQ382" i="62"/>
  <c r="AR382" i="62"/>
  <c r="AS382" i="62"/>
  <c r="AT382" i="62"/>
  <c r="AU382" i="62"/>
  <c r="AW382" i="62"/>
  <c r="AX382" i="62"/>
  <c r="AY382" i="62"/>
  <c r="BA382" i="62"/>
  <c r="A383" i="62"/>
  <c r="B383" i="62"/>
  <c r="D383" i="62"/>
  <c r="E383" i="62"/>
  <c r="F383" i="62"/>
  <c r="G383" i="62"/>
  <c r="H383" i="62"/>
  <c r="J383" i="62"/>
  <c r="K383" i="62"/>
  <c r="M383" i="62"/>
  <c r="O383" i="62"/>
  <c r="P383" i="62"/>
  <c r="R383" i="62"/>
  <c r="S383" i="62"/>
  <c r="T383" i="62"/>
  <c r="U383" i="62"/>
  <c r="V383" i="62"/>
  <c r="W383" i="62"/>
  <c r="X383" i="62"/>
  <c r="AO383" i="62"/>
  <c r="AP383" i="62"/>
  <c r="AQ383" i="62"/>
  <c r="AR383" i="62"/>
  <c r="AS383" i="62"/>
  <c r="AT383" i="62"/>
  <c r="AU383" i="62"/>
  <c r="AW383" i="62"/>
  <c r="AX383" i="62"/>
  <c r="AY383" i="62"/>
  <c r="BA383" i="62"/>
  <c r="A384" i="62"/>
  <c r="B384" i="62"/>
  <c r="D384" i="62"/>
  <c r="E384" i="62"/>
  <c r="F384" i="62"/>
  <c r="G384" i="62"/>
  <c r="H384" i="62"/>
  <c r="J384" i="62"/>
  <c r="K384" i="62"/>
  <c r="M384" i="62"/>
  <c r="O384" i="62"/>
  <c r="P384" i="62"/>
  <c r="R384" i="62"/>
  <c r="S384" i="62"/>
  <c r="T384" i="62"/>
  <c r="U384" i="62"/>
  <c r="V384" i="62"/>
  <c r="W384" i="62"/>
  <c r="X384" i="62"/>
  <c r="AO384" i="62"/>
  <c r="AP384" i="62"/>
  <c r="AQ384" i="62"/>
  <c r="AR384" i="62"/>
  <c r="AS384" i="62"/>
  <c r="AT384" i="62"/>
  <c r="AU384" i="62"/>
  <c r="AW384" i="62"/>
  <c r="AX384" i="62"/>
  <c r="AY384" i="62"/>
  <c r="BA384" i="62"/>
  <c r="A385" i="62"/>
  <c r="B385" i="62"/>
  <c r="D385" i="62"/>
  <c r="E385" i="62"/>
  <c r="F385" i="62"/>
  <c r="G385" i="62"/>
  <c r="H385" i="62"/>
  <c r="J385" i="62"/>
  <c r="K385" i="62"/>
  <c r="M385" i="62"/>
  <c r="O385" i="62"/>
  <c r="P385" i="62"/>
  <c r="R385" i="62"/>
  <c r="S385" i="62"/>
  <c r="T385" i="62"/>
  <c r="U385" i="62"/>
  <c r="V385" i="62"/>
  <c r="W385" i="62"/>
  <c r="X385" i="62"/>
  <c r="AO385" i="62"/>
  <c r="AP385" i="62"/>
  <c r="AQ385" i="62"/>
  <c r="AR385" i="62"/>
  <c r="AS385" i="62"/>
  <c r="AT385" i="62"/>
  <c r="AU385" i="62"/>
  <c r="AW385" i="62"/>
  <c r="AX385" i="62"/>
  <c r="AY385" i="62"/>
  <c r="BA385" i="62"/>
  <c r="A386" i="62"/>
  <c r="B386" i="62"/>
  <c r="D386" i="62"/>
  <c r="E386" i="62"/>
  <c r="F386" i="62"/>
  <c r="G386" i="62"/>
  <c r="H386" i="62"/>
  <c r="J386" i="62"/>
  <c r="K386" i="62"/>
  <c r="M386" i="62"/>
  <c r="O386" i="62"/>
  <c r="P386" i="62"/>
  <c r="R386" i="62"/>
  <c r="S386" i="62"/>
  <c r="T386" i="62"/>
  <c r="U386" i="62"/>
  <c r="V386" i="62"/>
  <c r="W386" i="62"/>
  <c r="X386" i="62"/>
  <c r="AO386" i="62"/>
  <c r="AP386" i="62"/>
  <c r="AQ386" i="62"/>
  <c r="AR386" i="62"/>
  <c r="AS386" i="62"/>
  <c r="AT386" i="62"/>
  <c r="AU386" i="62"/>
  <c r="AW386" i="62"/>
  <c r="AX386" i="62"/>
  <c r="AY386" i="62"/>
  <c r="BA386" i="62"/>
  <c r="A387" i="62"/>
  <c r="B387" i="62"/>
  <c r="D387" i="62"/>
  <c r="E387" i="62"/>
  <c r="F387" i="62"/>
  <c r="G387" i="62"/>
  <c r="H387" i="62"/>
  <c r="J387" i="62"/>
  <c r="K387" i="62"/>
  <c r="M387" i="62"/>
  <c r="O387" i="62"/>
  <c r="P387" i="62"/>
  <c r="R387" i="62"/>
  <c r="S387" i="62"/>
  <c r="T387" i="62"/>
  <c r="U387" i="62"/>
  <c r="V387" i="62"/>
  <c r="W387" i="62"/>
  <c r="X387" i="62"/>
  <c r="AO387" i="62"/>
  <c r="AP387" i="62"/>
  <c r="AQ387" i="62"/>
  <c r="AR387" i="62"/>
  <c r="AS387" i="62"/>
  <c r="AT387" i="62"/>
  <c r="AU387" i="62"/>
  <c r="AW387" i="62"/>
  <c r="AX387" i="62"/>
  <c r="AY387" i="62"/>
  <c r="BA387" i="62"/>
  <c r="A388" i="62"/>
  <c r="B388" i="62"/>
  <c r="D388" i="62"/>
  <c r="E388" i="62"/>
  <c r="F388" i="62"/>
  <c r="G388" i="62"/>
  <c r="H388" i="62"/>
  <c r="J388" i="62"/>
  <c r="K388" i="62"/>
  <c r="M388" i="62"/>
  <c r="O388" i="62"/>
  <c r="P388" i="62"/>
  <c r="R388" i="62"/>
  <c r="S388" i="62"/>
  <c r="T388" i="62"/>
  <c r="U388" i="62"/>
  <c r="V388" i="62"/>
  <c r="W388" i="62"/>
  <c r="X388" i="62"/>
  <c r="AO388" i="62"/>
  <c r="AP388" i="62"/>
  <c r="AQ388" i="62"/>
  <c r="AR388" i="62"/>
  <c r="AS388" i="62"/>
  <c r="AT388" i="62"/>
  <c r="AU388" i="62"/>
  <c r="AW388" i="62"/>
  <c r="AX388" i="62"/>
  <c r="AY388" i="62"/>
  <c r="BA388" i="62"/>
  <c r="A389" i="62"/>
  <c r="B389" i="62"/>
  <c r="D389" i="62"/>
  <c r="E389" i="62"/>
  <c r="F389" i="62"/>
  <c r="G389" i="62"/>
  <c r="H389" i="62"/>
  <c r="J389" i="62"/>
  <c r="K389" i="62"/>
  <c r="M389" i="62"/>
  <c r="O389" i="62"/>
  <c r="P389" i="62"/>
  <c r="R389" i="62"/>
  <c r="S389" i="62"/>
  <c r="T389" i="62"/>
  <c r="U389" i="62"/>
  <c r="V389" i="62"/>
  <c r="W389" i="62"/>
  <c r="X389" i="62"/>
  <c r="AO389" i="62"/>
  <c r="AP389" i="62"/>
  <c r="AQ389" i="62"/>
  <c r="AR389" i="62"/>
  <c r="AS389" i="62"/>
  <c r="AT389" i="62"/>
  <c r="AU389" i="62"/>
  <c r="AW389" i="62"/>
  <c r="AX389" i="62"/>
  <c r="AY389" i="62"/>
  <c r="BA389" i="62"/>
  <c r="A390" i="62"/>
  <c r="B390" i="62"/>
  <c r="D390" i="62"/>
  <c r="E390" i="62"/>
  <c r="F390" i="62"/>
  <c r="G390" i="62"/>
  <c r="H390" i="62"/>
  <c r="J390" i="62"/>
  <c r="K390" i="62"/>
  <c r="M390" i="62"/>
  <c r="O390" i="62"/>
  <c r="P390" i="62"/>
  <c r="R390" i="62"/>
  <c r="S390" i="62"/>
  <c r="T390" i="62"/>
  <c r="U390" i="62"/>
  <c r="V390" i="62"/>
  <c r="W390" i="62"/>
  <c r="X390" i="62"/>
  <c r="AO390" i="62"/>
  <c r="AP390" i="62"/>
  <c r="AQ390" i="62"/>
  <c r="AR390" i="62"/>
  <c r="AS390" i="62"/>
  <c r="AT390" i="62"/>
  <c r="AU390" i="62"/>
  <c r="AW390" i="62"/>
  <c r="AX390" i="62"/>
  <c r="AY390" i="62"/>
  <c r="BA390" i="62"/>
  <c r="A391" i="62"/>
  <c r="B391" i="62"/>
  <c r="D391" i="62"/>
  <c r="E391" i="62"/>
  <c r="F391" i="62"/>
  <c r="G391" i="62"/>
  <c r="H391" i="62"/>
  <c r="J391" i="62"/>
  <c r="K391" i="62"/>
  <c r="M391" i="62"/>
  <c r="O391" i="62"/>
  <c r="P391" i="62"/>
  <c r="R391" i="62"/>
  <c r="S391" i="62"/>
  <c r="T391" i="62"/>
  <c r="U391" i="62"/>
  <c r="V391" i="62"/>
  <c r="W391" i="62"/>
  <c r="X391" i="62"/>
  <c r="AO391" i="62"/>
  <c r="AP391" i="62"/>
  <c r="AQ391" i="62"/>
  <c r="AR391" i="62"/>
  <c r="AS391" i="62"/>
  <c r="AT391" i="62"/>
  <c r="AU391" i="62"/>
  <c r="AW391" i="62"/>
  <c r="AX391" i="62"/>
  <c r="AY391" i="62"/>
  <c r="BA391" i="62"/>
  <c r="A392" i="62"/>
  <c r="B392" i="62"/>
  <c r="D392" i="62"/>
  <c r="E392" i="62"/>
  <c r="F392" i="62"/>
  <c r="G392" i="62"/>
  <c r="H392" i="62"/>
  <c r="J392" i="62"/>
  <c r="K392" i="62"/>
  <c r="M392" i="62"/>
  <c r="O392" i="62"/>
  <c r="P392" i="62"/>
  <c r="R392" i="62"/>
  <c r="S392" i="62"/>
  <c r="T392" i="62"/>
  <c r="U392" i="62"/>
  <c r="V392" i="62"/>
  <c r="W392" i="62"/>
  <c r="X392" i="62"/>
  <c r="AO392" i="62"/>
  <c r="AP392" i="62"/>
  <c r="AQ392" i="62"/>
  <c r="AR392" i="62"/>
  <c r="AS392" i="62"/>
  <c r="AT392" i="62"/>
  <c r="AU392" i="62"/>
  <c r="AW392" i="62"/>
  <c r="AX392" i="62"/>
  <c r="AY392" i="62"/>
  <c r="BA392" i="62"/>
  <c r="A393" i="62"/>
  <c r="B393" i="62"/>
  <c r="D393" i="62"/>
  <c r="E393" i="62"/>
  <c r="F393" i="62"/>
  <c r="G393" i="62"/>
  <c r="H393" i="62"/>
  <c r="J393" i="62"/>
  <c r="K393" i="62"/>
  <c r="M393" i="62"/>
  <c r="O393" i="62"/>
  <c r="P393" i="62"/>
  <c r="R393" i="62"/>
  <c r="S393" i="62"/>
  <c r="T393" i="62"/>
  <c r="U393" i="62"/>
  <c r="V393" i="62"/>
  <c r="W393" i="62"/>
  <c r="X393" i="62"/>
  <c r="AO393" i="62"/>
  <c r="AP393" i="62"/>
  <c r="AQ393" i="62"/>
  <c r="AR393" i="62"/>
  <c r="AS393" i="62"/>
  <c r="AT393" i="62"/>
  <c r="AU393" i="62"/>
  <c r="AW393" i="62"/>
  <c r="AX393" i="62"/>
  <c r="AY393" i="62"/>
  <c r="BA393" i="62"/>
  <c r="A394" i="62"/>
  <c r="B394" i="62"/>
  <c r="D394" i="62"/>
  <c r="E394" i="62"/>
  <c r="F394" i="62"/>
  <c r="G394" i="62"/>
  <c r="H394" i="62"/>
  <c r="J394" i="62"/>
  <c r="K394" i="62"/>
  <c r="M394" i="62"/>
  <c r="O394" i="62"/>
  <c r="P394" i="62"/>
  <c r="R394" i="62"/>
  <c r="S394" i="62"/>
  <c r="T394" i="62"/>
  <c r="U394" i="62"/>
  <c r="V394" i="62"/>
  <c r="W394" i="62"/>
  <c r="X394" i="62"/>
  <c r="AO394" i="62"/>
  <c r="AP394" i="62"/>
  <c r="AQ394" i="62"/>
  <c r="AR394" i="62"/>
  <c r="AS394" i="62"/>
  <c r="AT394" i="62"/>
  <c r="AU394" i="62"/>
  <c r="AW394" i="62"/>
  <c r="AX394" i="62"/>
  <c r="AY394" i="62"/>
  <c r="BA394" i="62"/>
  <c r="A395" i="62"/>
  <c r="B395" i="62"/>
  <c r="D395" i="62"/>
  <c r="E395" i="62"/>
  <c r="F395" i="62"/>
  <c r="G395" i="62"/>
  <c r="H395" i="62"/>
  <c r="J395" i="62"/>
  <c r="K395" i="62"/>
  <c r="M395" i="62"/>
  <c r="O395" i="62"/>
  <c r="P395" i="62"/>
  <c r="R395" i="62"/>
  <c r="S395" i="62"/>
  <c r="T395" i="62"/>
  <c r="U395" i="62"/>
  <c r="V395" i="62"/>
  <c r="W395" i="62"/>
  <c r="X395" i="62"/>
  <c r="AO395" i="62"/>
  <c r="AP395" i="62"/>
  <c r="AQ395" i="62"/>
  <c r="AR395" i="62"/>
  <c r="AS395" i="62"/>
  <c r="AT395" i="62"/>
  <c r="AU395" i="62"/>
  <c r="AW395" i="62"/>
  <c r="AX395" i="62"/>
  <c r="AY395" i="62"/>
  <c r="BA395" i="62"/>
  <c r="A396" i="62"/>
  <c r="B396" i="62"/>
  <c r="D396" i="62"/>
  <c r="E396" i="62"/>
  <c r="F396" i="62"/>
  <c r="G396" i="62"/>
  <c r="H396" i="62"/>
  <c r="J396" i="62"/>
  <c r="K396" i="62"/>
  <c r="M396" i="62"/>
  <c r="O396" i="62"/>
  <c r="P396" i="62"/>
  <c r="R396" i="62"/>
  <c r="S396" i="62"/>
  <c r="T396" i="62"/>
  <c r="U396" i="62"/>
  <c r="V396" i="62"/>
  <c r="W396" i="62"/>
  <c r="X396" i="62"/>
  <c r="AO396" i="62"/>
  <c r="AP396" i="62"/>
  <c r="AQ396" i="62"/>
  <c r="AR396" i="62"/>
  <c r="AS396" i="62"/>
  <c r="AT396" i="62"/>
  <c r="AU396" i="62"/>
  <c r="AW396" i="62"/>
  <c r="AX396" i="62"/>
  <c r="AY396" i="62"/>
  <c r="BA396" i="62"/>
  <c r="A397" i="62"/>
  <c r="B397" i="62"/>
  <c r="D397" i="62"/>
  <c r="E397" i="62"/>
  <c r="F397" i="62"/>
  <c r="G397" i="62"/>
  <c r="H397" i="62"/>
  <c r="J397" i="62"/>
  <c r="K397" i="62"/>
  <c r="M397" i="62"/>
  <c r="O397" i="62"/>
  <c r="P397" i="62"/>
  <c r="R397" i="62"/>
  <c r="S397" i="62"/>
  <c r="T397" i="62"/>
  <c r="U397" i="62"/>
  <c r="V397" i="62"/>
  <c r="W397" i="62"/>
  <c r="X397" i="62"/>
  <c r="AO397" i="62"/>
  <c r="AP397" i="62"/>
  <c r="AQ397" i="62"/>
  <c r="AR397" i="62"/>
  <c r="AS397" i="62"/>
  <c r="AT397" i="62"/>
  <c r="AU397" i="62"/>
  <c r="AW397" i="62"/>
  <c r="AX397" i="62"/>
  <c r="AY397" i="62"/>
  <c r="BA397" i="62"/>
  <c r="A398" i="62"/>
  <c r="B398" i="62"/>
  <c r="D398" i="62"/>
  <c r="E398" i="62"/>
  <c r="F398" i="62"/>
  <c r="G398" i="62"/>
  <c r="H398" i="62"/>
  <c r="J398" i="62"/>
  <c r="K398" i="62"/>
  <c r="M398" i="62"/>
  <c r="O398" i="62"/>
  <c r="P398" i="62"/>
  <c r="R398" i="62"/>
  <c r="S398" i="62"/>
  <c r="T398" i="62"/>
  <c r="U398" i="62"/>
  <c r="V398" i="62"/>
  <c r="W398" i="62"/>
  <c r="X398" i="62"/>
  <c r="AO398" i="62"/>
  <c r="AP398" i="62"/>
  <c r="AQ398" i="62"/>
  <c r="AR398" i="62"/>
  <c r="AS398" i="62"/>
  <c r="AT398" i="62"/>
  <c r="AU398" i="62"/>
  <c r="AW398" i="62"/>
  <c r="AX398" i="62"/>
  <c r="AY398" i="62"/>
  <c r="BA398" i="62"/>
  <c r="A399" i="62"/>
  <c r="B399" i="62"/>
  <c r="D399" i="62"/>
  <c r="E399" i="62"/>
  <c r="F399" i="62"/>
  <c r="G399" i="62"/>
  <c r="H399" i="62"/>
  <c r="J399" i="62"/>
  <c r="K399" i="62"/>
  <c r="M399" i="62"/>
  <c r="O399" i="62"/>
  <c r="P399" i="62"/>
  <c r="R399" i="62"/>
  <c r="S399" i="62"/>
  <c r="T399" i="62"/>
  <c r="U399" i="62"/>
  <c r="V399" i="62"/>
  <c r="W399" i="62"/>
  <c r="X399" i="62"/>
  <c r="AO399" i="62"/>
  <c r="AP399" i="62"/>
  <c r="AQ399" i="62"/>
  <c r="AR399" i="62"/>
  <c r="AS399" i="62"/>
  <c r="AT399" i="62"/>
  <c r="AU399" i="62"/>
  <c r="AW399" i="62"/>
  <c r="AX399" i="62"/>
  <c r="AY399" i="62"/>
  <c r="BA399" i="62"/>
  <c r="A400" i="62"/>
  <c r="B400" i="62"/>
  <c r="D400" i="62"/>
  <c r="E400" i="62"/>
  <c r="F400" i="62"/>
  <c r="G400" i="62"/>
  <c r="H400" i="62"/>
  <c r="J400" i="62"/>
  <c r="K400" i="62"/>
  <c r="M400" i="62"/>
  <c r="O400" i="62"/>
  <c r="P400" i="62"/>
  <c r="R400" i="62"/>
  <c r="S400" i="62"/>
  <c r="T400" i="62"/>
  <c r="U400" i="62"/>
  <c r="V400" i="62"/>
  <c r="W400" i="62"/>
  <c r="X400" i="62"/>
  <c r="AO400" i="62"/>
  <c r="AP400" i="62"/>
  <c r="AQ400" i="62"/>
  <c r="AR400" i="62"/>
  <c r="AS400" i="62"/>
  <c r="AT400" i="62"/>
  <c r="AU400" i="62"/>
  <c r="AW400" i="62"/>
  <c r="AX400" i="62"/>
  <c r="AY400" i="62"/>
  <c r="BA400" i="62"/>
  <c r="A401" i="62"/>
  <c r="B401" i="62"/>
  <c r="D401" i="62"/>
  <c r="E401" i="62"/>
  <c r="F401" i="62"/>
  <c r="G401" i="62"/>
  <c r="H401" i="62"/>
  <c r="J401" i="62"/>
  <c r="K401" i="62"/>
  <c r="M401" i="62"/>
  <c r="O401" i="62"/>
  <c r="P401" i="62"/>
  <c r="R401" i="62"/>
  <c r="S401" i="62"/>
  <c r="T401" i="62"/>
  <c r="U401" i="62"/>
  <c r="V401" i="62"/>
  <c r="W401" i="62"/>
  <c r="X401" i="62"/>
  <c r="AO401" i="62"/>
  <c r="AP401" i="62"/>
  <c r="AQ401" i="62"/>
  <c r="AR401" i="62"/>
  <c r="AS401" i="62"/>
  <c r="AT401" i="62"/>
  <c r="AU401" i="62"/>
  <c r="AW401" i="62"/>
  <c r="AX401" i="62"/>
  <c r="AY401" i="62"/>
  <c r="BA401" i="62"/>
  <c r="A402" i="62"/>
  <c r="B402" i="62"/>
  <c r="D402" i="62"/>
  <c r="E402" i="62"/>
  <c r="F402" i="62"/>
  <c r="G402" i="62"/>
  <c r="H402" i="62"/>
  <c r="J402" i="62"/>
  <c r="K402" i="62"/>
  <c r="M402" i="62"/>
  <c r="O402" i="62"/>
  <c r="P402" i="62"/>
  <c r="R402" i="62"/>
  <c r="S402" i="62"/>
  <c r="T402" i="62"/>
  <c r="U402" i="62"/>
  <c r="V402" i="62"/>
  <c r="W402" i="62"/>
  <c r="X402" i="62"/>
  <c r="AO402" i="62"/>
  <c r="AP402" i="62"/>
  <c r="AQ402" i="62"/>
  <c r="AR402" i="62"/>
  <c r="AS402" i="62"/>
  <c r="AT402" i="62"/>
  <c r="AU402" i="62"/>
  <c r="AW402" i="62"/>
  <c r="AX402" i="62"/>
  <c r="AY402" i="62"/>
  <c r="BA402" i="62"/>
  <c r="A403" i="62"/>
  <c r="B403" i="62"/>
  <c r="D403" i="62"/>
  <c r="E403" i="62"/>
  <c r="F403" i="62"/>
  <c r="G403" i="62"/>
  <c r="H403" i="62"/>
  <c r="J403" i="62"/>
  <c r="K403" i="62"/>
  <c r="M403" i="62"/>
  <c r="O403" i="62"/>
  <c r="P403" i="62"/>
  <c r="R403" i="62"/>
  <c r="S403" i="62"/>
  <c r="T403" i="62"/>
  <c r="U403" i="62"/>
  <c r="V403" i="62"/>
  <c r="W403" i="62"/>
  <c r="X403" i="62"/>
  <c r="AO403" i="62"/>
  <c r="AP403" i="62"/>
  <c r="AQ403" i="62"/>
  <c r="AR403" i="62"/>
  <c r="AS403" i="62"/>
  <c r="AT403" i="62"/>
  <c r="AU403" i="62"/>
  <c r="AW403" i="62"/>
  <c r="AX403" i="62"/>
  <c r="AY403" i="62"/>
  <c r="BA403" i="62"/>
  <c r="A404" i="62"/>
  <c r="B404" i="62"/>
  <c r="D404" i="62"/>
  <c r="E404" i="62"/>
  <c r="F404" i="62"/>
  <c r="G404" i="62"/>
  <c r="H404" i="62"/>
  <c r="J404" i="62"/>
  <c r="K404" i="62"/>
  <c r="M404" i="62"/>
  <c r="O404" i="62"/>
  <c r="P404" i="62"/>
  <c r="R404" i="62"/>
  <c r="S404" i="62"/>
  <c r="T404" i="62"/>
  <c r="U404" i="62"/>
  <c r="V404" i="62"/>
  <c r="W404" i="62"/>
  <c r="X404" i="62"/>
  <c r="AO404" i="62"/>
  <c r="AP404" i="62"/>
  <c r="AQ404" i="62"/>
  <c r="AR404" i="62"/>
  <c r="AS404" i="62"/>
  <c r="AT404" i="62"/>
  <c r="AU404" i="62"/>
  <c r="AW404" i="62"/>
  <c r="AX404" i="62"/>
  <c r="AY404" i="62"/>
  <c r="BA404" i="62"/>
  <c r="A405" i="62"/>
  <c r="B405" i="62"/>
  <c r="D405" i="62"/>
  <c r="E405" i="62"/>
  <c r="F405" i="62"/>
  <c r="G405" i="62"/>
  <c r="H405" i="62"/>
  <c r="J405" i="62"/>
  <c r="K405" i="62"/>
  <c r="M405" i="62"/>
  <c r="O405" i="62"/>
  <c r="P405" i="62"/>
  <c r="R405" i="62"/>
  <c r="S405" i="62"/>
  <c r="T405" i="62"/>
  <c r="U405" i="62"/>
  <c r="V405" i="62"/>
  <c r="W405" i="62"/>
  <c r="X405" i="62"/>
  <c r="AO405" i="62"/>
  <c r="AP405" i="62"/>
  <c r="AQ405" i="62"/>
  <c r="AR405" i="62"/>
  <c r="AS405" i="62"/>
  <c r="AT405" i="62"/>
  <c r="AU405" i="62"/>
  <c r="AW405" i="62"/>
  <c r="AX405" i="62"/>
  <c r="AY405" i="62"/>
  <c r="BA405" i="62"/>
  <c r="A406" i="62"/>
  <c r="B406" i="62"/>
  <c r="D406" i="62"/>
  <c r="E406" i="62"/>
  <c r="F406" i="62"/>
  <c r="G406" i="62"/>
  <c r="H406" i="62"/>
  <c r="J406" i="62"/>
  <c r="K406" i="62"/>
  <c r="M406" i="62"/>
  <c r="O406" i="62"/>
  <c r="P406" i="62"/>
  <c r="R406" i="62"/>
  <c r="S406" i="62"/>
  <c r="T406" i="62"/>
  <c r="U406" i="62"/>
  <c r="V406" i="62"/>
  <c r="W406" i="62"/>
  <c r="X406" i="62"/>
  <c r="AO406" i="62"/>
  <c r="AP406" i="62"/>
  <c r="AQ406" i="62"/>
  <c r="AR406" i="62"/>
  <c r="AS406" i="62"/>
  <c r="AT406" i="62"/>
  <c r="AU406" i="62"/>
  <c r="AW406" i="62"/>
  <c r="AX406" i="62"/>
  <c r="AY406" i="62"/>
  <c r="BA406" i="62"/>
  <c r="A407" i="62"/>
  <c r="B407" i="62"/>
  <c r="D407" i="62"/>
  <c r="E407" i="62"/>
  <c r="F407" i="62"/>
  <c r="G407" i="62"/>
  <c r="H407" i="62"/>
  <c r="J407" i="62"/>
  <c r="K407" i="62"/>
  <c r="M407" i="62"/>
  <c r="O407" i="62"/>
  <c r="P407" i="62"/>
  <c r="R407" i="62"/>
  <c r="S407" i="62"/>
  <c r="T407" i="62"/>
  <c r="U407" i="62"/>
  <c r="V407" i="62"/>
  <c r="W407" i="62"/>
  <c r="X407" i="62"/>
  <c r="AO407" i="62"/>
  <c r="AP407" i="62"/>
  <c r="AQ407" i="62"/>
  <c r="AR407" i="62"/>
  <c r="AS407" i="62"/>
  <c r="AT407" i="62"/>
  <c r="AU407" i="62"/>
  <c r="AW407" i="62"/>
  <c r="AX407" i="62"/>
  <c r="AY407" i="62"/>
  <c r="BA407" i="62"/>
  <c r="A408" i="62"/>
  <c r="B408" i="62"/>
  <c r="D408" i="62"/>
  <c r="E408" i="62"/>
  <c r="F408" i="62"/>
  <c r="G408" i="62"/>
  <c r="H408" i="62"/>
  <c r="J408" i="62"/>
  <c r="K408" i="62"/>
  <c r="M408" i="62"/>
  <c r="O408" i="62"/>
  <c r="P408" i="62"/>
  <c r="R408" i="62"/>
  <c r="S408" i="62"/>
  <c r="T408" i="62"/>
  <c r="U408" i="62"/>
  <c r="V408" i="62"/>
  <c r="W408" i="62"/>
  <c r="X408" i="62"/>
  <c r="AO408" i="62"/>
  <c r="AP408" i="62"/>
  <c r="AQ408" i="62"/>
  <c r="AR408" i="62"/>
  <c r="AS408" i="62"/>
  <c r="AT408" i="62"/>
  <c r="AU408" i="62"/>
  <c r="AW408" i="62"/>
  <c r="AX408" i="62"/>
  <c r="AY408" i="62"/>
  <c r="BA408" i="62"/>
  <c r="A409" i="62"/>
  <c r="B409" i="62"/>
  <c r="D409" i="62"/>
  <c r="E409" i="62"/>
  <c r="F409" i="62"/>
  <c r="G409" i="62"/>
  <c r="H409" i="62"/>
  <c r="J409" i="62"/>
  <c r="K409" i="62"/>
  <c r="M409" i="62"/>
  <c r="O409" i="62"/>
  <c r="P409" i="62"/>
  <c r="R409" i="62"/>
  <c r="S409" i="62"/>
  <c r="T409" i="62"/>
  <c r="U409" i="62"/>
  <c r="V409" i="62"/>
  <c r="W409" i="62"/>
  <c r="X409" i="62"/>
  <c r="AO409" i="62"/>
  <c r="AP409" i="62"/>
  <c r="AQ409" i="62"/>
  <c r="AR409" i="62"/>
  <c r="AS409" i="62"/>
  <c r="AT409" i="62"/>
  <c r="AU409" i="62"/>
  <c r="AW409" i="62"/>
  <c r="AX409" i="62"/>
  <c r="AY409" i="62"/>
  <c r="BA409" i="62"/>
  <c r="A410" i="62"/>
  <c r="B410" i="62"/>
  <c r="D410" i="62"/>
  <c r="E410" i="62"/>
  <c r="F410" i="62"/>
  <c r="G410" i="62"/>
  <c r="H410" i="62"/>
  <c r="J410" i="62"/>
  <c r="K410" i="62"/>
  <c r="M410" i="62"/>
  <c r="O410" i="62"/>
  <c r="P410" i="62"/>
  <c r="R410" i="62"/>
  <c r="S410" i="62"/>
  <c r="T410" i="62"/>
  <c r="U410" i="62"/>
  <c r="V410" i="62"/>
  <c r="W410" i="62"/>
  <c r="X410" i="62"/>
  <c r="AO410" i="62"/>
  <c r="AP410" i="62"/>
  <c r="AQ410" i="62"/>
  <c r="AR410" i="62"/>
  <c r="AS410" i="62"/>
  <c r="AT410" i="62"/>
  <c r="AU410" i="62"/>
  <c r="AW410" i="62"/>
  <c r="AX410" i="62"/>
  <c r="AY410" i="62"/>
  <c r="BA410" i="62"/>
  <c r="A411" i="62"/>
  <c r="B411" i="62"/>
  <c r="D411" i="62"/>
  <c r="E411" i="62"/>
  <c r="F411" i="62"/>
  <c r="G411" i="62"/>
  <c r="H411" i="62"/>
  <c r="J411" i="62"/>
  <c r="K411" i="62"/>
  <c r="M411" i="62"/>
  <c r="O411" i="62"/>
  <c r="P411" i="62"/>
  <c r="R411" i="62"/>
  <c r="S411" i="62"/>
  <c r="T411" i="62"/>
  <c r="U411" i="62"/>
  <c r="V411" i="62"/>
  <c r="W411" i="62"/>
  <c r="X411" i="62"/>
  <c r="AO411" i="62"/>
  <c r="AP411" i="62"/>
  <c r="AQ411" i="62"/>
  <c r="AR411" i="62"/>
  <c r="AS411" i="62"/>
  <c r="AT411" i="62"/>
  <c r="AU411" i="62"/>
  <c r="AW411" i="62"/>
  <c r="AX411" i="62"/>
  <c r="AY411" i="62"/>
  <c r="BA411" i="62"/>
  <c r="A412" i="62"/>
  <c r="B412" i="62"/>
  <c r="D412" i="62"/>
  <c r="E412" i="62"/>
  <c r="F412" i="62"/>
  <c r="G412" i="62"/>
  <c r="H412" i="62"/>
  <c r="J412" i="62"/>
  <c r="K412" i="62"/>
  <c r="M412" i="62"/>
  <c r="O412" i="62"/>
  <c r="P412" i="62"/>
  <c r="R412" i="62"/>
  <c r="S412" i="62"/>
  <c r="T412" i="62"/>
  <c r="U412" i="62"/>
  <c r="V412" i="62"/>
  <c r="W412" i="62"/>
  <c r="X412" i="62"/>
  <c r="AO412" i="62"/>
  <c r="AP412" i="62"/>
  <c r="AQ412" i="62"/>
  <c r="AR412" i="62"/>
  <c r="AS412" i="62"/>
  <c r="AT412" i="62"/>
  <c r="AU412" i="62"/>
  <c r="AW412" i="62"/>
  <c r="AX412" i="62"/>
  <c r="AY412" i="62"/>
  <c r="BA412" i="62"/>
  <c r="A413" i="62"/>
  <c r="B413" i="62"/>
  <c r="D413" i="62"/>
  <c r="E413" i="62"/>
  <c r="F413" i="62"/>
  <c r="G413" i="62"/>
  <c r="H413" i="62"/>
  <c r="J413" i="62"/>
  <c r="K413" i="62"/>
  <c r="M413" i="62"/>
  <c r="O413" i="62"/>
  <c r="P413" i="62"/>
  <c r="R413" i="62"/>
  <c r="S413" i="62"/>
  <c r="T413" i="62"/>
  <c r="U413" i="62"/>
  <c r="V413" i="62"/>
  <c r="W413" i="62"/>
  <c r="X413" i="62"/>
  <c r="AO413" i="62"/>
  <c r="AP413" i="62"/>
  <c r="AQ413" i="62"/>
  <c r="AR413" i="62"/>
  <c r="AS413" i="62"/>
  <c r="AT413" i="62"/>
  <c r="AU413" i="62"/>
  <c r="AW413" i="62"/>
  <c r="AX413" i="62"/>
  <c r="AY413" i="62"/>
  <c r="BA413" i="62"/>
  <c r="A414" i="62"/>
  <c r="B414" i="62"/>
  <c r="D414" i="62"/>
  <c r="E414" i="62"/>
  <c r="F414" i="62"/>
  <c r="G414" i="62"/>
  <c r="H414" i="62"/>
  <c r="J414" i="62"/>
  <c r="K414" i="62"/>
  <c r="M414" i="62"/>
  <c r="O414" i="62"/>
  <c r="P414" i="62"/>
  <c r="R414" i="62"/>
  <c r="S414" i="62"/>
  <c r="T414" i="62"/>
  <c r="U414" i="62"/>
  <c r="V414" i="62"/>
  <c r="W414" i="62"/>
  <c r="X414" i="62"/>
  <c r="AO414" i="62"/>
  <c r="AP414" i="62"/>
  <c r="AQ414" i="62"/>
  <c r="AR414" i="62"/>
  <c r="AS414" i="62"/>
  <c r="AT414" i="62"/>
  <c r="AU414" i="62"/>
  <c r="AW414" i="62"/>
  <c r="AX414" i="62"/>
  <c r="AY414" i="62"/>
  <c r="BA414" i="62"/>
  <c r="A415" i="62"/>
  <c r="B415" i="62"/>
  <c r="D415" i="62"/>
  <c r="E415" i="62"/>
  <c r="F415" i="62"/>
  <c r="G415" i="62"/>
  <c r="H415" i="62"/>
  <c r="J415" i="62"/>
  <c r="K415" i="62"/>
  <c r="M415" i="62"/>
  <c r="O415" i="62"/>
  <c r="P415" i="62"/>
  <c r="R415" i="62"/>
  <c r="S415" i="62"/>
  <c r="T415" i="62"/>
  <c r="U415" i="62"/>
  <c r="V415" i="62"/>
  <c r="W415" i="62"/>
  <c r="X415" i="62"/>
  <c r="AO415" i="62"/>
  <c r="AP415" i="62"/>
  <c r="AQ415" i="62"/>
  <c r="AR415" i="62"/>
  <c r="AS415" i="62"/>
  <c r="AT415" i="62"/>
  <c r="AU415" i="62"/>
  <c r="AW415" i="62"/>
  <c r="AX415" i="62"/>
  <c r="AY415" i="62"/>
  <c r="BA415" i="62"/>
  <c r="A416" i="62"/>
  <c r="B416" i="62"/>
  <c r="D416" i="62"/>
  <c r="E416" i="62"/>
  <c r="F416" i="62"/>
  <c r="G416" i="62"/>
  <c r="H416" i="62"/>
  <c r="J416" i="62"/>
  <c r="K416" i="62"/>
  <c r="M416" i="62"/>
  <c r="O416" i="62"/>
  <c r="P416" i="62"/>
  <c r="R416" i="62"/>
  <c r="S416" i="62"/>
  <c r="T416" i="62"/>
  <c r="U416" i="62"/>
  <c r="V416" i="62"/>
  <c r="W416" i="62"/>
  <c r="X416" i="62"/>
  <c r="AO416" i="62"/>
  <c r="AP416" i="62"/>
  <c r="AQ416" i="62"/>
  <c r="AR416" i="62"/>
  <c r="AS416" i="62"/>
  <c r="AT416" i="62"/>
  <c r="AU416" i="62"/>
  <c r="AW416" i="62"/>
  <c r="AX416" i="62"/>
  <c r="AY416" i="62"/>
  <c r="BA416" i="62"/>
  <c r="A417" i="62"/>
  <c r="B417" i="62"/>
  <c r="D417" i="62"/>
  <c r="E417" i="62"/>
  <c r="F417" i="62"/>
  <c r="G417" i="62"/>
  <c r="H417" i="62"/>
  <c r="J417" i="62"/>
  <c r="K417" i="62"/>
  <c r="M417" i="62"/>
  <c r="O417" i="62"/>
  <c r="P417" i="62"/>
  <c r="R417" i="62"/>
  <c r="S417" i="62"/>
  <c r="T417" i="62"/>
  <c r="U417" i="62"/>
  <c r="V417" i="62"/>
  <c r="W417" i="62"/>
  <c r="X417" i="62"/>
  <c r="AO417" i="62"/>
  <c r="AP417" i="62"/>
  <c r="AQ417" i="62"/>
  <c r="AR417" i="62"/>
  <c r="AS417" i="62"/>
  <c r="AT417" i="62"/>
  <c r="AU417" i="62"/>
  <c r="AW417" i="62"/>
  <c r="AX417" i="62"/>
  <c r="AY417" i="62"/>
  <c r="BA417" i="62"/>
  <c r="A418" i="62"/>
  <c r="B418" i="62"/>
  <c r="D418" i="62"/>
  <c r="E418" i="62"/>
  <c r="F418" i="62"/>
  <c r="G418" i="62"/>
  <c r="H418" i="62"/>
  <c r="J418" i="62"/>
  <c r="K418" i="62"/>
  <c r="M418" i="62"/>
  <c r="O418" i="62"/>
  <c r="P418" i="62"/>
  <c r="R418" i="62"/>
  <c r="S418" i="62"/>
  <c r="T418" i="62"/>
  <c r="U418" i="62"/>
  <c r="V418" i="62"/>
  <c r="W418" i="62"/>
  <c r="X418" i="62"/>
  <c r="AO418" i="62"/>
  <c r="AP418" i="62"/>
  <c r="AQ418" i="62"/>
  <c r="AR418" i="62"/>
  <c r="AS418" i="62"/>
  <c r="AT418" i="62"/>
  <c r="AU418" i="62"/>
  <c r="AW418" i="62"/>
  <c r="AX418" i="62"/>
  <c r="AY418" i="62"/>
  <c r="BA418" i="62"/>
  <c r="A419" i="62"/>
  <c r="B419" i="62"/>
  <c r="D419" i="62"/>
  <c r="E419" i="62"/>
  <c r="F419" i="62"/>
  <c r="G419" i="62"/>
  <c r="H419" i="62"/>
  <c r="J419" i="62"/>
  <c r="K419" i="62"/>
  <c r="M419" i="62"/>
  <c r="O419" i="62"/>
  <c r="P419" i="62"/>
  <c r="R419" i="62"/>
  <c r="S419" i="62"/>
  <c r="T419" i="62"/>
  <c r="U419" i="62"/>
  <c r="V419" i="62"/>
  <c r="W419" i="62"/>
  <c r="X419" i="62"/>
  <c r="AO419" i="62"/>
  <c r="AP419" i="62"/>
  <c r="AQ419" i="62"/>
  <c r="AR419" i="62"/>
  <c r="AS419" i="62"/>
  <c r="AT419" i="62"/>
  <c r="AU419" i="62"/>
  <c r="AW419" i="62"/>
  <c r="AX419" i="62"/>
  <c r="AY419" i="62"/>
  <c r="BA419" i="62"/>
  <c r="A420" i="62"/>
  <c r="B420" i="62"/>
  <c r="D420" i="62"/>
  <c r="E420" i="62"/>
  <c r="F420" i="62"/>
  <c r="G420" i="62"/>
  <c r="H420" i="62"/>
  <c r="J420" i="62"/>
  <c r="K420" i="62"/>
  <c r="M420" i="62"/>
  <c r="O420" i="62"/>
  <c r="P420" i="62"/>
  <c r="R420" i="62"/>
  <c r="S420" i="62"/>
  <c r="T420" i="62"/>
  <c r="U420" i="62"/>
  <c r="V420" i="62"/>
  <c r="W420" i="62"/>
  <c r="X420" i="62"/>
  <c r="AO420" i="62"/>
  <c r="AP420" i="62"/>
  <c r="AQ420" i="62"/>
  <c r="AR420" i="62"/>
  <c r="AS420" i="62"/>
  <c r="AT420" i="62"/>
  <c r="AU420" i="62"/>
  <c r="AW420" i="62"/>
  <c r="AX420" i="62"/>
  <c r="AY420" i="62"/>
  <c r="BA420" i="62"/>
  <c r="A421" i="62"/>
  <c r="B421" i="62"/>
  <c r="D421" i="62"/>
  <c r="E421" i="62"/>
  <c r="F421" i="62"/>
  <c r="G421" i="62"/>
  <c r="H421" i="62"/>
  <c r="J421" i="62"/>
  <c r="K421" i="62"/>
  <c r="M421" i="62"/>
  <c r="O421" i="62"/>
  <c r="P421" i="62"/>
  <c r="R421" i="62"/>
  <c r="S421" i="62"/>
  <c r="T421" i="62"/>
  <c r="U421" i="62"/>
  <c r="V421" i="62"/>
  <c r="W421" i="62"/>
  <c r="X421" i="62"/>
  <c r="AO421" i="62"/>
  <c r="AP421" i="62"/>
  <c r="AQ421" i="62"/>
  <c r="AR421" i="62"/>
  <c r="AS421" i="62"/>
  <c r="AT421" i="62"/>
  <c r="AU421" i="62"/>
  <c r="AW421" i="62"/>
  <c r="AX421" i="62"/>
  <c r="AY421" i="62"/>
  <c r="BA421" i="62"/>
  <c r="A422" i="62"/>
  <c r="B422" i="62"/>
  <c r="D422" i="62"/>
  <c r="E422" i="62"/>
  <c r="F422" i="62"/>
  <c r="G422" i="62"/>
  <c r="H422" i="62"/>
  <c r="J422" i="62"/>
  <c r="K422" i="62"/>
  <c r="M422" i="62"/>
  <c r="O422" i="62"/>
  <c r="P422" i="62"/>
  <c r="R422" i="62"/>
  <c r="S422" i="62"/>
  <c r="T422" i="62"/>
  <c r="U422" i="62"/>
  <c r="V422" i="62"/>
  <c r="W422" i="62"/>
  <c r="X422" i="62"/>
  <c r="AO422" i="62"/>
  <c r="AP422" i="62"/>
  <c r="AQ422" i="62"/>
  <c r="AR422" i="62"/>
  <c r="AS422" i="62"/>
  <c r="AT422" i="62"/>
  <c r="AU422" i="62"/>
  <c r="AW422" i="62"/>
  <c r="AX422" i="62"/>
  <c r="AY422" i="62"/>
  <c r="BA422" i="62"/>
  <c r="A423" i="62"/>
  <c r="B423" i="62"/>
  <c r="D423" i="62"/>
  <c r="E423" i="62"/>
  <c r="F423" i="62"/>
  <c r="G423" i="62"/>
  <c r="H423" i="62"/>
  <c r="J423" i="62"/>
  <c r="K423" i="62"/>
  <c r="M423" i="62"/>
  <c r="O423" i="62"/>
  <c r="P423" i="62"/>
  <c r="R423" i="62"/>
  <c r="S423" i="62"/>
  <c r="T423" i="62"/>
  <c r="U423" i="62"/>
  <c r="V423" i="62"/>
  <c r="W423" i="62"/>
  <c r="X423" i="62"/>
  <c r="AO423" i="62"/>
  <c r="AP423" i="62"/>
  <c r="AQ423" i="62"/>
  <c r="AR423" i="62"/>
  <c r="AS423" i="62"/>
  <c r="AT423" i="62"/>
  <c r="AU423" i="62"/>
  <c r="AW423" i="62"/>
  <c r="AX423" i="62"/>
  <c r="AY423" i="62"/>
  <c r="BA423" i="62"/>
  <c r="A424" i="62"/>
  <c r="B424" i="62"/>
  <c r="D424" i="62"/>
  <c r="E424" i="62"/>
  <c r="F424" i="62"/>
  <c r="G424" i="62"/>
  <c r="H424" i="62"/>
  <c r="J424" i="62"/>
  <c r="K424" i="62"/>
  <c r="M424" i="62"/>
  <c r="O424" i="62"/>
  <c r="P424" i="62"/>
  <c r="R424" i="62"/>
  <c r="S424" i="62"/>
  <c r="T424" i="62"/>
  <c r="U424" i="62"/>
  <c r="V424" i="62"/>
  <c r="W424" i="62"/>
  <c r="X424" i="62"/>
  <c r="AO424" i="62"/>
  <c r="AP424" i="62"/>
  <c r="AQ424" i="62"/>
  <c r="AR424" i="62"/>
  <c r="AS424" i="62"/>
  <c r="AT424" i="62"/>
  <c r="AU424" i="62"/>
  <c r="AW424" i="62"/>
  <c r="AX424" i="62"/>
  <c r="AY424" i="62"/>
  <c r="BA424" i="62"/>
  <c r="A425" i="62"/>
  <c r="B425" i="62"/>
  <c r="D425" i="62"/>
  <c r="E425" i="62"/>
  <c r="F425" i="62"/>
  <c r="G425" i="62"/>
  <c r="H425" i="62"/>
  <c r="J425" i="62"/>
  <c r="K425" i="62"/>
  <c r="M425" i="62"/>
  <c r="O425" i="62"/>
  <c r="P425" i="62"/>
  <c r="R425" i="62"/>
  <c r="S425" i="62"/>
  <c r="T425" i="62"/>
  <c r="U425" i="62"/>
  <c r="V425" i="62"/>
  <c r="W425" i="62"/>
  <c r="X425" i="62"/>
  <c r="AO425" i="62"/>
  <c r="AP425" i="62"/>
  <c r="AQ425" i="62"/>
  <c r="AR425" i="62"/>
  <c r="AS425" i="62"/>
  <c r="AT425" i="62"/>
  <c r="AU425" i="62"/>
  <c r="AW425" i="62"/>
  <c r="AX425" i="62"/>
  <c r="AY425" i="62"/>
  <c r="BA425" i="62"/>
  <c r="A426" i="62"/>
  <c r="B426" i="62"/>
  <c r="D426" i="62"/>
  <c r="E426" i="62"/>
  <c r="F426" i="62"/>
  <c r="G426" i="62"/>
  <c r="H426" i="62"/>
  <c r="J426" i="62"/>
  <c r="K426" i="62"/>
  <c r="M426" i="62"/>
  <c r="O426" i="62"/>
  <c r="P426" i="62"/>
  <c r="R426" i="62"/>
  <c r="S426" i="62"/>
  <c r="T426" i="62"/>
  <c r="U426" i="62"/>
  <c r="V426" i="62"/>
  <c r="W426" i="62"/>
  <c r="X426" i="62"/>
  <c r="AO426" i="62"/>
  <c r="AP426" i="62"/>
  <c r="AQ426" i="62"/>
  <c r="AR426" i="62"/>
  <c r="AS426" i="62"/>
  <c r="AT426" i="62"/>
  <c r="AU426" i="62"/>
  <c r="AW426" i="62"/>
  <c r="AX426" i="62"/>
  <c r="AY426" i="62"/>
  <c r="BA426" i="62"/>
  <c r="A427" i="62"/>
  <c r="B427" i="62"/>
  <c r="D427" i="62"/>
  <c r="E427" i="62"/>
  <c r="F427" i="62"/>
  <c r="G427" i="62"/>
  <c r="H427" i="62"/>
  <c r="J427" i="62"/>
  <c r="K427" i="62"/>
  <c r="M427" i="62"/>
  <c r="O427" i="62"/>
  <c r="P427" i="62"/>
  <c r="R427" i="62"/>
  <c r="S427" i="62"/>
  <c r="T427" i="62"/>
  <c r="U427" i="62"/>
  <c r="V427" i="62"/>
  <c r="W427" i="62"/>
  <c r="X427" i="62"/>
  <c r="AO427" i="62"/>
  <c r="AP427" i="62"/>
  <c r="AQ427" i="62"/>
  <c r="AR427" i="62"/>
  <c r="AS427" i="62"/>
  <c r="AT427" i="62"/>
  <c r="AU427" i="62"/>
  <c r="AW427" i="62"/>
  <c r="AX427" i="62"/>
  <c r="AY427" i="62"/>
  <c r="BA427" i="62"/>
  <c r="A428" i="62"/>
  <c r="B428" i="62"/>
  <c r="D428" i="62"/>
  <c r="E428" i="62"/>
  <c r="F428" i="62"/>
  <c r="G428" i="62"/>
  <c r="H428" i="62"/>
  <c r="J428" i="62"/>
  <c r="K428" i="62"/>
  <c r="M428" i="62"/>
  <c r="O428" i="62"/>
  <c r="P428" i="62"/>
  <c r="R428" i="62"/>
  <c r="S428" i="62"/>
  <c r="T428" i="62"/>
  <c r="U428" i="62"/>
  <c r="V428" i="62"/>
  <c r="W428" i="62"/>
  <c r="X428" i="62"/>
  <c r="AO428" i="62"/>
  <c r="AP428" i="62"/>
  <c r="AQ428" i="62"/>
  <c r="AR428" i="62"/>
  <c r="AS428" i="62"/>
  <c r="AT428" i="62"/>
  <c r="AU428" i="62"/>
  <c r="AW428" i="62"/>
  <c r="AX428" i="62"/>
  <c r="AY428" i="62"/>
  <c r="BA428" i="62"/>
  <c r="A429" i="62"/>
  <c r="B429" i="62"/>
  <c r="D429" i="62"/>
  <c r="E429" i="62"/>
  <c r="F429" i="62"/>
  <c r="G429" i="62"/>
  <c r="H429" i="62"/>
  <c r="J429" i="62"/>
  <c r="K429" i="62"/>
  <c r="M429" i="62"/>
  <c r="O429" i="62"/>
  <c r="P429" i="62"/>
  <c r="R429" i="62"/>
  <c r="S429" i="62"/>
  <c r="T429" i="62"/>
  <c r="U429" i="62"/>
  <c r="V429" i="62"/>
  <c r="W429" i="62"/>
  <c r="X429" i="62"/>
  <c r="AO429" i="62"/>
  <c r="AP429" i="62"/>
  <c r="AQ429" i="62"/>
  <c r="AR429" i="62"/>
  <c r="AS429" i="62"/>
  <c r="AT429" i="62"/>
  <c r="AU429" i="62"/>
  <c r="AW429" i="62"/>
  <c r="AX429" i="62"/>
  <c r="AY429" i="62"/>
  <c r="BA429" i="62"/>
  <c r="A430" i="62"/>
  <c r="B430" i="62"/>
  <c r="D430" i="62"/>
  <c r="E430" i="62"/>
  <c r="F430" i="62"/>
  <c r="G430" i="62"/>
  <c r="H430" i="62"/>
  <c r="J430" i="62"/>
  <c r="K430" i="62"/>
  <c r="M430" i="62"/>
  <c r="O430" i="62"/>
  <c r="P430" i="62"/>
  <c r="R430" i="62"/>
  <c r="S430" i="62"/>
  <c r="T430" i="62"/>
  <c r="U430" i="62"/>
  <c r="V430" i="62"/>
  <c r="W430" i="62"/>
  <c r="X430" i="62"/>
  <c r="AO430" i="62"/>
  <c r="AP430" i="62"/>
  <c r="AQ430" i="62"/>
  <c r="AR430" i="62"/>
  <c r="AS430" i="62"/>
  <c r="AT430" i="62"/>
  <c r="AU430" i="62"/>
  <c r="AW430" i="62"/>
  <c r="AX430" i="62"/>
  <c r="AY430" i="62"/>
  <c r="BA430" i="62"/>
  <c r="A431" i="62"/>
  <c r="B431" i="62"/>
  <c r="D431" i="62"/>
  <c r="E431" i="62"/>
  <c r="F431" i="62"/>
  <c r="G431" i="62"/>
  <c r="H431" i="62"/>
  <c r="J431" i="62"/>
  <c r="K431" i="62"/>
  <c r="M431" i="62"/>
  <c r="O431" i="62"/>
  <c r="P431" i="62"/>
  <c r="R431" i="62"/>
  <c r="S431" i="62"/>
  <c r="T431" i="62"/>
  <c r="U431" i="62"/>
  <c r="V431" i="62"/>
  <c r="W431" i="62"/>
  <c r="X431" i="62"/>
  <c r="AO431" i="62"/>
  <c r="AP431" i="62"/>
  <c r="AQ431" i="62"/>
  <c r="AR431" i="62"/>
  <c r="AS431" i="62"/>
  <c r="AT431" i="62"/>
  <c r="AU431" i="62"/>
  <c r="AW431" i="62"/>
  <c r="AX431" i="62"/>
  <c r="AY431" i="62"/>
  <c r="BA431" i="62"/>
  <c r="A432" i="62"/>
  <c r="B432" i="62"/>
  <c r="D432" i="62"/>
  <c r="E432" i="62"/>
  <c r="F432" i="62"/>
  <c r="G432" i="62"/>
  <c r="H432" i="62"/>
  <c r="J432" i="62"/>
  <c r="K432" i="62"/>
  <c r="M432" i="62"/>
  <c r="O432" i="62"/>
  <c r="P432" i="62"/>
  <c r="R432" i="62"/>
  <c r="S432" i="62"/>
  <c r="T432" i="62"/>
  <c r="U432" i="62"/>
  <c r="V432" i="62"/>
  <c r="W432" i="62"/>
  <c r="X432" i="62"/>
  <c r="AO432" i="62"/>
  <c r="AP432" i="62"/>
  <c r="AQ432" i="62"/>
  <c r="AR432" i="62"/>
  <c r="AS432" i="62"/>
  <c r="AT432" i="62"/>
  <c r="AU432" i="62"/>
  <c r="AW432" i="62"/>
  <c r="AX432" i="62"/>
  <c r="AY432" i="62"/>
  <c r="BA432" i="62"/>
  <c r="A433" i="62"/>
  <c r="B433" i="62"/>
  <c r="D433" i="62"/>
  <c r="E433" i="62"/>
  <c r="F433" i="62"/>
  <c r="G433" i="62"/>
  <c r="H433" i="62"/>
  <c r="J433" i="62"/>
  <c r="K433" i="62"/>
  <c r="M433" i="62"/>
  <c r="O433" i="62"/>
  <c r="P433" i="62"/>
  <c r="R433" i="62"/>
  <c r="S433" i="62"/>
  <c r="T433" i="62"/>
  <c r="U433" i="62"/>
  <c r="V433" i="62"/>
  <c r="W433" i="62"/>
  <c r="X433" i="62"/>
  <c r="AO433" i="62"/>
  <c r="AP433" i="62"/>
  <c r="AQ433" i="62"/>
  <c r="AR433" i="62"/>
  <c r="AS433" i="62"/>
  <c r="AT433" i="62"/>
  <c r="AU433" i="62"/>
  <c r="AW433" i="62"/>
  <c r="AX433" i="62"/>
  <c r="AY433" i="62"/>
  <c r="BA433" i="62"/>
  <c r="A434" i="62"/>
  <c r="B434" i="62"/>
  <c r="D434" i="62"/>
  <c r="E434" i="62"/>
  <c r="F434" i="62"/>
  <c r="G434" i="62"/>
  <c r="H434" i="62"/>
  <c r="J434" i="62"/>
  <c r="K434" i="62"/>
  <c r="M434" i="62"/>
  <c r="O434" i="62"/>
  <c r="P434" i="62"/>
  <c r="R434" i="62"/>
  <c r="S434" i="62"/>
  <c r="T434" i="62"/>
  <c r="U434" i="62"/>
  <c r="V434" i="62"/>
  <c r="W434" i="62"/>
  <c r="X434" i="62"/>
  <c r="AO434" i="62"/>
  <c r="AP434" i="62"/>
  <c r="AQ434" i="62"/>
  <c r="AR434" i="62"/>
  <c r="AS434" i="62"/>
  <c r="AT434" i="62"/>
  <c r="AU434" i="62"/>
  <c r="AW434" i="62"/>
  <c r="AX434" i="62"/>
  <c r="AY434" i="62"/>
  <c r="BA434" i="62"/>
  <c r="A435" i="62"/>
  <c r="B435" i="62"/>
  <c r="D435" i="62"/>
  <c r="E435" i="62"/>
  <c r="F435" i="62"/>
  <c r="G435" i="62"/>
  <c r="H435" i="62"/>
  <c r="J435" i="62"/>
  <c r="K435" i="62"/>
  <c r="M435" i="62"/>
  <c r="O435" i="62"/>
  <c r="P435" i="62"/>
  <c r="R435" i="62"/>
  <c r="S435" i="62"/>
  <c r="T435" i="62"/>
  <c r="U435" i="62"/>
  <c r="V435" i="62"/>
  <c r="W435" i="62"/>
  <c r="X435" i="62"/>
  <c r="AO435" i="62"/>
  <c r="AP435" i="62"/>
  <c r="AQ435" i="62"/>
  <c r="AR435" i="62"/>
  <c r="AS435" i="62"/>
  <c r="AT435" i="62"/>
  <c r="AU435" i="62"/>
  <c r="AW435" i="62"/>
  <c r="AX435" i="62"/>
  <c r="AY435" i="62"/>
  <c r="BA435" i="62"/>
  <c r="A436" i="62"/>
  <c r="B436" i="62"/>
  <c r="D436" i="62"/>
  <c r="E436" i="62"/>
  <c r="F436" i="62"/>
  <c r="G436" i="62"/>
  <c r="H436" i="62"/>
  <c r="J436" i="62"/>
  <c r="K436" i="62"/>
  <c r="M436" i="62"/>
  <c r="O436" i="62"/>
  <c r="P436" i="62"/>
  <c r="R436" i="62"/>
  <c r="S436" i="62"/>
  <c r="T436" i="62"/>
  <c r="U436" i="62"/>
  <c r="V436" i="62"/>
  <c r="W436" i="62"/>
  <c r="X436" i="62"/>
  <c r="AO436" i="62"/>
  <c r="AP436" i="62"/>
  <c r="AQ436" i="62"/>
  <c r="AR436" i="62"/>
  <c r="AS436" i="62"/>
  <c r="AT436" i="62"/>
  <c r="AU436" i="62"/>
  <c r="AW436" i="62"/>
  <c r="AX436" i="62"/>
  <c r="AY436" i="62"/>
  <c r="BA436" i="62"/>
  <c r="A437" i="62"/>
  <c r="B437" i="62"/>
  <c r="D437" i="62"/>
  <c r="E437" i="62"/>
  <c r="F437" i="62"/>
  <c r="G437" i="62"/>
  <c r="H437" i="62"/>
  <c r="J437" i="62"/>
  <c r="K437" i="62"/>
  <c r="M437" i="62"/>
  <c r="O437" i="62"/>
  <c r="P437" i="62"/>
  <c r="R437" i="62"/>
  <c r="S437" i="62"/>
  <c r="T437" i="62"/>
  <c r="U437" i="62"/>
  <c r="V437" i="62"/>
  <c r="W437" i="62"/>
  <c r="X437" i="62"/>
  <c r="AO437" i="62"/>
  <c r="AP437" i="62"/>
  <c r="AQ437" i="62"/>
  <c r="AR437" i="62"/>
  <c r="AS437" i="62"/>
  <c r="AT437" i="62"/>
  <c r="AU437" i="62"/>
  <c r="AW437" i="62"/>
  <c r="AX437" i="62"/>
  <c r="AY437" i="62"/>
  <c r="BA437" i="62"/>
  <c r="A438" i="62"/>
  <c r="B438" i="62"/>
  <c r="D438" i="62"/>
  <c r="E438" i="62"/>
  <c r="F438" i="62"/>
  <c r="G438" i="62"/>
  <c r="H438" i="62"/>
  <c r="J438" i="62"/>
  <c r="K438" i="62"/>
  <c r="M438" i="62"/>
  <c r="O438" i="62"/>
  <c r="P438" i="62"/>
  <c r="R438" i="62"/>
  <c r="S438" i="62"/>
  <c r="T438" i="62"/>
  <c r="U438" i="62"/>
  <c r="V438" i="62"/>
  <c r="W438" i="62"/>
  <c r="X438" i="62"/>
  <c r="AO438" i="62"/>
  <c r="AP438" i="62"/>
  <c r="AQ438" i="62"/>
  <c r="AR438" i="62"/>
  <c r="AS438" i="62"/>
  <c r="AT438" i="62"/>
  <c r="AU438" i="62"/>
  <c r="AW438" i="62"/>
  <c r="AX438" i="62"/>
  <c r="AY438" i="62"/>
  <c r="BA438" i="62"/>
  <c r="A439" i="62"/>
  <c r="B439" i="62"/>
  <c r="D439" i="62"/>
  <c r="E439" i="62"/>
  <c r="F439" i="62"/>
  <c r="G439" i="62"/>
  <c r="H439" i="62"/>
  <c r="J439" i="62"/>
  <c r="K439" i="62"/>
  <c r="M439" i="62"/>
  <c r="O439" i="62"/>
  <c r="P439" i="62"/>
  <c r="R439" i="62"/>
  <c r="S439" i="62"/>
  <c r="T439" i="62"/>
  <c r="U439" i="62"/>
  <c r="V439" i="62"/>
  <c r="W439" i="62"/>
  <c r="X439" i="62"/>
  <c r="AO439" i="62"/>
  <c r="AP439" i="62"/>
  <c r="AQ439" i="62"/>
  <c r="AR439" i="62"/>
  <c r="AS439" i="62"/>
  <c r="AT439" i="62"/>
  <c r="AU439" i="62"/>
  <c r="AW439" i="62"/>
  <c r="AX439" i="62"/>
  <c r="AY439" i="62"/>
  <c r="BA439" i="62"/>
  <c r="A440" i="62"/>
  <c r="B440" i="62"/>
  <c r="D440" i="62"/>
  <c r="E440" i="62"/>
  <c r="F440" i="62"/>
  <c r="G440" i="62"/>
  <c r="H440" i="62"/>
  <c r="J440" i="62"/>
  <c r="K440" i="62"/>
  <c r="M440" i="62"/>
  <c r="O440" i="62"/>
  <c r="P440" i="62"/>
  <c r="R440" i="62"/>
  <c r="S440" i="62"/>
  <c r="T440" i="62"/>
  <c r="U440" i="62"/>
  <c r="V440" i="62"/>
  <c r="W440" i="62"/>
  <c r="X440" i="62"/>
  <c r="AO440" i="62"/>
  <c r="AP440" i="62"/>
  <c r="AQ440" i="62"/>
  <c r="AR440" i="62"/>
  <c r="AS440" i="62"/>
  <c r="AT440" i="62"/>
  <c r="AU440" i="62"/>
  <c r="AW440" i="62"/>
  <c r="AX440" i="62"/>
  <c r="AY440" i="62"/>
  <c r="BA440" i="62"/>
  <c r="A441" i="62"/>
  <c r="B441" i="62"/>
  <c r="D441" i="62"/>
  <c r="E441" i="62"/>
  <c r="F441" i="62"/>
  <c r="G441" i="62"/>
  <c r="H441" i="62"/>
  <c r="J441" i="62"/>
  <c r="K441" i="62"/>
  <c r="M441" i="62"/>
  <c r="O441" i="62"/>
  <c r="P441" i="62"/>
  <c r="R441" i="62"/>
  <c r="S441" i="62"/>
  <c r="T441" i="62"/>
  <c r="U441" i="62"/>
  <c r="V441" i="62"/>
  <c r="W441" i="62"/>
  <c r="X441" i="62"/>
  <c r="AO441" i="62"/>
  <c r="AP441" i="62"/>
  <c r="AQ441" i="62"/>
  <c r="AR441" i="62"/>
  <c r="AS441" i="62"/>
  <c r="AT441" i="62"/>
  <c r="AU441" i="62"/>
  <c r="AW441" i="62"/>
  <c r="AX441" i="62"/>
  <c r="AY441" i="62"/>
  <c r="BA441" i="62"/>
  <c r="A442" i="62"/>
  <c r="B442" i="62"/>
  <c r="D442" i="62"/>
  <c r="E442" i="62"/>
  <c r="F442" i="62"/>
  <c r="G442" i="62"/>
  <c r="H442" i="62"/>
  <c r="J442" i="62"/>
  <c r="K442" i="62"/>
  <c r="M442" i="62"/>
  <c r="O442" i="62"/>
  <c r="P442" i="62"/>
  <c r="R442" i="62"/>
  <c r="S442" i="62"/>
  <c r="T442" i="62"/>
  <c r="U442" i="62"/>
  <c r="V442" i="62"/>
  <c r="W442" i="62"/>
  <c r="X442" i="62"/>
  <c r="AO442" i="62"/>
  <c r="AP442" i="62"/>
  <c r="AQ442" i="62"/>
  <c r="AR442" i="62"/>
  <c r="AS442" i="62"/>
  <c r="AT442" i="62"/>
  <c r="AU442" i="62"/>
  <c r="AW442" i="62"/>
  <c r="AX442" i="62"/>
  <c r="AY442" i="62"/>
  <c r="BA442" i="62"/>
  <c r="A443" i="62"/>
  <c r="B443" i="62"/>
  <c r="D443" i="62"/>
  <c r="E443" i="62"/>
  <c r="F443" i="62"/>
  <c r="G443" i="62"/>
  <c r="H443" i="62"/>
  <c r="J443" i="62"/>
  <c r="K443" i="62"/>
  <c r="M443" i="62"/>
  <c r="O443" i="62"/>
  <c r="P443" i="62"/>
  <c r="R443" i="62"/>
  <c r="S443" i="62"/>
  <c r="T443" i="62"/>
  <c r="U443" i="62"/>
  <c r="V443" i="62"/>
  <c r="W443" i="62"/>
  <c r="X443" i="62"/>
  <c r="AO443" i="62"/>
  <c r="AP443" i="62"/>
  <c r="AQ443" i="62"/>
  <c r="AR443" i="62"/>
  <c r="AS443" i="62"/>
  <c r="AT443" i="62"/>
  <c r="AU443" i="62"/>
  <c r="AW443" i="62"/>
  <c r="AX443" i="62"/>
  <c r="AY443" i="62"/>
  <c r="BA443" i="62"/>
  <c r="A444" i="62"/>
  <c r="B444" i="62"/>
  <c r="D444" i="62"/>
  <c r="E444" i="62"/>
  <c r="F444" i="62"/>
  <c r="G444" i="62"/>
  <c r="H444" i="62"/>
  <c r="J444" i="62"/>
  <c r="K444" i="62"/>
  <c r="M444" i="62"/>
  <c r="O444" i="62"/>
  <c r="P444" i="62"/>
  <c r="R444" i="62"/>
  <c r="S444" i="62"/>
  <c r="T444" i="62"/>
  <c r="U444" i="62"/>
  <c r="V444" i="62"/>
  <c r="W444" i="62"/>
  <c r="X444" i="62"/>
  <c r="AO444" i="62"/>
  <c r="AP444" i="62"/>
  <c r="AQ444" i="62"/>
  <c r="AR444" i="62"/>
  <c r="AS444" i="62"/>
  <c r="AT444" i="62"/>
  <c r="AU444" i="62"/>
  <c r="AW444" i="62"/>
  <c r="AX444" i="62"/>
  <c r="AY444" i="62"/>
  <c r="BA444" i="62"/>
  <c r="A445" i="62"/>
  <c r="B445" i="62"/>
  <c r="D445" i="62"/>
  <c r="E445" i="62"/>
  <c r="F445" i="62"/>
  <c r="G445" i="62"/>
  <c r="H445" i="62"/>
  <c r="J445" i="62"/>
  <c r="K445" i="62"/>
  <c r="M445" i="62"/>
  <c r="O445" i="62"/>
  <c r="P445" i="62"/>
  <c r="R445" i="62"/>
  <c r="S445" i="62"/>
  <c r="T445" i="62"/>
  <c r="U445" i="62"/>
  <c r="V445" i="62"/>
  <c r="W445" i="62"/>
  <c r="X445" i="62"/>
  <c r="AO445" i="62"/>
  <c r="AP445" i="62"/>
  <c r="AQ445" i="62"/>
  <c r="AR445" i="62"/>
  <c r="AS445" i="62"/>
  <c r="AT445" i="62"/>
  <c r="AU445" i="62"/>
  <c r="AW445" i="62"/>
  <c r="AX445" i="62"/>
  <c r="AY445" i="62"/>
  <c r="BA445" i="62"/>
  <c r="A446" i="62"/>
  <c r="B446" i="62"/>
  <c r="D446" i="62"/>
  <c r="E446" i="62"/>
  <c r="F446" i="62"/>
  <c r="G446" i="62"/>
  <c r="H446" i="62"/>
  <c r="J446" i="62"/>
  <c r="K446" i="62"/>
  <c r="M446" i="62"/>
  <c r="O446" i="62"/>
  <c r="P446" i="62"/>
  <c r="R446" i="62"/>
  <c r="S446" i="62"/>
  <c r="T446" i="62"/>
  <c r="U446" i="62"/>
  <c r="V446" i="62"/>
  <c r="W446" i="62"/>
  <c r="X446" i="62"/>
  <c r="AO446" i="62"/>
  <c r="AP446" i="62"/>
  <c r="AQ446" i="62"/>
  <c r="AR446" i="62"/>
  <c r="AS446" i="62"/>
  <c r="AT446" i="62"/>
  <c r="AU446" i="62"/>
  <c r="AW446" i="62"/>
  <c r="AX446" i="62"/>
  <c r="AY446" i="62"/>
  <c r="BA446" i="62"/>
  <c r="A447" i="62"/>
  <c r="B447" i="62"/>
  <c r="D447" i="62"/>
  <c r="E447" i="62"/>
  <c r="F447" i="62"/>
  <c r="G447" i="62"/>
  <c r="H447" i="62"/>
  <c r="J447" i="62"/>
  <c r="K447" i="62"/>
  <c r="M447" i="62"/>
  <c r="O447" i="62"/>
  <c r="P447" i="62"/>
  <c r="R447" i="62"/>
  <c r="S447" i="62"/>
  <c r="T447" i="62"/>
  <c r="U447" i="62"/>
  <c r="V447" i="62"/>
  <c r="W447" i="62"/>
  <c r="X447" i="62"/>
  <c r="AO447" i="62"/>
  <c r="AP447" i="62"/>
  <c r="AQ447" i="62"/>
  <c r="AR447" i="62"/>
  <c r="AS447" i="62"/>
  <c r="AT447" i="62"/>
  <c r="AU447" i="62"/>
  <c r="AW447" i="62"/>
  <c r="AX447" i="62"/>
  <c r="AY447" i="62"/>
  <c r="BA447" i="62"/>
  <c r="A448" i="62"/>
  <c r="B448" i="62"/>
  <c r="D448" i="62"/>
  <c r="E448" i="62"/>
  <c r="F448" i="62"/>
  <c r="G448" i="62"/>
  <c r="H448" i="62"/>
  <c r="J448" i="62"/>
  <c r="K448" i="62"/>
  <c r="M448" i="62"/>
  <c r="O448" i="62"/>
  <c r="P448" i="62"/>
  <c r="R448" i="62"/>
  <c r="S448" i="62"/>
  <c r="T448" i="62"/>
  <c r="U448" i="62"/>
  <c r="V448" i="62"/>
  <c r="W448" i="62"/>
  <c r="X448" i="62"/>
  <c r="AO448" i="62"/>
  <c r="AP448" i="62"/>
  <c r="AQ448" i="62"/>
  <c r="AR448" i="62"/>
  <c r="AS448" i="62"/>
  <c r="AT448" i="62"/>
  <c r="AU448" i="62"/>
  <c r="AW448" i="62"/>
  <c r="AX448" i="62"/>
  <c r="AY448" i="62"/>
  <c r="BA448" i="62"/>
  <c r="A449" i="62"/>
  <c r="B449" i="62"/>
  <c r="D449" i="62"/>
  <c r="E449" i="62"/>
  <c r="F449" i="62"/>
  <c r="G449" i="62"/>
  <c r="H449" i="62"/>
  <c r="J449" i="62"/>
  <c r="K449" i="62"/>
  <c r="M449" i="62"/>
  <c r="O449" i="62"/>
  <c r="P449" i="62"/>
  <c r="R449" i="62"/>
  <c r="S449" i="62"/>
  <c r="T449" i="62"/>
  <c r="U449" i="62"/>
  <c r="V449" i="62"/>
  <c r="W449" i="62"/>
  <c r="X449" i="62"/>
  <c r="AO449" i="62"/>
  <c r="AP449" i="62"/>
  <c r="AQ449" i="62"/>
  <c r="AR449" i="62"/>
  <c r="AS449" i="62"/>
  <c r="AT449" i="62"/>
  <c r="AU449" i="62"/>
  <c r="AW449" i="62"/>
  <c r="AX449" i="62"/>
  <c r="AY449" i="62"/>
  <c r="BA449" i="62"/>
  <c r="A450" i="62"/>
  <c r="B450" i="62"/>
  <c r="D450" i="62"/>
  <c r="E450" i="62"/>
  <c r="F450" i="62"/>
  <c r="G450" i="62"/>
  <c r="H450" i="62"/>
  <c r="J450" i="62"/>
  <c r="K450" i="62"/>
  <c r="M450" i="62"/>
  <c r="O450" i="62"/>
  <c r="P450" i="62"/>
  <c r="R450" i="62"/>
  <c r="S450" i="62"/>
  <c r="T450" i="62"/>
  <c r="U450" i="62"/>
  <c r="V450" i="62"/>
  <c r="W450" i="62"/>
  <c r="X450" i="62"/>
  <c r="AO450" i="62"/>
  <c r="AP450" i="62"/>
  <c r="AQ450" i="62"/>
  <c r="AR450" i="62"/>
  <c r="AS450" i="62"/>
  <c r="AT450" i="62"/>
  <c r="AU450" i="62"/>
  <c r="AW450" i="62"/>
  <c r="AX450" i="62"/>
  <c r="AY450" i="62"/>
  <c r="BA450" i="62"/>
  <c r="A451" i="62"/>
  <c r="B451" i="62"/>
  <c r="D451" i="62"/>
  <c r="E451" i="62"/>
  <c r="F451" i="62"/>
  <c r="G451" i="62"/>
  <c r="H451" i="62"/>
  <c r="J451" i="62"/>
  <c r="K451" i="62"/>
  <c r="M451" i="62"/>
  <c r="O451" i="62"/>
  <c r="P451" i="62"/>
  <c r="R451" i="62"/>
  <c r="S451" i="62"/>
  <c r="T451" i="62"/>
  <c r="U451" i="62"/>
  <c r="V451" i="62"/>
  <c r="W451" i="62"/>
  <c r="X451" i="62"/>
  <c r="AO451" i="62"/>
  <c r="AP451" i="62"/>
  <c r="AQ451" i="62"/>
  <c r="AR451" i="62"/>
  <c r="AS451" i="62"/>
  <c r="AT451" i="62"/>
  <c r="AU451" i="62"/>
  <c r="AW451" i="62"/>
  <c r="AX451" i="62"/>
  <c r="AY451" i="62"/>
  <c r="BA451" i="62"/>
  <c r="A452" i="62"/>
  <c r="B452" i="62"/>
  <c r="D452" i="62"/>
  <c r="E452" i="62"/>
  <c r="F452" i="62"/>
  <c r="G452" i="62"/>
  <c r="H452" i="62"/>
  <c r="J452" i="62"/>
  <c r="K452" i="62"/>
  <c r="M452" i="62"/>
  <c r="O452" i="62"/>
  <c r="P452" i="62"/>
  <c r="R452" i="62"/>
  <c r="S452" i="62"/>
  <c r="T452" i="62"/>
  <c r="U452" i="62"/>
  <c r="V452" i="62"/>
  <c r="W452" i="62"/>
  <c r="X452" i="62"/>
  <c r="AO452" i="62"/>
  <c r="AP452" i="62"/>
  <c r="AQ452" i="62"/>
  <c r="AR452" i="62"/>
  <c r="AS452" i="62"/>
  <c r="AT452" i="62"/>
  <c r="AU452" i="62"/>
  <c r="AW452" i="62"/>
  <c r="AX452" i="62"/>
  <c r="AY452" i="62"/>
  <c r="BA452" i="62"/>
  <c r="A453" i="62"/>
  <c r="B453" i="62"/>
  <c r="D453" i="62"/>
  <c r="E453" i="62"/>
  <c r="F453" i="62"/>
  <c r="G453" i="62"/>
  <c r="H453" i="62"/>
  <c r="J453" i="62"/>
  <c r="K453" i="62"/>
  <c r="M453" i="62"/>
  <c r="O453" i="62"/>
  <c r="P453" i="62"/>
  <c r="R453" i="62"/>
  <c r="S453" i="62"/>
  <c r="T453" i="62"/>
  <c r="U453" i="62"/>
  <c r="V453" i="62"/>
  <c r="W453" i="62"/>
  <c r="X453" i="62"/>
  <c r="AO453" i="62"/>
  <c r="AP453" i="62"/>
  <c r="AQ453" i="62"/>
  <c r="AR453" i="62"/>
  <c r="AS453" i="62"/>
  <c r="AT453" i="62"/>
  <c r="AU453" i="62"/>
  <c r="AW453" i="62"/>
  <c r="AX453" i="62"/>
  <c r="AY453" i="62"/>
  <c r="BA453" i="62"/>
  <c r="A454" i="62"/>
  <c r="B454" i="62"/>
  <c r="D454" i="62"/>
  <c r="E454" i="62"/>
  <c r="F454" i="62"/>
  <c r="G454" i="62"/>
  <c r="H454" i="62"/>
  <c r="J454" i="62"/>
  <c r="K454" i="62"/>
  <c r="M454" i="62"/>
  <c r="O454" i="62"/>
  <c r="P454" i="62"/>
  <c r="R454" i="62"/>
  <c r="S454" i="62"/>
  <c r="T454" i="62"/>
  <c r="U454" i="62"/>
  <c r="V454" i="62"/>
  <c r="W454" i="62"/>
  <c r="X454" i="62"/>
  <c r="AO454" i="62"/>
  <c r="AP454" i="62"/>
  <c r="AQ454" i="62"/>
  <c r="AR454" i="62"/>
  <c r="AS454" i="62"/>
  <c r="AT454" i="62"/>
  <c r="AU454" i="62"/>
  <c r="AW454" i="62"/>
  <c r="AX454" i="62"/>
  <c r="AY454" i="62"/>
  <c r="BA454" i="62"/>
  <c r="A455" i="62"/>
  <c r="B455" i="62"/>
  <c r="D455" i="62"/>
  <c r="E455" i="62"/>
  <c r="F455" i="62"/>
  <c r="G455" i="62"/>
  <c r="H455" i="62"/>
  <c r="J455" i="62"/>
  <c r="K455" i="62"/>
  <c r="M455" i="62"/>
  <c r="O455" i="62"/>
  <c r="P455" i="62"/>
  <c r="R455" i="62"/>
  <c r="S455" i="62"/>
  <c r="T455" i="62"/>
  <c r="U455" i="62"/>
  <c r="V455" i="62"/>
  <c r="W455" i="62"/>
  <c r="X455" i="62"/>
  <c r="AO455" i="62"/>
  <c r="AP455" i="62"/>
  <c r="AQ455" i="62"/>
  <c r="AR455" i="62"/>
  <c r="AS455" i="62"/>
  <c r="AT455" i="62"/>
  <c r="AU455" i="62"/>
  <c r="AW455" i="62"/>
  <c r="AX455" i="62"/>
  <c r="AY455" i="62"/>
  <c r="BA455" i="62"/>
  <c r="A456" i="62"/>
  <c r="B456" i="62"/>
  <c r="D456" i="62"/>
  <c r="E456" i="62"/>
  <c r="F456" i="62"/>
  <c r="G456" i="62"/>
  <c r="H456" i="62"/>
  <c r="J456" i="62"/>
  <c r="K456" i="62"/>
  <c r="M456" i="62"/>
  <c r="O456" i="62"/>
  <c r="P456" i="62"/>
  <c r="R456" i="62"/>
  <c r="S456" i="62"/>
  <c r="T456" i="62"/>
  <c r="U456" i="62"/>
  <c r="V456" i="62"/>
  <c r="W456" i="62"/>
  <c r="X456" i="62"/>
  <c r="AO456" i="62"/>
  <c r="AP456" i="62"/>
  <c r="AQ456" i="62"/>
  <c r="AR456" i="62"/>
  <c r="AS456" i="62"/>
  <c r="AT456" i="62"/>
  <c r="AU456" i="62"/>
  <c r="AW456" i="62"/>
  <c r="AX456" i="62"/>
  <c r="AY456" i="62"/>
  <c r="BA456" i="62"/>
  <c r="A457" i="62"/>
  <c r="B457" i="62"/>
  <c r="D457" i="62"/>
  <c r="E457" i="62"/>
  <c r="F457" i="62"/>
  <c r="G457" i="62"/>
  <c r="H457" i="62"/>
  <c r="J457" i="62"/>
  <c r="K457" i="62"/>
  <c r="M457" i="62"/>
  <c r="O457" i="62"/>
  <c r="P457" i="62"/>
  <c r="R457" i="62"/>
  <c r="S457" i="62"/>
  <c r="T457" i="62"/>
  <c r="U457" i="62"/>
  <c r="V457" i="62"/>
  <c r="W457" i="62"/>
  <c r="X457" i="62"/>
  <c r="AO457" i="62"/>
  <c r="AP457" i="62"/>
  <c r="AQ457" i="62"/>
  <c r="AR457" i="62"/>
  <c r="AS457" i="62"/>
  <c r="AT457" i="62"/>
  <c r="AU457" i="62"/>
  <c r="AW457" i="62"/>
  <c r="AX457" i="62"/>
  <c r="AY457" i="62"/>
  <c r="BA457" i="62"/>
  <c r="A458" i="62"/>
  <c r="B458" i="62"/>
  <c r="D458" i="62"/>
  <c r="E458" i="62"/>
  <c r="F458" i="62"/>
  <c r="G458" i="62"/>
  <c r="H458" i="62"/>
  <c r="J458" i="62"/>
  <c r="K458" i="62"/>
  <c r="M458" i="62"/>
  <c r="O458" i="62"/>
  <c r="P458" i="62"/>
  <c r="R458" i="62"/>
  <c r="S458" i="62"/>
  <c r="T458" i="62"/>
  <c r="U458" i="62"/>
  <c r="V458" i="62"/>
  <c r="W458" i="62"/>
  <c r="X458" i="62"/>
  <c r="AO458" i="62"/>
  <c r="AP458" i="62"/>
  <c r="AQ458" i="62"/>
  <c r="AR458" i="62"/>
  <c r="AS458" i="62"/>
  <c r="AT458" i="62"/>
  <c r="AU458" i="62"/>
  <c r="AW458" i="62"/>
  <c r="AX458" i="62"/>
  <c r="AY458" i="62"/>
  <c r="BA458" i="62"/>
  <c r="A459" i="62"/>
  <c r="B459" i="62"/>
  <c r="D459" i="62"/>
  <c r="E459" i="62"/>
  <c r="F459" i="62"/>
  <c r="G459" i="62"/>
  <c r="H459" i="62"/>
  <c r="J459" i="62"/>
  <c r="K459" i="62"/>
  <c r="M459" i="62"/>
  <c r="O459" i="62"/>
  <c r="P459" i="62"/>
  <c r="R459" i="62"/>
  <c r="S459" i="62"/>
  <c r="T459" i="62"/>
  <c r="U459" i="62"/>
  <c r="V459" i="62"/>
  <c r="W459" i="62"/>
  <c r="X459" i="62"/>
  <c r="AO459" i="62"/>
  <c r="AP459" i="62"/>
  <c r="AQ459" i="62"/>
  <c r="AR459" i="62"/>
  <c r="AS459" i="62"/>
  <c r="AT459" i="62"/>
  <c r="AU459" i="62"/>
  <c r="AW459" i="62"/>
  <c r="AX459" i="62"/>
  <c r="AY459" i="62"/>
  <c r="BA459" i="62"/>
  <c r="A460" i="62"/>
  <c r="B460" i="62"/>
  <c r="D460" i="62"/>
  <c r="E460" i="62"/>
  <c r="F460" i="62"/>
  <c r="G460" i="62"/>
  <c r="H460" i="62"/>
  <c r="J460" i="62"/>
  <c r="K460" i="62"/>
  <c r="M460" i="62"/>
  <c r="O460" i="62"/>
  <c r="P460" i="62"/>
  <c r="R460" i="62"/>
  <c r="S460" i="62"/>
  <c r="T460" i="62"/>
  <c r="U460" i="62"/>
  <c r="V460" i="62"/>
  <c r="W460" i="62"/>
  <c r="X460" i="62"/>
  <c r="AO460" i="62"/>
  <c r="AP460" i="62"/>
  <c r="AQ460" i="62"/>
  <c r="AR460" i="62"/>
  <c r="AS460" i="62"/>
  <c r="AT460" i="62"/>
  <c r="AU460" i="62"/>
  <c r="AW460" i="62"/>
  <c r="AX460" i="62"/>
  <c r="AY460" i="62"/>
  <c r="BA460" i="62"/>
  <c r="A461" i="62"/>
  <c r="B461" i="62"/>
  <c r="D461" i="62"/>
  <c r="E461" i="62"/>
  <c r="F461" i="62"/>
  <c r="G461" i="62"/>
  <c r="H461" i="62"/>
  <c r="J461" i="62"/>
  <c r="K461" i="62"/>
  <c r="M461" i="62"/>
  <c r="O461" i="62"/>
  <c r="P461" i="62"/>
  <c r="R461" i="62"/>
  <c r="S461" i="62"/>
  <c r="T461" i="62"/>
  <c r="U461" i="62"/>
  <c r="V461" i="62"/>
  <c r="W461" i="62"/>
  <c r="X461" i="62"/>
  <c r="AO461" i="62"/>
  <c r="AP461" i="62"/>
  <c r="AQ461" i="62"/>
  <c r="AR461" i="62"/>
  <c r="AS461" i="62"/>
  <c r="AT461" i="62"/>
  <c r="AU461" i="62"/>
  <c r="AW461" i="62"/>
  <c r="AX461" i="62"/>
  <c r="AY461" i="62"/>
  <c r="BA461" i="62"/>
  <c r="A462" i="62"/>
  <c r="B462" i="62"/>
  <c r="D462" i="62"/>
  <c r="E462" i="62"/>
  <c r="F462" i="62"/>
  <c r="G462" i="62"/>
  <c r="H462" i="62"/>
  <c r="J462" i="62"/>
  <c r="K462" i="62"/>
  <c r="M462" i="62"/>
  <c r="O462" i="62"/>
  <c r="P462" i="62"/>
  <c r="R462" i="62"/>
  <c r="S462" i="62"/>
  <c r="T462" i="62"/>
  <c r="U462" i="62"/>
  <c r="V462" i="62"/>
  <c r="W462" i="62"/>
  <c r="X462" i="62"/>
  <c r="AO462" i="62"/>
  <c r="AP462" i="62"/>
  <c r="AQ462" i="62"/>
  <c r="AR462" i="62"/>
  <c r="AS462" i="62"/>
  <c r="AT462" i="62"/>
  <c r="AU462" i="62"/>
  <c r="AW462" i="62"/>
  <c r="AX462" i="62"/>
  <c r="AY462" i="62"/>
  <c r="BA462" i="62"/>
  <c r="A463" i="62"/>
  <c r="B463" i="62"/>
  <c r="D463" i="62"/>
  <c r="E463" i="62"/>
  <c r="F463" i="62"/>
  <c r="G463" i="62"/>
  <c r="H463" i="62"/>
  <c r="J463" i="62"/>
  <c r="K463" i="62"/>
  <c r="M463" i="62"/>
  <c r="O463" i="62"/>
  <c r="P463" i="62"/>
  <c r="R463" i="62"/>
  <c r="S463" i="62"/>
  <c r="T463" i="62"/>
  <c r="U463" i="62"/>
  <c r="V463" i="62"/>
  <c r="W463" i="62"/>
  <c r="X463" i="62"/>
  <c r="AO463" i="62"/>
  <c r="AP463" i="62"/>
  <c r="AQ463" i="62"/>
  <c r="AR463" i="62"/>
  <c r="AS463" i="62"/>
  <c r="AT463" i="62"/>
  <c r="AU463" i="62"/>
  <c r="AW463" i="62"/>
  <c r="AX463" i="62"/>
  <c r="AY463" i="62"/>
  <c r="BA463" i="62"/>
  <c r="A464" i="62"/>
  <c r="B464" i="62"/>
  <c r="D464" i="62"/>
  <c r="E464" i="62"/>
  <c r="F464" i="62"/>
  <c r="G464" i="62"/>
  <c r="H464" i="62"/>
  <c r="J464" i="62"/>
  <c r="K464" i="62"/>
  <c r="M464" i="62"/>
  <c r="O464" i="62"/>
  <c r="P464" i="62"/>
  <c r="R464" i="62"/>
  <c r="S464" i="62"/>
  <c r="T464" i="62"/>
  <c r="U464" i="62"/>
  <c r="V464" i="62"/>
  <c r="W464" i="62"/>
  <c r="X464" i="62"/>
  <c r="AO464" i="62"/>
  <c r="AP464" i="62"/>
  <c r="AQ464" i="62"/>
  <c r="AR464" i="62"/>
  <c r="AS464" i="62"/>
  <c r="AT464" i="62"/>
  <c r="AU464" i="62"/>
  <c r="AW464" i="62"/>
  <c r="AX464" i="62"/>
  <c r="AY464" i="62"/>
  <c r="BA464" i="62"/>
  <c r="A465" i="62"/>
  <c r="B465" i="62"/>
  <c r="D465" i="62"/>
  <c r="E465" i="62"/>
  <c r="F465" i="62"/>
  <c r="G465" i="62"/>
  <c r="H465" i="62"/>
  <c r="J465" i="62"/>
  <c r="K465" i="62"/>
  <c r="M465" i="62"/>
  <c r="O465" i="62"/>
  <c r="P465" i="62"/>
  <c r="R465" i="62"/>
  <c r="S465" i="62"/>
  <c r="T465" i="62"/>
  <c r="U465" i="62"/>
  <c r="V465" i="62"/>
  <c r="W465" i="62"/>
  <c r="X465" i="62"/>
  <c r="AO465" i="62"/>
  <c r="AP465" i="62"/>
  <c r="AQ465" i="62"/>
  <c r="AR465" i="62"/>
  <c r="AS465" i="62"/>
  <c r="AT465" i="62"/>
  <c r="AU465" i="62"/>
  <c r="AW465" i="62"/>
  <c r="AX465" i="62"/>
  <c r="AY465" i="62"/>
  <c r="BA465" i="62"/>
  <c r="A466" i="62"/>
  <c r="B466" i="62"/>
  <c r="D466" i="62"/>
  <c r="E466" i="62"/>
  <c r="F466" i="62"/>
  <c r="G466" i="62"/>
  <c r="H466" i="62"/>
  <c r="J466" i="62"/>
  <c r="K466" i="62"/>
  <c r="M466" i="62"/>
  <c r="O466" i="62"/>
  <c r="P466" i="62"/>
  <c r="R466" i="62"/>
  <c r="S466" i="62"/>
  <c r="T466" i="62"/>
  <c r="U466" i="62"/>
  <c r="V466" i="62"/>
  <c r="W466" i="62"/>
  <c r="X466" i="62"/>
  <c r="AO466" i="62"/>
  <c r="AP466" i="62"/>
  <c r="AQ466" i="62"/>
  <c r="AR466" i="62"/>
  <c r="AS466" i="62"/>
  <c r="AT466" i="62"/>
  <c r="AU466" i="62"/>
  <c r="AW466" i="62"/>
  <c r="AX466" i="62"/>
  <c r="AY466" i="62"/>
  <c r="BA466" i="62"/>
  <c r="A467" i="62"/>
  <c r="B467" i="62"/>
  <c r="D467" i="62"/>
  <c r="E467" i="62"/>
  <c r="F467" i="62"/>
  <c r="G467" i="62"/>
  <c r="H467" i="62"/>
  <c r="J467" i="62"/>
  <c r="K467" i="62"/>
  <c r="M467" i="62"/>
  <c r="O467" i="62"/>
  <c r="P467" i="62"/>
  <c r="R467" i="62"/>
  <c r="S467" i="62"/>
  <c r="T467" i="62"/>
  <c r="U467" i="62"/>
  <c r="V467" i="62"/>
  <c r="W467" i="62"/>
  <c r="X467" i="62"/>
  <c r="AO467" i="62"/>
  <c r="AP467" i="62"/>
  <c r="AQ467" i="62"/>
  <c r="AR467" i="62"/>
  <c r="AS467" i="62"/>
  <c r="AT467" i="62"/>
  <c r="AU467" i="62"/>
  <c r="AW467" i="62"/>
  <c r="AX467" i="62"/>
  <c r="AY467" i="62"/>
  <c r="BA467" i="62"/>
  <c r="A468" i="62"/>
  <c r="B468" i="62"/>
  <c r="D468" i="62"/>
  <c r="E468" i="62"/>
  <c r="F468" i="62"/>
  <c r="G468" i="62"/>
  <c r="H468" i="62"/>
  <c r="J468" i="62"/>
  <c r="K468" i="62"/>
  <c r="M468" i="62"/>
  <c r="O468" i="62"/>
  <c r="P468" i="62"/>
  <c r="R468" i="62"/>
  <c r="S468" i="62"/>
  <c r="T468" i="62"/>
  <c r="U468" i="62"/>
  <c r="V468" i="62"/>
  <c r="W468" i="62"/>
  <c r="X468" i="62"/>
  <c r="AO468" i="62"/>
  <c r="AP468" i="62"/>
  <c r="AQ468" i="62"/>
  <c r="AR468" i="62"/>
  <c r="AS468" i="62"/>
  <c r="AT468" i="62"/>
  <c r="AU468" i="62"/>
  <c r="AW468" i="62"/>
  <c r="AX468" i="62"/>
  <c r="AY468" i="62"/>
  <c r="BA468" i="62"/>
  <c r="A469" i="62"/>
  <c r="B469" i="62"/>
  <c r="D469" i="62"/>
  <c r="E469" i="62"/>
  <c r="F469" i="62"/>
  <c r="G469" i="62"/>
  <c r="H469" i="62"/>
  <c r="J469" i="62"/>
  <c r="K469" i="62"/>
  <c r="M469" i="62"/>
  <c r="O469" i="62"/>
  <c r="P469" i="62"/>
  <c r="R469" i="62"/>
  <c r="S469" i="62"/>
  <c r="T469" i="62"/>
  <c r="U469" i="62"/>
  <c r="V469" i="62"/>
  <c r="W469" i="62"/>
  <c r="X469" i="62"/>
  <c r="AO469" i="62"/>
  <c r="AP469" i="62"/>
  <c r="AQ469" i="62"/>
  <c r="AR469" i="62"/>
  <c r="AS469" i="62"/>
  <c r="AT469" i="62"/>
  <c r="AU469" i="62"/>
  <c r="AW469" i="62"/>
  <c r="AX469" i="62"/>
  <c r="AY469" i="62"/>
  <c r="BA469" i="62"/>
  <c r="A470" i="62"/>
  <c r="B470" i="62"/>
  <c r="D470" i="62"/>
  <c r="E470" i="62"/>
  <c r="F470" i="62"/>
  <c r="G470" i="62"/>
  <c r="H470" i="62"/>
  <c r="J470" i="62"/>
  <c r="K470" i="62"/>
  <c r="M470" i="62"/>
  <c r="O470" i="62"/>
  <c r="P470" i="62"/>
  <c r="R470" i="62"/>
  <c r="S470" i="62"/>
  <c r="T470" i="62"/>
  <c r="U470" i="62"/>
  <c r="V470" i="62"/>
  <c r="W470" i="62"/>
  <c r="X470" i="62"/>
  <c r="AO470" i="62"/>
  <c r="AP470" i="62"/>
  <c r="AQ470" i="62"/>
  <c r="AR470" i="62"/>
  <c r="AS470" i="62"/>
  <c r="AT470" i="62"/>
  <c r="AU470" i="62"/>
  <c r="AW470" i="62"/>
  <c r="AX470" i="62"/>
  <c r="AY470" i="62"/>
  <c r="BA470" i="62"/>
  <c r="A471" i="62"/>
  <c r="B471" i="62"/>
  <c r="D471" i="62"/>
  <c r="E471" i="62"/>
  <c r="F471" i="62"/>
  <c r="G471" i="62"/>
  <c r="H471" i="62"/>
  <c r="J471" i="62"/>
  <c r="K471" i="62"/>
  <c r="M471" i="62"/>
  <c r="O471" i="62"/>
  <c r="P471" i="62"/>
  <c r="R471" i="62"/>
  <c r="S471" i="62"/>
  <c r="T471" i="62"/>
  <c r="U471" i="62"/>
  <c r="V471" i="62"/>
  <c r="W471" i="62"/>
  <c r="X471" i="62"/>
  <c r="AO471" i="62"/>
  <c r="AP471" i="62"/>
  <c r="AQ471" i="62"/>
  <c r="AR471" i="62"/>
  <c r="AS471" i="62"/>
  <c r="AT471" i="62"/>
  <c r="AU471" i="62"/>
  <c r="AW471" i="62"/>
  <c r="AX471" i="62"/>
  <c r="AY471" i="62"/>
  <c r="BA471" i="62"/>
  <c r="A472" i="62"/>
  <c r="B472" i="62"/>
  <c r="D472" i="62"/>
  <c r="E472" i="62"/>
  <c r="F472" i="62"/>
  <c r="G472" i="62"/>
  <c r="H472" i="62"/>
  <c r="J472" i="62"/>
  <c r="K472" i="62"/>
  <c r="M472" i="62"/>
  <c r="O472" i="62"/>
  <c r="P472" i="62"/>
  <c r="R472" i="62"/>
  <c r="S472" i="62"/>
  <c r="T472" i="62"/>
  <c r="U472" i="62"/>
  <c r="V472" i="62"/>
  <c r="W472" i="62"/>
  <c r="X472" i="62"/>
  <c r="AO472" i="62"/>
  <c r="AP472" i="62"/>
  <c r="AQ472" i="62"/>
  <c r="AR472" i="62"/>
  <c r="AS472" i="62"/>
  <c r="AT472" i="62"/>
  <c r="AU472" i="62"/>
  <c r="AW472" i="62"/>
  <c r="AX472" i="62"/>
  <c r="AY472" i="62"/>
  <c r="BA472" i="62"/>
  <c r="A473" i="62"/>
  <c r="B473" i="62"/>
  <c r="D473" i="62"/>
  <c r="E473" i="62"/>
  <c r="F473" i="62"/>
  <c r="G473" i="62"/>
  <c r="H473" i="62"/>
  <c r="J473" i="62"/>
  <c r="K473" i="62"/>
  <c r="M473" i="62"/>
  <c r="O473" i="62"/>
  <c r="P473" i="62"/>
  <c r="R473" i="62"/>
  <c r="S473" i="62"/>
  <c r="T473" i="62"/>
  <c r="U473" i="62"/>
  <c r="V473" i="62"/>
  <c r="W473" i="62"/>
  <c r="X473" i="62"/>
  <c r="AO473" i="62"/>
  <c r="AP473" i="62"/>
  <c r="AQ473" i="62"/>
  <c r="AR473" i="62"/>
  <c r="AS473" i="62"/>
  <c r="AT473" i="62"/>
  <c r="AU473" i="62"/>
  <c r="AW473" i="62"/>
  <c r="AX473" i="62"/>
  <c r="AY473" i="62"/>
  <c r="BA473" i="62"/>
  <c r="A474" i="62"/>
  <c r="B474" i="62"/>
  <c r="D474" i="62"/>
  <c r="E474" i="62"/>
  <c r="F474" i="62"/>
  <c r="G474" i="62"/>
  <c r="H474" i="62"/>
  <c r="J474" i="62"/>
  <c r="K474" i="62"/>
  <c r="M474" i="62"/>
  <c r="O474" i="62"/>
  <c r="P474" i="62"/>
  <c r="R474" i="62"/>
  <c r="S474" i="62"/>
  <c r="T474" i="62"/>
  <c r="U474" i="62"/>
  <c r="V474" i="62"/>
  <c r="W474" i="62"/>
  <c r="X474" i="62"/>
  <c r="AO474" i="62"/>
  <c r="AP474" i="62"/>
  <c r="AQ474" i="62"/>
  <c r="AR474" i="62"/>
  <c r="AS474" i="62"/>
  <c r="AT474" i="62"/>
  <c r="AU474" i="62"/>
  <c r="AW474" i="62"/>
  <c r="AX474" i="62"/>
  <c r="AY474" i="62"/>
  <c r="BA474" i="62"/>
  <c r="A475" i="62"/>
  <c r="B475" i="62"/>
  <c r="D475" i="62"/>
  <c r="E475" i="62"/>
  <c r="F475" i="62"/>
  <c r="G475" i="62"/>
  <c r="H475" i="62"/>
  <c r="J475" i="62"/>
  <c r="K475" i="62"/>
  <c r="M475" i="62"/>
  <c r="O475" i="62"/>
  <c r="P475" i="62"/>
  <c r="R475" i="62"/>
  <c r="S475" i="62"/>
  <c r="T475" i="62"/>
  <c r="U475" i="62"/>
  <c r="V475" i="62"/>
  <c r="W475" i="62"/>
  <c r="X475" i="62"/>
  <c r="AO475" i="62"/>
  <c r="AP475" i="62"/>
  <c r="AQ475" i="62"/>
  <c r="AR475" i="62"/>
  <c r="AS475" i="62"/>
  <c r="AT475" i="62"/>
  <c r="AU475" i="62"/>
  <c r="AW475" i="62"/>
  <c r="AX475" i="62"/>
  <c r="AY475" i="62"/>
  <c r="BA475" i="62"/>
  <c r="A476" i="62"/>
  <c r="B476" i="62"/>
  <c r="D476" i="62"/>
  <c r="E476" i="62"/>
  <c r="F476" i="62"/>
  <c r="G476" i="62"/>
  <c r="H476" i="62"/>
  <c r="J476" i="62"/>
  <c r="K476" i="62"/>
  <c r="M476" i="62"/>
  <c r="O476" i="62"/>
  <c r="P476" i="62"/>
  <c r="R476" i="62"/>
  <c r="S476" i="62"/>
  <c r="T476" i="62"/>
  <c r="U476" i="62"/>
  <c r="V476" i="62"/>
  <c r="W476" i="62"/>
  <c r="X476" i="62"/>
  <c r="AO476" i="62"/>
  <c r="AP476" i="62"/>
  <c r="AQ476" i="62"/>
  <c r="AR476" i="62"/>
  <c r="AS476" i="62"/>
  <c r="AT476" i="62"/>
  <c r="AU476" i="62"/>
  <c r="AW476" i="62"/>
  <c r="AX476" i="62"/>
  <c r="AY476" i="62"/>
  <c r="BA476" i="62"/>
  <c r="A477" i="62"/>
  <c r="B477" i="62"/>
  <c r="D477" i="62"/>
  <c r="E477" i="62"/>
  <c r="F477" i="62"/>
  <c r="G477" i="62"/>
  <c r="H477" i="62"/>
  <c r="J477" i="62"/>
  <c r="K477" i="62"/>
  <c r="M477" i="62"/>
  <c r="O477" i="62"/>
  <c r="P477" i="62"/>
  <c r="R477" i="62"/>
  <c r="S477" i="62"/>
  <c r="T477" i="62"/>
  <c r="U477" i="62"/>
  <c r="V477" i="62"/>
  <c r="W477" i="62"/>
  <c r="X477" i="62"/>
  <c r="AO477" i="62"/>
  <c r="AP477" i="62"/>
  <c r="AQ477" i="62"/>
  <c r="AR477" i="62"/>
  <c r="AS477" i="62"/>
  <c r="AT477" i="62"/>
  <c r="AU477" i="62"/>
  <c r="AW477" i="62"/>
  <c r="AX477" i="62"/>
  <c r="AY477" i="62"/>
  <c r="BA477" i="62"/>
  <c r="A478" i="62"/>
  <c r="B478" i="62"/>
  <c r="D478" i="62"/>
  <c r="E478" i="62"/>
  <c r="F478" i="62"/>
  <c r="G478" i="62"/>
  <c r="H478" i="62"/>
  <c r="J478" i="62"/>
  <c r="K478" i="62"/>
  <c r="M478" i="62"/>
  <c r="O478" i="62"/>
  <c r="P478" i="62"/>
  <c r="R478" i="62"/>
  <c r="S478" i="62"/>
  <c r="T478" i="62"/>
  <c r="U478" i="62"/>
  <c r="V478" i="62"/>
  <c r="W478" i="62"/>
  <c r="X478" i="62"/>
  <c r="AO478" i="62"/>
  <c r="AP478" i="62"/>
  <c r="AQ478" i="62"/>
  <c r="AR478" i="62"/>
  <c r="AS478" i="62"/>
  <c r="AT478" i="62"/>
  <c r="AU478" i="62"/>
  <c r="AW478" i="62"/>
  <c r="AX478" i="62"/>
  <c r="AY478" i="62"/>
  <c r="BA478" i="62"/>
  <c r="A479" i="62"/>
  <c r="B479" i="62"/>
  <c r="D479" i="62"/>
  <c r="E479" i="62"/>
  <c r="F479" i="62"/>
  <c r="G479" i="62"/>
  <c r="H479" i="62"/>
  <c r="J479" i="62"/>
  <c r="K479" i="62"/>
  <c r="M479" i="62"/>
  <c r="O479" i="62"/>
  <c r="P479" i="62"/>
  <c r="R479" i="62"/>
  <c r="S479" i="62"/>
  <c r="T479" i="62"/>
  <c r="U479" i="62"/>
  <c r="V479" i="62"/>
  <c r="W479" i="62"/>
  <c r="X479" i="62"/>
  <c r="AO479" i="62"/>
  <c r="AP479" i="62"/>
  <c r="AQ479" i="62"/>
  <c r="AR479" i="62"/>
  <c r="AS479" i="62"/>
  <c r="AT479" i="62"/>
  <c r="AU479" i="62"/>
  <c r="AW479" i="62"/>
  <c r="AX479" i="62"/>
  <c r="AY479" i="62"/>
  <c r="BA479" i="62"/>
  <c r="A480" i="62"/>
  <c r="B480" i="62"/>
  <c r="D480" i="62"/>
  <c r="E480" i="62"/>
  <c r="F480" i="62"/>
  <c r="G480" i="62"/>
  <c r="H480" i="62"/>
  <c r="J480" i="62"/>
  <c r="K480" i="62"/>
  <c r="M480" i="62"/>
  <c r="O480" i="62"/>
  <c r="P480" i="62"/>
  <c r="R480" i="62"/>
  <c r="S480" i="62"/>
  <c r="T480" i="62"/>
  <c r="U480" i="62"/>
  <c r="V480" i="62"/>
  <c r="W480" i="62"/>
  <c r="X480" i="62"/>
  <c r="AO480" i="62"/>
  <c r="AP480" i="62"/>
  <c r="AQ480" i="62"/>
  <c r="AR480" i="62"/>
  <c r="AS480" i="62"/>
  <c r="AT480" i="62"/>
  <c r="AU480" i="62"/>
  <c r="AW480" i="62"/>
  <c r="AX480" i="62"/>
  <c r="AY480" i="62"/>
  <c r="BA480" i="62"/>
  <c r="A481" i="62"/>
  <c r="B481" i="62"/>
  <c r="D481" i="62"/>
  <c r="E481" i="62"/>
  <c r="F481" i="62"/>
  <c r="G481" i="62"/>
  <c r="H481" i="62"/>
  <c r="J481" i="62"/>
  <c r="K481" i="62"/>
  <c r="M481" i="62"/>
  <c r="O481" i="62"/>
  <c r="P481" i="62"/>
  <c r="R481" i="62"/>
  <c r="S481" i="62"/>
  <c r="T481" i="62"/>
  <c r="U481" i="62"/>
  <c r="V481" i="62"/>
  <c r="W481" i="62"/>
  <c r="X481" i="62"/>
  <c r="AO481" i="62"/>
  <c r="AP481" i="62"/>
  <c r="AQ481" i="62"/>
  <c r="AR481" i="62"/>
  <c r="AS481" i="62"/>
  <c r="AT481" i="62"/>
  <c r="AU481" i="62"/>
  <c r="AW481" i="62"/>
  <c r="AX481" i="62"/>
  <c r="AY481" i="62"/>
  <c r="BA481" i="62"/>
  <c r="A482" i="62"/>
  <c r="B482" i="62"/>
  <c r="D482" i="62"/>
  <c r="E482" i="62"/>
  <c r="F482" i="62"/>
  <c r="G482" i="62"/>
  <c r="H482" i="62"/>
  <c r="J482" i="62"/>
  <c r="K482" i="62"/>
  <c r="M482" i="62"/>
  <c r="O482" i="62"/>
  <c r="P482" i="62"/>
  <c r="R482" i="62"/>
  <c r="S482" i="62"/>
  <c r="T482" i="62"/>
  <c r="U482" i="62"/>
  <c r="V482" i="62"/>
  <c r="W482" i="62"/>
  <c r="X482" i="62"/>
  <c r="AO482" i="62"/>
  <c r="AP482" i="62"/>
  <c r="AQ482" i="62"/>
  <c r="AR482" i="62"/>
  <c r="AS482" i="62"/>
  <c r="AT482" i="62"/>
  <c r="AU482" i="62"/>
  <c r="AW482" i="62"/>
  <c r="AX482" i="62"/>
  <c r="AY482" i="62"/>
  <c r="BA482" i="62"/>
  <c r="A483" i="62"/>
  <c r="B483" i="62"/>
  <c r="D483" i="62"/>
  <c r="E483" i="62"/>
  <c r="F483" i="62"/>
  <c r="G483" i="62"/>
  <c r="H483" i="62"/>
  <c r="J483" i="62"/>
  <c r="K483" i="62"/>
  <c r="M483" i="62"/>
  <c r="O483" i="62"/>
  <c r="P483" i="62"/>
  <c r="R483" i="62"/>
  <c r="S483" i="62"/>
  <c r="T483" i="62"/>
  <c r="U483" i="62"/>
  <c r="V483" i="62"/>
  <c r="W483" i="62"/>
  <c r="X483" i="62"/>
  <c r="AO483" i="62"/>
  <c r="AP483" i="62"/>
  <c r="AQ483" i="62"/>
  <c r="AR483" i="62"/>
  <c r="AS483" i="62"/>
  <c r="AT483" i="62"/>
  <c r="AU483" i="62"/>
  <c r="AW483" i="62"/>
  <c r="AX483" i="62"/>
  <c r="AY483" i="62"/>
  <c r="BA483" i="62"/>
  <c r="A484" i="62"/>
  <c r="B484" i="62"/>
  <c r="D484" i="62"/>
  <c r="E484" i="62"/>
  <c r="F484" i="62"/>
  <c r="G484" i="62"/>
  <c r="H484" i="62"/>
  <c r="J484" i="62"/>
  <c r="K484" i="62"/>
  <c r="M484" i="62"/>
  <c r="O484" i="62"/>
  <c r="P484" i="62"/>
  <c r="R484" i="62"/>
  <c r="S484" i="62"/>
  <c r="T484" i="62"/>
  <c r="U484" i="62"/>
  <c r="V484" i="62"/>
  <c r="W484" i="62"/>
  <c r="X484" i="62"/>
  <c r="AO484" i="62"/>
  <c r="AP484" i="62"/>
  <c r="AQ484" i="62"/>
  <c r="AR484" i="62"/>
  <c r="AS484" i="62"/>
  <c r="AT484" i="62"/>
  <c r="AU484" i="62"/>
  <c r="AW484" i="62"/>
  <c r="AX484" i="62"/>
  <c r="AY484" i="62"/>
  <c r="BA484" i="62"/>
  <c r="A485" i="62"/>
  <c r="B485" i="62"/>
  <c r="D485" i="62"/>
  <c r="E485" i="62"/>
  <c r="F485" i="62"/>
  <c r="G485" i="62"/>
  <c r="H485" i="62"/>
  <c r="J485" i="62"/>
  <c r="K485" i="62"/>
  <c r="M485" i="62"/>
  <c r="O485" i="62"/>
  <c r="P485" i="62"/>
  <c r="R485" i="62"/>
  <c r="S485" i="62"/>
  <c r="T485" i="62"/>
  <c r="U485" i="62"/>
  <c r="V485" i="62"/>
  <c r="W485" i="62"/>
  <c r="X485" i="62"/>
  <c r="AO485" i="62"/>
  <c r="AP485" i="62"/>
  <c r="AQ485" i="62"/>
  <c r="AR485" i="62"/>
  <c r="AS485" i="62"/>
  <c r="AT485" i="62"/>
  <c r="AU485" i="62"/>
  <c r="AW485" i="62"/>
  <c r="AX485" i="62"/>
  <c r="AY485" i="62"/>
  <c r="BA485" i="62"/>
  <c r="A486" i="62"/>
  <c r="B486" i="62"/>
  <c r="D486" i="62"/>
  <c r="E486" i="62"/>
  <c r="F486" i="62"/>
  <c r="G486" i="62"/>
  <c r="H486" i="62"/>
  <c r="J486" i="62"/>
  <c r="K486" i="62"/>
  <c r="M486" i="62"/>
  <c r="O486" i="62"/>
  <c r="P486" i="62"/>
  <c r="R486" i="62"/>
  <c r="S486" i="62"/>
  <c r="T486" i="62"/>
  <c r="U486" i="62"/>
  <c r="V486" i="62"/>
  <c r="W486" i="62"/>
  <c r="X486" i="62"/>
  <c r="AO486" i="62"/>
  <c r="AP486" i="62"/>
  <c r="AQ486" i="62"/>
  <c r="AR486" i="62"/>
  <c r="AS486" i="62"/>
  <c r="AT486" i="62"/>
  <c r="AU486" i="62"/>
  <c r="AW486" i="62"/>
  <c r="AX486" i="62"/>
  <c r="AY486" i="62"/>
  <c r="BA486" i="62"/>
  <c r="A487" i="62"/>
  <c r="B487" i="62"/>
  <c r="D487" i="62"/>
  <c r="E487" i="62"/>
  <c r="F487" i="62"/>
  <c r="G487" i="62"/>
  <c r="H487" i="62"/>
  <c r="J487" i="62"/>
  <c r="K487" i="62"/>
  <c r="M487" i="62"/>
  <c r="O487" i="62"/>
  <c r="P487" i="62"/>
  <c r="R487" i="62"/>
  <c r="S487" i="62"/>
  <c r="T487" i="62"/>
  <c r="U487" i="62"/>
  <c r="V487" i="62"/>
  <c r="W487" i="62"/>
  <c r="X487" i="62"/>
  <c r="AO487" i="62"/>
  <c r="AP487" i="62"/>
  <c r="AQ487" i="62"/>
  <c r="AR487" i="62"/>
  <c r="AS487" i="62"/>
  <c r="AT487" i="62"/>
  <c r="AU487" i="62"/>
  <c r="AW487" i="62"/>
  <c r="AX487" i="62"/>
  <c r="AY487" i="62"/>
  <c r="BA487" i="62"/>
  <c r="A488" i="62"/>
  <c r="B488" i="62"/>
  <c r="D488" i="62"/>
  <c r="E488" i="62"/>
  <c r="F488" i="62"/>
  <c r="G488" i="62"/>
  <c r="H488" i="62"/>
  <c r="J488" i="62"/>
  <c r="K488" i="62"/>
  <c r="M488" i="62"/>
  <c r="O488" i="62"/>
  <c r="P488" i="62"/>
  <c r="R488" i="62"/>
  <c r="S488" i="62"/>
  <c r="T488" i="62"/>
  <c r="U488" i="62"/>
  <c r="V488" i="62"/>
  <c r="W488" i="62"/>
  <c r="X488" i="62"/>
  <c r="AO488" i="62"/>
  <c r="AP488" i="62"/>
  <c r="AQ488" i="62"/>
  <c r="AR488" i="62"/>
  <c r="AS488" i="62"/>
  <c r="AT488" i="62"/>
  <c r="AU488" i="62"/>
  <c r="AW488" i="62"/>
  <c r="AX488" i="62"/>
  <c r="AY488" i="62"/>
  <c r="BA488" i="62"/>
  <c r="A489" i="62"/>
  <c r="B489" i="62"/>
  <c r="D489" i="62"/>
  <c r="E489" i="62"/>
  <c r="F489" i="62"/>
  <c r="G489" i="62"/>
  <c r="H489" i="62"/>
  <c r="J489" i="62"/>
  <c r="K489" i="62"/>
  <c r="M489" i="62"/>
  <c r="O489" i="62"/>
  <c r="P489" i="62"/>
  <c r="R489" i="62"/>
  <c r="S489" i="62"/>
  <c r="T489" i="62"/>
  <c r="U489" i="62"/>
  <c r="V489" i="62"/>
  <c r="W489" i="62"/>
  <c r="X489" i="62"/>
  <c r="AO489" i="62"/>
  <c r="AP489" i="62"/>
  <c r="AQ489" i="62"/>
  <c r="AR489" i="62"/>
  <c r="AS489" i="62"/>
  <c r="AT489" i="62"/>
  <c r="AU489" i="62"/>
  <c r="AW489" i="62"/>
  <c r="AX489" i="62"/>
  <c r="AY489" i="62"/>
  <c r="BA489" i="62"/>
  <c r="A490" i="62"/>
  <c r="B490" i="62"/>
  <c r="D490" i="62"/>
  <c r="E490" i="62"/>
  <c r="F490" i="62"/>
  <c r="G490" i="62"/>
  <c r="H490" i="62"/>
  <c r="J490" i="62"/>
  <c r="K490" i="62"/>
  <c r="M490" i="62"/>
  <c r="O490" i="62"/>
  <c r="P490" i="62"/>
  <c r="R490" i="62"/>
  <c r="S490" i="62"/>
  <c r="T490" i="62"/>
  <c r="U490" i="62"/>
  <c r="V490" i="62"/>
  <c r="W490" i="62"/>
  <c r="X490" i="62"/>
  <c r="AO490" i="62"/>
  <c r="AP490" i="62"/>
  <c r="AQ490" i="62"/>
  <c r="AR490" i="62"/>
  <c r="AS490" i="62"/>
  <c r="AT490" i="62"/>
  <c r="AU490" i="62"/>
  <c r="AW490" i="62"/>
  <c r="AX490" i="62"/>
  <c r="AY490" i="62"/>
  <c r="BA490" i="62"/>
  <c r="A491" i="62"/>
  <c r="B491" i="62"/>
  <c r="D491" i="62"/>
  <c r="E491" i="62"/>
  <c r="F491" i="62"/>
  <c r="G491" i="62"/>
  <c r="H491" i="62"/>
  <c r="J491" i="62"/>
  <c r="K491" i="62"/>
  <c r="M491" i="62"/>
  <c r="O491" i="62"/>
  <c r="P491" i="62"/>
  <c r="R491" i="62"/>
  <c r="S491" i="62"/>
  <c r="T491" i="62"/>
  <c r="U491" i="62"/>
  <c r="V491" i="62"/>
  <c r="W491" i="62"/>
  <c r="X491" i="62"/>
  <c r="AO491" i="62"/>
  <c r="AP491" i="62"/>
  <c r="AQ491" i="62"/>
  <c r="AR491" i="62"/>
  <c r="AS491" i="62"/>
  <c r="AT491" i="62"/>
  <c r="AU491" i="62"/>
  <c r="AW491" i="62"/>
  <c r="AX491" i="62"/>
  <c r="AY491" i="62"/>
  <c r="BA491" i="62"/>
  <c r="A492" i="62"/>
  <c r="B492" i="62"/>
  <c r="D492" i="62"/>
  <c r="E492" i="62"/>
  <c r="F492" i="62"/>
  <c r="G492" i="62"/>
  <c r="H492" i="62"/>
  <c r="J492" i="62"/>
  <c r="K492" i="62"/>
  <c r="M492" i="62"/>
  <c r="O492" i="62"/>
  <c r="P492" i="62"/>
  <c r="R492" i="62"/>
  <c r="S492" i="62"/>
  <c r="T492" i="62"/>
  <c r="U492" i="62"/>
  <c r="V492" i="62"/>
  <c r="W492" i="62"/>
  <c r="X492" i="62"/>
  <c r="AO492" i="62"/>
  <c r="AP492" i="62"/>
  <c r="AQ492" i="62"/>
  <c r="AR492" i="62"/>
  <c r="AS492" i="62"/>
  <c r="AT492" i="62"/>
  <c r="AU492" i="62"/>
  <c r="AW492" i="62"/>
  <c r="AX492" i="62"/>
  <c r="AY492" i="62"/>
  <c r="BA492" i="62"/>
  <c r="A493" i="62"/>
  <c r="B493" i="62"/>
  <c r="D493" i="62"/>
  <c r="E493" i="62"/>
  <c r="F493" i="62"/>
  <c r="G493" i="62"/>
  <c r="H493" i="62"/>
  <c r="J493" i="62"/>
  <c r="K493" i="62"/>
  <c r="M493" i="62"/>
  <c r="O493" i="62"/>
  <c r="P493" i="62"/>
  <c r="R493" i="62"/>
  <c r="S493" i="62"/>
  <c r="T493" i="62"/>
  <c r="U493" i="62"/>
  <c r="V493" i="62"/>
  <c r="W493" i="62"/>
  <c r="X493" i="62"/>
  <c r="AO493" i="62"/>
  <c r="AP493" i="62"/>
  <c r="AQ493" i="62"/>
  <c r="AR493" i="62"/>
  <c r="AS493" i="62"/>
  <c r="AT493" i="62"/>
  <c r="AU493" i="62"/>
  <c r="AW493" i="62"/>
  <c r="AX493" i="62"/>
  <c r="AY493" i="62"/>
  <c r="BA493" i="62"/>
  <c r="A494" i="62"/>
  <c r="B494" i="62"/>
  <c r="D494" i="62"/>
  <c r="E494" i="62"/>
  <c r="F494" i="62"/>
  <c r="G494" i="62"/>
  <c r="H494" i="62"/>
  <c r="J494" i="62"/>
  <c r="K494" i="62"/>
  <c r="M494" i="62"/>
  <c r="O494" i="62"/>
  <c r="P494" i="62"/>
  <c r="R494" i="62"/>
  <c r="S494" i="62"/>
  <c r="T494" i="62"/>
  <c r="U494" i="62"/>
  <c r="V494" i="62"/>
  <c r="W494" i="62"/>
  <c r="X494" i="62"/>
  <c r="AO494" i="62"/>
  <c r="AP494" i="62"/>
  <c r="AQ494" i="62"/>
  <c r="AR494" i="62"/>
  <c r="AS494" i="62"/>
  <c r="AT494" i="62"/>
  <c r="AU494" i="62"/>
  <c r="AW494" i="62"/>
  <c r="AX494" i="62"/>
  <c r="AY494" i="62"/>
  <c r="BA494" i="62"/>
  <c r="A495" i="62"/>
  <c r="B495" i="62"/>
  <c r="D495" i="62"/>
  <c r="E495" i="62"/>
  <c r="F495" i="62"/>
  <c r="G495" i="62"/>
  <c r="H495" i="62"/>
  <c r="J495" i="62"/>
  <c r="K495" i="62"/>
  <c r="M495" i="62"/>
  <c r="O495" i="62"/>
  <c r="P495" i="62"/>
  <c r="R495" i="62"/>
  <c r="S495" i="62"/>
  <c r="T495" i="62"/>
  <c r="U495" i="62"/>
  <c r="V495" i="62"/>
  <c r="W495" i="62"/>
  <c r="X495" i="62"/>
  <c r="AO495" i="62"/>
  <c r="AP495" i="62"/>
  <c r="AQ495" i="62"/>
  <c r="AR495" i="62"/>
  <c r="AS495" i="62"/>
  <c r="AT495" i="62"/>
  <c r="AU495" i="62"/>
  <c r="AW495" i="62"/>
  <c r="AX495" i="62"/>
  <c r="AY495" i="62"/>
  <c r="BA495" i="62"/>
  <c r="A496" i="62"/>
  <c r="B496" i="62"/>
  <c r="D496" i="62"/>
  <c r="E496" i="62"/>
  <c r="F496" i="62"/>
  <c r="G496" i="62"/>
  <c r="H496" i="62"/>
  <c r="J496" i="62"/>
  <c r="K496" i="62"/>
  <c r="M496" i="62"/>
  <c r="O496" i="62"/>
  <c r="P496" i="62"/>
  <c r="R496" i="62"/>
  <c r="S496" i="62"/>
  <c r="T496" i="62"/>
  <c r="U496" i="62"/>
  <c r="V496" i="62"/>
  <c r="W496" i="62"/>
  <c r="X496" i="62"/>
  <c r="AO496" i="62"/>
  <c r="AP496" i="62"/>
  <c r="AQ496" i="62"/>
  <c r="AR496" i="62"/>
  <c r="AS496" i="62"/>
  <c r="AT496" i="62"/>
  <c r="AU496" i="62"/>
  <c r="AW496" i="62"/>
  <c r="AX496" i="62"/>
  <c r="AY496" i="62"/>
  <c r="BA496" i="62"/>
  <c r="A497" i="62"/>
  <c r="B497" i="62"/>
  <c r="D497" i="62"/>
  <c r="E497" i="62"/>
  <c r="F497" i="62"/>
  <c r="G497" i="62"/>
  <c r="H497" i="62"/>
  <c r="J497" i="62"/>
  <c r="K497" i="62"/>
  <c r="M497" i="62"/>
  <c r="O497" i="62"/>
  <c r="P497" i="62"/>
  <c r="R497" i="62"/>
  <c r="S497" i="62"/>
  <c r="T497" i="62"/>
  <c r="U497" i="62"/>
  <c r="V497" i="62"/>
  <c r="W497" i="62"/>
  <c r="X497" i="62"/>
  <c r="AO497" i="62"/>
  <c r="AP497" i="62"/>
  <c r="AQ497" i="62"/>
  <c r="AR497" i="62"/>
  <c r="AS497" i="62"/>
  <c r="AT497" i="62"/>
  <c r="AU497" i="62"/>
  <c r="AW497" i="62"/>
  <c r="AX497" i="62"/>
  <c r="AY497" i="62"/>
  <c r="BA497" i="62"/>
  <c r="A498" i="62"/>
  <c r="B498" i="62"/>
  <c r="D498" i="62"/>
  <c r="E498" i="62"/>
  <c r="F498" i="62"/>
  <c r="G498" i="62"/>
  <c r="H498" i="62"/>
  <c r="J498" i="62"/>
  <c r="K498" i="62"/>
  <c r="M498" i="62"/>
  <c r="O498" i="62"/>
  <c r="P498" i="62"/>
  <c r="R498" i="62"/>
  <c r="S498" i="62"/>
  <c r="T498" i="62"/>
  <c r="U498" i="62"/>
  <c r="V498" i="62"/>
  <c r="W498" i="62"/>
  <c r="X498" i="62"/>
  <c r="AO498" i="62"/>
  <c r="AP498" i="62"/>
  <c r="AQ498" i="62"/>
  <c r="AR498" i="62"/>
  <c r="AS498" i="62"/>
  <c r="AT498" i="62"/>
  <c r="AU498" i="62"/>
  <c r="AW498" i="62"/>
  <c r="AX498" i="62"/>
  <c r="AY498" i="62"/>
  <c r="BA498" i="62"/>
  <c r="A499" i="62"/>
  <c r="B499" i="62"/>
  <c r="D499" i="62"/>
  <c r="E499" i="62"/>
  <c r="F499" i="62"/>
  <c r="G499" i="62"/>
  <c r="H499" i="62"/>
  <c r="J499" i="62"/>
  <c r="K499" i="62"/>
  <c r="M499" i="62"/>
  <c r="O499" i="62"/>
  <c r="P499" i="62"/>
  <c r="R499" i="62"/>
  <c r="S499" i="62"/>
  <c r="T499" i="62"/>
  <c r="U499" i="62"/>
  <c r="V499" i="62"/>
  <c r="W499" i="62"/>
  <c r="X499" i="62"/>
  <c r="AO499" i="62"/>
  <c r="AP499" i="62"/>
  <c r="AQ499" i="62"/>
  <c r="AR499" i="62"/>
  <c r="AS499" i="62"/>
  <c r="AT499" i="62"/>
  <c r="AU499" i="62"/>
  <c r="AW499" i="62"/>
  <c r="AX499" i="62"/>
  <c r="AY499" i="62"/>
  <c r="BA499" i="62"/>
  <c r="A500" i="62"/>
  <c r="B500" i="62"/>
  <c r="AW500" i="62"/>
  <c r="AX500" i="62"/>
  <c r="AY500" i="62"/>
  <c r="BA500" i="62"/>
  <c r="A501" i="62"/>
  <c r="B501" i="62"/>
  <c r="AW501" i="62"/>
  <c r="AX501" i="62"/>
  <c r="AY501" i="62"/>
  <c r="BA501" i="62"/>
  <c r="E1" i="63"/>
  <c r="Z1" i="63"/>
  <c r="AA1" i="63"/>
  <c r="AC1" i="63"/>
  <c r="AD1" i="63"/>
  <c r="S2" i="63"/>
  <c r="A3" i="63"/>
  <c r="B3" i="63"/>
  <c r="D3" i="63"/>
  <c r="E3" i="63"/>
  <c r="I3" i="63"/>
  <c r="J3" i="63"/>
  <c r="K3" i="63"/>
  <c r="R3" i="63"/>
  <c r="S3" i="63"/>
  <c r="J4" i="63"/>
  <c r="K4" i="63"/>
  <c r="L4" i="63"/>
  <c r="M4" i="63"/>
  <c r="O4" i="63"/>
  <c r="P4" i="63"/>
  <c r="R4" i="63"/>
  <c r="S4" i="63"/>
  <c r="T4" i="63"/>
  <c r="U4" i="63"/>
  <c r="W4" i="63"/>
  <c r="X4" i="63"/>
  <c r="Z4" i="63"/>
  <c r="AA4" i="63"/>
  <c r="AC4" i="63"/>
  <c r="AD4" i="63"/>
  <c r="AF4" i="63"/>
  <c r="AF5" i="63"/>
  <c r="H6" i="63"/>
  <c r="K6" i="63"/>
  <c r="M6" i="63"/>
  <c r="P6" i="63"/>
  <c r="S6" i="63"/>
  <c r="U6" i="63"/>
  <c r="X6" i="63"/>
  <c r="AA6" i="63"/>
  <c r="AC6" i="63"/>
  <c r="D8" i="63"/>
  <c r="E8" i="63"/>
  <c r="F8" i="63"/>
  <c r="G8" i="63"/>
  <c r="H8" i="63"/>
  <c r="J8" i="63"/>
  <c r="K8" i="63"/>
  <c r="L8" i="63"/>
  <c r="M8" i="63"/>
  <c r="O8" i="63"/>
  <c r="P8" i="63"/>
  <c r="R8" i="63"/>
  <c r="S8" i="63"/>
  <c r="T8" i="63"/>
  <c r="U8" i="63"/>
  <c r="V8" i="63"/>
  <c r="W8" i="63"/>
  <c r="X8" i="63"/>
  <c r="AH8" i="63"/>
  <c r="AL8" i="63"/>
  <c r="AM8" i="63"/>
  <c r="AN8" i="63"/>
  <c r="AT8" i="63"/>
  <c r="AU8" i="63"/>
  <c r="AW8" i="63"/>
  <c r="AX8" i="63"/>
  <c r="AY8" i="63"/>
  <c r="BA8" i="63"/>
  <c r="BC8" i="63"/>
  <c r="H9" i="63"/>
  <c r="A10" i="63"/>
  <c r="B10" i="63"/>
  <c r="D10" i="63"/>
  <c r="E10" i="63"/>
  <c r="F10" i="63"/>
  <c r="G10" i="63"/>
  <c r="H10" i="63"/>
  <c r="J10" i="63"/>
  <c r="K10" i="63"/>
  <c r="L10" i="63"/>
  <c r="M10" i="63"/>
  <c r="O10" i="63"/>
  <c r="P10" i="63"/>
  <c r="R10" i="63"/>
  <c r="S10" i="63"/>
  <c r="T10" i="63"/>
  <c r="U10" i="63"/>
  <c r="V10" i="63"/>
  <c r="W10" i="63"/>
  <c r="X10" i="63"/>
  <c r="Z10" i="63"/>
  <c r="AA10" i="63"/>
  <c r="AB10" i="63"/>
  <c r="AC10" i="63"/>
  <c r="AD10" i="63"/>
  <c r="AE10" i="63"/>
  <c r="AF10" i="63"/>
  <c r="AG10" i="63"/>
  <c r="AH10" i="63"/>
  <c r="AI10" i="63"/>
  <c r="AJ10" i="63"/>
  <c r="AK10" i="63"/>
  <c r="AL10" i="63"/>
  <c r="AM10" i="63"/>
  <c r="AN10" i="63"/>
  <c r="AO10" i="63"/>
  <c r="AP10" i="63"/>
  <c r="AQ10" i="63"/>
  <c r="AR10" i="63"/>
  <c r="AS10" i="63"/>
  <c r="AT10" i="63"/>
  <c r="AU10" i="63"/>
  <c r="AW10" i="63"/>
  <c r="AX10" i="63"/>
  <c r="AY10" i="63"/>
  <c r="BA10" i="63"/>
  <c r="BC10" i="63"/>
  <c r="A11" i="63"/>
  <c r="B11" i="63"/>
  <c r="D11" i="63"/>
  <c r="E11" i="63"/>
  <c r="F11" i="63"/>
  <c r="G11" i="63"/>
  <c r="H11" i="63"/>
  <c r="J11" i="63"/>
  <c r="K11" i="63"/>
  <c r="L11" i="63"/>
  <c r="M11" i="63"/>
  <c r="O11" i="63"/>
  <c r="P11" i="63"/>
  <c r="R11" i="63"/>
  <c r="S11" i="63"/>
  <c r="T11" i="63"/>
  <c r="U11" i="63"/>
  <c r="V11" i="63"/>
  <c r="W11" i="63"/>
  <c r="X11" i="63"/>
  <c r="Z11" i="63"/>
  <c r="AA11" i="63"/>
  <c r="AB11" i="63"/>
  <c r="AC11" i="63"/>
  <c r="AD11" i="63"/>
  <c r="AE11" i="63"/>
  <c r="AF11" i="63"/>
  <c r="AG11" i="63"/>
  <c r="AH11" i="63"/>
  <c r="AI11" i="63"/>
  <c r="AJ11" i="63"/>
  <c r="AK11" i="63"/>
  <c r="AL11" i="63"/>
  <c r="AM11" i="63"/>
  <c r="AN11" i="63"/>
  <c r="AO11" i="63"/>
  <c r="AP11" i="63"/>
  <c r="AQ11" i="63"/>
  <c r="AR11" i="63"/>
  <c r="AS11" i="63"/>
  <c r="AT11" i="63"/>
  <c r="AU11" i="63"/>
  <c r="AW11" i="63"/>
  <c r="AX11" i="63"/>
  <c r="AY11" i="63"/>
  <c r="BA11" i="63"/>
  <c r="BC11" i="63"/>
  <c r="A12" i="63"/>
  <c r="B12" i="63"/>
  <c r="D12" i="63"/>
  <c r="E12" i="63"/>
  <c r="F12" i="63"/>
  <c r="G12" i="63"/>
  <c r="H12" i="63"/>
  <c r="J12" i="63"/>
  <c r="K12" i="63"/>
  <c r="L12" i="63"/>
  <c r="M12" i="63"/>
  <c r="O12" i="63"/>
  <c r="P12" i="63"/>
  <c r="R12" i="63"/>
  <c r="S12" i="63"/>
  <c r="T12" i="63"/>
  <c r="U12" i="63"/>
  <c r="V12" i="63"/>
  <c r="W12" i="63"/>
  <c r="X12" i="63"/>
  <c r="Z12" i="63"/>
  <c r="AA12" i="63"/>
  <c r="AB12" i="63"/>
  <c r="AC12" i="63"/>
  <c r="AD12" i="63"/>
  <c r="AE12" i="63"/>
  <c r="AF12" i="63"/>
  <c r="AG12" i="63"/>
  <c r="AH12" i="63"/>
  <c r="AI12" i="63"/>
  <c r="AJ12" i="63"/>
  <c r="AK12" i="63"/>
  <c r="AL12" i="63"/>
  <c r="AM12" i="63"/>
  <c r="AN12" i="63"/>
  <c r="AO12" i="63"/>
  <c r="AP12" i="63"/>
  <c r="AQ12" i="63"/>
  <c r="AR12" i="63"/>
  <c r="AS12" i="63"/>
  <c r="AT12" i="63"/>
  <c r="AU12" i="63"/>
  <c r="AW12" i="63"/>
  <c r="AX12" i="63"/>
  <c r="AY12" i="63"/>
  <c r="BA12" i="63"/>
  <c r="BC12" i="63"/>
  <c r="A13" i="63"/>
  <c r="B13" i="63"/>
  <c r="D13" i="63"/>
  <c r="E13" i="63"/>
  <c r="F13" i="63"/>
  <c r="G13" i="63"/>
  <c r="H13" i="63"/>
  <c r="J13" i="63"/>
  <c r="K13" i="63"/>
  <c r="L13" i="63"/>
  <c r="M13" i="63"/>
  <c r="O13" i="63"/>
  <c r="P13" i="63"/>
  <c r="R13" i="63"/>
  <c r="S13" i="63"/>
  <c r="T13" i="63"/>
  <c r="U13" i="63"/>
  <c r="V13" i="63"/>
  <c r="W13" i="63"/>
  <c r="X13" i="63"/>
  <c r="Z13" i="63"/>
  <c r="AA13" i="63"/>
  <c r="AB13" i="63"/>
  <c r="AC13" i="63"/>
  <c r="AD13" i="63"/>
  <c r="AE13" i="63"/>
  <c r="AF13" i="63"/>
  <c r="AG13" i="63"/>
  <c r="AH13" i="63"/>
  <c r="AI13" i="63"/>
  <c r="AJ13" i="63"/>
  <c r="AK13" i="63"/>
  <c r="AL13" i="63"/>
  <c r="AM13" i="63"/>
  <c r="AN13" i="63"/>
  <c r="AO13" i="63"/>
  <c r="AP13" i="63"/>
  <c r="AQ13" i="63"/>
  <c r="AR13" i="63"/>
  <c r="AS13" i="63"/>
  <c r="AT13" i="63"/>
  <c r="AU13" i="63"/>
  <c r="AW13" i="63"/>
  <c r="AX13" i="63"/>
  <c r="AY13" i="63"/>
  <c r="BA13" i="63"/>
  <c r="BC13" i="63"/>
  <c r="A14" i="63"/>
  <c r="B14" i="63"/>
  <c r="D14" i="63"/>
  <c r="E14" i="63"/>
  <c r="F14" i="63"/>
  <c r="G14" i="63"/>
  <c r="H14" i="63"/>
  <c r="J14" i="63"/>
  <c r="K14" i="63"/>
  <c r="L14" i="63"/>
  <c r="M14" i="63"/>
  <c r="O14" i="63"/>
  <c r="P14" i="63"/>
  <c r="R14" i="63"/>
  <c r="S14" i="63"/>
  <c r="T14" i="63"/>
  <c r="U14" i="63"/>
  <c r="V14" i="63"/>
  <c r="W14" i="63"/>
  <c r="X14" i="63"/>
  <c r="Z14" i="63"/>
  <c r="AA14" i="63"/>
  <c r="AB14" i="63"/>
  <c r="AC14" i="63"/>
  <c r="AD14" i="63"/>
  <c r="AE14" i="63"/>
  <c r="AF14" i="63"/>
  <c r="AG14" i="63"/>
  <c r="AH14" i="63"/>
  <c r="AI14" i="63"/>
  <c r="AJ14" i="63"/>
  <c r="AK14" i="63"/>
  <c r="AL14" i="63"/>
  <c r="AM14" i="63"/>
  <c r="AN14" i="63"/>
  <c r="AO14" i="63"/>
  <c r="AP14" i="63"/>
  <c r="AQ14" i="63"/>
  <c r="AR14" i="63"/>
  <c r="AS14" i="63"/>
  <c r="AT14" i="63"/>
  <c r="AU14" i="63"/>
  <c r="AW14" i="63"/>
  <c r="AX14" i="63"/>
  <c r="AY14" i="63"/>
  <c r="BA14" i="63"/>
  <c r="BC14" i="63"/>
  <c r="A15" i="63"/>
  <c r="B15" i="63"/>
  <c r="D15" i="63"/>
  <c r="E15" i="63"/>
  <c r="F15" i="63"/>
  <c r="G15" i="63"/>
  <c r="H15" i="63"/>
  <c r="J15" i="63"/>
  <c r="K15" i="63"/>
  <c r="L15" i="63"/>
  <c r="M15" i="63"/>
  <c r="O15" i="63"/>
  <c r="P15" i="63"/>
  <c r="R15" i="63"/>
  <c r="S15" i="63"/>
  <c r="T15" i="63"/>
  <c r="U15" i="63"/>
  <c r="V15" i="63"/>
  <c r="W15" i="63"/>
  <c r="X15" i="63"/>
  <c r="Z15" i="63"/>
  <c r="AA15" i="63"/>
  <c r="AB15" i="63"/>
  <c r="AC15" i="63"/>
  <c r="AD15" i="63"/>
  <c r="AE15" i="63"/>
  <c r="AF15" i="63"/>
  <c r="AG15" i="63"/>
  <c r="AH15" i="63"/>
  <c r="AI15" i="63"/>
  <c r="AJ15" i="63"/>
  <c r="AK15" i="63"/>
  <c r="AL15" i="63"/>
  <c r="AM15" i="63"/>
  <c r="AN15" i="63"/>
  <c r="AO15" i="63"/>
  <c r="AP15" i="63"/>
  <c r="AQ15" i="63"/>
  <c r="AR15" i="63"/>
  <c r="AS15" i="63"/>
  <c r="AT15" i="63"/>
  <c r="AU15" i="63"/>
  <c r="AW15" i="63"/>
  <c r="AX15" i="63"/>
  <c r="AY15" i="63"/>
  <c r="BA15" i="63"/>
  <c r="BC15" i="63"/>
  <c r="A16" i="63"/>
  <c r="B16" i="63"/>
  <c r="D16" i="63"/>
  <c r="E16" i="63"/>
  <c r="F16" i="63"/>
  <c r="G16" i="63"/>
  <c r="H16" i="63"/>
  <c r="J16" i="63"/>
  <c r="K16" i="63"/>
  <c r="L16" i="63"/>
  <c r="M16" i="63"/>
  <c r="O16" i="63"/>
  <c r="P16" i="63"/>
  <c r="R16" i="63"/>
  <c r="S16" i="63"/>
  <c r="T16" i="63"/>
  <c r="U16" i="63"/>
  <c r="V16" i="63"/>
  <c r="W16" i="63"/>
  <c r="X16" i="63"/>
  <c r="Z16" i="63"/>
  <c r="AA16" i="63"/>
  <c r="AB16" i="63"/>
  <c r="AC16" i="63"/>
  <c r="AD16" i="63"/>
  <c r="AE16" i="63"/>
  <c r="AF16" i="63"/>
  <c r="AG16" i="63"/>
  <c r="AH16" i="63"/>
  <c r="AI16" i="63"/>
  <c r="AJ16" i="63"/>
  <c r="AK16" i="63"/>
  <c r="AL16" i="63"/>
  <c r="AM16" i="63"/>
  <c r="AN16" i="63"/>
  <c r="AO16" i="63"/>
  <c r="AP16" i="63"/>
  <c r="AQ16" i="63"/>
  <c r="AR16" i="63"/>
  <c r="AS16" i="63"/>
  <c r="AT16" i="63"/>
  <c r="AU16" i="63"/>
  <c r="AW16" i="63"/>
  <c r="AX16" i="63"/>
  <c r="AY16" i="63"/>
  <c r="BA16" i="63"/>
  <c r="BC16" i="63"/>
  <c r="A17" i="63"/>
  <c r="B17" i="63"/>
  <c r="D17" i="63"/>
  <c r="E17" i="63"/>
  <c r="F17" i="63"/>
  <c r="G17" i="63"/>
  <c r="H17" i="63"/>
  <c r="J17" i="63"/>
  <c r="K17" i="63"/>
  <c r="L17" i="63"/>
  <c r="M17" i="63"/>
  <c r="O17" i="63"/>
  <c r="P17" i="63"/>
  <c r="R17" i="63"/>
  <c r="S17" i="63"/>
  <c r="T17" i="63"/>
  <c r="U17" i="63"/>
  <c r="V17" i="63"/>
  <c r="W17" i="63"/>
  <c r="X17" i="63"/>
  <c r="Z17" i="63"/>
  <c r="AA17" i="63"/>
  <c r="AB17" i="63"/>
  <c r="AC17" i="63"/>
  <c r="AD17" i="63"/>
  <c r="AE17" i="63"/>
  <c r="AF17" i="63"/>
  <c r="AG17" i="63"/>
  <c r="AH17" i="63"/>
  <c r="AI17" i="63"/>
  <c r="AJ17" i="63"/>
  <c r="AK17" i="63"/>
  <c r="AL17" i="63"/>
  <c r="AM17" i="63"/>
  <c r="AN17" i="63"/>
  <c r="AO17" i="63"/>
  <c r="AP17" i="63"/>
  <c r="AQ17" i="63"/>
  <c r="AR17" i="63"/>
  <c r="AS17" i="63"/>
  <c r="AT17" i="63"/>
  <c r="AU17" i="63"/>
  <c r="AW17" i="63"/>
  <c r="AX17" i="63"/>
  <c r="AY17" i="63"/>
  <c r="BA17" i="63"/>
  <c r="BC17" i="63"/>
  <c r="A18" i="63"/>
  <c r="B18" i="63"/>
  <c r="D18" i="63"/>
  <c r="E18" i="63"/>
  <c r="F18" i="63"/>
  <c r="G18" i="63"/>
  <c r="H18" i="63"/>
  <c r="J18" i="63"/>
  <c r="K18" i="63"/>
  <c r="L18" i="63"/>
  <c r="M18" i="63"/>
  <c r="O18" i="63"/>
  <c r="P18" i="63"/>
  <c r="R18" i="63"/>
  <c r="S18" i="63"/>
  <c r="T18" i="63"/>
  <c r="U18" i="63"/>
  <c r="V18" i="63"/>
  <c r="W18" i="63"/>
  <c r="X18" i="63"/>
  <c r="Z18" i="63"/>
  <c r="AA18" i="63"/>
  <c r="AB18" i="63"/>
  <c r="AC18" i="63"/>
  <c r="AD18" i="63"/>
  <c r="AE18" i="63"/>
  <c r="AF18" i="63"/>
  <c r="AG18" i="63"/>
  <c r="AH18" i="63"/>
  <c r="AI18" i="63"/>
  <c r="AJ18" i="63"/>
  <c r="AK18" i="63"/>
  <c r="AL18" i="63"/>
  <c r="AM18" i="63"/>
  <c r="AN18" i="63"/>
  <c r="AO18" i="63"/>
  <c r="AP18" i="63"/>
  <c r="AQ18" i="63"/>
  <c r="AR18" i="63"/>
  <c r="AS18" i="63"/>
  <c r="AT18" i="63"/>
  <c r="AU18" i="63"/>
  <c r="AW18" i="63"/>
  <c r="AX18" i="63"/>
  <c r="AY18" i="63"/>
  <c r="BA18" i="63"/>
  <c r="BC18" i="63"/>
  <c r="A19" i="63"/>
  <c r="B19" i="63"/>
  <c r="D19" i="63"/>
  <c r="E19" i="63"/>
  <c r="F19" i="63"/>
  <c r="G19" i="63"/>
  <c r="H19" i="63"/>
  <c r="J19" i="63"/>
  <c r="K19" i="63"/>
  <c r="L19" i="63"/>
  <c r="M19" i="63"/>
  <c r="O19" i="63"/>
  <c r="P19" i="63"/>
  <c r="R19" i="63"/>
  <c r="S19" i="63"/>
  <c r="T19" i="63"/>
  <c r="U19" i="63"/>
  <c r="V19" i="63"/>
  <c r="W19" i="63"/>
  <c r="X19" i="63"/>
  <c r="Z19" i="63"/>
  <c r="AA19" i="63"/>
  <c r="AB19" i="63"/>
  <c r="AC19" i="63"/>
  <c r="AD19" i="63"/>
  <c r="AE19" i="63"/>
  <c r="AF19" i="63"/>
  <c r="AG19" i="63"/>
  <c r="AH19" i="63"/>
  <c r="AI19" i="63"/>
  <c r="AJ19" i="63"/>
  <c r="AK19" i="63"/>
  <c r="AL19" i="63"/>
  <c r="AM19" i="63"/>
  <c r="AN19" i="63"/>
  <c r="AO19" i="63"/>
  <c r="AP19" i="63"/>
  <c r="AQ19" i="63"/>
  <c r="AR19" i="63"/>
  <c r="AS19" i="63"/>
  <c r="AT19" i="63"/>
  <c r="AU19" i="63"/>
  <c r="AW19" i="63"/>
  <c r="AX19" i="63"/>
  <c r="AY19" i="63"/>
  <c r="BA19" i="63"/>
  <c r="BC19" i="63"/>
  <c r="A20" i="63"/>
  <c r="B20" i="63"/>
  <c r="D20" i="63"/>
  <c r="E20" i="63"/>
  <c r="F20" i="63"/>
  <c r="G20" i="63"/>
  <c r="H20" i="63"/>
  <c r="J20" i="63"/>
  <c r="K20" i="63"/>
  <c r="L20" i="63"/>
  <c r="M20" i="63"/>
  <c r="O20" i="63"/>
  <c r="P20" i="63"/>
  <c r="R20" i="63"/>
  <c r="S20" i="63"/>
  <c r="T20" i="63"/>
  <c r="U20" i="63"/>
  <c r="V20" i="63"/>
  <c r="W20" i="63"/>
  <c r="X20" i="63"/>
  <c r="Z20" i="63"/>
  <c r="AA20" i="63"/>
  <c r="AB20" i="63"/>
  <c r="AC20" i="63"/>
  <c r="AD20" i="63"/>
  <c r="AE20" i="63"/>
  <c r="AF20" i="63"/>
  <c r="AG20" i="63"/>
  <c r="AH20" i="63"/>
  <c r="AI20" i="63"/>
  <c r="AJ20" i="63"/>
  <c r="AK20" i="63"/>
  <c r="AL20" i="63"/>
  <c r="AM20" i="63"/>
  <c r="AN20" i="63"/>
  <c r="AO20" i="63"/>
  <c r="AP20" i="63"/>
  <c r="AQ20" i="63"/>
  <c r="AR20" i="63"/>
  <c r="AS20" i="63"/>
  <c r="AT20" i="63"/>
  <c r="AU20" i="63"/>
  <c r="AW20" i="63"/>
  <c r="AX20" i="63"/>
  <c r="AY20" i="63"/>
  <c r="BA20" i="63"/>
  <c r="BC20" i="63"/>
  <c r="A21" i="63"/>
  <c r="B21" i="63"/>
  <c r="D21" i="63"/>
  <c r="E21" i="63"/>
  <c r="F21" i="63"/>
  <c r="G21" i="63"/>
  <c r="H21" i="63"/>
  <c r="J21" i="63"/>
  <c r="K21" i="63"/>
  <c r="L21" i="63"/>
  <c r="M21" i="63"/>
  <c r="O21" i="63"/>
  <c r="P21" i="63"/>
  <c r="R21" i="63"/>
  <c r="S21" i="63"/>
  <c r="T21" i="63"/>
  <c r="U21" i="63"/>
  <c r="V21" i="63"/>
  <c r="W21" i="63"/>
  <c r="X21" i="63"/>
  <c r="Z21" i="63"/>
  <c r="AA21" i="63"/>
  <c r="AB21" i="63"/>
  <c r="AC21" i="63"/>
  <c r="AD21" i="63"/>
  <c r="AE21" i="63"/>
  <c r="AF21" i="63"/>
  <c r="AG21" i="63"/>
  <c r="AH21" i="63"/>
  <c r="AI21" i="63"/>
  <c r="AJ21" i="63"/>
  <c r="AK21" i="63"/>
  <c r="AL21" i="63"/>
  <c r="AM21" i="63"/>
  <c r="AN21" i="63"/>
  <c r="AO21" i="63"/>
  <c r="AP21" i="63"/>
  <c r="AQ21" i="63"/>
  <c r="AR21" i="63"/>
  <c r="AS21" i="63"/>
  <c r="AT21" i="63"/>
  <c r="AU21" i="63"/>
  <c r="AW21" i="63"/>
  <c r="AX21" i="63"/>
  <c r="AY21" i="63"/>
  <c r="BA21" i="63"/>
  <c r="BC21" i="63"/>
  <c r="A22" i="63"/>
  <c r="B22" i="63"/>
  <c r="D22" i="63"/>
  <c r="E22" i="63"/>
  <c r="F22" i="63"/>
  <c r="G22" i="63"/>
  <c r="H22" i="63"/>
  <c r="J22" i="63"/>
  <c r="K22" i="63"/>
  <c r="L22" i="63"/>
  <c r="M22" i="63"/>
  <c r="O22" i="63"/>
  <c r="P22" i="63"/>
  <c r="R22" i="63"/>
  <c r="S22" i="63"/>
  <c r="T22" i="63"/>
  <c r="U22" i="63"/>
  <c r="V22" i="63"/>
  <c r="W22" i="63"/>
  <c r="X22" i="63"/>
  <c r="Z22" i="63"/>
  <c r="AA22" i="63"/>
  <c r="AB22" i="63"/>
  <c r="AC22" i="63"/>
  <c r="AD22" i="63"/>
  <c r="AE22" i="63"/>
  <c r="AF22" i="63"/>
  <c r="AG22" i="63"/>
  <c r="AH22" i="63"/>
  <c r="AI22" i="63"/>
  <c r="AJ22" i="63"/>
  <c r="AK22" i="63"/>
  <c r="AL22" i="63"/>
  <c r="AM22" i="63"/>
  <c r="AN22" i="63"/>
  <c r="AO22" i="63"/>
  <c r="AP22" i="63"/>
  <c r="AQ22" i="63"/>
  <c r="AR22" i="63"/>
  <c r="AS22" i="63"/>
  <c r="AT22" i="63"/>
  <c r="AU22" i="63"/>
  <c r="AW22" i="63"/>
  <c r="AX22" i="63"/>
  <c r="AY22" i="63"/>
  <c r="BA22" i="63"/>
  <c r="BC22" i="63"/>
  <c r="A23" i="63"/>
  <c r="B23" i="63"/>
  <c r="D23" i="63"/>
  <c r="E23" i="63"/>
  <c r="F23" i="63"/>
  <c r="G23" i="63"/>
  <c r="H23" i="63"/>
  <c r="J23" i="63"/>
  <c r="K23" i="63"/>
  <c r="L23" i="63"/>
  <c r="M23" i="63"/>
  <c r="O23" i="63"/>
  <c r="P23" i="63"/>
  <c r="R23" i="63"/>
  <c r="S23" i="63"/>
  <c r="T23" i="63"/>
  <c r="U23" i="63"/>
  <c r="V23" i="63"/>
  <c r="W23" i="63"/>
  <c r="X23" i="63"/>
  <c r="Z23" i="63"/>
  <c r="AA23" i="63"/>
  <c r="AB23" i="63"/>
  <c r="AC23" i="63"/>
  <c r="AD23" i="63"/>
  <c r="AE23" i="63"/>
  <c r="AF23" i="63"/>
  <c r="AG23" i="63"/>
  <c r="AH23" i="63"/>
  <c r="AI23" i="63"/>
  <c r="AJ23" i="63"/>
  <c r="AK23" i="63"/>
  <c r="AL23" i="63"/>
  <c r="AM23" i="63"/>
  <c r="AN23" i="63"/>
  <c r="AO23" i="63"/>
  <c r="AP23" i="63"/>
  <c r="AQ23" i="63"/>
  <c r="AR23" i="63"/>
  <c r="AS23" i="63"/>
  <c r="AT23" i="63"/>
  <c r="AU23" i="63"/>
  <c r="AW23" i="63"/>
  <c r="AX23" i="63"/>
  <c r="AY23" i="63"/>
  <c r="BA23" i="63"/>
  <c r="BC23" i="63"/>
  <c r="A24" i="63"/>
  <c r="B24" i="63"/>
  <c r="D24" i="63"/>
  <c r="E24" i="63"/>
  <c r="F24" i="63"/>
  <c r="G24" i="63"/>
  <c r="H24" i="63"/>
  <c r="J24" i="63"/>
  <c r="K24" i="63"/>
  <c r="L24" i="63"/>
  <c r="M24" i="63"/>
  <c r="O24" i="63"/>
  <c r="P24" i="63"/>
  <c r="R24" i="63"/>
  <c r="S24" i="63"/>
  <c r="T24" i="63"/>
  <c r="U24" i="63"/>
  <c r="V24" i="63"/>
  <c r="W24" i="63"/>
  <c r="X24" i="63"/>
  <c r="Z24" i="63"/>
  <c r="AA24" i="63"/>
  <c r="AB24" i="63"/>
  <c r="AC24" i="63"/>
  <c r="AD24" i="63"/>
  <c r="AE24" i="63"/>
  <c r="AF24" i="63"/>
  <c r="AG24" i="63"/>
  <c r="AH24" i="63"/>
  <c r="AI24" i="63"/>
  <c r="AJ24" i="63"/>
  <c r="AK24" i="63"/>
  <c r="AL24" i="63"/>
  <c r="AM24" i="63"/>
  <c r="AN24" i="63"/>
  <c r="AO24" i="63"/>
  <c r="AP24" i="63"/>
  <c r="AQ24" i="63"/>
  <c r="AR24" i="63"/>
  <c r="AS24" i="63"/>
  <c r="AT24" i="63"/>
  <c r="AU24" i="63"/>
  <c r="AW24" i="63"/>
  <c r="AX24" i="63"/>
  <c r="AY24" i="63"/>
  <c r="BA24" i="63"/>
  <c r="BC24" i="63"/>
  <c r="A25" i="63"/>
  <c r="B25" i="63"/>
  <c r="D25" i="63"/>
  <c r="E25" i="63"/>
  <c r="F25" i="63"/>
  <c r="G25" i="63"/>
  <c r="H25" i="63"/>
  <c r="J25" i="63"/>
  <c r="K25" i="63"/>
  <c r="L25" i="63"/>
  <c r="M25" i="63"/>
  <c r="O25" i="63"/>
  <c r="P25" i="63"/>
  <c r="R25" i="63"/>
  <c r="S25" i="63"/>
  <c r="T25" i="63"/>
  <c r="U25" i="63"/>
  <c r="V25" i="63"/>
  <c r="W25" i="63"/>
  <c r="X25" i="63"/>
  <c r="Z25" i="63"/>
  <c r="AA25" i="63"/>
  <c r="AB25" i="63"/>
  <c r="AC25" i="63"/>
  <c r="AD25" i="63"/>
  <c r="AE25" i="63"/>
  <c r="AF25" i="63"/>
  <c r="AG25" i="63"/>
  <c r="AH25" i="63"/>
  <c r="AI25" i="63"/>
  <c r="AJ25" i="63"/>
  <c r="AK25" i="63"/>
  <c r="AL25" i="63"/>
  <c r="AM25" i="63"/>
  <c r="AN25" i="63"/>
  <c r="AO25" i="63"/>
  <c r="AP25" i="63"/>
  <c r="AQ25" i="63"/>
  <c r="AR25" i="63"/>
  <c r="AS25" i="63"/>
  <c r="AT25" i="63"/>
  <c r="AU25" i="63"/>
  <c r="AW25" i="63"/>
  <c r="AX25" i="63"/>
  <c r="AY25" i="63"/>
  <c r="BA25" i="63"/>
  <c r="BC25" i="63"/>
  <c r="A26" i="63"/>
  <c r="B26" i="63"/>
  <c r="D26" i="63"/>
  <c r="E26" i="63"/>
  <c r="F26" i="63"/>
  <c r="G26" i="63"/>
  <c r="H26" i="63"/>
  <c r="J26" i="63"/>
  <c r="K26" i="63"/>
  <c r="L26" i="63"/>
  <c r="M26" i="63"/>
  <c r="O26" i="63"/>
  <c r="P26" i="63"/>
  <c r="R26" i="63"/>
  <c r="S26" i="63"/>
  <c r="T26" i="63"/>
  <c r="U26" i="63"/>
  <c r="V26" i="63"/>
  <c r="W26" i="63"/>
  <c r="X26" i="63"/>
  <c r="Z26" i="63"/>
  <c r="AA26" i="63"/>
  <c r="AB26" i="63"/>
  <c r="AC26" i="63"/>
  <c r="AD26" i="63"/>
  <c r="AE26" i="63"/>
  <c r="AF26" i="63"/>
  <c r="AG26" i="63"/>
  <c r="AH26" i="63"/>
  <c r="AI26" i="63"/>
  <c r="AJ26" i="63"/>
  <c r="AK26" i="63"/>
  <c r="AL26" i="63"/>
  <c r="AM26" i="63"/>
  <c r="AN26" i="63"/>
  <c r="AO26" i="63"/>
  <c r="AP26" i="63"/>
  <c r="AQ26" i="63"/>
  <c r="AR26" i="63"/>
  <c r="AS26" i="63"/>
  <c r="AT26" i="63"/>
  <c r="AU26" i="63"/>
  <c r="AW26" i="63"/>
  <c r="AX26" i="63"/>
  <c r="AY26" i="63"/>
  <c r="BA26" i="63"/>
  <c r="BC26" i="63"/>
  <c r="A27" i="63"/>
  <c r="B27" i="63"/>
  <c r="D27" i="63"/>
  <c r="E27" i="63"/>
  <c r="F27" i="63"/>
  <c r="G27" i="63"/>
  <c r="H27" i="63"/>
  <c r="J27" i="63"/>
  <c r="K27" i="63"/>
  <c r="L27" i="63"/>
  <c r="M27" i="63"/>
  <c r="O27" i="63"/>
  <c r="P27" i="63"/>
  <c r="R27" i="63"/>
  <c r="S27" i="63"/>
  <c r="T27" i="63"/>
  <c r="U27" i="63"/>
  <c r="V27" i="63"/>
  <c r="W27" i="63"/>
  <c r="X27" i="63"/>
  <c r="Z27" i="63"/>
  <c r="AA27" i="63"/>
  <c r="AB27" i="63"/>
  <c r="AC27" i="63"/>
  <c r="AD27" i="63"/>
  <c r="AE27" i="63"/>
  <c r="AF27" i="63"/>
  <c r="AG27" i="63"/>
  <c r="AH27" i="63"/>
  <c r="AI27" i="63"/>
  <c r="AJ27" i="63"/>
  <c r="AK27" i="63"/>
  <c r="AL27" i="63"/>
  <c r="AM27" i="63"/>
  <c r="AN27" i="63"/>
  <c r="AO27" i="63"/>
  <c r="AP27" i="63"/>
  <c r="AQ27" i="63"/>
  <c r="AR27" i="63"/>
  <c r="AS27" i="63"/>
  <c r="AT27" i="63"/>
  <c r="AU27" i="63"/>
  <c r="AW27" i="63"/>
  <c r="AX27" i="63"/>
  <c r="AY27" i="63"/>
  <c r="BA27" i="63"/>
  <c r="BC27" i="63"/>
  <c r="A28" i="63"/>
  <c r="B28" i="63"/>
  <c r="D28" i="63"/>
  <c r="E28" i="63"/>
  <c r="F28" i="63"/>
  <c r="G28" i="63"/>
  <c r="H28" i="63"/>
  <c r="J28" i="63"/>
  <c r="K28" i="63"/>
  <c r="L28" i="63"/>
  <c r="M28" i="63"/>
  <c r="O28" i="63"/>
  <c r="P28" i="63"/>
  <c r="R28" i="63"/>
  <c r="S28" i="63"/>
  <c r="T28" i="63"/>
  <c r="U28" i="63"/>
  <c r="V28" i="63"/>
  <c r="W28" i="63"/>
  <c r="X28" i="63"/>
  <c r="Z28" i="63"/>
  <c r="AA28" i="63"/>
  <c r="AB28" i="63"/>
  <c r="AC28" i="63"/>
  <c r="AD28" i="63"/>
  <c r="AE28" i="63"/>
  <c r="AF28" i="63"/>
  <c r="AG28" i="63"/>
  <c r="AH28" i="63"/>
  <c r="AI28" i="63"/>
  <c r="AJ28" i="63"/>
  <c r="AK28" i="63"/>
  <c r="AL28" i="63"/>
  <c r="AM28" i="63"/>
  <c r="AN28" i="63"/>
  <c r="AO28" i="63"/>
  <c r="AP28" i="63"/>
  <c r="AQ28" i="63"/>
  <c r="AR28" i="63"/>
  <c r="AS28" i="63"/>
  <c r="AT28" i="63"/>
  <c r="AU28" i="63"/>
  <c r="AW28" i="63"/>
  <c r="AX28" i="63"/>
  <c r="AY28" i="63"/>
  <c r="BA28" i="63"/>
  <c r="BC28" i="63"/>
  <c r="A29" i="63"/>
  <c r="B29" i="63"/>
  <c r="D29" i="63"/>
  <c r="E29" i="63"/>
  <c r="F29" i="63"/>
  <c r="G29" i="63"/>
  <c r="H29" i="63"/>
  <c r="J29" i="63"/>
  <c r="K29" i="63"/>
  <c r="L29" i="63"/>
  <c r="M29" i="63"/>
  <c r="O29" i="63"/>
  <c r="P29" i="63"/>
  <c r="R29" i="63"/>
  <c r="S29" i="63"/>
  <c r="T29" i="63"/>
  <c r="U29" i="63"/>
  <c r="V29" i="63"/>
  <c r="W29" i="63"/>
  <c r="X29" i="63"/>
  <c r="Z29" i="63"/>
  <c r="AA29" i="63"/>
  <c r="AB29" i="63"/>
  <c r="AC29" i="63"/>
  <c r="AD29" i="63"/>
  <c r="AE29" i="63"/>
  <c r="AF29" i="63"/>
  <c r="AG29" i="63"/>
  <c r="AH29" i="63"/>
  <c r="AI29" i="63"/>
  <c r="AJ29" i="63"/>
  <c r="AK29" i="63"/>
  <c r="AL29" i="63"/>
  <c r="AM29" i="63"/>
  <c r="AN29" i="63"/>
  <c r="AO29" i="63"/>
  <c r="AP29" i="63"/>
  <c r="AQ29" i="63"/>
  <c r="AR29" i="63"/>
  <c r="AS29" i="63"/>
  <c r="AT29" i="63"/>
  <c r="AU29" i="63"/>
  <c r="AW29" i="63"/>
  <c r="AX29" i="63"/>
  <c r="AY29" i="63"/>
  <c r="BA29" i="63"/>
  <c r="BC29" i="63"/>
  <c r="A30" i="63"/>
  <c r="B30" i="63"/>
  <c r="D30" i="63"/>
  <c r="E30" i="63"/>
  <c r="F30" i="63"/>
  <c r="G30" i="63"/>
  <c r="H30" i="63"/>
  <c r="J30" i="63"/>
  <c r="K30" i="63"/>
  <c r="L30" i="63"/>
  <c r="M30" i="63"/>
  <c r="O30" i="63"/>
  <c r="P30" i="63"/>
  <c r="R30" i="63"/>
  <c r="S30" i="63"/>
  <c r="T30" i="63"/>
  <c r="U30" i="63"/>
  <c r="V30" i="63"/>
  <c r="W30" i="63"/>
  <c r="X30" i="63"/>
  <c r="Z30" i="63"/>
  <c r="AA30" i="63"/>
  <c r="AB30" i="63"/>
  <c r="AC30" i="63"/>
  <c r="AD30" i="63"/>
  <c r="AE30" i="63"/>
  <c r="AF30" i="63"/>
  <c r="AG30" i="63"/>
  <c r="AH30" i="63"/>
  <c r="AI30" i="63"/>
  <c r="AJ30" i="63"/>
  <c r="AK30" i="63"/>
  <c r="AL30" i="63"/>
  <c r="AM30" i="63"/>
  <c r="AN30" i="63"/>
  <c r="AO30" i="63"/>
  <c r="AP30" i="63"/>
  <c r="AQ30" i="63"/>
  <c r="AR30" i="63"/>
  <c r="AS30" i="63"/>
  <c r="AT30" i="63"/>
  <c r="AU30" i="63"/>
  <c r="AW30" i="63"/>
  <c r="AX30" i="63"/>
  <c r="AY30" i="63"/>
  <c r="BA30" i="63"/>
  <c r="BC30" i="63"/>
  <c r="A31" i="63"/>
  <c r="B31" i="63"/>
  <c r="D31" i="63"/>
  <c r="E31" i="63"/>
  <c r="F31" i="63"/>
  <c r="G31" i="63"/>
  <c r="H31" i="63"/>
  <c r="J31" i="63"/>
  <c r="K31" i="63"/>
  <c r="L31" i="63"/>
  <c r="M31" i="63"/>
  <c r="O31" i="63"/>
  <c r="P31" i="63"/>
  <c r="R31" i="63"/>
  <c r="S31" i="63"/>
  <c r="T31" i="63"/>
  <c r="U31" i="63"/>
  <c r="V31" i="63"/>
  <c r="W31" i="63"/>
  <c r="X31" i="63"/>
  <c r="Z31" i="63"/>
  <c r="AA31" i="63"/>
  <c r="AB31" i="63"/>
  <c r="AC31" i="63"/>
  <c r="AD31" i="63"/>
  <c r="AE31" i="63"/>
  <c r="AF31" i="63"/>
  <c r="AG31" i="63"/>
  <c r="AH31" i="63"/>
  <c r="AI31" i="63"/>
  <c r="AJ31" i="63"/>
  <c r="AK31" i="63"/>
  <c r="AL31" i="63"/>
  <c r="AM31" i="63"/>
  <c r="AN31" i="63"/>
  <c r="AO31" i="63"/>
  <c r="AP31" i="63"/>
  <c r="AQ31" i="63"/>
  <c r="AR31" i="63"/>
  <c r="AS31" i="63"/>
  <c r="AT31" i="63"/>
  <c r="AU31" i="63"/>
  <c r="AW31" i="63"/>
  <c r="AX31" i="63"/>
  <c r="AY31" i="63"/>
  <c r="BA31" i="63"/>
  <c r="BC31" i="63"/>
  <c r="A32" i="63"/>
  <c r="B32" i="63"/>
  <c r="D32" i="63"/>
  <c r="E32" i="63"/>
  <c r="F32" i="63"/>
  <c r="G32" i="63"/>
  <c r="H32" i="63"/>
  <c r="J32" i="63"/>
  <c r="K32" i="63"/>
  <c r="L32" i="63"/>
  <c r="M32" i="63"/>
  <c r="O32" i="63"/>
  <c r="P32" i="63"/>
  <c r="R32" i="63"/>
  <c r="S32" i="63"/>
  <c r="T32" i="63"/>
  <c r="U32" i="63"/>
  <c r="V32" i="63"/>
  <c r="W32" i="63"/>
  <c r="X32" i="63"/>
  <c r="Z32" i="63"/>
  <c r="AA32" i="63"/>
  <c r="AB32" i="63"/>
  <c r="AC32" i="63"/>
  <c r="AD32" i="63"/>
  <c r="AE32" i="63"/>
  <c r="AF32" i="63"/>
  <c r="AG32" i="63"/>
  <c r="AH32" i="63"/>
  <c r="AI32" i="63"/>
  <c r="AJ32" i="63"/>
  <c r="AK32" i="63"/>
  <c r="AL32" i="63"/>
  <c r="AM32" i="63"/>
  <c r="AN32" i="63"/>
  <c r="AO32" i="63"/>
  <c r="AP32" i="63"/>
  <c r="AQ32" i="63"/>
  <c r="AR32" i="63"/>
  <c r="AS32" i="63"/>
  <c r="AT32" i="63"/>
  <c r="AU32" i="63"/>
  <c r="AW32" i="63"/>
  <c r="AX32" i="63"/>
  <c r="AY32" i="63"/>
  <c r="BA32" i="63"/>
  <c r="BC32" i="63"/>
  <c r="A33" i="63"/>
  <c r="B33" i="63"/>
  <c r="D33" i="63"/>
  <c r="E33" i="63"/>
  <c r="F33" i="63"/>
  <c r="G33" i="63"/>
  <c r="H33" i="63"/>
  <c r="J33" i="63"/>
  <c r="K33" i="63"/>
  <c r="L33" i="63"/>
  <c r="M33" i="63"/>
  <c r="O33" i="63"/>
  <c r="P33" i="63"/>
  <c r="R33" i="63"/>
  <c r="S33" i="63"/>
  <c r="T33" i="63"/>
  <c r="U33" i="63"/>
  <c r="V33" i="63"/>
  <c r="W33" i="63"/>
  <c r="X33" i="63"/>
  <c r="Z33" i="63"/>
  <c r="AA33" i="63"/>
  <c r="AB33" i="63"/>
  <c r="AC33" i="63"/>
  <c r="AD33" i="63"/>
  <c r="AE33" i="63"/>
  <c r="AF33" i="63"/>
  <c r="AG33" i="63"/>
  <c r="AH33" i="63"/>
  <c r="AI33" i="63"/>
  <c r="AJ33" i="63"/>
  <c r="AK33" i="63"/>
  <c r="AL33" i="63"/>
  <c r="AM33" i="63"/>
  <c r="AN33" i="63"/>
  <c r="AO33" i="63"/>
  <c r="AP33" i="63"/>
  <c r="AQ33" i="63"/>
  <c r="AR33" i="63"/>
  <c r="AS33" i="63"/>
  <c r="AT33" i="63"/>
  <c r="AU33" i="63"/>
  <c r="AW33" i="63"/>
  <c r="AX33" i="63"/>
  <c r="AY33" i="63"/>
  <c r="BA33" i="63"/>
  <c r="BC33" i="63"/>
  <c r="A34" i="63"/>
  <c r="B34" i="63"/>
  <c r="D34" i="63"/>
  <c r="E34" i="63"/>
  <c r="F34" i="63"/>
  <c r="G34" i="63"/>
  <c r="H34" i="63"/>
  <c r="J34" i="63"/>
  <c r="K34" i="63"/>
  <c r="L34" i="63"/>
  <c r="M34" i="63"/>
  <c r="O34" i="63"/>
  <c r="P34" i="63"/>
  <c r="R34" i="63"/>
  <c r="S34" i="63"/>
  <c r="T34" i="63"/>
  <c r="U34" i="63"/>
  <c r="V34" i="63"/>
  <c r="W34" i="63"/>
  <c r="X34" i="63"/>
  <c r="Z34" i="63"/>
  <c r="AA34" i="63"/>
  <c r="AB34" i="63"/>
  <c r="AC34" i="63"/>
  <c r="AD34" i="63"/>
  <c r="AE34" i="63"/>
  <c r="AF34" i="63"/>
  <c r="AG34" i="63"/>
  <c r="AH34" i="63"/>
  <c r="AI34" i="63"/>
  <c r="AJ34" i="63"/>
  <c r="AK34" i="63"/>
  <c r="AL34" i="63"/>
  <c r="AM34" i="63"/>
  <c r="AN34" i="63"/>
  <c r="AO34" i="63"/>
  <c r="AP34" i="63"/>
  <c r="AQ34" i="63"/>
  <c r="AR34" i="63"/>
  <c r="AS34" i="63"/>
  <c r="AT34" i="63"/>
  <c r="AU34" i="63"/>
  <c r="AW34" i="63"/>
  <c r="AX34" i="63"/>
  <c r="AY34" i="63"/>
  <c r="BA34" i="63"/>
  <c r="BC34" i="63"/>
  <c r="A35" i="63"/>
  <c r="B35" i="63"/>
  <c r="D35" i="63"/>
  <c r="E35" i="63"/>
  <c r="F35" i="63"/>
  <c r="G35" i="63"/>
  <c r="H35" i="63"/>
  <c r="J35" i="63"/>
  <c r="K35" i="63"/>
  <c r="L35" i="63"/>
  <c r="M35" i="63"/>
  <c r="O35" i="63"/>
  <c r="P35" i="63"/>
  <c r="R35" i="63"/>
  <c r="S35" i="63"/>
  <c r="T35" i="63"/>
  <c r="U35" i="63"/>
  <c r="V35" i="63"/>
  <c r="W35" i="63"/>
  <c r="X35" i="63"/>
  <c r="Z35" i="63"/>
  <c r="AA35" i="63"/>
  <c r="AB35" i="63"/>
  <c r="AC35" i="63"/>
  <c r="AD35" i="63"/>
  <c r="AE35" i="63"/>
  <c r="AF35" i="63"/>
  <c r="AG35" i="63"/>
  <c r="AH35" i="63"/>
  <c r="AI35" i="63"/>
  <c r="AJ35" i="63"/>
  <c r="AK35" i="63"/>
  <c r="AL35" i="63"/>
  <c r="AM35" i="63"/>
  <c r="AN35" i="63"/>
  <c r="AO35" i="63"/>
  <c r="AP35" i="63"/>
  <c r="AQ35" i="63"/>
  <c r="AR35" i="63"/>
  <c r="AS35" i="63"/>
  <c r="AT35" i="63"/>
  <c r="AU35" i="63"/>
  <c r="AW35" i="63"/>
  <c r="AX35" i="63"/>
  <c r="AY35" i="63"/>
  <c r="BA35" i="63"/>
  <c r="BC35" i="63"/>
  <c r="A36" i="63"/>
  <c r="B36" i="63"/>
  <c r="D36" i="63"/>
  <c r="E36" i="63"/>
  <c r="F36" i="63"/>
  <c r="G36" i="63"/>
  <c r="H36" i="63"/>
  <c r="J36" i="63"/>
  <c r="K36" i="63"/>
  <c r="L36" i="63"/>
  <c r="M36" i="63"/>
  <c r="O36" i="63"/>
  <c r="P36" i="63"/>
  <c r="R36" i="63"/>
  <c r="S36" i="63"/>
  <c r="T36" i="63"/>
  <c r="U36" i="63"/>
  <c r="V36" i="63"/>
  <c r="W36" i="63"/>
  <c r="X36" i="63"/>
  <c r="Z36" i="63"/>
  <c r="AA36" i="63"/>
  <c r="AB36" i="63"/>
  <c r="AC36" i="63"/>
  <c r="AD36" i="63"/>
  <c r="AE36" i="63"/>
  <c r="AF36" i="63"/>
  <c r="AG36" i="63"/>
  <c r="AH36" i="63"/>
  <c r="AI36" i="63"/>
  <c r="AJ36" i="63"/>
  <c r="AK36" i="63"/>
  <c r="AL36" i="63"/>
  <c r="AM36" i="63"/>
  <c r="AN36" i="63"/>
  <c r="AO36" i="63"/>
  <c r="AP36" i="63"/>
  <c r="AQ36" i="63"/>
  <c r="AR36" i="63"/>
  <c r="AS36" i="63"/>
  <c r="AT36" i="63"/>
  <c r="AU36" i="63"/>
  <c r="AW36" i="63"/>
  <c r="AX36" i="63"/>
  <c r="AY36" i="63"/>
  <c r="BA36" i="63"/>
  <c r="BC36" i="63"/>
  <c r="A37" i="63"/>
  <c r="B37" i="63"/>
  <c r="D37" i="63"/>
  <c r="E37" i="63"/>
  <c r="F37" i="63"/>
  <c r="G37" i="63"/>
  <c r="H37" i="63"/>
  <c r="J37" i="63"/>
  <c r="K37" i="63"/>
  <c r="L37" i="63"/>
  <c r="M37" i="63"/>
  <c r="O37" i="63"/>
  <c r="P37" i="63"/>
  <c r="R37" i="63"/>
  <c r="S37" i="63"/>
  <c r="T37" i="63"/>
  <c r="U37" i="63"/>
  <c r="V37" i="63"/>
  <c r="W37" i="63"/>
  <c r="X37" i="63"/>
  <c r="Z37" i="63"/>
  <c r="AA37" i="63"/>
  <c r="AB37" i="63"/>
  <c r="AC37" i="63"/>
  <c r="AD37" i="63"/>
  <c r="AE37" i="63"/>
  <c r="AF37" i="63"/>
  <c r="AG37" i="63"/>
  <c r="AH37" i="63"/>
  <c r="AI37" i="63"/>
  <c r="AJ37" i="63"/>
  <c r="AK37" i="63"/>
  <c r="AL37" i="63"/>
  <c r="AM37" i="63"/>
  <c r="AN37" i="63"/>
  <c r="AO37" i="63"/>
  <c r="AP37" i="63"/>
  <c r="AQ37" i="63"/>
  <c r="AR37" i="63"/>
  <c r="AS37" i="63"/>
  <c r="AT37" i="63"/>
  <c r="AU37" i="63"/>
  <c r="AW37" i="63"/>
  <c r="AX37" i="63"/>
  <c r="AY37" i="63"/>
  <c r="BA37" i="63"/>
  <c r="BC37" i="63"/>
  <c r="A38" i="63"/>
  <c r="B38" i="63"/>
  <c r="D38" i="63"/>
  <c r="E38" i="63"/>
  <c r="F38" i="63"/>
  <c r="G38" i="63"/>
  <c r="H38" i="63"/>
  <c r="J38" i="63"/>
  <c r="K38" i="63"/>
  <c r="L38" i="63"/>
  <c r="M38" i="63"/>
  <c r="O38" i="63"/>
  <c r="P38" i="63"/>
  <c r="R38" i="63"/>
  <c r="S38" i="63"/>
  <c r="T38" i="63"/>
  <c r="U38" i="63"/>
  <c r="V38" i="63"/>
  <c r="W38" i="63"/>
  <c r="X38" i="63"/>
  <c r="Z38" i="63"/>
  <c r="AA38" i="63"/>
  <c r="AB38" i="63"/>
  <c r="AC38" i="63"/>
  <c r="AD38" i="63"/>
  <c r="AE38" i="63"/>
  <c r="AF38" i="63"/>
  <c r="AG38" i="63"/>
  <c r="AH38" i="63"/>
  <c r="AI38" i="63"/>
  <c r="AJ38" i="63"/>
  <c r="AK38" i="63"/>
  <c r="AL38" i="63"/>
  <c r="AM38" i="63"/>
  <c r="AN38" i="63"/>
  <c r="AO38" i="63"/>
  <c r="AP38" i="63"/>
  <c r="AQ38" i="63"/>
  <c r="AR38" i="63"/>
  <c r="AS38" i="63"/>
  <c r="AT38" i="63"/>
  <c r="AU38" i="63"/>
  <c r="AW38" i="63"/>
  <c r="AX38" i="63"/>
  <c r="AY38" i="63"/>
  <c r="BA38" i="63"/>
  <c r="BC38" i="63"/>
  <c r="A39" i="63"/>
  <c r="B39" i="63"/>
  <c r="D39" i="63"/>
  <c r="E39" i="63"/>
  <c r="F39" i="63"/>
  <c r="G39" i="63"/>
  <c r="H39" i="63"/>
  <c r="J39" i="63"/>
  <c r="K39" i="63"/>
  <c r="L39" i="63"/>
  <c r="M39" i="63"/>
  <c r="O39" i="63"/>
  <c r="P39" i="63"/>
  <c r="R39" i="63"/>
  <c r="S39" i="63"/>
  <c r="T39" i="63"/>
  <c r="U39" i="63"/>
  <c r="V39" i="63"/>
  <c r="W39" i="63"/>
  <c r="X39" i="63"/>
  <c r="Z39" i="63"/>
  <c r="AA39" i="63"/>
  <c r="AB39" i="63"/>
  <c r="AC39" i="63"/>
  <c r="AD39" i="63"/>
  <c r="AE39" i="63"/>
  <c r="AF39" i="63"/>
  <c r="AG39" i="63"/>
  <c r="AH39" i="63"/>
  <c r="AI39" i="63"/>
  <c r="AJ39" i="63"/>
  <c r="AK39" i="63"/>
  <c r="AL39" i="63"/>
  <c r="AM39" i="63"/>
  <c r="AN39" i="63"/>
  <c r="AO39" i="63"/>
  <c r="AP39" i="63"/>
  <c r="AQ39" i="63"/>
  <c r="AR39" i="63"/>
  <c r="AS39" i="63"/>
  <c r="AT39" i="63"/>
  <c r="AU39" i="63"/>
  <c r="AW39" i="63"/>
  <c r="AX39" i="63"/>
  <c r="AY39" i="63"/>
  <c r="BA39" i="63"/>
  <c r="BC39" i="63"/>
  <c r="A40" i="63"/>
  <c r="B40" i="63"/>
  <c r="D40" i="63"/>
  <c r="E40" i="63"/>
  <c r="F40" i="63"/>
  <c r="G40" i="63"/>
  <c r="H40" i="63"/>
  <c r="J40" i="63"/>
  <c r="K40" i="63"/>
  <c r="L40" i="63"/>
  <c r="M40" i="63"/>
  <c r="O40" i="63"/>
  <c r="P40" i="63"/>
  <c r="R40" i="63"/>
  <c r="S40" i="63"/>
  <c r="T40" i="63"/>
  <c r="U40" i="63"/>
  <c r="V40" i="63"/>
  <c r="W40" i="63"/>
  <c r="X40" i="63"/>
  <c r="Z40" i="63"/>
  <c r="AA40" i="63"/>
  <c r="AB40" i="63"/>
  <c r="AC40" i="63"/>
  <c r="AD40" i="63"/>
  <c r="AE40" i="63"/>
  <c r="AF40" i="63"/>
  <c r="AG40" i="63"/>
  <c r="AH40" i="63"/>
  <c r="AI40" i="63"/>
  <c r="AJ40" i="63"/>
  <c r="AK40" i="63"/>
  <c r="AL40" i="63"/>
  <c r="AM40" i="63"/>
  <c r="AN40" i="63"/>
  <c r="AO40" i="63"/>
  <c r="AP40" i="63"/>
  <c r="AQ40" i="63"/>
  <c r="AR40" i="63"/>
  <c r="AS40" i="63"/>
  <c r="AT40" i="63"/>
  <c r="AU40" i="63"/>
  <c r="AW40" i="63"/>
  <c r="AX40" i="63"/>
  <c r="AY40" i="63"/>
  <c r="BA40" i="63"/>
  <c r="BC40" i="63"/>
  <c r="A41" i="63"/>
  <c r="B41" i="63"/>
  <c r="D41" i="63"/>
  <c r="E41" i="63"/>
  <c r="F41" i="63"/>
  <c r="G41" i="63"/>
  <c r="H41" i="63"/>
  <c r="J41" i="63"/>
  <c r="K41" i="63"/>
  <c r="L41" i="63"/>
  <c r="M41" i="63"/>
  <c r="O41" i="63"/>
  <c r="P41" i="63"/>
  <c r="R41" i="63"/>
  <c r="S41" i="63"/>
  <c r="T41" i="63"/>
  <c r="U41" i="63"/>
  <c r="V41" i="63"/>
  <c r="W41" i="63"/>
  <c r="X41" i="63"/>
  <c r="Z41" i="63"/>
  <c r="AA41" i="63"/>
  <c r="AB41" i="63"/>
  <c r="AC41" i="63"/>
  <c r="AD41" i="63"/>
  <c r="AE41" i="63"/>
  <c r="AF41" i="63"/>
  <c r="AG41" i="63"/>
  <c r="AH41" i="63"/>
  <c r="AI41" i="63"/>
  <c r="AJ41" i="63"/>
  <c r="AK41" i="63"/>
  <c r="AL41" i="63"/>
  <c r="AM41" i="63"/>
  <c r="AN41" i="63"/>
  <c r="AO41" i="63"/>
  <c r="AP41" i="63"/>
  <c r="AQ41" i="63"/>
  <c r="AR41" i="63"/>
  <c r="AS41" i="63"/>
  <c r="AT41" i="63"/>
  <c r="AU41" i="63"/>
  <c r="AW41" i="63"/>
  <c r="AX41" i="63"/>
  <c r="AY41" i="63"/>
  <c r="BA41" i="63"/>
  <c r="BC41" i="63"/>
  <c r="A42" i="63"/>
  <c r="B42" i="63"/>
  <c r="D42" i="63"/>
  <c r="E42" i="63"/>
  <c r="F42" i="63"/>
  <c r="G42" i="63"/>
  <c r="H42" i="63"/>
  <c r="J42" i="63"/>
  <c r="K42" i="63"/>
  <c r="L42" i="63"/>
  <c r="M42" i="63"/>
  <c r="O42" i="63"/>
  <c r="P42" i="63"/>
  <c r="R42" i="63"/>
  <c r="S42" i="63"/>
  <c r="T42" i="63"/>
  <c r="U42" i="63"/>
  <c r="V42" i="63"/>
  <c r="W42" i="63"/>
  <c r="X42" i="63"/>
  <c r="Z42" i="63"/>
  <c r="AA42" i="63"/>
  <c r="AB42" i="63"/>
  <c r="AC42" i="63"/>
  <c r="AD42" i="63"/>
  <c r="AE42" i="63"/>
  <c r="AF42" i="63"/>
  <c r="AG42" i="63"/>
  <c r="AH42" i="63"/>
  <c r="AI42" i="63"/>
  <c r="AJ42" i="63"/>
  <c r="AK42" i="63"/>
  <c r="AL42" i="63"/>
  <c r="AM42" i="63"/>
  <c r="AN42" i="63"/>
  <c r="AO42" i="63"/>
  <c r="AP42" i="63"/>
  <c r="AQ42" i="63"/>
  <c r="AR42" i="63"/>
  <c r="AS42" i="63"/>
  <c r="AT42" i="63"/>
  <c r="AU42" i="63"/>
  <c r="AW42" i="63"/>
  <c r="AX42" i="63"/>
  <c r="AY42" i="63"/>
  <c r="BA42" i="63"/>
  <c r="BC42" i="63"/>
  <c r="A43" i="63"/>
  <c r="B43" i="63"/>
  <c r="D43" i="63"/>
  <c r="E43" i="63"/>
  <c r="F43" i="63"/>
  <c r="G43" i="63"/>
  <c r="H43" i="63"/>
  <c r="J43" i="63"/>
  <c r="K43" i="63"/>
  <c r="L43" i="63"/>
  <c r="M43" i="63"/>
  <c r="O43" i="63"/>
  <c r="P43" i="63"/>
  <c r="R43" i="63"/>
  <c r="S43" i="63"/>
  <c r="T43" i="63"/>
  <c r="U43" i="63"/>
  <c r="V43" i="63"/>
  <c r="W43" i="63"/>
  <c r="X43" i="63"/>
  <c r="Z43" i="63"/>
  <c r="AA43" i="63"/>
  <c r="AB43" i="63"/>
  <c r="AC43" i="63"/>
  <c r="AD43" i="63"/>
  <c r="AE43" i="63"/>
  <c r="AF43" i="63"/>
  <c r="AG43" i="63"/>
  <c r="AH43" i="63"/>
  <c r="AI43" i="63"/>
  <c r="AJ43" i="63"/>
  <c r="AK43" i="63"/>
  <c r="AL43" i="63"/>
  <c r="AM43" i="63"/>
  <c r="AN43" i="63"/>
  <c r="AO43" i="63"/>
  <c r="AP43" i="63"/>
  <c r="AQ43" i="63"/>
  <c r="AR43" i="63"/>
  <c r="AS43" i="63"/>
  <c r="AT43" i="63"/>
  <c r="AU43" i="63"/>
  <c r="AW43" i="63"/>
  <c r="AX43" i="63"/>
  <c r="AY43" i="63"/>
  <c r="BA43" i="63"/>
  <c r="BC43" i="63"/>
  <c r="A44" i="63"/>
  <c r="B44" i="63"/>
  <c r="D44" i="63"/>
  <c r="E44" i="63"/>
  <c r="F44" i="63"/>
  <c r="G44" i="63"/>
  <c r="H44" i="63"/>
  <c r="J44" i="63"/>
  <c r="K44" i="63"/>
  <c r="L44" i="63"/>
  <c r="M44" i="63"/>
  <c r="O44" i="63"/>
  <c r="P44" i="63"/>
  <c r="R44" i="63"/>
  <c r="S44" i="63"/>
  <c r="T44" i="63"/>
  <c r="U44" i="63"/>
  <c r="V44" i="63"/>
  <c r="W44" i="63"/>
  <c r="X44" i="63"/>
  <c r="Z44" i="63"/>
  <c r="AA44" i="63"/>
  <c r="AB44" i="63"/>
  <c r="AC44" i="63"/>
  <c r="AD44" i="63"/>
  <c r="AE44" i="63"/>
  <c r="AF44" i="63"/>
  <c r="AG44" i="63"/>
  <c r="AH44" i="63"/>
  <c r="AI44" i="63"/>
  <c r="AJ44" i="63"/>
  <c r="AK44" i="63"/>
  <c r="AL44" i="63"/>
  <c r="AM44" i="63"/>
  <c r="AN44" i="63"/>
  <c r="AO44" i="63"/>
  <c r="AP44" i="63"/>
  <c r="AQ44" i="63"/>
  <c r="AR44" i="63"/>
  <c r="AS44" i="63"/>
  <c r="AT44" i="63"/>
  <c r="AU44" i="63"/>
  <c r="AW44" i="63"/>
  <c r="AX44" i="63"/>
  <c r="AY44" i="63"/>
  <c r="BA44" i="63"/>
  <c r="BC44" i="63"/>
  <c r="A45" i="63"/>
  <c r="B45" i="63"/>
  <c r="D45" i="63"/>
  <c r="E45" i="63"/>
  <c r="F45" i="63"/>
  <c r="G45" i="63"/>
  <c r="H45" i="63"/>
  <c r="J45" i="63"/>
  <c r="K45" i="63"/>
  <c r="L45" i="63"/>
  <c r="M45" i="63"/>
  <c r="O45" i="63"/>
  <c r="P45" i="63"/>
  <c r="R45" i="63"/>
  <c r="S45" i="63"/>
  <c r="T45" i="63"/>
  <c r="U45" i="63"/>
  <c r="V45" i="63"/>
  <c r="W45" i="63"/>
  <c r="X45" i="63"/>
  <c r="Z45" i="63"/>
  <c r="AA45" i="63"/>
  <c r="AB45" i="63"/>
  <c r="AC45" i="63"/>
  <c r="AD45" i="63"/>
  <c r="AE45" i="63"/>
  <c r="AF45" i="63"/>
  <c r="AG45" i="63"/>
  <c r="AH45" i="63"/>
  <c r="AI45" i="63"/>
  <c r="AJ45" i="63"/>
  <c r="AK45" i="63"/>
  <c r="AL45" i="63"/>
  <c r="AM45" i="63"/>
  <c r="AN45" i="63"/>
  <c r="AO45" i="63"/>
  <c r="AP45" i="63"/>
  <c r="AQ45" i="63"/>
  <c r="AR45" i="63"/>
  <c r="AS45" i="63"/>
  <c r="AT45" i="63"/>
  <c r="AU45" i="63"/>
  <c r="AW45" i="63"/>
  <c r="AX45" i="63"/>
  <c r="AY45" i="63"/>
  <c r="BA45" i="63"/>
  <c r="BC45" i="63"/>
  <c r="A46" i="63"/>
  <c r="B46" i="63"/>
  <c r="D46" i="63"/>
  <c r="E46" i="63"/>
  <c r="F46" i="63"/>
  <c r="G46" i="63"/>
  <c r="H46" i="63"/>
  <c r="J46" i="63"/>
  <c r="K46" i="63"/>
  <c r="L46" i="63"/>
  <c r="M46" i="63"/>
  <c r="O46" i="63"/>
  <c r="P46" i="63"/>
  <c r="R46" i="63"/>
  <c r="S46" i="63"/>
  <c r="T46" i="63"/>
  <c r="U46" i="63"/>
  <c r="V46" i="63"/>
  <c r="W46" i="63"/>
  <c r="X46" i="63"/>
  <c r="Z46" i="63"/>
  <c r="AA46" i="63"/>
  <c r="AB46" i="63"/>
  <c r="AC46" i="63"/>
  <c r="AD46" i="63"/>
  <c r="AE46" i="63"/>
  <c r="AF46" i="63"/>
  <c r="AG46" i="63"/>
  <c r="AH46" i="63"/>
  <c r="AI46" i="63"/>
  <c r="AJ46" i="63"/>
  <c r="AK46" i="63"/>
  <c r="AL46" i="63"/>
  <c r="AM46" i="63"/>
  <c r="AN46" i="63"/>
  <c r="AO46" i="63"/>
  <c r="AP46" i="63"/>
  <c r="AQ46" i="63"/>
  <c r="AR46" i="63"/>
  <c r="AS46" i="63"/>
  <c r="AT46" i="63"/>
  <c r="AU46" i="63"/>
  <c r="AW46" i="63"/>
  <c r="AX46" i="63"/>
  <c r="AY46" i="63"/>
  <c r="BA46" i="63"/>
  <c r="BC46" i="63"/>
  <c r="A47" i="63"/>
  <c r="B47" i="63"/>
  <c r="D47" i="63"/>
  <c r="E47" i="63"/>
  <c r="F47" i="63"/>
  <c r="G47" i="63"/>
  <c r="H47" i="63"/>
  <c r="J47" i="63"/>
  <c r="K47" i="63"/>
  <c r="L47" i="63"/>
  <c r="M47" i="63"/>
  <c r="O47" i="63"/>
  <c r="P47" i="63"/>
  <c r="R47" i="63"/>
  <c r="S47" i="63"/>
  <c r="T47" i="63"/>
  <c r="U47" i="63"/>
  <c r="V47" i="63"/>
  <c r="W47" i="63"/>
  <c r="X47" i="63"/>
  <c r="Z47" i="63"/>
  <c r="AA47" i="63"/>
  <c r="AB47" i="63"/>
  <c r="AC47" i="63"/>
  <c r="AD47" i="63"/>
  <c r="AE47" i="63"/>
  <c r="AF47" i="63"/>
  <c r="AG47" i="63"/>
  <c r="AH47" i="63"/>
  <c r="AI47" i="63"/>
  <c r="AJ47" i="63"/>
  <c r="AK47" i="63"/>
  <c r="AL47" i="63"/>
  <c r="AM47" i="63"/>
  <c r="AN47" i="63"/>
  <c r="AO47" i="63"/>
  <c r="AP47" i="63"/>
  <c r="AQ47" i="63"/>
  <c r="AR47" i="63"/>
  <c r="AS47" i="63"/>
  <c r="AT47" i="63"/>
  <c r="AU47" i="63"/>
  <c r="AW47" i="63"/>
  <c r="AX47" i="63"/>
  <c r="AY47" i="63"/>
  <c r="BA47" i="63"/>
  <c r="BC47" i="63"/>
  <c r="A48" i="63"/>
  <c r="B48" i="63"/>
  <c r="D48" i="63"/>
  <c r="E48" i="63"/>
  <c r="F48" i="63"/>
  <c r="G48" i="63"/>
  <c r="H48" i="63"/>
  <c r="J48" i="63"/>
  <c r="K48" i="63"/>
  <c r="L48" i="63"/>
  <c r="M48" i="63"/>
  <c r="O48" i="63"/>
  <c r="P48" i="63"/>
  <c r="R48" i="63"/>
  <c r="S48" i="63"/>
  <c r="T48" i="63"/>
  <c r="U48" i="63"/>
  <c r="V48" i="63"/>
  <c r="W48" i="63"/>
  <c r="X48" i="63"/>
  <c r="Z48" i="63"/>
  <c r="AA48" i="63"/>
  <c r="AB48" i="63"/>
  <c r="AC48" i="63"/>
  <c r="AD48" i="63"/>
  <c r="AE48" i="63"/>
  <c r="AF48" i="63"/>
  <c r="AG48" i="63"/>
  <c r="AH48" i="63"/>
  <c r="AI48" i="63"/>
  <c r="AJ48" i="63"/>
  <c r="AK48" i="63"/>
  <c r="AL48" i="63"/>
  <c r="AM48" i="63"/>
  <c r="AN48" i="63"/>
  <c r="AO48" i="63"/>
  <c r="AP48" i="63"/>
  <c r="AQ48" i="63"/>
  <c r="AR48" i="63"/>
  <c r="AS48" i="63"/>
  <c r="AT48" i="63"/>
  <c r="AU48" i="63"/>
  <c r="AW48" i="63"/>
  <c r="AX48" i="63"/>
  <c r="AY48" i="63"/>
  <c r="BA48" i="63"/>
  <c r="BC48" i="63"/>
  <c r="A49" i="63"/>
  <c r="B49" i="63"/>
  <c r="D49" i="63"/>
  <c r="E49" i="63"/>
  <c r="F49" i="63"/>
  <c r="G49" i="63"/>
  <c r="H49" i="63"/>
  <c r="J49" i="63"/>
  <c r="K49" i="63"/>
  <c r="L49" i="63"/>
  <c r="M49" i="63"/>
  <c r="O49" i="63"/>
  <c r="P49" i="63"/>
  <c r="R49" i="63"/>
  <c r="S49" i="63"/>
  <c r="T49" i="63"/>
  <c r="U49" i="63"/>
  <c r="V49" i="63"/>
  <c r="W49" i="63"/>
  <c r="X49" i="63"/>
  <c r="Z49" i="63"/>
  <c r="AA49" i="63"/>
  <c r="AB49" i="63"/>
  <c r="AC49" i="63"/>
  <c r="AD49" i="63"/>
  <c r="AE49" i="63"/>
  <c r="AF49" i="63"/>
  <c r="AG49" i="63"/>
  <c r="AH49" i="63"/>
  <c r="AI49" i="63"/>
  <c r="AJ49" i="63"/>
  <c r="AK49" i="63"/>
  <c r="AL49" i="63"/>
  <c r="AM49" i="63"/>
  <c r="AN49" i="63"/>
  <c r="AO49" i="63"/>
  <c r="AP49" i="63"/>
  <c r="AQ49" i="63"/>
  <c r="AR49" i="63"/>
  <c r="AS49" i="63"/>
  <c r="AT49" i="63"/>
  <c r="AU49" i="63"/>
  <c r="AW49" i="63"/>
  <c r="AX49" i="63"/>
  <c r="AY49" i="63"/>
  <c r="BA49" i="63"/>
  <c r="BC49" i="63"/>
  <c r="A50" i="63"/>
  <c r="B50" i="63"/>
  <c r="D50" i="63"/>
  <c r="E50" i="63"/>
  <c r="F50" i="63"/>
  <c r="G50" i="63"/>
  <c r="H50" i="63"/>
  <c r="J50" i="63"/>
  <c r="K50" i="63"/>
  <c r="L50" i="63"/>
  <c r="M50" i="63"/>
  <c r="O50" i="63"/>
  <c r="P50" i="63"/>
  <c r="R50" i="63"/>
  <c r="S50" i="63"/>
  <c r="T50" i="63"/>
  <c r="U50" i="63"/>
  <c r="V50" i="63"/>
  <c r="W50" i="63"/>
  <c r="X50" i="63"/>
  <c r="Z50" i="63"/>
  <c r="AA50" i="63"/>
  <c r="AB50" i="63"/>
  <c r="AC50" i="63"/>
  <c r="AD50" i="63"/>
  <c r="AE50" i="63"/>
  <c r="AF50" i="63"/>
  <c r="AG50" i="63"/>
  <c r="AH50" i="63"/>
  <c r="AI50" i="63"/>
  <c r="AJ50" i="63"/>
  <c r="AK50" i="63"/>
  <c r="AL50" i="63"/>
  <c r="AM50" i="63"/>
  <c r="AN50" i="63"/>
  <c r="AO50" i="63"/>
  <c r="AP50" i="63"/>
  <c r="AQ50" i="63"/>
  <c r="AR50" i="63"/>
  <c r="AS50" i="63"/>
  <c r="AT50" i="63"/>
  <c r="AU50" i="63"/>
  <c r="AW50" i="63"/>
  <c r="AX50" i="63"/>
  <c r="AY50" i="63"/>
  <c r="BA50" i="63"/>
  <c r="BC50" i="63"/>
  <c r="A51" i="63"/>
  <c r="B51" i="63"/>
  <c r="D51" i="63"/>
  <c r="E51" i="63"/>
  <c r="F51" i="63"/>
  <c r="G51" i="63"/>
  <c r="H51" i="63"/>
  <c r="J51" i="63"/>
  <c r="K51" i="63"/>
  <c r="L51" i="63"/>
  <c r="M51" i="63"/>
  <c r="O51" i="63"/>
  <c r="P51" i="63"/>
  <c r="R51" i="63"/>
  <c r="S51" i="63"/>
  <c r="T51" i="63"/>
  <c r="U51" i="63"/>
  <c r="V51" i="63"/>
  <c r="W51" i="63"/>
  <c r="X51" i="63"/>
  <c r="Z51" i="63"/>
  <c r="AA51" i="63"/>
  <c r="AB51" i="63"/>
  <c r="AC51" i="63"/>
  <c r="AD51" i="63"/>
  <c r="AE51" i="63"/>
  <c r="AF51" i="63"/>
  <c r="AG51" i="63"/>
  <c r="AH51" i="63"/>
  <c r="AI51" i="63"/>
  <c r="AJ51" i="63"/>
  <c r="AK51" i="63"/>
  <c r="AL51" i="63"/>
  <c r="AM51" i="63"/>
  <c r="AN51" i="63"/>
  <c r="AO51" i="63"/>
  <c r="AP51" i="63"/>
  <c r="AQ51" i="63"/>
  <c r="AR51" i="63"/>
  <c r="AS51" i="63"/>
  <c r="AT51" i="63"/>
  <c r="AU51" i="63"/>
  <c r="AW51" i="63"/>
  <c r="AX51" i="63"/>
  <c r="AY51" i="63"/>
  <c r="BA51" i="63"/>
  <c r="BC51" i="63"/>
  <c r="A52" i="63"/>
  <c r="B52" i="63"/>
  <c r="D52" i="63"/>
  <c r="E52" i="63"/>
  <c r="F52" i="63"/>
  <c r="G52" i="63"/>
  <c r="H52" i="63"/>
  <c r="J52" i="63"/>
  <c r="K52" i="63"/>
  <c r="L52" i="63"/>
  <c r="M52" i="63"/>
  <c r="O52" i="63"/>
  <c r="P52" i="63"/>
  <c r="R52" i="63"/>
  <c r="S52" i="63"/>
  <c r="T52" i="63"/>
  <c r="U52" i="63"/>
  <c r="V52" i="63"/>
  <c r="W52" i="63"/>
  <c r="X52" i="63"/>
  <c r="Z52" i="63"/>
  <c r="AA52" i="63"/>
  <c r="AB52" i="63"/>
  <c r="AC52" i="63"/>
  <c r="AD52" i="63"/>
  <c r="AE52" i="63"/>
  <c r="AF52" i="63"/>
  <c r="AG52" i="63"/>
  <c r="AH52" i="63"/>
  <c r="AI52" i="63"/>
  <c r="AJ52" i="63"/>
  <c r="AK52" i="63"/>
  <c r="AL52" i="63"/>
  <c r="AM52" i="63"/>
  <c r="AN52" i="63"/>
  <c r="AO52" i="63"/>
  <c r="AP52" i="63"/>
  <c r="AQ52" i="63"/>
  <c r="AR52" i="63"/>
  <c r="AS52" i="63"/>
  <c r="AT52" i="63"/>
  <c r="AU52" i="63"/>
  <c r="AW52" i="63"/>
  <c r="AX52" i="63"/>
  <c r="AY52" i="63"/>
  <c r="BA52" i="63"/>
  <c r="BC52" i="63"/>
  <c r="A53" i="63"/>
  <c r="B53" i="63"/>
  <c r="D53" i="63"/>
  <c r="E53" i="63"/>
  <c r="F53" i="63"/>
  <c r="G53" i="63"/>
  <c r="H53" i="63"/>
  <c r="J53" i="63"/>
  <c r="K53" i="63"/>
  <c r="L53" i="63"/>
  <c r="M53" i="63"/>
  <c r="O53" i="63"/>
  <c r="P53" i="63"/>
  <c r="R53" i="63"/>
  <c r="S53" i="63"/>
  <c r="T53" i="63"/>
  <c r="U53" i="63"/>
  <c r="V53" i="63"/>
  <c r="W53" i="63"/>
  <c r="X53" i="63"/>
  <c r="Z53" i="63"/>
  <c r="AA53" i="63"/>
  <c r="AB53" i="63"/>
  <c r="AC53" i="63"/>
  <c r="AD53" i="63"/>
  <c r="AE53" i="63"/>
  <c r="AF53" i="63"/>
  <c r="AG53" i="63"/>
  <c r="AH53" i="63"/>
  <c r="AI53" i="63"/>
  <c r="AJ53" i="63"/>
  <c r="AK53" i="63"/>
  <c r="AL53" i="63"/>
  <c r="AM53" i="63"/>
  <c r="AN53" i="63"/>
  <c r="AO53" i="63"/>
  <c r="AP53" i="63"/>
  <c r="AQ53" i="63"/>
  <c r="AR53" i="63"/>
  <c r="AS53" i="63"/>
  <c r="AT53" i="63"/>
  <c r="AU53" i="63"/>
  <c r="AW53" i="63"/>
  <c r="AX53" i="63"/>
  <c r="AY53" i="63"/>
  <c r="BA53" i="63"/>
  <c r="BC53" i="63"/>
  <c r="A54" i="63"/>
  <c r="B54" i="63"/>
  <c r="D54" i="63"/>
  <c r="E54" i="63"/>
  <c r="F54" i="63"/>
  <c r="G54" i="63"/>
  <c r="H54" i="63"/>
  <c r="J54" i="63"/>
  <c r="K54" i="63"/>
  <c r="L54" i="63"/>
  <c r="M54" i="63"/>
  <c r="O54" i="63"/>
  <c r="P54" i="63"/>
  <c r="R54" i="63"/>
  <c r="S54" i="63"/>
  <c r="T54" i="63"/>
  <c r="U54" i="63"/>
  <c r="V54" i="63"/>
  <c r="W54" i="63"/>
  <c r="X54" i="63"/>
  <c r="Z54" i="63"/>
  <c r="AA54" i="63"/>
  <c r="AB54" i="63"/>
  <c r="AC54" i="63"/>
  <c r="AD54" i="63"/>
  <c r="AE54" i="63"/>
  <c r="AF54" i="63"/>
  <c r="AG54" i="63"/>
  <c r="AH54" i="63"/>
  <c r="AI54" i="63"/>
  <c r="AJ54" i="63"/>
  <c r="AK54" i="63"/>
  <c r="AL54" i="63"/>
  <c r="AM54" i="63"/>
  <c r="AN54" i="63"/>
  <c r="AO54" i="63"/>
  <c r="AP54" i="63"/>
  <c r="AQ54" i="63"/>
  <c r="AR54" i="63"/>
  <c r="AS54" i="63"/>
  <c r="AT54" i="63"/>
  <c r="AU54" i="63"/>
  <c r="AW54" i="63"/>
  <c r="AX54" i="63"/>
  <c r="AY54" i="63"/>
  <c r="BA54" i="63"/>
  <c r="BC54" i="63"/>
  <c r="A55" i="63"/>
  <c r="B55" i="63"/>
  <c r="D55" i="63"/>
  <c r="E55" i="63"/>
  <c r="F55" i="63"/>
  <c r="G55" i="63"/>
  <c r="H55" i="63"/>
  <c r="J55" i="63"/>
  <c r="K55" i="63"/>
  <c r="L55" i="63"/>
  <c r="M55" i="63"/>
  <c r="O55" i="63"/>
  <c r="P55" i="63"/>
  <c r="R55" i="63"/>
  <c r="S55" i="63"/>
  <c r="T55" i="63"/>
  <c r="U55" i="63"/>
  <c r="V55" i="63"/>
  <c r="W55" i="63"/>
  <c r="X55" i="63"/>
  <c r="Z55" i="63"/>
  <c r="AA55" i="63"/>
  <c r="AB55" i="63"/>
  <c r="AC55" i="63"/>
  <c r="AD55" i="63"/>
  <c r="AE55" i="63"/>
  <c r="AF55" i="63"/>
  <c r="AG55" i="63"/>
  <c r="AH55" i="63"/>
  <c r="AI55" i="63"/>
  <c r="AJ55" i="63"/>
  <c r="AK55" i="63"/>
  <c r="AL55" i="63"/>
  <c r="AM55" i="63"/>
  <c r="AN55" i="63"/>
  <c r="AO55" i="63"/>
  <c r="AP55" i="63"/>
  <c r="AQ55" i="63"/>
  <c r="AR55" i="63"/>
  <c r="AS55" i="63"/>
  <c r="AT55" i="63"/>
  <c r="AU55" i="63"/>
  <c r="AW55" i="63"/>
  <c r="AX55" i="63"/>
  <c r="AY55" i="63"/>
  <c r="BA55" i="63"/>
  <c r="BC55" i="63"/>
  <c r="A56" i="63"/>
  <c r="B56" i="63"/>
  <c r="D56" i="63"/>
  <c r="E56" i="63"/>
  <c r="F56" i="63"/>
  <c r="G56" i="63"/>
  <c r="H56" i="63"/>
  <c r="J56" i="63"/>
  <c r="K56" i="63"/>
  <c r="L56" i="63"/>
  <c r="M56" i="63"/>
  <c r="O56" i="63"/>
  <c r="P56" i="63"/>
  <c r="R56" i="63"/>
  <c r="S56" i="63"/>
  <c r="T56" i="63"/>
  <c r="U56" i="63"/>
  <c r="V56" i="63"/>
  <c r="W56" i="63"/>
  <c r="X56" i="63"/>
  <c r="Z56" i="63"/>
  <c r="AA56" i="63"/>
  <c r="AB56" i="63"/>
  <c r="AC56" i="63"/>
  <c r="AD56" i="63"/>
  <c r="AE56" i="63"/>
  <c r="AF56" i="63"/>
  <c r="AG56" i="63"/>
  <c r="AH56" i="63"/>
  <c r="AI56" i="63"/>
  <c r="AJ56" i="63"/>
  <c r="AK56" i="63"/>
  <c r="AL56" i="63"/>
  <c r="AM56" i="63"/>
  <c r="AN56" i="63"/>
  <c r="AO56" i="63"/>
  <c r="AP56" i="63"/>
  <c r="AQ56" i="63"/>
  <c r="AR56" i="63"/>
  <c r="AS56" i="63"/>
  <c r="AT56" i="63"/>
  <c r="AU56" i="63"/>
  <c r="AW56" i="63"/>
  <c r="AX56" i="63"/>
  <c r="AY56" i="63"/>
  <c r="BA56" i="63"/>
  <c r="BC56" i="63"/>
  <c r="A57" i="63"/>
  <c r="B57" i="63"/>
  <c r="D57" i="63"/>
  <c r="E57" i="63"/>
  <c r="F57" i="63"/>
  <c r="G57" i="63"/>
  <c r="H57" i="63"/>
  <c r="J57" i="63"/>
  <c r="K57" i="63"/>
  <c r="L57" i="63"/>
  <c r="M57" i="63"/>
  <c r="O57" i="63"/>
  <c r="P57" i="63"/>
  <c r="R57" i="63"/>
  <c r="S57" i="63"/>
  <c r="T57" i="63"/>
  <c r="U57" i="63"/>
  <c r="V57" i="63"/>
  <c r="W57" i="63"/>
  <c r="X57" i="63"/>
  <c r="Z57" i="63"/>
  <c r="AA57" i="63"/>
  <c r="AB57" i="63"/>
  <c r="AC57" i="63"/>
  <c r="AD57" i="63"/>
  <c r="AE57" i="63"/>
  <c r="AF57" i="63"/>
  <c r="AG57" i="63"/>
  <c r="AH57" i="63"/>
  <c r="AI57" i="63"/>
  <c r="AJ57" i="63"/>
  <c r="AK57" i="63"/>
  <c r="AL57" i="63"/>
  <c r="AM57" i="63"/>
  <c r="AN57" i="63"/>
  <c r="AO57" i="63"/>
  <c r="AP57" i="63"/>
  <c r="AQ57" i="63"/>
  <c r="AR57" i="63"/>
  <c r="AS57" i="63"/>
  <c r="AT57" i="63"/>
  <c r="AU57" i="63"/>
  <c r="AW57" i="63"/>
  <c r="AX57" i="63"/>
  <c r="AY57" i="63"/>
  <c r="BA57" i="63"/>
  <c r="BC57" i="63"/>
  <c r="A58" i="63"/>
  <c r="B58" i="63"/>
  <c r="D58" i="63"/>
  <c r="E58" i="63"/>
  <c r="F58" i="63"/>
  <c r="G58" i="63"/>
  <c r="H58" i="63"/>
  <c r="J58" i="63"/>
  <c r="K58" i="63"/>
  <c r="L58" i="63"/>
  <c r="M58" i="63"/>
  <c r="O58" i="63"/>
  <c r="P58" i="63"/>
  <c r="R58" i="63"/>
  <c r="S58" i="63"/>
  <c r="T58" i="63"/>
  <c r="U58" i="63"/>
  <c r="V58" i="63"/>
  <c r="W58" i="63"/>
  <c r="X58" i="63"/>
  <c r="Z58" i="63"/>
  <c r="AA58" i="63"/>
  <c r="AB58" i="63"/>
  <c r="AC58" i="63"/>
  <c r="AD58" i="63"/>
  <c r="AE58" i="63"/>
  <c r="AF58" i="63"/>
  <c r="AG58" i="63"/>
  <c r="AH58" i="63"/>
  <c r="AI58" i="63"/>
  <c r="AJ58" i="63"/>
  <c r="AK58" i="63"/>
  <c r="AL58" i="63"/>
  <c r="AM58" i="63"/>
  <c r="AN58" i="63"/>
  <c r="AO58" i="63"/>
  <c r="AP58" i="63"/>
  <c r="AQ58" i="63"/>
  <c r="AR58" i="63"/>
  <c r="AS58" i="63"/>
  <c r="AT58" i="63"/>
  <c r="AU58" i="63"/>
  <c r="AW58" i="63"/>
  <c r="AX58" i="63"/>
  <c r="AY58" i="63"/>
  <c r="BA58" i="63"/>
  <c r="BC58" i="63"/>
  <c r="A59" i="63"/>
  <c r="B59" i="63"/>
  <c r="D59" i="63"/>
  <c r="E59" i="63"/>
  <c r="F59" i="63"/>
  <c r="G59" i="63"/>
  <c r="H59" i="63"/>
  <c r="J59" i="63"/>
  <c r="K59" i="63"/>
  <c r="L59" i="63"/>
  <c r="M59" i="63"/>
  <c r="O59" i="63"/>
  <c r="P59" i="63"/>
  <c r="R59" i="63"/>
  <c r="S59" i="63"/>
  <c r="T59" i="63"/>
  <c r="U59" i="63"/>
  <c r="V59" i="63"/>
  <c r="W59" i="63"/>
  <c r="X59" i="63"/>
  <c r="Z59" i="63"/>
  <c r="AA59" i="63"/>
  <c r="AB59" i="63"/>
  <c r="AC59" i="63"/>
  <c r="AD59" i="63"/>
  <c r="AE59" i="63"/>
  <c r="AF59" i="63"/>
  <c r="AG59" i="63"/>
  <c r="AH59" i="63"/>
  <c r="AI59" i="63"/>
  <c r="AJ59" i="63"/>
  <c r="AK59" i="63"/>
  <c r="AL59" i="63"/>
  <c r="AM59" i="63"/>
  <c r="AN59" i="63"/>
  <c r="AO59" i="63"/>
  <c r="AP59" i="63"/>
  <c r="AQ59" i="63"/>
  <c r="AR59" i="63"/>
  <c r="AS59" i="63"/>
  <c r="AT59" i="63"/>
  <c r="AU59" i="63"/>
  <c r="AW59" i="63"/>
  <c r="AX59" i="63"/>
  <c r="AY59" i="63"/>
  <c r="BA59" i="63"/>
  <c r="BC59" i="63"/>
  <c r="A60" i="63"/>
  <c r="B60" i="63"/>
  <c r="D60" i="63"/>
  <c r="E60" i="63"/>
  <c r="F60" i="63"/>
  <c r="G60" i="63"/>
  <c r="H60" i="63"/>
  <c r="J60" i="63"/>
  <c r="K60" i="63"/>
  <c r="L60" i="63"/>
  <c r="M60" i="63"/>
  <c r="O60" i="63"/>
  <c r="P60" i="63"/>
  <c r="R60" i="63"/>
  <c r="S60" i="63"/>
  <c r="T60" i="63"/>
  <c r="U60" i="63"/>
  <c r="V60" i="63"/>
  <c r="W60" i="63"/>
  <c r="X60" i="63"/>
  <c r="Z60" i="63"/>
  <c r="AA60" i="63"/>
  <c r="AB60" i="63"/>
  <c r="AC60" i="63"/>
  <c r="AD60" i="63"/>
  <c r="AE60" i="63"/>
  <c r="AF60" i="63"/>
  <c r="AG60" i="63"/>
  <c r="AH60" i="63"/>
  <c r="AI60" i="63"/>
  <c r="AJ60" i="63"/>
  <c r="AK60" i="63"/>
  <c r="AL60" i="63"/>
  <c r="AM60" i="63"/>
  <c r="AN60" i="63"/>
  <c r="AO60" i="63"/>
  <c r="AP60" i="63"/>
  <c r="AQ60" i="63"/>
  <c r="AR60" i="63"/>
  <c r="AS60" i="63"/>
  <c r="AT60" i="63"/>
  <c r="AU60" i="63"/>
  <c r="AW60" i="63"/>
  <c r="AX60" i="63"/>
  <c r="AY60" i="63"/>
  <c r="BA60" i="63"/>
  <c r="BC60" i="63"/>
  <c r="A61" i="63"/>
  <c r="B61" i="63"/>
  <c r="D61" i="63"/>
  <c r="E61" i="63"/>
  <c r="F61" i="63"/>
  <c r="G61" i="63"/>
  <c r="H61" i="63"/>
  <c r="J61" i="63"/>
  <c r="K61" i="63"/>
  <c r="L61" i="63"/>
  <c r="M61" i="63"/>
  <c r="O61" i="63"/>
  <c r="P61" i="63"/>
  <c r="R61" i="63"/>
  <c r="S61" i="63"/>
  <c r="T61" i="63"/>
  <c r="U61" i="63"/>
  <c r="V61" i="63"/>
  <c r="W61" i="63"/>
  <c r="X61" i="63"/>
  <c r="Z61" i="63"/>
  <c r="AA61" i="63"/>
  <c r="AB61" i="63"/>
  <c r="AC61" i="63"/>
  <c r="AD61" i="63"/>
  <c r="AE61" i="63"/>
  <c r="AF61" i="63"/>
  <c r="AG61" i="63"/>
  <c r="AH61" i="63"/>
  <c r="AI61" i="63"/>
  <c r="AJ61" i="63"/>
  <c r="AK61" i="63"/>
  <c r="AL61" i="63"/>
  <c r="AM61" i="63"/>
  <c r="AN61" i="63"/>
  <c r="AO61" i="63"/>
  <c r="AP61" i="63"/>
  <c r="AQ61" i="63"/>
  <c r="AR61" i="63"/>
  <c r="AS61" i="63"/>
  <c r="AT61" i="63"/>
  <c r="AU61" i="63"/>
  <c r="AW61" i="63"/>
  <c r="AX61" i="63"/>
  <c r="AY61" i="63"/>
  <c r="BA61" i="63"/>
  <c r="BC61" i="63"/>
  <c r="A62" i="63"/>
  <c r="B62" i="63"/>
  <c r="D62" i="63"/>
  <c r="E62" i="63"/>
  <c r="F62" i="63"/>
  <c r="G62" i="63"/>
  <c r="H62" i="63"/>
  <c r="J62" i="63"/>
  <c r="K62" i="63"/>
  <c r="L62" i="63"/>
  <c r="M62" i="63"/>
  <c r="O62" i="63"/>
  <c r="P62" i="63"/>
  <c r="R62" i="63"/>
  <c r="S62" i="63"/>
  <c r="T62" i="63"/>
  <c r="U62" i="63"/>
  <c r="V62" i="63"/>
  <c r="W62" i="63"/>
  <c r="X62" i="63"/>
  <c r="Z62" i="63"/>
  <c r="AA62" i="63"/>
  <c r="AB62" i="63"/>
  <c r="AC62" i="63"/>
  <c r="AD62" i="63"/>
  <c r="AE62" i="63"/>
  <c r="AF62" i="63"/>
  <c r="AG62" i="63"/>
  <c r="AH62" i="63"/>
  <c r="AI62" i="63"/>
  <c r="AJ62" i="63"/>
  <c r="AK62" i="63"/>
  <c r="AL62" i="63"/>
  <c r="AM62" i="63"/>
  <c r="AN62" i="63"/>
  <c r="AO62" i="63"/>
  <c r="AP62" i="63"/>
  <c r="AQ62" i="63"/>
  <c r="AR62" i="63"/>
  <c r="AS62" i="63"/>
  <c r="AT62" i="63"/>
  <c r="AU62" i="63"/>
  <c r="AW62" i="63"/>
  <c r="AX62" i="63"/>
  <c r="AY62" i="63"/>
  <c r="BA62" i="63"/>
  <c r="BC62" i="63"/>
  <c r="A63" i="63"/>
  <c r="B63" i="63"/>
  <c r="D63" i="63"/>
  <c r="E63" i="63"/>
  <c r="F63" i="63"/>
  <c r="G63" i="63"/>
  <c r="H63" i="63"/>
  <c r="J63" i="63"/>
  <c r="K63" i="63"/>
  <c r="L63" i="63"/>
  <c r="M63" i="63"/>
  <c r="O63" i="63"/>
  <c r="P63" i="63"/>
  <c r="R63" i="63"/>
  <c r="S63" i="63"/>
  <c r="T63" i="63"/>
  <c r="U63" i="63"/>
  <c r="V63" i="63"/>
  <c r="W63" i="63"/>
  <c r="X63" i="63"/>
  <c r="Z63" i="63"/>
  <c r="AA63" i="63"/>
  <c r="AB63" i="63"/>
  <c r="AC63" i="63"/>
  <c r="AD63" i="63"/>
  <c r="AE63" i="63"/>
  <c r="AF63" i="63"/>
  <c r="AG63" i="63"/>
  <c r="AH63" i="63"/>
  <c r="AI63" i="63"/>
  <c r="AJ63" i="63"/>
  <c r="AK63" i="63"/>
  <c r="AL63" i="63"/>
  <c r="AM63" i="63"/>
  <c r="AN63" i="63"/>
  <c r="AO63" i="63"/>
  <c r="AP63" i="63"/>
  <c r="AQ63" i="63"/>
  <c r="AR63" i="63"/>
  <c r="AS63" i="63"/>
  <c r="AT63" i="63"/>
  <c r="AU63" i="63"/>
  <c r="AW63" i="63"/>
  <c r="AX63" i="63"/>
  <c r="AY63" i="63"/>
  <c r="BA63" i="63"/>
  <c r="BC63" i="63"/>
  <c r="A64" i="63"/>
  <c r="B64" i="63"/>
  <c r="D64" i="63"/>
  <c r="E64" i="63"/>
  <c r="F64" i="63"/>
  <c r="G64" i="63"/>
  <c r="H64" i="63"/>
  <c r="J64" i="63"/>
  <c r="K64" i="63"/>
  <c r="L64" i="63"/>
  <c r="M64" i="63"/>
  <c r="O64" i="63"/>
  <c r="P64" i="63"/>
  <c r="R64" i="63"/>
  <c r="S64" i="63"/>
  <c r="T64" i="63"/>
  <c r="U64" i="63"/>
  <c r="V64" i="63"/>
  <c r="W64" i="63"/>
  <c r="X64" i="63"/>
  <c r="Z64" i="63"/>
  <c r="AA64" i="63"/>
  <c r="AB64" i="63"/>
  <c r="AC64" i="63"/>
  <c r="AD64" i="63"/>
  <c r="AE64" i="63"/>
  <c r="AF64" i="63"/>
  <c r="AG64" i="63"/>
  <c r="AH64" i="63"/>
  <c r="AI64" i="63"/>
  <c r="AJ64" i="63"/>
  <c r="AK64" i="63"/>
  <c r="AL64" i="63"/>
  <c r="AM64" i="63"/>
  <c r="AN64" i="63"/>
  <c r="AO64" i="63"/>
  <c r="AP64" i="63"/>
  <c r="AQ64" i="63"/>
  <c r="AR64" i="63"/>
  <c r="AS64" i="63"/>
  <c r="AT64" i="63"/>
  <c r="AU64" i="63"/>
  <c r="AW64" i="63"/>
  <c r="AX64" i="63"/>
  <c r="AY64" i="63"/>
  <c r="BA64" i="63"/>
  <c r="BC64" i="63"/>
  <c r="A65" i="63"/>
  <c r="B65" i="63"/>
  <c r="D65" i="63"/>
  <c r="E65" i="63"/>
  <c r="F65" i="63"/>
  <c r="G65" i="63"/>
  <c r="H65" i="63"/>
  <c r="J65" i="63"/>
  <c r="K65" i="63"/>
  <c r="L65" i="63"/>
  <c r="M65" i="63"/>
  <c r="O65" i="63"/>
  <c r="P65" i="63"/>
  <c r="R65" i="63"/>
  <c r="S65" i="63"/>
  <c r="T65" i="63"/>
  <c r="U65" i="63"/>
  <c r="V65" i="63"/>
  <c r="W65" i="63"/>
  <c r="X65" i="63"/>
  <c r="Z65" i="63"/>
  <c r="AA65" i="63"/>
  <c r="AB65" i="63"/>
  <c r="AC65" i="63"/>
  <c r="AD65" i="63"/>
  <c r="AE65" i="63"/>
  <c r="AF65" i="63"/>
  <c r="AG65" i="63"/>
  <c r="AH65" i="63"/>
  <c r="AI65" i="63"/>
  <c r="AJ65" i="63"/>
  <c r="AK65" i="63"/>
  <c r="AL65" i="63"/>
  <c r="AM65" i="63"/>
  <c r="AN65" i="63"/>
  <c r="AO65" i="63"/>
  <c r="AP65" i="63"/>
  <c r="AQ65" i="63"/>
  <c r="AR65" i="63"/>
  <c r="AS65" i="63"/>
  <c r="AT65" i="63"/>
  <c r="AU65" i="63"/>
  <c r="AW65" i="63"/>
  <c r="AX65" i="63"/>
  <c r="AY65" i="63"/>
  <c r="BA65" i="63"/>
  <c r="BC65" i="63"/>
  <c r="A66" i="63"/>
  <c r="B66" i="63"/>
  <c r="D66" i="63"/>
  <c r="E66" i="63"/>
  <c r="F66" i="63"/>
  <c r="G66" i="63"/>
  <c r="H66" i="63"/>
  <c r="J66" i="63"/>
  <c r="K66" i="63"/>
  <c r="L66" i="63"/>
  <c r="M66" i="63"/>
  <c r="O66" i="63"/>
  <c r="P66" i="63"/>
  <c r="R66" i="63"/>
  <c r="S66" i="63"/>
  <c r="T66" i="63"/>
  <c r="U66" i="63"/>
  <c r="V66" i="63"/>
  <c r="W66" i="63"/>
  <c r="X66" i="63"/>
  <c r="Z66" i="63"/>
  <c r="AA66" i="63"/>
  <c r="AB66" i="63"/>
  <c r="AC66" i="63"/>
  <c r="AD66" i="63"/>
  <c r="AE66" i="63"/>
  <c r="AF66" i="63"/>
  <c r="AG66" i="63"/>
  <c r="AH66" i="63"/>
  <c r="AI66" i="63"/>
  <c r="AJ66" i="63"/>
  <c r="AK66" i="63"/>
  <c r="AL66" i="63"/>
  <c r="AM66" i="63"/>
  <c r="AN66" i="63"/>
  <c r="AO66" i="63"/>
  <c r="AP66" i="63"/>
  <c r="AQ66" i="63"/>
  <c r="AR66" i="63"/>
  <c r="AS66" i="63"/>
  <c r="AT66" i="63"/>
  <c r="AU66" i="63"/>
  <c r="AW66" i="63"/>
  <c r="AX66" i="63"/>
  <c r="AY66" i="63"/>
  <c r="BA66" i="63"/>
  <c r="BC66" i="63"/>
  <c r="A67" i="63"/>
  <c r="B67" i="63"/>
  <c r="D67" i="63"/>
  <c r="E67" i="63"/>
  <c r="F67" i="63"/>
  <c r="G67" i="63"/>
  <c r="H67" i="63"/>
  <c r="J67" i="63"/>
  <c r="K67" i="63"/>
  <c r="L67" i="63"/>
  <c r="M67" i="63"/>
  <c r="O67" i="63"/>
  <c r="P67" i="63"/>
  <c r="R67" i="63"/>
  <c r="S67" i="63"/>
  <c r="T67" i="63"/>
  <c r="U67" i="63"/>
  <c r="V67" i="63"/>
  <c r="W67" i="63"/>
  <c r="X67" i="63"/>
  <c r="Z67" i="63"/>
  <c r="AA67" i="63"/>
  <c r="AB67" i="63"/>
  <c r="AC67" i="63"/>
  <c r="AD67" i="63"/>
  <c r="AE67" i="63"/>
  <c r="AF67" i="63"/>
  <c r="AG67" i="63"/>
  <c r="AH67" i="63"/>
  <c r="AI67" i="63"/>
  <c r="AJ67" i="63"/>
  <c r="AK67" i="63"/>
  <c r="AL67" i="63"/>
  <c r="AM67" i="63"/>
  <c r="AN67" i="63"/>
  <c r="AO67" i="63"/>
  <c r="AP67" i="63"/>
  <c r="AQ67" i="63"/>
  <c r="AR67" i="63"/>
  <c r="AS67" i="63"/>
  <c r="AT67" i="63"/>
  <c r="AU67" i="63"/>
  <c r="AW67" i="63"/>
  <c r="AX67" i="63"/>
  <c r="AY67" i="63"/>
  <c r="BA67" i="63"/>
  <c r="BC67" i="63"/>
  <c r="A68" i="63"/>
  <c r="B68" i="63"/>
  <c r="D68" i="63"/>
  <c r="E68" i="63"/>
  <c r="F68" i="63"/>
  <c r="G68" i="63"/>
  <c r="H68" i="63"/>
  <c r="J68" i="63"/>
  <c r="K68" i="63"/>
  <c r="L68" i="63"/>
  <c r="M68" i="63"/>
  <c r="O68" i="63"/>
  <c r="P68" i="63"/>
  <c r="R68" i="63"/>
  <c r="S68" i="63"/>
  <c r="T68" i="63"/>
  <c r="U68" i="63"/>
  <c r="V68" i="63"/>
  <c r="W68" i="63"/>
  <c r="X68" i="63"/>
  <c r="Z68" i="63"/>
  <c r="AA68" i="63"/>
  <c r="AB68" i="63"/>
  <c r="AC68" i="63"/>
  <c r="AD68" i="63"/>
  <c r="AE68" i="63"/>
  <c r="AF68" i="63"/>
  <c r="AG68" i="63"/>
  <c r="AH68" i="63"/>
  <c r="AI68" i="63"/>
  <c r="AJ68" i="63"/>
  <c r="AK68" i="63"/>
  <c r="AL68" i="63"/>
  <c r="AM68" i="63"/>
  <c r="AN68" i="63"/>
  <c r="AO68" i="63"/>
  <c r="AP68" i="63"/>
  <c r="AQ68" i="63"/>
  <c r="AR68" i="63"/>
  <c r="AS68" i="63"/>
  <c r="AT68" i="63"/>
  <c r="AU68" i="63"/>
  <c r="AW68" i="63"/>
  <c r="AX68" i="63"/>
  <c r="AY68" i="63"/>
  <c r="BA68" i="63"/>
  <c r="BC68" i="63"/>
  <c r="A69" i="63"/>
  <c r="B69" i="63"/>
  <c r="D69" i="63"/>
  <c r="E69" i="63"/>
  <c r="F69" i="63"/>
  <c r="G69" i="63"/>
  <c r="H69" i="63"/>
  <c r="J69" i="63"/>
  <c r="K69" i="63"/>
  <c r="L69" i="63"/>
  <c r="M69" i="63"/>
  <c r="O69" i="63"/>
  <c r="P69" i="63"/>
  <c r="R69" i="63"/>
  <c r="S69" i="63"/>
  <c r="T69" i="63"/>
  <c r="U69" i="63"/>
  <c r="V69" i="63"/>
  <c r="W69" i="63"/>
  <c r="X69" i="63"/>
  <c r="Z69" i="63"/>
  <c r="AA69" i="63"/>
  <c r="AB69" i="63"/>
  <c r="AC69" i="63"/>
  <c r="AD69" i="63"/>
  <c r="AE69" i="63"/>
  <c r="AF69" i="63"/>
  <c r="AG69" i="63"/>
  <c r="AH69" i="63"/>
  <c r="AI69" i="63"/>
  <c r="AJ69" i="63"/>
  <c r="AK69" i="63"/>
  <c r="AL69" i="63"/>
  <c r="AM69" i="63"/>
  <c r="AN69" i="63"/>
  <c r="AO69" i="63"/>
  <c r="AP69" i="63"/>
  <c r="AQ69" i="63"/>
  <c r="AR69" i="63"/>
  <c r="AS69" i="63"/>
  <c r="AT69" i="63"/>
  <c r="AU69" i="63"/>
  <c r="AW69" i="63"/>
  <c r="AX69" i="63"/>
  <c r="AY69" i="63"/>
  <c r="BA69" i="63"/>
  <c r="BC69" i="63"/>
  <c r="A70" i="63"/>
  <c r="B70" i="63"/>
  <c r="D70" i="63"/>
  <c r="E70" i="63"/>
  <c r="F70" i="63"/>
  <c r="G70" i="63"/>
  <c r="H70" i="63"/>
  <c r="J70" i="63"/>
  <c r="K70" i="63"/>
  <c r="L70" i="63"/>
  <c r="M70" i="63"/>
  <c r="O70" i="63"/>
  <c r="P70" i="63"/>
  <c r="R70" i="63"/>
  <c r="S70" i="63"/>
  <c r="T70" i="63"/>
  <c r="U70" i="63"/>
  <c r="V70" i="63"/>
  <c r="W70" i="63"/>
  <c r="X70" i="63"/>
  <c r="Z70" i="63"/>
  <c r="AA70" i="63"/>
  <c r="AB70" i="63"/>
  <c r="AC70" i="63"/>
  <c r="AD70" i="63"/>
  <c r="AE70" i="63"/>
  <c r="AF70" i="63"/>
  <c r="AG70" i="63"/>
  <c r="AH70" i="63"/>
  <c r="AI70" i="63"/>
  <c r="AJ70" i="63"/>
  <c r="AK70" i="63"/>
  <c r="AL70" i="63"/>
  <c r="AM70" i="63"/>
  <c r="AN70" i="63"/>
  <c r="AO70" i="63"/>
  <c r="AP70" i="63"/>
  <c r="AQ70" i="63"/>
  <c r="AR70" i="63"/>
  <c r="AS70" i="63"/>
  <c r="AT70" i="63"/>
  <c r="AU70" i="63"/>
  <c r="AW70" i="63"/>
  <c r="AX70" i="63"/>
  <c r="AY70" i="63"/>
  <c r="BA70" i="63"/>
  <c r="BC70" i="63"/>
  <c r="A71" i="63"/>
  <c r="B71" i="63"/>
  <c r="D71" i="63"/>
  <c r="E71" i="63"/>
  <c r="F71" i="63"/>
  <c r="G71" i="63"/>
  <c r="H71" i="63"/>
  <c r="J71" i="63"/>
  <c r="K71" i="63"/>
  <c r="L71" i="63"/>
  <c r="M71" i="63"/>
  <c r="O71" i="63"/>
  <c r="P71" i="63"/>
  <c r="R71" i="63"/>
  <c r="S71" i="63"/>
  <c r="T71" i="63"/>
  <c r="U71" i="63"/>
  <c r="V71" i="63"/>
  <c r="W71" i="63"/>
  <c r="X71" i="63"/>
  <c r="Z71" i="63"/>
  <c r="AA71" i="63"/>
  <c r="AB71" i="63"/>
  <c r="AC71" i="63"/>
  <c r="AD71" i="63"/>
  <c r="AE71" i="63"/>
  <c r="AF71" i="63"/>
  <c r="AG71" i="63"/>
  <c r="AH71" i="63"/>
  <c r="AI71" i="63"/>
  <c r="AJ71" i="63"/>
  <c r="AK71" i="63"/>
  <c r="AL71" i="63"/>
  <c r="AM71" i="63"/>
  <c r="AN71" i="63"/>
  <c r="AO71" i="63"/>
  <c r="AP71" i="63"/>
  <c r="AQ71" i="63"/>
  <c r="AR71" i="63"/>
  <c r="AS71" i="63"/>
  <c r="AT71" i="63"/>
  <c r="AU71" i="63"/>
  <c r="AW71" i="63"/>
  <c r="AX71" i="63"/>
  <c r="AY71" i="63"/>
  <c r="BA71" i="63"/>
  <c r="BC71" i="63"/>
  <c r="A72" i="63"/>
  <c r="B72" i="63"/>
  <c r="D72" i="63"/>
  <c r="E72" i="63"/>
  <c r="F72" i="63"/>
  <c r="G72" i="63"/>
  <c r="H72" i="63"/>
  <c r="J72" i="63"/>
  <c r="K72" i="63"/>
  <c r="L72" i="63"/>
  <c r="M72" i="63"/>
  <c r="O72" i="63"/>
  <c r="P72" i="63"/>
  <c r="R72" i="63"/>
  <c r="S72" i="63"/>
  <c r="T72" i="63"/>
  <c r="U72" i="63"/>
  <c r="V72" i="63"/>
  <c r="W72" i="63"/>
  <c r="X72" i="63"/>
  <c r="Z72" i="63"/>
  <c r="AA72" i="63"/>
  <c r="AB72" i="63"/>
  <c r="AC72" i="63"/>
  <c r="AD72" i="63"/>
  <c r="AE72" i="63"/>
  <c r="AF72" i="63"/>
  <c r="AG72" i="63"/>
  <c r="AH72" i="63"/>
  <c r="AI72" i="63"/>
  <c r="AJ72" i="63"/>
  <c r="AK72" i="63"/>
  <c r="AL72" i="63"/>
  <c r="AM72" i="63"/>
  <c r="AN72" i="63"/>
  <c r="AO72" i="63"/>
  <c r="AP72" i="63"/>
  <c r="AQ72" i="63"/>
  <c r="AR72" i="63"/>
  <c r="AS72" i="63"/>
  <c r="AT72" i="63"/>
  <c r="AU72" i="63"/>
  <c r="AW72" i="63"/>
  <c r="AX72" i="63"/>
  <c r="AY72" i="63"/>
  <c r="BA72" i="63"/>
  <c r="BC72" i="63"/>
  <c r="A73" i="63"/>
  <c r="B73" i="63"/>
  <c r="D73" i="63"/>
  <c r="E73" i="63"/>
  <c r="F73" i="63"/>
  <c r="G73" i="63"/>
  <c r="H73" i="63"/>
  <c r="J73" i="63"/>
  <c r="K73" i="63"/>
  <c r="L73" i="63"/>
  <c r="M73" i="63"/>
  <c r="O73" i="63"/>
  <c r="P73" i="63"/>
  <c r="R73" i="63"/>
  <c r="S73" i="63"/>
  <c r="T73" i="63"/>
  <c r="U73" i="63"/>
  <c r="V73" i="63"/>
  <c r="W73" i="63"/>
  <c r="X73" i="63"/>
  <c r="Z73" i="63"/>
  <c r="AA73" i="63"/>
  <c r="AB73" i="63"/>
  <c r="AC73" i="63"/>
  <c r="AD73" i="63"/>
  <c r="AE73" i="63"/>
  <c r="AF73" i="63"/>
  <c r="AG73" i="63"/>
  <c r="AH73" i="63"/>
  <c r="AI73" i="63"/>
  <c r="AJ73" i="63"/>
  <c r="AK73" i="63"/>
  <c r="AL73" i="63"/>
  <c r="AM73" i="63"/>
  <c r="AN73" i="63"/>
  <c r="AO73" i="63"/>
  <c r="AP73" i="63"/>
  <c r="AQ73" i="63"/>
  <c r="AR73" i="63"/>
  <c r="AS73" i="63"/>
  <c r="AT73" i="63"/>
  <c r="AU73" i="63"/>
  <c r="AW73" i="63"/>
  <c r="AX73" i="63"/>
  <c r="AY73" i="63"/>
  <c r="BA73" i="63"/>
  <c r="BC73" i="63"/>
  <c r="A74" i="63"/>
  <c r="B74" i="63"/>
  <c r="D74" i="63"/>
  <c r="E74" i="63"/>
  <c r="F74" i="63"/>
  <c r="G74" i="63"/>
  <c r="H74" i="63"/>
  <c r="J74" i="63"/>
  <c r="K74" i="63"/>
  <c r="L74" i="63"/>
  <c r="M74" i="63"/>
  <c r="O74" i="63"/>
  <c r="P74" i="63"/>
  <c r="R74" i="63"/>
  <c r="S74" i="63"/>
  <c r="T74" i="63"/>
  <c r="U74" i="63"/>
  <c r="V74" i="63"/>
  <c r="W74" i="63"/>
  <c r="X74" i="63"/>
  <c r="Z74" i="63"/>
  <c r="AA74" i="63"/>
  <c r="AB74" i="63"/>
  <c r="AC74" i="63"/>
  <c r="AD74" i="63"/>
  <c r="AE74" i="63"/>
  <c r="AF74" i="63"/>
  <c r="AG74" i="63"/>
  <c r="AH74" i="63"/>
  <c r="AI74" i="63"/>
  <c r="AJ74" i="63"/>
  <c r="AK74" i="63"/>
  <c r="AL74" i="63"/>
  <c r="AM74" i="63"/>
  <c r="AN74" i="63"/>
  <c r="AO74" i="63"/>
  <c r="AP74" i="63"/>
  <c r="AQ74" i="63"/>
  <c r="AR74" i="63"/>
  <c r="AS74" i="63"/>
  <c r="AT74" i="63"/>
  <c r="AU74" i="63"/>
  <c r="AW74" i="63"/>
  <c r="AX74" i="63"/>
  <c r="AY74" i="63"/>
  <c r="BA74" i="63"/>
  <c r="BC74" i="63"/>
  <c r="A75" i="63"/>
  <c r="B75" i="63"/>
  <c r="D75" i="63"/>
  <c r="E75" i="63"/>
  <c r="F75" i="63"/>
  <c r="G75" i="63"/>
  <c r="H75" i="63"/>
  <c r="J75" i="63"/>
  <c r="K75" i="63"/>
  <c r="L75" i="63"/>
  <c r="M75" i="63"/>
  <c r="O75" i="63"/>
  <c r="P75" i="63"/>
  <c r="R75" i="63"/>
  <c r="S75" i="63"/>
  <c r="T75" i="63"/>
  <c r="U75" i="63"/>
  <c r="V75" i="63"/>
  <c r="W75" i="63"/>
  <c r="X75" i="63"/>
  <c r="Z75" i="63"/>
  <c r="AA75" i="63"/>
  <c r="AB75" i="63"/>
  <c r="AC75" i="63"/>
  <c r="AD75" i="63"/>
  <c r="AE75" i="63"/>
  <c r="AF75" i="63"/>
  <c r="AG75" i="63"/>
  <c r="AH75" i="63"/>
  <c r="AI75" i="63"/>
  <c r="AJ75" i="63"/>
  <c r="AK75" i="63"/>
  <c r="AL75" i="63"/>
  <c r="AM75" i="63"/>
  <c r="AN75" i="63"/>
  <c r="AO75" i="63"/>
  <c r="AP75" i="63"/>
  <c r="AQ75" i="63"/>
  <c r="AR75" i="63"/>
  <c r="AS75" i="63"/>
  <c r="AT75" i="63"/>
  <c r="AU75" i="63"/>
  <c r="AW75" i="63"/>
  <c r="AX75" i="63"/>
  <c r="AY75" i="63"/>
  <c r="BA75" i="63"/>
  <c r="BC75" i="63"/>
  <c r="A76" i="63"/>
  <c r="B76" i="63"/>
  <c r="D76" i="63"/>
  <c r="E76" i="63"/>
  <c r="F76" i="63"/>
  <c r="G76" i="63"/>
  <c r="H76" i="63"/>
  <c r="J76" i="63"/>
  <c r="K76" i="63"/>
  <c r="L76" i="63"/>
  <c r="M76" i="63"/>
  <c r="O76" i="63"/>
  <c r="P76" i="63"/>
  <c r="R76" i="63"/>
  <c r="S76" i="63"/>
  <c r="T76" i="63"/>
  <c r="U76" i="63"/>
  <c r="V76" i="63"/>
  <c r="W76" i="63"/>
  <c r="X76" i="63"/>
  <c r="Z76" i="63"/>
  <c r="AA76" i="63"/>
  <c r="AB76" i="63"/>
  <c r="AC76" i="63"/>
  <c r="AD76" i="63"/>
  <c r="AE76" i="63"/>
  <c r="AF76" i="63"/>
  <c r="AG76" i="63"/>
  <c r="AH76" i="63"/>
  <c r="AI76" i="63"/>
  <c r="AJ76" i="63"/>
  <c r="AK76" i="63"/>
  <c r="AL76" i="63"/>
  <c r="AM76" i="63"/>
  <c r="AN76" i="63"/>
  <c r="AO76" i="63"/>
  <c r="AP76" i="63"/>
  <c r="AQ76" i="63"/>
  <c r="AR76" i="63"/>
  <c r="AS76" i="63"/>
  <c r="AT76" i="63"/>
  <c r="AU76" i="63"/>
  <c r="AW76" i="63"/>
  <c r="AX76" i="63"/>
  <c r="AY76" i="63"/>
  <c r="BA76" i="63"/>
  <c r="BC76" i="63"/>
  <c r="A77" i="63"/>
  <c r="B77" i="63"/>
  <c r="D77" i="63"/>
  <c r="E77" i="63"/>
  <c r="F77" i="63"/>
  <c r="G77" i="63"/>
  <c r="H77" i="63"/>
  <c r="J77" i="63"/>
  <c r="K77" i="63"/>
  <c r="L77" i="63"/>
  <c r="M77" i="63"/>
  <c r="O77" i="63"/>
  <c r="P77" i="63"/>
  <c r="R77" i="63"/>
  <c r="S77" i="63"/>
  <c r="T77" i="63"/>
  <c r="U77" i="63"/>
  <c r="V77" i="63"/>
  <c r="W77" i="63"/>
  <c r="X77" i="63"/>
  <c r="Z77" i="63"/>
  <c r="AA77" i="63"/>
  <c r="AB77" i="63"/>
  <c r="AC77" i="63"/>
  <c r="AD77" i="63"/>
  <c r="AE77" i="63"/>
  <c r="AF77" i="63"/>
  <c r="AG77" i="63"/>
  <c r="AH77" i="63"/>
  <c r="AI77" i="63"/>
  <c r="AJ77" i="63"/>
  <c r="AK77" i="63"/>
  <c r="AL77" i="63"/>
  <c r="AM77" i="63"/>
  <c r="AN77" i="63"/>
  <c r="AO77" i="63"/>
  <c r="AP77" i="63"/>
  <c r="AQ77" i="63"/>
  <c r="AR77" i="63"/>
  <c r="AS77" i="63"/>
  <c r="AT77" i="63"/>
  <c r="AU77" i="63"/>
  <c r="AW77" i="63"/>
  <c r="AX77" i="63"/>
  <c r="AY77" i="63"/>
  <c r="BA77" i="63"/>
  <c r="BC77" i="63"/>
  <c r="A78" i="63"/>
  <c r="B78" i="63"/>
  <c r="D78" i="63"/>
  <c r="E78" i="63"/>
  <c r="F78" i="63"/>
  <c r="G78" i="63"/>
  <c r="H78" i="63"/>
  <c r="J78" i="63"/>
  <c r="K78" i="63"/>
  <c r="L78" i="63"/>
  <c r="M78" i="63"/>
  <c r="O78" i="63"/>
  <c r="P78" i="63"/>
  <c r="R78" i="63"/>
  <c r="S78" i="63"/>
  <c r="T78" i="63"/>
  <c r="U78" i="63"/>
  <c r="V78" i="63"/>
  <c r="W78" i="63"/>
  <c r="X78" i="63"/>
  <c r="Z78" i="63"/>
  <c r="AA78" i="63"/>
  <c r="AB78" i="63"/>
  <c r="AC78" i="63"/>
  <c r="AD78" i="63"/>
  <c r="AE78" i="63"/>
  <c r="AF78" i="63"/>
  <c r="AG78" i="63"/>
  <c r="AH78" i="63"/>
  <c r="AI78" i="63"/>
  <c r="AJ78" i="63"/>
  <c r="AK78" i="63"/>
  <c r="AL78" i="63"/>
  <c r="AM78" i="63"/>
  <c r="AN78" i="63"/>
  <c r="AO78" i="63"/>
  <c r="AP78" i="63"/>
  <c r="AQ78" i="63"/>
  <c r="AR78" i="63"/>
  <c r="AS78" i="63"/>
  <c r="AT78" i="63"/>
  <c r="AU78" i="63"/>
  <c r="AW78" i="63"/>
  <c r="AX78" i="63"/>
  <c r="AY78" i="63"/>
  <c r="BA78" i="63"/>
  <c r="BC78" i="63"/>
  <c r="A79" i="63"/>
  <c r="B79" i="63"/>
  <c r="D79" i="63"/>
  <c r="E79" i="63"/>
  <c r="F79" i="63"/>
  <c r="G79" i="63"/>
  <c r="H79" i="63"/>
  <c r="J79" i="63"/>
  <c r="K79" i="63"/>
  <c r="L79" i="63"/>
  <c r="M79" i="63"/>
  <c r="O79" i="63"/>
  <c r="P79" i="63"/>
  <c r="R79" i="63"/>
  <c r="S79" i="63"/>
  <c r="T79" i="63"/>
  <c r="U79" i="63"/>
  <c r="V79" i="63"/>
  <c r="W79" i="63"/>
  <c r="X79" i="63"/>
  <c r="Z79" i="63"/>
  <c r="AA79" i="63"/>
  <c r="AB79" i="63"/>
  <c r="AC79" i="63"/>
  <c r="AD79" i="63"/>
  <c r="AE79" i="63"/>
  <c r="AF79" i="63"/>
  <c r="AG79" i="63"/>
  <c r="AH79" i="63"/>
  <c r="AI79" i="63"/>
  <c r="AJ79" i="63"/>
  <c r="AK79" i="63"/>
  <c r="AL79" i="63"/>
  <c r="AM79" i="63"/>
  <c r="AN79" i="63"/>
  <c r="AO79" i="63"/>
  <c r="AP79" i="63"/>
  <c r="AQ79" i="63"/>
  <c r="AR79" i="63"/>
  <c r="AS79" i="63"/>
  <c r="AT79" i="63"/>
  <c r="AU79" i="63"/>
  <c r="AW79" i="63"/>
  <c r="AX79" i="63"/>
  <c r="AY79" i="63"/>
  <c r="BA79" i="63"/>
  <c r="BC79" i="63"/>
  <c r="A80" i="63"/>
  <c r="B80" i="63"/>
  <c r="D80" i="63"/>
  <c r="E80" i="63"/>
  <c r="F80" i="63"/>
  <c r="G80" i="63"/>
  <c r="H80" i="63"/>
  <c r="J80" i="63"/>
  <c r="K80" i="63"/>
  <c r="L80" i="63"/>
  <c r="M80" i="63"/>
  <c r="O80" i="63"/>
  <c r="P80" i="63"/>
  <c r="R80" i="63"/>
  <c r="S80" i="63"/>
  <c r="T80" i="63"/>
  <c r="U80" i="63"/>
  <c r="V80" i="63"/>
  <c r="W80" i="63"/>
  <c r="X80" i="63"/>
  <c r="Z80" i="63"/>
  <c r="AA80" i="63"/>
  <c r="AB80" i="63"/>
  <c r="AC80" i="63"/>
  <c r="AD80" i="63"/>
  <c r="AE80" i="63"/>
  <c r="AF80" i="63"/>
  <c r="AG80" i="63"/>
  <c r="AH80" i="63"/>
  <c r="AI80" i="63"/>
  <c r="AJ80" i="63"/>
  <c r="AK80" i="63"/>
  <c r="AL80" i="63"/>
  <c r="AM80" i="63"/>
  <c r="AN80" i="63"/>
  <c r="AO80" i="63"/>
  <c r="AP80" i="63"/>
  <c r="AQ80" i="63"/>
  <c r="AR80" i="63"/>
  <c r="AS80" i="63"/>
  <c r="AT80" i="63"/>
  <c r="AU80" i="63"/>
  <c r="AW80" i="63"/>
  <c r="AX80" i="63"/>
  <c r="AY80" i="63"/>
  <c r="BA80" i="63"/>
  <c r="BC80" i="63"/>
  <c r="A81" i="63"/>
  <c r="B81" i="63"/>
  <c r="D81" i="63"/>
  <c r="E81" i="63"/>
  <c r="F81" i="63"/>
  <c r="G81" i="63"/>
  <c r="H81" i="63"/>
  <c r="J81" i="63"/>
  <c r="K81" i="63"/>
  <c r="L81" i="63"/>
  <c r="M81" i="63"/>
  <c r="O81" i="63"/>
  <c r="P81" i="63"/>
  <c r="R81" i="63"/>
  <c r="S81" i="63"/>
  <c r="T81" i="63"/>
  <c r="U81" i="63"/>
  <c r="V81" i="63"/>
  <c r="W81" i="63"/>
  <c r="X81" i="63"/>
  <c r="Z81" i="63"/>
  <c r="AA81" i="63"/>
  <c r="AB81" i="63"/>
  <c r="AC81" i="63"/>
  <c r="AD81" i="63"/>
  <c r="AE81" i="63"/>
  <c r="AF81" i="63"/>
  <c r="AG81" i="63"/>
  <c r="AH81" i="63"/>
  <c r="AI81" i="63"/>
  <c r="AJ81" i="63"/>
  <c r="AK81" i="63"/>
  <c r="AL81" i="63"/>
  <c r="AM81" i="63"/>
  <c r="AN81" i="63"/>
  <c r="AO81" i="63"/>
  <c r="AP81" i="63"/>
  <c r="AQ81" i="63"/>
  <c r="AR81" i="63"/>
  <c r="AS81" i="63"/>
  <c r="AT81" i="63"/>
  <c r="AU81" i="63"/>
  <c r="AW81" i="63"/>
  <c r="AX81" i="63"/>
  <c r="AY81" i="63"/>
  <c r="BA81" i="63"/>
  <c r="BC81" i="63"/>
  <c r="A82" i="63"/>
  <c r="B82" i="63"/>
  <c r="D82" i="63"/>
  <c r="E82" i="63"/>
  <c r="F82" i="63"/>
  <c r="G82" i="63"/>
  <c r="H82" i="63"/>
  <c r="J82" i="63"/>
  <c r="K82" i="63"/>
  <c r="L82" i="63"/>
  <c r="M82" i="63"/>
  <c r="O82" i="63"/>
  <c r="P82" i="63"/>
  <c r="R82" i="63"/>
  <c r="S82" i="63"/>
  <c r="T82" i="63"/>
  <c r="U82" i="63"/>
  <c r="V82" i="63"/>
  <c r="W82" i="63"/>
  <c r="X82" i="63"/>
  <c r="Z82" i="63"/>
  <c r="AA82" i="63"/>
  <c r="AB82" i="63"/>
  <c r="AC82" i="63"/>
  <c r="AD82" i="63"/>
  <c r="AE82" i="63"/>
  <c r="AF82" i="63"/>
  <c r="AG82" i="63"/>
  <c r="AH82" i="63"/>
  <c r="AI82" i="63"/>
  <c r="AJ82" i="63"/>
  <c r="AK82" i="63"/>
  <c r="AL82" i="63"/>
  <c r="AM82" i="63"/>
  <c r="AN82" i="63"/>
  <c r="AO82" i="63"/>
  <c r="AP82" i="63"/>
  <c r="AQ82" i="63"/>
  <c r="AR82" i="63"/>
  <c r="AS82" i="63"/>
  <c r="AT82" i="63"/>
  <c r="AU82" i="63"/>
  <c r="AW82" i="63"/>
  <c r="AX82" i="63"/>
  <c r="AY82" i="63"/>
  <c r="BA82" i="63"/>
  <c r="BC82" i="63"/>
  <c r="A83" i="63"/>
  <c r="B83" i="63"/>
  <c r="D83" i="63"/>
  <c r="E83" i="63"/>
  <c r="F83" i="63"/>
  <c r="G83" i="63"/>
  <c r="H83" i="63"/>
  <c r="J83" i="63"/>
  <c r="K83" i="63"/>
  <c r="L83" i="63"/>
  <c r="M83" i="63"/>
  <c r="O83" i="63"/>
  <c r="P83" i="63"/>
  <c r="R83" i="63"/>
  <c r="S83" i="63"/>
  <c r="T83" i="63"/>
  <c r="U83" i="63"/>
  <c r="V83" i="63"/>
  <c r="W83" i="63"/>
  <c r="X83" i="63"/>
  <c r="Z83" i="63"/>
  <c r="AA83" i="63"/>
  <c r="AB83" i="63"/>
  <c r="AC83" i="63"/>
  <c r="AD83" i="63"/>
  <c r="AE83" i="63"/>
  <c r="AF83" i="63"/>
  <c r="AG83" i="63"/>
  <c r="AH83" i="63"/>
  <c r="AI83" i="63"/>
  <c r="AJ83" i="63"/>
  <c r="AK83" i="63"/>
  <c r="AL83" i="63"/>
  <c r="AM83" i="63"/>
  <c r="AN83" i="63"/>
  <c r="AO83" i="63"/>
  <c r="AP83" i="63"/>
  <c r="AQ83" i="63"/>
  <c r="AR83" i="63"/>
  <c r="AS83" i="63"/>
  <c r="AT83" i="63"/>
  <c r="AU83" i="63"/>
  <c r="AW83" i="63"/>
  <c r="AX83" i="63"/>
  <c r="AY83" i="63"/>
  <c r="BA83" i="63"/>
  <c r="BC83" i="63"/>
  <c r="A84" i="63"/>
  <c r="B84" i="63"/>
  <c r="D84" i="63"/>
  <c r="E84" i="63"/>
  <c r="F84" i="63"/>
  <c r="G84" i="63"/>
  <c r="H84" i="63"/>
  <c r="J84" i="63"/>
  <c r="K84" i="63"/>
  <c r="L84" i="63"/>
  <c r="M84" i="63"/>
  <c r="O84" i="63"/>
  <c r="P84" i="63"/>
  <c r="R84" i="63"/>
  <c r="S84" i="63"/>
  <c r="T84" i="63"/>
  <c r="U84" i="63"/>
  <c r="V84" i="63"/>
  <c r="W84" i="63"/>
  <c r="X84" i="63"/>
  <c r="Z84" i="63"/>
  <c r="AA84" i="63"/>
  <c r="AB84" i="63"/>
  <c r="AC84" i="63"/>
  <c r="AD84" i="63"/>
  <c r="AE84" i="63"/>
  <c r="AF84" i="63"/>
  <c r="AG84" i="63"/>
  <c r="AH84" i="63"/>
  <c r="AI84" i="63"/>
  <c r="AJ84" i="63"/>
  <c r="AK84" i="63"/>
  <c r="AL84" i="63"/>
  <c r="AM84" i="63"/>
  <c r="AN84" i="63"/>
  <c r="AO84" i="63"/>
  <c r="AP84" i="63"/>
  <c r="AQ84" i="63"/>
  <c r="AR84" i="63"/>
  <c r="AS84" i="63"/>
  <c r="AT84" i="63"/>
  <c r="AU84" i="63"/>
  <c r="AW84" i="63"/>
  <c r="AX84" i="63"/>
  <c r="AY84" i="63"/>
  <c r="BA84" i="63"/>
  <c r="BC84" i="63"/>
  <c r="A85" i="63"/>
  <c r="B85" i="63"/>
  <c r="D85" i="63"/>
  <c r="E85" i="63"/>
  <c r="F85" i="63"/>
  <c r="G85" i="63"/>
  <c r="H85" i="63"/>
  <c r="J85" i="63"/>
  <c r="K85" i="63"/>
  <c r="L85" i="63"/>
  <c r="M85" i="63"/>
  <c r="O85" i="63"/>
  <c r="P85" i="63"/>
  <c r="R85" i="63"/>
  <c r="S85" i="63"/>
  <c r="T85" i="63"/>
  <c r="U85" i="63"/>
  <c r="V85" i="63"/>
  <c r="W85" i="63"/>
  <c r="X85" i="63"/>
  <c r="Z85" i="63"/>
  <c r="AA85" i="63"/>
  <c r="AB85" i="63"/>
  <c r="AC85" i="63"/>
  <c r="AD85" i="63"/>
  <c r="AE85" i="63"/>
  <c r="AF85" i="63"/>
  <c r="AG85" i="63"/>
  <c r="AH85" i="63"/>
  <c r="AI85" i="63"/>
  <c r="AJ85" i="63"/>
  <c r="AK85" i="63"/>
  <c r="AL85" i="63"/>
  <c r="AM85" i="63"/>
  <c r="AN85" i="63"/>
  <c r="AO85" i="63"/>
  <c r="AP85" i="63"/>
  <c r="AQ85" i="63"/>
  <c r="AR85" i="63"/>
  <c r="AS85" i="63"/>
  <c r="AT85" i="63"/>
  <c r="AU85" i="63"/>
  <c r="AW85" i="63"/>
  <c r="AX85" i="63"/>
  <c r="AY85" i="63"/>
  <c r="BA85" i="63"/>
  <c r="BC85" i="63"/>
  <c r="A86" i="63"/>
  <c r="B86" i="63"/>
  <c r="D86" i="63"/>
  <c r="E86" i="63"/>
  <c r="F86" i="63"/>
  <c r="G86" i="63"/>
  <c r="H86" i="63"/>
  <c r="J86" i="63"/>
  <c r="K86" i="63"/>
  <c r="L86" i="63"/>
  <c r="M86" i="63"/>
  <c r="O86" i="63"/>
  <c r="P86" i="63"/>
  <c r="R86" i="63"/>
  <c r="S86" i="63"/>
  <c r="T86" i="63"/>
  <c r="U86" i="63"/>
  <c r="V86" i="63"/>
  <c r="W86" i="63"/>
  <c r="X86" i="63"/>
  <c r="Z86" i="63"/>
  <c r="AA86" i="63"/>
  <c r="AB86" i="63"/>
  <c r="AC86" i="63"/>
  <c r="AD86" i="63"/>
  <c r="AE86" i="63"/>
  <c r="AF86" i="63"/>
  <c r="AG86" i="63"/>
  <c r="AH86" i="63"/>
  <c r="AI86" i="63"/>
  <c r="AJ86" i="63"/>
  <c r="AK86" i="63"/>
  <c r="AL86" i="63"/>
  <c r="AM86" i="63"/>
  <c r="AN86" i="63"/>
  <c r="AO86" i="63"/>
  <c r="AP86" i="63"/>
  <c r="AQ86" i="63"/>
  <c r="AR86" i="63"/>
  <c r="AS86" i="63"/>
  <c r="AT86" i="63"/>
  <c r="AU86" i="63"/>
  <c r="AW86" i="63"/>
  <c r="AX86" i="63"/>
  <c r="AY86" i="63"/>
  <c r="BA86" i="63"/>
  <c r="BC86" i="63"/>
  <c r="A87" i="63"/>
  <c r="B87" i="63"/>
  <c r="D87" i="63"/>
  <c r="E87" i="63"/>
  <c r="F87" i="63"/>
  <c r="G87" i="63"/>
  <c r="H87" i="63"/>
  <c r="J87" i="63"/>
  <c r="K87" i="63"/>
  <c r="L87" i="63"/>
  <c r="M87" i="63"/>
  <c r="O87" i="63"/>
  <c r="P87" i="63"/>
  <c r="R87" i="63"/>
  <c r="S87" i="63"/>
  <c r="T87" i="63"/>
  <c r="U87" i="63"/>
  <c r="V87" i="63"/>
  <c r="W87" i="63"/>
  <c r="X87" i="63"/>
  <c r="Z87" i="63"/>
  <c r="AA87" i="63"/>
  <c r="AB87" i="63"/>
  <c r="AC87" i="63"/>
  <c r="AD87" i="63"/>
  <c r="AE87" i="63"/>
  <c r="AF87" i="63"/>
  <c r="AG87" i="63"/>
  <c r="AH87" i="63"/>
  <c r="AI87" i="63"/>
  <c r="AJ87" i="63"/>
  <c r="AK87" i="63"/>
  <c r="AL87" i="63"/>
  <c r="AM87" i="63"/>
  <c r="AN87" i="63"/>
  <c r="AO87" i="63"/>
  <c r="AP87" i="63"/>
  <c r="AQ87" i="63"/>
  <c r="AR87" i="63"/>
  <c r="AS87" i="63"/>
  <c r="AT87" i="63"/>
  <c r="AU87" i="63"/>
  <c r="AW87" i="63"/>
  <c r="AX87" i="63"/>
  <c r="AY87" i="63"/>
  <c r="BA87" i="63"/>
  <c r="BC87" i="63"/>
  <c r="A88" i="63"/>
  <c r="B88" i="63"/>
  <c r="D88" i="63"/>
  <c r="E88" i="63"/>
  <c r="F88" i="63"/>
  <c r="G88" i="63"/>
  <c r="H88" i="63"/>
  <c r="J88" i="63"/>
  <c r="K88" i="63"/>
  <c r="L88" i="63"/>
  <c r="M88" i="63"/>
  <c r="O88" i="63"/>
  <c r="P88" i="63"/>
  <c r="R88" i="63"/>
  <c r="S88" i="63"/>
  <c r="T88" i="63"/>
  <c r="U88" i="63"/>
  <c r="V88" i="63"/>
  <c r="W88" i="63"/>
  <c r="X88" i="63"/>
  <c r="Z88" i="63"/>
  <c r="AA88" i="63"/>
  <c r="AB88" i="63"/>
  <c r="AC88" i="63"/>
  <c r="AD88" i="63"/>
  <c r="AE88" i="63"/>
  <c r="AF88" i="63"/>
  <c r="AG88" i="63"/>
  <c r="AH88" i="63"/>
  <c r="AI88" i="63"/>
  <c r="AJ88" i="63"/>
  <c r="AK88" i="63"/>
  <c r="AL88" i="63"/>
  <c r="AM88" i="63"/>
  <c r="AN88" i="63"/>
  <c r="AO88" i="63"/>
  <c r="AP88" i="63"/>
  <c r="AQ88" i="63"/>
  <c r="AR88" i="63"/>
  <c r="AS88" i="63"/>
  <c r="AT88" i="63"/>
  <c r="AU88" i="63"/>
  <c r="AW88" i="63"/>
  <c r="AX88" i="63"/>
  <c r="AY88" i="63"/>
  <c r="BA88" i="63"/>
  <c r="BC88" i="63"/>
  <c r="A89" i="63"/>
  <c r="B89" i="63"/>
  <c r="D89" i="63"/>
  <c r="E89" i="63"/>
  <c r="F89" i="63"/>
  <c r="G89" i="63"/>
  <c r="H89" i="63"/>
  <c r="J89" i="63"/>
  <c r="K89" i="63"/>
  <c r="L89" i="63"/>
  <c r="M89" i="63"/>
  <c r="O89" i="63"/>
  <c r="P89" i="63"/>
  <c r="R89" i="63"/>
  <c r="S89" i="63"/>
  <c r="T89" i="63"/>
  <c r="U89" i="63"/>
  <c r="V89" i="63"/>
  <c r="W89" i="63"/>
  <c r="X89" i="63"/>
  <c r="Z89" i="63"/>
  <c r="AA89" i="63"/>
  <c r="AB89" i="63"/>
  <c r="AC89" i="63"/>
  <c r="AD89" i="63"/>
  <c r="AE89" i="63"/>
  <c r="AF89" i="63"/>
  <c r="AG89" i="63"/>
  <c r="AH89" i="63"/>
  <c r="AI89" i="63"/>
  <c r="AJ89" i="63"/>
  <c r="AK89" i="63"/>
  <c r="AL89" i="63"/>
  <c r="AM89" i="63"/>
  <c r="AN89" i="63"/>
  <c r="AO89" i="63"/>
  <c r="AP89" i="63"/>
  <c r="AQ89" i="63"/>
  <c r="AR89" i="63"/>
  <c r="AS89" i="63"/>
  <c r="AT89" i="63"/>
  <c r="AU89" i="63"/>
  <c r="AW89" i="63"/>
  <c r="AX89" i="63"/>
  <c r="AY89" i="63"/>
  <c r="BA89" i="63"/>
  <c r="BC89" i="63"/>
  <c r="A90" i="63"/>
  <c r="B90" i="63"/>
  <c r="D90" i="63"/>
  <c r="E90" i="63"/>
  <c r="F90" i="63"/>
  <c r="G90" i="63"/>
  <c r="H90" i="63"/>
  <c r="J90" i="63"/>
  <c r="K90" i="63"/>
  <c r="L90" i="63"/>
  <c r="M90" i="63"/>
  <c r="O90" i="63"/>
  <c r="P90" i="63"/>
  <c r="R90" i="63"/>
  <c r="S90" i="63"/>
  <c r="T90" i="63"/>
  <c r="U90" i="63"/>
  <c r="V90" i="63"/>
  <c r="W90" i="63"/>
  <c r="X90" i="63"/>
  <c r="Z90" i="63"/>
  <c r="AA90" i="63"/>
  <c r="AB90" i="63"/>
  <c r="AC90" i="63"/>
  <c r="AD90" i="63"/>
  <c r="AE90" i="63"/>
  <c r="AF90" i="63"/>
  <c r="AG90" i="63"/>
  <c r="AH90" i="63"/>
  <c r="AI90" i="63"/>
  <c r="AJ90" i="63"/>
  <c r="AK90" i="63"/>
  <c r="AL90" i="63"/>
  <c r="AM90" i="63"/>
  <c r="AN90" i="63"/>
  <c r="AO90" i="63"/>
  <c r="AP90" i="63"/>
  <c r="AQ90" i="63"/>
  <c r="AR90" i="63"/>
  <c r="AS90" i="63"/>
  <c r="AT90" i="63"/>
  <c r="AU90" i="63"/>
  <c r="AW90" i="63"/>
  <c r="AX90" i="63"/>
  <c r="AY90" i="63"/>
  <c r="BA90" i="63"/>
  <c r="BC90" i="63"/>
  <c r="A91" i="63"/>
  <c r="B91" i="63"/>
  <c r="D91" i="63"/>
  <c r="E91" i="63"/>
  <c r="F91" i="63"/>
  <c r="G91" i="63"/>
  <c r="H91" i="63"/>
  <c r="J91" i="63"/>
  <c r="K91" i="63"/>
  <c r="L91" i="63"/>
  <c r="M91" i="63"/>
  <c r="O91" i="63"/>
  <c r="P91" i="63"/>
  <c r="R91" i="63"/>
  <c r="S91" i="63"/>
  <c r="T91" i="63"/>
  <c r="U91" i="63"/>
  <c r="V91" i="63"/>
  <c r="W91" i="63"/>
  <c r="X91" i="63"/>
  <c r="Z91" i="63"/>
  <c r="AA91" i="63"/>
  <c r="AB91" i="63"/>
  <c r="AC91" i="63"/>
  <c r="AD91" i="63"/>
  <c r="AE91" i="63"/>
  <c r="AF91" i="63"/>
  <c r="AG91" i="63"/>
  <c r="AH91" i="63"/>
  <c r="AI91" i="63"/>
  <c r="AJ91" i="63"/>
  <c r="AK91" i="63"/>
  <c r="AL91" i="63"/>
  <c r="AM91" i="63"/>
  <c r="AN91" i="63"/>
  <c r="AO91" i="63"/>
  <c r="AP91" i="63"/>
  <c r="AQ91" i="63"/>
  <c r="AR91" i="63"/>
  <c r="AS91" i="63"/>
  <c r="AT91" i="63"/>
  <c r="AU91" i="63"/>
  <c r="AW91" i="63"/>
  <c r="AX91" i="63"/>
  <c r="AY91" i="63"/>
  <c r="BA91" i="63"/>
  <c r="BC91" i="63"/>
  <c r="A92" i="63"/>
  <c r="B92" i="63"/>
  <c r="D92" i="63"/>
  <c r="E92" i="63"/>
  <c r="F92" i="63"/>
  <c r="G92" i="63"/>
  <c r="H92" i="63"/>
  <c r="J92" i="63"/>
  <c r="K92" i="63"/>
  <c r="L92" i="63"/>
  <c r="M92" i="63"/>
  <c r="O92" i="63"/>
  <c r="P92" i="63"/>
  <c r="R92" i="63"/>
  <c r="S92" i="63"/>
  <c r="T92" i="63"/>
  <c r="U92" i="63"/>
  <c r="V92" i="63"/>
  <c r="W92" i="63"/>
  <c r="X92" i="63"/>
  <c r="Z92" i="63"/>
  <c r="AA92" i="63"/>
  <c r="AB92" i="63"/>
  <c r="AC92" i="63"/>
  <c r="AD92" i="63"/>
  <c r="AE92" i="63"/>
  <c r="AF92" i="63"/>
  <c r="AG92" i="63"/>
  <c r="AH92" i="63"/>
  <c r="AI92" i="63"/>
  <c r="AJ92" i="63"/>
  <c r="AK92" i="63"/>
  <c r="AL92" i="63"/>
  <c r="AM92" i="63"/>
  <c r="AN92" i="63"/>
  <c r="AO92" i="63"/>
  <c r="AP92" i="63"/>
  <c r="AQ92" i="63"/>
  <c r="AR92" i="63"/>
  <c r="AS92" i="63"/>
  <c r="AT92" i="63"/>
  <c r="AU92" i="63"/>
  <c r="AW92" i="63"/>
  <c r="AX92" i="63"/>
  <c r="AY92" i="63"/>
  <c r="BA92" i="63"/>
  <c r="BC92" i="63"/>
  <c r="A93" i="63"/>
  <c r="B93" i="63"/>
  <c r="D93" i="63"/>
  <c r="E93" i="63"/>
  <c r="F93" i="63"/>
  <c r="G93" i="63"/>
  <c r="H93" i="63"/>
  <c r="J93" i="63"/>
  <c r="K93" i="63"/>
  <c r="L93" i="63"/>
  <c r="M93" i="63"/>
  <c r="O93" i="63"/>
  <c r="P93" i="63"/>
  <c r="R93" i="63"/>
  <c r="S93" i="63"/>
  <c r="T93" i="63"/>
  <c r="U93" i="63"/>
  <c r="V93" i="63"/>
  <c r="W93" i="63"/>
  <c r="X93" i="63"/>
  <c r="Z93" i="63"/>
  <c r="AA93" i="63"/>
  <c r="AB93" i="63"/>
  <c r="AC93" i="63"/>
  <c r="AD93" i="63"/>
  <c r="AE93" i="63"/>
  <c r="AF93" i="63"/>
  <c r="AG93" i="63"/>
  <c r="AH93" i="63"/>
  <c r="AI93" i="63"/>
  <c r="AJ93" i="63"/>
  <c r="AK93" i="63"/>
  <c r="AL93" i="63"/>
  <c r="AM93" i="63"/>
  <c r="AN93" i="63"/>
  <c r="AO93" i="63"/>
  <c r="AP93" i="63"/>
  <c r="AQ93" i="63"/>
  <c r="AR93" i="63"/>
  <c r="AS93" i="63"/>
  <c r="AT93" i="63"/>
  <c r="AU93" i="63"/>
  <c r="AW93" i="63"/>
  <c r="AX93" i="63"/>
  <c r="AY93" i="63"/>
  <c r="BA93" i="63"/>
  <c r="BC93" i="63"/>
  <c r="A94" i="63"/>
  <c r="B94" i="63"/>
  <c r="D94" i="63"/>
  <c r="E94" i="63"/>
  <c r="F94" i="63"/>
  <c r="G94" i="63"/>
  <c r="H94" i="63"/>
  <c r="J94" i="63"/>
  <c r="K94" i="63"/>
  <c r="L94" i="63"/>
  <c r="M94" i="63"/>
  <c r="O94" i="63"/>
  <c r="P94" i="63"/>
  <c r="R94" i="63"/>
  <c r="S94" i="63"/>
  <c r="T94" i="63"/>
  <c r="U94" i="63"/>
  <c r="V94" i="63"/>
  <c r="W94" i="63"/>
  <c r="X94" i="63"/>
  <c r="Z94" i="63"/>
  <c r="AA94" i="63"/>
  <c r="AB94" i="63"/>
  <c r="AC94" i="63"/>
  <c r="AD94" i="63"/>
  <c r="AE94" i="63"/>
  <c r="AF94" i="63"/>
  <c r="AG94" i="63"/>
  <c r="AH94" i="63"/>
  <c r="AI94" i="63"/>
  <c r="AJ94" i="63"/>
  <c r="AK94" i="63"/>
  <c r="AL94" i="63"/>
  <c r="AM94" i="63"/>
  <c r="AN94" i="63"/>
  <c r="AO94" i="63"/>
  <c r="AP94" i="63"/>
  <c r="AQ94" i="63"/>
  <c r="AR94" i="63"/>
  <c r="AS94" i="63"/>
  <c r="AT94" i="63"/>
  <c r="AU94" i="63"/>
  <c r="AW94" i="63"/>
  <c r="AX94" i="63"/>
  <c r="AY94" i="63"/>
  <c r="BA94" i="63"/>
  <c r="BC94" i="63"/>
  <c r="A95" i="63"/>
  <c r="B95" i="63"/>
  <c r="D95" i="63"/>
  <c r="E95" i="63"/>
  <c r="F95" i="63"/>
  <c r="G95" i="63"/>
  <c r="H95" i="63"/>
  <c r="J95" i="63"/>
  <c r="K95" i="63"/>
  <c r="L95" i="63"/>
  <c r="M95" i="63"/>
  <c r="O95" i="63"/>
  <c r="P95" i="63"/>
  <c r="R95" i="63"/>
  <c r="S95" i="63"/>
  <c r="T95" i="63"/>
  <c r="U95" i="63"/>
  <c r="V95" i="63"/>
  <c r="W95" i="63"/>
  <c r="X95" i="63"/>
  <c r="Z95" i="63"/>
  <c r="AA95" i="63"/>
  <c r="AB95" i="63"/>
  <c r="AC95" i="63"/>
  <c r="AD95" i="63"/>
  <c r="AE95" i="63"/>
  <c r="AF95" i="63"/>
  <c r="AG95" i="63"/>
  <c r="AH95" i="63"/>
  <c r="AI95" i="63"/>
  <c r="AJ95" i="63"/>
  <c r="AK95" i="63"/>
  <c r="AL95" i="63"/>
  <c r="AM95" i="63"/>
  <c r="AN95" i="63"/>
  <c r="AO95" i="63"/>
  <c r="AP95" i="63"/>
  <c r="AQ95" i="63"/>
  <c r="AR95" i="63"/>
  <c r="AS95" i="63"/>
  <c r="AT95" i="63"/>
  <c r="AU95" i="63"/>
  <c r="AW95" i="63"/>
  <c r="AX95" i="63"/>
  <c r="AY95" i="63"/>
  <c r="BA95" i="63"/>
  <c r="BC95" i="63"/>
  <c r="A96" i="63"/>
  <c r="B96" i="63"/>
  <c r="D96" i="63"/>
  <c r="E96" i="63"/>
  <c r="F96" i="63"/>
  <c r="G96" i="63"/>
  <c r="H96" i="63"/>
  <c r="J96" i="63"/>
  <c r="K96" i="63"/>
  <c r="L96" i="63"/>
  <c r="M96" i="63"/>
  <c r="O96" i="63"/>
  <c r="P96" i="63"/>
  <c r="R96" i="63"/>
  <c r="S96" i="63"/>
  <c r="T96" i="63"/>
  <c r="U96" i="63"/>
  <c r="V96" i="63"/>
  <c r="W96" i="63"/>
  <c r="X96" i="63"/>
  <c r="Z96" i="63"/>
  <c r="AA96" i="63"/>
  <c r="AB96" i="63"/>
  <c r="AC96" i="63"/>
  <c r="AD96" i="63"/>
  <c r="AE96" i="63"/>
  <c r="AF96" i="63"/>
  <c r="AG96" i="63"/>
  <c r="AH96" i="63"/>
  <c r="AI96" i="63"/>
  <c r="AJ96" i="63"/>
  <c r="AK96" i="63"/>
  <c r="AL96" i="63"/>
  <c r="AM96" i="63"/>
  <c r="AN96" i="63"/>
  <c r="AO96" i="63"/>
  <c r="AP96" i="63"/>
  <c r="AQ96" i="63"/>
  <c r="AR96" i="63"/>
  <c r="AS96" i="63"/>
  <c r="AT96" i="63"/>
  <c r="AU96" i="63"/>
  <c r="AW96" i="63"/>
  <c r="AX96" i="63"/>
  <c r="AY96" i="63"/>
  <c r="BA96" i="63"/>
  <c r="BC96" i="63"/>
  <c r="A97" i="63"/>
  <c r="B97" i="63"/>
  <c r="D97" i="63"/>
  <c r="E97" i="63"/>
  <c r="F97" i="63"/>
  <c r="G97" i="63"/>
  <c r="H97" i="63"/>
  <c r="J97" i="63"/>
  <c r="K97" i="63"/>
  <c r="L97" i="63"/>
  <c r="M97" i="63"/>
  <c r="O97" i="63"/>
  <c r="P97" i="63"/>
  <c r="R97" i="63"/>
  <c r="S97" i="63"/>
  <c r="T97" i="63"/>
  <c r="U97" i="63"/>
  <c r="V97" i="63"/>
  <c r="W97" i="63"/>
  <c r="X97" i="63"/>
  <c r="Z97" i="63"/>
  <c r="AA97" i="63"/>
  <c r="AB97" i="63"/>
  <c r="AC97" i="63"/>
  <c r="AD97" i="63"/>
  <c r="AE97" i="63"/>
  <c r="AF97" i="63"/>
  <c r="AG97" i="63"/>
  <c r="AH97" i="63"/>
  <c r="AI97" i="63"/>
  <c r="AJ97" i="63"/>
  <c r="AK97" i="63"/>
  <c r="AL97" i="63"/>
  <c r="AM97" i="63"/>
  <c r="AN97" i="63"/>
  <c r="AO97" i="63"/>
  <c r="AP97" i="63"/>
  <c r="AQ97" i="63"/>
  <c r="AR97" i="63"/>
  <c r="AS97" i="63"/>
  <c r="AT97" i="63"/>
  <c r="AU97" i="63"/>
  <c r="AW97" i="63"/>
  <c r="AX97" i="63"/>
  <c r="AY97" i="63"/>
  <c r="BA97" i="63"/>
  <c r="BC97" i="63"/>
  <c r="A98" i="63"/>
  <c r="B98" i="63"/>
  <c r="D98" i="63"/>
  <c r="E98" i="63"/>
  <c r="F98" i="63"/>
  <c r="G98" i="63"/>
  <c r="H98" i="63"/>
  <c r="J98" i="63"/>
  <c r="K98" i="63"/>
  <c r="L98" i="63"/>
  <c r="M98" i="63"/>
  <c r="O98" i="63"/>
  <c r="P98" i="63"/>
  <c r="R98" i="63"/>
  <c r="S98" i="63"/>
  <c r="T98" i="63"/>
  <c r="U98" i="63"/>
  <c r="V98" i="63"/>
  <c r="W98" i="63"/>
  <c r="X98" i="63"/>
  <c r="Z98" i="63"/>
  <c r="AA98" i="63"/>
  <c r="AB98" i="63"/>
  <c r="AC98" i="63"/>
  <c r="AD98" i="63"/>
  <c r="AE98" i="63"/>
  <c r="AF98" i="63"/>
  <c r="AG98" i="63"/>
  <c r="AH98" i="63"/>
  <c r="AI98" i="63"/>
  <c r="AJ98" i="63"/>
  <c r="AK98" i="63"/>
  <c r="AL98" i="63"/>
  <c r="AM98" i="63"/>
  <c r="AN98" i="63"/>
  <c r="AO98" i="63"/>
  <c r="AP98" i="63"/>
  <c r="AQ98" i="63"/>
  <c r="AR98" i="63"/>
  <c r="AS98" i="63"/>
  <c r="AT98" i="63"/>
  <c r="AU98" i="63"/>
  <c r="AW98" i="63"/>
  <c r="AX98" i="63"/>
  <c r="AY98" i="63"/>
  <c r="BA98" i="63"/>
  <c r="BC98" i="63"/>
  <c r="A99" i="63"/>
  <c r="B99" i="63"/>
  <c r="D99" i="63"/>
  <c r="E99" i="63"/>
  <c r="F99" i="63"/>
  <c r="G99" i="63"/>
  <c r="H99" i="63"/>
  <c r="J99" i="63"/>
  <c r="K99" i="63"/>
  <c r="L99" i="63"/>
  <c r="M99" i="63"/>
  <c r="O99" i="63"/>
  <c r="P99" i="63"/>
  <c r="R99" i="63"/>
  <c r="S99" i="63"/>
  <c r="T99" i="63"/>
  <c r="U99" i="63"/>
  <c r="V99" i="63"/>
  <c r="W99" i="63"/>
  <c r="X99" i="63"/>
  <c r="Z99" i="63"/>
  <c r="AA99" i="63"/>
  <c r="AB99" i="63"/>
  <c r="AC99" i="63"/>
  <c r="AD99" i="63"/>
  <c r="AE99" i="63"/>
  <c r="AF99" i="63"/>
  <c r="AG99" i="63"/>
  <c r="AH99" i="63"/>
  <c r="AI99" i="63"/>
  <c r="AJ99" i="63"/>
  <c r="AK99" i="63"/>
  <c r="AL99" i="63"/>
  <c r="AM99" i="63"/>
  <c r="AN99" i="63"/>
  <c r="AO99" i="63"/>
  <c r="AP99" i="63"/>
  <c r="AQ99" i="63"/>
  <c r="AR99" i="63"/>
  <c r="AS99" i="63"/>
  <c r="AT99" i="63"/>
  <c r="AU99" i="63"/>
  <c r="AW99" i="63"/>
  <c r="AX99" i="63"/>
  <c r="AY99" i="63"/>
  <c r="BA99" i="63"/>
  <c r="BC99" i="63"/>
  <c r="A100" i="63"/>
  <c r="B100" i="63"/>
  <c r="D100" i="63"/>
  <c r="E100" i="63"/>
  <c r="F100" i="63"/>
  <c r="G100" i="63"/>
  <c r="H100" i="63"/>
  <c r="J100" i="63"/>
  <c r="K100" i="63"/>
  <c r="L100" i="63"/>
  <c r="M100" i="63"/>
  <c r="O100" i="63"/>
  <c r="P100" i="63"/>
  <c r="R100" i="63"/>
  <c r="S100" i="63"/>
  <c r="T100" i="63"/>
  <c r="U100" i="63"/>
  <c r="V100" i="63"/>
  <c r="W100" i="63"/>
  <c r="X100" i="63"/>
  <c r="Z100" i="63"/>
  <c r="AA100" i="63"/>
  <c r="AB100" i="63"/>
  <c r="AC100" i="63"/>
  <c r="AD100" i="63"/>
  <c r="AE100" i="63"/>
  <c r="AF100" i="63"/>
  <c r="AG100" i="63"/>
  <c r="AH100" i="63"/>
  <c r="AI100" i="63"/>
  <c r="AJ100" i="63"/>
  <c r="AK100" i="63"/>
  <c r="AL100" i="63"/>
  <c r="AM100" i="63"/>
  <c r="AN100" i="63"/>
  <c r="AO100" i="63"/>
  <c r="AP100" i="63"/>
  <c r="AQ100" i="63"/>
  <c r="AR100" i="63"/>
  <c r="AS100" i="63"/>
  <c r="AT100" i="63"/>
  <c r="AU100" i="63"/>
  <c r="AW100" i="63"/>
  <c r="AX100" i="63"/>
  <c r="AY100" i="63"/>
  <c r="BA100" i="63"/>
  <c r="BC100" i="63"/>
  <c r="A101" i="63"/>
  <c r="B101" i="63"/>
  <c r="D101" i="63"/>
  <c r="E101" i="63"/>
  <c r="F101" i="63"/>
  <c r="G101" i="63"/>
  <c r="H101" i="63"/>
  <c r="J101" i="63"/>
  <c r="K101" i="63"/>
  <c r="L101" i="63"/>
  <c r="M101" i="63"/>
  <c r="O101" i="63"/>
  <c r="P101" i="63"/>
  <c r="R101" i="63"/>
  <c r="S101" i="63"/>
  <c r="T101" i="63"/>
  <c r="U101" i="63"/>
  <c r="V101" i="63"/>
  <c r="W101" i="63"/>
  <c r="X101" i="63"/>
  <c r="Z101" i="63"/>
  <c r="AA101" i="63"/>
  <c r="AB101" i="63"/>
  <c r="AC101" i="63"/>
  <c r="AD101" i="63"/>
  <c r="AE101" i="63"/>
  <c r="AF101" i="63"/>
  <c r="AG101" i="63"/>
  <c r="AH101" i="63"/>
  <c r="AI101" i="63"/>
  <c r="AJ101" i="63"/>
  <c r="AK101" i="63"/>
  <c r="AL101" i="63"/>
  <c r="AM101" i="63"/>
  <c r="AN101" i="63"/>
  <c r="AO101" i="63"/>
  <c r="AP101" i="63"/>
  <c r="AQ101" i="63"/>
  <c r="AR101" i="63"/>
  <c r="AS101" i="63"/>
  <c r="AT101" i="63"/>
  <c r="AU101" i="63"/>
  <c r="AW101" i="63"/>
  <c r="AX101" i="63"/>
  <c r="AY101" i="63"/>
  <c r="BA101" i="63"/>
  <c r="BC101" i="63"/>
  <c r="A102" i="63"/>
  <c r="B102" i="63"/>
  <c r="D102" i="63"/>
  <c r="E102" i="63"/>
  <c r="F102" i="63"/>
  <c r="G102" i="63"/>
  <c r="H102" i="63"/>
  <c r="J102" i="63"/>
  <c r="K102" i="63"/>
  <c r="L102" i="63"/>
  <c r="M102" i="63"/>
  <c r="O102" i="63"/>
  <c r="P102" i="63"/>
  <c r="R102" i="63"/>
  <c r="S102" i="63"/>
  <c r="T102" i="63"/>
  <c r="U102" i="63"/>
  <c r="V102" i="63"/>
  <c r="W102" i="63"/>
  <c r="X102" i="63"/>
  <c r="Z102" i="63"/>
  <c r="AA102" i="63"/>
  <c r="AB102" i="63"/>
  <c r="AC102" i="63"/>
  <c r="AD102" i="63"/>
  <c r="AE102" i="63"/>
  <c r="AF102" i="63"/>
  <c r="AG102" i="63"/>
  <c r="AH102" i="63"/>
  <c r="AI102" i="63"/>
  <c r="AJ102" i="63"/>
  <c r="AK102" i="63"/>
  <c r="AL102" i="63"/>
  <c r="AM102" i="63"/>
  <c r="AN102" i="63"/>
  <c r="AO102" i="63"/>
  <c r="AP102" i="63"/>
  <c r="AQ102" i="63"/>
  <c r="AR102" i="63"/>
  <c r="AS102" i="63"/>
  <c r="AT102" i="63"/>
  <c r="AU102" i="63"/>
  <c r="AW102" i="63"/>
  <c r="AX102" i="63"/>
  <c r="AY102" i="63"/>
  <c r="BA102" i="63"/>
  <c r="BC102" i="63"/>
  <c r="A103" i="63"/>
  <c r="B103" i="63"/>
  <c r="D103" i="63"/>
  <c r="E103" i="63"/>
  <c r="F103" i="63"/>
  <c r="G103" i="63"/>
  <c r="H103" i="63"/>
  <c r="J103" i="63"/>
  <c r="K103" i="63"/>
  <c r="L103" i="63"/>
  <c r="M103" i="63"/>
  <c r="O103" i="63"/>
  <c r="P103" i="63"/>
  <c r="R103" i="63"/>
  <c r="S103" i="63"/>
  <c r="T103" i="63"/>
  <c r="U103" i="63"/>
  <c r="V103" i="63"/>
  <c r="W103" i="63"/>
  <c r="X103" i="63"/>
  <c r="Z103" i="63"/>
  <c r="AA103" i="63"/>
  <c r="AB103" i="63"/>
  <c r="AC103" i="63"/>
  <c r="AD103" i="63"/>
  <c r="AE103" i="63"/>
  <c r="AF103" i="63"/>
  <c r="AG103" i="63"/>
  <c r="AH103" i="63"/>
  <c r="AI103" i="63"/>
  <c r="AJ103" i="63"/>
  <c r="AK103" i="63"/>
  <c r="AL103" i="63"/>
  <c r="AM103" i="63"/>
  <c r="AN103" i="63"/>
  <c r="AO103" i="63"/>
  <c r="AP103" i="63"/>
  <c r="AQ103" i="63"/>
  <c r="AR103" i="63"/>
  <c r="AS103" i="63"/>
  <c r="AT103" i="63"/>
  <c r="AU103" i="63"/>
  <c r="AW103" i="63"/>
  <c r="AX103" i="63"/>
  <c r="AY103" i="63"/>
  <c r="BA103" i="63"/>
  <c r="BC103" i="63"/>
  <c r="A104" i="63"/>
  <c r="B104" i="63"/>
  <c r="D104" i="63"/>
  <c r="E104" i="63"/>
  <c r="F104" i="63"/>
  <c r="G104" i="63"/>
  <c r="H104" i="63"/>
  <c r="J104" i="63"/>
  <c r="K104" i="63"/>
  <c r="L104" i="63"/>
  <c r="M104" i="63"/>
  <c r="O104" i="63"/>
  <c r="P104" i="63"/>
  <c r="R104" i="63"/>
  <c r="S104" i="63"/>
  <c r="T104" i="63"/>
  <c r="U104" i="63"/>
  <c r="V104" i="63"/>
  <c r="W104" i="63"/>
  <c r="X104" i="63"/>
  <c r="Z104" i="63"/>
  <c r="AA104" i="63"/>
  <c r="AB104" i="63"/>
  <c r="AC104" i="63"/>
  <c r="AD104" i="63"/>
  <c r="AE104" i="63"/>
  <c r="AF104" i="63"/>
  <c r="AG104" i="63"/>
  <c r="AH104" i="63"/>
  <c r="AI104" i="63"/>
  <c r="AJ104" i="63"/>
  <c r="AK104" i="63"/>
  <c r="AL104" i="63"/>
  <c r="AM104" i="63"/>
  <c r="AN104" i="63"/>
  <c r="AO104" i="63"/>
  <c r="AP104" i="63"/>
  <c r="AQ104" i="63"/>
  <c r="AR104" i="63"/>
  <c r="AS104" i="63"/>
  <c r="AT104" i="63"/>
  <c r="AU104" i="63"/>
  <c r="AW104" i="63"/>
  <c r="AX104" i="63"/>
  <c r="AY104" i="63"/>
  <c r="BA104" i="63"/>
  <c r="BC104" i="63"/>
  <c r="A105" i="63"/>
  <c r="B105" i="63"/>
  <c r="D105" i="63"/>
  <c r="E105" i="63"/>
  <c r="F105" i="63"/>
  <c r="G105" i="63"/>
  <c r="H105" i="63"/>
  <c r="J105" i="63"/>
  <c r="K105" i="63"/>
  <c r="L105" i="63"/>
  <c r="M105" i="63"/>
  <c r="O105" i="63"/>
  <c r="P105" i="63"/>
  <c r="R105" i="63"/>
  <c r="S105" i="63"/>
  <c r="T105" i="63"/>
  <c r="U105" i="63"/>
  <c r="V105" i="63"/>
  <c r="W105" i="63"/>
  <c r="X105" i="63"/>
  <c r="Z105" i="63"/>
  <c r="AA105" i="63"/>
  <c r="AB105" i="63"/>
  <c r="AC105" i="63"/>
  <c r="AD105" i="63"/>
  <c r="AE105" i="63"/>
  <c r="AF105" i="63"/>
  <c r="AG105" i="63"/>
  <c r="AH105" i="63"/>
  <c r="AI105" i="63"/>
  <c r="AJ105" i="63"/>
  <c r="AK105" i="63"/>
  <c r="AL105" i="63"/>
  <c r="AM105" i="63"/>
  <c r="AN105" i="63"/>
  <c r="AO105" i="63"/>
  <c r="AP105" i="63"/>
  <c r="AQ105" i="63"/>
  <c r="AR105" i="63"/>
  <c r="AS105" i="63"/>
  <c r="AT105" i="63"/>
  <c r="AU105" i="63"/>
  <c r="AW105" i="63"/>
  <c r="AX105" i="63"/>
  <c r="AY105" i="63"/>
  <c r="BA105" i="63"/>
  <c r="BC105" i="63"/>
  <c r="A106" i="63"/>
  <c r="B106" i="63"/>
  <c r="D106" i="63"/>
  <c r="E106" i="63"/>
  <c r="F106" i="63"/>
  <c r="G106" i="63"/>
  <c r="H106" i="63"/>
  <c r="J106" i="63"/>
  <c r="K106" i="63"/>
  <c r="L106" i="63"/>
  <c r="M106" i="63"/>
  <c r="O106" i="63"/>
  <c r="P106" i="63"/>
  <c r="R106" i="63"/>
  <c r="S106" i="63"/>
  <c r="T106" i="63"/>
  <c r="U106" i="63"/>
  <c r="V106" i="63"/>
  <c r="W106" i="63"/>
  <c r="X106" i="63"/>
  <c r="Z106" i="63"/>
  <c r="AA106" i="63"/>
  <c r="AB106" i="63"/>
  <c r="AC106" i="63"/>
  <c r="AD106" i="63"/>
  <c r="AE106" i="63"/>
  <c r="AF106" i="63"/>
  <c r="AG106" i="63"/>
  <c r="AH106" i="63"/>
  <c r="AI106" i="63"/>
  <c r="AJ106" i="63"/>
  <c r="AK106" i="63"/>
  <c r="AL106" i="63"/>
  <c r="AM106" i="63"/>
  <c r="AN106" i="63"/>
  <c r="AO106" i="63"/>
  <c r="AP106" i="63"/>
  <c r="AQ106" i="63"/>
  <c r="AR106" i="63"/>
  <c r="AS106" i="63"/>
  <c r="AT106" i="63"/>
  <c r="AU106" i="63"/>
  <c r="AW106" i="63"/>
  <c r="AX106" i="63"/>
  <c r="AY106" i="63"/>
  <c r="BA106" i="63"/>
  <c r="BC106" i="63"/>
  <c r="A107" i="63"/>
  <c r="B107" i="63"/>
  <c r="D107" i="63"/>
  <c r="E107" i="63"/>
  <c r="F107" i="63"/>
  <c r="G107" i="63"/>
  <c r="H107" i="63"/>
  <c r="J107" i="63"/>
  <c r="K107" i="63"/>
  <c r="L107" i="63"/>
  <c r="M107" i="63"/>
  <c r="O107" i="63"/>
  <c r="P107" i="63"/>
  <c r="R107" i="63"/>
  <c r="S107" i="63"/>
  <c r="T107" i="63"/>
  <c r="U107" i="63"/>
  <c r="V107" i="63"/>
  <c r="W107" i="63"/>
  <c r="X107" i="63"/>
  <c r="Z107" i="63"/>
  <c r="AA107" i="63"/>
  <c r="AB107" i="63"/>
  <c r="AC107" i="63"/>
  <c r="AD107" i="63"/>
  <c r="AE107" i="63"/>
  <c r="AF107" i="63"/>
  <c r="AG107" i="63"/>
  <c r="AH107" i="63"/>
  <c r="AI107" i="63"/>
  <c r="AJ107" i="63"/>
  <c r="AK107" i="63"/>
  <c r="AL107" i="63"/>
  <c r="AM107" i="63"/>
  <c r="AN107" i="63"/>
  <c r="AO107" i="63"/>
  <c r="AP107" i="63"/>
  <c r="AQ107" i="63"/>
  <c r="AR107" i="63"/>
  <c r="AS107" i="63"/>
  <c r="AT107" i="63"/>
  <c r="AU107" i="63"/>
  <c r="AW107" i="63"/>
  <c r="AX107" i="63"/>
  <c r="AY107" i="63"/>
  <c r="BA107" i="63"/>
  <c r="BC107" i="63"/>
  <c r="A108" i="63"/>
  <c r="B108" i="63"/>
  <c r="D108" i="63"/>
  <c r="E108" i="63"/>
  <c r="F108" i="63"/>
  <c r="G108" i="63"/>
  <c r="H108" i="63"/>
  <c r="J108" i="63"/>
  <c r="K108" i="63"/>
  <c r="L108" i="63"/>
  <c r="M108" i="63"/>
  <c r="O108" i="63"/>
  <c r="P108" i="63"/>
  <c r="R108" i="63"/>
  <c r="S108" i="63"/>
  <c r="T108" i="63"/>
  <c r="U108" i="63"/>
  <c r="V108" i="63"/>
  <c r="W108" i="63"/>
  <c r="X108" i="63"/>
  <c r="Z108" i="63"/>
  <c r="AA108" i="63"/>
  <c r="AB108" i="63"/>
  <c r="AC108" i="63"/>
  <c r="AD108" i="63"/>
  <c r="AE108" i="63"/>
  <c r="AF108" i="63"/>
  <c r="AG108" i="63"/>
  <c r="AH108" i="63"/>
  <c r="AI108" i="63"/>
  <c r="AJ108" i="63"/>
  <c r="AK108" i="63"/>
  <c r="AL108" i="63"/>
  <c r="AM108" i="63"/>
  <c r="AN108" i="63"/>
  <c r="AO108" i="63"/>
  <c r="AP108" i="63"/>
  <c r="AQ108" i="63"/>
  <c r="AR108" i="63"/>
  <c r="AS108" i="63"/>
  <c r="AT108" i="63"/>
  <c r="AU108" i="63"/>
  <c r="AW108" i="63"/>
  <c r="AX108" i="63"/>
  <c r="AY108" i="63"/>
  <c r="BA108" i="63"/>
  <c r="BC108" i="63"/>
  <c r="A109" i="63"/>
  <c r="B109" i="63"/>
  <c r="D109" i="63"/>
  <c r="E109" i="63"/>
  <c r="F109" i="63"/>
  <c r="G109" i="63"/>
  <c r="H109" i="63"/>
  <c r="J109" i="63"/>
  <c r="K109" i="63"/>
  <c r="L109" i="63"/>
  <c r="M109" i="63"/>
  <c r="O109" i="63"/>
  <c r="P109" i="63"/>
  <c r="R109" i="63"/>
  <c r="S109" i="63"/>
  <c r="T109" i="63"/>
  <c r="U109" i="63"/>
  <c r="V109" i="63"/>
  <c r="W109" i="63"/>
  <c r="X109" i="63"/>
  <c r="Z109" i="63"/>
  <c r="AA109" i="63"/>
  <c r="AB109" i="63"/>
  <c r="AC109" i="63"/>
  <c r="AD109" i="63"/>
  <c r="AE109" i="63"/>
  <c r="AF109" i="63"/>
  <c r="AG109" i="63"/>
  <c r="AH109" i="63"/>
  <c r="AI109" i="63"/>
  <c r="AJ109" i="63"/>
  <c r="AK109" i="63"/>
  <c r="AL109" i="63"/>
  <c r="AM109" i="63"/>
  <c r="AN109" i="63"/>
  <c r="AO109" i="63"/>
  <c r="AP109" i="63"/>
  <c r="AQ109" i="63"/>
  <c r="AR109" i="63"/>
  <c r="AS109" i="63"/>
  <c r="AT109" i="63"/>
  <c r="AU109" i="63"/>
  <c r="AW109" i="63"/>
  <c r="AX109" i="63"/>
  <c r="AY109" i="63"/>
  <c r="BA109" i="63"/>
  <c r="BC109" i="63"/>
  <c r="A110" i="63"/>
  <c r="B110" i="63"/>
  <c r="D110" i="63"/>
  <c r="E110" i="63"/>
  <c r="F110" i="63"/>
  <c r="G110" i="63"/>
  <c r="H110" i="63"/>
  <c r="J110" i="63"/>
  <c r="K110" i="63"/>
  <c r="L110" i="63"/>
  <c r="M110" i="63"/>
  <c r="O110" i="63"/>
  <c r="P110" i="63"/>
  <c r="R110" i="63"/>
  <c r="S110" i="63"/>
  <c r="T110" i="63"/>
  <c r="U110" i="63"/>
  <c r="V110" i="63"/>
  <c r="W110" i="63"/>
  <c r="X110" i="63"/>
  <c r="Z110" i="63"/>
  <c r="AA110" i="63"/>
  <c r="AB110" i="63"/>
  <c r="AC110" i="63"/>
  <c r="AD110" i="63"/>
  <c r="AE110" i="63"/>
  <c r="AF110" i="63"/>
  <c r="AG110" i="63"/>
  <c r="AH110" i="63"/>
  <c r="AI110" i="63"/>
  <c r="AJ110" i="63"/>
  <c r="AK110" i="63"/>
  <c r="AL110" i="63"/>
  <c r="AM110" i="63"/>
  <c r="AN110" i="63"/>
  <c r="AO110" i="63"/>
  <c r="AP110" i="63"/>
  <c r="AQ110" i="63"/>
  <c r="AR110" i="63"/>
  <c r="AS110" i="63"/>
  <c r="AT110" i="63"/>
  <c r="AU110" i="63"/>
  <c r="AW110" i="63"/>
  <c r="AX110" i="63"/>
  <c r="AY110" i="63"/>
  <c r="BA110" i="63"/>
  <c r="BC110" i="63"/>
  <c r="A111" i="63"/>
  <c r="B111" i="63"/>
  <c r="D111" i="63"/>
  <c r="E111" i="63"/>
  <c r="F111" i="63"/>
  <c r="G111" i="63"/>
  <c r="H111" i="63"/>
  <c r="J111" i="63"/>
  <c r="K111" i="63"/>
  <c r="L111" i="63"/>
  <c r="M111" i="63"/>
  <c r="O111" i="63"/>
  <c r="P111" i="63"/>
  <c r="R111" i="63"/>
  <c r="S111" i="63"/>
  <c r="T111" i="63"/>
  <c r="U111" i="63"/>
  <c r="V111" i="63"/>
  <c r="W111" i="63"/>
  <c r="X111" i="63"/>
  <c r="Z111" i="63"/>
  <c r="AA111" i="63"/>
  <c r="AB111" i="63"/>
  <c r="AC111" i="63"/>
  <c r="AD111" i="63"/>
  <c r="AE111" i="63"/>
  <c r="AF111" i="63"/>
  <c r="AG111" i="63"/>
  <c r="AH111" i="63"/>
  <c r="AI111" i="63"/>
  <c r="AJ111" i="63"/>
  <c r="AK111" i="63"/>
  <c r="AL111" i="63"/>
  <c r="AM111" i="63"/>
  <c r="AN111" i="63"/>
  <c r="AO111" i="63"/>
  <c r="AP111" i="63"/>
  <c r="AQ111" i="63"/>
  <c r="AR111" i="63"/>
  <c r="AS111" i="63"/>
  <c r="AT111" i="63"/>
  <c r="AU111" i="63"/>
  <c r="AW111" i="63"/>
  <c r="AX111" i="63"/>
  <c r="AY111" i="63"/>
  <c r="BA111" i="63"/>
  <c r="BC111" i="63"/>
  <c r="A112" i="63"/>
  <c r="B112" i="63"/>
  <c r="D112" i="63"/>
  <c r="E112" i="63"/>
  <c r="F112" i="63"/>
  <c r="G112" i="63"/>
  <c r="H112" i="63"/>
  <c r="J112" i="63"/>
  <c r="K112" i="63"/>
  <c r="L112" i="63"/>
  <c r="M112" i="63"/>
  <c r="O112" i="63"/>
  <c r="P112" i="63"/>
  <c r="R112" i="63"/>
  <c r="S112" i="63"/>
  <c r="T112" i="63"/>
  <c r="U112" i="63"/>
  <c r="V112" i="63"/>
  <c r="W112" i="63"/>
  <c r="X112" i="63"/>
  <c r="Z112" i="63"/>
  <c r="AA112" i="63"/>
  <c r="AB112" i="63"/>
  <c r="AC112" i="63"/>
  <c r="AD112" i="63"/>
  <c r="AE112" i="63"/>
  <c r="AF112" i="63"/>
  <c r="AG112" i="63"/>
  <c r="AH112" i="63"/>
  <c r="AI112" i="63"/>
  <c r="AJ112" i="63"/>
  <c r="AK112" i="63"/>
  <c r="AL112" i="63"/>
  <c r="AM112" i="63"/>
  <c r="AN112" i="63"/>
  <c r="AO112" i="63"/>
  <c r="AP112" i="63"/>
  <c r="AQ112" i="63"/>
  <c r="AR112" i="63"/>
  <c r="AS112" i="63"/>
  <c r="AT112" i="63"/>
  <c r="AU112" i="63"/>
  <c r="AW112" i="63"/>
  <c r="AX112" i="63"/>
  <c r="AY112" i="63"/>
  <c r="BA112" i="63"/>
  <c r="BC112" i="63"/>
  <c r="A113" i="63"/>
  <c r="B113" i="63"/>
  <c r="D113" i="63"/>
  <c r="E113" i="63"/>
  <c r="F113" i="63"/>
  <c r="G113" i="63"/>
  <c r="H113" i="63"/>
  <c r="J113" i="63"/>
  <c r="K113" i="63"/>
  <c r="L113" i="63"/>
  <c r="M113" i="63"/>
  <c r="O113" i="63"/>
  <c r="P113" i="63"/>
  <c r="R113" i="63"/>
  <c r="S113" i="63"/>
  <c r="T113" i="63"/>
  <c r="U113" i="63"/>
  <c r="V113" i="63"/>
  <c r="W113" i="63"/>
  <c r="X113" i="63"/>
  <c r="Z113" i="63"/>
  <c r="AA113" i="63"/>
  <c r="AB113" i="63"/>
  <c r="AC113" i="63"/>
  <c r="AD113" i="63"/>
  <c r="AE113" i="63"/>
  <c r="AF113" i="63"/>
  <c r="AG113" i="63"/>
  <c r="AH113" i="63"/>
  <c r="AI113" i="63"/>
  <c r="AJ113" i="63"/>
  <c r="AK113" i="63"/>
  <c r="AL113" i="63"/>
  <c r="AM113" i="63"/>
  <c r="AN113" i="63"/>
  <c r="AO113" i="63"/>
  <c r="AP113" i="63"/>
  <c r="AQ113" i="63"/>
  <c r="AR113" i="63"/>
  <c r="AS113" i="63"/>
  <c r="AT113" i="63"/>
  <c r="AU113" i="63"/>
  <c r="AW113" i="63"/>
  <c r="AX113" i="63"/>
  <c r="AY113" i="63"/>
  <c r="BA113" i="63"/>
  <c r="BC113" i="63"/>
  <c r="A114" i="63"/>
  <c r="B114" i="63"/>
  <c r="D114" i="63"/>
  <c r="E114" i="63"/>
  <c r="F114" i="63"/>
  <c r="G114" i="63"/>
  <c r="H114" i="63"/>
  <c r="J114" i="63"/>
  <c r="K114" i="63"/>
  <c r="L114" i="63"/>
  <c r="M114" i="63"/>
  <c r="O114" i="63"/>
  <c r="P114" i="63"/>
  <c r="R114" i="63"/>
  <c r="S114" i="63"/>
  <c r="T114" i="63"/>
  <c r="U114" i="63"/>
  <c r="V114" i="63"/>
  <c r="W114" i="63"/>
  <c r="X114" i="63"/>
  <c r="Z114" i="63"/>
  <c r="AA114" i="63"/>
  <c r="AB114" i="63"/>
  <c r="AC114" i="63"/>
  <c r="AD114" i="63"/>
  <c r="AE114" i="63"/>
  <c r="AF114" i="63"/>
  <c r="AG114" i="63"/>
  <c r="AH114" i="63"/>
  <c r="AI114" i="63"/>
  <c r="AJ114" i="63"/>
  <c r="AK114" i="63"/>
  <c r="AL114" i="63"/>
  <c r="AM114" i="63"/>
  <c r="AN114" i="63"/>
  <c r="AO114" i="63"/>
  <c r="AP114" i="63"/>
  <c r="AQ114" i="63"/>
  <c r="AR114" i="63"/>
  <c r="AS114" i="63"/>
  <c r="AT114" i="63"/>
  <c r="AU114" i="63"/>
  <c r="AW114" i="63"/>
  <c r="AX114" i="63"/>
  <c r="AY114" i="63"/>
  <c r="BA114" i="63"/>
  <c r="BC114" i="63"/>
  <c r="A115" i="63"/>
  <c r="B115" i="63"/>
  <c r="D115" i="63"/>
  <c r="E115" i="63"/>
  <c r="F115" i="63"/>
  <c r="G115" i="63"/>
  <c r="H115" i="63"/>
  <c r="J115" i="63"/>
  <c r="K115" i="63"/>
  <c r="L115" i="63"/>
  <c r="M115" i="63"/>
  <c r="O115" i="63"/>
  <c r="P115" i="63"/>
  <c r="R115" i="63"/>
  <c r="S115" i="63"/>
  <c r="T115" i="63"/>
  <c r="U115" i="63"/>
  <c r="V115" i="63"/>
  <c r="W115" i="63"/>
  <c r="X115" i="63"/>
  <c r="Z115" i="63"/>
  <c r="AA115" i="63"/>
  <c r="AB115" i="63"/>
  <c r="AC115" i="63"/>
  <c r="AD115" i="63"/>
  <c r="AE115" i="63"/>
  <c r="AF115" i="63"/>
  <c r="AG115" i="63"/>
  <c r="AH115" i="63"/>
  <c r="AI115" i="63"/>
  <c r="AJ115" i="63"/>
  <c r="AK115" i="63"/>
  <c r="AL115" i="63"/>
  <c r="AM115" i="63"/>
  <c r="AN115" i="63"/>
  <c r="AO115" i="63"/>
  <c r="AP115" i="63"/>
  <c r="AQ115" i="63"/>
  <c r="AR115" i="63"/>
  <c r="AS115" i="63"/>
  <c r="AT115" i="63"/>
  <c r="AU115" i="63"/>
  <c r="AW115" i="63"/>
  <c r="AX115" i="63"/>
  <c r="AY115" i="63"/>
  <c r="BA115" i="63"/>
  <c r="BC115" i="63"/>
  <c r="A116" i="63"/>
  <c r="B116" i="63"/>
  <c r="D116" i="63"/>
  <c r="E116" i="63"/>
  <c r="F116" i="63"/>
  <c r="G116" i="63"/>
  <c r="H116" i="63"/>
  <c r="J116" i="63"/>
  <c r="K116" i="63"/>
  <c r="L116" i="63"/>
  <c r="M116" i="63"/>
  <c r="O116" i="63"/>
  <c r="P116" i="63"/>
  <c r="R116" i="63"/>
  <c r="S116" i="63"/>
  <c r="T116" i="63"/>
  <c r="U116" i="63"/>
  <c r="V116" i="63"/>
  <c r="W116" i="63"/>
  <c r="X116" i="63"/>
  <c r="Z116" i="63"/>
  <c r="AA116" i="63"/>
  <c r="AB116" i="63"/>
  <c r="AC116" i="63"/>
  <c r="AD116" i="63"/>
  <c r="AE116" i="63"/>
  <c r="AF116" i="63"/>
  <c r="AG116" i="63"/>
  <c r="AH116" i="63"/>
  <c r="AI116" i="63"/>
  <c r="AJ116" i="63"/>
  <c r="AK116" i="63"/>
  <c r="AL116" i="63"/>
  <c r="AM116" i="63"/>
  <c r="AN116" i="63"/>
  <c r="AO116" i="63"/>
  <c r="AP116" i="63"/>
  <c r="AQ116" i="63"/>
  <c r="AR116" i="63"/>
  <c r="AS116" i="63"/>
  <c r="AT116" i="63"/>
  <c r="AU116" i="63"/>
  <c r="AW116" i="63"/>
  <c r="AX116" i="63"/>
  <c r="AY116" i="63"/>
  <c r="BA116" i="63"/>
  <c r="BC116" i="63"/>
  <c r="A117" i="63"/>
  <c r="B117" i="63"/>
  <c r="D117" i="63"/>
  <c r="E117" i="63"/>
  <c r="F117" i="63"/>
  <c r="G117" i="63"/>
  <c r="H117" i="63"/>
  <c r="J117" i="63"/>
  <c r="K117" i="63"/>
  <c r="L117" i="63"/>
  <c r="M117" i="63"/>
  <c r="O117" i="63"/>
  <c r="P117" i="63"/>
  <c r="R117" i="63"/>
  <c r="S117" i="63"/>
  <c r="T117" i="63"/>
  <c r="U117" i="63"/>
  <c r="V117" i="63"/>
  <c r="W117" i="63"/>
  <c r="X117" i="63"/>
  <c r="Z117" i="63"/>
  <c r="AA117" i="63"/>
  <c r="AB117" i="63"/>
  <c r="AC117" i="63"/>
  <c r="AD117" i="63"/>
  <c r="AE117" i="63"/>
  <c r="AF117" i="63"/>
  <c r="AG117" i="63"/>
  <c r="AH117" i="63"/>
  <c r="AI117" i="63"/>
  <c r="AJ117" i="63"/>
  <c r="AK117" i="63"/>
  <c r="AL117" i="63"/>
  <c r="AM117" i="63"/>
  <c r="AN117" i="63"/>
  <c r="AO117" i="63"/>
  <c r="AP117" i="63"/>
  <c r="AQ117" i="63"/>
  <c r="AR117" i="63"/>
  <c r="AS117" i="63"/>
  <c r="AT117" i="63"/>
  <c r="AU117" i="63"/>
  <c r="AW117" i="63"/>
  <c r="AX117" i="63"/>
  <c r="AY117" i="63"/>
  <c r="BA117" i="63"/>
  <c r="BC117" i="63"/>
  <c r="A118" i="63"/>
  <c r="B118" i="63"/>
  <c r="D118" i="63"/>
  <c r="E118" i="63"/>
  <c r="F118" i="63"/>
  <c r="G118" i="63"/>
  <c r="H118" i="63"/>
  <c r="J118" i="63"/>
  <c r="K118" i="63"/>
  <c r="L118" i="63"/>
  <c r="M118" i="63"/>
  <c r="O118" i="63"/>
  <c r="P118" i="63"/>
  <c r="R118" i="63"/>
  <c r="S118" i="63"/>
  <c r="T118" i="63"/>
  <c r="U118" i="63"/>
  <c r="V118" i="63"/>
  <c r="W118" i="63"/>
  <c r="X118" i="63"/>
  <c r="Z118" i="63"/>
  <c r="AA118" i="63"/>
  <c r="AB118" i="63"/>
  <c r="AC118" i="63"/>
  <c r="AD118" i="63"/>
  <c r="AE118" i="63"/>
  <c r="AF118" i="63"/>
  <c r="AG118" i="63"/>
  <c r="AH118" i="63"/>
  <c r="AI118" i="63"/>
  <c r="AJ118" i="63"/>
  <c r="AK118" i="63"/>
  <c r="AL118" i="63"/>
  <c r="AM118" i="63"/>
  <c r="AN118" i="63"/>
  <c r="AO118" i="63"/>
  <c r="AP118" i="63"/>
  <c r="AQ118" i="63"/>
  <c r="AR118" i="63"/>
  <c r="AS118" i="63"/>
  <c r="AT118" i="63"/>
  <c r="AU118" i="63"/>
  <c r="AW118" i="63"/>
  <c r="AX118" i="63"/>
  <c r="AY118" i="63"/>
  <c r="BA118" i="63"/>
  <c r="BC118" i="63"/>
  <c r="A119" i="63"/>
  <c r="B119" i="63"/>
  <c r="D119" i="63"/>
  <c r="E119" i="63"/>
  <c r="F119" i="63"/>
  <c r="G119" i="63"/>
  <c r="H119" i="63"/>
  <c r="J119" i="63"/>
  <c r="K119" i="63"/>
  <c r="L119" i="63"/>
  <c r="M119" i="63"/>
  <c r="O119" i="63"/>
  <c r="P119" i="63"/>
  <c r="R119" i="63"/>
  <c r="S119" i="63"/>
  <c r="T119" i="63"/>
  <c r="U119" i="63"/>
  <c r="V119" i="63"/>
  <c r="W119" i="63"/>
  <c r="X119" i="63"/>
  <c r="Z119" i="63"/>
  <c r="AA119" i="63"/>
  <c r="AB119" i="63"/>
  <c r="AC119" i="63"/>
  <c r="AD119" i="63"/>
  <c r="AE119" i="63"/>
  <c r="AF119" i="63"/>
  <c r="AG119" i="63"/>
  <c r="AH119" i="63"/>
  <c r="AI119" i="63"/>
  <c r="AJ119" i="63"/>
  <c r="AK119" i="63"/>
  <c r="AL119" i="63"/>
  <c r="AM119" i="63"/>
  <c r="AN119" i="63"/>
  <c r="AO119" i="63"/>
  <c r="AP119" i="63"/>
  <c r="AQ119" i="63"/>
  <c r="AR119" i="63"/>
  <c r="AS119" i="63"/>
  <c r="AT119" i="63"/>
  <c r="AU119" i="63"/>
  <c r="AW119" i="63"/>
  <c r="AX119" i="63"/>
  <c r="AY119" i="63"/>
  <c r="BA119" i="63"/>
  <c r="BC119" i="63"/>
  <c r="A120" i="63"/>
  <c r="B120" i="63"/>
  <c r="D120" i="63"/>
  <c r="E120" i="63"/>
  <c r="F120" i="63"/>
  <c r="G120" i="63"/>
  <c r="H120" i="63"/>
  <c r="J120" i="63"/>
  <c r="K120" i="63"/>
  <c r="L120" i="63"/>
  <c r="M120" i="63"/>
  <c r="O120" i="63"/>
  <c r="P120" i="63"/>
  <c r="R120" i="63"/>
  <c r="S120" i="63"/>
  <c r="T120" i="63"/>
  <c r="U120" i="63"/>
  <c r="V120" i="63"/>
  <c r="W120" i="63"/>
  <c r="X120" i="63"/>
  <c r="Z120" i="63"/>
  <c r="AA120" i="63"/>
  <c r="AB120" i="63"/>
  <c r="AC120" i="63"/>
  <c r="AD120" i="63"/>
  <c r="AE120" i="63"/>
  <c r="AF120" i="63"/>
  <c r="AG120" i="63"/>
  <c r="AH120" i="63"/>
  <c r="AI120" i="63"/>
  <c r="AJ120" i="63"/>
  <c r="AK120" i="63"/>
  <c r="AL120" i="63"/>
  <c r="AM120" i="63"/>
  <c r="AN120" i="63"/>
  <c r="AO120" i="63"/>
  <c r="AP120" i="63"/>
  <c r="AQ120" i="63"/>
  <c r="AR120" i="63"/>
  <c r="AS120" i="63"/>
  <c r="AT120" i="63"/>
  <c r="AU120" i="63"/>
  <c r="AW120" i="63"/>
  <c r="AX120" i="63"/>
  <c r="AY120" i="63"/>
  <c r="BA120" i="63"/>
  <c r="BC120" i="63"/>
  <c r="A121" i="63"/>
  <c r="B121" i="63"/>
  <c r="D121" i="63"/>
  <c r="E121" i="63"/>
  <c r="F121" i="63"/>
  <c r="G121" i="63"/>
  <c r="H121" i="63"/>
  <c r="J121" i="63"/>
  <c r="K121" i="63"/>
  <c r="L121" i="63"/>
  <c r="M121" i="63"/>
  <c r="O121" i="63"/>
  <c r="P121" i="63"/>
  <c r="R121" i="63"/>
  <c r="S121" i="63"/>
  <c r="T121" i="63"/>
  <c r="U121" i="63"/>
  <c r="V121" i="63"/>
  <c r="W121" i="63"/>
  <c r="X121" i="63"/>
  <c r="Z121" i="63"/>
  <c r="AA121" i="63"/>
  <c r="AB121" i="63"/>
  <c r="AC121" i="63"/>
  <c r="AD121" i="63"/>
  <c r="AE121" i="63"/>
  <c r="AF121" i="63"/>
  <c r="AG121" i="63"/>
  <c r="AH121" i="63"/>
  <c r="AI121" i="63"/>
  <c r="AJ121" i="63"/>
  <c r="AK121" i="63"/>
  <c r="AL121" i="63"/>
  <c r="AM121" i="63"/>
  <c r="AN121" i="63"/>
  <c r="AO121" i="63"/>
  <c r="AP121" i="63"/>
  <c r="AQ121" i="63"/>
  <c r="AR121" i="63"/>
  <c r="AS121" i="63"/>
  <c r="AT121" i="63"/>
  <c r="AU121" i="63"/>
  <c r="AW121" i="63"/>
  <c r="AX121" i="63"/>
  <c r="AY121" i="63"/>
  <c r="BA121" i="63"/>
  <c r="BC121" i="63"/>
  <c r="A122" i="63"/>
  <c r="B122" i="63"/>
  <c r="D122" i="63"/>
  <c r="E122" i="63"/>
  <c r="F122" i="63"/>
  <c r="G122" i="63"/>
  <c r="H122" i="63"/>
  <c r="J122" i="63"/>
  <c r="K122" i="63"/>
  <c r="L122" i="63"/>
  <c r="M122" i="63"/>
  <c r="O122" i="63"/>
  <c r="P122" i="63"/>
  <c r="R122" i="63"/>
  <c r="S122" i="63"/>
  <c r="T122" i="63"/>
  <c r="U122" i="63"/>
  <c r="V122" i="63"/>
  <c r="W122" i="63"/>
  <c r="X122" i="63"/>
  <c r="Z122" i="63"/>
  <c r="AA122" i="63"/>
  <c r="AB122" i="63"/>
  <c r="AC122" i="63"/>
  <c r="AD122" i="63"/>
  <c r="AE122" i="63"/>
  <c r="AF122" i="63"/>
  <c r="AG122" i="63"/>
  <c r="AH122" i="63"/>
  <c r="AI122" i="63"/>
  <c r="AJ122" i="63"/>
  <c r="AK122" i="63"/>
  <c r="AL122" i="63"/>
  <c r="AM122" i="63"/>
  <c r="AN122" i="63"/>
  <c r="AO122" i="63"/>
  <c r="AP122" i="63"/>
  <c r="AQ122" i="63"/>
  <c r="AR122" i="63"/>
  <c r="AS122" i="63"/>
  <c r="AT122" i="63"/>
  <c r="AU122" i="63"/>
  <c r="AW122" i="63"/>
  <c r="AX122" i="63"/>
  <c r="AY122" i="63"/>
  <c r="BA122" i="63"/>
  <c r="BC122" i="63"/>
  <c r="A123" i="63"/>
  <c r="B123" i="63"/>
  <c r="D123" i="63"/>
  <c r="E123" i="63"/>
  <c r="F123" i="63"/>
  <c r="G123" i="63"/>
  <c r="H123" i="63"/>
  <c r="J123" i="63"/>
  <c r="K123" i="63"/>
  <c r="L123" i="63"/>
  <c r="M123" i="63"/>
  <c r="O123" i="63"/>
  <c r="P123" i="63"/>
  <c r="R123" i="63"/>
  <c r="S123" i="63"/>
  <c r="T123" i="63"/>
  <c r="U123" i="63"/>
  <c r="V123" i="63"/>
  <c r="W123" i="63"/>
  <c r="X123" i="63"/>
  <c r="Z123" i="63"/>
  <c r="AA123" i="63"/>
  <c r="AB123" i="63"/>
  <c r="AC123" i="63"/>
  <c r="AD123" i="63"/>
  <c r="AE123" i="63"/>
  <c r="AF123" i="63"/>
  <c r="AG123" i="63"/>
  <c r="AH123" i="63"/>
  <c r="AI123" i="63"/>
  <c r="AJ123" i="63"/>
  <c r="AK123" i="63"/>
  <c r="AL123" i="63"/>
  <c r="AM123" i="63"/>
  <c r="AN123" i="63"/>
  <c r="AO123" i="63"/>
  <c r="AP123" i="63"/>
  <c r="AQ123" i="63"/>
  <c r="AR123" i="63"/>
  <c r="AS123" i="63"/>
  <c r="AT123" i="63"/>
  <c r="AU123" i="63"/>
  <c r="AW123" i="63"/>
  <c r="AX123" i="63"/>
  <c r="AY123" i="63"/>
  <c r="BA123" i="63"/>
  <c r="BC123" i="63"/>
  <c r="A124" i="63"/>
  <c r="B124" i="63"/>
  <c r="D124" i="63"/>
  <c r="E124" i="63"/>
  <c r="F124" i="63"/>
  <c r="G124" i="63"/>
  <c r="H124" i="63"/>
  <c r="J124" i="63"/>
  <c r="K124" i="63"/>
  <c r="L124" i="63"/>
  <c r="M124" i="63"/>
  <c r="O124" i="63"/>
  <c r="P124" i="63"/>
  <c r="R124" i="63"/>
  <c r="S124" i="63"/>
  <c r="T124" i="63"/>
  <c r="U124" i="63"/>
  <c r="V124" i="63"/>
  <c r="W124" i="63"/>
  <c r="X124" i="63"/>
  <c r="Z124" i="63"/>
  <c r="AA124" i="63"/>
  <c r="AB124" i="63"/>
  <c r="AC124" i="63"/>
  <c r="AD124" i="63"/>
  <c r="AE124" i="63"/>
  <c r="AF124" i="63"/>
  <c r="AG124" i="63"/>
  <c r="AH124" i="63"/>
  <c r="AI124" i="63"/>
  <c r="AJ124" i="63"/>
  <c r="AK124" i="63"/>
  <c r="AL124" i="63"/>
  <c r="AM124" i="63"/>
  <c r="AN124" i="63"/>
  <c r="AO124" i="63"/>
  <c r="AP124" i="63"/>
  <c r="AQ124" i="63"/>
  <c r="AR124" i="63"/>
  <c r="AS124" i="63"/>
  <c r="AT124" i="63"/>
  <c r="AU124" i="63"/>
  <c r="AW124" i="63"/>
  <c r="AX124" i="63"/>
  <c r="AY124" i="63"/>
  <c r="BA124" i="63"/>
  <c r="BC124" i="63"/>
  <c r="A125" i="63"/>
  <c r="B125" i="63"/>
  <c r="D125" i="63"/>
  <c r="E125" i="63"/>
  <c r="F125" i="63"/>
  <c r="G125" i="63"/>
  <c r="H125" i="63"/>
  <c r="J125" i="63"/>
  <c r="K125" i="63"/>
  <c r="L125" i="63"/>
  <c r="M125" i="63"/>
  <c r="O125" i="63"/>
  <c r="P125" i="63"/>
  <c r="R125" i="63"/>
  <c r="S125" i="63"/>
  <c r="T125" i="63"/>
  <c r="U125" i="63"/>
  <c r="V125" i="63"/>
  <c r="W125" i="63"/>
  <c r="X125" i="63"/>
  <c r="Z125" i="63"/>
  <c r="AA125" i="63"/>
  <c r="AB125" i="63"/>
  <c r="AC125" i="63"/>
  <c r="AD125" i="63"/>
  <c r="AE125" i="63"/>
  <c r="AF125" i="63"/>
  <c r="AG125" i="63"/>
  <c r="AH125" i="63"/>
  <c r="AI125" i="63"/>
  <c r="AJ125" i="63"/>
  <c r="AK125" i="63"/>
  <c r="AL125" i="63"/>
  <c r="AM125" i="63"/>
  <c r="AN125" i="63"/>
  <c r="AO125" i="63"/>
  <c r="AP125" i="63"/>
  <c r="AQ125" i="63"/>
  <c r="AR125" i="63"/>
  <c r="AS125" i="63"/>
  <c r="AT125" i="63"/>
  <c r="AU125" i="63"/>
  <c r="AW125" i="63"/>
  <c r="AX125" i="63"/>
  <c r="AY125" i="63"/>
  <c r="BA125" i="63"/>
  <c r="BC125" i="63"/>
  <c r="A126" i="63"/>
  <c r="B126" i="63"/>
  <c r="D126" i="63"/>
  <c r="E126" i="63"/>
  <c r="F126" i="63"/>
  <c r="G126" i="63"/>
  <c r="H126" i="63"/>
  <c r="J126" i="63"/>
  <c r="K126" i="63"/>
  <c r="L126" i="63"/>
  <c r="M126" i="63"/>
  <c r="O126" i="63"/>
  <c r="P126" i="63"/>
  <c r="R126" i="63"/>
  <c r="S126" i="63"/>
  <c r="T126" i="63"/>
  <c r="U126" i="63"/>
  <c r="V126" i="63"/>
  <c r="W126" i="63"/>
  <c r="X126" i="63"/>
  <c r="Z126" i="63"/>
  <c r="AA126" i="63"/>
  <c r="AB126" i="63"/>
  <c r="AC126" i="63"/>
  <c r="AD126" i="63"/>
  <c r="AE126" i="63"/>
  <c r="AF126" i="63"/>
  <c r="AG126" i="63"/>
  <c r="AH126" i="63"/>
  <c r="AI126" i="63"/>
  <c r="AJ126" i="63"/>
  <c r="AK126" i="63"/>
  <c r="AL126" i="63"/>
  <c r="AM126" i="63"/>
  <c r="AN126" i="63"/>
  <c r="AO126" i="63"/>
  <c r="AP126" i="63"/>
  <c r="AQ126" i="63"/>
  <c r="AR126" i="63"/>
  <c r="AS126" i="63"/>
  <c r="AT126" i="63"/>
  <c r="AU126" i="63"/>
  <c r="AW126" i="63"/>
  <c r="AX126" i="63"/>
  <c r="AY126" i="63"/>
  <c r="BA126" i="63"/>
  <c r="BC126" i="63"/>
  <c r="A127" i="63"/>
  <c r="B127" i="63"/>
  <c r="D127" i="63"/>
  <c r="E127" i="63"/>
  <c r="F127" i="63"/>
  <c r="G127" i="63"/>
  <c r="H127" i="63"/>
  <c r="J127" i="63"/>
  <c r="K127" i="63"/>
  <c r="L127" i="63"/>
  <c r="M127" i="63"/>
  <c r="O127" i="63"/>
  <c r="P127" i="63"/>
  <c r="R127" i="63"/>
  <c r="S127" i="63"/>
  <c r="T127" i="63"/>
  <c r="U127" i="63"/>
  <c r="V127" i="63"/>
  <c r="W127" i="63"/>
  <c r="X127" i="63"/>
  <c r="Z127" i="63"/>
  <c r="AA127" i="63"/>
  <c r="AB127" i="63"/>
  <c r="AC127" i="63"/>
  <c r="AD127" i="63"/>
  <c r="AE127" i="63"/>
  <c r="AF127" i="63"/>
  <c r="AG127" i="63"/>
  <c r="AH127" i="63"/>
  <c r="AI127" i="63"/>
  <c r="AJ127" i="63"/>
  <c r="AK127" i="63"/>
  <c r="AL127" i="63"/>
  <c r="AM127" i="63"/>
  <c r="AN127" i="63"/>
  <c r="AO127" i="63"/>
  <c r="AP127" i="63"/>
  <c r="AQ127" i="63"/>
  <c r="AR127" i="63"/>
  <c r="AS127" i="63"/>
  <c r="AT127" i="63"/>
  <c r="AU127" i="63"/>
  <c r="AW127" i="63"/>
  <c r="AX127" i="63"/>
  <c r="AY127" i="63"/>
  <c r="BA127" i="63"/>
  <c r="BC127" i="63"/>
  <c r="A128" i="63"/>
  <c r="B128" i="63"/>
  <c r="D128" i="63"/>
  <c r="E128" i="63"/>
  <c r="F128" i="63"/>
  <c r="G128" i="63"/>
  <c r="H128" i="63"/>
  <c r="J128" i="63"/>
  <c r="K128" i="63"/>
  <c r="L128" i="63"/>
  <c r="M128" i="63"/>
  <c r="O128" i="63"/>
  <c r="P128" i="63"/>
  <c r="R128" i="63"/>
  <c r="S128" i="63"/>
  <c r="T128" i="63"/>
  <c r="U128" i="63"/>
  <c r="V128" i="63"/>
  <c r="W128" i="63"/>
  <c r="X128" i="63"/>
  <c r="Z128" i="63"/>
  <c r="AA128" i="63"/>
  <c r="AB128" i="63"/>
  <c r="AC128" i="63"/>
  <c r="AD128" i="63"/>
  <c r="AE128" i="63"/>
  <c r="AF128" i="63"/>
  <c r="AG128" i="63"/>
  <c r="AH128" i="63"/>
  <c r="AI128" i="63"/>
  <c r="AJ128" i="63"/>
  <c r="AK128" i="63"/>
  <c r="AL128" i="63"/>
  <c r="AM128" i="63"/>
  <c r="AN128" i="63"/>
  <c r="AO128" i="63"/>
  <c r="AP128" i="63"/>
  <c r="AQ128" i="63"/>
  <c r="AR128" i="63"/>
  <c r="AS128" i="63"/>
  <c r="AT128" i="63"/>
  <c r="AU128" i="63"/>
  <c r="AW128" i="63"/>
  <c r="AX128" i="63"/>
  <c r="AY128" i="63"/>
  <c r="BA128" i="63"/>
  <c r="BC128" i="63"/>
  <c r="A129" i="63"/>
  <c r="B129" i="63"/>
  <c r="D129" i="63"/>
  <c r="E129" i="63"/>
  <c r="F129" i="63"/>
  <c r="G129" i="63"/>
  <c r="H129" i="63"/>
  <c r="J129" i="63"/>
  <c r="K129" i="63"/>
  <c r="L129" i="63"/>
  <c r="M129" i="63"/>
  <c r="O129" i="63"/>
  <c r="P129" i="63"/>
  <c r="R129" i="63"/>
  <c r="S129" i="63"/>
  <c r="T129" i="63"/>
  <c r="U129" i="63"/>
  <c r="V129" i="63"/>
  <c r="W129" i="63"/>
  <c r="X129" i="63"/>
  <c r="Z129" i="63"/>
  <c r="AA129" i="63"/>
  <c r="AB129" i="63"/>
  <c r="AC129" i="63"/>
  <c r="AD129" i="63"/>
  <c r="AE129" i="63"/>
  <c r="AF129" i="63"/>
  <c r="AG129" i="63"/>
  <c r="AH129" i="63"/>
  <c r="AI129" i="63"/>
  <c r="AJ129" i="63"/>
  <c r="AK129" i="63"/>
  <c r="AL129" i="63"/>
  <c r="AM129" i="63"/>
  <c r="AN129" i="63"/>
  <c r="AO129" i="63"/>
  <c r="AP129" i="63"/>
  <c r="AQ129" i="63"/>
  <c r="AR129" i="63"/>
  <c r="AS129" i="63"/>
  <c r="AT129" i="63"/>
  <c r="AU129" i="63"/>
  <c r="AW129" i="63"/>
  <c r="AX129" i="63"/>
  <c r="AY129" i="63"/>
  <c r="BA129" i="63"/>
  <c r="BC129" i="63"/>
  <c r="A130" i="63"/>
  <c r="B130" i="63"/>
  <c r="D130" i="63"/>
  <c r="E130" i="63"/>
  <c r="F130" i="63"/>
  <c r="G130" i="63"/>
  <c r="H130" i="63"/>
  <c r="J130" i="63"/>
  <c r="K130" i="63"/>
  <c r="L130" i="63"/>
  <c r="M130" i="63"/>
  <c r="O130" i="63"/>
  <c r="P130" i="63"/>
  <c r="R130" i="63"/>
  <c r="S130" i="63"/>
  <c r="T130" i="63"/>
  <c r="U130" i="63"/>
  <c r="V130" i="63"/>
  <c r="W130" i="63"/>
  <c r="X130" i="63"/>
  <c r="Z130" i="63"/>
  <c r="AA130" i="63"/>
  <c r="AB130" i="63"/>
  <c r="AC130" i="63"/>
  <c r="AD130" i="63"/>
  <c r="AE130" i="63"/>
  <c r="AF130" i="63"/>
  <c r="AG130" i="63"/>
  <c r="AH130" i="63"/>
  <c r="AI130" i="63"/>
  <c r="AJ130" i="63"/>
  <c r="AK130" i="63"/>
  <c r="AL130" i="63"/>
  <c r="AM130" i="63"/>
  <c r="AN130" i="63"/>
  <c r="AO130" i="63"/>
  <c r="AP130" i="63"/>
  <c r="AQ130" i="63"/>
  <c r="AR130" i="63"/>
  <c r="AS130" i="63"/>
  <c r="AT130" i="63"/>
  <c r="AU130" i="63"/>
  <c r="AW130" i="63"/>
  <c r="AX130" i="63"/>
  <c r="AY130" i="63"/>
  <c r="BA130" i="63"/>
  <c r="BC130" i="63"/>
  <c r="A131" i="63"/>
  <c r="B131" i="63"/>
  <c r="D131" i="63"/>
  <c r="E131" i="63"/>
  <c r="F131" i="63"/>
  <c r="G131" i="63"/>
  <c r="H131" i="63"/>
  <c r="J131" i="63"/>
  <c r="K131" i="63"/>
  <c r="L131" i="63"/>
  <c r="M131" i="63"/>
  <c r="O131" i="63"/>
  <c r="P131" i="63"/>
  <c r="R131" i="63"/>
  <c r="S131" i="63"/>
  <c r="T131" i="63"/>
  <c r="U131" i="63"/>
  <c r="V131" i="63"/>
  <c r="W131" i="63"/>
  <c r="X131" i="63"/>
  <c r="Z131" i="63"/>
  <c r="AA131" i="63"/>
  <c r="AB131" i="63"/>
  <c r="AC131" i="63"/>
  <c r="AD131" i="63"/>
  <c r="AE131" i="63"/>
  <c r="AF131" i="63"/>
  <c r="AG131" i="63"/>
  <c r="AH131" i="63"/>
  <c r="AI131" i="63"/>
  <c r="AJ131" i="63"/>
  <c r="AK131" i="63"/>
  <c r="AL131" i="63"/>
  <c r="AM131" i="63"/>
  <c r="AN131" i="63"/>
  <c r="AO131" i="63"/>
  <c r="AP131" i="63"/>
  <c r="AQ131" i="63"/>
  <c r="AR131" i="63"/>
  <c r="AS131" i="63"/>
  <c r="AT131" i="63"/>
  <c r="AU131" i="63"/>
  <c r="AW131" i="63"/>
  <c r="AX131" i="63"/>
  <c r="AY131" i="63"/>
  <c r="BA131" i="63"/>
  <c r="BC131" i="63"/>
  <c r="A132" i="63"/>
  <c r="B132" i="63"/>
  <c r="D132" i="63"/>
  <c r="E132" i="63"/>
  <c r="F132" i="63"/>
  <c r="G132" i="63"/>
  <c r="H132" i="63"/>
  <c r="J132" i="63"/>
  <c r="K132" i="63"/>
  <c r="L132" i="63"/>
  <c r="M132" i="63"/>
  <c r="O132" i="63"/>
  <c r="P132" i="63"/>
  <c r="R132" i="63"/>
  <c r="S132" i="63"/>
  <c r="T132" i="63"/>
  <c r="U132" i="63"/>
  <c r="V132" i="63"/>
  <c r="W132" i="63"/>
  <c r="X132" i="63"/>
  <c r="Z132" i="63"/>
  <c r="AA132" i="63"/>
  <c r="AB132" i="63"/>
  <c r="AC132" i="63"/>
  <c r="AD132" i="63"/>
  <c r="AE132" i="63"/>
  <c r="AF132" i="63"/>
  <c r="AG132" i="63"/>
  <c r="AH132" i="63"/>
  <c r="AI132" i="63"/>
  <c r="AJ132" i="63"/>
  <c r="AK132" i="63"/>
  <c r="AL132" i="63"/>
  <c r="AM132" i="63"/>
  <c r="AN132" i="63"/>
  <c r="AO132" i="63"/>
  <c r="AP132" i="63"/>
  <c r="AQ132" i="63"/>
  <c r="AR132" i="63"/>
  <c r="AS132" i="63"/>
  <c r="AT132" i="63"/>
  <c r="AU132" i="63"/>
  <c r="AW132" i="63"/>
  <c r="AX132" i="63"/>
  <c r="AY132" i="63"/>
  <c r="BA132" i="63"/>
  <c r="BC132" i="63"/>
  <c r="A133" i="63"/>
  <c r="B133" i="63"/>
  <c r="D133" i="63"/>
  <c r="E133" i="63"/>
  <c r="F133" i="63"/>
  <c r="G133" i="63"/>
  <c r="H133" i="63"/>
  <c r="J133" i="63"/>
  <c r="K133" i="63"/>
  <c r="L133" i="63"/>
  <c r="M133" i="63"/>
  <c r="O133" i="63"/>
  <c r="P133" i="63"/>
  <c r="R133" i="63"/>
  <c r="S133" i="63"/>
  <c r="T133" i="63"/>
  <c r="U133" i="63"/>
  <c r="V133" i="63"/>
  <c r="W133" i="63"/>
  <c r="X133" i="63"/>
  <c r="Z133" i="63"/>
  <c r="AA133" i="63"/>
  <c r="AB133" i="63"/>
  <c r="AC133" i="63"/>
  <c r="AD133" i="63"/>
  <c r="AE133" i="63"/>
  <c r="AF133" i="63"/>
  <c r="AG133" i="63"/>
  <c r="AH133" i="63"/>
  <c r="AI133" i="63"/>
  <c r="AJ133" i="63"/>
  <c r="AK133" i="63"/>
  <c r="AL133" i="63"/>
  <c r="AM133" i="63"/>
  <c r="AN133" i="63"/>
  <c r="AO133" i="63"/>
  <c r="AP133" i="63"/>
  <c r="AQ133" i="63"/>
  <c r="AR133" i="63"/>
  <c r="AS133" i="63"/>
  <c r="AT133" i="63"/>
  <c r="AU133" i="63"/>
  <c r="AW133" i="63"/>
  <c r="AX133" i="63"/>
  <c r="AY133" i="63"/>
  <c r="BA133" i="63"/>
  <c r="BC133" i="63"/>
  <c r="A134" i="63"/>
  <c r="B134" i="63"/>
  <c r="D134" i="63"/>
  <c r="E134" i="63"/>
  <c r="F134" i="63"/>
  <c r="G134" i="63"/>
  <c r="H134" i="63"/>
  <c r="J134" i="63"/>
  <c r="K134" i="63"/>
  <c r="L134" i="63"/>
  <c r="M134" i="63"/>
  <c r="O134" i="63"/>
  <c r="P134" i="63"/>
  <c r="R134" i="63"/>
  <c r="S134" i="63"/>
  <c r="T134" i="63"/>
  <c r="U134" i="63"/>
  <c r="V134" i="63"/>
  <c r="W134" i="63"/>
  <c r="X134" i="63"/>
  <c r="Z134" i="63"/>
  <c r="AA134" i="63"/>
  <c r="AB134" i="63"/>
  <c r="AC134" i="63"/>
  <c r="AD134" i="63"/>
  <c r="AE134" i="63"/>
  <c r="AF134" i="63"/>
  <c r="AG134" i="63"/>
  <c r="AH134" i="63"/>
  <c r="AI134" i="63"/>
  <c r="AJ134" i="63"/>
  <c r="AK134" i="63"/>
  <c r="AL134" i="63"/>
  <c r="AM134" i="63"/>
  <c r="AN134" i="63"/>
  <c r="AO134" i="63"/>
  <c r="AP134" i="63"/>
  <c r="AQ134" i="63"/>
  <c r="AR134" i="63"/>
  <c r="AS134" i="63"/>
  <c r="AT134" i="63"/>
  <c r="AU134" i="63"/>
  <c r="AW134" i="63"/>
  <c r="AX134" i="63"/>
  <c r="AY134" i="63"/>
  <c r="BA134" i="63"/>
  <c r="BC134" i="63"/>
  <c r="A135" i="63"/>
  <c r="B135" i="63"/>
  <c r="D135" i="63"/>
  <c r="E135" i="63"/>
  <c r="F135" i="63"/>
  <c r="G135" i="63"/>
  <c r="H135" i="63"/>
  <c r="J135" i="63"/>
  <c r="K135" i="63"/>
  <c r="L135" i="63"/>
  <c r="M135" i="63"/>
  <c r="O135" i="63"/>
  <c r="P135" i="63"/>
  <c r="R135" i="63"/>
  <c r="S135" i="63"/>
  <c r="T135" i="63"/>
  <c r="U135" i="63"/>
  <c r="V135" i="63"/>
  <c r="W135" i="63"/>
  <c r="X135" i="63"/>
  <c r="Z135" i="63"/>
  <c r="AA135" i="63"/>
  <c r="AB135" i="63"/>
  <c r="AC135" i="63"/>
  <c r="AD135" i="63"/>
  <c r="AE135" i="63"/>
  <c r="AF135" i="63"/>
  <c r="AG135" i="63"/>
  <c r="AH135" i="63"/>
  <c r="AI135" i="63"/>
  <c r="AJ135" i="63"/>
  <c r="AK135" i="63"/>
  <c r="AL135" i="63"/>
  <c r="AM135" i="63"/>
  <c r="AN135" i="63"/>
  <c r="AO135" i="63"/>
  <c r="AP135" i="63"/>
  <c r="AQ135" i="63"/>
  <c r="AR135" i="63"/>
  <c r="AS135" i="63"/>
  <c r="AT135" i="63"/>
  <c r="AU135" i="63"/>
  <c r="AW135" i="63"/>
  <c r="AX135" i="63"/>
  <c r="AY135" i="63"/>
  <c r="BA135" i="63"/>
  <c r="BC135" i="63"/>
  <c r="A136" i="63"/>
  <c r="B136" i="63"/>
  <c r="D136" i="63"/>
  <c r="E136" i="63"/>
  <c r="F136" i="63"/>
  <c r="G136" i="63"/>
  <c r="H136" i="63"/>
  <c r="J136" i="63"/>
  <c r="K136" i="63"/>
  <c r="L136" i="63"/>
  <c r="M136" i="63"/>
  <c r="O136" i="63"/>
  <c r="P136" i="63"/>
  <c r="R136" i="63"/>
  <c r="S136" i="63"/>
  <c r="T136" i="63"/>
  <c r="U136" i="63"/>
  <c r="V136" i="63"/>
  <c r="W136" i="63"/>
  <c r="X136" i="63"/>
  <c r="Z136" i="63"/>
  <c r="AA136" i="63"/>
  <c r="AB136" i="63"/>
  <c r="AC136" i="63"/>
  <c r="AD136" i="63"/>
  <c r="AE136" i="63"/>
  <c r="AF136" i="63"/>
  <c r="AG136" i="63"/>
  <c r="AH136" i="63"/>
  <c r="AI136" i="63"/>
  <c r="AJ136" i="63"/>
  <c r="AK136" i="63"/>
  <c r="AL136" i="63"/>
  <c r="AM136" i="63"/>
  <c r="AN136" i="63"/>
  <c r="AO136" i="63"/>
  <c r="AP136" i="63"/>
  <c r="AQ136" i="63"/>
  <c r="AR136" i="63"/>
  <c r="AS136" i="63"/>
  <c r="AT136" i="63"/>
  <c r="AU136" i="63"/>
  <c r="AW136" i="63"/>
  <c r="AX136" i="63"/>
  <c r="AY136" i="63"/>
  <c r="BA136" i="63"/>
  <c r="BC136" i="63"/>
  <c r="A137" i="63"/>
  <c r="B137" i="63"/>
  <c r="D137" i="63"/>
  <c r="E137" i="63"/>
  <c r="F137" i="63"/>
  <c r="G137" i="63"/>
  <c r="H137" i="63"/>
  <c r="J137" i="63"/>
  <c r="K137" i="63"/>
  <c r="L137" i="63"/>
  <c r="M137" i="63"/>
  <c r="O137" i="63"/>
  <c r="P137" i="63"/>
  <c r="R137" i="63"/>
  <c r="S137" i="63"/>
  <c r="T137" i="63"/>
  <c r="U137" i="63"/>
  <c r="V137" i="63"/>
  <c r="W137" i="63"/>
  <c r="X137" i="63"/>
  <c r="Z137" i="63"/>
  <c r="AA137" i="63"/>
  <c r="AB137" i="63"/>
  <c r="AC137" i="63"/>
  <c r="AD137" i="63"/>
  <c r="AE137" i="63"/>
  <c r="AF137" i="63"/>
  <c r="AG137" i="63"/>
  <c r="AH137" i="63"/>
  <c r="AI137" i="63"/>
  <c r="AJ137" i="63"/>
  <c r="AK137" i="63"/>
  <c r="AL137" i="63"/>
  <c r="AM137" i="63"/>
  <c r="AN137" i="63"/>
  <c r="AO137" i="63"/>
  <c r="AP137" i="63"/>
  <c r="AQ137" i="63"/>
  <c r="AR137" i="63"/>
  <c r="AS137" i="63"/>
  <c r="AT137" i="63"/>
  <c r="AU137" i="63"/>
  <c r="AW137" i="63"/>
  <c r="AX137" i="63"/>
  <c r="AY137" i="63"/>
  <c r="BA137" i="63"/>
  <c r="BC137" i="63"/>
  <c r="A138" i="63"/>
  <c r="B138" i="63"/>
  <c r="D138" i="63"/>
  <c r="E138" i="63"/>
  <c r="F138" i="63"/>
  <c r="G138" i="63"/>
  <c r="H138" i="63"/>
  <c r="J138" i="63"/>
  <c r="K138" i="63"/>
  <c r="L138" i="63"/>
  <c r="M138" i="63"/>
  <c r="O138" i="63"/>
  <c r="P138" i="63"/>
  <c r="R138" i="63"/>
  <c r="S138" i="63"/>
  <c r="T138" i="63"/>
  <c r="U138" i="63"/>
  <c r="V138" i="63"/>
  <c r="W138" i="63"/>
  <c r="X138" i="63"/>
  <c r="Z138" i="63"/>
  <c r="AA138" i="63"/>
  <c r="AB138" i="63"/>
  <c r="AC138" i="63"/>
  <c r="AD138" i="63"/>
  <c r="AE138" i="63"/>
  <c r="AF138" i="63"/>
  <c r="AG138" i="63"/>
  <c r="AH138" i="63"/>
  <c r="AI138" i="63"/>
  <c r="AJ138" i="63"/>
  <c r="AK138" i="63"/>
  <c r="AL138" i="63"/>
  <c r="AM138" i="63"/>
  <c r="AN138" i="63"/>
  <c r="AO138" i="63"/>
  <c r="AP138" i="63"/>
  <c r="AQ138" i="63"/>
  <c r="AR138" i="63"/>
  <c r="AS138" i="63"/>
  <c r="AT138" i="63"/>
  <c r="AU138" i="63"/>
  <c r="AW138" i="63"/>
  <c r="AX138" i="63"/>
  <c r="AY138" i="63"/>
  <c r="BA138" i="63"/>
  <c r="BC138" i="63"/>
  <c r="A139" i="63"/>
  <c r="B139" i="63"/>
  <c r="D139" i="63"/>
  <c r="E139" i="63"/>
  <c r="F139" i="63"/>
  <c r="G139" i="63"/>
  <c r="H139" i="63"/>
  <c r="J139" i="63"/>
  <c r="K139" i="63"/>
  <c r="L139" i="63"/>
  <c r="M139" i="63"/>
  <c r="O139" i="63"/>
  <c r="P139" i="63"/>
  <c r="R139" i="63"/>
  <c r="S139" i="63"/>
  <c r="T139" i="63"/>
  <c r="U139" i="63"/>
  <c r="V139" i="63"/>
  <c r="W139" i="63"/>
  <c r="X139" i="63"/>
  <c r="Z139" i="63"/>
  <c r="AA139" i="63"/>
  <c r="AB139" i="63"/>
  <c r="AC139" i="63"/>
  <c r="AD139" i="63"/>
  <c r="AE139" i="63"/>
  <c r="AF139" i="63"/>
  <c r="AG139" i="63"/>
  <c r="AH139" i="63"/>
  <c r="AI139" i="63"/>
  <c r="AJ139" i="63"/>
  <c r="AK139" i="63"/>
  <c r="AL139" i="63"/>
  <c r="AM139" i="63"/>
  <c r="AN139" i="63"/>
  <c r="AO139" i="63"/>
  <c r="AP139" i="63"/>
  <c r="AQ139" i="63"/>
  <c r="AR139" i="63"/>
  <c r="AS139" i="63"/>
  <c r="AT139" i="63"/>
  <c r="AU139" i="63"/>
  <c r="AW139" i="63"/>
  <c r="AX139" i="63"/>
  <c r="AY139" i="63"/>
  <c r="BA139" i="63"/>
  <c r="BC139" i="63"/>
  <c r="A140" i="63"/>
  <c r="B140" i="63"/>
  <c r="D140" i="63"/>
  <c r="E140" i="63"/>
  <c r="F140" i="63"/>
  <c r="G140" i="63"/>
  <c r="H140" i="63"/>
  <c r="J140" i="63"/>
  <c r="K140" i="63"/>
  <c r="L140" i="63"/>
  <c r="M140" i="63"/>
  <c r="O140" i="63"/>
  <c r="P140" i="63"/>
  <c r="R140" i="63"/>
  <c r="S140" i="63"/>
  <c r="T140" i="63"/>
  <c r="U140" i="63"/>
  <c r="V140" i="63"/>
  <c r="W140" i="63"/>
  <c r="X140" i="63"/>
  <c r="Z140" i="63"/>
  <c r="AA140" i="63"/>
  <c r="AB140" i="63"/>
  <c r="AC140" i="63"/>
  <c r="AD140" i="63"/>
  <c r="AE140" i="63"/>
  <c r="AF140" i="63"/>
  <c r="AG140" i="63"/>
  <c r="AH140" i="63"/>
  <c r="AI140" i="63"/>
  <c r="AJ140" i="63"/>
  <c r="AK140" i="63"/>
  <c r="AL140" i="63"/>
  <c r="AM140" i="63"/>
  <c r="AN140" i="63"/>
  <c r="AO140" i="63"/>
  <c r="AP140" i="63"/>
  <c r="AQ140" i="63"/>
  <c r="AR140" i="63"/>
  <c r="AS140" i="63"/>
  <c r="AT140" i="63"/>
  <c r="AU140" i="63"/>
  <c r="AW140" i="63"/>
  <c r="AX140" i="63"/>
  <c r="AY140" i="63"/>
  <c r="BA140" i="63"/>
  <c r="BC140" i="63"/>
  <c r="A141" i="63"/>
  <c r="B141" i="63"/>
  <c r="D141" i="63"/>
  <c r="E141" i="63"/>
  <c r="F141" i="63"/>
  <c r="G141" i="63"/>
  <c r="H141" i="63"/>
  <c r="J141" i="63"/>
  <c r="K141" i="63"/>
  <c r="L141" i="63"/>
  <c r="M141" i="63"/>
  <c r="O141" i="63"/>
  <c r="P141" i="63"/>
  <c r="R141" i="63"/>
  <c r="S141" i="63"/>
  <c r="T141" i="63"/>
  <c r="U141" i="63"/>
  <c r="V141" i="63"/>
  <c r="W141" i="63"/>
  <c r="X141" i="63"/>
  <c r="Z141" i="63"/>
  <c r="AA141" i="63"/>
  <c r="AB141" i="63"/>
  <c r="AC141" i="63"/>
  <c r="AD141" i="63"/>
  <c r="AE141" i="63"/>
  <c r="AF141" i="63"/>
  <c r="AG141" i="63"/>
  <c r="AH141" i="63"/>
  <c r="AI141" i="63"/>
  <c r="AJ141" i="63"/>
  <c r="AK141" i="63"/>
  <c r="AL141" i="63"/>
  <c r="AM141" i="63"/>
  <c r="AN141" i="63"/>
  <c r="AO141" i="63"/>
  <c r="AP141" i="63"/>
  <c r="AQ141" i="63"/>
  <c r="AR141" i="63"/>
  <c r="AS141" i="63"/>
  <c r="AT141" i="63"/>
  <c r="AU141" i="63"/>
  <c r="AW141" i="63"/>
  <c r="AX141" i="63"/>
  <c r="AY141" i="63"/>
  <c r="BA141" i="63"/>
  <c r="BC141" i="63"/>
  <c r="A142" i="63"/>
  <c r="B142" i="63"/>
  <c r="D142" i="63"/>
  <c r="E142" i="63"/>
  <c r="F142" i="63"/>
  <c r="G142" i="63"/>
  <c r="H142" i="63"/>
  <c r="J142" i="63"/>
  <c r="K142" i="63"/>
  <c r="L142" i="63"/>
  <c r="M142" i="63"/>
  <c r="O142" i="63"/>
  <c r="P142" i="63"/>
  <c r="R142" i="63"/>
  <c r="S142" i="63"/>
  <c r="T142" i="63"/>
  <c r="U142" i="63"/>
  <c r="V142" i="63"/>
  <c r="W142" i="63"/>
  <c r="X142" i="63"/>
  <c r="Z142" i="63"/>
  <c r="AA142" i="63"/>
  <c r="AB142" i="63"/>
  <c r="AC142" i="63"/>
  <c r="AD142" i="63"/>
  <c r="AE142" i="63"/>
  <c r="AF142" i="63"/>
  <c r="AG142" i="63"/>
  <c r="AH142" i="63"/>
  <c r="AI142" i="63"/>
  <c r="AJ142" i="63"/>
  <c r="AK142" i="63"/>
  <c r="AL142" i="63"/>
  <c r="AM142" i="63"/>
  <c r="AN142" i="63"/>
  <c r="AO142" i="63"/>
  <c r="AP142" i="63"/>
  <c r="AQ142" i="63"/>
  <c r="AR142" i="63"/>
  <c r="AS142" i="63"/>
  <c r="AT142" i="63"/>
  <c r="AU142" i="63"/>
  <c r="AW142" i="63"/>
  <c r="AX142" i="63"/>
  <c r="AY142" i="63"/>
  <c r="BA142" i="63"/>
  <c r="BC142" i="63"/>
  <c r="A143" i="63"/>
  <c r="B143" i="63"/>
  <c r="D143" i="63"/>
  <c r="E143" i="63"/>
  <c r="F143" i="63"/>
  <c r="G143" i="63"/>
  <c r="H143" i="63"/>
  <c r="J143" i="63"/>
  <c r="K143" i="63"/>
  <c r="L143" i="63"/>
  <c r="M143" i="63"/>
  <c r="O143" i="63"/>
  <c r="P143" i="63"/>
  <c r="R143" i="63"/>
  <c r="S143" i="63"/>
  <c r="T143" i="63"/>
  <c r="U143" i="63"/>
  <c r="V143" i="63"/>
  <c r="W143" i="63"/>
  <c r="X143" i="63"/>
  <c r="Z143" i="63"/>
  <c r="AA143" i="63"/>
  <c r="AB143" i="63"/>
  <c r="AC143" i="63"/>
  <c r="AD143" i="63"/>
  <c r="AE143" i="63"/>
  <c r="AF143" i="63"/>
  <c r="AG143" i="63"/>
  <c r="AH143" i="63"/>
  <c r="AI143" i="63"/>
  <c r="AJ143" i="63"/>
  <c r="AK143" i="63"/>
  <c r="AL143" i="63"/>
  <c r="AM143" i="63"/>
  <c r="AN143" i="63"/>
  <c r="AO143" i="63"/>
  <c r="AP143" i="63"/>
  <c r="AQ143" i="63"/>
  <c r="AR143" i="63"/>
  <c r="AS143" i="63"/>
  <c r="AT143" i="63"/>
  <c r="AU143" i="63"/>
  <c r="AW143" i="63"/>
  <c r="AX143" i="63"/>
  <c r="AY143" i="63"/>
  <c r="BA143" i="63"/>
  <c r="BC143" i="63"/>
  <c r="A144" i="63"/>
  <c r="B144" i="63"/>
  <c r="D144" i="63"/>
  <c r="E144" i="63"/>
  <c r="F144" i="63"/>
  <c r="G144" i="63"/>
  <c r="H144" i="63"/>
  <c r="J144" i="63"/>
  <c r="K144" i="63"/>
  <c r="L144" i="63"/>
  <c r="M144" i="63"/>
  <c r="O144" i="63"/>
  <c r="P144" i="63"/>
  <c r="R144" i="63"/>
  <c r="S144" i="63"/>
  <c r="T144" i="63"/>
  <c r="U144" i="63"/>
  <c r="V144" i="63"/>
  <c r="W144" i="63"/>
  <c r="X144" i="63"/>
  <c r="Z144" i="63"/>
  <c r="AA144" i="63"/>
  <c r="AB144" i="63"/>
  <c r="AC144" i="63"/>
  <c r="AD144" i="63"/>
  <c r="AE144" i="63"/>
  <c r="AF144" i="63"/>
  <c r="AG144" i="63"/>
  <c r="AH144" i="63"/>
  <c r="AI144" i="63"/>
  <c r="AJ144" i="63"/>
  <c r="AK144" i="63"/>
  <c r="AL144" i="63"/>
  <c r="AM144" i="63"/>
  <c r="AN144" i="63"/>
  <c r="AO144" i="63"/>
  <c r="AP144" i="63"/>
  <c r="AQ144" i="63"/>
  <c r="AR144" i="63"/>
  <c r="AS144" i="63"/>
  <c r="AT144" i="63"/>
  <c r="AU144" i="63"/>
  <c r="AW144" i="63"/>
  <c r="AX144" i="63"/>
  <c r="AY144" i="63"/>
  <c r="BA144" i="63"/>
  <c r="BC144" i="63"/>
  <c r="A145" i="63"/>
  <c r="B145" i="63"/>
  <c r="D145" i="63"/>
  <c r="E145" i="63"/>
  <c r="F145" i="63"/>
  <c r="G145" i="63"/>
  <c r="H145" i="63"/>
  <c r="J145" i="63"/>
  <c r="K145" i="63"/>
  <c r="L145" i="63"/>
  <c r="M145" i="63"/>
  <c r="O145" i="63"/>
  <c r="P145" i="63"/>
  <c r="R145" i="63"/>
  <c r="S145" i="63"/>
  <c r="T145" i="63"/>
  <c r="U145" i="63"/>
  <c r="V145" i="63"/>
  <c r="W145" i="63"/>
  <c r="X145" i="63"/>
  <c r="Z145" i="63"/>
  <c r="AA145" i="63"/>
  <c r="AB145" i="63"/>
  <c r="AC145" i="63"/>
  <c r="AD145" i="63"/>
  <c r="AE145" i="63"/>
  <c r="AF145" i="63"/>
  <c r="AG145" i="63"/>
  <c r="AH145" i="63"/>
  <c r="AI145" i="63"/>
  <c r="AJ145" i="63"/>
  <c r="AK145" i="63"/>
  <c r="AL145" i="63"/>
  <c r="AM145" i="63"/>
  <c r="AN145" i="63"/>
  <c r="AO145" i="63"/>
  <c r="AP145" i="63"/>
  <c r="AQ145" i="63"/>
  <c r="AR145" i="63"/>
  <c r="AS145" i="63"/>
  <c r="AT145" i="63"/>
  <c r="AU145" i="63"/>
  <c r="AW145" i="63"/>
  <c r="AX145" i="63"/>
  <c r="AY145" i="63"/>
  <c r="BA145" i="63"/>
  <c r="BC145" i="63"/>
  <c r="A146" i="63"/>
  <c r="B146" i="63"/>
  <c r="D146" i="63"/>
  <c r="E146" i="63"/>
  <c r="F146" i="63"/>
  <c r="G146" i="63"/>
  <c r="H146" i="63"/>
  <c r="J146" i="63"/>
  <c r="K146" i="63"/>
  <c r="L146" i="63"/>
  <c r="M146" i="63"/>
  <c r="O146" i="63"/>
  <c r="P146" i="63"/>
  <c r="R146" i="63"/>
  <c r="S146" i="63"/>
  <c r="T146" i="63"/>
  <c r="U146" i="63"/>
  <c r="V146" i="63"/>
  <c r="W146" i="63"/>
  <c r="X146" i="63"/>
  <c r="Z146" i="63"/>
  <c r="AA146" i="63"/>
  <c r="AB146" i="63"/>
  <c r="AC146" i="63"/>
  <c r="AD146" i="63"/>
  <c r="AE146" i="63"/>
  <c r="AF146" i="63"/>
  <c r="AG146" i="63"/>
  <c r="AH146" i="63"/>
  <c r="AI146" i="63"/>
  <c r="AJ146" i="63"/>
  <c r="AK146" i="63"/>
  <c r="AL146" i="63"/>
  <c r="AM146" i="63"/>
  <c r="AN146" i="63"/>
  <c r="AO146" i="63"/>
  <c r="AP146" i="63"/>
  <c r="AQ146" i="63"/>
  <c r="AR146" i="63"/>
  <c r="AS146" i="63"/>
  <c r="AT146" i="63"/>
  <c r="AU146" i="63"/>
  <c r="AW146" i="63"/>
  <c r="AX146" i="63"/>
  <c r="AY146" i="63"/>
  <c r="BA146" i="63"/>
  <c r="BC146" i="63"/>
  <c r="A147" i="63"/>
  <c r="B147" i="63"/>
  <c r="D147" i="63"/>
  <c r="E147" i="63"/>
  <c r="F147" i="63"/>
  <c r="G147" i="63"/>
  <c r="H147" i="63"/>
  <c r="J147" i="63"/>
  <c r="K147" i="63"/>
  <c r="L147" i="63"/>
  <c r="M147" i="63"/>
  <c r="O147" i="63"/>
  <c r="P147" i="63"/>
  <c r="R147" i="63"/>
  <c r="S147" i="63"/>
  <c r="T147" i="63"/>
  <c r="U147" i="63"/>
  <c r="V147" i="63"/>
  <c r="W147" i="63"/>
  <c r="X147" i="63"/>
  <c r="Z147" i="63"/>
  <c r="AA147" i="63"/>
  <c r="AB147" i="63"/>
  <c r="AC147" i="63"/>
  <c r="AD147" i="63"/>
  <c r="AE147" i="63"/>
  <c r="AF147" i="63"/>
  <c r="AG147" i="63"/>
  <c r="AH147" i="63"/>
  <c r="AI147" i="63"/>
  <c r="AJ147" i="63"/>
  <c r="AK147" i="63"/>
  <c r="AL147" i="63"/>
  <c r="AM147" i="63"/>
  <c r="AN147" i="63"/>
  <c r="AO147" i="63"/>
  <c r="AP147" i="63"/>
  <c r="AQ147" i="63"/>
  <c r="AR147" i="63"/>
  <c r="AS147" i="63"/>
  <c r="AT147" i="63"/>
  <c r="AU147" i="63"/>
  <c r="AW147" i="63"/>
  <c r="AX147" i="63"/>
  <c r="AY147" i="63"/>
  <c r="BA147" i="63"/>
  <c r="BC147" i="63"/>
  <c r="A148" i="63"/>
  <c r="B148" i="63"/>
  <c r="D148" i="63"/>
  <c r="E148" i="63"/>
  <c r="F148" i="63"/>
  <c r="G148" i="63"/>
  <c r="H148" i="63"/>
  <c r="J148" i="63"/>
  <c r="K148" i="63"/>
  <c r="L148" i="63"/>
  <c r="M148" i="63"/>
  <c r="O148" i="63"/>
  <c r="P148" i="63"/>
  <c r="R148" i="63"/>
  <c r="S148" i="63"/>
  <c r="T148" i="63"/>
  <c r="U148" i="63"/>
  <c r="V148" i="63"/>
  <c r="W148" i="63"/>
  <c r="X148" i="63"/>
  <c r="Z148" i="63"/>
  <c r="AA148" i="63"/>
  <c r="AB148" i="63"/>
  <c r="AC148" i="63"/>
  <c r="AD148" i="63"/>
  <c r="AE148" i="63"/>
  <c r="AF148" i="63"/>
  <c r="AG148" i="63"/>
  <c r="AH148" i="63"/>
  <c r="AI148" i="63"/>
  <c r="AJ148" i="63"/>
  <c r="AK148" i="63"/>
  <c r="AL148" i="63"/>
  <c r="AM148" i="63"/>
  <c r="AN148" i="63"/>
  <c r="AO148" i="63"/>
  <c r="AP148" i="63"/>
  <c r="AQ148" i="63"/>
  <c r="AR148" i="63"/>
  <c r="AS148" i="63"/>
  <c r="AT148" i="63"/>
  <c r="AU148" i="63"/>
  <c r="AW148" i="63"/>
  <c r="AX148" i="63"/>
  <c r="AY148" i="63"/>
  <c r="BA148" i="63"/>
  <c r="BC148" i="63"/>
  <c r="A149" i="63"/>
  <c r="B149" i="63"/>
  <c r="D149" i="63"/>
  <c r="E149" i="63"/>
  <c r="F149" i="63"/>
  <c r="G149" i="63"/>
  <c r="H149" i="63"/>
  <c r="J149" i="63"/>
  <c r="K149" i="63"/>
  <c r="L149" i="63"/>
  <c r="M149" i="63"/>
  <c r="O149" i="63"/>
  <c r="P149" i="63"/>
  <c r="R149" i="63"/>
  <c r="S149" i="63"/>
  <c r="T149" i="63"/>
  <c r="U149" i="63"/>
  <c r="V149" i="63"/>
  <c r="W149" i="63"/>
  <c r="X149" i="63"/>
  <c r="Z149" i="63"/>
  <c r="AA149" i="63"/>
  <c r="AB149" i="63"/>
  <c r="AC149" i="63"/>
  <c r="AD149" i="63"/>
  <c r="AE149" i="63"/>
  <c r="AF149" i="63"/>
  <c r="AG149" i="63"/>
  <c r="AH149" i="63"/>
  <c r="AI149" i="63"/>
  <c r="AJ149" i="63"/>
  <c r="AK149" i="63"/>
  <c r="AL149" i="63"/>
  <c r="AM149" i="63"/>
  <c r="AN149" i="63"/>
  <c r="AO149" i="63"/>
  <c r="AP149" i="63"/>
  <c r="AQ149" i="63"/>
  <c r="AR149" i="63"/>
  <c r="AS149" i="63"/>
  <c r="AT149" i="63"/>
  <c r="AU149" i="63"/>
  <c r="AW149" i="63"/>
  <c r="AX149" i="63"/>
  <c r="AY149" i="63"/>
  <c r="BA149" i="63"/>
  <c r="BC149" i="63"/>
  <c r="A150" i="63"/>
  <c r="B150" i="63"/>
  <c r="D150" i="63"/>
  <c r="E150" i="63"/>
  <c r="F150" i="63"/>
  <c r="G150" i="63"/>
  <c r="H150" i="63"/>
  <c r="J150" i="63"/>
  <c r="K150" i="63"/>
  <c r="L150" i="63"/>
  <c r="M150" i="63"/>
  <c r="O150" i="63"/>
  <c r="P150" i="63"/>
  <c r="R150" i="63"/>
  <c r="S150" i="63"/>
  <c r="T150" i="63"/>
  <c r="U150" i="63"/>
  <c r="V150" i="63"/>
  <c r="W150" i="63"/>
  <c r="X150" i="63"/>
  <c r="Z150" i="63"/>
  <c r="AA150" i="63"/>
  <c r="AB150" i="63"/>
  <c r="AC150" i="63"/>
  <c r="AD150" i="63"/>
  <c r="AE150" i="63"/>
  <c r="AF150" i="63"/>
  <c r="AG150" i="63"/>
  <c r="AH150" i="63"/>
  <c r="AI150" i="63"/>
  <c r="AJ150" i="63"/>
  <c r="AK150" i="63"/>
  <c r="AL150" i="63"/>
  <c r="AM150" i="63"/>
  <c r="AN150" i="63"/>
  <c r="AO150" i="63"/>
  <c r="AP150" i="63"/>
  <c r="AQ150" i="63"/>
  <c r="AR150" i="63"/>
  <c r="AS150" i="63"/>
  <c r="AT150" i="63"/>
  <c r="AU150" i="63"/>
  <c r="AW150" i="63"/>
  <c r="AX150" i="63"/>
  <c r="AY150" i="63"/>
  <c r="BA150" i="63"/>
  <c r="BC150" i="63"/>
  <c r="A151" i="63"/>
  <c r="B151" i="63"/>
  <c r="D151" i="63"/>
  <c r="E151" i="63"/>
  <c r="F151" i="63"/>
  <c r="G151" i="63"/>
  <c r="H151" i="63"/>
  <c r="J151" i="63"/>
  <c r="K151" i="63"/>
  <c r="L151" i="63"/>
  <c r="M151" i="63"/>
  <c r="O151" i="63"/>
  <c r="P151" i="63"/>
  <c r="R151" i="63"/>
  <c r="S151" i="63"/>
  <c r="T151" i="63"/>
  <c r="U151" i="63"/>
  <c r="V151" i="63"/>
  <c r="W151" i="63"/>
  <c r="X151" i="63"/>
  <c r="Z151" i="63"/>
  <c r="AA151" i="63"/>
  <c r="AB151" i="63"/>
  <c r="AC151" i="63"/>
  <c r="AD151" i="63"/>
  <c r="AE151" i="63"/>
  <c r="AF151" i="63"/>
  <c r="AG151" i="63"/>
  <c r="AH151" i="63"/>
  <c r="AI151" i="63"/>
  <c r="AJ151" i="63"/>
  <c r="AK151" i="63"/>
  <c r="AL151" i="63"/>
  <c r="AM151" i="63"/>
  <c r="AN151" i="63"/>
  <c r="AO151" i="63"/>
  <c r="AP151" i="63"/>
  <c r="AQ151" i="63"/>
  <c r="AR151" i="63"/>
  <c r="AS151" i="63"/>
  <c r="AT151" i="63"/>
  <c r="AU151" i="63"/>
  <c r="AW151" i="63"/>
  <c r="AX151" i="63"/>
  <c r="AY151" i="63"/>
  <c r="BA151" i="63"/>
  <c r="BC151" i="63"/>
  <c r="A152" i="63"/>
  <c r="B152" i="63"/>
  <c r="D152" i="63"/>
  <c r="E152" i="63"/>
  <c r="F152" i="63"/>
  <c r="G152" i="63"/>
  <c r="H152" i="63"/>
  <c r="J152" i="63"/>
  <c r="K152" i="63"/>
  <c r="L152" i="63"/>
  <c r="M152" i="63"/>
  <c r="O152" i="63"/>
  <c r="P152" i="63"/>
  <c r="R152" i="63"/>
  <c r="S152" i="63"/>
  <c r="T152" i="63"/>
  <c r="U152" i="63"/>
  <c r="V152" i="63"/>
  <c r="W152" i="63"/>
  <c r="X152" i="63"/>
  <c r="Z152" i="63"/>
  <c r="AA152" i="63"/>
  <c r="AB152" i="63"/>
  <c r="AC152" i="63"/>
  <c r="AD152" i="63"/>
  <c r="AE152" i="63"/>
  <c r="AF152" i="63"/>
  <c r="AG152" i="63"/>
  <c r="AH152" i="63"/>
  <c r="AI152" i="63"/>
  <c r="AJ152" i="63"/>
  <c r="AK152" i="63"/>
  <c r="AL152" i="63"/>
  <c r="AM152" i="63"/>
  <c r="AN152" i="63"/>
  <c r="AO152" i="63"/>
  <c r="AP152" i="63"/>
  <c r="AQ152" i="63"/>
  <c r="AR152" i="63"/>
  <c r="AS152" i="63"/>
  <c r="AT152" i="63"/>
  <c r="AU152" i="63"/>
  <c r="AW152" i="63"/>
  <c r="AX152" i="63"/>
  <c r="AY152" i="63"/>
  <c r="BA152" i="63"/>
  <c r="BC152" i="63"/>
  <c r="A153" i="63"/>
  <c r="B153" i="63"/>
  <c r="D153" i="63"/>
  <c r="E153" i="63"/>
  <c r="F153" i="63"/>
  <c r="G153" i="63"/>
  <c r="H153" i="63"/>
  <c r="J153" i="63"/>
  <c r="K153" i="63"/>
  <c r="L153" i="63"/>
  <c r="M153" i="63"/>
  <c r="O153" i="63"/>
  <c r="P153" i="63"/>
  <c r="R153" i="63"/>
  <c r="S153" i="63"/>
  <c r="T153" i="63"/>
  <c r="U153" i="63"/>
  <c r="V153" i="63"/>
  <c r="W153" i="63"/>
  <c r="X153" i="63"/>
  <c r="Z153" i="63"/>
  <c r="AA153" i="63"/>
  <c r="AB153" i="63"/>
  <c r="AC153" i="63"/>
  <c r="AD153" i="63"/>
  <c r="AE153" i="63"/>
  <c r="AF153" i="63"/>
  <c r="AG153" i="63"/>
  <c r="AH153" i="63"/>
  <c r="AI153" i="63"/>
  <c r="AJ153" i="63"/>
  <c r="AK153" i="63"/>
  <c r="AL153" i="63"/>
  <c r="AM153" i="63"/>
  <c r="AN153" i="63"/>
  <c r="AO153" i="63"/>
  <c r="AP153" i="63"/>
  <c r="AQ153" i="63"/>
  <c r="AR153" i="63"/>
  <c r="AS153" i="63"/>
  <c r="AT153" i="63"/>
  <c r="AU153" i="63"/>
  <c r="AW153" i="63"/>
  <c r="AX153" i="63"/>
  <c r="AY153" i="63"/>
  <c r="BA153" i="63"/>
  <c r="BC153" i="63"/>
  <c r="A154" i="63"/>
  <c r="B154" i="63"/>
  <c r="D154" i="63"/>
  <c r="E154" i="63"/>
  <c r="F154" i="63"/>
  <c r="G154" i="63"/>
  <c r="H154" i="63"/>
  <c r="J154" i="63"/>
  <c r="K154" i="63"/>
  <c r="L154" i="63"/>
  <c r="M154" i="63"/>
  <c r="O154" i="63"/>
  <c r="P154" i="63"/>
  <c r="R154" i="63"/>
  <c r="S154" i="63"/>
  <c r="T154" i="63"/>
  <c r="U154" i="63"/>
  <c r="V154" i="63"/>
  <c r="W154" i="63"/>
  <c r="X154" i="63"/>
  <c r="Z154" i="63"/>
  <c r="AA154" i="63"/>
  <c r="AB154" i="63"/>
  <c r="AC154" i="63"/>
  <c r="AD154" i="63"/>
  <c r="AE154" i="63"/>
  <c r="AF154" i="63"/>
  <c r="AG154" i="63"/>
  <c r="AH154" i="63"/>
  <c r="AI154" i="63"/>
  <c r="AJ154" i="63"/>
  <c r="AK154" i="63"/>
  <c r="AL154" i="63"/>
  <c r="AM154" i="63"/>
  <c r="AN154" i="63"/>
  <c r="AO154" i="63"/>
  <c r="AP154" i="63"/>
  <c r="AQ154" i="63"/>
  <c r="AR154" i="63"/>
  <c r="AS154" i="63"/>
  <c r="AT154" i="63"/>
  <c r="AU154" i="63"/>
  <c r="AW154" i="63"/>
  <c r="AX154" i="63"/>
  <c r="AY154" i="63"/>
  <c r="BA154" i="63"/>
  <c r="BC154" i="63"/>
  <c r="A155" i="63"/>
  <c r="B155" i="63"/>
  <c r="D155" i="63"/>
  <c r="E155" i="63"/>
  <c r="F155" i="63"/>
  <c r="G155" i="63"/>
  <c r="H155" i="63"/>
  <c r="J155" i="63"/>
  <c r="K155" i="63"/>
  <c r="L155" i="63"/>
  <c r="M155" i="63"/>
  <c r="O155" i="63"/>
  <c r="P155" i="63"/>
  <c r="R155" i="63"/>
  <c r="S155" i="63"/>
  <c r="T155" i="63"/>
  <c r="U155" i="63"/>
  <c r="V155" i="63"/>
  <c r="W155" i="63"/>
  <c r="X155" i="63"/>
  <c r="Z155" i="63"/>
  <c r="AA155" i="63"/>
  <c r="AB155" i="63"/>
  <c r="AC155" i="63"/>
  <c r="AD155" i="63"/>
  <c r="AE155" i="63"/>
  <c r="AF155" i="63"/>
  <c r="AG155" i="63"/>
  <c r="AH155" i="63"/>
  <c r="AI155" i="63"/>
  <c r="AJ155" i="63"/>
  <c r="AK155" i="63"/>
  <c r="AL155" i="63"/>
  <c r="AM155" i="63"/>
  <c r="AN155" i="63"/>
  <c r="AO155" i="63"/>
  <c r="AP155" i="63"/>
  <c r="AQ155" i="63"/>
  <c r="AR155" i="63"/>
  <c r="AS155" i="63"/>
  <c r="AT155" i="63"/>
  <c r="AU155" i="63"/>
  <c r="AW155" i="63"/>
  <c r="AX155" i="63"/>
  <c r="AY155" i="63"/>
  <c r="BA155" i="63"/>
  <c r="BC155" i="63"/>
  <c r="A156" i="63"/>
  <c r="B156" i="63"/>
  <c r="D156" i="63"/>
  <c r="E156" i="63"/>
  <c r="F156" i="63"/>
  <c r="G156" i="63"/>
  <c r="H156" i="63"/>
  <c r="J156" i="63"/>
  <c r="K156" i="63"/>
  <c r="L156" i="63"/>
  <c r="M156" i="63"/>
  <c r="O156" i="63"/>
  <c r="P156" i="63"/>
  <c r="R156" i="63"/>
  <c r="S156" i="63"/>
  <c r="T156" i="63"/>
  <c r="U156" i="63"/>
  <c r="V156" i="63"/>
  <c r="W156" i="63"/>
  <c r="X156" i="63"/>
  <c r="Z156" i="63"/>
  <c r="AA156" i="63"/>
  <c r="AB156" i="63"/>
  <c r="AC156" i="63"/>
  <c r="AD156" i="63"/>
  <c r="AE156" i="63"/>
  <c r="AF156" i="63"/>
  <c r="AG156" i="63"/>
  <c r="AH156" i="63"/>
  <c r="AI156" i="63"/>
  <c r="AJ156" i="63"/>
  <c r="AK156" i="63"/>
  <c r="AL156" i="63"/>
  <c r="AM156" i="63"/>
  <c r="AN156" i="63"/>
  <c r="AO156" i="63"/>
  <c r="AP156" i="63"/>
  <c r="AQ156" i="63"/>
  <c r="AR156" i="63"/>
  <c r="AS156" i="63"/>
  <c r="AT156" i="63"/>
  <c r="AU156" i="63"/>
  <c r="AW156" i="63"/>
  <c r="AX156" i="63"/>
  <c r="AY156" i="63"/>
  <c r="BA156" i="63"/>
  <c r="BC156" i="63"/>
  <c r="A157" i="63"/>
  <c r="B157" i="63"/>
  <c r="D157" i="63"/>
  <c r="E157" i="63"/>
  <c r="F157" i="63"/>
  <c r="G157" i="63"/>
  <c r="H157" i="63"/>
  <c r="J157" i="63"/>
  <c r="K157" i="63"/>
  <c r="L157" i="63"/>
  <c r="M157" i="63"/>
  <c r="O157" i="63"/>
  <c r="P157" i="63"/>
  <c r="R157" i="63"/>
  <c r="S157" i="63"/>
  <c r="T157" i="63"/>
  <c r="U157" i="63"/>
  <c r="V157" i="63"/>
  <c r="W157" i="63"/>
  <c r="X157" i="63"/>
  <c r="Z157" i="63"/>
  <c r="AA157" i="63"/>
  <c r="AB157" i="63"/>
  <c r="AC157" i="63"/>
  <c r="AD157" i="63"/>
  <c r="AE157" i="63"/>
  <c r="AF157" i="63"/>
  <c r="AG157" i="63"/>
  <c r="AH157" i="63"/>
  <c r="AI157" i="63"/>
  <c r="AJ157" i="63"/>
  <c r="AK157" i="63"/>
  <c r="AL157" i="63"/>
  <c r="AM157" i="63"/>
  <c r="AN157" i="63"/>
  <c r="AO157" i="63"/>
  <c r="AP157" i="63"/>
  <c r="AQ157" i="63"/>
  <c r="AR157" i="63"/>
  <c r="AS157" i="63"/>
  <c r="AT157" i="63"/>
  <c r="AU157" i="63"/>
  <c r="AW157" i="63"/>
  <c r="AX157" i="63"/>
  <c r="AY157" i="63"/>
  <c r="BA157" i="63"/>
  <c r="BC157" i="63"/>
  <c r="A158" i="63"/>
  <c r="B158" i="63"/>
  <c r="D158" i="63"/>
  <c r="E158" i="63"/>
  <c r="F158" i="63"/>
  <c r="G158" i="63"/>
  <c r="H158" i="63"/>
  <c r="J158" i="63"/>
  <c r="K158" i="63"/>
  <c r="L158" i="63"/>
  <c r="M158" i="63"/>
  <c r="O158" i="63"/>
  <c r="P158" i="63"/>
  <c r="R158" i="63"/>
  <c r="S158" i="63"/>
  <c r="T158" i="63"/>
  <c r="U158" i="63"/>
  <c r="V158" i="63"/>
  <c r="W158" i="63"/>
  <c r="X158" i="63"/>
  <c r="Z158" i="63"/>
  <c r="AA158" i="63"/>
  <c r="AB158" i="63"/>
  <c r="AC158" i="63"/>
  <c r="AD158" i="63"/>
  <c r="AE158" i="63"/>
  <c r="AF158" i="63"/>
  <c r="AG158" i="63"/>
  <c r="AH158" i="63"/>
  <c r="AI158" i="63"/>
  <c r="AJ158" i="63"/>
  <c r="AK158" i="63"/>
  <c r="AL158" i="63"/>
  <c r="AM158" i="63"/>
  <c r="AN158" i="63"/>
  <c r="AO158" i="63"/>
  <c r="AP158" i="63"/>
  <c r="AQ158" i="63"/>
  <c r="AR158" i="63"/>
  <c r="AS158" i="63"/>
  <c r="AT158" i="63"/>
  <c r="AU158" i="63"/>
  <c r="AW158" i="63"/>
  <c r="AX158" i="63"/>
  <c r="AY158" i="63"/>
  <c r="BA158" i="63"/>
  <c r="BC158" i="63"/>
  <c r="A159" i="63"/>
  <c r="B159" i="63"/>
  <c r="D159" i="63"/>
  <c r="E159" i="63"/>
  <c r="F159" i="63"/>
  <c r="G159" i="63"/>
  <c r="H159" i="63"/>
  <c r="J159" i="63"/>
  <c r="K159" i="63"/>
  <c r="L159" i="63"/>
  <c r="M159" i="63"/>
  <c r="O159" i="63"/>
  <c r="P159" i="63"/>
  <c r="R159" i="63"/>
  <c r="S159" i="63"/>
  <c r="T159" i="63"/>
  <c r="U159" i="63"/>
  <c r="V159" i="63"/>
  <c r="W159" i="63"/>
  <c r="X159" i="63"/>
  <c r="Z159" i="63"/>
  <c r="AA159" i="63"/>
  <c r="AB159" i="63"/>
  <c r="AC159" i="63"/>
  <c r="AD159" i="63"/>
  <c r="AE159" i="63"/>
  <c r="AF159" i="63"/>
  <c r="AG159" i="63"/>
  <c r="AH159" i="63"/>
  <c r="AI159" i="63"/>
  <c r="AJ159" i="63"/>
  <c r="AK159" i="63"/>
  <c r="AL159" i="63"/>
  <c r="AM159" i="63"/>
  <c r="AN159" i="63"/>
  <c r="AO159" i="63"/>
  <c r="AP159" i="63"/>
  <c r="AQ159" i="63"/>
  <c r="AR159" i="63"/>
  <c r="AS159" i="63"/>
  <c r="AT159" i="63"/>
  <c r="AU159" i="63"/>
  <c r="AW159" i="63"/>
  <c r="AX159" i="63"/>
  <c r="AY159" i="63"/>
  <c r="BA159" i="63"/>
  <c r="BC159" i="63"/>
  <c r="A160" i="63"/>
  <c r="B160" i="63"/>
  <c r="D160" i="63"/>
  <c r="E160" i="63"/>
  <c r="F160" i="63"/>
  <c r="G160" i="63"/>
  <c r="H160" i="63"/>
  <c r="J160" i="63"/>
  <c r="K160" i="63"/>
  <c r="L160" i="63"/>
  <c r="M160" i="63"/>
  <c r="O160" i="63"/>
  <c r="P160" i="63"/>
  <c r="R160" i="63"/>
  <c r="S160" i="63"/>
  <c r="T160" i="63"/>
  <c r="U160" i="63"/>
  <c r="V160" i="63"/>
  <c r="W160" i="63"/>
  <c r="X160" i="63"/>
  <c r="Z160" i="63"/>
  <c r="AA160" i="63"/>
  <c r="AB160" i="63"/>
  <c r="AC160" i="63"/>
  <c r="AD160" i="63"/>
  <c r="AE160" i="63"/>
  <c r="AF160" i="63"/>
  <c r="AG160" i="63"/>
  <c r="AH160" i="63"/>
  <c r="AI160" i="63"/>
  <c r="AJ160" i="63"/>
  <c r="AK160" i="63"/>
  <c r="AL160" i="63"/>
  <c r="AM160" i="63"/>
  <c r="AN160" i="63"/>
  <c r="AO160" i="63"/>
  <c r="AP160" i="63"/>
  <c r="AQ160" i="63"/>
  <c r="AR160" i="63"/>
  <c r="AS160" i="63"/>
  <c r="AT160" i="63"/>
  <c r="AU160" i="63"/>
  <c r="AW160" i="63"/>
  <c r="AX160" i="63"/>
  <c r="AY160" i="63"/>
  <c r="BA160" i="63"/>
  <c r="BC160" i="63"/>
  <c r="A161" i="63"/>
  <c r="B161" i="63"/>
  <c r="D161" i="63"/>
  <c r="E161" i="63"/>
  <c r="F161" i="63"/>
  <c r="G161" i="63"/>
  <c r="H161" i="63"/>
  <c r="J161" i="63"/>
  <c r="K161" i="63"/>
  <c r="L161" i="63"/>
  <c r="M161" i="63"/>
  <c r="O161" i="63"/>
  <c r="P161" i="63"/>
  <c r="R161" i="63"/>
  <c r="S161" i="63"/>
  <c r="T161" i="63"/>
  <c r="U161" i="63"/>
  <c r="V161" i="63"/>
  <c r="W161" i="63"/>
  <c r="X161" i="63"/>
  <c r="Z161" i="63"/>
  <c r="AA161" i="63"/>
  <c r="AB161" i="63"/>
  <c r="AC161" i="63"/>
  <c r="AD161" i="63"/>
  <c r="AE161" i="63"/>
  <c r="AF161" i="63"/>
  <c r="AG161" i="63"/>
  <c r="AH161" i="63"/>
  <c r="AI161" i="63"/>
  <c r="AJ161" i="63"/>
  <c r="AK161" i="63"/>
  <c r="AL161" i="63"/>
  <c r="AM161" i="63"/>
  <c r="AN161" i="63"/>
  <c r="AO161" i="63"/>
  <c r="AP161" i="63"/>
  <c r="AQ161" i="63"/>
  <c r="AR161" i="63"/>
  <c r="AS161" i="63"/>
  <c r="AT161" i="63"/>
  <c r="AU161" i="63"/>
  <c r="AW161" i="63"/>
  <c r="AX161" i="63"/>
  <c r="AY161" i="63"/>
  <c r="BA161" i="63"/>
  <c r="BC161" i="63"/>
  <c r="A162" i="63"/>
  <c r="B162" i="63"/>
  <c r="D162" i="63"/>
  <c r="E162" i="63"/>
  <c r="F162" i="63"/>
  <c r="G162" i="63"/>
  <c r="H162" i="63"/>
  <c r="J162" i="63"/>
  <c r="K162" i="63"/>
  <c r="L162" i="63"/>
  <c r="M162" i="63"/>
  <c r="O162" i="63"/>
  <c r="P162" i="63"/>
  <c r="R162" i="63"/>
  <c r="S162" i="63"/>
  <c r="T162" i="63"/>
  <c r="U162" i="63"/>
  <c r="V162" i="63"/>
  <c r="W162" i="63"/>
  <c r="X162" i="63"/>
  <c r="Z162" i="63"/>
  <c r="AA162" i="63"/>
  <c r="AB162" i="63"/>
  <c r="AC162" i="63"/>
  <c r="AD162" i="63"/>
  <c r="AE162" i="63"/>
  <c r="AF162" i="63"/>
  <c r="AG162" i="63"/>
  <c r="AH162" i="63"/>
  <c r="AI162" i="63"/>
  <c r="AJ162" i="63"/>
  <c r="AK162" i="63"/>
  <c r="AL162" i="63"/>
  <c r="AM162" i="63"/>
  <c r="AN162" i="63"/>
  <c r="AO162" i="63"/>
  <c r="AP162" i="63"/>
  <c r="AQ162" i="63"/>
  <c r="AR162" i="63"/>
  <c r="AS162" i="63"/>
  <c r="AT162" i="63"/>
  <c r="AU162" i="63"/>
  <c r="AW162" i="63"/>
  <c r="AX162" i="63"/>
  <c r="AY162" i="63"/>
  <c r="BA162" i="63"/>
  <c r="BC162" i="63"/>
  <c r="A163" i="63"/>
  <c r="B163" i="63"/>
  <c r="D163" i="63"/>
  <c r="E163" i="63"/>
  <c r="F163" i="63"/>
  <c r="G163" i="63"/>
  <c r="H163" i="63"/>
  <c r="J163" i="63"/>
  <c r="K163" i="63"/>
  <c r="L163" i="63"/>
  <c r="M163" i="63"/>
  <c r="O163" i="63"/>
  <c r="P163" i="63"/>
  <c r="R163" i="63"/>
  <c r="S163" i="63"/>
  <c r="T163" i="63"/>
  <c r="U163" i="63"/>
  <c r="V163" i="63"/>
  <c r="W163" i="63"/>
  <c r="X163" i="63"/>
  <c r="Z163" i="63"/>
  <c r="AA163" i="63"/>
  <c r="AB163" i="63"/>
  <c r="AC163" i="63"/>
  <c r="AD163" i="63"/>
  <c r="AE163" i="63"/>
  <c r="AF163" i="63"/>
  <c r="AG163" i="63"/>
  <c r="AH163" i="63"/>
  <c r="AI163" i="63"/>
  <c r="AJ163" i="63"/>
  <c r="AK163" i="63"/>
  <c r="AL163" i="63"/>
  <c r="AM163" i="63"/>
  <c r="AN163" i="63"/>
  <c r="AO163" i="63"/>
  <c r="AP163" i="63"/>
  <c r="AQ163" i="63"/>
  <c r="AR163" i="63"/>
  <c r="AS163" i="63"/>
  <c r="AT163" i="63"/>
  <c r="AU163" i="63"/>
  <c r="AW163" i="63"/>
  <c r="AX163" i="63"/>
  <c r="AY163" i="63"/>
  <c r="BA163" i="63"/>
  <c r="BC163" i="63"/>
  <c r="A164" i="63"/>
  <c r="B164" i="63"/>
  <c r="D164" i="63"/>
  <c r="E164" i="63"/>
  <c r="F164" i="63"/>
  <c r="G164" i="63"/>
  <c r="H164" i="63"/>
  <c r="J164" i="63"/>
  <c r="K164" i="63"/>
  <c r="L164" i="63"/>
  <c r="M164" i="63"/>
  <c r="O164" i="63"/>
  <c r="P164" i="63"/>
  <c r="R164" i="63"/>
  <c r="S164" i="63"/>
  <c r="T164" i="63"/>
  <c r="U164" i="63"/>
  <c r="V164" i="63"/>
  <c r="W164" i="63"/>
  <c r="X164" i="63"/>
  <c r="Z164" i="63"/>
  <c r="AA164" i="63"/>
  <c r="AB164" i="63"/>
  <c r="AC164" i="63"/>
  <c r="AD164" i="63"/>
  <c r="AE164" i="63"/>
  <c r="AF164" i="63"/>
  <c r="AG164" i="63"/>
  <c r="AH164" i="63"/>
  <c r="AI164" i="63"/>
  <c r="AJ164" i="63"/>
  <c r="AK164" i="63"/>
  <c r="AL164" i="63"/>
  <c r="AM164" i="63"/>
  <c r="AN164" i="63"/>
  <c r="AO164" i="63"/>
  <c r="AP164" i="63"/>
  <c r="AQ164" i="63"/>
  <c r="AR164" i="63"/>
  <c r="AS164" i="63"/>
  <c r="AT164" i="63"/>
  <c r="AU164" i="63"/>
  <c r="AW164" i="63"/>
  <c r="AX164" i="63"/>
  <c r="AY164" i="63"/>
  <c r="BA164" i="63"/>
  <c r="BC164" i="63"/>
  <c r="A165" i="63"/>
  <c r="B165" i="63"/>
  <c r="D165" i="63"/>
  <c r="E165" i="63"/>
  <c r="F165" i="63"/>
  <c r="G165" i="63"/>
  <c r="H165" i="63"/>
  <c r="J165" i="63"/>
  <c r="K165" i="63"/>
  <c r="L165" i="63"/>
  <c r="M165" i="63"/>
  <c r="O165" i="63"/>
  <c r="P165" i="63"/>
  <c r="R165" i="63"/>
  <c r="S165" i="63"/>
  <c r="T165" i="63"/>
  <c r="U165" i="63"/>
  <c r="V165" i="63"/>
  <c r="W165" i="63"/>
  <c r="X165" i="63"/>
  <c r="Z165" i="63"/>
  <c r="AA165" i="63"/>
  <c r="AB165" i="63"/>
  <c r="AC165" i="63"/>
  <c r="AD165" i="63"/>
  <c r="AE165" i="63"/>
  <c r="AF165" i="63"/>
  <c r="AG165" i="63"/>
  <c r="AH165" i="63"/>
  <c r="AI165" i="63"/>
  <c r="AJ165" i="63"/>
  <c r="AK165" i="63"/>
  <c r="AL165" i="63"/>
  <c r="AM165" i="63"/>
  <c r="AN165" i="63"/>
  <c r="AO165" i="63"/>
  <c r="AP165" i="63"/>
  <c r="AQ165" i="63"/>
  <c r="AR165" i="63"/>
  <c r="AS165" i="63"/>
  <c r="AT165" i="63"/>
  <c r="AU165" i="63"/>
  <c r="AW165" i="63"/>
  <c r="AX165" i="63"/>
  <c r="AY165" i="63"/>
  <c r="BA165" i="63"/>
  <c r="BC165" i="63"/>
  <c r="A166" i="63"/>
  <c r="B166" i="63"/>
  <c r="D166" i="63"/>
  <c r="E166" i="63"/>
  <c r="F166" i="63"/>
  <c r="G166" i="63"/>
  <c r="H166" i="63"/>
  <c r="J166" i="63"/>
  <c r="K166" i="63"/>
  <c r="L166" i="63"/>
  <c r="M166" i="63"/>
  <c r="O166" i="63"/>
  <c r="P166" i="63"/>
  <c r="R166" i="63"/>
  <c r="S166" i="63"/>
  <c r="T166" i="63"/>
  <c r="U166" i="63"/>
  <c r="V166" i="63"/>
  <c r="W166" i="63"/>
  <c r="X166" i="63"/>
  <c r="Z166" i="63"/>
  <c r="AA166" i="63"/>
  <c r="AB166" i="63"/>
  <c r="AC166" i="63"/>
  <c r="AD166" i="63"/>
  <c r="AE166" i="63"/>
  <c r="AF166" i="63"/>
  <c r="AG166" i="63"/>
  <c r="AH166" i="63"/>
  <c r="AI166" i="63"/>
  <c r="AJ166" i="63"/>
  <c r="AK166" i="63"/>
  <c r="AL166" i="63"/>
  <c r="AM166" i="63"/>
  <c r="AN166" i="63"/>
  <c r="AO166" i="63"/>
  <c r="AP166" i="63"/>
  <c r="AQ166" i="63"/>
  <c r="AR166" i="63"/>
  <c r="AS166" i="63"/>
  <c r="AT166" i="63"/>
  <c r="AU166" i="63"/>
  <c r="AW166" i="63"/>
  <c r="AX166" i="63"/>
  <c r="AY166" i="63"/>
  <c r="BA166" i="63"/>
  <c r="BC166" i="63"/>
  <c r="A167" i="63"/>
  <c r="B167" i="63"/>
  <c r="D167" i="63"/>
  <c r="E167" i="63"/>
  <c r="F167" i="63"/>
  <c r="G167" i="63"/>
  <c r="H167" i="63"/>
  <c r="J167" i="63"/>
  <c r="K167" i="63"/>
  <c r="L167" i="63"/>
  <c r="M167" i="63"/>
  <c r="O167" i="63"/>
  <c r="P167" i="63"/>
  <c r="R167" i="63"/>
  <c r="S167" i="63"/>
  <c r="T167" i="63"/>
  <c r="U167" i="63"/>
  <c r="V167" i="63"/>
  <c r="W167" i="63"/>
  <c r="X167" i="63"/>
  <c r="Z167" i="63"/>
  <c r="AA167" i="63"/>
  <c r="AB167" i="63"/>
  <c r="AC167" i="63"/>
  <c r="AD167" i="63"/>
  <c r="AE167" i="63"/>
  <c r="AF167" i="63"/>
  <c r="AG167" i="63"/>
  <c r="AH167" i="63"/>
  <c r="AI167" i="63"/>
  <c r="AJ167" i="63"/>
  <c r="AK167" i="63"/>
  <c r="AL167" i="63"/>
  <c r="AM167" i="63"/>
  <c r="AN167" i="63"/>
  <c r="AO167" i="63"/>
  <c r="AP167" i="63"/>
  <c r="AQ167" i="63"/>
  <c r="AR167" i="63"/>
  <c r="AS167" i="63"/>
  <c r="AT167" i="63"/>
  <c r="AU167" i="63"/>
  <c r="AW167" i="63"/>
  <c r="AX167" i="63"/>
  <c r="AY167" i="63"/>
  <c r="BA167" i="63"/>
  <c r="BC167" i="63"/>
  <c r="A168" i="63"/>
  <c r="B168" i="63"/>
  <c r="D168" i="63"/>
  <c r="E168" i="63"/>
  <c r="F168" i="63"/>
  <c r="G168" i="63"/>
  <c r="H168" i="63"/>
  <c r="J168" i="63"/>
  <c r="K168" i="63"/>
  <c r="L168" i="63"/>
  <c r="M168" i="63"/>
  <c r="O168" i="63"/>
  <c r="P168" i="63"/>
  <c r="R168" i="63"/>
  <c r="S168" i="63"/>
  <c r="T168" i="63"/>
  <c r="U168" i="63"/>
  <c r="V168" i="63"/>
  <c r="W168" i="63"/>
  <c r="X168" i="63"/>
  <c r="Z168" i="63"/>
  <c r="AA168" i="63"/>
  <c r="AB168" i="63"/>
  <c r="AC168" i="63"/>
  <c r="AD168" i="63"/>
  <c r="AE168" i="63"/>
  <c r="AF168" i="63"/>
  <c r="AG168" i="63"/>
  <c r="AH168" i="63"/>
  <c r="AI168" i="63"/>
  <c r="AJ168" i="63"/>
  <c r="AK168" i="63"/>
  <c r="AL168" i="63"/>
  <c r="AM168" i="63"/>
  <c r="AN168" i="63"/>
  <c r="AO168" i="63"/>
  <c r="AP168" i="63"/>
  <c r="AQ168" i="63"/>
  <c r="AR168" i="63"/>
  <c r="AS168" i="63"/>
  <c r="AT168" i="63"/>
  <c r="AU168" i="63"/>
  <c r="AW168" i="63"/>
  <c r="AX168" i="63"/>
  <c r="AY168" i="63"/>
  <c r="BA168" i="63"/>
  <c r="BC168" i="63"/>
  <c r="A169" i="63"/>
  <c r="B169" i="63"/>
  <c r="D169" i="63"/>
  <c r="E169" i="63"/>
  <c r="F169" i="63"/>
  <c r="G169" i="63"/>
  <c r="H169" i="63"/>
  <c r="J169" i="63"/>
  <c r="K169" i="63"/>
  <c r="L169" i="63"/>
  <c r="M169" i="63"/>
  <c r="O169" i="63"/>
  <c r="P169" i="63"/>
  <c r="R169" i="63"/>
  <c r="S169" i="63"/>
  <c r="T169" i="63"/>
  <c r="U169" i="63"/>
  <c r="V169" i="63"/>
  <c r="W169" i="63"/>
  <c r="X169" i="63"/>
  <c r="Z169" i="63"/>
  <c r="AA169" i="63"/>
  <c r="AB169" i="63"/>
  <c r="AC169" i="63"/>
  <c r="AD169" i="63"/>
  <c r="AE169" i="63"/>
  <c r="AF169" i="63"/>
  <c r="AG169" i="63"/>
  <c r="AH169" i="63"/>
  <c r="AI169" i="63"/>
  <c r="AJ169" i="63"/>
  <c r="AK169" i="63"/>
  <c r="AL169" i="63"/>
  <c r="AM169" i="63"/>
  <c r="AN169" i="63"/>
  <c r="AO169" i="63"/>
  <c r="AP169" i="63"/>
  <c r="AQ169" i="63"/>
  <c r="AR169" i="63"/>
  <c r="AS169" i="63"/>
  <c r="AT169" i="63"/>
  <c r="AU169" i="63"/>
  <c r="AW169" i="63"/>
  <c r="AX169" i="63"/>
  <c r="AY169" i="63"/>
  <c r="BA169" i="63"/>
  <c r="BC169" i="63"/>
  <c r="A170" i="63"/>
  <c r="B170" i="63"/>
  <c r="D170" i="63"/>
  <c r="E170" i="63"/>
  <c r="F170" i="63"/>
  <c r="G170" i="63"/>
  <c r="H170" i="63"/>
  <c r="J170" i="63"/>
  <c r="K170" i="63"/>
  <c r="L170" i="63"/>
  <c r="M170" i="63"/>
  <c r="O170" i="63"/>
  <c r="P170" i="63"/>
  <c r="R170" i="63"/>
  <c r="S170" i="63"/>
  <c r="T170" i="63"/>
  <c r="U170" i="63"/>
  <c r="V170" i="63"/>
  <c r="W170" i="63"/>
  <c r="X170" i="63"/>
  <c r="Z170" i="63"/>
  <c r="AA170" i="63"/>
  <c r="AB170" i="63"/>
  <c r="AC170" i="63"/>
  <c r="AD170" i="63"/>
  <c r="AE170" i="63"/>
  <c r="AF170" i="63"/>
  <c r="AG170" i="63"/>
  <c r="AH170" i="63"/>
  <c r="AI170" i="63"/>
  <c r="AJ170" i="63"/>
  <c r="AK170" i="63"/>
  <c r="AL170" i="63"/>
  <c r="AM170" i="63"/>
  <c r="AN170" i="63"/>
  <c r="AO170" i="63"/>
  <c r="AP170" i="63"/>
  <c r="AQ170" i="63"/>
  <c r="AR170" i="63"/>
  <c r="AS170" i="63"/>
  <c r="AT170" i="63"/>
  <c r="AU170" i="63"/>
  <c r="AW170" i="63"/>
  <c r="AX170" i="63"/>
  <c r="AY170" i="63"/>
  <c r="BA170" i="63"/>
  <c r="BC170" i="63"/>
  <c r="A171" i="63"/>
  <c r="B171" i="63"/>
  <c r="D171" i="63"/>
  <c r="E171" i="63"/>
  <c r="F171" i="63"/>
  <c r="G171" i="63"/>
  <c r="H171" i="63"/>
  <c r="J171" i="63"/>
  <c r="K171" i="63"/>
  <c r="L171" i="63"/>
  <c r="M171" i="63"/>
  <c r="O171" i="63"/>
  <c r="P171" i="63"/>
  <c r="R171" i="63"/>
  <c r="S171" i="63"/>
  <c r="T171" i="63"/>
  <c r="U171" i="63"/>
  <c r="V171" i="63"/>
  <c r="W171" i="63"/>
  <c r="X171" i="63"/>
  <c r="Z171" i="63"/>
  <c r="AA171" i="63"/>
  <c r="AB171" i="63"/>
  <c r="AC171" i="63"/>
  <c r="AD171" i="63"/>
  <c r="AE171" i="63"/>
  <c r="AF171" i="63"/>
  <c r="AG171" i="63"/>
  <c r="AH171" i="63"/>
  <c r="AI171" i="63"/>
  <c r="AJ171" i="63"/>
  <c r="AK171" i="63"/>
  <c r="AL171" i="63"/>
  <c r="AM171" i="63"/>
  <c r="AN171" i="63"/>
  <c r="AO171" i="63"/>
  <c r="AP171" i="63"/>
  <c r="AQ171" i="63"/>
  <c r="AR171" i="63"/>
  <c r="AS171" i="63"/>
  <c r="AT171" i="63"/>
  <c r="AU171" i="63"/>
  <c r="AW171" i="63"/>
  <c r="AX171" i="63"/>
  <c r="AY171" i="63"/>
  <c r="BA171" i="63"/>
  <c r="BC171" i="63"/>
  <c r="A172" i="63"/>
  <c r="B172" i="63"/>
  <c r="D172" i="63"/>
  <c r="E172" i="63"/>
  <c r="F172" i="63"/>
  <c r="G172" i="63"/>
  <c r="H172" i="63"/>
  <c r="J172" i="63"/>
  <c r="K172" i="63"/>
  <c r="L172" i="63"/>
  <c r="M172" i="63"/>
  <c r="O172" i="63"/>
  <c r="P172" i="63"/>
  <c r="R172" i="63"/>
  <c r="S172" i="63"/>
  <c r="T172" i="63"/>
  <c r="U172" i="63"/>
  <c r="V172" i="63"/>
  <c r="W172" i="63"/>
  <c r="X172" i="63"/>
  <c r="Z172" i="63"/>
  <c r="AA172" i="63"/>
  <c r="AB172" i="63"/>
  <c r="AC172" i="63"/>
  <c r="AD172" i="63"/>
  <c r="AE172" i="63"/>
  <c r="AF172" i="63"/>
  <c r="AG172" i="63"/>
  <c r="AH172" i="63"/>
  <c r="AI172" i="63"/>
  <c r="AJ172" i="63"/>
  <c r="AK172" i="63"/>
  <c r="AL172" i="63"/>
  <c r="AM172" i="63"/>
  <c r="AN172" i="63"/>
  <c r="AO172" i="63"/>
  <c r="AP172" i="63"/>
  <c r="AQ172" i="63"/>
  <c r="AR172" i="63"/>
  <c r="AS172" i="63"/>
  <c r="AT172" i="63"/>
  <c r="AU172" i="63"/>
  <c r="AW172" i="63"/>
  <c r="AX172" i="63"/>
  <c r="AY172" i="63"/>
  <c r="BA172" i="63"/>
  <c r="BC172" i="63"/>
  <c r="A173" i="63"/>
  <c r="B173" i="63"/>
  <c r="D173" i="63"/>
  <c r="E173" i="63"/>
  <c r="F173" i="63"/>
  <c r="G173" i="63"/>
  <c r="H173" i="63"/>
  <c r="J173" i="63"/>
  <c r="K173" i="63"/>
  <c r="L173" i="63"/>
  <c r="M173" i="63"/>
  <c r="O173" i="63"/>
  <c r="P173" i="63"/>
  <c r="R173" i="63"/>
  <c r="S173" i="63"/>
  <c r="T173" i="63"/>
  <c r="U173" i="63"/>
  <c r="V173" i="63"/>
  <c r="W173" i="63"/>
  <c r="X173" i="63"/>
  <c r="Z173" i="63"/>
  <c r="AA173" i="63"/>
  <c r="AB173" i="63"/>
  <c r="AC173" i="63"/>
  <c r="AD173" i="63"/>
  <c r="AE173" i="63"/>
  <c r="AF173" i="63"/>
  <c r="AG173" i="63"/>
  <c r="AH173" i="63"/>
  <c r="AI173" i="63"/>
  <c r="AJ173" i="63"/>
  <c r="AK173" i="63"/>
  <c r="AL173" i="63"/>
  <c r="AM173" i="63"/>
  <c r="AN173" i="63"/>
  <c r="AO173" i="63"/>
  <c r="AP173" i="63"/>
  <c r="AQ173" i="63"/>
  <c r="AR173" i="63"/>
  <c r="AS173" i="63"/>
  <c r="AT173" i="63"/>
  <c r="AU173" i="63"/>
  <c r="AW173" i="63"/>
  <c r="AX173" i="63"/>
  <c r="AY173" i="63"/>
  <c r="BA173" i="63"/>
  <c r="BC173" i="63"/>
  <c r="A174" i="63"/>
  <c r="B174" i="63"/>
  <c r="D174" i="63"/>
  <c r="E174" i="63"/>
  <c r="F174" i="63"/>
  <c r="G174" i="63"/>
  <c r="H174" i="63"/>
  <c r="J174" i="63"/>
  <c r="K174" i="63"/>
  <c r="L174" i="63"/>
  <c r="M174" i="63"/>
  <c r="O174" i="63"/>
  <c r="P174" i="63"/>
  <c r="R174" i="63"/>
  <c r="S174" i="63"/>
  <c r="T174" i="63"/>
  <c r="U174" i="63"/>
  <c r="V174" i="63"/>
  <c r="W174" i="63"/>
  <c r="X174" i="63"/>
  <c r="Z174" i="63"/>
  <c r="AA174" i="63"/>
  <c r="AB174" i="63"/>
  <c r="AC174" i="63"/>
  <c r="AD174" i="63"/>
  <c r="AE174" i="63"/>
  <c r="AF174" i="63"/>
  <c r="AG174" i="63"/>
  <c r="AH174" i="63"/>
  <c r="AI174" i="63"/>
  <c r="AJ174" i="63"/>
  <c r="AK174" i="63"/>
  <c r="AL174" i="63"/>
  <c r="AM174" i="63"/>
  <c r="AN174" i="63"/>
  <c r="AO174" i="63"/>
  <c r="AP174" i="63"/>
  <c r="AQ174" i="63"/>
  <c r="AR174" i="63"/>
  <c r="AS174" i="63"/>
  <c r="AT174" i="63"/>
  <c r="AU174" i="63"/>
  <c r="AW174" i="63"/>
  <c r="AX174" i="63"/>
  <c r="AY174" i="63"/>
  <c r="BA174" i="63"/>
  <c r="A175" i="63"/>
  <c r="B175" i="63"/>
  <c r="D175" i="63"/>
  <c r="E175" i="63"/>
  <c r="F175" i="63"/>
  <c r="G175" i="63"/>
  <c r="H175" i="63"/>
  <c r="J175" i="63"/>
  <c r="K175" i="63"/>
  <c r="L175" i="63"/>
  <c r="M175" i="63"/>
  <c r="O175" i="63"/>
  <c r="P175" i="63"/>
  <c r="R175" i="63"/>
  <c r="S175" i="63"/>
  <c r="T175" i="63"/>
  <c r="U175" i="63"/>
  <c r="V175" i="63"/>
  <c r="W175" i="63"/>
  <c r="X175" i="63"/>
  <c r="Z175" i="63"/>
  <c r="AA175" i="63"/>
  <c r="AB175" i="63"/>
  <c r="AC175" i="63"/>
  <c r="AD175" i="63"/>
  <c r="AE175" i="63"/>
  <c r="AF175" i="63"/>
  <c r="AG175" i="63"/>
  <c r="AH175" i="63"/>
  <c r="AI175" i="63"/>
  <c r="AJ175" i="63"/>
  <c r="AK175" i="63"/>
  <c r="AL175" i="63"/>
  <c r="AM175" i="63"/>
  <c r="AN175" i="63"/>
  <c r="AO175" i="63"/>
  <c r="AP175" i="63"/>
  <c r="AQ175" i="63"/>
  <c r="AR175" i="63"/>
  <c r="AS175" i="63"/>
  <c r="AT175" i="63"/>
  <c r="AU175" i="63"/>
  <c r="AW175" i="63"/>
  <c r="AX175" i="63"/>
  <c r="AY175" i="63"/>
  <c r="BA175" i="63"/>
  <c r="A176" i="63"/>
  <c r="B176" i="63"/>
  <c r="D176" i="63"/>
  <c r="E176" i="63"/>
  <c r="F176" i="63"/>
  <c r="G176" i="63"/>
  <c r="H176" i="63"/>
  <c r="J176" i="63"/>
  <c r="K176" i="63"/>
  <c r="L176" i="63"/>
  <c r="M176" i="63"/>
  <c r="O176" i="63"/>
  <c r="P176" i="63"/>
  <c r="R176" i="63"/>
  <c r="S176" i="63"/>
  <c r="T176" i="63"/>
  <c r="U176" i="63"/>
  <c r="V176" i="63"/>
  <c r="W176" i="63"/>
  <c r="X176" i="63"/>
  <c r="Z176" i="63"/>
  <c r="AA176" i="63"/>
  <c r="AB176" i="63"/>
  <c r="AC176" i="63"/>
  <c r="AD176" i="63"/>
  <c r="AE176" i="63"/>
  <c r="AF176" i="63"/>
  <c r="AG176" i="63"/>
  <c r="AH176" i="63"/>
  <c r="AI176" i="63"/>
  <c r="AJ176" i="63"/>
  <c r="AK176" i="63"/>
  <c r="AL176" i="63"/>
  <c r="AM176" i="63"/>
  <c r="AN176" i="63"/>
  <c r="AO176" i="63"/>
  <c r="AP176" i="63"/>
  <c r="AQ176" i="63"/>
  <c r="AR176" i="63"/>
  <c r="AS176" i="63"/>
  <c r="AT176" i="63"/>
  <c r="AU176" i="63"/>
  <c r="AW176" i="63"/>
  <c r="AX176" i="63"/>
  <c r="AY176" i="63"/>
  <c r="BA176" i="63"/>
  <c r="A177" i="63"/>
  <c r="B177" i="63"/>
  <c r="D177" i="63"/>
  <c r="E177" i="63"/>
  <c r="F177" i="63"/>
  <c r="G177" i="63"/>
  <c r="H177" i="63"/>
  <c r="J177" i="63"/>
  <c r="K177" i="63"/>
  <c r="L177" i="63"/>
  <c r="M177" i="63"/>
  <c r="O177" i="63"/>
  <c r="P177" i="63"/>
  <c r="R177" i="63"/>
  <c r="S177" i="63"/>
  <c r="T177" i="63"/>
  <c r="U177" i="63"/>
  <c r="V177" i="63"/>
  <c r="W177" i="63"/>
  <c r="X177" i="63"/>
  <c r="Z177" i="63"/>
  <c r="AA177" i="63"/>
  <c r="AB177" i="63"/>
  <c r="AC177" i="63"/>
  <c r="AD177" i="63"/>
  <c r="AE177" i="63"/>
  <c r="AF177" i="63"/>
  <c r="AG177" i="63"/>
  <c r="AH177" i="63"/>
  <c r="AI177" i="63"/>
  <c r="AJ177" i="63"/>
  <c r="AK177" i="63"/>
  <c r="AL177" i="63"/>
  <c r="AM177" i="63"/>
  <c r="AN177" i="63"/>
  <c r="AO177" i="63"/>
  <c r="AP177" i="63"/>
  <c r="AQ177" i="63"/>
  <c r="AR177" i="63"/>
  <c r="AS177" i="63"/>
  <c r="AT177" i="63"/>
  <c r="AU177" i="63"/>
  <c r="AW177" i="63"/>
  <c r="AX177" i="63"/>
  <c r="AY177" i="63"/>
  <c r="BA177" i="63"/>
  <c r="A178" i="63"/>
  <c r="B178" i="63"/>
  <c r="D178" i="63"/>
  <c r="E178" i="63"/>
  <c r="F178" i="63"/>
  <c r="G178" i="63"/>
  <c r="H178" i="63"/>
  <c r="J178" i="63"/>
  <c r="K178" i="63"/>
  <c r="L178" i="63"/>
  <c r="M178" i="63"/>
  <c r="O178" i="63"/>
  <c r="P178" i="63"/>
  <c r="R178" i="63"/>
  <c r="S178" i="63"/>
  <c r="T178" i="63"/>
  <c r="U178" i="63"/>
  <c r="V178" i="63"/>
  <c r="W178" i="63"/>
  <c r="X178" i="63"/>
  <c r="Z178" i="63"/>
  <c r="AA178" i="63"/>
  <c r="AB178" i="63"/>
  <c r="AC178" i="63"/>
  <c r="AD178" i="63"/>
  <c r="AE178" i="63"/>
  <c r="AF178" i="63"/>
  <c r="AG178" i="63"/>
  <c r="AH178" i="63"/>
  <c r="AI178" i="63"/>
  <c r="AJ178" i="63"/>
  <c r="AK178" i="63"/>
  <c r="AL178" i="63"/>
  <c r="AM178" i="63"/>
  <c r="AN178" i="63"/>
  <c r="AO178" i="63"/>
  <c r="AP178" i="63"/>
  <c r="AQ178" i="63"/>
  <c r="AR178" i="63"/>
  <c r="AS178" i="63"/>
  <c r="AT178" i="63"/>
  <c r="AU178" i="63"/>
  <c r="AW178" i="63"/>
  <c r="AX178" i="63"/>
  <c r="AY178" i="63"/>
  <c r="BA178" i="63"/>
  <c r="A179" i="63"/>
  <c r="B179" i="63"/>
  <c r="D179" i="63"/>
  <c r="E179" i="63"/>
  <c r="F179" i="63"/>
  <c r="G179" i="63"/>
  <c r="H179" i="63"/>
  <c r="J179" i="63"/>
  <c r="K179" i="63"/>
  <c r="L179" i="63"/>
  <c r="M179" i="63"/>
  <c r="O179" i="63"/>
  <c r="P179" i="63"/>
  <c r="R179" i="63"/>
  <c r="S179" i="63"/>
  <c r="T179" i="63"/>
  <c r="U179" i="63"/>
  <c r="V179" i="63"/>
  <c r="W179" i="63"/>
  <c r="X179" i="63"/>
  <c r="Z179" i="63"/>
  <c r="AA179" i="63"/>
  <c r="AB179" i="63"/>
  <c r="AC179" i="63"/>
  <c r="AD179" i="63"/>
  <c r="AE179" i="63"/>
  <c r="AF179" i="63"/>
  <c r="AG179" i="63"/>
  <c r="AH179" i="63"/>
  <c r="AI179" i="63"/>
  <c r="AJ179" i="63"/>
  <c r="AK179" i="63"/>
  <c r="AL179" i="63"/>
  <c r="AM179" i="63"/>
  <c r="AN179" i="63"/>
  <c r="AO179" i="63"/>
  <c r="AP179" i="63"/>
  <c r="AQ179" i="63"/>
  <c r="AR179" i="63"/>
  <c r="AS179" i="63"/>
  <c r="AT179" i="63"/>
  <c r="AU179" i="63"/>
  <c r="AW179" i="63"/>
  <c r="AX179" i="63"/>
  <c r="AY179" i="63"/>
  <c r="BA179" i="63"/>
  <c r="A180" i="63"/>
  <c r="B180" i="63"/>
  <c r="D180" i="63"/>
  <c r="E180" i="63"/>
  <c r="F180" i="63"/>
  <c r="G180" i="63"/>
  <c r="H180" i="63"/>
  <c r="J180" i="63"/>
  <c r="K180" i="63"/>
  <c r="L180" i="63"/>
  <c r="M180" i="63"/>
  <c r="O180" i="63"/>
  <c r="P180" i="63"/>
  <c r="R180" i="63"/>
  <c r="S180" i="63"/>
  <c r="T180" i="63"/>
  <c r="U180" i="63"/>
  <c r="V180" i="63"/>
  <c r="W180" i="63"/>
  <c r="X180" i="63"/>
  <c r="Z180" i="63"/>
  <c r="AA180" i="63"/>
  <c r="AB180" i="63"/>
  <c r="AC180" i="63"/>
  <c r="AD180" i="63"/>
  <c r="AE180" i="63"/>
  <c r="AF180" i="63"/>
  <c r="AG180" i="63"/>
  <c r="AH180" i="63"/>
  <c r="AI180" i="63"/>
  <c r="AJ180" i="63"/>
  <c r="AK180" i="63"/>
  <c r="AL180" i="63"/>
  <c r="AM180" i="63"/>
  <c r="AN180" i="63"/>
  <c r="AO180" i="63"/>
  <c r="AP180" i="63"/>
  <c r="AQ180" i="63"/>
  <c r="AR180" i="63"/>
  <c r="AS180" i="63"/>
  <c r="AT180" i="63"/>
  <c r="AU180" i="63"/>
  <c r="AW180" i="63"/>
  <c r="AX180" i="63"/>
  <c r="AY180" i="63"/>
  <c r="BA180" i="63"/>
  <c r="A181" i="63"/>
  <c r="B181" i="63"/>
  <c r="D181" i="63"/>
  <c r="E181" i="63"/>
  <c r="F181" i="63"/>
  <c r="G181" i="63"/>
  <c r="H181" i="63"/>
  <c r="J181" i="63"/>
  <c r="K181" i="63"/>
  <c r="L181" i="63"/>
  <c r="M181" i="63"/>
  <c r="O181" i="63"/>
  <c r="P181" i="63"/>
  <c r="R181" i="63"/>
  <c r="S181" i="63"/>
  <c r="T181" i="63"/>
  <c r="U181" i="63"/>
  <c r="V181" i="63"/>
  <c r="W181" i="63"/>
  <c r="X181" i="63"/>
  <c r="Z181" i="63"/>
  <c r="AA181" i="63"/>
  <c r="AB181" i="63"/>
  <c r="AC181" i="63"/>
  <c r="AD181" i="63"/>
  <c r="AE181" i="63"/>
  <c r="AF181" i="63"/>
  <c r="AG181" i="63"/>
  <c r="AH181" i="63"/>
  <c r="AI181" i="63"/>
  <c r="AJ181" i="63"/>
  <c r="AK181" i="63"/>
  <c r="AL181" i="63"/>
  <c r="AM181" i="63"/>
  <c r="AN181" i="63"/>
  <c r="AO181" i="63"/>
  <c r="AP181" i="63"/>
  <c r="AQ181" i="63"/>
  <c r="AR181" i="63"/>
  <c r="AS181" i="63"/>
  <c r="AT181" i="63"/>
  <c r="AU181" i="63"/>
  <c r="AW181" i="63"/>
  <c r="AX181" i="63"/>
  <c r="AY181" i="63"/>
  <c r="BA181" i="63"/>
  <c r="A182" i="63"/>
  <c r="B182" i="63"/>
  <c r="D182" i="63"/>
  <c r="E182" i="63"/>
  <c r="F182" i="63"/>
  <c r="G182" i="63"/>
  <c r="H182" i="63"/>
  <c r="J182" i="63"/>
  <c r="K182" i="63"/>
  <c r="L182" i="63"/>
  <c r="M182" i="63"/>
  <c r="O182" i="63"/>
  <c r="P182" i="63"/>
  <c r="R182" i="63"/>
  <c r="S182" i="63"/>
  <c r="T182" i="63"/>
  <c r="U182" i="63"/>
  <c r="V182" i="63"/>
  <c r="W182" i="63"/>
  <c r="X182" i="63"/>
  <c r="Z182" i="63"/>
  <c r="AA182" i="63"/>
  <c r="AB182" i="63"/>
  <c r="AC182" i="63"/>
  <c r="AD182" i="63"/>
  <c r="AE182" i="63"/>
  <c r="AF182" i="63"/>
  <c r="AG182" i="63"/>
  <c r="AH182" i="63"/>
  <c r="AI182" i="63"/>
  <c r="AJ182" i="63"/>
  <c r="AK182" i="63"/>
  <c r="AL182" i="63"/>
  <c r="AM182" i="63"/>
  <c r="AN182" i="63"/>
  <c r="AO182" i="63"/>
  <c r="AP182" i="63"/>
  <c r="AQ182" i="63"/>
  <c r="AR182" i="63"/>
  <c r="AS182" i="63"/>
  <c r="AT182" i="63"/>
  <c r="AU182" i="63"/>
  <c r="AW182" i="63"/>
  <c r="AX182" i="63"/>
  <c r="AY182" i="63"/>
  <c r="BA182" i="63"/>
  <c r="A183" i="63"/>
  <c r="B183" i="63"/>
  <c r="D183" i="63"/>
  <c r="E183" i="63"/>
  <c r="F183" i="63"/>
  <c r="G183" i="63"/>
  <c r="H183" i="63"/>
  <c r="J183" i="63"/>
  <c r="K183" i="63"/>
  <c r="L183" i="63"/>
  <c r="M183" i="63"/>
  <c r="O183" i="63"/>
  <c r="P183" i="63"/>
  <c r="R183" i="63"/>
  <c r="S183" i="63"/>
  <c r="T183" i="63"/>
  <c r="U183" i="63"/>
  <c r="V183" i="63"/>
  <c r="W183" i="63"/>
  <c r="X183" i="63"/>
  <c r="Z183" i="63"/>
  <c r="AA183" i="63"/>
  <c r="AB183" i="63"/>
  <c r="AC183" i="63"/>
  <c r="AD183" i="63"/>
  <c r="AE183" i="63"/>
  <c r="AF183" i="63"/>
  <c r="AG183" i="63"/>
  <c r="AH183" i="63"/>
  <c r="AI183" i="63"/>
  <c r="AJ183" i="63"/>
  <c r="AK183" i="63"/>
  <c r="AL183" i="63"/>
  <c r="AM183" i="63"/>
  <c r="AN183" i="63"/>
  <c r="AO183" i="63"/>
  <c r="AP183" i="63"/>
  <c r="AQ183" i="63"/>
  <c r="AR183" i="63"/>
  <c r="AS183" i="63"/>
  <c r="AT183" i="63"/>
  <c r="AU183" i="63"/>
  <c r="AW183" i="63"/>
  <c r="AX183" i="63"/>
  <c r="AY183" i="63"/>
  <c r="BA183" i="63"/>
  <c r="A184" i="63"/>
  <c r="B184" i="63"/>
  <c r="D184" i="63"/>
  <c r="E184" i="63"/>
  <c r="F184" i="63"/>
  <c r="G184" i="63"/>
  <c r="H184" i="63"/>
  <c r="J184" i="63"/>
  <c r="K184" i="63"/>
  <c r="L184" i="63"/>
  <c r="M184" i="63"/>
  <c r="O184" i="63"/>
  <c r="P184" i="63"/>
  <c r="R184" i="63"/>
  <c r="S184" i="63"/>
  <c r="T184" i="63"/>
  <c r="U184" i="63"/>
  <c r="V184" i="63"/>
  <c r="W184" i="63"/>
  <c r="X184" i="63"/>
  <c r="Z184" i="63"/>
  <c r="AA184" i="63"/>
  <c r="AB184" i="63"/>
  <c r="AC184" i="63"/>
  <c r="AD184" i="63"/>
  <c r="AE184" i="63"/>
  <c r="AF184" i="63"/>
  <c r="AG184" i="63"/>
  <c r="AH184" i="63"/>
  <c r="AI184" i="63"/>
  <c r="AJ184" i="63"/>
  <c r="AK184" i="63"/>
  <c r="AL184" i="63"/>
  <c r="AM184" i="63"/>
  <c r="AN184" i="63"/>
  <c r="AO184" i="63"/>
  <c r="AP184" i="63"/>
  <c r="AQ184" i="63"/>
  <c r="AR184" i="63"/>
  <c r="AS184" i="63"/>
  <c r="AT184" i="63"/>
  <c r="AU184" i="63"/>
  <c r="AW184" i="63"/>
  <c r="AX184" i="63"/>
  <c r="AY184" i="63"/>
  <c r="BA184" i="63"/>
  <c r="A185" i="63"/>
  <c r="B185" i="63"/>
  <c r="D185" i="63"/>
  <c r="E185" i="63"/>
  <c r="F185" i="63"/>
  <c r="G185" i="63"/>
  <c r="H185" i="63"/>
  <c r="J185" i="63"/>
  <c r="K185" i="63"/>
  <c r="L185" i="63"/>
  <c r="M185" i="63"/>
  <c r="O185" i="63"/>
  <c r="P185" i="63"/>
  <c r="R185" i="63"/>
  <c r="S185" i="63"/>
  <c r="T185" i="63"/>
  <c r="U185" i="63"/>
  <c r="V185" i="63"/>
  <c r="W185" i="63"/>
  <c r="X185" i="63"/>
  <c r="Z185" i="63"/>
  <c r="AA185" i="63"/>
  <c r="AB185" i="63"/>
  <c r="AC185" i="63"/>
  <c r="AD185" i="63"/>
  <c r="AE185" i="63"/>
  <c r="AF185" i="63"/>
  <c r="AG185" i="63"/>
  <c r="AH185" i="63"/>
  <c r="AI185" i="63"/>
  <c r="AJ185" i="63"/>
  <c r="AK185" i="63"/>
  <c r="AL185" i="63"/>
  <c r="AM185" i="63"/>
  <c r="AN185" i="63"/>
  <c r="AO185" i="63"/>
  <c r="AP185" i="63"/>
  <c r="AQ185" i="63"/>
  <c r="AR185" i="63"/>
  <c r="AS185" i="63"/>
  <c r="AT185" i="63"/>
  <c r="AU185" i="63"/>
  <c r="AW185" i="63"/>
  <c r="AX185" i="63"/>
  <c r="AY185" i="63"/>
  <c r="BA185" i="63"/>
  <c r="A186" i="63"/>
  <c r="B186" i="63"/>
  <c r="D186" i="63"/>
  <c r="E186" i="63"/>
  <c r="F186" i="63"/>
  <c r="G186" i="63"/>
  <c r="H186" i="63"/>
  <c r="J186" i="63"/>
  <c r="K186" i="63"/>
  <c r="L186" i="63"/>
  <c r="M186" i="63"/>
  <c r="O186" i="63"/>
  <c r="P186" i="63"/>
  <c r="R186" i="63"/>
  <c r="S186" i="63"/>
  <c r="T186" i="63"/>
  <c r="U186" i="63"/>
  <c r="V186" i="63"/>
  <c r="W186" i="63"/>
  <c r="X186" i="63"/>
  <c r="Z186" i="63"/>
  <c r="AA186" i="63"/>
  <c r="AB186" i="63"/>
  <c r="AC186" i="63"/>
  <c r="AD186" i="63"/>
  <c r="AE186" i="63"/>
  <c r="AF186" i="63"/>
  <c r="AG186" i="63"/>
  <c r="AH186" i="63"/>
  <c r="AI186" i="63"/>
  <c r="AJ186" i="63"/>
  <c r="AK186" i="63"/>
  <c r="AL186" i="63"/>
  <c r="AM186" i="63"/>
  <c r="AN186" i="63"/>
  <c r="AO186" i="63"/>
  <c r="AP186" i="63"/>
  <c r="AQ186" i="63"/>
  <c r="AR186" i="63"/>
  <c r="AS186" i="63"/>
  <c r="AT186" i="63"/>
  <c r="AU186" i="63"/>
  <c r="AW186" i="63"/>
  <c r="AX186" i="63"/>
  <c r="AY186" i="63"/>
  <c r="BA186" i="63"/>
  <c r="A187" i="63"/>
  <c r="B187" i="63"/>
  <c r="D187" i="63"/>
  <c r="E187" i="63"/>
  <c r="F187" i="63"/>
  <c r="G187" i="63"/>
  <c r="H187" i="63"/>
  <c r="J187" i="63"/>
  <c r="K187" i="63"/>
  <c r="L187" i="63"/>
  <c r="M187" i="63"/>
  <c r="O187" i="63"/>
  <c r="P187" i="63"/>
  <c r="R187" i="63"/>
  <c r="S187" i="63"/>
  <c r="T187" i="63"/>
  <c r="U187" i="63"/>
  <c r="V187" i="63"/>
  <c r="W187" i="63"/>
  <c r="X187" i="63"/>
  <c r="Z187" i="63"/>
  <c r="AA187" i="63"/>
  <c r="AB187" i="63"/>
  <c r="AC187" i="63"/>
  <c r="AD187" i="63"/>
  <c r="AE187" i="63"/>
  <c r="AF187" i="63"/>
  <c r="AG187" i="63"/>
  <c r="AH187" i="63"/>
  <c r="AI187" i="63"/>
  <c r="AJ187" i="63"/>
  <c r="AK187" i="63"/>
  <c r="AL187" i="63"/>
  <c r="AM187" i="63"/>
  <c r="AN187" i="63"/>
  <c r="AO187" i="63"/>
  <c r="AP187" i="63"/>
  <c r="AQ187" i="63"/>
  <c r="AR187" i="63"/>
  <c r="AS187" i="63"/>
  <c r="AT187" i="63"/>
  <c r="AU187" i="63"/>
  <c r="AW187" i="63"/>
  <c r="AX187" i="63"/>
  <c r="AY187" i="63"/>
  <c r="BA187" i="63"/>
  <c r="A188" i="63"/>
  <c r="B188" i="63"/>
  <c r="D188" i="63"/>
  <c r="E188" i="63"/>
  <c r="F188" i="63"/>
  <c r="G188" i="63"/>
  <c r="H188" i="63"/>
  <c r="J188" i="63"/>
  <c r="K188" i="63"/>
  <c r="L188" i="63"/>
  <c r="M188" i="63"/>
  <c r="O188" i="63"/>
  <c r="P188" i="63"/>
  <c r="R188" i="63"/>
  <c r="S188" i="63"/>
  <c r="T188" i="63"/>
  <c r="U188" i="63"/>
  <c r="V188" i="63"/>
  <c r="W188" i="63"/>
  <c r="X188" i="63"/>
  <c r="Z188" i="63"/>
  <c r="AA188" i="63"/>
  <c r="AB188" i="63"/>
  <c r="AC188" i="63"/>
  <c r="AD188" i="63"/>
  <c r="AE188" i="63"/>
  <c r="AF188" i="63"/>
  <c r="AG188" i="63"/>
  <c r="AH188" i="63"/>
  <c r="AI188" i="63"/>
  <c r="AJ188" i="63"/>
  <c r="AK188" i="63"/>
  <c r="AL188" i="63"/>
  <c r="AM188" i="63"/>
  <c r="AN188" i="63"/>
  <c r="AO188" i="63"/>
  <c r="AP188" i="63"/>
  <c r="AQ188" i="63"/>
  <c r="AR188" i="63"/>
  <c r="AS188" i="63"/>
  <c r="AT188" i="63"/>
  <c r="AU188" i="63"/>
  <c r="AW188" i="63"/>
  <c r="AX188" i="63"/>
  <c r="AY188" i="63"/>
  <c r="BA188" i="63"/>
  <c r="A189" i="63"/>
  <c r="B189" i="63"/>
  <c r="D189" i="63"/>
  <c r="E189" i="63"/>
  <c r="F189" i="63"/>
  <c r="G189" i="63"/>
  <c r="H189" i="63"/>
  <c r="J189" i="63"/>
  <c r="K189" i="63"/>
  <c r="L189" i="63"/>
  <c r="M189" i="63"/>
  <c r="O189" i="63"/>
  <c r="P189" i="63"/>
  <c r="R189" i="63"/>
  <c r="S189" i="63"/>
  <c r="T189" i="63"/>
  <c r="U189" i="63"/>
  <c r="V189" i="63"/>
  <c r="W189" i="63"/>
  <c r="X189" i="63"/>
  <c r="Z189" i="63"/>
  <c r="AA189" i="63"/>
  <c r="AB189" i="63"/>
  <c r="AC189" i="63"/>
  <c r="AD189" i="63"/>
  <c r="AE189" i="63"/>
  <c r="AF189" i="63"/>
  <c r="AG189" i="63"/>
  <c r="AH189" i="63"/>
  <c r="AI189" i="63"/>
  <c r="AJ189" i="63"/>
  <c r="AK189" i="63"/>
  <c r="AL189" i="63"/>
  <c r="AM189" i="63"/>
  <c r="AN189" i="63"/>
  <c r="AO189" i="63"/>
  <c r="AP189" i="63"/>
  <c r="AQ189" i="63"/>
  <c r="AR189" i="63"/>
  <c r="AS189" i="63"/>
  <c r="AT189" i="63"/>
  <c r="AU189" i="63"/>
  <c r="AW189" i="63"/>
  <c r="AX189" i="63"/>
  <c r="AY189" i="63"/>
  <c r="BA189" i="63"/>
  <c r="A190" i="63"/>
  <c r="B190" i="63"/>
  <c r="D190" i="63"/>
  <c r="E190" i="63"/>
  <c r="F190" i="63"/>
  <c r="G190" i="63"/>
  <c r="H190" i="63"/>
  <c r="J190" i="63"/>
  <c r="K190" i="63"/>
  <c r="L190" i="63"/>
  <c r="M190" i="63"/>
  <c r="O190" i="63"/>
  <c r="P190" i="63"/>
  <c r="R190" i="63"/>
  <c r="S190" i="63"/>
  <c r="T190" i="63"/>
  <c r="U190" i="63"/>
  <c r="V190" i="63"/>
  <c r="W190" i="63"/>
  <c r="X190" i="63"/>
  <c r="Z190" i="63"/>
  <c r="AA190" i="63"/>
  <c r="AB190" i="63"/>
  <c r="AC190" i="63"/>
  <c r="AD190" i="63"/>
  <c r="AE190" i="63"/>
  <c r="AF190" i="63"/>
  <c r="AG190" i="63"/>
  <c r="AH190" i="63"/>
  <c r="AI190" i="63"/>
  <c r="AJ190" i="63"/>
  <c r="AK190" i="63"/>
  <c r="AL190" i="63"/>
  <c r="AM190" i="63"/>
  <c r="AN190" i="63"/>
  <c r="AO190" i="63"/>
  <c r="AP190" i="63"/>
  <c r="AQ190" i="63"/>
  <c r="AR190" i="63"/>
  <c r="AS190" i="63"/>
  <c r="AT190" i="63"/>
  <c r="AU190" i="63"/>
  <c r="AW190" i="63"/>
  <c r="AX190" i="63"/>
  <c r="AY190" i="63"/>
  <c r="BA190" i="63"/>
  <c r="A191" i="63"/>
  <c r="B191" i="63"/>
  <c r="D191" i="63"/>
  <c r="E191" i="63"/>
  <c r="F191" i="63"/>
  <c r="G191" i="63"/>
  <c r="H191" i="63"/>
  <c r="J191" i="63"/>
  <c r="K191" i="63"/>
  <c r="L191" i="63"/>
  <c r="M191" i="63"/>
  <c r="O191" i="63"/>
  <c r="P191" i="63"/>
  <c r="R191" i="63"/>
  <c r="S191" i="63"/>
  <c r="T191" i="63"/>
  <c r="U191" i="63"/>
  <c r="V191" i="63"/>
  <c r="W191" i="63"/>
  <c r="X191" i="63"/>
  <c r="Z191" i="63"/>
  <c r="AA191" i="63"/>
  <c r="AB191" i="63"/>
  <c r="AC191" i="63"/>
  <c r="AD191" i="63"/>
  <c r="AE191" i="63"/>
  <c r="AF191" i="63"/>
  <c r="AG191" i="63"/>
  <c r="AH191" i="63"/>
  <c r="AI191" i="63"/>
  <c r="AJ191" i="63"/>
  <c r="AK191" i="63"/>
  <c r="AL191" i="63"/>
  <c r="AM191" i="63"/>
  <c r="AN191" i="63"/>
  <c r="AO191" i="63"/>
  <c r="AP191" i="63"/>
  <c r="AQ191" i="63"/>
  <c r="AR191" i="63"/>
  <c r="AS191" i="63"/>
  <c r="AT191" i="63"/>
  <c r="AU191" i="63"/>
  <c r="AW191" i="63"/>
  <c r="AX191" i="63"/>
  <c r="AY191" i="63"/>
  <c r="BA191" i="63"/>
  <c r="A192" i="63"/>
  <c r="B192" i="63"/>
  <c r="D192" i="63"/>
  <c r="E192" i="63"/>
  <c r="F192" i="63"/>
  <c r="G192" i="63"/>
  <c r="H192" i="63"/>
  <c r="J192" i="63"/>
  <c r="K192" i="63"/>
  <c r="L192" i="63"/>
  <c r="M192" i="63"/>
  <c r="O192" i="63"/>
  <c r="P192" i="63"/>
  <c r="R192" i="63"/>
  <c r="S192" i="63"/>
  <c r="T192" i="63"/>
  <c r="U192" i="63"/>
  <c r="V192" i="63"/>
  <c r="W192" i="63"/>
  <c r="X192" i="63"/>
  <c r="Z192" i="63"/>
  <c r="AA192" i="63"/>
  <c r="AB192" i="63"/>
  <c r="AC192" i="63"/>
  <c r="AD192" i="63"/>
  <c r="AE192" i="63"/>
  <c r="AF192" i="63"/>
  <c r="AG192" i="63"/>
  <c r="AH192" i="63"/>
  <c r="AI192" i="63"/>
  <c r="AJ192" i="63"/>
  <c r="AK192" i="63"/>
  <c r="AL192" i="63"/>
  <c r="AM192" i="63"/>
  <c r="AN192" i="63"/>
  <c r="AO192" i="63"/>
  <c r="AP192" i="63"/>
  <c r="AQ192" i="63"/>
  <c r="AR192" i="63"/>
  <c r="AS192" i="63"/>
  <c r="AT192" i="63"/>
  <c r="AU192" i="63"/>
  <c r="AW192" i="63"/>
  <c r="AX192" i="63"/>
  <c r="AY192" i="63"/>
  <c r="BA192" i="63"/>
  <c r="A193" i="63"/>
  <c r="B193" i="63"/>
  <c r="D193" i="63"/>
  <c r="E193" i="63"/>
  <c r="F193" i="63"/>
  <c r="G193" i="63"/>
  <c r="H193" i="63"/>
  <c r="J193" i="63"/>
  <c r="K193" i="63"/>
  <c r="L193" i="63"/>
  <c r="M193" i="63"/>
  <c r="O193" i="63"/>
  <c r="P193" i="63"/>
  <c r="R193" i="63"/>
  <c r="S193" i="63"/>
  <c r="T193" i="63"/>
  <c r="U193" i="63"/>
  <c r="V193" i="63"/>
  <c r="W193" i="63"/>
  <c r="X193" i="63"/>
  <c r="Z193" i="63"/>
  <c r="AA193" i="63"/>
  <c r="AB193" i="63"/>
  <c r="AC193" i="63"/>
  <c r="AD193" i="63"/>
  <c r="AE193" i="63"/>
  <c r="AF193" i="63"/>
  <c r="AG193" i="63"/>
  <c r="AH193" i="63"/>
  <c r="AI193" i="63"/>
  <c r="AJ193" i="63"/>
  <c r="AK193" i="63"/>
  <c r="AL193" i="63"/>
  <c r="AM193" i="63"/>
  <c r="AN193" i="63"/>
  <c r="AO193" i="63"/>
  <c r="AP193" i="63"/>
  <c r="AQ193" i="63"/>
  <c r="AR193" i="63"/>
  <c r="AS193" i="63"/>
  <c r="AT193" i="63"/>
  <c r="AU193" i="63"/>
  <c r="AW193" i="63"/>
  <c r="AX193" i="63"/>
  <c r="AY193" i="63"/>
  <c r="BA193" i="63"/>
  <c r="A194" i="63"/>
  <c r="B194" i="63"/>
  <c r="D194" i="63"/>
  <c r="E194" i="63"/>
  <c r="F194" i="63"/>
  <c r="G194" i="63"/>
  <c r="H194" i="63"/>
  <c r="J194" i="63"/>
  <c r="K194" i="63"/>
  <c r="L194" i="63"/>
  <c r="M194" i="63"/>
  <c r="O194" i="63"/>
  <c r="P194" i="63"/>
  <c r="R194" i="63"/>
  <c r="S194" i="63"/>
  <c r="T194" i="63"/>
  <c r="U194" i="63"/>
  <c r="V194" i="63"/>
  <c r="W194" i="63"/>
  <c r="X194" i="63"/>
  <c r="Z194" i="63"/>
  <c r="AA194" i="63"/>
  <c r="AB194" i="63"/>
  <c r="AC194" i="63"/>
  <c r="AD194" i="63"/>
  <c r="AE194" i="63"/>
  <c r="AF194" i="63"/>
  <c r="AG194" i="63"/>
  <c r="AH194" i="63"/>
  <c r="AI194" i="63"/>
  <c r="AJ194" i="63"/>
  <c r="AK194" i="63"/>
  <c r="AL194" i="63"/>
  <c r="AM194" i="63"/>
  <c r="AN194" i="63"/>
  <c r="AO194" i="63"/>
  <c r="AP194" i="63"/>
  <c r="AQ194" i="63"/>
  <c r="AR194" i="63"/>
  <c r="AS194" i="63"/>
  <c r="AT194" i="63"/>
  <c r="AU194" i="63"/>
  <c r="AW194" i="63"/>
  <c r="AX194" i="63"/>
  <c r="AY194" i="63"/>
  <c r="BA194" i="63"/>
  <c r="A195" i="63"/>
  <c r="B195" i="63"/>
  <c r="D195" i="63"/>
  <c r="E195" i="63"/>
  <c r="F195" i="63"/>
  <c r="G195" i="63"/>
  <c r="H195" i="63"/>
  <c r="J195" i="63"/>
  <c r="K195" i="63"/>
  <c r="L195" i="63"/>
  <c r="M195" i="63"/>
  <c r="O195" i="63"/>
  <c r="P195" i="63"/>
  <c r="R195" i="63"/>
  <c r="S195" i="63"/>
  <c r="T195" i="63"/>
  <c r="U195" i="63"/>
  <c r="V195" i="63"/>
  <c r="W195" i="63"/>
  <c r="X195" i="63"/>
  <c r="Z195" i="63"/>
  <c r="AA195" i="63"/>
  <c r="AB195" i="63"/>
  <c r="AC195" i="63"/>
  <c r="AD195" i="63"/>
  <c r="AE195" i="63"/>
  <c r="AF195" i="63"/>
  <c r="AG195" i="63"/>
  <c r="AH195" i="63"/>
  <c r="AI195" i="63"/>
  <c r="AJ195" i="63"/>
  <c r="AK195" i="63"/>
  <c r="AL195" i="63"/>
  <c r="AM195" i="63"/>
  <c r="AN195" i="63"/>
  <c r="AO195" i="63"/>
  <c r="AP195" i="63"/>
  <c r="AQ195" i="63"/>
  <c r="AR195" i="63"/>
  <c r="AS195" i="63"/>
  <c r="AT195" i="63"/>
  <c r="AU195" i="63"/>
  <c r="AW195" i="63"/>
  <c r="AX195" i="63"/>
  <c r="AY195" i="63"/>
  <c r="BA195" i="63"/>
  <c r="A196" i="63"/>
  <c r="B196" i="63"/>
  <c r="D196" i="63"/>
  <c r="E196" i="63"/>
  <c r="F196" i="63"/>
  <c r="G196" i="63"/>
  <c r="H196" i="63"/>
  <c r="J196" i="63"/>
  <c r="K196" i="63"/>
  <c r="L196" i="63"/>
  <c r="M196" i="63"/>
  <c r="O196" i="63"/>
  <c r="P196" i="63"/>
  <c r="R196" i="63"/>
  <c r="S196" i="63"/>
  <c r="T196" i="63"/>
  <c r="U196" i="63"/>
  <c r="V196" i="63"/>
  <c r="W196" i="63"/>
  <c r="X196" i="63"/>
  <c r="Z196" i="63"/>
  <c r="AA196" i="63"/>
  <c r="AB196" i="63"/>
  <c r="AC196" i="63"/>
  <c r="AD196" i="63"/>
  <c r="AE196" i="63"/>
  <c r="AF196" i="63"/>
  <c r="AG196" i="63"/>
  <c r="AH196" i="63"/>
  <c r="AI196" i="63"/>
  <c r="AJ196" i="63"/>
  <c r="AK196" i="63"/>
  <c r="AL196" i="63"/>
  <c r="AM196" i="63"/>
  <c r="AN196" i="63"/>
  <c r="AO196" i="63"/>
  <c r="AP196" i="63"/>
  <c r="AQ196" i="63"/>
  <c r="AR196" i="63"/>
  <c r="AS196" i="63"/>
  <c r="AT196" i="63"/>
  <c r="AU196" i="63"/>
  <c r="AW196" i="63"/>
  <c r="AX196" i="63"/>
  <c r="AY196" i="63"/>
  <c r="BA196" i="63"/>
  <c r="A197" i="63"/>
  <c r="B197" i="63"/>
  <c r="D197" i="63"/>
  <c r="E197" i="63"/>
  <c r="F197" i="63"/>
  <c r="G197" i="63"/>
  <c r="H197" i="63"/>
  <c r="J197" i="63"/>
  <c r="K197" i="63"/>
  <c r="L197" i="63"/>
  <c r="M197" i="63"/>
  <c r="O197" i="63"/>
  <c r="P197" i="63"/>
  <c r="R197" i="63"/>
  <c r="S197" i="63"/>
  <c r="T197" i="63"/>
  <c r="U197" i="63"/>
  <c r="V197" i="63"/>
  <c r="W197" i="63"/>
  <c r="X197" i="63"/>
  <c r="Z197" i="63"/>
  <c r="AA197" i="63"/>
  <c r="AB197" i="63"/>
  <c r="AC197" i="63"/>
  <c r="AD197" i="63"/>
  <c r="AE197" i="63"/>
  <c r="AF197" i="63"/>
  <c r="AG197" i="63"/>
  <c r="AH197" i="63"/>
  <c r="AI197" i="63"/>
  <c r="AJ197" i="63"/>
  <c r="AK197" i="63"/>
  <c r="AL197" i="63"/>
  <c r="AM197" i="63"/>
  <c r="AN197" i="63"/>
  <c r="AO197" i="63"/>
  <c r="AP197" i="63"/>
  <c r="AQ197" i="63"/>
  <c r="AR197" i="63"/>
  <c r="AS197" i="63"/>
  <c r="AT197" i="63"/>
  <c r="AU197" i="63"/>
  <c r="AW197" i="63"/>
  <c r="AX197" i="63"/>
  <c r="AY197" i="63"/>
  <c r="BA197" i="63"/>
  <c r="A198" i="63"/>
  <c r="B198" i="63"/>
  <c r="D198" i="63"/>
  <c r="E198" i="63"/>
  <c r="F198" i="63"/>
  <c r="G198" i="63"/>
  <c r="H198" i="63"/>
  <c r="J198" i="63"/>
  <c r="K198" i="63"/>
  <c r="L198" i="63"/>
  <c r="M198" i="63"/>
  <c r="O198" i="63"/>
  <c r="P198" i="63"/>
  <c r="R198" i="63"/>
  <c r="S198" i="63"/>
  <c r="T198" i="63"/>
  <c r="U198" i="63"/>
  <c r="V198" i="63"/>
  <c r="W198" i="63"/>
  <c r="X198" i="63"/>
  <c r="Z198" i="63"/>
  <c r="AA198" i="63"/>
  <c r="AB198" i="63"/>
  <c r="AC198" i="63"/>
  <c r="AD198" i="63"/>
  <c r="AE198" i="63"/>
  <c r="AF198" i="63"/>
  <c r="AG198" i="63"/>
  <c r="AH198" i="63"/>
  <c r="AI198" i="63"/>
  <c r="AJ198" i="63"/>
  <c r="AK198" i="63"/>
  <c r="AL198" i="63"/>
  <c r="AM198" i="63"/>
  <c r="AN198" i="63"/>
  <c r="AO198" i="63"/>
  <c r="AP198" i="63"/>
  <c r="AQ198" i="63"/>
  <c r="AR198" i="63"/>
  <c r="AS198" i="63"/>
  <c r="AT198" i="63"/>
  <c r="AU198" i="63"/>
  <c r="AW198" i="63"/>
  <c r="AX198" i="63"/>
  <c r="AY198" i="63"/>
  <c r="BA198" i="63"/>
  <c r="A199" i="63"/>
  <c r="B199" i="63"/>
  <c r="D199" i="63"/>
  <c r="E199" i="63"/>
  <c r="F199" i="63"/>
  <c r="G199" i="63"/>
  <c r="H199" i="63"/>
  <c r="J199" i="63"/>
  <c r="K199" i="63"/>
  <c r="L199" i="63"/>
  <c r="M199" i="63"/>
  <c r="O199" i="63"/>
  <c r="P199" i="63"/>
  <c r="R199" i="63"/>
  <c r="S199" i="63"/>
  <c r="T199" i="63"/>
  <c r="U199" i="63"/>
  <c r="V199" i="63"/>
  <c r="W199" i="63"/>
  <c r="X199" i="63"/>
  <c r="Z199" i="63"/>
  <c r="AA199" i="63"/>
  <c r="AB199" i="63"/>
  <c r="AC199" i="63"/>
  <c r="AD199" i="63"/>
  <c r="AE199" i="63"/>
  <c r="AF199" i="63"/>
  <c r="AG199" i="63"/>
  <c r="AH199" i="63"/>
  <c r="AI199" i="63"/>
  <c r="AJ199" i="63"/>
  <c r="AK199" i="63"/>
  <c r="AL199" i="63"/>
  <c r="AM199" i="63"/>
  <c r="AN199" i="63"/>
  <c r="AO199" i="63"/>
  <c r="AP199" i="63"/>
  <c r="AQ199" i="63"/>
  <c r="AR199" i="63"/>
  <c r="AS199" i="63"/>
  <c r="AT199" i="63"/>
  <c r="AU199" i="63"/>
  <c r="AW199" i="63"/>
  <c r="AX199" i="63"/>
  <c r="AY199" i="63"/>
  <c r="BA199" i="63"/>
  <c r="A200" i="63"/>
  <c r="B200" i="63"/>
  <c r="D200" i="63"/>
  <c r="E200" i="63"/>
  <c r="F200" i="63"/>
  <c r="G200" i="63"/>
  <c r="H200" i="63"/>
  <c r="J200" i="63"/>
  <c r="K200" i="63"/>
  <c r="L200" i="63"/>
  <c r="M200" i="63"/>
  <c r="O200" i="63"/>
  <c r="P200" i="63"/>
  <c r="R200" i="63"/>
  <c r="S200" i="63"/>
  <c r="T200" i="63"/>
  <c r="U200" i="63"/>
  <c r="V200" i="63"/>
  <c r="W200" i="63"/>
  <c r="X200" i="63"/>
  <c r="Z200" i="63"/>
  <c r="AA200" i="63"/>
  <c r="AB200" i="63"/>
  <c r="AC200" i="63"/>
  <c r="AD200" i="63"/>
  <c r="AE200" i="63"/>
  <c r="AF200" i="63"/>
  <c r="AG200" i="63"/>
  <c r="AH200" i="63"/>
  <c r="AI200" i="63"/>
  <c r="AJ200" i="63"/>
  <c r="AK200" i="63"/>
  <c r="AL200" i="63"/>
  <c r="AM200" i="63"/>
  <c r="AN200" i="63"/>
  <c r="AO200" i="63"/>
  <c r="AP200" i="63"/>
  <c r="AQ200" i="63"/>
  <c r="AR200" i="63"/>
  <c r="AS200" i="63"/>
  <c r="AT200" i="63"/>
  <c r="AU200" i="63"/>
  <c r="AW200" i="63"/>
  <c r="AX200" i="63"/>
  <c r="AY200" i="63"/>
  <c r="BA200" i="63"/>
  <c r="A201" i="63"/>
  <c r="B201" i="63"/>
  <c r="D201" i="63"/>
  <c r="E201" i="63"/>
  <c r="F201" i="63"/>
  <c r="G201" i="63"/>
  <c r="H201" i="63"/>
  <c r="J201" i="63"/>
  <c r="K201" i="63"/>
  <c r="L201" i="63"/>
  <c r="M201" i="63"/>
  <c r="O201" i="63"/>
  <c r="P201" i="63"/>
  <c r="R201" i="63"/>
  <c r="S201" i="63"/>
  <c r="T201" i="63"/>
  <c r="U201" i="63"/>
  <c r="V201" i="63"/>
  <c r="W201" i="63"/>
  <c r="X201" i="63"/>
  <c r="Z201" i="63"/>
  <c r="AA201" i="63"/>
  <c r="AB201" i="63"/>
  <c r="AC201" i="63"/>
  <c r="AD201" i="63"/>
  <c r="AE201" i="63"/>
  <c r="AF201" i="63"/>
  <c r="AG201" i="63"/>
  <c r="AH201" i="63"/>
  <c r="AI201" i="63"/>
  <c r="AJ201" i="63"/>
  <c r="AK201" i="63"/>
  <c r="AL201" i="63"/>
  <c r="AM201" i="63"/>
  <c r="AN201" i="63"/>
  <c r="AO201" i="63"/>
  <c r="AP201" i="63"/>
  <c r="AQ201" i="63"/>
  <c r="AR201" i="63"/>
  <c r="AS201" i="63"/>
  <c r="AT201" i="63"/>
  <c r="AU201" i="63"/>
  <c r="AW201" i="63"/>
  <c r="AX201" i="63"/>
  <c r="AY201" i="63"/>
  <c r="BA201" i="63"/>
  <c r="A202" i="63"/>
  <c r="B202" i="63"/>
  <c r="D202" i="63"/>
  <c r="E202" i="63"/>
  <c r="F202" i="63"/>
  <c r="G202" i="63"/>
  <c r="H202" i="63"/>
  <c r="J202" i="63"/>
  <c r="K202" i="63"/>
  <c r="L202" i="63"/>
  <c r="M202" i="63"/>
  <c r="O202" i="63"/>
  <c r="P202" i="63"/>
  <c r="R202" i="63"/>
  <c r="S202" i="63"/>
  <c r="T202" i="63"/>
  <c r="U202" i="63"/>
  <c r="V202" i="63"/>
  <c r="W202" i="63"/>
  <c r="X202" i="63"/>
  <c r="Z202" i="63"/>
  <c r="AA202" i="63"/>
  <c r="AB202" i="63"/>
  <c r="AC202" i="63"/>
  <c r="AD202" i="63"/>
  <c r="AE202" i="63"/>
  <c r="AF202" i="63"/>
  <c r="AG202" i="63"/>
  <c r="AH202" i="63"/>
  <c r="AI202" i="63"/>
  <c r="AJ202" i="63"/>
  <c r="AK202" i="63"/>
  <c r="AL202" i="63"/>
  <c r="AM202" i="63"/>
  <c r="AN202" i="63"/>
  <c r="AO202" i="63"/>
  <c r="AP202" i="63"/>
  <c r="AQ202" i="63"/>
  <c r="AR202" i="63"/>
  <c r="AS202" i="63"/>
  <c r="AT202" i="63"/>
  <c r="AU202" i="63"/>
  <c r="AW202" i="63"/>
  <c r="AX202" i="63"/>
  <c r="AY202" i="63"/>
  <c r="BA202" i="63"/>
  <c r="A203" i="63"/>
  <c r="B203" i="63"/>
  <c r="D203" i="63"/>
  <c r="E203" i="63"/>
  <c r="F203" i="63"/>
  <c r="G203" i="63"/>
  <c r="H203" i="63"/>
  <c r="J203" i="63"/>
  <c r="K203" i="63"/>
  <c r="L203" i="63"/>
  <c r="M203" i="63"/>
  <c r="O203" i="63"/>
  <c r="P203" i="63"/>
  <c r="R203" i="63"/>
  <c r="S203" i="63"/>
  <c r="T203" i="63"/>
  <c r="U203" i="63"/>
  <c r="V203" i="63"/>
  <c r="W203" i="63"/>
  <c r="X203" i="63"/>
  <c r="Z203" i="63"/>
  <c r="AA203" i="63"/>
  <c r="AB203" i="63"/>
  <c r="AC203" i="63"/>
  <c r="AD203" i="63"/>
  <c r="AE203" i="63"/>
  <c r="AF203" i="63"/>
  <c r="AG203" i="63"/>
  <c r="AH203" i="63"/>
  <c r="AI203" i="63"/>
  <c r="AJ203" i="63"/>
  <c r="AK203" i="63"/>
  <c r="AL203" i="63"/>
  <c r="AM203" i="63"/>
  <c r="AN203" i="63"/>
  <c r="AO203" i="63"/>
  <c r="AP203" i="63"/>
  <c r="AQ203" i="63"/>
  <c r="AR203" i="63"/>
  <c r="AS203" i="63"/>
  <c r="AT203" i="63"/>
  <c r="AU203" i="63"/>
  <c r="AW203" i="63"/>
  <c r="AX203" i="63"/>
  <c r="AY203" i="63"/>
  <c r="BA203" i="63"/>
  <c r="A204" i="63"/>
  <c r="B204" i="63"/>
  <c r="D204" i="63"/>
  <c r="E204" i="63"/>
  <c r="F204" i="63"/>
  <c r="G204" i="63"/>
  <c r="H204" i="63"/>
  <c r="J204" i="63"/>
  <c r="K204" i="63"/>
  <c r="L204" i="63"/>
  <c r="M204" i="63"/>
  <c r="O204" i="63"/>
  <c r="P204" i="63"/>
  <c r="R204" i="63"/>
  <c r="S204" i="63"/>
  <c r="T204" i="63"/>
  <c r="U204" i="63"/>
  <c r="V204" i="63"/>
  <c r="W204" i="63"/>
  <c r="X204" i="63"/>
  <c r="Z204" i="63"/>
  <c r="AA204" i="63"/>
  <c r="AB204" i="63"/>
  <c r="AC204" i="63"/>
  <c r="AD204" i="63"/>
  <c r="AE204" i="63"/>
  <c r="AF204" i="63"/>
  <c r="AG204" i="63"/>
  <c r="AH204" i="63"/>
  <c r="AI204" i="63"/>
  <c r="AJ204" i="63"/>
  <c r="AK204" i="63"/>
  <c r="AL204" i="63"/>
  <c r="AM204" i="63"/>
  <c r="AN204" i="63"/>
  <c r="AO204" i="63"/>
  <c r="AP204" i="63"/>
  <c r="AQ204" i="63"/>
  <c r="AR204" i="63"/>
  <c r="AS204" i="63"/>
  <c r="AT204" i="63"/>
  <c r="AU204" i="63"/>
  <c r="AW204" i="63"/>
  <c r="AX204" i="63"/>
  <c r="AY204" i="63"/>
  <c r="BA204" i="63"/>
  <c r="A205" i="63"/>
  <c r="B205" i="63"/>
  <c r="D205" i="63"/>
  <c r="E205" i="63"/>
  <c r="F205" i="63"/>
  <c r="G205" i="63"/>
  <c r="H205" i="63"/>
  <c r="J205" i="63"/>
  <c r="K205" i="63"/>
  <c r="L205" i="63"/>
  <c r="M205" i="63"/>
  <c r="O205" i="63"/>
  <c r="P205" i="63"/>
  <c r="R205" i="63"/>
  <c r="S205" i="63"/>
  <c r="T205" i="63"/>
  <c r="U205" i="63"/>
  <c r="V205" i="63"/>
  <c r="W205" i="63"/>
  <c r="X205" i="63"/>
  <c r="Z205" i="63"/>
  <c r="AA205" i="63"/>
  <c r="AB205" i="63"/>
  <c r="AC205" i="63"/>
  <c r="AD205" i="63"/>
  <c r="AE205" i="63"/>
  <c r="AF205" i="63"/>
  <c r="AG205" i="63"/>
  <c r="AH205" i="63"/>
  <c r="AI205" i="63"/>
  <c r="AJ205" i="63"/>
  <c r="AK205" i="63"/>
  <c r="AL205" i="63"/>
  <c r="AM205" i="63"/>
  <c r="AN205" i="63"/>
  <c r="AO205" i="63"/>
  <c r="AP205" i="63"/>
  <c r="AQ205" i="63"/>
  <c r="AR205" i="63"/>
  <c r="AS205" i="63"/>
  <c r="AT205" i="63"/>
  <c r="AU205" i="63"/>
  <c r="AW205" i="63"/>
  <c r="AX205" i="63"/>
  <c r="AY205" i="63"/>
  <c r="BA205" i="63"/>
  <c r="A206" i="63"/>
  <c r="B206" i="63"/>
  <c r="D206" i="63"/>
  <c r="E206" i="63"/>
  <c r="F206" i="63"/>
  <c r="G206" i="63"/>
  <c r="H206" i="63"/>
  <c r="J206" i="63"/>
  <c r="K206" i="63"/>
  <c r="L206" i="63"/>
  <c r="M206" i="63"/>
  <c r="O206" i="63"/>
  <c r="P206" i="63"/>
  <c r="R206" i="63"/>
  <c r="S206" i="63"/>
  <c r="T206" i="63"/>
  <c r="U206" i="63"/>
  <c r="V206" i="63"/>
  <c r="W206" i="63"/>
  <c r="X206" i="63"/>
  <c r="Z206" i="63"/>
  <c r="AA206" i="63"/>
  <c r="AB206" i="63"/>
  <c r="AC206" i="63"/>
  <c r="AD206" i="63"/>
  <c r="AE206" i="63"/>
  <c r="AF206" i="63"/>
  <c r="AG206" i="63"/>
  <c r="AH206" i="63"/>
  <c r="AI206" i="63"/>
  <c r="AJ206" i="63"/>
  <c r="AK206" i="63"/>
  <c r="AL206" i="63"/>
  <c r="AM206" i="63"/>
  <c r="AN206" i="63"/>
  <c r="AO206" i="63"/>
  <c r="AP206" i="63"/>
  <c r="AQ206" i="63"/>
  <c r="AR206" i="63"/>
  <c r="AS206" i="63"/>
  <c r="AT206" i="63"/>
  <c r="AU206" i="63"/>
  <c r="AW206" i="63"/>
  <c r="AX206" i="63"/>
  <c r="AY206" i="63"/>
  <c r="BA206" i="63"/>
  <c r="A207" i="63"/>
  <c r="B207" i="63"/>
  <c r="D207" i="63"/>
  <c r="E207" i="63"/>
  <c r="F207" i="63"/>
  <c r="G207" i="63"/>
  <c r="H207" i="63"/>
  <c r="J207" i="63"/>
  <c r="K207" i="63"/>
  <c r="L207" i="63"/>
  <c r="M207" i="63"/>
  <c r="O207" i="63"/>
  <c r="P207" i="63"/>
  <c r="R207" i="63"/>
  <c r="S207" i="63"/>
  <c r="T207" i="63"/>
  <c r="U207" i="63"/>
  <c r="V207" i="63"/>
  <c r="W207" i="63"/>
  <c r="X207" i="63"/>
  <c r="Z207" i="63"/>
  <c r="AA207" i="63"/>
  <c r="AB207" i="63"/>
  <c r="AC207" i="63"/>
  <c r="AD207" i="63"/>
  <c r="AE207" i="63"/>
  <c r="AF207" i="63"/>
  <c r="AG207" i="63"/>
  <c r="AH207" i="63"/>
  <c r="AI207" i="63"/>
  <c r="AJ207" i="63"/>
  <c r="AK207" i="63"/>
  <c r="AL207" i="63"/>
  <c r="AM207" i="63"/>
  <c r="AN207" i="63"/>
  <c r="AO207" i="63"/>
  <c r="AP207" i="63"/>
  <c r="AQ207" i="63"/>
  <c r="AR207" i="63"/>
  <c r="AS207" i="63"/>
  <c r="AT207" i="63"/>
  <c r="AU207" i="63"/>
  <c r="AW207" i="63"/>
  <c r="AX207" i="63"/>
  <c r="AY207" i="63"/>
  <c r="BA207" i="63"/>
  <c r="A208" i="63"/>
  <c r="B208" i="63"/>
  <c r="D208" i="63"/>
  <c r="E208" i="63"/>
  <c r="F208" i="63"/>
  <c r="G208" i="63"/>
  <c r="H208" i="63"/>
  <c r="J208" i="63"/>
  <c r="K208" i="63"/>
  <c r="L208" i="63"/>
  <c r="M208" i="63"/>
  <c r="O208" i="63"/>
  <c r="P208" i="63"/>
  <c r="R208" i="63"/>
  <c r="S208" i="63"/>
  <c r="T208" i="63"/>
  <c r="U208" i="63"/>
  <c r="V208" i="63"/>
  <c r="W208" i="63"/>
  <c r="X208" i="63"/>
  <c r="Z208" i="63"/>
  <c r="AA208" i="63"/>
  <c r="AB208" i="63"/>
  <c r="AC208" i="63"/>
  <c r="AD208" i="63"/>
  <c r="AE208" i="63"/>
  <c r="AF208" i="63"/>
  <c r="AG208" i="63"/>
  <c r="AH208" i="63"/>
  <c r="AI208" i="63"/>
  <c r="AJ208" i="63"/>
  <c r="AK208" i="63"/>
  <c r="AL208" i="63"/>
  <c r="AM208" i="63"/>
  <c r="AN208" i="63"/>
  <c r="AO208" i="63"/>
  <c r="AP208" i="63"/>
  <c r="AQ208" i="63"/>
  <c r="AR208" i="63"/>
  <c r="AS208" i="63"/>
  <c r="AT208" i="63"/>
  <c r="AU208" i="63"/>
  <c r="AW208" i="63"/>
  <c r="AX208" i="63"/>
  <c r="AY208" i="63"/>
  <c r="BA208" i="63"/>
  <c r="A209" i="63"/>
  <c r="B209" i="63"/>
  <c r="D209" i="63"/>
  <c r="E209" i="63"/>
  <c r="F209" i="63"/>
  <c r="G209" i="63"/>
  <c r="H209" i="63"/>
  <c r="J209" i="63"/>
  <c r="K209" i="63"/>
  <c r="L209" i="63"/>
  <c r="M209" i="63"/>
  <c r="O209" i="63"/>
  <c r="P209" i="63"/>
  <c r="R209" i="63"/>
  <c r="S209" i="63"/>
  <c r="T209" i="63"/>
  <c r="U209" i="63"/>
  <c r="V209" i="63"/>
  <c r="W209" i="63"/>
  <c r="X209" i="63"/>
  <c r="Z209" i="63"/>
  <c r="AA209" i="63"/>
  <c r="AB209" i="63"/>
  <c r="AC209" i="63"/>
  <c r="AD209" i="63"/>
  <c r="AE209" i="63"/>
  <c r="AF209" i="63"/>
  <c r="AG209" i="63"/>
  <c r="AH209" i="63"/>
  <c r="AI209" i="63"/>
  <c r="AJ209" i="63"/>
  <c r="AK209" i="63"/>
  <c r="AL209" i="63"/>
  <c r="AM209" i="63"/>
  <c r="AN209" i="63"/>
  <c r="AO209" i="63"/>
  <c r="AP209" i="63"/>
  <c r="AQ209" i="63"/>
  <c r="AR209" i="63"/>
  <c r="AS209" i="63"/>
  <c r="AT209" i="63"/>
  <c r="AU209" i="63"/>
  <c r="AW209" i="63"/>
  <c r="AX209" i="63"/>
  <c r="AY209" i="63"/>
  <c r="BA209" i="63"/>
  <c r="A210" i="63"/>
  <c r="B210" i="63"/>
  <c r="D210" i="63"/>
  <c r="E210" i="63"/>
  <c r="F210" i="63"/>
  <c r="G210" i="63"/>
  <c r="H210" i="63"/>
  <c r="J210" i="63"/>
  <c r="K210" i="63"/>
  <c r="L210" i="63"/>
  <c r="M210" i="63"/>
  <c r="O210" i="63"/>
  <c r="P210" i="63"/>
  <c r="R210" i="63"/>
  <c r="S210" i="63"/>
  <c r="T210" i="63"/>
  <c r="U210" i="63"/>
  <c r="V210" i="63"/>
  <c r="W210" i="63"/>
  <c r="X210" i="63"/>
  <c r="Z210" i="63"/>
  <c r="AA210" i="63"/>
  <c r="AB210" i="63"/>
  <c r="AC210" i="63"/>
  <c r="AD210" i="63"/>
  <c r="AE210" i="63"/>
  <c r="AF210" i="63"/>
  <c r="AG210" i="63"/>
  <c r="AH210" i="63"/>
  <c r="AI210" i="63"/>
  <c r="AJ210" i="63"/>
  <c r="AK210" i="63"/>
  <c r="AL210" i="63"/>
  <c r="AM210" i="63"/>
  <c r="AN210" i="63"/>
  <c r="AO210" i="63"/>
  <c r="AP210" i="63"/>
  <c r="AQ210" i="63"/>
  <c r="AR210" i="63"/>
  <c r="AS210" i="63"/>
  <c r="AT210" i="63"/>
  <c r="AU210" i="63"/>
  <c r="AW210" i="63"/>
  <c r="AX210" i="63"/>
  <c r="AY210" i="63"/>
  <c r="BA210" i="63"/>
  <c r="A211" i="63"/>
  <c r="B211" i="63"/>
  <c r="D211" i="63"/>
  <c r="E211" i="63"/>
  <c r="F211" i="63"/>
  <c r="G211" i="63"/>
  <c r="H211" i="63"/>
  <c r="J211" i="63"/>
  <c r="K211" i="63"/>
  <c r="L211" i="63"/>
  <c r="M211" i="63"/>
  <c r="O211" i="63"/>
  <c r="P211" i="63"/>
  <c r="R211" i="63"/>
  <c r="S211" i="63"/>
  <c r="T211" i="63"/>
  <c r="U211" i="63"/>
  <c r="V211" i="63"/>
  <c r="W211" i="63"/>
  <c r="X211" i="63"/>
  <c r="Z211" i="63"/>
  <c r="AA211" i="63"/>
  <c r="AB211" i="63"/>
  <c r="AC211" i="63"/>
  <c r="AD211" i="63"/>
  <c r="AE211" i="63"/>
  <c r="AF211" i="63"/>
  <c r="AG211" i="63"/>
  <c r="AH211" i="63"/>
  <c r="AI211" i="63"/>
  <c r="AJ211" i="63"/>
  <c r="AK211" i="63"/>
  <c r="AL211" i="63"/>
  <c r="AM211" i="63"/>
  <c r="AN211" i="63"/>
  <c r="AO211" i="63"/>
  <c r="AP211" i="63"/>
  <c r="AQ211" i="63"/>
  <c r="AR211" i="63"/>
  <c r="AS211" i="63"/>
  <c r="AT211" i="63"/>
  <c r="AU211" i="63"/>
  <c r="AW211" i="63"/>
  <c r="AX211" i="63"/>
  <c r="AY211" i="63"/>
  <c r="BA211" i="63"/>
  <c r="A212" i="63"/>
  <c r="B212" i="63"/>
  <c r="D212" i="63"/>
  <c r="E212" i="63"/>
  <c r="F212" i="63"/>
  <c r="G212" i="63"/>
  <c r="H212" i="63"/>
  <c r="J212" i="63"/>
  <c r="K212" i="63"/>
  <c r="L212" i="63"/>
  <c r="M212" i="63"/>
  <c r="O212" i="63"/>
  <c r="P212" i="63"/>
  <c r="R212" i="63"/>
  <c r="S212" i="63"/>
  <c r="T212" i="63"/>
  <c r="U212" i="63"/>
  <c r="V212" i="63"/>
  <c r="W212" i="63"/>
  <c r="X212" i="63"/>
  <c r="Z212" i="63"/>
  <c r="AA212" i="63"/>
  <c r="AB212" i="63"/>
  <c r="AC212" i="63"/>
  <c r="AD212" i="63"/>
  <c r="AE212" i="63"/>
  <c r="AF212" i="63"/>
  <c r="AG212" i="63"/>
  <c r="AH212" i="63"/>
  <c r="AI212" i="63"/>
  <c r="AJ212" i="63"/>
  <c r="AK212" i="63"/>
  <c r="AL212" i="63"/>
  <c r="AM212" i="63"/>
  <c r="AN212" i="63"/>
  <c r="AO212" i="63"/>
  <c r="AP212" i="63"/>
  <c r="AQ212" i="63"/>
  <c r="AR212" i="63"/>
  <c r="AS212" i="63"/>
  <c r="AT212" i="63"/>
  <c r="AU212" i="63"/>
  <c r="AW212" i="63"/>
  <c r="AX212" i="63"/>
  <c r="AY212" i="63"/>
  <c r="BA212" i="63"/>
  <c r="A213" i="63"/>
  <c r="B213" i="63"/>
  <c r="D213" i="63"/>
  <c r="E213" i="63"/>
  <c r="F213" i="63"/>
  <c r="G213" i="63"/>
  <c r="H213" i="63"/>
  <c r="J213" i="63"/>
  <c r="K213" i="63"/>
  <c r="L213" i="63"/>
  <c r="M213" i="63"/>
  <c r="O213" i="63"/>
  <c r="P213" i="63"/>
  <c r="R213" i="63"/>
  <c r="S213" i="63"/>
  <c r="T213" i="63"/>
  <c r="U213" i="63"/>
  <c r="V213" i="63"/>
  <c r="W213" i="63"/>
  <c r="X213" i="63"/>
  <c r="Z213" i="63"/>
  <c r="AA213" i="63"/>
  <c r="AB213" i="63"/>
  <c r="AC213" i="63"/>
  <c r="AD213" i="63"/>
  <c r="AE213" i="63"/>
  <c r="AF213" i="63"/>
  <c r="AG213" i="63"/>
  <c r="AH213" i="63"/>
  <c r="AI213" i="63"/>
  <c r="AJ213" i="63"/>
  <c r="AK213" i="63"/>
  <c r="AL213" i="63"/>
  <c r="AM213" i="63"/>
  <c r="AN213" i="63"/>
  <c r="AO213" i="63"/>
  <c r="AP213" i="63"/>
  <c r="AQ213" i="63"/>
  <c r="AR213" i="63"/>
  <c r="AS213" i="63"/>
  <c r="AT213" i="63"/>
  <c r="AU213" i="63"/>
  <c r="AW213" i="63"/>
  <c r="AX213" i="63"/>
  <c r="AY213" i="63"/>
  <c r="BA213" i="63"/>
  <c r="A214" i="63"/>
  <c r="B214" i="63"/>
  <c r="D214" i="63"/>
  <c r="E214" i="63"/>
  <c r="F214" i="63"/>
  <c r="G214" i="63"/>
  <c r="H214" i="63"/>
  <c r="J214" i="63"/>
  <c r="K214" i="63"/>
  <c r="L214" i="63"/>
  <c r="M214" i="63"/>
  <c r="O214" i="63"/>
  <c r="P214" i="63"/>
  <c r="R214" i="63"/>
  <c r="S214" i="63"/>
  <c r="T214" i="63"/>
  <c r="U214" i="63"/>
  <c r="V214" i="63"/>
  <c r="W214" i="63"/>
  <c r="X214" i="63"/>
  <c r="Z214" i="63"/>
  <c r="AA214" i="63"/>
  <c r="AB214" i="63"/>
  <c r="AC214" i="63"/>
  <c r="AD214" i="63"/>
  <c r="AE214" i="63"/>
  <c r="AF214" i="63"/>
  <c r="AG214" i="63"/>
  <c r="AH214" i="63"/>
  <c r="AI214" i="63"/>
  <c r="AJ214" i="63"/>
  <c r="AK214" i="63"/>
  <c r="AL214" i="63"/>
  <c r="AM214" i="63"/>
  <c r="AN214" i="63"/>
  <c r="AO214" i="63"/>
  <c r="AP214" i="63"/>
  <c r="AQ214" i="63"/>
  <c r="AR214" i="63"/>
  <c r="AS214" i="63"/>
  <c r="AT214" i="63"/>
  <c r="AU214" i="63"/>
  <c r="AW214" i="63"/>
  <c r="AX214" i="63"/>
  <c r="AY214" i="63"/>
  <c r="BA214" i="63"/>
  <c r="A215" i="63"/>
  <c r="B215" i="63"/>
  <c r="D215" i="63"/>
  <c r="E215" i="63"/>
  <c r="F215" i="63"/>
  <c r="G215" i="63"/>
  <c r="H215" i="63"/>
  <c r="J215" i="63"/>
  <c r="K215" i="63"/>
  <c r="L215" i="63"/>
  <c r="M215" i="63"/>
  <c r="O215" i="63"/>
  <c r="P215" i="63"/>
  <c r="R215" i="63"/>
  <c r="S215" i="63"/>
  <c r="T215" i="63"/>
  <c r="U215" i="63"/>
  <c r="V215" i="63"/>
  <c r="W215" i="63"/>
  <c r="X215" i="63"/>
  <c r="Z215" i="63"/>
  <c r="AA215" i="63"/>
  <c r="AB215" i="63"/>
  <c r="AC215" i="63"/>
  <c r="AD215" i="63"/>
  <c r="AE215" i="63"/>
  <c r="AF215" i="63"/>
  <c r="AG215" i="63"/>
  <c r="AH215" i="63"/>
  <c r="AI215" i="63"/>
  <c r="AJ215" i="63"/>
  <c r="AK215" i="63"/>
  <c r="AL215" i="63"/>
  <c r="AM215" i="63"/>
  <c r="AN215" i="63"/>
  <c r="AO215" i="63"/>
  <c r="AP215" i="63"/>
  <c r="AQ215" i="63"/>
  <c r="AR215" i="63"/>
  <c r="AS215" i="63"/>
  <c r="AT215" i="63"/>
  <c r="AU215" i="63"/>
  <c r="AW215" i="63"/>
  <c r="AX215" i="63"/>
  <c r="AY215" i="63"/>
  <c r="BA215" i="63"/>
  <c r="A216" i="63"/>
  <c r="B216" i="63"/>
  <c r="D216" i="63"/>
  <c r="E216" i="63"/>
  <c r="F216" i="63"/>
  <c r="G216" i="63"/>
  <c r="H216" i="63"/>
  <c r="J216" i="63"/>
  <c r="K216" i="63"/>
  <c r="L216" i="63"/>
  <c r="M216" i="63"/>
  <c r="O216" i="63"/>
  <c r="P216" i="63"/>
  <c r="R216" i="63"/>
  <c r="S216" i="63"/>
  <c r="T216" i="63"/>
  <c r="U216" i="63"/>
  <c r="V216" i="63"/>
  <c r="W216" i="63"/>
  <c r="X216" i="63"/>
  <c r="Z216" i="63"/>
  <c r="AA216" i="63"/>
  <c r="AB216" i="63"/>
  <c r="AC216" i="63"/>
  <c r="AD216" i="63"/>
  <c r="AE216" i="63"/>
  <c r="AF216" i="63"/>
  <c r="AG216" i="63"/>
  <c r="AH216" i="63"/>
  <c r="AI216" i="63"/>
  <c r="AJ216" i="63"/>
  <c r="AK216" i="63"/>
  <c r="AL216" i="63"/>
  <c r="AM216" i="63"/>
  <c r="AN216" i="63"/>
  <c r="AO216" i="63"/>
  <c r="AP216" i="63"/>
  <c r="AQ216" i="63"/>
  <c r="AR216" i="63"/>
  <c r="AS216" i="63"/>
  <c r="AT216" i="63"/>
  <c r="AU216" i="63"/>
  <c r="AW216" i="63"/>
  <c r="AX216" i="63"/>
  <c r="AY216" i="63"/>
  <c r="BA216" i="63"/>
  <c r="A217" i="63"/>
  <c r="B217" i="63"/>
  <c r="D217" i="63"/>
  <c r="E217" i="63"/>
  <c r="F217" i="63"/>
  <c r="G217" i="63"/>
  <c r="H217" i="63"/>
  <c r="J217" i="63"/>
  <c r="K217" i="63"/>
  <c r="L217" i="63"/>
  <c r="M217" i="63"/>
  <c r="O217" i="63"/>
  <c r="P217" i="63"/>
  <c r="R217" i="63"/>
  <c r="S217" i="63"/>
  <c r="T217" i="63"/>
  <c r="U217" i="63"/>
  <c r="V217" i="63"/>
  <c r="W217" i="63"/>
  <c r="X217" i="63"/>
  <c r="Z217" i="63"/>
  <c r="AA217" i="63"/>
  <c r="AB217" i="63"/>
  <c r="AC217" i="63"/>
  <c r="AD217" i="63"/>
  <c r="AE217" i="63"/>
  <c r="AF217" i="63"/>
  <c r="AG217" i="63"/>
  <c r="AH217" i="63"/>
  <c r="AI217" i="63"/>
  <c r="AJ217" i="63"/>
  <c r="AK217" i="63"/>
  <c r="AL217" i="63"/>
  <c r="AM217" i="63"/>
  <c r="AN217" i="63"/>
  <c r="AO217" i="63"/>
  <c r="AP217" i="63"/>
  <c r="AQ217" i="63"/>
  <c r="AR217" i="63"/>
  <c r="AS217" i="63"/>
  <c r="AT217" i="63"/>
  <c r="AU217" i="63"/>
  <c r="AW217" i="63"/>
  <c r="AX217" i="63"/>
  <c r="AY217" i="63"/>
  <c r="BA217" i="63"/>
  <c r="A218" i="63"/>
  <c r="B218" i="63"/>
  <c r="D218" i="63"/>
  <c r="E218" i="63"/>
  <c r="F218" i="63"/>
  <c r="G218" i="63"/>
  <c r="H218" i="63"/>
  <c r="J218" i="63"/>
  <c r="K218" i="63"/>
  <c r="L218" i="63"/>
  <c r="M218" i="63"/>
  <c r="O218" i="63"/>
  <c r="P218" i="63"/>
  <c r="R218" i="63"/>
  <c r="S218" i="63"/>
  <c r="T218" i="63"/>
  <c r="U218" i="63"/>
  <c r="V218" i="63"/>
  <c r="W218" i="63"/>
  <c r="X218" i="63"/>
  <c r="Z218" i="63"/>
  <c r="AA218" i="63"/>
  <c r="AB218" i="63"/>
  <c r="AC218" i="63"/>
  <c r="AD218" i="63"/>
  <c r="AE218" i="63"/>
  <c r="AF218" i="63"/>
  <c r="AG218" i="63"/>
  <c r="AH218" i="63"/>
  <c r="AI218" i="63"/>
  <c r="AJ218" i="63"/>
  <c r="AK218" i="63"/>
  <c r="AL218" i="63"/>
  <c r="AM218" i="63"/>
  <c r="AN218" i="63"/>
  <c r="AO218" i="63"/>
  <c r="AP218" i="63"/>
  <c r="AQ218" i="63"/>
  <c r="AR218" i="63"/>
  <c r="AS218" i="63"/>
  <c r="AT218" i="63"/>
  <c r="AU218" i="63"/>
  <c r="AW218" i="63"/>
  <c r="AX218" i="63"/>
  <c r="AY218" i="63"/>
  <c r="BA218" i="63"/>
  <c r="A219" i="63"/>
  <c r="B219" i="63"/>
  <c r="D219" i="63"/>
  <c r="E219" i="63"/>
  <c r="F219" i="63"/>
  <c r="G219" i="63"/>
  <c r="H219" i="63"/>
  <c r="J219" i="63"/>
  <c r="K219" i="63"/>
  <c r="L219" i="63"/>
  <c r="M219" i="63"/>
  <c r="O219" i="63"/>
  <c r="P219" i="63"/>
  <c r="R219" i="63"/>
  <c r="S219" i="63"/>
  <c r="T219" i="63"/>
  <c r="U219" i="63"/>
  <c r="V219" i="63"/>
  <c r="W219" i="63"/>
  <c r="X219" i="63"/>
  <c r="Z219" i="63"/>
  <c r="AA219" i="63"/>
  <c r="AB219" i="63"/>
  <c r="AC219" i="63"/>
  <c r="AD219" i="63"/>
  <c r="AE219" i="63"/>
  <c r="AF219" i="63"/>
  <c r="AG219" i="63"/>
  <c r="AH219" i="63"/>
  <c r="AI219" i="63"/>
  <c r="AJ219" i="63"/>
  <c r="AK219" i="63"/>
  <c r="AL219" i="63"/>
  <c r="AM219" i="63"/>
  <c r="AN219" i="63"/>
  <c r="AO219" i="63"/>
  <c r="AP219" i="63"/>
  <c r="AQ219" i="63"/>
  <c r="AR219" i="63"/>
  <c r="AS219" i="63"/>
  <c r="AT219" i="63"/>
  <c r="AU219" i="63"/>
  <c r="AW219" i="63"/>
  <c r="AX219" i="63"/>
  <c r="AY219" i="63"/>
  <c r="BA219" i="63"/>
  <c r="A220" i="63"/>
  <c r="B220" i="63"/>
  <c r="D220" i="63"/>
  <c r="E220" i="63"/>
  <c r="F220" i="63"/>
  <c r="G220" i="63"/>
  <c r="H220" i="63"/>
  <c r="J220" i="63"/>
  <c r="K220" i="63"/>
  <c r="L220" i="63"/>
  <c r="M220" i="63"/>
  <c r="O220" i="63"/>
  <c r="P220" i="63"/>
  <c r="R220" i="63"/>
  <c r="S220" i="63"/>
  <c r="T220" i="63"/>
  <c r="U220" i="63"/>
  <c r="V220" i="63"/>
  <c r="W220" i="63"/>
  <c r="X220" i="63"/>
  <c r="Z220" i="63"/>
  <c r="AA220" i="63"/>
  <c r="AB220" i="63"/>
  <c r="AC220" i="63"/>
  <c r="AD220" i="63"/>
  <c r="AE220" i="63"/>
  <c r="AF220" i="63"/>
  <c r="AG220" i="63"/>
  <c r="AH220" i="63"/>
  <c r="AI220" i="63"/>
  <c r="AJ220" i="63"/>
  <c r="AK220" i="63"/>
  <c r="AL220" i="63"/>
  <c r="AM220" i="63"/>
  <c r="AN220" i="63"/>
  <c r="AO220" i="63"/>
  <c r="AP220" i="63"/>
  <c r="AQ220" i="63"/>
  <c r="AR220" i="63"/>
  <c r="AS220" i="63"/>
  <c r="AT220" i="63"/>
  <c r="AU220" i="63"/>
  <c r="AW220" i="63"/>
  <c r="AX220" i="63"/>
  <c r="AY220" i="63"/>
  <c r="BA220" i="63"/>
  <c r="A221" i="63"/>
  <c r="B221" i="63"/>
  <c r="D221" i="63"/>
  <c r="E221" i="63"/>
  <c r="F221" i="63"/>
  <c r="G221" i="63"/>
  <c r="H221" i="63"/>
  <c r="J221" i="63"/>
  <c r="K221" i="63"/>
  <c r="L221" i="63"/>
  <c r="M221" i="63"/>
  <c r="O221" i="63"/>
  <c r="P221" i="63"/>
  <c r="R221" i="63"/>
  <c r="S221" i="63"/>
  <c r="T221" i="63"/>
  <c r="U221" i="63"/>
  <c r="V221" i="63"/>
  <c r="W221" i="63"/>
  <c r="X221" i="63"/>
  <c r="Z221" i="63"/>
  <c r="AA221" i="63"/>
  <c r="AB221" i="63"/>
  <c r="AC221" i="63"/>
  <c r="AD221" i="63"/>
  <c r="AE221" i="63"/>
  <c r="AF221" i="63"/>
  <c r="AG221" i="63"/>
  <c r="AH221" i="63"/>
  <c r="AI221" i="63"/>
  <c r="AJ221" i="63"/>
  <c r="AK221" i="63"/>
  <c r="AL221" i="63"/>
  <c r="AM221" i="63"/>
  <c r="AN221" i="63"/>
  <c r="AO221" i="63"/>
  <c r="AP221" i="63"/>
  <c r="AQ221" i="63"/>
  <c r="AR221" i="63"/>
  <c r="AS221" i="63"/>
  <c r="AT221" i="63"/>
  <c r="AU221" i="63"/>
  <c r="AW221" i="63"/>
  <c r="AX221" i="63"/>
  <c r="AY221" i="63"/>
  <c r="BA221" i="63"/>
  <c r="A222" i="63"/>
  <c r="B222" i="63"/>
  <c r="D222" i="63"/>
  <c r="E222" i="63"/>
  <c r="F222" i="63"/>
  <c r="G222" i="63"/>
  <c r="H222" i="63"/>
  <c r="J222" i="63"/>
  <c r="K222" i="63"/>
  <c r="L222" i="63"/>
  <c r="M222" i="63"/>
  <c r="O222" i="63"/>
  <c r="P222" i="63"/>
  <c r="R222" i="63"/>
  <c r="S222" i="63"/>
  <c r="T222" i="63"/>
  <c r="U222" i="63"/>
  <c r="V222" i="63"/>
  <c r="W222" i="63"/>
  <c r="X222" i="63"/>
  <c r="Z222" i="63"/>
  <c r="AA222" i="63"/>
  <c r="AB222" i="63"/>
  <c r="AC222" i="63"/>
  <c r="AD222" i="63"/>
  <c r="AE222" i="63"/>
  <c r="AF222" i="63"/>
  <c r="AG222" i="63"/>
  <c r="AH222" i="63"/>
  <c r="AI222" i="63"/>
  <c r="AJ222" i="63"/>
  <c r="AK222" i="63"/>
  <c r="AL222" i="63"/>
  <c r="AM222" i="63"/>
  <c r="AN222" i="63"/>
  <c r="AO222" i="63"/>
  <c r="AP222" i="63"/>
  <c r="AQ222" i="63"/>
  <c r="AR222" i="63"/>
  <c r="AS222" i="63"/>
  <c r="AT222" i="63"/>
  <c r="AU222" i="63"/>
  <c r="AW222" i="63"/>
  <c r="AX222" i="63"/>
  <c r="AY222" i="63"/>
  <c r="BA222" i="63"/>
  <c r="A223" i="63"/>
  <c r="B223" i="63"/>
  <c r="D223" i="63"/>
  <c r="E223" i="63"/>
  <c r="F223" i="63"/>
  <c r="G223" i="63"/>
  <c r="H223" i="63"/>
  <c r="J223" i="63"/>
  <c r="K223" i="63"/>
  <c r="L223" i="63"/>
  <c r="M223" i="63"/>
  <c r="O223" i="63"/>
  <c r="P223" i="63"/>
  <c r="R223" i="63"/>
  <c r="S223" i="63"/>
  <c r="T223" i="63"/>
  <c r="U223" i="63"/>
  <c r="V223" i="63"/>
  <c r="W223" i="63"/>
  <c r="X223" i="63"/>
  <c r="Z223" i="63"/>
  <c r="AA223" i="63"/>
  <c r="AB223" i="63"/>
  <c r="AC223" i="63"/>
  <c r="AD223" i="63"/>
  <c r="AE223" i="63"/>
  <c r="AF223" i="63"/>
  <c r="AG223" i="63"/>
  <c r="AH223" i="63"/>
  <c r="AI223" i="63"/>
  <c r="AJ223" i="63"/>
  <c r="AK223" i="63"/>
  <c r="AL223" i="63"/>
  <c r="AM223" i="63"/>
  <c r="AN223" i="63"/>
  <c r="AO223" i="63"/>
  <c r="AP223" i="63"/>
  <c r="AQ223" i="63"/>
  <c r="AR223" i="63"/>
  <c r="AS223" i="63"/>
  <c r="AT223" i="63"/>
  <c r="AU223" i="63"/>
  <c r="AW223" i="63"/>
  <c r="AX223" i="63"/>
  <c r="AY223" i="63"/>
  <c r="BA223" i="63"/>
  <c r="A224" i="63"/>
  <c r="B224" i="63"/>
  <c r="D224" i="63"/>
  <c r="E224" i="63"/>
  <c r="F224" i="63"/>
  <c r="G224" i="63"/>
  <c r="H224" i="63"/>
  <c r="J224" i="63"/>
  <c r="K224" i="63"/>
  <c r="L224" i="63"/>
  <c r="M224" i="63"/>
  <c r="O224" i="63"/>
  <c r="P224" i="63"/>
  <c r="R224" i="63"/>
  <c r="S224" i="63"/>
  <c r="T224" i="63"/>
  <c r="U224" i="63"/>
  <c r="V224" i="63"/>
  <c r="W224" i="63"/>
  <c r="X224" i="63"/>
  <c r="Z224" i="63"/>
  <c r="AA224" i="63"/>
  <c r="AB224" i="63"/>
  <c r="AC224" i="63"/>
  <c r="AD224" i="63"/>
  <c r="AE224" i="63"/>
  <c r="AF224" i="63"/>
  <c r="AG224" i="63"/>
  <c r="AH224" i="63"/>
  <c r="AI224" i="63"/>
  <c r="AJ224" i="63"/>
  <c r="AK224" i="63"/>
  <c r="AL224" i="63"/>
  <c r="AM224" i="63"/>
  <c r="AN224" i="63"/>
  <c r="AO224" i="63"/>
  <c r="AP224" i="63"/>
  <c r="AQ224" i="63"/>
  <c r="AR224" i="63"/>
  <c r="AS224" i="63"/>
  <c r="AT224" i="63"/>
  <c r="AU224" i="63"/>
  <c r="AW224" i="63"/>
  <c r="AX224" i="63"/>
  <c r="AY224" i="63"/>
  <c r="BA224" i="63"/>
  <c r="A225" i="63"/>
  <c r="B225" i="63"/>
  <c r="D225" i="63"/>
  <c r="E225" i="63"/>
  <c r="F225" i="63"/>
  <c r="G225" i="63"/>
  <c r="H225" i="63"/>
  <c r="J225" i="63"/>
  <c r="K225" i="63"/>
  <c r="L225" i="63"/>
  <c r="M225" i="63"/>
  <c r="O225" i="63"/>
  <c r="P225" i="63"/>
  <c r="R225" i="63"/>
  <c r="S225" i="63"/>
  <c r="T225" i="63"/>
  <c r="U225" i="63"/>
  <c r="V225" i="63"/>
  <c r="W225" i="63"/>
  <c r="X225" i="63"/>
  <c r="Z225" i="63"/>
  <c r="AA225" i="63"/>
  <c r="AB225" i="63"/>
  <c r="AC225" i="63"/>
  <c r="AD225" i="63"/>
  <c r="AE225" i="63"/>
  <c r="AF225" i="63"/>
  <c r="AG225" i="63"/>
  <c r="AH225" i="63"/>
  <c r="AI225" i="63"/>
  <c r="AJ225" i="63"/>
  <c r="AK225" i="63"/>
  <c r="AL225" i="63"/>
  <c r="AM225" i="63"/>
  <c r="AN225" i="63"/>
  <c r="AO225" i="63"/>
  <c r="AP225" i="63"/>
  <c r="AQ225" i="63"/>
  <c r="AR225" i="63"/>
  <c r="AS225" i="63"/>
  <c r="AT225" i="63"/>
  <c r="AU225" i="63"/>
  <c r="AW225" i="63"/>
  <c r="AX225" i="63"/>
  <c r="AY225" i="63"/>
  <c r="BA225" i="63"/>
  <c r="A226" i="63"/>
  <c r="B226" i="63"/>
  <c r="D226" i="63"/>
  <c r="E226" i="63"/>
  <c r="F226" i="63"/>
  <c r="G226" i="63"/>
  <c r="H226" i="63"/>
  <c r="J226" i="63"/>
  <c r="K226" i="63"/>
  <c r="L226" i="63"/>
  <c r="M226" i="63"/>
  <c r="O226" i="63"/>
  <c r="P226" i="63"/>
  <c r="R226" i="63"/>
  <c r="S226" i="63"/>
  <c r="T226" i="63"/>
  <c r="U226" i="63"/>
  <c r="V226" i="63"/>
  <c r="W226" i="63"/>
  <c r="X226" i="63"/>
  <c r="Z226" i="63"/>
  <c r="AA226" i="63"/>
  <c r="AB226" i="63"/>
  <c r="AC226" i="63"/>
  <c r="AD226" i="63"/>
  <c r="AE226" i="63"/>
  <c r="AF226" i="63"/>
  <c r="AG226" i="63"/>
  <c r="AH226" i="63"/>
  <c r="AI226" i="63"/>
  <c r="AJ226" i="63"/>
  <c r="AK226" i="63"/>
  <c r="AL226" i="63"/>
  <c r="AM226" i="63"/>
  <c r="AN226" i="63"/>
  <c r="AO226" i="63"/>
  <c r="AP226" i="63"/>
  <c r="AQ226" i="63"/>
  <c r="AR226" i="63"/>
  <c r="AS226" i="63"/>
  <c r="AT226" i="63"/>
  <c r="AU226" i="63"/>
  <c r="AW226" i="63"/>
  <c r="AX226" i="63"/>
  <c r="AY226" i="63"/>
  <c r="BA226" i="63"/>
  <c r="A227" i="63"/>
  <c r="B227" i="63"/>
  <c r="D227" i="63"/>
  <c r="E227" i="63"/>
  <c r="F227" i="63"/>
  <c r="G227" i="63"/>
  <c r="H227" i="63"/>
  <c r="J227" i="63"/>
  <c r="K227" i="63"/>
  <c r="L227" i="63"/>
  <c r="M227" i="63"/>
  <c r="O227" i="63"/>
  <c r="P227" i="63"/>
  <c r="R227" i="63"/>
  <c r="S227" i="63"/>
  <c r="T227" i="63"/>
  <c r="U227" i="63"/>
  <c r="V227" i="63"/>
  <c r="W227" i="63"/>
  <c r="X227" i="63"/>
  <c r="Z227" i="63"/>
  <c r="AA227" i="63"/>
  <c r="AB227" i="63"/>
  <c r="AC227" i="63"/>
  <c r="AD227" i="63"/>
  <c r="AE227" i="63"/>
  <c r="AF227" i="63"/>
  <c r="AG227" i="63"/>
  <c r="AH227" i="63"/>
  <c r="AI227" i="63"/>
  <c r="AJ227" i="63"/>
  <c r="AK227" i="63"/>
  <c r="AL227" i="63"/>
  <c r="AM227" i="63"/>
  <c r="AN227" i="63"/>
  <c r="AO227" i="63"/>
  <c r="AP227" i="63"/>
  <c r="AQ227" i="63"/>
  <c r="AR227" i="63"/>
  <c r="AS227" i="63"/>
  <c r="AT227" i="63"/>
  <c r="AU227" i="63"/>
  <c r="AW227" i="63"/>
  <c r="AX227" i="63"/>
  <c r="AY227" i="63"/>
  <c r="BA227" i="63"/>
  <c r="A228" i="63"/>
  <c r="B228" i="63"/>
  <c r="D228" i="63"/>
  <c r="E228" i="63"/>
  <c r="F228" i="63"/>
  <c r="G228" i="63"/>
  <c r="H228" i="63"/>
  <c r="J228" i="63"/>
  <c r="K228" i="63"/>
  <c r="L228" i="63"/>
  <c r="M228" i="63"/>
  <c r="O228" i="63"/>
  <c r="P228" i="63"/>
  <c r="R228" i="63"/>
  <c r="S228" i="63"/>
  <c r="T228" i="63"/>
  <c r="U228" i="63"/>
  <c r="V228" i="63"/>
  <c r="W228" i="63"/>
  <c r="X228" i="63"/>
  <c r="Z228" i="63"/>
  <c r="AA228" i="63"/>
  <c r="AB228" i="63"/>
  <c r="AC228" i="63"/>
  <c r="AD228" i="63"/>
  <c r="AE228" i="63"/>
  <c r="AF228" i="63"/>
  <c r="AG228" i="63"/>
  <c r="AH228" i="63"/>
  <c r="AI228" i="63"/>
  <c r="AJ228" i="63"/>
  <c r="AK228" i="63"/>
  <c r="AL228" i="63"/>
  <c r="AM228" i="63"/>
  <c r="AN228" i="63"/>
  <c r="AO228" i="63"/>
  <c r="AP228" i="63"/>
  <c r="AQ228" i="63"/>
  <c r="AR228" i="63"/>
  <c r="AS228" i="63"/>
  <c r="AT228" i="63"/>
  <c r="AU228" i="63"/>
  <c r="AW228" i="63"/>
  <c r="AX228" i="63"/>
  <c r="AY228" i="63"/>
  <c r="BA228" i="63"/>
  <c r="A229" i="63"/>
  <c r="B229" i="63"/>
  <c r="D229" i="63"/>
  <c r="E229" i="63"/>
  <c r="F229" i="63"/>
  <c r="G229" i="63"/>
  <c r="H229" i="63"/>
  <c r="J229" i="63"/>
  <c r="K229" i="63"/>
  <c r="L229" i="63"/>
  <c r="M229" i="63"/>
  <c r="O229" i="63"/>
  <c r="P229" i="63"/>
  <c r="R229" i="63"/>
  <c r="S229" i="63"/>
  <c r="T229" i="63"/>
  <c r="U229" i="63"/>
  <c r="V229" i="63"/>
  <c r="W229" i="63"/>
  <c r="X229" i="63"/>
  <c r="Z229" i="63"/>
  <c r="AA229" i="63"/>
  <c r="AB229" i="63"/>
  <c r="AC229" i="63"/>
  <c r="AD229" i="63"/>
  <c r="AE229" i="63"/>
  <c r="AF229" i="63"/>
  <c r="AG229" i="63"/>
  <c r="AH229" i="63"/>
  <c r="AI229" i="63"/>
  <c r="AJ229" i="63"/>
  <c r="AK229" i="63"/>
  <c r="AL229" i="63"/>
  <c r="AM229" i="63"/>
  <c r="AN229" i="63"/>
  <c r="AO229" i="63"/>
  <c r="AP229" i="63"/>
  <c r="AQ229" i="63"/>
  <c r="AR229" i="63"/>
  <c r="AS229" i="63"/>
  <c r="AT229" i="63"/>
  <c r="AU229" i="63"/>
  <c r="AW229" i="63"/>
  <c r="AX229" i="63"/>
  <c r="AY229" i="63"/>
  <c r="BA229" i="63"/>
  <c r="A230" i="63"/>
  <c r="B230" i="63"/>
  <c r="D230" i="63"/>
  <c r="E230" i="63"/>
  <c r="F230" i="63"/>
  <c r="G230" i="63"/>
  <c r="H230" i="63"/>
  <c r="J230" i="63"/>
  <c r="K230" i="63"/>
  <c r="L230" i="63"/>
  <c r="M230" i="63"/>
  <c r="O230" i="63"/>
  <c r="P230" i="63"/>
  <c r="R230" i="63"/>
  <c r="S230" i="63"/>
  <c r="T230" i="63"/>
  <c r="U230" i="63"/>
  <c r="V230" i="63"/>
  <c r="W230" i="63"/>
  <c r="X230" i="63"/>
  <c r="Z230" i="63"/>
  <c r="AA230" i="63"/>
  <c r="AB230" i="63"/>
  <c r="AC230" i="63"/>
  <c r="AD230" i="63"/>
  <c r="AE230" i="63"/>
  <c r="AF230" i="63"/>
  <c r="AG230" i="63"/>
  <c r="AH230" i="63"/>
  <c r="AI230" i="63"/>
  <c r="AJ230" i="63"/>
  <c r="AK230" i="63"/>
  <c r="AL230" i="63"/>
  <c r="AM230" i="63"/>
  <c r="AN230" i="63"/>
  <c r="AO230" i="63"/>
  <c r="AP230" i="63"/>
  <c r="AQ230" i="63"/>
  <c r="AR230" i="63"/>
  <c r="AS230" i="63"/>
  <c r="AT230" i="63"/>
  <c r="AU230" i="63"/>
  <c r="AW230" i="63"/>
  <c r="AX230" i="63"/>
  <c r="AY230" i="63"/>
  <c r="BA230" i="63"/>
  <c r="A231" i="63"/>
  <c r="B231" i="63"/>
  <c r="D231" i="63"/>
  <c r="E231" i="63"/>
  <c r="F231" i="63"/>
  <c r="G231" i="63"/>
  <c r="H231" i="63"/>
  <c r="J231" i="63"/>
  <c r="K231" i="63"/>
  <c r="L231" i="63"/>
  <c r="M231" i="63"/>
  <c r="O231" i="63"/>
  <c r="P231" i="63"/>
  <c r="R231" i="63"/>
  <c r="S231" i="63"/>
  <c r="T231" i="63"/>
  <c r="U231" i="63"/>
  <c r="V231" i="63"/>
  <c r="W231" i="63"/>
  <c r="X231" i="63"/>
  <c r="Z231" i="63"/>
  <c r="AA231" i="63"/>
  <c r="AB231" i="63"/>
  <c r="AC231" i="63"/>
  <c r="AD231" i="63"/>
  <c r="AE231" i="63"/>
  <c r="AF231" i="63"/>
  <c r="AG231" i="63"/>
  <c r="AH231" i="63"/>
  <c r="AI231" i="63"/>
  <c r="AJ231" i="63"/>
  <c r="AK231" i="63"/>
  <c r="AL231" i="63"/>
  <c r="AM231" i="63"/>
  <c r="AN231" i="63"/>
  <c r="AO231" i="63"/>
  <c r="AP231" i="63"/>
  <c r="AQ231" i="63"/>
  <c r="AR231" i="63"/>
  <c r="AS231" i="63"/>
  <c r="AT231" i="63"/>
  <c r="AU231" i="63"/>
  <c r="AW231" i="63"/>
  <c r="AX231" i="63"/>
  <c r="AY231" i="63"/>
  <c r="BA231" i="63"/>
  <c r="A232" i="63"/>
  <c r="B232" i="63"/>
  <c r="D232" i="63"/>
  <c r="E232" i="63"/>
  <c r="F232" i="63"/>
  <c r="G232" i="63"/>
  <c r="H232" i="63"/>
  <c r="J232" i="63"/>
  <c r="K232" i="63"/>
  <c r="L232" i="63"/>
  <c r="M232" i="63"/>
  <c r="O232" i="63"/>
  <c r="P232" i="63"/>
  <c r="R232" i="63"/>
  <c r="S232" i="63"/>
  <c r="T232" i="63"/>
  <c r="U232" i="63"/>
  <c r="V232" i="63"/>
  <c r="W232" i="63"/>
  <c r="X232" i="63"/>
  <c r="Z232" i="63"/>
  <c r="AA232" i="63"/>
  <c r="AB232" i="63"/>
  <c r="AC232" i="63"/>
  <c r="AD232" i="63"/>
  <c r="AE232" i="63"/>
  <c r="AF232" i="63"/>
  <c r="AG232" i="63"/>
  <c r="AH232" i="63"/>
  <c r="AI232" i="63"/>
  <c r="AJ232" i="63"/>
  <c r="AK232" i="63"/>
  <c r="AL232" i="63"/>
  <c r="AM232" i="63"/>
  <c r="AN232" i="63"/>
  <c r="AO232" i="63"/>
  <c r="AP232" i="63"/>
  <c r="AQ232" i="63"/>
  <c r="AR232" i="63"/>
  <c r="AS232" i="63"/>
  <c r="AT232" i="63"/>
  <c r="AU232" i="63"/>
  <c r="AW232" i="63"/>
  <c r="AX232" i="63"/>
  <c r="AY232" i="63"/>
  <c r="BA232" i="63"/>
  <c r="A233" i="63"/>
  <c r="B233" i="63"/>
  <c r="D233" i="63"/>
  <c r="E233" i="63"/>
  <c r="F233" i="63"/>
  <c r="G233" i="63"/>
  <c r="H233" i="63"/>
  <c r="J233" i="63"/>
  <c r="K233" i="63"/>
  <c r="L233" i="63"/>
  <c r="M233" i="63"/>
  <c r="O233" i="63"/>
  <c r="P233" i="63"/>
  <c r="R233" i="63"/>
  <c r="S233" i="63"/>
  <c r="T233" i="63"/>
  <c r="U233" i="63"/>
  <c r="V233" i="63"/>
  <c r="W233" i="63"/>
  <c r="X233" i="63"/>
  <c r="Z233" i="63"/>
  <c r="AA233" i="63"/>
  <c r="AB233" i="63"/>
  <c r="AC233" i="63"/>
  <c r="AD233" i="63"/>
  <c r="AE233" i="63"/>
  <c r="AF233" i="63"/>
  <c r="AG233" i="63"/>
  <c r="AH233" i="63"/>
  <c r="AI233" i="63"/>
  <c r="AJ233" i="63"/>
  <c r="AK233" i="63"/>
  <c r="AL233" i="63"/>
  <c r="AM233" i="63"/>
  <c r="AN233" i="63"/>
  <c r="AO233" i="63"/>
  <c r="AP233" i="63"/>
  <c r="AQ233" i="63"/>
  <c r="AR233" i="63"/>
  <c r="AS233" i="63"/>
  <c r="AT233" i="63"/>
  <c r="AU233" i="63"/>
  <c r="AW233" i="63"/>
  <c r="AX233" i="63"/>
  <c r="AY233" i="63"/>
  <c r="BA233" i="63"/>
  <c r="A234" i="63"/>
  <c r="B234" i="63"/>
  <c r="D234" i="63"/>
  <c r="E234" i="63"/>
  <c r="F234" i="63"/>
  <c r="G234" i="63"/>
  <c r="H234" i="63"/>
  <c r="J234" i="63"/>
  <c r="K234" i="63"/>
  <c r="L234" i="63"/>
  <c r="M234" i="63"/>
  <c r="O234" i="63"/>
  <c r="P234" i="63"/>
  <c r="R234" i="63"/>
  <c r="S234" i="63"/>
  <c r="T234" i="63"/>
  <c r="U234" i="63"/>
  <c r="V234" i="63"/>
  <c r="W234" i="63"/>
  <c r="X234" i="63"/>
  <c r="Z234" i="63"/>
  <c r="AA234" i="63"/>
  <c r="AB234" i="63"/>
  <c r="AC234" i="63"/>
  <c r="AD234" i="63"/>
  <c r="AE234" i="63"/>
  <c r="AF234" i="63"/>
  <c r="AG234" i="63"/>
  <c r="AH234" i="63"/>
  <c r="AI234" i="63"/>
  <c r="AJ234" i="63"/>
  <c r="AK234" i="63"/>
  <c r="AL234" i="63"/>
  <c r="AM234" i="63"/>
  <c r="AN234" i="63"/>
  <c r="AO234" i="63"/>
  <c r="AP234" i="63"/>
  <c r="AQ234" i="63"/>
  <c r="AR234" i="63"/>
  <c r="AS234" i="63"/>
  <c r="AT234" i="63"/>
  <c r="AU234" i="63"/>
  <c r="AW234" i="63"/>
  <c r="AX234" i="63"/>
  <c r="AY234" i="63"/>
  <c r="BA234" i="63"/>
  <c r="A235" i="63"/>
  <c r="B235" i="63"/>
  <c r="D235" i="63"/>
  <c r="E235" i="63"/>
  <c r="F235" i="63"/>
  <c r="G235" i="63"/>
  <c r="H235" i="63"/>
  <c r="J235" i="63"/>
  <c r="K235" i="63"/>
  <c r="L235" i="63"/>
  <c r="M235" i="63"/>
  <c r="O235" i="63"/>
  <c r="P235" i="63"/>
  <c r="R235" i="63"/>
  <c r="S235" i="63"/>
  <c r="T235" i="63"/>
  <c r="U235" i="63"/>
  <c r="V235" i="63"/>
  <c r="W235" i="63"/>
  <c r="X235" i="63"/>
  <c r="Z235" i="63"/>
  <c r="AA235" i="63"/>
  <c r="AB235" i="63"/>
  <c r="AC235" i="63"/>
  <c r="AD235" i="63"/>
  <c r="AE235" i="63"/>
  <c r="AF235" i="63"/>
  <c r="AG235" i="63"/>
  <c r="AH235" i="63"/>
  <c r="AI235" i="63"/>
  <c r="AJ235" i="63"/>
  <c r="AK235" i="63"/>
  <c r="AL235" i="63"/>
  <c r="AM235" i="63"/>
  <c r="AN235" i="63"/>
  <c r="AO235" i="63"/>
  <c r="AP235" i="63"/>
  <c r="AQ235" i="63"/>
  <c r="AR235" i="63"/>
  <c r="AS235" i="63"/>
  <c r="AT235" i="63"/>
  <c r="AU235" i="63"/>
  <c r="AW235" i="63"/>
  <c r="AX235" i="63"/>
  <c r="AY235" i="63"/>
  <c r="BA235" i="63"/>
  <c r="A236" i="63"/>
  <c r="B236" i="63"/>
  <c r="D236" i="63"/>
  <c r="E236" i="63"/>
  <c r="F236" i="63"/>
  <c r="G236" i="63"/>
  <c r="H236" i="63"/>
  <c r="J236" i="63"/>
  <c r="K236" i="63"/>
  <c r="L236" i="63"/>
  <c r="M236" i="63"/>
  <c r="O236" i="63"/>
  <c r="P236" i="63"/>
  <c r="R236" i="63"/>
  <c r="S236" i="63"/>
  <c r="T236" i="63"/>
  <c r="U236" i="63"/>
  <c r="V236" i="63"/>
  <c r="W236" i="63"/>
  <c r="X236" i="63"/>
  <c r="Z236" i="63"/>
  <c r="AA236" i="63"/>
  <c r="AB236" i="63"/>
  <c r="AC236" i="63"/>
  <c r="AD236" i="63"/>
  <c r="AE236" i="63"/>
  <c r="AF236" i="63"/>
  <c r="AG236" i="63"/>
  <c r="AH236" i="63"/>
  <c r="AI236" i="63"/>
  <c r="AJ236" i="63"/>
  <c r="AK236" i="63"/>
  <c r="AL236" i="63"/>
  <c r="AM236" i="63"/>
  <c r="AN236" i="63"/>
  <c r="AO236" i="63"/>
  <c r="AP236" i="63"/>
  <c r="AQ236" i="63"/>
  <c r="AR236" i="63"/>
  <c r="AS236" i="63"/>
  <c r="AT236" i="63"/>
  <c r="AU236" i="63"/>
  <c r="AW236" i="63"/>
  <c r="AX236" i="63"/>
  <c r="AY236" i="63"/>
  <c r="BA236" i="63"/>
  <c r="A237" i="63"/>
  <c r="B237" i="63"/>
  <c r="D237" i="63"/>
  <c r="E237" i="63"/>
  <c r="F237" i="63"/>
  <c r="G237" i="63"/>
  <c r="H237" i="63"/>
  <c r="J237" i="63"/>
  <c r="K237" i="63"/>
  <c r="L237" i="63"/>
  <c r="M237" i="63"/>
  <c r="O237" i="63"/>
  <c r="P237" i="63"/>
  <c r="R237" i="63"/>
  <c r="S237" i="63"/>
  <c r="T237" i="63"/>
  <c r="U237" i="63"/>
  <c r="V237" i="63"/>
  <c r="W237" i="63"/>
  <c r="X237" i="63"/>
  <c r="Z237" i="63"/>
  <c r="AA237" i="63"/>
  <c r="AB237" i="63"/>
  <c r="AC237" i="63"/>
  <c r="AD237" i="63"/>
  <c r="AE237" i="63"/>
  <c r="AF237" i="63"/>
  <c r="AG237" i="63"/>
  <c r="AH237" i="63"/>
  <c r="AI237" i="63"/>
  <c r="AJ237" i="63"/>
  <c r="AK237" i="63"/>
  <c r="AL237" i="63"/>
  <c r="AM237" i="63"/>
  <c r="AN237" i="63"/>
  <c r="AO237" i="63"/>
  <c r="AP237" i="63"/>
  <c r="AQ237" i="63"/>
  <c r="AR237" i="63"/>
  <c r="AS237" i="63"/>
  <c r="AT237" i="63"/>
  <c r="AU237" i="63"/>
  <c r="AW237" i="63"/>
  <c r="AX237" i="63"/>
  <c r="AY237" i="63"/>
  <c r="BA237" i="63"/>
  <c r="A238" i="63"/>
  <c r="B238" i="63"/>
  <c r="D238" i="63"/>
  <c r="E238" i="63"/>
  <c r="F238" i="63"/>
  <c r="G238" i="63"/>
  <c r="H238" i="63"/>
  <c r="J238" i="63"/>
  <c r="K238" i="63"/>
  <c r="L238" i="63"/>
  <c r="M238" i="63"/>
  <c r="O238" i="63"/>
  <c r="P238" i="63"/>
  <c r="R238" i="63"/>
  <c r="S238" i="63"/>
  <c r="T238" i="63"/>
  <c r="U238" i="63"/>
  <c r="V238" i="63"/>
  <c r="W238" i="63"/>
  <c r="X238" i="63"/>
  <c r="Z238" i="63"/>
  <c r="AA238" i="63"/>
  <c r="AB238" i="63"/>
  <c r="AC238" i="63"/>
  <c r="AD238" i="63"/>
  <c r="AE238" i="63"/>
  <c r="AF238" i="63"/>
  <c r="AG238" i="63"/>
  <c r="AH238" i="63"/>
  <c r="AI238" i="63"/>
  <c r="AJ238" i="63"/>
  <c r="AK238" i="63"/>
  <c r="AL238" i="63"/>
  <c r="AM238" i="63"/>
  <c r="AN238" i="63"/>
  <c r="AO238" i="63"/>
  <c r="AP238" i="63"/>
  <c r="AQ238" i="63"/>
  <c r="AR238" i="63"/>
  <c r="AS238" i="63"/>
  <c r="AT238" i="63"/>
  <c r="AU238" i="63"/>
  <c r="AW238" i="63"/>
  <c r="AX238" i="63"/>
  <c r="AY238" i="63"/>
  <c r="BA238" i="63"/>
  <c r="A239" i="63"/>
  <c r="B239" i="63"/>
  <c r="D239" i="63"/>
  <c r="E239" i="63"/>
  <c r="F239" i="63"/>
  <c r="G239" i="63"/>
  <c r="H239" i="63"/>
  <c r="J239" i="63"/>
  <c r="K239" i="63"/>
  <c r="L239" i="63"/>
  <c r="M239" i="63"/>
  <c r="O239" i="63"/>
  <c r="P239" i="63"/>
  <c r="R239" i="63"/>
  <c r="S239" i="63"/>
  <c r="T239" i="63"/>
  <c r="U239" i="63"/>
  <c r="V239" i="63"/>
  <c r="W239" i="63"/>
  <c r="X239" i="63"/>
  <c r="Z239" i="63"/>
  <c r="AA239" i="63"/>
  <c r="AB239" i="63"/>
  <c r="AC239" i="63"/>
  <c r="AD239" i="63"/>
  <c r="AE239" i="63"/>
  <c r="AF239" i="63"/>
  <c r="AG239" i="63"/>
  <c r="AH239" i="63"/>
  <c r="AI239" i="63"/>
  <c r="AJ239" i="63"/>
  <c r="AK239" i="63"/>
  <c r="AL239" i="63"/>
  <c r="AM239" i="63"/>
  <c r="AN239" i="63"/>
  <c r="AO239" i="63"/>
  <c r="AP239" i="63"/>
  <c r="AQ239" i="63"/>
  <c r="AR239" i="63"/>
  <c r="AS239" i="63"/>
  <c r="AT239" i="63"/>
  <c r="AU239" i="63"/>
  <c r="AW239" i="63"/>
  <c r="AX239" i="63"/>
  <c r="AY239" i="63"/>
  <c r="BA239" i="63"/>
  <c r="A240" i="63"/>
  <c r="B240" i="63"/>
  <c r="D240" i="63"/>
  <c r="E240" i="63"/>
  <c r="F240" i="63"/>
  <c r="G240" i="63"/>
  <c r="H240" i="63"/>
  <c r="J240" i="63"/>
  <c r="K240" i="63"/>
  <c r="L240" i="63"/>
  <c r="M240" i="63"/>
  <c r="O240" i="63"/>
  <c r="P240" i="63"/>
  <c r="R240" i="63"/>
  <c r="S240" i="63"/>
  <c r="T240" i="63"/>
  <c r="U240" i="63"/>
  <c r="V240" i="63"/>
  <c r="W240" i="63"/>
  <c r="X240" i="63"/>
  <c r="Z240" i="63"/>
  <c r="AA240" i="63"/>
  <c r="AB240" i="63"/>
  <c r="AC240" i="63"/>
  <c r="AD240" i="63"/>
  <c r="AE240" i="63"/>
  <c r="AF240" i="63"/>
  <c r="AG240" i="63"/>
  <c r="AH240" i="63"/>
  <c r="AI240" i="63"/>
  <c r="AJ240" i="63"/>
  <c r="AK240" i="63"/>
  <c r="AL240" i="63"/>
  <c r="AM240" i="63"/>
  <c r="AN240" i="63"/>
  <c r="AO240" i="63"/>
  <c r="AP240" i="63"/>
  <c r="AQ240" i="63"/>
  <c r="AR240" i="63"/>
  <c r="AS240" i="63"/>
  <c r="AT240" i="63"/>
  <c r="AU240" i="63"/>
  <c r="AW240" i="63"/>
  <c r="AX240" i="63"/>
  <c r="AY240" i="63"/>
  <c r="BA240" i="63"/>
  <c r="A241" i="63"/>
  <c r="B241" i="63"/>
  <c r="D241" i="63"/>
  <c r="E241" i="63"/>
  <c r="F241" i="63"/>
  <c r="G241" i="63"/>
  <c r="H241" i="63"/>
  <c r="J241" i="63"/>
  <c r="K241" i="63"/>
  <c r="L241" i="63"/>
  <c r="M241" i="63"/>
  <c r="O241" i="63"/>
  <c r="P241" i="63"/>
  <c r="R241" i="63"/>
  <c r="S241" i="63"/>
  <c r="T241" i="63"/>
  <c r="U241" i="63"/>
  <c r="V241" i="63"/>
  <c r="W241" i="63"/>
  <c r="X241" i="63"/>
  <c r="Z241" i="63"/>
  <c r="AA241" i="63"/>
  <c r="AB241" i="63"/>
  <c r="AC241" i="63"/>
  <c r="AD241" i="63"/>
  <c r="AE241" i="63"/>
  <c r="AF241" i="63"/>
  <c r="AG241" i="63"/>
  <c r="AH241" i="63"/>
  <c r="AI241" i="63"/>
  <c r="AJ241" i="63"/>
  <c r="AK241" i="63"/>
  <c r="AL241" i="63"/>
  <c r="AM241" i="63"/>
  <c r="AN241" i="63"/>
  <c r="AO241" i="63"/>
  <c r="AP241" i="63"/>
  <c r="AQ241" i="63"/>
  <c r="AR241" i="63"/>
  <c r="AS241" i="63"/>
  <c r="AT241" i="63"/>
  <c r="AU241" i="63"/>
  <c r="AW241" i="63"/>
  <c r="AX241" i="63"/>
  <c r="AY241" i="63"/>
  <c r="BA241" i="63"/>
  <c r="A242" i="63"/>
  <c r="B242" i="63"/>
  <c r="D242" i="63"/>
  <c r="E242" i="63"/>
  <c r="F242" i="63"/>
  <c r="G242" i="63"/>
  <c r="H242" i="63"/>
  <c r="J242" i="63"/>
  <c r="K242" i="63"/>
  <c r="L242" i="63"/>
  <c r="M242" i="63"/>
  <c r="O242" i="63"/>
  <c r="P242" i="63"/>
  <c r="R242" i="63"/>
  <c r="S242" i="63"/>
  <c r="T242" i="63"/>
  <c r="U242" i="63"/>
  <c r="V242" i="63"/>
  <c r="W242" i="63"/>
  <c r="X242" i="63"/>
  <c r="Z242" i="63"/>
  <c r="AA242" i="63"/>
  <c r="AB242" i="63"/>
  <c r="AC242" i="63"/>
  <c r="AD242" i="63"/>
  <c r="AE242" i="63"/>
  <c r="AF242" i="63"/>
  <c r="AG242" i="63"/>
  <c r="AH242" i="63"/>
  <c r="AI242" i="63"/>
  <c r="AJ242" i="63"/>
  <c r="AK242" i="63"/>
  <c r="AL242" i="63"/>
  <c r="AM242" i="63"/>
  <c r="AN242" i="63"/>
  <c r="AO242" i="63"/>
  <c r="AP242" i="63"/>
  <c r="AQ242" i="63"/>
  <c r="AR242" i="63"/>
  <c r="AS242" i="63"/>
  <c r="AT242" i="63"/>
  <c r="AU242" i="63"/>
  <c r="AW242" i="63"/>
  <c r="AX242" i="63"/>
  <c r="AY242" i="63"/>
  <c r="BA242" i="63"/>
  <c r="A243" i="63"/>
  <c r="B243" i="63"/>
  <c r="D243" i="63"/>
  <c r="E243" i="63"/>
  <c r="F243" i="63"/>
  <c r="G243" i="63"/>
  <c r="H243" i="63"/>
  <c r="J243" i="63"/>
  <c r="K243" i="63"/>
  <c r="L243" i="63"/>
  <c r="M243" i="63"/>
  <c r="O243" i="63"/>
  <c r="P243" i="63"/>
  <c r="R243" i="63"/>
  <c r="S243" i="63"/>
  <c r="T243" i="63"/>
  <c r="U243" i="63"/>
  <c r="V243" i="63"/>
  <c r="W243" i="63"/>
  <c r="X243" i="63"/>
  <c r="Z243" i="63"/>
  <c r="AA243" i="63"/>
  <c r="AB243" i="63"/>
  <c r="AC243" i="63"/>
  <c r="AD243" i="63"/>
  <c r="AE243" i="63"/>
  <c r="AF243" i="63"/>
  <c r="AG243" i="63"/>
  <c r="AH243" i="63"/>
  <c r="AI243" i="63"/>
  <c r="AJ243" i="63"/>
  <c r="AK243" i="63"/>
  <c r="AL243" i="63"/>
  <c r="AM243" i="63"/>
  <c r="AN243" i="63"/>
  <c r="AO243" i="63"/>
  <c r="AP243" i="63"/>
  <c r="AQ243" i="63"/>
  <c r="AR243" i="63"/>
  <c r="AS243" i="63"/>
  <c r="AT243" i="63"/>
  <c r="AU243" i="63"/>
  <c r="AW243" i="63"/>
  <c r="AX243" i="63"/>
  <c r="AY243" i="63"/>
  <c r="BA243" i="63"/>
  <c r="A244" i="63"/>
  <c r="B244" i="63"/>
  <c r="D244" i="63"/>
  <c r="E244" i="63"/>
  <c r="F244" i="63"/>
  <c r="G244" i="63"/>
  <c r="H244" i="63"/>
  <c r="J244" i="63"/>
  <c r="K244" i="63"/>
  <c r="L244" i="63"/>
  <c r="M244" i="63"/>
  <c r="O244" i="63"/>
  <c r="P244" i="63"/>
  <c r="R244" i="63"/>
  <c r="S244" i="63"/>
  <c r="T244" i="63"/>
  <c r="U244" i="63"/>
  <c r="V244" i="63"/>
  <c r="W244" i="63"/>
  <c r="X244" i="63"/>
  <c r="Z244" i="63"/>
  <c r="AA244" i="63"/>
  <c r="AB244" i="63"/>
  <c r="AC244" i="63"/>
  <c r="AD244" i="63"/>
  <c r="AE244" i="63"/>
  <c r="AF244" i="63"/>
  <c r="AG244" i="63"/>
  <c r="AH244" i="63"/>
  <c r="AI244" i="63"/>
  <c r="AJ244" i="63"/>
  <c r="AK244" i="63"/>
  <c r="AL244" i="63"/>
  <c r="AM244" i="63"/>
  <c r="AN244" i="63"/>
  <c r="AO244" i="63"/>
  <c r="AP244" i="63"/>
  <c r="AQ244" i="63"/>
  <c r="AR244" i="63"/>
  <c r="AS244" i="63"/>
  <c r="AT244" i="63"/>
  <c r="AU244" i="63"/>
  <c r="AW244" i="63"/>
  <c r="AX244" i="63"/>
  <c r="AY244" i="63"/>
  <c r="BA244" i="63"/>
  <c r="A245" i="63"/>
  <c r="B245" i="63"/>
  <c r="D245" i="63"/>
  <c r="E245" i="63"/>
  <c r="F245" i="63"/>
  <c r="G245" i="63"/>
  <c r="H245" i="63"/>
  <c r="J245" i="63"/>
  <c r="K245" i="63"/>
  <c r="L245" i="63"/>
  <c r="M245" i="63"/>
  <c r="O245" i="63"/>
  <c r="P245" i="63"/>
  <c r="R245" i="63"/>
  <c r="S245" i="63"/>
  <c r="T245" i="63"/>
  <c r="U245" i="63"/>
  <c r="V245" i="63"/>
  <c r="W245" i="63"/>
  <c r="X245" i="63"/>
  <c r="Z245" i="63"/>
  <c r="AA245" i="63"/>
  <c r="AB245" i="63"/>
  <c r="AC245" i="63"/>
  <c r="AD245" i="63"/>
  <c r="AE245" i="63"/>
  <c r="AF245" i="63"/>
  <c r="AG245" i="63"/>
  <c r="AH245" i="63"/>
  <c r="AI245" i="63"/>
  <c r="AJ245" i="63"/>
  <c r="AK245" i="63"/>
  <c r="AL245" i="63"/>
  <c r="AM245" i="63"/>
  <c r="AN245" i="63"/>
  <c r="AO245" i="63"/>
  <c r="AP245" i="63"/>
  <c r="AQ245" i="63"/>
  <c r="AR245" i="63"/>
  <c r="AS245" i="63"/>
  <c r="AT245" i="63"/>
  <c r="AU245" i="63"/>
  <c r="AW245" i="63"/>
  <c r="AX245" i="63"/>
  <c r="AY245" i="63"/>
  <c r="BA245" i="63"/>
  <c r="A246" i="63"/>
  <c r="B246" i="63"/>
  <c r="D246" i="63"/>
  <c r="E246" i="63"/>
  <c r="F246" i="63"/>
  <c r="G246" i="63"/>
  <c r="H246" i="63"/>
  <c r="J246" i="63"/>
  <c r="K246" i="63"/>
  <c r="L246" i="63"/>
  <c r="M246" i="63"/>
  <c r="O246" i="63"/>
  <c r="P246" i="63"/>
  <c r="R246" i="63"/>
  <c r="S246" i="63"/>
  <c r="T246" i="63"/>
  <c r="U246" i="63"/>
  <c r="V246" i="63"/>
  <c r="W246" i="63"/>
  <c r="X246" i="63"/>
  <c r="Z246" i="63"/>
  <c r="AA246" i="63"/>
  <c r="AB246" i="63"/>
  <c r="AC246" i="63"/>
  <c r="AD246" i="63"/>
  <c r="AE246" i="63"/>
  <c r="AF246" i="63"/>
  <c r="AG246" i="63"/>
  <c r="AH246" i="63"/>
  <c r="AI246" i="63"/>
  <c r="AJ246" i="63"/>
  <c r="AK246" i="63"/>
  <c r="AL246" i="63"/>
  <c r="AM246" i="63"/>
  <c r="AN246" i="63"/>
  <c r="AO246" i="63"/>
  <c r="AP246" i="63"/>
  <c r="AQ246" i="63"/>
  <c r="AR246" i="63"/>
  <c r="AS246" i="63"/>
  <c r="AT246" i="63"/>
  <c r="AU246" i="63"/>
  <c r="AW246" i="63"/>
  <c r="AX246" i="63"/>
  <c r="AY246" i="63"/>
  <c r="BA246" i="63"/>
  <c r="A247" i="63"/>
  <c r="B247" i="63"/>
  <c r="D247" i="63"/>
  <c r="E247" i="63"/>
  <c r="F247" i="63"/>
  <c r="G247" i="63"/>
  <c r="H247" i="63"/>
  <c r="J247" i="63"/>
  <c r="K247" i="63"/>
  <c r="L247" i="63"/>
  <c r="M247" i="63"/>
  <c r="O247" i="63"/>
  <c r="P247" i="63"/>
  <c r="R247" i="63"/>
  <c r="S247" i="63"/>
  <c r="T247" i="63"/>
  <c r="U247" i="63"/>
  <c r="V247" i="63"/>
  <c r="W247" i="63"/>
  <c r="X247" i="63"/>
  <c r="Z247" i="63"/>
  <c r="AA247" i="63"/>
  <c r="AB247" i="63"/>
  <c r="AC247" i="63"/>
  <c r="AD247" i="63"/>
  <c r="AE247" i="63"/>
  <c r="AF247" i="63"/>
  <c r="AG247" i="63"/>
  <c r="AH247" i="63"/>
  <c r="AI247" i="63"/>
  <c r="AJ247" i="63"/>
  <c r="AK247" i="63"/>
  <c r="AL247" i="63"/>
  <c r="AM247" i="63"/>
  <c r="AN247" i="63"/>
  <c r="AO247" i="63"/>
  <c r="AP247" i="63"/>
  <c r="AQ247" i="63"/>
  <c r="AR247" i="63"/>
  <c r="AS247" i="63"/>
  <c r="AT247" i="63"/>
  <c r="AU247" i="63"/>
  <c r="AW247" i="63"/>
  <c r="AX247" i="63"/>
  <c r="AY247" i="63"/>
  <c r="BA247" i="63"/>
  <c r="A248" i="63"/>
  <c r="B248" i="63"/>
  <c r="D248" i="63"/>
  <c r="E248" i="63"/>
  <c r="F248" i="63"/>
  <c r="G248" i="63"/>
  <c r="H248" i="63"/>
  <c r="J248" i="63"/>
  <c r="K248" i="63"/>
  <c r="L248" i="63"/>
  <c r="M248" i="63"/>
  <c r="O248" i="63"/>
  <c r="P248" i="63"/>
  <c r="R248" i="63"/>
  <c r="S248" i="63"/>
  <c r="T248" i="63"/>
  <c r="U248" i="63"/>
  <c r="V248" i="63"/>
  <c r="W248" i="63"/>
  <c r="X248" i="63"/>
  <c r="Z248" i="63"/>
  <c r="AA248" i="63"/>
  <c r="AB248" i="63"/>
  <c r="AC248" i="63"/>
  <c r="AD248" i="63"/>
  <c r="AE248" i="63"/>
  <c r="AF248" i="63"/>
  <c r="AG248" i="63"/>
  <c r="AH248" i="63"/>
  <c r="AI248" i="63"/>
  <c r="AJ248" i="63"/>
  <c r="AK248" i="63"/>
  <c r="AL248" i="63"/>
  <c r="AM248" i="63"/>
  <c r="AN248" i="63"/>
  <c r="AO248" i="63"/>
  <c r="AP248" i="63"/>
  <c r="AQ248" i="63"/>
  <c r="AR248" i="63"/>
  <c r="AS248" i="63"/>
  <c r="AT248" i="63"/>
  <c r="AU248" i="63"/>
  <c r="AW248" i="63"/>
  <c r="AX248" i="63"/>
  <c r="AY248" i="63"/>
  <c r="BA248" i="63"/>
  <c r="A249" i="63"/>
  <c r="B249" i="63"/>
  <c r="D249" i="63"/>
  <c r="E249" i="63"/>
  <c r="F249" i="63"/>
  <c r="G249" i="63"/>
  <c r="H249" i="63"/>
  <c r="J249" i="63"/>
  <c r="K249" i="63"/>
  <c r="L249" i="63"/>
  <c r="M249" i="63"/>
  <c r="O249" i="63"/>
  <c r="P249" i="63"/>
  <c r="R249" i="63"/>
  <c r="S249" i="63"/>
  <c r="T249" i="63"/>
  <c r="U249" i="63"/>
  <c r="V249" i="63"/>
  <c r="W249" i="63"/>
  <c r="X249" i="63"/>
  <c r="Z249" i="63"/>
  <c r="AA249" i="63"/>
  <c r="AB249" i="63"/>
  <c r="AC249" i="63"/>
  <c r="AD249" i="63"/>
  <c r="AE249" i="63"/>
  <c r="AF249" i="63"/>
  <c r="AG249" i="63"/>
  <c r="AH249" i="63"/>
  <c r="AI249" i="63"/>
  <c r="AJ249" i="63"/>
  <c r="AK249" i="63"/>
  <c r="AL249" i="63"/>
  <c r="AM249" i="63"/>
  <c r="AN249" i="63"/>
  <c r="AO249" i="63"/>
  <c r="AP249" i="63"/>
  <c r="AQ249" i="63"/>
  <c r="AR249" i="63"/>
  <c r="AS249" i="63"/>
  <c r="AT249" i="63"/>
  <c r="AU249" i="63"/>
  <c r="AW249" i="63"/>
  <c r="AX249" i="63"/>
  <c r="AY249" i="63"/>
  <c r="BA249" i="63"/>
  <c r="A250" i="63"/>
  <c r="B250" i="63"/>
  <c r="D250" i="63"/>
  <c r="E250" i="63"/>
  <c r="F250" i="63"/>
  <c r="G250" i="63"/>
  <c r="H250" i="63"/>
  <c r="J250" i="63"/>
  <c r="K250" i="63"/>
  <c r="L250" i="63"/>
  <c r="M250" i="63"/>
  <c r="O250" i="63"/>
  <c r="P250" i="63"/>
  <c r="R250" i="63"/>
  <c r="S250" i="63"/>
  <c r="T250" i="63"/>
  <c r="U250" i="63"/>
  <c r="V250" i="63"/>
  <c r="W250" i="63"/>
  <c r="X250" i="63"/>
  <c r="Z250" i="63"/>
  <c r="AA250" i="63"/>
  <c r="AB250" i="63"/>
  <c r="AC250" i="63"/>
  <c r="AD250" i="63"/>
  <c r="AE250" i="63"/>
  <c r="AF250" i="63"/>
  <c r="AG250" i="63"/>
  <c r="AH250" i="63"/>
  <c r="AI250" i="63"/>
  <c r="AJ250" i="63"/>
  <c r="AK250" i="63"/>
  <c r="AL250" i="63"/>
  <c r="AM250" i="63"/>
  <c r="AN250" i="63"/>
  <c r="AO250" i="63"/>
  <c r="AP250" i="63"/>
  <c r="AQ250" i="63"/>
  <c r="AR250" i="63"/>
  <c r="AS250" i="63"/>
  <c r="AT250" i="63"/>
  <c r="AU250" i="63"/>
  <c r="AW250" i="63"/>
  <c r="AX250" i="63"/>
  <c r="AY250" i="63"/>
  <c r="BA250" i="63"/>
  <c r="A251" i="63"/>
  <c r="B251" i="63"/>
  <c r="D251" i="63"/>
  <c r="E251" i="63"/>
  <c r="F251" i="63"/>
  <c r="G251" i="63"/>
  <c r="H251" i="63"/>
  <c r="J251" i="63"/>
  <c r="K251" i="63"/>
  <c r="L251" i="63"/>
  <c r="M251" i="63"/>
  <c r="O251" i="63"/>
  <c r="P251" i="63"/>
  <c r="R251" i="63"/>
  <c r="S251" i="63"/>
  <c r="T251" i="63"/>
  <c r="U251" i="63"/>
  <c r="V251" i="63"/>
  <c r="W251" i="63"/>
  <c r="X251" i="63"/>
  <c r="Z251" i="63"/>
  <c r="AA251" i="63"/>
  <c r="AB251" i="63"/>
  <c r="AC251" i="63"/>
  <c r="AD251" i="63"/>
  <c r="AE251" i="63"/>
  <c r="AF251" i="63"/>
  <c r="AG251" i="63"/>
  <c r="AH251" i="63"/>
  <c r="AI251" i="63"/>
  <c r="AJ251" i="63"/>
  <c r="AK251" i="63"/>
  <c r="AL251" i="63"/>
  <c r="AM251" i="63"/>
  <c r="AN251" i="63"/>
  <c r="AO251" i="63"/>
  <c r="AP251" i="63"/>
  <c r="AQ251" i="63"/>
  <c r="AR251" i="63"/>
  <c r="AS251" i="63"/>
  <c r="AT251" i="63"/>
  <c r="AU251" i="63"/>
  <c r="AW251" i="63"/>
  <c r="AX251" i="63"/>
  <c r="AY251" i="63"/>
  <c r="BA251" i="63"/>
  <c r="A252" i="63"/>
  <c r="B252" i="63"/>
  <c r="D252" i="63"/>
  <c r="E252" i="63"/>
  <c r="F252" i="63"/>
  <c r="G252" i="63"/>
  <c r="H252" i="63"/>
  <c r="J252" i="63"/>
  <c r="K252" i="63"/>
  <c r="L252" i="63"/>
  <c r="M252" i="63"/>
  <c r="O252" i="63"/>
  <c r="P252" i="63"/>
  <c r="R252" i="63"/>
  <c r="S252" i="63"/>
  <c r="T252" i="63"/>
  <c r="U252" i="63"/>
  <c r="V252" i="63"/>
  <c r="W252" i="63"/>
  <c r="X252" i="63"/>
  <c r="Z252" i="63"/>
  <c r="AA252" i="63"/>
  <c r="AB252" i="63"/>
  <c r="AC252" i="63"/>
  <c r="AD252" i="63"/>
  <c r="AE252" i="63"/>
  <c r="AF252" i="63"/>
  <c r="AG252" i="63"/>
  <c r="AH252" i="63"/>
  <c r="AI252" i="63"/>
  <c r="AJ252" i="63"/>
  <c r="AK252" i="63"/>
  <c r="AL252" i="63"/>
  <c r="AM252" i="63"/>
  <c r="AN252" i="63"/>
  <c r="AO252" i="63"/>
  <c r="AP252" i="63"/>
  <c r="AQ252" i="63"/>
  <c r="AR252" i="63"/>
  <c r="AS252" i="63"/>
  <c r="AT252" i="63"/>
  <c r="AU252" i="63"/>
  <c r="AW252" i="63"/>
  <c r="AX252" i="63"/>
  <c r="AY252" i="63"/>
  <c r="BA252" i="63"/>
  <c r="A253" i="63"/>
  <c r="B253" i="63"/>
  <c r="D253" i="63"/>
  <c r="E253" i="63"/>
  <c r="F253" i="63"/>
  <c r="G253" i="63"/>
  <c r="H253" i="63"/>
  <c r="J253" i="63"/>
  <c r="K253" i="63"/>
  <c r="L253" i="63"/>
  <c r="M253" i="63"/>
  <c r="O253" i="63"/>
  <c r="P253" i="63"/>
  <c r="R253" i="63"/>
  <c r="S253" i="63"/>
  <c r="T253" i="63"/>
  <c r="U253" i="63"/>
  <c r="V253" i="63"/>
  <c r="W253" i="63"/>
  <c r="X253" i="63"/>
  <c r="Z253" i="63"/>
  <c r="AA253" i="63"/>
  <c r="AB253" i="63"/>
  <c r="AC253" i="63"/>
  <c r="AD253" i="63"/>
  <c r="AE253" i="63"/>
  <c r="AF253" i="63"/>
  <c r="AG253" i="63"/>
  <c r="AH253" i="63"/>
  <c r="AI253" i="63"/>
  <c r="AJ253" i="63"/>
  <c r="AK253" i="63"/>
  <c r="AL253" i="63"/>
  <c r="AM253" i="63"/>
  <c r="AN253" i="63"/>
  <c r="AO253" i="63"/>
  <c r="AP253" i="63"/>
  <c r="AQ253" i="63"/>
  <c r="AR253" i="63"/>
  <c r="AS253" i="63"/>
  <c r="AT253" i="63"/>
  <c r="AU253" i="63"/>
  <c r="AW253" i="63"/>
  <c r="AX253" i="63"/>
  <c r="AY253" i="63"/>
  <c r="BA253" i="63"/>
  <c r="A254" i="63"/>
  <c r="B254" i="63"/>
  <c r="D254" i="63"/>
  <c r="E254" i="63"/>
  <c r="F254" i="63"/>
  <c r="G254" i="63"/>
  <c r="H254" i="63"/>
  <c r="J254" i="63"/>
  <c r="K254" i="63"/>
  <c r="L254" i="63"/>
  <c r="M254" i="63"/>
  <c r="O254" i="63"/>
  <c r="P254" i="63"/>
  <c r="R254" i="63"/>
  <c r="S254" i="63"/>
  <c r="T254" i="63"/>
  <c r="U254" i="63"/>
  <c r="V254" i="63"/>
  <c r="W254" i="63"/>
  <c r="X254" i="63"/>
  <c r="Z254" i="63"/>
  <c r="AA254" i="63"/>
  <c r="AB254" i="63"/>
  <c r="AC254" i="63"/>
  <c r="AD254" i="63"/>
  <c r="AE254" i="63"/>
  <c r="AF254" i="63"/>
  <c r="AG254" i="63"/>
  <c r="AH254" i="63"/>
  <c r="AI254" i="63"/>
  <c r="AJ254" i="63"/>
  <c r="AK254" i="63"/>
  <c r="AL254" i="63"/>
  <c r="AM254" i="63"/>
  <c r="AN254" i="63"/>
  <c r="AO254" i="63"/>
  <c r="AP254" i="63"/>
  <c r="AQ254" i="63"/>
  <c r="AR254" i="63"/>
  <c r="AS254" i="63"/>
  <c r="AT254" i="63"/>
  <c r="AU254" i="63"/>
  <c r="AW254" i="63"/>
  <c r="AX254" i="63"/>
  <c r="AY254" i="63"/>
  <c r="BA254" i="63"/>
  <c r="A255" i="63"/>
  <c r="B255" i="63"/>
  <c r="D255" i="63"/>
  <c r="E255" i="63"/>
  <c r="F255" i="63"/>
  <c r="G255" i="63"/>
  <c r="H255" i="63"/>
  <c r="J255" i="63"/>
  <c r="K255" i="63"/>
  <c r="L255" i="63"/>
  <c r="M255" i="63"/>
  <c r="O255" i="63"/>
  <c r="P255" i="63"/>
  <c r="R255" i="63"/>
  <c r="S255" i="63"/>
  <c r="T255" i="63"/>
  <c r="U255" i="63"/>
  <c r="V255" i="63"/>
  <c r="W255" i="63"/>
  <c r="X255" i="63"/>
  <c r="Z255" i="63"/>
  <c r="AA255" i="63"/>
  <c r="AB255" i="63"/>
  <c r="AC255" i="63"/>
  <c r="AD255" i="63"/>
  <c r="AE255" i="63"/>
  <c r="AF255" i="63"/>
  <c r="AG255" i="63"/>
  <c r="AH255" i="63"/>
  <c r="AI255" i="63"/>
  <c r="AJ255" i="63"/>
  <c r="AK255" i="63"/>
  <c r="AL255" i="63"/>
  <c r="AM255" i="63"/>
  <c r="AN255" i="63"/>
  <c r="AO255" i="63"/>
  <c r="AP255" i="63"/>
  <c r="AQ255" i="63"/>
  <c r="AR255" i="63"/>
  <c r="AS255" i="63"/>
  <c r="AT255" i="63"/>
  <c r="AU255" i="63"/>
  <c r="AW255" i="63"/>
  <c r="AX255" i="63"/>
  <c r="AY255" i="63"/>
  <c r="BA255" i="63"/>
  <c r="A256" i="63"/>
  <c r="B256" i="63"/>
  <c r="D256" i="63"/>
  <c r="E256" i="63"/>
  <c r="F256" i="63"/>
  <c r="G256" i="63"/>
  <c r="H256" i="63"/>
  <c r="J256" i="63"/>
  <c r="K256" i="63"/>
  <c r="L256" i="63"/>
  <c r="M256" i="63"/>
  <c r="O256" i="63"/>
  <c r="P256" i="63"/>
  <c r="R256" i="63"/>
  <c r="S256" i="63"/>
  <c r="T256" i="63"/>
  <c r="U256" i="63"/>
  <c r="V256" i="63"/>
  <c r="W256" i="63"/>
  <c r="X256" i="63"/>
  <c r="Z256" i="63"/>
  <c r="AA256" i="63"/>
  <c r="AB256" i="63"/>
  <c r="AC256" i="63"/>
  <c r="AD256" i="63"/>
  <c r="AE256" i="63"/>
  <c r="AF256" i="63"/>
  <c r="AG256" i="63"/>
  <c r="AH256" i="63"/>
  <c r="AI256" i="63"/>
  <c r="AJ256" i="63"/>
  <c r="AK256" i="63"/>
  <c r="AL256" i="63"/>
  <c r="AM256" i="63"/>
  <c r="AN256" i="63"/>
  <c r="AO256" i="63"/>
  <c r="AP256" i="63"/>
  <c r="AQ256" i="63"/>
  <c r="AR256" i="63"/>
  <c r="AS256" i="63"/>
  <c r="AT256" i="63"/>
  <c r="AU256" i="63"/>
  <c r="AW256" i="63"/>
  <c r="AX256" i="63"/>
  <c r="AY256" i="63"/>
  <c r="BA256" i="63"/>
  <c r="A257" i="63"/>
  <c r="B257" i="63"/>
  <c r="D257" i="63"/>
  <c r="E257" i="63"/>
  <c r="F257" i="63"/>
  <c r="G257" i="63"/>
  <c r="H257" i="63"/>
  <c r="J257" i="63"/>
  <c r="K257" i="63"/>
  <c r="L257" i="63"/>
  <c r="M257" i="63"/>
  <c r="O257" i="63"/>
  <c r="P257" i="63"/>
  <c r="R257" i="63"/>
  <c r="S257" i="63"/>
  <c r="T257" i="63"/>
  <c r="U257" i="63"/>
  <c r="V257" i="63"/>
  <c r="W257" i="63"/>
  <c r="X257" i="63"/>
  <c r="Z257" i="63"/>
  <c r="AA257" i="63"/>
  <c r="AB257" i="63"/>
  <c r="AC257" i="63"/>
  <c r="AD257" i="63"/>
  <c r="AE257" i="63"/>
  <c r="AF257" i="63"/>
  <c r="AG257" i="63"/>
  <c r="AH257" i="63"/>
  <c r="AI257" i="63"/>
  <c r="AJ257" i="63"/>
  <c r="AK257" i="63"/>
  <c r="AL257" i="63"/>
  <c r="AM257" i="63"/>
  <c r="AN257" i="63"/>
  <c r="AO257" i="63"/>
  <c r="AP257" i="63"/>
  <c r="AQ257" i="63"/>
  <c r="AR257" i="63"/>
  <c r="AS257" i="63"/>
  <c r="AT257" i="63"/>
  <c r="AU257" i="63"/>
  <c r="AW257" i="63"/>
  <c r="AX257" i="63"/>
  <c r="AY257" i="63"/>
  <c r="BA257" i="63"/>
  <c r="A258" i="63"/>
  <c r="B258" i="63"/>
  <c r="D258" i="63"/>
  <c r="E258" i="63"/>
  <c r="F258" i="63"/>
  <c r="G258" i="63"/>
  <c r="H258" i="63"/>
  <c r="J258" i="63"/>
  <c r="K258" i="63"/>
  <c r="L258" i="63"/>
  <c r="M258" i="63"/>
  <c r="O258" i="63"/>
  <c r="P258" i="63"/>
  <c r="R258" i="63"/>
  <c r="S258" i="63"/>
  <c r="T258" i="63"/>
  <c r="U258" i="63"/>
  <c r="V258" i="63"/>
  <c r="W258" i="63"/>
  <c r="X258" i="63"/>
  <c r="Z258" i="63"/>
  <c r="AA258" i="63"/>
  <c r="AB258" i="63"/>
  <c r="AC258" i="63"/>
  <c r="AD258" i="63"/>
  <c r="AE258" i="63"/>
  <c r="AF258" i="63"/>
  <c r="AG258" i="63"/>
  <c r="AH258" i="63"/>
  <c r="AI258" i="63"/>
  <c r="AJ258" i="63"/>
  <c r="AK258" i="63"/>
  <c r="AL258" i="63"/>
  <c r="AM258" i="63"/>
  <c r="AN258" i="63"/>
  <c r="AO258" i="63"/>
  <c r="AP258" i="63"/>
  <c r="AQ258" i="63"/>
  <c r="AR258" i="63"/>
  <c r="AS258" i="63"/>
  <c r="AT258" i="63"/>
  <c r="AU258" i="63"/>
  <c r="AW258" i="63"/>
  <c r="AX258" i="63"/>
  <c r="AY258" i="63"/>
  <c r="BA258" i="63"/>
  <c r="A259" i="63"/>
  <c r="B259" i="63"/>
  <c r="D259" i="63"/>
  <c r="E259" i="63"/>
  <c r="F259" i="63"/>
  <c r="G259" i="63"/>
  <c r="H259" i="63"/>
  <c r="J259" i="63"/>
  <c r="K259" i="63"/>
  <c r="L259" i="63"/>
  <c r="M259" i="63"/>
  <c r="O259" i="63"/>
  <c r="P259" i="63"/>
  <c r="R259" i="63"/>
  <c r="S259" i="63"/>
  <c r="T259" i="63"/>
  <c r="U259" i="63"/>
  <c r="V259" i="63"/>
  <c r="W259" i="63"/>
  <c r="X259" i="63"/>
  <c r="Z259" i="63"/>
  <c r="AA259" i="63"/>
  <c r="AB259" i="63"/>
  <c r="AC259" i="63"/>
  <c r="AD259" i="63"/>
  <c r="AE259" i="63"/>
  <c r="AF259" i="63"/>
  <c r="AG259" i="63"/>
  <c r="AH259" i="63"/>
  <c r="AI259" i="63"/>
  <c r="AJ259" i="63"/>
  <c r="AK259" i="63"/>
  <c r="AL259" i="63"/>
  <c r="AM259" i="63"/>
  <c r="AN259" i="63"/>
  <c r="AO259" i="63"/>
  <c r="AP259" i="63"/>
  <c r="AQ259" i="63"/>
  <c r="AR259" i="63"/>
  <c r="AS259" i="63"/>
  <c r="AT259" i="63"/>
  <c r="AU259" i="63"/>
  <c r="AW259" i="63"/>
  <c r="AX259" i="63"/>
  <c r="AY259" i="63"/>
  <c r="BA259" i="63"/>
  <c r="A260" i="63"/>
  <c r="B260" i="63"/>
  <c r="D260" i="63"/>
  <c r="E260" i="63"/>
  <c r="F260" i="63"/>
  <c r="G260" i="63"/>
  <c r="H260" i="63"/>
  <c r="J260" i="63"/>
  <c r="K260" i="63"/>
  <c r="L260" i="63"/>
  <c r="M260" i="63"/>
  <c r="O260" i="63"/>
  <c r="P260" i="63"/>
  <c r="R260" i="63"/>
  <c r="S260" i="63"/>
  <c r="T260" i="63"/>
  <c r="U260" i="63"/>
  <c r="V260" i="63"/>
  <c r="W260" i="63"/>
  <c r="X260" i="63"/>
  <c r="Z260" i="63"/>
  <c r="AA260" i="63"/>
  <c r="AB260" i="63"/>
  <c r="AC260" i="63"/>
  <c r="AD260" i="63"/>
  <c r="AE260" i="63"/>
  <c r="AF260" i="63"/>
  <c r="AG260" i="63"/>
  <c r="AH260" i="63"/>
  <c r="AI260" i="63"/>
  <c r="AJ260" i="63"/>
  <c r="AK260" i="63"/>
  <c r="AL260" i="63"/>
  <c r="AM260" i="63"/>
  <c r="AN260" i="63"/>
  <c r="AO260" i="63"/>
  <c r="AP260" i="63"/>
  <c r="AQ260" i="63"/>
  <c r="AR260" i="63"/>
  <c r="AS260" i="63"/>
  <c r="AT260" i="63"/>
  <c r="AU260" i="63"/>
  <c r="AW260" i="63"/>
  <c r="AX260" i="63"/>
  <c r="AY260" i="63"/>
  <c r="BA260" i="63"/>
  <c r="A261" i="63"/>
  <c r="B261" i="63"/>
  <c r="D261" i="63"/>
  <c r="E261" i="63"/>
  <c r="F261" i="63"/>
  <c r="G261" i="63"/>
  <c r="H261" i="63"/>
  <c r="J261" i="63"/>
  <c r="K261" i="63"/>
  <c r="L261" i="63"/>
  <c r="M261" i="63"/>
  <c r="O261" i="63"/>
  <c r="P261" i="63"/>
  <c r="R261" i="63"/>
  <c r="S261" i="63"/>
  <c r="T261" i="63"/>
  <c r="U261" i="63"/>
  <c r="V261" i="63"/>
  <c r="W261" i="63"/>
  <c r="X261" i="63"/>
  <c r="Z261" i="63"/>
  <c r="AA261" i="63"/>
  <c r="AB261" i="63"/>
  <c r="AC261" i="63"/>
  <c r="AD261" i="63"/>
  <c r="AE261" i="63"/>
  <c r="AF261" i="63"/>
  <c r="AG261" i="63"/>
  <c r="AH261" i="63"/>
  <c r="AI261" i="63"/>
  <c r="AJ261" i="63"/>
  <c r="AK261" i="63"/>
  <c r="AL261" i="63"/>
  <c r="AM261" i="63"/>
  <c r="AN261" i="63"/>
  <c r="AO261" i="63"/>
  <c r="AP261" i="63"/>
  <c r="AQ261" i="63"/>
  <c r="AR261" i="63"/>
  <c r="AS261" i="63"/>
  <c r="AT261" i="63"/>
  <c r="AU261" i="63"/>
  <c r="AW261" i="63"/>
  <c r="AX261" i="63"/>
  <c r="AY261" i="63"/>
  <c r="BA261" i="63"/>
  <c r="A262" i="63"/>
  <c r="B262" i="63"/>
  <c r="D262" i="63"/>
  <c r="E262" i="63"/>
  <c r="F262" i="63"/>
  <c r="G262" i="63"/>
  <c r="H262" i="63"/>
  <c r="J262" i="63"/>
  <c r="K262" i="63"/>
  <c r="L262" i="63"/>
  <c r="M262" i="63"/>
  <c r="O262" i="63"/>
  <c r="P262" i="63"/>
  <c r="R262" i="63"/>
  <c r="S262" i="63"/>
  <c r="T262" i="63"/>
  <c r="U262" i="63"/>
  <c r="V262" i="63"/>
  <c r="W262" i="63"/>
  <c r="X262" i="63"/>
  <c r="Z262" i="63"/>
  <c r="AA262" i="63"/>
  <c r="AB262" i="63"/>
  <c r="AC262" i="63"/>
  <c r="AD262" i="63"/>
  <c r="AE262" i="63"/>
  <c r="AF262" i="63"/>
  <c r="AG262" i="63"/>
  <c r="AH262" i="63"/>
  <c r="AI262" i="63"/>
  <c r="AJ262" i="63"/>
  <c r="AK262" i="63"/>
  <c r="AL262" i="63"/>
  <c r="AM262" i="63"/>
  <c r="AN262" i="63"/>
  <c r="AO262" i="63"/>
  <c r="AP262" i="63"/>
  <c r="AQ262" i="63"/>
  <c r="AR262" i="63"/>
  <c r="AS262" i="63"/>
  <c r="AT262" i="63"/>
  <c r="AU262" i="63"/>
  <c r="AW262" i="63"/>
  <c r="AX262" i="63"/>
  <c r="AY262" i="63"/>
  <c r="BA262" i="63"/>
  <c r="A263" i="63"/>
  <c r="B263" i="63"/>
  <c r="D263" i="63"/>
  <c r="E263" i="63"/>
  <c r="F263" i="63"/>
  <c r="G263" i="63"/>
  <c r="H263" i="63"/>
  <c r="J263" i="63"/>
  <c r="K263" i="63"/>
  <c r="L263" i="63"/>
  <c r="M263" i="63"/>
  <c r="O263" i="63"/>
  <c r="P263" i="63"/>
  <c r="R263" i="63"/>
  <c r="S263" i="63"/>
  <c r="T263" i="63"/>
  <c r="U263" i="63"/>
  <c r="V263" i="63"/>
  <c r="W263" i="63"/>
  <c r="X263" i="63"/>
  <c r="Z263" i="63"/>
  <c r="AA263" i="63"/>
  <c r="AB263" i="63"/>
  <c r="AC263" i="63"/>
  <c r="AD263" i="63"/>
  <c r="AE263" i="63"/>
  <c r="AF263" i="63"/>
  <c r="AG263" i="63"/>
  <c r="AH263" i="63"/>
  <c r="AI263" i="63"/>
  <c r="AJ263" i="63"/>
  <c r="AK263" i="63"/>
  <c r="AL263" i="63"/>
  <c r="AM263" i="63"/>
  <c r="AN263" i="63"/>
  <c r="AO263" i="63"/>
  <c r="AP263" i="63"/>
  <c r="AQ263" i="63"/>
  <c r="AR263" i="63"/>
  <c r="AS263" i="63"/>
  <c r="AT263" i="63"/>
  <c r="AU263" i="63"/>
  <c r="AW263" i="63"/>
  <c r="AX263" i="63"/>
  <c r="AY263" i="63"/>
  <c r="BA263" i="63"/>
  <c r="A264" i="63"/>
  <c r="B264" i="63"/>
  <c r="D264" i="63"/>
  <c r="E264" i="63"/>
  <c r="F264" i="63"/>
  <c r="G264" i="63"/>
  <c r="H264" i="63"/>
  <c r="J264" i="63"/>
  <c r="K264" i="63"/>
  <c r="L264" i="63"/>
  <c r="M264" i="63"/>
  <c r="O264" i="63"/>
  <c r="P264" i="63"/>
  <c r="R264" i="63"/>
  <c r="S264" i="63"/>
  <c r="T264" i="63"/>
  <c r="U264" i="63"/>
  <c r="V264" i="63"/>
  <c r="W264" i="63"/>
  <c r="X264" i="63"/>
  <c r="Z264" i="63"/>
  <c r="AA264" i="63"/>
  <c r="AB264" i="63"/>
  <c r="AC264" i="63"/>
  <c r="AD264" i="63"/>
  <c r="AE264" i="63"/>
  <c r="AF264" i="63"/>
  <c r="AG264" i="63"/>
  <c r="AH264" i="63"/>
  <c r="AI264" i="63"/>
  <c r="AJ264" i="63"/>
  <c r="AK264" i="63"/>
  <c r="AL264" i="63"/>
  <c r="AM264" i="63"/>
  <c r="AN264" i="63"/>
  <c r="AO264" i="63"/>
  <c r="AP264" i="63"/>
  <c r="AQ264" i="63"/>
  <c r="AR264" i="63"/>
  <c r="AS264" i="63"/>
  <c r="AT264" i="63"/>
  <c r="AU264" i="63"/>
  <c r="AW264" i="63"/>
  <c r="AX264" i="63"/>
  <c r="AY264" i="63"/>
  <c r="BA264" i="63"/>
  <c r="A265" i="63"/>
  <c r="B265" i="63"/>
  <c r="D265" i="63"/>
  <c r="E265" i="63"/>
  <c r="F265" i="63"/>
  <c r="G265" i="63"/>
  <c r="H265" i="63"/>
  <c r="J265" i="63"/>
  <c r="K265" i="63"/>
  <c r="L265" i="63"/>
  <c r="M265" i="63"/>
  <c r="O265" i="63"/>
  <c r="P265" i="63"/>
  <c r="R265" i="63"/>
  <c r="S265" i="63"/>
  <c r="T265" i="63"/>
  <c r="U265" i="63"/>
  <c r="V265" i="63"/>
  <c r="W265" i="63"/>
  <c r="X265" i="63"/>
  <c r="Z265" i="63"/>
  <c r="AA265" i="63"/>
  <c r="AB265" i="63"/>
  <c r="AC265" i="63"/>
  <c r="AD265" i="63"/>
  <c r="AE265" i="63"/>
  <c r="AF265" i="63"/>
  <c r="AG265" i="63"/>
  <c r="AH265" i="63"/>
  <c r="AI265" i="63"/>
  <c r="AJ265" i="63"/>
  <c r="AK265" i="63"/>
  <c r="AL265" i="63"/>
  <c r="AM265" i="63"/>
  <c r="AN265" i="63"/>
  <c r="AO265" i="63"/>
  <c r="AP265" i="63"/>
  <c r="AQ265" i="63"/>
  <c r="AR265" i="63"/>
  <c r="AS265" i="63"/>
  <c r="AT265" i="63"/>
  <c r="AU265" i="63"/>
  <c r="AW265" i="63"/>
  <c r="AX265" i="63"/>
  <c r="AY265" i="63"/>
  <c r="BA265" i="63"/>
  <c r="A266" i="63"/>
  <c r="B266" i="63"/>
  <c r="D266" i="63"/>
  <c r="E266" i="63"/>
  <c r="F266" i="63"/>
  <c r="G266" i="63"/>
  <c r="H266" i="63"/>
  <c r="J266" i="63"/>
  <c r="K266" i="63"/>
  <c r="L266" i="63"/>
  <c r="M266" i="63"/>
  <c r="O266" i="63"/>
  <c r="P266" i="63"/>
  <c r="R266" i="63"/>
  <c r="S266" i="63"/>
  <c r="T266" i="63"/>
  <c r="U266" i="63"/>
  <c r="V266" i="63"/>
  <c r="W266" i="63"/>
  <c r="X266" i="63"/>
  <c r="Z266" i="63"/>
  <c r="AA266" i="63"/>
  <c r="AB266" i="63"/>
  <c r="AC266" i="63"/>
  <c r="AD266" i="63"/>
  <c r="AE266" i="63"/>
  <c r="AF266" i="63"/>
  <c r="AG266" i="63"/>
  <c r="AH266" i="63"/>
  <c r="AI266" i="63"/>
  <c r="AJ266" i="63"/>
  <c r="AK266" i="63"/>
  <c r="AL266" i="63"/>
  <c r="AM266" i="63"/>
  <c r="AN266" i="63"/>
  <c r="AO266" i="63"/>
  <c r="AP266" i="63"/>
  <c r="AQ266" i="63"/>
  <c r="AR266" i="63"/>
  <c r="AS266" i="63"/>
  <c r="AT266" i="63"/>
  <c r="AU266" i="63"/>
  <c r="AW266" i="63"/>
  <c r="AX266" i="63"/>
  <c r="AY266" i="63"/>
  <c r="BA266" i="63"/>
  <c r="A267" i="63"/>
  <c r="B267" i="63"/>
  <c r="D267" i="63"/>
  <c r="E267" i="63"/>
  <c r="F267" i="63"/>
  <c r="G267" i="63"/>
  <c r="H267" i="63"/>
  <c r="J267" i="63"/>
  <c r="K267" i="63"/>
  <c r="L267" i="63"/>
  <c r="M267" i="63"/>
  <c r="O267" i="63"/>
  <c r="P267" i="63"/>
  <c r="R267" i="63"/>
  <c r="S267" i="63"/>
  <c r="T267" i="63"/>
  <c r="U267" i="63"/>
  <c r="V267" i="63"/>
  <c r="W267" i="63"/>
  <c r="X267" i="63"/>
  <c r="Z267" i="63"/>
  <c r="AA267" i="63"/>
  <c r="AB267" i="63"/>
  <c r="AC267" i="63"/>
  <c r="AD267" i="63"/>
  <c r="AE267" i="63"/>
  <c r="AF267" i="63"/>
  <c r="AG267" i="63"/>
  <c r="AH267" i="63"/>
  <c r="AI267" i="63"/>
  <c r="AJ267" i="63"/>
  <c r="AK267" i="63"/>
  <c r="AL267" i="63"/>
  <c r="AM267" i="63"/>
  <c r="AN267" i="63"/>
  <c r="AO267" i="63"/>
  <c r="AP267" i="63"/>
  <c r="AQ267" i="63"/>
  <c r="AR267" i="63"/>
  <c r="AS267" i="63"/>
  <c r="AT267" i="63"/>
  <c r="AU267" i="63"/>
  <c r="AW267" i="63"/>
  <c r="AX267" i="63"/>
  <c r="AY267" i="63"/>
  <c r="BA267" i="63"/>
  <c r="A268" i="63"/>
  <c r="B268" i="63"/>
  <c r="D268" i="63"/>
  <c r="E268" i="63"/>
  <c r="F268" i="63"/>
  <c r="G268" i="63"/>
  <c r="H268" i="63"/>
  <c r="J268" i="63"/>
  <c r="K268" i="63"/>
  <c r="L268" i="63"/>
  <c r="M268" i="63"/>
  <c r="O268" i="63"/>
  <c r="P268" i="63"/>
  <c r="R268" i="63"/>
  <c r="S268" i="63"/>
  <c r="T268" i="63"/>
  <c r="U268" i="63"/>
  <c r="V268" i="63"/>
  <c r="W268" i="63"/>
  <c r="X268" i="63"/>
  <c r="Z268" i="63"/>
  <c r="AA268" i="63"/>
  <c r="AB268" i="63"/>
  <c r="AC268" i="63"/>
  <c r="AD268" i="63"/>
  <c r="AE268" i="63"/>
  <c r="AF268" i="63"/>
  <c r="AG268" i="63"/>
  <c r="AH268" i="63"/>
  <c r="AI268" i="63"/>
  <c r="AJ268" i="63"/>
  <c r="AK268" i="63"/>
  <c r="AL268" i="63"/>
  <c r="AM268" i="63"/>
  <c r="AN268" i="63"/>
  <c r="AO268" i="63"/>
  <c r="AP268" i="63"/>
  <c r="AQ268" i="63"/>
  <c r="AR268" i="63"/>
  <c r="AS268" i="63"/>
  <c r="AT268" i="63"/>
  <c r="AU268" i="63"/>
  <c r="AW268" i="63"/>
  <c r="AX268" i="63"/>
  <c r="AY268" i="63"/>
  <c r="BA268" i="63"/>
  <c r="A269" i="63"/>
  <c r="B269" i="63"/>
  <c r="D269" i="63"/>
  <c r="E269" i="63"/>
  <c r="F269" i="63"/>
  <c r="G269" i="63"/>
  <c r="H269" i="63"/>
  <c r="J269" i="63"/>
  <c r="K269" i="63"/>
  <c r="L269" i="63"/>
  <c r="M269" i="63"/>
  <c r="O269" i="63"/>
  <c r="P269" i="63"/>
  <c r="R269" i="63"/>
  <c r="S269" i="63"/>
  <c r="T269" i="63"/>
  <c r="U269" i="63"/>
  <c r="V269" i="63"/>
  <c r="W269" i="63"/>
  <c r="X269" i="63"/>
  <c r="Z269" i="63"/>
  <c r="AA269" i="63"/>
  <c r="AB269" i="63"/>
  <c r="AC269" i="63"/>
  <c r="AD269" i="63"/>
  <c r="AE269" i="63"/>
  <c r="AF269" i="63"/>
  <c r="AG269" i="63"/>
  <c r="AH269" i="63"/>
  <c r="AI269" i="63"/>
  <c r="AJ269" i="63"/>
  <c r="AK269" i="63"/>
  <c r="AL269" i="63"/>
  <c r="AM269" i="63"/>
  <c r="AN269" i="63"/>
  <c r="AO269" i="63"/>
  <c r="AP269" i="63"/>
  <c r="AQ269" i="63"/>
  <c r="AR269" i="63"/>
  <c r="AS269" i="63"/>
  <c r="AT269" i="63"/>
  <c r="AU269" i="63"/>
  <c r="AW269" i="63"/>
  <c r="AX269" i="63"/>
  <c r="AY269" i="63"/>
  <c r="BA269" i="63"/>
  <c r="A270" i="63"/>
  <c r="B270" i="63"/>
  <c r="D270" i="63"/>
  <c r="E270" i="63"/>
  <c r="F270" i="63"/>
  <c r="G270" i="63"/>
  <c r="H270" i="63"/>
  <c r="J270" i="63"/>
  <c r="K270" i="63"/>
  <c r="L270" i="63"/>
  <c r="M270" i="63"/>
  <c r="O270" i="63"/>
  <c r="P270" i="63"/>
  <c r="R270" i="63"/>
  <c r="S270" i="63"/>
  <c r="T270" i="63"/>
  <c r="U270" i="63"/>
  <c r="V270" i="63"/>
  <c r="W270" i="63"/>
  <c r="X270" i="63"/>
  <c r="Z270" i="63"/>
  <c r="AA270" i="63"/>
  <c r="AB270" i="63"/>
  <c r="AC270" i="63"/>
  <c r="AD270" i="63"/>
  <c r="AE270" i="63"/>
  <c r="AF270" i="63"/>
  <c r="AG270" i="63"/>
  <c r="AH270" i="63"/>
  <c r="AI270" i="63"/>
  <c r="AJ270" i="63"/>
  <c r="AK270" i="63"/>
  <c r="AL270" i="63"/>
  <c r="AM270" i="63"/>
  <c r="AN270" i="63"/>
  <c r="AO270" i="63"/>
  <c r="AP270" i="63"/>
  <c r="AQ270" i="63"/>
  <c r="AR270" i="63"/>
  <c r="AS270" i="63"/>
  <c r="AT270" i="63"/>
  <c r="AU270" i="63"/>
  <c r="AW270" i="63"/>
  <c r="AX270" i="63"/>
  <c r="AY270" i="63"/>
  <c r="BA270" i="63"/>
  <c r="A271" i="63"/>
  <c r="B271" i="63"/>
  <c r="D271" i="63"/>
  <c r="E271" i="63"/>
  <c r="F271" i="63"/>
  <c r="G271" i="63"/>
  <c r="H271" i="63"/>
  <c r="J271" i="63"/>
  <c r="K271" i="63"/>
  <c r="L271" i="63"/>
  <c r="M271" i="63"/>
  <c r="O271" i="63"/>
  <c r="P271" i="63"/>
  <c r="R271" i="63"/>
  <c r="S271" i="63"/>
  <c r="T271" i="63"/>
  <c r="U271" i="63"/>
  <c r="V271" i="63"/>
  <c r="W271" i="63"/>
  <c r="X271" i="63"/>
  <c r="Z271" i="63"/>
  <c r="AA271" i="63"/>
  <c r="AB271" i="63"/>
  <c r="AC271" i="63"/>
  <c r="AD271" i="63"/>
  <c r="AE271" i="63"/>
  <c r="AF271" i="63"/>
  <c r="AG271" i="63"/>
  <c r="AH271" i="63"/>
  <c r="AI271" i="63"/>
  <c r="AJ271" i="63"/>
  <c r="AK271" i="63"/>
  <c r="AL271" i="63"/>
  <c r="AM271" i="63"/>
  <c r="AN271" i="63"/>
  <c r="AO271" i="63"/>
  <c r="AP271" i="63"/>
  <c r="AQ271" i="63"/>
  <c r="AR271" i="63"/>
  <c r="AS271" i="63"/>
  <c r="AT271" i="63"/>
  <c r="AU271" i="63"/>
  <c r="AW271" i="63"/>
  <c r="AX271" i="63"/>
  <c r="AY271" i="63"/>
  <c r="BA271" i="63"/>
  <c r="A272" i="63"/>
  <c r="B272" i="63"/>
  <c r="D272" i="63"/>
  <c r="E272" i="63"/>
  <c r="F272" i="63"/>
  <c r="G272" i="63"/>
  <c r="H272" i="63"/>
  <c r="J272" i="63"/>
  <c r="K272" i="63"/>
  <c r="L272" i="63"/>
  <c r="M272" i="63"/>
  <c r="O272" i="63"/>
  <c r="P272" i="63"/>
  <c r="R272" i="63"/>
  <c r="S272" i="63"/>
  <c r="T272" i="63"/>
  <c r="U272" i="63"/>
  <c r="V272" i="63"/>
  <c r="W272" i="63"/>
  <c r="X272" i="63"/>
  <c r="Z272" i="63"/>
  <c r="AA272" i="63"/>
  <c r="AB272" i="63"/>
  <c r="AC272" i="63"/>
  <c r="AD272" i="63"/>
  <c r="AE272" i="63"/>
  <c r="AF272" i="63"/>
  <c r="AG272" i="63"/>
  <c r="AH272" i="63"/>
  <c r="AI272" i="63"/>
  <c r="AJ272" i="63"/>
  <c r="AK272" i="63"/>
  <c r="AL272" i="63"/>
  <c r="AM272" i="63"/>
  <c r="AN272" i="63"/>
  <c r="AO272" i="63"/>
  <c r="AP272" i="63"/>
  <c r="AQ272" i="63"/>
  <c r="AR272" i="63"/>
  <c r="AS272" i="63"/>
  <c r="AT272" i="63"/>
  <c r="AU272" i="63"/>
  <c r="AW272" i="63"/>
  <c r="AX272" i="63"/>
  <c r="AY272" i="63"/>
  <c r="BA272" i="63"/>
  <c r="A273" i="63"/>
  <c r="B273" i="63"/>
  <c r="D273" i="63"/>
  <c r="E273" i="63"/>
  <c r="F273" i="63"/>
  <c r="G273" i="63"/>
  <c r="H273" i="63"/>
  <c r="J273" i="63"/>
  <c r="K273" i="63"/>
  <c r="L273" i="63"/>
  <c r="M273" i="63"/>
  <c r="O273" i="63"/>
  <c r="P273" i="63"/>
  <c r="R273" i="63"/>
  <c r="S273" i="63"/>
  <c r="T273" i="63"/>
  <c r="U273" i="63"/>
  <c r="V273" i="63"/>
  <c r="W273" i="63"/>
  <c r="X273" i="63"/>
  <c r="Z273" i="63"/>
  <c r="AA273" i="63"/>
  <c r="AB273" i="63"/>
  <c r="AC273" i="63"/>
  <c r="AD273" i="63"/>
  <c r="AE273" i="63"/>
  <c r="AF273" i="63"/>
  <c r="AG273" i="63"/>
  <c r="AH273" i="63"/>
  <c r="AI273" i="63"/>
  <c r="AJ273" i="63"/>
  <c r="AK273" i="63"/>
  <c r="AL273" i="63"/>
  <c r="AM273" i="63"/>
  <c r="AN273" i="63"/>
  <c r="AO273" i="63"/>
  <c r="AP273" i="63"/>
  <c r="AQ273" i="63"/>
  <c r="AR273" i="63"/>
  <c r="AS273" i="63"/>
  <c r="AT273" i="63"/>
  <c r="AU273" i="63"/>
  <c r="AW273" i="63"/>
  <c r="AX273" i="63"/>
  <c r="AY273" i="63"/>
  <c r="BA273" i="63"/>
  <c r="A274" i="63"/>
  <c r="B274" i="63"/>
  <c r="D274" i="63"/>
  <c r="E274" i="63"/>
  <c r="F274" i="63"/>
  <c r="G274" i="63"/>
  <c r="H274" i="63"/>
  <c r="J274" i="63"/>
  <c r="K274" i="63"/>
  <c r="L274" i="63"/>
  <c r="M274" i="63"/>
  <c r="O274" i="63"/>
  <c r="P274" i="63"/>
  <c r="R274" i="63"/>
  <c r="S274" i="63"/>
  <c r="T274" i="63"/>
  <c r="U274" i="63"/>
  <c r="V274" i="63"/>
  <c r="W274" i="63"/>
  <c r="X274" i="63"/>
  <c r="Z274" i="63"/>
  <c r="AA274" i="63"/>
  <c r="AB274" i="63"/>
  <c r="AC274" i="63"/>
  <c r="AD274" i="63"/>
  <c r="AE274" i="63"/>
  <c r="AF274" i="63"/>
  <c r="AG274" i="63"/>
  <c r="AH274" i="63"/>
  <c r="AI274" i="63"/>
  <c r="AJ274" i="63"/>
  <c r="AK274" i="63"/>
  <c r="AL274" i="63"/>
  <c r="AM274" i="63"/>
  <c r="AN274" i="63"/>
  <c r="AO274" i="63"/>
  <c r="AP274" i="63"/>
  <c r="AQ274" i="63"/>
  <c r="AR274" i="63"/>
  <c r="AS274" i="63"/>
  <c r="AT274" i="63"/>
  <c r="AU274" i="63"/>
  <c r="AW274" i="63"/>
  <c r="AX274" i="63"/>
  <c r="AY274" i="63"/>
  <c r="BA274" i="63"/>
  <c r="A275" i="63"/>
  <c r="B275" i="63"/>
  <c r="D275" i="63"/>
  <c r="E275" i="63"/>
  <c r="F275" i="63"/>
  <c r="G275" i="63"/>
  <c r="H275" i="63"/>
  <c r="J275" i="63"/>
  <c r="K275" i="63"/>
  <c r="L275" i="63"/>
  <c r="M275" i="63"/>
  <c r="O275" i="63"/>
  <c r="P275" i="63"/>
  <c r="R275" i="63"/>
  <c r="S275" i="63"/>
  <c r="T275" i="63"/>
  <c r="U275" i="63"/>
  <c r="V275" i="63"/>
  <c r="W275" i="63"/>
  <c r="X275" i="63"/>
  <c r="Z275" i="63"/>
  <c r="AA275" i="63"/>
  <c r="AB275" i="63"/>
  <c r="AC275" i="63"/>
  <c r="AD275" i="63"/>
  <c r="AE275" i="63"/>
  <c r="AF275" i="63"/>
  <c r="AG275" i="63"/>
  <c r="AH275" i="63"/>
  <c r="AI275" i="63"/>
  <c r="AJ275" i="63"/>
  <c r="AK275" i="63"/>
  <c r="AL275" i="63"/>
  <c r="AM275" i="63"/>
  <c r="AN275" i="63"/>
  <c r="AO275" i="63"/>
  <c r="AP275" i="63"/>
  <c r="AQ275" i="63"/>
  <c r="AR275" i="63"/>
  <c r="AS275" i="63"/>
  <c r="AT275" i="63"/>
  <c r="AU275" i="63"/>
  <c r="AW275" i="63"/>
  <c r="AX275" i="63"/>
  <c r="AY275" i="63"/>
  <c r="BA275" i="63"/>
  <c r="A276" i="63"/>
  <c r="B276" i="63"/>
  <c r="D276" i="63"/>
  <c r="E276" i="63"/>
  <c r="F276" i="63"/>
  <c r="G276" i="63"/>
  <c r="H276" i="63"/>
  <c r="J276" i="63"/>
  <c r="K276" i="63"/>
  <c r="L276" i="63"/>
  <c r="M276" i="63"/>
  <c r="O276" i="63"/>
  <c r="P276" i="63"/>
  <c r="R276" i="63"/>
  <c r="S276" i="63"/>
  <c r="T276" i="63"/>
  <c r="U276" i="63"/>
  <c r="V276" i="63"/>
  <c r="W276" i="63"/>
  <c r="X276" i="63"/>
  <c r="Z276" i="63"/>
  <c r="AA276" i="63"/>
  <c r="AB276" i="63"/>
  <c r="AC276" i="63"/>
  <c r="AD276" i="63"/>
  <c r="AE276" i="63"/>
  <c r="AF276" i="63"/>
  <c r="AG276" i="63"/>
  <c r="AH276" i="63"/>
  <c r="AI276" i="63"/>
  <c r="AJ276" i="63"/>
  <c r="AK276" i="63"/>
  <c r="AL276" i="63"/>
  <c r="AM276" i="63"/>
  <c r="AN276" i="63"/>
  <c r="AO276" i="63"/>
  <c r="AP276" i="63"/>
  <c r="AQ276" i="63"/>
  <c r="AR276" i="63"/>
  <c r="AS276" i="63"/>
  <c r="AT276" i="63"/>
  <c r="AU276" i="63"/>
  <c r="AW276" i="63"/>
  <c r="AX276" i="63"/>
  <c r="AY276" i="63"/>
  <c r="BA276" i="63"/>
  <c r="A277" i="63"/>
  <c r="B277" i="63"/>
  <c r="D277" i="63"/>
  <c r="E277" i="63"/>
  <c r="F277" i="63"/>
  <c r="G277" i="63"/>
  <c r="H277" i="63"/>
  <c r="J277" i="63"/>
  <c r="K277" i="63"/>
  <c r="L277" i="63"/>
  <c r="M277" i="63"/>
  <c r="O277" i="63"/>
  <c r="P277" i="63"/>
  <c r="R277" i="63"/>
  <c r="S277" i="63"/>
  <c r="T277" i="63"/>
  <c r="U277" i="63"/>
  <c r="V277" i="63"/>
  <c r="W277" i="63"/>
  <c r="X277" i="63"/>
  <c r="Z277" i="63"/>
  <c r="AA277" i="63"/>
  <c r="AB277" i="63"/>
  <c r="AC277" i="63"/>
  <c r="AD277" i="63"/>
  <c r="AE277" i="63"/>
  <c r="AF277" i="63"/>
  <c r="AG277" i="63"/>
  <c r="AH277" i="63"/>
  <c r="AI277" i="63"/>
  <c r="AJ277" i="63"/>
  <c r="AK277" i="63"/>
  <c r="AL277" i="63"/>
  <c r="AM277" i="63"/>
  <c r="AN277" i="63"/>
  <c r="AO277" i="63"/>
  <c r="AP277" i="63"/>
  <c r="AQ277" i="63"/>
  <c r="AR277" i="63"/>
  <c r="AS277" i="63"/>
  <c r="AT277" i="63"/>
  <c r="AU277" i="63"/>
  <c r="AW277" i="63"/>
  <c r="AX277" i="63"/>
  <c r="AY277" i="63"/>
  <c r="BA277" i="63"/>
  <c r="A278" i="63"/>
  <c r="B278" i="63"/>
  <c r="D278" i="63"/>
  <c r="E278" i="63"/>
  <c r="F278" i="63"/>
  <c r="G278" i="63"/>
  <c r="H278" i="63"/>
  <c r="J278" i="63"/>
  <c r="K278" i="63"/>
  <c r="L278" i="63"/>
  <c r="M278" i="63"/>
  <c r="O278" i="63"/>
  <c r="P278" i="63"/>
  <c r="R278" i="63"/>
  <c r="S278" i="63"/>
  <c r="T278" i="63"/>
  <c r="U278" i="63"/>
  <c r="V278" i="63"/>
  <c r="W278" i="63"/>
  <c r="X278" i="63"/>
  <c r="Z278" i="63"/>
  <c r="AA278" i="63"/>
  <c r="AB278" i="63"/>
  <c r="AC278" i="63"/>
  <c r="AD278" i="63"/>
  <c r="AE278" i="63"/>
  <c r="AF278" i="63"/>
  <c r="AG278" i="63"/>
  <c r="AH278" i="63"/>
  <c r="AI278" i="63"/>
  <c r="AJ278" i="63"/>
  <c r="AK278" i="63"/>
  <c r="AL278" i="63"/>
  <c r="AM278" i="63"/>
  <c r="AN278" i="63"/>
  <c r="AO278" i="63"/>
  <c r="AP278" i="63"/>
  <c r="AQ278" i="63"/>
  <c r="AR278" i="63"/>
  <c r="AS278" i="63"/>
  <c r="AT278" i="63"/>
  <c r="AU278" i="63"/>
  <c r="AW278" i="63"/>
  <c r="AX278" i="63"/>
  <c r="AY278" i="63"/>
  <c r="BA278" i="63"/>
  <c r="A279" i="63"/>
  <c r="B279" i="63"/>
  <c r="D279" i="63"/>
  <c r="E279" i="63"/>
  <c r="F279" i="63"/>
  <c r="G279" i="63"/>
  <c r="H279" i="63"/>
  <c r="J279" i="63"/>
  <c r="K279" i="63"/>
  <c r="L279" i="63"/>
  <c r="M279" i="63"/>
  <c r="O279" i="63"/>
  <c r="P279" i="63"/>
  <c r="R279" i="63"/>
  <c r="S279" i="63"/>
  <c r="T279" i="63"/>
  <c r="U279" i="63"/>
  <c r="V279" i="63"/>
  <c r="W279" i="63"/>
  <c r="X279" i="63"/>
  <c r="Z279" i="63"/>
  <c r="AA279" i="63"/>
  <c r="AB279" i="63"/>
  <c r="AC279" i="63"/>
  <c r="AD279" i="63"/>
  <c r="AE279" i="63"/>
  <c r="AF279" i="63"/>
  <c r="AG279" i="63"/>
  <c r="AH279" i="63"/>
  <c r="AI279" i="63"/>
  <c r="AJ279" i="63"/>
  <c r="AK279" i="63"/>
  <c r="AL279" i="63"/>
  <c r="AM279" i="63"/>
  <c r="AN279" i="63"/>
  <c r="AO279" i="63"/>
  <c r="AP279" i="63"/>
  <c r="AQ279" i="63"/>
  <c r="AR279" i="63"/>
  <c r="AS279" i="63"/>
  <c r="AT279" i="63"/>
  <c r="AU279" i="63"/>
  <c r="AW279" i="63"/>
  <c r="AX279" i="63"/>
  <c r="AY279" i="63"/>
  <c r="BA279" i="63"/>
  <c r="A280" i="63"/>
  <c r="B280" i="63"/>
  <c r="D280" i="63"/>
  <c r="E280" i="63"/>
  <c r="F280" i="63"/>
  <c r="G280" i="63"/>
  <c r="H280" i="63"/>
  <c r="J280" i="63"/>
  <c r="K280" i="63"/>
  <c r="L280" i="63"/>
  <c r="M280" i="63"/>
  <c r="O280" i="63"/>
  <c r="P280" i="63"/>
  <c r="R280" i="63"/>
  <c r="S280" i="63"/>
  <c r="T280" i="63"/>
  <c r="U280" i="63"/>
  <c r="V280" i="63"/>
  <c r="W280" i="63"/>
  <c r="X280" i="63"/>
  <c r="Z280" i="63"/>
  <c r="AA280" i="63"/>
  <c r="AB280" i="63"/>
  <c r="AC280" i="63"/>
  <c r="AD280" i="63"/>
  <c r="AE280" i="63"/>
  <c r="AF280" i="63"/>
  <c r="AG280" i="63"/>
  <c r="AH280" i="63"/>
  <c r="AI280" i="63"/>
  <c r="AJ280" i="63"/>
  <c r="AK280" i="63"/>
  <c r="AL280" i="63"/>
  <c r="AM280" i="63"/>
  <c r="AN280" i="63"/>
  <c r="AO280" i="63"/>
  <c r="AP280" i="63"/>
  <c r="AQ280" i="63"/>
  <c r="AR280" i="63"/>
  <c r="AS280" i="63"/>
  <c r="AT280" i="63"/>
  <c r="AU280" i="63"/>
  <c r="AW280" i="63"/>
  <c r="AX280" i="63"/>
  <c r="AY280" i="63"/>
  <c r="BA280" i="63"/>
  <c r="A281" i="63"/>
  <c r="B281" i="63"/>
  <c r="D281" i="63"/>
  <c r="E281" i="63"/>
  <c r="F281" i="63"/>
  <c r="G281" i="63"/>
  <c r="H281" i="63"/>
  <c r="J281" i="63"/>
  <c r="K281" i="63"/>
  <c r="L281" i="63"/>
  <c r="M281" i="63"/>
  <c r="O281" i="63"/>
  <c r="P281" i="63"/>
  <c r="R281" i="63"/>
  <c r="S281" i="63"/>
  <c r="T281" i="63"/>
  <c r="U281" i="63"/>
  <c r="V281" i="63"/>
  <c r="W281" i="63"/>
  <c r="X281" i="63"/>
  <c r="Z281" i="63"/>
  <c r="AA281" i="63"/>
  <c r="AB281" i="63"/>
  <c r="AC281" i="63"/>
  <c r="AD281" i="63"/>
  <c r="AE281" i="63"/>
  <c r="AF281" i="63"/>
  <c r="AG281" i="63"/>
  <c r="AH281" i="63"/>
  <c r="AI281" i="63"/>
  <c r="AJ281" i="63"/>
  <c r="AK281" i="63"/>
  <c r="AL281" i="63"/>
  <c r="AM281" i="63"/>
  <c r="AN281" i="63"/>
  <c r="AO281" i="63"/>
  <c r="AP281" i="63"/>
  <c r="AQ281" i="63"/>
  <c r="AR281" i="63"/>
  <c r="AS281" i="63"/>
  <c r="AT281" i="63"/>
  <c r="AU281" i="63"/>
  <c r="AW281" i="63"/>
  <c r="AX281" i="63"/>
  <c r="AY281" i="63"/>
  <c r="BA281" i="63"/>
  <c r="A282" i="63"/>
  <c r="B282" i="63"/>
  <c r="D282" i="63"/>
  <c r="E282" i="63"/>
  <c r="F282" i="63"/>
  <c r="G282" i="63"/>
  <c r="H282" i="63"/>
  <c r="J282" i="63"/>
  <c r="K282" i="63"/>
  <c r="L282" i="63"/>
  <c r="M282" i="63"/>
  <c r="O282" i="63"/>
  <c r="P282" i="63"/>
  <c r="R282" i="63"/>
  <c r="S282" i="63"/>
  <c r="T282" i="63"/>
  <c r="U282" i="63"/>
  <c r="V282" i="63"/>
  <c r="W282" i="63"/>
  <c r="X282" i="63"/>
  <c r="Z282" i="63"/>
  <c r="AA282" i="63"/>
  <c r="AB282" i="63"/>
  <c r="AC282" i="63"/>
  <c r="AD282" i="63"/>
  <c r="AE282" i="63"/>
  <c r="AF282" i="63"/>
  <c r="AG282" i="63"/>
  <c r="AH282" i="63"/>
  <c r="AI282" i="63"/>
  <c r="AJ282" i="63"/>
  <c r="AK282" i="63"/>
  <c r="AL282" i="63"/>
  <c r="AM282" i="63"/>
  <c r="AN282" i="63"/>
  <c r="AO282" i="63"/>
  <c r="AP282" i="63"/>
  <c r="AQ282" i="63"/>
  <c r="AR282" i="63"/>
  <c r="AS282" i="63"/>
  <c r="AT282" i="63"/>
  <c r="AU282" i="63"/>
  <c r="AW282" i="63"/>
  <c r="AX282" i="63"/>
  <c r="AY282" i="63"/>
  <c r="BA282" i="63"/>
  <c r="A283" i="63"/>
  <c r="B283" i="63"/>
  <c r="D283" i="63"/>
  <c r="E283" i="63"/>
  <c r="F283" i="63"/>
  <c r="G283" i="63"/>
  <c r="H283" i="63"/>
  <c r="J283" i="63"/>
  <c r="K283" i="63"/>
  <c r="L283" i="63"/>
  <c r="M283" i="63"/>
  <c r="O283" i="63"/>
  <c r="P283" i="63"/>
  <c r="R283" i="63"/>
  <c r="S283" i="63"/>
  <c r="T283" i="63"/>
  <c r="U283" i="63"/>
  <c r="V283" i="63"/>
  <c r="W283" i="63"/>
  <c r="X283" i="63"/>
  <c r="Z283" i="63"/>
  <c r="AA283" i="63"/>
  <c r="AB283" i="63"/>
  <c r="AC283" i="63"/>
  <c r="AD283" i="63"/>
  <c r="AE283" i="63"/>
  <c r="AF283" i="63"/>
  <c r="AG283" i="63"/>
  <c r="AH283" i="63"/>
  <c r="AI283" i="63"/>
  <c r="AJ283" i="63"/>
  <c r="AK283" i="63"/>
  <c r="AL283" i="63"/>
  <c r="AM283" i="63"/>
  <c r="AN283" i="63"/>
  <c r="AO283" i="63"/>
  <c r="AP283" i="63"/>
  <c r="AQ283" i="63"/>
  <c r="AR283" i="63"/>
  <c r="AS283" i="63"/>
  <c r="AT283" i="63"/>
  <c r="AU283" i="63"/>
  <c r="AW283" i="63"/>
  <c r="AX283" i="63"/>
  <c r="AY283" i="63"/>
  <c r="BA283" i="63"/>
  <c r="A284" i="63"/>
  <c r="B284" i="63"/>
  <c r="D284" i="63"/>
  <c r="E284" i="63"/>
  <c r="F284" i="63"/>
  <c r="G284" i="63"/>
  <c r="H284" i="63"/>
  <c r="J284" i="63"/>
  <c r="K284" i="63"/>
  <c r="L284" i="63"/>
  <c r="M284" i="63"/>
  <c r="O284" i="63"/>
  <c r="P284" i="63"/>
  <c r="R284" i="63"/>
  <c r="S284" i="63"/>
  <c r="T284" i="63"/>
  <c r="U284" i="63"/>
  <c r="V284" i="63"/>
  <c r="W284" i="63"/>
  <c r="X284" i="63"/>
  <c r="Z284" i="63"/>
  <c r="AA284" i="63"/>
  <c r="AB284" i="63"/>
  <c r="AC284" i="63"/>
  <c r="AD284" i="63"/>
  <c r="AE284" i="63"/>
  <c r="AF284" i="63"/>
  <c r="AG284" i="63"/>
  <c r="AH284" i="63"/>
  <c r="AI284" i="63"/>
  <c r="AJ284" i="63"/>
  <c r="AK284" i="63"/>
  <c r="AL284" i="63"/>
  <c r="AM284" i="63"/>
  <c r="AN284" i="63"/>
  <c r="AO284" i="63"/>
  <c r="AP284" i="63"/>
  <c r="AQ284" i="63"/>
  <c r="AR284" i="63"/>
  <c r="AS284" i="63"/>
  <c r="AT284" i="63"/>
  <c r="AU284" i="63"/>
  <c r="AW284" i="63"/>
  <c r="AX284" i="63"/>
  <c r="AY284" i="63"/>
  <c r="BA284" i="63"/>
  <c r="A285" i="63"/>
  <c r="B285" i="63"/>
  <c r="D285" i="63"/>
  <c r="E285" i="63"/>
  <c r="F285" i="63"/>
  <c r="G285" i="63"/>
  <c r="H285" i="63"/>
  <c r="J285" i="63"/>
  <c r="K285" i="63"/>
  <c r="L285" i="63"/>
  <c r="M285" i="63"/>
  <c r="O285" i="63"/>
  <c r="P285" i="63"/>
  <c r="R285" i="63"/>
  <c r="S285" i="63"/>
  <c r="T285" i="63"/>
  <c r="U285" i="63"/>
  <c r="V285" i="63"/>
  <c r="W285" i="63"/>
  <c r="X285" i="63"/>
  <c r="Z285" i="63"/>
  <c r="AA285" i="63"/>
  <c r="AB285" i="63"/>
  <c r="AC285" i="63"/>
  <c r="AD285" i="63"/>
  <c r="AE285" i="63"/>
  <c r="AF285" i="63"/>
  <c r="AG285" i="63"/>
  <c r="AH285" i="63"/>
  <c r="AI285" i="63"/>
  <c r="AJ285" i="63"/>
  <c r="AK285" i="63"/>
  <c r="AL285" i="63"/>
  <c r="AM285" i="63"/>
  <c r="AN285" i="63"/>
  <c r="AO285" i="63"/>
  <c r="AP285" i="63"/>
  <c r="AQ285" i="63"/>
  <c r="AR285" i="63"/>
  <c r="AS285" i="63"/>
  <c r="AT285" i="63"/>
  <c r="AU285" i="63"/>
  <c r="AW285" i="63"/>
  <c r="AX285" i="63"/>
  <c r="AY285" i="63"/>
  <c r="BA285" i="63"/>
  <c r="A286" i="63"/>
  <c r="B286" i="63"/>
  <c r="D286" i="63"/>
  <c r="E286" i="63"/>
  <c r="F286" i="63"/>
  <c r="G286" i="63"/>
  <c r="H286" i="63"/>
  <c r="J286" i="63"/>
  <c r="K286" i="63"/>
  <c r="L286" i="63"/>
  <c r="M286" i="63"/>
  <c r="O286" i="63"/>
  <c r="P286" i="63"/>
  <c r="R286" i="63"/>
  <c r="S286" i="63"/>
  <c r="T286" i="63"/>
  <c r="U286" i="63"/>
  <c r="V286" i="63"/>
  <c r="W286" i="63"/>
  <c r="X286" i="63"/>
  <c r="Z286" i="63"/>
  <c r="AA286" i="63"/>
  <c r="AB286" i="63"/>
  <c r="AC286" i="63"/>
  <c r="AD286" i="63"/>
  <c r="AE286" i="63"/>
  <c r="AF286" i="63"/>
  <c r="AG286" i="63"/>
  <c r="AH286" i="63"/>
  <c r="AI286" i="63"/>
  <c r="AJ286" i="63"/>
  <c r="AK286" i="63"/>
  <c r="AL286" i="63"/>
  <c r="AM286" i="63"/>
  <c r="AN286" i="63"/>
  <c r="AO286" i="63"/>
  <c r="AP286" i="63"/>
  <c r="AQ286" i="63"/>
  <c r="AR286" i="63"/>
  <c r="AS286" i="63"/>
  <c r="AT286" i="63"/>
  <c r="AU286" i="63"/>
  <c r="AW286" i="63"/>
  <c r="AX286" i="63"/>
  <c r="AY286" i="63"/>
  <c r="BA286" i="63"/>
  <c r="A287" i="63"/>
  <c r="B287" i="63"/>
  <c r="D287" i="63"/>
  <c r="E287" i="63"/>
  <c r="F287" i="63"/>
  <c r="G287" i="63"/>
  <c r="H287" i="63"/>
  <c r="J287" i="63"/>
  <c r="K287" i="63"/>
  <c r="L287" i="63"/>
  <c r="M287" i="63"/>
  <c r="O287" i="63"/>
  <c r="P287" i="63"/>
  <c r="R287" i="63"/>
  <c r="S287" i="63"/>
  <c r="T287" i="63"/>
  <c r="U287" i="63"/>
  <c r="V287" i="63"/>
  <c r="W287" i="63"/>
  <c r="X287" i="63"/>
  <c r="Z287" i="63"/>
  <c r="AA287" i="63"/>
  <c r="AB287" i="63"/>
  <c r="AC287" i="63"/>
  <c r="AD287" i="63"/>
  <c r="AE287" i="63"/>
  <c r="AF287" i="63"/>
  <c r="AG287" i="63"/>
  <c r="AH287" i="63"/>
  <c r="AI287" i="63"/>
  <c r="AJ287" i="63"/>
  <c r="AK287" i="63"/>
  <c r="AL287" i="63"/>
  <c r="AM287" i="63"/>
  <c r="AN287" i="63"/>
  <c r="AO287" i="63"/>
  <c r="AP287" i="63"/>
  <c r="AQ287" i="63"/>
  <c r="AR287" i="63"/>
  <c r="AS287" i="63"/>
  <c r="AT287" i="63"/>
  <c r="AU287" i="63"/>
  <c r="AW287" i="63"/>
  <c r="AX287" i="63"/>
  <c r="AY287" i="63"/>
  <c r="BA287" i="63"/>
  <c r="A288" i="63"/>
  <c r="B288" i="63"/>
  <c r="D288" i="63"/>
  <c r="E288" i="63"/>
  <c r="F288" i="63"/>
  <c r="G288" i="63"/>
  <c r="H288" i="63"/>
  <c r="J288" i="63"/>
  <c r="K288" i="63"/>
  <c r="L288" i="63"/>
  <c r="M288" i="63"/>
  <c r="O288" i="63"/>
  <c r="P288" i="63"/>
  <c r="R288" i="63"/>
  <c r="S288" i="63"/>
  <c r="T288" i="63"/>
  <c r="U288" i="63"/>
  <c r="V288" i="63"/>
  <c r="W288" i="63"/>
  <c r="X288" i="63"/>
  <c r="Z288" i="63"/>
  <c r="AA288" i="63"/>
  <c r="AB288" i="63"/>
  <c r="AC288" i="63"/>
  <c r="AD288" i="63"/>
  <c r="AE288" i="63"/>
  <c r="AF288" i="63"/>
  <c r="AG288" i="63"/>
  <c r="AH288" i="63"/>
  <c r="AI288" i="63"/>
  <c r="AJ288" i="63"/>
  <c r="AK288" i="63"/>
  <c r="AL288" i="63"/>
  <c r="AM288" i="63"/>
  <c r="AN288" i="63"/>
  <c r="AO288" i="63"/>
  <c r="AP288" i="63"/>
  <c r="AQ288" i="63"/>
  <c r="AR288" i="63"/>
  <c r="AS288" i="63"/>
  <c r="AT288" i="63"/>
  <c r="AU288" i="63"/>
  <c r="AW288" i="63"/>
  <c r="AX288" i="63"/>
  <c r="AY288" i="63"/>
  <c r="BA288" i="63"/>
  <c r="A289" i="63"/>
  <c r="B289" i="63"/>
  <c r="D289" i="63"/>
  <c r="E289" i="63"/>
  <c r="F289" i="63"/>
  <c r="G289" i="63"/>
  <c r="H289" i="63"/>
  <c r="J289" i="63"/>
  <c r="K289" i="63"/>
  <c r="L289" i="63"/>
  <c r="M289" i="63"/>
  <c r="O289" i="63"/>
  <c r="P289" i="63"/>
  <c r="R289" i="63"/>
  <c r="S289" i="63"/>
  <c r="T289" i="63"/>
  <c r="U289" i="63"/>
  <c r="V289" i="63"/>
  <c r="W289" i="63"/>
  <c r="X289" i="63"/>
  <c r="Z289" i="63"/>
  <c r="AA289" i="63"/>
  <c r="AB289" i="63"/>
  <c r="AC289" i="63"/>
  <c r="AD289" i="63"/>
  <c r="AE289" i="63"/>
  <c r="AF289" i="63"/>
  <c r="AG289" i="63"/>
  <c r="AH289" i="63"/>
  <c r="AI289" i="63"/>
  <c r="AJ289" i="63"/>
  <c r="AK289" i="63"/>
  <c r="AL289" i="63"/>
  <c r="AM289" i="63"/>
  <c r="AN289" i="63"/>
  <c r="AO289" i="63"/>
  <c r="AP289" i="63"/>
  <c r="AQ289" i="63"/>
  <c r="AR289" i="63"/>
  <c r="AS289" i="63"/>
  <c r="AT289" i="63"/>
  <c r="AU289" i="63"/>
  <c r="AW289" i="63"/>
  <c r="AX289" i="63"/>
  <c r="AY289" i="63"/>
  <c r="BA289" i="63"/>
  <c r="A290" i="63"/>
  <c r="B290" i="63"/>
  <c r="D290" i="63"/>
  <c r="E290" i="63"/>
  <c r="F290" i="63"/>
  <c r="G290" i="63"/>
  <c r="H290" i="63"/>
  <c r="J290" i="63"/>
  <c r="K290" i="63"/>
  <c r="L290" i="63"/>
  <c r="M290" i="63"/>
  <c r="O290" i="63"/>
  <c r="P290" i="63"/>
  <c r="R290" i="63"/>
  <c r="S290" i="63"/>
  <c r="T290" i="63"/>
  <c r="U290" i="63"/>
  <c r="V290" i="63"/>
  <c r="W290" i="63"/>
  <c r="X290" i="63"/>
  <c r="Z290" i="63"/>
  <c r="AA290" i="63"/>
  <c r="AB290" i="63"/>
  <c r="AC290" i="63"/>
  <c r="AD290" i="63"/>
  <c r="AE290" i="63"/>
  <c r="AF290" i="63"/>
  <c r="AG290" i="63"/>
  <c r="AH290" i="63"/>
  <c r="AI290" i="63"/>
  <c r="AJ290" i="63"/>
  <c r="AK290" i="63"/>
  <c r="AL290" i="63"/>
  <c r="AM290" i="63"/>
  <c r="AN290" i="63"/>
  <c r="AO290" i="63"/>
  <c r="AP290" i="63"/>
  <c r="AQ290" i="63"/>
  <c r="AR290" i="63"/>
  <c r="AS290" i="63"/>
  <c r="AT290" i="63"/>
  <c r="AU290" i="63"/>
  <c r="AW290" i="63"/>
  <c r="AX290" i="63"/>
  <c r="AY290" i="63"/>
  <c r="BA290" i="63"/>
  <c r="A291" i="63"/>
  <c r="B291" i="63"/>
  <c r="D291" i="63"/>
  <c r="E291" i="63"/>
  <c r="F291" i="63"/>
  <c r="G291" i="63"/>
  <c r="H291" i="63"/>
  <c r="J291" i="63"/>
  <c r="K291" i="63"/>
  <c r="L291" i="63"/>
  <c r="M291" i="63"/>
  <c r="O291" i="63"/>
  <c r="P291" i="63"/>
  <c r="R291" i="63"/>
  <c r="S291" i="63"/>
  <c r="T291" i="63"/>
  <c r="U291" i="63"/>
  <c r="V291" i="63"/>
  <c r="W291" i="63"/>
  <c r="X291" i="63"/>
  <c r="Z291" i="63"/>
  <c r="AA291" i="63"/>
  <c r="AB291" i="63"/>
  <c r="AC291" i="63"/>
  <c r="AD291" i="63"/>
  <c r="AE291" i="63"/>
  <c r="AF291" i="63"/>
  <c r="AG291" i="63"/>
  <c r="AH291" i="63"/>
  <c r="AI291" i="63"/>
  <c r="AJ291" i="63"/>
  <c r="AK291" i="63"/>
  <c r="AL291" i="63"/>
  <c r="AM291" i="63"/>
  <c r="AN291" i="63"/>
  <c r="AO291" i="63"/>
  <c r="AP291" i="63"/>
  <c r="AQ291" i="63"/>
  <c r="AR291" i="63"/>
  <c r="AS291" i="63"/>
  <c r="AT291" i="63"/>
  <c r="AU291" i="63"/>
  <c r="AW291" i="63"/>
  <c r="AX291" i="63"/>
  <c r="AY291" i="63"/>
  <c r="BA291" i="63"/>
  <c r="A292" i="63"/>
  <c r="B292" i="63"/>
  <c r="D292" i="63"/>
  <c r="E292" i="63"/>
  <c r="F292" i="63"/>
  <c r="G292" i="63"/>
  <c r="H292" i="63"/>
  <c r="J292" i="63"/>
  <c r="K292" i="63"/>
  <c r="L292" i="63"/>
  <c r="M292" i="63"/>
  <c r="O292" i="63"/>
  <c r="P292" i="63"/>
  <c r="R292" i="63"/>
  <c r="S292" i="63"/>
  <c r="T292" i="63"/>
  <c r="U292" i="63"/>
  <c r="V292" i="63"/>
  <c r="W292" i="63"/>
  <c r="X292" i="63"/>
  <c r="Z292" i="63"/>
  <c r="AA292" i="63"/>
  <c r="AB292" i="63"/>
  <c r="AC292" i="63"/>
  <c r="AD292" i="63"/>
  <c r="AE292" i="63"/>
  <c r="AF292" i="63"/>
  <c r="AG292" i="63"/>
  <c r="AH292" i="63"/>
  <c r="AI292" i="63"/>
  <c r="AJ292" i="63"/>
  <c r="AK292" i="63"/>
  <c r="AL292" i="63"/>
  <c r="AM292" i="63"/>
  <c r="AN292" i="63"/>
  <c r="AO292" i="63"/>
  <c r="AP292" i="63"/>
  <c r="AQ292" i="63"/>
  <c r="AR292" i="63"/>
  <c r="AS292" i="63"/>
  <c r="AT292" i="63"/>
  <c r="AU292" i="63"/>
  <c r="AW292" i="63"/>
  <c r="AX292" i="63"/>
  <c r="AY292" i="63"/>
  <c r="BA292" i="63"/>
  <c r="A293" i="63"/>
  <c r="B293" i="63"/>
  <c r="D293" i="63"/>
  <c r="E293" i="63"/>
  <c r="F293" i="63"/>
  <c r="G293" i="63"/>
  <c r="H293" i="63"/>
  <c r="J293" i="63"/>
  <c r="K293" i="63"/>
  <c r="L293" i="63"/>
  <c r="M293" i="63"/>
  <c r="O293" i="63"/>
  <c r="P293" i="63"/>
  <c r="R293" i="63"/>
  <c r="S293" i="63"/>
  <c r="T293" i="63"/>
  <c r="U293" i="63"/>
  <c r="V293" i="63"/>
  <c r="W293" i="63"/>
  <c r="X293" i="63"/>
  <c r="Z293" i="63"/>
  <c r="AA293" i="63"/>
  <c r="AB293" i="63"/>
  <c r="AC293" i="63"/>
  <c r="AD293" i="63"/>
  <c r="AE293" i="63"/>
  <c r="AF293" i="63"/>
  <c r="AG293" i="63"/>
  <c r="AH293" i="63"/>
  <c r="AI293" i="63"/>
  <c r="AJ293" i="63"/>
  <c r="AK293" i="63"/>
  <c r="AL293" i="63"/>
  <c r="AM293" i="63"/>
  <c r="AN293" i="63"/>
  <c r="AO293" i="63"/>
  <c r="AP293" i="63"/>
  <c r="AQ293" i="63"/>
  <c r="AR293" i="63"/>
  <c r="AS293" i="63"/>
  <c r="AT293" i="63"/>
  <c r="AU293" i="63"/>
  <c r="AW293" i="63"/>
  <c r="AX293" i="63"/>
  <c r="AY293" i="63"/>
  <c r="BA293" i="63"/>
  <c r="A294" i="63"/>
  <c r="B294" i="63"/>
  <c r="D294" i="63"/>
  <c r="E294" i="63"/>
  <c r="F294" i="63"/>
  <c r="G294" i="63"/>
  <c r="H294" i="63"/>
  <c r="J294" i="63"/>
  <c r="K294" i="63"/>
  <c r="L294" i="63"/>
  <c r="M294" i="63"/>
  <c r="O294" i="63"/>
  <c r="P294" i="63"/>
  <c r="R294" i="63"/>
  <c r="S294" i="63"/>
  <c r="T294" i="63"/>
  <c r="U294" i="63"/>
  <c r="V294" i="63"/>
  <c r="W294" i="63"/>
  <c r="X294" i="63"/>
  <c r="Z294" i="63"/>
  <c r="AA294" i="63"/>
  <c r="AB294" i="63"/>
  <c r="AC294" i="63"/>
  <c r="AD294" i="63"/>
  <c r="AE294" i="63"/>
  <c r="AF294" i="63"/>
  <c r="AG294" i="63"/>
  <c r="AH294" i="63"/>
  <c r="AI294" i="63"/>
  <c r="AJ294" i="63"/>
  <c r="AK294" i="63"/>
  <c r="AL294" i="63"/>
  <c r="AM294" i="63"/>
  <c r="AN294" i="63"/>
  <c r="AO294" i="63"/>
  <c r="AP294" i="63"/>
  <c r="AQ294" i="63"/>
  <c r="AR294" i="63"/>
  <c r="AS294" i="63"/>
  <c r="AT294" i="63"/>
  <c r="AU294" i="63"/>
  <c r="AW294" i="63"/>
  <c r="AX294" i="63"/>
  <c r="AY294" i="63"/>
  <c r="BA294" i="63"/>
  <c r="A295" i="63"/>
  <c r="B295" i="63"/>
  <c r="D295" i="63"/>
  <c r="E295" i="63"/>
  <c r="F295" i="63"/>
  <c r="G295" i="63"/>
  <c r="H295" i="63"/>
  <c r="J295" i="63"/>
  <c r="K295" i="63"/>
  <c r="L295" i="63"/>
  <c r="M295" i="63"/>
  <c r="O295" i="63"/>
  <c r="P295" i="63"/>
  <c r="R295" i="63"/>
  <c r="S295" i="63"/>
  <c r="T295" i="63"/>
  <c r="U295" i="63"/>
  <c r="V295" i="63"/>
  <c r="W295" i="63"/>
  <c r="X295" i="63"/>
  <c r="Z295" i="63"/>
  <c r="AA295" i="63"/>
  <c r="AB295" i="63"/>
  <c r="AC295" i="63"/>
  <c r="AD295" i="63"/>
  <c r="AE295" i="63"/>
  <c r="AF295" i="63"/>
  <c r="AG295" i="63"/>
  <c r="AH295" i="63"/>
  <c r="AI295" i="63"/>
  <c r="AJ295" i="63"/>
  <c r="AK295" i="63"/>
  <c r="AL295" i="63"/>
  <c r="AM295" i="63"/>
  <c r="AN295" i="63"/>
  <c r="AO295" i="63"/>
  <c r="AP295" i="63"/>
  <c r="AQ295" i="63"/>
  <c r="AR295" i="63"/>
  <c r="AS295" i="63"/>
  <c r="AT295" i="63"/>
  <c r="AU295" i="63"/>
  <c r="AW295" i="63"/>
  <c r="AX295" i="63"/>
  <c r="AY295" i="63"/>
  <c r="BA295" i="63"/>
  <c r="A296" i="63"/>
  <c r="B296" i="63"/>
  <c r="D296" i="63"/>
  <c r="E296" i="63"/>
  <c r="F296" i="63"/>
  <c r="G296" i="63"/>
  <c r="H296" i="63"/>
  <c r="J296" i="63"/>
  <c r="K296" i="63"/>
  <c r="L296" i="63"/>
  <c r="M296" i="63"/>
  <c r="O296" i="63"/>
  <c r="P296" i="63"/>
  <c r="R296" i="63"/>
  <c r="S296" i="63"/>
  <c r="T296" i="63"/>
  <c r="U296" i="63"/>
  <c r="V296" i="63"/>
  <c r="W296" i="63"/>
  <c r="X296" i="63"/>
  <c r="Z296" i="63"/>
  <c r="AA296" i="63"/>
  <c r="AB296" i="63"/>
  <c r="AC296" i="63"/>
  <c r="AD296" i="63"/>
  <c r="AE296" i="63"/>
  <c r="AF296" i="63"/>
  <c r="AG296" i="63"/>
  <c r="AH296" i="63"/>
  <c r="AI296" i="63"/>
  <c r="AJ296" i="63"/>
  <c r="AK296" i="63"/>
  <c r="AL296" i="63"/>
  <c r="AM296" i="63"/>
  <c r="AN296" i="63"/>
  <c r="AO296" i="63"/>
  <c r="AP296" i="63"/>
  <c r="AQ296" i="63"/>
  <c r="AR296" i="63"/>
  <c r="AS296" i="63"/>
  <c r="AT296" i="63"/>
  <c r="AU296" i="63"/>
  <c r="AW296" i="63"/>
  <c r="AX296" i="63"/>
  <c r="AY296" i="63"/>
  <c r="BA296" i="63"/>
  <c r="A297" i="63"/>
  <c r="B297" i="63"/>
  <c r="D297" i="63"/>
  <c r="E297" i="63"/>
  <c r="F297" i="63"/>
  <c r="G297" i="63"/>
  <c r="H297" i="63"/>
  <c r="J297" i="63"/>
  <c r="K297" i="63"/>
  <c r="L297" i="63"/>
  <c r="M297" i="63"/>
  <c r="O297" i="63"/>
  <c r="P297" i="63"/>
  <c r="R297" i="63"/>
  <c r="S297" i="63"/>
  <c r="T297" i="63"/>
  <c r="U297" i="63"/>
  <c r="V297" i="63"/>
  <c r="W297" i="63"/>
  <c r="X297" i="63"/>
  <c r="Z297" i="63"/>
  <c r="AA297" i="63"/>
  <c r="AB297" i="63"/>
  <c r="AC297" i="63"/>
  <c r="AD297" i="63"/>
  <c r="AE297" i="63"/>
  <c r="AF297" i="63"/>
  <c r="AG297" i="63"/>
  <c r="AH297" i="63"/>
  <c r="AI297" i="63"/>
  <c r="AJ297" i="63"/>
  <c r="AK297" i="63"/>
  <c r="AL297" i="63"/>
  <c r="AM297" i="63"/>
  <c r="AN297" i="63"/>
  <c r="AO297" i="63"/>
  <c r="AP297" i="63"/>
  <c r="AQ297" i="63"/>
  <c r="AR297" i="63"/>
  <c r="AS297" i="63"/>
  <c r="AT297" i="63"/>
  <c r="AU297" i="63"/>
  <c r="AW297" i="63"/>
  <c r="AX297" i="63"/>
  <c r="AY297" i="63"/>
  <c r="BA297" i="63"/>
  <c r="A298" i="63"/>
  <c r="B298" i="63"/>
  <c r="D298" i="63"/>
  <c r="E298" i="63"/>
  <c r="F298" i="63"/>
  <c r="G298" i="63"/>
  <c r="H298" i="63"/>
  <c r="J298" i="63"/>
  <c r="K298" i="63"/>
  <c r="L298" i="63"/>
  <c r="M298" i="63"/>
  <c r="O298" i="63"/>
  <c r="P298" i="63"/>
  <c r="R298" i="63"/>
  <c r="S298" i="63"/>
  <c r="T298" i="63"/>
  <c r="U298" i="63"/>
  <c r="V298" i="63"/>
  <c r="W298" i="63"/>
  <c r="X298" i="63"/>
  <c r="Z298" i="63"/>
  <c r="AA298" i="63"/>
  <c r="AB298" i="63"/>
  <c r="AC298" i="63"/>
  <c r="AD298" i="63"/>
  <c r="AE298" i="63"/>
  <c r="AF298" i="63"/>
  <c r="AG298" i="63"/>
  <c r="AH298" i="63"/>
  <c r="AI298" i="63"/>
  <c r="AJ298" i="63"/>
  <c r="AK298" i="63"/>
  <c r="AL298" i="63"/>
  <c r="AM298" i="63"/>
  <c r="AN298" i="63"/>
  <c r="AO298" i="63"/>
  <c r="AP298" i="63"/>
  <c r="AQ298" i="63"/>
  <c r="AR298" i="63"/>
  <c r="AS298" i="63"/>
  <c r="AT298" i="63"/>
  <c r="AU298" i="63"/>
  <c r="AW298" i="63"/>
  <c r="AX298" i="63"/>
  <c r="AY298" i="63"/>
  <c r="BA298" i="63"/>
  <c r="A299" i="63"/>
  <c r="B299" i="63"/>
  <c r="D299" i="63"/>
  <c r="E299" i="63"/>
  <c r="F299" i="63"/>
  <c r="G299" i="63"/>
  <c r="H299" i="63"/>
  <c r="J299" i="63"/>
  <c r="K299" i="63"/>
  <c r="L299" i="63"/>
  <c r="M299" i="63"/>
  <c r="O299" i="63"/>
  <c r="P299" i="63"/>
  <c r="R299" i="63"/>
  <c r="S299" i="63"/>
  <c r="T299" i="63"/>
  <c r="U299" i="63"/>
  <c r="V299" i="63"/>
  <c r="W299" i="63"/>
  <c r="X299" i="63"/>
  <c r="Z299" i="63"/>
  <c r="AA299" i="63"/>
  <c r="AB299" i="63"/>
  <c r="AC299" i="63"/>
  <c r="AD299" i="63"/>
  <c r="AE299" i="63"/>
  <c r="AF299" i="63"/>
  <c r="AG299" i="63"/>
  <c r="AH299" i="63"/>
  <c r="AI299" i="63"/>
  <c r="AJ299" i="63"/>
  <c r="AK299" i="63"/>
  <c r="AL299" i="63"/>
  <c r="AM299" i="63"/>
  <c r="AN299" i="63"/>
  <c r="AO299" i="63"/>
  <c r="AP299" i="63"/>
  <c r="AQ299" i="63"/>
  <c r="AR299" i="63"/>
  <c r="AS299" i="63"/>
  <c r="AT299" i="63"/>
  <c r="AU299" i="63"/>
  <c r="AW299" i="63"/>
  <c r="AX299" i="63"/>
  <c r="AY299" i="63"/>
  <c r="BA299" i="63"/>
  <c r="A300" i="63"/>
  <c r="B300" i="63"/>
  <c r="D300" i="63"/>
  <c r="E300" i="63"/>
  <c r="F300" i="63"/>
  <c r="G300" i="63"/>
  <c r="H300" i="63"/>
  <c r="J300" i="63"/>
  <c r="K300" i="63"/>
  <c r="L300" i="63"/>
  <c r="M300" i="63"/>
  <c r="O300" i="63"/>
  <c r="P300" i="63"/>
  <c r="R300" i="63"/>
  <c r="S300" i="63"/>
  <c r="T300" i="63"/>
  <c r="U300" i="63"/>
  <c r="V300" i="63"/>
  <c r="W300" i="63"/>
  <c r="X300" i="63"/>
  <c r="Z300" i="63"/>
  <c r="AA300" i="63"/>
  <c r="AB300" i="63"/>
  <c r="AC300" i="63"/>
  <c r="AD300" i="63"/>
  <c r="AE300" i="63"/>
  <c r="AF300" i="63"/>
  <c r="AG300" i="63"/>
  <c r="AH300" i="63"/>
  <c r="AI300" i="63"/>
  <c r="AJ300" i="63"/>
  <c r="AK300" i="63"/>
  <c r="AL300" i="63"/>
  <c r="AM300" i="63"/>
  <c r="AN300" i="63"/>
  <c r="AO300" i="63"/>
  <c r="AP300" i="63"/>
  <c r="AQ300" i="63"/>
  <c r="AR300" i="63"/>
  <c r="AS300" i="63"/>
  <c r="AT300" i="63"/>
  <c r="AU300" i="63"/>
  <c r="AW300" i="63"/>
  <c r="AX300" i="63"/>
  <c r="AY300" i="63"/>
  <c r="BA300" i="63"/>
  <c r="A301" i="63"/>
  <c r="B301" i="63"/>
  <c r="D301" i="63"/>
  <c r="E301" i="63"/>
  <c r="F301" i="63"/>
  <c r="G301" i="63"/>
  <c r="H301" i="63"/>
  <c r="J301" i="63"/>
  <c r="K301" i="63"/>
  <c r="L301" i="63"/>
  <c r="M301" i="63"/>
  <c r="O301" i="63"/>
  <c r="P301" i="63"/>
  <c r="R301" i="63"/>
  <c r="S301" i="63"/>
  <c r="T301" i="63"/>
  <c r="U301" i="63"/>
  <c r="V301" i="63"/>
  <c r="W301" i="63"/>
  <c r="X301" i="63"/>
  <c r="Z301" i="63"/>
  <c r="AA301" i="63"/>
  <c r="AB301" i="63"/>
  <c r="AC301" i="63"/>
  <c r="AD301" i="63"/>
  <c r="AE301" i="63"/>
  <c r="AF301" i="63"/>
  <c r="AG301" i="63"/>
  <c r="AH301" i="63"/>
  <c r="AI301" i="63"/>
  <c r="AJ301" i="63"/>
  <c r="AK301" i="63"/>
  <c r="AL301" i="63"/>
  <c r="AM301" i="63"/>
  <c r="AN301" i="63"/>
  <c r="AO301" i="63"/>
  <c r="AP301" i="63"/>
  <c r="AQ301" i="63"/>
  <c r="AR301" i="63"/>
  <c r="AS301" i="63"/>
  <c r="AT301" i="63"/>
  <c r="AU301" i="63"/>
  <c r="AW301" i="63"/>
  <c r="AX301" i="63"/>
  <c r="AY301" i="63"/>
  <c r="BA301" i="63"/>
  <c r="A302" i="63"/>
  <c r="B302" i="63"/>
  <c r="D302" i="63"/>
  <c r="E302" i="63"/>
  <c r="F302" i="63"/>
  <c r="G302" i="63"/>
  <c r="H302" i="63"/>
  <c r="J302" i="63"/>
  <c r="K302" i="63"/>
  <c r="L302" i="63"/>
  <c r="M302" i="63"/>
  <c r="O302" i="63"/>
  <c r="P302" i="63"/>
  <c r="R302" i="63"/>
  <c r="S302" i="63"/>
  <c r="T302" i="63"/>
  <c r="U302" i="63"/>
  <c r="V302" i="63"/>
  <c r="W302" i="63"/>
  <c r="X302" i="63"/>
  <c r="Z302" i="63"/>
  <c r="AA302" i="63"/>
  <c r="AB302" i="63"/>
  <c r="AC302" i="63"/>
  <c r="AD302" i="63"/>
  <c r="AE302" i="63"/>
  <c r="AF302" i="63"/>
  <c r="AG302" i="63"/>
  <c r="AH302" i="63"/>
  <c r="AI302" i="63"/>
  <c r="AJ302" i="63"/>
  <c r="AK302" i="63"/>
  <c r="AL302" i="63"/>
  <c r="AM302" i="63"/>
  <c r="AN302" i="63"/>
  <c r="AO302" i="63"/>
  <c r="AP302" i="63"/>
  <c r="AQ302" i="63"/>
  <c r="AR302" i="63"/>
  <c r="AS302" i="63"/>
  <c r="AT302" i="63"/>
  <c r="AU302" i="63"/>
  <c r="AW302" i="63"/>
  <c r="AX302" i="63"/>
  <c r="AY302" i="63"/>
  <c r="BA302" i="63"/>
  <c r="A303" i="63"/>
  <c r="B303" i="63"/>
  <c r="D303" i="63"/>
  <c r="E303" i="63"/>
  <c r="F303" i="63"/>
  <c r="G303" i="63"/>
  <c r="H303" i="63"/>
  <c r="J303" i="63"/>
  <c r="K303" i="63"/>
  <c r="L303" i="63"/>
  <c r="M303" i="63"/>
  <c r="O303" i="63"/>
  <c r="P303" i="63"/>
  <c r="R303" i="63"/>
  <c r="S303" i="63"/>
  <c r="T303" i="63"/>
  <c r="U303" i="63"/>
  <c r="V303" i="63"/>
  <c r="W303" i="63"/>
  <c r="X303" i="63"/>
  <c r="Z303" i="63"/>
  <c r="AA303" i="63"/>
  <c r="AB303" i="63"/>
  <c r="AC303" i="63"/>
  <c r="AD303" i="63"/>
  <c r="AE303" i="63"/>
  <c r="AF303" i="63"/>
  <c r="AG303" i="63"/>
  <c r="AH303" i="63"/>
  <c r="AI303" i="63"/>
  <c r="AJ303" i="63"/>
  <c r="AK303" i="63"/>
  <c r="AL303" i="63"/>
  <c r="AM303" i="63"/>
  <c r="AN303" i="63"/>
  <c r="AO303" i="63"/>
  <c r="AP303" i="63"/>
  <c r="AQ303" i="63"/>
  <c r="AR303" i="63"/>
  <c r="AS303" i="63"/>
  <c r="AT303" i="63"/>
  <c r="AU303" i="63"/>
  <c r="AW303" i="63"/>
  <c r="AX303" i="63"/>
  <c r="AY303" i="63"/>
  <c r="BA303" i="63"/>
  <c r="A304" i="63"/>
  <c r="B304" i="63"/>
  <c r="D304" i="63"/>
  <c r="E304" i="63"/>
  <c r="F304" i="63"/>
  <c r="G304" i="63"/>
  <c r="H304" i="63"/>
  <c r="J304" i="63"/>
  <c r="K304" i="63"/>
  <c r="L304" i="63"/>
  <c r="M304" i="63"/>
  <c r="O304" i="63"/>
  <c r="P304" i="63"/>
  <c r="R304" i="63"/>
  <c r="S304" i="63"/>
  <c r="T304" i="63"/>
  <c r="U304" i="63"/>
  <c r="V304" i="63"/>
  <c r="W304" i="63"/>
  <c r="X304" i="63"/>
  <c r="Z304" i="63"/>
  <c r="AA304" i="63"/>
  <c r="AB304" i="63"/>
  <c r="AC304" i="63"/>
  <c r="AD304" i="63"/>
  <c r="AE304" i="63"/>
  <c r="AF304" i="63"/>
  <c r="AG304" i="63"/>
  <c r="AH304" i="63"/>
  <c r="AI304" i="63"/>
  <c r="AJ304" i="63"/>
  <c r="AK304" i="63"/>
  <c r="AL304" i="63"/>
  <c r="AM304" i="63"/>
  <c r="AN304" i="63"/>
  <c r="AO304" i="63"/>
  <c r="AP304" i="63"/>
  <c r="AQ304" i="63"/>
  <c r="AR304" i="63"/>
  <c r="AS304" i="63"/>
  <c r="AT304" i="63"/>
  <c r="AU304" i="63"/>
  <c r="AW304" i="63"/>
  <c r="AX304" i="63"/>
  <c r="AY304" i="63"/>
  <c r="BA304" i="63"/>
  <c r="A305" i="63"/>
  <c r="B305" i="63"/>
  <c r="D305" i="63"/>
  <c r="E305" i="63"/>
  <c r="F305" i="63"/>
  <c r="G305" i="63"/>
  <c r="H305" i="63"/>
  <c r="J305" i="63"/>
  <c r="K305" i="63"/>
  <c r="L305" i="63"/>
  <c r="M305" i="63"/>
  <c r="O305" i="63"/>
  <c r="P305" i="63"/>
  <c r="R305" i="63"/>
  <c r="S305" i="63"/>
  <c r="T305" i="63"/>
  <c r="U305" i="63"/>
  <c r="V305" i="63"/>
  <c r="W305" i="63"/>
  <c r="X305" i="63"/>
  <c r="Z305" i="63"/>
  <c r="AA305" i="63"/>
  <c r="AB305" i="63"/>
  <c r="AC305" i="63"/>
  <c r="AD305" i="63"/>
  <c r="AE305" i="63"/>
  <c r="AF305" i="63"/>
  <c r="AG305" i="63"/>
  <c r="AH305" i="63"/>
  <c r="AI305" i="63"/>
  <c r="AJ305" i="63"/>
  <c r="AK305" i="63"/>
  <c r="AL305" i="63"/>
  <c r="AM305" i="63"/>
  <c r="AN305" i="63"/>
  <c r="AO305" i="63"/>
  <c r="AP305" i="63"/>
  <c r="AQ305" i="63"/>
  <c r="AR305" i="63"/>
  <c r="AS305" i="63"/>
  <c r="AT305" i="63"/>
  <c r="AU305" i="63"/>
  <c r="AW305" i="63"/>
  <c r="AX305" i="63"/>
  <c r="AY305" i="63"/>
  <c r="BA305" i="63"/>
  <c r="A306" i="63"/>
  <c r="B306" i="63"/>
  <c r="D306" i="63"/>
  <c r="E306" i="63"/>
  <c r="F306" i="63"/>
  <c r="G306" i="63"/>
  <c r="H306" i="63"/>
  <c r="J306" i="63"/>
  <c r="K306" i="63"/>
  <c r="L306" i="63"/>
  <c r="M306" i="63"/>
  <c r="O306" i="63"/>
  <c r="P306" i="63"/>
  <c r="R306" i="63"/>
  <c r="S306" i="63"/>
  <c r="T306" i="63"/>
  <c r="U306" i="63"/>
  <c r="V306" i="63"/>
  <c r="W306" i="63"/>
  <c r="X306" i="63"/>
  <c r="Z306" i="63"/>
  <c r="AA306" i="63"/>
  <c r="AB306" i="63"/>
  <c r="AC306" i="63"/>
  <c r="AD306" i="63"/>
  <c r="AE306" i="63"/>
  <c r="AF306" i="63"/>
  <c r="AG306" i="63"/>
  <c r="AH306" i="63"/>
  <c r="AI306" i="63"/>
  <c r="AJ306" i="63"/>
  <c r="AK306" i="63"/>
  <c r="AL306" i="63"/>
  <c r="AM306" i="63"/>
  <c r="AN306" i="63"/>
  <c r="AO306" i="63"/>
  <c r="AP306" i="63"/>
  <c r="AQ306" i="63"/>
  <c r="AR306" i="63"/>
  <c r="AS306" i="63"/>
  <c r="AT306" i="63"/>
  <c r="AU306" i="63"/>
  <c r="AW306" i="63"/>
  <c r="AX306" i="63"/>
  <c r="AY306" i="63"/>
  <c r="BA306" i="63"/>
  <c r="A307" i="63"/>
  <c r="B307" i="63"/>
  <c r="D307" i="63"/>
  <c r="E307" i="63"/>
  <c r="F307" i="63"/>
  <c r="G307" i="63"/>
  <c r="H307" i="63"/>
  <c r="J307" i="63"/>
  <c r="K307" i="63"/>
  <c r="L307" i="63"/>
  <c r="M307" i="63"/>
  <c r="O307" i="63"/>
  <c r="P307" i="63"/>
  <c r="R307" i="63"/>
  <c r="S307" i="63"/>
  <c r="T307" i="63"/>
  <c r="U307" i="63"/>
  <c r="V307" i="63"/>
  <c r="W307" i="63"/>
  <c r="X307" i="63"/>
  <c r="Z307" i="63"/>
  <c r="AA307" i="63"/>
  <c r="AB307" i="63"/>
  <c r="AC307" i="63"/>
  <c r="AD307" i="63"/>
  <c r="AE307" i="63"/>
  <c r="AF307" i="63"/>
  <c r="AG307" i="63"/>
  <c r="AH307" i="63"/>
  <c r="AI307" i="63"/>
  <c r="AJ307" i="63"/>
  <c r="AK307" i="63"/>
  <c r="AL307" i="63"/>
  <c r="AM307" i="63"/>
  <c r="AN307" i="63"/>
  <c r="AO307" i="63"/>
  <c r="AP307" i="63"/>
  <c r="AQ307" i="63"/>
  <c r="AR307" i="63"/>
  <c r="AS307" i="63"/>
  <c r="AT307" i="63"/>
  <c r="AU307" i="63"/>
  <c r="AW307" i="63"/>
  <c r="AX307" i="63"/>
  <c r="AY307" i="63"/>
  <c r="BA307" i="63"/>
  <c r="A308" i="63"/>
  <c r="B308" i="63"/>
  <c r="D308" i="63"/>
  <c r="E308" i="63"/>
  <c r="F308" i="63"/>
  <c r="G308" i="63"/>
  <c r="H308" i="63"/>
  <c r="J308" i="63"/>
  <c r="K308" i="63"/>
  <c r="L308" i="63"/>
  <c r="M308" i="63"/>
  <c r="O308" i="63"/>
  <c r="P308" i="63"/>
  <c r="R308" i="63"/>
  <c r="S308" i="63"/>
  <c r="T308" i="63"/>
  <c r="U308" i="63"/>
  <c r="V308" i="63"/>
  <c r="W308" i="63"/>
  <c r="X308" i="63"/>
  <c r="Z308" i="63"/>
  <c r="AA308" i="63"/>
  <c r="AB308" i="63"/>
  <c r="AC308" i="63"/>
  <c r="AD308" i="63"/>
  <c r="AE308" i="63"/>
  <c r="AF308" i="63"/>
  <c r="AG308" i="63"/>
  <c r="AH308" i="63"/>
  <c r="AI308" i="63"/>
  <c r="AJ308" i="63"/>
  <c r="AK308" i="63"/>
  <c r="AL308" i="63"/>
  <c r="AM308" i="63"/>
  <c r="AN308" i="63"/>
  <c r="AO308" i="63"/>
  <c r="AP308" i="63"/>
  <c r="AQ308" i="63"/>
  <c r="AR308" i="63"/>
  <c r="AS308" i="63"/>
  <c r="AT308" i="63"/>
  <c r="AU308" i="63"/>
  <c r="AW308" i="63"/>
  <c r="AX308" i="63"/>
  <c r="AY308" i="63"/>
  <c r="BA308" i="63"/>
  <c r="A309" i="63"/>
  <c r="B309" i="63"/>
  <c r="D309" i="63"/>
  <c r="E309" i="63"/>
  <c r="F309" i="63"/>
  <c r="G309" i="63"/>
  <c r="H309" i="63"/>
  <c r="J309" i="63"/>
  <c r="K309" i="63"/>
  <c r="L309" i="63"/>
  <c r="M309" i="63"/>
  <c r="O309" i="63"/>
  <c r="P309" i="63"/>
  <c r="R309" i="63"/>
  <c r="S309" i="63"/>
  <c r="T309" i="63"/>
  <c r="U309" i="63"/>
  <c r="V309" i="63"/>
  <c r="W309" i="63"/>
  <c r="X309" i="63"/>
  <c r="Z309" i="63"/>
  <c r="AA309" i="63"/>
  <c r="AB309" i="63"/>
  <c r="AC309" i="63"/>
  <c r="AD309" i="63"/>
  <c r="AE309" i="63"/>
  <c r="AF309" i="63"/>
  <c r="AG309" i="63"/>
  <c r="AH309" i="63"/>
  <c r="AI309" i="63"/>
  <c r="AJ309" i="63"/>
  <c r="AK309" i="63"/>
  <c r="AL309" i="63"/>
  <c r="AM309" i="63"/>
  <c r="AN309" i="63"/>
  <c r="AO309" i="63"/>
  <c r="AP309" i="63"/>
  <c r="AQ309" i="63"/>
  <c r="AR309" i="63"/>
  <c r="AS309" i="63"/>
  <c r="AT309" i="63"/>
  <c r="AU309" i="63"/>
  <c r="AW309" i="63"/>
  <c r="AX309" i="63"/>
  <c r="AY309" i="63"/>
  <c r="BA309" i="63"/>
  <c r="A310" i="63"/>
  <c r="B310" i="63"/>
  <c r="D310" i="63"/>
  <c r="E310" i="63"/>
  <c r="F310" i="63"/>
  <c r="G310" i="63"/>
  <c r="H310" i="63"/>
  <c r="J310" i="63"/>
  <c r="K310" i="63"/>
  <c r="L310" i="63"/>
  <c r="M310" i="63"/>
  <c r="O310" i="63"/>
  <c r="P310" i="63"/>
  <c r="R310" i="63"/>
  <c r="S310" i="63"/>
  <c r="T310" i="63"/>
  <c r="U310" i="63"/>
  <c r="V310" i="63"/>
  <c r="W310" i="63"/>
  <c r="X310" i="63"/>
  <c r="Z310" i="63"/>
  <c r="AA310" i="63"/>
  <c r="AB310" i="63"/>
  <c r="AC310" i="63"/>
  <c r="AD310" i="63"/>
  <c r="AE310" i="63"/>
  <c r="AF310" i="63"/>
  <c r="AG310" i="63"/>
  <c r="AH310" i="63"/>
  <c r="AI310" i="63"/>
  <c r="AJ310" i="63"/>
  <c r="AK310" i="63"/>
  <c r="AL310" i="63"/>
  <c r="AM310" i="63"/>
  <c r="AN310" i="63"/>
  <c r="AO310" i="63"/>
  <c r="AP310" i="63"/>
  <c r="AQ310" i="63"/>
  <c r="AR310" i="63"/>
  <c r="AS310" i="63"/>
  <c r="AT310" i="63"/>
  <c r="AU310" i="63"/>
  <c r="AW310" i="63"/>
  <c r="AX310" i="63"/>
  <c r="AY310" i="63"/>
  <c r="BA310" i="63"/>
  <c r="A311" i="63"/>
  <c r="B311" i="63"/>
  <c r="D311" i="63"/>
  <c r="E311" i="63"/>
  <c r="F311" i="63"/>
  <c r="G311" i="63"/>
  <c r="H311" i="63"/>
  <c r="J311" i="63"/>
  <c r="K311" i="63"/>
  <c r="L311" i="63"/>
  <c r="M311" i="63"/>
  <c r="O311" i="63"/>
  <c r="P311" i="63"/>
  <c r="R311" i="63"/>
  <c r="S311" i="63"/>
  <c r="T311" i="63"/>
  <c r="U311" i="63"/>
  <c r="V311" i="63"/>
  <c r="W311" i="63"/>
  <c r="X311" i="63"/>
  <c r="Z311" i="63"/>
  <c r="AA311" i="63"/>
  <c r="AB311" i="63"/>
  <c r="AC311" i="63"/>
  <c r="AD311" i="63"/>
  <c r="AE311" i="63"/>
  <c r="AF311" i="63"/>
  <c r="AG311" i="63"/>
  <c r="AH311" i="63"/>
  <c r="AI311" i="63"/>
  <c r="AJ311" i="63"/>
  <c r="AK311" i="63"/>
  <c r="AL311" i="63"/>
  <c r="AM311" i="63"/>
  <c r="AN311" i="63"/>
  <c r="AO311" i="63"/>
  <c r="AP311" i="63"/>
  <c r="AQ311" i="63"/>
  <c r="AR311" i="63"/>
  <c r="AS311" i="63"/>
  <c r="AT311" i="63"/>
  <c r="AU311" i="63"/>
  <c r="AW311" i="63"/>
  <c r="AX311" i="63"/>
  <c r="AY311" i="63"/>
  <c r="BA311" i="63"/>
  <c r="A312" i="63"/>
  <c r="B312" i="63"/>
  <c r="D312" i="63"/>
  <c r="E312" i="63"/>
  <c r="F312" i="63"/>
  <c r="G312" i="63"/>
  <c r="H312" i="63"/>
  <c r="J312" i="63"/>
  <c r="K312" i="63"/>
  <c r="L312" i="63"/>
  <c r="M312" i="63"/>
  <c r="O312" i="63"/>
  <c r="P312" i="63"/>
  <c r="R312" i="63"/>
  <c r="S312" i="63"/>
  <c r="T312" i="63"/>
  <c r="U312" i="63"/>
  <c r="V312" i="63"/>
  <c r="W312" i="63"/>
  <c r="X312" i="63"/>
  <c r="Z312" i="63"/>
  <c r="AA312" i="63"/>
  <c r="AB312" i="63"/>
  <c r="AC312" i="63"/>
  <c r="AD312" i="63"/>
  <c r="AE312" i="63"/>
  <c r="AF312" i="63"/>
  <c r="AG312" i="63"/>
  <c r="AH312" i="63"/>
  <c r="AI312" i="63"/>
  <c r="AJ312" i="63"/>
  <c r="AK312" i="63"/>
  <c r="AL312" i="63"/>
  <c r="AM312" i="63"/>
  <c r="AN312" i="63"/>
  <c r="AO312" i="63"/>
  <c r="AP312" i="63"/>
  <c r="AQ312" i="63"/>
  <c r="AR312" i="63"/>
  <c r="AS312" i="63"/>
  <c r="AT312" i="63"/>
  <c r="AU312" i="63"/>
  <c r="AW312" i="63"/>
  <c r="AX312" i="63"/>
  <c r="AY312" i="63"/>
  <c r="BA312" i="63"/>
  <c r="A313" i="63"/>
  <c r="B313" i="63"/>
  <c r="D313" i="63"/>
  <c r="E313" i="63"/>
  <c r="F313" i="63"/>
  <c r="G313" i="63"/>
  <c r="H313" i="63"/>
  <c r="J313" i="63"/>
  <c r="K313" i="63"/>
  <c r="L313" i="63"/>
  <c r="M313" i="63"/>
  <c r="O313" i="63"/>
  <c r="P313" i="63"/>
  <c r="R313" i="63"/>
  <c r="S313" i="63"/>
  <c r="T313" i="63"/>
  <c r="U313" i="63"/>
  <c r="V313" i="63"/>
  <c r="W313" i="63"/>
  <c r="X313" i="63"/>
  <c r="Z313" i="63"/>
  <c r="AA313" i="63"/>
  <c r="AB313" i="63"/>
  <c r="AC313" i="63"/>
  <c r="AD313" i="63"/>
  <c r="AE313" i="63"/>
  <c r="AF313" i="63"/>
  <c r="AG313" i="63"/>
  <c r="AH313" i="63"/>
  <c r="AI313" i="63"/>
  <c r="AJ313" i="63"/>
  <c r="AK313" i="63"/>
  <c r="AL313" i="63"/>
  <c r="AM313" i="63"/>
  <c r="AN313" i="63"/>
  <c r="AO313" i="63"/>
  <c r="AP313" i="63"/>
  <c r="AQ313" i="63"/>
  <c r="AR313" i="63"/>
  <c r="AS313" i="63"/>
  <c r="AT313" i="63"/>
  <c r="AU313" i="63"/>
  <c r="AW313" i="63"/>
  <c r="AX313" i="63"/>
  <c r="AY313" i="63"/>
  <c r="BA313" i="63"/>
  <c r="A314" i="63"/>
  <c r="B314" i="63"/>
  <c r="D314" i="63"/>
  <c r="E314" i="63"/>
  <c r="F314" i="63"/>
  <c r="G314" i="63"/>
  <c r="H314" i="63"/>
  <c r="J314" i="63"/>
  <c r="K314" i="63"/>
  <c r="L314" i="63"/>
  <c r="M314" i="63"/>
  <c r="O314" i="63"/>
  <c r="P314" i="63"/>
  <c r="R314" i="63"/>
  <c r="S314" i="63"/>
  <c r="T314" i="63"/>
  <c r="U314" i="63"/>
  <c r="V314" i="63"/>
  <c r="W314" i="63"/>
  <c r="X314" i="63"/>
  <c r="Z314" i="63"/>
  <c r="AA314" i="63"/>
  <c r="AB314" i="63"/>
  <c r="AC314" i="63"/>
  <c r="AD314" i="63"/>
  <c r="AE314" i="63"/>
  <c r="AF314" i="63"/>
  <c r="AG314" i="63"/>
  <c r="AH314" i="63"/>
  <c r="AI314" i="63"/>
  <c r="AJ314" i="63"/>
  <c r="AK314" i="63"/>
  <c r="AL314" i="63"/>
  <c r="AM314" i="63"/>
  <c r="AN314" i="63"/>
  <c r="AO314" i="63"/>
  <c r="AP314" i="63"/>
  <c r="AQ314" i="63"/>
  <c r="AR314" i="63"/>
  <c r="AS314" i="63"/>
  <c r="AT314" i="63"/>
  <c r="AU314" i="63"/>
  <c r="AW314" i="63"/>
  <c r="AX314" i="63"/>
  <c r="AY314" i="63"/>
  <c r="BA314" i="63"/>
  <c r="A315" i="63"/>
  <c r="B315" i="63"/>
  <c r="D315" i="63"/>
  <c r="E315" i="63"/>
  <c r="F315" i="63"/>
  <c r="G315" i="63"/>
  <c r="H315" i="63"/>
  <c r="J315" i="63"/>
  <c r="K315" i="63"/>
  <c r="L315" i="63"/>
  <c r="M315" i="63"/>
  <c r="O315" i="63"/>
  <c r="P315" i="63"/>
  <c r="R315" i="63"/>
  <c r="S315" i="63"/>
  <c r="T315" i="63"/>
  <c r="U315" i="63"/>
  <c r="V315" i="63"/>
  <c r="W315" i="63"/>
  <c r="X315" i="63"/>
  <c r="Z315" i="63"/>
  <c r="AA315" i="63"/>
  <c r="AB315" i="63"/>
  <c r="AC315" i="63"/>
  <c r="AD315" i="63"/>
  <c r="AE315" i="63"/>
  <c r="AF315" i="63"/>
  <c r="AG315" i="63"/>
  <c r="AH315" i="63"/>
  <c r="AI315" i="63"/>
  <c r="AJ315" i="63"/>
  <c r="AK315" i="63"/>
  <c r="AL315" i="63"/>
  <c r="AM315" i="63"/>
  <c r="AN315" i="63"/>
  <c r="AO315" i="63"/>
  <c r="AP315" i="63"/>
  <c r="AQ315" i="63"/>
  <c r="AR315" i="63"/>
  <c r="AS315" i="63"/>
  <c r="AT315" i="63"/>
  <c r="AU315" i="63"/>
  <c r="AW315" i="63"/>
  <c r="AX315" i="63"/>
  <c r="AY315" i="63"/>
  <c r="BA315" i="63"/>
  <c r="A316" i="63"/>
  <c r="B316" i="63"/>
  <c r="D316" i="63"/>
  <c r="E316" i="63"/>
  <c r="F316" i="63"/>
  <c r="G316" i="63"/>
  <c r="H316" i="63"/>
  <c r="J316" i="63"/>
  <c r="K316" i="63"/>
  <c r="L316" i="63"/>
  <c r="M316" i="63"/>
  <c r="O316" i="63"/>
  <c r="P316" i="63"/>
  <c r="R316" i="63"/>
  <c r="S316" i="63"/>
  <c r="T316" i="63"/>
  <c r="U316" i="63"/>
  <c r="V316" i="63"/>
  <c r="W316" i="63"/>
  <c r="X316" i="63"/>
  <c r="Z316" i="63"/>
  <c r="AA316" i="63"/>
  <c r="AB316" i="63"/>
  <c r="AC316" i="63"/>
  <c r="AD316" i="63"/>
  <c r="AE316" i="63"/>
  <c r="AF316" i="63"/>
  <c r="AG316" i="63"/>
  <c r="AH316" i="63"/>
  <c r="AI316" i="63"/>
  <c r="AJ316" i="63"/>
  <c r="AK316" i="63"/>
  <c r="AL316" i="63"/>
  <c r="AM316" i="63"/>
  <c r="AN316" i="63"/>
  <c r="AO316" i="63"/>
  <c r="AP316" i="63"/>
  <c r="AQ316" i="63"/>
  <c r="AR316" i="63"/>
  <c r="AS316" i="63"/>
  <c r="AT316" i="63"/>
  <c r="AU316" i="63"/>
  <c r="AW316" i="63"/>
  <c r="AX316" i="63"/>
  <c r="AY316" i="63"/>
  <c r="BA316" i="63"/>
  <c r="A317" i="63"/>
  <c r="B317" i="63"/>
  <c r="D317" i="63"/>
  <c r="E317" i="63"/>
  <c r="F317" i="63"/>
  <c r="G317" i="63"/>
  <c r="H317" i="63"/>
  <c r="J317" i="63"/>
  <c r="K317" i="63"/>
  <c r="L317" i="63"/>
  <c r="M317" i="63"/>
  <c r="O317" i="63"/>
  <c r="P317" i="63"/>
  <c r="R317" i="63"/>
  <c r="S317" i="63"/>
  <c r="T317" i="63"/>
  <c r="U317" i="63"/>
  <c r="V317" i="63"/>
  <c r="W317" i="63"/>
  <c r="X317" i="63"/>
  <c r="Z317" i="63"/>
  <c r="AA317" i="63"/>
  <c r="AB317" i="63"/>
  <c r="AC317" i="63"/>
  <c r="AD317" i="63"/>
  <c r="AE317" i="63"/>
  <c r="AF317" i="63"/>
  <c r="AG317" i="63"/>
  <c r="AH317" i="63"/>
  <c r="AI317" i="63"/>
  <c r="AJ317" i="63"/>
  <c r="AK317" i="63"/>
  <c r="AL317" i="63"/>
  <c r="AM317" i="63"/>
  <c r="AN317" i="63"/>
  <c r="AO317" i="63"/>
  <c r="AP317" i="63"/>
  <c r="AQ317" i="63"/>
  <c r="AR317" i="63"/>
  <c r="AS317" i="63"/>
  <c r="AT317" i="63"/>
  <c r="AU317" i="63"/>
  <c r="AW317" i="63"/>
  <c r="AX317" i="63"/>
  <c r="AY317" i="63"/>
  <c r="BA317" i="63"/>
  <c r="A318" i="63"/>
  <c r="B318" i="63"/>
  <c r="D318" i="63"/>
  <c r="E318" i="63"/>
  <c r="F318" i="63"/>
  <c r="G318" i="63"/>
  <c r="H318" i="63"/>
  <c r="J318" i="63"/>
  <c r="K318" i="63"/>
  <c r="L318" i="63"/>
  <c r="M318" i="63"/>
  <c r="O318" i="63"/>
  <c r="P318" i="63"/>
  <c r="R318" i="63"/>
  <c r="S318" i="63"/>
  <c r="T318" i="63"/>
  <c r="U318" i="63"/>
  <c r="V318" i="63"/>
  <c r="W318" i="63"/>
  <c r="X318" i="63"/>
  <c r="Z318" i="63"/>
  <c r="AA318" i="63"/>
  <c r="AB318" i="63"/>
  <c r="AC318" i="63"/>
  <c r="AD318" i="63"/>
  <c r="AE318" i="63"/>
  <c r="AF318" i="63"/>
  <c r="AG318" i="63"/>
  <c r="AH318" i="63"/>
  <c r="AI318" i="63"/>
  <c r="AJ318" i="63"/>
  <c r="AK318" i="63"/>
  <c r="AL318" i="63"/>
  <c r="AM318" i="63"/>
  <c r="AN318" i="63"/>
  <c r="AO318" i="63"/>
  <c r="AP318" i="63"/>
  <c r="AQ318" i="63"/>
  <c r="AR318" i="63"/>
  <c r="AS318" i="63"/>
  <c r="AT318" i="63"/>
  <c r="AU318" i="63"/>
  <c r="AW318" i="63"/>
  <c r="AX318" i="63"/>
  <c r="AY318" i="63"/>
  <c r="BA318" i="63"/>
  <c r="A319" i="63"/>
  <c r="B319" i="63"/>
  <c r="D319" i="63"/>
  <c r="E319" i="63"/>
  <c r="F319" i="63"/>
  <c r="G319" i="63"/>
  <c r="H319" i="63"/>
  <c r="J319" i="63"/>
  <c r="K319" i="63"/>
  <c r="L319" i="63"/>
  <c r="M319" i="63"/>
  <c r="O319" i="63"/>
  <c r="P319" i="63"/>
  <c r="R319" i="63"/>
  <c r="S319" i="63"/>
  <c r="T319" i="63"/>
  <c r="U319" i="63"/>
  <c r="V319" i="63"/>
  <c r="W319" i="63"/>
  <c r="X319" i="63"/>
  <c r="Z319" i="63"/>
  <c r="AA319" i="63"/>
  <c r="AB319" i="63"/>
  <c r="AC319" i="63"/>
  <c r="AD319" i="63"/>
  <c r="AE319" i="63"/>
  <c r="AF319" i="63"/>
  <c r="AG319" i="63"/>
  <c r="AH319" i="63"/>
  <c r="AI319" i="63"/>
  <c r="AJ319" i="63"/>
  <c r="AK319" i="63"/>
  <c r="AL319" i="63"/>
  <c r="AM319" i="63"/>
  <c r="AN319" i="63"/>
  <c r="AO319" i="63"/>
  <c r="AP319" i="63"/>
  <c r="AQ319" i="63"/>
  <c r="AR319" i="63"/>
  <c r="AS319" i="63"/>
  <c r="AT319" i="63"/>
  <c r="AU319" i="63"/>
  <c r="AW319" i="63"/>
  <c r="AX319" i="63"/>
  <c r="AY319" i="63"/>
  <c r="BA319" i="63"/>
  <c r="A320" i="63"/>
  <c r="B320" i="63"/>
  <c r="D320" i="63"/>
  <c r="E320" i="63"/>
  <c r="F320" i="63"/>
  <c r="G320" i="63"/>
  <c r="H320" i="63"/>
  <c r="J320" i="63"/>
  <c r="K320" i="63"/>
  <c r="L320" i="63"/>
  <c r="M320" i="63"/>
  <c r="O320" i="63"/>
  <c r="P320" i="63"/>
  <c r="R320" i="63"/>
  <c r="S320" i="63"/>
  <c r="T320" i="63"/>
  <c r="U320" i="63"/>
  <c r="V320" i="63"/>
  <c r="W320" i="63"/>
  <c r="X320" i="63"/>
  <c r="Z320" i="63"/>
  <c r="AA320" i="63"/>
  <c r="AB320" i="63"/>
  <c r="AC320" i="63"/>
  <c r="AD320" i="63"/>
  <c r="AE320" i="63"/>
  <c r="AF320" i="63"/>
  <c r="AG320" i="63"/>
  <c r="AH320" i="63"/>
  <c r="AI320" i="63"/>
  <c r="AJ320" i="63"/>
  <c r="AK320" i="63"/>
  <c r="AL320" i="63"/>
  <c r="AM320" i="63"/>
  <c r="AN320" i="63"/>
  <c r="AO320" i="63"/>
  <c r="AP320" i="63"/>
  <c r="AQ320" i="63"/>
  <c r="AR320" i="63"/>
  <c r="AS320" i="63"/>
  <c r="AT320" i="63"/>
  <c r="AU320" i="63"/>
  <c r="AW320" i="63"/>
  <c r="AX320" i="63"/>
  <c r="AY320" i="63"/>
  <c r="BA320" i="63"/>
  <c r="A321" i="63"/>
  <c r="B321" i="63"/>
  <c r="D321" i="63"/>
  <c r="E321" i="63"/>
  <c r="F321" i="63"/>
  <c r="G321" i="63"/>
  <c r="H321" i="63"/>
  <c r="J321" i="63"/>
  <c r="K321" i="63"/>
  <c r="L321" i="63"/>
  <c r="M321" i="63"/>
  <c r="O321" i="63"/>
  <c r="P321" i="63"/>
  <c r="R321" i="63"/>
  <c r="S321" i="63"/>
  <c r="T321" i="63"/>
  <c r="U321" i="63"/>
  <c r="V321" i="63"/>
  <c r="W321" i="63"/>
  <c r="X321" i="63"/>
  <c r="Z321" i="63"/>
  <c r="AA321" i="63"/>
  <c r="AB321" i="63"/>
  <c r="AC321" i="63"/>
  <c r="AD321" i="63"/>
  <c r="AE321" i="63"/>
  <c r="AF321" i="63"/>
  <c r="AG321" i="63"/>
  <c r="AH321" i="63"/>
  <c r="AI321" i="63"/>
  <c r="AJ321" i="63"/>
  <c r="AK321" i="63"/>
  <c r="AL321" i="63"/>
  <c r="AM321" i="63"/>
  <c r="AN321" i="63"/>
  <c r="AO321" i="63"/>
  <c r="AP321" i="63"/>
  <c r="AQ321" i="63"/>
  <c r="AR321" i="63"/>
  <c r="AS321" i="63"/>
  <c r="AT321" i="63"/>
  <c r="AU321" i="63"/>
  <c r="AW321" i="63"/>
  <c r="AX321" i="63"/>
  <c r="AY321" i="63"/>
  <c r="BA321" i="63"/>
  <c r="A322" i="63"/>
  <c r="B322" i="63"/>
  <c r="D322" i="63"/>
  <c r="E322" i="63"/>
  <c r="F322" i="63"/>
  <c r="G322" i="63"/>
  <c r="H322" i="63"/>
  <c r="J322" i="63"/>
  <c r="K322" i="63"/>
  <c r="L322" i="63"/>
  <c r="M322" i="63"/>
  <c r="O322" i="63"/>
  <c r="P322" i="63"/>
  <c r="R322" i="63"/>
  <c r="S322" i="63"/>
  <c r="T322" i="63"/>
  <c r="U322" i="63"/>
  <c r="V322" i="63"/>
  <c r="W322" i="63"/>
  <c r="X322" i="63"/>
  <c r="Z322" i="63"/>
  <c r="AA322" i="63"/>
  <c r="AB322" i="63"/>
  <c r="AC322" i="63"/>
  <c r="AD322" i="63"/>
  <c r="AE322" i="63"/>
  <c r="AF322" i="63"/>
  <c r="AG322" i="63"/>
  <c r="AH322" i="63"/>
  <c r="AI322" i="63"/>
  <c r="AJ322" i="63"/>
  <c r="AK322" i="63"/>
  <c r="AL322" i="63"/>
  <c r="AM322" i="63"/>
  <c r="AN322" i="63"/>
  <c r="AO322" i="63"/>
  <c r="AP322" i="63"/>
  <c r="AQ322" i="63"/>
  <c r="AR322" i="63"/>
  <c r="AS322" i="63"/>
  <c r="AT322" i="63"/>
  <c r="AU322" i="63"/>
  <c r="AW322" i="63"/>
  <c r="AX322" i="63"/>
  <c r="AY322" i="63"/>
  <c r="BA322" i="63"/>
  <c r="A323" i="63"/>
  <c r="B323" i="63"/>
  <c r="D323" i="63"/>
  <c r="E323" i="63"/>
  <c r="F323" i="63"/>
  <c r="G323" i="63"/>
  <c r="H323" i="63"/>
  <c r="J323" i="63"/>
  <c r="K323" i="63"/>
  <c r="L323" i="63"/>
  <c r="M323" i="63"/>
  <c r="O323" i="63"/>
  <c r="P323" i="63"/>
  <c r="R323" i="63"/>
  <c r="S323" i="63"/>
  <c r="T323" i="63"/>
  <c r="U323" i="63"/>
  <c r="V323" i="63"/>
  <c r="W323" i="63"/>
  <c r="X323" i="63"/>
  <c r="Z323" i="63"/>
  <c r="AA323" i="63"/>
  <c r="AB323" i="63"/>
  <c r="AC323" i="63"/>
  <c r="AD323" i="63"/>
  <c r="AE323" i="63"/>
  <c r="AF323" i="63"/>
  <c r="AG323" i="63"/>
  <c r="AH323" i="63"/>
  <c r="AI323" i="63"/>
  <c r="AJ323" i="63"/>
  <c r="AK323" i="63"/>
  <c r="AL323" i="63"/>
  <c r="AM323" i="63"/>
  <c r="AN323" i="63"/>
  <c r="AO323" i="63"/>
  <c r="AP323" i="63"/>
  <c r="AQ323" i="63"/>
  <c r="AR323" i="63"/>
  <c r="AS323" i="63"/>
  <c r="AT323" i="63"/>
  <c r="AU323" i="63"/>
  <c r="AW323" i="63"/>
  <c r="AX323" i="63"/>
  <c r="AY323" i="63"/>
  <c r="BA323" i="63"/>
  <c r="A324" i="63"/>
  <c r="B324" i="63"/>
  <c r="D324" i="63"/>
  <c r="E324" i="63"/>
  <c r="F324" i="63"/>
  <c r="G324" i="63"/>
  <c r="H324" i="63"/>
  <c r="J324" i="63"/>
  <c r="K324" i="63"/>
  <c r="L324" i="63"/>
  <c r="M324" i="63"/>
  <c r="O324" i="63"/>
  <c r="P324" i="63"/>
  <c r="R324" i="63"/>
  <c r="S324" i="63"/>
  <c r="T324" i="63"/>
  <c r="U324" i="63"/>
  <c r="V324" i="63"/>
  <c r="W324" i="63"/>
  <c r="X324" i="63"/>
  <c r="Z324" i="63"/>
  <c r="AA324" i="63"/>
  <c r="AB324" i="63"/>
  <c r="AC324" i="63"/>
  <c r="AD324" i="63"/>
  <c r="AE324" i="63"/>
  <c r="AF324" i="63"/>
  <c r="AG324" i="63"/>
  <c r="AH324" i="63"/>
  <c r="AI324" i="63"/>
  <c r="AJ324" i="63"/>
  <c r="AK324" i="63"/>
  <c r="AL324" i="63"/>
  <c r="AM324" i="63"/>
  <c r="AN324" i="63"/>
  <c r="AO324" i="63"/>
  <c r="AP324" i="63"/>
  <c r="AQ324" i="63"/>
  <c r="AR324" i="63"/>
  <c r="AS324" i="63"/>
  <c r="AT324" i="63"/>
  <c r="AU324" i="63"/>
  <c r="AW324" i="63"/>
  <c r="AX324" i="63"/>
  <c r="AY324" i="63"/>
  <c r="BA324" i="63"/>
  <c r="A325" i="63"/>
  <c r="B325" i="63"/>
  <c r="D325" i="63"/>
  <c r="E325" i="63"/>
  <c r="F325" i="63"/>
  <c r="G325" i="63"/>
  <c r="H325" i="63"/>
  <c r="J325" i="63"/>
  <c r="K325" i="63"/>
  <c r="L325" i="63"/>
  <c r="M325" i="63"/>
  <c r="O325" i="63"/>
  <c r="P325" i="63"/>
  <c r="R325" i="63"/>
  <c r="S325" i="63"/>
  <c r="T325" i="63"/>
  <c r="U325" i="63"/>
  <c r="V325" i="63"/>
  <c r="W325" i="63"/>
  <c r="X325" i="63"/>
  <c r="Z325" i="63"/>
  <c r="AA325" i="63"/>
  <c r="AB325" i="63"/>
  <c r="AC325" i="63"/>
  <c r="AD325" i="63"/>
  <c r="AE325" i="63"/>
  <c r="AF325" i="63"/>
  <c r="AG325" i="63"/>
  <c r="AH325" i="63"/>
  <c r="AI325" i="63"/>
  <c r="AJ325" i="63"/>
  <c r="AK325" i="63"/>
  <c r="AL325" i="63"/>
  <c r="AM325" i="63"/>
  <c r="AN325" i="63"/>
  <c r="AO325" i="63"/>
  <c r="AP325" i="63"/>
  <c r="AQ325" i="63"/>
  <c r="AR325" i="63"/>
  <c r="AS325" i="63"/>
  <c r="AT325" i="63"/>
  <c r="AU325" i="63"/>
  <c r="AW325" i="63"/>
  <c r="AX325" i="63"/>
  <c r="AY325" i="63"/>
  <c r="BA325" i="63"/>
  <c r="A326" i="63"/>
  <c r="B326" i="63"/>
  <c r="D326" i="63"/>
  <c r="E326" i="63"/>
  <c r="F326" i="63"/>
  <c r="G326" i="63"/>
  <c r="H326" i="63"/>
  <c r="J326" i="63"/>
  <c r="K326" i="63"/>
  <c r="L326" i="63"/>
  <c r="M326" i="63"/>
  <c r="O326" i="63"/>
  <c r="P326" i="63"/>
  <c r="R326" i="63"/>
  <c r="S326" i="63"/>
  <c r="T326" i="63"/>
  <c r="U326" i="63"/>
  <c r="V326" i="63"/>
  <c r="W326" i="63"/>
  <c r="X326" i="63"/>
  <c r="Z326" i="63"/>
  <c r="AA326" i="63"/>
  <c r="AB326" i="63"/>
  <c r="AC326" i="63"/>
  <c r="AD326" i="63"/>
  <c r="AE326" i="63"/>
  <c r="AF326" i="63"/>
  <c r="AG326" i="63"/>
  <c r="AH326" i="63"/>
  <c r="AI326" i="63"/>
  <c r="AJ326" i="63"/>
  <c r="AK326" i="63"/>
  <c r="AL326" i="63"/>
  <c r="AM326" i="63"/>
  <c r="AN326" i="63"/>
  <c r="AO326" i="63"/>
  <c r="AP326" i="63"/>
  <c r="AQ326" i="63"/>
  <c r="AR326" i="63"/>
  <c r="AS326" i="63"/>
  <c r="AT326" i="63"/>
  <c r="AU326" i="63"/>
  <c r="AW326" i="63"/>
  <c r="AX326" i="63"/>
  <c r="AY326" i="63"/>
  <c r="BA326" i="63"/>
  <c r="A327" i="63"/>
  <c r="B327" i="63"/>
  <c r="D327" i="63"/>
  <c r="E327" i="63"/>
  <c r="F327" i="63"/>
  <c r="G327" i="63"/>
  <c r="H327" i="63"/>
  <c r="J327" i="63"/>
  <c r="K327" i="63"/>
  <c r="L327" i="63"/>
  <c r="M327" i="63"/>
  <c r="O327" i="63"/>
  <c r="P327" i="63"/>
  <c r="R327" i="63"/>
  <c r="S327" i="63"/>
  <c r="T327" i="63"/>
  <c r="U327" i="63"/>
  <c r="V327" i="63"/>
  <c r="W327" i="63"/>
  <c r="X327" i="63"/>
  <c r="Z327" i="63"/>
  <c r="AA327" i="63"/>
  <c r="AB327" i="63"/>
  <c r="AC327" i="63"/>
  <c r="AD327" i="63"/>
  <c r="AE327" i="63"/>
  <c r="AF327" i="63"/>
  <c r="AG327" i="63"/>
  <c r="AH327" i="63"/>
  <c r="AI327" i="63"/>
  <c r="AJ327" i="63"/>
  <c r="AK327" i="63"/>
  <c r="AL327" i="63"/>
  <c r="AM327" i="63"/>
  <c r="AN327" i="63"/>
  <c r="AO327" i="63"/>
  <c r="AP327" i="63"/>
  <c r="AQ327" i="63"/>
  <c r="AR327" i="63"/>
  <c r="AS327" i="63"/>
  <c r="AT327" i="63"/>
  <c r="AU327" i="63"/>
  <c r="AW327" i="63"/>
  <c r="AX327" i="63"/>
  <c r="AY327" i="63"/>
  <c r="BA327" i="63"/>
  <c r="A328" i="63"/>
  <c r="B328" i="63"/>
  <c r="D328" i="63"/>
  <c r="E328" i="63"/>
  <c r="F328" i="63"/>
  <c r="G328" i="63"/>
  <c r="H328" i="63"/>
  <c r="J328" i="63"/>
  <c r="K328" i="63"/>
  <c r="L328" i="63"/>
  <c r="M328" i="63"/>
  <c r="O328" i="63"/>
  <c r="P328" i="63"/>
  <c r="R328" i="63"/>
  <c r="S328" i="63"/>
  <c r="T328" i="63"/>
  <c r="U328" i="63"/>
  <c r="V328" i="63"/>
  <c r="W328" i="63"/>
  <c r="X328" i="63"/>
  <c r="Z328" i="63"/>
  <c r="AA328" i="63"/>
  <c r="AB328" i="63"/>
  <c r="AC328" i="63"/>
  <c r="AD328" i="63"/>
  <c r="AE328" i="63"/>
  <c r="AF328" i="63"/>
  <c r="AG328" i="63"/>
  <c r="AH328" i="63"/>
  <c r="AI328" i="63"/>
  <c r="AJ328" i="63"/>
  <c r="AK328" i="63"/>
  <c r="AL328" i="63"/>
  <c r="AM328" i="63"/>
  <c r="AN328" i="63"/>
  <c r="AO328" i="63"/>
  <c r="AP328" i="63"/>
  <c r="AQ328" i="63"/>
  <c r="AR328" i="63"/>
  <c r="AS328" i="63"/>
  <c r="AT328" i="63"/>
  <c r="AU328" i="63"/>
  <c r="AW328" i="63"/>
  <c r="AX328" i="63"/>
  <c r="AY328" i="63"/>
  <c r="BA328" i="63"/>
  <c r="A329" i="63"/>
  <c r="B329" i="63"/>
  <c r="D329" i="63"/>
  <c r="E329" i="63"/>
  <c r="F329" i="63"/>
  <c r="G329" i="63"/>
  <c r="H329" i="63"/>
  <c r="J329" i="63"/>
  <c r="K329" i="63"/>
  <c r="L329" i="63"/>
  <c r="M329" i="63"/>
  <c r="O329" i="63"/>
  <c r="P329" i="63"/>
  <c r="R329" i="63"/>
  <c r="S329" i="63"/>
  <c r="T329" i="63"/>
  <c r="U329" i="63"/>
  <c r="V329" i="63"/>
  <c r="W329" i="63"/>
  <c r="X329" i="63"/>
  <c r="Z329" i="63"/>
  <c r="AA329" i="63"/>
  <c r="AB329" i="63"/>
  <c r="AC329" i="63"/>
  <c r="AD329" i="63"/>
  <c r="AE329" i="63"/>
  <c r="AF329" i="63"/>
  <c r="AG329" i="63"/>
  <c r="AH329" i="63"/>
  <c r="AI329" i="63"/>
  <c r="AJ329" i="63"/>
  <c r="AK329" i="63"/>
  <c r="AL329" i="63"/>
  <c r="AM329" i="63"/>
  <c r="AN329" i="63"/>
  <c r="AO329" i="63"/>
  <c r="AP329" i="63"/>
  <c r="AQ329" i="63"/>
  <c r="AR329" i="63"/>
  <c r="AS329" i="63"/>
  <c r="AT329" i="63"/>
  <c r="AU329" i="63"/>
  <c r="AW329" i="63"/>
  <c r="AX329" i="63"/>
  <c r="AY329" i="63"/>
  <c r="BA329" i="63"/>
  <c r="A330" i="63"/>
  <c r="B330" i="63"/>
  <c r="D330" i="63"/>
  <c r="E330" i="63"/>
  <c r="F330" i="63"/>
  <c r="G330" i="63"/>
  <c r="H330" i="63"/>
  <c r="J330" i="63"/>
  <c r="K330" i="63"/>
  <c r="L330" i="63"/>
  <c r="M330" i="63"/>
  <c r="O330" i="63"/>
  <c r="P330" i="63"/>
  <c r="R330" i="63"/>
  <c r="S330" i="63"/>
  <c r="T330" i="63"/>
  <c r="U330" i="63"/>
  <c r="V330" i="63"/>
  <c r="W330" i="63"/>
  <c r="X330" i="63"/>
  <c r="Z330" i="63"/>
  <c r="AA330" i="63"/>
  <c r="AB330" i="63"/>
  <c r="AC330" i="63"/>
  <c r="AD330" i="63"/>
  <c r="AE330" i="63"/>
  <c r="AF330" i="63"/>
  <c r="AG330" i="63"/>
  <c r="AH330" i="63"/>
  <c r="AI330" i="63"/>
  <c r="AJ330" i="63"/>
  <c r="AK330" i="63"/>
  <c r="AL330" i="63"/>
  <c r="AM330" i="63"/>
  <c r="AN330" i="63"/>
  <c r="AO330" i="63"/>
  <c r="AP330" i="63"/>
  <c r="AQ330" i="63"/>
  <c r="AR330" i="63"/>
  <c r="AS330" i="63"/>
  <c r="AT330" i="63"/>
  <c r="AU330" i="63"/>
  <c r="AW330" i="63"/>
  <c r="AX330" i="63"/>
  <c r="AY330" i="63"/>
  <c r="BA330" i="63"/>
  <c r="A331" i="63"/>
  <c r="B331" i="63"/>
  <c r="D331" i="63"/>
  <c r="E331" i="63"/>
  <c r="F331" i="63"/>
  <c r="G331" i="63"/>
  <c r="H331" i="63"/>
  <c r="J331" i="63"/>
  <c r="K331" i="63"/>
  <c r="L331" i="63"/>
  <c r="M331" i="63"/>
  <c r="O331" i="63"/>
  <c r="P331" i="63"/>
  <c r="R331" i="63"/>
  <c r="S331" i="63"/>
  <c r="T331" i="63"/>
  <c r="U331" i="63"/>
  <c r="V331" i="63"/>
  <c r="W331" i="63"/>
  <c r="X331" i="63"/>
  <c r="Z331" i="63"/>
  <c r="AA331" i="63"/>
  <c r="AB331" i="63"/>
  <c r="AC331" i="63"/>
  <c r="AD331" i="63"/>
  <c r="AE331" i="63"/>
  <c r="AF331" i="63"/>
  <c r="AG331" i="63"/>
  <c r="AH331" i="63"/>
  <c r="AI331" i="63"/>
  <c r="AJ331" i="63"/>
  <c r="AK331" i="63"/>
  <c r="AL331" i="63"/>
  <c r="AM331" i="63"/>
  <c r="AN331" i="63"/>
  <c r="AO331" i="63"/>
  <c r="AP331" i="63"/>
  <c r="AQ331" i="63"/>
  <c r="AR331" i="63"/>
  <c r="AS331" i="63"/>
  <c r="AT331" i="63"/>
  <c r="AU331" i="63"/>
  <c r="AW331" i="63"/>
  <c r="AX331" i="63"/>
  <c r="AY331" i="63"/>
  <c r="BA331" i="63"/>
  <c r="A332" i="63"/>
  <c r="B332" i="63"/>
  <c r="D332" i="63"/>
  <c r="E332" i="63"/>
  <c r="F332" i="63"/>
  <c r="G332" i="63"/>
  <c r="H332" i="63"/>
  <c r="J332" i="63"/>
  <c r="K332" i="63"/>
  <c r="L332" i="63"/>
  <c r="M332" i="63"/>
  <c r="O332" i="63"/>
  <c r="P332" i="63"/>
  <c r="R332" i="63"/>
  <c r="S332" i="63"/>
  <c r="T332" i="63"/>
  <c r="U332" i="63"/>
  <c r="V332" i="63"/>
  <c r="W332" i="63"/>
  <c r="X332" i="63"/>
  <c r="Z332" i="63"/>
  <c r="AA332" i="63"/>
  <c r="AB332" i="63"/>
  <c r="AC332" i="63"/>
  <c r="AD332" i="63"/>
  <c r="AE332" i="63"/>
  <c r="AF332" i="63"/>
  <c r="AG332" i="63"/>
  <c r="AH332" i="63"/>
  <c r="AI332" i="63"/>
  <c r="AJ332" i="63"/>
  <c r="AK332" i="63"/>
  <c r="AL332" i="63"/>
  <c r="AM332" i="63"/>
  <c r="AN332" i="63"/>
  <c r="AO332" i="63"/>
  <c r="AP332" i="63"/>
  <c r="AQ332" i="63"/>
  <c r="AR332" i="63"/>
  <c r="AS332" i="63"/>
  <c r="AT332" i="63"/>
  <c r="AU332" i="63"/>
  <c r="AW332" i="63"/>
  <c r="AX332" i="63"/>
  <c r="AY332" i="63"/>
  <c r="BA332" i="63"/>
  <c r="A333" i="63"/>
  <c r="B333" i="63"/>
  <c r="D333" i="63"/>
  <c r="E333" i="63"/>
  <c r="F333" i="63"/>
  <c r="G333" i="63"/>
  <c r="H333" i="63"/>
  <c r="J333" i="63"/>
  <c r="K333" i="63"/>
  <c r="L333" i="63"/>
  <c r="M333" i="63"/>
  <c r="O333" i="63"/>
  <c r="P333" i="63"/>
  <c r="R333" i="63"/>
  <c r="S333" i="63"/>
  <c r="T333" i="63"/>
  <c r="U333" i="63"/>
  <c r="V333" i="63"/>
  <c r="W333" i="63"/>
  <c r="X333" i="63"/>
  <c r="Z333" i="63"/>
  <c r="AA333" i="63"/>
  <c r="AB333" i="63"/>
  <c r="AC333" i="63"/>
  <c r="AD333" i="63"/>
  <c r="AE333" i="63"/>
  <c r="AF333" i="63"/>
  <c r="AG333" i="63"/>
  <c r="AH333" i="63"/>
  <c r="AI333" i="63"/>
  <c r="AJ333" i="63"/>
  <c r="AK333" i="63"/>
  <c r="AL333" i="63"/>
  <c r="AM333" i="63"/>
  <c r="AN333" i="63"/>
  <c r="AO333" i="63"/>
  <c r="AP333" i="63"/>
  <c r="AQ333" i="63"/>
  <c r="AR333" i="63"/>
  <c r="AS333" i="63"/>
  <c r="AT333" i="63"/>
  <c r="AU333" i="63"/>
  <c r="AW333" i="63"/>
  <c r="AX333" i="63"/>
  <c r="AY333" i="63"/>
  <c r="BA333" i="63"/>
  <c r="A334" i="63"/>
  <c r="B334" i="63"/>
  <c r="D334" i="63"/>
  <c r="E334" i="63"/>
  <c r="F334" i="63"/>
  <c r="G334" i="63"/>
  <c r="H334" i="63"/>
  <c r="J334" i="63"/>
  <c r="K334" i="63"/>
  <c r="L334" i="63"/>
  <c r="M334" i="63"/>
  <c r="O334" i="63"/>
  <c r="P334" i="63"/>
  <c r="R334" i="63"/>
  <c r="S334" i="63"/>
  <c r="T334" i="63"/>
  <c r="U334" i="63"/>
  <c r="V334" i="63"/>
  <c r="W334" i="63"/>
  <c r="X334" i="63"/>
  <c r="Z334" i="63"/>
  <c r="AA334" i="63"/>
  <c r="AB334" i="63"/>
  <c r="AC334" i="63"/>
  <c r="AD334" i="63"/>
  <c r="AE334" i="63"/>
  <c r="AF334" i="63"/>
  <c r="AG334" i="63"/>
  <c r="AH334" i="63"/>
  <c r="AI334" i="63"/>
  <c r="AJ334" i="63"/>
  <c r="AK334" i="63"/>
  <c r="AL334" i="63"/>
  <c r="AM334" i="63"/>
  <c r="AN334" i="63"/>
  <c r="AO334" i="63"/>
  <c r="AP334" i="63"/>
  <c r="AQ334" i="63"/>
  <c r="AR334" i="63"/>
  <c r="AS334" i="63"/>
  <c r="AT334" i="63"/>
  <c r="AU334" i="63"/>
  <c r="AW334" i="63"/>
  <c r="AX334" i="63"/>
  <c r="AY334" i="63"/>
  <c r="BA334" i="63"/>
  <c r="A335" i="63"/>
  <c r="B335" i="63"/>
  <c r="D335" i="63"/>
  <c r="E335" i="63"/>
  <c r="F335" i="63"/>
  <c r="G335" i="63"/>
  <c r="H335" i="63"/>
  <c r="J335" i="63"/>
  <c r="K335" i="63"/>
  <c r="L335" i="63"/>
  <c r="M335" i="63"/>
  <c r="O335" i="63"/>
  <c r="P335" i="63"/>
  <c r="R335" i="63"/>
  <c r="S335" i="63"/>
  <c r="T335" i="63"/>
  <c r="U335" i="63"/>
  <c r="V335" i="63"/>
  <c r="W335" i="63"/>
  <c r="X335" i="63"/>
  <c r="Z335" i="63"/>
  <c r="AA335" i="63"/>
  <c r="AB335" i="63"/>
  <c r="AC335" i="63"/>
  <c r="AD335" i="63"/>
  <c r="AE335" i="63"/>
  <c r="AF335" i="63"/>
  <c r="AG335" i="63"/>
  <c r="AH335" i="63"/>
  <c r="AI335" i="63"/>
  <c r="AJ335" i="63"/>
  <c r="AK335" i="63"/>
  <c r="AL335" i="63"/>
  <c r="AM335" i="63"/>
  <c r="AN335" i="63"/>
  <c r="AO335" i="63"/>
  <c r="AP335" i="63"/>
  <c r="AQ335" i="63"/>
  <c r="AR335" i="63"/>
  <c r="AS335" i="63"/>
  <c r="AT335" i="63"/>
  <c r="AU335" i="63"/>
  <c r="AW335" i="63"/>
  <c r="AX335" i="63"/>
  <c r="AY335" i="63"/>
  <c r="BA335" i="63"/>
  <c r="A336" i="63"/>
  <c r="B336" i="63"/>
  <c r="D336" i="63"/>
  <c r="E336" i="63"/>
  <c r="F336" i="63"/>
  <c r="G336" i="63"/>
  <c r="H336" i="63"/>
  <c r="J336" i="63"/>
  <c r="K336" i="63"/>
  <c r="L336" i="63"/>
  <c r="M336" i="63"/>
  <c r="O336" i="63"/>
  <c r="P336" i="63"/>
  <c r="R336" i="63"/>
  <c r="S336" i="63"/>
  <c r="T336" i="63"/>
  <c r="U336" i="63"/>
  <c r="V336" i="63"/>
  <c r="W336" i="63"/>
  <c r="X336" i="63"/>
  <c r="Z336" i="63"/>
  <c r="AA336" i="63"/>
  <c r="AB336" i="63"/>
  <c r="AC336" i="63"/>
  <c r="AD336" i="63"/>
  <c r="AE336" i="63"/>
  <c r="AF336" i="63"/>
  <c r="AG336" i="63"/>
  <c r="AH336" i="63"/>
  <c r="AI336" i="63"/>
  <c r="AJ336" i="63"/>
  <c r="AK336" i="63"/>
  <c r="AL336" i="63"/>
  <c r="AM336" i="63"/>
  <c r="AN336" i="63"/>
  <c r="AO336" i="63"/>
  <c r="AP336" i="63"/>
  <c r="AQ336" i="63"/>
  <c r="AR336" i="63"/>
  <c r="AS336" i="63"/>
  <c r="AT336" i="63"/>
  <c r="AU336" i="63"/>
  <c r="AW336" i="63"/>
  <c r="AX336" i="63"/>
  <c r="AY336" i="63"/>
  <c r="BA336" i="63"/>
  <c r="A337" i="63"/>
  <c r="B337" i="63"/>
  <c r="D337" i="63"/>
  <c r="E337" i="63"/>
  <c r="F337" i="63"/>
  <c r="G337" i="63"/>
  <c r="H337" i="63"/>
  <c r="J337" i="63"/>
  <c r="K337" i="63"/>
  <c r="L337" i="63"/>
  <c r="M337" i="63"/>
  <c r="O337" i="63"/>
  <c r="P337" i="63"/>
  <c r="R337" i="63"/>
  <c r="S337" i="63"/>
  <c r="T337" i="63"/>
  <c r="U337" i="63"/>
  <c r="V337" i="63"/>
  <c r="W337" i="63"/>
  <c r="X337" i="63"/>
  <c r="Z337" i="63"/>
  <c r="AA337" i="63"/>
  <c r="AB337" i="63"/>
  <c r="AC337" i="63"/>
  <c r="AD337" i="63"/>
  <c r="AE337" i="63"/>
  <c r="AF337" i="63"/>
  <c r="AG337" i="63"/>
  <c r="AH337" i="63"/>
  <c r="AI337" i="63"/>
  <c r="AJ337" i="63"/>
  <c r="AK337" i="63"/>
  <c r="AL337" i="63"/>
  <c r="AM337" i="63"/>
  <c r="AN337" i="63"/>
  <c r="AO337" i="63"/>
  <c r="AP337" i="63"/>
  <c r="AQ337" i="63"/>
  <c r="AR337" i="63"/>
  <c r="AS337" i="63"/>
  <c r="AT337" i="63"/>
  <c r="AU337" i="63"/>
  <c r="AW337" i="63"/>
  <c r="AX337" i="63"/>
  <c r="AY337" i="63"/>
  <c r="BA337" i="63"/>
  <c r="A338" i="63"/>
  <c r="B338" i="63"/>
  <c r="D338" i="63"/>
  <c r="E338" i="63"/>
  <c r="F338" i="63"/>
  <c r="G338" i="63"/>
  <c r="H338" i="63"/>
  <c r="J338" i="63"/>
  <c r="K338" i="63"/>
  <c r="L338" i="63"/>
  <c r="M338" i="63"/>
  <c r="O338" i="63"/>
  <c r="P338" i="63"/>
  <c r="R338" i="63"/>
  <c r="S338" i="63"/>
  <c r="T338" i="63"/>
  <c r="U338" i="63"/>
  <c r="V338" i="63"/>
  <c r="W338" i="63"/>
  <c r="X338" i="63"/>
  <c r="Z338" i="63"/>
  <c r="AA338" i="63"/>
  <c r="AB338" i="63"/>
  <c r="AC338" i="63"/>
  <c r="AD338" i="63"/>
  <c r="AE338" i="63"/>
  <c r="AF338" i="63"/>
  <c r="AG338" i="63"/>
  <c r="AH338" i="63"/>
  <c r="AI338" i="63"/>
  <c r="AJ338" i="63"/>
  <c r="AK338" i="63"/>
  <c r="AL338" i="63"/>
  <c r="AM338" i="63"/>
  <c r="AN338" i="63"/>
  <c r="AO338" i="63"/>
  <c r="AP338" i="63"/>
  <c r="AQ338" i="63"/>
  <c r="AR338" i="63"/>
  <c r="AS338" i="63"/>
  <c r="AT338" i="63"/>
  <c r="AU338" i="63"/>
  <c r="AW338" i="63"/>
  <c r="AX338" i="63"/>
  <c r="AY338" i="63"/>
  <c r="BA338" i="63"/>
  <c r="A339" i="63"/>
  <c r="B339" i="63"/>
  <c r="D339" i="63"/>
  <c r="E339" i="63"/>
  <c r="F339" i="63"/>
  <c r="G339" i="63"/>
  <c r="H339" i="63"/>
  <c r="J339" i="63"/>
  <c r="K339" i="63"/>
  <c r="L339" i="63"/>
  <c r="M339" i="63"/>
  <c r="O339" i="63"/>
  <c r="P339" i="63"/>
  <c r="R339" i="63"/>
  <c r="S339" i="63"/>
  <c r="T339" i="63"/>
  <c r="U339" i="63"/>
  <c r="V339" i="63"/>
  <c r="W339" i="63"/>
  <c r="X339" i="63"/>
  <c r="Z339" i="63"/>
  <c r="AA339" i="63"/>
  <c r="AB339" i="63"/>
  <c r="AC339" i="63"/>
  <c r="AD339" i="63"/>
  <c r="AE339" i="63"/>
  <c r="AF339" i="63"/>
  <c r="AG339" i="63"/>
  <c r="AH339" i="63"/>
  <c r="AI339" i="63"/>
  <c r="AJ339" i="63"/>
  <c r="AK339" i="63"/>
  <c r="AL339" i="63"/>
  <c r="AM339" i="63"/>
  <c r="AN339" i="63"/>
  <c r="AO339" i="63"/>
  <c r="AP339" i="63"/>
  <c r="AQ339" i="63"/>
  <c r="AR339" i="63"/>
  <c r="AS339" i="63"/>
  <c r="AT339" i="63"/>
  <c r="AU339" i="63"/>
  <c r="AW339" i="63"/>
  <c r="AX339" i="63"/>
  <c r="AY339" i="63"/>
  <c r="BA339" i="63"/>
  <c r="A340" i="63"/>
  <c r="B340" i="63"/>
  <c r="D340" i="63"/>
  <c r="E340" i="63"/>
  <c r="F340" i="63"/>
  <c r="G340" i="63"/>
  <c r="H340" i="63"/>
  <c r="J340" i="63"/>
  <c r="K340" i="63"/>
  <c r="L340" i="63"/>
  <c r="M340" i="63"/>
  <c r="O340" i="63"/>
  <c r="P340" i="63"/>
  <c r="R340" i="63"/>
  <c r="S340" i="63"/>
  <c r="T340" i="63"/>
  <c r="U340" i="63"/>
  <c r="V340" i="63"/>
  <c r="W340" i="63"/>
  <c r="X340" i="63"/>
  <c r="Z340" i="63"/>
  <c r="AA340" i="63"/>
  <c r="AB340" i="63"/>
  <c r="AC340" i="63"/>
  <c r="AD340" i="63"/>
  <c r="AE340" i="63"/>
  <c r="AF340" i="63"/>
  <c r="AG340" i="63"/>
  <c r="AH340" i="63"/>
  <c r="AI340" i="63"/>
  <c r="AJ340" i="63"/>
  <c r="AK340" i="63"/>
  <c r="AL340" i="63"/>
  <c r="AM340" i="63"/>
  <c r="AN340" i="63"/>
  <c r="AO340" i="63"/>
  <c r="AP340" i="63"/>
  <c r="AQ340" i="63"/>
  <c r="AR340" i="63"/>
  <c r="AS340" i="63"/>
  <c r="AT340" i="63"/>
  <c r="AU340" i="63"/>
  <c r="AW340" i="63"/>
  <c r="AX340" i="63"/>
  <c r="AY340" i="63"/>
  <c r="BA340" i="63"/>
  <c r="A341" i="63"/>
  <c r="B341" i="63"/>
  <c r="D341" i="63"/>
  <c r="E341" i="63"/>
  <c r="F341" i="63"/>
  <c r="G341" i="63"/>
  <c r="H341" i="63"/>
  <c r="J341" i="63"/>
  <c r="K341" i="63"/>
  <c r="L341" i="63"/>
  <c r="M341" i="63"/>
  <c r="O341" i="63"/>
  <c r="P341" i="63"/>
  <c r="R341" i="63"/>
  <c r="S341" i="63"/>
  <c r="T341" i="63"/>
  <c r="U341" i="63"/>
  <c r="V341" i="63"/>
  <c r="W341" i="63"/>
  <c r="X341" i="63"/>
  <c r="Z341" i="63"/>
  <c r="AA341" i="63"/>
  <c r="AB341" i="63"/>
  <c r="AC341" i="63"/>
  <c r="AD341" i="63"/>
  <c r="AE341" i="63"/>
  <c r="AF341" i="63"/>
  <c r="AG341" i="63"/>
  <c r="AH341" i="63"/>
  <c r="AI341" i="63"/>
  <c r="AJ341" i="63"/>
  <c r="AK341" i="63"/>
  <c r="AL341" i="63"/>
  <c r="AM341" i="63"/>
  <c r="AN341" i="63"/>
  <c r="AO341" i="63"/>
  <c r="AP341" i="63"/>
  <c r="AQ341" i="63"/>
  <c r="AR341" i="63"/>
  <c r="AS341" i="63"/>
  <c r="AT341" i="63"/>
  <c r="AU341" i="63"/>
  <c r="AW341" i="63"/>
  <c r="AX341" i="63"/>
  <c r="AY341" i="63"/>
  <c r="BA341" i="63"/>
  <c r="A342" i="63"/>
  <c r="B342" i="63"/>
  <c r="D342" i="63"/>
  <c r="E342" i="63"/>
  <c r="F342" i="63"/>
  <c r="G342" i="63"/>
  <c r="H342" i="63"/>
  <c r="J342" i="63"/>
  <c r="K342" i="63"/>
  <c r="L342" i="63"/>
  <c r="M342" i="63"/>
  <c r="O342" i="63"/>
  <c r="P342" i="63"/>
  <c r="R342" i="63"/>
  <c r="S342" i="63"/>
  <c r="T342" i="63"/>
  <c r="U342" i="63"/>
  <c r="V342" i="63"/>
  <c r="W342" i="63"/>
  <c r="X342" i="63"/>
  <c r="Z342" i="63"/>
  <c r="AA342" i="63"/>
  <c r="AB342" i="63"/>
  <c r="AC342" i="63"/>
  <c r="AD342" i="63"/>
  <c r="AE342" i="63"/>
  <c r="AF342" i="63"/>
  <c r="AG342" i="63"/>
  <c r="AH342" i="63"/>
  <c r="AI342" i="63"/>
  <c r="AJ342" i="63"/>
  <c r="AK342" i="63"/>
  <c r="AL342" i="63"/>
  <c r="AM342" i="63"/>
  <c r="AN342" i="63"/>
  <c r="AO342" i="63"/>
  <c r="AP342" i="63"/>
  <c r="AQ342" i="63"/>
  <c r="AR342" i="63"/>
  <c r="AS342" i="63"/>
  <c r="AT342" i="63"/>
  <c r="AU342" i="63"/>
  <c r="AW342" i="63"/>
  <c r="AX342" i="63"/>
  <c r="AY342" i="63"/>
  <c r="BA342" i="63"/>
  <c r="A343" i="63"/>
  <c r="B343" i="63"/>
  <c r="D343" i="63"/>
  <c r="E343" i="63"/>
  <c r="F343" i="63"/>
  <c r="G343" i="63"/>
  <c r="H343" i="63"/>
  <c r="J343" i="63"/>
  <c r="K343" i="63"/>
  <c r="L343" i="63"/>
  <c r="M343" i="63"/>
  <c r="O343" i="63"/>
  <c r="P343" i="63"/>
  <c r="R343" i="63"/>
  <c r="S343" i="63"/>
  <c r="T343" i="63"/>
  <c r="U343" i="63"/>
  <c r="V343" i="63"/>
  <c r="W343" i="63"/>
  <c r="X343" i="63"/>
  <c r="Z343" i="63"/>
  <c r="AA343" i="63"/>
  <c r="AB343" i="63"/>
  <c r="AC343" i="63"/>
  <c r="AD343" i="63"/>
  <c r="AE343" i="63"/>
  <c r="AF343" i="63"/>
  <c r="AG343" i="63"/>
  <c r="AH343" i="63"/>
  <c r="AI343" i="63"/>
  <c r="AJ343" i="63"/>
  <c r="AK343" i="63"/>
  <c r="AL343" i="63"/>
  <c r="AM343" i="63"/>
  <c r="AN343" i="63"/>
  <c r="AO343" i="63"/>
  <c r="AP343" i="63"/>
  <c r="AQ343" i="63"/>
  <c r="AR343" i="63"/>
  <c r="AS343" i="63"/>
  <c r="AT343" i="63"/>
  <c r="AU343" i="63"/>
  <c r="AW343" i="63"/>
  <c r="AX343" i="63"/>
  <c r="AY343" i="63"/>
  <c r="BA343" i="63"/>
  <c r="A344" i="63"/>
  <c r="B344" i="63"/>
  <c r="D344" i="63"/>
  <c r="E344" i="63"/>
  <c r="F344" i="63"/>
  <c r="G344" i="63"/>
  <c r="H344" i="63"/>
  <c r="J344" i="63"/>
  <c r="K344" i="63"/>
  <c r="L344" i="63"/>
  <c r="M344" i="63"/>
  <c r="O344" i="63"/>
  <c r="P344" i="63"/>
  <c r="R344" i="63"/>
  <c r="S344" i="63"/>
  <c r="T344" i="63"/>
  <c r="U344" i="63"/>
  <c r="V344" i="63"/>
  <c r="W344" i="63"/>
  <c r="X344" i="63"/>
  <c r="Z344" i="63"/>
  <c r="AA344" i="63"/>
  <c r="AB344" i="63"/>
  <c r="AC344" i="63"/>
  <c r="AD344" i="63"/>
  <c r="AE344" i="63"/>
  <c r="AF344" i="63"/>
  <c r="AG344" i="63"/>
  <c r="AH344" i="63"/>
  <c r="AI344" i="63"/>
  <c r="AJ344" i="63"/>
  <c r="AK344" i="63"/>
  <c r="AL344" i="63"/>
  <c r="AM344" i="63"/>
  <c r="AN344" i="63"/>
  <c r="AO344" i="63"/>
  <c r="AP344" i="63"/>
  <c r="AQ344" i="63"/>
  <c r="AR344" i="63"/>
  <c r="AS344" i="63"/>
  <c r="AT344" i="63"/>
  <c r="AU344" i="63"/>
  <c r="AW344" i="63"/>
  <c r="AX344" i="63"/>
  <c r="AY344" i="63"/>
  <c r="BA344" i="63"/>
  <c r="A345" i="63"/>
  <c r="B345" i="63"/>
  <c r="D345" i="63"/>
  <c r="E345" i="63"/>
  <c r="F345" i="63"/>
  <c r="G345" i="63"/>
  <c r="H345" i="63"/>
  <c r="J345" i="63"/>
  <c r="K345" i="63"/>
  <c r="L345" i="63"/>
  <c r="M345" i="63"/>
  <c r="O345" i="63"/>
  <c r="P345" i="63"/>
  <c r="R345" i="63"/>
  <c r="S345" i="63"/>
  <c r="T345" i="63"/>
  <c r="U345" i="63"/>
  <c r="V345" i="63"/>
  <c r="W345" i="63"/>
  <c r="X345" i="63"/>
  <c r="Z345" i="63"/>
  <c r="AA345" i="63"/>
  <c r="AB345" i="63"/>
  <c r="AC345" i="63"/>
  <c r="AD345" i="63"/>
  <c r="AE345" i="63"/>
  <c r="AF345" i="63"/>
  <c r="AG345" i="63"/>
  <c r="AH345" i="63"/>
  <c r="AI345" i="63"/>
  <c r="AJ345" i="63"/>
  <c r="AK345" i="63"/>
  <c r="AL345" i="63"/>
  <c r="AM345" i="63"/>
  <c r="AN345" i="63"/>
  <c r="AO345" i="63"/>
  <c r="AP345" i="63"/>
  <c r="AQ345" i="63"/>
  <c r="AR345" i="63"/>
  <c r="AS345" i="63"/>
  <c r="AT345" i="63"/>
  <c r="AU345" i="63"/>
  <c r="AW345" i="63"/>
  <c r="AX345" i="63"/>
  <c r="AY345" i="63"/>
  <c r="BA345" i="63"/>
  <c r="A346" i="63"/>
  <c r="B346" i="63"/>
  <c r="D346" i="63"/>
  <c r="E346" i="63"/>
  <c r="F346" i="63"/>
  <c r="G346" i="63"/>
  <c r="H346" i="63"/>
  <c r="J346" i="63"/>
  <c r="K346" i="63"/>
  <c r="L346" i="63"/>
  <c r="M346" i="63"/>
  <c r="O346" i="63"/>
  <c r="P346" i="63"/>
  <c r="R346" i="63"/>
  <c r="S346" i="63"/>
  <c r="T346" i="63"/>
  <c r="U346" i="63"/>
  <c r="V346" i="63"/>
  <c r="W346" i="63"/>
  <c r="X346" i="63"/>
  <c r="Z346" i="63"/>
  <c r="AA346" i="63"/>
  <c r="AB346" i="63"/>
  <c r="AC346" i="63"/>
  <c r="AD346" i="63"/>
  <c r="AE346" i="63"/>
  <c r="AF346" i="63"/>
  <c r="AG346" i="63"/>
  <c r="AH346" i="63"/>
  <c r="AI346" i="63"/>
  <c r="AJ346" i="63"/>
  <c r="AK346" i="63"/>
  <c r="AL346" i="63"/>
  <c r="AM346" i="63"/>
  <c r="AN346" i="63"/>
  <c r="AO346" i="63"/>
  <c r="AP346" i="63"/>
  <c r="AQ346" i="63"/>
  <c r="AR346" i="63"/>
  <c r="AS346" i="63"/>
  <c r="AT346" i="63"/>
  <c r="AU346" i="63"/>
  <c r="AW346" i="63"/>
  <c r="AX346" i="63"/>
  <c r="AY346" i="63"/>
  <c r="BA346" i="63"/>
  <c r="A347" i="63"/>
  <c r="B347" i="63"/>
  <c r="D347" i="63"/>
  <c r="E347" i="63"/>
  <c r="F347" i="63"/>
  <c r="G347" i="63"/>
  <c r="H347" i="63"/>
  <c r="J347" i="63"/>
  <c r="K347" i="63"/>
  <c r="L347" i="63"/>
  <c r="M347" i="63"/>
  <c r="O347" i="63"/>
  <c r="P347" i="63"/>
  <c r="R347" i="63"/>
  <c r="S347" i="63"/>
  <c r="T347" i="63"/>
  <c r="U347" i="63"/>
  <c r="V347" i="63"/>
  <c r="W347" i="63"/>
  <c r="X347" i="63"/>
  <c r="Z347" i="63"/>
  <c r="AA347" i="63"/>
  <c r="AB347" i="63"/>
  <c r="AC347" i="63"/>
  <c r="AD347" i="63"/>
  <c r="AE347" i="63"/>
  <c r="AF347" i="63"/>
  <c r="AG347" i="63"/>
  <c r="AH347" i="63"/>
  <c r="AI347" i="63"/>
  <c r="AJ347" i="63"/>
  <c r="AK347" i="63"/>
  <c r="AL347" i="63"/>
  <c r="AM347" i="63"/>
  <c r="AN347" i="63"/>
  <c r="AO347" i="63"/>
  <c r="AP347" i="63"/>
  <c r="AQ347" i="63"/>
  <c r="AR347" i="63"/>
  <c r="AS347" i="63"/>
  <c r="AT347" i="63"/>
  <c r="AU347" i="63"/>
  <c r="AW347" i="63"/>
  <c r="AX347" i="63"/>
  <c r="AY347" i="63"/>
  <c r="BA347" i="63"/>
  <c r="A348" i="63"/>
  <c r="B348" i="63"/>
  <c r="D348" i="63"/>
  <c r="E348" i="63"/>
  <c r="F348" i="63"/>
  <c r="G348" i="63"/>
  <c r="H348" i="63"/>
  <c r="J348" i="63"/>
  <c r="K348" i="63"/>
  <c r="L348" i="63"/>
  <c r="M348" i="63"/>
  <c r="O348" i="63"/>
  <c r="P348" i="63"/>
  <c r="R348" i="63"/>
  <c r="S348" i="63"/>
  <c r="T348" i="63"/>
  <c r="U348" i="63"/>
  <c r="V348" i="63"/>
  <c r="W348" i="63"/>
  <c r="X348" i="63"/>
  <c r="Z348" i="63"/>
  <c r="AA348" i="63"/>
  <c r="AB348" i="63"/>
  <c r="AC348" i="63"/>
  <c r="AD348" i="63"/>
  <c r="AE348" i="63"/>
  <c r="AF348" i="63"/>
  <c r="AG348" i="63"/>
  <c r="AH348" i="63"/>
  <c r="AI348" i="63"/>
  <c r="AJ348" i="63"/>
  <c r="AK348" i="63"/>
  <c r="AL348" i="63"/>
  <c r="AM348" i="63"/>
  <c r="AN348" i="63"/>
  <c r="AO348" i="63"/>
  <c r="AP348" i="63"/>
  <c r="AQ348" i="63"/>
  <c r="AR348" i="63"/>
  <c r="AS348" i="63"/>
  <c r="AT348" i="63"/>
  <c r="AU348" i="63"/>
  <c r="AW348" i="63"/>
  <c r="AX348" i="63"/>
  <c r="AY348" i="63"/>
  <c r="BA348" i="63"/>
  <c r="A349" i="63"/>
  <c r="B349" i="63"/>
  <c r="D349" i="63"/>
  <c r="E349" i="63"/>
  <c r="F349" i="63"/>
  <c r="G349" i="63"/>
  <c r="H349" i="63"/>
  <c r="J349" i="63"/>
  <c r="K349" i="63"/>
  <c r="L349" i="63"/>
  <c r="M349" i="63"/>
  <c r="O349" i="63"/>
  <c r="P349" i="63"/>
  <c r="R349" i="63"/>
  <c r="S349" i="63"/>
  <c r="T349" i="63"/>
  <c r="U349" i="63"/>
  <c r="V349" i="63"/>
  <c r="W349" i="63"/>
  <c r="X349" i="63"/>
  <c r="Z349" i="63"/>
  <c r="AA349" i="63"/>
  <c r="AB349" i="63"/>
  <c r="AC349" i="63"/>
  <c r="AD349" i="63"/>
  <c r="AE349" i="63"/>
  <c r="AF349" i="63"/>
  <c r="AG349" i="63"/>
  <c r="AH349" i="63"/>
  <c r="AI349" i="63"/>
  <c r="AJ349" i="63"/>
  <c r="AK349" i="63"/>
  <c r="AL349" i="63"/>
  <c r="AM349" i="63"/>
  <c r="AN349" i="63"/>
  <c r="AO349" i="63"/>
  <c r="AP349" i="63"/>
  <c r="AQ349" i="63"/>
  <c r="AR349" i="63"/>
  <c r="AS349" i="63"/>
  <c r="AT349" i="63"/>
  <c r="AU349" i="63"/>
  <c r="AW349" i="63"/>
  <c r="AX349" i="63"/>
  <c r="AY349" i="63"/>
  <c r="BA349" i="63"/>
  <c r="A350" i="63"/>
  <c r="B350" i="63"/>
  <c r="D350" i="63"/>
  <c r="E350" i="63"/>
  <c r="F350" i="63"/>
  <c r="G350" i="63"/>
  <c r="H350" i="63"/>
  <c r="J350" i="63"/>
  <c r="K350" i="63"/>
  <c r="L350" i="63"/>
  <c r="M350" i="63"/>
  <c r="O350" i="63"/>
  <c r="P350" i="63"/>
  <c r="R350" i="63"/>
  <c r="S350" i="63"/>
  <c r="T350" i="63"/>
  <c r="U350" i="63"/>
  <c r="V350" i="63"/>
  <c r="W350" i="63"/>
  <c r="X350" i="63"/>
  <c r="Z350" i="63"/>
  <c r="AA350" i="63"/>
  <c r="AB350" i="63"/>
  <c r="AC350" i="63"/>
  <c r="AD350" i="63"/>
  <c r="AE350" i="63"/>
  <c r="AF350" i="63"/>
  <c r="AG350" i="63"/>
  <c r="AH350" i="63"/>
  <c r="AI350" i="63"/>
  <c r="AJ350" i="63"/>
  <c r="AK350" i="63"/>
  <c r="AL350" i="63"/>
  <c r="AM350" i="63"/>
  <c r="AN350" i="63"/>
  <c r="AO350" i="63"/>
  <c r="AP350" i="63"/>
  <c r="AQ350" i="63"/>
  <c r="AR350" i="63"/>
  <c r="AS350" i="63"/>
  <c r="AT350" i="63"/>
  <c r="AU350" i="63"/>
  <c r="AW350" i="63"/>
  <c r="AX350" i="63"/>
  <c r="AY350" i="63"/>
  <c r="BA350" i="63"/>
  <c r="A351" i="63"/>
  <c r="B351" i="63"/>
  <c r="D351" i="63"/>
  <c r="E351" i="63"/>
  <c r="F351" i="63"/>
  <c r="G351" i="63"/>
  <c r="H351" i="63"/>
  <c r="J351" i="63"/>
  <c r="K351" i="63"/>
  <c r="L351" i="63"/>
  <c r="M351" i="63"/>
  <c r="O351" i="63"/>
  <c r="P351" i="63"/>
  <c r="R351" i="63"/>
  <c r="S351" i="63"/>
  <c r="T351" i="63"/>
  <c r="U351" i="63"/>
  <c r="V351" i="63"/>
  <c r="W351" i="63"/>
  <c r="X351" i="63"/>
  <c r="Z351" i="63"/>
  <c r="AA351" i="63"/>
  <c r="AB351" i="63"/>
  <c r="AC351" i="63"/>
  <c r="AD351" i="63"/>
  <c r="AE351" i="63"/>
  <c r="AF351" i="63"/>
  <c r="AG351" i="63"/>
  <c r="AH351" i="63"/>
  <c r="AI351" i="63"/>
  <c r="AJ351" i="63"/>
  <c r="AK351" i="63"/>
  <c r="AL351" i="63"/>
  <c r="AM351" i="63"/>
  <c r="AN351" i="63"/>
  <c r="AO351" i="63"/>
  <c r="AP351" i="63"/>
  <c r="AQ351" i="63"/>
  <c r="AR351" i="63"/>
  <c r="AS351" i="63"/>
  <c r="AT351" i="63"/>
  <c r="AU351" i="63"/>
  <c r="AW351" i="63"/>
  <c r="AX351" i="63"/>
  <c r="AY351" i="63"/>
  <c r="BA351" i="63"/>
  <c r="A352" i="63"/>
  <c r="B352" i="63"/>
  <c r="D352" i="63"/>
  <c r="E352" i="63"/>
  <c r="F352" i="63"/>
  <c r="G352" i="63"/>
  <c r="H352" i="63"/>
  <c r="J352" i="63"/>
  <c r="K352" i="63"/>
  <c r="L352" i="63"/>
  <c r="M352" i="63"/>
  <c r="O352" i="63"/>
  <c r="P352" i="63"/>
  <c r="R352" i="63"/>
  <c r="S352" i="63"/>
  <c r="T352" i="63"/>
  <c r="U352" i="63"/>
  <c r="V352" i="63"/>
  <c r="W352" i="63"/>
  <c r="X352" i="63"/>
  <c r="Z352" i="63"/>
  <c r="AA352" i="63"/>
  <c r="AB352" i="63"/>
  <c r="AC352" i="63"/>
  <c r="AD352" i="63"/>
  <c r="AE352" i="63"/>
  <c r="AF352" i="63"/>
  <c r="AG352" i="63"/>
  <c r="AH352" i="63"/>
  <c r="AI352" i="63"/>
  <c r="AJ352" i="63"/>
  <c r="AK352" i="63"/>
  <c r="AL352" i="63"/>
  <c r="AM352" i="63"/>
  <c r="AN352" i="63"/>
  <c r="AO352" i="63"/>
  <c r="AP352" i="63"/>
  <c r="AQ352" i="63"/>
  <c r="AR352" i="63"/>
  <c r="AS352" i="63"/>
  <c r="AT352" i="63"/>
  <c r="AU352" i="63"/>
  <c r="AW352" i="63"/>
  <c r="AX352" i="63"/>
  <c r="AY352" i="63"/>
  <c r="BA352" i="63"/>
  <c r="A353" i="63"/>
  <c r="B353" i="63"/>
  <c r="D353" i="63"/>
  <c r="E353" i="63"/>
  <c r="F353" i="63"/>
  <c r="G353" i="63"/>
  <c r="H353" i="63"/>
  <c r="J353" i="63"/>
  <c r="K353" i="63"/>
  <c r="L353" i="63"/>
  <c r="M353" i="63"/>
  <c r="O353" i="63"/>
  <c r="P353" i="63"/>
  <c r="R353" i="63"/>
  <c r="S353" i="63"/>
  <c r="T353" i="63"/>
  <c r="U353" i="63"/>
  <c r="V353" i="63"/>
  <c r="W353" i="63"/>
  <c r="X353" i="63"/>
  <c r="Z353" i="63"/>
  <c r="AA353" i="63"/>
  <c r="AB353" i="63"/>
  <c r="AC353" i="63"/>
  <c r="AD353" i="63"/>
  <c r="AE353" i="63"/>
  <c r="AF353" i="63"/>
  <c r="AG353" i="63"/>
  <c r="AH353" i="63"/>
  <c r="AI353" i="63"/>
  <c r="AJ353" i="63"/>
  <c r="AK353" i="63"/>
  <c r="AL353" i="63"/>
  <c r="AM353" i="63"/>
  <c r="AN353" i="63"/>
  <c r="AO353" i="63"/>
  <c r="AP353" i="63"/>
  <c r="AQ353" i="63"/>
  <c r="AR353" i="63"/>
  <c r="AS353" i="63"/>
  <c r="AT353" i="63"/>
  <c r="AU353" i="63"/>
  <c r="AW353" i="63"/>
  <c r="AX353" i="63"/>
  <c r="AY353" i="63"/>
  <c r="BA353" i="63"/>
  <c r="A354" i="63"/>
  <c r="B354" i="63"/>
  <c r="D354" i="63"/>
  <c r="E354" i="63"/>
  <c r="F354" i="63"/>
  <c r="G354" i="63"/>
  <c r="H354" i="63"/>
  <c r="J354" i="63"/>
  <c r="K354" i="63"/>
  <c r="L354" i="63"/>
  <c r="M354" i="63"/>
  <c r="O354" i="63"/>
  <c r="P354" i="63"/>
  <c r="R354" i="63"/>
  <c r="S354" i="63"/>
  <c r="T354" i="63"/>
  <c r="U354" i="63"/>
  <c r="V354" i="63"/>
  <c r="W354" i="63"/>
  <c r="X354" i="63"/>
  <c r="Z354" i="63"/>
  <c r="AA354" i="63"/>
  <c r="AB354" i="63"/>
  <c r="AC354" i="63"/>
  <c r="AD354" i="63"/>
  <c r="AE354" i="63"/>
  <c r="AF354" i="63"/>
  <c r="AG354" i="63"/>
  <c r="AH354" i="63"/>
  <c r="AI354" i="63"/>
  <c r="AJ354" i="63"/>
  <c r="AK354" i="63"/>
  <c r="AL354" i="63"/>
  <c r="AM354" i="63"/>
  <c r="AN354" i="63"/>
  <c r="AO354" i="63"/>
  <c r="AP354" i="63"/>
  <c r="AQ354" i="63"/>
  <c r="AR354" i="63"/>
  <c r="AS354" i="63"/>
  <c r="AT354" i="63"/>
  <c r="AU354" i="63"/>
  <c r="AW354" i="63"/>
  <c r="AX354" i="63"/>
  <c r="AY354" i="63"/>
  <c r="BA354" i="63"/>
  <c r="A355" i="63"/>
  <c r="B355" i="63"/>
  <c r="D355" i="63"/>
  <c r="E355" i="63"/>
  <c r="F355" i="63"/>
  <c r="G355" i="63"/>
  <c r="H355" i="63"/>
  <c r="J355" i="63"/>
  <c r="K355" i="63"/>
  <c r="L355" i="63"/>
  <c r="M355" i="63"/>
  <c r="O355" i="63"/>
  <c r="P355" i="63"/>
  <c r="R355" i="63"/>
  <c r="S355" i="63"/>
  <c r="T355" i="63"/>
  <c r="U355" i="63"/>
  <c r="V355" i="63"/>
  <c r="W355" i="63"/>
  <c r="X355" i="63"/>
  <c r="Z355" i="63"/>
  <c r="AA355" i="63"/>
  <c r="AB355" i="63"/>
  <c r="AC355" i="63"/>
  <c r="AD355" i="63"/>
  <c r="AE355" i="63"/>
  <c r="AF355" i="63"/>
  <c r="AG355" i="63"/>
  <c r="AH355" i="63"/>
  <c r="AI355" i="63"/>
  <c r="AJ355" i="63"/>
  <c r="AK355" i="63"/>
  <c r="AL355" i="63"/>
  <c r="AM355" i="63"/>
  <c r="AN355" i="63"/>
  <c r="AO355" i="63"/>
  <c r="AP355" i="63"/>
  <c r="AQ355" i="63"/>
  <c r="AR355" i="63"/>
  <c r="AS355" i="63"/>
  <c r="AT355" i="63"/>
  <c r="AU355" i="63"/>
  <c r="AW355" i="63"/>
  <c r="AX355" i="63"/>
  <c r="AY355" i="63"/>
  <c r="BA355" i="63"/>
  <c r="A356" i="63"/>
  <c r="B356" i="63"/>
  <c r="D356" i="63"/>
  <c r="E356" i="63"/>
  <c r="F356" i="63"/>
  <c r="G356" i="63"/>
  <c r="H356" i="63"/>
  <c r="J356" i="63"/>
  <c r="K356" i="63"/>
  <c r="L356" i="63"/>
  <c r="M356" i="63"/>
  <c r="O356" i="63"/>
  <c r="P356" i="63"/>
  <c r="R356" i="63"/>
  <c r="S356" i="63"/>
  <c r="T356" i="63"/>
  <c r="U356" i="63"/>
  <c r="V356" i="63"/>
  <c r="W356" i="63"/>
  <c r="X356" i="63"/>
  <c r="Z356" i="63"/>
  <c r="AA356" i="63"/>
  <c r="AB356" i="63"/>
  <c r="AC356" i="63"/>
  <c r="AD356" i="63"/>
  <c r="AE356" i="63"/>
  <c r="AF356" i="63"/>
  <c r="AG356" i="63"/>
  <c r="AH356" i="63"/>
  <c r="AI356" i="63"/>
  <c r="AJ356" i="63"/>
  <c r="AK356" i="63"/>
  <c r="AL356" i="63"/>
  <c r="AM356" i="63"/>
  <c r="AN356" i="63"/>
  <c r="AO356" i="63"/>
  <c r="AP356" i="63"/>
  <c r="AQ356" i="63"/>
  <c r="AR356" i="63"/>
  <c r="AS356" i="63"/>
  <c r="AT356" i="63"/>
  <c r="AU356" i="63"/>
  <c r="AW356" i="63"/>
  <c r="AX356" i="63"/>
  <c r="AY356" i="63"/>
  <c r="BA356" i="63"/>
  <c r="A357" i="63"/>
  <c r="B357" i="63"/>
  <c r="D357" i="63"/>
  <c r="E357" i="63"/>
  <c r="F357" i="63"/>
  <c r="G357" i="63"/>
  <c r="H357" i="63"/>
  <c r="J357" i="63"/>
  <c r="K357" i="63"/>
  <c r="L357" i="63"/>
  <c r="M357" i="63"/>
  <c r="O357" i="63"/>
  <c r="P357" i="63"/>
  <c r="R357" i="63"/>
  <c r="S357" i="63"/>
  <c r="T357" i="63"/>
  <c r="U357" i="63"/>
  <c r="V357" i="63"/>
  <c r="W357" i="63"/>
  <c r="X357" i="63"/>
  <c r="Z357" i="63"/>
  <c r="AA357" i="63"/>
  <c r="AB357" i="63"/>
  <c r="AC357" i="63"/>
  <c r="AD357" i="63"/>
  <c r="AE357" i="63"/>
  <c r="AF357" i="63"/>
  <c r="AG357" i="63"/>
  <c r="AH357" i="63"/>
  <c r="AI357" i="63"/>
  <c r="AJ357" i="63"/>
  <c r="AK357" i="63"/>
  <c r="AL357" i="63"/>
  <c r="AM357" i="63"/>
  <c r="AN357" i="63"/>
  <c r="AO357" i="63"/>
  <c r="AP357" i="63"/>
  <c r="AQ357" i="63"/>
  <c r="AR357" i="63"/>
  <c r="AS357" i="63"/>
  <c r="AT357" i="63"/>
  <c r="AU357" i="63"/>
  <c r="AW357" i="63"/>
  <c r="AX357" i="63"/>
  <c r="AY357" i="63"/>
  <c r="BA357" i="63"/>
  <c r="A358" i="63"/>
  <c r="B358" i="63"/>
  <c r="D358" i="63"/>
  <c r="E358" i="63"/>
  <c r="F358" i="63"/>
  <c r="G358" i="63"/>
  <c r="H358" i="63"/>
  <c r="J358" i="63"/>
  <c r="K358" i="63"/>
  <c r="L358" i="63"/>
  <c r="M358" i="63"/>
  <c r="O358" i="63"/>
  <c r="P358" i="63"/>
  <c r="R358" i="63"/>
  <c r="S358" i="63"/>
  <c r="T358" i="63"/>
  <c r="U358" i="63"/>
  <c r="V358" i="63"/>
  <c r="W358" i="63"/>
  <c r="X358" i="63"/>
  <c r="Z358" i="63"/>
  <c r="AA358" i="63"/>
  <c r="AB358" i="63"/>
  <c r="AC358" i="63"/>
  <c r="AD358" i="63"/>
  <c r="AE358" i="63"/>
  <c r="AF358" i="63"/>
  <c r="AG358" i="63"/>
  <c r="AH358" i="63"/>
  <c r="AI358" i="63"/>
  <c r="AJ358" i="63"/>
  <c r="AK358" i="63"/>
  <c r="AL358" i="63"/>
  <c r="AM358" i="63"/>
  <c r="AN358" i="63"/>
  <c r="AO358" i="63"/>
  <c r="AP358" i="63"/>
  <c r="AQ358" i="63"/>
  <c r="AR358" i="63"/>
  <c r="AS358" i="63"/>
  <c r="AT358" i="63"/>
  <c r="AU358" i="63"/>
  <c r="AW358" i="63"/>
  <c r="AX358" i="63"/>
  <c r="AY358" i="63"/>
  <c r="BA358" i="63"/>
  <c r="A359" i="63"/>
  <c r="B359" i="63"/>
  <c r="D359" i="63"/>
  <c r="E359" i="63"/>
  <c r="F359" i="63"/>
  <c r="G359" i="63"/>
  <c r="H359" i="63"/>
  <c r="J359" i="63"/>
  <c r="K359" i="63"/>
  <c r="L359" i="63"/>
  <c r="M359" i="63"/>
  <c r="O359" i="63"/>
  <c r="P359" i="63"/>
  <c r="R359" i="63"/>
  <c r="S359" i="63"/>
  <c r="T359" i="63"/>
  <c r="U359" i="63"/>
  <c r="V359" i="63"/>
  <c r="W359" i="63"/>
  <c r="X359" i="63"/>
  <c r="Z359" i="63"/>
  <c r="AA359" i="63"/>
  <c r="AB359" i="63"/>
  <c r="AC359" i="63"/>
  <c r="AD359" i="63"/>
  <c r="AE359" i="63"/>
  <c r="AF359" i="63"/>
  <c r="AG359" i="63"/>
  <c r="AH359" i="63"/>
  <c r="AI359" i="63"/>
  <c r="AJ359" i="63"/>
  <c r="AK359" i="63"/>
  <c r="AL359" i="63"/>
  <c r="AM359" i="63"/>
  <c r="AN359" i="63"/>
  <c r="AO359" i="63"/>
  <c r="AP359" i="63"/>
  <c r="AQ359" i="63"/>
  <c r="AR359" i="63"/>
  <c r="AS359" i="63"/>
  <c r="AT359" i="63"/>
  <c r="AU359" i="63"/>
  <c r="AW359" i="63"/>
  <c r="AX359" i="63"/>
  <c r="AY359" i="63"/>
  <c r="BA359" i="63"/>
  <c r="A360" i="63"/>
  <c r="B360" i="63"/>
  <c r="D360" i="63"/>
  <c r="E360" i="63"/>
  <c r="F360" i="63"/>
  <c r="G360" i="63"/>
  <c r="H360" i="63"/>
  <c r="J360" i="63"/>
  <c r="K360" i="63"/>
  <c r="L360" i="63"/>
  <c r="M360" i="63"/>
  <c r="O360" i="63"/>
  <c r="P360" i="63"/>
  <c r="R360" i="63"/>
  <c r="S360" i="63"/>
  <c r="T360" i="63"/>
  <c r="U360" i="63"/>
  <c r="V360" i="63"/>
  <c r="W360" i="63"/>
  <c r="X360" i="63"/>
  <c r="Z360" i="63"/>
  <c r="AA360" i="63"/>
  <c r="AB360" i="63"/>
  <c r="AC360" i="63"/>
  <c r="AD360" i="63"/>
  <c r="AE360" i="63"/>
  <c r="AF360" i="63"/>
  <c r="AG360" i="63"/>
  <c r="AH360" i="63"/>
  <c r="AI360" i="63"/>
  <c r="AJ360" i="63"/>
  <c r="AK360" i="63"/>
  <c r="AL360" i="63"/>
  <c r="AM360" i="63"/>
  <c r="AN360" i="63"/>
  <c r="AO360" i="63"/>
  <c r="AP360" i="63"/>
  <c r="AQ360" i="63"/>
  <c r="AR360" i="63"/>
  <c r="AS360" i="63"/>
  <c r="AT360" i="63"/>
  <c r="AU360" i="63"/>
  <c r="AW360" i="63"/>
  <c r="AX360" i="63"/>
  <c r="AY360" i="63"/>
  <c r="BA360" i="63"/>
  <c r="A361" i="63"/>
  <c r="B361" i="63"/>
  <c r="D361" i="63"/>
  <c r="E361" i="63"/>
  <c r="F361" i="63"/>
  <c r="G361" i="63"/>
  <c r="H361" i="63"/>
  <c r="J361" i="63"/>
  <c r="K361" i="63"/>
  <c r="L361" i="63"/>
  <c r="M361" i="63"/>
  <c r="O361" i="63"/>
  <c r="P361" i="63"/>
  <c r="R361" i="63"/>
  <c r="S361" i="63"/>
  <c r="T361" i="63"/>
  <c r="U361" i="63"/>
  <c r="V361" i="63"/>
  <c r="W361" i="63"/>
  <c r="X361" i="63"/>
  <c r="Z361" i="63"/>
  <c r="AA361" i="63"/>
  <c r="AB361" i="63"/>
  <c r="AC361" i="63"/>
  <c r="AD361" i="63"/>
  <c r="AE361" i="63"/>
  <c r="AF361" i="63"/>
  <c r="AG361" i="63"/>
  <c r="AH361" i="63"/>
  <c r="AI361" i="63"/>
  <c r="AJ361" i="63"/>
  <c r="AK361" i="63"/>
  <c r="AL361" i="63"/>
  <c r="AM361" i="63"/>
  <c r="AN361" i="63"/>
  <c r="AO361" i="63"/>
  <c r="AP361" i="63"/>
  <c r="AQ361" i="63"/>
  <c r="AR361" i="63"/>
  <c r="AS361" i="63"/>
  <c r="AT361" i="63"/>
  <c r="AU361" i="63"/>
  <c r="AW361" i="63"/>
  <c r="AX361" i="63"/>
  <c r="AY361" i="63"/>
  <c r="BA361" i="63"/>
  <c r="A362" i="63"/>
  <c r="B362" i="63"/>
  <c r="D362" i="63"/>
  <c r="E362" i="63"/>
  <c r="F362" i="63"/>
  <c r="G362" i="63"/>
  <c r="H362" i="63"/>
  <c r="J362" i="63"/>
  <c r="K362" i="63"/>
  <c r="L362" i="63"/>
  <c r="M362" i="63"/>
  <c r="O362" i="63"/>
  <c r="P362" i="63"/>
  <c r="R362" i="63"/>
  <c r="S362" i="63"/>
  <c r="T362" i="63"/>
  <c r="U362" i="63"/>
  <c r="V362" i="63"/>
  <c r="W362" i="63"/>
  <c r="X362" i="63"/>
  <c r="Z362" i="63"/>
  <c r="AA362" i="63"/>
  <c r="AB362" i="63"/>
  <c r="AC362" i="63"/>
  <c r="AD362" i="63"/>
  <c r="AE362" i="63"/>
  <c r="AF362" i="63"/>
  <c r="AG362" i="63"/>
  <c r="AH362" i="63"/>
  <c r="AI362" i="63"/>
  <c r="AJ362" i="63"/>
  <c r="AK362" i="63"/>
  <c r="AL362" i="63"/>
  <c r="AM362" i="63"/>
  <c r="AN362" i="63"/>
  <c r="AO362" i="63"/>
  <c r="AP362" i="63"/>
  <c r="AQ362" i="63"/>
  <c r="AR362" i="63"/>
  <c r="AS362" i="63"/>
  <c r="AT362" i="63"/>
  <c r="AU362" i="63"/>
  <c r="AW362" i="63"/>
  <c r="AX362" i="63"/>
  <c r="AY362" i="63"/>
  <c r="BA362" i="63"/>
  <c r="A363" i="63"/>
  <c r="B363" i="63"/>
  <c r="D363" i="63"/>
  <c r="E363" i="63"/>
  <c r="F363" i="63"/>
  <c r="G363" i="63"/>
  <c r="H363" i="63"/>
  <c r="J363" i="63"/>
  <c r="K363" i="63"/>
  <c r="L363" i="63"/>
  <c r="M363" i="63"/>
  <c r="O363" i="63"/>
  <c r="P363" i="63"/>
  <c r="R363" i="63"/>
  <c r="S363" i="63"/>
  <c r="T363" i="63"/>
  <c r="U363" i="63"/>
  <c r="V363" i="63"/>
  <c r="W363" i="63"/>
  <c r="X363" i="63"/>
  <c r="Z363" i="63"/>
  <c r="AA363" i="63"/>
  <c r="AB363" i="63"/>
  <c r="AC363" i="63"/>
  <c r="AD363" i="63"/>
  <c r="AE363" i="63"/>
  <c r="AF363" i="63"/>
  <c r="AG363" i="63"/>
  <c r="AH363" i="63"/>
  <c r="AI363" i="63"/>
  <c r="AJ363" i="63"/>
  <c r="AK363" i="63"/>
  <c r="AL363" i="63"/>
  <c r="AM363" i="63"/>
  <c r="AN363" i="63"/>
  <c r="AO363" i="63"/>
  <c r="AP363" i="63"/>
  <c r="AQ363" i="63"/>
  <c r="AR363" i="63"/>
  <c r="AS363" i="63"/>
  <c r="AT363" i="63"/>
  <c r="AU363" i="63"/>
  <c r="AW363" i="63"/>
  <c r="AX363" i="63"/>
  <c r="AY363" i="63"/>
  <c r="BA363" i="63"/>
  <c r="A364" i="63"/>
  <c r="B364" i="63"/>
  <c r="D364" i="63"/>
  <c r="E364" i="63"/>
  <c r="F364" i="63"/>
  <c r="G364" i="63"/>
  <c r="H364" i="63"/>
  <c r="J364" i="63"/>
  <c r="K364" i="63"/>
  <c r="L364" i="63"/>
  <c r="M364" i="63"/>
  <c r="O364" i="63"/>
  <c r="P364" i="63"/>
  <c r="R364" i="63"/>
  <c r="S364" i="63"/>
  <c r="T364" i="63"/>
  <c r="U364" i="63"/>
  <c r="V364" i="63"/>
  <c r="W364" i="63"/>
  <c r="X364" i="63"/>
  <c r="Z364" i="63"/>
  <c r="AA364" i="63"/>
  <c r="AB364" i="63"/>
  <c r="AC364" i="63"/>
  <c r="AD364" i="63"/>
  <c r="AE364" i="63"/>
  <c r="AF364" i="63"/>
  <c r="AG364" i="63"/>
  <c r="AH364" i="63"/>
  <c r="AI364" i="63"/>
  <c r="AJ364" i="63"/>
  <c r="AK364" i="63"/>
  <c r="AL364" i="63"/>
  <c r="AM364" i="63"/>
  <c r="AN364" i="63"/>
  <c r="AO364" i="63"/>
  <c r="AP364" i="63"/>
  <c r="AQ364" i="63"/>
  <c r="AR364" i="63"/>
  <c r="AS364" i="63"/>
  <c r="AT364" i="63"/>
  <c r="AU364" i="63"/>
  <c r="AW364" i="63"/>
  <c r="AX364" i="63"/>
  <c r="AY364" i="63"/>
  <c r="BA364" i="63"/>
  <c r="A365" i="63"/>
  <c r="B365" i="63"/>
  <c r="D365" i="63"/>
  <c r="E365" i="63"/>
  <c r="F365" i="63"/>
  <c r="G365" i="63"/>
  <c r="H365" i="63"/>
  <c r="J365" i="63"/>
  <c r="K365" i="63"/>
  <c r="L365" i="63"/>
  <c r="M365" i="63"/>
  <c r="O365" i="63"/>
  <c r="P365" i="63"/>
  <c r="R365" i="63"/>
  <c r="S365" i="63"/>
  <c r="T365" i="63"/>
  <c r="U365" i="63"/>
  <c r="V365" i="63"/>
  <c r="W365" i="63"/>
  <c r="X365" i="63"/>
  <c r="Z365" i="63"/>
  <c r="AA365" i="63"/>
  <c r="AB365" i="63"/>
  <c r="AC365" i="63"/>
  <c r="AD365" i="63"/>
  <c r="AE365" i="63"/>
  <c r="AF365" i="63"/>
  <c r="AG365" i="63"/>
  <c r="AH365" i="63"/>
  <c r="AI365" i="63"/>
  <c r="AJ365" i="63"/>
  <c r="AK365" i="63"/>
  <c r="AL365" i="63"/>
  <c r="AM365" i="63"/>
  <c r="AN365" i="63"/>
  <c r="AO365" i="63"/>
  <c r="AP365" i="63"/>
  <c r="AQ365" i="63"/>
  <c r="AR365" i="63"/>
  <c r="AS365" i="63"/>
  <c r="AT365" i="63"/>
  <c r="AU365" i="63"/>
  <c r="AW365" i="63"/>
  <c r="AX365" i="63"/>
  <c r="AY365" i="63"/>
  <c r="BA365" i="63"/>
  <c r="A366" i="63"/>
  <c r="B366" i="63"/>
  <c r="D366" i="63"/>
  <c r="E366" i="63"/>
  <c r="F366" i="63"/>
  <c r="G366" i="63"/>
  <c r="H366" i="63"/>
  <c r="J366" i="63"/>
  <c r="K366" i="63"/>
  <c r="L366" i="63"/>
  <c r="M366" i="63"/>
  <c r="O366" i="63"/>
  <c r="P366" i="63"/>
  <c r="R366" i="63"/>
  <c r="S366" i="63"/>
  <c r="T366" i="63"/>
  <c r="U366" i="63"/>
  <c r="V366" i="63"/>
  <c r="W366" i="63"/>
  <c r="X366" i="63"/>
  <c r="Z366" i="63"/>
  <c r="AA366" i="63"/>
  <c r="AB366" i="63"/>
  <c r="AC366" i="63"/>
  <c r="AD366" i="63"/>
  <c r="AE366" i="63"/>
  <c r="AF366" i="63"/>
  <c r="AG366" i="63"/>
  <c r="AH366" i="63"/>
  <c r="AI366" i="63"/>
  <c r="AJ366" i="63"/>
  <c r="AK366" i="63"/>
  <c r="AL366" i="63"/>
  <c r="AM366" i="63"/>
  <c r="AN366" i="63"/>
  <c r="AO366" i="63"/>
  <c r="AP366" i="63"/>
  <c r="AQ366" i="63"/>
  <c r="AR366" i="63"/>
  <c r="AS366" i="63"/>
  <c r="AT366" i="63"/>
  <c r="AU366" i="63"/>
  <c r="AW366" i="63"/>
  <c r="AX366" i="63"/>
  <c r="AY366" i="63"/>
  <c r="BA366" i="63"/>
  <c r="A367" i="63"/>
  <c r="B367" i="63"/>
  <c r="D367" i="63"/>
  <c r="E367" i="63"/>
  <c r="F367" i="63"/>
  <c r="G367" i="63"/>
  <c r="H367" i="63"/>
  <c r="J367" i="63"/>
  <c r="K367" i="63"/>
  <c r="L367" i="63"/>
  <c r="M367" i="63"/>
  <c r="O367" i="63"/>
  <c r="P367" i="63"/>
  <c r="R367" i="63"/>
  <c r="S367" i="63"/>
  <c r="T367" i="63"/>
  <c r="U367" i="63"/>
  <c r="V367" i="63"/>
  <c r="W367" i="63"/>
  <c r="X367" i="63"/>
  <c r="Z367" i="63"/>
  <c r="AA367" i="63"/>
  <c r="AB367" i="63"/>
  <c r="AC367" i="63"/>
  <c r="AD367" i="63"/>
  <c r="AE367" i="63"/>
  <c r="AF367" i="63"/>
  <c r="AG367" i="63"/>
  <c r="AH367" i="63"/>
  <c r="AI367" i="63"/>
  <c r="AJ367" i="63"/>
  <c r="AK367" i="63"/>
  <c r="AL367" i="63"/>
  <c r="AM367" i="63"/>
  <c r="AN367" i="63"/>
  <c r="AO367" i="63"/>
  <c r="AP367" i="63"/>
  <c r="AQ367" i="63"/>
  <c r="AR367" i="63"/>
  <c r="AS367" i="63"/>
  <c r="AT367" i="63"/>
  <c r="AU367" i="63"/>
  <c r="AW367" i="63"/>
  <c r="AX367" i="63"/>
  <c r="AY367" i="63"/>
  <c r="BA367" i="63"/>
  <c r="A368" i="63"/>
  <c r="B368" i="63"/>
  <c r="D368" i="63"/>
  <c r="E368" i="63"/>
  <c r="F368" i="63"/>
  <c r="G368" i="63"/>
  <c r="H368" i="63"/>
  <c r="J368" i="63"/>
  <c r="K368" i="63"/>
  <c r="L368" i="63"/>
  <c r="M368" i="63"/>
  <c r="O368" i="63"/>
  <c r="P368" i="63"/>
  <c r="R368" i="63"/>
  <c r="S368" i="63"/>
  <c r="T368" i="63"/>
  <c r="U368" i="63"/>
  <c r="V368" i="63"/>
  <c r="W368" i="63"/>
  <c r="X368" i="63"/>
  <c r="Z368" i="63"/>
  <c r="AA368" i="63"/>
  <c r="AB368" i="63"/>
  <c r="AC368" i="63"/>
  <c r="AD368" i="63"/>
  <c r="AE368" i="63"/>
  <c r="AF368" i="63"/>
  <c r="AG368" i="63"/>
  <c r="AH368" i="63"/>
  <c r="AI368" i="63"/>
  <c r="AJ368" i="63"/>
  <c r="AK368" i="63"/>
  <c r="AL368" i="63"/>
  <c r="AM368" i="63"/>
  <c r="AN368" i="63"/>
  <c r="AO368" i="63"/>
  <c r="AP368" i="63"/>
  <c r="AQ368" i="63"/>
  <c r="AR368" i="63"/>
  <c r="AS368" i="63"/>
  <c r="AT368" i="63"/>
  <c r="AU368" i="63"/>
  <c r="AW368" i="63"/>
  <c r="AX368" i="63"/>
  <c r="AY368" i="63"/>
  <c r="BA368" i="63"/>
  <c r="A369" i="63"/>
  <c r="B369" i="63"/>
  <c r="D369" i="63"/>
  <c r="E369" i="63"/>
  <c r="F369" i="63"/>
  <c r="G369" i="63"/>
  <c r="H369" i="63"/>
  <c r="J369" i="63"/>
  <c r="K369" i="63"/>
  <c r="L369" i="63"/>
  <c r="M369" i="63"/>
  <c r="O369" i="63"/>
  <c r="P369" i="63"/>
  <c r="R369" i="63"/>
  <c r="S369" i="63"/>
  <c r="T369" i="63"/>
  <c r="U369" i="63"/>
  <c r="V369" i="63"/>
  <c r="W369" i="63"/>
  <c r="X369" i="63"/>
  <c r="Z369" i="63"/>
  <c r="AA369" i="63"/>
  <c r="AB369" i="63"/>
  <c r="AC369" i="63"/>
  <c r="AD369" i="63"/>
  <c r="AE369" i="63"/>
  <c r="AF369" i="63"/>
  <c r="AG369" i="63"/>
  <c r="AH369" i="63"/>
  <c r="AI369" i="63"/>
  <c r="AJ369" i="63"/>
  <c r="AK369" i="63"/>
  <c r="AL369" i="63"/>
  <c r="AM369" i="63"/>
  <c r="AN369" i="63"/>
  <c r="AO369" i="63"/>
  <c r="AP369" i="63"/>
  <c r="AQ369" i="63"/>
  <c r="AR369" i="63"/>
  <c r="AS369" i="63"/>
  <c r="AT369" i="63"/>
  <c r="AU369" i="63"/>
  <c r="AW369" i="63"/>
  <c r="AX369" i="63"/>
  <c r="AY369" i="63"/>
  <c r="BA369" i="63"/>
  <c r="A370" i="63"/>
  <c r="B370" i="63"/>
  <c r="D370" i="63"/>
  <c r="E370" i="63"/>
  <c r="F370" i="63"/>
  <c r="G370" i="63"/>
  <c r="H370" i="63"/>
  <c r="J370" i="63"/>
  <c r="K370" i="63"/>
  <c r="L370" i="63"/>
  <c r="M370" i="63"/>
  <c r="O370" i="63"/>
  <c r="P370" i="63"/>
  <c r="R370" i="63"/>
  <c r="S370" i="63"/>
  <c r="T370" i="63"/>
  <c r="U370" i="63"/>
  <c r="V370" i="63"/>
  <c r="W370" i="63"/>
  <c r="X370" i="63"/>
  <c r="AO370" i="63"/>
  <c r="AP370" i="63"/>
  <c r="AQ370" i="63"/>
  <c r="AR370" i="63"/>
  <c r="AS370" i="63"/>
  <c r="AT370" i="63"/>
  <c r="AU370" i="63"/>
  <c r="AW370" i="63"/>
  <c r="AX370" i="63"/>
  <c r="AY370" i="63"/>
  <c r="BA370" i="63"/>
  <c r="A371" i="63"/>
  <c r="B371" i="63"/>
  <c r="D371" i="63"/>
  <c r="E371" i="63"/>
  <c r="F371" i="63"/>
  <c r="G371" i="63"/>
  <c r="H371" i="63"/>
  <c r="J371" i="63"/>
  <c r="K371" i="63"/>
  <c r="L371" i="63"/>
  <c r="M371" i="63"/>
  <c r="O371" i="63"/>
  <c r="P371" i="63"/>
  <c r="R371" i="63"/>
  <c r="S371" i="63"/>
  <c r="T371" i="63"/>
  <c r="U371" i="63"/>
  <c r="V371" i="63"/>
  <c r="W371" i="63"/>
  <c r="X371" i="63"/>
  <c r="AO371" i="63"/>
  <c r="AP371" i="63"/>
  <c r="AQ371" i="63"/>
  <c r="AR371" i="63"/>
  <c r="AS371" i="63"/>
  <c r="AT371" i="63"/>
  <c r="AU371" i="63"/>
  <c r="AW371" i="63"/>
  <c r="AX371" i="63"/>
  <c r="AY371" i="63"/>
  <c r="BA371" i="63"/>
  <c r="A372" i="63"/>
  <c r="B372" i="63"/>
  <c r="D372" i="63"/>
  <c r="E372" i="63"/>
  <c r="F372" i="63"/>
  <c r="G372" i="63"/>
  <c r="H372" i="63"/>
  <c r="J372" i="63"/>
  <c r="K372" i="63"/>
  <c r="L372" i="63"/>
  <c r="M372" i="63"/>
  <c r="O372" i="63"/>
  <c r="P372" i="63"/>
  <c r="R372" i="63"/>
  <c r="S372" i="63"/>
  <c r="T372" i="63"/>
  <c r="U372" i="63"/>
  <c r="V372" i="63"/>
  <c r="W372" i="63"/>
  <c r="X372" i="63"/>
  <c r="AO372" i="63"/>
  <c r="AP372" i="63"/>
  <c r="AQ372" i="63"/>
  <c r="AR372" i="63"/>
  <c r="AS372" i="63"/>
  <c r="AT372" i="63"/>
  <c r="AU372" i="63"/>
  <c r="AW372" i="63"/>
  <c r="AX372" i="63"/>
  <c r="AY372" i="63"/>
  <c r="BA372" i="63"/>
  <c r="A373" i="63"/>
  <c r="B373" i="63"/>
  <c r="D373" i="63"/>
  <c r="E373" i="63"/>
  <c r="F373" i="63"/>
  <c r="G373" i="63"/>
  <c r="H373" i="63"/>
  <c r="J373" i="63"/>
  <c r="K373" i="63"/>
  <c r="L373" i="63"/>
  <c r="M373" i="63"/>
  <c r="O373" i="63"/>
  <c r="P373" i="63"/>
  <c r="R373" i="63"/>
  <c r="S373" i="63"/>
  <c r="T373" i="63"/>
  <c r="U373" i="63"/>
  <c r="V373" i="63"/>
  <c r="W373" i="63"/>
  <c r="X373" i="63"/>
  <c r="AO373" i="63"/>
  <c r="AP373" i="63"/>
  <c r="AQ373" i="63"/>
  <c r="AR373" i="63"/>
  <c r="AS373" i="63"/>
  <c r="AT373" i="63"/>
  <c r="AU373" i="63"/>
  <c r="AW373" i="63"/>
  <c r="AX373" i="63"/>
  <c r="AY373" i="63"/>
  <c r="BA373" i="63"/>
  <c r="A374" i="63"/>
  <c r="B374" i="63"/>
  <c r="D374" i="63"/>
  <c r="E374" i="63"/>
  <c r="F374" i="63"/>
  <c r="G374" i="63"/>
  <c r="H374" i="63"/>
  <c r="J374" i="63"/>
  <c r="K374" i="63"/>
  <c r="L374" i="63"/>
  <c r="M374" i="63"/>
  <c r="O374" i="63"/>
  <c r="P374" i="63"/>
  <c r="R374" i="63"/>
  <c r="S374" i="63"/>
  <c r="T374" i="63"/>
  <c r="U374" i="63"/>
  <c r="V374" i="63"/>
  <c r="W374" i="63"/>
  <c r="X374" i="63"/>
  <c r="AO374" i="63"/>
  <c r="AP374" i="63"/>
  <c r="AQ374" i="63"/>
  <c r="AR374" i="63"/>
  <c r="AS374" i="63"/>
  <c r="AT374" i="63"/>
  <c r="AU374" i="63"/>
  <c r="AW374" i="63"/>
  <c r="AX374" i="63"/>
  <c r="AY374" i="63"/>
  <c r="BA374" i="63"/>
  <c r="A375" i="63"/>
  <c r="B375" i="63"/>
  <c r="D375" i="63"/>
  <c r="E375" i="63"/>
  <c r="F375" i="63"/>
  <c r="G375" i="63"/>
  <c r="H375" i="63"/>
  <c r="J375" i="63"/>
  <c r="K375" i="63"/>
  <c r="L375" i="63"/>
  <c r="M375" i="63"/>
  <c r="O375" i="63"/>
  <c r="P375" i="63"/>
  <c r="R375" i="63"/>
  <c r="S375" i="63"/>
  <c r="T375" i="63"/>
  <c r="U375" i="63"/>
  <c r="V375" i="63"/>
  <c r="W375" i="63"/>
  <c r="X375" i="63"/>
  <c r="AO375" i="63"/>
  <c r="AP375" i="63"/>
  <c r="AQ375" i="63"/>
  <c r="AR375" i="63"/>
  <c r="AS375" i="63"/>
  <c r="AT375" i="63"/>
  <c r="AU375" i="63"/>
  <c r="AW375" i="63"/>
  <c r="AX375" i="63"/>
  <c r="AY375" i="63"/>
  <c r="BA375" i="63"/>
  <c r="A376" i="63"/>
  <c r="B376" i="63"/>
  <c r="D376" i="63"/>
  <c r="E376" i="63"/>
  <c r="F376" i="63"/>
  <c r="G376" i="63"/>
  <c r="H376" i="63"/>
  <c r="J376" i="63"/>
  <c r="K376" i="63"/>
  <c r="L376" i="63"/>
  <c r="M376" i="63"/>
  <c r="O376" i="63"/>
  <c r="P376" i="63"/>
  <c r="R376" i="63"/>
  <c r="S376" i="63"/>
  <c r="T376" i="63"/>
  <c r="U376" i="63"/>
  <c r="V376" i="63"/>
  <c r="W376" i="63"/>
  <c r="X376" i="63"/>
  <c r="AO376" i="63"/>
  <c r="AP376" i="63"/>
  <c r="AQ376" i="63"/>
  <c r="AR376" i="63"/>
  <c r="AS376" i="63"/>
  <c r="AT376" i="63"/>
  <c r="AU376" i="63"/>
  <c r="AW376" i="63"/>
  <c r="AX376" i="63"/>
  <c r="AY376" i="63"/>
  <c r="BA376" i="63"/>
  <c r="A377" i="63"/>
  <c r="B377" i="63"/>
  <c r="D377" i="63"/>
  <c r="E377" i="63"/>
  <c r="F377" i="63"/>
  <c r="G377" i="63"/>
  <c r="H377" i="63"/>
  <c r="J377" i="63"/>
  <c r="K377" i="63"/>
  <c r="L377" i="63"/>
  <c r="M377" i="63"/>
  <c r="O377" i="63"/>
  <c r="P377" i="63"/>
  <c r="R377" i="63"/>
  <c r="S377" i="63"/>
  <c r="T377" i="63"/>
  <c r="U377" i="63"/>
  <c r="V377" i="63"/>
  <c r="W377" i="63"/>
  <c r="X377" i="63"/>
  <c r="AO377" i="63"/>
  <c r="AP377" i="63"/>
  <c r="AQ377" i="63"/>
  <c r="AR377" i="63"/>
  <c r="AS377" i="63"/>
  <c r="AT377" i="63"/>
  <c r="AU377" i="63"/>
  <c r="AW377" i="63"/>
  <c r="AX377" i="63"/>
  <c r="AY377" i="63"/>
  <c r="BA377" i="63"/>
  <c r="A378" i="63"/>
  <c r="B378" i="63"/>
  <c r="D378" i="63"/>
  <c r="E378" i="63"/>
  <c r="F378" i="63"/>
  <c r="G378" i="63"/>
  <c r="H378" i="63"/>
  <c r="J378" i="63"/>
  <c r="K378" i="63"/>
  <c r="L378" i="63"/>
  <c r="M378" i="63"/>
  <c r="O378" i="63"/>
  <c r="P378" i="63"/>
  <c r="R378" i="63"/>
  <c r="S378" i="63"/>
  <c r="T378" i="63"/>
  <c r="U378" i="63"/>
  <c r="V378" i="63"/>
  <c r="W378" i="63"/>
  <c r="X378" i="63"/>
  <c r="AO378" i="63"/>
  <c r="AP378" i="63"/>
  <c r="AQ378" i="63"/>
  <c r="AR378" i="63"/>
  <c r="AS378" i="63"/>
  <c r="AT378" i="63"/>
  <c r="AU378" i="63"/>
  <c r="AW378" i="63"/>
  <c r="AX378" i="63"/>
  <c r="AY378" i="63"/>
  <c r="BA378" i="63"/>
  <c r="A379" i="63"/>
  <c r="B379" i="63"/>
  <c r="D379" i="63"/>
  <c r="E379" i="63"/>
  <c r="F379" i="63"/>
  <c r="G379" i="63"/>
  <c r="H379" i="63"/>
  <c r="J379" i="63"/>
  <c r="K379" i="63"/>
  <c r="L379" i="63"/>
  <c r="M379" i="63"/>
  <c r="O379" i="63"/>
  <c r="P379" i="63"/>
  <c r="R379" i="63"/>
  <c r="S379" i="63"/>
  <c r="T379" i="63"/>
  <c r="U379" i="63"/>
  <c r="V379" i="63"/>
  <c r="W379" i="63"/>
  <c r="X379" i="63"/>
  <c r="AO379" i="63"/>
  <c r="AP379" i="63"/>
  <c r="AQ379" i="63"/>
  <c r="AR379" i="63"/>
  <c r="AS379" i="63"/>
  <c r="AT379" i="63"/>
  <c r="AU379" i="63"/>
  <c r="AW379" i="63"/>
  <c r="AX379" i="63"/>
  <c r="AY379" i="63"/>
  <c r="BA379" i="63"/>
  <c r="A380" i="63"/>
  <c r="B380" i="63"/>
  <c r="D380" i="63"/>
  <c r="E380" i="63"/>
  <c r="F380" i="63"/>
  <c r="G380" i="63"/>
  <c r="H380" i="63"/>
  <c r="J380" i="63"/>
  <c r="K380" i="63"/>
  <c r="L380" i="63"/>
  <c r="M380" i="63"/>
  <c r="O380" i="63"/>
  <c r="P380" i="63"/>
  <c r="R380" i="63"/>
  <c r="S380" i="63"/>
  <c r="T380" i="63"/>
  <c r="U380" i="63"/>
  <c r="V380" i="63"/>
  <c r="W380" i="63"/>
  <c r="X380" i="63"/>
  <c r="AO380" i="63"/>
  <c r="AP380" i="63"/>
  <c r="AQ380" i="63"/>
  <c r="AR380" i="63"/>
  <c r="AS380" i="63"/>
  <c r="AT380" i="63"/>
  <c r="AU380" i="63"/>
  <c r="AW380" i="63"/>
  <c r="AX380" i="63"/>
  <c r="AY380" i="63"/>
  <c r="BA380" i="63"/>
  <c r="A381" i="63"/>
  <c r="B381" i="63"/>
  <c r="D381" i="63"/>
  <c r="E381" i="63"/>
  <c r="F381" i="63"/>
  <c r="G381" i="63"/>
  <c r="H381" i="63"/>
  <c r="J381" i="63"/>
  <c r="K381" i="63"/>
  <c r="L381" i="63"/>
  <c r="M381" i="63"/>
  <c r="O381" i="63"/>
  <c r="P381" i="63"/>
  <c r="R381" i="63"/>
  <c r="S381" i="63"/>
  <c r="T381" i="63"/>
  <c r="U381" i="63"/>
  <c r="V381" i="63"/>
  <c r="W381" i="63"/>
  <c r="X381" i="63"/>
  <c r="AO381" i="63"/>
  <c r="AP381" i="63"/>
  <c r="AQ381" i="63"/>
  <c r="AR381" i="63"/>
  <c r="AS381" i="63"/>
  <c r="AT381" i="63"/>
  <c r="AU381" i="63"/>
  <c r="AW381" i="63"/>
  <c r="AX381" i="63"/>
  <c r="AY381" i="63"/>
  <c r="BA381" i="63"/>
  <c r="A382" i="63"/>
  <c r="B382" i="63"/>
  <c r="D382" i="63"/>
  <c r="E382" i="63"/>
  <c r="F382" i="63"/>
  <c r="G382" i="63"/>
  <c r="H382" i="63"/>
  <c r="J382" i="63"/>
  <c r="K382" i="63"/>
  <c r="L382" i="63"/>
  <c r="M382" i="63"/>
  <c r="O382" i="63"/>
  <c r="P382" i="63"/>
  <c r="R382" i="63"/>
  <c r="S382" i="63"/>
  <c r="T382" i="63"/>
  <c r="U382" i="63"/>
  <c r="V382" i="63"/>
  <c r="W382" i="63"/>
  <c r="X382" i="63"/>
  <c r="AO382" i="63"/>
  <c r="AP382" i="63"/>
  <c r="AQ382" i="63"/>
  <c r="AR382" i="63"/>
  <c r="AS382" i="63"/>
  <c r="AT382" i="63"/>
  <c r="AU382" i="63"/>
  <c r="AW382" i="63"/>
  <c r="AX382" i="63"/>
  <c r="AY382" i="63"/>
  <c r="BA382" i="63"/>
  <c r="A383" i="63"/>
  <c r="B383" i="63"/>
  <c r="D383" i="63"/>
  <c r="E383" i="63"/>
  <c r="F383" i="63"/>
  <c r="G383" i="63"/>
  <c r="H383" i="63"/>
  <c r="J383" i="63"/>
  <c r="K383" i="63"/>
  <c r="L383" i="63"/>
  <c r="M383" i="63"/>
  <c r="O383" i="63"/>
  <c r="P383" i="63"/>
  <c r="R383" i="63"/>
  <c r="S383" i="63"/>
  <c r="T383" i="63"/>
  <c r="U383" i="63"/>
  <c r="V383" i="63"/>
  <c r="W383" i="63"/>
  <c r="X383" i="63"/>
  <c r="AO383" i="63"/>
  <c r="AP383" i="63"/>
  <c r="AQ383" i="63"/>
  <c r="AR383" i="63"/>
  <c r="AS383" i="63"/>
  <c r="AT383" i="63"/>
  <c r="AU383" i="63"/>
  <c r="AW383" i="63"/>
  <c r="AX383" i="63"/>
  <c r="AY383" i="63"/>
  <c r="BA383" i="63"/>
  <c r="A384" i="63"/>
  <c r="B384" i="63"/>
  <c r="D384" i="63"/>
  <c r="E384" i="63"/>
  <c r="F384" i="63"/>
  <c r="G384" i="63"/>
  <c r="H384" i="63"/>
  <c r="J384" i="63"/>
  <c r="K384" i="63"/>
  <c r="L384" i="63"/>
  <c r="M384" i="63"/>
  <c r="O384" i="63"/>
  <c r="P384" i="63"/>
  <c r="R384" i="63"/>
  <c r="S384" i="63"/>
  <c r="T384" i="63"/>
  <c r="U384" i="63"/>
  <c r="V384" i="63"/>
  <c r="W384" i="63"/>
  <c r="X384" i="63"/>
  <c r="AO384" i="63"/>
  <c r="AP384" i="63"/>
  <c r="AQ384" i="63"/>
  <c r="AR384" i="63"/>
  <c r="AS384" i="63"/>
  <c r="AT384" i="63"/>
  <c r="AU384" i="63"/>
  <c r="AW384" i="63"/>
  <c r="AX384" i="63"/>
  <c r="AY384" i="63"/>
  <c r="BA384" i="63"/>
  <c r="A385" i="63"/>
  <c r="B385" i="63"/>
  <c r="D385" i="63"/>
  <c r="E385" i="63"/>
  <c r="F385" i="63"/>
  <c r="G385" i="63"/>
  <c r="H385" i="63"/>
  <c r="J385" i="63"/>
  <c r="K385" i="63"/>
  <c r="L385" i="63"/>
  <c r="M385" i="63"/>
  <c r="O385" i="63"/>
  <c r="P385" i="63"/>
  <c r="R385" i="63"/>
  <c r="S385" i="63"/>
  <c r="T385" i="63"/>
  <c r="U385" i="63"/>
  <c r="V385" i="63"/>
  <c r="W385" i="63"/>
  <c r="X385" i="63"/>
  <c r="AO385" i="63"/>
  <c r="AP385" i="63"/>
  <c r="AQ385" i="63"/>
  <c r="AR385" i="63"/>
  <c r="AS385" i="63"/>
  <c r="AT385" i="63"/>
  <c r="AU385" i="63"/>
  <c r="AW385" i="63"/>
  <c r="AX385" i="63"/>
  <c r="AY385" i="63"/>
  <c r="BA385" i="63"/>
  <c r="A386" i="63"/>
  <c r="B386" i="63"/>
  <c r="D386" i="63"/>
  <c r="E386" i="63"/>
  <c r="F386" i="63"/>
  <c r="G386" i="63"/>
  <c r="H386" i="63"/>
  <c r="J386" i="63"/>
  <c r="K386" i="63"/>
  <c r="L386" i="63"/>
  <c r="M386" i="63"/>
  <c r="O386" i="63"/>
  <c r="P386" i="63"/>
  <c r="R386" i="63"/>
  <c r="S386" i="63"/>
  <c r="T386" i="63"/>
  <c r="U386" i="63"/>
  <c r="V386" i="63"/>
  <c r="W386" i="63"/>
  <c r="X386" i="63"/>
  <c r="AO386" i="63"/>
  <c r="AP386" i="63"/>
  <c r="AQ386" i="63"/>
  <c r="AR386" i="63"/>
  <c r="AS386" i="63"/>
  <c r="AT386" i="63"/>
  <c r="AU386" i="63"/>
  <c r="AW386" i="63"/>
  <c r="AX386" i="63"/>
  <c r="AY386" i="63"/>
  <c r="BA386" i="63"/>
  <c r="A387" i="63"/>
  <c r="B387" i="63"/>
  <c r="D387" i="63"/>
  <c r="E387" i="63"/>
  <c r="F387" i="63"/>
  <c r="G387" i="63"/>
  <c r="H387" i="63"/>
  <c r="J387" i="63"/>
  <c r="K387" i="63"/>
  <c r="L387" i="63"/>
  <c r="M387" i="63"/>
  <c r="O387" i="63"/>
  <c r="P387" i="63"/>
  <c r="R387" i="63"/>
  <c r="S387" i="63"/>
  <c r="T387" i="63"/>
  <c r="U387" i="63"/>
  <c r="V387" i="63"/>
  <c r="W387" i="63"/>
  <c r="X387" i="63"/>
  <c r="AO387" i="63"/>
  <c r="AP387" i="63"/>
  <c r="AQ387" i="63"/>
  <c r="AR387" i="63"/>
  <c r="AS387" i="63"/>
  <c r="AT387" i="63"/>
  <c r="AU387" i="63"/>
  <c r="AW387" i="63"/>
  <c r="AX387" i="63"/>
  <c r="AY387" i="63"/>
  <c r="BA387" i="63"/>
  <c r="A388" i="63"/>
  <c r="B388" i="63"/>
  <c r="D388" i="63"/>
  <c r="E388" i="63"/>
  <c r="F388" i="63"/>
  <c r="G388" i="63"/>
  <c r="H388" i="63"/>
  <c r="J388" i="63"/>
  <c r="K388" i="63"/>
  <c r="L388" i="63"/>
  <c r="M388" i="63"/>
  <c r="O388" i="63"/>
  <c r="P388" i="63"/>
  <c r="R388" i="63"/>
  <c r="S388" i="63"/>
  <c r="T388" i="63"/>
  <c r="U388" i="63"/>
  <c r="V388" i="63"/>
  <c r="W388" i="63"/>
  <c r="X388" i="63"/>
  <c r="AO388" i="63"/>
  <c r="AP388" i="63"/>
  <c r="AQ388" i="63"/>
  <c r="AR388" i="63"/>
  <c r="AS388" i="63"/>
  <c r="AT388" i="63"/>
  <c r="AU388" i="63"/>
  <c r="AW388" i="63"/>
  <c r="AX388" i="63"/>
  <c r="AY388" i="63"/>
  <c r="BA388" i="63"/>
  <c r="A389" i="63"/>
  <c r="B389" i="63"/>
  <c r="D389" i="63"/>
  <c r="E389" i="63"/>
  <c r="F389" i="63"/>
  <c r="G389" i="63"/>
  <c r="H389" i="63"/>
  <c r="J389" i="63"/>
  <c r="K389" i="63"/>
  <c r="L389" i="63"/>
  <c r="M389" i="63"/>
  <c r="O389" i="63"/>
  <c r="P389" i="63"/>
  <c r="R389" i="63"/>
  <c r="S389" i="63"/>
  <c r="T389" i="63"/>
  <c r="U389" i="63"/>
  <c r="V389" i="63"/>
  <c r="W389" i="63"/>
  <c r="X389" i="63"/>
  <c r="AO389" i="63"/>
  <c r="AP389" i="63"/>
  <c r="AQ389" i="63"/>
  <c r="AR389" i="63"/>
  <c r="AS389" i="63"/>
  <c r="AT389" i="63"/>
  <c r="AU389" i="63"/>
  <c r="AW389" i="63"/>
  <c r="AX389" i="63"/>
  <c r="AY389" i="63"/>
  <c r="BA389" i="63"/>
  <c r="A390" i="63"/>
  <c r="B390" i="63"/>
  <c r="D390" i="63"/>
  <c r="E390" i="63"/>
  <c r="F390" i="63"/>
  <c r="G390" i="63"/>
  <c r="H390" i="63"/>
  <c r="J390" i="63"/>
  <c r="K390" i="63"/>
  <c r="L390" i="63"/>
  <c r="M390" i="63"/>
  <c r="O390" i="63"/>
  <c r="P390" i="63"/>
  <c r="R390" i="63"/>
  <c r="S390" i="63"/>
  <c r="T390" i="63"/>
  <c r="U390" i="63"/>
  <c r="V390" i="63"/>
  <c r="W390" i="63"/>
  <c r="X390" i="63"/>
  <c r="AO390" i="63"/>
  <c r="AP390" i="63"/>
  <c r="AQ390" i="63"/>
  <c r="AR390" i="63"/>
  <c r="AS390" i="63"/>
  <c r="AT390" i="63"/>
  <c r="AU390" i="63"/>
  <c r="AW390" i="63"/>
  <c r="AX390" i="63"/>
  <c r="AY390" i="63"/>
  <c r="BA390" i="63"/>
  <c r="A391" i="63"/>
  <c r="B391" i="63"/>
  <c r="D391" i="63"/>
  <c r="E391" i="63"/>
  <c r="F391" i="63"/>
  <c r="G391" i="63"/>
  <c r="H391" i="63"/>
  <c r="J391" i="63"/>
  <c r="K391" i="63"/>
  <c r="L391" i="63"/>
  <c r="M391" i="63"/>
  <c r="O391" i="63"/>
  <c r="P391" i="63"/>
  <c r="R391" i="63"/>
  <c r="S391" i="63"/>
  <c r="T391" i="63"/>
  <c r="U391" i="63"/>
  <c r="V391" i="63"/>
  <c r="W391" i="63"/>
  <c r="X391" i="63"/>
  <c r="AO391" i="63"/>
  <c r="AP391" i="63"/>
  <c r="AQ391" i="63"/>
  <c r="AR391" i="63"/>
  <c r="AS391" i="63"/>
  <c r="AT391" i="63"/>
  <c r="AU391" i="63"/>
  <c r="AW391" i="63"/>
  <c r="AX391" i="63"/>
  <c r="AY391" i="63"/>
  <c r="BA391" i="63"/>
  <c r="A392" i="63"/>
  <c r="B392" i="63"/>
  <c r="D392" i="63"/>
  <c r="E392" i="63"/>
  <c r="F392" i="63"/>
  <c r="G392" i="63"/>
  <c r="H392" i="63"/>
  <c r="J392" i="63"/>
  <c r="K392" i="63"/>
  <c r="L392" i="63"/>
  <c r="M392" i="63"/>
  <c r="O392" i="63"/>
  <c r="P392" i="63"/>
  <c r="R392" i="63"/>
  <c r="S392" i="63"/>
  <c r="T392" i="63"/>
  <c r="U392" i="63"/>
  <c r="V392" i="63"/>
  <c r="W392" i="63"/>
  <c r="X392" i="63"/>
  <c r="AO392" i="63"/>
  <c r="AP392" i="63"/>
  <c r="AQ392" i="63"/>
  <c r="AR392" i="63"/>
  <c r="AS392" i="63"/>
  <c r="AT392" i="63"/>
  <c r="AU392" i="63"/>
  <c r="AW392" i="63"/>
  <c r="AX392" i="63"/>
  <c r="AY392" i="63"/>
  <c r="BA392" i="63"/>
  <c r="A393" i="63"/>
  <c r="B393" i="63"/>
  <c r="D393" i="63"/>
  <c r="E393" i="63"/>
  <c r="F393" i="63"/>
  <c r="G393" i="63"/>
  <c r="H393" i="63"/>
  <c r="J393" i="63"/>
  <c r="K393" i="63"/>
  <c r="L393" i="63"/>
  <c r="M393" i="63"/>
  <c r="O393" i="63"/>
  <c r="P393" i="63"/>
  <c r="R393" i="63"/>
  <c r="S393" i="63"/>
  <c r="T393" i="63"/>
  <c r="U393" i="63"/>
  <c r="V393" i="63"/>
  <c r="W393" i="63"/>
  <c r="X393" i="63"/>
  <c r="AO393" i="63"/>
  <c r="AP393" i="63"/>
  <c r="AQ393" i="63"/>
  <c r="AR393" i="63"/>
  <c r="AS393" i="63"/>
  <c r="AT393" i="63"/>
  <c r="AU393" i="63"/>
  <c r="AW393" i="63"/>
  <c r="AX393" i="63"/>
  <c r="AY393" i="63"/>
  <c r="BA393" i="63"/>
  <c r="A394" i="63"/>
  <c r="B394" i="63"/>
  <c r="D394" i="63"/>
  <c r="E394" i="63"/>
  <c r="F394" i="63"/>
  <c r="G394" i="63"/>
  <c r="H394" i="63"/>
  <c r="J394" i="63"/>
  <c r="K394" i="63"/>
  <c r="L394" i="63"/>
  <c r="M394" i="63"/>
  <c r="O394" i="63"/>
  <c r="P394" i="63"/>
  <c r="R394" i="63"/>
  <c r="S394" i="63"/>
  <c r="T394" i="63"/>
  <c r="U394" i="63"/>
  <c r="V394" i="63"/>
  <c r="W394" i="63"/>
  <c r="X394" i="63"/>
  <c r="AO394" i="63"/>
  <c r="AP394" i="63"/>
  <c r="AQ394" i="63"/>
  <c r="AR394" i="63"/>
  <c r="AS394" i="63"/>
  <c r="AT394" i="63"/>
  <c r="AU394" i="63"/>
  <c r="AW394" i="63"/>
  <c r="AX394" i="63"/>
  <c r="AY394" i="63"/>
  <c r="BA394" i="63"/>
  <c r="A395" i="63"/>
  <c r="B395" i="63"/>
  <c r="D395" i="63"/>
  <c r="E395" i="63"/>
  <c r="F395" i="63"/>
  <c r="G395" i="63"/>
  <c r="H395" i="63"/>
  <c r="J395" i="63"/>
  <c r="K395" i="63"/>
  <c r="L395" i="63"/>
  <c r="M395" i="63"/>
  <c r="O395" i="63"/>
  <c r="P395" i="63"/>
  <c r="R395" i="63"/>
  <c r="S395" i="63"/>
  <c r="T395" i="63"/>
  <c r="U395" i="63"/>
  <c r="V395" i="63"/>
  <c r="W395" i="63"/>
  <c r="X395" i="63"/>
  <c r="AO395" i="63"/>
  <c r="AP395" i="63"/>
  <c r="AQ395" i="63"/>
  <c r="AR395" i="63"/>
  <c r="AS395" i="63"/>
  <c r="AT395" i="63"/>
  <c r="AU395" i="63"/>
  <c r="AW395" i="63"/>
  <c r="AX395" i="63"/>
  <c r="AY395" i="63"/>
  <c r="BA395" i="63"/>
  <c r="A396" i="63"/>
  <c r="B396" i="63"/>
  <c r="D396" i="63"/>
  <c r="E396" i="63"/>
  <c r="F396" i="63"/>
  <c r="G396" i="63"/>
  <c r="H396" i="63"/>
  <c r="J396" i="63"/>
  <c r="K396" i="63"/>
  <c r="L396" i="63"/>
  <c r="M396" i="63"/>
  <c r="O396" i="63"/>
  <c r="P396" i="63"/>
  <c r="R396" i="63"/>
  <c r="S396" i="63"/>
  <c r="T396" i="63"/>
  <c r="U396" i="63"/>
  <c r="V396" i="63"/>
  <c r="W396" i="63"/>
  <c r="X396" i="63"/>
  <c r="AO396" i="63"/>
  <c r="AP396" i="63"/>
  <c r="AQ396" i="63"/>
  <c r="AR396" i="63"/>
  <c r="AS396" i="63"/>
  <c r="AT396" i="63"/>
  <c r="AU396" i="63"/>
  <c r="AW396" i="63"/>
  <c r="AX396" i="63"/>
  <c r="AY396" i="63"/>
  <c r="BA396" i="63"/>
  <c r="A397" i="63"/>
  <c r="B397" i="63"/>
  <c r="D397" i="63"/>
  <c r="E397" i="63"/>
  <c r="F397" i="63"/>
  <c r="G397" i="63"/>
  <c r="H397" i="63"/>
  <c r="J397" i="63"/>
  <c r="K397" i="63"/>
  <c r="L397" i="63"/>
  <c r="M397" i="63"/>
  <c r="O397" i="63"/>
  <c r="P397" i="63"/>
  <c r="R397" i="63"/>
  <c r="S397" i="63"/>
  <c r="T397" i="63"/>
  <c r="U397" i="63"/>
  <c r="V397" i="63"/>
  <c r="W397" i="63"/>
  <c r="X397" i="63"/>
  <c r="AO397" i="63"/>
  <c r="AP397" i="63"/>
  <c r="AQ397" i="63"/>
  <c r="AR397" i="63"/>
  <c r="AS397" i="63"/>
  <c r="AT397" i="63"/>
  <c r="AU397" i="63"/>
  <c r="AW397" i="63"/>
  <c r="AX397" i="63"/>
  <c r="AY397" i="63"/>
  <c r="BA397" i="63"/>
  <c r="A398" i="63"/>
  <c r="B398" i="63"/>
  <c r="D398" i="63"/>
  <c r="E398" i="63"/>
  <c r="F398" i="63"/>
  <c r="G398" i="63"/>
  <c r="H398" i="63"/>
  <c r="J398" i="63"/>
  <c r="K398" i="63"/>
  <c r="L398" i="63"/>
  <c r="M398" i="63"/>
  <c r="O398" i="63"/>
  <c r="P398" i="63"/>
  <c r="R398" i="63"/>
  <c r="S398" i="63"/>
  <c r="T398" i="63"/>
  <c r="U398" i="63"/>
  <c r="V398" i="63"/>
  <c r="W398" i="63"/>
  <c r="X398" i="63"/>
  <c r="AO398" i="63"/>
  <c r="AP398" i="63"/>
  <c r="AQ398" i="63"/>
  <c r="AR398" i="63"/>
  <c r="AS398" i="63"/>
  <c r="AT398" i="63"/>
  <c r="AU398" i="63"/>
  <c r="AW398" i="63"/>
  <c r="AX398" i="63"/>
  <c r="AY398" i="63"/>
  <c r="BA398" i="63"/>
  <c r="A399" i="63"/>
  <c r="B399" i="63"/>
  <c r="D399" i="63"/>
  <c r="E399" i="63"/>
  <c r="F399" i="63"/>
  <c r="G399" i="63"/>
  <c r="H399" i="63"/>
  <c r="J399" i="63"/>
  <c r="K399" i="63"/>
  <c r="L399" i="63"/>
  <c r="M399" i="63"/>
  <c r="O399" i="63"/>
  <c r="P399" i="63"/>
  <c r="R399" i="63"/>
  <c r="S399" i="63"/>
  <c r="T399" i="63"/>
  <c r="U399" i="63"/>
  <c r="V399" i="63"/>
  <c r="W399" i="63"/>
  <c r="X399" i="63"/>
  <c r="AO399" i="63"/>
  <c r="AP399" i="63"/>
  <c r="AQ399" i="63"/>
  <c r="AR399" i="63"/>
  <c r="AS399" i="63"/>
  <c r="AT399" i="63"/>
  <c r="AU399" i="63"/>
  <c r="AW399" i="63"/>
  <c r="AX399" i="63"/>
  <c r="AY399" i="63"/>
  <c r="BA399" i="63"/>
  <c r="A400" i="63"/>
  <c r="B400" i="63"/>
  <c r="D400" i="63"/>
  <c r="E400" i="63"/>
  <c r="F400" i="63"/>
  <c r="G400" i="63"/>
  <c r="H400" i="63"/>
  <c r="J400" i="63"/>
  <c r="K400" i="63"/>
  <c r="L400" i="63"/>
  <c r="M400" i="63"/>
  <c r="O400" i="63"/>
  <c r="P400" i="63"/>
  <c r="R400" i="63"/>
  <c r="S400" i="63"/>
  <c r="T400" i="63"/>
  <c r="U400" i="63"/>
  <c r="V400" i="63"/>
  <c r="W400" i="63"/>
  <c r="X400" i="63"/>
  <c r="AO400" i="63"/>
  <c r="AP400" i="63"/>
  <c r="AQ400" i="63"/>
  <c r="AR400" i="63"/>
  <c r="AS400" i="63"/>
  <c r="AT400" i="63"/>
  <c r="AU400" i="63"/>
  <c r="AW400" i="63"/>
  <c r="AX400" i="63"/>
  <c r="AY400" i="63"/>
  <c r="BA400" i="63"/>
  <c r="A401" i="63"/>
  <c r="B401" i="63"/>
  <c r="D401" i="63"/>
  <c r="E401" i="63"/>
  <c r="F401" i="63"/>
  <c r="G401" i="63"/>
  <c r="H401" i="63"/>
  <c r="J401" i="63"/>
  <c r="K401" i="63"/>
  <c r="L401" i="63"/>
  <c r="M401" i="63"/>
  <c r="O401" i="63"/>
  <c r="P401" i="63"/>
  <c r="R401" i="63"/>
  <c r="S401" i="63"/>
  <c r="T401" i="63"/>
  <c r="U401" i="63"/>
  <c r="V401" i="63"/>
  <c r="W401" i="63"/>
  <c r="X401" i="63"/>
  <c r="AO401" i="63"/>
  <c r="AP401" i="63"/>
  <c r="AQ401" i="63"/>
  <c r="AR401" i="63"/>
  <c r="AS401" i="63"/>
  <c r="AT401" i="63"/>
  <c r="AU401" i="63"/>
  <c r="AW401" i="63"/>
  <c r="AX401" i="63"/>
  <c r="AY401" i="63"/>
  <c r="BA401" i="63"/>
  <c r="A402" i="63"/>
  <c r="B402" i="63"/>
  <c r="D402" i="63"/>
  <c r="E402" i="63"/>
  <c r="F402" i="63"/>
  <c r="G402" i="63"/>
  <c r="H402" i="63"/>
  <c r="J402" i="63"/>
  <c r="K402" i="63"/>
  <c r="L402" i="63"/>
  <c r="M402" i="63"/>
  <c r="O402" i="63"/>
  <c r="P402" i="63"/>
  <c r="R402" i="63"/>
  <c r="S402" i="63"/>
  <c r="T402" i="63"/>
  <c r="U402" i="63"/>
  <c r="V402" i="63"/>
  <c r="W402" i="63"/>
  <c r="X402" i="63"/>
  <c r="AO402" i="63"/>
  <c r="AP402" i="63"/>
  <c r="AQ402" i="63"/>
  <c r="AR402" i="63"/>
  <c r="AS402" i="63"/>
  <c r="AT402" i="63"/>
  <c r="AU402" i="63"/>
  <c r="AW402" i="63"/>
  <c r="AX402" i="63"/>
  <c r="AY402" i="63"/>
  <c r="BA402" i="63"/>
  <c r="A403" i="63"/>
  <c r="B403" i="63"/>
  <c r="D403" i="63"/>
  <c r="E403" i="63"/>
  <c r="F403" i="63"/>
  <c r="G403" i="63"/>
  <c r="H403" i="63"/>
  <c r="J403" i="63"/>
  <c r="K403" i="63"/>
  <c r="L403" i="63"/>
  <c r="M403" i="63"/>
  <c r="O403" i="63"/>
  <c r="P403" i="63"/>
  <c r="R403" i="63"/>
  <c r="S403" i="63"/>
  <c r="T403" i="63"/>
  <c r="U403" i="63"/>
  <c r="V403" i="63"/>
  <c r="W403" i="63"/>
  <c r="X403" i="63"/>
  <c r="AO403" i="63"/>
  <c r="AP403" i="63"/>
  <c r="AQ403" i="63"/>
  <c r="AR403" i="63"/>
  <c r="AS403" i="63"/>
  <c r="AT403" i="63"/>
  <c r="AU403" i="63"/>
  <c r="AW403" i="63"/>
  <c r="AX403" i="63"/>
  <c r="AY403" i="63"/>
  <c r="BA403" i="63"/>
  <c r="A404" i="63"/>
  <c r="B404" i="63"/>
  <c r="D404" i="63"/>
  <c r="E404" i="63"/>
  <c r="F404" i="63"/>
  <c r="G404" i="63"/>
  <c r="H404" i="63"/>
  <c r="J404" i="63"/>
  <c r="K404" i="63"/>
  <c r="L404" i="63"/>
  <c r="M404" i="63"/>
  <c r="O404" i="63"/>
  <c r="P404" i="63"/>
  <c r="R404" i="63"/>
  <c r="S404" i="63"/>
  <c r="T404" i="63"/>
  <c r="U404" i="63"/>
  <c r="V404" i="63"/>
  <c r="W404" i="63"/>
  <c r="X404" i="63"/>
  <c r="AO404" i="63"/>
  <c r="AP404" i="63"/>
  <c r="AQ404" i="63"/>
  <c r="AR404" i="63"/>
  <c r="AS404" i="63"/>
  <c r="AT404" i="63"/>
  <c r="AU404" i="63"/>
  <c r="AW404" i="63"/>
  <c r="AX404" i="63"/>
  <c r="AY404" i="63"/>
  <c r="BA404" i="63"/>
  <c r="A405" i="63"/>
  <c r="B405" i="63"/>
  <c r="D405" i="63"/>
  <c r="E405" i="63"/>
  <c r="F405" i="63"/>
  <c r="G405" i="63"/>
  <c r="H405" i="63"/>
  <c r="J405" i="63"/>
  <c r="K405" i="63"/>
  <c r="L405" i="63"/>
  <c r="M405" i="63"/>
  <c r="O405" i="63"/>
  <c r="P405" i="63"/>
  <c r="R405" i="63"/>
  <c r="S405" i="63"/>
  <c r="T405" i="63"/>
  <c r="U405" i="63"/>
  <c r="V405" i="63"/>
  <c r="W405" i="63"/>
  <c r="X405" i="63"/>
  <c r="AO405" i="63"/>
  <c r="AP405" i="63"/>
  <c r="AQ405" i="63"/>
  <c r="AR405" i="63"/>
  <c r="AS405" i="63"/>
  <c r="AT405" i="63"/>
  <c r="AU405" i="63"/>
  <c r="AW405" i="63"/>
  <c r="AX405" i="63"/>
  <c r="AY405" i="63"/>
  <c r="BA405" i="63"/>
  <c r="A406" i="63"/>
  <c r="B406" i="63"/>
  <c r="D406" i="63"/>
  <c r="E406" i="63"/>
  <c r="F406" i="63"/>
  <c r="G406" i="63"/>
  <c r="H406" i="63"/>
  <c r="J406" i="63"/>
  <c r="K406" i="63"/>
  <c r="L406" i="63"/>
  <c r="M406" i="63"/>
  <c r="O406" i="63"/>
  <c r="P406" i="63"/>
  <c r="R406" i="63"/>
  <c r="S406" i="63"/>
  <c r="T406" i="63"/>
  <c r="U406" i="63"/>
  <c r="V406" i="63"/>
  <c r="W406" i="63"/>
  <c r="X406" i="63"/>
  <c r="AO406" i="63"/>
  <c r="AP406" i="63"/>
  <c r="AQ406" i="63"/>
  <c r="AR406" i="63"/>
  <c r="AS406" i="63"/>
  <c r="AT406" i="63"/>
  <c r="AU406" i="63"/>
  <c r="AW406" i="63"/>
  <c r="AX406" i="63"/>
  <c r="AY406" i="63"/>
  <c r="BA406" i="63"/>
  <c r="A407" i="63"/>
  <c r="B407" i="63"/>
  <c r="D407" i="63"/>
  <c r="E407" i="63"/>
  <c r="F407" i="63"/>
  <c r="G407" i="63"/>
  <c r="H407" i="63"/>
  <c r="J407" i="63"/>
  <c r="K407" i="63"/>
  <c r="L407" i="63"/>
  <c r="M407" i="63"/>
  <c r="O407" i="63"/>
  <c r="P407" i="63"/>
  <c r="R407" i="63"/>
  <c r="S407" i="63"/>
  <c r="T407" i="63"/>
  <c r="U407" i="63"/>
  <c r="V407" i="63"/>
  <c r="W407" i="63"/>
  <c r="X407" i="63"/>
  <c r="AO407" i="63"/>
  <c r="AP407" i="63"/>
  <c r="AQ407" i="63"/>
  <c r="AR407" i="63"/>
  <c r="AS407" i="63"/>
  <c r="AT407" i="63"/>
  <c r="AU407" i="63"/>
  <c r="AW407" i="63"/>
  <c r="AX407" i="63"/>
  <c r="AY407" i="63"/>
  <c r="BA407" i="63"/>
  <c r="A408" i="63"/>
  <c r="B408" i="63"/>
  <c r="D408" i="63"/>
  <c r="E408" i="63"/>
  <c r="F408" i="63"/>
  <c r="G408" i="63"/>
  <c r="H408" i="63"/>
  <c r="J408" i="63"/>
  <c r="K408" i="63"/>
  <c r="L408" i="63"/>
  <c r="M408" i="63"/>
  <c r="O408" i="63"/>
  <c r="P408" i="63"/>
  <c r="R408" i="63"/>
  <c r="S408" i="63"/>
  <c r="T408" i="63"/>
  <c r="U408" i="63"/>
  <c r="V408" i="63"/>
  <c r="W408" i="63"/>
  <c r="X408" i="63"/>
  <c r="AO408" i="63"/>
  <c r="AP408" i="63"/>
  <c r="AQ408" i="63"/>
  <c r="AR408" i="63"/>
  <c r="AS408" i="63"/>
  <c r="AT408" i="63"/>
  <c r="AU408" i="63"/>
  <c r="AW408" i="63"/>
  <c r="AX408" i="63"/>
  <c r="AY408" i="63"/>
  <c r="BA408" i="63"/>
  <c r="A409" i="63"/>
  <c r="B409" i="63"/>
  <c r="D409" i="63"/>
  <c r="E409" i="63"/>
  <c r="F409" i="63"/>
  <c r="G409" i="63"/>
  <c r="H409" i="63"/>
  <c r="J409" i="63"/>
  <c r="K409" i="63"/>
  <c r="L409" i="63"/>
  <c r="M409" i="63"/>
  <c r="O409" i="63"/>
  <c r="P409" i="63"/>
  <c r="R409" i="63"/>
  <c r="S409" i="63"/>
  <c r="T409" i="63"/>
  <c r="U409" i="63"/>
  <c r="V409" i="63"/>
  <c r="W409" i="63"/>
  <c r="X409" i="63"/>
  <c r="AO409" i="63"/>
  <c r="AP409" i="63"/>
  <c r="AQ409" i="63"/>
  <c r="AR409" i="63"/>
  <c r="AS409" i="63"/>
  <c r="AT409" i="63"/>
  <c r="AU409" i="63"/>
  <c r="AW409" i="63"/>
  <c r="AX409" i="63"/>
  <c r="AY409" i="63"/>
  <c r="BA409" i="63"/>
  <c r="A410" i="63"/>
  <c r="B410" i="63"/>
  <c r="D410" i="63"/>
  <c r="E410" i="63"/>
  <c r="F410" i="63"/>
  <c r="G410" i="63"/>
  <c r="H410" i="63"/>
  <c r="J410" i="63"/>
  <c r="K410" i="63"/>
  <c r="L410" i="63"/>
  <c r="M410" i="63"/>
  <c r="O410" i="63"/>
  <c r="P410" i="63"/>
  <c r="R410" i="63"/>
  <c r="S410" i="63"/>
  <c r="T410" i="63"/>
  <c r="U410" i="63"/>
  <c r="V410" i="63"/>
  <c r="W410" i="63"/>
  <c r="X410" i="63"/>
  <c r="AO410" i="63"/>
  <c r="AP410" i="63"/>
  <c r="AQ410" i="63"/>
  <c r="AR410" i="63"/>
  <c r="AS410" i="63"/>
  <c r="AT410" i="63"/>
  <c r="AU410" i="63"/>
  <c r="AW410" i="63"/>
  <c r="AX410" i="63"/>
  <c r="AY410" i="63"/>
  <c r="BA410" i="63"/>
  <c r="A411" i="63"/>
  <c r="B411" i="63"/>
  <c r="D411" i="63"/>
  <c r="E411" i="63"/>
  <c r="F411" i="63"/>
  <c r="G411" i="63"/>
  <c r="H411" i="63"/>
  <c r="J411" i="63"/>
  <c r="K411" i="63"/>
  <c r="L411" i="63"/>
  <c r="M411" i="63"/>
  <c r="O411" i="63"/>
  <c r="P411" i="63"/>
  <c r="R411" i="63"/>
  <c r="S411" i="63"/>
  <c r="T411" i="63"/>
  <c r="U411" i="63"/>
  <c r="V411" i="63"/>
  <c r="W411" i="63"/>
  <c r="X411" i="63"/>
  <c r="AO411" i="63"/>
  <c r="AP411" i="63"/>
  <c r="AQ411" i="63"/>
  <c r="AR411" i="63"/>
  <c r="AS411" i="63"/>
  <c r="AT411" i="63"/>
  <c r="AU411" i="63"/>
  <c r="AW411" i="63"/>
  <c r="AX411" i="63"/>
  <c r="AY411" i="63"/>
  <c r="BA411" i="63"/>
  <c r="A412" i="63"/>
  <c r="B412" i="63"/>
  <c r="D412" i="63"/>
  <c r="E412" i="63"/>
  <c r="F412" i="63"/>
  <c r="G412" i="63"/>
  <c r="H412" i="63"/>
  <c r="J412" i="63"/>
  <c r="K412" i="63"/>
  <c r="L412" i="63"/>
  <c r="M412" i="63"/>
  <c r="O412" i="63"/>
  <c r="P412" i="63"/>
  <c r="R412" i="63"/>
  <c r="S412" i="63"/>
  <c r="T412" i="63"/>
  <c r="U412" i="63"/>
  <c r="V412" i="63"/>
  <c r="W412" i="63"/>
  <c r="X412" i="63"/>
  <c r="AO412" i="63"/>
  <c r="AP412" i="63"/>
  <c r="AQ412" i="63"/>
  <c r="AR412" i="63"/>
  <c r="AS412" i="63"/>
  <c r="AT412" i="63"/>
  <c r="AU412" i="63"/>
  <c r="AW412" i="63"/>
  <c r="AX412" i="63"/>
  <c r="AY412" i="63"/>
  <c r="BA412" i="63"/>
  <c r="A413" i="63"/>
  <c r="B413" i="63"/>
  <c r="D413" i="63"/>
  <c r="E413" i="63"/>
  <c r="F413" i="63"/>
  <c r="G413" i="63"/>
  <c r="H413" i="63"/>
  <c r="J413" i="63"/>
  <c r="K413" i="63"/>
  <c r="L413" i="63"/>
  <c r="M413" i="63"/>
  <c r="O413" i="63"/>
  <c r="P413" i="63"/>
  <c r="R413" i="63"/>
  <c r="S413" i="63"/>
  <c r="T413" i="63"/>
  <c r="U413" i="63"/>
  <c r="V413" i="63"/>
  <c r="W413" i="63"/>
  <c r="X413" i="63"/>
  <c r="AO413" i="63"/>
  <c r="AP413" i="63"/>
  <c r="AQ413" i="63"/>
  <c r="AR413" i="63"/>
  <c r="AS413" i="63"/>
  <c r="AT413" i="63"/>
  <c r="AU413" i="63"/>
  <c r="AW413" i="63"/>
  <c r="AX413" i="63"/>
  <c r="AY413" i="63"/>
  <c r="BA413" i="63"/>
  <c r="A414" i="63"/>
  <c r="B414" i="63"/>
  <c r="D414" i="63"/>
  <c r="E414" i="63"/>
  <c r="F414" i="63"/>
  <c r="G414" i="63"/>
  <c r="H414" i="63"/>
  <c r="J414" i="63"/>
  <c r="K414" i="63"/>
  <c r="L414" i="63"/>
  <c r="M414" i="63"/>
  <c r="O414" i="63"/>
  <c r="P414" i="63"/>
  <c r="R414" i="63"/>
  <c r="S414" i="63"/>
  <c r="T414" i="63"/>
  <c r="U414" i="63"/>
  <c r="V414" i="63"/>
  <c r="W414" i="63"/>
  <c r="X414" i="63"/>
  <c r="AO414" i="63"/>
  <c r="AP414" i="63"/>
  <c r="AQ414" i="63"/>
  <c r="AR414" i="63"/>
  <c r="AS414" i="63"/>
  <c r="AT414" i="63"/>
  <c r="AU414" i="63"/>
  <c r="AW414" i="63"/>
  <c r="AX414" i="63"/>
  <c r="AY414" i="63"/>
  <c r="BA414" i="63"/>
  <c r="A415" i="63"/>
  <c r="B415" i="63"/>
  <c r="D415" i="63"/>
  <c r="E415" i="63"/>
  <c r="F415" i="63"/>
  <c r="G415" i="63"/>
  <c r="H415" i="63"/>
  <c r="J415" i="63"/>
  <c r="K415" i="63"/>
  <c r="L415" i="63"/>
  <c r="M415" i="63"/>
  <c r="O415" i="63"/>
  <c r="P415" i="63"/>
  <c r="R415" i="63"/>
  <c r="S415" i="63"/>
  <c r="T415" i="63"/>
  <c r="U415" i="63"/>
  <c r="V415" i="63"/>
  <c r="W415" i="63"/>
  <c r="X415" i="63"/>
  <c r="AO415" i="63"/>
  <c r="AP415" i="63"/>
  <c r="AQ415" i="63"/>
  <c r="AR415" i="63"/>
  <c r="AS415" i="63"/>
  <c r="AT415" i="63"/>
  <c r="AU415" i="63"/>
  <c r="AW415" i="63"/>
  <c r="AX415" i="63"/>
  <c r="AY415" i="63"/>
  <c r="BA415" i="63"/>
  <c r="A416" i="63"/>
  <c r="B416" i="63"/>
  <c r="D416" i="63"/>
  <c r="E416" i="63"/>
  <c r="F416" i="63"/>
  <c r="G416" i="63"/>
  <c r="H416" i="63"/>
  <c r="J416" i="63"/>
  <c r="K416" i="63"/>
  <c r="L416" i="63"/>
  <c r="M416" i="63"/>
  <c r="O416" i="63"/>
  <c r="P416" i="63"/>
  <c r="R416" i="63"/>
  <c r="S416" i="63"/>
  <c r="T416" i="63"/>
  <c r="U416" i="63"/>
  <c r="V416" i="63"/>
  <c r="W416" i="63"/>
  <c r="X416" i="63"/>
  <c r="AO416" i="63"/>
  <c r="AP416" i="63"/>
  <c r="AQ416" i="63"/>
  <c r="AR416" i="63"/>
  <c r="AS416" i="63"/>
  <c r="AT416" i="63"/>
  <c r="AU416" i="63"/>
  <c r="AW416" i="63"/>
  <c r="AX416" i="63"/>
  <c r="AY416" i="63"/>
  <c r="BA416" i="63"/>
  <c r="A417" i="63"/>
  <c r="B417" i="63"/>
  <c r="D417" i="63"/>
  <c r="E417" i="63"/>
  <c r="F417" i="63"/>
  <c r="G417" i="63"/>
  <c r="H417" i="63"/>
  <c r="J417" i="63"/>
  <c r="K417" i="63"/>
  <c r="L417" i="63"/>
  <c r="M417" i="63"/>
  <c r="O417" i="63"/>
  <c r="P417" i="63"/>
  <c r="R417" i="63"/>
  <c r="S417" i="63"/>
  <c r="T417" i="63"/>
  <c r="U417" i="63"/>
  <c r="V417" i="63"/>
  <c r="W417" i="63"/>
  <c r="X417" i="63"/>
  <c r="AO417" i="63"/>
  <c r="AP417" i="63"/>
  <c r="AQ417" i="63"/>
  <c r="AR417" i="63"/>
  <c r="AS417" i="63"/>
  <c r="AT417" i="63"/>
  <c r="AU417" i="63"/>
  <c r="AW417" i="63"/>
  <c r="AX417" i="63"/>
  <c r="AY417" i="63"/>
  <c r="BA417" i="63"/>
  <c r="A418" i="63"/>
  <c r="B418" i="63"/>
  <c r="D418" i="63"/>
  <c r="E418" i="63"/>
  <c r="F418" i="63"/>
  <c r="G418" i="63"/>
  <c r="H418" i="63"/>
  <c r="J418" i="63"/>
  <c r="K418" i="63"/>
  <c r="L418" i="63"/>
  <c r="M418" i="63"/>
  <c r="O418" i="63"/>
  <c r="P418" i="63"/>
  <c r="R418" i="63"/>
  <c r="S418" i="63"/>
  <c r="T418" i="63"/>
  <c r="U418" i="63"/>
  <c r="V418" i="63"/>
  <c r="W418" i="63"/>
  <c r="X418" i="63"/>
  <c r="AO418" i="63"/>
  <c r="AP418" i="63"/>
  <c r="AQ418" i="63"/>
  <c r="AR418" i="63"/>
  <c r="AS418" i="63"/>
  <c r="AT418" i="63"/>
  <c r="AU418" i="63"/>
  <c r="AW418" i="63"/>
  <c r="AX418" i="63"/>
  <c r="AY418" i="63"/>
  <c r="BA418" i="63"/>
  <c r="A419" i="63"/>
  <c r="B419" i="63"/>
  <c r="D419" i="63"/>
  <c r="E419" i="63"/>
  <c r="F419" i="63"/>
  <c r="G419" i="63"/>
  <c r="H419" i="63"/>
  <c r="J419" i="63"/>
  <c r="K419" i="63"/>
  <c r="L419" i="63"/>
  <c r="M419" i="63"/>
  <c r="O419" i="63"/>
  <c r="P419" i="63"/>
  <c r="R419" i="63"/>
  <c r="S419" i="63"/>
  <c r="T419" i="63"/>
  <c r="U419" i="63"/>
  <c r="V419" i="63"/>
  <c r="W419" i="63"/>
  <c r="X419" i="63"/>
  <c r="AO419" i="63"/>
  <c r="AP419" i="63"/>
  <c r="AQ419" i="63"/>
  <c r="AR419" i="63"/>
  <c r="AS419" i="63"/>
  <c r="AT419" i="63"/>
  <c r="AU419" i="63"/>
  <c r="AW419" i="63"/>
  <c r="AX419" i="63"/>
  <c r="AY419" i="63"/>
  <c r="BA419" i="63"/>
  <c r="A420" i="63"/>
  <c r="B420" i="63"/>
  <c r="D420" i="63"/>
  <c r="E420" i="63"/>
  <c r="F420" i="63"/>
  <c r="G420" i="63"/>
  <c r="H420" i="63"/>
  <c r="J420" i="63"/>
  <c r="K420" i="63"/>
  <c r="L420" i="63"/>
  <c r="M420" i="63"/>
  <c r="O420" i="63"/>
  <c r="P420" i="63"/>
  <c r="R420" i="63"/>
  <c r="S420" i="63"/>
  <c r="T420" i="63"/>
  <c r="U420" i="63"/>
  <c r="V420" i="63"/>
  <c r="W420" i="63"/>
  <c r="X420" i="63"/>
  <c r="AO420" i="63"/>
  <c r="AP420" i="63"/>
  <c r="AQ420" i="63"/>
  <c r="AR420" i="63"/>
  <c r="AS420" i="63"/>
  <c r="AT420" i="63"/>
  <c r="AU420" i="63"/>
  <c r="AW420" i="63"/>
  <c r="AX420" i="63"/>
  <c r="AY420" i="63"/>
  <c r="BA420" i="63"/>
  <c r="A421" i="63"/>
  <c r="B421" i="63"/>
  <c r="D421" i="63"/>
  <c r="E421" i="63"/>
  <c r="F421" i="63"/>
  <c r="G421" i="63"/>
  <c r="H421" i="63"/>
  <c r="J421" i="63"/>
  <c r="K421" i="63"/>
  <c r="L421" i="63"/>
  <c r="M421" i="63"/>
  <c r="O421" i="63"/>
  <c r="P421" i="63"/>
  <c r="R421" i="63"/>
  <c r="S421" i="63"/>
  <c r="T421" i="63"/>
  <c r="U421" i="63"/>
  <c r="V421" i="63"/>
  <c r="W421" i="63"/>
  <c r="X421" i="63"/>
  <c r="AO421" i="63"/>
  <c r="AP421" i="63"/>
  <c r="AQ421" i="63"/>
  <c r="AR421" i="63"/>
  <c r="AS421" i="63"/>
  <c r="AT421" i="63"/>
  <c r="AU421" i="63"/>
  <c r="AW421" i="63"/>
  <c r="AX421" i="63"/>
  <c r="AY421" i="63"/>
  <c r="BA421" i="63"/>
  <c r="A422" i="63"/>
  <c r="B422" i="63"/>
  <c r="D422" i="63"/>
  <c r="E422" i="63"/>
  <c r="F422" i="63"/>
  <c r="G422" i="63"/>
  <c r="H422" i="63"/>
  <c r="J422" i="63"/>
  <c r="K422" i="63"/>
  <c r="L422" i="63"/>
  <c r="M422" i="63"/>
  <c r="O422" i="63"/>
  <c r="P422" i="63"/>
  <c r="R422" i="63"/>
  <c r="S422" i="63"/>
  <c r="T422" i="63"/>
  <c r="U422" i="63"/>
  <c r="V422" i="63"/>
  <c r="W422" i="63"/>
  <c r="X422" i="63"/>
  <c r="AO422" i="63"/>
  <c r="AP422" i="63"/>
  <c r="AQ422" i="63"/>
  <c r="AR422" i="63"/>
  <c r="AS422" i="63"/>
  <c r="AT422" i="63"/>
  <c r="AU422" i="63"/>
  <c r="AW422" i="63"/>
  <c r="AX422" i="63"/>
  <c r="AY422" i="63"/>
  <c r="BA422" i="63"/>
  <c r="A423" i="63"/>
  <c r="B423" i="63"/>
  <c r="D423" i="63"/>
  <c r="E423" i="63"/>
  <c r="F423" i="63"/>
  <c r="G423" i="63"/>
  <c r="H423" i="63"/>
  <c r="J423" i="63"/>
  <c r="K423" i="63"/>
  <c r="L423" i="63"/>
  <c r="M423" i="63"/>
  <c r="O423" i="63"/>
  <c r="P423" i="63"/>
  <c r="R423" i="63"/>
  <c r="S423" i="63"/>
  <c r="T423" i="63"/>
  <c r="U423" i="63"/>
  <c r="V423" i="63"/>
  <c r="W423" i="63"/>
  <c r="X423" i="63"/>
  <c r="AO423" i="63"/>
  <c r="AP423" i="63"/>
  <c r="AQ423" i="63"/>
  <c r="AR423" i="63"/>
  <c r="AS423" i="63"/>
  <c r="AT423" i="63"/>
  <c r="AU423" i="63"/>
  <c r="AW423" i="63"/>
  <c r="AX423" i="63"/>
  <c r="AY423" i="63"/>
  <c r="BA423" i="63"/>
  <c r="A424" i="63"/>
  <c r="B424" i="63"/>
  <c r="D424" i="63"/>
  <c r="E424" i="63"/>
  <c r="F424" i="63"/>
  <c r="G424" i="63"/>
  <c r="H424" i="63"/>
  <c r="J424" i="63"/>
  <c r="K424" i="63"/>
  <c r="L424" i="63"/>
  <c r="M424" i="63"/>
  <c r="O424" i="63"/>
  <c r="P424" i="63"/>
  <c r="R424" i="63"/>
  <c r="S424" i="63"/>
  <c r="T424" i="63"/>
  <c r="U424" i="63"/>
  <c r="V424" i="63"/>
  <c r="W424" i="63"/>
  <c r="X424" i="63"/>
  <c r="AO424" i="63"/>
  <c r="AP424" i="63"/>
  <c r="AQ424" i="63"/>
  <c r="AR424" i="63"/>
  <c r="AS424" i="63"/>
  <c r="AT424" i="63"/>
  <c r="AU424" i="63"/>
  <c r="AW424" i="63"/>
  <c r="AX424" i="63"/>
  <c r="AY424" i="63"/>
  <c r="BA424" i="63"/>
  <c r="A425" i="63"/>
  <c r="B425" i="63"/>
  <c r="D425" i="63"/>
  <c r="E425" i="63"/>
  <c r="F425" i="63"/>
  <c r="G425" i="63"/>
  <c r="H425" i="63"/>
  <c r="J425" i="63"/>
  <c r="K425" i="63"/>
  <c r="L425" i="63"/>
  <c r="M425" i="63"/>
  <c r="O425" i="63"/>
  <c r="P425" i="63"/>
  <c r="R425" i="63"/>
  <c r="S425" i="63"/>
  <c r="T425" i="63"/>
  <c r="U425" i="63"/>
  <c r="V425" i="63"/>
  <c r="W425" i="63"/>
  <c r="X425" i="63"/>
  <c r="AO425" i="63"/>
  <c r="AP425" i="63"/>
  <c r="AQ425" i="63"/>
  <c r="AR425" i="63"/>
  <c r="AS425" i="63"/>
  <c r="AT425" i="63"/>
  <c r="AU425" i="63"/>
  <c r="AW425" i="63"/>
  <c r="AX425" i="63"/>
  <c r="AY425" i="63"/>
  <c r="BA425" i="63"/>
  <c r="A426" i="63"/>
  <c r="B426" i="63"/>
  <c r="D426" i="63"/>
  <c r="E426" i="63"/>
  <c r="F426" i="63"/>
  <c r="G426" i="63"/>
  <c r="H426" i="63"/>
  <c r="J426" i="63"/>
  <c r="K426" i="63"/>
  <c r="L426" i="63"/>
  <c r="M426" i="63"/>
  <c r="O426" i="63"/>
  <c r="P426" i="63"/>
  <c r="R426" i="63"/>
  <c r="S426" i="63"/>
  <c r="T426" i="63"/>
  <c r="U426" i="63"/>
  <c r="V426" i="63"/>
  <c r="W426" i="63"/>
  <c r="X426" i="63"/>
  <c r="AO426" i="63"/>
  <c r="AP426" i="63"/>
  <c r="AQ426" i="63"/>
  <c r="AR426" i="63"/>
  <c r="AS426" i="63"/>
  <c r="AT426" i="63"/>
  <c r="AU426" i="63"/>
  <c r="AW426" i="63"/>
  <c r="AX426" i="63"/>
  <c r="AY426" i="63"/>
  <c r="BA426" i="63"/>
  <c r="A427" i="63"/>
  <c r="B427" i="63"/>
  <c r="D427" i="63"/>
  <c r="E427" i="63"/>
  <c r="F427" i="63"/>
  <c r="G427" i="63"/>
  <c r="H427" i="63"/>
  <c r="J427" i="63"/>
  <c r="K427" i="63"/>
  <c r="L427" i="63"/>
  <c r="M427" i="63"/>
  <c r="O427" i="63"/>
  <c r="P427" i="63"/>
  <c r="R427" i="63"/>
  <c r="S427" i="63"/>
  <c r="T427" i="63"/>
  <c r="U427" i="63"/>
  <c r="V427" i="63"/>
  <c r="W427" i="63"/>
  <c r="X427" i="63"/>
  <c r="AO427" i="63"/>
  <c r="AP427" i="63"/>
  <c r="AQ427" i="63"/>
  <c r="AR427" i="63"/>
  <c r="AS427" i="63"/>
  <c r="AT427" i="63"/>
  <c r="AU427" i="63"/>
  <c r="AW427" i="63"/>
  <c r="AX427" i="63"/>
  <c r="AY427" i="63"/>
  <c r="BA427" i="63"/>
  <c r="A428" i="63"/>
  <c r="B428" i="63"/>
  <c r="D428" i="63"/>
  <c r="E428" i="63"/>
  <c r="F428" i="63"/>
  <c r="G428" i="63"/>
  <c r="H428" i="63"/>
  <c r="J428" i="63"/>
  <c r="K428" i="63"/>
  <c r="L428" i="63"/>
  <c r="M428" i="63"/>
  <c r="O428" i="63"/>
  <c r="P428" i="63"/>
  <c r="R428" i="63"/>
  <c r="S428" i="63"/>
  <c r="T428" i="63"/>
  <c r="U428" i="63"/>
  <c r="V428" i="63"/>
  <c r="W428" i="63"/>
  <c r="X428" i="63"/>
  <c r="AO428" i="63"/>
  <c r="AP428" i="63"/>
  <c r="AQ428" i="63"/>
  <c r="AR428" i="63"/>
  <c r="AS428" i="63"/>
  <c r="AT428" i="63"/>
  <c r="AU428" i="63"/>
  <c r="AW428" i="63"/>
  <c r="AX428" i="63"/>
  <c r="AY428" i="63"/>
  <c r="BA428" i="63"/>
  <c r="A429" i="63"/>
  <c r="B429" i="63"/>
  <c r="D429" i="63"/>
  <c r="E429" i="63"/>
  <c r="F429" i="63"/>
  <c r="G429" i="63"/>
  <c r="H429" i="63"/>
  <c r="J429" i="63"/>
  <c r="K429" i="63"/>
  <c r="L429" i="63"/>
  <c r="M429" i="63"/>
  <c r="O429" i="63"/>
  <c r="P429" i="63"/>
  <c r="R429" i="63"/>
  <c r="S429" i="63"/>
  <c r="T429" i="63"/>
  <c r="U429" i="63"/>
  <c r="V429" i="63"/>
  <c r="W429" i="63"/>
  <c r="X429" i="63"/>
  <c r="AO429" i="63"/>
  <c r="AP429" i="63"/>
  <c r="AQ429" i="63"/>
  <c r="AR429" i="63"/>
  <c r="AS429" i="63"/>
  <c r="AT429" i="63"/>
  <c r="AU429" i="63"/>
  <c r="AW429" i="63"/>
  <c r="AX429" i="63"/>
  <c r="AY429" i="63"/>
  <c r="BA429" i="63"/>
  <c r="A430" i="63"/>
  <c r="B430" i="63"/>
  <c r="D430" i="63"/>
  <c r="E430" i="63"/>
  <c r="F430" i="63"/>
  <c r="G430" i="63"/>
  <c r="H430" i="63"/>
  <c r="J430" i="63"/>
  <c r="K430" i="63"/>
  <c r="L430" i="63"/>
  <c r="M430" i="63"/>
  <c r="O430" i="63"/>
  <c r="P430" i="63"/>
  <c r="R430" i="63"/>
  <c r="S430" i="63"/>
  <c r="T430" i="63"/>
  <c r="U430" i="63"/>
  <c r="V430" i="63"/>
  <c r="W430" i="63"/>
  <c r="X430" i="63"/>
  <c r="AO430" i="63"/>
  <c r="AP430" i="63"/>
  <c r="AQ430" i="63"/>
  <c r="AR430" i="63"/>
  <c r="AS430" i="63"/>
  <c r="AT430" i="63"/>
  <c r="AU430" i="63"/>
  <c r="AW430" i="63"/>
  <c r="AX430" i="63"/>
  <c r="AY430" i="63"/>
  <c r="BA430" i="63"/>
  <c r="A431" i="63"/>
  <c r="B431" i="63"/>
  <c r="D431" i="63"/>
  <c r="E431" i="63"/>
  <c r="F431" i="63"/>
  <c r="G431" i="63"/>
  <c r="H431" i="63"/>
  <c r="J431" i="63"/>
  <c r="K431" i="63"/>
  <c r="L431" i="63"/>
  <c r="M431" i="63"/>
  <c r="O431" i="63"/>
  <c r="P431" i="63"/>
  <c r="R431" i="63"/>
  <c r="S431" i="63"/>
  <c r="T431" i="63"/>
  <c r="U431" i="63"/>
  <c r="V431" i="63"/>
  <c r="W431" i="63"/>
  <c r="X431" i="63"/>
  <c r="AO431" i="63"/>
  <c r="AP431" i="63"/>
  <c r="AQ431" i="63"/>
  <c r="AR431" i="63"/>
  <c r="AS431" i="63"/>
  <c r="AT431" i="63"/>
  <c r="AU431" i="63"/>
  <c r="AW431" i="63"/>
  <c r="AX431" i="63"/>
  <c r="AY431" i="63"/>
  <c r="BA431" i="63"/>
  <c r="A432" i="63"/>
  <c r="B432" i="63"/>
  <c r="D432" i="63"/>
  <c r="E432" i="63"/>
  <c r="F432" i="63"/>
  <c r="G432" i="63"/>
  <c r="H432" i="63"/>
  <c r="J432" i="63"/>
  <c r="K432" i="63"/>
  <c r="L432" i="63"/>
  <c r="M432" i="63"/>
  <c r="O432" i="63"/>
  <c r="P432" i="63"/>
  <c r="R432" i="63"/>
  <c r="S432" i="63"/>
  <c r="T432" i="63"/>
  <c r="U432" i="63"/>
  <c r="V432" i="63"/>
  <c r="W432" i="63"/>
  <c r="X432" i="63"/>
  <c r="AO432" i="63"/>
  <c r="AP432" i="63"/>
  <c r="AQ432" i="63"/>
  <c r="AR432" i="63"/>
  <c r="AS432" i="63"/>
  <c r="AT432" i="63"/>
  <c r="AU432" i="63"/>
  <c r="AW432" i="63"/>
  <c r="AX432" i="63"/>
  <c r="AY432" i="63"/>
  <c r="BA432" i="63"/>
  <c r="A433" i="63"/>
  <c r="B433" i="63"/>
  <c r="D433" i="63"/>
  <c r="E433" i="63"/>
  <c r="F433" i="63"/>
  <c r="G433" i="63"/>
  <c r="H433" i="63"/>
  <c r="J433" i="63"/>
  <c r="K433" i="63"/>
  <c r="L433" i="63"/>
  <c r="M433" i="63"/>
  <c r="O433" i="63"/>
  <c r="P433" i="63"/>
  <c r="R433" i="63"/>
  <c r="S433" i="63"/>
  <c r="T433" i="63"/>
  <c r="U433" i="63"/>
  <c r="V433" i="63"/>
  <c r="W433" i="63"/>
  <c r="X433" i="63"/>
  <c r="AO433" i="63"/>
  <c r="AP433" i="63"/>
  <c r="AQ433" i="63"/>
  <c r="AR433" i="63"/>
  <c r="AS433" i="63"/>
  <c r="AT433" i="63"/>
  <c r="AU433" i="63"/>
  <c r="AW433" i="63"/>
  <c r="AX433" i="63"/>
  <c r="AY433" i="63"/>
  <c r="BA433" i="63"/>
  <c r="A434" i="63"/>
  <c r="B434" i="63"/>
  <c r="D434" i="63"/>
  <c r="E434" i="63"/>
  <c r="F434" i="63"/>
  <c r="G434" i="63"/>
  <c r="H434" i="63"/>
  <c r="J434" i="63"/>
  <c r="K434" i="63"/>
  <c r="L434" i="63"/>
  <c r="M434" i="63"/>
  <c r="O434" i="63"/>
  <c r="P434" i="63"/>
  <c r="R434" i="63"/>
  <c r="S434" i="63"/>
  <c r="T434" i="63"/>
  <c r="U434" i="63"/>
  <c r="V434" i="63"/>
  <c r="W434" i="63"/>
  <c r="X434" i="63"/>
  <c r="AO434" i="63"/>
  <c r="AP434" i="63"/>
  <c r="AQ434" i="63"/>
  <c r="AR434" i="63"/>
  <c r="AS434" i="63"/>
  <c r="AT434" i="63"/>
  <c r="AU434" i="63"/>
  <c r="AW434" i="63"/>
  <c r="AX434" i="63"/>
  <c r="AY434" i="63"/>
  <c r="BA434" i="63"/>
  <c r="A435" i="63"/>
  <c r="B435" i="63"/>
  <c r="D435" i="63"/>
  <c r="E435" i="63"/>
  <c r="F435" i="63"/>
  <c r="G435" i="63"/>
  <c r="H435" i="63"/>
  <c r="J435" i="63"/>
  <c r="K435" i="63"/>
  <c r="L435" i="63"/>
  <c r="M435" i="63"/>
  <c r="O435" i="63"/>
  <c r="P435" i="63"/>
  <c r="R435" i="63"/>
  <c r="S435" i="63"/>
  <c r="T435" i="63"/>
  <c r="U435" i="63"/>
  <c r="V435" i="63"/>
  <c r="W435" i="63"/>
  <c r="X435" i="63"/>
  <c r="AO435" i="63"/>
  <c r="AP435" i="63"/>
  <c r="AQ435" i="63"/>
  <c r="AR435" i="63"/>
  <c r="AS435" i="63"/>
  <c r="AT435" i="63"/>
  <c r="AU435" i="63"/>
  <c r="AW435" i="63"/>
  <c r="AX435" i="63"/>
  <c r="AY435" i="63"/>
  <c r="BA435" i="63"/>
  <c r="A436" i="63"/>
  <c r="B436" i="63"/>
  <c r="D436" i="63"/>
  <c r="E436" i="63"/>
  <c r="F436" i="63"/>
  <c r="G436" i="63"/>
  <c r="H436" i="63"/>
  <c r="J436" i="63"/>
  <c r="K436" i="63"/>
  <c r="L436" i="63"/>
  <c r="M436" i="63"/>
  <c r="O436" i="63"/>
  <c r="P436" i="63"/>
  <c r="R436" i="63"/>
  <c r="S436" i="63"/>
  <c r="T436" i="63"/>
  <c r="U436" i="63"/>
  <c r="V436" i="63"/>
  <c r="W436" i="63"/>
  <c r="X436" i="63"/>
  <c r="AO436" i="63"/>
  <c r="AP436" i="63"/>
  <c r="AQ436" i="63"/>
  <c r="AR436" i="63"/>
  <c r="AS436" i="63"/>
  <c r="AT436" i="63"/>
  <c r="AU436" i="63"/>
  <c r="AW436" i="63"/>
  <c r="AX436" i="63"/>
  <c r="AY436" i="63"/>
  <c r="BA436" i="63"/>
  <c r="A437" i="63"/>
  <c r="B437" i="63"/>
  <c r="D437" i="63"/>
  <c r="E437" i="63"/>
  <c r="F437" i="63"/>
  <c r="G437" i="63"/>
  <c r="H437" i="63"/>
  <c r="J437" i="63"/>
  <c r="K437" i="63"/>
  <c r="L437" i="63"/>
  <c r="M437" i="63"/>
  <c r="O437" i="63"/>
  <c r="P437" i="63"/>
  <c r="R437" i="63"/>
  <c r="S437" i="63"/>
  <c r="T437" i="63"/>
  <c r="U437" i="63"/>
  <c r="V437" i="63"/>
  <c r="W437" i="63"/>
  <c r="X437" i="63"/>
  <c r="AO437" i="63"/>
  <c r="AP437" i="63"/>
  <c r="AQ437" i="63"/>
  <c r="AR437" i="63"/>
  <c r="AS437" i="63"/>
  <c r="AT437" i="63"/>
  <c r="AU437" i="63"/>
  <c r="AW437" i="63"/>
  <c r="AX437" i="63"/>
  <c r="AY437" i="63"/>
  <c r="BA437" i="63"/>
  <c r="A438" i="63"/>
  <c r="B438" i="63"/>
  <c r="D438" i="63"/>
  <c r="E438" i="63"/>
  <c r="F438" i="63"/>
  <c r="G438" i="63"/>
  <c r="H438" i="63"/>
  <c r="J438" i="63"/>
  <c r="K438" i="63"/>
  <c r="L438" i="63"/>
  <c r="M438" i="63"/>
  <c r="O438" i="63"/>
  <c r="P438" i="63"/>
  <c r="R438" i="63"/>
  <c r="S438" i="63"/>
  <c r="T438" i="63"/>
  <c r="U438" i="63"/>
  <c r="V438" i="63"/>
  <c r="W438" i="63"/>
  <c r="X438" i="63"/>
  <c r="AO438" i="63"/>
  <c r="AP438" i="63"/>
  <c r="AQ438" i="63"/>
  <c r="AR438" i="63"/>
  <c r="AS438" i="63"/>
  <c r="AT438" i="63"/>
  <c r="AU438" i="63"/>
  <c r="AW438" i="63"/>
  <c r="AX438" i="63"/>
  <c r="AY438" i="63"/>
  <c r="BA438" i="63"/>
  <c r="A439" i="63"/>
  <c r="B439" i="63"/>
  <c r="D439" i="63"/>
  <c r="E439" i="63"/>
  <c r="F439" i="63"/>
  <c r="G439" i="63"/>
  <c r="H439" i="63"/>
  <c r="J439" i="63"/>
  <c r="K439" i="63"/>
  <c r="L439" i="63"/>
  <c r="M439" i="63"/>
  <c r="O439" i="63"/>
  <c r="P439" i="63"/>
  <c r="R439" i="63"/>
  <c r="S439" i="63"/>
  <c r="T439" i="63"/>
  <c r="U439" i="63"/>
  <c r="V439" i="63"/>
  <c r="W439" i="63"/>
  <c r="X439" i="63"/>
  <c r="AO439" i="63"/>
  <c r="AP439" i="63"/>
  <c r="AQ439" i="63"/>
  <c r="AR439" i="63"/>
  <c r="AS439" i="63"/>
  <c r="AT439" i="63"/>
  <c r="AU439" i="63"/>
  <c r="AW439" i="63"/>
  <c r="AX439" i="63"/>
  <c r="AY439" i="63"/>
  <c r="BA439" i="63"/>
  <c r="A440" i="63"/>
  <c r="B440" i="63"/>
  <c r="D440" i="63"/>
  <c r="E440" i="63"/>
  <c r="F440" i="63"/>
  <c r="G440" i="63"/>
  <c r="H440" i="63"/>
  <c r="J440" i="63"/>
  <c r="K440" i="63"/>
  <c r="L440" i="63"/>
  <c r="M440" i="63"/>
  <c r="O440" i="63"/>
  <c r="P440" i="63"/>
  <c r="R440" i="63"/>
  <c r="S440" i="63"/>
  <c r="T440" i="63"/>
  <c r="U440" i="63"/>
  <c r="V440" i="63"/>
  <c r="W440" i="63"/>
  <c r="X440" i="63"/>
  <c r="AO440" i="63"/>
  <c r="AP440" i="63"/>
  <c r="AQ440" i="63"/>
  <c r="AR440" i="63"/>
  <c r="AS440" i="63"/>
  <c r="AT440" i="63"/>
  <c r="AU440" i="63"/>
  <c r="AW440" i="63"/>
  <c r="AX440" i="63"/>
  <c r="AY440" i="63"/>
  <c r="BA440" i="63"/>
  <c r="A441" i="63"/>
  <c r="B441" i="63"/>
  <c r="D441" i="63"/>
  <c r="E441" i="63"/>
  <c r="F441" i="63"/>
  <c r="G441" i="63"/>
  <c r="H441" i="63"/>
  <c r="J441" i="63"/>
  <c r="K441" i="63"/>
  <c r="L441" i="63"/>
  <c r="M441" i="63"/>
  <c r="O441" i="63"/>
  <c r="P441" i="63"/>
  <c r="R441" i="63"/>
  <c r="S441" i="63"/>
  <c r="T441" i="63"/>
  <c r="U441" i="63"/>
  <c r="V441" i="63"/>
  <c r="W441" i="63"/>
  <c r="X441" i="63"/>
  <c r="AO441" i="63"/>
  <c r="AP441" i="63"/>
  <c r="AQ441" i="63"/>
  <c r="AR441" i="63"/>
  <c r="AS441" i="63"/>
  <c r="AT441" i="63"/>
  <c r="AU441" i="63"/>
  <c r="AW441" i="63"/>
  <c r="AX441" i="63"/>
  <c r="AY441" i="63"/>
  <c r="BA441" i="63"/>
  <c r="A442" i="63"/>
  <c r="B442" i="63"/>
  <c r="D442" i="63"/>
  <c r="E442" i="63"/>
  <c r="F442" i="63"/>
  <c r="G442" i="63"/>
  <c r="H442" i="63"/>
  <c r="J442" i="63"/>
  <c r="K442" i="63"/>
  <c r="L442" i="63"/>
  <c r="M442" i="63"/>
  <c r="O442" i="63"/>
  <c r="P442" i="63"/>
  <c r="R442" i="63"/>
  <c r="S442" i="63"/>
  <c r="T442" i="63"/>
  <c r="U442" i="63"/>
  <c r="V442" i="63"/>
  <c r="W442" i="63"/>
  <c r="X442" i="63"/>
  <c r="AO442" i="63"/>
  <c r="AP442" i="63"/>
  <c r="AQ442" i="63"/>
  <c r="AR442" i="63"/>
  <c r="AS442" i="63"/>
  <c r="AT442" i="63"/>
  <c r="AU442" i="63"/>
  <c r="AW442" i="63"/>
  <c r="AX442" i="63"/>
  <c r="AY442" i="63"/>
  <c r="BA442" i="63"/>
  <c r="A443" i="63"/>
  <c r="B443" i="63"/>
  <c r="D443" i="63"/>
  <c r="E443" i="63"/>
  <c r="F443" i="63"/>
  <c r="G443" i="63"/>
  <c r="H443" i="63"/>
  <c r="J443" i="63"/>
  <c r="K443" i="63"/>
  <c r="L443" i="63"/>
  <c r="M443" i="63"/>
  <c r="O443" i="63"/>
  <c r="P443" i="63"/>
  <c r="R443" i="63"/>
  <c r="S443" i="63"/>
  <c r="T443" i="63"/>
  <c r="U443" i="63"/>
  <c r="V443" i="63"/>
  <c r="W443" i="63"/>
  <c r="X443" i="63"/>
  <c r="AO443" i="63"/>
  <c r="AP443" i="63"/>
  <c r="AQ443" i="63"/>
  <c r="AR443" i="63"/>
  <c r="AS443" i="63"/>
  <c r="AT443" i="63"/>
  <c r="AU443" i="63"/>
  <c r="AW443" i="63"/>
  <c r="AX443" i="63"/>
  <c r="AY443" i="63"/>
  <c r="BA443" i="63"/>
  <c r="A444" i="63"/>
  <c r="B444" i="63"/>
  <c r="D444" i="63"/>
  <c r="E444" i="63"/>
  <c r="F444" i="63"/>
  <c r="G444" i="63"/>
  <c r="H444" i="63"/>
  <c r="J444" i="63"/>
  <c r="K444" i="63"/>
  <c r="L444" i="63"/>
  <c r="M444" i="63"/>
  <c r="O444" i="63"/>
  <c r="P444" i="63"/>
  <c r="R444" i="63"/>
  <c r="S444" i="63"/>
  <c r="T444" i="63"/>
  <c r="U444" i="63"/>
  <c r="V444" i="63"/>
  <c r="W444" i="63"/>
  <c r="X444" i="63"/>
  <c r="AO444" i="63"/>
  <c r="AP444" i="63"/>
  <c r="AQ444" i="63"/>
  <c r="AR444" i="63"/>
  <c r="AS444" i="63"/>
  <c r="AT444" i="63"/>
  <c r="AU444" i="63"/>
  <c r="AW444" i="63"/>
  <c r="AX444" i="63"/>
  <c r="AY444" i="63"/>
  <c r="BA444" i="63"/>
  <c r="A445" i="63"/>
  <c r="B445" i="63"/>
  <c r="D445" i="63"/>
  <c r="E445" i="63"/>
  <c r="F445" i="63"/>
  <c r="G445" i="63"/>
  <c r="H445" i="63"/>
  <c r="J445" i="63"/>
  <c r="K445" i="63"/>
  <c r="L445" i="63"/>
  <c r="M445" i="63"/>
  <c r="O445" i="63"/>
  <c r="P445" i="63"/>
  <c r="R445" i="63"/>
  <c r="S445" i="63"/>
  <c r="T445" i="63"/>
  <c r="U445" i="63"/>
  <c r="V445" i="63"/>
  <c r="W445" i="63"/>
  <c r="X445" i="63"/>
  <c r="AO445" i="63"/>
  <c r="AP445" i="63"/>
  <c r="AQ445" i="63"/>
  <c r="AR445" i="63"/>
  <c r="AS445" i="63"/>
  <c r="AT445" i="63"/>
  <c r="AU445" i="63"/>
  <c r="AW445" i="63"/>
  <c r="AX445" i="63"/>
  <c r="AY445" i="63"/>
  <c r="BA445" i="63"/>
  <c r="A446" i="63"/>
  <c r="B446" i="63"/>
  <c r="D446" i="63"/>
  <c r="E446" i="63"/>
  <c r="F446" i="63"/>
  <c r="G446" i="63"/>
  <c r="H446" i="63"/>
  <c r="J446" i="63"/>
  <c r="K446" i="63"/>
  <c r="L446" i="63"/>
  <c r="M446" i="63"/>
  <c r="O446" i="63"/>
  <c r="P446" i="63"/>
  <c r="R446" i="63"/>
  <c r="S446" i="63"/>
  <c r="T446" i="63"/>
  <c r="U446" i="63"/>
  <c r="V446" i="63"/>
  <c r="W446" i="63"/>
  <c r="X446" i="63"/>
  <c r="AO446" i="63"/>
  <c r="AP446" i="63"/>
  <c r="AQ446" i="63"/>
  <c r="AR446" i="63"/>
  <c r="AS446" i="63"/>
  <c r="AT446" i="63"/>
  <c r="AU446" i="63"/>
  <c r="AW446" i="63"/>
  <c r="AX446" i="63"/>
  <c r="AY446" i="63"/>
  <c r="BA446" i="63"/>
  <c r="A447" i="63"/>
  <c r="B447" i="63"/>
  <c r="D447" i="63"/>
  <c r="E447" i="63"/>
  <c r="F447" i="63"/>
  <c r="G447" i="63"/>
  <c r="H447" i="63"/>
  <c r="J447" i="63"/>
  <c r="K447" i="63"/>
  <c r="L447" i="63"/>
  <c r="M447" i="63"/>
  <c r="O447" i="63"/>
  <c r="P447" i="63"/>
  <c r="R447" i="63"/>
  <c r="S447" i="63"/>
  <c r="T447" i="63"/>
  <c r="U447" i="63"/>
  <c r="V447" i="63"/>
  <c r="W447" i="63"/>
  <c r="X447" i="63"/>
  <c r="AO447" i="63"/>
  <c r="AP447" i="63"/>
  <c r="AQ447" i="63"/>
  <c r="AR447" i="63"/>
  <c r="AS447" i="63"/>
  <c r="AT447" i="63"/>
  <c r="AU447" i="63"/>
  <c r="AW447" i="63"/>
  <c r="AX447" i="63"/>
  <c r="AY447" i="63"/>
  <c r="BA447" i="63"/>
  <c r="A448" i="63"/>
  <c r="B448" i="63"/>
  <c r="D448" i="63"/>
  <c r="E448" i="63"/>
  <c r="F448" i="63"/>
  <c r="G448" i="63"/>
  <c r="H448" i="63"/>
  <c r="J448" i="63"/>
  <c r="K448" i="63"/>
  <c r="L448" i="63"/>
  <c r="M448" i="63"/>
  <c r="O448" i="63"/>
  <c r="P448" i="63"/>
  <c r="R448" i="63"/>
  <c r="S448" i="63"/>
  <c r="T448" i="63"/>
  <c r="U448" i="63"/>
  <c r="V448" i="63"/>
  <c r="W448" i="63"/>
  <c r="X448" i="63"/>
  <c r="AO448" i="63"/>
  <c r="AP448" i="63"/>
  <c r="AQ448" i="63"/>
  <c r="AR448" i="63"/>
  <c r="AS448" i="63"/>
  <c r="AT448" i="63"/>
  <c r="AU448" i="63"/>
  <c r="AW448" i="63"/>
  <c r="AX448" i="63"/>
  <c r="AY448" i="63"/>
  <c r="BA448" i="63"/>
  <c r="A449" i="63"/>
  <c r="B449" i="63"/>
  <c r="D449" i="63"/>
  <c r="E449" i="63"/>
  <c r="F449" i="63"/>
  <c r="G449" i="63"/>
  <c r="H449" i="63"/>
  <c r="J449" i="63"/>
  <c r="K449" i="63"/>
  <c r="L449" i="63"/>
  <c r="M449" i="63"/>
  <c r="O449" i="63"/>
  <c r="P449" i="63"/>
  <c r="R449" i="63"/>
  <c r="S449" i="63"/>
  <c r="T449" i="63"/>
  <c r="U449" i="63"/>
  <c r="V449" i="63"/>
  <c r="W449" i="63"/>
  <c r="X449" i="63"/>
  <c r="AO449" i="63"/>
  <c r="AP449" i="63"/>
  <c r="AQ449" i="63"/>
  <c r="AR449" i="63"/>
  <c r="AS449" i="63"/>
  <c r="AT449" i="63"/>
  <c r="AU449" i="63"/>
  <c r="AW449" i="63"/>
  <c r="AX449" i="63"/>
  <c r="AY449" i="63"/>
  <c r="BA449" i="63"/>
  <c r="A450" i="63"/>
  <c r="B450" i="63"/>
  <c r="D450" i="63"/>
  <c r="E450" i="63"/>
  <c r="F450" i="63"/>
  <c r="G450" i="63"/>
  <c r="H450" i="63"/>
  <c r="J450" i="63"/>
  <c r="K450" i="63"/>
  <c r="L450" i="63"/>
  <c r="M450" i="63"/>
  <c r="O450" i="63"/>
  <c r="P450" i="63"/>
  <c r="R450" i="63"/>
  <c r="S450" i="63"/>
  <c r="T450" i="63"/>
  <c r="U450" i="63"/>
  <c r="V450" i="63"/>
  <c r="W450" i="63"/>
  <c r="X450" i="63"/>
  <c r="AO450" i="63"/>
  <c r="AP450" i="63"/>
  <c r="AQ450" i="63"/>
  <c r="AR450" i="63"/>
  <c r="AS450" i="63"/>
  <c r="AT450" i="63"/>
  <c r="AU450" i="63"/>
  <c r="AW450" i="63"/>
  <c r="AX450" i="63"/>
  <c r="AY450" i="63"/>
  <c r="BA450" i="63"/>
  <c r="A451" i="63"/>
  <c r="B451" i="63"/>
  <c r="D451" i="63"/>
  <c r="E451" i="63"/>
  <c r="F451" i="63"/>
  <c r="G451" i="63"/>
  <c r="H451" i="63"/>
  <c r="J451" i="63"/>
  <c r="K451" i="63"/>
  <c r="L451" i="63"/>
  <c r="M451" i="63"/>
  <c r="O451" i="63"/>
  <c r="P451" i="63"/>
  <c r="R451" i="63"/>
  <c r="S451" i="63"/>
  <c r="T451" i="63"/>
  <c r="U451" i="63"/>
  <c r="V451" i="63"/>
  <c r="W451" i="63"/>
  <c r="X451" i="63"/>
  <c r="AO451" i="63"/>
  <c r="AP451" i="63"/>
  <c r="AQ451" i="63"/>
  <c r="AR451" i="63"/>
  <c r="AS451" i="63"/>
  <c r="AT451" i="63"/>
  <c r="AU451" i="63"/>
  <c r="AW451" i="63"/>
  <c r="AX451" i="63"/>
  <c r="AY451" i="63"/>
  <c r="BA451" i="63"/>
  <c r="A452" i="63"/>
  <c r="B452" i="63"/>
  <c r="D452" i="63"/>
  <c r="E452" i="63"/>
  <c r="F452" i="63"/>
  <c r="G452" i="63"/>
  <c r="H452" i="63"/>
  <c r="J452" i="63"/>
  <c r="K452" i="63"/>
  <c r="L452" i="63"/>
  <c r="M452" i="63"/>
  <c r="O452" i="63"/>
  <c r="P452" i="63"/>
  <c r="R452" i="63"/>
  <c r="S452" i="63"/>
  <c r="T452" i="63"/>
  <c r="U452" i="63"/>
  <c r="V452" i="63"/>
  <c r="W452" i="63"/>
  <c r="X452" i="63"/>
  <c r="AO452" i="63"/>
  <c r="AP452" i="63"/>
  <c r="AQ452" i="63"/>
  <c r="AR452" i="63"/>
  <c r="AS452" i="63"/>
  <c r="AT452" i="63"/>
  <c r="AU452" i="63"/>
  <c r="AW452" i="63"/>
  <c r="AX452" i="63"/>
  <c r="AY452" i="63"/>
  <c r="BA452" i="63"/>
  <c r="A453" i="63"/>
  <c r="B453" i="63"/>
  <c r="D453" i="63"/>
  <c r="E453" i="63"/>
  <c r="F453" i="63"/>
  <c r="G453" i="63"/>
  <c r="H453" i="63"/>
  <c r="J453" i="63"/>
  <c r="K453" i="63"/>
  <c r="L453" i="63"/>
  <c r="M453" i="63"/>
  <c r="O453" i="63"/>
  <c r="P453" i="63"/>
  <c r="R453" i="63"/>
  <c r="S453" i="63"/>
  <c r="T453" i="63"/>
  <c r="U453" i="63"/>
  <c r="V453" i="63"/>
  <c r="W453" i="63"/>
  <c r="X453" i="63"/>
  <c r="AO453" i="63"/>
  <c r="AP453" i="63"/>
  <c r="AQ453" i="63"/>
  <c r="AR453" i="63"/>
  <c r="AS453" i="63"/>
  <c r="AT453" i="63"/>
  <c r="AU453" i="63"/>
  <c r="AW453" i="63"/>
  <c r="AX453" i="63"/>
  <c r="AY453" i="63"/>
  <c r="BA453" i="63"/>
  <c r="A454" i="63"/>
  <c r="B454" i="63"/>
  <c r="D454" i="63"/>
  <c r="E454" i="63"/>
  <c r="F454" i="63"/>
  <c r="G454" i="63"/>
  <c r="H454" i="63"/>
  <c r="J454" i="63"/>
  <c r="K454" i="63"/>
  <c r="L454" i="63"/>
  <c r="M454" i="63"/>
  <c r="O454" i="63"/>
  <c r="P454" i="63"/>
  <c r="R454" i="63"/>
  <c r="S454" i="63"/>
  <c r="T454" i="63"/>
  <c r="U454" i="63"/>
  <c r="V454" i="63"/>
  <c r="W454" i="63"/>
  <c r="X454" i="63"/>
  <c r="AO454" i="63"/>
  <c r="AP454" i="63"/>
  <c r="AQ454" i="63"/>
  <c r="AR454" i="63"/>
  <c r="AS454" i="63"/>
  <c r="AT454" i="63"/>
  <c r="AU454" i="63"/>
  <c r="AW454" i="63"/>
  <c r="AX454" i="63"/>
  <c r="AY454" i="63"/>
  <c r="BA454" i="63"/>
  <c r="A455" i="63"/>
  <c r="B455" i="63"/>
  <c r="D455" i="63"/>
  <c r="E455" i="63"/>
  <c r="F455" i="63"/>
  <c r="G455" i="63"/>
  <c r="H455" i="63"/>
  <c r="J455" i="63"/>
  <c r="K455" i="63"/>
  <c r="L455" i="63"/>
  <c r="M455" i="63"/>
  <c r="O455" i="63"/>
  <c r="P455" i="63"/>
  <c r="R455" i="63"/>
  <c r="S455" i="63"/>
  <c r="T455" i="63"/>
  <c r="U455" i="63"/>
  <c r="V455" i="63"/>
  <c r="W455" i="63"/>
  <c r="X455" i="63"/>
  <c r="AO455" i="63"/>
  <c r="AP455" i="63"/>
  <c r="AQ455" i="63"/>
  <c r="AR455" i="63"/>
  <c r="AS455" i="63"/>
  <c r="AT455" i="63"/>
  <c r="AU455" i="63"/>
  <c r="AW455" i="63"/>
  <c r="AX455" i="63"/>
  <c r="AY455" i="63"/>
  <c r="BA455" i="63"/>
  <c r="A456" i="63"/>
  <c r="B456" i="63"/>
  <c r="D456" i="63"/>
  <c r="E456" i="63"/>
  <c r="F456" i="63"/>
  <c r="G456" i="63"/>
  <c r="H456" i="63"/>
  <c r="J456" i="63"/>
  <c r="K456" i="63"/>
  <c r="L456" i="63"/>
  <c r="M456" i="63"/>
  <c r="O456" i="63"/>
  <c r="P456" i="63"/>
  <c r="R456" i="63"/>
  <c r="S456" i="63"/>
  <c r="T456" i="63"/>
  <c r="U456" i="63"/>
  <c r="V456" i="63"/>
  <c r="W456" i="63"/>
  <c r="X456" i="63"/>
  <c r="AO456" i="63"/>
  <c r="AP456" i="63"/>
  <c r="AQ456" i="63"/>
  <c r="AR456" i="63"/>
  <c r="AS456" i="63"/>
  <c r="AT456" i="63"/>
  <c r="AU456" i="63"/>
  <c r="AW456" i="63"/>
  <c r="AX456" i="63"/>
  <c r="AY456" i="63"/>
  <c r="BA456" i="63"/>
  <c r="A457" i="63"/>
  <c r="B457" i="63"/>
  <c r="D457" i="63"/>
  <c r="E457" i="63"/>
  <c r="F457" i="63"/>
  <c r="G457" i="63"/>
  <c r="H457" i="63"/>
  <c r="J457" i="63"/>
  <c r="K457" i="63"/>
  <c r="L457" i="63"/>
  <c r="M457" i="63"/>
  <c r="O457" i="63"/>
  <c r="P457" i="63"/>
  <c r="R457" i="63"/>
  <c r="S457" i="63"/>
  <c r="T457" i="63"/>
  <c r="U457" i="63"/>
  <c r="V457" i="63"/>
  <c r="W457" i="63"/>
  <c r="X457" i="63"/>
  <c r="AO457" i="63"/>
  <c r="AP457" i="63"/>
  <c r="AQ457" i="63"/>
  <c r="AR457" i="63"/>
  <c r="AS457" i="63"/>
  <c r="AT457" i="63"/>
  <c r="AU457" i="63"/>
  <c r="AW457" i="63"/>
  <c r="AX457" i="63"/>
  <c r="AY457" i="63"/>
  <c r="BA457" i="63"/>
  <c r="A458" i="63"/>
  <c r="B458" i="63"/>
  <c r="D458" i="63"/>
  <c r="E458" i="63"/>
  <c r="F458" i="63"/>
  <c r="G458" i="63"/>
  <c r="H458" i="63"/>
  <c r="J458" i="63"/>
  <c r="K458" i="63"/>
  <c r="L458" i="63"/>
  <c r="M458" i="63"/>
  <c r="O458" i="63"/>
  <c r="P458" i="63"/>
  <c r="R458" i="63"/>
  <c r="S458" i="63"/>
  <c r="T458" i="63"/>
  <c r="U458" i="63"/>
  <c r="V458" i="63"/>
  <c r="W458" i="63"/>
  <c r="X458" i="63"/>
  <c r="AO458" i="63"/>
  <c r="AP458" i="63"/>
  <c r="AQ458" i="63"/>
  <c r="AR458" i="63"/>
  <c r="AS458" i="63"/>
  <c r="AT458" i="63"/>
  <c r="AU458" i="63"/>
  <c r="AW458" i="63"/>
  <c r="AX458" i="63"/>
  <c r="AY458" i="63"/>
  <c r="BA458" i="63"/>
  <c r="A459" i="63"/>
  <c r="B459" i="63"/>
  <c r="D459" i="63"/>
  <c r="E459" i="63"/>
  <c r="F459" i="63"/>
  <c r="G459" i="63"/>
  <c r="H459" i="63"/>
  <c r="J459" i="63"/>
  <c r="K459" i="63"/>
  <c r="L459" i="63"/>
  <c r="M459" i="63"/>
  <c r="O459" i="63"/>
  <c r="P459" i="63"/>
  <c r="R459" i="63"/>
  <c r="S459" i="63"/>
  <c r="T459" i="63"/>
  <c r="U459" i="63"/>
  <c r="V459" i="63"/>
  <c r="W459" i="63"/>
  <c r="X459" i="63"/>
  <c r="AO459" i="63"/>
  <c r="AP459" i="63"/>
  <c r="AQ459" i="63"/>
  <c r="AR459" i="63"/>
  <c r="AS459" i="63"/>
  <c r="AT459" i="63"/>
  <c r="AU459" i="63"/>
  <c r="AW459" i="63"/>
  <c r="AX459" i="63"/>
  <c r="AY459" i="63"/>
  <c r="BA459" i="63"/>
  <c r="A460" i="63"/>
  <c r="B460" i="63"/>
  <c r="D460" i="63"/>
  <c r="E460" i="63"/>
  <c r="F460" i="63"/>
  <c r="G460" i="63"/>
  <c r="H460" i="63"/>
  <c r="J460" i="63"/>
  <c r="K460" i="63"/>
  <c r="L460" i="63"/>
  <c r="M460" i="63"/>
  <c r="O460" i="63"/>
  <c r="P460" i="63"/>
  <c r="R460" i="63"/>
  <c r="S460" i="63"/>
  <c r="T460" i="63"/>
  <c r="U460" i="63"/>
  <c r="V460" i="63"/>
  <c r="W460" i="63"/>
  <c r="X460" i="63"/>
  <c r="AO460" i="63"/>
  <c r="AP460" i="63"/>
  <c r="AQ460" i="63"/>
  <c r="AR460" i="63"/>
  <c r="AS460" i="63"/>
  <c r="AT460" i="63"/>
  <c r="AU460" i="63"/>
  <c r="AW460" i="63"/>
  <c r="AX460" i="63"/>
  <c r="AY460" i="63"/>
  <c r="BA460" i="63"/>
  <c r="A461" i="63"/>
  <c r="B461" i="63"/>
  <c r="D461" i="63"/>
  <c r="E461" i="63"/>
  <c r="F461" i="63"/>
  <c r="G461" i="63"/>
  <c r="H461" i="63"/>
  <c r="J461" i="63"/>
  <c r="K461" i="63"/>
  <c r="L461" i="63"/>
  <c r="M461" i="63"/>
  <c r="O461" i="63"/>
  <c r="P461" i="63"/>
  <c r="R461" i="63"/>
  <c r="S461" i="63"/>
  <c r="T461" i="63"/>
  <c r="U461" i="63"/>
  <c r="V461" i="63"/>
  <c r="W461" i="63"/>
  <c r="X461" i="63"/>
  <c r="AO461" i="63"/>
  <c r="AP461" i="63"/>
  <c r="AQ461" i="63"/>
  <c r="AR461" i="63"/>
  <c r="AS461" i="63"/>
  <c r="AT461" i="63"/>
  <c r="AU461" i="63"/>
  <c r="AW461" i="63"/>
  <c r="AX461" i="63"/>
  <c r="AY461" i="63"/>
  <c r="BA461" i="63"/>
  <c r="A462" i="63"/>
  <c r="B462" i="63"/>
  <c r="D462" i="63"/>
  <c r="E462" i="63"/>
  <c r="F462" i="63"/>
  <c r="G462" i="63"/>
  <c r="H462" i="63"/>
  <c r="J462" i="63"/>
  <c r="K462" i="63"/>
  <c r="L462" i="63"/>
  <c r="M462" i="63"/>
  <c r="O462" i="63"/>
  <c r="P462" i="63"/>
  <c r="R462" i="63"/>
  <c r="S462" i="63"/>
  <c r="T462" i="63"/>
  <c r="U462" i="63"/>
  <c r="V462" i="63"/>
  <c r="W462" i="63"/>
  <c r="X462" i="63"/>
  <c r="AO462" i="63"/>
  <c r="AP462" i="63"/>
  <c r="AQ462" i="63"/>
  <c r="AR462" i="63"/>
  <c r="AS462" i="63"/>
  <c r="AT462" i="63"/>
  <c r="AU462" i="63"/>
  <c r="AW462" i="63"/>
  <c r="AX462" i="63"/>
  <c r="AY462" i="63"/>
  <c r="BA462" i="63"/>
  <c r="A463" i="63"/>
  <c r="B463" i="63"/>
  <c r="D463" i="63"/>
  <c r="E463" i="63"/>
  <c r="F463" i="63"/>
  <c r="G463" i="63"/>
  <c r="H463" i="63"/>
  <c r="J463" i="63"/>
  <c r="K463" i="63"/>
  <c r="L463" i="63"/>
  <c r="M463" i="63"/>
  <c r="O463" i="63"/>
  <c r="P463" i="63"/>
  <c r="R463" i="63"/>
  <c r="S463" i="63"/>
  <c r="T463" i="63"/>
  <c r="U463" i="63"/>
  <c r="V463" i="63"/>
  <c r="W463" i="63"/>
  <c r="X463" i="63"/>
  <c r="AO463" i="63"/>
  <c r="AP463" i="63"/>
  <c r="AQ463" i="63"/>
  <c r="AR463" i="63"/>
  <c r="AS463" i="63"/>
  <c r="AT463" i="63"/>
  <c r="AU463" i="63"/>
  <c r="AW463" i="63"/>
  <c r="AX463" i="63"/>
  <c r="AY463" i="63"/>
  <c r="BA463" i="63"/>
  <c r="A464" i="63"/>
  <c r="B464" i="63"/>
  <c r="D464" i="63"/>
  <c r="E464" i="63"/>
  <c r="F464" i="63"/>
  <c r="G464" i="63"/>
  <c r="H464" i="63"/>
  <c r="J464" i="63"/>
  <c r="K464" i="63"/>
  <c r="L464" i="63"/>
  <c r="M464" i="63"/>
  <c r="O464" i="63"/>
  <c r="P464" i="63"/>
  <c r="R464" i="63"/>
  <c r="S464" i="63"/>
  <c r="T464" i="63"/>
  <c r="U464" i="63"/>
  <c r="V464" i="63"/>
  <c r="W464" i="63"/>
  <c r="X464" i="63"/>
  <c r="AO464" i="63"/>
  <c r="AP464" i="63"/>
  <c r="AQ464" i="63"/>
  <c r="AR464" i="63"/>
  <c r="AS464" i="63"/>
  <c r="AT464" i="63"/>
  <c r="AU464" i="63"/>
  <c r="AW464" i="63"/>
  <c r="AX464" i="63"/>
  <c r="AY464" i="63"/>
  <c r="BA464" i="63"/>
  <c r="A465" i="63"/>
  <c r="B465" i="63"/>
  <c r="D465" i="63"/>
  <c r="E465" i="63"/>
  <c r="F465" i="63"/>
  <c r="G465" i="63"/>
  <c r="H465" i="63"/>
  <c r="J465" i="63"/>
  <c r="K465" i="63"/>
  <c r="L465" i="63"/>
  <c r="M465" i="63"/>
  <c r="O465" i="63"/>
  <c r="P465" i="63"/>
  <c r="R465" i="63"/>
  <c r="S465" i="63"/>
  <c r="T465" i="63"/>
  <c r="U465" i="63"/>
  <c r="V465" i="63"/>
  <c r="W465" i="63"/>
  <c r="X465" i="63"/>
  <c r="AO465" i="63"/>
  <c r="AP465" i="63"/>
  <c r="AQ465" i="63"/>
  <c r="AR465" i="63"/>
  <c r="AS465" i="63"/>
  <c r="AT465" i="63"/>
  <c r="AU465" i="63"/>
  <c r="AW465" i="63"/>
  <c r="AX465" i="63"/>
  <c r="AY465" i="63"/>
  <c r="BA465" i="63"/>
  <c r="A466" i="63"/>
  <c r="B466" i="63"/>
  <c r="D466" i="63"/>
  <c r="E466" i="63"/>
  <c r="F466" i="63"/>
  <c r="G466" i="63"/>
  <c r="H466" i="63"/>
  <c r="J466" i="63"/>
  <c r="K466" i="63"/>
  <c r="L466" i="63"/>
  <c r="M466" i="63"/>
  <c r="O466" i="63"/>
  <c r="P466" i="63"/>
  <c r="R466" i="63"/>
  <c r="S466" i="63"/>
  <c r="T466" i="63"/>
  <c r="U466" i="63"/>
  <c r="V466" i="63"/>
  <c r="W466" i="63"/>
  <c r="X466" i="63"/>
  <c r="AO466" i="63"/>
  <c r="AP466" i="63"/>
  <c r="AQ466" i="63"/>
  <c r="AR466" i="63"/>
  <c r="AS466" i="63"/>
  <c r="AT466" i="63"/>
  <c r="AU466" i="63"/>
  <c r="AW466" i="63"/>
  <c r="AX466" i="63"/>
  <c r="AY466" i="63"/>
  <c r="BA466" i="63"/>
  <c r="A467" i="63"/>
  <c r="B467" i="63"/>
  <c r="D467" i="63"/>
  <c r="E467" i="63"/>
  <c r="F467" i="63"/>
  <c r="G467" i="63"/>
  <c r="H467" i="63"/>
  <c r="J467" i="63"/>
  <c r="K467" i="63"/>
  <c r="L467" i="63"/>
  <c r="M467" i="63"/>
  <c r="O467" i="63"/>
  <c r="P467" i="63"/>
  <c r="R467" i="63"/>
  <c r="S467" i="63"/>
  <c r="T467" i="63"/>
  <c r="U467" i="63"/>
  <c r="V467" i="63"/>
  <c r="W467" i="63"/>
  <c r="X467" i="63"/>
  <c r="AO467" i="63"/>
  <c r="AP467" i="63"/>
  <c r="AQ467" i="63"/>
  <c r="AR467" i="63"/>
  <c r="AS467" i="63"/>
  <c r="AT467" i="63"/>
  <c r="AU467" i="63"/>
  <c r="AW467" i="63"/>
  <c r="AX467" i="63"/>
  <c r="AY467" i="63"/>
  <c r="BA467" i="63"/>
  <c r="A468" i="63"/>
  <c r="B468" i="63"/>
  <c r="D468" i="63"/>
  <c r="E468" i="63"/>
  <c r="F468" i="63"/>
  <c r="G468" i="63"/>
  <c r="H468" i="63"/>
  <c r="J468" i="63"/>
  <c r="K468" i="63"/>
  <c r="L468" i="63"/>
  <c r="M468" i="63"/>
  <c r="O468" i="63"/>
  <c r="P468" i="63"/>
  <c r="R468" i="63"/>
  <c r="S468" i="63"/>
  <c r="T468" i="63"/>
  <c r="U468" i="63"/>
  <c r="V468" i="63"/>
  <c r="W468" i="63"/>
  <c r="X468" i="63"/>
  <c r="AO468" i="63"/>
  <c r="AP468" i="63"/>
  <c r="AQ468" i="63"/>
  <c r="AR468" i="63"/>
  <c r="AS468" i="63"/>
  <c r="AT468" i="63"/>
  <c r="AU468" i="63"/>
  <c r="AW468" i="63"/>
  <c r="AX468" i="63"/>
  <c r="AY468" i="63"/>
  <c r="BA468" i="63"/>
  <c r="A469" i="63"/>
  <c r="B469" i="63"/>
  <c r="D469" i="63"/>
  <c r="E469" i="63"/>
  <c r="F469" i="63"/>
  <c r="G469" i="63"/>
  <c r="H469" i="63"/>
  <c r="J469" i="63"/>
  <c r="K469" i="63"/>
  <c r="L469" i="63"/>
  <c r="M469" i="63"/>
  <c r="O469" i="63"/>
  <c r="P469" i="63"/>
  <c r="R469" i="63"/>
  <c r="S469" i="63"/>
  <c r="T469" i="63"/>
  <c r="U469" i="63"/>
  <c r="V469" i="63"/>
  <c r="W469" i="63"/>
  <c r="X469" i="63"/>
  <c r="AO469" i="63"/>
  <c r="AP469" i="63"/>
  <c r="AQ469" i="63"/>
  <c r="AR469" i="63"/>
  <c r="AS469" i="63"/>
  <c r="AT469" i="63"/>
  <c r="AU469" i="63"/>
  <c r="AW469" i="63"/>
  <c r="AX469" i="63"/>
  <c r="AY469" i="63"/>
  <c r="BA469" i="63"/>
  <c r="A470" i="63"/>
  <c r="B470" i="63"/>
  <c r="D470" i="63"/>
  <c r="E470" i="63"/>
  <c r="F470" i="63"/>
  <c r="G470" i="63"/>
  <c r="H470" i="63"/>
  <c r="J470" i="63"/>
  <c r="K470" i="63"/>
  <c r="L470" i="63"/>
  <c r="M470" i="63"/>
  <c r="O470" i="63"/>
  <c r="P470" i="63"/>
  <c r="R470" i="63"/>
  <c r="S470" i="63"/>
  <c r="T470" i="63"/>
  <c r="U470" i="63"/>
  <c r="V470" i="63"/>
  <c r="W470" i="63"/>
  <c r="X470" i="63"/>
  <c r="AO470" i="63"/>
  <c r="AP470" i="63"/>
  <c r="AQ470" i="63"/>
  <c r="AR470" i="63"/>
  <c r="AS470" i="63"/>
  <c r="AT470" i="63"/>
  <c r="AU470" i="63"/>
  <c r="AW470" i="63"/>
  <c r="AX470" i="63"/>
  <c r="AY470" i="63"/>
  <c r="BA470" i="63"/>
  <c r="A471" i="63"/>
  <c r="B471" i="63"/>
  <c r="D471" i="63"/>
  <c r="E471" i="63"/>
  <c r="F471" i="63"/>
  <c r="G471" i="63"/>
  <c r="H471" i="63"/>
  <c r="J471" i="63"/>
  <c r="K471" i="63"/>
  <c r="L471" i="63"/>
  <c r="M471" i="63"/>
  <c r="O471" i="63"/>
  <c r="P471" i="63"/>
  <c r="R471" i="63"/>
  <c r="S471" i="63"/>
  <c r="T471" i="63"/>
  <c r="U471" i="63"/>
  <c r="V471" i="63"/>
  <c r="W471" i="63"/>
  <c r="X471" i="63"/>
  <c r="AO471" i="63"/>
  <c r="AP471" i="63"/>
  <c r="AQ471" i="63"/>
  <c r="AR471" i="63"/>
  <c r="AS471" i="63"/>
  <c r="AT471" i="63"/>
  <c r="AU471" i="63"/>
  <c r="AW471" i="63"/>
  <c r="AX471" i="63"/>
  <c r="AY471" i="63"/>
  <c r="BA471" i="63"/>
  <c r="A472" i="63"/>
  <c r="B472" i="63"/>
  <c r="D472" i="63"/>
  <c r="E472" i="63"/>
  <c r="F472" i="63"/>
  <c r="G472" i="63"/>
  <c r="H472" i="63"/>
  <c r="J472" i="63"/>
  <c r="K472" i="63"/>
  <c r="L472" i="63"/>
  <c r="M472" i="63"/>
  <c r="O472" i="63"/>
  <c r="P472" i="63"/>
  <c r="R472" i="63"/>
  <c r="S472" i="63"/>
  <c r="T472" i="63"/>
  <c r="U472" i="63"/>
  <c r="V472" i="63"/>
  <c r="W472" i="63"/>
  <c r="X472" i="63"/>
  <c r="AO472" i="63"/>
  <c r="AP472" i="63"/>
  <c r="AQ472" i="63"/>
  <c r="AR472" i="63"/>
  <c r="AS472" i="63"/>
  <c r="AT472" i="63"/>
  <c r="AU472" i="63"/>
  <c r="AW472" i="63"/>
  <c r="AX472" i="63"/>
  <c r="AY472" i="63"/>
  <c r="BA472" i="63"/>
  <c r="A473" i="63"/>
  <c r="B473" i="63"/>
  <c r="D473" i="63"/>
  <c r="E473" i="63"/>
  <c r="F473" i="63"/>
  <c r="G473" i="63"/>
  <c r="H473" i="63"/>
  <c r="J473" i="63"/>
  <c r="K473" i="63"/>
  <c r="L473" i="63"/>
  <c r="M473" i="63"/>
  <c r="O473" i="63"/>
  <c r="P473" i="63"/>
  <c r="R473" i="63"/>
  <c r="S473" i="63"/>
  <c r="T473" i="63"/>
  <c r="U473" i="63"/>
  <c r="V473" i="63"/>
  <c r="W473" i="63"/>
  <c r="X473" i="63"/>
  <c r="AO473" i="63"/>
  <c r="AP473" i="63"/>
  <c r="AQ473" i="63"/>
  <c r="AR473" i="63"/>
  <c r="AS473" i="63"/>
  <c r="AT473" i="63"/>
  <c r="AU473" i="63"/>
  <c r="AW473" i="63"/>
  <c r="AX473" i="63"/>
  <c r="AY473" i="63"/>
  <c r="BA473" i="63"/>
  <c r="A474" i="63"/>
  <c r="B474" i="63"/>
  <c r="D474" i="63"/>
  <c r="E474" i="63"/>
  <c r="F474" i="63"/>
  <c r="G474" i="63"/>
  <c r="H474" i="63"/>
  <c r="J474" i="63"/>
  <c r="K474" i="63"/>
  <c r="L474" i="63"/>
  <c r="M474" i="63"/>
  <c r="O474" i="63"/>
  <c r="P474" i="63"/>
  <c r="R474" i="63"/>
  <c r="S474" i="63"/>
  <c r="T474" i="63"/>
  <c r="U474" i="63"/>
  <c r="V474" i="63"/>
  <c r="W474" i="63"/>
  <c r="X474" i="63"/>
  <c r="AO474" i="63"/>
  <c r="AP474" i="63"/>
  <c r="AQ474" i="63"/>
  <c r="AR474" i="63"/>
  <c r="AS474" i="63"/>
  <c r="AT474" i="63"/>
  <c r="AU474" i="63"/>
  <c r="AW474" i="63"/>
  <c r="AX474" i="63"/>
  <c r="AY474" i="63"/>
  <c r="BA474" i="63"/>
  <c r="A475" i="63"/>
  <c r="B475" i="63"/>
  <c r="D475" i="63"/>
  <c r="E475" i="63"/>
  <c r="F475" i="63"/>
  <c r="G475" i="63"/>
  <c r="H475" i="63"/>
  <c r="J475" i="63"/>
  <c r="K475" i="63"/>
  <c r="L475" i="63"/>
  <c r="M475" i="63"/>
  <c r="O475" i="63"/>
  <c r="P475" i="63"/>
  <c r="R475" i="63"/>
  <c r="S475" i="63"/>
  <c r="T475" i="63"/>
  <c r="U475" i="63"/>
  <c r="V475" i="63"/>
  <c r="W475" i="63"/>
  <c r="X475" i="63"/>
  <c r="AO475" i="63"/>
  <c r="AP475" i="63"/>
  <c r="AQ475" i="63"/>
  <c r="AR475" i="63"/>
  <c r="AS475" i="63"/>
  <c r="AT475" i="63"/>
  <c r="AU475" i="63"/>
  <c r="AW475" i="63"/>
  <c r="AX475" i="63"/>
  <c r="AY475" i="63"/>
  <c r="BA475" i="63"/>
  <c r="A476" i="63"/>
  <c r="B476" i="63"/>
  <c r="D476" i="63"/>
  <c r="E476" i="63"/>
  <c r="F476" i="63"/>
  <c r="G476" i="63"/>
  <c r="H476" i="63"/>
  <c r="J476" i="63"/>
  <c r="K476" i="63"/>
  <c r="L476" i="63"/>
  <c r="M476" i="63"/>
  <c r="O476" i="63"/>
  <c r="P476" i="63"/>
  <c r="R476" i="63"/>
  <c r="S476" i="63"/>
  <c r="T476" i="63"/>
  <c r="U476" i="63"/>
  <c r="V476" i="63"/>
  <c r="W476" i="63"/>
  <c r="X476" i="63"/>
  <c r="AO476" i="63"/>
  <c r="AP476" i="63"/>
  <c r="AQ476" i="63"/>
  <c r="AR476" i="63"/>
  <c r="AS476" i="63"/>
  <c r="AT476" i="63"/>
  <c r="AU476" i="63"/>
  <c r="AW476" i="63"/>
  <c r="AX476" i="63"/>
  <c r="AY476" i="63"/>
  <c r="BA476" i="63"/>
  <c r="A477" i="63"/>
  <c r="B477" i="63"/>
  <c r="D477" i="63"/>
  <c r="E477" i="63"/>
  <c r="F477" i="63"/>
  <c r="G477" i="63"/>
  <c r="H477" i="63"/>
  <c r="J477" i="63"/>
  <c r="K477" i="63"/>
  <c r="L477" i="63"/>
  <c r="M477" i="63"/>
  <c r="O477" i="63"/>
  <c r="P477" i="63"/>
  <c r="R477" i="63"/>
  <c r="S477" i="63"/>
  <c r="T477" i="63"/>
  <c r="U477" i="63"/>
  <c r="V477" i="63"/>
  <c r="W477" i="63"/>
  <c r="X477" i="63"/>
  <c r="AO477" i="63"/>
  <c r="AP477" i="63"/>
  <c r="AQ477" i="63"/>
  <c r="AR477" i="63"/>
  <c r="AS477" i="63"/>
  <c r="AT477" i="63"/>
  <c r="AU477" i="63"/>
  <c r="AW477" i="63"/>
  <c r="AX477" i="63"/>
  <c r="AY477" i="63"/>
  <c r="BA477" i="63"/>
  <c r="A478" i="63"/>
  <c r="B478" i="63"/>
  <c r="D478" i="63"/>
  <c r="E478" i="63"/>
  <c r="F478" i="63"/>
  <c r="G478" i="63"/>
  <c r="H478" i="63"/>
  <c r="J478" i="63"/>
  <c r="K478" i="63"/>
  <c r="L478" i="63"/>
  <c r="M478" i="63"/>
  <c r="O478" i="63"/>
  <c r="P478" i="63"/>
  <c r="R478" i="63"/>
  <c r="S478" i="63"/>
  <c r="T478" i="63"/>
  <c r="U478" i="63"/>
  <c r="V478" i="63"/>
  <c r="W478" i="63"/>
  <c r="X478" i="63"/>
  <c r="AO478" i="63"/>
  <c r="AP478" i="63"/>
  <c r="AQ478" i="63"/>
  <c r="AR478" i="63"/>
  <c r="AS478" i="63"/>
  <c r="AT478" i="63"/>
  <c r="AU478" i="63"/>
  <c r="AW478" i="63"/>
  <c r="AX478" i="63"/>
  <c r="AY478" i="63"/>
  <c r="BA478" i="63"/>
  <c r="A479" i="63"/>
  <c r="B479" i="63"/>
  <c r="D479" i="63"/>
  <c r="E479" i="63"/>
  <c r="F479" i="63"/>
  <c r="G479" i="63"/>
  <c r="H479" i="63"/>
  <c r="J479" i="63"/>
  <c r="K479" i="63"/>
  <c r="L479" i="63"/>
  <c r="M479" i="63"/>
  <c r="O479" i="63"/>
  <c r="P479" i="63"/>
  <c r="R479" i="63"/>
  <c r="S479" i="63"/>
  <c r="T479" i="63"/>
  <c r="U479" i="63"/>
  <c r="V479" i="63"/>
  <c r="W479" i="63"/>
  <c r="X479" i="63"/>
  <c r="AO479" i="63"/>
  <c r="AP479" i="63"/>
  <c r="AQ479" i="63"/>
  <c r="AR479" i="63"/>
  <c r="AS479" i="63"/>
  <c r="AT479" i="63"/>
  <c r="AU479" i="63"/>
  <c r="AW479" i="63"/>
  <c r="AX479" i="63"/>
  <c r="AY479" i="63"/>
  <c r="BA479" i="63"/>
  <c r="A480" i="63"/>
  <c r="B480" i="63"/>
  <c r="D480" i="63"/>
  <c r="E480" i="63"/>
  <c r="F480" i="63"/>
  <c r="G480" i="63"/>
  <c r="H480" i="63"/>
  <c r="J480" i="63"/>
  <c r="K480" i="63"/>
  <c r="L480" i="63"/>
  <c r="M480" i="63"/>
  <c r="O480" i="63"/>
  <c r="P480" i="63"/>
  <c r="R480" i="63"/>
  <c r="S480" i="63"/>
  <c r="T480" i="63"/>
  <c r="U480" i="63"/>
  <c r="V480" i="63"/>
  <c r="W480" i="63"/>
  <c r="X480" i="63"/>
  <c r="AO480" i="63"/>
  <c r="AP480" i="63"/>
  <c r="AQ480" i="63"/>
  <c r="AR480" i="63"/>
  <c r="AS480" i="63"/>
  <c r="AT480" i="63"/>
  <c r="AU480" i="63"/>
  <c r="AW480" i="63"/>
  <c r="AX480" i="63"/>
  <c r="AY480" i="63"/>
  <c r="BA480" i="63"/>
  <c r="A481" i="63"/>
  <c r="B481" i="63"/>
  <c r="D481" i="63"/>
  <c r="E481" i="63"/>
  <c r="F481" i="63"/>
  <c r="G481" i="63"/>
  <c r="H481" i="63"/>
  <c r="J481" i="63"/>
  <c r="K481" i="63"/>
  <c r="L481" i="63"/>
  <c r="M481" i="63"/>
  <c r="O481" i="63"/>
  <c r="P481" i="63"/>
  <c r="R481" i="63"/>
  <c r="S481" i="63"/>
  <c r="T481" i="63"/>
  <c r="U481" i="63"/>
  <c r="V481" i="63"/>
  <c r="W481" i="63"/>
  <c r="X481" i="63"/>
  <c r="AO481" i="63"/>
  <c r="AP481" i="63"/>
  <c r="AQ481" i="63"/>
  <c r="AR481" i="63"/>
  <c r="AS481" i="63"/>
  <c r="AT481" i="63"/>
  <c r="AU481" i="63"/>
  <c r="AW481" i="63"/>
  <c r="AX481" i="63"/>
  <c r="AY481" i="63"/>
  <c r="BA481" i="63"/>
  <c r="A482" i="63"/>
  <c r="B482" i="63"/>
  <c r="D482" i="63"/>
  <c r="E482" i="63"/>
  <c r="F482" i="63"/>
  <c r="G482" i="63"/>
  <c r="H482" i="63"/>
  <c r="J482" i="63"/>
  <c r="K482" i="63"/>
  <c r="L482" i="63"/>
  <c r="M482" i="63"/>
  <c r="O482" i="63"/>
  <c r="P482" i="63"/>
  <c r="R482" i="63"/>
  <c r="S482" i="63"/>
  <c r="T482" i="63"/>
  <c r="U482" i="63"/>
  <c r="V482" i="63"/>
  <c r="W482" i="63"/>
  <c r="X482" i="63"/>
  <c r="AO482" i="63"/>
  <c r="AP482" i="63"/>
  <c r="AQ482" i="63"/>
  <c r="AR482" i="63"/>
  <c r="AS482" i="63"/>
  <c r="AT482" i="63"/>
  <c r="AU482" i="63"/>
  <c r="AW482" i="63"/>
  <c r="AX482" i="63"/>
  <c r="AY482" i="63"/>
  <c r="BA482" i="63"/>
  <c r="A483" i="63"/>
  <c r="B483" i="63"/>
  <c r="D483" i="63"/>
  <c r="E483" i="63"/>
  <c r="F483" i="63"/>
  <c r="G483" i="63"/>
  <c r="H483" i="63"/>
  <c r="J483" i="63"/>
  <c r="K483" i="63"/>
  <c r="L483" i="63"/>
  <c r="M483" i="63"/>
  <c r="O483" i="63"/>
  <c r="P483" i="63"/>
  <c r="R483" i="63"/>
  <c r="S483" i="63"/>
  <c r="T483" i="63"/>
  <c r="U483" i="63"/>
  <c r="V483" i="63"/>
  <c r="W483" i="63"/>
  <c r="X483" i="63"/>
  <c r="AO483" i="63"/>
  <c r="AP483" i="63"/>
  <c r="AQ483" i="63"/>
  <c r="AR483" i="63"/>
  <c r="AS483" i="63"/>
  <c r="AT483" i="63"/>
  <c r="AU483" i="63"/>
  <c r="AW483" i="63"/>
  <c r="AX483" i="63"/>
  <c r="AY483" i="63"/>
  <c r="BA483" i="63"/>
  <c r="A484" i="63"/>
  <c r="B484" i="63"/>
  <c r="D484" i="63"/>
  <c r="E484" i="63"/>
  <c r="F484" i="63"/>
  <c r="G484" i="63"/>
  <c r="H484" i="63"/>
  <c r="J484" i="63"/>
  <c r="K484" i="63"/>
  <c r="L484" i="63"/>
  <c r="M484" i="63"/>
  <c r="O484" i="63"/>
  <c r="P484" i="63"/>
  <c r="R484" i="63"/>
  <c r="S484" i="63"/>
  <c r="T484" i="63"/>
  <c r="U484" i="63"/>
  <c r="V484" i="63"/>
  <c r="W484" i="63"/>
  <c r="X484" i="63"/>
  <c r="AO484" i="63"/>
  <c r="AP484" i="63"/>
  <c r="AQ484" i="63"/>
  <c r="AR484" i="63"/>
  <c r="AS484" i="63"/>
  <c r="AT484" i="63"/>
  <c r="AU484" i="63"/>
  <c r="AW484" i="63"/>
  <c r="AX484" i="63"/>
  <c r="AY484" i="63"/>
  <c r="BA484" i="63"/>
  <c r="A485" i="63"/>
  <c r="B485" i="63"/>
  <c r="D485" i="63"/>
  <c r="E485" i="63"/>
  <c r="F485" i="63"/>
  <c r="G485" i="63"/>
  <c r="H485" i="63"/>
  <c r="J485" i="63"/>
  <c r="K485" i="63"/>
  <c r="L485" i="63"/>
  <c r="M485" i="63"/>
  <c r="O485" i="63"/>
  <c r="P485" i="63"/>
  <c r="R485" i="63"/>
  <c r="S485" i="63"/>
  <c r="T485" i="63"/>
  <c r="U485" i="63"/>
  <c r="V485" i="63"/>
  <c r="W485" i="63"/>
  <c r="X485" i="63"/>
  <c r="AO485" i="63"/>
  <c r="AP485" i="63"/>
  <c r="AQ485" i="63"/>
  <c r="AR485" i="63"/>
  <c r="AS485" i="63"/>
  <c r="AT485" i="63"/>
  <c r="AU485" i="63"/>
  <c r="AW485" i="63"/>
  <c r="AX485" i="63"/>
  <c r="AY485" i="63"/>
  <c r="BA485" i="63"/>
  <c r="A486" i="63"/>
  <c r="B486" i="63"/>
  <c r="D486" i="63"/>
  <c r="E486" i="63"/>
  <c r="F486" i="63"/>
  <c r="G486" i="63"/>
  <c r="H486" i="63"/>
  <c r="J486" i="63"/>
  <c r="K486" i="63"/>
  <c r="L486" i="63"/>
  <c r="M486" i="63"/>
  <c r="O486" i="63"/>
  <c r="P486" i="63"/>
  <c r="R486" i="63"/>
  <c r="S486" i="63"/>
  <c r="T486" i="63"/>
  <c r="U486" i="63"/>
  <c r="V486" i="63"/>
  <c r="W486" i="63"/>
  <c r="X486" i="63"/>
  <c r="AO486" i="63"/>
  <c r="AP486" i="63"/>
  <c r="AQ486" i="63"/>
  <c r="AR486" i="63"/>
  <c r="AS486" i="63"/>
  <c r="AT486" i="63"/>
  <c r="AU486" i="63"/>
  <c r="AW486" i="63"/>
  <c r="AX486" i="63"/>
  <c r="AY486" i="63"/>
  <c r="BA486" i="63"/>
  <c r="A487" i="63"/>
  <c r="B487" i="63"/>
  <c r="D487" i="63"/>
  <c r="E487" i="63"/>
  <c r="F487" i="63"/>
  <c r="G487" i="63"/>
  <c r="H487" i="63"/>
  <c r="J487" i="63"/>
  <c r="K487" i="63"/>
  <c r="L487" i="63"/>
  <c r="M487" i="63"/>
  <c r="O487" i="63"/>
  <c r="P487" i="63"/>
  <c r="R487" i="63"/>
  <c r="S487" i="63"/>
  <c r="T487" i="63"/>
  <c r="U487" i="63"/>
  <c r="V487" i="63"/>
  <c r="W487" i="63"/>
  <c r="X487" i="63"/>
  <c r="AO487" i="63"/>
  <c r="AP487" i="63"/>
  <c r="AQ487" i="63"/>
  <c r="AR487" i="63"/>
  <c r="AS487" i="63"/>
  <c r="AT487" i="63"/>
  <c r="AU487" i="63"/>
  <c r="AW487" i="63"/>
  <c r="AX487" i="63"/>
  <c r="AY487" i="63"/>
  <c r="BA487" i="63"/>
  <c r="A488" i="63"/>
  <c r="B488" i="63"/>
  <c r="D488" i="63"/>
  <c r="E488" i="63"/>
  <c r="F488" i="63"/>
  <c r="G488" i="63"/>
  <c r="H488" i="63"/>
  <c r="J488" i="63"/>
  <c r="K488" i="63"/>
  <c r="L488" i="63"/>
  <c r="M488" i="63"/>
  <c r="O488" i="63"/>
  <c r="P488" i="63"/>
  <c r="R488" i="63"/>
  <c r="S488" i="63"/>
  <c r="T488" i="63"/>
  <c r="U488" i="63"/>
  <c r="V488" i="63"/>
  <c r="W488" i="63"/>
  <c r="X488" i="63"/>
  <c r="AO488" i="63"/>
  <c r="AP488" i="63"/>
  <c r="AQ488" i="63"/>
  <c r="AR488" i="63"/>
  <c r="AS488" i="63"/>
  <c r="AT488" i="63"/>
  <c r="AU488" i="63"/>
  <c r="AW488" i="63"/>
  <c r="AX488" i="63"/>
  <c r="AY488" i="63"/>
  <c r="BA488" i="63"/>
  <c r="A489" i="63"/>
  <c r="B489" i="63"/>
  <c r="D489" i="63"/>
  <c r="E489" i="63"/>
  <c r="F489" i="63"/>
  <c r="G489" i="63"/>
  <c r="H489" i="63"/>
  <c r="J489" i="63"/>
  <c r="K489" i="63"/>
  <c r="L489" i="63"/>
  <c r="M489" i="63"/>
  <c r="O489" i="63"/>
  <c r="P489" i="63"/>
  <c r="R489" i="63"/>
  <c r="S489" i="63"/>
  <c r="T489" i="63"/>
  <c r="U489" i="63"/>
  <c r="V489" i="63"/>
  <c r="W489" i="63"/>
  <c r="X489" i="63"/>
  <c r="AO489" i="63"/>
  <c r="AP489" i="63"/>
  <c r="AQ489" i="63"/>
  <c r="AR489" i="63"/>
  <c r="AS489" i="63"/>
  <c r="AT489" i="63"/>
  <c r="AU489" i="63"/>
  <c r="AW489" i="63"/>
  <c r="AX489" i="63"/>
  <c r="AY489" i="63"/>
  <c r="BA489" i="63"/>
  <c r="A490" i="63"/>
  <c r="B490" i="63"/>
  <c r="D490" i="63"/>
  <c r="E490" i="63"/>
  <c r="F490" i="63"/>
  <c r="G490" i="63"/>
  <c r="H490" i="63"/>
  <c r="J490" i="63"/>
  <c r="K490" i="63"/>
  <c r="L490" i="63"/>
  <c r="M490" i="63"/>
  <c r="O490" i="63"/>
  <c r="P490" i="63"/>
  <c r="R490" i="63"/>
  <c r="S490" i="63"/>
  <c r="T490" i="63"/>
  <c r="U490" i="63"/>
  <c r="V490" i="63"/>
  <c r="W490" i="63"/>
  <c r="X490" i="63"/>
  <c r="AO490" i="63"/>
  <c r="AP490" i="63"/>
  <c r="AQ490" i="63"/>
  <c r="AR490" i="63"/>
  <c r="AS490" i="63"/>
  <c r="AT490" i="63"/>
  <c r="AU490" i="63"/>
  <c r="AW490" i="63"/>
  <c r="AX490" i="63"/>
  <c r="AY490" i="63"/>
  <c r="BA490" i="63"/>
  <c r="A491" i="63"/>
  <c r="B491" i="63"/>
  <c r="D491" i="63"/>
  <c r="E491" i="63"/>
  <c r="F491" i="63"/>
  <c r="G491" i="63"/>
  <c r="H491" i="63"/>
  <c r="J491" i="63"/>
  <c r="K491" i="63"/>
  <c r="L491" i="63"/>
  <c r="M491" i="63"/>
  <c r="O491" i="63"/>
  <c r="P491" i="63"/>
  <c r="R491" i="63"/>
  <c r="S491" i="63"/>
  <c r="T491" i="63"/>
  <c r="U491" i="63"/>
  <c r="V491" i="63"/>
  <c r="W491" i="63"/>
  <c r="X491" i="63"/>
  <c r="AO491" i="63"/>
  <c r="AP491" i="63"/>
  <c r="AQ491" i="63"/>
  <c r="AR491" i="63"/>
  <c r="AS491" i="63"/>
  <c r="AT491" i="63"/>
  <c r="AU491" i="63"/>
  <c r="AW491" i="63"/>
  <c r="AX491" i="63"/>
  <c r="AY491" i="63"/>
  <c r="BA491" i="63"/>
  <c r="A492" i="63"/>
  <c r="B492" i="63"/>
  <c r="D492" i="63"/>
  <c r="E492" i="63"/>
  <c r="F492" i="63"/>
  <c r="G492" i="63"/>
  <c r="H492" i="63"/>
  <c r="J492" i="63"/>
  <c r="K492" i="63"/>
  <c r="L492" i="63"/>
  <c r="M492" i="63"/>
  <c r="O492" i="63"/>
  <c r="P492" i="63"/>
  <c r="R492" i="63"/>
  <c r="S492" i="63"/>
  <c r="T492" i="63"/>
  <c r="U492" i="63"/>
  <c r="V492" i="63"/>
  <c r="W492" i="63"/>
  <c r="X492" i="63"/>
  <c r="AO492" i="63"/>
  <c r="AP492" i="63"/>
  <c r="AQ492" i="63"/>
  <c r="AR492" i="63"/>
  <c r="AS492" i="63"/>
  <c r="AT492" i="63"/>
  <c r="AU492" i="63"/>
  <c r="AW492" i="63"/>
  <c r="AX492" i="63"/>
  <c r="AY492" i="63"/>
  <c r="BA492" i="63"/>
  <c r="A493" i="63"/>
  <c r="B493" i="63"/>
  <c r="D493" i="63"/>
  <c r="E493" i="63"/>
  <c r="F493" i="63"/>
  <c r="G493" i="63"/>
  <c r="H493" i="63"/>
  <c r="J493" i="63"/>
  <c r="K493" i="63"/>
  <c r="L493" i="63"/>
  <c r="M493" i="63"/>
  <c r="O493" i="63"/>
  <c r="P493" i="63"/>
  <c r="R493" i="63"/>
  <c r="S493" i="63"/>
  <c r="T493" i="63"/>
  <c r="U493" i="63"/>
  <c r="V493" i="63"/>
  <c r="W493" i="63"/>
  <c r="X493" i="63"/>
  <c r="AO493" i="63"/>
  <c r="AP493" i="63"/>
  <c r="AQ493" i="63"/>
  <c r="AR493" i="63"/>
  <c r="AS493" i="63"/>
  <c r="AT493" i="63"/>
  <c r="AU493" i="63"/>
  <c r="AW493" i="63"/>
  <c r="AX493" i="63"/>
  <c r="AY493" i="63"/>
  <c r="BA493" i="63"/>
  <c r="A494" i="63"/>
  <c r="B494" i="63"/>
  <c r="D494" i="63"/>
  <c r="E494" i="63"/>
  <c r="F494" i="63"/>
  <c r="G494" i="63"/>
  <c r="H494" i="63"/>
  <c r="J494" i="63"/>
  <c r="K494" i="63"/>
  <c r="L494" i="63"/>
  <c r="M494" i="63"/>
  <c r="O494" i="63"/>
  <c r="P494" i="63"/>
  <c r="R494" i="63"/>
  <c r="S494" i="63"/>
  <c r="T494" i="63"/>
  <c r="U494" i="63"/>
  <c r="V494" i="63"/>
  <c r="W494" i="63"/>
  <c r="X494" i="63"/>
  <c r="AO494" i="63"/>
  <c r="AP494" i="63"/>
  <c r="AQ494" i="63"/>
  <c r="AR494" i="63"/>
  <c r="AS494" i="63"/>
  <c r="AT494" i="63"/>
  <c r="AU494" i="63"/>
  <c r="AW494" i="63"/>
  <c r="AX494" i="63"/>
  <c r="AY494" i="63"/>
  <c r="BA494" i="63"/>
  <c r="A495" i="63"/>
  <c r="B495" i="63"/>
  <c r="D495" i="63"/>
  <c r="E495" i="63"/>
  <c r="F495" i="63"/>
  <c r="G495" i="63"/>
  <c r="H495" i="63"/>
  <c r="J495" i="63"/>
  <c r="K495" i="63"/>
  <c r="L495" i="63"/>
  <c r="M495" i="63"/>
  <c r="O495" i="63"/>
  <c r="P495" i="63"/>
  <c r="R495" i="63"/>
  <c r="S495" i="63"/>
  <c r="T495" i="63"/>
  <c r="U495" i="63"/>
  <c r="V495" i="63"/>
  <c r="W495" i="63"/>
  <c r="X495" i="63"/>
  <c r="AO495" i="63"/>
  <c r="AP495" i="63"/>
  <c r="AQ495" i="63"/>
  <c r="AR495" i="63"/>
  <c r="AS495" i="63"/>
  <c r="AT495" i="63"/>
  <c r="AU495" i="63"/>
  <c r="AW495" i="63"/>
  <c r="AX495" i="63"/>
  <c r="AY495" i="63"/>
  <c r="BA495" i="63"/>
  <c r="A496" i="63"/>
  <c r="B496" i="63"/>
  <c r="D496" i="63"/>
  <c r="E496" i="63"/>
  <c r="F496" i="63"/>
  <c r="G496" i="63"/>
  <c r="H496" i="63"/>
  <c r="J496" i="63"/>
  <c r="K496" i="63"/>
  <c r="L496" i="63"/>
  <c r="M496" i="63"/>
  <c r="O496" i="63"/>
  <c r="P496" i="63"/>
  <c r="R496" i="63"/>
  <c r="S496" i="63"/>
  <c r="T496" i="63"/>
  <c r="U496" i="63"/>
  <c r="V496" i="63"/>
  <c r="W496" i="63"/>
  <c r="X496" i="63"/>
  <c r="AO496" i="63"/>
  <c r="AP496" i="63"/>
  <c r="AQ496" i="63"/>
  <c r="AR496" i="63"/>
  <c r="AS496" i="63"/>
  <c r="AT496" i="63"/>
  <c r="AU496" i="63"/>
  <c r="AW496" i="63"/>
  <c r="AX496" i="63"/>
  <c r="AY496" i="63"/>
  <c r="BA496" i="63"/>
  <c r="A497" i="63"/>
  <c r="B497" i="63"/>
  <c r="D497" i="63"/>
  <c r="E497" i="63"/>
  <c r="F497" i="63"/>
  <c r="G497" i="63"/>
  <c r="H497" i="63"/>
  <c r="J497" i="63"/>
  <c r="K497" i="63"/>
  <c r="L497" i="63"/>
  <c r="M497" i="63"/>
  <c r="O497" i="63"/>
  <c r="P497" i="63"/>
  <c r="R497" i="63"/>
  <c r="S497" i="63"/>
  <c r="T497" i="63"/>
  <c r="U497" i="63"/>
  <c r="V497" i="63"/>
  <c r="W497" i="63"/>
  <c r="X497" i="63"/>
  <c r="AO497" i="63"/>
  <c r="AP497" i="63"/>
  <c r="AQ497" i="63"/>
  <c r="AR497" i="63"/>
  <c r="AS497" i="63"/>
  <c r="AT497" i="63"/>
  <c r="AU497" i="63"/>
  <c r="AW497" i="63"/>
  <c r="AX497" i="63"/>
  <c r="AY497" i="63"/>
  <c r="BA497" i="63"/>
  <c r="A498" i="63"/>
  <c r="B498" i="63"/>
  <c r="D498" i="63"/>
  <c r="E498" i="63"/>
  <c r="F498" i="63"/>
  <c r="G498" i="63"/>
  <c r="H498" i="63"/>
  <c r="J498" i="63"/>
  <c r="K498" i="63"/>
  <c r="L498" i="63"/>
  <c r="M498" i="63"/>
  <c r="O498" i="63"/>
  <c r="P498" i="63"/>
  <c r="R498" i="63"/>
  <c r="S498" i="63"/>
  <c r="T498" i="63"/>
  <c r="U498" i="63"/>
  <c r="V498" i="63"/>
  <c r="W498" i="63"/>
  <c r="X498" i="63"/>
  <c r="AO498" i="63"/>
  <c r="AP498" i="63"/>
  <c r="AQ498" i="63"/>
  <c r="AR498" i="63"/>
  <c r="AS498" i="63"/>
  <c r="AT498" i="63"/>
  <c r="AU498" i="63"/>
  <c r="AW498" i="63"/>
  <c r="AX498" i="63"/>
  <c r="AY498" i="63"/>
  <c r="BA498" i="63"/>
  <c r="A499" i="63"/>
  <c r="B499" i="63"/>
  <c r="D499" i="63"/>
  <c r="E499" i="63"/>
  <c r="F499" i="63"/>
  <c r="G499" i="63"/>
  <c r="H499" i="63"/>
  <c r="J499" i="63"/>
  <c r="K499" i="63"/>
  <c r="L499" i="63"/>
  <c r="M499" i="63"/>
  <c r="O499" i="63"/>
  <c r="P499" i="63"/>
  <c r="R499" i="63"/>
  <c r="S499" i="63"/>
  <c r="T499" i="63"/>
  <c r="U499" i="63"/>
  <c r="V499" i="63"/>
  <c r="W499" i="63"/>
  <c r="X499" i="63"/>
  <c r="AO499" i="63"/>
  <c r="AP499" i="63"/>
  <c r="AQ499" i="63"/>
  <c r="AR499" i="63"/>
  <c r="AS499" i="63"/>
  <c r="AT499" i="63"/>
  <c r="AU499" i="63"/>
  <c r="AW499" i="63"/>
  <c r="AX499" i="63"/>
  <c r="AY499" i="63"/>
  <c r="BA499" i="63"/>
  <c r="A500" i="63"/>
  <c r="B500" i="63"/>
  <c r="AW500" i="63"/>
  <c r="AX500" i="63"/>
  <c r="AY500" i="63"/>
  <c r="BA500" i="63"/>
  <c r="A501" i="63"/>
  <c r="B501" i="63"/>
  <c r="AW501" i="63"/>
  <c r="AX501" i="63"/>
  <c r="AY501" i="63"/>
  <c r="BA501" i="63"/>
  <c r="E1" i="65"/>
  <c r="Z1" i="65"/>
  <c r="AA1" i="65"/>
  <c r="AC1" i="65"/>
  <c r="AD1" i="65"/>
  <c r="S2" i="65"/>
  <c r="A3" i="65"/>
  <c r="B3" i="65"/>
  <c r="D3" i="65"/>
  <c r="E3" i="65"/>
  <c r="I3" i="65"/>
  <c r="J3" i="65"/>
  <c r="K3" i="65"/>
  <c r="R3" i="65"/>
  <c r="S3" i="65"/>
  <c r="J4" i="65"/>
  <c r="K4" i="65"/>
  <c r="L4" i="65"/>
  <c r="M4" i="65"/>
  <c r="O4" i="65"/>
  <c r="P4" i="65"/>
  <c r="R4" i="65"/>
  <c r="S4" i="65"/>
  <c r="T4" i="65"/>
  <c r="U4" i="65"/>
  <c r="W4" i="65"/>
  <c r="X4" i="65"/>
  <c r="Z4" i="65"/>
  <c r="AA4" i="65"/>
  <c r="AC4" i="65"/>
  <c r="AD4" i="65"/>
  <c r="AF4" i="65"/>
  <c r="AF5" i="65"/>
  <c r="H6" i="65"/>
  <c r="K6" i="65"/>
  <c r="M6" i="65"/>
  <c r="P6" i="65"/>
  <c r="S6" i="65"/>
  <c r="U6" i="65"/>
  <c r="X6" i="65"/>
  <c r="AA6" i="65"/>
  <c r="AC6" i="65"/>
  <c r="D8" i="65"/>
  <c r="E8" i="65"/>
  <c r="F8" i="65"/>
  <c r="G8" i="65"/>
  <c r="H8" i="65"/>
  <c r="J8" i="65"/>
  <c r="K8" i="65"/>
  <c r="L8" i="65"/>
  <c r="M8" i="65"/>
  <c r="O8" i="65"/>
  <c r="P8" i="65"/>
  <c r="R8" i="65"/>
  <c r="S8" i="65"/>
  <c r="T8" i="65"/>
  <c r="U8" i="65"/>
  <c r="V8" i="65"/>
  <c r="W8" i="65"/>
  <c r="X8" i="65"/>
  <c r="AH8" i="65"/>
  <c r="AL8" i="65"/>
  <c r="AM8" i="65"/>
  <c r="AN8" i="65"/>
  <c r="AT8" i="65"/>
  <c r="AU8" i="65"/>
  <c r="AW8" i="65"/>
  <c r="AX8" i="65"/>
  <c r="AY8" i="65"/>
  <c r="BA8" i="65"/>
  <c r="BC8" i="65"/>
  <c r="A10" i="65"/>
  <c r="B10" i="65"/>
  <c r="D10" i="65"/>
  <c r="E10" i="65"/>
  <c r="F10" i="65"/>
  <c r="G10" i="65"/>
  <c r="H10" i="65"/>
  <c r="J10" i="65"/>
  <c r="K10" i="65"/>
  <c r="L10" i="65"/>
  <c r="M10" i="65"/>
  <c r="O10" i="65"/>
  <c r="P10" i="65"/>
  <c r="R10" i="65"/>
  <c r="S10" i="65"/>
  <c r="T10" i="65"/>
  <c r="U10" i="65"/>
  <c r="V10" i="65"/>
  <c r="W10" i="65"/>
  <c r="X10" i="65"/>
  <c r="Z10" i="65"/>
  <c r="AA10" i="65"/>
  <c r="AB10" i="65"/>
  <c r="AC10" i="65"/>
  <c r="AD10" i="65"/>
  <c r="AE10" i="65"/>
  <c r="AF10" i="65"/>
  <c r="AG10" i="65"/>
  <c r="AH10" i="65"/>
  <c r="AI10" i="65"/>
  <c r="AJ10" i="65"/>
  <c r="AK10" i="65"/>
  <c r="AL10" i="65"/>
  <c r="AM10" i="65"/>
  <c r="AN10" i="65"/>
  <c r="AO10" i="65"/>
  <c r="AP10" i="65"/>
  <c r="AQ10" i="65"/>
  <c r="AR10" i="65"/>
  <c r="AS10" i="65"/>
  <c r="AT10" i="65"/>
  <c r="AU10" i="65"/>
  <c r="AW10" i="65"/>
  <c r="AX10" i="65"/>
  <c r="AY10" i="65"/>
  <c r="BA10" i="65"/>
  <c r="BC10" i="65"/>
  <c r="A11" i="65"/>
  <c r="B11" i="65"/>
  <c r="D11" i="65"/>
  <c r="E11" i="65"/>
  <c r="F11" i="65"/>
  <c r="G11" i="65"/>
  <c r="H11" i="65"/>
  <c r="J11" i="65"/>
  <c r="K11" i="65"/>
  <c r="L11" i="65"/>
  <c r="M11" i="65"/>
  <c r="O11" i="65"/>
  <c r="P11" i="65"/>
  <c r="R11" i="65"/>
  <c r="S11" i="65"/>
  <c r="T11" i="65"/>
  <c r="U11" i="65"/>
  <c r="V11" i="65"/>
  <c r="W11" i="65"/>
  <c r="X11" i="65"/>
  <c r="Z11" i="65"/>
  <c r="AA11" i="65"/>
  <c r="AB11" i="65"/>
  <c r="AC11" i="65"/>
  <c r="AD11" i="65"/>
  <c r="AE11" i="65"/>
  <c r="AF11" i="65"/>
  <c r="AG11" i="65"/>
  <c r="AH11" i="65"/>
  <c r="AI11" i="65"/>
  <c r="AJ11" i="65"/>
  <c r="AK11" i="65"/>
  <c r="AL11" i="65"/>
  <c r="AM11" i="65"/>
  <c r="AN11" i="65"/>
  <c r="AO11" i="65"/>
  <c r="AP11" i="65"/>
  <c r="AQ11" i="65"/>
  <c r="AR11" i="65"/>
  <c r="AS11" i="65"/>
  <c r="AT11" i="65"/>
  <c r="AU11" i="65"/>
  <c r="AW11" i="65"/>
  <c r="AX11" i="65"/>
  <c r="AY11" i="65"/>
  <c r="BA11" i="65"/>
  <c r="BC11" i="65"/>
  <c r="A12" i="65"/>
  <c r="B12" i="65"/>
  <c r="D12" i="65"/>
  <c r="E12" i="65"/>
  <c r="F12" i="65"/>
  <c r="G12" i="65"/>
  <c r="H12" i="65"/>
  <c r="J12" i="65"/>
  <c r="K12" i="65"/>
  <c r="L12" i="65"/>
  <c r="M12" i="65"/>
  <c r="O12" i="65"/>
  <c r="P12" i="65"/>
  <c r="R12" i="65"/>
  <c r="S12" i="65"/>
  <c r="T12" i="65"/>
  <c r="U12" i="65"/>
  <c r="V12" i="65"/>
  <c r="W12" i="65"/>
  <c r="X12" i="65"/>
  <c r="Z12" i="65"/>
  <c r="AA12" i="65"/>
  <c r="AB12" i="65"/>
  <c r="AC12" i="65"/>
  <c r="AD12" i="65"/>
  <c r="AE12" i="65"/>
  <c r="AF12" i="65"/>
  <c r="AG12" i="65"/>
  <c r="AH12" i="65"/>
  <c r="AI12" i="65"/>
  <c r="AJ12" i="65"/>
  <c r="AK12" i="65"/>
  <c r="AL12" i="65"/>
  <c r="AM12" i="65"/>
  <c r="AN12" i="65"/>
  <c r="AO12" i="65"/>
  <c r="AP12" i="65"/>
  <c r="AQ12" i="65"/>
  <c r="AR12" i="65"/>
  <c r="AS12" i="65"/>
  <c r="AT12" i="65"/>
  <c r="AU12" i="65"/>
  <c r="AW12" i="65"/>
  <c r="AX12" i="65"/>
  <c r="AY12" i="65"/>
  <c r="BA12" i="65"/>
  <c r="BC12" i="65"/>
  <c r="A13" i="65"/>
  <c r="B13" i="65"/>
  <c r="D13" i="65"/>
  <c r="E13" i="65"/>
  <c r="F13" i="65"/>
  <c r="G13" i="65"/>
  <c r="H13" i="65"/>
  <c r="J13" i="65"/>
  <c r="K13" i="65"/>
  <c r="L13" i="65"/>
  <c r="M13" i="65"/>
  <c r="O13" i="65"/>
  <c r="P13" i="65"/>
  <c r="R13" i="65"/>
  <c r="S13" i="65"/>
  <c r="T13" i="65"/>
  <c r="U13" i="65"/>
  <c r="V13" i="65"/>
  <c r="W13" i="65"/>
  <c r="X13" i="65"/>
  <c r="Z13" i="65"/>
  <c r="AA13" i="65"/>
  <c r="AB13" i="65"/>
  <c r="AC13" i="65"/>
  <c r="AD13" i="65"/>
  <c r="AE13" i="65"/>
  <c r="AF13" i="65"/>
  <c r="AG13" i="65"/>
  <c r="AH13" i="65"/>
  <c r="AI13" i="65"/>
  <c r="AJ13" i="65"/>
  <c r="AK13" i="65"/>
  <c r="AL13" i="65"/>
  <c r="AM13" i="65"/>
  <c r="AN13" i="65"/>
  <c r="AO13" i="65"/>
  <c r="AP13" i="65"/>
  <c r="AQ13" i="65"/>
  <c r="AR13" i="65"/>
  <c r="AS13" i="65"/>
  <c r="AT13" i="65"/>
  <c r="AU13" i="65"/>
  <c r="AW13" i="65"/>
  <c r="AX13" i="65"/>
  <c r="AY13" i="65"/>
  <c r="BA13" i="65"/>
  <c r="BC13" i="65"/>
  <c r="A14" i="65"/>
  <c r="B14" i="65"/>
  <c r="D14" i="65"/>
  <c r="E14" i="65"/>
  <c r="F14" i="65"/>
  <c r="G14" i="65"/>
  <c r="H14" i="65"/>
  <c r="J14" i="65"/>
  <c r="K14" i="65"/>
  <c r="L14" i="65"/>
  <c r="M14" i="65"/>
  <c r="O14" i="65"/>
  <c r="P14" i="65"/>
  <c r="R14" i="65"/>
  <c r="S14" i="65"/>
  <c r="T14" i="65"/>
  <c r="U14" i="65"/>
  <c r="V14" i="65"/>
  <c r="W14" i="65"/>
  <c r="X14" i="65"/>
  <c r="Z14" i="65"/>
  <c r="AA14" i="65"/>
  <c r="AB14" i="65"/>
  <c r="AC14" i="65"/>
  <c r="AD14" i="65"/>
  <c r="AE14" i="65"/>
  <c r="AF14" i="65"/>
  <c r="AG14" i="65"/>
  <c r="AH14" i="65"/>
  <c r="AI14" i="65"/>
  <c r="AJ14" i="65"/>
  <c r="AK14" i="65"/>
  <c r="AL14" i="65"/>
  <c r="AM14" i="65"/>
  <c r="AN14" i="65"/>
  <c r="AO14" i="65"/>
  <c r="AP14" i="65"/>
  <c r="AQ14" i="65"/>
  <c r="AR14" i="65"/>
  <c r="AS14" i="65"/>
  <c r="AT14" i="65"/>
  <c r="AU14" i="65"/>
  <c r="AW14" i="65"/>
  <c r="AX14" i="65"/>
  <c r="AY14" i="65"/>
  <c r="BA14" i="65"/>
  <c r="BC14" i="65"/>
  <c r="A15" i="65"/>
  <c r="B15" i="65"/>
  <c r="D15" i="65"/>
  <c r="E15" i="65"/>
  <c r="F15" i="65"/>
  <c r="G15" i="65"/>
  <c r="H15" i="65"/>
  <c r="J15" i="65"/>
  <c r="K15" i="65"/>
  <c r="L15" i="65"/>
  <c r="M15" i="65"/>
  <c r="O15" i="65"/>
  <c r="P15" i="65"/>
  <c r="R15" i="65"/>
  <c r="S15" i="65"/>
  <c r="T15" i="65"/>
  <c r="U15" i="65"/>
  <c r="V15" i="65"/>
  <c r="W15" i="65"/>
  <c r="X15" i="65"/>
  <c r="Z15" i="65"/>
  <c r="AA15" i="65"/>
  <c r="AB15" i="65"/>
  <c r="AC15" i="65"/>
  <c r="AD15" i="65"/>
  <c r="AE15" i="65"/>
  <c r="AF15" i="65"/>
  <c r="AG15" i="65"/>
  <c r="AH15" i="65"/>
  <c r="AI15" i="65"/>
  <c r="AJ15" i="65"/>
  <c r="AK15" i="65"/>
  <c r="AL15" i="65"/>
  <c r="AM15" i="65"/>
  <c r="AN15" i="65"/>
  <c r="AO15" i="65"/>
  <c r="AP15" i="65"/>
  <c r="AQ15" i="65"/>
  <c r="AR15" i="65"/>
  <c r="AS15" i="65"/>
  <c r="AT15" i="65"/>
  <c r="AU15" i="65"/>
  <c r="AW15" i="65"/>
  <c r="AX15" i="65"/>
  <c r="AY15" i="65"/>
  <c r="BA15" i="65"/>
  <c r="BC15" i="65"/>
  <c r="A16" i="65"/>
  <c r="B16" i="65"/>
  <c r="D16" i="65"/>
  <c r="E16" i="65"/>
  <c r="F16" i="65"/>
  <c r="G16" i="65"/>
  <c r="H16" i="65"/>
  <c r="J16" i="65"/>
  <c r="K16" i="65"/>
  <c r="L16" i="65"/>
  <c r="M16" i="65"/>
  <c r="O16" i="65"/>
  <c r="P16" i="65"/>
  <c r="R16" i="65"/>
  <c r="S16" i="65"/>
  <c r="T16" i="65"/>
  <c r="U16" i="65"/>
  <c r="V16" i="65"/>
  <c r="W16" i="65"/>
  <c r="X16" i="65"/>
  <c r="Z16" i="65"/>
  <c r="AA16" i="65"/>
  <c r="AB16" i="65"/>
  <c r="AC16" i="65"/>
  <c r="AD16" i="65"/>
  <c r="AE16" i="65"/>
  <c r="AF16" i="65"/>
  <c r="AG16" i="65"/>
  <c r="AH16" i="65"/>
  <c r="AI16" i="65"/>
  <c r="AJ16" i="65"/>
  <c r="AK16" i="65"/>
  <c r="AL16" i="65"/>
  <c r="AM16" i="65"/>
  <c r="AN16" i="65"/>
  <c r="AO16" i="65"/>
  <c r="AP16" i="65"/>
  <c r="AQ16" i="65"/>
  <c r="AR16" i="65"/>
  <c r="AS16" i="65"/>
  <c r="AT16" i="65"/>
  <c r="AU16" i="65"/>
  <c r="AW16" i="65"/>
  <c r="AX16" i="65"/>
  <c r="AY16" i="65"/>
  <c r="BA16" i="65"/>
  <c r="BC16" i="65"/>
  <c r="A17" i="65"/>
  <c r="B17" i="65"/>
  <c r="D17" i="65"/>
  <c r="E17" i="65"/>
  <c r="F17" i="65"/>
  <c r="G17" i="65"/>
  <c r="H17" i="65"/>
  <c r="J17" i="65"/>
  <c r="K17" i="65"/>
  <c r="L17" i="65"/>
  <c r="M17" i="65"/>
  <c r="O17" i="65"/>
  <c r="P17" i="65"/>
  <c r="R17" i="65"/>
  <c r="S17" i="65"/>
  <c r="T17" i="65"/>
  <c r="U17" i="65"/>
  <c r="V17" i="65"/>
  <c r="W17" i="65"/>
  <c r="X17" i="65"/>
  <c r="Z17" i="65"/>
  <c r="AA17" i="65"/>
  <c r="AB17" i="65"/>
  <c r="AC17" i="65"/>
  <c r="AD17" i="65"/>
  <c r="AE17" i="65"/>
  <c r="AF17" i="65"/>
  <c r="AG17" i="65"/>
  <c r="AH17" i="65"/>
  <c r="AI17" i="65"/>
  <c r="AJ17" i="65"/>
  <c r="AK17" i="65"/>
  <c r="AL17" i="65"/>
  <c r="AM17" i="65"/>
  <c r="AN17" i="65"/>
  <c r="AO17" i="65"/>
  <c r="AP17" i="65"/>
  <c r="AQ17" i="65"/>
  <c r="AR17" i="65"/>
  <c r="AS17" i="65"/>
  <c r="AT17" i="65"/>
  <c r="AU17" i="65"/>
  <c r="AW17" i="65"/>
  <c r="AX17" i="65"/>
  <c r="AY17" i="65"/>
  <c r="BA17" i="65"/>
  <c r="BC17" i="65"/>
  <c r="A18" i="65"/>
  <c r="B18" i="65"/>
  <c r="D18" i="65"/>
  <c r="E18" i="65"/>
  <c r="F18" i="65"/>
  <c r="G18" i="65"/>
  <c r="H18" i="65"/>
  <c r="J18" i="65"/>
  <c r="K18" i="65"/>
  <c r="L18" i="65"/>
  <c r="M18" i="65"/>
  <c r="O18" i="65"/>
  <c r="P18" i="65"/>
  <c r="R18" i="65"/>
  <c r="S18" i="65"/>
  <c r="T18" i="65"/>
  <c r="U18" i="65"/>
  <c r="V18" i="65"/>
  <c r="W18" i="65"/>
  <c r="X18" i="65"/>
  <c r="Z18" i="65"/>
  <c r="AA18" i="65"/>
  <c r="AB18" i="65"/>
  <c r="AC18" i="65"/>
  <c r="AD18" i="65"/>
  <c r="AE18" i="65"/>
  <c r="AF18" i="65"/>
  <c r="AG18" i="65"/>
  <c r="AH18" i="65"/>
  <c r="AI18" i="65"/>
  <c r="AJ18" i="65"/>
  <c r="AK18" i="65"/>
  <c r="AL18" i="65"/>
  <c r="AM18" i="65"/>
  <c r="AN18" i="65"/>
  <c r="AO18" i="65"/>
  <c r="AP18" i="65"/>
  <c r="AQ18" i="65"/>
  <c r="AR18" i="65"/>
  <c r="AS18" i="65"/>
  <c r="AT18" i="65"/>
  <c r="AU18" i="65"/>
  <c r="AW18" i="65"/>
  <c r="AX18" i="65"/>
  <c r="AY18" i="65"/>
  <c r="BA18" i="65"/>
  <c r="BC18" i="65"/>
  <c r="A19" i="65"/>
  <c r="B19" i="65"/>
  <c r="D19" i="65"/>
  <c r="E19" i="65"/>
  <c r="F19" i="65"/>
  <c r="G19" i="65"/>
  <c r="H19" i="65"/>
  <c r="J19" i="65"/>
  <c r="K19" i="65"/>
  <c r="L19" i="65"/>
  <c r="M19" i="65"/>
  <c r="O19" i="65"/>
  <c r="P19" i="65"/>
  <c r="R19" i="65"/>
  <c r="S19" i="65"/>
  <c r="T19" i="65"/>
  <c r="U19" i="65"/>
  <c r="V19" i="65"/>
  <c r="W19" i="65"/>
  <c r="X19" i="65"/>
  <c r="Z19" i="65"/>
  <c r="AA19" i="65"/>
  <c r="AB19" i="65"/>
  <c r="AC19" i="65"/>
  <c r="AD19" i="65"/>
  <c r="AE19" i="65"/>
  <c r="AF19" i="65"/>
  <c r="AG19" i="65"/>
  <c r="AH19" i="65"/>
  <c r="AI19" i="65"/>
  <c r="AJ19" i="65"/>
  <c r="AK19" i="65"/>
  <c r="AL19" i="65"/>
  <c r="AM19" i="65"/>
  <c r="AN19" i="65"/>
  <c r="AO19" i="65"/>
  <c r="AP19" i="65"/>
  <c r="AQ19" i="65"/>
  <c r="AR19" i="65"/>
  <c r="AS19" i="65"/>
  <c r="AT19" i="65"/>
  <c r="AU19" i="65"/>
  <c r="AW19" i="65"/>
  <c r="AX19" i="65"/>
  <c r="AY19" i="65"/>
  <c r="BA19" i="65"/>
  <c r="BC19" i="65"/>
  <c r="A20" i="65"/>
  <c r="B20" i="65"/>
  <c r="D20" i="65"/>
  <c r="E20" i="65"/>
  <c r="F20" i="65"/>
  <c r="G20" i="65"/>
  <c r="H20" i="65"/>
  <c r="J20" i="65"/>
  <c r="K20" i="65"/>
  <c r="L20" i="65"/>
  <c r="M20" i="65"/>
  <c r="O20" i="65"/>
  <c r="P20" i="65"/>
  <c r="R20" i="65"/>
  <c r="S20" i="65"/>
  <c r="T20" i="65"/>
  <c r="U20" i="65"/>
  <c r="V20" i="65"/>
  <c r="W20" i="65"/>
  <c r="X20" i="65"/>
  <c r="Z20" i="65"/>
  <c r="AA20" i="65"/>
  <c r="AB20" i="65"/>
  <c r="AC20" i="65"/>
  <c r="AD20" i="65"/>
  <c r="AE20" i="65"/>
  <c r="AF20" i="65"/>
  <c r="AG20" i="65"/>
  <c r="AH20" i="65"/>
  <c r="AI20" i="65"/>
  <c r="AJ20" i="65"/>
  <c r="AK20" i="65"/>
  <c r="AL20" i="65"/>
  <c r="AM20" i="65"/>
  <c r="AN20" i="65"/>
  <c r="AO20" i="65"/>
  <c r="AP20" i="65"/>
  <c r="AQ20" i="65"/>
  <c r="AR20" i="65"/>
  <c r="AS20" i="65"/>
  <c r="AT20" i="65"/>
  <c r="AU20" i="65"/>
  <c r="AW20" i="65"/>
  <c r="AX20" i="65"/>
  <c r="AY20" i="65"/>
  <c r="BA20" i="65"/>
  <c r="BC20" i="65"/>
  <c r="A21" i="65"/>
  <c r="B21" i="65"/>
  <c r="D21" i="65"/>
  <c r="E21" i="65"/>
  <c r="F21" i="65"/>
  <c r="G21" i="65"/>
  <c r="H21" i="65"/>
  <c r="J21" i="65"/>
  <c r="K21" i="65"/>
  <c r="L21" i="65"/>
  <c r="M21" i="65"/>
  <c r="O21" i="65"/>
  <c r="P21" i="65"/>
  <c r="R21" i="65"/>
  <c r="S21" i="65"/>
  <c r="T21" i="65"/>
  <c r="U21" i="65"/>
  <c r="V21" i="65"/>
  <c r="W21" i="65"/>
  <c r="X21" i="65"/>
  <c r="Z21" i="65"/>
  <c r="AA21" i="65"/>
  <c r="AB21" i="65"/>
  <c r="AC21" i="65"/>
  <c r="AD21" i="65"/>
  <c r="AE21" i="65"/>
  <c r="AF21" i="65"/>
  <c r="AG21" i="65"/>
  <c r="AH21" i="65"/>
  <c r="AI21" i="65"/>
  <c r="AJ21" i="65"/>
  <c r="AK21" i="65"/>
  <c r="AL21" i="65"/>
  <c r="AM21" i="65"/>
  <c r="AN21" i="65"/>
  <c r="AO21" i="65"/>
  <c r="AP21" i="65"/>
  <c r="AQ21" i="65"/>
  <c r="AR21" i="65"/>
  <c r="AS21" i="65"/>
  <c r="AT21" i="65"/>
  <c r="AU21" i="65"/>
  <c r="AW21" i="65"/>
  <c r="AX21" i="65"/>
  <c r="AY21" i="65"/>
  <c r="BA21" i="65"/>
  <c r="BC21" i="65"/>
  <c r="A22" i="65"/>
  <c r="B22" i="65"/>
  <c r="D22" i="65"/>
  <c r="E22" i="65"/>
  <c r="F22" i="65"/>
  <c r="G22" i="65"/>
  <c r="H22" i="65"/>
  <c r="J22" i="65"/>
  <c r="K22" i="65"/>
  <c r="L22" i="65"/>
  <c r="M22" i="65"/>
  <c r="O22" i="65"/>
  <c r="P22" i="65"/>
  <c r="R22" i="65"/>
  <c r="S22" i="65"/>
  <c r="T22" i="65"/>
  <c r="U22" i="65"/>
  <c r="V22" i="65"/>
  <c r="W22" i="65"/>
  <c r="X22" i="65"/>
  <c r="Z22" i="65"/>
  <c r="AA22" i="65"/>
  <c r="AB22" i="65"/>
  <c r="AC22" i="65"/>
  <c r="AD22" i="65"/>
  <c r="AE22" i="65"/>
  <c r="AF22" i="65"/>
  <c r="AG22" i="65"/>
  <c r="AH22" i="65"/>
  <c r="AI22" i="65"/>
  <c r="AJ22" i="65"/>
  <c r="AK22" i="65"/>
  <c r="AL22" i="65"/>
  <c r="AM22" i="65"/>
  <c r="AN22" i="65"/>
  <c r="AO22" i="65"/>
  <c r="AP22" i="65"/>
  <c r="AQ22" i="65"/>
  <c r="AR22" i="65"/>
  <c r="AS22" i="65"/>
  <c r="AT22" i="65"/>
  <c r="AU22" i="65"/>
  <c r="AW22" i="65"/>
  <c r="AX22" i="65"/>
  <c r="AY22" i="65"/>
  <c r="BA22" i="65"/>
  <c r="BC22" i="65"/>
  <c r="A23" i="65"/>
  <c r="B23" i="65"/>
  <c r="D23" i="65"/>
  <c r="E23" i="65"/>
  <c r="F23" i="65"/>
  <c r="G23" i="65"/>
  <c r="H23" i="65"/>
  <c r="J23" i="65"/>
  <c r="K23" i="65"/>
  <c r="L23" i="65"/>
  <c r="M23" i="65"/>
  <c r="O23" i="65"/>
  <c r="P23" i="65"/>
  <c r="R23" i="65"/>
  <c r="S23" i="65"/>
  <c r="T23" i="65"/>
  <c r="U23" i="65"/>
  <c r="V23" i="65"/>
  <c r="W23" i="65"/>
  <c r="X23" i="65"/>
  <c r="Z23" i="65"/>
  <c r="AA23" i="65"/>
  <c r="AB23" i="65"/>
  <c r="AC23" i="65"/>
  <c r="AD23" i="65"/>
  <c r="AE23" i="65"/>
  <c r="AF23" i="65"/>
  <c r="AG23" i="65"/>
  <c r="AH23" i="65"/>
  <c r="AI23" i="65"/>
  <c r="AJ23" i="65"/>
  <c r="AK23" i="65"/>
  <c r="AL23" i="65"/>
  <c r="AM23" i="65"/>
  <c r="AN23" i="65"/>
  <c r="AO23" i="65"/>
  <c r="AP23" i="65"/>
  <c r="AQ23" i="65"/>
  <c r="AR23" i="65"/>
  <c r="AS23" i="65"/>
  <c r="AT23" i="65"/>
  <c r="AU23" i="65"/>
  <c r="AW23" i="65"/>
  <c r="AX23" i="65"/>
  <c r="AY23" i="65"/>
  <c r="BA23" i="65"/>
  <c r="BC23" i="65"/>
  <c r="A24" i="65"/>
  <c r="B24" i="65"/>
  <c r="D24" i="65"/>
  <c r="E24" i="65"/>
  <c r="F24" i="65"/>
  <c r="G24" i="65"/>
  <c r="H24" i="65"/>
  <c r="J24" i="65"/>
  <c r="K24" i="65"/>
  <c r="L24" i="65"/>
  <c r="M24" i="65"/>
  <c r="O24" i="65"/>
  <c r="P24" i="65"/>
  <c r="R24" i="65"/>
  <c r="S24" i="65"/>
  <c r="T24" i="65"/>
  <c r="U24" i="65"/>
  <c r="V24" i="65"/>
  <c r="W24" i="65"/>
  <c r="X24" i="65"/>
  <c r="Z24" i="65"/>
  <c r="AA24" i="65"/>
  <c r="AB24" i="65"/>
  <c r="AC24" i="65"/>
  <c r="AD24" i="65"/>
  <c r="AE24" i="65"/>
  <c r="AF24" i="65"/>
  <c r="AG24" i="65"/>
  <c r="AH24" i="65"/>
  <c r="AI24" i="65"/>
  <c r="AJ24" i="65"/>
  <c r="AK24" i="65"/>
  <c r="AL24" i="65"/>
  <c r="AM24" i="65"/>
  <c r="AN24" i="65"/>
  <c r="AO24" i="65"/>
  <c r="AP24" i="65"/>
  <c r="AQ24" i="65"/>
  <c r="AR24" i="65"/>
  <c r="AS24" i="65"/>
  <c r="AT24" i="65"/>
  <c r="AU24" i="65"/>
  <c r="AW24" i="65"/>
  <c r="AX24" i="65"/>
  <c r="AY24" i="65"/>
  <c r="BA24" i="65"/>
  <c r="BC24" i="65"/>
  <c r="A25" i="65"/>
  <c r="B25" i="65"/>
  <c r="D25" i="65"/>
  <c r="E25" i="65"/>
  <c r="F25" i="65"/>
  <c r="G25" i="65"/>
  <c r="H25" i="65"/>
  <c r="J25" i="65"/>
  <c r="K25" i="65"/>
  <c r="L25" i="65"/>
  <c r="M25" i="65"/>
  <c r="O25" i="65"/>
  <c r="P25" i="65"/>
  <c r="R25" i="65"/>
  <c r="S25" i="65"/>
  <c r="T25" i="65"/>
  <c r="U25" i="65"/>
  <c r="V25" i="65"/>
  <c r="W25" i="65"/>
  <c r="X25" i="65"/>
  <c r="Z25" i="65"/>
  <c r="AA25" i="65"/>
  <c r="AB25" i="65"/>
  <c r="AC25" i="65"/>
  <c r="AD25" i="65"/>
  <c r="AE25" i="65"/>
  <c r="AF25" i="65"/>
  <c r="AG25" i="65"/>
  <c r="AH25" i="65"/>
  <c r="AI25" i="65"/>
  <c r="AJ25" i="65"/>
  <c r="AK25" i="65"/>
  <c r="AL25" i="65"/>
  <c r="AM25" i="65"/>
  <c r="AN25" i="65"/>
  <c r="AO25" i="65"/>
  <c r="AP25" i="65"/>
  <c r="AQ25" i="65"/>
  <c r="AR25" i="65"/>
  <c r="AS25" i="65"/>
  <c r="AT25" i="65"/>
  <c r="AU25" i="65"/>
  <c r="AW25" i="65"/>
  <c r="AX25" i="65"/>
  <c r="AY25" i="65"/>
  <c r="BA25" i="65"/>
  <c r="BC25" i="65"/>
  <c r="A26" i="65"/>
  <c r="B26" i="65"/>
  <c r="D26" i="65"/>
  <c r="E26" i="65"/>
  <c r="F26" i="65"/>
  <c r="G26" i="65"/>
  <c r="H26" i="65"/>
  <c r="J26" i="65"/>
  <c r="K26" i="65"/>
  <c r="L26" i="65"/>
  <c r="M26" i="65"/>
  <c r="O26" i="65"/>
  <c r="P26" i="65"/>
  <c r="R26" i="65"/>
  <c r="S26" i="65"/>
  <c r="T26" i="65"/>
  <c r="U26" i="65"/>
  <c r="V26" i="65"/>
  <c r="W26" i="65"/>
  <c r="X26" i="65"/>
  <c r="Z26" i="65"/>
  <c r="AA26" i="65"/>
  <c r="AB26" i="65"/>
  <c r="AC26" i="65"/>
  <c r="AD26" i="65"/>
  <c r="AE26" i="65"/>
  <c r="AF26" i="65"/>
  <c r="AG26" i="65"/>
  <c r="AH26" i="65"/>
  <c r="AI26" i="65"/>
  <c r="AJ26" i="65"/>
  <c r="AK26" i="65"/>
  <c r="AL26" i="65"/>
  <c r="AM26" i="65"/>
  <c r="AN26" i="65"/>
  <c r="AO26" i="65"/>
  <c r="AP26" i="65"/>
  <c r="AQ26" i="65"/>
  <c r="AR26" i="65"/>
  <c r="AS26" i="65"/>
  <c r="AT26" i="65"/>
  <c r="AU26" i="65"/>
  <c r="AW26" i="65"/>
  <c r="AX26" i="65"/>
  <c r="AY26" i="65"/>
  <c r="BA26" i="65"/>
  <c r="BC26" i="65"/>
  <c r="A27" i="65"/>
  <c r="B27" i="65"/>
  <c r="D27" i="65"/>
  <c r="E27" i="65"/>
  <c r="F27" i="65"/>
  <c r="G27" i="65"/>
  <c r="H27" i="65"/>
  <c r="J27" i="65"/>
  <c r="K27" i="65"/>
  <c r="L27" i="65"/>
  <c r="M27" i="65"/>
  <c r="O27" i="65"/>
  <c r="P27" i="65"/>
  <c r="R27" i="65"/>
  <c r="S27" i="65"/>
  <c r="T27" i="65"/>
  <c r="U27" i="65"/>
  <c r="V27" i="65"/>
  <c r="W27" i="65"/>
  <c r="X27" i="65"/>
  <c r="Z27" i="65"/>
  <c r="AA27" i="65"/>
  <c r="AB27" i="65"/>
  <c r="AC27" i="65"/>
  <c r="AD27" i="65"/>
  <c r="AE27" i="65"/>
  <c r="AF27" i="65"/>
  <c r="AG27" i="65"/>
  <c r="AH27" i="65"/>
  <c r="AI27" i="65"/>
  <c r="AJ27" i="65"/>
  <c r="AK27" i="65"/>
  <c r="AL27" i="65"/>
  <c r="AM27" i="65"/>
  <c r="AN27" i="65"/>
  <c r="AO27" i="65"/>
  <c r="AP27" i="65"/>
  <c r="AQ27" i="65"/>
  <c r="AR27" i="65"/>
  <c r="AS27" i="65"/>
  <c r="AT27" i="65"/>
  <c r="AU27" i="65"/>
  <c r="AW27" i="65"/>
  <c r="AX27" i="65"/>
  <c r="AY27" i="65"/>
  <c r="BA27" i="65"/>
  <c r="BC27" i="65"/>
  <c r="A28" i="65"/>
  <c r="B28" i="65"/>
  <c r="D28" i="65"/>
  <c r="E28" i="65"/>
  <c r="F28" i="65"/>
  <c r="G28" i="65"/>
  <c r="H28" i="65"/>
  <c r="J28" i="65"/>
  <c r="K28" i="65"/>
  <c r="L28" i="65"/>
  <c r="M28" i="65"/>
  <c r="O28" i="65"/>
  <c r="P28" i="65"/>
  <c r="R28" i="65"/>
  <c r="S28" i="65"/>
  <c r="T28" i="65"/>
  <c r="U28" i="65"/>
  <c r="V28" i="65"/>
  <c r="W28" i="65"/>
  <c r="X28" i="65"/>
  <c r="Z28" i="65"/>
  <c r="AA28" i="65"/>
  <c r="AB28" i="65"/>
  <c r="AC28" i="65"/>
  <c r="AD28" i="65"/>
  <c r="AE28" i="65"/>
  <c r="AF28" i="65"/>
  <c r="AG28" i="65"/>
  <c r="AH28" i="65"/>
  <c r="AI28" i="65"/>
  <c r="AJ28" i="65"/>
  <c r="AK28" i="65"/>
  <c r="AL28" i="65"/>
  <c r="AM28" i="65"/>
  <c r="AN28" i="65"/>
  <c r="AO28" i="65"/>
  <c r="AP28" i="65"/>
  <c r="AQ28" i="65"/>
  <c r="AR28" i="65"/>
  <c r="AS28" i="65"/>
  <c r="AT28" i="65"/>
  <c r="AU28" i="65"/>
  <c r="AW28" i="65"/>
  <c r="AX28" i="65"/>
  <c r="AY28" i="65"/>
  <c r="BA28" i="65"/>
  <c r="BC28" i="65"/>
  <c r="A29" i="65"/>
  <c r="B29" i="65"/>
  <c r="D29" i="65"/>
  <c r="E29" i="65"/>
  <c r="F29" i="65"/>
  <c r="G29" i="65"/>
  <c r="H29" i="65"/>
  <c r="J29" i="65"/>
  <c r="K29" i="65"/>
  <c r="L29" i="65"/>
  <c r="M29" i="65"/>
  <c r="O29" i="65"/>
  <c r="P29" i="65"/>
  <c r="R29" i="65"/>
  <c r="S29" i="65"/>
  <c r="T29" i="65"/>
  <c r="U29" i="65"/>
  <c r="V29" i="65"/>
  <c r="W29" i="65"/>
  <c r="X29" i="65"/>
  <c r="Z29" i="65"/>
  <c r="AA29" i="65"/>
  <c r="AB29" i="65"/>
  <c r="AC29" i="65"/>
  <c r="AD29" i="65"/>
  <c r="AE29" i="65"/>
  <c r="AF29" i="65"/>
  <c r="AG29" i="65"/>
  <c r="AH29" i="65"/>
  <c r="AI29" i="65"/>
  <c r="AJ29" i="65"/>
  <c r="AK29" i="65"/>
  <c r="AL29" i="65"/>
  <c r="AM29" i="65"/>
  <c r="AN29" i="65"/>
  <c r="AO29" i="65"/>
  <c r="AP29" i="65"/>
  <c r="AQ29" i="65"/>
  <c r="AR29" i="65"/>
  <c r="AS29" i="65"/>
  <c r="AT29" i="65"/>
  <c r="AU29" i="65"/>
  <c r="AW29" i="65"/>
  <c r="AX29" i="65"/>
  <c r="AY29" i="65"/>
  <c r="BA29" i="65"/>
  <c r="BC29" i="65"/>
  <c r="A30" i="65"/>
  <c r="B30" i="65"/>
  <c r="D30" i="65"/>
  <c r="E30" i="65"/>
  <c r="F30" i="65"/>
  <c r="G30" i="65"/>
  <c r="H30" i="65"/>
  <c r="J30" i="65"/>
  <c r="K30" i="65"/>
  <c r="L30" i="65"/>
  <c r="M30" i="65"/>
  <c r="O30" i="65"/>
  <c r="P30" i="65"/>
  <c r="R30" i="65"/>
  <c r="S30" i="65"/>
  <c r="T30" i="65"/>
  <c r="U30" i="65"/>
  <c r="V30" i="65"/>
  <c r="W30" i="65"/>
  <c r="X30" i="65"/>
  <c r="Z30" i="65"/>
  <c r="AA30" i="65"/>
  <c r="AB30" i="65"/>
  <c r="AC30" i="65"/>
  <c r="AD30" i="65"/>
  <c r="AE30" i="65"/>
  <c r="AF30" i="65"/>
  <c r="AG30" i="65"/>
  <c r="AH30" i="65"/>
  <c r="AI30" i="65"/>
  <c r="AJ30" i="65"/>
  <c r="AK30" i="65"/>
  <c r="AL30" i="65"/>
  <c r="AM30" i="65"/>
  <c r="AN30" i="65"/>
  <c r="AO30" i="65"/>
  <c r="AP30" i="65"/>
  <c r="AQ30" i="65"/>
  <c r="AR30" i="65"/>
  <c r="AS30" i="65"/>
  <c r="AT30" i="65"/>
  <c r="AU30" i="65"/>
  <c r="AW30" i="65"/>
  <c r="AX30" i="65"/>
  <c r="AY30" i="65"/>
  <c r="BA30" i="65"/>
  <c r="BC30" i="65"/>
  <c r="A31" i="65"/>
  <c r="B31" i="65"/>
  <c r="D31" i="65"/>
  <c r="E31" i="65"/>
  <c r="F31" i="65"/>
  <c r="G31" i="65"/>
  <c r="H31" i="65"/>
  <c r="J31" i="65"/>
  <c r="K31" i="65"/>
  <c r="L31" i="65"/>
  <c r="M31" i="65"/>
  <c r="O31" i="65"/>
  <c r="P31" i="65"/>
  <c r="R31" i="65"/>
  <c r="S31" i="65"/>
  <c r="T31" i="65"/>
  <c r="U31" i="65"/>
  <c r="V31" i="65"/>
  <c r="W31" i="65"/>
  <c r="X31" i="65"/>
  <c r="Z31" i="65"/>
  <c r="AA31" i="65"/>
  <c r="AB31" i="65"/>
  <c r="AC31" i="65"/>
  <c r="AD31" i="65"/>
  <c r="AE31" i="65"/>
  <c r="AF31" i="65"/>
  <c r="AG31" i="65"/>
  <c r="AH31" i="65"/>
  <c r="AI31" i="65"/>
  <c r="AJ31" i="65"/>
  <c r="AK31" i="65"/>
  <c r="AL31" i="65"/>
  <c r="AM31" i="65"/>
  <c r="AN31" i="65"/>
  <c r="AO31" i="65"/>
  <c r="AP31" i="65"/>
  <c r="AQ31" i="65"/>
  <c r="AR31" i="65"/>
  <c r="AS31" i="65"/>
  <c r="AT31" i="65"/>
  <c r="AU31" i="65"/>
  <c r="AW31" i="65"/>
  <c r="AX31" i="65"/>
  <c r="AY31" i="65"/>
  <c r="BA31" i="65"/>
  <c r="BC31" i="65"/>
  <c r="A32" i="65"/>
  <c r="B32" i="65"/>
  <c r="D32" i="65"/>
  <c r="E32" i="65"/>
  <c r="F32" i="65"/>
  <c r="G32" i="65"/>
  <c r="H32" i="65"/>
  <c r="J32" i="65"/>
  <c r="K32" i="65"/>
  <c r="L32" i="65"/>
  <c r="M32" i="65"/>
  <c r="O32" i="65"/>
  <c r="P32" i="65"/>
  <c r="R32" i="65"/>
  <c r="S32" i="65"/>
  <c r="T32" i="65"/>
  <c r="U32" i="65"/>
  <c r="V32" i="65"/>
  <c r="W32" i="65"/>
  <c r="X32" i="65"/>
  <c r="Z32" i="65"/>
  <c r="AA32" i="65"/>
  <c r="AB32" i="65"/>
  <c r="AC32" i="65"/>
  <c r="AD32" i="65"/>
  <c r="AE32" i="65"/>
  <c r="AF32" i="65"/>
  <c r="AG32" i="65"/>
  <c r="AH32" i="65"/>
  <c r="AI32" i="65"/>
  <c r="AJ32" i="65"/>
  <c r="AK32" i="65"/>
  <c r="AL32" i="65"/>
  <c r="AM32" i="65"/>
  <c r="AN32" i="65"/>
  <c r="AO32" i="65"/>
  <c r="AP32" i="65"/>
  <c r="AQ32" i="65"/>
  <c r="AR32" i="65"/>
  <c r="AS32" i="65"/>
  <c r="AT32" i="65"/>
  <c r="AU32" i="65"/>
  <c r="AW32" i="65"/>
  <c r="AX32" i="65"/>
  <c r="AY32" i="65"/>
  <c r="BA32" i="65"/>
  <c r="BC32" i="65"/>
  <c r="A33" i="65"/>
  <c r="B33" i="65"/>
  <c r="D33" i="65"/>
  <c r="E33" i="65"/>
  <c r="F33" i="65"/>
  <c r="G33" i="65"/>
  <c r="H33" i="65"/>
  <c r="J33" i="65"/>
  <c r="K33" i="65"/>
  <c r="L33" i="65"/>
  <c r="M33" i="65"/>
  <c r="O33" i="65"/>
  <c r="P33" i="65"/>
  <c r="R33" i="65"/>
  <c r="S33" i="65"/>
  <c r="T33" i="65"/>
  <c r="U33" i="65"/>
  <c r="V33" i="65"/>
  <c r="W33" i="65"/>
  <c r="X33" i="65"/>
  <c r="Z33" i="65"/>
  <c r="AA33" i="65"/>
  <c r="AB33" i="65"/>
  <c r="AC33" i="65"/>
  <c r="AD33" i="65"/>
  <c r="AE33" i="65"/>
  <c r="AF33" i="65"/>
  <c r="AG33" i="65"/>
  <c r="AH33" i="65"/>
  <c r="AI33" i="65"/>
  <c r="AJ33" i="65"/>
  <c r="AK33" i="65"/>
  <c r="AL33" i="65"/>
  <c r="AM33" i="65"/>
  <c r="AN33" i="65"/>
  <c r="AO33" i="65"/>
  <c r="AP33" i="65"/>
  <c r="AQ33" i="65"/>
  <c r="AR33" i="65"/>
  <c r="AS33" i="65"/>
  <c r="AT33" i="65"/>
  <c r="AU33" i="65"/>
  <c r="AW33" i="65"/>
  <c r="AX33" i="65"/>
  <c r="AY33" i="65"/>
  <c r="BA33" i="65"/>
  <c r="BC33" i="65"/>
  <c r="A34" i="65"/>
  <c r="B34" i="65"/>
  <c r="D34" i="65"/>
  <c r="E34" i="65"/>
  <c r="F34" i="65"/>
  <c r="G34" i="65"/>
  <c r="H34" i="65"/>
  <c r="J34" i="65"/>
  <c r="K34" i="65"/>
  <c r="L34" i="65"/>
  <c r="M34" i="65"/>
  <c r="O34" i="65"/>
  <c r="P34" i="65"/>
  <c r="R34" i="65"/>
  <c r="S34" i="65"/>
  <c r="T34" i="65"/>
  <c r="U34" i="65"/>
  <c r="V34" i="65"/>
  <c r="W34" i="65"/>
  <c r="X34" i="65"/>
  <c r="Z34" i="65"/>
  <c r="AA34" i="65"/>
  <c r="AB34" i="65"/>
  <c r="AC34" i="65"/>
  <c r="AD34" i="65"/>
  <c r="AE34" i="65"/>
  <c r="AF34" i="65"/>
  <c r="AG34" i="65"/>
  <c r="AH34" i="65"/>
  <c r="AI34" i="65"/>
  <c r="AJ34" i="65"/>
  <c r="AK34" i="65"/>
  <c r="AL34" i="65"/>
  <c r="AM34" i="65"/>
  <c r="AN34" i="65"/>
  <c r="AO34" i="65"/>
  <c r="AP34" i="65"/>
  <c r="AQ34" i="65"/>
  <c r="AR34" i="65"/>
  <c r="AS34" i="65"/>
  <c r="AT34" i="65"/>
  <c r="AU34" i="65"/>
  <c r="AW34" i="65"/>
  <c r="AX34" i="65"/>
  <c r="AY34" i="65"/>
  <c r="BA34" i="65"/>
  <c r="BC34" i="65"/>
  <c r="A35" i="65"/>
  <c r="B35" i="65"/>
  <c r="D35" i="65"/>
  <c r="E35" i="65"/>
  <c r="F35" i="65"/>
  <c r="G35" i="65"/>
  <c r="H35" i="65"/>
  <c r="J35" i="65"/>
  <c r="K35" i="65"/>
  <c r="L35" i="65"/>
  <c r="M35" i="65"/>
  <c r="O35" i="65"/>
  <c r="P35" i="65"/>
  <c r="R35" i="65"/>
  <c r="S35" i="65"/>
  <c r="T35" i="65"/>
  <c r="U35" i="65"/>
  <c r="V35" i="65"/>
  <c r="W35" i="65"/>
  <c r="X35" i="65"/>
  <c r="Z35" i="65"/>
  <c r="AA35" i="65"/>
  <c r="AB35" i="65"/>
  <c r="AC35" i="65"/>
  <c r="AD35" i="65"/>
  <c r="AE35" i="65"/>
  <c r="AF35" i="65"/>
  <c r="AG35" i="65"/>
  <c r="AH35" i="65"/>
  <c r="AI35" i="65"/>
  <c r="AJ35" i="65"/>
  <c r="AK35" i="65"/>
  <c r="AL35" i="65"/>
  <c r="AM35" i="65"/>
  <c r="AN35" i="65"/>
  <c r="AO35" i="65"/>
  <c r="AP35" i="65"/>
  <c r="AQ35" i="65"/>
  <c r="AR35" i="65"/>
  <c r="AS35" i="65"/>
  <c r="AT35" i="65"/>
  <c r="AU35" i="65"/>
  <c r="AW35" i="65"/>
  <c r="AX35" i="65"/>
  <c r="AY35" i="65"/>
  <c r="BA35" i="65"/>
  <c r="BC35" i="65"/>
  <c r="A36" i="65"/>
  <c r="B36" i="65"/>
  <c r="D36" i="65"/>
  <c r="E36" i="65"/>
  <c r="F36" i="65"/>
  <c r="G36" i="65"/>
  <c r="H36" i="65"/>
  <c r="J36" i="65"/>
  <c r="K36" i="65"/>
  <c r="L36" i="65"/>
  <c r="M36" i="65"/>
  <c r="O36" i="65"/>
  <c r="P36" i="65"/>
  <c r="R36" i="65"/>
  <c r="S36" i="65"/>
  <c r="T36" i="65"/>
  <c r="U36" i="65"/>
  <c r="V36" i="65"/>
  <c r="W36" i="65"/>
  <c r="X36" i="65"/>
  <c r="Z36" i="65"/>
  <c r="AA36" i="65"/>
  <c r="AB36" i="65"/>
  <c r="AC36" i="65"/>
  <c r="AD36" i="65"/>
  <c r="AE36" i="65"/>
  <c r="AF36" i="65"/>
  <c r="AG36" i="65"/>
  <c r="AH36" i="65"/>
  <c r="AI36" i="65"/>
  <c r="AJ36" i="65"/>
  <c r="AK36" i="65"/>
  <c r="AL36" i="65"/>
  <c r="AM36" i="65"/>
  <c r="AN36" i="65"/>
  <c r="AO36" i="65"/>
  <c r="AP36" i="65"/>
  <c r="AQ36" i="65"/>
  <c r="AR36" i="65"/>
  <c r="AS36" i="65"/>
  <c r="AT36" i="65"/>
  <c r="AU36" i="65"/>
  <c r="AW36" i="65"/>
  <c r="AX36" i="65"/>
  <c r="AY36" i="65"/>
  <c r="BA36" i="65"/>
  <c r="BC36" i="65"/>
  <c r="A37" i="65"/>
  <c r="B37" i="65"/>
  <c r="D37" i="65"/>
  <c r="E37" i="65"/>
  <c r="F37" i="65"/>
  <c r="G37" i="65"/>
  <c r="H37" i="65"/>
  <c r="J37" i="65"/>
  <c r="K37" i="65"/>
  <c r="L37" i="65"/>
  <c r="M37" i="65"/>
  <c r="O37" i="65"/>
  <c r="P37" i="65"/>
  <c r="R37" i="65"/>
  <c r="S37" i="65"/>
  <c r="T37" i="65"/>
  <c r="U37" i="65"/>
  <c r="V37" i="65"/>
  <c r="W37" i="65"/>
  <c r="X37" i="65"/>
  <c r="Z37" i="65"/>
  <c r="AA37" i="65"/>
  <c r="AB37" i="65"/>
  <c r="AC37" i="65"/>
  <c r="AD37" i="65"/>
  <c r="AE37" i="65"/>
  <c r="AF37" i="65"/>
  <c r="AG37" i="65"/>
  <c r="AH37" i="65"/>
  <c r="AI37" i="65"/>
  <c r="AJ37" i="65"/>
  <c r="AK37" i="65"/>
  <c r="AL37" i="65"/>
  <c r="AM37" i="65"/>
  <c r="AN37" i="65"/>
  <c r="AO37" i="65"/>
  <c r="AP37" i="65"/>
  <c r="AQ37" i="65"/>
  <c r="AR37" i="65"/>
  <c r="AS37" i="65"/>
  <c r="AT37" i="65"/>
  <c r="AU37" i="65"/>
  <c r="AW37" i="65"/>
  <c r="AX37" i="65"/>
  <c r="AY37" i="65"/>
  <c r="BA37" i="65"/>
  <c r="BC37" i="65"/>
  <c r="A38" i="65"/>
  <c r="B38" i="65"/>
  <c r="D38" i="65"/>
  <c r="E38" i="65"/>
  <c r="F38" i="65"/>
  <c r="G38" i="65"/>
  <c r="H38" i="65"/>
  <c r="J38" i="65"/>
  <c r="K38" i="65"/>
  <c r="L38" i="65"/>
  <c r="M38" i="65"/>
  <c r="O38" i="65"/>
  <c r="P38" i="65"/>
  <c r="R38" i="65"/>
  <c r="S38" i="65"/>
  <c r="T38" i="65"/>
  <c r="U38" i="65"/>
  <c r="V38" i="65"/>
  <c r="W38" i="65"/>
  <c r="X38" i="65"/>
  <c r="Z38" i="65"/>
  <c r="AA38" i="65"/>
  <c r="AB38" i="65"/>
  <c r="AC38" i="65"/>
  <c r="AD38" i="65"/>
  <c r="AE38" i="65"/>
  <c r="AF38" i="65"/>
  <c r="AG38" i="65"/>
  <c r="AH38" i="65"/>
  <c r="AI38" i="65"/>
  <c r="AJ38" i="65"/>
  <c r="AK38" i="65"/>
  <c r="AL38" i="65"/>
  <c r="AM38" i="65"/>
  <c r="AN38" i="65"/>
  <c r="AO38" i="65"/>
  <c r="AP38" i="65"/>
  <c r="AQ38" i="65"/>
  <c r="AR38" i="65"/>
  <c r="AS38" i="65"/>
  <c r="AT38" i="65"/>
  <c r="AU38" i="65"/>
  <c r="AW38" i="65"/>
  <c r="AX38" i="65"/>
  <c r="AY38" i="65"/>
  <c r="BA38" i="65"/>
  <c r="BC38" i="65"/>
  <c r="A39" i="65"/>
  <c r="B39" i="65"/>
  <c r="D39" i="65"/>
  <c r="E39" i="65"/>
  <c r="F39" i="65"/>
  <c r="G39" i="65"/>
  <c r="H39" i="65"/>
  <c r="J39" i="65"/>
  <c r="K39" i="65"/>
  <c r="L39" i="65"/>
  <c r="M39" i="65"/>
  <c r="O39" i="65"/>
  <c r="P39" i="65"/>
  <c r="R39" i="65"/>
  <c r="S39" i="65"/>
  <c r="T39" i="65"/>
  <c r="U39" i="65"/>
  <c r="V39" i="65"/>
  <c r="W39" i="65"/>
  <c r="X39" i="65"/>
  <c r="Z39" i="65"/>
  <c r="AA39" i="65"/>
  <c r="AB39" i="65"/>
  <c r="AC39" i="65"/>
  <c r="AD39" i="65"/>
  <c r="AE39" i="65"/>
  <c r="AF39" i="65"/>
  <c r="AG39" i="65"/>
  <c r="AH39" i="65"/>
  <c r="AI39" i="65"/>
  <c r="AJ39" i="65"/>
  <c r="AK39" i="65"/>
  <c r="AL39" i="65"/>
  <c r="AM39" i="65"/>
  <c r="AN39" i="65"/>
  <c r="AO39" i="65"/>
  <c r="AP39" i="65"/>
  <c r="AQ39" i="65"/>
  <c r="AR39" i="65"/>
  <c r="AS39" i="65"/>
  <c r="AT39" i="65"/>
  <c r="AU39" i="65"/>
  <c r="AW39" i="65"/>
  <c r="AX39" i="65"/>
  <c r="AY39" i="65"/>
  <c r="BA39" i="65"/>
  <c r="BC39" i="65"/>
  <c r="A40" i="65"/>
  <c r="B40" i="65"/>
  <c r="D40" i="65"/>
  <c r="E40" i="65"/>
  <c r="F40" i="65"/>
  <c r="G40" i="65"/>
  <c r="H40" i="65"/>
  <c r="J40" i="65"/>
  <c r="K40" i="65"/>
  <c r="L40" i="65"/>
  <c r="M40" i="65"/>
  <c r="O40" i="65"/>
  <c r="P40" i="65"/>
  <c r="R40" i="65"/>
  <c r="S40" i="65"/>
  <c r="T40" i="65"/>
  <c r="U40" i="65"/>
  <c r="V40" i="65"/>
  <c r="W40" i="65"/>
  <c r="X40" i="65"/>
  <c r="Z40" i="65"/>
  <c r="AA40" i="65"/>
  <c r="AB40" i="65"/>
  <c r="AC40" i="65"/>
  <c r="AD40" i="65"/>
  <c r="AE40" i="65"/>
  <c r="AF40" i="65"/>
  <c r="AG40" i="65"/>
  <c r="AH40" i="65"/>
  <c r="AI40" i="65"/>
  <c r="AJ40" i="65"/>
  <c r="AK40" i="65"/>
  <c r="AL40" i="65"/>
  <c r="AM40" i="65"/>
  <c r="AN40" i="65"/>
  <c r="AO40" i="65"/>
  <c r="AP40" i="65"/>
  <c r="AQ40" i="65"/>
  <c r="AR40" i="65"/>
  <c r="AS40" i="65"/>
  <c r="AT40" i="65"/>
  <c r="AU40" i="65"/>
  <c r="AW40" i="65"/>
  <c r="AX40" i="65"/>
  <c r="AY40" i="65"/>
  <c r="BA40" i="65"/>
  <c r="BC40" i="65"/>
  <c r="A41" i="65"/>
  <c r="B41" i="65"/>
  <c r="D41" i="65"/>
  <c r="E41" i="65"/>
  <c r="F41" i="65"/>
  <c r="G41" i="65"/>
  <c r="H41" i="65"/>
  <c r="J41" i="65"/>
  <c r="K41" i="65"/>
  <c r="L41" i="65"/>
  <c r="M41" i="65"/>
  <c r="O41" i="65"/>
  <c r="P41" i="65"/>
  <c r="R41" i="65"/>
  <c r="S41" i="65"/>
  <c r="T41" i="65"/>
  <c r="U41" i="65"/>
  <c r="V41" i="65"/>
  <c r="W41" i="65"/>
  <c r="X41" i="65"/>
  <c r="Z41" i="65"/>
  <c r="AA41" i="65"/>
  <c r="AB41" i="65"/>
  <c r="AC41" i="65"/>
  <c r="AD41" i="65"/>
  <c r="AE41" i="65"/>
  <c r="AF41" i="65"/>
  <c r="AG41" i="65"/>
  <c r="AH41" i="65"/>
  <c r="AI41" i="65"/>
  <c r="AJ41" i="65"/>
  <c r="AK41" i="65"/>
  <c r="AL41" i="65"/>
  <c r="AM41" i="65"/>
  <c r="AN41" i="65"/>
  <c r="AO41" i="65"/>
  <c r="AP41" i="65"/>
  <c r="AQ41" i="65"/>
  <c r="AR41" i="65"/>
  <c r="AS41" i="65"/>
  <c r="AT41" i="65"/>
  <c r="AU41" i="65"/>
  <c r="AW41" i="65"/>
  <c r="AX41" i="65"/>
  <c r="AY41" i="65"/>
  <c r="BA41" i="65"/>
  <c r="BC41" i="65"/>
  <c r="A42" i="65"/>
  <c r="B42" i="65"/>
  <c r="D42" i="65"/>
  <c r="E42" i="65"/>
  <c r="F42" i="65"/>
  <c r="G42" i="65"/>
  <c r="H42" i="65"/>
  <c r="J42" i="65"/>
  <c r="K42" i="65"/>
  <c r="L42" i="65"/>
  <c r="M42" i="65"/>
  <c r="O42" i="65"/>
  <c r="P42" i="65"/>
  <c r="R42" i="65"/>
  <c r="S42" i="65"/>
  <c r="T42" i="65"/>
  <c r="U42" i="65"/>
  <c r="V42" i="65"/>
  <c r="W42" i="65"/>
  <c r="X42" i="65"/>
  <c r="Z42" i="65"/>
  <c r="AA42" i="65"/>
  <c r="AB42" i="65"/>
  <c r="AC42" i="65"/>
  <c r="AD42" i="65"/>
  <c r="AE42" i="65"/>
  <c r="AF42" i="65"/>
  <c r="AG42" i="65"/>
  <c r="AH42" i="65"/>
  <c r="AI42" i="65"/>
  <c r="AJ42" i="65"/>
  <c r="AK42" i="65"/>
  <c r="AL42" i="65"/>
  <c r="AM42" i="65"/>
  <c r="AN42" i="65"/>
  <c r="AO42" i="65"/>
  <c r="AP42" i="65"/>
  <c r="AQ42" i="65"/>
  <c r="AR42" i="65"/>
  <c r="AS42" i="65"/>
  <c r="AT42" i="65"/>
  <c r="AU42" i="65"/>
  <c r="AW42" i="65"/>
  <c r="AX42" i="65"/>
  <c r="AY42" i="65"/>
  <c r="BA42" i="65"/>
  <c r="BC42" i="65"/>
  <c r="A43" i="65"/>
  <c r="B43" i="65"/>
  <c r="D43" i="65"/>
  <c r="E43" i="65"/>
  <c r="F43" i="65"/>
  <c r="G43" i="65"/>
  <c r="H43" i="65"/>
  <c r="J43" i="65"/>
  <c r="K43" i="65"/>
  <c r="L43" i="65"/>
  <c r="M43" i="65"/>
  <c r="O43" i="65"/>
  <c r="P43" i="65"/>
  <c r="R43" i="65"/>
  <c r="S43" i="65"/>
  <c r="T43" i="65"/>
  <c r="U43" i="65"/>
  <c r="V43" i="65"/>
  <c r="W43" i="65"/>
  <c r="X43" i="65"/>
  <c r="Z43" i="65"/>
  <c r="AA43" i="65"/>
  <c r="AB43" i="65"/>
  <c r="AC43" i="65"/>
  <c r="AD43" i="65"/>
  <c r="AE43" i="65"/>
  <c r="AF43" i="65"/>
  <c r="AG43" i="65"/>
  <c r="AH43" i="65"/>
  <c r="AI43" i="65"/>
  <c r="AJ43" i="65"/>
  <c r="AK43" i="65"/>
  <c r="AL43" i="65"/>
  <c r="AM43" i="65"/>
  <c r="AN43" i="65"/>
  <c r="AO43" i="65"/>
  <c r="AP43" i="65"/>
  <c r="AQ43" i="65"/>
  <c r="AR43" i="65"/>
  <c r="AS43" i="65"/>
  <c r="AT43" i="65"/>
  <c r="AU43" i="65"/>
  <c r="AW43" i="65"/>
  <c r="AX43" i="65"/>
  <c r="AY43" i="65"/>
  <c r="BA43" i="65"/>
  <c r="BC43" i="65"/>
  <c r="A44" i="65"/>
  <c r="B44" i="65"/>
  <c r="D44" i="65"/>
  <c r="E44" i="65"/>
  <c r="F44" i="65"/>
  <c r="G44" i="65"/>
  <c r="H44" i="65"/>
  <c r="J44" i="65"/>
  <c r="K44" i="65"/>
  <c r="L44" i="65"/>
  <c r="M44" i="65"/>
  <c r="O44" i="65"/>
  <c r="P44" i="65"/>
  <c r="R44" i="65"/>
  <c r="S44" i="65"/>
  <c r="T44" i="65"/>
  <c r="U44" i="65"/>
  <c r="V44" i="65"/>
  <c r="W44" i="65"/>
  <c r="X44" i="65"/>
  <c r="Z44" i="65"/>
  <c r="AA44" i="65"/>
  <c r="AB44" i="65"/>
  <c r="AC44" i="65"/>
  <c r="AD44" i="65"/>
  <c r="AE44" i="65"/>
  <c r="AF44" i="65"/>
  <c r="AG44" i="65"/>
  <c r="AH44" i="65"/>
  <c r="AI44" i="65"/>
  <c r="AJ44" i="65"/>
  <c r="AK44" i="65"/>
  <c r="AL44" i="65"/>
  <c r="AM44" i="65"/>
  <c r="AN44" i="65"/>
  <c r="AO44" i="65"/>
  <c r="AP44" i="65"/>
  <c r="AQ44" i="65"/>
  <c r="AR44" i="65"/>
  <c r="AS44" i="65"/>
  <c r="AT44" i="65"/>
  <c r="AU44" i="65"/>
  <c r="AW44" i="65"/>
  <c r="AX44" i="65"/>
  <c r="AY44" i="65"/>
  <c r="BA44" i="65"/>
  <c r="BC44" i="65"/>
  <c r="A45" i="65"/>
  <c r="B45" i="65"/>
  <c r="D45" i="65"/>
  <c r="E45" i="65"/>
  <c r="F45" i="65"/>
  <c r="G45" i="65"/>
  <c r="H45" i="65"/>
  <c r="J45" i="65"/>
  <c r="K45" i="65"/>
  <c r="L45" i="65"/>
  <c r="M45" i="65"/>
  <c r="O45" i="65"/>
  <c r="P45" i="65"/>
  <c r="R45" i="65"/>
  <c r="S45" i="65"/>
  <c r="T45" i="65"/>
  <c r="U45" i="65"/>
  <c r="V45" i="65"/>
  <c r="W45" i="65"/>
  <c r="X45" i="65"/>
  <c r="Z45" i="65"/>
  <c r="AA45" i="65"/>
  <c r="AB45" i="65"/>
  <c r="AC45" i="65"/>
  <c r="AD45" i="65"/>
  <c r="AE45" i="65"/>
  <c r="AF45" i="65"/>
  <c r="AG45" i="65"/>
  <c r="AH45" i="65"/>
  <c r="AI45" i="65"/>
  <c r="AJ45" i="65"/>
  <c r="AK45" i="65"/>
  <c r="AL45" i="65"/>
  <c r="AM45" i="65"/>
  <c r="AN45" i="65"/>
  <c r="AO45" i="65"/>
  <c r="AP45" i="65"/>
  <c r="AQ45" i="65"/>
  <c r="AR45" i="65"/>
  <c r="AS45" i="65"/>
  <c r="AT45" i="65"/>
  <c r="AU45" i="65"/>
  <c r="AW45" i="65"/>
  <c r="AX45" i="65"/>
  <c r="AY45" i="65"/>
  <c r="BA45" i="65"/>
  <c r="BC45" i="65"/>
  <c r="A46" i="65"/>
  <c r="B46" i="65"/>
  <c r="D46" i="65"/>
  <c r="E46" i="65"/>
  <c r="F46" i="65"/>
  <c r="G46" i="65"/>
  <c r="H46" i="65"/>
  <c r="J46" i="65"/>
  <c r="K46" i="65"/>
  <c r="L46" i="65"/>
  <c r="M46" i="65"/>
  <c r="O46" i="65"/>
  <c r="P46" i="65"/>
  <c r="R46" i="65"/>
  <c r="S46" i="65"/>
  <c r="T46" i="65"/>
  <c r="U46" i="65"/>
  <c r="V46" i="65"/>
  <c r="W46" i="65"/>
  <c r="X46" i="65"/>
  <c r="Z46" i="65"/>
  <c r="AA46" i="65"/>
  <c r="AB46" i="65"/>
  <c r="AC46" i="65"/>
  <c r="AD46" i="65"/>
  <c r="AE46" i="65"/>
  <c r="AF46" i="65"/>
  <c r="AG46" i="65"/>
  <c r="AH46" i="65"/>
  <c r="AI46" i="65"/>
  <c r="AJ46" i="65"/>
  <c r="AK46" i="65"/>
  <c r="AL46" i="65"/>
  <c r="AM46" i="65"/>
  <c r="AN46" i="65"/>
  <c r="AO46" i="65"/>
  <c r="AP46" i="65"/>
  <c r="AQ46" i="65"/>
  <c r="AR46" i="65"/>
  <c r="AS46" i="65"/>
  <c r="AT46" i="65"/>
  <c r="AU46" i="65"/>
  <c r="AW46" i="65"/>
  <c r="AX46" i="65"/>
  <c r="AY46" i="65"/>
  <c r="BA46" i="65"/>
  <c r="BC46" i="65"/>
  <c r="A47" i="65"/>
  <c r="B47" i="65"/>
  <c r="D47" i="65"/>
  <c r="E47" i="65"/>
  <c r="F47" i="65"/>
  <c r="G47" i="65"/>
  <c r="H47" i="65"/>
  <c r="J47" i="65"/>
  <c r="K47" i="65"/>
  <c r="L47" i="65"/>
  <c r="M47" i="65"/>
  <c r="O47" i="65"/>
  <c r="P47" i="65"/>
  <c r="R47" i="65"/>
  <c r="S47" i="65"/>
  <c r="T47" i="65"/>
  <c r="U47" i="65"/>
  <c r="V47" i="65"/>
  <c r="W47" i="65"/>
  <c r="X47" i="65"/>
  <c r="Z47" i="65"/>
  <c r="AA47" i="65"/>
  <c r="AB47" i="65"/>
  <c r="AC47" i="65"/>
  <c r="AD47" i="65"/>
  <c r="AE47" i="65"/>
  <c r="AF47" i="65"/>
  <c r="AG47" i="65"/>
  <c r="AH47" i="65"/>
  <c r="AI47" i="65"/>
  <c r="AJ47" i="65"/>
  <c r="AK47" i="65"/>
  <c r="AL47" i="65"/>
  <c r="AM47" i="65"/>
  <c r="AN47" i="65"/>
  <c r="AO47" i="65"/>
  <c r="AP47" i="65"/>
  <c r="AQ47" i="65"/>
  <c r="AR47" i="65"/>
  <c r="AS47" i="65"/>
  <c r="AT47" i="65"/>
  <c r="AU47" i="65"/>
  <c r="AW47" i="65"/>
  <c r="AX47" i="65"/>
  <c r="AY47" i="65"/>
  <c r="BA47" i="65"/>
  <c r="BC47" i="65"/>
  <c r="A48" i="65"/>
  <c r="B48" i="65"/>
  <c r="D48" i="65"/>
  <c r="E48" i="65"/>
  <c r="F48" i="65"/>
  <c r="G48" i="65"/>
  <c r="H48" i="65"/>
  <c r="J48" i="65"/>
  <c r="K48" i="65"/>
  <c r="L48" i="65"/>
  <c r="M48" i="65"/>
  <c r="O48" i="65"/>
  <c r="P48" i="65"/>
  <c r="R48" i="65"/>
  <c r="S48" i="65"/>
  <c r="T48" i="65"/>
  <c r="U48" i="65"/>
  <c r="V48" i="65"/>
  <c r="W48" i="65"/>
  <c r="X48" i="65"/>
  <c r="Z48" i="65"/>
  <c r="AA48" i="65"/>
  <c r="AB48" i="65"/>
  <c r="AC48" i="65"/>
  <c r="AD48" i="65"/>
  <c r="AE48" i="65"/>
  <c r="AF48" i="65"/>
  <c r="AG48" i="65"/>
  <c r="AH48" i="65"/>
  <c r="AI48" i="65"/>
  <c r="AJ48" i="65"/>
  <c r="AK48" i="65"/>
  <c r="AL48" i="65"/>
  <c r="AM48" i="65"/>
  <c r="AN48" i="65"/>
  <c r="AO48" i="65"/>
  <c r="AP48" i="65"/>
  <c r="AQ48" i="65"/>
  <c r="AR48" i="65"/>
  <c r="AS48" i="65"/>
  <c r="AT48" i="65"/>
  <c r="AU48" i="65"/>
  <c r="AW48" i="65"/>
  <c r="AX48" i="65"/>
  <c r="AY48" i="65"/>
  <c r="BA48" i="65"/>
  <c r="BC48" i="65"/>
  <c r="A49" i="65"/>
  <c r="B49" i="65"/>
  <c r="D49" i="65"/>
  <c r="E49" i="65"/>
  <c r="F49" i="65"/>
  <c r="G49" i="65"/>
  <c r="H49" i="65"/>
  <c r="J49" i="65"/>
  <c r="K49" i="65"/>
  <c r="L49" i="65"/>
  <c r="M49" i="65"/>
  <c r="O49" i="65"/>
  <c r="P49" i="65"/>
  <c r="R49" i="65"/>
  <c r="S49" i="65"/>
  <c r="T49" i="65"/>
  <c r="U49" i="65"/>
  <c r="V49" i="65"/>
  <c r="W49" i="65"/>
  <c r="X49" i="65"/>
  <c r="Z49" i="65"/>
  <c r="AA49" i="65"/>
  <c r="AB49" i="65"/>
  <c r="AC49" i="65"/>
  <c r="AD49" i="65"/>
  <c r="AE49" i="65"/>
  <c r="AF49" i="65"/>
  <c r="AG49" i="65"/>
  <c r="AH49" i="65"/>
  <c r="AI49" i="65"/>
  <c r="AJ49" i="65"/>
  <c r="AK49" i="65"/>
  <c r="AL49" i="65"/>
  <c r="AM49" i="65"/>
  <c r="AN49" i="65"/>
  <c r="AO49" i="65"/>
  <c r="AP49" i="65"/>
  <c r="AQ49" i="65"/>
  <c r="AR49" i="65"/>
  <c r="AS49" i="65"/>
  <c r="AT49" i="65"/>
  <c r="AU49" i="65"/>
  <c r="AW49" i="65"/>
  <c r="AX49" i="65"/>
  <c r="AY49" i="65"/>
  <c r="BA49" i="65"/>
  <c r="BC49" i="65"/>
  <c r="A50" i="65"/>
  <c r="B50" i="65"/>
  <c r="D50" i="65"/>
  <c r="E50" i="65"/>
  <c r="F50" i="65"/>
  <c r="G50" i="65"/>
  <c r="H50" i="65"/>
  <c r="J50" i="65"/>
  <c r="K50" i="65"/>
  <c r="L50" i="65"/>
  <c r="M50" i="65"/>
  <c r="O50" i="65"/>
  <c r="P50" i="65"/>
  <c r="R50" i="65"/>
  <c r="S50" i="65"/>
  <c r="T50" i="65"/>
  <c r="U50" i="65"/>
  <c r="V50" i="65"/>
  <c r="W50" i="65"/>
  <c r="X50" i="65"/>
  <c r="Z50" i="65"/>
  <c r="AA50" i="65"/>
  <c r="AB50" i="65"/>
  <c r="AC50" i="65"/>
  <c r="AD50" i="65"/>
  <c r="AE50" i="65"/>
  <c r="AF50" i="65"/>
  <c r="AG50" i="65"/>
  <c r="AH50" i="65"/>
  <c r="AI50" i="65"/>
  <c r="AJ50" i="65"/>
  <c r="AK50" i="65"/>
  <c r="AL50" i="65"/>
  <c r="AM50" i="65"/>
  <c r="AN50" i="65"/>
  <c r="AO50" i="65"/>
  <c r="AP50" i="65"/>
  <c r="AQ50" i="65"/>
  <c r="AR50" i="65"/>
  <c r="AS50" i="65"/>
  <c r="AT50" i="65"/>
  <c r="AU50" i="65"/>
  <c r="AW50" i="65"/>
  <c r="AX50" i="65"/>
  <c r="AY50" i="65"/>
  <c r="BA50" i="65"/>
  <c r="BC50" i="65"/>
  <c r="A51" i="65"/>
  <c r="B51" i="65"/>
  <c r="D51" i="65"/>
  <c r="E51" i="65"/>
  <c r="F51" i="65"/>
  <c r="G51" i="65"/>
  <c r="H51" i="65"/>
  <c r="J51" i="65"/>
  <c r="K51" i="65"/>
  <c r="L51" i="65"/>
  <c r="M51" i="65"/>
  <c r="O51" i="65"/>
  <c r="P51" i="65"/>
  <c r="R51" i="65"/>
  <c r="S51" i="65"/>
  <c r="T51" i="65"/>
  <c r="U51" i="65"/>
  <c r="V51" i="65"/>
  <c r="W51" i="65"/>
  <c r="X51" i="65"/>
  <c r="Z51" i="65"/>
  <c r="AA51" i="65"/>
  <c r="AB51" i="65"/>
  <c r="AC51" i="65"/>
  <c r="AD51" i="65"/>
  <c r="AE51" i="65"/>
  <c r="AF51" i="65"/>
  <c r="AG51" i="65"/>
  <c r="AH51" i="65"/>
  <c r="AI51" i="65"/>
  <c r="AJ51" i="65"/>
  <c r="AK51" i="65"/>
  <c r="AL51" i="65"/>
  <c r="AM51" i="65"/>
  <c r="AN51" i="65"/>
  <c r="AO51" i="65"/>
  <c r="AP51" i="65"/>
  <c r="AQ51" i="65"/>
  <c r="AR51" i="65"/>
  <c r="AS51" i="65"/>
  <c r="AT51" i="65"/>
  <c r="AU51" i="65"/>
  <c r="AW51" i="65"/>
  <c r="AX51" i="65"/>
  <c r="AY51" i="65"/>
  <c r="BA51" i="65"/>
  <c r="BC51" i="65"/>
  <c r="A52" i="65"/>
  <c r="B52" i="65"/>
  <c r="D52" i="65"/>
  <c r="E52" i="65"/>
  <c r="F52" i="65"/>
  <c r="G52" i="65"/>
  <c r="H52" i="65"/>
  <c r="J52" i="65"/>
  <c r="K52" i="65"/>
  <c r="L52" i="65"/>
  <c r="M52" i="65"/>
  <c r="O52" i="65"/>
  <c r="P52" i="65"/>
  <c r="R52" i="65"/>
  <c r="S52" i="65"/>
  <c r="T52" i="65"/>
  <c r="U52" i="65"/>
  <c r="V52" i="65"/>
  <c r="W52" i="65"/>
  <c r="X52" i="65"/>
  <c r="Z52" i="65"/>
  <c r="AA52" i="65"/>
  <c r="AB52" i="65"/>
  <c r="AC52" i="65"/>
  <c r="AD52" i="65"/>
  <c r="AE52" i="65"/>
  <c r="AF52" i="65"/>
  <c r="AG52" i="65"/>
  <c r="AH52" i="65"/>
  <c r="AI52" i="65"/>
  <c r="AJ52" i="65"/>
  <c r="AK52" i="65"/>
  <c r="AL52" i="65"/>
  <c r="AM52" i="65"/>
  <c r="AN52" i="65"/>
  <c r="AO52" i="65"/>
  <c r="AP52" i="65"/>
  <c r="AQ52" i="65"/>
  <c r="AR52" i="65"/>
  <c r="AS52" i="65"/>
  <c r="AT52" i="65"/>
  <c r="AU52" i="65"/>
  <c r="AW52" i="65"/>
  <c r="AX52" i="65"/>
  <c r="AY52" i="65"/>
  <c r="BA52" i="65"/>
  <c r="BC52" i="65"/>
  <c r="A53" i="65"/>
  <c r="B53" i="65"/>
  <c r="D53" i="65"/>
  <c r="E53" i="65"/>
  <c r="F53" i="65"/>
  <c r="G53" i="65"/>
  <c r="H53" i="65"/>
  <c r="J53" i="65"/>
  <c r="K53" i="65"/>
  <c r="L53" i="65"/>
  <c r="M53" i="65"/>
  <c r="O53" i="65"/>
  <c r="P53" i="65"/>
  <c r="R53" i="65"/>
  <c r="S53" i="65"/>
  <c r="T53" i="65"/>
  <c r="U53" i="65"/>
  <c r="V53" i="65"/>
  <c r="W53" i="65"/>
  <c r="X53" i="65"/>
  <c r="Z53" i="65"/>
  <c r="AA53" i="65"/>
  <c r="AB53" i="65"/>
  <c r="AC53" i="65"/>
  <c r="AD53" i="65"/>
  <c r="AE53" i="65"/>
  <c r="AF53" i="65"/>
  <c r="AG53" i="65"/>
  <c r="AH53" i="65"/>
  <c r="AI53" i="65"/>
  <c r="AJ53" i="65"/>
  <c r="AK53" i="65"/>
  <c r="AL53" i="65"/>
  <c r="AM53" i="65"/>
  <c r="AN53" i="65"/>
  <c r="AO53" i="65"/>
  <c r="AP53" i="65"/>
  <c r="AQ53" i="65"/>
  <c r="AR53" i="65"/>
  <c r="AS53" i="65"/>
  <c r="AT53" i="65"/>
  <c r="AU53" i="65"/>
  <c r="AW53" i="65"/>
  <c r="AX53" i="65"/>
  <c r="AY53" i="65"/>
  <c r="BA53" i="65"/>
  <c r="BC53" i="65"/>
  <c r="A54" i="65"/>
  <c r="B54" i="65"/>
  <c r="D54" i="65"/>
  <c r="E54" i="65"/>
  <c r="F54" i="65"/>
  <c r="G54" i="65"/>
  <c r="H54" i="65"/>
  <c r="J54" i="65"/>
  <c r="K54" i="65"/>
  <c r="L54" i="65"/>
  <c r="M54" i="65"/>
  <c r="O54" i="65"/>
  <c r="P54" i="65"/>
  <c r="R54" i="65"/>
  <c r="S54" i="65"/>
  <c r="T54" i="65"/>
  <c r="U54" i="65"/>
  <c r="V54" i="65"/>
  <c r="W54" i="65"/>
  <c r="X54" i="65"/>
  <c r="Z54" i="65"/>
  <c r="AA54" i="65"/>
  <c r="AB54" i="65"/>
  <c r="AC54" i="65"/>
  <c r="AD54" i="65"/>
  <c r="AE54" i="65"/>
  <c r="AF54" i="65"/>
  <c r="AG54" i="65"/>
  <c r="AH54" i="65"/>
  <c r="AI54" i="65"/>
  <c r="AJ54" i="65"/>
  <c r="AK54" i="65"/>
  <c r="AL54" i="65"/>
  <c r="AM54" i="65"/>
  <c r="AN54" i="65"/>
  <c r="AO54" i="65"/>
  <c r="AP54" i="65"/>
  <c r="AQ54" i="65"/>
  <c r="AR54" i="65"/>
  <c r="AS54" i="65"/>
  <c r="AT54" i="65"/>
  <c r="AU54" i="65"/>
  <c r="AW54" i="65"/>
  <c r="AX54" i="65"/>
  <c r="AY54" i="65"/>
  <c r="BA54" i="65"/>
  <c r="BC54" i="65"/>
  <c r="A55" i="65"/>
  <c r="B55" i="65"/>
  <c r="D55" i="65"/>
  <c r="E55" i="65"/>
  <c r="F55" i="65"/>
  <c r="G55" i="65"/>
  <c r="H55" i="65"/>
  <c r="J55" i="65"/>
  <c r="K55" i="65"/>
  <c r="L55" i="65"/>
  <c r="M55" i="65"/>
  <c r="O55" i="65"/>
  <c r="P55" i="65"/>
  <c r="R55" i="65"/>
  <c r="S55" i="65"/>
  <c r="T55" i="65"/>
  <c r="U55" i="65"/>
  <c r="V55" i="65"/>
  <c r="W55" i="65"/>
  <c r="X55" i="65"/>
  <c r="Z55" i="65"/>
  <c r="AA55" i="65"/>
  <c r="AB55" i="65"/>
  <c r="AC55" i="65"/>
  <c r="AD55" i="65"/>
  <c r="AE55" i="65"/>
  <c r="AF55" i="65"/>
  <c r="AG55" i="65"/>
  <c r="AH55" i="65"/>
  <c r="AI55" i="65"/>
  <c r="AJ55" i="65"/>
  <c r="AK55" i="65"/>
  <c r="AL55" i="65"/>
  <c r="AM55" i="65"/>
  <c r="AN55" i="65"/>
  <c r="AO55" i="65"/>
  <c r="AP55" i="65"/>
  <c r="AQ55" i="65"/>
  <c r="AR55" i="65"/>
  <c r="AS55" i="65"/>
  <c r="AT55" i="65"/>
  <c r="AU55" i="65"/>
  <c r="AW55" i="65"/>
  <c r="AX55" i="65"/>
  <c r="AY55" i="65"/>
  <c r="BA55" i="65"/>
  <c r="BC55" i="65"/>
  <c r="A56" i="65"/>
  <c r="B56" i="65"/>
  <c r="D56" i="65"/>
  <c r="E56" i="65"/>
  <c r="F56" i="65"/>
  <c r="G56" i="65"/>
  <c r="H56" i="65"/>
  <c r="J56" i="65"/>
  <c r="K56" i="65"/>
  <c r="L56" i="65"/>
  <c r="M56" i="65"/>
  <c r="O56" i="65"/>
  <c r="P56" i="65"/>
  <c r="R56" i="65"/>
  <c r="S56" i="65"/>
  <c r="T56" i="65"/>
  <c r="U56" i="65"/>
  <c r="V56" i="65"/>
  <c r="W56" i="65"/>
  <c r="X56" i="65"/>
  <c r="Z56" i="65"/>
  <c r="AA56" i="65"/>
  <c r="AB56" i="65"/>
  <c r="AC56" i="65"/>
  <c r="AD56" i="65"/>
  <c r="AE56" i="65"/>
  <c r="AF56" i="65"/>
  <c r="AG56" i="65"/>
  <c r="AH56" i="65"/>
  <c r="AI56" i="65"/>
  <c r="AJ56" i="65"/>
  <c r="AK56" i="65"/>
  <c r="AL56" i="65"/>
  <c r="AM56" i="65"/>
  <c r="AN56" i="65"/>
  <c r="AO56" i="65"/>
  <c r="AP56" i="65"/>
  <c r="AQ56" i="65"/>
  <c r="AR56" i="65"/>
  <c r="AS56" i="65"/>
  <c r="AT56" i="65"/>
  <c r="AU56" i="65"/>
  <c r="AW56" i="65"/>
  <c r="AX56" i="65"/>
  <c r="AY56" i="65"/>
  <c r="BA56" i="65"/>
  <c r="BC56" i="65"/>
  <c r="A57" i="65"/>
  <c r="B57" i="65"/>
  <c r="D57" i="65"/>
  <c r="E57" i="65"/>
  <c r="F57" i="65"/>
  <c r="G57" i="65"/>
  <c r="H57" i="65"/>
  <c r="J57" i="65"/>
  <c r="K57" i="65"/>
  <c r="L57" i="65"/>
  <c r="M57" i="65"/>
  <c r="O57" i="65"/>
  <c r="P57" i="65"/>
  <c r="R57" i="65"/>
  <c r="S57" i="65"/>
  <c r="T57" i="65"/>
  <c r="U57" i="65"/>
  <c r="V57" i="65"/>
  <c r="W57" i="65"/>
  <c r="X57" i="65"/>
  <c r="Z57" i="65"/>
  <c r="AA57" i="65"/>
  <c r="AB57" i="65"/>
  <c r="AC57" i="65"/>
  <c r="AD57" i="65"/>
  <c r="AE57" i="65"/>
  <c r="AF57" i="65"/>
  <c r="AG57" i="65"/>
  <c r="AH57" i="65"/>
  <c r="AI57" i="65"/>
  <c r="AJ57" i="65"/>
  <c r="AK57" i="65"/>
  <c r="AL57" i="65"/>
  <c r="AM57" i="65"/>
  <c r="AN57" i="65"/>
  <c r="AO57" i="65"/>
  <c r="AP57" i="65"/>
  <c r="AQ57" i="65"/>
  <c r="AR57" i="65"/>
  <c r="AS57" i="65"/>
  <c r="AT57" i="65"/>
  <c r="AU57" i="65"/>
  <c r="AW57" i="65"/>
  <c r="AX57" i="65"/>
  <c r="AY57" i="65"/>
  <c r="BA57" i="65"/>
  <c r="BC57" i="65"/>
  <c r="A58" i="65"/>
  <c r="B58" i="65"/>
  <c r="D58" i="65"/>
  <c r="E58" i="65"/>
  <c r="F58" i="65"/>
  <c r="G58" i="65"/>
  <c r="H58" i="65"/>
  <c r="J58" i="65"/>
  <c r="K58" i="65"/>
  <c r="L58" i="65"/>
  <c r="M58" i="65"/>
  <c r="O58" i="65"/>
  <c r="P58" i="65"/>
  <c r="R58" i="65"/>
  <c r="S58" i="65"/>
  <c r="T58" i="65"/>
  <c r="U58" i="65"/>
  <c r="V58" i="65"/>
  <c r="W58" i="65"/>
  <c r="X58" i="65"/>
  <c r="Z58" i="65"/>
  <c r="AA58" i="65"/>
  <c r="AB58" i="65"/>
  <c r="AC58" i="65"/>
  <c r="AD58" i="65"/>
  <c r="AE58" i="65"/>
  <c r="AF58" i="65"/>
  <c r="AG58" i="65"/>
  <c r="AH58" i="65"/>
  <c r="AI58" i="65"/>
  <c r="AJ58" i="65"/>
  <c r="AK58" i="65"/>
  <c r="AL58" i="65"/>
  <c r="AM58" i="65"/>
  <c r="AN58" i="65"/>
  <c r="AO58" i="65"/>
  <c r="AP58" i="65"/>
  <c r="AQ58" i="65"/>
  <c r="AR58" i="65"/>
  <c r="AS58" i="65"/>
  <c r="AT58" i="65"/>
  <c r="AU58" i="65"/>
  <c r="AW58" i="65"/>
  <c r="AX58" i="65"/>
  <c r="AY58" i="65"/>
  <c r="BA58" i="65"/>
  <c r="BC58" i="65"/>
  <c r="A59" i="65"/>
  <c r="B59" i="65"/>
  <c r="D59" i="65"/>
  <c r="E59" i="65"/>
  <c r="F59" i="65"/>
  <c r="G59" i="65"/>
  <c r="H59" i="65"/>
  <c r="J59" i="65"/>
  <c r="K59" i="65"/>
  <c r="L59" i="65"/>
  <c r="M59" i="65"/>
  <c r="O59" i="65"/>
  <c r="P59" i="65"/>
  <c r="R59" i="65"/>
  <c r="S59" i="65"/>
  <c r="T59" i="65"/>
  <c r="U59" i="65"/>
  <c r="V59" i="65"/>
  <c r="W59" i="65"/>
  <c r="X59" i="65"/>
  <c r="Z59" i="65"/>
  <c r="AA59" i="65"/>
  <c r="AB59" i="65"/>
  <c r="AC59" i="65"/>
  <c r="AD59" i="65"/>
  <c r="AE59" i="65"/>
  <c r="AF59" i="65"/>
  <c r="AG59" i="65"/>
  <c r="AH59" i="65"/>
  <c r="AI59" i="65"/>
  <c r="AJ59" i="65"/>
  <c r="AK59" i="65"/>
  <c r="AL59" i="65"/>
  <c r="AM59" i="65"/>
  <c r="AN59" i="65"/>
  <c r="AO59" i="65"/>
  <c r="AP59" i="65"/>
  <c r="AQ59" i="65"/>
  <c r="AR59" i="65"/>
  <c r="AS59" i="65"/>
  <c r="AT59" i="65"/>
  <c r="AU59" i="65"/>
  <c r="AW59" i="65"/>
  <c r="AX59" i="65"/>
  <c r="AY59" i="65"/>
  <c r="BA59" i="65"/>
  <c r="BC59" i="65"/>
  <c r="A60" i="65"/>
  <c r="B60" i="65"/>
  <c r="D60" i="65"/>
  <c r="E60" i="65"/>
  <c r="F60" i="65"/>
  <c r="G60" i="65"/>
  <c r="H60" i="65"/>
  <c r="J60" i="65"/>
  <c r="K60" i="65"/>
  <c r="L60" i="65"/>
  <c r="M60" i="65"/>
  <c r="O60" i="65"/>
  <c r="P60" i="65"/>
  <c r="R60" i="65"/>
  <c r="S60" i="65"/>
  <c r="T60" i="65"/>
  <c r="U60" i="65"/>
  <c r="V60" i="65"/>
  <c r="W60" i="65"/>
  <c r="X60" i="65"/>
  <c r="Z60" i="65"/>
  <c r="AA60" i="65"/>
  <c r="AB60" i="65"/>
  <c r="AC60" i="65"/>
  <c r="AD60" i="65"/>
  <c r="AE60" i="65"/>
  <c r="AF60" i="65"/>
  <c r="AG60" i="65"/>
  <c r="AH60" i="65"/>
  <c r="AI60" i="65"/>
  <c r="AJ60" i="65"/>
  <c r="AK60" i="65"/>
  <c r="AL60" i="65"/>
  <c r="AM60" i="65"/>
  <c r="AN60" i="65"/>
  <c r="AO60" i="65"/>
  <c r="AP60" i="65"/>
  <c r="AQ60" i="65"/>
  <c r="AR60" i="65"/>
  <c r="AS60" i="65"/>
  <c r="AT60" i="65"/>
  <c r="AU60" i="65"/>
  <c r="AW60" i="65"/>
  <c r="AX60" i="65"/>
  <c r="AY60" i="65"/>
  <c r="BA60" i="65"/>
  <c r="BC60" i="65"/>
  <c r="A61" i="65"/>
  <c r="B61" i="65"/>
  <c r="D61" i="65"/>
  <c r="E61" i="65"/>
  <c r="F61" i="65"/>
  <c r="G61" i="65"/>
  <c r="H61" i="65"/>
  <c r="J61" i="65"/>
  <c r="K61" i="65"/>
  <c r="L61" i="65"/>
  <c r="M61" i="65"/>
  <c r="O61" i="65"/>
  <c r="P61" i="65"/>
  <c r="R61" i="65"/>
  <c r="S61" i="65"/>
  <c r="T61" i="65"/>
  <c r="U61" i="65"/>
  <c r="V61" i="65"/>
  <c r="W61" i="65"/>
  <c r="X61" i="65"/>
  <c r="Z61" i="65"/>
  <c r="AA61" i="65"/>
  <c r="AB61" i="65"/>
  <c r="AC61" i="65"/>
  <c r="AD61" i="65"/>
  <c r="AE61" i="65"/>
  <c r="AF61" i="65"/>
  <c r="AG61" i="65"/>
  <c r="AH61" i="65"/>
  <c r="AI61" i="65"/>
  <c r="AJ61" i="65"/>
  <c r="AK61" i="65"/>
  <c r="AL61" i="65"/>
  <c r="AM61" i="65"/>
  <c r="AN61" i="65"/>
  <c r="AO61" i="65"/>
  <c r="AP61" i="65"/>
  <c r="AQ61" i="65"/>
  <c r="AR61" i="65"/>
  <c r="AS61" i="65"/>
  <c r="AT61" i="65"/>
  <c r="AU61" i="65"/>
  <c r="AW61" i="65"/>
  <c r="AX61" i="65"/>
  <c r="AY61" i="65"/>
  <c r="BA61" i="65"/>
  <c r="BC61" i="65"/>
  <c r="A62" i="65"/>
  <c r="B62" i="65"/>
  <c r="D62" i="65"/>
  <c r="E62" i="65"/>
  <c r="F62" i="65"/>
  <c r="G62" i="65"/>
  <c r="H62" i="65"/>
  <c r="J62" i="65"/>
  <c r="K62" i="65"/>
  <c r="L62" i="65"/>
  <c r="M62" i="65"/>
  <c r="O62" i="65"/>
  <c r="P62" i="65"/>
  <c r="R62" i="65"/>
  <c r="S62" i="65"/>
  <c r="T62" i="65"/>
  <c r="U62" i="65"/>
  <c r="V62" i="65"/>
  <c r="W62" i="65"/>
  <c r="X62" i="65"/>
  <c r="Z62" i="65"/>
  <c r="AA62" i="65"/>
  <c r="AB62" i="65"/>
  <c r="AC62" i="65"/>
  <c r="AD62" i="65"/>
  <c r="AE62" i="65"/>
  <c r="AF62" i="65"/>
  <c r="AG62" i="65"/>
  <c r="AH62" i="65"/>
  <c r="AI62" i="65"/>
  <c r="AJ62" i="65"/>
  <c r="AK62" i="65"/>
  <c r="AL62" i="65"/>
  <c r="AM62" i="65"/>
  <c r="AN62" i="65"/>
  <c r="AO62" i="65"/>
  <c r="AP62" i="65"/>
  <c r="AQ62" i="65"/>
  <c r="AR62" i="65"/>
  <c r="AS62" i="65"/>
  <c r="AT62" i="65"/>
  <c r="AU62" i="65"/>
  <c r="AW62" i="65"/>
  <c r="AX62" i="65"/>
  <c r="AY62" i="65"/>
  <c r="BA62" i="65"/>
  <c r="BC62" i="65"/>
  <c r="A63" i="65"/>
  <c r="B63" i="65"/>
  <c r="D63" i="65"/>
  <c r="E63" i="65"/>
  <c r="F63" i="65"/>
  <c r="G63" i="65"/>
  <c r="H63" i="65"/>
  <c r="J63" i="65"/>
  <c r="K63" i="65"/>
  <c r="L63" i="65"/>
  <c r="M63" i="65"/>
  <c r="O63" i="65"/>
  <c r="P63" i="65"/>
  <c r="R63" i="65"/>
  <c r="S63" i="65"/>
  <c r="T63" i="65"/>
  <c r="U63" i="65"/>
  <c r="V63" i="65"/>
  <c r="W63" i="65"/>
  <c r="X63" i="65"/>
  <c r="Z63" i="65"/>
  <c r="AA63" i="65"/>
  <c r="AB63" i="65"/>
  <c r="AC63" i="65"/>
  <c r="AD63" i="65"/>
  <c r="AE63" i="65"/>
  <c r="AF63" i="65"/>
  <c r="AG63" i="65"/>
  <c r="AH63" i="65"/>
  <c r="AI63" i="65"/>
  <c r="AJ63" i="65"/>
  <c r="AK63" i="65"/>
  <c r="AL63" i="65"/>
  <c r="AM63" i="65"/>
  <c r="AN63" i="65"/>
  <c r="AO63" i="65"/>
  <c r="AP63" i="65"/>
  <c r="AQ63" i="65"/>
  <c r="AR63" i="65"/>
  <c r="AS63" i="65"/>
  <c r="AT63" i="65"/>
  <c r="AU63" i="65"/>
  <c r="AW63" i="65"/>
  <c r="AX63" i="65"/>
  <c r="AY63" i="65"/>
  <c r="BA63" i="65"/>
  <c r="BC63" i="65"/>
  <c r="A64" i="65"/>
  <c r="B64" i="65"/>
  <c r="D64" i="65"/>
  <c r="E64" i="65"/>
  <c r="F64" i="65"/>
  <c r="G64" i="65"/>
  <c r="H64" i="65"/>
  <c r="J64" i="65"/>
  <c r="K64" i="65"/>
  <c r="L64" i="65"/>
  <c r="M64" i="65"/>
  <c r="O64" i="65"/>
  <c r="P64" i="65"/>
  <c r="R64" i="65"/>
  <c r="S64" i="65"/>
  <c r="T64" i="65"/>
  <c r="U64" i="65"/>
  <c r="V64" i="65"/>
  <c r="W64" i="65"/>
  <c r="X64" i="65"/>
  <c r="Z64" i="65"/>
  <c r="AA64" i="65"/>
  <c r="AB64" i="65"/>
  <c r="AC64" i="65"/>
  <c r="AD64" i="65"/>
  <c r="AE64" i="65"/>
  <c r="AF64" i="65"/>
  <c r="AG64" i="65"/>
  <c r="AH64" i="65"/>
  <c r="AI64" i="65"/>
  <c r="AJ64" i="65"/>
  <c r="AK64" i="65"/>
  <c r="AL64" i="65"/>
  <c r="AM64" i="65"/>
  <c r="AN64" i="65"/>
  <c r="AO64" i="65"/>
  <c r="AP64" i="65"/>
  <c r="AQ64" i="65"/>
  <c r="AR64" i="65"/>
  <c r="AS64" i="65"/>
  <c r="AT64" i="65"/>
  <c r="AU64" i="65"/>
  <c r="AW64" i="65"/>
  <c r="AX64" i="65"/>
  <c r="AY64" i="65"/>
  <c r="BA64" i="65"/>
  <c r="BC64" i="65"/>
  <c r="A65" i="65"/>
  <c r="B65" i="65"/>
  <c r="D65" i="65"/>
  <c r="E65" i="65"/>
  <c r="F65" i="65"/>
  <c r="G65" i="65"/>
  <c r="H65" i="65"/>
  <c r="J65" i="65"/>
  <c r="K65" i="65"/>
  <c r="L65" i="65"/>
  <c r="M65" i="65"/>
  <c r="O65" i="65"/>
  <c r="P65" i="65"/>
  <c r="R65" i="65"/>
  <c r="S65" i="65"/>
  <c r="T65" i="65"/>
  <c r="U65" i="65"/>
  <c r="V65" i="65"/>
  <c r="W65" i="65"/>
  <c r="X65" i="65"/>
  <c r="Z65" i="65"/>
  <c r="AA65" i="65"/>
  <c r="AB65" i="65"/>
  <c r="AC65" i="65"/>
  <c r="AD65" i="65"/>
  <c r="AE65" i="65"/>
  <c r="AF65" i="65"/>
  <c r="AG65" i="65"/>
  <c r="AH65" i="65"/>
  <c r="AI65" i="65"/>
  <c r="AJ65" i="65"/>
  <c r="AK65" i="65"/>
  <c r="AL65" i="65"/>
  <c r="AM65" i="65"/>
  <c r="AN65" i="65"/>
  <c r="AO65" i="65"/>
  <c r="AP65" i="65"/>
  <c r="AQ65" i="65"/>
  <c r="AR65" i="65"/>
  <c r="AS65" i="65"/>
  <c r="AT65" i="65"/>
  <c r="AU65" i="65"/>
  <c r="AW65" i="65"/>
  <c r="AX65" i="65"/>
  <c r="AY65" i="65"/>
  <c r="BA65" i="65"/>
  <c r="BC65" i="65"/>
  <c r="A66" i="65"/>
  <c r="B66" i="65"/>
  <c r="D66" i="65"/>
  <c r="E66" i="65"/>
  <c r="F66" i="65"/>
  <c r="G66" i="65"/>
  <c r="H66" i="65"/>
  <c r="J66" i="65"/>
  <c r="K66" i="65"/>
  <c r="L66" i="65"/>
  <c r="M66" i="65"/>
  <c r="O66" i="65"/>
  <c r="P66" i="65"/>
  <c r="R66" i="65"/>
  <c r="S66" i="65"/>
  <c r="T66" i="65"/>
  <c r="U66" i="65"/>
  <c r="V66" i="65"/>
  <c r="W66" i="65"/>
  <c r="X66" i="65"/>
  <c r="Z66" i="65"/>
  <c r="AA66" i="65"/>
  <c r="AB66" i="65"/>
  <c r="AC66" i="65"/>
  <c r="AD66" i="65"/>
  <c r="AE66" i="65"/>
  <c r="AF66" i="65"/>
  <c r="AG66" i="65"/>
  <c r="AH66" i="65"/>
  <c r="AI66" i="65"/>
  <c r="AJ66" i="65"/>
  <c r="AK66" i="65"/>
  <c r="AL66" i="65"/>
  <c r="AM66" i="65"/>
  <c r="AN66" i="65"/>
  <c r="AO66" i="65"/>
  <c r="AP66" i="65"/>
  <c r="AQ66" i="65"/>
  <c r="AR66" i="65"/>
  <c r="AS66" i="65"/>
  <c r="AT66" i="65"/>
  <c r="AU66" i="65"/>
  <c r="AW66" i="65"/>
  <c r="AX66" i="65"/>
  <c r="AY66" i="65"/>
  <c r="BA66" i="65"/>
  <c r="BC66" i="65"/>
  <c r="A67" i="65"/>
  <c r="B67" i="65"/>
  <c r="D67" i="65"/>
  <c r="E67" i="65"/>
  <c r="F67" i="65"/>
  <c r="G67" i="65"/>
  <c r="H67" i="65"/>
  <c r="J67" i="65"/>
  <c r="K67" i="65"/>
  <c r="L67" i="65"/>
  <c r="M67" i="65"/>
  <c r="O67" i="65"/>
  <c r="P67" i="65"/>
  <c r="R67" i="65"/>
  <c r="S67" i="65"/>
  <c r="T67" i="65"/>
  <c r="U67" i="65"/>
  <c r="V67" i="65"/>
  <c r="W67" i="65"/>
  <c r="X67" i="65"/>
  <c r="Z67" i="65"/>
  <c r="AA67" i="65"/>
  <c r="AB67" i="65"/>
  <c r="AC67" i="65"/>
  <c r="AD67" i="65"/>
  <c r="AE67" i="65"/>
  <c r="AF67" i="65"/>
  <c r="AG67" i="65"/>
  <c r="AH67" i="65"/>
  <c r="AI67" i="65"/>
  <c r="AJ67" i="65"/>
  <c r="AK67" i="65"/>
  <c r="AL67" i="65"/>
  <c r="AM67" i="65"/>
  <c r="AN67" i="65"/>
  <c r="AO67" i="65"/>
  <c r="AP67" i="65"/>
  <c r="AQ67" i="65"/>
  <c r="AR67" i="65"/>
  <c r="AS67" i="65"/>
  <c r="AT67" i="65"/>
  <c r="AU67" i="65"/>
  <c r="AW67" i="65"/>
  <c r="AX67" i="65"/>
  <c r="AY67" i="65"/>
  <c r="BA67" i="65"/>
  <c r="BC67" i="65"/>
  <c r="A68" i="65"/>
  <c r="B68" i="65"/>
  <c r="D68" i="65"/>
  <c r="E68" i="65"/>
  <c r="F68" i="65"/>
  <c r="G68" i="65"/>
  <c r="H68" i="65"/>
  <c r="J68" i="65"/>
  <c r="K68" i="65"/>
  <c r="L68" i="65"/>
  <c r="M68" i="65"/>
  <c r="O68" i="65"/>
  <c r="P68" i="65"/>
  <c r="R68" i="65"/>
  <c r="S68" i="65"/>
  <c r="T68" i="65"/>
  <c r="U68" i="65"/>
  <c r="V68" i="65"/>
  <c r="W68" i="65"/>
  <c r="X68" i="65"/>
  <c r="Z68" i="65"/>
  <c r="AA68" i="65"/>
  <c r="AB68" i="65"/>
  <c r="AC68" i="65"/>
  <c r="AD68" i="65"/>
  <c r="AE68" i="65"/>
  <c r="AF68" i="65"/>
  <c r="AG68" i="65"/>
  <c r="AH68" i="65"/>
  <c r="AI68" i="65"/>
  <c r="AJ68" i="65"/>
  <c r="AK68" i="65"/>
  <c r="AL68" i="65"/>
  <c r="AM68" i="65"/>
  <c r="AN68" i="65"/>
  <c r="AO68" i="65"/>
  <c r="AP68" i="65"/>
  <c r="AQ68" i="65"/>
  <c r="AR68" i="65"/>
  <c r="AS68" i="65"/>
  <c r="AT68" i="65"/>
  <c r="AU68" i="65"/>
  <c r="AW68" i="65"/>
  <c r="AX68" i="65"/>
  <c r="AY68" i="65"/>
  <c r="BA68" i="65"/>
  <c r="BC68" i="65"/>
  <c r="A69" i="65"/>
  <c r="B69" i="65"/>
  <c r="D69" i="65"/>
  <c r="E69" i="65"/>
  <c r="F69" i="65"/>
  <c r="G69" i="65"/>
  <c r="H69" i="65"/>
  <c r="J69" i="65"/>
  <c r="K69" i="65"/>
  <c r="L69" i="65"/>
  <c r="M69" i="65"/>
  <c r="O69" i="65"/>
  <c r="P69" i="65"/>
  <c r="R69" i="65"/>
  <c r="S69" i="65"/>
  <c r="T69" i="65"/>
  <c r="U69" i="65"/>
  <c r="V69" i="65"/>
  <c r="W69" i="65"/>
  <c r="X69" i="65"/>
  <c r="Z69" i="65"/>
  <c r="AA69" i="65"/>
  <c r="AB69" i="65"/>
  <c r="AC69" i="65"/>
  <c r="AD69" i="65"/>
  <c r="AE69" i="65"/>
  <c r="AF69" i="65"/>
  <c r="AG69" i="65"/>
  <c r="AH69" i="65"/>
  <c r="AI69" i="65"/>
  <c r="AJ69" i="65"/>
  <c r="AK69" i="65"/>
  <c r="AL69" i="65"/>
  <c r="AM69" i="65"/>
  <c r="AN69" i="65"/>
  <c r="AO69" i="65"/>
  <c r="AP69" i="65"/>
  <c r="AQ69" i="65"/>
  <c r="AR69" i="65"/>
  <c r="AS69" i="65"/>
  <c r="AT69" i="65"/>
  <c r="AU69" i="65"/>
  <c r="AW69" i="65"/>
  <c r="AX69" i="65"/>
  <c r="AY69" i="65"/>
  <c r="BA69" i="65"/>
  <c r="BC69" i="65"/>
  <c r="A70" i="65"/>
  <c r="B70" i="65"/>
  <c r="D70" i="65"/>
  <c r="E70" i="65"/>
  <c r="F70" i="65"/>
  <c r="G70" i="65"/>
  <c r="H70" i="65"/>
  <c r="J70" i="65"/>
  <c r="K70" i="65"/>
  <c r="L70" i="65"/>
  <c r="M70" i="65"/>
  <c r="O70" i="65"/>
  <c r="P70" i="65"/>
  <c r="R70" i="65"/>
  <c r="S70" i="65"/>
  <c r="T70" i="65"/>
  <c r="U70" i="65"/>
  <c r="V70" i="65"/>
  <c r="W70" i="65"/>
  <c r="X70" i="65"/>
  <c r="Z70" i="65"/>
  <c r="AA70" i="65"/>
  <c r="AB70" i="65"/>
  <c r="AC70" i="65"/>
  <c r="AD70" i="65"/>
  <c r="AE70" i="65"/>
  <c r="AF70" i="65"/>
  <c r="AG70" i="65"/>
  <c r="AH70" i="65"/>
  <c r="AI70" i="65"/>
  <c r="AJ70" i="65"/>
  <c r="AK70" i="65"/>
  <c r="AL70" i="65"/>
  <c r="AM70" i="65"/>
  <c r="AN70" i="65"/>
  <c r="AO70" i="65"/>
  <c r="AP70" i="65"/>
  <c r="AQ70" i="65"/>
  <c r="AR70" i="65"/>
  <c r="AS70" i="65"/>
  <c r="AT70" i="65"/>
  <c r="AU70" i="65"/>
  <c r="AW70" i="65"/>
  <c r="AX70" i="65"/>
  <c r="AY70" i="65"/>
  <c r="BA70" i="65"/>
  <c r="BC70" i="65"/>
  <c r="A71" i="65"/>
  <c r="B71" i="65"/>
  <c r="D71" i="65"/>
  <c r="E71" i="65"/>
  <c r="F71" i="65"/>
  <c r="G71" i="65"/>
  <c r="H71" i="65"/>
  <c r="J71" i="65"/>
  <c r="K71" i="65"/>
  <c r="L71" i="65"/>
  <c r="M71" i="65"/>
  <c r="O71" i="65"/>
  <c r="P71" i="65"/>
  <c r="R71" i="65"/>
  <c r="S71" i="65"/>
  <c r="T71" i="65"/>
  <c r="U71" i="65"/>
  <c r="V71" i="65"/>
  <c r="W71" i="65"/>
  <c r="X71" i="65"/>
  <c r="Z71" i="65"/>
  <c r="AA71" i="65"/>
  <c r="AB71" i="65"/>
  <c r="AC71" i="65"/>
  <c r="AD71" i="65"/>
  <c r="AE71" i="65"/>
  <c r="AF71" i="65"/>
  <c r="AG71" i="65"/>
  <c r="AH71" i="65"/>
  <c r="AI71" i="65"/>
  <c r="AJ71" i="65"/>
  <c r="AK71" i="65"/>
  <c r="AL71" i="65"/>
  <c r="AM71" i="65"/>
  <c r="AN71" i="65"/>
  <c r="AO71" i="65"/>
  <c r="AP71" i="65"/>
  <c r="AQ71" i="65"/>
  <c r="AR71" i="65"/>
  <c r="AS71" i="65"/>
  <c r="AT71" i="65"/>
  <c r="AU71" i="65"/>
  <c r="AW71" i="65"/>
  <c r="AX71" i="65"/>
  <c r="AY71" i="65"/>
  <c r="BA71" i="65"/>
  <c r="BC71" i="65"/>
  <c r="A72" i="65"/>
  <c r="B72" i="65"/>
  <c r="D72" i="65"/>
  <c r="E72" i="65"/>
  <c r="F72" i="65"/>
  <c r="G72" i="65"/>
  <c r="H72" i="65"/>
  <c r="J72" i="65"/>
  <c r="K72" i="65"/>
  <c r="L72" i="65"/>
  <c r="M72" i="65"/>
  <c r="O72" i="65"/>
  <c r="P72" i="65"/>
  <c r="R72" i="65"/>
  <c r="S72" i="65"/>
  <c r="T72" i="65"/>
  <c r="U72" i="65"/>
  <c r="V72" i="65"/>
  <c r="W72" i="65"/>
  <c r="X72" i="65"/>
  <c r="Z72" i="65"/>
  <c r="AA72" i="65"/>
  <c r="AB72" i="65"/>
  <c r="AC72" i="65"/>
  <c r="AD72" i="65"/>
  <c r="AE72" i="65"/>
  <c r="AF72" i="65"/>
  <c r="AG72" i="65"/>
  <c r="AH72" i="65"/>
  <c r="AI72" i="65"/>
  <c r="AJ72" i="65"/>
  <c r="AK72" i="65"/>
  <c r="AL72" i="65"/>
  <c r="AM72" i="65"/>
  <c r="AN72" i="65"/>
  <c r="AO72" i="65"/>
  <c r="AP72" i="65"/>
  <c r="AQ72" i="65"/>
  <c r="AR72" i="65"/>
  <c r="AS72" i="65"/>
  <c r="AT72" i="65"/>
  <c r="AU72" i="65"/>
  <c r="AW72" i="65"/>
  <c r="AX72" i="65"/>
  <c r="AY72" i="65"/>
  <c r="BA72" i="65"/>
  <c r="BC72" i="65"/>
  <c r="A73" i="65"/>
  <c r="B73" i="65"/>
  <c r="D73" i="65"/>
  <c r="E73" i="65"/>
  <c r="F73" i="65"/>
  <c r="G73" i="65"/>
  <c r="H73" i="65"/>
  <c r="J73" i="65"/>
  <c r="K73" i="65"/>
  <c r="L73" i="65"/>
  <c r="M73" i="65"/>
  <c r="O73" i="65"/>
  <c r="P73" i="65"/>
  <c r="R73" i="65"/>
  <c r="S73" i="65"/>
  <c r="T73" i="65"/>
  <c r="U73" i="65"/>
  <c r="V73" i="65"/>
  <c r="W73" i="65"/>
  <c r="X73" i="65"/>
  <c r="Z73" i="65"/>
  <c r="AA73" i="65"/>
  <c r="AB73" i="65"/>
  <c r="AC73" i="65"/>
  <c r="AD73" i="65"/>
  <c r="AE73" i="65"/>
  <c r="AF73" i="65"/>
  <c r="AG73" i="65"/>
  <c r="AH73" i="65"/>
  <c r="AI73" i="65"/>
  <c r="AJ73" i="65"/>
  <c r="AK73" i="65"/>
  <c r="AL73" i="65"/>
  <c r="AM73" i="65"/>
  <c r="AN73" i="65"/>
  <c r="AO73" i="65"/>
  <c r="AP73" i="65"/>
  <c r="AQ73" i="65"/>
  <c r="AR73" i="65"/>
  <c r="AS73" i="65"/>
  <c r="AT73" i="65"/>
  <c r="AU73" i="65"/>
  <c r="AW73" i="65"/>
  <c r="AX73" i="65"/>
  <c r="AY73" i="65"/>
  <c r="BA73" i="65"/>
  <c r="BC73" i="65"/>
  <c r="A74" i="65"/>
  <c r="B74" i="65"/>
  <c r="D74" i="65"/>
  <c r="E74" i="65"/>
  <c r="F74" i="65"/>
  <c r="G74" i="65"/>
  <c r="H74" i="65"/>
  <c r="J74" i="65"/>
  <c r="K74" i="65"/>
  <c r="L74" i="65"/>
  <c r="M74" i="65"/>
  <c r="O74" i="65"/>
  <c r="P74" i="65"/>
  <c r="R74" i="65"/>
  <c r="S74" i="65"/>
  <c r="T74" i="65"/>
  <c r="U74" i="65"/>
  <c r="V74" i="65"/>
  <c r="W74" i="65"/>
  <c r="X74" i="65"/>
  <c r="Z74" i="65"/>
  <c r="AA74" i="65"/>
  <c r="AB74" i="65"/>
  <c r="AC74" i="65"/>
  <c r="AD74" i="65"/>
  <c r="AE74" i="65"/>
  <c r="AF74" i="65"/>
  <c r="AG74" i="65"/>
  <c r="AH74" i="65"/>
  <c r="AI74" i="65"/>
  <c r="AJ74" i="65"/>
  <c r="AK74" i="65"/>
  <c r="AL74" i="65"/>
  <c r="AM74" i="65"/>
  <c r="AN74" i="65"/>
  <c r="AO74" i="65"/>
  <c r="AP74" i="65"/>
  <c r="AQ74" i="65"/>
  <c r="AR74" i="65"/>
  <c r="AS74" i="65"/>
  <c r="AT74" i="65"/>
  <c r="AU74" i="65"/>
  <c r="AW74" i="65"/>
  <c r="AX74" i="65"/>
  <c r="AY74" i="65"/>
  <c r="BA74" i="65"/>
  <c r="BC74" i="65"/>
  <c r="A75" i="65"/>
  <c r="B75" i="65"/>
  <c r="D75" i="65"/>
  <c r="E75" i="65"/>
  <c r="F75" i="65"/>
  <c r="G75" i="65"/>
  <c r="H75" i="65"/>
  <c r="J75" i="65"/>
  <c r="K75" i="65"/>
  <c r="L75" i="65"/>
  <c r="M75" i="65"/>
  <c r="O75" i="65"/>
  <c r="P75" i="65"/>
  <c r="R75" i="65"/>
  <c r="S75" i="65"/>
  <c r="T75" i="65"/>
  <c r="U75" i="65"/>
  <c r="V75" i="65"/>
  <c r="W75" i="65"/>
  <c r="X75" i="65"/>
  <c r="Z75" i="65"/>
  <c r="AA75" i="65"/>
  <c r="AB75" i="65"/>
  <c r="AC75" i="65"/>
  <c r="AD75" i="65"/>
  <c r="AE75" i="65"/>
  <c r="AF75" i="65"/>
  <c r="AG75" i="65"/>
  <c r="AH75" i="65"/>
  <c r="AI75" i="65"/>
  <c r="AJ75" i="65"/>
  <c r="AK75" i="65"/>
  <c r="AL75" i="65"/>
  <c r="AM75" i="65"/>
  <c r="AN75" i="65"/>
  <c r="AO75" i="65"/>
  <c r="AP75" i="65"/>
  <c r="AQ75" i="65"/>
  <c r="AR75" i="65"/>
  <c r="AS75" i="65"/>
  <c r="AT75" i="65"/>
  <c r="AU75" i="65"/>
  <c r="AW75" i="65"/>
  <c r="AX75" i="65"/>
  <c r="AY75" i="65"/>
  <c r="BA75" i="65"/>
  <c r="BC75" i="65"/>
  <c r="A76" i="65"/>
  <c r="B76" i="65"/>
  <c r="D76" i="65"/>
  <c r="E76" i="65"/>
  <c r="F76" i="65"/>
  <c r="G76" i="65"/>
  <c r="H76" i="65"/>
  <c r="J76" i="65"/>
  <c r="K76" i="65"/>
  <c r="L76" i="65"/>
  <c r="M76" i="65"/>
  <c r="O76" i="65"/>
  <c r="P76" i="65"/>
  <c r="R76" i="65"/>
  <c r="S76" i="65"/>
  <c r="T76" i="65"/>
  <c r="U76" i="65"/>
  <c r="V76" i="65"/>
  <c r="W76" i="65"/>
  <c r="X76" i="65"/>
  <c r="Z76" i="65"/>
  <c r="AA76" i="65"/>
  <c r="AB76" i="65"/>
  <c r="AC76" i="65"/>
  <c r="AD76" i="65"/>
  <c r="AE76" i="65"/>
  <c r="AF76" i="65"/>
  <c r="AG76" i="65"/>
  <c r="AH76" i="65"/>
  <c r="AI76" i="65"/>
  <c r="AJ76" i="65"/>
  <c r="AK76" i="65"/>
  <c r="AL76" i="65"/>
  <c r="AM76" i="65"/>
  <c r="AN76" i="65"/>
  <c r="AO76" i="65"/>
  <c r="AP76" i="65"/>
  <c r="AQ76" i="65"/>
  <c r="AR76" i="65"/>
  <c r="AS76" i="65"/>
  <c r="AT76" i="65"/>
  <c r="AU76" i="65"/>
  <c r="AW76" i="65"/>
  <c r="AX76" i="65"/>
  <c r="AY76" i="65"/>
  <c r="BA76" i="65"/>
  <c r="BC76" i="65"/>
  <c r="A77" i="65"/>
  <c r="B77" i="65"/>
  <c r="D77" i="65"/>
  <c r="E77" i="65"/>
  <c r="F77" i="65"/>
  <c r="G77" i="65"/>
  <c r="H77" i="65"/>
  <c r="J77" i="65"/>
  <c r="K77" i="65"/>
  <c r="L77" i="65"/>
  <c r="M77" i="65"/>
  <c r="O77" i="65"/>
  <c r="P77" i="65"/>
  <c r="R77" i="65"/>
  <c r="S77" i="65"/>
  <c r="T77" i="65"/>
  <c r="U77" i="65"/>
  <c r="V77" i="65"/>
  <c r="W77" i="65"/>
  <c r="X77" i="65"/>
  <c r="Z77" i="65"/>
  <c r="AA77" i="65"/>
  <c r="AB77" i="65"/>
  <c r="AC77" i="65"/>
  <c r="AD77" i="65"/>
  <c r="AE77" i="65"/>
  <c r="AF77" i="65"/>
  <c r="AG77" i="65"/>
  <c r="AH77" i="65"/>
  <c r="AI77" i="65"/>
  <c r="AJ77" i="65"/>
  <c r="AK77" i="65"/>
  <c r="AL77" i="65"/>
  <c r="AM77" i="65"/>
  <c r="AN77" i="65"/>
  <c r="AO77" i="65"/>
  <c r="AP77" i="65"/>
  <c r="AQ77" i="65"/>
  <c r="AR77" i="65"/>
  <c r="AS77" i="65"/>
  <c r="AT77" i="65"/>
  <c r="AU77" i="65"/>
  <c r="AW77" i="65"/>
  <c r="AX77" i="65"/>
  <c r="AY77" i="65"/>
  <c r="BA77" i="65"/>
  <c r="BC77" i="65"/>
  <c r="A78" i="65"/>
  <c r="B78" i="65"/>
  <c r="D78" i="65"/>
  <c r="E78" i="65"/>
  <c r="F78" i="65"/>
  <c r="G78" i="65"/>
  <c r="H78" i="65"/>
  <c r="J78" i="65"/>
  <c r="K78" i="65"/>
  <c r="L78" i="65"/>
  <c r="M78" i="65"/>
  <c r="O78" i="65"/>
  <c r="P78" i="65"/>
  <c r="R78" i="65"/>
  <c r="S78" i="65"/>
  <c r="T78" i="65"/>
  <c r="U78" i="65"/>
  <c r="V78" i="65"/>
  <c r="W78" i="65"/>
  <c r="X78" i="65"/>
  <c r="Z78" i="65"/>
  <c r="AA78" i="65"/>
  <c r="AB78" i="65"/>
  <c r="AC78" i="65"/>
  <c r="AD78" i="65"/>
  <c r="AE78" i="65"/>
  <c r="AF78" i="65"/>
  <c r="AG78" i="65"/>
  <c r="AH78" i="65"/>
  <c r="AI78" i="65"/>
  <c r="AJ78" i="65"/>
  <c r="AK78" i="65"/>
  <c r="AL78" i="65"/>
  <c r="AM78" i="65"/>
  <c r="AN78" i="65"/>
  <c r="AO78" i="65"/>
  <c r="AP78" i="65"/>
  <c r="AQ78" i="65"/>
  <c r="AR78" i="65"/>
  <c r="AS78" i="65"/>
  <c r="AT78" i="65"/>
  <c r="AU78" i="65"/>
  <c r="AW78" i="65"/>
  <c r="AX78" i="65"/>
  <c r="AY78" i="65"/>
  <c r="BA78" i="65"/>
  <c r="BC78" i="65"/>
  <c r="A79" i="65"/>
  <c r="B79" i="65"/>
  <c r="D79" i="65"/>
  <c r="E79" i="65"/>
  <c r="F79" i="65"/>
  <c r="G79" i="65"/>
  <c r="H79" i="65"/>
  <c r="J79" i="65"/>
  <c r="K79" i="65"/>
  <c r="L79" i="65"/>
  <c r="M79" i="65"/>
  <c r="O79" i="65"/>
  <c r="P79" i="65"/>
  <c r="R79" i="65"/>
  <c r="S79" i="65"/>
  <c r="T79" i="65"/>
  <c r="U79" i="65"/>
  <c r="V79" i="65"/>
  <c r="W79" i="65"/>
  <c r="X79" i="65"/>
  <c r="Z79" i="65"/>
  <c r="AA79" i="65"/>
  <c r="AB79" i="65"/>
  <c r="AC79" i="65"/>
  <c r="AD79" i="65"/>
  <c r="AE79" i="65"/>
  <c r="AF79" i="65"/>
  <c r="AG79" i="65"/>
  <c r="AH79" i="65"/>
  <c r="AI79" i="65"/>
  <c r="AJ79" i="65"/>
  <c r="AK79" i="65"/>
  <c r="AL79" i="65"/>
  <c r="AM79" i="65"/>
  <c r="AN79" i="65"/>
  <c r="AO79" i="65"/>
  <c r="AP79" i="65"/>
  <c r="AQ79" i="65"/>
  <c r="AR79" i="65"/>
  <c r="AS79" i="65"/>
  <c r="AT79" i="65"/>
  <c r="AU79" i="65"/>
  <c r="AW79" i="65"/>
  <c r="AX79" i="65"/>
  <c r="AY79" i="65"/>
  <c r="BA79" i="65"/>
  <c r="BC79" i="65"/>
  <c r="A80" i="65"/>
  <c r="B80" i="65"/>
  <c r="D80" i="65"/>
  <c r="E80" i="65"/>
  <c r="F80" i="65"/>
  <c r="G80" i="65"/>
  <c r="H80" i="65"/>
  <c r="J80" i="65"/>
  <c r="K80" i="65"/>
  <c r="L80" i="65"/>
  <c r="M80" i="65"/>
  <c r="O80" i="65"/>
  <c r="P80" i="65"/>
  <c r="R80" i="65"/>
  <c r="S80" i="65"/>
  <c r="T80" i="65"/>
  <c r="U80" i="65"/>
  <c r="V80" i="65"/>
  <c r="W80" i="65"/>
  <c r="X80" i="65"/>
  <c r="Z80" i="65"/>
  <c r="AA80" i="65"/>
  <c r="AB80" i="65"/>
  <c r="AC80" i="65"/>
  <c r="AD80" i="65"/>
  <c r="AE80" i="65"/>
  <c r="AF80" i="65"/>
  <c r="AG80" i="65"/>
  <c r="AH80" i="65"/>
  <c r="AI80" i="65"/>
  <c r="AJ80" i="65"/>
  <c r="AK80" i="65"/>
  <c r="AL80" i="65"/>
  <c r="AM80" i="65"/>
  <c r="AN80" i="65"/>
  <c r="AO80" i="65"/>
  <c r="AP80" i="65"/>
  <c r="AQ80" i="65"/>
  <c r="AR80" i="65"/>
  <c r="AS80" i="65"/>
  <c r="AT80" i="65"/>
  <c r="AU80" i="65"/>
  <c r="AW80" i="65"/>
  <c r="AX80" i="65"/>
  <c r="AY80" i="65"/>
  <c r="BA80" i="65"/>
  <c r="BC80" i="65"/>
  <c r="A81" i="65"/>
  <c r="B81" i="65"/>
  <c r="D81" i="65"/>
  <c r="E81" i="65"/>
  <c r="F81" i="65"/>
  <c r="G81" i="65"/>
  <c r="H81" i="65"/>
  <c r="J81" i="65"/>
  <c r="K81" i="65"/>
  <c r="L81" i="65"/>
  <c r="M81" i="65"/>
  <c r="O81" i="65"/>
  <c r="P81" i="65"/>
  <c r="R81" i="65"/>
  <c r="S81" i="65"/>
  <c r="T81" i="65"/>
  <c r="U81" i="65"/>
  <c r="V81" i="65"/>
  <c r="W81" i="65"/>
  <c r="X81" i="65"/>
  <c r="Z81" i="65"/>
  <c r="AA81" i="65"/>
  <c r="AB81" i="65"/>
  <c r="AC81" i="65"/>
  <c r="AD81" i="65"/>
  <c r="AE81" i="65"/>
  <c r="AF81" i="65"/>
  <c r="AG81" i="65"/>
  <c r="AH81" i="65"/>
  <c r="AI81" i="65"/>
  <c r="AJ81" i="65"/>
  <c r="AK81" i="65"/>
  <c r="AL81" i="65"/>
  <c r="AM81" i="65"/>
  <c r="AN81" i="65"/>
  <c r="AO81" i="65"/>
  <c r="AP81" i="65"/>
  <c r="AQ81" i="65"/>
  <c r="AR81" i="65"/>
  <c r="AS81" i="65"/>
  <c r="AT81" i="65"/>
  <c r="AU81" i="65"/>
  <c r="AW81" i="65"/>
  <c r="AX81" i="65"/>
  <c r="AY81" i="65"/>
  <c r="BA81" i="65"/>
  <c r="BC81" i="65"/>
  <c r="A82" i="65"/>
  <c r="B82" i="65"/>
  <c r="D82" i="65"/>
  <c r="E82" i="65"/>
  <c r="F82" i="65"/>
  <c r="G82" i="65"/>
  <c r="H82" i="65"/>
  <c r="J82" i="65"/>
  <c r="K82" i="65"/>
  <c r="L82" i="65"/>
  <c r="M82" i="65"/>
  <c r="O82" i="65"/>
  <c r="P82" i="65"/>
  <c r="R82" i="65"/>
  <c r="S82" i="65"/>
  <c r="T82" i="65"/>
  <c r="U82" i="65"/>
  <c r="V82" i="65"/>
  <c r="W82" i="65"/>
  <c r="X82" i="65"/>
  <c r="Z82" i="65"/>
  <c r="AA82" i="65"/>
  <c r="AB82" i="65"/>
  <c r="AC82" i="65"/>
  <c r="AD82" i="65"/>
  <c r="AE82" i="65"/>
  <c r="AF82" i="65"/>
  <c r="AG82" i="65"/>
  <c r="AH82" i="65"/>
  <c r="AI82" i="65"/>
  <c r="AJ82" i="65"/>
  <c r="AK82" i="65"/>
  <c r="AL82" i="65"/>
  <c r="AM82" i="65"/>
  <c r="AN82" i="65"/>
  <c r="AO82" i="65"/>
  <c r="AP82" i="65"/>
  <c r="AQ82" i="65"/>
  <c r="AR82" i="65"/>
  <c r="AS82" i="65"/>
  <c r="AT82" i="65"/>
  <c r="AU82" i="65"/>
  <c r="AW82" i="65"/>
  <c r="AX82" i="65"/>
  <c r="AY82" i="65"/>
  <c r="BA82" i="65"/>
  <c r="BC82" i="65"/>
  <c r="A83" i="65"/>
  <c r="B83" i="65"/>
  <c r="D83" i="65"/>
  <c r="E83" i="65"/>
  <c r="F83" i="65"/>
  <c r="G83" i="65"/>
  <c r="H83" i="65"/>
  <c r="J83" i="65"/>
  <c r="K83" i="65"/>
  <c r="L83" i="65"/>
  <c r="M83" i="65"/>
  <c r="O83" i="65"/>
  <c r="P83" i="65"/>
  <c r="R83" i="65"/>
  <c r="S83" i="65"/>
  <c r="T83" i="65"/>
  <c r="U83" i="65"/>
  <c r="V83" i="65"/>
  <c r="W83" i="65"/>
  <c r="X83" i="65"/>
  <c r="Z83" i="65"/>
  <c r="AA83" i="65"/>
  <c r="AB83" i="65"/>
  <c r="AC83" i="65"/>
  <c r="AD83" i="65"/>
  <c r="AE83" i="65"/>
  <c r="AF83" i="65"/>
  <c r="AG83" i="65"/>
  <c r="AH83" i="65"/>
  <c r="AI83" i="65"/>
  <c r="AJ83" i="65"/>
  <c r="AK83" i="65"/>
  <c r="AL83" i="65"/>
  <c r="AM83" i="65"/>
  <c r="AN83" i="65"/>
  <c r="AO83" i="65"/>
  <c r="AP83" i="65"/>
  <c r="AQ83" i="65"/>
  <c r="AR83" i="65"/>
  <c r="AS83" i="65"/>
  <c r="AT83" i="65"/>
  <c r="AU83" i="65"/>
  <c r="AW83" i="65"/>
  <c r="AX83" i="65"/>
  <c r="AY83" i="65"/>
  <c r="BA83" i="65"/>
  <c r="BC83" i="65"/>
  <c r="A84" i="65"/>
  <c r="B84" i="65"/>
  <c r="D84" i="65"/>
  <c r="E84" i="65"/>
  <c r="F84" i="65"/>
  <c r="G84" i="65"/>
  <c r="H84" i="65"/>
  <c r="J84" i="65"/>
  <c r="K84" i="65"/>
  <c r="L84" i="65"/>
  <c r="M84" i="65"/>
  <c r="O84" i="65"/>
  <c r="P84" i="65"/>
  <c r="R84" i="65"/>
  <c r="S84" i="65"/>
  <c r="T84" i="65"/>
  <c r="U84" i="65"/>
  <c r="V84" i="65"/>
  <c r="W84" i="65"/>
  <c r="X84" i="65"/>
  <c r="Z84" i="65"/>
  <c r="AA84" i="65"/>
  <c r="AB84" i="65"/>
  <c r="AC84" i="65"/>
  <c r="AD84" i="65"/>
  <c r="AE84" i="65"/>
  <c r="AF84" i="65"/>
  <c r="AG84" i="65"/>
  <c r="AH84" i="65"/>
  <c r="AI84" i="65"/>
  <c r="AJ84" i="65"/>
  <c r="AK84" i="65"/>
  <c r="AL84" i="65"/>
  <c r="AM84" i="65"/>
  <c r="AN84" i="65"/>
  <c r="AO84" i="65"/>
  <c r="AP84" i="65"/>
  <c r="AQ84" i="65"/>
  <c r="AR84" i="65"/>
  <c r="AS84" i="65"/>
  <c r="AT84" i="65"/>
  <c r="AU84" i="65"/>
  <c r="AW84" i="65"/>
  <c r="AX84" i="65"/>
  <c r="AY84" i="65"/>
  <c r="BA84" i="65"/>
  <c r="BC84" i="65"/>
  <c r="A85" i="65"/>
  <c r="B85" i="65"/>
  <c r="D85" i="65"/>
  <c r="E85" i="65"/>
  <c r="F85" i="65"/>
  <c r="G85" i="65"/>
  <c r="H85" i="65"/>
  <c r="J85" i="65"/>
  <c r="K85" i="65"/>
  <c r="L85" i="65"/>
  <c r="M85" i="65"/>
  <c r="O85" i="65"/>
  <c r="P85" i="65"/>
  <c r="R85" i="65"/>
  <c r="S85" i="65"/>
  <c r="T85" i="65"/>
  <c r="U85" i="65"/>
  <c r="V85" i="65"/>
  <c r="W85" i="65"/>
  <c r="X85" i="65"/>
  <c r="Z85" i="65"/>
  <c r="AA85" i="65"/>
  <c r="AB85" i="65"/>
  <c r="AC85" i="65"/>
  <c r="AD85" i="65"/>
  <c r="AE85" i="65"/>
  <c r="AF85" i="65"/>
  <c r="AG85" i="65"/>
  <c r="AH85" i="65"/>
  <c r="AI85" i="65"/>
  <c r="AJ85" i="65"/>
  <c r="AK85" i="65"/>
  <c r="AL85" i="65"/>
  <c r="AM85" i="65"/>
  <c r="AN85" i="65"/>
  <c r="AO85" i="65"/>
  <c r="AP85" i="65"/>
  <c r="AQ85" i="65"/>
  <c r="AR85" i="65"/>
  <c r="AS85" i="65"/>
  <c r="AT85" i="65"/>
  <c r="AU85" i="65"/>
  <c r="AW85" i="65"/>
  <c r="AX85" i="65"/>
  <c r="AY85" i="65"/>
  <c r="BA85" i="65"/>
  <c r="BC85" i="65"/>
  <c r="A86" i="65"/>
  <c r="B86" i="65"/>
  <c r="D86" i="65"/>
  <c r="E86" i="65"/>
  <c r="F86" i="65"/>
  <c r="G86" i="65"/>
  <c r="H86" i="65"/>
  <c r="J86" i="65"/>
  <c r="K86" i="65"/>
  <c r="L86" i="65"/>
  <c r="M86" i="65"/>
  <c r="O86" i="65"/>
  <c r="P86" i="65"/>
  <c r="R86" i="65"/>
  <c r="S86" i="65"/>
  <c r="T86" i="65"/>
  <c r="U86" i="65"/>
  <c r="V86" i="65"/>
  <c r="W86" i="65"/>
  <c r="X86" i="65"/>
  <c r="Z86" i="65"/>
  <c r="AA86" i="65"/>
  <c r="AB86" i="65"/>
  <c r="AC86" i="65"/>
  <c r="AD86" i="65"/>
  <c r="AE86" i="65"/>
  <c r="AF86" i="65"/>
  <c r="AG86" i="65"/>
  <c r="AH86" i="65"/>
  <c r="AI86" i="65"/>
  <c r="AJ86" i="65"/>
  <c r="AK86" i="65"/>
  <c r="AL86" i="65"/>
  <c r="AM86" i="65"/>
  <c r="AN86" i="65"/>
  <c r="AO86" i="65"/>
  <c r="AP86" i="65"/>
  <c r="AQ86" i="65"/>
  <c r="AR86" i="65"/>
  <c r="AS86" i="65"/>
  <c r="AT86" i="65"/>
  <c r="AU86" i="65"/>
  <c r="AW86" i="65"/>
  <c r="AX86" i="65"/>
  <c r="AY86" i="65"/>
  <c r="BA86" i="65"/>
  <c r="BC86" i="65"/>
  <c r="A87" i="65"/>
  <c r="B87" i="65"/>
  <c r="D87" i="65"/>
  <c r="E87" i="65"/>
  <c r="F87" i="65"/>
  <c r="G87" i="65"/>
  <c r="H87" i="65"/>
  <c r="J87" i="65"/>
  <c r="K87" i="65"/>
  <c r="L87" i="65"/>
  <c r="M87" i="65"/>
  <c r="O87" i="65"/>
  <c r="P87" i="65"/>
  <c r="R87" i="65"/>
  <c r="S87" i="65"/>
  <c r="T87" i="65"/>
  <c r="U87" i="65"/>
  <c r="V87" i="65"/>
  <c r="W87" i="65"/>
  <c r="X87" i="65"/>
  <c r="Z87" i="65"/>
  <c r="AA87" i="65"/>
  <c r="AB87" i="65"/>
  <c r="AC87" i="65"/>
  <c r="AD87" i="65"/>
  <c r="AE87" i="65"/>
  <c r="AF87" i="65"/>
  <c r="AG87" i="65"/>
  <c r="AH87" i="65"/>
  <c r="AI87" i="65"/>
  <c r="AJ87" i="65"/>
  <c r="AK87" i="65"/>
  <c r="AL87" i="65"/>
  <c r="AM87" i="65"/>
  <c r="AN87" i="65"/>
  <c r="AO87" i="65"/>
  <c r="AP87" i="65"/>
  <c r="AQ87" i="65"/>
  <c r="AR87" i="65"/>
  <c r="AS87" i="65"/>
  <c r="AT87" i="65"/>
  <c r="AU87" i="65"/>
  <c r="AW87" i="65"/>
  <c r="AX87" i="65"/>
  <c r="AY87" i="65"/>
  <c r="BA87" i="65"/>
  <c r="BC87" i="65"/>
  <c r="A88" i="65"/>
  <c r="B88" i="65"/>
  <c r="D88" i="65"/>
  <c r="E88" i="65"/>
  <c r="F88" i="65"/>
  <c r="G88" i="65"/>
  <c r="H88" i="65"/>
  <c r="J88" i="65"/>
  <c r="K88" i="65"/>
  <c r="L88" i="65"/>
  <c r="M88" i="65"/>
  <c r="O88" i="65"/>
  <c r="P88" i="65"/>
  <c r="R88" i="65"/>
  <c r="S88" i="65"/>
  <c r="T88" i="65"/>
  <c r="U88" i="65"/>
  <c r="V88" i="65"/>
  <c r="W88" i="65"/>
  <c r="X88" i="65"/>
  <c r="Z88" i="65"/>
  <c r="AA88" i="65"/>
  <c r="AB88" i="65"/>
  <c r="AC88" i="65"/>
  <c r="AD88" i="65"/>
  <c r="AE88" i="65"/>
  <c r="AF88" i="65"/>
  <c r="AG88" i="65"/>
  <c r="AH88" i="65"/>
  <c r="AI88" i="65"/>
  <c r="AJ88" i="65"/>
  <c r="AK88" i="65"/>
  <c r="AL88" i="65"/>
  <c r="AM88" i="65"/>
  <c r="AN88" i="65"/>
  <c r="AO88" i="65"/>
  <c r="AP88" i="65"/>
  <c r="AQ88" i="65"/>
  <c r="AR88" i="65"/>
  <c r="AS88" i="65"/>
  <c r="AT88" i="65"/>
  <c r="AU88" i="65"/>
  <c r="AW88" i="65"/>
  <c r="AX88" i="65"/>
  <c r="AY88" i="65"/>
  <c r="BA88" i="65"/>
  <c r="BC88" i="65"/>
  <c r="A89" i="65"/>
  <c r="B89" i="65"/>
  <c r="D89" i="65"/>
  <c r="E89" i="65"/>
  <c r="F89" i="65"/>
  <c r="G89" i="65"/>
  <c r="H89" i="65"/>
  <c r="J89" i="65"/>
  <c r="K89" i="65"/>
  <c r="L89" i="65"/>
  <c r="M89" i="65"/>
  <c r="O89" i="65"/>
  <c r="P89" i="65"/>
  <c r="R89" i="65"/>
  <c r="S89" i="65"/>
  <c r="T89" i="65"/>
  <c r="U89" i="65"/>
  <c r="V89" i="65"/>
  <c r="W89" i="65"/>
  <c r="X89" i="65"/>
  <c r="Z89" i="65"/>
  <c r="AA89" i="65"/>
  <c r="AB89" i="65"/>
  <c r="AC89" i="65"/>
  <c r="AD89" i="65"/>
  <c r="AE89" i="65"/>
  <c r="AF89" i="65"/>
  <c r="AG89" i="65"/>
  <c r="AH89" i="65"/>
  <c r="AI89" i="65"/>
  <c r="AJ89" i="65"/>
  <c r="AK89" i="65"/>
  <c r="AL89" i="65"/>
  <c r="AM89" i="65"/>
  <c r="AN89" i="65"/>
  <c r="AO89" i="65"/>
  <c r="AP89" i="65"/>
  <c r="AQ89" i="65"/>
  <c r="AR89" i="65"/>
  <c r="AS89" i="65"/>
  <c r="AT89" i="65"/>
  <c r="AU89" i="65"/>
  <c r="AW89" i="65"/>
  <c r="AX89" i="65"/>
  <c r="AY89" i="65"/>
  <c r="BA89" i="65"/>
  <c r="BC89" i="65"/>
  <c r="A90" i="65"/>
  <c r="B90" i="65"/>
  <c r="D90" i="65"/>
  <c r="E90" i="65"/>
  <c r="F90" i="65"/>
  <c r="G90" i="65"/>
  <c r="H90" i="65"/>
  <c r="J90" i="65"/>
  <c r="K90" i="65"/>
  <c r="L90" i="65"/>
  <c r="M90" i="65"/>
  <c r="O90" i="65"/>
  <c r="P90" i="65"/>
  <c r="R90" i="65"/>
  <c r="S90" i="65"/>
  <c r="T90" i="65"/>
  <c r="U90" i="65"/>
  <c r="V90" i="65"/>
  <c r="W90" i="65"/>
  <c r="X90" i="65"/>
  <c r="Z90" i="65"/>
  <c r="AA90" i="65"/>
  <c r="AB90" i="65"/>
  <c r="AC90" i="65"/>
  <c r="AD90" i="65"/>
  <c r="AE90" i="65"/>
  <c r="AF90" i="65"/>
  <c r="AG90" i="65"/>
  <c r="AH90" i="65"/>
  <c r="AI90" i="65"/>
  <c r="AJ90" i="65"/>
  <c r="AK90" i="65"/>
  <c r="AL90" i="65"/>
  <c r="AM90" i="65"/>
  <c r="AN90" i="65"/>
  <c r="AO90" i="65"/>
  <c r="AP90" i="65"/>
  <c r="AQ90" i="65"/>
  <c r="AR90" i="65"/>
  <c r="AS90" i="65"/>
  <c r="AT90" i="65"/>
  <c r="AU90" i="65"/>
  <c r="AW90" i="65"/>
  <c r="AX90" i="65"/>
  <c r="AY90" i="65"/>
  <c r="BA90" i="65"/>
  <c r="BC90" i="65"/>
  <c r="A91" i="65"/>
  <c r="B91" i="65"/>
  <c r="D91" i="65"/>
  <c r="E91" i="65"/>
  <c r="F91" i="65"/>
  <c r="G91" i="65"/>
  <c r="H91" i="65"/>
  <c r="J91" i="65"/>
  <c r="K91" i="65"/>
  <c r="L91" i="65"/>
  <c r="M91" i="65"/>
  <c r="O91" i="65"/>
  <c r="P91" i="65"/>
  <c r="R91" i="65"/>
  <c r="S91" i="65"/>
  <c r="T91" i="65"/>
  <c r="U91" i="65"/>
  <c r="V91" i="65"/>
  <c r="W91" i="65"/>
  <c r="X91" i="65"/>
  <c r="Z91" i="65"/>
  <c r="AA91" i="65"/>
  <c r="AB91" i="65"/>
  <c r="AC91" i="65"/>
  <c r="AD91" i="65"/>
  <c r="AE91" i="65"/>
  <c r="AF91" i="65"/>
  <c r="AG91" i="65"/>
  <c r="AH91" i="65"/>
  <c r="AI91" i="65"/>
  <c r="AJ91" i="65"/>
  <c r="AK91" i="65"/>
  <c r="AL91" i="65"/>
  <c r="AM91" i="65"/>
  <c r="AN91" i="65"/>
  <c r="AO91" i="65"/>
  <c r="AP91" i="65"/>
  <c r="AQ91" i="65"/>
  <c r="AR91" i="65"/>
  <c r="AS91" i="65"/>
  <c r="AT91" i="65"/>
  <c r="AU91" i="65"/>
  <c r="AW91" i="65"/>
  <c r="AX91" i="65"/>
  <c r="AY91" i="65"/>
  <c r="BA91" i="65"/>
  <c r="BC91" i="65"/>
  <c r="A92" i="65"/>
  <c r="B92" i="65"/>
  <c r="D92" i="65"/>
  <c r="E92" i="65"/>
  <c r="F92" i="65"/>
  <c r="G92" i="65"/>
  <c r="H92" i="65"/>
  <c r="J92" i="65"/>
  <c r="K92" i="65"/>
  <c r="L92" i="65"/>
  <c r="M92" i="65"/>
  <c r="O92" i="65"/>
  <c r="P92" i="65"/>
  <c r="R92" i="65"/>
  <c r="S92" i="65"/>
  <c r="T92" i="65"/>
  <c r="U92" i="65"/>
  <c r="V92" i="65"/>
  <c r="W92" i="65"/>
  <c r="X92" i="65"/>
  <c r="Z92" i="65"/>
  <c r="AA92" i="65"/>
  <c r="AB92" i="65"/>
  <c r="AC92" i="65"/>
  <c r="AD92" i="65"/>
  <c r="AE92" i="65"/>
  <c r="AF92" i="65"/>
  <c r="AG92" i="65"/>
  <c r="AH92" i="65"/>
  <c r="AI92" i="65"/>
  <c r="AJ92" i="65"/>
  <c r="AK92" i="65"/>
  <c r="AL92" i="65"/>
  <c r="AM92" i="65"/>
  <c r="AN92" i="65"/>
  <c r="AO92" i="65"/>
  <c r="AP92" i="65"/>
  <c r="AQ92" i="65"/>
  <c r="AR92" i="65"/>
  <c r="AS92" i="65"/>
  <c r="AT92" i="65"/>
  <c r="AU92" i="65"/>
  <c r="AW92" i="65"/>
  <c r="AX92" i="65"/>
  <c r="AY92" i="65"/>
  <c r="BA92" i="65"/>
  <c r="BC92" i="65"/>
  <c r="A93" i="65"/>
  <c r="B93" i="65"/>
  <c r="D93" i="65"/>
  <c r="E93" i="65"/>
  <c r="F93" i="65"/>
  <c r="G93" i="65"/>
  <c r="H93" i="65"/>
  <c r="J93" i="65"/>
  <c r="K93" i="65"/>
  <c r="L93" i="65"/>
  <c r="M93" i="65"/>
  <c r="O93" i="65"/>
  <c r="P93" i="65"/>
  <c r="R93" i="65"/>
  <c r="S93" i="65"/>
  <c r="T93" i="65"/>
  <c r="U93" i="65"/>
  <c r="V93" i="65"/>
  <c r="W93" i="65"/>
  <c r="X93" i="65"/>
  <c r="Z93" i="65"/>
  <c r="AA93" i="65"/>
  <c r="AB93" i="65"/>
  <c r="AC93" i="65"/>
  <c r="AD93" i="65"/>
  <c r="AE93" i="65"/>
  <c r="AF93" i="65"/>
  <c r="AG93" i="65"/>
  <c r="AH93" i="65"/>
  <c r="AI93" i="65"/>
  <c r="AJ93" i="65"/>
  <c r="AK93" i="65"/>
  <c r="AL93" i="65"/>
  <c r="AM93" i="65"/>
  <c r="AN93" i="65"/>
  <c r="AO93" i="65"/>
  <c r="AP93" i="65"/>
  <c r="AQ93" i="65"/>
  <c r="AR93" i="65"/>
  <c r="AS93" i="65"/>
  <c r="AT93" i="65"/>
  <c r="AU93" i="65"/>
  <c r="AW93" i="65"/>
  <c r="AX93" i="65"/>
  <c r="AY93" i="65"/>
  <c r="BA93" i="65"/>
  <c r="BC93" i="65"/>
  <c r="A94" i="65"/>
  <c r="B94" i="65"/>
  <c r="D94" i="65"/>
  <c r="E94" i="65"/>
  <c r="F94" i="65"/>
  <c r="G94" i="65"/>
  <c r="H94" i="65"/>
  <c r="J94" i="65"/>
  <c r="K94" i="65"/>
  <c r="L94" i="65"/>
  <c r="M94" i="65"/>
  <c r="O94" i="65"/>
  <c r="P94" i="65"/>
  <c r="R94" i="65"/>
  <c r="S94" i="65"/>
  <c r="T94" i="65"/>
  <c r="U94" i="65"/>
  <c r="V94" i="65"/>
  <c r="W94" i="65"/>
  <c r="X94" i="65"/>
  <c r="Z94" i="65"/>
  <c r="AA94" i="65"/>
  <c r="AB94" i="65"/>
  <c r="AC94" i="65"/>
  <c r="AD94" i="65"/>
  <c r="AE94" i="65"/>
  <c r="AF94" i="65"/>
  <c r="AG94" i="65"/>
  <c r="AH94" i="65"/>
  <c r="AI94" i="65"/>
  <c r="AJ94" i="65"/>
  <c r="AK94" i="65"/>
  <c r="AL94" i="65"/>
  <c r="AM94" i="65"/>
  <c r="AN94" i="65"/>
  <c r="AO94" i="65"/>
  <c r="AP94" i="65"/>
  <c r="AQ94" i="65"/>
  <c r="AR94" i="65"/>
  <c r="AS94" i="65"/>
  <c r="AT94" i="65"/>
  <c r="AU94" i="65"/>
  <c r="AW94" i="65"/>
  <c r="AX94" i="65"/>
  <c r="AY94" i="65"/>
  <c r="BA94" i="65"/>
  <c r="BC94" i="65"/>
  <c r="A95" i="65"/>
  <c r="B95" i="65"/>
  <c r="D95" i="65"/>
  <c r="E95" i="65"/>
  <c r="F95" i="65"/>
  <c r="G95" i="65"/>
  <c r="H95" i="65"/>
  <c r="J95" i="65"/>
  <c r="K95" i="65"/>
  <c r="L95" i="65"/>
  <c r="M95" i="65"/>
  <c r="O95" i="65"/>
  <c r="P95" i="65"/>
  <c r="R95" i="65"/>
  <c r="S95" i="65"/>
  <c r="T95" i="65"/>
  <c r="U95" i="65"/>
  <c r="V95" i="65"/>
  <c r="W95" i="65"/>
  <c r="X95" i="65"/>
  <c r="Z95" i="65"/>
  <c r="AA95" i="65"/>
  <c r="AB95" i="65"/>
  <c r="AC95" i="65"/>
  <c r="AD95" i="65"/>
  <c r="AE95" i="65"/>
  <c r="AF95" i="65"/>
  <c r="AG95" i="65"/>
  <c r="AH95" i="65"/>
  <c r="AI95" i="65"/>
  <c r="AJ95" i="65"/>
  <c r="AK95" i="65"/>
  <c r="AL95" i="65"/>
  <c r="AM95" i="65"/>
  <c r="AN95" i="65"/>
  <c r="AO95" i="65"/>
  <c r="AP95" i="65"/>
  <c r="AQ95" i="65"/>
  <c r="AR95" i="65"/>
  <c r="AS95" i="65"/>
  <c r="AT95" i="65"/>
  <c r="AU95" i="65"/>
  <c r="AW95" i="65"/>
  <c r="AX95" i="65"/>
  <c r="AY95" i="65"/>
  <c r="BA95" i="65"/>
  <c r="BC95" i="65"/>
  <c r="A96" i="65"/>
  <c r="B96" i="65"/>
  <c r="D96" i="65"/>
  <c r="E96" i="65"/>
  <c r="F96" i="65"/>
  <c r="G96" i="65"/>
  <c r="H96" i="65"/>
  <c r="J96" i="65"/>
  <c r="K96" i="65"/>
  <c r="L96" i="65"/>
  <c r="M96" i="65"/>
  <c r="O96" i="65"/>
  <c r="P96" i="65"/>
  <c r="R96" i="65"/>
  <c r="S96" i="65"/>
  <c r="T96" i="65"/>
  <c r="U96" i="65"/>
  <c r="V96" i="65"/>
  <c r="W96" i="65"/>
  <c r="X96" i="65"/>
  <c r="Z96" i="65"/>
  <c r="AA96" i="65"/>
  <c r="AB96" i="65"/>
  <c r="AC96" i="65"/>
  <c r="AD96" i="65"/>
  <c r="AE96" i="65"/>
  <c r="AF96" i="65"/>
  <c r="AG96" i="65"/>
  <c r="AH96" i="65"/>
  <c r="AI96" i="65"/>
  <c r="AJ96" i="65"/>
  <c r="AK96" i="65"/>
  <c r="AL96" i="65"/>
  <c r="AM96" i="65"/>
  <c r="AN96" i="65"/>
  <c r="AO96" i="65"/>
  <c r="AP96" i="65"/>
  <c r="AQ96" i="65"/>
  <c r="AR96" i="65"/>
  <c r="AS96" i="65"/>
  <c r="AT96" i="65"/>
  <c r="AU96" i="65"/>
  <c r="AW96" i="65"/>
  <c r="AX96" i="65"/>
  <c r="AY96" i="65"/>
  <c r="BA96" i="65"/>
  <c r="BC96" i="65"/>
  <c r="A97" i="65"/>
  <c r="B97" i="65"/>
  <c r="D97" i="65"/>
  <c r="E97" i="65"/>
  <c r="F97" i="65"/>
  <c r="G97" i="65"/>
  <c r="H97" i="65"/>
  <c r="J97" i="65"/>
  <c r="K97" i="65"/>
  <c r="L97" i="65"/>
  <c r="M97" i="65"/>
  <c r="O97" i="65"/>
  <c r="P97" i="65"/>
  <c r="R97" i="65"/>
  <c r="S97" i="65"/>
  <c r="T97" i="65"/>
  <c r="U97" i="65"/>
  <c r="V97" i="65"/>
  <c r="W97" i="65"/>
  <c r="X97" i="65"/>
  <c r="Z97" i="65"/>
  <c r="AA97" i="65"/>
  <c r="AB97" i="65"/>
  <c r="AC97" i="65"/>
  <c r="AD97" i="65"/>
  <c r="AE97" i="65"/>
  <c r="AF97" i="65"/>
  <c r="AG97" i="65"/>
  <c r="AH97" i="65"/>
  <c r="AI97" i="65"/>
  <c r="AJ97" i="65"/>
  <c r="AK97" i="65"/>
  <c r="AL97" i="65"/>
  <c r="AM97" i="65"/>
  <c r="AN97" i="65"/>
  <c r="AO97" i="65"/>
  <c r="AP97" i="65"/>
  <c r="AQ97" i="65"/>
  <c r="AR97" i="65"/>
  <c r="AS97" i="65"/>
  <c r="AT97" i="65"/>
  <c r="AU97" i="65"/>
  <c r="AW97" i="65"/>
  <c r="AX97" i="65"/>
  <c r="AY97" i="65"/>
  <c r="BA97" i="65"/>
  <c r="BC97" i="65"/>
  <c r="A98" i="65"/>
  <c r="B98" i="65"/>
  <c r="D98" i="65"/>
  <c r="E98" i="65"/>
  <c r="F98" i="65"/>
  <c r="G98" i="65"/>
  <c r="H98" i="65"/>
  <c r="J98" i="65"/>
  <c r="K98" i="65"/>
  <c r="L98" i="65"/>
  <c r="M98" i="65"/>
  <c r="O98" i="65"/>
  <c r="P98" i="65"/>
  <c r="R98" i="65"/>
  <c r="S98" i="65"/>
  <c r="T98" i="65"/>
  <c r="U98" i="65"/>
  <c r="V98" i="65"/>
  <c r="W98" i="65"/>
  <c r="X98" i="65"/>
  <c r="Z98" i="65"/>
  <c r="AA98" i="65"/>
  <c r="AB98" i="65"/>
  <c r="AC98" i="65"/>
  <c r="AD98" i="65"/>
  <c r="AE98" i="65"/>
  <c r="AF98" i="65"/>
  <c r="AG98" i="65"/>
  <c r="AH98" i="65"/>
  <c r="AI98" i="65"/>
  <c r="AJ98" i="65"/>
  <c r="AK98" i="65"/>
  <c r="AL98" i="65"/>
  <c r="AM98" i="65"/>
  <c r="AN98" i="65"/>
  <c r="AO98" i="65"/>
  <c r="AP98" i="65"/>
  <c r="AQ98" i="65"/>
  <c r="AR98" i="65"/>
  <c r="AS98" i="65"/>
  <c r="AT98" i="65"/>
  <c r="AU98" i="65"/>
  <c r="AW98" i="65"/>
  <c r="AX98" i="65"/>
  <c r="AY98" i="65"/>
  <c r="BA98" i="65"/>
  <c r="BC98" i="65"/>
  <c r="A99" i="65"/>
  <c r="B99" i="65"/>
  <c r="D99" i="65"/>
  <c r="E99" i="65"/>
  <c r="F99" i="65"/>
  <c r="G99" i="65"/>
  <c r="H99" i="65"/>
  <c r="J99" i="65"/>
  <c r="K99" i="65"/>
  <c r="L99" i="65"/>
  <c r="M99" i="65"/>
  <c r="O99" i="65"/>
  <c r="P99" i="65"/>
  <c r="R99" i="65"/>
  <c r="S99" i="65"/>
  <c r="T99" i="65"/>
  <c r="U99" i="65"/>
  <c r="V99" i="65"/>
  <c r="W99" i="65"/>
  <c r="X99" i="65"/>
  <c r="Z99" i="65"/>
  <c r="AA99" i="65"/>
  <c r="AB99" i="65"/>
  <c r="AC99" i="65"/>
  <c r="AD99" i="65"/>
  <c r="AE99" i="65"/>
  <c r="AF99" i="65"/>
  <c r="AG99" i="65"/>
  <c r="AH99" i="65"/>
  <c r="AI99" i="65"/>
  <c r="AJ99" i="65"/>
  <c r="AK99" i="65"/>
  <c r="AL99" i="65"/>
  <c r="AM99" i="65"/>
  <c r="AN99" i="65"/>
  <c r="AO99" i="65"/>
  <c r="AP99" i="65"/>
  <c r="AQ99" i="65"/>
  <c r="AR99" i="65"/>
  <c r="AS99" i="65"/>
  <c r="AT99" i="65"/>
  <c r="AU99" i="65"/>
  <c r="AW99" i="65"/>
  <c r="AX99" i="65"/>
  <c r="AY99" i="65"/>
  <c r="BA99" i="65"/>
  <c r="BC99" i="65"/>
  <c r="A100" i="65"/>
  <c r="B100" i="65"/>
  <c r="D100" i="65"/>
  <c r="E100" i="65"/>
  <c r="F100" i="65"/>
  <c r="G100" i="65"/>
  <c r="H100" i="65"/>
  <c r="J100" i="65"/>
  <c r="K100" i="65"/>
  <c r="L100" i="65"/>
  <c r="M100" i="65"/>
  <c r="O100" i="65"/>
  <c r="P100" i="65"/>
  <c r="R100" i="65"/>
  <c r="S100" i="65"/>
  <c r="T100" i="65"/>
  <c r="U100" i="65"/>
  <c r="V100" i="65"/>
  <c r="W100" i="65"/>
  <c r="X100" i="65"/>
  <c r="Z100" i="65"/>
  <c r="AA100" i="65"/>
  <c r="AB100" i="65"/>
  <c r="AC100" i="65"/>
  <c r="AD100" i="65"/>
  <c r="AE100" i="65"/>
  <c r="AF100" i="65"/>
  <c r="AG100" i="65"/>
  <c r="AH100" i="65"/>
  <c r="AI100" i="65"/>
  <c r="AJ100" i="65"/>
  <c r="AK100" i="65"/>
  <c r="AL100" i="65"/>
  <c r="AM100" i="65"/>
  <c r="AN100" i="65"/>
  <c r="AO100" i="65"/>
  <c r="AP100" i="65"/>
  <c r="AQ100" i="65"/>
  <c r="AR100" i="65"/>
  <c r="AS100" i="65"/>
  <c r="AT100" i="65"/>
  <c r="AU100" i="65"/>
  <c r="AW100" i="65"/>
  <c r="AX100" i="65"/>
  <c r="AY100" i="65"/>
  <c r="BA100" i="65"/>
  <c r="BC100" i="65"/>
  <c r="A101" i="65"/>
  <c r="B101" i="65"/>
  <c r="D101" i="65"/>
  <c r="E101" i="65"/>
  <c r="F101" i="65"/>
  <c r="G101" i="65"/>
  <c r="H101" i="65"/>
  <c r="J101" i="65"/>
  <c r="K101" i="65"/>
  <c r="L101" i="65"/>
  <c r="M101" i="65"/>
  <c r="O101" i="65"/>
  <c r="P101" i="65"/>
  <c r="R101" i="65"/>
  <c r="S101" i="65"/>
  <c r="T101" i="65"/>
  <c r="U101" i="65"/>
  <c r="V101" i="65"/>
  <c r="W101" i="65"/>
  <c r="X101" i="65"/>
  <c r="Z101" i="65"/>
  <c r="AA101" i="65"/>
  <c r="AB101" i="65"/>
  <c r="AC101" i="65"/>
  <c r="AD101" i="65"/>
  <c r="AE101" i="65"/>
  <c r="AF101" i="65"/>
  <c r="AG101" i="65"/>
  <c r="AH101" i="65"/>
  <c r="AI101" i="65"/>
  <c r="AJ101" i="65"/>
  <c r="AK101" i="65"/>
  <c r="AL101" i="65"/>
  <c r="AM101" i="65"/>
  <c r="AN101" i="65"/>
  <c r="AO101" i="65"/>
  <c r="AP101" i="65"/>
  <c r="AQ101" i="65"/>
  <c r="AR101" i="65"/>
  <c r="AS101" i="65"/>
  <c r="AT101" i="65"/>
  <c r="AU101" i="65"/>
  <c r="AW101" i="65"/>
  <c r="AX101" i="65"/>
  <c r="AY101" i="65"/>
  <c r="BA101" i="65"/>
  <c r="BC101" i="65"/>
  <c r="A102" i="65"/>
  <c r="B102" i="65"/>
  <c r="D102" i="65"/>
  <c r="E102" i="65"/>
  <c r="F102" i="65"/>
  <c r="G102" i="65"/>
  <c r="H102" i="65"/>
  <c r="J102" i="65"/>
  <c r="K102" i="65"/>
  <c r="L102" i="65"/>
  <c r="M102" i="65"/>
  <c r="O102" i="65"/>
  <c r="P102" i="65"/>
  <c r="R102" i="65"/>
  <c r="S102" i="65"/>
  <c r="T102" i="65"/>
  <c r="U102" i="65"/>
  <c r="V102" i="65"/>
  <c r="W102" i="65"/>
  <c r="X102" i="65"/>
  <c r="Z102" i="65"/>
  <c r="AA102" i="65"/>
  <c r="AB102" i="65"/>
  <c r="AC102" i="65"/>
  <c r="AD102" i="65"/>
  <c r="AE102" i="65"/>
  <c r="AF102" i="65"/>
  <c r="AG102" i="65"/>
  <c r="AH102" i="65"/>
  <c r="AI102" i="65"/>
  <c r="AJ102" i="65"/>
  <c r="AK102" i="65"/>
  <c r="AL102" i="65"/>
  <c r="AM102" i="65"/>
  <c r="AN102" i="65"/>
  <c r="AO102" i="65"/>
  <c r="AP102" i="65"/>
  <c r="AQ102" i="65"/>
  <c r="AR102" i="65"/>
  <c r="AS102" i="65"/>
  <c r="AT102" i="65"/>
  <c r="AU102" i="65"/>
  <c r="AW102" i="65"/>
  <c r="AX102" i="65"/>
  <c r="AY102" i="65"/>
  <c r="BA102" i="65"/>
  <c r="BC102" i="65"/>
  <c r="A103" i="65"/>
  <c r="B103" i="65"/>
  <c r="D103" i="65"/>
  <c r="E103" i="65"/>
  <c r="F103" i="65"/>
  <c r="G103" i="65"/>
  <c r="H103" i="65"/>
  <c r="J103" i="65"/>
  <c r="K103" i="65"/>
  <c r="L103" i="65"/>
  <c r="M103" i="65"/>
  <c r="O103" i="65"/>
  <c r="P103" i="65"/>
  <c r="R103" i="65"/>
  <c r="S103" i="65"/>
  <c r="T103" i="65"/>
  <c r="U103" i="65"/>
  <c r="V103" i="65"/>
  <c r="W103" i="65"/>
  <c r="X103" i="65"/>
  <c r="Z103" i="65"/>
  <c r="AA103" i="65"/>
  <c r="AB103" i="65"/>
  <c r="AC103" i="65"/>
  <c r="AD103" i="65"/>
  <c r="AE103" i="65"/>
  <c r="AF103" i="65"/>
  <c r="AG103" i="65"/>
  <c r="AH103" i="65"/>
  <c r="AI103" i="65"/>
  <c r="AJ103" i="65"/>
  <c r="AK103" i="65"/>
  <c r="AL103" i="65"/>
  <c r="AM103" i="65"/>
  <c r="AN103" i="65"/>
  <c r="AO103" i="65"/>
  <c r="AP103" i="65"/>
  <c r="AQ103" i="65"/>
  <c r="AR103" i="65"/>
  <c r="AS103" i="65"/>
  <c r="AT103" i="65"/>
  <c r="AU103" i="65"/>
  <c r="AW103" i="65"/>
  <c r="AX103" i="65"/>
  <c r="AY103" i="65"/>
  <c r="BA103" i="65"/>
  <c r="BC103" i="65"/>
  <c r="A104" i="65"/>
  <c r="B104" i="65"/>
  <c r="D104" i="65"/>
  <c r="E104" i="65"/>
  <c r="F104" i="65"/>
  <c r="G104" i="65"/>
  <c r="H104" i="65"/>
  <c r="J104" i="65"/>
  <c r="K104" i="65"/>
  <c r="L104" i="65"/>
  <c r="M104" i="65"/>
  <c r="O104" i="65"/>
  <c r="P104" i="65"/>
  <c r="R104" i="65"/>
  <c r="S104" i="65"/>
  <c r="T104" i="65"/>
  <c r="U104" i="65"/>
  <c r="V104" i="65"/>
  <c r="W104" i="65"/>
  <c r="X104" i="65"/>
  <c r="Z104" i="65"/>
  <c r="AA104" i="65"/>
  <c r="AB104" i="65"/>
  <c r="AC104" i="65"/>
  <c r="AD104" i="65"/>
  <c r="AE104" i="65"/>
  <c r="AF104" i="65"/>
  <c r="AG104" i="65"/>
  <c r="AH104" i="65"/>
  <c r="AI104" i="65"/>
  <c r="AJ104" i="65"/>
  <c r="AK104" i="65"/>
  <c r="AL104" i="65"/>
  <c r="AM104" i="65"/>
  <c r="AN104" i="65"/>
  <c r="AO104" i="65"/>
  <c r="AP104" i="65"/>
  <c r="AQ104" i="65"/>
  <c r="AR104" i="65"/>
  <c r="AS104" i="65"/>
  <c r="AT104" i="65"/>
  <c r="AU104" i="65"/>
  <c r="AW104" i="65"/>
  <c r="AX104" i="65"/>
  <c r="AY104" i="65"/>
  <c r="BA104" i="65"/>
  <c r="BC104" i="65"/>
  <c r="A105" i="65"/>
  <c r="B105" i="65"/>
  <c r="D105" i="65"/>
  <c r="E105" i="65"/>
  <c r="F105" i="65"/>
  <c r="G105" i="65"/>
  <c r="H105" i="65"/>
  <c r="J105" i="65"/>
  <c r="K105" i="65"/>
  <c r="L105" i="65"/>
  <c r="M105" i="65"/>
  <c r="O105" i="65"/>
  <c r="P105" i="65"/>
  <c r="R105" i="65"/>
  <c r="S105" i="65"/>
  <c r="T105" i="65"/>
  <c r="U105" i="65"/>
  <c r="V105" i="65"/>
  <c r="W105" i="65"/>
  <c r="X105" i="65"/>
  <c r="Z105" i="65"/>
  <c r="AA105" i="65"/>
  <c r="AB105" i="65"/>
  <c r="AC105" i="65"/>
  <c r="AD105" i="65"/>
  <c r="AE105" i="65"/>
  <c r="AF105" i="65"/>
  <c r="AG105" i="65"/>
  <c r="AH105" i="65"/>
  <c r="AI105" i="65"/>
  <c r="AJ105" i="65"/>
  <c r="AK105" i="65"/>
  <c r="AL105" i="65"/>
  <c r="AM105" i="65"/>
  <c r="AN105" i="65"/>
  <c r="AO105" i="65"/>
  <c r="AP105" i="65"/>
  <c r="AQ105" i="65"/>
  <c r="AR105" i="65"/>
  <c r="AS105" i="65"/>
  <c r="AT105" i="65"/>
  <c r="AU105" i="65"/>
  <c r="AW105" i="65"/>
  <c r="AX105" i="65"/>
  <c r="AY105" i="65"/>
  <c r="BA105" i="65"/>
  <c r="BC105" i="65"/>
  <c r="A106" i="65"/>
  <c r="B106" i="65"/>
  <c r="D106" i="65"/>
  <c r="E106" i="65"/>
  <c r="F106" i="65"/>
  <c r="G106" i="65"/>
  <c r="H106" i="65"/>
  <c r="J106" i="65"/>
  <c r="K106" i="65"/>
  <c r="L106" i="65"/>
  <c r="M106" i="65"/>
  <c r="O106" i="65"/>
  <c r="P106" i="65"/>
  <c r="R106" i="65"/>
  <c r="S106" i="65"/>
  <c r="T106" i="65"/>
  <c r="U106" i="65"/>
  <c r="V106" i="65"/>
  <c r="W106" i="65"/>
  <c r="X106" i="65"/>
  <c r="Z106" i="65"/>
  <c r="AA106" i="65"/>
  <c r="AB106" i="65"/>
  <c r="AC106" i="65"/>
  <c r="AD106" i="65"/>
  <c r="AE106" i="65"/>
  <c r="AF106" i="65"/>
  <c r="AG106" i="65"/>
  <c r="AH106" i="65"/>
  <c r="AI106" i="65"/>
  <c r="AJ106" i="65"/>
  <c r="AK106" i="65"/>
  <c r="AL106" i="65"/>
  <c r="AM106" i="65"/>
  <c r="AN106" i="65"/>
  <c r="AO106" i="65"/>
  <c r="AP106" i="65"/>
  <c r="AQ106" i="65"/>
  <c r="AR106" i="65"/>
  <c r="AS106" i="65"/>
  <c r="AT106" i="65"/>
  <c r="AU106" i="65"/>
  <c r="AW106" i="65"/>
  <c r="AX106" i="65"/>
  <c r="AY106" i="65"/>
  <c r="BA106" i="65"/>
  <c r="BC106" i="65"/>
  <c r="A107" i="65"/>
  <c r="B107" i="65"/>
  <c r="D107" i="65"/>
  <c r="E107" i="65"/>
  <c r="F107" i="65"/>
  <c r="G107" i="65"/>
  <c r="H107" i="65"/>
  <c r="J107" i="65"/>
  <c r="K107" i="65"/>
  <c r="L107" i="65"/>
  <c r="M107" i="65"/>
  <c r="O107" i="65"/>
  <c r="P107" i="65"/>
  <c r="R107" i="65"/>
  <c r="S107" i="65"/>
  <c r="T107" i="65"/>
  <c r="U107" i="65"/>
  <c r="V107" i="65"/>
  <c r="W107" i="65"/>
  <c r="X107" i="65"/>
  <c r="Z107" i="65"/>
  <c r="AA107" i="65"/>
  <c r="AB107" i="65"/>
  <c r="AC107" i="65"/>
  <c r="AD107" i="65"/>
  <c r="AE107" i="65"/>
  <c r="AF107" i="65"/>
  <c r="AG107" i="65"/>
  <c r="AH107" i="65"/>
  <c r="AI107" i="65"/>
  <c r="AJ107" i="65"/>
  <c r="AK107" i="65"/>
  <c r="AL107" i="65"/>
  <c r="AM107" i="65"/>
  <c r="AN107" i="65"/>
  <c r="AO107" i="65"/>
  <c r="AP107" i="65"/>
  <c r="AQ107" i="65"/>
  <c r="AR107" i="65"/>
  <c r="AS107" i="65"/>
  <c r="AT107" i="65"/>
  <c r="AU107" i="65"/>
  <c r="AW107" i="65"/>
  <c r="AX107" i="65"/>
  <c r="AY107" i="65"/>
  <c r="BA107" i="65"/>
  <c r="BC107" i="65"/>
  <c r="A108" i="65"/>
  <c r="B108" i="65"/>
  <c r="D108" i="65"/>
  <c r="E108" i="65"/>
  <c r="F108" i="65"/>
  <c r="G108" i="65"/>
  <c r="H108" i="65"/>
  <c r="J108" i="65"/>
  <c r="K108" i="65"/>
  <c r="L108" i="65"/>
  <c r="M108" i="65"/>
  <c r="O108" i="65"/>
  <c r="P108" i="65"/>
  <c r="R108" i="65"/>
  <c r="S108" i="65"/>
  <c r="T108" i="65"/>
  <c r="U108" i="65"/>
  <c r="V108" i="65"/>
  <c r="W108" i="65"/>
  <c r="X108" i="65"/>
  <c r="Z108" i="65"/>
  <c r="AA108" i="65"/>
  <c r="AB108" i="65"/>
  <c r="AC108" i="65"/>
  <c r="AD108" i="65"/>
  <c r="AE108" i="65"/>
  <c r="AF108" i="65"/>
  <c r="AG108" i="65"/>
  <c r="AH108" i="65"/>
  <c r="AI108" i="65"/>
  <c r="AJ108" i="65"/>
  <c r="AK108" i="65"/>
  <c r="AL108" i="65"/>
  <c r="AM108" i="65"/>
  <c r="AN108" i="65"/>
  <c r="AO108" i="65"/>
  <c r="AP108" i="65"/>
  <c r="AQ108" i="65"/>
  <c r="AR108" i="65"/>
  <c r="AS108" i="65"/>
  <c r="AT108" i="65"/>
  <c r="AU108" i="65"/>
  <c r="AW108" i="65"/>
  <c r="AX108" i="65"/>
  <c r="AY108" i="65"/>
  <c r="BA108" i="65"/>
  <c r="BC108" i="65"/>
  <c r="A109" i="65"/>
  <c r="B109" i="65"/>
  <c r="D109" i="65"/>
  <c r="E109" i="65"/>
  <c r="F109" i="65"/>
  <c r="G109" i="65"/>
  <c r="H109" i="65"/>
  <c r="J109" i="65"/>
  <c r="K109" i="65"/>
  <c r="L109" i="65"/>
  <c r="M109" i="65"/>
  <c r="O109" i="65"/>
  <c r="P109" i="65"/>
  <c r="R109" i="65"/>
  <c r="S109" i="65"/>
  <c r="T109" i="65"/>
  <c r="U109" i="65"/>
  <c r="V109" i="65"/>
  <c r="W109" i="65"/>
  <c r="X109" i="65"/>
  <c r="Z109" i="65"/>
  <c r="AA109" i="65"/>
  <c r="AB109" i="65"/>
  <c r="AC109" i="65"/>
  <c r="AD109" i="65"/>
  <c r="AE109" i="65"/>
  <c r="AF109" i="65"/>
  <c r="AG109" i="65"/>
  <c r="AH109" i="65"/>
  <c r="AI109" i="65"/>
  <c r="AJ109" i="65"/>
  <c r="AK109" i="65"/>
  <c r="AL109" i="65"/>
  <c r="AM109" i="65"/>
  <c r="AN109" i="65"/>
  <c r="AO109" i="65"/>
  <c r="AP109" i="65"/>
  <c r="AQ109" i="65"/>
  <c r="AR109" i="65"/>
  <c r="AS109" i="65"/>
  <c r="AT109" i="65"/>
  <c r="AU109" i="65"/>
  <c r="AW109" i="65"/>
  <c r="AX109" i="65"/>
  <c r="AY109" i="65"/>
  <c r="BA109" i="65"/>
  <c r="BC109" i="65"/>
  <c r="A110" i="65"/>
  <c r="B110" i="65"/>
  <c r="D110" i="65"/>
  <c r="E110" i="65"/>
  <c r="F110" i="65"/>
  <c r="G110" i="65"/>
  <c r="H110" i="65"/>
  <c r="J110" i="65"/>
  <c r="K110" i="65"/>
  <c r="L110" i="65"/>
  <c r="M110" i="65"/>
  <c r="O110" i="65"/>
  <c r="P110" i="65"/>
  <c r="R110" i="65"/>
  <c r="S110" i="65"/>
  <c r="T110" i="65"/>
  <c r="U110" i="65"/>
  <c r="V110" i="65"/>
  <c r="W110" i="65"/>
  <c r="X110" i="65"/>
  <c r="Z110" i="65"/>
  <c r="AA110" i="65"/>
  <c r="AB110" i="65"/>
  <c r="AC110" i="65"/>
  <c r="AD110" i="65"/>
  <c r="AE110" i="65"/>
  <c r="AF110" i="65"/>
  <c r="AG110" i="65"/>
  <c r="AH110" i="65"/>
  <c r="AI110" i="65"/>
  <c r="AJ110" i="65"/>
  <c r="AK110" i="65"/>
  <c r="AL110" i="65"/>
  <c r="AM110" i="65"/>
  <c r="AN110" i="65"/>
  <c r="AO110" i="65"/>
  <c r="AP110" i="65"/>
  <c r="AQ110" i="65"/>
  <c r="AR110" i="65"/>
  <c r="AS110" i="65"/>
  <c r="AT110" i="65"/>
  <c r="AU110" i="65"/>
  <c r="AW110" i="65"/>
  <c r="AX110" i="65"/>
  <c r="AY110" i="65"/>
  <c r="BA110" i="65"/>
  <c r="BC110" i="65"/>
  <c r="A111" i="65"/>
  <c r="B111" i="65"/>
  <c r="D111" i="65"/>
  <c r="E111" i="65"/>
  <c r="F111" i="65"/>
  <c r="G111" i="65"/>
  <c r="H111" i="65"/>
  <c r="J111" i="65"/>
  <c r="K111" i="65"/>
  <c r="L111" i="65"/>
  <c r="M111" i="65"/>
  <c r="O111" i="65"/>
  <c r="P111" i="65"/>
  <c r="R111" i="65"/>
  <c r="S111" i="65"/>
  <c r="T111" i="65"/>
  <c r="U111" i="65"/>
  <c r="V111" i="65"/>
  <c r="W111" i="65"/>
  <c r="X111" i="65"/>
  <c r="Z111" i="65"/>
  <c r="AA111" i="65"/>
  <c r="AB111" i="65"/>
  <c r="AC111" i="65"/>
  <c r="AD111" i="65"/>
  <c r="AE111" i="65"/>
  <c r="AF111" i="65"/>
  <c r="AG111" i="65"/>
  <c r="AH111" i="65"/>
  <c r="AI111" i="65"/>
  <c r="AJ111" i="65"/>
  <c r="AK111" i="65"/>
  <c r="AL111" i="65"/>
  <c r="AM111" i="65"/>
  <c r="AN111" i="65"/>
  <c r="AO111" i="65"/>
  <c r="AP111" i="65"/>
  <c r="AQ111" i="65"/>
  <c r="AR111" i="65"/>
  <c r="AS111" i="65"/>
  <c r="AT111" i="65"/>
  <c r="AU111" i="65"/>
  <c r="AW111" i="65"/>
  <c r="AX111" i="65"/>
  <c r="AY111" i="65"/>
  <c r="BA111" i="65"/>
  <c r="BC111" i="65"/>
  <c r="A112" i="65"/>
  <c r="B112" i="65"/>
  <c r="D112" i="65"/>
  <c r="E112" i="65"/>
  <c r="F112" i="65"/>
  <c r="G112" i="65"/>
  <c r="H112" i="65"/>
  <c r="J112" i="65"/>
  <c r="K112" i="65"/>
  <c r="L112" i="65"/>
  <c r="M112" i="65"/>
  <c r="O112" i="65"/>
  <c r="P112" i="65"/>
  <c r="R112" i="65"/>
  <c r="S112" i="65"/>
  <c r="T112" i="65"/>
  <c r="U112" i="65"/>
  <c r="V112" i="65"/>
  <c r="W112" i="65"/>
  <c r="X112" i="65"/>
  <c r="Z112" i="65"/>
  <c r="AA112" i="65"/>
  <c r="AB112" i="65"/>
  <c r="AC112" i="65"/>
  <c r="AD112" i="65"/>
  <c r="AE112" i="65"/>
  <c r="AF112" i="65"/>
  <c r="AG112" i="65"/>
  <c r="AH112" i="65"/>
  <c r="AI112" i="65"/>
  <c r="AJ112" i="65"/>
  <c r="AK112" i="65"/>
  <c r="AL112" i="65"/>
  <c r="AM112" i="65"/>
  <c r="AN112" i="65"/>
  <c r="AO112" i="65"/>
  <c r="AP112" i="65"/>
  <c r="AQ112" i="65"/>
  <c r="AR112" i="65"/>
  <c r="AS112" i="65"/>
  <c r="AT112" i="65"/>
  <c r="AU112" i="65"/>
  <c r="AW112" i="65"/>
  <c r="AX112" i="65"/>
  <c r="AY112" i="65"/>
  <c r="BA112" i="65"/>
  <c r="BC112" i="65"/>
  <c r="A113" i="65"/>
  <c r="B113" i="65"/>
  <c r="D113" i="65"/>
  <c r="E113" i="65"/>
  <c r="F113" i="65"/>
  <c r="G113" i="65"/>
  <c r="H113" i="65"/>
  <c r="J113" i="65"/>
  <c r="K113" i="65"/>
  <c r="L113" i="65"/>
  <c r="M113" i="65"/>
  <c r="O113" i="65"/>
  <c r="P113" i="65"/>
  <c r="R113" i="65"/>
  <c r="S113" i="65"/>
  <c r="T113" i="65"/>
  <c r="U113" i="65"/>
  <c r="V113" i="65"/>
  <c r="W113" i="65"/>
  <c r="X113" i="65"/>
  <c r="Z113" i="65"/>
  <c r="AA113" i="65"/>
  <c r="AB113" i="65"/>
  <c r="AC113" i="65"/>
  <c r="AD113" i="65"/>
  <c r="AE113" i="65"/>
  <c r="AF113" i="65"/>
  <c r="AG113" i="65"/>
  <c r="AH113" i="65"/>
  <c r="AI113" i="65"/>
  <c r="AJ113" i="65"/>
  <c r="AK113" i="65"/>
  <c r="AL113" i="65"/>
  <c r="AM113" i="65"/>
  <c r="AN113" i="65"/>
  <c r="AO113" i="65"/>
  <c r="AP113" i="65"/>
  <c r="AQ113" i="65"/>
  <c r="AR113" i="65"/>
  <c r="AS113" i="65"/>
  <c r="AT113" i="65"/>
  <c r="AU113" i="65"/>
  <c r="AW113" i="65"/>
  <c r="AX113" i="65"/>
  <c r="AY113" i="65"/>
  <c r="BA113" i="65"/>
  <c r="BC113" i="65"/>
  <c r="A114" i="65"/>
  <c r="B114" i="65"/>
  <c r="D114" i="65"/>
  <c r="E114" i="65"/>
  <c r="F114" i="65"/>
  <c r="G114" i="65"/>
  <c r="H114" i="65"/>
  <c r="J114" i="65"/>
  <c r="K114" i="65"/>
  <c r="L114" i="65"/>
  <c r="M114" i="65"/>
  <c r="O114" i="65"/>
  <c r="P114" i="65"/>
  <c r="R114" i="65"/>
  <c r="S114" i="65"/>
  <c r="T114" i="65"/>
  <c r="U114" i="65"/>
  <c r="V114" i="65"/>
  <c r="W114" i="65"/>
  <c r="X114" i="65"/>
  <c r="Z114" i="65"/>
  <c r="AA114" i="65"/>
  <c r="AB114" i="65"/>
  <c r="AC114" i="65"/>
  <c r="AD114" i="65"/>
  <c r="AE114" i="65"/>
  <c r="AF114" i="65"/>
  <c r="AG114" i="65"/>
  <c r="AH114" i="65"/>
  <c r="AI114" i="65"/>
  <c r="AJ114" i="65"/>
  <c r="AK114" i="65"/>
  <c r="AL114" i="65"/>
  <c r="AM114" i="65"/>
  <c r="AN114" i="65"/>
  <c r="AO114" i="65"/>
  <c r="AP114" i="65"/>
  <c r="AQ114" i="65"/>
  <c r="AR114" i="65"/>
  <c r="AS114" i="65"/>
  <c r="AT114" i="65"/>
  <c r="AU114" i="65"/>
  <c r="AW114" i="65"/>
  <c r="AX114" i="65"/>
  <c r="AY114" i="65"/>
  <c r="BA114" i="65"/>
  <c r="BC114" i="65"/>
  <c r="A115" i="65"/>
  <c r="B115" i="65"/>
  <c r="D115" i="65"/>
  <c r="E115" i="65"/>
  <c r="F115" i="65"/>
  <c r="G115" i="65"/>
  <c r="H115" i="65"/>
  <c r="J115" i="65"/>
  <c r="K115" i="65"/>
  <c r="L115" i="65"/>
  <c r="M115" i="65"/>
  <c r="O115" i="65"/>
  <c r="P115" i="65"/>
  <c r="R115" i="65"/>
  <c r="S115" i="65"/>
  <c r="T115" i="65"/>
  <c r="U115" i="65"/>
  <c r="V115" i="65"/>
  <c r="W115" i="65"/>
  <c r="X115" i="65"/>
  <c r="Z115" i="65"/>
  <c r="AA115" i="65"/>
  <c r="AB115" i="65"/>
  <c r="AC115" i="65"/>
  <c r="AD115" i="65"/>
  <c r="AE115" i="65"/>
  <c r="AF115" i="65"/>
  <c r="AG115" i="65"/>
  <c r="AH115" i="65"/>
  <c r="AI115" i="65"/>
  <c r="AJ115" i="65"/>
  <c r="AK115" i="65"/>
  <c r="AL115" i="65"/>
  <c r="AM115" i="65"/>
  <c r="AN115" i="65"/>
  <c r="AO115" i="65"/>
  <c r="AP115" i="65"/>
  <c r="AQ115" i="65"/>
  <c r="AR115" i="65"/>
  <c r="AS115" i="65"/>
  <c r="AT115" i="65"/>
  <c r="AU115" i="65"/>
  <c r="AW115" i="65"/>
  <c r="AX115" i="65"/>
  <c r="AY115" i="65"/>
  <c r="BA115" i="65"/>
  <c r="BC115" i="65"/>
  <c r="A116" i="65"/>
  <c r="B116" i="65"/>
  <c r="D116" i="65"/>
  <c r="E116" i="65"/>
  <c r="F116" i="65"/>
  <c r="G116" i="65"/>
  <c r="H116" i="65"/>
  <c r="J116" i="65"/>
  <c r="K116" i="65"/>
  <c r="L116" i="65"/>
  <c r="M116" i="65"/>
  <c r="O116" i="65"/>
  <c r="P116" i="65"/>
  <c r="R116" i="65"/>
  <c r="S116" i="65"/>
  <c r="T116" i="65"/>
  <c r="U116" i="65"/>
  <c r="V116" i="65"/>
  <c r="W116" i="65"/>
  <c r="X116" i="65"/>
  <c r="Z116" i="65"/>
  <c r="AA116" i="65"/>
  <c r="AB116" i="65"/>
  <c r="AC116" i="65"/>
  <c r="AD116" i="65"/>
  <c r="AE116" i="65"/>
  <c r="AF116" i="65"/>
  <c r="AG116" i="65"/>
  <c r="AH116" i="65"/>
  <c r="AI116" i="65"/>
  <c r="AJ116" i="65"/>
  <c r="AK116" i="65"/>
  <c r="AL116" i="65"/>
  <c r="AM116" i="65"/>
  <c r="AN116" i="65"/>
  <c r="AO116" i="65"/>
  <c r="AP116" i="65"/>
  <c r="AQ116" i="65"/>
  <c r="AR116" i="65"/>
  <c r="AS116" i="65"/>
  <c r="AT116" i="65"/>
  <c r="AU116" i="65"/>
  <c r="AW116" i="65"/>
  <c r="AX116" i="65"/>
  <c r="AY116" i="65"/>
  <c r="BA116" i="65"/>
  <c r="BC116" i="65"/>
  <c r="A117" i="65"/>
  <c r="B117" i="65"/>
  <c r="D117" i="65"/>
  <c r="E117" i="65"/>
  <c r="F117" i="65"/>
  <c r="G117" i="65"/>
  <c r="H117" i="65"/>
  <c r="J117" i="65"/>
  <c r="K117" i="65"/>
  <c r="L117" i="65"/>
  <c r="M117" i="65"/>
  <c r="O117" i="65"/>
  <c r="P117" i="65"/>
  <c r="R117" i="65"/>
  <c r="S117" i="65"/>
  <c r="T117" i="65"/>
  <c r="U117" i="65"/>
  <c r="V117" i="65"/>
  <c r="W117" i="65"/>
  <c r="X117" i="65"/>
  <c r="Z117" i="65"/>
  <c r="AA117" i="65"/>
  <c r="AB117" i="65"/>
  <c r="AC117" i="65"/>
  <c r="AD117" i="65"/>
  <c r="AE117" i="65"/>
  <c r="AF117" i="65"/>
  <c r="AG117" i="65"/>
  <c r="AH117" i="65"/>
  <c r="AI117" i="65"/>
  <c r="AJ117" i="65"/>
  <c r="AK117" i="65"/>
  <c r="AL117" i="65"/>
  <c r="AM117" i="65"/>
  <c r="AN117" i="65"/>
  <c r="AO117" i="65"/>
  <c r="AP117" i="65"/>
  <c r="AQ117" i="65"/>
  <c r="AR117" i="65"/>
  <c r="AS117" i="65"/>
  <c r="AT117" i="65"/>
  <c r="AU117" i="65"/>
  <c r="AW117" i="65"/>
  <c r="AX117" i="65"/>
  <c r="AY117" i="65"/>
  <c r="BA117" i="65"/>
  <c r="BC117" i="65"/>
  <c r="A118" i="65"/>
  <c r="B118" i="65"/>
  <c r="D118" i="65"/>
  <c r="E118" i="65"/>
  <c r="F118" i="65"/>
  <c r="G118" i="65"/>
  <c r="H118" i="65"/>
  <c r="J118" i="65"/>
  <c r="K118" i="65"/>
  <c r="L118" i="65"/>
  <c r="M118" i="65"/>
  <c r="O118" i="65"/>
  <c r="P118" i="65"/>
  <c r="R118" i="65"/>
  <c r="S118" i="65"/>
  <c r="T118" i="65"/>
  <c r="U118" i="65"/>
  <c r="V118" i="65"/>
  <c r="W118" i="65"/>
  <c r="X118" i="65"/>
  <c r="Z118" i="65"/>
  <c r="AA118" i="65"/>
  <c r="AB118" i="65"/>
  <c r="AC118" i="65"/>
  <c r="AD118" i="65"/>
  <c r="AE118" i="65"/>
  <c r="AF118" i="65"/>
  <c r="AG118" i="65"/>
  <c r="AH118" i="65"/>
  <c r="AI118" i="65"/>
  <c r="AJ118" i="65"/>
  <c r="AK118" i="65"/>
  <c r="AL118" i="65"/>
  <c r="AM118" i="65"/>
  <c r="AN118" i="65"/>
  <c r="AO118" i="65"/>
  <c r="AP118" i="65"/>
  <c r="AQ118" i="65"/>
  <c r="AR118" i="65"/>
  <c r="AS118" i="65"/>
  <c r="AT118" i="65"/>
  <c r="AU118" i="65"/>
  <c r="AW118" i="65"/>
  <c r="AX118" i="65"/>
  <c r="AY118" i="65"/>
  <c r="BA118" i="65"/>
  <c r="BC118" i="65"/>
  <c r="A119" i="65"/>
  <c r="B119" i="65"/>
  <c r="D119" i="65"/>
  <c r="E119" i="65"/>
  <c r="F119" i="65"/>
  <c r="G119" i="65"/>
  <c r="H119" i="65"/>
  <c r="J119" i="65"/>
  <c r="K119" i="65"/>
  <c r="L119" i="65"/>
  <c r="M119" i="65"/>
  <c r="O119" i="65"/>
  <c r="P119" i="65"/>
  <c r="R119" i="65"/>
  <c r="S119" i="65"/>
  <c r="T119" i="65"/>
  <c r="U119" i="65"/>
  <c r="V119" i="65"/>
  <c r="W119" i="65"/>
  <c r="X119" i="65"/>
  <c r="Z119" i="65"/>
  <c r="AA119" i="65"/>
  <c r="AB119" i="65"/>
  <c r="AC119" i="65"/>
  <c r="AD119" i="65"/>
  <c r="AE119" i="65"/>
  <c r="AF119" i="65"/>
  <c r="AG119" i="65"/>
  <c r="AH119" i="65"/>
  <c r="AI119" i="65"/>
  <c r="AJ119" i="65"/>
  <c r="AK119" i="65"/>
  <c r="AL119" i="65"/>
  <c r="AM119" i="65"/>
  <c r="AN119" i="65"/>
  <c r="AO119" i="65"/>
  <c r="AP119" i="65"/>
  <c r="AQ119" i="65"/>
  <c r="AR119" i="65"/>
  <c r="AS119" i="65"/>
  <c r="AT119" i="65"/>
  <c r="AU119" i="65"/>
  <c r="AW119" i="65"/>
  <c r="AX119" i="65"/>
  <c r="AY119" i="65"/>
  <c r="BA119" i="65"/>
  <c r="BC119" i="65"/>
  <c r="A120" i="65"/>
  <c r="B120" i="65"/>
  <c r="D120" i="65"/>
  <c r="E120" i="65"/>
  <c r="F120" i="65"/>
  <c r="G120" i="65"/>
  <c r="H120" i="65"/>
  <c r="J120" i="65"/>
  <c r="K120" i="65"/>
  <c r="L120" i="65"/>
  <c r="M120" i="65"/>
  <c r="O120" i="65"/>
  <c r="P120" i="65"/>
  <c r="R120" i="65"/>
  <c r="S120" i="65"/>
  <c r="T120" i="65"/>
  <c r="U120" i="65"/>
  <c r="V120" i="65"/>
  <c r="W120" i="65"/>
  <c r="X120" i="65"/>
  <c r="Z120" i="65"/>
  <c r="AA120" i="65"/>
  <c r="AB120" i="65"/>
  <c r="AC120" i="65"/>
  <c r="AD120" i="65"/>
  <c r="AE120" i="65"/>
  <c r="AF120" i="65"/>
  <c r="AG120" i="65"/>
  <c r="AH120" i="65"/>
  <c r="AI120" i="65"/>
  <c r="AJ120" i="65"/>
  <c r="AK120" i="65"/>
  <c r="AL120" i="65"/>
  <c r="AM120" i="65"/>
  <c r="AN120" i="65"/>
  <c r="AO120" i="65"/>
  <c r="AP120" i="65"/>
  <c r="AQ120" i="65"/>
  <c r="AR120" i="65"/>
  <c r="AS120" i="65"/>
  <c r="AT120" i="65"/>
  <c r="AU120" i="65"/>
  <c r="AW120" i="65"/>
  <c r="AX120" i="65"/>
  <c r="AY120" i="65"/>
  <c r="BA120" i="65"/>
  <c r="BC120" i="65"/>
  <c r="A121" i="65"/>
  <c r="B121" i="65"/>
  <c r="D121" i="65"/>
  <c r="E121" i="65"/>
  <c r="F121" i="65"/>
  <c r="G121" i="65"/>
  <c r="H121" i="65"/>
  <c r="J121" i="65"/>
  <c r="K121" i="65"/>
  <c r="L121" i="65"/>
  <c r="M121" i="65"/>
  <c r="O121" i="65"/>
  <c r="P121" i="65"/>
  <c r="R121" i="65"/>
  <c r="S121" i="65"/>
  <c r="T121" i="65"/>
  <c r="U121" i="65"/>
  <c r="V121" i="65"/>
  <c r="W121" i="65"/>
  <c r="X121" i="65"/>
  <c r="Z121" i="65"/>
  <c r="AA121" i="65"/>
  <c r="AB121" i="65"/>
  <c r="AC121" i="65"/>
  <c r="AD121" i="65"/>
  <c r="AE121" i="65"/>
  <c r="AF121" i="65"/>
  <c r="AG121" i="65"/>
  <c r="AH121" i="65"/>
  <c r="AI121" i="65"/>
  <c r="AJ121" i="65"/>
  <c r="AK121" i="65"/>
  <c r="AL121" i="65"/>
  <c r="AM121" i="65"/>
  <c r="AN121" i="65"/>
  <c r="AO121" i="65"/>
  <c r="AP121" i="65"/>
  <c r="AQ121" i="65"/>
  <c r="AR121" i="65"/>
  <c r="AS121" i="65"/>
  <c r="AT121" i="65"/>
  <c r="AU121" i="65"/>
  <c r="AW121" i="65"/>
  <c r="AX121" i="65"/>
  <c r="AY121" i="65"/>
  <c r="BA121" i="65"/>
  <c r="BC121" i="65"/>
  <c r="A122" i="65"/>
  <c r="B122" i="65"/>
  <c r="D122" i="65"/>
  <c r="E122" i="65"/>
  <c r="F122" i="65"/>
  <c r="G122" i="65"/>
  <c r="H122" i="65"/>
  <c r="J122" i="65"/>
  <c r="K122" i="65"/>
  <c r="L122" i="65"/>
  <c r="M122" i="65"/>
  <c r="O122" i="65"/>
  <c r="P122" i="65"/>
  <c r="R122" i="65"/>
  <c r="S122" i="65"/>
  <c r="T122" i="65"/>
  <c r="U122" i="65"/>
  <c r="V122" i="65"/>
  <c r="W122" i="65"/>
  <c r="X122" i="65"/>
  <c r="Z122" i="65"/>
  <c r="AA122" i="65"/>
  <c r="AB122" i="65"/>
  <c r="AC122" i="65"/>
  <c r="AD122" i="65"/>
  <c r="AE122" i="65"/>
  <c r="AF122" i="65"/>
  <c r="AG122" i="65"/>
  <c r="AH122" i="65"/>
  <c r="AI122" i="65"/>
  <c r="AJ122" i="65"/>
  <c r="AK122" i="65"/>
  <c r="AL122" i="65"/>
  <c r="AM122" i="65"/>
  <c r="AN122" i="65"/>
  <c r="AO122" i="65"/>
  <c r="AP122" i="65"/>
  <c r="AQ122" i="65"/>
  <c r="AR122" i="65"/>
  <c r="AS122" i="65"/>
  <c r="AT122" i="65"/>
  <c r="AU122" i="65"/>
  <c r="AW122" i="65"/>
  <c r="AX122" i="65"/>
  <c r="AY122" i="65"/>
  <c r="BA122" i="65"/>
  <c r="BC122" i="65"/>
  <c r="A123" i="65"/>
  <c r="B123" i="65"/>
  <c r="D123" i="65"/>
  <c r="E123" i="65"/>
  <c r="F123" i="65"/>
  <c r="G123" i="65"/>
  <c r="H123" i="65"/>
  <c r="J123" i="65"/>
  <c r="K123" i="65"/>
  <c r="L123" i="65"/>
  <c r="M123" i="65"/>
  <c r="O123" i="65"/>
  <c r="P123" i="65"/>
  <c r="R123" i="65"/>
  <c r="S123" i="65"/>
  <c r="T123" i="65"/>
  <c r="U123" i="65"/>
  <c r="V123" i="65"/>
  <c r="W123" i="65"/>
  <c r="X123" i="65"/>
  <c r="Z123" i="65"/>
  <c r="AA123" i="65"/>
  <c r="AB123" i="65"/>
  <c r="AC123" i="65"/>
  <c r="AD123" i="65"/>
  <c r="AE123" i="65"/>
  <c r="AF123" i="65"/>
  <c r="AG123" i="65"/>
  <c r="AH123" i="65"/>
  <c r="AI123" i="65"/>
  <c r="AJ123" i="65"/>
  <c r="AK123" i="65"/>
  <c r="AL123" i="65"/>
  <c r="AM123" i="65"/>
  <c r="AN123" i="65"/>
  <c r="AO123" i="65"/>
  <c r="AP123" i="65"/>
  <c r="AQ123" i="65"/>
  <c r="AR123" i="65"/>
  <c r="AS123" i="65"/>
  <c r="AT123" i="65"/>
  <c r="AU123" i="65"/>
  <c r="AW123" i="65"/>
  <c r="AX123" i="65"/>
  <c r="AY123" i="65"/>
  <c r="BA123" i="65"/>
  <c r="BC123" i="65"/>
  <c r="A124" i="65"/>
  <c r="B124" i="65"/>
  <c r="D124" i="65"/>
  <c r="E124" i="65"/>
  <c r="F124" i="65"/>
  <c r="G124" i="65"/>
  <c r="H124" i="65"/>
  <c r="J124" i="65"/>
  <c r="K124" i="65"/>
  <c r="L124" i="65"/>
  <c r="M124" i="65"/>
  <c r="O124" i="65"/>
  <c r="P124" i="65"/>
  <c r="R124" i="65"/>
  <c r="S124" i="65"/>
  <c r="T124" i="65"/>
  <c r="U124" i="65"/>
  <c r="V124" i="65"/>
  <c r="W124" i="65"/>
  <c r="X124" i="65"/>
  <c r="Z124" i="65"/>
  <c r="AA124" i="65"/>
  <c r="AB124" i="65"/>
  <c r="AC124" i="65"/>
  <c r="AD124" i="65"/>
  <c r="AE124" i="65"/>
  <c r="AF124" i="65"/>
  <c r="AG124" i="65"/>
  <c r="AH124" i="65"/>
  <c r="AI124" i="65"/>
  <c r="AJ124" i="65"/>
  <c r="AK124" i="65"/>
  <c r="AL124" i="65"/>
  <c r="AM124" i="65"/>
  <c r="AN124" i="65"/>
  <c r="AO124" i="65"/>
  <c r="AP124" i="65"/>
  <c r="AQ124" i="65"/>
  <c r="AR124" i="65"/>
  <c r="AS124" i="65"/>
  <c r="AT124" i="65"/>
  <c r="AU124" i="65"/>
  <c r="AW124" i="65"/>
  <c r="AX124" i="65"/>
  <c r="AY124" i="65"/>
  <c r="BA124" i="65"/>
  <c r="BC124" i="65"/>
  <c r="A125" i="65"/>
  <c r="B125" i="65"/>
  <c r="D125" i="65"/>
  <c r="E125" i="65"/>
  <c r="F125" i="65"/>
  <c r="G125" i="65"/>
  <c r="H125" i="65"/>
  <c r="J125" i="65"/>
  <c r="K125" i="65"/>
  <c r="L125" i="65"/>
  <c r="M125" i="65"/>
  <c r="O125" i="65"/>
  <c r="P125" i="65"/>
  <c r="R125" i="65"/>
  <c r="S125" i="65"/>
  <c r="T125" i="65"/>
  <c r="U125" i="65"/>
  <c r="V125" i="65"/>
  <c r="W125" i="65"/>
  <c r="X125" i="65"/>
  <c r="Z125" i="65"/>
  <c r="AA125" i="65"/>
  <c r="AB125" i="65"/>
  <c r="AC125" i="65"/>
  <c r="AD125" i="65"/>
  <c r="AE125" i="65"/>
  <c r="AF125" i="65"/>
  <c r="AG125" i="65"/>
  <c r="AH125" i="65"/>
  <c r="AI125" i="65"/>
  <c r="AJ125" i="65"/>
  <c r="AK125" i="65"/>
  <c r="AL125" i="65"/>
  <c r="AM125" i="65"/>
  <c r="AN125" i="65"/>
  <c r="AO125" i="65"/>
  <c r="AP125" i="65"/>
  <c r="AQ125" i="65"/>
  <c r="AR125" i="65"/>
  <c r="AS125" i="65"/>
  <c r="AT125" i="65"/>
  <c r="AU125" i="65"/>
  <c r="AW125" i="65"/>
  <c r="AX125" i="65"/>
  <c r="AY125" i="65"/>
  <c r="BA125" i="65"/>
  <c r="BC125" i="65"/>
  <c r="A126" i="65"/>
  <c r="B126" i="65"/>
  <c r="D126" i="65"/>
  <c r="E126" i="65"/>
  <c r="F126" i="65"/>
  <c r="G126" i="65"/>
  <c r="H126" i="65"/>
  <c r="J126" i="65"/>
  <c r="K126" i="65"/>
  <c r="L126" i="65"/>
  <c r="M126" i="65"/>
  <c r="O126" i="65"/>
  <c r="P126" i="65"/>
  <c r="R126" i="65"/>
  <c r="S126" i="65"/>
  <c r="T126" i="65"/>
  <c r="U126" i="65"/>
  <c r="V126" i="65"/>
  <c r="W126" i="65"/>
  <c r="X126" i="65"/>
  <c r="Z126" i="65"/>
  <c r="AA126" i="65"/>
  <c r="AB126" i="65"/>
  <c r="AC126" i="65"/>
  <c r="AD126" i="65"/>
  <c r="AE126" i="65"/>
  <c r="AF126" i="65"/>
  <c r="AG126" i="65"/>
  <c r="AH126" i="65"/>
  <c r="AI126" i="65"/>
  <c r="AJ126" i="65"/>
  <c r="AK126" i="65"/>
  <c r="AL126" i="65"/>
  <c r="AM126" i="65"/>
  <c r="AN126" i="65"/>
  <c r="AO126" i="65"/>
  <c r="AP126" i="65"/>
  <c r="AQ126" i="65"/>
  <c r="AR126" i="65"/>
  <c r="AS126" i="65"/>
  <c r="AT126" i="65"/>
  <c r="AU126" i="65"/>
  <c r="AW126" i="65"/>
  <c r="AX126" i="65"/>
  <c r="AY126" i="65"/>
  <c r="BA126" i="65"/>
  <c r="BC126" i="65"/>
  <c r="A127" i="65"/>
  <c r="B127" i="65"/>
  <c r="D127" i="65"/>
  <c r="E127" i="65"/>
  <c r="F127" i="65"/>
  <c r="G127" i="65"/>
  <c r="H127" i="65"/>
  <c r="J127" i="65"/>
  <c r="K127" i="65"/>
  <c r="L127" i="65"/>
  <c r="M127" i="65"/>
  <c r="O127" i="65"/>
  <c r="P127" i="65"/>
  <c r="R127" i="65"/>
  <c r="S127" i="65"/>
  <c r="T127" i="65"/>
  <c r="U127" i="65"/>
  <c r="V127" i="65"/>
  <c r="W127" i="65"/>
  <c r="X127" i="65"/>
  <c r="Z127" i="65"/>
  <c r="AA127" i="65"/>
  <c r="AB127" i="65"/>
  <c r="AC127" i="65"/>
  <c r="AD127" i="65"/>
  <c r="AE127" i="65"/>
  <c r="AF127" i="65"/>
  <c r="AG127" i="65"/>
  <c r="AH127" i="65"/>
  <c r="AI127" i="65"/>
  <c r="AJ127" i="65"/>
  <c r="AK127" i="65"/>
  <c r="AL127" i="65"/>
  <c r="AM127" i="65"/>
  <c r="AN127" i="65"/>
  <c r="AO127" i="65"/>
  <c r="AP127" i="65"/>
  <c r="AQ127" i="65"/>
  <c r="AR127" i="65"/>
  <c r="AS127" i="65"/>
  <c r="AT127" i="65"/>
  <c r="AU127" i="65"/>
  <c r="AW127" i="65"/>
  <c r="AX127" i="65"/>
  <c r="AY127" i="65"/>
  <c r="BA127" i="65"/>
  <c r="BC127" i="65"/>
  <c r="A128" i="65"/>
  <c r="B128" i="65"/>
  <c r="D128" i="65"/>
  <c r="E128" i="65"/>
  <c r="F128" i="65"/>
  <c r="G128" i="65"/>
  <c r="H128" i="65"/>
  <c r="J128" i="65"/>
  <c r="K128" i="65"/>
  <c r="L128" i="65"/>
  <c r="M128" i="65"/>
  <c r="O128" i="65"/>
  <c r="P128" i="65"/>
  <c r="R128" i="65"/>
  <c r="S128" i="65"/>
  <c r="T128" i="65"/>
  <c r="U128" i="65"/>
  <c r="V128" i="65"/>
  <c r="W128" i="65"/>
  <c r="X128" i="65"/>
  <c r="Z128" i="65"/>
  <c r="AA128" i="65"/>
  <c r="AB128" i="65"/>
  <c r="AC128" i="65"/>
  <c r="AD128" i="65"/>
  <c r="AE128" i="65"/>
  <c r="AF128" i="65"/>
  <c r="AG128" i="65"/>
  <c r="AH128" i="65"/>
  <c r="AI128" i="65"/>
  <c r="AJ128" i="65"/>
  <c r="AK128" i="65"/>
  <c r="AL128" i="65"/>
  <c r="AM128" i="65"/>
  <c r="AN128" i="65"/>
  <c r="AO128" i="65"/>
  <c r="AP128" i="65"/>
  <c r="AQ128" i="65"/>
  <c r="AR128" i="65"/>
  <c r="AS128" i="65"/>
  <c r="AT128" i="65"/>
  <c r="AU128" i="65"/>
  <c r="AW128" i="65"/>
  <c r="AX128" i="65"/>
  <c r="AY128" i="65"/>
  <c r="BA128" i="65"/>
  <c r="BC128" i="65"/>
  <c r="A129" i="65"/>
  <c r="B129" i="65"/>
  <c r="D129" i="65"/>
  <c r="E129" i="65"/>
  <c r="F129" i="65"/>
  <c r="G129" i="65"/>
  <c r="H129" i="65"/>
  <c r="J129" i="65"/>
  <c r="K129" i="65"/>
  <c r="L129" i="65"/>
  <c r="M129" i="65"/>
  <c r="O129" i="65"/>
  <c r="P129" i="65"/>
  <c r="R129" i="65"/>
  <c r="S129" i="65"/>
  <c r="T129" i="65"/>
  <c r="U129" i="65"/>
  <c r="V129" i="65"/>
  <c r="W129" i="65"/>
  <c r="X129" i="65"/>
  <c r="Z129" i="65"/>
  <c r="AA129" i="65"/>
  <c r="AB129" i="65"/>
  <c r="AC129" i="65"/>
  <c r="AD129" i="65"/>
  <c r="AE129" i="65"/>
  <c r="AF129" i="65"/>
  <c r="AG129" i="65"/>
  <c r="AH129" i="65"/>
  <c r="AI129" i="65"/>
  <c r="AJ129" i="65"/>
  <c r="AK129" i="65"/>
  <c r="AL129" i="65"/>
  <c r="AM129" i="65"/>
  <c r="AN129" i="65"/>
  <c r="AO129" i="65"/>
  <c r="AP129" i="65"/>
  <c r="AQ129" i="65"/>
  <c r="AR129" i="65"/>
  <c r="AS129" i="65"/>
  <c r="AT129" i="65"/>
  <c r="AU129" i="65"/>
  <c r="AW129" i="65"/>
  <c r="AX129" i="65"/>
  <c r="AY129" i="65"/>
  <c r="BA129" i="65"/>
  <c r="BC129" i="65"/>
  <c r="A130" i="65"/>
  <c r="B130" i="65"/>
  <c r="D130" i="65"/>
  <c r="E130" i="65"/>
  <c r="F130" i="65"/>
  <c r="G130" i="65"/>
  <c r="H130" i="65"/>
  <c r="J130" i="65"/>
  <c r="K130" i="65"/>
  <c r="L130" i="65"/>
  <c r="M130" i="65"/>
  <c r="O130" i="65"/>
  <c r="P130" i="65"/>
  <c r="R130" i="65"/>
  <c r="S130" i="65"/>
  <c r="T130" i="65"/>
  <c r="U130" i="65"/>
  <c r="V130" i="65"/>
  <c r="W130" i="65"/>
  <c r="X130" i="65"/>
  <c r="Z130" i="65"/>
  <c r="AA130" i="65"/>
  <c r="AB130" i="65"/>
  <c r="AC130" i="65"/>
  <c r="AD130" i="65"/>
  <c r="AE130" i="65"/>
  <c r="AF130" i="65"/>
  <c r="AG130" i="65"/>
  <c r="AH130" i="65"/>
  <c r="AI130" i="65"/>
  <c r="AJ130" i="65"/>
  <c r="AK130" i="65"/>
  <c r="AL130" i="65"/>
  <c r="AM130" i="65"/>
  <c r="AN130" i="65"/>
  <c r="AO130" i="65"/>
  <c r="AP130" i="65"/>
  <c r="AQ130" i="65"/>
  <c r="AR130" i="65"/>
  <c r="AS130" i="65"/>
  <c r="AT130" i="65"/>
  <c r="AU130" i="65"/>
  <c r="AW130" i="65"/>
  <c r="AX130" i="65"/>
  <c r="AY130" i="65"/>
  <c r="BA130" i="65"/>
  <c r="BC130" i="65"/>
  <c r="A131" i="65"/>
  <c r="B131" i="65"/>
  <c r="D131" i="65"/>
  <c r="E131" i="65"/>
  <c r="F131" i="65"/>
  <c r="G131" i="65"/>
  <c r="H131" i="65"/>
  <c r="J131" i="65"/>
  <c r="K131" i="65"/>
  <c r="L131" i="65"/>
  <c r="M131" i="65"/>
  <c r="O131" i="65"/>
  <c r="P131" i="65"/>
  <c r="R131" i="65"/>
  <c r="S131" i="65"/>
  <c r="T131" i="65"/>
  <c r="U131" i="65"/>
  <c r="V131" i="65"/>
  <c r="W131" i="65"/>
  <c r="X131" i="65"/>
  <c r="Z131" i="65"/>
  <c r="AA131" i="65"/>
  <c r="AB131" i="65"/>
  <c r="AC131" i="65"/>
  <c r="AD131" i="65"/>
  <c r="AE131" i="65"/>
  <c r="AF131" i="65"/>
  <c r="AG131" i="65"/>
  <c r="AH131" i="65"/>
  <c r="AI131" i="65"/>
  <c r="AJ131" i="65"/>
  <c r="AK131" i="65"/>
  <c r="AL131" i="65"/>
  <c r="AM131" i="65"/>
  <c r="AN131" i="65"/>
  <c r="AO131" i="65"/>
  <c r="AP131" i="65"/>
  <c r="AQ131" i="65"/>
  <c r="AR131" i="65"/>
  <c r="AS131" i="65"/>
  <c r="AT131" i="65"/>
  <c r="AU131" i="65"/>
  <c r="AW131" i="65"/>
  <c r="AX131" i="65"/>
  <c r="AY131" i="65"/>
  <c r="BA131" i="65"/>
  <c r="BC131" i="65"/>
  <c r="A132" i="65"/>
  <c r="B132" i="65"/>
  <c r="D132" i="65"/>
  <c r="E132" i="65"/>
  <c r="F132" i="65"/>
  <c r="G132" i="65"/>
  <c r="H132" i="65"/>
  <c r="J132" i="65"/>
  <c r="K132" i="65"/>
  <c r="L132" i="65"/>
  <c r="M132" i="65"/>
  <c r="O132" i="65"/>
  <c r="P132" i="65"/>
  <c r="R132" i="65"/>
  <c r="S132" i="65"/>
  <c r="T132" i="65"/>
  <c r="U132" i="65"/>
  <c r="V132" i="65"/>
  <c r="W132" i="65"/>
  <c r="X132" i="65"/>
  <c r="Z132" i="65"/>
  <c r="AA132" i="65"/>
  <c r="AB132" i="65"/>
  <c r="AC132" i="65"/>
  <c r="AD132" i="65"/>
  <c r="AE132" i="65"/>
  <c r="AF132" i="65"/>
  <c r="AG132" i="65"/>
  <c r="AH132" i="65"/>
  <c r="AI132" i="65"/>
  <c r="AJ132" i="65"/>
  <c r="AK132" i="65"/>
  <c r="AL132" i="65"/>
  <c r="AM132" i="65"/>
  <c r="AN132" i="65"/>
  <c r="AO132" i="65"/>
  <c r="AP132" i="65"/>
  <c r="AQ132" i="65"/>
  <c r="AR132" i="65"/>
  <c r="AS132" i="65"/>
  <c r="AT132" i="65"/>
  <c r="AU132" i="65"/>
  <c r="AW132" i="65"/>
  <c r="AX132" i="65"/>
  <c r="AY132" i="65"/>
  <c r="BA132" i="65"/>
  <c r="BC132" i="65"/>
  <c r="A133" i="65"/>
  <c r="B133" i="65"/>
  <c r="D133" i="65"/>
  <c r="E133" i="65"/>
  <c r="F133" i="65"/>
  <c r="G133" i="65"/>
  <c r="H133" i="65"/>
  <c r="J133" i="65"/>
  <c r="K133" i="65"/>
  <c r="L133" i="65"/>
  <c r="M133" i="65"/>
  <c r="O133" i="65"/>
  <c r="P133" i="65"/>
  <c r="R133" i="65"/>
  <c r="S133" i="65"/>
  <c r="T133" i="65"/>
  <c r="U133" i="65"/>
  <c r="V133" i="65"/>
  <c r="W133" i="65"/>
  <c r="X133" i="65"/>
  <c r="Z133" i="65"/>
  <c r="AA133" i="65"/>
  <c r="AB133" i="65"/>
  <c r="AC133" i="65"/>
  <c r="AD133" i="65"/>
  <c r="AE133" i="65"/>
  <c r="AF133" i="65"/>
  <c r="AG133" i="65"/>
  <c r="AH133" i="65"/>
  <c r="AI133" i="65"/>
  <c r="AJ133" i="65"/>
  <c r="AK133" i="65"/>
  <c r="AL133" i="65"/>
  <c r="AM133" i="65"/>
  <c r="AN133" i="65"/>
  <c r="AO133" i="65"/>
  <c r="AP133" i="65"/>
  <c r="AQ133" i="65"/>
  <c r="AR133" i="65"/>
  <c r="AS133" i="65"/>
  <c r="AT133" i="65"/>
  <c r="AU133" i="65"/>
  <c r="AW133" i="65"/>
  <c r="AX133" i="65"/>
  <c r="AY133" i="65"/>
  <c r="BA133" i="65"/>
  <c r="BC133" i="65"/>
  <c r="A134" i="65"/>
  <c r="B134" i="65"/>
  <c r="D134" i="65"/>
  <c r="E134" i="65"/>
  <c r="F134" i="65"/>
  <c r="G134" i="65"/>
  <c r="H134" i="65"/>
  <c r="J134" i="65"/>
  <c r="K134" i="65"/>
  <c r="L134" i="65"/>
  <c r="M134" i="65"/>
  <c r="O134" i="65"/>
  <c r="P134" i="65"/>
  <c r="R134" i="65"/>
  <c r="S134" i="65"/>
  <c r="T134" i="65"/>
  <c r="U134" i="65"/>
  <c r="V134" i="65"/>
  <c r="W134" i="65"/>
  <c r="X134" i="65"/>
  <c r="Z134" i="65"/>
  <c r="AA134" i="65"/>
  <c r="AB134" i="65"/>
  <c r="AC134" i="65"/>
  <c r="AD134" i="65"/>
  <c r="AE134" i="65"/>
  <c r="AF134" i="65"/>
  <c r="AG134" i="65"/>
  <c r="AH134" i="65"/>
  <c r="AI134" i="65"/>
  <c r="AJ134" i="65"/>
  <c r="AK134" i="65"/>
  <c r="AL134" i="65"/>
  <c r="AM134" i="65"/>
  <c r="AN134" i="65"/>
  <c r="AO134" i="65"/>
  <c r="AP134" i="65"/>
  <c r="AQ134" i="65"/>
  <c r="AR134" i="65"/>
  <c r="AS134" i="65"/>
  <c r="AT134" i="65"/>
  <c r="AU134" i="65"/>
  <c r="AW134" i="65"/>
  <c r="AX134" i="65"/>
  <c r="AY134" i="65"/>
  <c r="BA134" i="65"/>
  <c r="BC134" i="65"/>
  <c r="A135" i="65"/>
  <c r="B135" i="65"/>
  <c r="D135" i="65"/>
  <c r="E135" i="65"/>
  <c r="F135" i="65"/>
  <c r="G135" i="65"/>
  <c r="H135" i="65"/>
  <c r="J135" i="65"/>
  <c r="K135" i="65"/>
  <c r="L135" i="65"/>
  <c r="M135" i="65"/>
  <c r="O135" i="65"/>
  <c r="P135" i="65"/>
  <c r="R135" i="65"/>
  <c r="S135" i="65"/>
  <c r="T135" i="65"/>
  <c r="U135" i="65"/>
  <c r="V135" i="65"/>
  <c r="W135" i="65"/>
  <c r="X135" i="65"/>
  <c r="Z135" i="65"/>
  <c r="AA135" i="65"/>
  <c r="AB135" i="65"/>
  <c r="AC135" i="65"/>
  <c r="AD135" i="65"/>
  <c r="AE135" i="65"/>
  <c r="AF135" i="65"/>
  <c r="AG135" i="65"/>
  <c r="AH135" i="65"/>
  <c r="AI135" i="65"/>
  <c r="AJ135" i="65"/>
  <c r="AK135" i="65"/>
  <c r="AL135" i="65"/>
  <c r="AM135" i="65"/>
  <c r="AN135" i="65"/>
  <c r="AO135" i="65"/>
  <c r="AP135" i="65"/>
  <c r="AQ135" i="65"/>
  <c r="AR135" i="65"/>
  <c r="AS135" i="65"/>
  <c r="AT135" i="65"/>
  <c r="AU135" i="65"/>
  <c r="AW135" i="65"/>
  <c r="AX135" i="65"/>
  <c r="AY135" i="65"/>
  <c r="BA135" i="65"/>
  <c r="BC135" i="65"/>
  <c r="A136" i="65"/>
  <c r="B136" i="65"/>
  <c r="D136" i="65"/>
  <c r="E136" i="65"/>
  <c r="F136" i="65"/>
  <c r="G136" i="65"/>
  <c r="H136" i="65"/>
  <c r="J136" i="65"/>
  <c r="K136" i="65"/>
  <c r="L136" i="65"/>
  <c r="M136" i="65"/>
  <c r="O136" i="65"/>
  <c r="P136" i="65"/>
  <c r="R136" i="65"/>
  <c r="S136" i="65"/>
  <c r="T136" i="65"/>
  <c r="U136" i="65"/>
  <c r="V136" i="65"/>
  <c r="W136" i="65"/>
  <c r="X136" i="65"/>
  <c r="Z136" i="65"/>
  <c r="AA136" i="65"/>
  <c r="AB136" i="65"/>
  <c r="AC136" i="65"/>
  <c r="AD136" i="65"/>
  <c r="AE136" i="65"/>
  <c r="AF136" i="65"/>
  <c r="AG136" i="65"/>
  <c r="AH136" i="65"/>
  <c r="AI136" i="65"/>
  <c r="AJ136" i="65"/>
  <c r="AK136" i="65"/>
  <c r="AL136" i="65"/>
  <c r="AM136" i="65"/>
  <c r="AN136" i="65"/>
  <c r="AO136" i="65"/>
  <c r="AP136" i="65"/>
  <c r="AQ136" i="65"/>
  <c r="AR136" i="65"/>
  <c r="AS136" i="65"/>
  <c r="AT136" i="65"/>
  <c r="AU136" i="65"/>
  <c r="AW136" i="65"/>
  <c r="AX136" i="65"/>
  <c r="AY136" i="65"/>
  <c r="BA136" i="65"/>
  <c r="BC136" i="65"/>
  <c r="A137" i="65"/>
  <c r="B137" i="65"/>
  <c r="D137" i="65"/>
  <c r="E137" i="65"/>
  <c r="F137" i="65"/>
  <c r="G137" i="65"/>
  <c r="H137" i="65"/>
  <c r="J137" i="65"/>
  <c r="K137" i="65"/>
  <c r="L137" i="65"/>
  <c r="M137" i="65"/>
  <c r="O137" i="65"/>
  <c r="P137" i="65"/>
  <c r="R137" i="65"/>
  <c r="S137" i="65"/>
  <c r="T137" i="65"/>
  <c r="U137" i="65"/>
  <c r="V137" i="65"/>
  <c r="W137" i="65"/>
  <c r="X137" i="65"/>
  <c r="Z137" i="65"/>
  <c r="AA137" i="65"/>
  <c r="AB137" i="65"/>
  <c r="AC137" i="65"/>
  <c r="AD137" i="65"/>
  <c r="AE137" i="65"/>
  <c r="AF137" i="65"/>
  <c r="AG137" i="65"/>
  <c r="AH137" i="65"/>
  <c r="AI137" i="65"/>
  <c r="AJ137" i="65"/>
  <c r="AK137" i="65"/>
  <c r="AL137" i="65"/>
  <c r="AM137" i="65"/>
  <c r="AN137" i="65"/>
  <c r="AO137" i="65"/>
  <c r="AP137" i="65"/>
  <c r="AQ137" i="65"/>
  <c r="AR137" i="65"/>
  <c r="AS137" i="65"/>
  <c r="AT137" i="65"/>
  <c r="AU137" i="65"/>
  <c r="AW137" i="65"/>
  <c r="AX137" i="65"/>
  <c r="AY137" i="65"/>
  <c r="BA137" i="65"/>
  <c r="BC137" i="65"/>
  <c r="A138" i="65"/>
  <c r="B138" i="65"/>
  <c r="D138" i="65"/>
  <c r="E138" i="65"/>
  <c r="F138" i="65"/>
  <c r="G138" i="65"/>
  <c r="H138" i="65"/>
  <c r="J138" i="65"/>
  <c r="K138" i="65"/>
  <c r="L138" i="65"/>
  <c r="M138" i="65"/>
  <c r="O138" i="65"/>
  <c r="P138" i="65"/>
  <c r="R138" i="65"/>
  <c r="S138" i="65"/>
  <c r="T138" i="65"/>
  <c r="U138" i="65"/>
  <c r="V138" i="65"/>
  <c r="W138" i="65"/>
  <c r="X138" i="65"/>
  <c r="Z138" i="65"/>
  <c r="AA138" i="65"/>
  <c r="AB138" i="65"/>
  <c r="AC138" i="65"/>
  <c r="AD138" i="65"/>
  <c r="AE138" i="65"/>
  <c r="AF138" i="65"/>
  <c r="AG138" i="65"/>
  <c r="AH138" i="65"/>
  <c r="AI138" i="65"/>
  <c r="AJ138" i="65"/>
  <c r="AK138" i="65"/>
  <c r="AL138" i="65"/>
  <c r="AM138" i="65"/>
  <c r="AN138" i="65"/>
  <c r="AO138" i="65"/>
  <c r="AP138" i="65"/>
  <c r="AQ138" i="65"/>
  <c r="AR138" i="65"/>
  <c r="AS138" i="65"/>
  <c r="AT138" i="65"/>
  <c r="AU138" i="65"/>
  <c r="AW138" i="65"/>
  <c r="AX138" i="65"/>
  <c r="AY138" i="65"/>
  <c r="BA138" i="65"/>
  <c r="BC138" i="65"/>
  <c r="A139" i="65"/>
  <c r="B139" i="65"/>
  <c r="D139" i="65"/>
  <c r="E139" i="65"/>
  <c r="F139" i="65"/>
  <c r="G139" i="65"/>
  <c r="H139" i="65"/>
  <c r="J139" i="65"/>
  <c r="K139" i="65"/>
  <c r="L139" i="65"/>
  <c r="M139" i="65"/>
  <c r="O139" i="65"/>
  <c r="P139" i="65"/>
  <c r="R139" i="65"/>
  <c r="S139" i="65"/>
  <c r="T139" i="65"/>
  <c r="U139" i="65"/>
  <c r="V139" i="65"/>
  <c r="W139" i="65"/>
  <c r="X139" i="65"/>
  <c r="Z139" i="65"/>
  <c r="AA139" i="65"/>
  <c r="AB139" i="65"/>
  <c r="AC139" i="65"/>
  <c r="AD139" i="65"/>
  <c r="AE139" i="65"/>
  <c r="AF139" i="65"/>
  <c r="AG139" i="65"/>
  <c r="AH139" i="65"/>
  <c r="AI139" i="65"/>
  <c r="AJ139" i="65"/>
  <c r="AK139" i="65"/>
  <c r="AL139" i="65"/>
  <c r="AM139" i="65"/>
  <c r="AN139" i="65"/>
  <c r="AO139" i="65"/>
  <c r="AP139" i="65"/>
  <c r="AQ139" i="65"/>
  <c r="AR139" i="65"/>
  <c r="AS139" i="65"/>
  <c r="AT139" i="65"/>
  <c r="AU139" i="65"/>
  <c r="AW139" i="65"/>
  <c r="AX139" i="65"/>
  <c r="AY139" i="65"/>
  <c r="BA139" i="65"/>
  <c r="BC139" i="65"/>
  <c r="A140" i="65"/>
  <c r="B140" i="65"/>
  <c r="D140" i="65"/>
  <c r="E140" i="65"/>
  <c r="F140" i="65"/>
  <c r="G140" i="65"/>
  <c r="H140" i="65"/>
  <c r="J140" i="65"/>
  <c r="K140" i="65"/>
  <c r="L140" i="65"/>
  <c r="M140" i="65"/>
  <c r="O140" i="65"/>
  <c r="P140" i="65"/>
  <c r="R140" i="65"/>
  <c r="S140" i="65"/>
  <c r="T140" i="65"/>
  <c r="U140" i="65"/>
  <c r="V140" i="65"/>
  <c r="W140" i="65"/>
  <c r="X140" i="65"/>
  <c r="Z140" i="65"/>
  <c r="AA140" i="65"/>
  <c r="AB140" i="65"/>
  <c r="AC140" i="65"/>
  <c r="AD140" i="65"/>
  <c r="AE140" i="65"/>
  <c r="AF140" i="65"/>
  <c r="AG140" i="65"/>
  <c r="AH140" i="65"/>
  <c r="AI140" i="65"/>
  <c r="AJ140" i="65"/>
  <c r="AK140" i="65"/>
  <c r="AL140" i="65"/>
  <c r="AM140" i="65"/>
  <c r="AN140" i="65"/>
  <c r="AO140" i="65"/>
  <c r="AP140" i="65"/>
  <c r="AQ140" i="65"/>
  <c r="AR140" i="65"/>
  <c r="AS140" i="65"/>
  <c r="AT140" i="65"/>
  <c r="AU140" i="65"/>
  <c r="AW140" i="65"/>
  <c r="AX140" i="65"/>
  <c r="AY140" i="65"/>
  <c r="BA140" i="65"/>
  <c r="BC140" i="65"/>
  <c r="A141" i="65"/>
  <c r="B141" i="65"/>
  <c r="D141" i="65"/>
  <c r="E141" i="65"/>
  <c r="F141" i="65"/>
  <c r="G141" i="65"/>
  <c r="H141" i="65"/>
  <c r="J141" i="65"/>
  <c r="K141" i="65"/>
  <c r="L141" i="65"/>
  <c r="M141" i="65"/>
  <c r="O141" i="65"/>
  <c r="P141" i="65"/>
  <c r="R141" i="65"/>
  <c r="S141" i="65"/>
  <c r="T141" i="65"/>
  <c r="U141" i="65"/>
  <c r="V141" i="65"/>
  <c r="W141" i="65"/>
  <c r="X141" i="65"/>
  <c r="Z141" i="65"/>
  <c r="AA141" i="65"/>
  <c r="AB141" i="65"/>
  <c r="AC141" i="65"/>
  <c r="AD141" i="65"/>
  <c r="AE141" i="65"/>
  <c r="AF141" i="65"/>
  <c r="AG141" i="65"/>
  <c r="AH141" i="65"/>
  <c r="AI141" i="65"/>
  <c r="AJ141" i="65"/>
  <c r="AK141" i="65"/>
  <c r="AL141" i="65"/>
  <c r="AM141" i="65"/>
  <c r="AN141" i="65"/>
  <c r="AO141" i="65"/>
  <c r="AP141" i="65"/>
  <c r="AQ141" i="65"/>
  <c r="AR141" i="65"/>
  <c r="AS141" i="65"/>
  <c r="AT141" i="65"/>
  <c r="AU141" i="65"/>
  <c r="AW141" i="65"/>
  <c r="AX141" i="65"/>
  <c r="AY141" i="65"/>
  <c r="BA141" i="65"/>
  <c r="BC141" i="65"/>
  <c r="A142" i="65"/>
  <c r="B142" i="65"/>
  <c r="D142" i="65"/>
  <c r="E142" i="65"/>
  <c r="F142" i="65"/>
  <c r="G142" i="65"/>
  <c r="H142" i="65"/>
  <c r="J142" i="65"/>
  <c r="K142" i="65"/>
  <c r="L142" i="65"/>
  <c r="M142" i="65"/>
  <c r="O142" i="65"/>
  <c r="P142" i="65"/>
  <c r="R142" i="65"/>
  <c r="S142" i="65"/>
  <c r="T142" i="65"/>
  <c r="U142" i="65"/>
  <c r="V142" i="65"/>
  <c r="W142" i="65"/>
  <c r="X142" i="65"/>
  <c r="Z142" i="65"/>
  <c r="AA142" i="65"/>
  <c r="AB142" i="65"/>
  <c r="AC142" i="65"/>
  <c r="AD142" i="65"/>
  <c r="AE142" i="65"/>
  <c r="AF142" i="65"/>
  <c r="AG142" i="65"/>
  <c r="AH142" i="65"/>
  <c r="AI142" i="65"/>
  <c r="AJ142" i="65"/>
  <c r="AK142" i="65"/>
  <c r="AL142" i="65"/>
  <c r="AM142" i="65"/>
  <c r="AN142" i="65"/>
  <c r="AO142" i="65"/>
  <c r="AP142" i="65"/>
  <c r="AQ142" i="65"/>
  <c r="AR142" i="65"/>
  <c r="AS142" i="65"/>
  <c r="AT142" i="65"/>
  <c r="AU142" i="65"/>
  <c r="AW142" i="65"/>
  <c r="AX142" i="65"/>
  <c r="AY142" i="65"/>
  <c r="BA142" i="65"/>
  <c r="BC142" i="65"/>
  <c r="A143" i="65"/>
  <c r="B143" i="65"/>
  <c r="D143" i="65"/>
  <c r="E143" i="65"/>
  <c r="F143" i="65"/>
  <c r="G143" i="65"/>
  <c r="H143" i="65"/>
  <c r="J143" i="65"/>
  <c r="K143" i="65"/>
  <c r="L143" i="65"/>
  <c r="M143" i="65"/>
  <c r="O143" i="65"/>
  <c r="P143" i="65"/>
  <c r="R143" i="65"/>
  <c r="S143" i="65"/>
  <c r="T143" i="65"/>
  <c r="U143" i="65"/>
  <c r="V143" i="65"/>
  <c r="W143" i="65"/>
  <c r="X143" i="65"/>
  <c r="Z143" i="65"/>
  <c r="AA143" i="65"/>
  <c r="AB143" i="65"/>
  <c r="AC143" i="65"/>
  <c r="AD143" i="65"/>
  <c r="AE143" i="65"/>
  <c r="AF143" i="65"/>
  <c r="AG143" i="65"/>
  <c r="AH143" i="65"/>
  <c r="AI143" i="65"/>
  <c r="AJ143" i="65"/>
  <c r="AK143" i="65"/>
  <c r="AL143" i="65"/>
  <c r="AM143" i="65"/>
  <c r="AN143" i="65"/>
  <c r="AO143" i="65"/>
  <c r="AP143" i="65"/>
  <c r="AQ143" i="65"/>
  <c r="AR143" i="65"/>
  <c r="AS143" i="65"/>
  <c r="AT143" i="65"/>
  <c r="AU143" i="65"/>
  <c r="AW143" i="65"/>
  <c r="AX143" i="65"/>
  <c r="AY143" i="65"/>
  <c r="BA143" i="65"/>
  <c r="BC143" i="65"/>
  <c r="A144" i="65"/>
  <c r="B144" i="65"/>
  <c r="D144" i="65"/>
  <c r="E144" i="65"/>
  <c r="F144" i="65"/>
  <c r="G144" i="65"/>
  <c r="H144" i="65"/>
  <c r="J144" i="65"/>
  <c r="K144" i="65"/>
  <c r="L144" i="65"/>
  <c r="M144" i="65"/>
  <c r="O144" i="65"/>
  <c r="P144" i="65"/>
  <c r="R144" i="65"/>
  <c r="S144" i="65"/>
  <c r="T144" i="65"/>
  <c r="U144" i="65"/>
  <c r="V144" i="65"/>
  <c r="W144" i="65"/>
  <c r="X144" i="65"/>
  <c r="Z144" i="65"/>
  <c r="AA144" i="65"/>
  <c r="AB144" i="65"/>
  <c r="AC144" i="65"/>
  <c r="AD144" i="65"/>
  <c r="AE144" i="65"/>
  <c r="AF144" i="65"/>
  <c r="AG144" i="65"/>
  <c r="AH144" i="65"/>
  <c r="AI144" i="65"/>
  <c r="AJ144" i="65"/>
  <c r="AK144" i="65"/>
  <c r="AL144" i="65"/>
  <c r="AM144" i="65"/>
  <c r="AN144" i="65"/>
  <c r="AO144" i="65"/>
  <c r="AP144" i="65"/>
  <c r="AQ144" i="65"/>
  <c r="AR144" i="65"/>
  <c r="AS144" i="65"/>
  <c r="AT144" i="65"/>
  <c r="AU144" i="65"/>
  <c r="AW144" i="65"/>
  <c r="AX144" i="65"/>
  <c r="AY144" i="65"/>
  <c r="BA144" i="65"/>
  <c r="BC144" i="65"/>
  <c r="A145" i="65"/>
  <c r="B145" i="65"/>
  <c r="D145" i="65"/>
  <c r="E145" i="65"/>
  <c r="F145" i="65"/>
  <c r="G145" i="65"/>
  <c r="H145" i="65"/>
  <c r="J145" i="65"/>
  <c r="K145" i="65"/>
  <c r="L145" i="65"/>
  <c r="M145" i="65"/>
  <c r="O145" i="65"/>
  <c r="P145" i="65"/>
  <c r="R145" i="65"/>
  <c r="S145" i="65"/>
  <c r="T145" i="65"/>
  <c r="U145" i="65"/>
  <c r="V145" i="65"/>
  <c r="W145" i="65"/>
  <c r="X145" i="65"/>
  <c r="Z145" i="65"/>
  <c r="AA145" i="65"/>
  <c r="AB145" i="65"/>
  <c r="AC145" i="65"/>
  <c r="AD145" i="65"/>
  <c r="AE145" i="65"/>
  <c r="AF145" i="65"/>
  <c r="AG145" i="65"/>
  <c r="AH145" i="65"/>
  <c r="AI145" i="65"/>
  <c r="AJ145" i="65"/>
  <c r="AK145" i="65"/>
  <c r="AL145" i="65"/>
  <c r="AM145" i="65"/>
  <c r="AN145" i="65"/>
  <c r="AO145" i="65"/>
  <c r="AP145" i="65"/>
  <c r="AQ145" i="65"/>
  <c r="AR145" i="65"/>
  <c r="AS145" i="65"/>
  <c r="AT145" i="65"/>
  <c r="AU145" i="65"/>
  <c r="AW145" i="65"/>
  <c r="AX145" i="65"/>
  <c r="AY145" i="65"/>
  <c r="BA145" i="65"/>
  <c r="BC145" i="65"/>
  <c r="A146" i="65"/>
  <c r="B146" i="65"/>
  <c r="D146" i="65"/>
  <c r="E146" i="65"/>
  <c r="F146" i="65"/>
  <c r="G146" i="65"/>
  <c r="H146" i="65"/>
  <c r="J146" i="65"/>
  <c r="K146" i="65"/>
  <c r="L146" i="65"/>
  <c r="M146" i="65"/>
  <c r="O146" i="65"/>
  <c r="P146" i="65"/>
  <c r="R146" i="65"/>
  <c r="S146" i="65"/>
  <c r="T146" i="65"/>
  <c r="U146" i="65"/>
  <c r="V146" i="65"/>
  <c r="W146" i="65"/>
  <c r="X146" i="65"/>
  <c r="Z146" i="65"/>
  <c r="AA146" i="65"/>
  <c r="AB146" i="65"/>
  <c r="AC146" i="65"/>
  <c r="AD146" i="65"/>
  <c r="AE146" i="65"/>
  <c r="AF146" i="65"/>
  <c r="AG146" i="65"/>
  <c r="AH146" i="65"/>
  <c r="AI146" i="65"/>
  <c r="AJ146" i="65"/>
  <c r="AK146" i="65"/>
  <c r="AL146" i="65"/>
  <c r="AM146" i="65"/>
  <c r="AN146" i="65"/>
  <c r="AO146" i="65"/>
  <c r="AP146" i="65"/>
  <c r="AQ146" i="65"/>
  <c r="AR146" i="65"/>
  <c r="AS146" i="65"/>
  <c r="AT146" i="65"/>
  <c r="AU146" i="65"/>
  <c r="AW146" i="65"/>
  <c r="AX146" i="65"/>
  <c r="AY146" i="65"/>
  <c r="BA146" i="65"/>
  <c r="BC146" i="65"/>
  <c r="A147" i="65"/>
  <c r="B147" i="65"/>
  <c r="D147" i="65"/>
  <c r="E147" i="65"/>
  <c r="F147" i="65"/>
  <c r="G147" i="65"/>
  <c r="H147" i="65"/>
  <c r="J147" i="65"/>
  <c r="K147" i="65"/>
  <c r="L147" i="65"/>
  <c r="M147" i="65"/>
  <c r="O147" i="65"/>
  <c r="P147" i="65"/>
  <c r="R147" i="65"/>
  <c r="S147" i="65"/>
  <c r="T147" i="65"/>
  <c r="U147" i="65"/>
  <c r="V147" i="65"/>
  <c r="W147" i="65"/>
  <c r="X147" i="65"/>
  <c r="Z147" i="65"/>
  <c r="AA147" i="65"/>
  <c r="AB147" i="65"/>
  <c r="AC147" i="65"/>
  <c r="AD147" i="65"/>
  <c r="AE147" i="65"/>
  <c r="AF147" i="65"/>
  <c r="AG147" i="65"/>
  <c r="AH147" i="65"/>
  <c r="AI147" i="65"/>
  <c r="AJ147" i="65"/>
  <c r="AK147" i="65"/>
  <c r="AL147" i="65"/>
  <c r="AM147" i="65"/>
  <c r="AN147" i="65"/>
  <c r="AO147" i="65"/>
  <c r="AP147" i="65"/>
  <c r="AQ147" i="65"/>
  <c r="AR147" i="65"/>
  <c r="AS147" i="65"/>
  <c r="AT147" i="65"/>
  <c r="AU147" i="65"/>
  <c r="AW147" i="65"/>
  <c r="AX147" i="65"/>
  <c r="AY147" i="65"/>
  <c r="BA147" i="65"/>
  <c r="BC147" i="65"/>
  <c r="A148" i="65"/>
  <c r="B148" i="65"/>
  <c r="D148" i="65"/>
  <c r="E148" i="65"/>
  <c r="F148" i="65"/>
  <c r="G148" i="65"/>
  <c r="H148" i="65"/>
  <c r="J148" i="65"/>
  <c r="K148" i="65"/>
  <c r="L148" i="65"/>
  <c r="M148" i="65"/>
  <c r="O148" i="65"/>
  <c r="P148" i="65"/>
  <c r="R148" i="65"/>
  <c r="S148" i="65"/>
  <c r="T148" i="65"/>
  <c r="U148" i="65"/>
  <c r="V148" i="65"/>
  <c r="W148" i="65"/>
  <c r="X148" i="65"/>
  <c r="Z148" i="65"/>
  <c r="AA148" i="65"/>
  <c r="AB148" i="65"/>
  <c r="AC148" i="65"/>
  <c r="AD148" i="65"/>
  <c r="AE148" i="65"/>
  <c r="AF148" i="65"/>
  <c r="AG148" i="65"/>
  <c r="AH148" i="65"/>
  <c r="AI148" i="65"/>
  <c r="AJ148" i="65"/>
  <c r="AK148" i="65"/>
  <c r="AL148" i="65"/>
  <c r="AM148" i="65"/>
  <c r="AN148" i="65"/>
  <c r="AO148" i="65"/>
  <c r="AP148" i="65"/>
  <c r="AQ148" i="65"/>
  <c r="AR148" i="65"/>
  <c r="AS148" i="65"/>
  <c r="AT148" i="65"/>
  <c r="AU148" i="65"/>
  <c r="AW148" i="65"/>
  <c r="AX148" i="65"/>
  <c r="AY148" i="65"/>
  <c r="BA148" i="65"/>
  <c r="BC148" i="65"/>
  <c r="A149" i="65"/>
  <c r="B149" i="65"/>
  <c r="D149" i="65"/>
  <c r="E149" i="65"/>
  <c r="F149" i="65"/>
  <c r="G149" i="65"/>
  <c r="H149" i="65"/>
  <c r="J149" i="65"/>
  <c r="K149" i="65"/>
  <c r="L149" i="65"/>
  <c r="M149" i="65"/>
  <c r="O149" i="65"/>
  <c r="P149" i="65"/>
  <c r="R149" i="65"/>
  <c r="S149" i="65"/>
  <c r="T149" i="65"/>
  <c r="U149" i="65"/>
  <c r="V149" i="65"/>
  <c r="W149" i="65"/>
  <c r="X149" i="65"/>
  <c r="Z149" i="65"/>
  <c r="AA149" i="65"/>
  <c r="AB149" i="65"/>
  <c r="AC149" i="65"/>
  <c r="AD149" i="65"/>
  <c r="AE149" i="65"/>
  <c r="AF149" i="65"/>
  <c r="AG149" i="65"/>
  <c r="AH149" i="65"/>
  <c r="AI149" i="65"/>
  <c r="AJ149" i="65"/>
  <c r="AK149" i="65"/>
  <c r="AL149" i="65"/>
  <c r="AM149" i="65"/>
  <c r="AN149" i="65"/>
  <c r="AO149" i="65"/>
  <c r="AP149" i="65"/>
  <c r="AQ149" i="65"/>
  <c r="AR149" i="65"/>
  <c r="AS149" i="65"/>
  <c r="AT149" i="65"/>
  <c r="AU149" i="65"/>
  <c r="AW149" i="65"/>
  <c r="AX149" i="65"/>
  <c r="AY149" i="65"/>
  <c r="BA149" i="65"/>
  <c r="BC149" i="65"/>
  <c r="A150" i="65"/>
  <c r="B150" i="65"/>
  <c r="D150" i="65"/>
  <c r="E150" i="65"/>
  <c r="F150" i="65"/>
  <c r="G150" i="65"/>
  <c r="H150" i="65"/>
  <c r="J150" i="65"/>
  <c r="K150" i="65"/>
  <c r="L150" i="65"/>
  <c r="M150" i="65"/>
  <c r="O150" i="65"/>
  <c r="P150" i="65"/>
  <c r="R150" i="65"/>
  <c r="S150" i="65"/>
  <c r="T150" i="65"/>
  <c r="U150" i="65"/>
  <c r="V150" i="65"/>
  <c r="W150" i="65"/>
  <c r="X150" i="65"/>
  <c r="Z150" i="65"/>
  <c r="AA150" i="65"/>
  <c r="AB150" i="65"/>
  <c r="AC150" i="65"/>
  <c r="AD150" i="65"/>
  <c r="AE150" i="65"/>
  <c r="AF150" i="65"/>
  <c r="AG150" i="65"/>
  <c r="AH150" i="65"/>
  <c r="AI150" i="65"/>
  <c r="AJ150" i="65"/>
  <c r="AK150" i="65"/>
  <c r="AL150" i="65"/>
  <c r="AM150" i="65"/>
  <c r="AN150" i="65"/>
  <c r="AO150" i="65"/>
  <c r="AP150" i="65"/>
  <c r="AQ150" i="65"/>
  <c r="AR150" i="65"/>
  <c r="AS150" i="65"/>
  <c r="AT150" i="65"/>
  <c r="AU150" i="65"/>
  <c r="AW150" i="65"/>
  <c r="AX150" i="65"/>
  <c r="AY150" i="65"/>
  <c r="BA150" i="65"/>
  <c r="BC150" i="65"/>
  <c r="A151" i="65"/>
  <c r="B151" i="65"/>
  <c r="D151" i="65"/>
  <c r="E151" i="65"/>
  <c r="F151" i="65"/>
  <c r="G151" i="65"/>
  <c r="H151" i="65"/>
  <c r="J151" i="65"/>
  <c r="K151" i="65"/>
  <c r="L151" i="65"/>
  <c r="M151" i="65"/>
  <c r="O151" i="65"/>
  <c r="P151" i="65"/>
  <c r="R151" i="65"/>
  <c r="S151" i="65"/>
  <c r="T151" i="65"/>
  <c r="U151" i="65"/>
  <c r="V151" i="65"/>
  <c r="W151" i="65"/>
  <c r="X151" i="65"/>
  <c r="Z151" i="65"/>
  <c r="AA151" i="65"/>
  <c r="AB151" i="65"/>
  <c r="AC151" i="65"/>
  <c r="AD151" i="65"/>
  <c r="AE151" i="65"/>
  <c r="AF151" i="65"/>
  <c r="AG151" i="65"/>
  <c r="AH151" i="65"/>
  <c r="AI151" i="65"/>
  <c r="AJ151" i="65"/>
  <c r="AK151" i="65"/>
  <c r="AL151" i="65"/>
  <c r="AM151" i="65"/>
  <c r="AN151" i="65"/>
  <c r="AO151" i="65"/>
  <c r="AP151" i="65"/>
  <c r="AQ151" i="65"/>
  <c r="AR151" i="65"/>
  <c r="AS151" i="65"/>
  <c r="AT151" i="65"/>
  <c r="AU151" i="65"/>
  <c r="AW151" i="65"/>
  <c r="AX151" i="65"/>
  <c r="AY151" i="65"/>
  <c r="BA151" i="65"/>
  <c r="BC151" i="65"/>
  <c r="A152" i="65"/>
  <c r="B152" i="65"/>
  <c r="D152" i="65"/>
  <c r="E152" i="65"/>
  <c r="F152" i="65"/>
  <c r="G152" i="65"/>
  <c r="H152" i="65"/>
  <c r="J152" i="65"/>
  <c r="K152" i="65"/>
  <c r="L152" i="65"/>
  <c r="M152" i="65"/>
  <c r="O152" i="65"/>
  <c r="P152" i="65"/>
  <c r="R152" i="65"/>
  <c r="S152" i="65"/>
  <c r="T152" i="65"/>
  <c r="U152" i="65"/>
  <c r="V152" i="65"/>
  <c r="W152" i="65"/>
  <c r="X152" i="65"/>
  <c r="Z152" i="65"/>
  <c r="AA152" i="65"/>
  <c r="AB152" i="65"/>
  <c r="AC152" i="65"/>
  <c r="AD152" i="65"/>
  <c r="AE152" i="65"/>
  <c r="AF152" i="65"/>
  <c r="AG152" i="65"/>
  <c r="AH152" i="65"/>
  <c r="AI152" i="65"/>
  <c r="AJ152" i="65"/>
  <c r="AK152" i="65"/>
  <c r="AL152" i="65"/>
  <c r="AM152" i="65"/>
  <c r="AN152" i="65"/>
  <c r="AO152" i="65"/>
  <c r="AP152" i="65"/>
  <c r="AQ152" i="65"/>
  <c r="AR152" i="65"/>
  <c r="AS152" i="65"/>
  <c r="AT152" i="65"/>
  <c r="AU152" i="65"/>
  <c r="AW152" i="65"/>
  <c r="AX152" i="65"/>
  <c r="AY152" i="65"/>
  <c r="BA152" i="65"/>
  <c r="BC152" i="65"/>
  <c r="A153" i="65"/>
  <c r="B153" i="65"/>
  <c r="D153" i="65"/>
  <c r="E153" i="65"/>
  <c r="F153" i="65"/>
  <c r="G153" i="65"/>
  <c r="H153" i="65"/>
  <c r="J153" i="65"/>
  <c r="K153" i="65"/>
  <c r="L153" i="65"/>
  <c r="M153" i="65"/>
  <c r="O153" i="65"/>
  <c r="P153" i="65"/>
  <c r="R153" i="65"/>
  <c r="S153" i="65"/>
  <c r="T153" i="65"/>
  <c r="U153" i="65"/>
  <c r="V153" i="65"/>
  <c r="W153" i="65"/>
  <c r="X153" i="65"/>
  <c r="Z153" i="65"/>
  <c r="AA153" i="65"/>
  <c r="AB153" i="65"/>
  <c r="AC153" i="65"/>
  <c r="AD153" i="65"/>
  <c r="AE153" i="65"/>
  <c r="AF153" i="65"/>
  <c r="AG153" i="65"/>
  <c r="AH153" i="65"/>
  <c r="AI153" i="65"/>
  <c r="AJ153" i="65"/>
  <c r="AK153" i="65"/>
  <c r="AL153" i="65"/>
  <c r="AM153" i="65"/>
  <c r="AN153" i="65"/>
  <c r="AO153" i="65"/>
  <c r="AP153" i="65"/>
  <c r="AQ153" i="65"/>
  <c r="AR153" i="65"/>
  <c r="AS153" i="65"/>
  <c r="AT153" i="65"/>
  <c r="AU153" i="65"/>
  <c r="AW153" i="65"/>
  <c r="AX153" i="65"/>
  <c r="AY153" i="65"/>
  <c r="BA153" i="65"/>
  <c r="BC153" i="65"/>
  <c r="A154" i="65"/>
  <c r="B154" i="65"/>
  <c r="D154" i="65"/>
  <c r="E154" i="65"/>
  <c r="F154" i="65"/>
  <c r="G154" i="65"/>
  <c r="H154" i="65"/>
  <c r="J154" i="65"/>
  <c r="K154" i="65"/>
  <c r="L154" i="65"/>
  <c r="M154" i="65"/>
  <c r="O154" i="65"/>
  <c r="P154" i="65"/>
  <c r="R154" i="65"/>
  <c r="S154" i="65"/>
  <c r="T154" i="65"/>
  <c r="U154" i="65"/>
  <c r="V154" i="65"/>
  <c r="W154" i="65"/>
  <c r="X154" i="65"/>
  <c r="Z154" i="65"/>
  <c r="AA154" i="65"/>
  <c r="AB154" i="65"/>
  <c r="AC154" i="65"/>
  <c r="AD154" i="65"/>
  <c r="AE154" i="65"/>
  <c r="AF154" i="65"/>
  <c r="AG154" i="65"/>
  <c r="AH154" i="65"/>
  <c r="AI154" i="65"/>
  <c r="AJ154" i="65"/>
  <c r="AK154" i="65"/>
  <c r="AL154" i="65"/>
  <c r="AM154" i="65"/>
  <c r="AN154" i="65"/>
  <c r="AO154" i="65"/>
  <c r="AP154" i="65"/>
  <c r="AQ154" i="65"/>
  <c r="AR154" i="65"/>
  <c r="AS154" i="65"/>
  <c r="AT154" i="65"/>
  <c r="AU154" i="65"/>
  <c r="AW154" i="65"/>
  <c r="AX154" i="65"/>
  <c r="AY154" i="65"/>
  <c r="BA154" i="65"/>
  <c r="BC154" i="65"/>
  <c r="A155" i="65"/>
  <c r="B155" i="65"/>
  <c r="D155" i="65"/>
  <c r="E155" i="65"/>
  <c r="F155" i="65"/>
  <c r="G155" i="65"/>
  <c r="H155" i="65"/>
  <c r="J155" i="65"/>
  <c r="K155" i="65"/>
  <c r="L155" i="65"/>
  <c r="M155" i="65"/>
  <c r="O155" i="65"/>
  <c r="P155" i="65"/>
  <c r="R155" i="65"/>
  <c r="S155" i="65"/>
  <c r="T155" i="65"/>
  <c r="U155" i="65"/>
  <c r="V155" i="65"/>
  <c r="W155" i="65"/>
  <c r="X155" i="65"/>
  <c r="Z155" i="65"/>
  <c r="AA155" i="65"/>
  <c r="AB155" i="65"/>
  <c r="AC155" i="65"/>
  <c r="AD155" i="65"/>
  <c r="AE155" i="65"/>
  <c r="AF155" i="65"/>
  <c r="AG155" i="65"/>
  <c r="AH155" i="65"/>
  <c r="AI155" i="65"/>
  <c r="AJ155" i="65"/>
  <c r="AK155" i="65"/>
  <c r="AL155" i="65"/>
  <c r="AM155" i="65"/>
  <c r="AN155" i="65"/>
  <c r="AO155" i="65"/>
  <c r="AP155" i="65"/>
  <c r="AQ155" i="65"/>
  <c r="AR155" i="65"/>
  <c r="AS155" i="65"/>
  <c r="AT155" i="65"/>
  <c r="AU155" i="65"/>
  <c r="AW155" i="65"/>
  <c r="AX155" i="65"/>
  <c r="AY155" i="65"/>
  <c r="BA155" i="65"/>
  <c r="BC155" i="65"/>
  <c r="A156" i="65"/>
  <c r="B156" i="65"/>
  <c r="D156" i="65"/>
  <c r="E156" i="65"/>
  <c r="F156" i="65"/>
  <c r="G156" i="65"/>
  <c r="H156" i="65"/>
  <c r="J156" i="65"/>
  <c r="K156" i="65"/>
  <c r="L156" i="65"/>
  <c r="M156" i="65"/>
  <c r="O156" i="65"/>
  <c r="P156" i="65"/>
  <c r="R156" i="65"/>
  <c r="S156" i="65"/>
  <c r="T156" i="65"/>
  <c r="U156" i="65"/>
  <c r="V156" i="65"/>
  <c r="W156" i="65"/>
  <c r="X156" i="65"/>
  <c r="Z156" i="65"/>
  <c r="AA156" i="65"/>
  <c r="AB156" i="65"/>
  <c r="AC156" i="65"/>
  <c r="AD156" i="65"/>
  <c r="AE156" i="65"/>
  <c r="AF156" i="65"/>
  <c r="AG156" i="65"/>
  <c r="AH156" i="65"/>
  <c r="AI156" i="65"/>
  <c r="AJ156" i="65"/>
  <c r="AK156" i="65"/>
  <c r="AL156" i="65"/>
  <c r="AM156" i="65"/>
  <c r="AN156" i="65"/>
  <c r="AO156" i="65"/>
  <c r="AP156" i="65"/>
  <c r="AQ156" i="65"/>
  <c r="AR156" i="65"/>
  <c r="AS156" i="65"/>
  <c r="AT156" i="65"/>
  <c r="AU156" i="65"/>
  <c r="AW156" i="65"/>
  <c r="AX156" i="65"/>
  <c r="AY156" i="65"/>
  <c r="BA156" i="65"/>
  <c r="BC156" i="65"/>
  <c r="A157" i="65"/>
  <c r="B157" i="65"/>
  <c r="D157" i="65"/>
  <c r="E157" i="65"/>
  <c r="F157" i="65"/>
  <c r="G157" i="65"/>
  <c r="H157" i="65"/>
  <c r="J157" i="65"/>
  <c r="K157" i="65"/>
  <c r="L157" i="65"/>
  <c r="M157" i="65"/>
  <c r="O157" i="65"/>
  <c r="P157" i="65"/>
  <c r="R157" i="65"/>
  <c r="S157" i="65"/>
  <c r="T157" i="65"/>
  <c r="U157" i="65"/>
  <c r="V157" i="65"/>
  <c r="W157" i="65"/>
  <c r="X157" i="65"/>
  <c r="Z157" i="65"/>
  <c r="AA157" i="65"/>
  <c r="AB157" i="65"/>
  <c r="AC157" i="65"/>
  <c r="AD157" i="65"/>
  <c r="AE157" i="65"/>
  <c r="AF157" i="65"/>
  <c r="AG157" i="65"/>
  <c r="AH157" i="65"/>
  <c r="AI157" i="65"/>
  <c r="AJ157" i="65"/>
  <c r="AK157" i="65"/>
  <c r="AL157" i="65"/>
  <c r="AM157" i="65"/>
  <c r="AN157" i="65"/>
  <c r="AO157" i="65"/>
  <c r="AP157" i="65"/>
  <c r="AQ157" i="65"/>
  <c r="AR157" i="65"/>
  <c r="AS157" i="65"/>
  <c r="AT157" i="65"/>
  <c r="AU157" i="65"/>
  <c r="AW157" i="65"/>
  <c r="AX157" i="65"/>
  <c r="AY157" i="65"/>
  <c r="BA157" i="65"/>
  <c r="BC157" i="65"/>
  <c r="A158" i="65"/>
  <c r="B158" i="65"/>
  <c r="D158" i="65"/>
  <c r="E158" i="65"/>
  <c r="F158" i="65"/>
  <c r="G158" i="65"/>
  <c r="H158" i="65"/>
  <c r="J158" i="65"/>
  <c r="K158" i="65"/>
  <c r="L158" i="65"/>
  <c r="M158" i="65"/>
  <c r="O158" i="65"/>
  <c r="P158" i="65"/>
  <c r="R158" i="65"/>
  <c r="S158" i="65"/>
  <c r="T158" i="65"/>
  <c r="U158" i="65"/>
  <c r="V158" i="65"/>
  <c r="W158" i="65"/>
  <c r="X158" i="65"/>
  <c r="Z158" i="65"/>
  <c r="AA158" i="65"/>
  <c r="AB158" i="65"/>
  <c r="AC158" i="65"/>
  <c r="AD158" i="65"/>
  <c r="AE158" i="65"/>
  <c r="AF158" i="65"/>
  <c r="AG158" i="65"/>
  <c r="AH158" i="65"/>
  <c r="AI158" i="65"/>
  <c r="AJ158" i="65"/>
  <c r="AK158" i="65"/>
  <c r="AL158" i="65"/>
  <c r="AM158" i="65"/>
  <c r="AN158" i="65"/>
  <c r="AO158" i="65"/>
  <c r="AP158" i="65"/>
  <c r="AQ158" i="65"/>
  <c r="AR158" i="65"/>
  <c r="AS158" i="65"/>
  <c r="AT158" i="65"/>
  <c r="AU158" i="65"/>
  <c r="AW158" i="65"/>
  <c r="AX158" i="65"/>
  <c r="AY158" i="65"/>
  <c r="BA158" i="65"/>
  <c r="BC158" i="65"/>
  <c r="A159" i="65"/>
  <c r="B159" i="65"/>
  <c r="D159" i="65"/>
  <c r="E159" i="65"/>
  <c r="F159" i="65"/>
  <c r="G159" i="65"/>
  <c r="H159" i="65"/>
  <c r="J159" i="65"/>
  <c r="K159" i="65"/>
  <c r="L159" i="65"/>
  <c r="M159" i="65"/>
  <c r="O159" i="65"/>
  <c r="P159" i="65"/>
  <c r="R159" i="65"/>
  <c r="S159" i="65"/>
  <c r="T159" i="65"/>
  <c r="U159" i="65"/>
  <c r="V159" i="65"/>
  <c r="W159" i="65"/>
  <c r="X159" i="65"/>
  <c r="Z159" i="65"/>
  <c r="AA159" i="65"/>
  <c r="AB159" i="65"/>
  <c r="AC159" i="65"/>
  <c r="AD159" i="65"/>
  <c r="AE159" i="65"/>
  <c r="AF159" i="65"/>
  <c r="AG159" i="65"/>
  <c r="AH159" i="65"/>
  <c r="AI159" i="65"/>
  <c r="AJ159" i="65"/>
  <c r="AK159" i="65"/>
  <c r="AL159" i="65"/>
  <c r="AM159" i="65"/>
  <c r="AN159" i="65"/>
  <c r="AO159" i="65"/>
  <c r="AP159" i="65"/>
  <c r="AQ159" i="65"/>
  <c r="AR159" i="65"/>
  <c r="AS159" i="65"/>
  <c r="AT159" i="65"/>
  <c r="AU159" i="65"/>
  <c r="AW159" i="65"/>
  <c r="AX159" i="65"/>
  <c r="AY159" i="65"/>
  <c r="BA159" i="65"/>
  <c r="BC159" i="65"/>
  <c r="A160" i="65"/>
  <c r="B160" i="65"/>
  <c r="D160" i="65"/>
  <c r="E160" i="65"/>
  <c r="F160" i="65"/>
  <c r="G160" i="65"/>
  <c r="H160" i="65"/>
  <c r="J160" i="65"/>
  <c r="K160" i="65"/>
  <c r="L160" i="65"/>
  <c r="M160" i="65"/>
  <c r="O160" i="65"/>
  <c r="P160" i="65"/>
  <c r="R160" i="65"/>
  <c r="S160" i="65"/>
  <c r="T160" i="65"/>
  <c r="U160" i="65"/>
  <c r="V160" i="65"/>
  <c r="W160" i="65"/>
  <c r="X160" i="65"/>
  <c r="Z160" i="65"/>
  <c r="AA160" i="65"/>
  <c r="AB160" i="65"/>
  <c r="AC160" i="65"/>
  <c r="AD160" i="65"/>
  <c r="AE160" i="65"/>
  <c r="AF160" i="65"/>
  <c r="AG160" i="65"/>
  <c r="AH160" i="65"/>
  <c r="AI160" i="65"/>
  <c r="AJ160" i="65"/>
  <c r="AK160" i="65"/>
  <c r="AL160" i="65"/>
  <c r="AM160" i="65"/>
  <c r="AN160" i="65"/>
  <c r="AO160" i="65"/>
  <c r="AP160" i="65"/>
  <c r="AQ160" i="65"/>
  <c r="AR160" i="65"/>
  <c r="AS160" i="65"/>
  <c r="AT160" i="65"/>
  <c r="AU160" i="65"/>
  <c r="AW160" i="65"/>
  <c r="AX160" i="65"/>
  <c r="AY160" i="65"/>
  <c r="BA160" i="65"/>
  <c r="BC160" i="65"/>
  <c r="A161" i="65"/>
  <c r="B161" i="65"/>
  <c r="D161" i="65"/>
  <c r="E161" i="65"/>
  <c r="F161" i="65"/>
  <c r="G161" i="65"/>
  <c r="H161" i="65"/>
  <c r="J161" i="65"/>
  <c r="K161" i="65"/>
  <c r="L161" i="65"/>
  <c r="M161" i="65"/>
  <c r="O161" i="65"/>
  <c r="P161" i="65"/>
  <c r="R161" i="65"/>
  <c r="S161" i="65"/>
  <c r="T161" i="65"/>
  <c r="U161" i="65"/>
  <c r="V161" i="65"/>
  <c r="W161" i="65"/>
  <c r="X161" i="65"/>
  <c r="Z161" i="65"/>
  <c r="AA161" i="65"/>
  <c r="AB161" i="65"/>
  <c r="AC161" i="65"/>
  <c r="AD161" i="65"/>
  <c r="AE161" i="65"/>
  <c r="AF161" i="65"/>
  <c r="AG161" i="65"/>
  <c r="AH161" i="65"/>
  <c r="AI161" i="65"/>
  <c r="AJ161" i="65"/>
  <c r="AK161" i="65"/>
  <c r="AL161" i="65"/>
  <c r="AM161" i="65"/>
  <c r="AN161" i="65"/>
  <c r="AO161" i="65"/>
  <c r="AP161" i="65"/>
  <c r="AQ161" i="65"/>
  <c r="AR161" i="65"/>
  <c r="AS161" i="65"/>
  <c r="AT161" i="65"/>
  <c r="AU161" i="65"/>
  <c r="AW161" i="65"/>
  <c r="AX161" i="65"/>
  <c r="AY161" i="65"/>
  <c r="BA161" i="65"/>
  <c r="BC161" i="65"/>
  <c r="A162" i="65"/>
  <c r="B162" i="65"/>
  <c r="D162" i="65"/>
  <c r="E162" i="65"/>
  <c r="F162" i="65"/>
  <c r="G162" i="65"/>
  <c r="H162" i="65"/>
  <c r="J162" i="65"/>
  <c r="K162" i="65"/>
  <c r="L162" i="65"/>
  <c r="M162" i="65"/>
  <c r="O162" i="65"/>
  <c r="P162" i="65"/>
  <c r="R162" i="65"/>
  <c r="S162" i="65"/>
  <c r="T162" i="65"/>
  <c r="U162" i="65"/>
  <c r="V162" i="65"/>
  <c r="W162" i="65"/>
  <c r="X162" i="65"/>
  <c r="Z162" i="65"/>
  <c r="AA162" i="65"/>
  <c r="AB162" i="65"/>
  <c r="AC162" i="65"/>
  <c r="AD162" i="65"/>
  <c r="AE162" i="65"/>
  <c r="AF162" i="65"/>
  <c r="AG162" i="65"/>
  <c r="AH162" i="65"/>
  <c r="AI162" i="65"/>
  <c r="AJ162" i="65"/>
  <c r="AK162" i="65"/>
  <c r="AL162" i="65"/>
  <c r="AM162" i="65"/>
  <c r="AN162" i="65"/>
  <c r="AO162" i="65"/>
  <c r="AP162" i="65"/>
  <c r="AQ162" i="65"/>
  <c r="AR162" i="65"/>
  <c r="AS162" i="65"/>
  <c r="AT162" i="65"/>
  <c r="AU162" i="65"/>
  <c r="AW162" i="65"/>
  <c r="AX162" i="65"/>
  <c r="AY162" i="65"/>
  <c r="BA162" i="65"/>
  <c r="BC162" i="65"/>
  <c r="A163" i="65"/>
  <c r="B163" i="65"/>
  <c r="D163" i="65"/>
  <c r="E163" i="65"/>
  <c r="F163" i="65"/>
  <c r="G163" i="65"/>
  <c r="H163" i="65"/>
  <c r="J163" i="65"/>
  <c r="K163" i="65"/>
  <c r="L163" i="65"/>
  <c r="M163" i="65"/>
  <c r="O163" i="65"/>
  <c r="P163" i="65"/>
  <c r="R163" i="65"/>
  <c r="S163" i="65"/>
  <c r="T163" i="65"/>
  <c r="U163" i="65"/>
  <c r="V163" i="65"/>
  <c r="W163" i="65"/>
  <c r="X163" i="65"/>
  <c r="Z163" i="65"/>
  <c r="AA163" i="65"/>
  <c r="AB163" i="65"/>
  <c r="AC163" i="65"/>
  <c r="AD163" i="65"/>
  <c r="AE163" i="65"/>
  <c r="AF163" i="65"/>
  <c r="AG163" i="65"/>
  <c r="AH163" i="65"/>
  <c r="AI163" i="65"/>
  <c r="AJ163" i="65"/>
  <c r="AK163" i="65"/>
  <c r="AL163" i="65"/>
  <c r="AM163" i="65"/>
  <c r="AN163" i="65"/>
  <c r="AO163" i="65"/>
  <c r="AP163" i="65"/>
  <c r="AQ163" i="65"/>
  <c r="AR163" i="65"/>
  <c r="AS163" i="65"/>
  <c r="AT163" i="65"/>
  <c r="AU163" i="65"/>
  <c r="AW163" i="65"/>
  <c r="AX163" i="65"/>
  <c r="AY163" i="65"/>
  <c r="BA163" i="65"/>
  <c r="BC163" i="65"/>
  <c r="A164" i="65"/>
  <c r="B164" i="65"/>
  <c r="D164" i="65"/>
  <c r="E164" i="65"/>
  <c r="F164" i="65"/>
  <c r="G164" i="65"/>
  <c r="H164" i="65"/>
  <c r="J164" i="65"/>
  <c r="K164" i="65"/>
  <c r="L164" i="65"/>
  <c r="M164" i="65"/>
  <c r="O164" i="65"/>
  <c r="P164" i="65"/>
  <c r="R164" i="65"/>
  <c r="S164" i="65"/>
  <c r="T164" i="65"/>
  <c r="U164" i="65"/>
  <c r="V164" i="65"/>
  <c r="W164" i="65"/>
  <c r="X164" i="65"/>
  <c r="Z164" i="65"/>
  <c r="AA164" i="65"/>
  <c r="AB164" i="65"/>
  <c r="AC164" i="65"/>
  <c r="AD164" i="65"/>
  <c r="AE164" i="65"/>
  <c r="AF164" i="65"/>
  <c r="AG164" i="65"/>
  <c r="AH164" i="65"/>
  <c r="AI164" i="65"/>
  <c r="AJ164" i="65"/>
  <c r="AK164" i="65"/>
  <c r="AL164" i="65"/>
  <c r="AM164" i="65"/>
  <c r="AN164" i="65"/>
  <c r="AO164" i="65"/>
  <c r="AP164" i="65"/>
  <c r="AQ164" i="65"/>
  <c r="AR164" i="65"/>
  <c r="AS164" i="65"/>
  <c r="AT164" i="65"/>
  <c r="AU164" i="65"/>
  <c r="AW164" i="65"/>
  <c r="AX164" i="65"/>
  <c r="AY164" i="65"/>
  <c r="BA164" i="65"/>
  <c r="BC164" i="65"/>
  <c r="A165" i="65"/>
  <c r="B165" i="65"/>
  <c r="D165" i="65"/>
  <c r="E165" i="65"/>
  <c r="F165" i="65"/>
  <c r="G165" i="65"/>
  <c r="H165" i="65"/>
  <c r="J165" i="65"/>
  <c r="K165" i="65"/>
  <c r="L165" i="65"/>
  <c r="M165" i="65"/>
  <c r="O165" i="65"/>
  <c r="P165" i="65"/>
  <c r="R165" i="65"/>
  <c r="S165" i="65"/>
  <c r="T165" i="65"/>
  <c r="U165" i="65"/>
  <c r="V165" i="65"/>
  <c r="W165" i="65"/>
  <c r="X165" i="65"/>
  <c r="Z165" i="65"/>
  <c r="AA165" i="65"/>
  <c r="AB165" i="65"/>
  <c r="AC165" i="65"/>
  <c r="AD165" i="65"/>
  <c r="AE165" i="65"/>
  <c r="AF165" i="65"/>
  <c r="AG165" i="65"/>
  <c r="AH165" i="65"/>
  <c r="AI165" i="65"/>
  <c r="AJ165" i="65"/>
  <c r="AK165" i="65"/>
  <c r="AL165" i="65"/>
  <c r="AM165" i="65"/>
  <c r="AN165" i="65"/>
  <c r="AO165" i="65"/>
  <c r="AP165" i="65"/>
  <c r="AQ165" i="65"/>
  <c r="AR165" i="65"/>
  <c r="AS165" i="65"/>
  <c r="AT165" i="65"/>
  <c r="AU165" i="65"/>
  <c r="AW165" i="65"/>
  <c r="AX165" i="65"/>
  <c r="AY165" i="65"/>
  <c r="BA165" i="65"/>
  <c r="BC165" i="65"/>
  <c r="A166" i="65"/>
  <c r="B166" i="65"/>
  <c r="D166" i="65"/>
  <c r="E166" i="65"/>
  <c r="F166" i="65"/>
  <c r="G166" i="65"/>
  <c r="H166" i="65"/>
  <c r="J166" i="65"/>
  <c r="K166" i="65"/>
  <c r="L166" i="65"/>
  <c r="M166" i="65"/>
  <c r="O166" i="65"/>
  <c r="P166" i="65"/>
  <c r="R166" i="65"/>
  <c r="S166" i="65"/>
  <c r="T166" i="65"/>
  <c r="U166" i="65"/>
  <c r="V166" i="65"/>
  <c r="W166" i="65"/>
  <c r="X166" i="65"/>
  <c r="Z166" i="65"/>
  <c r="AA166" i="65"/>
  <c r="AB166" i="65"/>
  <c r="AC166" i="65"/>
  <c r="AD166" i="65"/>
  <c r="AE166" i="65"/>
  <c r="AF166" i="65"/>
  <c r="AG166" i="65"/>
  <c r="AH166" i="65"/>
  <c r="AI166" i="65"/>
  <c r="AJ166" i="65"/>
  <c r="AK166" i="65"/>
  <c r="AL166" i="65"/>
  <c r="AM166" i="65"/>
  <c r="AN166" i="65"/>
  <c r="AO166" i="65"/>
  <c r="AP166" i="65"/>
  <c r="AQ166" i="65"/>
  <c r="AR166" i="65"/>
  <c r="AS166" i="65"/>
  <c r="AT166" i="65"/>
  <c r="AU166" i="65"/>
  <c r="AW166" i="65"/>
  <c r="AX166" i="65"/>
  <c r="AY166" i="65"/>
  <c r="BA166" i="65"/>
  <c r="BC166" i="65"/>
  <c r="A167" i="65"/>
  <c r="B167" i="65"/>
  <c r="D167" i="65"/>
  <c r="E167" i="65"/>
  <c r="F167" i="65"/>
  <c r="G167" i="65"/>
  <c r="H167" i="65"/>
  <c r="J167" i="65"/>
  <c r="K167" i="65"/>
  <c r="L167" i="65"/>
  <c r="M167" i="65"/>
  <c r="O167" i="65"/>
  <c r="P167" i="65"/>
  <c r="R167" i="65"/>
  <c r="S167" i="65"/>
  <c r="T167" i="65"/>
  <c r="U167" i="65"/>
  <c r="V167" i="65"/>
  <c r="W167" i="65"/>
  <c r="X167" i="65"/>
  <c r="Z167" i="65"/>
  <c r="AA167" i="65"/>
  <c r="AB167" i="65"/>
  <c r="AC167" i="65"/>
  <c r="AD167" i="65"/>
  <c r="AE167" i="65"/>
  <c r="AF167" i="65"/>
  <c r="AG167" i="65"/>
  <c r="AH167" i="65"/>
  <c r="AI167" i="65"/>
  <c r="AJ167" i="65"/>
  <c r="AK167" i="65"/>
  <c r="AL167" i="65"/>
  <c r="AM167" i="65"/>
  <c r="AN167" i="65"/>
  <c r="AO167" i="65"/>
  <c r="AP167" i="65"/>
  <c r="AQ167" i="65"/>
  <c r="AR167" i="65"/>
  <c r="AS167" i="65"/>
  <c r="AT167" i="65"/>
  <c r="AU167" i="65"/>
  <c r="AW167" i="65"/>
  <c r="AX167" i="65"/>
  <c r="AY167" i="65"/>
  <c r="BA167" i="65"/>
  <c r="BC167" i="65"/>
  <c r="A168" i="65"/>
  <c r="B168" i="65"/>
  <c r="D168" i="65"/>
  <c r="E168" i="65"/>
  <c r="F168" i="65"/>
  <c r="G168" i="65"/>
  <c r="H168" i="65"/>
  <c r="J168" i="65"/>
  <c r="K168" i="65"/>
  <c r="L168" i="65"/>
  <c r="M168" i="65"/>
  <c r="O168" i="65"/>
  <c r="P168" i="65"/>
  <c r="R168" i="65"/>
  <c r="S168" i="65"/>
  <c r="T168" i="65"/>
  <c r="U168" i="65"/>
  <c r="V168" i="65"/>
  <c r="W168" i="65"/>
  <c r="X168" i="65"/>
  <c r="Z168" i="65"/>
  <c r="AA168" i="65"/>
  <c r="AB168" i="65"/>
  <c r="AC168" i="65"/>
  <c r="AD168" i="65"/>
  <c r="AE168" i="65"/>
  <c r="AF168" i="65"/>
  <c r="AG168" i="65"/>
  <c r="AH168" i="65"/>
  <c r="AI168" i="65"/>
  <c r="AJ168" i="65"/>
  <c r="AK168" i="65"/>
  <c r="AL168" i="65"/>
  <c r="AM168" i="65"/>
  <c r="AN168" i="65"/>
  <c r="AO168" i="65"/>
  <c r="AP168" i="65"/>
  <c r="AQ168" i="65"/>
  <c r="AR168" i="65"/>
  <c r="AS168" i="65"/>
  <c r="AT168" i="65"/>
  <c r="AU168" i="65"/>
  <c r="AW168" i="65"/>
  <c r="AX168" i="65"/>
  <c r="AY168" i="65"/>
  <c r="BA168" i="65"/>
  <c r="BC168" i="65"/>
  <c r="A169" i="65"/>
  <c r="B169" i="65"/>
  <c r="D169" i="65"/>
  <c r="E169" i="65"/>
  <c r="F169" i="65"/>
  <c r="G169" i="65"/>
  <c r="H169" i="65"/>
  <c r="J169" i="65"/>
  <c r="K169" i="65"/>
  <c r="L169" i="65"/>
  <c r="M169" i="65"/>
  <c r="O169" i="65"/>
  <c r="P169" i="65"/>
  <c r="R169" i="65"/>
  <c r="S169" i="65"/>
  <c r="T169" i="65"/>
  <c r="U169" i="65"/>
  <c r="V169" i="65"/>
  <c r="W169" i="65"/>
  <c r="X169" i="65"/>
  <c r="Z169" i="65"/>
  <c r="AA169" i="65"/>
  <c r="AB169" i="65"/>
  <c r="AC169" i="65"/>
  <c r="AD169" i="65"/>
  <c r="AE169" i="65"/>
  <c r="AF169" i="65"/>
  <c r="AG169" i="65"/>
  <c r="AH169" i="65"/>
  <c r="AI169" i="65"/>
  <c r="AJ169" i="65"/>
  <c r="AK169" i="65"/>
  <c r="AL169" i="65"/>
  <c r="AM169" i="65"/>
  <c r="AN169" i="65"/>
  <c r="AO169" i="65"/>
  <c r="AP169" i="65"/>
  <c r="AQ169" i="65"/>
  <c r="AR169" i="65"/>
  <c r="AS169" i="65"/>
  <c r="AT169" i="65"/>
  <c r="AU169" i="65"/>
  <c r="AW169" i="65"/>
  <c r="AX169" i="65"/>
  <c r="AY169" i="65"/>
  <c r="BA169" i="65"/>
  <c r="BC169" i="65"/>
  <c r="A170" i="65"/>
  <c r="B170" i="65"/>
  <c r="D170" i="65"/>
  <c r="E170" i="65"/>
  <c r="F170" i="65"/>
  <c r="G170" i="65"/>
  <c r="H170" i="65"/>
  <c r="J170" i="65"/>
  <c r="K170" i="65"/>
  <c r="L170" i="65"/>
  <c r="M170" i="65"/>
  <c r="O170" i="65"/>
  <c r="P170" i="65"/>
  <c r="R170" i="65"/>
  <c r="S170" i="65"/>
  <c r="T170" i="65"/>
  <c r="U170" i="65"/>
  <c r="V170" i="65"/>
  <c r="W170" i="65"/>
  <c r="X170" i="65"/>
  <c r="Z170" i="65"/>
  <c r="AA170" i="65"/>
  <c r="AB170" i="65"/>
  <c r="AC170" i="65"/>
  <c r="AD170" i="65"/>
  <c r="AE170" i="65"/>
  <c r="AF170" i="65"/>
  <c r="AG170" i="65"/>
  <c r="AH170" i="65"/>
  <c r="AI170" i="65"/>
  <c r="AJ170" i="65"/>
  <c r="AK170" i="65"/>
  <c r="AL170" i="65"/>
  <c r="AM170" i="65"/>
  <c r="AN170" i="65"/>
  <c r="AO170" i="65"/>
  <c r="AP170" i="65"/>
  <c r="AQ170" i="65"/>
  <c r="AR170" i="65"/>
  <c r="AS170" i="65"/>
  <c r="AT170" i="65"/>
  <c r="AU170" i="65"/>
  <c r="AW170" i="65"/>
  <c r="AX170" i="65"/>
  <c r="AY170" i="65"/>
  <c r="BA170" i="65"/>
  <c r="BC170" i="65"/>
  <c r="A171" i="65"/>
  <c r="B171" i="65"/>
  <c r="D171" i="65"/>
  <c r="E171" i="65"/>
  <c r="F171" i="65"/>
  <c r="G171" i="65"/>
  <c r="H171" i="65"/>
  <c r="J171" i="65"/>
  <c r="K171" i="65"/>
  <c r="L171" i="65"/>
  <c r="M171" i="65"/>
  <c r="O171" i="65"/>
  <c r="P171" i="65"/>
  <c r="R171" i="65"/>
  <c r="S171" i="65"/>
  <c r="T171" i="65"/>
  <c r="U171" i="65"/>
  <c r="V171" i="65"/>
  <c r="W171" i="65"/>
  <c r="X171" i="65"/>
  <c r="Z171" i="65"/>
  <c r="AA171" i="65"/>
  <c r="AB171" i="65"/>
  <c r="AC171" i="65"/>
  <c r="AD171" i="65"/>
  <c r="AE171" i="65"/>
  <c r="AF171" i="65"/>
  <c r="AG171" i="65"/>
  <c r="AH171" i="65"/>
  <c r="AI171" i="65"/>
  <c r="AJ171" i="65"/>
  <c r="AK171" i="65"/>
  <c r="AL171" i="65"/>
  <c r="AM171" i="65"/>
  <c r="AN171" i="65"/>
  <c r="AO171" i="65"/>
  <c r="AP171" i="65"/>
  <c r="AQ171" i="65"/>
  <c r="AR171" i="65"/>
  <c r="AS171" i="65"/>
  <c r="AT171" i="65"/>
  <c r="AU171" i="65"/>
  <c r="AW171" i="65"/>
  <c r="AX171" i="65"/>
  <c r="AY171" i="65"/>
  <c r="BA171" i="65"/>
  <c r="BC171" i="65"/>
  <c r="A172" i="65"/>
  <c r="B172" i="65"/>
  <c r="D172" i="65"/>
  <c r="E172" i="65"/>
  <c r="F172" i="65"/>
  <c r="G172" i="65"/>
  <c r="H172" i="65"/>
  <c r="J172" i="65"/>
  <c r="K172" i="65"/>
  <c r="L172" i="65"/>
  <c r="M172" i="65"/>
  <c r="O172" i="65"/>
  <c r="P172" i="65"/>
  <c r="R172" i="65"/>
  <c r="S172" i="65"/>
  <c r="T172" i="65"/>
  <c r="U172" i="65"/>
  <c r="V172" i="65"/>
  <c r="W172" i="65"/>
  <c r="X172" i="65"/>
  <c r="Z172" i="65"/>
  <c r="AA172" i="65"/>
  <c r="AB172" i="65"/>
  <c r="AC172" i="65"/>
  <c r="AD172" i="65"/>
  <c r="AE172" i="65"/>
  <c r="AF172" i="65"/>
  <c r="AG172" i="65"/>
  <c r="AH172" i="65"/>
  <c r="AI172" i="65"/>
  <c r="AJ172" i="65"/>
  <c r="AK172" i="65"/>
  <c r="AL172" i="65"/>
  <c r="AM172" i="65"/>
  <c r="AN172" i="65"/>
  <c r="AO172" i="65"/>
  <c r="AP172" i="65"/>
  <c r="AQ172" i="65"/>
  <c r="AR172" i="65"/>
  <c r="AS172" i="65"/>
  <c r="AT172" i="65"/>
  <c r="AU172" i="65"/>
  <c r="AW172" i="65"/>
  <c r="AX172" i="65"/>
  <c r="AY172" i="65"/>
  <c r="BA172" i="65"/>
  <c r="BC172" i="65"/>
  <c r="A173" i="65"/>
  <c r="B173" i="65"/>
  <c r="D173" i="65"/>
  <c r="E173" i="65"/>
  <c r="F173" i="65"/>
  <c r="G173" i="65"/>
  <c r="H173" i="65"/>
  <c r="J173" i="65"/>
  <c r="K173" i="65"/>
  <c r="L173" i="65"/>
  <c r="M173" i="65"/>
  <c r="O173" i="65"/>
  <c r="P173" i="65"/>
  <c r="R173" i="65"/>
  <c r="S173" i="65"/>
  <c r="T173" i="65"/>
  <c r="U173" i="65"/>
  <c r="V173" i="65"/>
  <c r="W173" i="65"/>
  <c r="X173" i="65"/>
  <c r="Z173" i="65"/>
  <c r="AA173" i="65"/>
  <c r="AB173" i="65"/>
  <c r="AC173" i="65"/>
  <c r="AD173" i="65"/>
  <c r="AE173" i="65"/>
  <c r="AF173" i="65"/>
  <c r="AG173" i="65"/>
  <c r="AH173" i="65"/>
  <c r="AI173" i="65"/>
  <c r="AJ173" i="65"/>
  <c r="AK173" i="65"/>
  <c r="AL173" i="65"/>
  <c r="AM173" i="65"/>
  <c r="AN173" i="65"/>
  <c r="AO173" i="65"/>
  <c r="AP173" i="65"/>
  <c r="AQ173" i="65"/>
  <c r="AR173" i="65"/>
  <c r="AS173" i="65"/>
  <c r="AT173" i="65"/>
  <c r="AU173" i="65"/>
  <c r="AW173" i="65"/>
  <c r="AX173" i="65"/>
  <c r="AY173" i="65"/>
  <c r="BA173" i="65"/>
  <c r="BC173" i="65"/>
  <c r="A174" i="65"/>
  <c r="B174" i="65"/>
  <c r="D174" i="65"/>
  <c r="E174" i="65"/>
  <c r="F174" i="65"/>
  <c r="G174" i="65"/>
  <c r="H174" i="65"/>
  <c r="J174" i="65"/>
  <c r="K174" i="65"/>
  <c r="L174" i="65"/>
  <c r="M174" i="65"/>
  <c r="O174" i="65"/>
  <c r="P174" i="65"/>
  <c r="R174" i="65"/>
  <c r="S174" i="65"/>
  <c r="T174" i="65"/>
  <c r="U174" i="65"/>
  <c r="V174" i="65"/>
  <c r="W174" i="65"/>
  <c r="X174" i="65"/>
  <c r="Z174" i="65"/>
  <c r="AA174" i="65"/>
  <c r="AB174" i="65"/>
  <c r="AC174" i="65"/>
  <c r="AD174" i="65"/>
  <c r="AE174" i="65"/>
  <c r="AF174" i="65"/>
  <c r="AG174" i="65"/>
  <c r="AH174" i="65"/>
  <c r="AI174" i="65"/>
  <c r="AJ174" i="65"/>
  <c r="AK174" i="65"/>
  <c r="AL174" i="65"/>
  <c r="AM174" i="65"/>
  <c r="AN174" i="65"/>
  <c r="AO174" i="65"/>
  <c r="AP174" i="65"/>
  <c r="AQ174" i="65"/>
  <c r="AR174" i="65"/>
  <c r="AS174" i="65"/>
  <c r="AT174" i="65"/>
  <c r="AU174" i="65"/>
  <c r="AW174" i="65"/>
  <c r="AX174" i="65"/>
  <c r="AY174" i="65"/>
  <c r="BA174" i="65"/>
  <c r="A175" i="65"/>
  <c r="B175" i="65"/>
  <c r="D175" i="65"/>
  <c r="E175" i="65"/>
  <c r="F175" i="65"/>
  <c r="G175" i="65"/>
  <c r="H175" i="65"/>
  <c r="J175" i="65"/>
  <c r="K175" i="65"/>
  <c r="L175" i="65"/>
  <c r="M175" i="65"/>
  <c r="O175" i="65"/>
  <c r="P175" i="65"/>
  <c r="R175" i="65"/>
  <c r="S175" i="65"/>
  <c r="T175" i="65"/>
  <c r="U175" i="65"/>
  <c r="V175" i="65"/>
  <c r="W175" i="65"/>
  <c r="X175" i="65"/>
  <c r="Z175" i="65"/>
  <c r="AA175" i="65"/>
  <c r="AB175" i="65"/>
  <c r="AC175" i="65"/>
  <c r="AD175" i="65"/>
  <c r="AE175" i="65"/>
  <c r="AF175" i="65"/>
  <c r="AG175" i="65"/>
  <c r="AH175" i="65"/>
  <c r="AI175" i="65"/>
  <c r="AJ175" i="65"/>
  <c r="AK175" i="65"/>
  <c r="AL175" i="65"/>
  <c r="AM175" i="65"/>
  <c r="AN175" i="65"/>
  <c r="AO175" i="65"/>
  <c r="AP175" i="65"/>
  <c r="AQ175" i="65"/>
  <c r="AR175" i="65"/>
  <c r="AS175" i="65"/>
  <c r="AT175" i="65"/>
  <c r="AU175" i="65"/>
  <c r="AW175" i="65"/>
  <c r="AX175" i="65"/>
  <c r="AY175" i="65"/>
  <c r="BA175" i="65"/>
  <c r="A176" i="65"/>
  <c r="B176" i="65"/>
  <c r="D176" i="65"/>
  <c r="E176" i="65"/>
  <c r="F176" i="65"/>
  <c r="G176" i="65"/>
  <c r="H176" i="65"/>
  <c r="J176" i="65"/>
  <c r="K176" i="65"/>
  <c r="L176" i="65"/>
  <c r="M176" i="65"/>
  <c r="O176" i="65"/>
  <c r="P176" i="65"/>
  <c r="R176" i="65"/>
  <c r="S176" i="65"/>
  <c r="T176" i="65"/>
  <c r="U176" i="65"/>
  <c r="V176" i="65"/>
  <c r="W176" i="65"/>
  <c r="X176" i="65"/>
  <c r="Z176" i="65"/>
  <c r="AA176" i="65"/>
  <c r="AB176" i="65"/>
  <c r="AC176" i="65"/>
  <c r="AD176" i="65"/>
  <c r="AE176" i="65"/>
  <c r="AF176" i="65"/>
  <c r="AG176" i="65"/>
  <c r="AH176" i="65"/>
  <c r="AI176" i="65"/>
  <c r="AJ176" i="65"/>
  <c r="AK176" i="65"/>
  <c r="AL176" i="65"/>
  <c r="AM176" i="65"/>
  <c r="AN176" i="65"/>
  <c r="AO176" i="65"/>
  <c r="AP176" i="65"/>
  <c r="AQ176" i="65"/>
  <c r="AR176" i="65"/>
  <c r="AS176" i="65"/>
  <c r="AT176" i="65"/>
  <c r="AU176" i="65"/>
  <c r="AW176" i="65"/>
  <c r="AX176" i="65"/>
  <c r="AY176" i="65"/>
  <c r="BA176" i="65"/>
  <c r="A177" i="65"/>
  <c r="B177" i="65"/>
  <c r="D177" i="65"/>
  <c r="E177" i="65"/>
  <c r="F177" i="65"/>
  <c r="G177" i="65"/>
  <c r="H177" i="65"/>
  <c r="J177" i="65"/>
  <c r="K177" i="65"/>
  <c r="L177" i="65"/>
  <c r="M177" i="65"/>
  <c r="O177" i="65"/>
  <c r="P177" i="65"/>
  <c r="R177" i="65"/>
  <c r="S177" i="65"/>
  <c r="T177" i="65"/>
  <c r="U177" i="65"/>
  <c r="V177" i="65"/>
  <c r="W177" i="65"/>
  <c r="X177" i="65"/>
  <c r="Z177" i="65"/>
  <c r="AA177" i="65"/>
  <c r="AB177" i="65"/>
  <c r="AC177" i="65"/>
  <c r="AD177" i="65"/>
  <c r="AE177" i="65"/>
  <c r="AF177" i="65"/>
  <c r="AG177" i="65"/>
  <c r="AH177" i="65"/>
  <c r="AI177" i="65"/>
  <c r="AJ177" i="65"/>
  <c r="AK177" i="65"/>
  <c r="AL177" i="65"/>
  <c r="AM177" i="65"/>
  <c r="AN177" i="65"/>
  <c r="AO177" i="65"/>
  <c r="AP177" i="65"/>
  <c r="AQ177" i="65"/>
  <c r="AR177" i="65"/>
  <c r="AS177" i="65"/>
  <c r="AT177" i="65"/>
  <c r="AU177" i="65"/>
  <c r="AW177" i="65"/>
  <c r="AX177" i="65"/>
  <c r="AY177" i="65"/>
  <c r="BA177" i="65"/>
  <c r="A178" i="65"/>
  <c r="B178" i="65"/>
  <c r="D178" i="65"/>
  <c r="E178" i="65"/>
  <c r="F178" i="65"/>
  <c r="G178" i="65"/>
  <c r="H178" i="65"/>
  <c r="J178" i="65"/>
  <c r="K178" i="65"/>
  <c r="L178" i="65"/>
  <c r="M178" i="65"/>
  <c r="O178" i="65"/>
  <c r="P178" i="65"/>
  <c r="R178" i="65"/>
  <c r="S178" i="65"/>
  <c r="T178" i="65"/>
  <c r="U178" i="65"/>
  <c r="V178" i="65"/>
  <c r="W178" i="65"/>
  <c r="X178" i="65"/>
  <c r="Z178" i="65"/>
  <c r="AA178" i="65"/>
  <c r="AB178" i="65"/>
  <c r="AC178" i="65"/>
  <c r="AD178" i="65"/>
  <c r="AE178" i="65"/>
  <c r="AF178" i="65"/>
  <c r="AG178" i="65"/>
  <c r="AH178" i="65"/>
  <c r="AI178" i="65"/>
  <c r="AJ178" i="65"/>
  <c r="AK178" i="65"/>
  <c r="AL178" i="65"/>
  <c r="AM178" i="65"/>
  <c r="AN178" i="65"/>
  <c r="AO178" i="65"/>
  <c r="AP178" i="65"/>
  <c r="AQ178" i="65"/>
  <c r="AR178" i="65"/>
  <c r="AS178" i="65"/>
  <c r="AT178" i="65"/>
  <c r="AU178" i="65"/>
  <c r="AW178" i="65"/>
  <c r="AX178" i="65"/>
  <c r="AY178" i="65"/>
  <c r="BA178" i="65"/>
  <c r="A179" i="65"/>
  <c r="B179" i="65"/>
  <c r="D179" i="65"/>
  <c r="E179" i="65"/>
  <c r="F179" i="65"/>
  <c r="G179" i="65"/>
  <c r="H179" i="65"/>
  <c r="J179" i="65"/>
  <c r="K179" i="65"/>
  <c r="L179" i="65"/>
  <c r="M179" i="65"/>
  <c r="O179" i="65"/>
  <c r="P179" i="65"/>
  <c r="R179" i="65"/>
  <c r="S179" i="65"/>
  <c r="T179" i="65"/>
  <c r="U179" i="65"/>
  <c r="V179" i="65"/>
  <c r="W179" i="65"/>
  <c r="X179" i="65"/>
  <c r="Z179" i="65"/>
  <c r="AA179" i="65"/>
  <c r="AB179" i="65"/>
  <c r="AC179" i="65"/>
  <c r="AD179" i="65"/>
  <c r="AE179" i="65"/>
  <c r="AF179" i="65"/>
  <c r="AG179" i="65"/>
  <c r="AH179" i="65"/>
  <c r="AI179" i="65"/>
  <c r="AJ179" i="65"/>
  <c r="AK179" i="65"/>
  <c r="AL179" i="65"/>
  <c r="AM179" i="65"/>
  <c r="AN179" i="65"/>
  <c r="AO179" i="65"/>
  <c r="AP179" i="65"/>
  <c r="AQ179" i="65"/>
  <c r="AR179" i="65"/>
  <c r="AS179" i="65"/>
  <c r="AT179" i="65"/>
  <c r="AU179" i="65"/>
  <c r="AW179" i="65"/>
  <c r="AX179" i="65"/>
  <c r="AY179" i="65"/>
  <c r="BA179" i="65"/>
  <c r="A180" i="65"/>
  <c r="B180" i="65"/>
  <c r="D180" i="65"/>
  <c r="E180" i="65"/>
  <c r="F180" i="65"/>
  <c r="G180" i="65"/>
  <c r="H180" i="65"/>
  <c r="J180" i="65"/>
  <c r="K180" i="65"/>
  <c r="L180" i="65"/>
  <c r="M180" i="65"/>
  <c r="O180" i="65"/>
  <c r="P180" i="65"/>
  <c r="R180" i="65"/>
  <c r="S180" i="65"/>
  <c r="T180" i="65"/>
  <c r="U180" i="65"/>
  <c r="V180" i="65"/>
  <c r="W180" i="65"/>
  <c r="X180" i="65"/>
  <c r="Z180" i="65"/>
  <c r="AA180" i="65"/>
  <c r="AB180" i="65"/>
  <c r="AC180" i="65"/>
  <c r="AD180" i="65"/>
  <c r="AE180" i="65"/>
  <c r="AF180" i="65"/>
  <c r="AG180" i="65"/>
  <c r="AH180" i="65"/>
  <c r="AI180" i="65"/>
  <c r="AJ180" i="65"/>
  <c r="AK180" i="65"/>
  <c r="AL180" i="65"/>
  <c r="AM180" i="65"/>
  <c r="AN180" i="65"/>
  <c r="AO180" i="65"/>
  <c r="AP180" i="65"/>
  <c r="AQ180" i="65"/>
  <c r="AR180" i="65"/>
  <c r="AS180" i="65"/>
  <c r="AT180" i="65"/>
  <c r="AU180" i="65"/>
  <c r="AW180" i="65"/>
  <c r="AX180" i="65"/>
  <c r="AY180" i="65"/>
  <c r="BA180" i="65"/>
  <c r="A181" i="65"/>
  <c r="B181" i="65"/>
  <c r="D181" i="65"/>
  <c r="E181" i="65"/>
  <c r="F181" i="65"/>
  <c r="G181" i="65"/>
  <c r="H181" i="65"/>
  <c r="J181" i="65"/>
  <c r="K181" i="65"/>
  <c r="L181" i="65"/>
  <c r="M181" i="65"/>
  <c r="O181" i="65"/>
  <c r="P181" i="65"/>
  <c r="R181" i="65"/>
  <c r="S181" i="65"/>
  <c r="T181" i="65"/>
  <c r="U181" i="65"/>
  <c r="V181" i="65"/>
  <c r="W181" i="65"/>
  <c r="X181" i="65"/>
  <c r="Z181" i="65"/>
  <c r="AA181" i="65"/>
  <c r="AB181" i="65"/>
  <c r="AC181" i="65"/>
  <c r="AD181" i="65"/>
  <c r="AE181" i="65"/>
  <c r="AF181" i="65"/>
  <c r="AG181" i="65"/>
  <c r="AH181" i="65"/>
  <c r="AI181" i="65"/>
  <c r="AJ181" i="65"/>
  <c r="AK181" i="65"/>
  <c r="AL181" i="65"/>
  <c r="AM181" i="65"/>
  <c r="AN181" i="65"/>
  <c r="AO181" i="65"/>
  <c r="AP181" i="65"/>
  <c r="AQ181" i="65"/>
  <c r="AR181" i="65"/>
  <c r="AS181" i="65"/>
  <c r="AT181" i="65"/>
  <c r="AU181" i="65"/>
  <c r="AW181" i="65"/>
  <c r="AX181" i="65"/>
  <c r="AY181" i="65"/>
  <c r="BA181" i="65"/>
  <c r="A182" i="65"/>
  <c r="B182" i="65"/>
  <c r="D182" i="65"/>
  <c r="E182" i="65"/>
  <c r="F182" i="65"/>
  <c r="G182" i="65"/>
  <c r="H182" i="65"/>
  <c r="J182" i="65"/>
  <c r="K182" i="65"/>
  <c r="L182" i="65"/>
  <c r="M182" i="65"/>
  <c r="O182" i="65"/>
  <c r="P182" i="65"/>
  <c r="R182" i="65"/>
  <c r="S182" i="65"/>
  <c r="T182" i="65"/>
  <c r="U182" i="65"/>
  <c r="V182" i="65"/>
  <c r="W182" i="65"/>
  <c r="X182" i="65"/>
  <c r="Z182" i="65"/>
  <c r="AA182" i="65"/>
  <c r="AB182" i="65"/>
  <c r="AC182" i="65"/>
  <c r="AD182" i="65"/>
  <c r="AE182" i="65"/>
  <c r="AF182" i="65"/>
  <c r="AG182" i="65"/>
  <c r="AH182" i="65"/>
  <c r="AI182" i="65"/>
  <c r="AJ182" i="65"/>
  <c r="AK182" i="65"/>
  <c r="AL182" i="65"/>
  <c r="AM182" i="65"/>
  <c r="AN182" i="65"/>
  <c r="AO182" i="65"/>
  <c r="AP182" i="65"/>
  <c r="AQ182" i="65"/>
  <c r="AR182" i="65"/>
  <c r="AS182" i="65"/>
  <c r="AT182" i="65"/>
  <c r="AU182" i="65"/>
  <c r="AW182" i="65"/>
  <c r="AX182" i="65"/>
  <c r="AY182" i="65"/>
  <c r="BA182" i="65"/>
  <c r="A183" i="65"/>
  <c r="B183" i="65"/>
  <c r="D183" i="65"/>
  <c r="E183" i="65"/>
  <c r="F183" i="65"/>
  <c r="G183" i="65"/>
  <c r="H183" i="65"/>
  <c r="J183" i="65"/>
  <c r="K183" i="65"/>
  <c r="L183" i="65"/>
  <c r="M183" i="65"/>
  <c r="O183" i="65"/>
  <c r="P183" i="65"/>
  <c r="R183" i="65"/>
  <c r="S183" i="65"/>
  <c r="T183" i="65"/>
  <c r="U183" i="65"/>
  <c r="V183" i="65"/>
  <c r="W183" i="65"/>
  <c r="X183" i="65"/>
  <c r="Z183" i="65"/>
  <c r="AA183" i="65"/>
  <c r="AB183" i="65"/>
  <c r="AC183" i="65"/>
  <c r="AD183" i="65"/>
  <c r="AE183" i="65"/>
  <c r="AF183" i="65"/>
  <c r="AG183" i="65"/>
  <c r="AH183" i="65"/>
  <c r="AI183" i="65"/>
  <c r="AJ183" i="65"/>
  <c r="AK183" i="65"/>
  <c r="AL183" i="65"/>
  <c r="AM183" i="65"/>
  <c r="AN183" i="65"/>
  <c r="AO183" i="65"/>
  <c r="AP183" i="65"/>
  <c r="AQ183" i="65"/>
  <c r="AR183" i="65"/>
  <c r="AS183" i="65"/>
  <c r="AT183" i="65"/>
  <c r="AU183" i="65"/>
  <c r="AW183" i="65"/>
  <c r="AX183" i="65"/>
  <c r="AY183" i="65"/>
  <c r="BA183" i="65"/>
  <c r="A184" i="65"/>
  <c r="B184" i="65"/>
  <c r="D184" i="65"/>
  <c r="E184" i="65"/>
  <c r="F184" i="65"/>
  <c r="G184" i="65"/>
  <c r="H184" i="65"/>
  <c r="J184" i="65"/>
  <c r="K184" i="65"/>
  <c r="L184" i="65"/>
  <c r="M184" i="65"/>
  <c r="O184" i="65"/>
  <c r="P184" i="65"/>
  <c r="R184" i="65"/>
  <c r="S184" i="65"/>
  <c r="T184" i="65"/>
  <c r="U184" i="65"/>
  <c r="V184" i="65"/>
  <c r="W184" i="65"/>
  <c r="X184" i="65"/>
  <c r="Z184" i="65"/>
  <c r="AA184" i="65"/>
  <c r="AB184" i="65"/>
  <c r="AC184" i="65"/>
  <c r="AD184" i="65"/>
  <c r="AE184" i="65"/>
  <c r="AF184" i="65"/>
  <c r="AG184" i="65"/>
  <c r="AH184" i="65"/>
  <c r="AI184" i="65"/>
  <c r="AJ184" i="65"/>
  <c r="AK184" i="65"/>
  <c r="AL184" i="65"/>
  <c r="AM184" i="65"/>
  <c r="AN184" i="65"/>
  <c r="AO184" i="65"/>
  <c r="AP184" i="65"/>
  <c r="AQ184" i="65"/>
  <c r="AR184" i="65"/>
  <c r="AS184" i="65"/>
  <c r="AT184" i="65"/>
  <c r="AU184" i="65"/>
  <c r="AW184" i="65"/>
  <c r="AX184" i="65"/>
  <c r="AY184" i="65"/>
  <c r="BA184" i="65"/>
  <c r="A185" i="65"/>
  <c r="B185" i="65"/>
  <c r="D185" i="65"/>
  <c r="E185" i="65"/>
  <c r="F185" i="65"/>
  <c r="G185" i="65"/>
  <c r="H185" i="65"/>
  <c r="J185" i="65"/>
  <c r="K185" i="65"/>
  <c r="L185" i="65"/>
  <c r="M185" i="65"/>
  <c r="O185" i="65"/>
  <c r="P185" i="65"/>
  <c r="R185" i="65"/>
  <c r="S185" i="65"/>
  <c r="T185" i="65"/>
  <c r="U185" i="65"/>
  <c r="V185" i="65"/>
  <c r="W185" i="65"/>
  <c r="X185" i="65"/>
  <c r="Z185" i="65"/>
  <c r="AA185" i="65"/>
  <c r="AB185" i="65"/>
  <c r="AC185" i="65"/>
  <c r="AD185" i="65"/>
  <c r="AE185" i="65"/>
  <c r="AF185" i="65"/>
  <c r="AG185" i="65"/>
  <c r="AH185" i="65"/>
  <c r="AI185" i="65"/>
  <c r="AJ185" i="65"/>
  <c r="AK185" i="65"/>
  <c r="AL185" i="65"/>
  <c r="AM185" i="65"/>
  <c r="AN185" i="65"/>
  <c r="AO185" i="65"/>
  <c r="AP185" i="65"/>
  <c r="AQ185" i="65"/>
  <c r="AR185" i="65"/>
  <c r="AS185" i="65"/>
  <c r="AT185" i="65"/>
  <c r="AU185" i="65"/>
  <c r="AW185" i="65"/>
  <c r="AX185" i="65"/>
  <c r="AY185" i="65"/>
  <c r="BA185" i="65"/>
  <c r="A186" i="65"/>
  <c r="B186" i="65"/>
  <c r="D186" i="65"/>
  <c r="E186" i="65"/>
  <c r="F186" i="65"/>
  <c r="G186" i="65"/>
  <c r="H186" i="65"/>
  <c r="J186" i="65"/>
  <c r="K186" i="65"/>
  <c r="L186" i="65"/>
  <c r="M186" i="65"/>
  <c r="O186" i="65"/>
  <c r="P186" i="65"/>
  <c r="R186" i="65"/>
  <c r="S186" i="65"/>
  <c r="T186" i="65"/>
  <c r="U186" i="65"/>
  <c r="V186" i="65"/>
  <c r="W186" i="65"/>
  <c r="X186" i="65"/>
  <c r="Z186" i="65"/>
  <c r="AA186" i="65"/>
  <c r="AB186" i="65"/>
  <c r="AC186" i="65"/>
  <c r="AD186" i="65"/>
  <c r="AE186" i="65"/>
  <c r="AF186" i="65"/>
  <c r="AG186" i="65"/>
  <c r="AH186" i="65"/>
  <c r="AI186" i="65"/>
  <c r="AJ186" i="65"/>
  <c r="AK186" i="65"/>
  <c r="AL186" i="65"/>
  <c r="AM186" i="65"/>
  <c r="AN186" i="65"/>
  <c r="AO186" i="65"/>
  <c r="AP186" i="65"/>
  <c r="AQ186" i="65"/>
  <c r="AR186" i="65"/>
  <c r="AS186" i="65"/>
  <c r="AT186" i="65"/>
  <c r="AU186" i="65"/>
  <c r="AW186" i="65"/>
  <c r="AX186" i="65"/>
  <c r="AY186" i="65"/>
  <c r="BA186" i="65"/>
  <c r="A187" i="65"/>
  <c r="B187" i="65"/>
  <c r="D187" i="65"/>
  <c r="E187" i="65"/>
  <c r="F187" i="65"/>
  <c r="G187" i="65"/>
  <c r="H187" i="65"/>
  <c r="J187" i="65"/>
  <c r="K187" i="65"/>
  <c r="L187" i="65"/>
  <c r="M187" i="65"/>
  <c r="O187" i="65"/>
  <c r="P187" i="65"/>
  <c r="R187" i="65"/>
  <c r="S187" i="65"/>
  <c r="T187" i="65"/>
  <c r="U187" i="65"/>
  <c r="V187" i="65"/>
  <c r="W187" i="65"/>
  <c r="X187" i="65"/>
  <c r="Z187" i="65"/>
  <c r="AA187" i="65"/>
  <c r="AB187" i="65"/>
  <c r="AC187" i="65"/>
  <c r="AD187" i="65"/>
  <c r="AE187" i="65"/>
  <c r="AF187" i="65"/>
  <c r="AG187" i="65"/>
  <c r="AH187" i="65"/>
  <c r="AI187" i="65"/>
  <c r="AJ187" i="65"/>
  <c r="AK187" i="65"/>
  <c r="AL187" i="65"/>
  <c r="AM187" i="65"/>
  <c r="AN187" i="65"/>
  <c r="AO187" i="65"/>
  <c r="AP187" i="65"/>
  <c r="AQ187" i="65"/>
  <c r="AR187" i="65"/>
  <c r="AS187" i="65"/>
  <c r="AT187" i="65"/>
  <c r="AU187" i="65"/>
  <c r="AW187" i="65"/>
  <c r="AX187" i="65"/>
  <c r="AY187" i="65"/>
  <c r="BA187" i="65"/>
  <c r="A188" i="65"/>
  <c r="B188" i="65"/>
  <c r="D188" i="65"/>
  <c r="E188" i="65"/>
  <c r="F188" i="65"/>
  <c r="G188" i="65"/>
  <c r="H188" i="65"/>
  <c r="J188" i="65"/>
  <c r="K188" i="65"/>
  <c r="L188" i="65"/>
  <c r="M188" i="65"/>
  <c r="O188" i="65"/>
  <c r="P188" i="65"/>
  <c r="R188" i="65"/>
  <c r="S188" i="65"/>
  <c r="T188" i="65"/>
  <c r="U188" i="65"/>
  <c r="V188" i="65"/>
  <c r="W188" i="65"/>
  <c r="X188" i="65"/>
  <c r="Z188" i="65"/>
  <c r="AA188" i="65"/>
  <c r="AB188" i="65"/>
  <c r="AC188" i="65"/>
  <c r="AD188" i="65"/>
  <c r="AE188" i="65"/>
  <c r="AF188" i="65"/>
  <c r="AG188" i="65"/>
  <c r="AH188" i="65"/>
  <c r="AI188" i="65"/>
  <c r="AJ188" i="65"/>
  <c r="AK188" i="65"/>
  <c r="AL188" i="65"/>
  <c r="AM188" i="65"/>
  <c r="AN188" i="65"/>
  <c r="AO188" i="65"/>
  <c r="AP188" i="65"/>
  <c r="AQ188" i="65"/>
  <c r="AR188" i="65"/>
  <c r="AS188" i="65"/>
  <c r="AT188" i="65"/>
  <c r="AU188" i="65"/>
  <c r="AW188" i="65"/>
  <c r="AX188" i="65"/>
  <c r="AY188" i="65"/>
  <c r="BA188" i="65"/>
  <c r="A189" i="65"/>
  <c r="B189" i="65"/>
  <c r="D189" i="65"/>
  <c r="E189" i="65"/>
  <c r="F189" i="65"/>
  <c r="G189" i="65"/>
  <c r="H189" i="65"/>
  <c r="J189" i="65"/>
  <c r="K189" i="65"/>
  <c r="L189" i="65"/>
  <c r="M189" i="65"/>
  <c r="O189" i="65"/>
  <c r="P189" i="65"/>
  <c r="R189" i="65"/>
  <c r="S189" i="65"/>
  <c r="T189" i="65"/>
  <c r="U189" i="65"/>
  <c r="V189" i="65"/>
  <c r="W189" i="65"/>
  <c r="X189" i="65"/>
  <c r="Z189" i="65"/>
  <c r="AA189" i="65"/>
  <c r="AB189" i="65"/>
  <c r="AC189" i="65"/>
  <c r="AD189" i="65"/>
  <c r="AE189" i="65"/>
  <c r="AF189" i="65"/>
  <c r="AG189" i="65"/>
  <c r="AH189" i="65"/>
  <c r="AI189" i="65"/>
  <c r="AJ189" i="65"/>
  <c r="AK189" i="65"/>
  <c r="AL189" i="65"/>
  <c r="AM189" i="65"/>
  <c r="AN189" i="65"/>
  <c r="AO189" i="65"/>
  <c r="AP189" i="65"/>
  <c r="AQ189" i="65"/>
  <c r="AR189" i="65"/>
  <c r="AS189" i="65"/>
  <c r="AT189" i="65"/>
  <c r="AU189" i="65"/>
  <c r="AW189" i="65"/>
  <c r="AX189" i="65"/>
  <c r="AY189" i="65"/>
  <c r="BA189" i="65"/>
  <c r="A190" i="65"/>
  <c r="B190" i="65"/>
  <c r="D190" i="65"/>
  <c r="E190" i="65"/>
  <c r="F190" i="65"/>
  <c r="G190" i="65"/>
  <c r="H190" i="65"/>
  <c r="J190" i="65"/>
  <c r="K190" i="65"/>
  <c r="L190" i="65"/>
  <c r="M190" i="65"/>
  <c r="O190" i="65"/>
  <c r="P190" i="65"/>
  <c r="R190" i="65"/>
  <c r="S190" i="65"/>
  <c r="T190" i="65"/>
  <c r="U190" i="65"/>
  <c r="V190" i="65"/>
  <c r="W190" i="65"/>
  <c r="X190" i="65"/>
  <c r="Z190" i="65"/>
  <c r="AA190" i="65"/>
  <c r="AB190" i="65"/>
  <c r="AC190" i="65"/>
  <c r="AD190" i="65"/>
  <c r="AE190" i="65"/>
  <c r="AF190" i="65"/>
  <c r="AG190" i="65"/>
  <c r="AH190" i="65"/>
  <c r="AI190" i="65"/>
  <c r="AJ190" i="65"/>
  <c r="AK190" i="65"/>
  <c r="AL190" i="65"/>
  <c r="AM190" i="65"/>
  <c r="AN190" i="65"/>
  <c r="AO190" i="65"/>
  <c r="AP190" i="65"/>
  <c r="AQ190" i="65"/>
  <c r="AR190" i="65"/>
  <c r="AS190" i="65"/>
  <c r="AT190" i="65"/>
  <c r="AU190" i="65"/>
  <c r="AW190" i="65"/>
  <c r="AX190" i="65"/>
  <c r="AY190" i="65"/>
  <c r="BA190" i="65"/>
  <c r="A191" i="65"/>
  <c r="B191" i="65"/>
  <c r="D191" i="65"/>
  <c r="E191" i="65"/>
  <c r="F191" i="65"/>
  <c r="G191" i="65"/>
  <c r="H191" i="65"/>
  <c r="J191" i="65"/>
  <c r="K191" i="65"/>
  <c r="L191" i="65"/>
  <c r="M191" i="65"/>
  <c r="O191" i="65"/>
  <c r="P191" i="65"/>
  <c r="R191" i="65"/>
  <c r="S191" i="65"/>
  <c r="T191" i="65"/>
  <c r="U191" i="65"/>
  <c r="V191" i="65"/>
  <c r="W191" i="65"/>
  <c r="X191" i="65"/>
  <c r="Z191" i="65"/>
  <c r="AA191" i="65"/>
  <c r="AB191" i="65"/>
  <c r="AC191" i="65"/>
  <c r="AD191" i="65"/>
  <c r="AE191" i="65"/>
  <c r="AF191" i="65"/>
  <c r="AG191" i="65"/>
  <c r="AH191" i="65"/>
  <c r="AI191" i="65"/>
  <c r="AJ191" i="65"/>
  <c r="AK191" i="65"/>
  <c r="AL191" i="65"/>
  <c r="AM191" i="65"/>
  <c r="AN191" i="65"/>
  <c r="AO191" i="65"/>
  <c r="AP191" i="65"/>
  <c r="AQ191" i="65"/>
  <c r="AR191" i="65"/>
  <c r="AS191" i="65"/>
  <c r="AT191" i="65"/>
  <c r="AU191" i="65"/>
  <c r="AW191" i="65"/>
  <c r="AX191" i="65"/>
  <c r="AY191" i="65"/>
  <c r="BA191" i="65"/>
  <c r="A192" i="65"/>
  <c r="B192" i="65"/>
  <c r="D192" i="65"/>
  <c r="E192" i="65"/>
  <c r="F192" i="65"/>
  <c r="G192" i="65"/>
  <c r="H192" i="65"/>
  <c r="J192" i="65"/>
  <c r="K192" i="65"/>
  <c r="L192" i="65"/>
  <c r="M192" i="65"/>
  <c r="O192" i="65"/>
  <c r="P192" i="65"/>
  <c r="R192" i="65"/>
  <c r="S192" i="65"/>
  <c r="T192" i="65"/>
  <c r="U192" i="65"/>
  <c r="V192" i="65"/>
  <c r="W192" i="65"/>
  <c r="X192" i="65"/>
  <c r="Z192" i="65"/>
  <c r="AA192" i="65"/>
  <c r="AB192" i="65"/>
  <c r="AC192" i="65"/>
  <c r="AD192" i="65"/>
  <c r="AE192" i="65"/>
  <c r="AF192" i="65"/>
  <c r="AG192" i="65"/>
  <c r="AH192" i="65"/>
  <c r="AI192" i="65"/>
  <c r="AJ192" i="65"/>
  <c r="AK192" i="65"/>
  <c r="AL192" i="65"/>
  <c r="AM192" i="65"/>
  <c r="AN192" i="65"/>
  <c r="AO192" i="65"/>
  <c r="AP192" i="65"/>
  <c r="AQ192" i="65"/>
  <c r="AR192" i="65"/>
  <c r="AS192" i="65"/>
  <c r="AT192" i="65"/>
  <c r="AU192" i="65"/>
  <c r="AW192" i="65"/>
  <c r="AX192" i="65"/>
  <c r="AY192" i="65"/>
  <c r="BA192" i="65"/>
  <c r="A193" i="65"/>
  <c r="B193" i="65"/>
  <c r="D193" i="65"/>
  <c r="E193" i="65"/>
  <c r="F193" i="65"/>
  <c r="G193" i="65"/>
  <c r="H193" i="65"/>
  <c r="J193" i="65"/>
  <c r="K193" i="65"/>
  <c r="L193" i="65"/>
  <c r="M193" i="65"/>
  <c r="O193" i="65"/>
  <c r="P193" i="65"/>
  <c r="R193" i="65"/>
  <c r="S193" i="65"/>
  <c r="T193" i="65"/>
  <c r="U193" i="65"/>
  <c r="V193" i="65"/>
  <c r="W193" i="65"/>
  <c r="X193" i="65"/>
  <c r="Z193" i="65"/>
  <c r="AA193" i="65"/>
  <c r="AB193" i="65"/>
  <c r="AC193" i="65"/>
  <c r="AD193" i="65"/>
  <c r="AE193" i="65"/>
  <c r="AF193" i="65"/>
  <c r="AG193" i="65"/>
  <c r="AH193" i="65"/>
  <c r="AI193" i="65"/>
  <c r="AJ193" i="65"/>
  <c r="AK193" i="65"/>
  <c r="AL193" i="65"/>
  <c r="AM193" i="65"/>
  <c r="AN193" i="65"/>
  <c r="AO193" i="65"/>
  <c r="AP193" i="65"/>
  <c r="AQ193" i="65"/>
  <c r="AR193" i="65"/>
  <c r="AS193" i="65"/>
  <c r="AT193" i="65"/>
  <c r="AU193" i="65"/>
  <c r="AW193" i="65"/>
  <c r="AX193" i="65"/>
  <c r="AY193" i="65"/>
  <c r="BA193" i="65"/>
  <c r="A194" i="65"/>
  <c r="B194" i="65"/>
  <c r="D194" i="65"/>
  <c r="E194" i="65"/>
  <c r="F194" i="65"/>
  <c r="G194" i="65"/>
  <c r="H194" i="65"/>
  <c r="J194" i="65"/>
  <c r="K194" i="65"/>
  <c r="L194" i="65"/>
  <c r="M194" i="65"/>
  <c r="O194" i="65"/>
  <c r="P194" i="65"/>
  <c r="R194" i="65"/>
  <c r="S194" i="65"/>
  <c r="T194" i="65"/>
  <c r="U194" i="65"/>
  <c r="V194" i="65"/>
  <c r="W194" i="65"/>
  <c r="X194" i="65"/>
  <c r="Z194" i="65"/>
  <c r="AA194" i="65"/>
  <c r="AB194" i="65"/>
  <c r="AC194" i="65"/>
  <c r="AD194" i="65"/>
  <c r="AE194" i="65"/>
  <c r="AF194" i="65"/>
  <c r="AG194" i="65"/>
  <c r="AH194" i="65"/>
  <c r="AI194" i="65"/>
  <c r="AJ194" i="65"/>
  <c r="AK194" i="65"/>
  <c r="AL194" i="65"/>
  <c r="AM194" i="65"/>
  <c r="AN194" i="65"/>
  <c r="AO194" i="65"/>
  <c r="AP194" i="65"/>
  <c r="AQ194" i="65"/>
  <c r="AR194" i="65"/>
  <c r="AS194" i="65"/>
  <c r="AT194" i="65"/>
  <c r="AU194" i="65"/>
  <c r="AW194" i="65"/>
  <c r="AX194" i="65"/>
  <c r="AY194" i="65"/>
  <c r="BA194" i="65"/>
  <c r="A195" i="65"/>
  <c r="B195" i="65"/>
  <c r="D195" i="65"/>
  <c r="E195" i="65"/>
  <c r="F195" i="65"/>
  <c r="G195" i="65"/>
  <c r="H195" i="65"/>
  <c r="J195" i="65"/>
  <c r="K195" i="65"/>
  <c r="L195" i="65"/>
  <c r="M195" i="65"/>
  <c r="O195" i="65"/>
  <c r="P195" i="65"/>
  <c r="R195" i="65"/>
  <c r="S195" i="65"/>
  <c r="T195" i="65"/>
  <c r="U195" i="65"/>
  <c r="V195" i="65"/>
  <c r="W195" i="65"/>
  <c r="X195" i="65"/>
  <c r="Z195" i="65"/>
  <c r="AA195" i="65"/>
  <c r="AB195" i="65"/>
  <c r="AC195" i="65"/>
  <c r="AD195" i="65"/>
  <c r="AE195" i="65"/>
  <c r="AF195" i="65"/>
  <c r="AG195" i="65"/>
  <c r="AH195" i="65"/>
  <c r="AI195" i="65"/>
  <c r="AJ195" i="65"/>
  <c r="AK195" i="65"/>
  <c r="AL195" i="65"/>
  <c r="AM195" i="65"/>
  <c r="AN195" i="65"/>
  <c r="AO195" i="65"/>
  <c r="AP195" i="65"/>
  <c r="AQ195" i="65"/>
  <c r="AR195" i="65"/>
  <c r="AS195" i="65"/>
  <c r="AT195" i="65"/>
  <c r="AU195" i="65"/>
  <c r="AW195" i="65"/>
  <c r="AX195" i="65"/>
  <c r="AY195" i="65"/>
  <c r="BA195" i="65"/>
  <c r="A196" i="65"/>
  <c r="B196" i="65"/>
  <c r="D196" i="65"/>
  <c r="E196" i="65"/>
  <c r="F196" i="65"/>
  <c r="G196" i="65"/>
  <c r="H196" i="65"/>
  <c r="J196" i="65"/>
  <c r="K196" i="65"/>
  <c r="L196" i="65"/>
  <c r="M196" i="65"/>
  <c r="O196" i="65"/>
  <c r="P196" i="65"/>
  <c r="R196" i="65"/>
  <c r="S196" i="65"/>
  <c r="T196" i="65"/>
  <c r="U196" i="65"/>
  <c r="V196" i="65"/>
  <c r="W196" i="65"/>
  <c r="X196" i="65"/>
  <c r="Z196" i="65"/>
  <c r="AA196" i="65"/>
  <c r="AB196" i="65"/>
  <c r="AC196" i="65"/>
  <c r="AD196" i="65"/>
  <c r="AE196" i="65"/>
  <c r="AF196" i="65"/>
  <c r="AG196" i="65"/>
  <c r="AH196" i="65"/>
  <c r="AI196" i="65"/>
  <c r="AJ196" i="65"/>
  <c r="AK196" i="65"/>
  <c r="AL196" i="65"/>
  <c r="AM196" i="65"/>
  <c r="AN196" i="65"/>
  <c r="AO196" i="65"/>
  <c r="AP196" i="65"/>
  <c r="AQ196" i="65"/>
  <c r="AR196" i="65"/>
  <c r="AS196" i="65"/>
  <c r="AT196" i="65"/>
  <c r="AU196" i="65"/>
  <c r="AW196" i="65"/>
  <c r="AX196" i="65"/>
  <c r="AY196" i="65"/>
  <c r="BA196" i="65"/>
  <c r="A197" i="65"/>
  <c r="B197" i="65"/>
  <c r="D197" i="65"/>
  <c r="E197" i="65"/>
  <c r="F197" i="65"/>
  <c r="G197" i="65"/>
  <c r="H197" i="65"/>
  <c r="J197" i="65"/>
  <c r="K197" i="65"/>
  <c r="L197" i="65"/>
  <c r="M197" i="65"/>
  <c r="O197" i="65"/>
  <c r="P197" i="65"/>
  <c r="R197" i="65"/>
  <c r="S197" i="65"/>
  <c r="T197" i="65"/>
  <c r="U197" i="65"/>
  <c r="V197" i="65"/>
  <c r="W197" i="65"/>
  <c r="X197" i="65"/>
  <c r="Z197" i="65"/>
  <c r="AA197" i="65"/>
  <c r="AB197" i="65"/>
  <c r="AC197" i="65"/>
  <c r="AD197" i="65"/>
  <c r="AE197" i="65"/>
  <c r="AF197" i="65"/>
  <c r="AG197" i="65"/>
  <c r="AH197" i="65"/>
  <c r="AI197" i="65"/>
  <c r="AJ197" i="65"/>
  <c r="AK197" i="65"/>
  <c r="AL197" i="65"/>
  <c r="AM197" i="65"/>
  <c r="AN197" i="65"/>
  <c r="AO197" i="65"/>
  <c r="AP197" i="65"/>
  <c r="AQ197" i="65"/>
  <c r="AR197" i="65"/>
  <c r="AS197" i="65"/>
  <c r="AT197" i="65"/>
  <c r="AU197" i="65"/>
  <c r="AW197" i="65"/>
  <c r="AX197" i="65"/>
  <c r="AY197" i="65"/>
  <c r="BA197" i="65"/>
  <c r="A198" i="65"/>
  <c r="B198" i="65"/>
  <c r="D198" i="65"/>
  <c r="E198" i="65"/>
  <c r="F198" i="65"/>
  <c r="G198" i="65"/>
  <c r="H198" i="65"/>
  <c r="J198" i="65"/>
  <c r="K198" i="65"/>
  <c r="L198" i="65"/>
  <c r="M198" i="65"/>
  <c r="O198" i="65"/>
  <c r="P198" i="65"/>
  <c r="R198" i="65"/>
  <c r="S198" i="65"/>
  <c r="T198" i="65"/>
  <c r="U198" i="65"/>
  <c r="V198" i="65"/>
  <c r="W198" i="65"/>
  <c r="X198" i="65"/>
  <c r="Z198" i="65"/>
  <c r="AA198" i="65"/>
  <c r="AB198" i="65"/>
  <c r="AC198" i="65"/>
  <c r="AD198" i="65"/>
  <c r="AE198" i="65"/>
  <c r="AF198" i="65"/>
  <c r="AG198" i="65"/>
  <c r="AH198" i="65"/>
  <c r="AI198" i="65"/>
  <c r="AJ198" i="65"/>
  <c r="AK198" i="65"/>
  <c r="AL198" i="65"/>
  <c r="AM198" i="65"/>
  <c r="AN198" i="65"/>
  <c r="AO198" i="65"/>
  <c r="AP198" i="65"/>
  <c r="AQ198" i="65"/>
  <c r="AR198" i="65"/>
  <c r="AS198" i="65"/>
  <c r="AT198" i="65"/>
  <c r="AU198" i="65"/>
  <c r="AW198" i="65"/>
  <c r="AX198" i="65"/>
  <c r="AY198" i="65"/>
  <c r="BA198" i="65"/>
  <c r="A199" i="65"/>
  <c r="B199" i="65"/>
  <c r="D199" i="65"/>
  <c r="E199" i="65"/>
  <c r="F199" i="65"/>
  <c r="G199" i="65"/>
  <c r="H199" i="65"/>
  <c r="J199" i="65"/>
  <c r="K199" i="65"/>
  <c r="L199" i="65"/>
  <c r="M199" i="65"/>
  <c r="O199" i="65"/>
  <c r="P199" i="65"/>
  <c r="R199" i="65"/>
  <c r="S199" i="65"/>
  <c r="T199" i="65"/>
  <c r="U199" i="65"/>
  <c r="V199" i="65"/>
  <c r="W199" i="65"/>
  <c r="X199" i="65"/>
  <c r="Z199" i="65"/>
  <c r="AA199" i="65"/>
  <c r="AB199" i="65"/>
  <c r="AC199" i="65"/>
  <c r="AD199" i="65"/>
  <c r="AE199" i="65"/>
  <c r="AF199" i="65"/>
  <c r="AG199" i="65"/>
  <c r="AH199" i="65"/>
  <c r="AI199" i="65"/>
  <c r="AJ199" i="65"/>
  <c r="AK199" i="65"/>
  <c r="AL199" i="65"/>
  <c r="AM199" i="65"/>
  <c r="AN199" i="65"/>
  <c r="AO199" i="65"/>
  <c r="AP199" i="65"/>
  <c r="AQ199" i="65"/>
  <c r="AR199" i="65"/>
  <c r="AS199" i="65"/>
  <c r="AT199" i="65"/>
  <c r="AU199" i="65"/>
  <c r="AW199" i="65"/>
  <c r="AX199" i="65"/>
  <c r="AY199" i="65"/>
  <c r="BA199" i="65"/>
  <c r="A200" i="65"/>
  <c r="B200" i="65"/>
  <c r="D200" i="65"/>
  <c r="E200" i="65"/>
  <c r="F200" i="65"/>
  <c r="G200" i="65"/>
  <c r="H200" i="65"/>
  <c r="J200" i="65"/>
  <c r="K200" i="65"/>
  <c r="L200" i="65"/>
  <c r="M200" i="65"/>
  <c r="O200" i="65"/>
  <c r="P200" i="65"/>
  <c r="R200" i="65"/>
  <c r="S200" i="65"/>
  <c r="T200" i="65"/>
  <c r="U200" i="65"/>
  <c r="V200" i="65"/>
  <c r="W200" i="65"/>
  <c r="X200" i="65"/>
  <c r="Z200" i="65"/>
  <c r="AA200" i="65"/>
  <c r="AB200" i="65"/>
  <c r="AC200" i="65"/>
  <c r="AD200" i="65"/>
  <c r="AE200" i="65"/>
  <c r="AF200" i="65"/>
  <c r="AG200" i="65"/>
  <c r="AH200" i="65"/>
  <c r="AI200" i="65"/>
  <c r="AJ200" i="65"/>
  <c r="AK200" i="65"/>
  <c r="AL200" i="65"/>
  <c r="AM200" i="65"/>
  <c r="AN200" i="65"/>
  <c r="AO200" i="65"/>
  <c r="AP200" i="65"/>
  <c r="AQ200" i="65"/>
  <c r="AR200" i="65"/>
  <c r="AS200" i="65"/>
  <c r="AT200" i="65"/>
  <c r="AU200" i="65"/>
  <c r="AW200" i="65"/>
  <c r="AX200" i="65"/>
  <c r="AY200" i="65"/>
  <c r="BA200" i="65"/>
  <c r="A201" i="65"/>
  <c r="B201" i="65"/>
  <c r="D201" i="65"/>
  <c r="E201" i="65"/>
  <c r="F201" i="65"/>
  <c r="G201" i="65"/>
  <c r="H201" i="65"/>
  <c r="J201" i="65"/>
  <c r="K201" i="65"/>
  <c r="L201" i="65"/>
  <c r="M201" i="65"/>
  <c r="O201" i="65"/>
  <c r="P201" i="65"/>
  <c r="R201" i="65"/>
  <c r="S201" i="65"/>
  <c r="T201" i="65"/>
  <c r="U201" i="65"/>
  <c r="V201" i="65"/>
  <c r="W201" i="65"/>
  <c r="X201" i="65"/>
  <c r="Z201" i="65"/>
  <c r="AA201" i="65"/>
  <c r="AB201" i="65"/>
  <c r="AC201" i="65"/>
  <c r="AD201" i="65"/>
  <c r="AE201" i="65"/>
  <c r="AF201" i="65"/>
  <c r="AG201" i="65"/>
  <c r="AH201" i="65"/>
  <c r="AI201" i="65"/>
  <c r="AJ201" i="65"/>
  <c r="AK201" i="65"/>
  <c r="AL201" i="65"/>
  <c r="AM201" i="65"/>
  <c r="AN201" i="65"/>
  <c r="AO201" i="65"/>
  <c r="AP201" i="65"/>
  <c r="AQ201" i="65"/>
  <c r="AR201" i="65"/>
  <c r="AS201" i="65"/>
  <c r="AT201" i="65"/>
  <c r="AU201" i="65"/>
  <c r="AW201" i="65"/>
  <c r="AX201" i="65"/>
  <c r="AY201" i="65"/>
  <c r="BA201" i="65"/>
  <c r="A202" i="65"/>
  <c r="B202" i="65"/>
  <c r="D202" i="65"/>
  <c r="E202" i="65"/>
  <c r="F202" i="65"/>
  <c r="G202" i="65"/>
  <c r="H202" i="65"/>
  <c r="J202" i="65"/>
  <c r="K202" i="65"/>
  <c r="L202" i="65"/>
  <c r="M202" i="65"/>
  <c r="O202" i="65"/>
  <c r="P202" i="65"/>
  <c r="R202" i="65"/>
  <c r="S202" i="65"/>
  <c r="T202" i="65"/>
  <c r="U202" i="65"/>
  <c r="V202" i="65"/>
  <c r="W202" i="65"/>
  <c r="X202" i="65"/>
  <c r="Z202" i="65"/>
  <c r="AA202" i="65"/>
  <c r="AB202" i="65"/>
  <c r="AC202" i="65"/>
  <c r="AD202" i="65"/>
  <c r="AE202" i="65"/>
  <c r="AF202" i="65"/>
  <c r="AG202" i="65"/>
  <c r="AH202" i="65"/>
  <c r="AI202" i="65"/>
  <c r="AJ202" i="65"/>
  <c r="AK202" i="65"/>
  <c r="AL202" i="65"/>
  <c r="AM202" i="65"/>
  <c r="AN202" i="65"/>
  <c r="AO202" i="65"/>
  <c r="AP202" i="65"/>
  <c r="AQ202" i="65"/>
  <c r="AR202" i="65"/>
  <c r="AS202" i="65"/>
  <c r="AT202" i="65"/>
  <c r="AU202" i="65"/>
  <c r="AW202" i="65"/>
  <c r="AX202" i="65"/>
  <c r="AY202" i="65"/>
  <c r="BA202" i="65"/>
  <c r="A203" i="65"/>
  <c r="B203" i="65"/>
  <c r="D203" i="65"/>
  <c r="E203" i="65"/>
  <c r="F203" i="65"/>
  <c r="G203" i="65"/>
  <c r="H203" i="65"/>
  <c r="J203" i="65"/>
  <c r="K203" i="65"/>
  <c r="L203" i="65"/>
  <c r="M203" i="65"/>
  <c r="O203" i="65"/>
  <c r="P203" i="65"/>
  <c r="R203" i="65"/>
  <c r="S203" i="65"/>
  <c r="T203" i="65"/>
  <c r="U203" i="65"/>
  <c r="V203" i="65"/>
  <c r="W203" i="65"/>
  <c r="X203" i="65"/>
  <c r="Z203" i="65"/>
  <c r="AA203" i="65"/>
  <c r="AB203" i="65"/>
  <c r="AC203" i="65"/>
  <c r="AD203" i="65"/>
  <c r="AE203" i="65"/>
  <c r="AF203" i="65"/>
  <c r="AG203" i="65"/>
  <c r="AH203" i="65"/>
  <c r="AI203" i="65"/>
  <c r="AJ203" i="65"/>
  <c r="AK203" i="65"/>
  <c r="AL203" i="65"/>
  <c r="AM203" i="65"/>
  <c r="AN203" i="65"/>
  <c r="AO203" i="65"/>
  <c r="AP203" i="65"/>
  <c r="AQ203" i="65"/>
  <c r="AR203" i="65"/>
  <c r="AS203" i="65"/>
  <c r="AT203" i="65"/>
  <c r="AU203" i="65"/>
  <c r="AW203" i="65"/>
  <c r="AX203" i="65"/>
  <c r="AY203" i="65"/>
  <c r="BA203" i="65"/>
  <c r="A204" i="65"/>
  <c r="B204" i="65"/>
  <c r="D204" i="65"/>
  <c r="E204" i="65"/>
  <c r="F204" i="65"/>
  <c r="G204" i="65"/>
  <c r="H204" i="65"/>
  <c r="J204" i="65"/>
  <c r="K204" i="65"/>
  <c r="L204" i="65"/>
  <c r="M204" i="65"/>
  <c r="O204" i="65"/>
  <c r="P204" i="65"/>
  <c r="R204" i="65"/>
  <c r="S204" i="65"/>
  <c r="T204" i="65"/>
  <c r="U204" i="65"/>
  <c r="V204" i="65"/>
  <c r="W204" i="65"/>
  <c r="X204" i="65"/>
  <c r="Z204" i="65"/>
  <c r="AA204" i="65"/>
  <c r="AB204" i="65"/>
  <c r="AC204" i="65"/>
  <c r="AD204" i="65"/>
  <c r="AE204" i="65"/>
  <c r="AF204" i="65"/>
  <c r="AG204" i="65"/>
  <c r="AH204" i="65"/>
  <c r="AI204" i="65"/>
  <c r="AJ204" i="65"/>
  <c r="AK204" i="65"/>
  <c r="AL204" i="65"/>
  <c r="AM204" i="65"/>
  <c r="AN204" i="65"/>
  <c r="AO204" i="65"/>
  <c r="AP204" i="65"/>
  <c r="AQ204" i="65"/>
  <c r="AR204" i="65"/>
  <c r="AS204" i="65"/>
  <c r="AT204" i="65"/>
  <c r="AU204" i="65"/>
  <c r="AW204" i="65"/>
  <c r="AX204" i="65"/>
  <c r="AY204" i="65"/>
  <c r="BA204" i="65"/>
  <c r="A205" i="65"/>
  <c r="B205" i="65"/>
  <c r="D205" i="65"/>
  <c r="E205" i="65"/>
  <c r="F205" i="65"/>
  <c r="G205" i="65"/>
  <c r="H205" i="65"/>
  <c r="J205" i="65"/>
  <c r="K205" i="65"/>
  <c r="L205" i="65"/>
  <c r="M205" i="65"/>
  <c r="O205" i="65"/>
  <c r="P205" i="65"/>
  <c r="R205" i="65"/>
  <c r="S205" i="65"/>
  <c r="T205" i="65"/>
  <c r="U205" i="65"/>
  <c r="V205" i="65"/>
  <c r="W205" i="65"/>
  <c r="X205" i="65"/>
  <c r="Z205" i="65"/>
  <c r="AA205" i="65"/>
  <c r="AB205" i="65"/>
  <c r="AC205" i="65"/>
  <c r="AD205" i="65"/>
  <c r="AE205" i="65"/>
  <c r="AF205" i="65"/>
  <c r="AG205" i="65"/>
  <c r="AH205" i="65"/>
  <c r="AI205" i="65"/>
  <c r="AJ205" i="65"/>
  <c r="AK205" i="65"/>
  <c r="AL205" i="65"/>
  <c r="AM205" i="65"/>
  <c r="AN205" i="65"/>
  <c r="AO205" i="65"/>
  <c r="AP205" i="65"/>
  <c r="AQ205" i="65"/>
  <c r="AR205" i="65"/>
  <c r="AS205" i="65"/>
  <c r="AT205" i="65"/>
  <c r="AU205" i="65"/>
  <c r="AW205" i="65"/>
  <c r="AX205" i="65"/>
  <c r="AY205" i="65"/>
  <c r="BA205" i="65"/>
  <c r="A206" i="65"/>
  <c r="B206" i="65"/>
  <c r="D206" i="65"/>
  <c r="E206" i="65"/>
  <c r="F206" i="65"/>
  <c r="G206" i="65"/>
  <c r="H206" i="65"/>
  <c r="J206" i="65"/>
  <c r="K206" i="65"/>
  <c r="L206" i="65"/>
  <c r="M206" i="65"/>
  <c r="O206" i="65"/>
  <c r="P206" i="65"/>
  <c r="R206" i="65"/>
  <c r="S206" i="65"/>
  <c r="T206" i="65"/>
  <c r="U206" i="65"/>
  <c r="V206" i="65"/>
  <c r="W206" i="65"/>
  <c r="X206" i="65"/>
  <c r="Z206" i="65"/>
  <c r="AA206" i="65"/>
  <c r="AB206" i="65"/>
  <c r="AC206" i="65"/>
  <c r="AD206" i="65"/>
  <c r="AE206" i="65"/>
  <c r="AF206" i="65"/>
  <c r="AG206" i="65"/>
  <c r="AH206" i="65"/>
  <c r="AI206" i="65"/>
  <c r="AJ206" i="65"/>
  <c r="AK206" i="65"/>
  <c r="AL206" i="65"/>
  <c r="AM206" i="65"/>
  <c r="AN206" i="65"/>
  <c r="AO206" i="65"/>
  <c r="AP206" i="65"/>
  <c r="AQ206" i="65"/>
  <c r="AR206" i="65"/>
  <c r="AS206" i="65"/>
  <c r="AT206" i="65"/>
  <c r="AU206" i="65"/>
  <c r="AW206" i="65"/>
  <c r="AX206" i="65"/>
  <c r="AY206" i="65"/>
  <c r="BA206" i="65"/>
  <c r="A207" i="65"/>
  <c r="B207" i="65"/>
  <c r="D207" i="65"/>
  <c r="E207" i="65"/>
  <c r="F207" i="65"/>
  <c r="G207" i="65"/>
  <c r="H207" i="65"/>
  <c r="J207" i="65"/>
  <c r="K207" i="65"/>
  <c r="L207" i="65"/>
  <c r="M207" i="65"/>
  <c r="O207" i="65"/>
  <c r="P207" i="65"/>
  <c r="R207" i="65"/>
  <c r="S207" i="65"/>
  <c r="T207" i="65"/>
  <c r="U207" i="65"/>
  <c r="V207" i="65"/>
  <c r="W207" i="65"/>
  <c r="X207" i="65"/>
  <c r="Z207" i="65"/>
  <c r="AA207" i="65"/>
  <c r="AB207" i="65"/>
  <c r="AC207" i="65"/>
  <c r="AD207" i="65"/>
  <c r="AE207" i="65"/>
  <c r="AF207" i="65"/>
  <c r="AG207" i="65"/>
  <c r="AH207" i="65"/>
  <c r="AI207" i="65"/>
  <c r="AJ207" i="65"/>
  <c r="AK207" i="65"/>
  <c r="AL207" i="65"/>
  <c r="AM207" i="65"/>
  <c r="AN207" i="65"/>
  <c r="AO207" i="65"/>
  <c r="AP207" i="65"/>
  <c r="AQ207" i="65"/>
  <c r="AR207" i="65"/>
  <c r="AS207" i="65"/>
  <c r="AT207" i="65"/>
  <c r="AU207" i="65"/>
  <c r="AW207" i="65"/>
  <c r="AX207" i="65"/>
  <c r="AY207" i="65"/>
  <c r="BA207" i="65"/>
  <c r="A208" i="65"/>
  <c r="B208" i="65"/>
  <c r="D208" i="65"/>
  <c r="E208" i="65"/>
  <c r="F208" i="65"/>
  <c r="G208" i="65"/>
  <c r="H208" i="65"/>
  <c r="J208" i="65"/>
  <c r="K208" i="65"/>
  <c r="L208" i="65"/>
  <c r="M208" i="65"/>
  <c r="O208" i="65"/>
  <c r="P208" i="65"/>
  <c r="R208" i="65"/>
  <c r="S208" i="65"/>
  <c r="T208" i="65"/>
  <c r="U208" i="65"/>
  <c r="V208" i="65"/>
  <c r="W208" i="65"/>
  <c r="X208" i="65"/>
  <c r="Z208" i="65"/>
  <c r="AA208" i="65"/>
  <c r="AB208" i="65"/>
  <c r="AC208" i="65"/>
  <c r="AD208" i="65"/>
  <c r="AE208" i="65"/>
  <c r="AF208" i="65"/>
  <c r="AG208" i="65"/>
  <c r="AH208" i="65"/>
  <c r="AI208" i="65"/>
  <c r="AJ208" i="65"/>
  <c r="AK208" i="65"/>
  <c r="AL208" i="65"/>
  <c r="AM208" i="65"/>
  <c r="AN208" i="65"/>
  <c r="AO208" i="65"/>
  <c r="AP208" i="65"/>
  <c r="AQ208" i="65"/>
  <c r="AR208" i="65"/>
  <c r="AS208" i="65"/>
  <c r="AT208" i="65"/>
  <c r="AU208" i="65"/>
  <c r="AW208" i="65"/>
  <c r="AX208" i="65"/>
  <c r="AY208" i="65"/>
  <c r="BA208" i="65"/>
  <c r="A209" i="65"/>
  <c r="B209" i="65"/>
  <c r="D209" i="65"/>
  <c r="E209" i="65"/>
  <c r="F209" i="65"/>
  <c r="G209" i="65"/>
  <c r="H209" i="65"/>
  <c r="J209" i="65"/>
  <c r="K209" i="65"/>
  <c r="L209" i="65"/>
  <c r="M209" i="65"/>
  <c r="O209" i="65"/>
  <c r="P209" i="65"/>
  <c r="R209" i="65"/>
  <c r="S209" i="65"/>
  <c r="T209" i="65"/>
  <c r="U209" i="65"/>
  <c r="V209" i="65"/>
  <c r="W209" i="65"/>
  <c r="X209" i="65"/>
  <c r="Z209" i="65"/>
  <c r="AA209" i="65"/>
  <c r="AB209" i="65"/>
  <c r="AC209" i="65"/>
  <c r="AD209" i="65"/>
  <c r="AE209" i="65"/>
  <c r="AF209" i="65"/>
  <c r="AG209" i="65"/>
  <c r="AH209" i="65"/>
  <c r="AI209" i="65"/>
  <c r="AJ209" i="65"/>
  <c r="AK209" i="65"/>
  <c r="AL209" i="65"/>
  <c r="AM209" i="65"/>
  <c r="AN209" i="65"/>
  <c r="AO209" i="65"/>
  <c r="AP209" i="65"/>
  <c r="AQ209" i="65"/>
  <c r="AR209" i="65"/>
  <c r="AS209" i="65"/>
  <c r="AT209" i="65"/>
  <c r="AU209" i="65"/>
  <c r="AW209" i="65"/>
  <c r="AX209" i="65"/>
  <c r="AY209" i="65"/>
  <c r="BA209" i="65"/>
  <c r="A210" i="65"/>
  <c r="B210" i="65"/>
  <c r="D210" i="65"/>
  <c r="E210" i="65"/>
  <c r="F210" i="65"/>
  <c r="G210" i="65"/>
  <c r="H210" i="65"/>
  <c r="J210" i="65"/>
  <c r="K210" i="65"/>
  <c r="L210" i="65"/>
  <c r="M210" i="65"/>
  <c r="O210" i="65"/>
  <c r="P210" i="65"/>
  <c r="R210" i="65"/>
  <c r="S210" i="65"/>
  <c r="T210" i="65"/>
  <c r="U210" i="65"/>
  <c r="V210" i="65"/>
  <c r="W210" i="65"/>
  <c r="X210" i="65"/>
  <c r="Z210" i="65"/>
  <c r="AA210" i="65"/>
  <c r="AB210" i="65"/>
  <c r="AC210" i="65"/>
  <c r="AD210" i="65"/>
  <c r="AE210" i="65"/>
  <c r="AF210" i="65"/>
  <c r="AG210" i="65"/>
  <c r="AH210" i="65"/>
  <c r="AI210" i="65"/>
  <c r="AJ210" i="65"/>
  <c r="AK210" i="65"/>
  <c r="AL210" i="65"/>
  <c r="AM210" i="65"/>
  <c r="AN210" i="65"/>
  <c r="AO210" i="65"/>
  <c r="AP210" i="65"/>
  <c r="AQ210" i="65"/>
  <c r="AR210" i="65"/>
  <c r="AS210" i="65"/>
  <c r="AT210" i="65"/>
  <c r="AU210" i="65"/>
  <c r="AW210" i="65"/>
  <c r="AX210" i="65"/>
  <c r="AY210" i="65"/>
  <c r="BA210" i="65"/>
  <c r="A211" i="65"/>
  <c r="B211" i="65"/>
  <c r="D211" i="65"/>
  <c r="E211" i="65"/>
  <c r="F211" i="65"/>
  <c r="G211" i="65"/>
  <c r="H211" i="65"/>
  <c r="J211" i="65"/>
  <c r="K211" i="65"/>
  <c r="L211" i="65"/>
  <c r="M211" i="65"/>
  <c r="O211" i="65"/>
  <c r="P211" i="65"/>
  <c r="R211" i="65"/>
  <c r="S211" i="65"/>
  <c r="T211" i="65"/>
  <c r="U211" i="65"/>
  <c r="V211" i="65"/>
  <c r="W211" i="65"/>
  <c r="X211" i="65"/>
  <c r="Z211" i="65"/>
  <c r="AA211" i="65"/>
  <c r="AB211" i="65"/>
  <c r="AC211" i="65"/>
  <c r="AD211" i="65"/>
  <c r="AE211" i="65"/>
  <c r="AF211" i="65"/>
  <c r="AG211" i="65"/>
  <c r="AH211" i="65"/>
  <c r="AI211" i="65"/>
  <c r="AJ211" i="65"/>
  <c r="AK211" i="65"/>
  <c r="AL211" i="65"/>
  <c r="AM211" i="65"/>
  <c r="AN211" i="65"/>
  <c r="AO211" i="65"/>
  <c r="AP211" i="65"/>
  <c r="AQ211" i="65"/>
  <c r="AR211" i="65"/>
  <c r="AS211" i="65"/>
  <c r="AT211" i="65"/>
  <c r="AU211" i="65"/>
  <c r="AW211" i="65"/>
  <c r="AX211" i="65"/>
  <c r="AY211" i="65"/>
  <c r="BA211" i="65"/>
  <c r="A212" i="65"/>
  <c r="B212" i="65"/>
  <c r="D212" i="65"/>
  <c r="E212" i="65"/>
  <c r="F212" i="65"/>
  <c r="G212" i="65"/>
  <c r="H212" i="65"/>
  <c r="J212" i="65"/>
  <c r="K212" i="65"/>
  <c r="L212" i="65"/>
  <c r="M212" i="65"/>
  <c r="O212" i="65"/>
  <c r="P212" i="65"/>
  <c r="R212" i="65"/>
  <c r="S212" i="65"/>
  <c r="T212" i="65"/>
  <c r="U212" i="65"/>
  <c r="V212" i="65"/>
  <c r="W212" i="65"/>
  <c r="X212" i="65"/>
  <c r="Z212" i="65"/>
  <c r="AA212" i="65"/>
  <c r="AB212" i="65"/>
  <c r="AC212" i="65"/>
  <c r="AD212" i="65"/>
  <c r="AE212" i="65"/>
  <c r="AF212" i="65"/>
  <c r="AG212" i="65"/>
  <c r="AH212" i="65"/>
  <c r="AI212" i="65"/>
  <c r="AJ212" i="65"/>
  <c r="AK212" i="65"/>
  <c r="AL212" i="65"/>
  <c r="AM212" i="65"/>
  <c r="AN212" i="65"/>
  <c r="AO212" i="65"/>
  <c r="AP212" i="65"/>
  <c r="AQ212" i="65"/>
  <c r="AR212" i="65"/>
  <c r="AS212" i="65"/>
  <c r="AT212" i="65"/>
  <c r="AU212" i="65"/>
  <c r="AW212" i="65"/>
  <c r="AX212" i="65"/>
  <c r="AY212" i="65"/>
  <c r="BA212" i="65"/>
  <c r="A213" i="65"/>
  <c r="B213" i="65"/>
  <c r="D213" i="65"/>
  <c r="E213" i="65"/>
  <c r="F213" i="65"/>
  <c r="G213" i="65"/>
  <c r="H213" i="65"/>
  <c r="J213" i="65"/>
  <c r="K213" i="65"/>
  <c r="L213" i="65"/>
  <c r="M213" i="65"/>
  <c r="O213" i="65"/>
  <c r="P213" i="65"/>
  <c r="R213" i="65"/>
  <c r="S213" i="65"/>
  <c r="T213" i="65"/>
  <c r="U213" i="65"/>
  <c r="V213" i="65"/>
  <c r="W213" i="65"/>
  <c r="X213" i="65"/>
  <c r="Z213" i="65"/>
  <c r="AA213" i="65"/>
  <c r="AB213" i="65"/>
  <c r="AC213" i="65"/>
  <c r="AD213" i="65"/>
  <c r="AE213" i="65"/>
  <c r="AF213" i="65"/>
  <c r="AG213" i="65"/>
  <c r="AH213" i="65"/>
  <c r="AI213" i="65"/>
  <c r="AJ213" i="65"/>
  <c r="AK213" i="65"/>
  <c r="AL213" i="65"/>
  <c r="AM213" i="65"/>
  <c r="AN213" i="65"/>
  <c r="AO213" i="65"/>
  <c r="AP213" i="65"/>
  <c r="AQ213" i="65"/>
  <c r="AR213" i="65"/>
  <c r="AS213" i="65"/>
  <c r="AT213" i="65"/>
  <c r="AU213" i="65"/>
  <c r="AW213" i="65"/>
  <c r="AX213" i="65"/>
  <c r="AY213" i="65"/>
  <c r="BA213" i="65"/>
  <c r="A214" i="65"/>
  <c r="B214" i="65"/>
  <c r="D214" i="65"/>
  <c r="E214" i="65"/>
  <c r="F214" i="65"/>
  <c r="G214" i="65"/>
  <c r="H214" i="65"/>
  <c r="J214" i="65"/>
  <c r="K214" i="65"/>
  <c r="L214" i="65"/>
  <c r="M214" i="65"/>
  <c r="O214" i="65"/>
  <c r="P214" i="65"/>
  <c r="R214" i="65"/>
  <c r="S214" i="65"/>
  <c r="T214" i="65"/>
  <c r="U214" i="65"/>
  <c r="V214" i="65"/>
  <c r="W214" i="65"/>
  <c r="X214" i="65"/>
  <c r="Z214" i="65"/>
  <c r="AA214" i="65"/>
  <c r="AB214" i="65"/>
  <c r="AC214" i="65"/>
  <c r="AD214" i="65"/>
  <c r="AE214" i="65"/>
  <c r="AF214" i="65"/>
  <c r="AG214" i="65"/>
  <c r="AH214" i="65"/>
  <c r="AI214" i="65"/>
  <c r="AJ214" i="65"/>
  <c r="AK214" i="65"/>
  <c r="AL214" i="65"/>
  <c r="AM214" i="65"/>
  <c r="AN214" i="65"/>
  <c r="AO214" i="65"/>
  <c r="AP214" i="65"/>
  <c r="AQ214" i="65"/>
  <c r="AR214" i="65"/>
  <c r="AS214" i="65"/>
  <c r="AT214" i="65"/>
  <c r="AU214" i="65"/>
  <c r="AW214" i="65"/>
  <c r="AX214" i="65"/>
  <c r="AY214" i="65"/>
  <c r="BA214" i="65"/>
  <c r="A215" i="65"/>
  <c r="B215" i="65"/>
  <c r="D215" i="65"/>
  <c r="E215" i="65"/>
  <c r="F215" i="65"/>
  <c r="G215" i="65"/>
  <c r="H215" i="65"/>
  <c r="J215" i="65"/>
  <c r="K215" i="65"/>
  <c r="L215" i="65"/>
  <c r="M215" i="65"/>
  <c r="O215" i="65"/>
  <c r="P215" i="65"/>
  <c r="R215" i="65"/>
  <c r="S215" i="65"/>
  <c r="T215" i="65"/>
  <c r="U215" i="65"/>
  <c r="V215" i="65"/>
  <c r="W215" i="65"/>
  <c r="X215" i="65"/>
  <c r="Z215" i="65"/>
  <c r="AA215" i="65"/>
  <c r="AB215" i="65"/>
  <c r="AC215" i="65"/>
  <c r="AD215" i="65"/>
  <c r="AE215" i="65"/>
  <c r="AF215" i="65"/>
  <c r="AG215" i="65"/>
  <c r="AH215" i="65"/>
  <c r="AI215" i="65"/>
  <c r="AJ215" i="65"/>
  <c r="AK215" i="65"/>
  <c r="AL215" i="65"/>
  <c r="AM215" i="65"/>
  <c r="AN215" i="65"/>
  <c r="AO215" i="65"/>
  <c r="AP215" i="65"/>
  <c r="AQ215" i="65"/>
  <c r="AR215" i="65"/>
  <c r="AS215" i="65"/>
  <c r="AT215" i="65"/>
  <c r="AU215" i="65"/>
  <c r="AW215" i="65"/>
  <c r="AX215" i="65"/>
  <c r="AY215" i="65"/>
  <c r="BA215" i="65"/>
  <c r="A216" i="65"/>
  <c r="B216" i="65"/>
  <c r="D216" i="65"/>
  <c r="E216" i="65"/>
  <c r="F216" i="65"/>
  <c r="G216" i="65"/>
  <c r="H216" i="65"/>
  <c r="J216" i="65"/>
  <c r="K216" i="65"/>
  <c r="L216" i="65"/>
  <c r="M216" i="65"/>
  <c r="O216" i="65"/>
  <c r="P216" i="65"/>
  <c r="R216" i="65"/>
  <c r="S216" i="65"/>
  <c r="T216" i="65"/>
  <c r="U216" i="65"/>
  <c r="V216" i="65"/>
  <c r="W216" i="65"/>
  <c r="X216" i="65"/>
  <c r="Z216" i="65"/>
  <c r="AA216" i="65"/>
  <c r="AB216" i="65"/>
  <c r="AC216" i="65"/>
  <c r="AD216" i="65"/>
  <c r="AE216" i="65"/>
  <c r="AF216" i="65"/>
  <c r="AG216" i="65"/>
  <c r="AH216" i="65"/>
  <c r="AI216" i="65"/>
  <c r="AJ216" i="65"/>
  <c r="AK216" i="65"/>
  <c r="AL216" i="65"/>
  <c r="AM216" i="65"/>
  <c r="AN216" i="65"/>
  <c r="AO216" i="65"/>
  <c r="AP216" i="65"/>
  <c r="AQ216" i="65"/>
  <c r="AR216" i="65"/>
  <c r="AS216" i="65"/>
  <c r="AT216" i="65"/>
  <c r="AU216" i="65"/>
  <c r="AW216" i="65"/>
  <c r="AX216" i="65"/>
  <c r="AY216" i="65"/>
  <c r="BA216" i="65"/>
  <c r="A217" i="65"/>
  <c r="B217" i="65"/>
  <c r="D217" i="65"/>
  <c r="E217" i="65"/>
  <c r="F217" i="65"/>
  <c r="G217" i="65"/>
  <c r="H217" i="65"/>
  <c r="J217" i="65"/>
  <c r="K217" i="65"/>
  <c r="L217" i="65"/>
  <c r="M217" i="65"/>
  <c r="O217" i="65"/>
  <c r="P217" i="65"/>
  <c r="R217" i="65"/>
  <c r="S217" i="65"/>
  <c r="T217" i="65"/>
  <c r="U217" i="65"/>
  <c r="V217" i="65"/>
  <c r="W217" i="65"/>
  <c r="X217" i="65"/>
  <c r="Z217" i="65"/>
  <c r="AA217" i="65"/>
  <c r="AB217" i="65"/>
  <c r="AC217" i="65"/>
  <c r="AD217" i="65"/>
  <c r="AE217" i="65"/>
  <c r="AF217" i="65"/>
  <c r="AG217" i="65"/>
  <c r="AH217" i="65"/>
  <c r="AI217" i="65"/>
  <c r="AJ217" i="65"/>
  <c r="AK217" i="65"/>
  <c r="AL217" i="65"/>
  <c r="AM217" i="65"/>
  <c r="AN217" i="65"/>
  <c r="AO217" i="65"/>
  <c r="AP217" i="65"/>
  <c r="AQ217" i="65"/>
  <c r="AR217" i="65"/>
  <c r="AS217" i="65"/>
  <c r="AT217" i="65"/>
  <c r="AU217" i="65"/>
  <c r="AW217" i="65"/>
  <c r="AX217" i="65"/>
  <c r="AY217" i="65"/>
  <c r="BA217" i="65"/>
  <c r="A218" i="65"/>
  <c r="B218" i="65"/>
  <c r="D218" i="65"/>
  <c r="E218" i="65"/>
  <c r="F218" i="65"/>
  <c r="G218" i="65"/>
  <c r="H218" i="65"/>
  <c r="J218" i="65"/>
  <c r="K218" i="65"/>
  <c r="L218" i="65"/>
  <c r="M218" i="65"/>
  <c r="O218" i="65"/>
  <c r="P218" i="65"/>
  <c r="R218" i="65"/>
  <c r="S218" i="65"/>
  <c r="T218" i="65"/>
  <c r="U218" i="65"/>
  <c r="V218" i="65"/>
  <c r="W218" i="65"/>
  <c r="X218" i="65"/>
  <c r="Z218" i="65"/>
  <c r="AA218" i="65"/>
  <c r="AB218" i="65"/>
  <c r="AC218" i="65"/>
  <c r="AD218" i="65"/>
  <c r="AE218" i="65"/>
  <c r="AF218" i="65"/>
  <c r="AG218" i="65"/>
  <c r="AH218" i="65"/>
  <c r="AI218" i="65"/>
  <c r="AJ218" i="65"/>
  <c r="AK218" i="65"/>
  <c r="AL218" i="65"/>
  <c r="AM218" i="65"/>
  <c r="AN218" i="65"/>
  <c r="AO218" i="65"/>
  <c r="AP218" i="65"/>
  <c r="AQ218" i="65"/>
  <c r="AR218" i="65"/>
  <c r="AS218" i="65"/>
  <c r="AT218" i="65"/>
  <c r="AU218" i="65"/>
  <c r="AW218" i="65"/>
  <c r="AX218" i="65"/>
  <c r="AY218" i="65"/>
  <c r="BA218" i="65"/>
  <c r="A219" i="65"/>
  <c r="B219" i="65"/>
  <c r="D219" i="65"/>
  <c r="E219" i="65"/>
  <c r="F219" i="65"/>
  <c r="G219" i="65"/>
  <c r="H219" i="65"/>
  <c r="J219" i="65"/>
  <c r="K219" i="65"/>
  <c r="L219" i="65"/>
  <c r="M219" i="65"/>
  <c r="O219" i="65"/>
  <c r="P219" i="65"/>
  <c r="R219" i="65"/>
  <c r="S219" i="65"/>
  <c r="T219" i="65"/>
  <c r="U219" i="65"/>
  <c r="V219" i="65"/>
  <c r="W219" i="65"/>
  <c r="X219" i="65"/>
  <c r="Z219" i="65"/>
  <c r="AA219" i="65"/>
  <c r="AB219" i="65"/>
  <c r="AC219" i="65"/>
  <c r="AD219" i="65"/>
  <c r="AE219" i="65"/>
  <c r="AF219" i="65"/>
  <c r="AG219" i="65"/>
  <c r="AH219" i="65"/>
  <c r="AI219" i="65"/>
  <c r="AJ219" i="65"/>
  <c r="AK219" i="65"/>
  <c r="AL219" i="65"/>
  <c r="AM219" i="65"/>
  <c r="AN219" i="65"/>
  <c r="AO219" i="65"/>
  <c r="AP219" i="65"/>
  <c r="AQ219" i="65"/>
  <c r="AR219" i="65"/>
  <c r="AS219" i="65"/>
  <c r="AT219" i="65"/>
  <c r="AU219" i="65"/>
  <c r="AW219" i="65"/>
  <c r="AX219" i="65"/>
  <c r="AY219" i="65"/>
  <c r="BA219" i="65"/>
  <c r="A220" i="65"/>
  <c r="B220" i="65"/>
  <c r="D220" i="65"/>
  <c r="E220" i="65"/>
  <c r="F220" i="65"/>
  <c r="G220" i="65"/>
  <c r="H220" i="65"/>
  <c r="J220" i="65"/>
  <c r="K220" i="65"/>
  <c r="L220" i="65"/>
  <c r="M220" i="65"/>
  <c r="O220" i="65"/>
  <c r="P220" i="65"/>
  <c r="R220" i="65"/>
  <c r="S220" i="65"/>
  <c r="T220" i="65"/>
  <c r="U220" i="65"/>
  <c r="V220" i="65"/>
  <c r="W220" i="65"/>
  <c r="X220" i="65"/>
  <c r="Z220" i="65"/>
  <c r="AA220" i="65"/>
  <c r="AB220" i="65"/>
  <c r="AC220" i="65"/>
  <c r="AD220" i="65"/>
  <c r="AE220" i="65"/>
  <c r="AF220" i="65"/>
  <c r="AG220" i="65"/>
  <c r="AH220" i="65"/>
  <c r="AI220" i="65"/>
  <c r="AJ220" i="65"/>
  <c r="AK220" i="65"/>
  <c r="AL220" i="65"/>
  <c r="AM220" i="65"/>
  <c r="AN220" i="65"/>
  <c r="AO220" i="65"/>
  <c r="AP220" i="65"/>
  <c r="AQ220" i="65"/>
  <c r="AR220" i="65"/>
  <c r="AS220" i="65"/>
  <c r="AT220" i="65"/>
  <c r="AU220" i="65"/>
  <c r="AW220" i="65"/>
  <c r="AX220" i="65"/>
  <c r="AY220" i="65"/>
  <c r="BA220" i="65"/>
  <c r="A221" i="65"/>
  <c r="B221" i="65"/>
  <c r="D221" i="65"/>
  <c r="E221" i="65"/>
  <c r="F221" i="65"/>
  <c r="G221" i="65"/>
  <c r="H221" i="65"/>
  <c r="J221" i="65"/>
  <c r="K221" i="65"/>
  <c r="L221" i="65"/>
  <c r="M221" i="65"/>
  <c r="O221" i="65"/>
  <c r="P221" i="65"/>
  <c r="R221" i="65"/>
  <c r="S221" i="65"/>
  <c r="T221" i="65"/>
  <c r="U221" i="65"/>
  <c r="V221" i="65"/>
  <c r="W221" i="65"/>
  <c r="X221" i="65"/>
  <c r="Z221" i="65"/>
  <c r="AA221" i="65"/>
  <c r="AB221" i="65"/>
  <c r="AC221" i="65"/>
  <c r="AD221" i="65"/>
  <c r="AE221" i="65"/>
  <c r="AF221" i="65"/>
  <c r="AG221" i="65"/>
  <c r="AH221" i="65"/>
  <c r="AI221" i="65"/>
  <c r="AJ221" i="65"/>
  <c r="AK221" i="65"/>
  <c r="AL221" i="65"/>
  <c r="AM221" i="65"/>
  <c r="AN221" i="65"/>
  <c r="AO221" i="65"/>
  <c r="AP221" i="65"/>
  <c r="AQ221" i="65"/>
  <c r="AR221" i="65"/>
  <c r="AS221" i="65"/>
  <c r="AT221" i="65"/>
  <c r="AU221" i="65"/>
  <c r="AW221" i="65"/>
  <c r="AX221" i="65"/>
  <c r="AY221" i="65"/>
  <c r="BA221" i="65"/>
  <c r="A222" i="65"/>
  <c r="B222" i="65"/>
  <c r="D222" i="65"/>
  <c r="E222" i="65"/>
  <c r="F222" i="65"/>
  <c r="G222" i="65"/>
  <c r="H222" i="65"/>
  <c r="J222" i="65"/>
  <c r="K222" i="65"/>
  <c r="L222" i="65"/>
  <c r="M222" i="65"/>
  <c r="O222" i="65"/>
  <c r="P222" i="65"/>
  <c r="R222" i="65"/>
  <c r="S222" i="65"/>
  <c r="T222" i="65"/>
  <c r="U222" i="65"/>
  <c r="V222" i="65"/>
  <c r="W222" i="65"/>
  <c r="X222" i="65"/>
  <c r="Z222" i="65"/>
  <c r="AA222" i="65"/>
  <c r="AB222" i="65"/>
  <c r="AC222" i="65"/>
  <c r="AD222" i="65"/>
  <c r="AE222" i="65"/>
  <c r="AF222" i="65"/>
  <c r="AG222" i="65"/>
  <c r="AH222" i="65"/>
  <c r="AI222" i="65"/>
  <c r="AJ222" i="65"/>
  <c r="AK222" i="65"/>
  <c r="AL222" i="65"/>
  <c r="AM222" i="65"/>
  <c r="AN222" i="65"/>
  <c r="AO222" i="65"/>
  <c r="AP222" i="65"/>
  <c r="AQ222" i="65"/>
  <c r="AR222" i="65"/>
  <c r="AS222" i="65"/>
  <c r="AT222" i="65"/>
  <c r="AU222" i="65"/>
  <c r="AW222" i="65"/>
  <c r="AX222" i="65"/>
  <c r="AY222" i="65"/>
  <c r="BA222" i="65"/>
  <c r="A223" i="65"/>
  <c r="B223" i="65"/>
  <c r="D223" i="65"/>
  <c r="E223" i="65"/>
  <c r="F223" i="65"/>
  <c r="G223" i="65"/>
  <c r="H223" i="65"/>
  <c r="J223" i="65"/>
  <c r="K223" i="65"/>
  <c r="L223" i="65"/>
  <c r="M223" i="65"/>
  <c r="O223" i="65"/>
  <c r="P223" i="65"/>
  <c r="R223" i="65"/>
  <c r="S223" i="65"/>
  <c r="T223" i="65"/>
  <c r="U223" i="65"/>
  <c r="V223" i="65"/>
  <c r="W223" i="65"/>
  <c r="X223" i="65"/>
  <c r="Z223" i="65"/>
  <c r="AA223" i="65"/>
  <c r="AB223" i="65"/>
  <c r="AC223" i="65"/>
  <c r="AD223" i="65"/>
  <c r="AE223" i="65"/>
  <c r="AF223" i="65"/>
  <c r="AG223" i="65"/>
  <c r="AH223" i="65"/>
  <c r="AI223" i="65"/>
  <c r="AJ223" i="65"/>
  <c r="AK223" i="65"/>
  <c r="AL223" i="65"/>
  <c r="AM223" i="65"/>
  <c r="AN223" i="65"/>
  <c r="AO223" i="65"/>
  <c r="AP223" i="65"/>
  <c r="AQ223" i="65"/>
  <c r="AR223" i="65"/>
  <c r="AS223" i="65"/>
  <c r="AT223" i="65"/>
  <c r="AU223" i="65"/>
  <c r="AW223" i="65"/>
  <c r="AX223" i="65"/>
  <c r="AY223" i="65"/>
  <c r="BA223" i="65"/>
  <c r="A224" i="65"/>
  <c r="B224" i="65"/>
  <c r="D224" i="65"/>
  <c r="E224" i="65"/>
  <c r="F224" i="65"/>
  <c r="G224" i="65"/>
  <c r="H224" i="65"/>
  <c r="J224" i="65"/>
  <c r="K224" i="65"/>
  <c r="L224" i="65"/>
  <c r="M224" i="65"/>
  <c r="O224" i="65"/>
  <c r="P224" i="65"/>
  <c r="R224" i="65"/>
  <c r="S224" i="65"/>
  <c r="T224" i="65"/>
  <c r="U224" i="65"/>
  <c r="V224" i="65"/>
  <c r="W224" i="65"/>
  <c r="X224" i="65"/>
  <c r="Z224" i="65"/>
  <c r="AA224" i="65"/>
  <c r="AB224" i="65"/>
  <c r="AC224" i="65"/>
  <c r="AD224" i="65"/>
  <c r="AE224" i="65"/>
  <c r="AF224" i="65"/>
  <c r="AG224" i="65"/>
  <c r="AH224" i="65"/>
  <c r="AI224" i="65"/>
  <c r="AJ224" i="65"/>
  <c r="AK224" i="65"/>
  <c r="AL224" i="65"/>
  <c r="AM224" i="65"/>
  <c r="AN224" i="65"/>
  <c r="AO224" i="65"/>
  <c r="AP224" i="65"/>
  <c r="AQ224" i="65"/>
  <c r="AR224" i="65"/>
  <c r="AS224" i="65"/>
  <c r="AT224" i="65"/>
  <c r="AU224" i="65"/>
  <c r="AW224" i="65"/>
  <c r="AX224" i="65"/>
  <c r="AY224" i="65"/>
  <c r="BA224" i="65"/>
  <c r="A225" i="65"/>
  <c r="B225" i="65"/>
  <c r="D225" i="65"/>
  <c r="E225" i="65"/>
  <c r="F225" i="65"/>
  <c r="G225" i="65"/>
  <c r="H225" i="65"/>
  <c r="J225" i="65"/>
  <c r="K225" i="65"/>
  <c r="L225" i="65"/>
  <c r="M225" i="65"/>
  <c r="O225" i="65"/>
  <c r="P225" i="65"/>
  <c r="R225" i="65"/>
  <c r="S225" i="65"/>
  <c r="T225" i="65"/>
  <c r="U225" i="65"/>
  <c r="V225" i="65"/>
  <c r="W225" i="65"/>
  <c r="X225" i="65"/>
  <c r="Z225" i="65"/>
  <c r="AA225" i="65"/>
  <c r="AB225" i="65"/>
  <c r="AC225" i="65"/>
  <c r="AD225" i="65"/>
  <c r="AE225" i="65"/>
  <c r="AF225" i="65"/>
  <c r="AG225" i="65"/>
  <c r="AH225" i="65"/>
  <c r="AI225" i="65"/>
  <c r="AJ225" i="65"/>
  <c r="AK225" i="65"/>
  <c r="AL225" i="65"/>
  <c r="AM225" i="65"/>
  <c r="AN225" i="65"/>
  <c r="AO225" i="65"/>
  <c r="AP225" i="65"/>
  <c r="AQ225" i="65"/>
  <c r="AR225" i="65"/>
  <c r="AS225" i="65"/>
  <c r="AT225" i="65"/>
  <c r="AU225" i="65"/>
  <c r="AW225" i="65"/>
  <c r="AX225" i="65"/>
  <c r="AY225" i="65"/>
  <c r="BA225" i="65"/>
  <c r="A226" i="65"/>
  <c r="B226" i="65"/>
  <c r="D226" i="65"/>
  <c r="E226" i="65"/>
  <c r="F226" i="65"/>
  <c r="G226" i="65"/>
  <c r="H226" i="65"/>
  <c r="J226" i="65"/>
  <c r="K226" i="65"/>
  <c r="L226" i="65"/>
  <c r="M226" i="65"/>
  <c r="O226" i="65"/>
  <c r="P226" i="65"/>
  <c r="R226" i="65"/>
  <c r="S226" i="65"/>
  <c r="T226" i="65"/>
  <c r="U226" i="65"/>
  <c r="V226" i="65"/>
  <c r="W226" i="65"/>
  <c r="X226" i="65"/>
  <c r="Z226" i="65"/>
  <c r="AA226" i="65"/>
  <c r="AB226" i="65"/>
  <c r="AC226" i="65"/>
  <c r="AD226" i="65"/>
  <c r="AE226" i="65"/>
  <c r="AF226" i="65"/>
  <c r="AG226" i="65"/>
  <c r="AH226" i="65"/>
  <c r="AI226" i="65"/>
  <c r="AJ226" i="65"/>
  <c r="AK226" i="65"/>
  <c r="AL226" i="65"/>
  <c r="AM226" i="65"/>
  <c r="AN226" i="65"/>
  <c r="AO226" i="65"/>
  <c r="AP226" i="65"/>
  <c r="AQ226" i="65"/>
  <c r="AR226" i="65"/>
  <c r="AS226" i="65"/>
  <c r="AT226" i="65"/>
  <c r="AU226" i="65"/>
  <c r="AW226" i="65"/>
  <c r="AX226" i="65"/>
  <c r="AY226" i="65"/>
  <c r="BA226" i="65"/>
  <c r="A227" i="65"/>
  <c r="B227" i="65"/>
  <c r="D227" i="65"/>
  <c r="E227" i="65"/>
  <c r="F227" i="65"/>
  <c r="G227" i="65"/>
  <c r="H227" i="65"/>
  <c r="J227" i="65"/>
  <c r="K227" i="65"/>
  <c r="L227" i="65"/>
  <c r="M227" i="65"/>
  <c r="O227" i="65"/>
  <c r="P227" i="65"/>
  <c r="R227" i="65"/>
  <c r="S227" i="65"/>
  <c r="T227" i="65"/>
  <c r="U227" i="65"/>
  <c r="V227" i="65"/>
  <c r="W227" i="65"/>
  <c r="X227" i="65"/>
  <c r="Z227" i="65"/>
  <c r="AA227" i="65"/>
  <c r="AB227" i="65"/>
  <c r="AC227" i="65"/>
  <c r="AD227" i="65"/>
  <c r="AE227" i="65"/>
  <c r="AF227" i="65"/>
  <c r="AG227" i="65"/>
  <c r="AH227" i="65"/>
  <c r="AI227" i="65"/>
  <c r="AJ227" i="65"/>
  <c r="AK227" i="65"/>
  <c r="AL227" i="65"/>
  <c r="AM227" i="65"/>
  <c r="AN227" i="65"/>
  <c r="AO227" i="65"/>
  <c r="AP227" i="65"/>
  <c r="AQ227" i="65"/>
  <c r="AR227" i="65"/>
  <c r="AS227" i="65"/>
  <c r="AT227" i="65"/>
  <c r="AU227" i="65"/>
  <c r="AW227" i="65"/>
  <c r="AX227" i="65"/>
  <c r="AY227" i="65"/>
  <c r="BA227" i="65"/>
  <c r="A228" i="65"/>
  <c r="B228" i="65"/>
  <c r="D228" i="65"/>
  <c r="E228" i="65"/>
  <c r="F228" i="65"/>
  <c r="G228" i="65"/>
  <c r="H228" i="65"/>
  <c r="J228" i="65"/>
  <c r="K228" i="65"/>
  <c r="L228" i="65"/>
  <c r="M228" i="65"/>
  <c r="O228" i="65"/>
  <c r="P228" i="65"/>
  <c r="R228" i="65"/>
  <c r="S228" i="65"/>
  <c r="T228" i="65"/>
  <c r="U228" i="65"/>
  <c r="V228" i="65"/>
  <c r="W228" i="65"/>
  <c r="X228" i="65"/>
  <c r="Z228" i="65"/>
  <c r="AA228" i="65"/>
  <c r="AB228" i="65"/>
  <c r="AC228" i="65"/>
  <c r="AD228" i="65"/>
  <c r="AE228" i="65"/>
  <c r="AF228" i="65"/>
  <c r="AG228" i="65"/>
  <c r="AH228" i="65"/>
  <c r="AI228" i="65"/>
  <c r="AJ228" i="65"/>
  <c r="AK228" i="65"/>
  <c r="AL228" i="65"/>
  <c r="AM228" i="65"/>
  <c r="AN228" i="65"/>
  <c r="AO228" i="65"/>
  <c r="AP228" i="65"/>
  <c r="AQ228" i="65"/>
  <c r="AR228" i="65"/>
  <c r="AS228" i="65"/>
  <c r="AT228" i="65"/>
  <c r="AU228" i="65"/>
  <c r="AW228" i="65"/>
  <c r="AX228" i="65"/>
  <c r="AY228" i="65"/>
  <c r="BA228" i="65"/>
  <c r="A229" i="65"/>
  <c r="B229" i="65"/>
  <c r="D229" i="65"/>
  <c r="E229" i="65"/>
  <c r="F229" i="65"/>
  <c r="G229" i="65"/>
  <c r="H229" i="65"/>
  <c r="J229" i="65"/>
  <c r="K229" i="65"/>
  <c r="L229" i="65"/>
  <c r="M229" i="65"/>
  <c r="O229" i="65"/>
  <c r="P229" i="65"/>
  <c r="R229" i="65"/>
  <c r="S229" i="65"/>
  <c r="T229" i="65"/>
  <c r="U229" i="65"/>
  <c r="V229" i="65"/>
  <c r="W229" i="65"/>
  <c r="X229" i="65"/>
  <c r="Z229" i="65"/>
  <c r="AA229" i="65"/>
  <c r="AB229" i="65"/>
  <c r="AC229" i="65"/>
  <c r="AD229" i="65"/>
  <c r="AE229" i="65"/>
  <c r="AF229" i="65"/>
  <c r="AG229" i="65"/>
  <c r="AH229" i="65"/>
  <c r="AI229" i="65"/>
  <c r="AJ229" i="65"/>
  <c r="AK229" i="65"/>
  <c r="AL229" i="65"/>
  <c r="AM229" i="65"/>
  <c r="AN229" i="65"/>
  <c r="AO229" i="65"/>
  <c r="AP229" i="65"/>
  <c r="AQ229" i="65"/>
  <c r="AR229" i="65"/>
  <c r="AS229" i="65"/>
  <c r="AT229" i="65"/>
  <c r="AU229" i="65"/>
  <c r="AW229" i="65"/>
  <c r="AX229" i="65"/>
  <c r="AY229" i="65"/>
  <c r="BA229" i="65"/>
  <c r="A230" i="65"/>
  <c r="B230" i="65"/>
  <c r="D230" i="65"/>
  <c r="E230" i="65"/>
  <c r="F230" i="65"/>
  <c r="G230" i="65"/>
  <c r="H230" i="65"/>
  <c r="J230" i="65"/>
  <c r="K230" i="65"/>
  <c r="L230" i="65"/>
  <c r="M230" i="65"/>
  <c r="O230" i="65"/>
  <c r="P230" i="65"/>
  <c r="R230" i="65"/>
  <c r="S230" i="65"/>
  <c r="T230" i="65"/>
  <c r="U230" i="65"/>
  <c r="V230" i="65"/>
  <c r="W230" i="65"/>
  <c r="X230" i="65"/>
  <c r="Z230" i="65"/>
  <c r="AA230" i="65"/>
  <c r="AB230" i="65"/>
  <c r="AC230" i="65"/>
  <c r="AD230" i="65"/>
  <c r="AE230" i="65"/>
  <c r="AF230" i="65"/>
  <c r="AG230" i="65"/>
  <c r="AH230" i="65"/>
  <c r="AI230" i="65"/>
  <c r="AJ230" i="65"/>
  <c r="AK230" i="65"/>
  <c r="AL230" i="65"/>
  <c r="AM230" i="65"/>
  <c r="AN230" i="65"/>
  <c r="AO230" i="65"/>
  <c r="AP230" i="65"/>
  <c r="AQ230" i="65"/>
  <c r="AR230" i="65"/>
  <c r="AS230" i="65"/>
  <c r="AT230" i="65"/>
  <c r="AU230" i="65"/>
  <c r="AW230" i="65"/>
  <c r="AX230" i="65"/>
  <c r="AY230" i="65"/>
  <c r="BA230" i="65"/>
  <c r="A231" i="65"/>
  <c r="B231" i="65"/>
  <c r="D231" i="65"/>
  <c r="E231" i="65"/>
  <c r="F231" i="65"/>
  <c r="G231" i="65"/>
  <c r="H231" i="65"/>
  <c r="J231" i="65"/>
  <c r="K231" i="65"/>
  <c r="L231" i="65"/>
  <c r="M231" i="65"/>
  <c r="O231" i="65"/>
  <c r="P231" i="65"/>
  <c r="R231" i="65"/>
  <c r="S231" i="65"/>
  <c r="T231" i="65"/>
  <c r="U231" i="65"/>
  <c r="V231" i="65"/>
  <c r="W231" i="65"/>
  <c r="X231" i="65"/>
  <c r="Z231" i="65"/>
  <c r="AA231" i="65"/>
  <c r="AB231" i="65"/>
  <c r="AC231" i="65"/>
  <c r="AD231" i="65"/>
  <c r="AE231" i="65"/>
  <c r="AF231" i="65"/>
  <c r="AG231" i="65"/>
  <c r="AH231" i="65"/>
  <c r="AI231" i="65"/>
  <c r="AJ231" i="65"/>
  <c r="AK231" i="65"/>
  <c r="AL231" i="65"/>
  <c r="AM231" i="65"/>
  <c r="AN231" i="65"/>
  <c r="AO231" i="65"/>
  <c r="AP231" i="65"/>
  <c r="AQ231" i="65"/>
  <c r="AR231" i="65"/>
  <c r="AS231" i="65"/>
  <c r="AT231" i="65"/>
  <c r="AU231" i="65"/>
  <c r="AW231" i="65"/>
  <c r="AX231" i="65"/>
  <c r="AY231" i="65"/>
  <c r="BA231" i="65"/>
  <c r="A232" i="65"/>
  <c r="B232" i="65"/>
  <c r="D232" i="65"/>
  <c r="E232" i="65"/>
  <c r="F232" i="65"/>
  <c r="G232" i="65"/>
  <c r="H232" i="65"/>
  <c r="J232" i="65"/>
  <c r="K232" i="65"/>
  <c r="L232" i="65"/>
  <c r="M232" i="65"/>
  <c r="O232" i="65"/>
  <c r="P232" i="65"/>
  <c r="R232" i="65"/>
  <c r="S232" i="65"/>
  <c r="T232" i="65"/>
  <c r="U232" i="65"/>
  <c r="V232" i="65"/>
  <c r="W232" i="65"/>
  <c r="X232" i="65"/>
  <c r="Z232" i="65"/>
  <c r="AA232" i="65"/>
  <c r="AB232" i="65"/>
  <c r="AC232" i="65"/>
  <c r="AD232" i="65"/>
  <c r="AE232" i="65"/>
  <c r="AF232" i="65"/>
  <c r="AG232" i="65"/>
  <c r="AH232" i="65"/>
  <c r="AI232" i="65"/>
  <c r="AJ232" i="65"/>
  <c r="AK232" i="65"/>
  <c r="AL232" i="65"/>
  <c r="AM232" i="65"/>
  <c r="AN232" i="65"/>
  <c r="AO232" i="65"/>
  <c r="AP232" i="65"/>
  <c r="AQ232" i="65"/>
  <c r="AR232" i="65"/>
  <c r="AS232" i="65"/>
  <c r="AT232" i="65"/>
  <c r="AU232" i="65"/>
  <c r="AW232" i="65"/>
  <c r="AX232" i="65"/>
  <c r="AY232" i="65"/>
  <c r="BA232" i="65"/>
  <c r="A233" i="65"/>
  <c r="B233" i="65"/>
  <c r="D233" i="65"/>
  <c r="E233" i="65"/>
  <c r="F233" i="65"/>
  <c r="G233" i="65"/>
  <c r="H233" i="65"/>
  <c r="J233" i="65"/>
  <c r="K233" i="65"/>
  <c r="L233" i="65"/>
  <c r="M233" i="65"/>
  <c r="O233" i="65"/>
  <c r="P233" i="65"/>
  <c r="R233" i="65"/>
  <c r="S233" i="65"/>
  <c r="T233" i="65"/>
  <c r="U233" i="65"/>
  <c r="V233" i="65"/>
  <c r="W233" i="65"/>
  <c r="X233" i="65"/>
  <c r="Z233" i="65"/>
  <c r="AA233" i="65"/>
  <c r="AB233" i="65"/>
  <c r="AC233" i="65"/>
  <c r="AD233" i="65"/>
  <c r="AE233" i="65"/>
  <c r="AF233" i="65"/>
  <c r="AG233" i="65"/>
  <c r="AH233" i="65"/>
  <c r="AI233" i="65"/>
  <c r="AJ233" i="65"/>
  <c r="AK233" i="65"/>
  <c r="AL233" i="65"/>
  <c r="AM233" i="65"/>
  <c r="AN233" i="65"/>
  <c r="AO233" i="65"/>
  <c r="AP233" i="65"/>
  <c r="AQ233" i="65"/>
  <c r="AR233" i="65"/>
  <c r="AS233" i="65"/>
  <c r="AT233" i="65"/>
  <c r="AU233" i="65"/>
  <c r="AW233" i="65"/>
  <c r="AX233" i="65"/>
  <c r="AY233" i="65"/>
  <c r="BA233" i="65"/>
  <c r="A234" i="65"/>
  <c r="B234" i="65"/>
  <c r="D234" i="65"/>
  <c r="E234" i="65"/>
  <c r="F234" i="65"/>
  <c r="G234" i="65"/>
  <c r="H234" i="65"/>
  <c r="J234" i="65"/>
  <c r="K234" i="65"/>
  <c r="L234" i="65"/>
  <c r="M234" i="65"/>
  <c r="O234" i="65"/>
  <c r="P234" i="65"/>
  <c r="R234" i="65"/>
  <c r="S234" i="65"/>
  <c r="T234" i="65"/>
  <c r="U234" i="65"/>
  <c r="V234" i="65"/>
  <c r="W234" i="65"/>
  <c r="X234" i="65"/>
  <c r="Z234" i="65"/>
  <c r="AA234" i="65"/>
  <c r="AB234" i="65"/>
  <c r="AC234" i="65"/>
  <c r="AD234" i="65"/>
  <c r="AE234" i="65"/>
  <c r="AF234" i="65"/>
  <c r="AG234" i="65"/>
  <c r="AH234" i="65"/>
  <c r="AI234" i="65"/>
  <c r="AJ234" i="65"/>
  <c r="AK234" i="65"/>
  <c r="AL234" i="65"/>
  <c r="AM234" i="65"/>
  <c r="AN234" i="65"/>
  <c r="AO234" i="65"/>
  <c r="AP234" i="65"/>
  <c r="AQ234" i="65"/>
  <c r="AR234" i="65"/>
  <c r="AS234" i="65"/>
  <c r="AT234" i="65"/>
  <c r="AU234" i="65"/>
  <c r="AW234" i="65"/>
  <c r="AX234" i="65"/>
  <c r="AY234" i="65"/>
  <c r="BA234" i="65"/>
  <c r="A235" i="65"/>
  <c r="B235" i="65"/>
  <c r="D235" i="65"/>
  <c r="E235" i="65"/>
  <c r="F235" i="65"/>
  <c r="G235" i="65"/>
  <c r="H235" i="65"/>
  <c r="J235" i="65"/>
  <c r="K235" i="65"/>
  <c r="L235" i="65"/>
  <c r="M235" i="65"/>
  <c r="O235" i="65"/>
  <c r="P235" i="65"/>
  <c r="R235" i="65"/>
  <c r="S235" i="65"/>
  <c r="T235" i="65"/>
  <c r="U235" i="65"/>
  <c r="V235" i="65"/>
  <c r="W235" i="65"/>
  <c r="X235" i="65"/>
  <c r="Z235" i="65"/>
  <c r="AA235" i="65"/>
  <c r="AB235" i="65"/>
  <c r="AC235" i="65"/>
  <c r="AD235" i="65"/>
  <c r="AE235" i="65"/>
  <c r="AF235" i="65"/>
  <c r="AG235" i="65"/>
  <c r="AH235" i="65"/>
  <c r="AI235" i="65"/>
  <c r="AJ235" i="65"/>
  <c r="AK235" i="65"/>
  <c r="AL235" i="65"/>
  <c r="AM235" i="65"/>
  <c r="AN235" i="65"/>
  <c r="AO235" i="65"/>
  <c r="AP235" i="65"/>
  <c r="AQ235" i="65"/>
  <c r="AR235" i="65"/>
  <c r="AS235" i="65"/>
  <c r="AT235" i="65"/>
  <c r="AU235" i="65"/>
  <c r="AW235" i="65"/>
  <c r="AX235" i="65"/>
  <c r="AY235" i="65"/>
  <c r="BA235" i="65"/>
  <c r="A236" i="65"/>
  <c r="B236" i="65"/>
  <c r="D236" i="65"/>
  <c r="E236" i="65"/>
  <c r="F236" i="65"/>
  <c r="G236" i="65"/>
  <c r="H236" i="65"/>
  <c r="J236" i="65"/>
  <c r="K236" i="65"/>
  <c r="L236" i="65"/>
  <c r="M236" i="65"/>
  <c r="O236" i="65"/>
  <c r="P236" i="65"/>
  <c r="R236" i="65"/>
  <c r="S236" i="65"/>
  <c r="T236" i="65"/>
  <c r="U236" i="65"/>
  <c r="V236" i="65"/>
  <c r="W236" i="65"/>
  <c r="X236" i="65"/>
  <c r="Z236" i="65"/>
  <c r="AA236" i="65"/>
  <c r="AB236" i="65"/>
  <c r="AC236" i="65"/>
  <c r="AD236" i="65"/>
  <c r="AE236" i="65"/>
  <c r="AF236" i="65"/>
  <c r="AG236" i="65"/>
  <c r="AH236" i="65"/>
  <c r="AI236" i="65"/>
  <c r="AJ236" i="65"/>
  <c r="AK236" i="65"/>
  <c r="AL236" i="65"/>
  <c r="AM236" i="65"/>
  <c r="AN236" i="65"/>
  <c r="AO236" i="65"/>
  <c r="AP236" i="65"/>
  <c r="AQ236" i="65"/>
  <c r="AR236" i="65"/>
  <c r="AS236" i="65"/>
  <c r="AT236" i="65"/>
  <c r="AU236" i="65"/>
  <c r="AW236" i="65"/>
  <c r="AX236" i="65"/>
  <c r="AY236" i="65"/>
  <c r="BA236" i="65"/>
  <c r="A237" i="65"/>
  <c r="B237" i="65"/>
  <c r="D237" i="65"/>
  <c r="E237" i="65"/>
  <c r="F237" i="65"/>
  <c r="G237" i="65"/>
  <c r="H237" i="65"/>
  <c r="J237" i="65"/>
  <c r="K237" i="65"/>
  <c r="L237" i="65"/>
  <c r="M237" i="65"/>
  <c r="O237" i="65"/>
  <c r="P237" i="65"/>
  <c r="R237" i="65"/>
  <c r="S237" i="65"/>
  <c r="T237" i="65"/>
  <c r="U237" i="65"/>
  <c r="V237" i="65"/>
  <c r="W237" i="65"/>
  <c r="X237" i="65"/>
  <c r="Z237" i="65"/>
  <c r="AA237" i="65"/>
  <c r="AB237" i="65"/>
  <c r="AC237" i="65"/>
  <c r="AD237" i="65"/>
  <c r="AE237" i="65"/>
  <c r="AF237" i="65"/>
  <c r="AG237" i="65"/>
  <c r="AH237" i="65"/>
  <c r="AI237" i="65"/>
  <c r="AJ237" i="65"/>
  <c r="AK237" i="65"/>
  <c r="AL237" i="65"/>
  <c r="AM237" i="65"/>
  <c r="AN237" i="65"/>
  <c r="AO237" i="65"/>
  <c r="AP237" i="65"/>
  <c r="AQ237" i="65"/>
  <c r="AR237" i="65"/>
  <c r="AS237" i="65"/>
  <c r="AT237" i="65"/>
  <c r="AU237" i="65"/>
  <c r="AW237" i="65"/>
  <c r="AX237" i="65"/>
  <c r="AY237" i="65"/>
  <c r="BA237" i="65"/>
  <c r="A238" i="65"/>
  <c r="B238" i="65"/>
  <c r="D238" i="65"/>
  <c r="E238" i="65"/>
  <c r="F238" i="65"/>
  <c r="G238" i="65"/>
  <c r="H238" i="65"/>
  <c r="J238" i="65"/>
  <c r="K238" i="65"/>
  <c r="L238" i="65"/>
  <c r="M238" i="65"/>
  <c r="O238" i="65"/>
  <c r="P238" i="65"/>
  <c r="R238" i="65"/>
  <c r="S238" i="65"/>
  <c r="T238" i="65"/>
  <c r="U238" i="65"/>
  <c r="V238" i="65"/>
  <c r="W238" i="65"/>
  <c r="X238" i="65"/>
  <c r="Z238" i="65"/>
  <c r="AA238" i="65"/>
  <c r="AB238" i="65"/>
  <c r="AC238" i="65"/>
  <c r="AD238" i="65"/>
  <c r="AE238" i="65"/>
  <c r="AF238" i="65"/>
  <c r="AG238" i="65"/>
  <c r="AH238" i="65"/>
  <c r="AI238" i="65"/>
  <c r="AJ238" i="65"/>
  <c r="AK238" i="65"/>
  <c r="AL238" i="65"/>
  <c r="AM238" i="65"/>
  <c r="AN238" i="65"/>
  <c r="AO238" i="65"/>
  <c r="AP238" i="65"/>
  <c r="AQ238" i="65"/>
  <c r="AR238" i="65"/>
  <c r="AS238" i="65"/>
  <c r="AT238" i="65"/>
  <c r="AU238" i="65"/>
  <c r="AW238" i="65"/>
  <c r="AX238" i="65"/>
  <c r="AY238" i="65"/>
  <c r="BA238" i="65"/>
  <c r="A239" i="65"/>
  <c r="B239" i="65"/>
  <c r="D239" i="65"/>
  <c r="E239" i="65"/>
  <c r="F239" i="65"/>
  <c r="G239" i="65"/>
  <c r="H239" i="65"/>
  <c r="J239" i="65"/>
  <c r="K239" i="65"/>
  <c r="L239" i="65"/>
  <c r="M239" i="65"/>
  <c r="O239" i="65"/>
  <c r="P239" i="65"/>
  <c r="R239" i="65"/>
  <c r="S239" i="65"/>
  <c r="T239" i="65"/>
  <c r="U239" i="65"/>
  <c r="V239" i="65"/>
  <c r="W239" i="65"/>
  <c r="X239" i="65"/>
  <c r="Z239" i="65"/>
  <c r="AA239" i="65"/>
  <c r="AB239" i="65"/>
  <c r="AC239" i="65"/>
  <c r="AD239" i="65"/>
  <c r="AE239" i="65"/>
  <c r="AF239" i="65"/>
  <c r="AG239" i="65"/>
  <c r="AH239" i="65"/>
  <c r="AI239" i="65"/>
  <c r="AJ239" i="65"/>
  <c r="AK239" i="65"/>
  <c r="AL239" i="65"/>
  <c r="AM239" i="65"/>
  <c r="AN239" i="65"/>
  <c r="AO239" i="65"/>
  <c r="AP239" i="65"/>
  <c r="AQ239" i="65"/>
  <c r="AR239" i="65"/>
  <c r="AS239" i="65"/>
  <c r="AT239" i="65"/>
  <c r="AU239" i="65"/>
  <c r="AW239" i="65"/>
  <c r="AX239" i="65"/>
  <c r="AY239" i="65"/>
  <c r="BA239" i="65"/>
  <c r="A240" i="65"/>
  <c r="B240" i="65"/>
  <c r="D240" i="65"/>
  <c r="E240" i="65"/>
  <c r="F240" i="65"/>
  <c r="G240" i="65"/>
  <c r="H240" i="65"/>
  <c r="J240" i="65"/>
  <c r="K240" i="65"/>
  <c r="L240" i="65"/>
  <c r="M240" i="65"/>
  <c r="O240" i="65"/>
  <c r="P240" i="65"/>
  <c r="R240" i="65"/>
  <c r="S240" i="65"/>
  <c r="T240" i="65"/>
  <c r="U240" i="65"/>
  <c r="V240" i="65"/>
  <c r="W240" i="65"/>
  <c r="X240" i="65"/>
  <c r="Z240" i="65"/>
  <c r="AA240" i="65"/>
  <c r="AB240" i="65"/>
  <c r="AC240" i="65"/>
  <c r="AD240" i="65"/>
  <c r="AE240" i="65"/>
  <c r="AF240" i="65"/>
  <c r="AG240" i="65"/>
  <c r="AH240" i="65"/>
  <c r="AI240" i="65"/>
  <c r="AJ240" i="65"/>
  <c r="AK240" i="65"/>
  <c r="AL240" i="65"/>
  <c r="AM240" i="65"/>
  <c r="AN240" i="65"/>
  <c r="AO240" i="65"/>
  <c r="AP240" i="65"/>
  <c r="AQ240" i="65"/>
  <c r="AR240" i="65"/>
  <c r="AS240" i="65"/>
  <c r="AT240" i="65"/>
  <c r="AU240" i="65"/>
  <c r="AW240" i="65"/>
  <c r="AX240" i="65"/>
  <c r="AY240" i="65"/>
  <c r="BA240" i="65"/>
  <c r="A241" i="65"/>
  <c r="B241" i="65"/>
  <c r="D241" i="65"/>
  <c r="E241" i="65"/>
  <c r="F241" i="65"/>
  <c r="G241" i="65"/>
  <c r="H241" i="65"/>
  <c r="J241" i="65"/>
  <c r="K241" i="65"/>
  <c r="L241" i="65"/>
  <c r="M241" i="65"/>
  <c r="O241" i="65"/>
  <c r="P241" i="65"/>
  <c r="R241" i="65"/>
  <c r="S241" i="65"/>
  <c r="T241" i="65"/>
  <c r="U241" i="65"/>
  <c r="V241" i="65"/>
  <c r="W241" i="65"/>
  <c r="X241" i="65"/>
  <c r="Z241" i="65"/>
  <c r="AA241" i="65"/>
  <c r="AB241" i="65"/>
  <c r="AC241" i="65"/>
  <c r="AD241" i="65"/>
  <c r="AE241" i="65"/>
  <c r="AF241" i="65"/>
  <c r="AG241" i="65"/>
  <c r="AH241" i="65"/>
  <c r="AI241" i="65"/>
  <c r="AJ241" i="65"/>
  <c r="AK241" i="65"/>
  <c r="AL241" i="65"/>
  <c r="AM241" i="65"/>
  <c r="AN241" i="65"/>
  <c r="AO241" i="65"/>
  <c r="AP241" i="65"/>
  <c r="AQ241" i="65"/>
  <c r="AR241" i="65"/>
  <c r="AS241" i="65"/>
  <c r="AT241" i="65"/>
  <c r="AU241" i="65"/>
  <c r="AW241" i="65"/>
  <c r="AX241" i="65"/>
  <c r="AY241" i="65"/>
  <c r="BA241" i="65"/>
  <c r="A242" i="65"/>
  <c r="B242" i="65"/>
  <c r="D242" i="65"/>
  <c r="E242" i="65"/>
  <c r="F242" i="65"/>
  <c r="G242" i="65"/>
  <c r="H242" i="65"/>
  <c r="J242" i="65"/>
  <c r="K242" i="65"/>
  <c r="L242" i="65"/>
  <c r="M242" i="65"/>
  <c r="O242" i="65"/>
  <c r="P242" i="65"/>
  <c r="R242" i="65"/>
  <c r="S242" i="65"/>
  <c r="T242" i="65"/>
  <c r="U242" i="65"/>
  <c r="V242" i="65"/>
  <c r="W242" i="65"/>
  <c r="X242" i="65"/>
  <c r="Z242" i="65"/>
  <c r="AA242" i="65"/>
  <c r="AB242" i="65"/>
  <c r="AC242" i="65"/>
  <c r="AD242" i="65"/>
  <c r="AE242" i="65"/>
  <c r="AF242" i="65"/>
  <c r="AG242" i="65"/>
  <c r="AH242" i="65"/>
  <c r="AI242" i="65"/>
  <c r="AJ242" i="65"/>
  <c r="AK242" i="65"/>
  <c r="AL242" i="65"/>
  <c r="AM242" i="65"/>
  <c r="AN242" i="65"/>
  <c r="AO242" i="65"/>
  <c r="AP242" i="65"/>
  <c r="AQ242" i="65"/>
  <c r="AR242" i="65"/>
  <c r="AS242" i="65"/>
  <c r="AT242" i="65"/>
  <c r="AU242" i="65"/>
  <c r="AW242" i="65"/>
  <c r="AX242" i="65"/>
  <c r="AY242" i="65"/>
  <c r="BA242" i="65"/>
  <c r="A243" i="65"/>
  <c r="B243" i="65"/>
  <c r="D243" i="65"/>
  <c r="E243" i="65"/>
  <c r="F243" i="65"/>
  <c r="G243" i="65"/>
  <c r="H243" i="65"/>
  <c r="J243" i="65"/>
  <c r="K243" i="65"/>
  <c r="L243" i="65"/>
  <c r="M243" i="65"/>
  <c r="O243" i="65"/>
  <c r="P243" i="65"/>
  <c r="R243" i="65"/>
  <c r="S243" i="65"/>
  <c r="T243" i="65"/>
  <c r="U243" i="65"/>
  <c r="V243" i="65"/>
  <c r="W243" i="65"/>
  <c r="X243" i="65"/>
  <c r="Z243" i="65"/>
  <c r="AA243" i="65"/>
  <c r="AB243" i="65"/>
  <c r="AC243" i="65"/>
  <c r="AD243" i="65"/>
  <c r="AE243" i="65"/>
  <c r="AF243" i="65"/>
  <c r="AG243" i="65"/>
  <c r="AH243" i="65"/>
  <c r="AI243" i="65"/>
  <c r="AJ243" i="65"/>
  <c r="AK243" i="65"/>
  <c r="AL243" i="65"/>
  <c r="AM243" i="65"/>
  <c r="AN243" i="65"/>
  <c r="AO243" i="65"/>
  <c r="AP243" i="65"/>
  <c r="AQ243" i="65"/>
  <c r="AR243" i="65"/>
  <c r="AS243" i="65"/>
  <c r="AT243" i="65"/>
  <c r="AU243" i="65"/>
  <c r="AW243" i="65"/>
  <c r="AX243" i="65"/>
  <c r="AY243" i="65"/>
  <c r="BA243" i="65"/>
  <c r="A244" i="65"/>
  <c r="B244" i="65"/>
  <c r="D244" i="65"/>
  <c r="E244" i="65"/>
  <c r="F244" i="65"/>
  <c r="G244" i="65"/>
  <c r="H244" i="65"/>
  <c r="J244" i="65"/>
  <c r="K244" i="65"/>
  <c r="L244" i="65"/>
  <c r="M244" i="65"/>
  <c r="O244" i="65"/>
  <c r="P244" i="65"/>
  <c r="R244" i="65"/>
  <c r="S244" i="65"/>
  <c r="T244" i="65"/>
  <c r="U244" i="65"/>
  <c r="V244" i="65"/>
  <c r="W244" i="65"/>
  <c r="X244" i="65"/>
  <c r="Z244" i="65"/>
  <c r="AA244" i="65"/>
  <c r="AB244" i="65"/>
  <c r="AC244" i="65"/>
  <c r="AD244" i="65"/>
  <c r="AE244" i="65"/>
  <c r="AF244" i="65"/>
  <c r="AG244" i="65"/>
  <c r="AH244" i="65"/>
  <c r="AI244" i="65"/>
  <c r="AJ244" i="65"/>
  <c r="AK244" i="65"/>
  <c r="AL244" i="65"/>
  <c r="AM244" i="65"/>
  <c r="AN244" i="65"/>
  <c r="AO244" i="65"/>
  <c r="AP244" i="65"/>
  <c r="AQ244" i="65"/>
  <c r="AR244" i="65"/>
  <c r="AS244" i="65"/>
  <c r="AT244" i="65"/>
  <c r="AU244" i="65"/>
  <c r="AW244" i="65"/>
  <c r="AX244" i="65"/>
  <c r="AY244" i="65"/>
  <c r="BA244" i="65"/>
  <c r="A245" i="65"/>
  <c r="B245" i="65"/>
  <c r="D245" i="65"/>
  <c r="E245" i="65"/>
  <c r="F245" i="65"/>
  <c r="G245" i="65"/>
  <c r="H245" i="65"/>
  <c r="J245" i="65"/>
  <c r="K245" i="65"/>
  <c r="L245" i="65"/>
  <c r="M245" i="65"/>
  <c r="O245" i="65"/>
  <c r="P245" i="65"/>
  <c r="R245" i="65"/>
  <c r="S245" i="65"/>
  <c r="T245" i="65"/>
  <c r="U245" i="65"/>
  <c r="V245" i="65"/>
  <c r="W245" i="65"/>
  <c r="X245" i="65"/>
  <c r="Z245" i="65"/>
  <c r="AA245" i="65"/>
  <c r="AB245" i="65"/>
  <c r="AC245" i="65"/>
  <c r="AD245" i="65"/>
  <c r="AE245" i="65"/>
  <c r="AF245" i="65"/>
  <c r="AG245" i="65"/>
  <c r="AH245" i="65"/>
  <c r="AI245" i="65"/>
  <c r="AJ245" i="65"/>
  <c r="AK245" i="65"/>
  <c r="AL245" i="65"/>
  <c r="AM245" i="65"/>
  <c r="AN245" i="65"/>
  <c r="AO245" i="65"/>
  <c r="AP245" i="65"/>
  <c r="AQ245" i="65"/>
  <c r="AR245" i="65"/>
  <c r="AS245" i="65"/>
  <c r="AT245" i="65"/>
  <c r="AU245" i="65"/>
  <c r="AW245" i="65"/>
  <c r="AX245" i="65"/>
  <c r="AY245" i="65"/>
  <c r="BA245" i="65"/>
  <c r="A246" i="65"/>
  <c r="B246" i="65"/>
  <c r="D246" i="65"/>
  <c r="E246" i="65"/>
  <c r="F246" i="65"/>
  <c r="G246" i="65"/>
  <c r="H246" i="65"/>
  <c r="J246" i="65"/>
  <c r="K246" i="65"/>
  <c r="L246" i="65"/>
  <c r="M246" i="65"/>
  <c r="O246" i="65"/>
  <c r="P246" i="65"/>
  <c r="R246" i="65"/>
  <c r="S246" i="65"/>
  <c r="T246" i="65"/>
  <c r="U246" i="65"/>
  <c r="V246" i="65"/>
  <c r="W246" i="65"/>
  <c r="X246" i="65"/>
  <c r="Z246" i="65"/>
  <c r="AA246" i="65"/>
  <c r="AB246" i="65"/>
  <c r="AC246" i="65"/>
  <c r="AD246" i="65"/>
  <c r="AE246" i="65"/>
  <c r="AF246" i="65"/>
  <c r="AG246" i="65"/>
  <c r="AH246" i="65"/>
  <c r="AI246" i="65"/>
  <c r="AJ246" i="65"/>
  <c r="AK246" i="65"/>
  <c r="AL246" i="65"/>
  <c r="AM246" i="65"/>
  <c r="AN246" i="65"/>
  <c r="AO246" i="65"/>
  <c r="AP246" i="65"/>
  <c r="AQ246" i="65"/>
  <c r="AR246" i="65"/>
  <c r="AS246" i="65"/>
  <c r="AT246" i="65"/>
  <c r="AU246" i="65"/>
  <c r="AW246" i="65"/>
  <c r="AX246" i="65"/>
  <c r="AY246" i="65"/>
  <c r="BA246" i="65"/>
  <c r="A247" i="65"/>
  <c r="B247" i="65"/>
  <c r="D247" i="65"/>
  <c r="E247" i="65"/>
  <c r="F247" i="65"/>
  <c r="G247" i="65"/>
  <c r="H247" i="65"/>
  <c r="J247" i="65"/>
  <c r="K247" i="65"/>
  <c r="L247" i="65"/>
  <c r="M247" i="65"/>
  <c r="O247" i="65"/>
  <c r="P247" i="65"/>
  <c r="R247" i="65"/>
  <c r="S247" i="65"/>
  <c r="T247" i="65"/>
  <c r="U247" i="65"/>
  <c r="V247" i="65"/>
  <c r="W247" i="65"/>
  <c r="X247" i="65"/>
  <c r="Z247" i="65"/>
  <c r="AA247" i="65"/>
  <c r="AB247" i="65"/>
  <c r="AC247" i="65"/>
  <c r="AD247" i="65"/>
  <c r="AE247" i="65"/>
  <c r="AF247" i="65"/>
  <c r="AG247" i="65"/>
  <c r="AH247" i="65"/>
  <c r="AI247" i="65"/>
  <c r="AJ247" i="65"/>
  <c r="AK247" i="65"/>
  <c r="AL247" i="65"/>
  <c r="AM247" i="65"/>
  <c r="AN247" i="65"/>
  <c r="AO247" i="65"/>
  <c r="AP247" i="65"/>
  <c r="AQ247" i="65"/>
  <c r="AR247" i="65"/>
  <c r="AS247" i="65"/>
  <c r="AT247" i="65"/>
  <c r="AU247" i="65"/>
  <c r="AW247" i="65"/>
  <c r="AX247" i="65"/>
  <c r="AY247" i="65"/>
  <c r="BA247" i="65"/>
  <c r="A248" i="65"/>
  <c r="B248" i="65"/>
  <c r="D248" i="65"/>
  <c r="E248" i="65"/>
  <c r="F248" i="65"/>
  <c r="G248" i="65"/>
  <c r="H248" i="65"/>
  <c r="J248" i="65"/>
  <c r="K248" i="65"/>
  <c r="L248" i="65"/>
  <c r="M248" i="65"/>
  <c r="O248" i="65"/>
  <c r="P248" i="65"/>
  <c r="R248" i="65"/>
  <c r="S248" i="65"/>
  <c r="T248" i="65"/>
  <c r="U248" i="65"/>
  <c r="V248" i="65"/>
  <c r="W248" i="65"/>
  <c r="X248" i="65"/>
  <c r="Z248" i="65"/>
  <c r="AA248" i="65"/>
  <c r="AB248" i="65"/>
  <c r="AC248" i="65"/>
  <c r="AD248" i="65"/>
  <c r="AE248" i="65"/>
  <c r="AF248" i="65"/>
  <c r="AG248" i="65"/>
  <c r="AH248" i="65"/>
  <c r="AI248" i="65"/>
  <c r="AJ248" i="65"/>
  <c r="AK248" i="65"/>
  <c r="AL248" i="65"/>
  <c r="AM248" i="65"/>
  <c r="AN248" i="65"/>
  <c r="AO248" i="65"/>
  <c r="AP248" i="65"/>
  <c r="AQ248" i="65"/>
  <c r="AR248" i="65"/>
  <c r="AS248" i="65"/>
  <c r="AT248" i="65"/>
  <c r="AU248" i="65"/>
  <c r="AW248" i="65"/>
  <c r="AX248" i="65"/>
  <c r="AY248" i="65"/>
  <c r="BA248" i="65"/>
  <c r="A249" i="65"/>
  <c r="B249" i="65"/>
  <c r="D249" i="65"/>
  <c r="E249" i="65"/>
  <c r="F249" i="65"/>
  <c r="G249" i="65"/>
  <c r="H249" i="65"/>
  <c r="J249" i="65"/>
  <c r="K249" i="65"/>
  <c r="L249" i="65"/>
  <c r="M249" i="65"/>
  <c r="O249" i="65"/>
  <c r="P249" i="65"/>
  <c r="R249" i="65"/>
  <c r="S249" i="65"/>
  <c r="T249" i="65"/>
  <c r="U249" i="65"/>
  <c r="V249" i="65"/>
  <c r="W249" i="65"/>
  <c r="X249" i="65"/>
  <c r="Z249" i="65"/>
  <c r="AA249" i="65"/>
  <c r="AB249" i="65"/>
  <c r="AC249" i="65"/>
  <c r="AD249" i="65"/>
  <c r="AE249" i="65"/>
  <c r="AF249" i="65"/>
  <c r="AG249" i="65"/>
  <c r="AH249" i="65"/>
  <c r="AI249" i="65"/>
  <c r="AJ249" i="65"/>
  <c r="AK249" i="65"/>
  <c r="AL249" i="65"/>
  <c r="AM249" i="65"/>
  <c r="AN249" i="65"/>
  <c r="AO249" i="65"/>
  <c r="AP249" i="65"/>
  <c r="AQ249" i="65"/>
  <c r="AR249" i="65"/>
  <c r="AS249" i="65"/>
  <c r="AT249" i="65"/>
  <c r="AU249" i="65"/>
  <c r="AW249" i="65"/>
  <c r="AX249" i="65"/>
  <c r="AY249" i="65"/>
  <c r="BA249" i="65"/>
  <c r="A250" i="65"/>
  <c r="B250" i="65"/>
  <c r="D250" i="65"/>
  <c r="E250" i="65"/>
  <c r="F250" i="65"/>
  <c r="G250" i="65"/>
  <c r="H250" i="65"/>
  <c r="J250" i="65"/>
  <c r="K250" i="65"/>
  <c r="L250" i="65"/>
  <c r="M250" i="65"/>
  <c r="O250" i="65"/>
  <c r="P250" i="65"/>
  <c r="R250" i="65"/>
  <c r="S250" i="65"/>
  <c r="T250" i="65"/>
  <c r="U250" i="65"/>
  <c r="V250" i="65"/>
  <c r="W250" i="65"/>
  <c r="X250" i="65"/>
  <c r="Z250" i="65"/>
  <c r="AA250" i="65"/>
  <c r="AB250" i="65"/>
  <c r="AC250" i="65"/>
  <c r="AD250" i="65"/>
  <c r="AE250" i="65"/>
  <c r="AF250" i="65"/>
  <c r="AG250" i="65"/>
  <c r="AH250" i="65"/>
  <c r="AI250" i="65"/>
  <c r="AJ250" i="65"/>
  <c r="AK250" i="65"/>
  <c r="AL250" i="65"/>
  <c r="AM250" i="65"/>
  <c r="AN250" i="65"/>
  <c r="AO250" i="65"/>
  <c r="AP250" i="65"/>
  <c r="AQ250" i="65"/>
  <c r="AR250" i="65"/>
  <c r="AS250" i="65"/>
  <c r="AT250" i="65"/>
  <c r="AU250" i="65"/>
  <c r="AW250" i="65"/>
  <c r="AX250" i="65"/>
  <c r="AY250" i="65"/>
  <c r="BA250" i="65"/>
  <c r="A251" i="65"/>
  <c r="B251" i="65"/>
  <c r="D251" i="65"/>
  <c r="E251" i="65"/>
  <c r="F251" i="65"/>
  <c r="G251" i="65"/>
  <c r="H251" i="65"/>
  <c r="J251" i="65"/>
  <c r="K251" i="65"/>
  <c r="L251" i="65"/>
  <c r="M251" i="65"/>
  <c r="O251" i="65"/>
  <c r="P251" i="65"/>
  <c r="R251" i="65"/>
  <c r="S251" i="65"/>
  <c r="T251" i="65"/>
  <c r="U251" i="65"/>
  <c r="V251" i="65"/>
  <c r="W251" i="65"/>
  <c r="X251" i="65"/>
  <c r="Z251" i="65"/>
  <c r="AA251" i="65"/>
  <c r="AB251" i="65"/>
  <c r="AC251" i="65"/>
  <c r="AD251" i="65"/>
  <c r="AE251" i="65"/>
  <c r="AF251" i="65"/>
  <c r="AG251" i="65"/>
  <c r="AH251" i="65"/>
  <c r="AI251" i="65"/>
  <c r="AJ251" i="65"/>
  <c r="AK251" i="65"/>
  <c r="AL251" i="65"/>
  <c r="AM251" i="65"/>
  <c r="AN251" i="65"/>
  <c r="AO251" i="65"/>
  <c r="AP251" i="65"/>
  <c r="AQ251" i="65"/>
  <c r="AR251" i="65"/>
  <c r="AS251" i="65"/>
  <c r="AT251" i="65"/>
  <c r="AU251" i="65"/>
  <c r="AW251" i="65"/>
  <c r="AX251" i="65"/>
  <c r="AY251" i="65"/>
  <c r="BA251" i="65"/>
  <c r="A252" i="65"/>
  <c r="B252" i="65"/>
  <c r="D252" i="65"/>
  <c r="E252" i="65"/>
  <c r="F252" i="65"/>
  <c r="G252" i="65"/>
  <c r="H252" i="65"/>
  <c r="J252" i="65"/>
  <c r="K252" i="65"/>
  <c r="L252" i="65"/>
  <c r="M252" i="65"/>
  <c r="O252" i="65"/>
  <c r="P252" i="65"/>
  <c r="R252" i="65"/>
  <c r="S252" i="65"/>
  <c r="T252" i="65"/>
  <c r="U252" i="65"/>
  <c r="V252" i="65"/>
  <c r="W252" i="65"/>
  <c r="X252" i="65"/>
  <c r="Z252" i="65"/>
  <c r="AA252" i="65"/>
  <c r="AB252" i="65"/>
  <c r="AC252" i="65"/>
  <c r="AD252" i="65"/>
  <c r="AE252" i="65"/>
  <c r="AF252" i="65"/>
  <c r="AG252" i="65"/>
  <c r="AH252" i="65"/>
  <c r="AI252" i="65"/>
  <c r="AJ252" i="65"/>
  <c r="AK252" i="65"/>
  <c r="AL252" i="65"/>
  <c r="AM252" i="65"/>
  <c r="AN252" i="65"/>
  <c r="AO252" i="65"/>
  <c r="AP252" i="65"/>
  <c r="AQ252" i="65"/>
  <c r="AR252" i="65"/>
  <c r="AS252" i="65"/>
  <c r="AT252" i="65"/>
  <c r="AU252" i="65"/>
  <c r="AW252" i="65"/>
  <c r="AX252" i="65"/>
  <c r="AY252" i="65"/>
  <c r="BA252" i="65"/>
  <c r="A253" i="65"/>
  <c r="B253" i="65"/>
  <c r="D253" i="65"/>
  <c r="E253" i="65"/>
  <c r="F253" i="65"/>
  <c r="G253" i="65"/>
  <c r="H253" i="65"/>
  <c r="J253" i="65"/>
  <c r="K253" i="65"/>
  <c r="L253" i="65"/>
  <c r="M253" i="65"/>
  <c r="O253" i="65"/>
  <c r="P253" i="65"/>
  <c r="R253" i="65"/>
  <c r="S253" i="65"/>
  <c r="T253" i="65"/>
  <c r="U253" i="65"/>
  <c r="V253" i="65"/>
  <c r="W253" i="65"/>
  <c r="X253" i="65"/>
  <c r="Z253" i="65"/>
  <c r="AA253" i="65"/>
  <c r="AB253" i="65"/>
  <c r="AC253" i="65"/>
  <c r="AD253" i="65"/>
  <c r="AE253" i="65"/>
  <c r="AF253" i="65"/>
  <c r="AG253" i="65"/>
  <c r="AH253" i="65"/>
  <c r="AI253" i="65"/>
  <c r="AJ253" i="65"/>
  <c r="AK253" i="65"/>
  <c r="AL253" i="65"/>
  <c r="AM253" i="65"/>
  <c r="AN253" i="65"/>
  <c r="AO253" i="65"/>
  <c r="AP253" i="65"/>
  <c r="AQ253" i="65"/>
  <c r="AR253" i="65"/>
  <c r="AS253" i="65"/>
  <c r="AT253" i="65"/>
  <c r="AU253" i="65"/>
  <c r="AW253" i="65"/>
  <c r="AX253" i="65"/>
  <c r="AY253" i="65"/>
  <c r="BA253" i="65"/>
  <c r="A254" i="65"/>
  <c r="B254" i="65"/>
  <c r="D254" i="65"/>
  <c r="E254" i="65"/>
  <c r="F254" i="65"/>
  <c r="G254" i="65"/>
  <c r="H254" i="65"/>
  <c r="J254" i="65"/>
  <c r="K254" i="65"/>
  <c r="L254" i="65"/>
  <c r="M254" i="65"/>
  <c r="O254" i="65"/>
  <c r="P254" i="65"/>
  <c r="R254" i="65"/>
  <c r="S254" i="65"/>
  <c r="T254" i="65"/>
  <c r="U254" i="65"/>
  <c r="V254" i="65"/>
  <c r="W254" i="65"/>
  <c r="X254" i="65"/>
  <c r="Z254" i="65"/>
  <c r="AA254" i="65"/>
  <c r="AB254" i="65"/>
  <c r="AC254" i="65"/>
  <c r="AD254" i="65"/>
  <c r="AE254" i="65"/>
  <c r="AF254" i="65"/>
  <c r="AG254" i="65"/>
  <c r="AH254" i="65"/>
  <c r="AI254" i="65"/>
  <c r="AJ254" i="65"/>
  <c r="AK254" i="65"/>
  <c r="AL254" i="65"/>
  <c r="AM254" i="65"/>
  <c r="AN254" i="65"/>
  <c r="AO254" i="65"/>
  <c r="AP254" i="65"/>
  <c r="AQ254" i="65"/>
  <c r="AR254" i="65"/>
  <c r="AS254" i="65"/>
  <c r="AT254" i="65"/>
  <c r="AU254" i="65"/>
  <c r="AW254" i="65"/>
  <c r="AX254" i="65"/>
  <c r="AY254" i="65"/>
  <c r="BA254" i="65"/>
  <c r="A255" i="65"/>
  <c r="B255" i="65"/>
  <c r="D255" i="65"/>
  <c r="E255" i="65"/>
  <c r="F255" i="65"/>
  <c r="G255" i="65"/>
  <c r="H255" i="65"/>
  <c r="J255" i="65"/>
  <c r="K255" i="65"/>
  <c r="L255" i="65"/>
  <c r="M255" i="65"/>
  <c r="O255" i="65"/>
  <c r="P255" i="65"/>
  <c r="R255" i="65"/>
  <c r="S255" i="65"/>
  <c r="T255" i="65"/>
  <c r="U255" i="65"/>
  <c r="V255" i="65"/>
  <c r="W255" i="65"/>
  <c r="X255" i="65"/>
  <c r="Z255" i="65"/>
  <c r="AA255" i="65"/>
  <c r="AB255" i="65"/>
  <c r="AC255" i="65"/>
  <c r="AD255" i="65"/>
  <c r="AE255" i="65"/>
  <c r="AF255" i="65"/>
  <c r="AG255" i="65"/>
  <c r="AH255" i="65"/>
  <c r="AI255" i="65"/>
  <c r="AJ255" i="65"/>
  <c r="AK255" i="65"/>
  <c r="AL255" i="65"/>
  <c r="AM255" i="65"/>
  <c r="AN255" i="65"/>
  <c r="AO255" i="65"/>
  <c r="AP255" i="65"/>
  <c r="AQ255" i="65"/>
  <c r="AR255" i="65"/>
  <c r="AS255" i="65"/>
  <c r="AT255" i="65"/>
  <c r="AU255" i="65"/>
  <c r="AW255" i="65"/>
  <c r="AX255" i="65"/>
  <c r="AY255" i="65"/>
  <c r="BA255" i="65"/>
  <c r="A256" i="65"/>
  <c r="B256" i="65"/>
  <c r="D256" i="65"/>
  <c r="E256" i="65"/>
  <c r="F256" i="65"/>
  <c r="G256" i="65"/>
  <c r="H256" i="65"/>
  <c r="J256" i="65"/>
  <c r="K256" i="65"/>
  <c r="L256" i="65"/>
  <c r="M256" i="65"/>
  <c r="O256" i="65"/>
  <c r="P256" i="65"/>
  <c r="R256" i="65"/>
  <c r="S256" i="65"/>
  <c r="T256" i="65"/>
  <c r="U256" i="65"/>
  <c r="V256" i="65"/>
  <c r="W256" i="65"/>
  <c r="X256" i="65"/>
  <c r="Z256" i="65"/>
  <c r="AA256" i="65"/>
  <c r="AB256" i="65"/>
  <c r="AC256" i="65"/>
  <c r="AD256" i="65"/>
  <c r="AE256" i="65"/>
  <c r="AF256" i="65"/>
  <c r="AG256" i="65"/>
  <c r="AH256" i="65"/>
  <c r="AI256" i="65"/>
  <c r="AJ256" i="65"/>
  <c r="AK256" i="65"/>
  <c r="AL256" i="65"/>
  <c r="AM256" i="65"/>
  <c r="AN256" i="65"/>
  <c r="AO256" i="65"/>
  <c r="AP256" i="65"/>
  <c r="AQ256" i="65"/>
  <c r="AR256" i="65"/>
  <c r="AS256" i="65"/>
  <c r="AT256" i="65"/>
  <c r="AU256" i="65"/>
  <c r="AW256" i="65"/>
  <c r="AX256" i="65"/>
  <c r="AY256" i="65"/>
  <c r="BA256" i="65"/>
  <c r="A257" i="65"/>
  <c r="B257" i="65"/>
  <c r="D257" i="65"/>
  <c r="E257" i="65"/>
  <c r="F257" i="65"/>
  <c r="G257" i="65"/>
  <c r="H257" i="65"/>
  <c r="J257" i="65"/>
  <c r="K257" i="65"/>
  <c r="L257" i="65"/>
  <c r="M257" i="65"/>
  <c r="O257" i="65"/>
  <c r="P257" i="65"/>
  <c r="R257" i="65"/>
  <c r="S257" i="65"/>
  <c r="T257" i="65"/>
  <c r="U257" i="65"/>
  <c r="V257" i="65"/>
  <c r="W257" i="65"/>
  <c r="X257" i="65"/>
  <c r="Z257" i="65"/>
  <c r="AA257" i="65"/>
  <c r="AB257" i="65"/>
  <c r="AC257" i="65"/>
  <c r="AD257" i="65"/>
  <c r="AE257" i="65"/>
  <c r="AF257" i="65"/>
  <c r="AG257" i="65"/>
  <c r="AH257" i="65"/>
  <c r="AI257" i="65"/>
  <c r="AJ257" i="65"/>
  <c r="AK257" i="65"/>
  <c r="AL257" i="65"/>
  <c r="AM257" i="65"/>
  <c r="AN257" i="65"/>
  <c r="AO257" i="65"/>
  <c r="AP257" i="65"/>
  <c r="AQ257" i="65"/>
  <c r="AR257" i="65"/>
  <c r="AS257" i="65"/>
  <c r="AT257" i="65"/>
  <c r="AU257" i="65"/>
  <c r="AW257" i="65"/>
  <c r="AX257" i="65"/>
  <c r="AY257" i="65"/>
  <c r="BA257" i="65"/>
  <c r="A258" i="65"/>
  <c r="B258" i="65"/>
  <c r="D258" i="65"/>
  <c r="E258" i="65"/>
  <c r="F258" i="65"/>
  <c r="G258" i="65"/>
  <c r="H258" i="65"/>
  <c r="J258" i="65"/>
  <c r="K258" i="65"/>
  <c r="L258" i="65"/>
  <c r="M258" i="65"/>
  <c r="O258" i="65"/>
  <c r="P258" i="65"/>
  <c r="R258" i="65"/>
  <c r="S258" i="65"/>
  <c r="T258" i="65"/>
  <c r="U258" i="65"/>
  <c r="V258" i="65"/>
  <c r="W258" i="65"/>
  <c r="X258" i="65"/>
  <c r="Z258" i="65"/>
  <c r="AA258" i="65"/>
  <c r="AB258" i="65"/>
  <c r="AC258" i="65"/>
  <c r="AD258" i="65"/>
  <c r="AE258" i="65"/>
  <c r="AF258" i="65"/>
  <c r="AG258" i="65"/>
  <c r="AH258" i="65"/>
  <c r="AI258" i="65"/>
  <c r="AJ258" i="65"/>
  <c r="AK258" i="65"/>
  <c r="AL258" i="65"/>
  <c r="AM258" i="65"/>
  <c r="AN258" i="65"/>
  <c r="AO258" i="65"/>
  <c r="AP258" i="65"/>
  <c r="AQ258" i="65"/>
  <c r="AR258" i="65"/>
  <c r="AS258" i="65"/>
  <c r="AT258" i="65"/>
  <c r="AU258" i="65"/>
  <c r="AW258" i="65"/>
  <c r="AX258" i="65"/>
  <c r="AY258" i="65"/>
  <c r="BA258" i="65"/>
  <c r="A259" i="65"/>
  <c r="B259" i="65"/>
  <c r="D259" i="65"/>
  <c r="E259" i="65"/>
  <c r="F259" i="65"/>
  <c r="G259" i="65"/>
  <c r="H259" i="65"/>
  <c r="J259" i="65"/>
  <c r="K259" i="65"/>
  <c r="L259" i="65"/>
  <c r="M259" i="65"/>
  <c r="O259" i="65"/>
  <c r="P259" i="65"/>
  <c r="R259" i="65"/>
  <c r="S259" i="65"/>
  <c r="T259" i="65"/>
  <c r="U259" i="65"/>
  <c r="V259" i="65"/>
  <c r="W259" i="65"/>
  <c r="X259" i="65"/>
  <c r="Z259" i="65"/>
  <c r="AA259" i="65"/>
  <c r="AB259" i="65"/>
  <c r="AC259" i="65"/>
  <c r="AD259" i="65"/>
  <c r="AE259" i="65"/>
  <c r="AF259" i="65"/>
  <c r="AG259" i="65"/>
  <c r="AH259" i="65"/>
  <c r="AI259" i="65"/>
  <c r="AJ259" i="65"/>
  <c r="AK259" i="65"/>
  <c r="AL259" i="65"/>
  <c r="AM259" i="65"/>
  <c r="AN259" i="65"/>
  <c r="AO259" i="65"/>
  <c r="AP259" i="65"/>
  <c r="AQ259" i="65"/>
  <c r="AR259" i="65"/>
  <c r="AS259" i="65"/>
  <c r="AT259" i="65"/>
  <c r="AU259" i="65"/>
  <c r="AW259" i="65"/>
  <c r="AX259" i="65"/>
  <c r="AY259" i="65"/>
  <c r="BA259" i="65"/>
  <c r="A260" i="65"/>
  <c r="B260" i="65"/>
  <c r="D260" i="65"/>
  <c r="E260" i="65"/>
  <c r="F260" i="65"/>
  <c r="G260" i="65"/>
  <c r="H260" i="65"/>
  <c r="J260" i="65"/>
  <c r="K260" i="65"/>
  <c r="L260" i="65"/>
  <c r="M260" i="65"/>
  <c r="O260" i="65"/>
  <c r="P260" i="65"/>
  <c r="R260" i="65"/>
  <c r="S260" i="65"/>
  <c r="T260" i="65"/>
  <c r="U260" i="65"/>
  <c r="V260" i="65"/>
  <c r="W260" i="65"/>
  <c r="X260" i="65"/>
  <c r="Z260" i="65"/>
  <c r="AA260" i="65"/>
  <c r="AB260" i="65"/>
  <c r="AC260" i="65"/>
  <c r="AD260" i="65"/>
  <c r="AE260" i="65"/>
  <c r="AF260" i="65"/>
  <c r="AG260" i="65"/>
  <c r="AH260" i="65"/>
  <c r="AI260" i="65"/>
  <c r="AJ260" i="65"/>
  <c r="AK260" i="65"/>
  <c r="AL260" i="65"/>
  <c r="AM260" i="65"/>
  <c r="AN260" i="65"/>
  <c r="AO260" i="65"/>
  <c r="AP260" i="65"/>
  <c r="AQ260" i="65"/>
  <c r="AR260" i="65"/>
  <c r="AS260" i="65"/>
  <c r="AT260" i="65"/>
  <c r="AU260" i="65"/>
  <c r="AW260" i="65"/>
  <c r="AX260" i="65"/>
  <c r="AY260" i="65"/>
  <c r="BA260" i="65"/>
  <c r="A261" i="65"/>
  <c r="B261" i="65"/>
  <c r="D261" i="65"/>
  <c r="E261" i="65"/>
  <c r="F261" i="65"/>
  <c r="G261" i="65"/>
  <c r="H261" i="65"/>
  <c r="J261" i="65"/>
  <c r="K261" i="65"/>
  <c r="L261" i="65"/>
  <c r="M261" i="65"/>
  <c r="O261" i="65"/>
  <c r="P261" i="65"/>
  <c r="R261" i="65"/>
  <c r="S261" i="65"/>
  <c r="T261" i="65"/>
  <c r="U261" i="65"/>
  <c r="V261" i="65"/>
  <c r="W261" i="65"/>
  <c r="X261" i="65"/>
  <c r="Z261" i="65"/>
  <c r="AA261" i="65"/>
  <c r="AB261" i="65"/>
  <c r="AC261" i="65"/>
  <c r="AD261" i="65"/>
  <c r="AE261" i="65"/>
  <c r="AF261" i="65"/>
  <c r="AG261" i="65"/>
  <c r="AH261" i="65"/>
  <c r="AI261" i="65"/>
  <c r="AJ261" i="65"/>
  <c r="AK261" i="65"/>
  <c r="AL261" i="65"/>
  <c r="AM261" i="65"/>
  <c r="AN261" i="65"/>
  <c r="AO261" i="65"/>
  <c r="AP261" i="65"/>
  <c r="AQ261" i="65"/>
  <c r="AR261" i="65"/>
  <c r="AS261" i="65"/>
  <c r="AT261" i="65"/>
  <c r="AU261" i="65"/>
  <c r="AW261" i="65"/>
  <c r="AX261" i="65"/>
  <c r="AY261" i="65"/>
  <c r="BA261" i="65"/>
  <c r="A262" i="65"/>
  <c r="B262" i="65"/>
  <c r="D262" i="65"/>
  <c r="E262" i="65"/>
  <c r="F262" i="65"/>
  <c r="G262" i="65"/>
  <c r="H262" i="65"/>
  <c r="J262" i="65"/>
  <c r="K262" i="65"/>
  <c r="L262" i="65"/>
  <c r="M262" i="65"/>
  <c r="O262" i="65"/>
  <c r="P262" i="65"/>
  <c r="R262" i="65"/>
  <c r="S262" i="65"/>
  <c r="T262" i="65"/>
  <c r="U262" i="65"/>
  <c r="V262" i="65"/>
  <c r="W262" i="65"/>
  <c r="X262" i="65"/>
  <c r="Z262" i="65"/>
  <c r="AA262" i="65"/>
  <c r="AB262" i="65"/>
  <c r="AC262" i="65"/>
  <c r="AD262" i="65"/>
  <c r="AE262" i="65"/>
  <c r="AF262" i="65"/>
  <c r="AG262" i="65"/>
  <c r="AH262" i="65"/>
  <c r="AI262" i="65"/>
  <c r="AJ262" i="65"/>
  <c r="AK262" i="65"/>
  <c r="AL262" i="65"/>
  <c r="AM262" i="65"/>
  <c r="AN262" i="65"/>
  <c r="AO262" i="65"/>
  <c r="AP262" i="65"/>
  <c r="AQ262" i="65"/>
  <c r="AR262" i="65"/>
  <c r="AS262" i="65"/>
  <c r="AT262" i="65"/>
  <c r="AU262" i="65"/>
  <c r="AW262" i="65"/>
  <c r="AX262" i="65"/>
  <c r="AY262" i="65"/>
  <c r="BA262" i="65"/>
  <c r="A263" i="65"/>
  <c r="B263" i="65"/>
  <c r="D263" i="65"/>
  <c r="E263" i="65"/>
  <c r="F263" i="65"/>
  <c r="G263" i="65"/>
  <c r="H263" i="65"/>
  <c r="J263" i="65"/>
  <c r="K263" i="65"/>
  <c r="L263" i="65"/>
  <c r="M263" i="65"/>
  <c r="O263" i="65"/>
  <c r="P263" i="65"/>
  <c r="R263" i="65"/>
  <c r="S263" i="65"/>
  <c r="T263" i="65"/>
  <c r="U263" i="65"/>
  <c r="V263" i="65"/>
  <c r="W263" i="65"/>
  <c r="X263" i="65"/>
  <c r="Z263" i="65"/>
  <c r="AA263" i="65"/>
  <c r="AB263" i="65"/>
  <c r="AC263" i="65"/>
  <c r="AD263" i="65"/>
  <c r="AE263" i="65"/>
  <c r="AF263" i="65"/>
  <c r="AG263" i="65"/>
  <c r="AH263" i="65"/>
  <c r="AI263" i="65"/>
  <c r="AJ263" i="65"/>
  <c r="AK263" i="65"/>
  <c r="AL263" i="65"/>
  <c r="AM263" i="65"/>
  <c r="AN263" i="65"/>
  <c r="AO263" i="65"/>
  <c r="AP263" i="65"/>
  <c r="AQ263" i="65"/>
  <c r="AR263" i="65"/>
  <c r="AS263" i="65"/>
  <c r="AT263" i="65"/>
  <c r="AU263" i="65"/>
  <c r="AW263" i="65"/>
  <c r="AX263" i="65"/>
  <c r="AY263" i="65"/>
  <c r="BA263" i="65"/>
  <c r="A264" i="65"/>
  <c r="B264" i="65"/>
  <c r="D264" i="65"/>
  <c r="E264" i="65"/>
  <c r="F264" i="65"/>
  <c r="G264" i="65"/>
  <c r="H264" i="65"/>
  <c r="J264" i="65"/>
  <c r="K264" i="65"/>
  <c r="L264" i="65"/>
  <c r="M264" i="65"/>
  <c r="O264" i="65"/>
  <c r="P264" i="65"/>
  <c r="R264" i="65"/>
  <c r="S264" i="65"/>
  <c r="T264" i="65"/>
  <c r="U264" i="65"/>
  <c r="V264" i="65"/>
  <c r="W264" i="65"/>
  <c r="X264" i="65"/>
  <c r="Z264" i="65"/>
  <c r="AA264" i="65"/>
  <c r="AB264" i="65"/>
  <c r="AC264" i="65"/>
  <c r="AD264" i="65"/>
  <c r="AE264" i="65"/>
  <c r="AF264" i="65"/>
  <c r="AG264" i="65"/>
  <c r="AH264" i="65"/>
  <c r="AI264" i="65"/>
  <c r="AJ264" i="65"/>
  <c r="AK264" i="65"/>
  <c r="AL264" i="65"/>
  <c r="AM264" i="65"/>
  <c r="AN264" i="65"/>
  <c r="AO264" i="65"/>
  <c r="AP264" i="65"/>
  <c r="AQ264" i="65"/>
  <c r="AR264" i="65"/>
  <c r="AS264" i="65"/>
  <c r="AT264" i="65"/>
  <c r="AU264" i="65"/>
  <c r="AW264" i="65"/>
  <c r="AX264" i="65"/>
  <c r="AY264" i="65"/>
  <c r="BA264" i="65"/>
  <c r="A265" i="65"/>
  <c r="B265" i="65"/>
  <c r="D265" i="65"/>
  <c r="E265" i="65"/>
  <c r="F265" i="65"/>
  <c r="G265" i="65"/>
  <c r="H265" i="65"/>
  <c r="J265" i="65"/>
  <c r="K265" i="65"/>
  <c r="L265" i="65"/>
  <c r="M265" i="65"/>
  <c r="O265" i="65"/>
  <c r="P265" i="65"/>
  <c r="R265" i="65"/>
  <c r="S265" i="65"/>
  <c r="T265" i="65"/>
  <c r="U265" i="65"/>
  <c r="V265" i="65"/>
  <c r="W265" i="65"/>
  <c r="X265" i="65"/>
  <c r="Z265" i="65"/>
  <c r="AA265" i="65"/>
  <c r="AB265" i="65"/>
  <c r="AC265" i="65"/>
  <c r="AD265" i="65"/>
  <c r="AE265" i="65"/>
  <c r="AF265" i="65"/>
  <c r="AG265" i="65"/>
  <c r="AH265" i="65"/>
  <c r="AI265" i="65"/>
  <c r="AJ265" i="65"/>
  <c r="AK265" i="65"/>
  <c r="AL265" i="65"/>
  <c r="AM265" i="65"/>
  <c r="AN265" i="65"/>
  <c r="AO265" i="65"/>
  <c r="AP265" i="65"/>
  <c r="AQ265" i="65"/>
  <c r="AR265" i="65"/>
  <c r="AS265" i="65"/>
  <c r="AT265" i="65"/>
  <c r="AU265" i="65"/>
  <c r="AW265" i="65"/>
  <c r="AX265" i="65"/>
  <c r="AY265" i="65"/>
  <c r="BA265" i="65"/>
  <c r="A266" i="65"/>
  <c r="B266" i="65"/>
  <c r="D266" i="65"/>
  <c r="E266" i="65"/>
  <c r="F266" i="65"/>
  <c r="G266" i="65"/>
  <c r="H266" i="65"/>
  <c r="J266" i="65"/>
  <c r="K266" i="65"/>
  <c r="L266" i="65"/>
  <c r="M266" i="65"/>
  <c r="O266" i="65"/>
  <c r="P266" i="65"/>
  <c r="R266" i="65"/>
  <c r="S266" i="65"/>
  <c r="T266" i="65"/>
  <c r="U266" i="65"/>
  <c r="V266" i="65"/>
  <c r="W266" i="65"/>
  <c r="X266" i="65"/>
  <c r="Z266" i="65"/>
  <c r="AA266" i="65"/>
  <c r="AB266" i="65"/>
  <c r="AC266" i="65"/>
  <c r="AD266" i="65"/>
  <c r="AE266" i="65"/>
  <c r="AF266" i="65"/>
  <c r="AG266" i="65"/>
  <c r="AH266" i="65"/>
  <c r="AI266" i="65"/>
  <c r="AJ266" i="65"/>
  <c r="AK266" i="65"/>
  <c r="AL266" i="65"/>
  <c r="AM266" i="65"/>
  <c r="AN266" i="65"/>
  <c r="AO266" i="65"/>
  <c r="AP266" i="65"/>
  <c r="AQ266" i="65"/>
  <c r="AR266" i="65"/>
  <c r="AS266" i="65"/>
  <c r="AT266" i="65"/>
  <c r="AU266" i="65"/>
  <c r="AW266" i="65"/>
  <c r="AX266" i="65"/>
  <c r="AY266" i="65"/>
  <c r="BA266" i="65"/>
  <c r="A267" i="65"/>
  <c r="B267" i="65"/>
  <c r="D267" i="65"/>
  <c r="E267" i="65"/>
  <c r="F267" i="65"/>
  <c r="G267" i="65"/>
  <c r="H267" i="65"/>
  <c r="J267" i="65"/>
  <c r="K267" i="65"/>
  <c r="L267" i="65"/>
  <c r="M267" i="65"/>
  <c r="O267" i="65"/>
  <c r="P267" i="65"/>
  <c r="R267" i="65"/>
  <c r="S267" i="65"/>
  <c r="T267" i="65"/>
  <c r="U267" i="65"/>
  <c r="V267" i="65"/>
  <c r="W267" i="65"/>
  <c r="X267" i="65"/>
  <c r="Z267" i="65"/>
  <c r="AA267" i="65"/>
  <c r="AB267" i="65"/>
  <c r="AC267" i="65"/>
  <c r="AD267" i="65"/>
  <c r="AE267" i="65"/>
  <c r="AF267" i="65"/>
  <c r="AG267" i="65"/>
  <c r="AH267" i="65"/>
  <c r="AI267" i="65"/>
  <c r="AJ267" i="65"/>
  <c r="AK267" i="65"/>
  <c r="AL267" i="65"/>
  <c r="AM267" i="65"/>
  <c r="AN267" i="65"/>
  <c r="AO267" i="65"/>
  <c r="AP267" i="65"/>
  <c r="AQ267" i="65"/>
  <c r="AR267" i="65"/>
  <c r="AS267" i="65"/>
  <c r="AT267" i="65"/>
  <c r="AU267" i="65"/>
  <c r="AW267" i="65"/>
  <c r="AX267" i="65"/>
  <c r="AY267" i="65"/>
  <c r="BA267" i="65"/>
  <c r="A268" i="65"/>
  <c r="B268" i="65"/>
  <c r="D268" i="65"/>
  <c r="E268" i="65"/>
  <c r="F268" i="65"/>
  <c r="G268" i="65"/>
  <c r="H268" i="65"/>
  <c r="J268" i="65"/>
  <c r="K268" i="65"/>
  <c r="L268" i="65"/>
  <c r="M268" i="65"/>
  <c r="O268" i="65"/>
  <c r="P268" i="65"/>
  <c r="R268" i="65"/>
  <c r="S268" i="65"/>
  <c r="T268" i="65"/>
  <c r="U268" i="65"/>
  <c r="V268" i="65"/>
  <c r="W268" i="65"/>
  <c r="X268" i="65"/>
  <c r="Z268" i="65"/>
  <c r="AA268" i="65"/>
  <c r="AB268" i="65"/>
  <c r="AC268" i="65"/>
  <c r="AD268" i="65"/>
  <c r="AE268" i="65"/>
  <c r="AF268" i="65"/>
  <c r="AG268" i="65"/>
  <c r="AH268" i="65"/>
  <c r="AI268" i="65"/>
  <c r="AJ268" i="65"/>
  <c r="AK268" i="65"/>
  <c r="AL268" i="65"/>
  <c r="AM268" i="65"/>
  <c r="AN268" i="65"/>
  <c r="AO268" i="65"/>
  <c r="AP268" i="65"/>
  <c r="AQ268" i="65"/>
  <c r="AR268" i="65"/>
  <c r="AS268" i="65"/>
  <c r="AT268" i="65"/>
  <c r="AU268" i="65"/>
  <c r="AW268" i="65"/>
  <c r="AX268" i="65"/>
  <c r="AY268" i="65"/>
  <c r="BA268" i="65"/>
  <c r="A269" i="65"/>
  <c r="B269" i="65"/>
  <c r="D269" i="65"/>
  <c r="E269" i="65"/>
  <c r="F269" i="65"/>
  <c r="G269" i="65"/>
  <c r="H269" i="65"/>
  <c r="J269" i="65"/>
  <c r="K269" i="65"/>
  <c r="L269" i="65"/>
  <c r="M269" i="65"/>
  <c r="O269" i="65"/>
  <c r="P269" i="65"/>
  <c r="R269" i="65"/>
  <c r="S269" i="65"/>
  <c r="T269" i="65"/>
  <c r="U269" i="65"/>
  <c r="V269" i="65"/>
  <c r="W269" i="65"/>
  <c r="X269" i="65"/>
  <c r="Z269" i="65"/>
  <c r="AA269" i="65"/>
  <c r="AB269" i="65"/>
  <c r="AC269" i="65"/>
  <c r="AD269" i="65"/>
  <c r="AE269" i="65"/>
  <c r="AF269" i="65"/>
  <c r="AG269" i="65"/>
  <c r="AH269" i="65"/>
  <c r="AI269" i="65"/>
  <c r="AJ269" i="65"/>
  <c r="AK269" i="65"/>
  <c r="AL269" i="65"/>
  <c r="AM269" i="65"/>
  <c r="AN269" i="65"/>
  <c r="AO269" i="65"/>
  <c r="AP269" i="65"/>
  <c r="AQ269" i="65"/>
  <c r="AR269" i="65"/>
  <c r="AS269" i="65"/>
  <c r="AT269" i="65"/>
  <c r="AU269" i="65"/>
  <c r="AW269" i="65"/>
  <c r="AX269" i="65"/>
  <c r="AY269" i="65"/>
  <c r="BA269" i="65"/>
  <c r="A270" i="65"/>
  <c r="B270" i="65"/>
  <c r="D270" i="65"/>
  <c r="E270" i="65"/>
  <c r="F270" i="65"/>
  <c r="G270" i="65"/>
  <c r="H270" i="65"/>
  <c r="J270" i="65"/>
  <c r="K270" i="65"/>
  <c r="L270" i="65"/>
  <c r="M270" i="65"/>
  <c r="O270" i="65"/>
  <c r="P270" i="65"/>
  <c r="R270" i="65"/>
  <c r="S270" i="65"/>
  <c r="T270" i="65"/>
  <c r="U270" i="65"/>
  <c r="V270" i="65"/>
  <c r="W270" i="65"/>
  <c r="X270" i="65"/>
  <c r="Z270" i="65"/>
  <c r="AA270" i="65"/>
  <c r="AB270" i="65"/>
  <c r="AC270" i="65"/>
  <c r="AD270" i="65"/>
  <c r="AE270" i="65"/>
  <c r="AF270" i="65"/>
  <c r="AG270" i="65"/>
  <c r="AH270" i="65"/>
  <c r="AI270" i="65"/>
  <c r="AJ270" i="65"/>
  <c r="AK270" i="65"/>
  <c r="AL270" i="65"/>
  <c r="AM270" i="65"/>
  <c r="AN270" i="65"/>
  <c r="AO270" i="65"/>
  <c r="AP270" i="65"/>
  <c r="AQ270" i="65"/>
  <c r="AR270" i="65"/>
  <c r="AS270" i="65"/>
  <c r="AT270" i="65"/>
  <c r="AU270" i="65"/>
  <c r="AW270" i="65"/>
  <c r="AX270" i="65"/>
  <c r="AY270" i="65"/>
  <c r="BA270" i="65"/>
  <c r="A271" i="65"/>
  <c r="B271" i="65"/>
  <c r="D271" i="65"/>
  <c r="E271" i="65"/>
  <c r="F271" i="65"/>
  <c r="G271" i="65"/>
  <c r="H271" i="65"/>
  <c r="J271" i="65"/>
  <c r="K271" i="65"/>
  <c r="L271" i="65"/>
  <c r="M271" i="65"/>
  <c r="O271" i="65"/>
  <c r="P271" i="65"/>
  <c r="R271" i="65"/>
  <c r="S271" i="65"/>
  <c r="T271" i="65"/>
  <c r="U271" i="65"/>
  <c r="V271" i="65"/>
  <c r="W271" i="65"/>
  <c r="X271" i="65"/>
  <c r="Z271" i="65"/>
  <c r="AA271" i="65"/>
  <c r="AB271" i="65"/>
  <c r="AC271" i="65"/>
  <c r="AD271" i="65"/>
  <c r="AE271" i="65"/>
  <c r="AF271" i="65"/>
  <c r="AG271" i="65"/>
  <c r="AH271" i="65"/>
  <c r="AI271" i="65"/>
  <c r="AJ271" i="65"/>
  <c r="AK271" i="65"/>
  <c r="AL271" i="65"/>
  <c r="AM271" i="65"/>
  <c r="AN271" i="65"/>
  <c r="AO271" i="65"/>
  <c r="AP271" i="65"/>
  <c r="AQ271" i="65"/>
  <c r="AR271" i="65"/>
  <c r="AS271" i="65"/>
  <c r="AT271" i="65"/>
  <c r="AU271" i="65"/>
  <c r="AW271" i="65"/>
  <c r="AX271" i="65"/>
  <c r="AY271" i="65"/>
  <c r="BA271" i="65"/>
  <c r="A272" i="65"/>
  <c r="B272" i="65"/>
  <c r="D272" i="65"/>
  <c r="E272" i="65"/>
  <c r="F272" i="65"/>
  <c r="G272" i="65"/>
  <c r="H272" i="65"/>
  <c r="J272" i="65"/>
  <c r="K272" i="65"/>
  <c r="L272" i="65"/>
  <c r="M272" i="65"/>
  <c r="O272" i="65"/>
  <c r="P272" i="65"/>
  <c r="R272" i="65"/>
  <c r="S272" i="65"/>
  <c r="T272" i="65"/>
  <c r="U272" i="65"/>
  <c r="V272" i="65"/>
  <c r="W272" i="65"/>
  <c r="X272" i="65"/>
  <c r="Z272" i="65"/>
  <c r="AA272" i="65"/>
  <c r="AB272" i="65"/>
  <c r="AC272" i="65"/>
  <c r="AD272" i="65"/>
  <c r="AE272" i="65"/>
  <c r="AF272" i="65"/>
  <c r="AG272" i="65"/>
  <c r="AH272" i="65"/>
  <c r="AI272" i="65"/>
  <c r="AJ272" i="65"/>
  <c r="AK272" i="65"/>
  <c r="AL272" i="65"/>
  <c r="AM272" i="65"/>
  <c r="AN272" i="65"/>
  <c r="AO272" i="65"/>
  <c r="AP272" i="65"/>
  <c r="AQ272" i="65"/>
  <c r="AR272" i="65"/>
  <c r="AS272" i="65"/>
  <c r="AT272" i="65"/>
  <c r="AU272" i="65"/>
  <c r="AW272" i="65"/>
  <c r="AX272" i="65"/>
  <c r="AY272" i="65"/>
  <c r="BA272" i="65"/>
  <c r="A273" i="65"/>
  <c r="B273" i="65"/>
  <c r="D273" i="65"/>
  <c r="E273" i="65"/>
  <c r="F273" i="65"/>
  <c r="G273" i="65"/>
  <c r="H273" i="65"/>
  <c r="J273" i="65"/>
  <c r="K273" i="65"/>
  <c r="L273" i="65"/>
  <c r="M273" i="65"/>
  <c r="O273" i="65"/>
  <c r="P273" i="65"/>
  <c r="R273" i="65"/>
  <c r="S273" i="65"/>
  <c r="T273" i="65"/>
  <c r="U273" i="65"/>
  <c r="V273" i="65"/>
  <c r="W273" i="65"/>
  <c r="X273" i="65"/>
  <c r="Z273" i="65"/>
  <c r="AA273" i="65"/>
  <c r="AB273" i="65"/>
  <c r="AC273" i="65"/>
  <c r="AD273" i="65"/>
  <c r="AE273" i="65"/>
  <c r="AF273" i="65"/>
  <c r="AG273" i="65"/>
  <c r="AH273" i="65"/>
  <c r="AI273" i="65"/>
  <c r="AJ273" i="65"/>
  <c r="AK273" i="65"/>
  <c r="AL273" i="65"/>
  <c r="AM273" i="65"/>
  <c r="AN273" i="65"/>
  <c r="AO273" i="65"/>
  <c r="AP273" i="65"/>
  <c r="AQ273" i="65"/>
  <c r="AR273" i="65"/>
  <c r="AS273" i="65"/>
  <c r="AT273" i="65"/>
  <c r="AU273" i="65"/>
  <c r="AW273" i="65"/>
  <c r="AX273" i="65"/>
  <c r="AY273" i="65"/>
  <c r="BA273" i="65"/>
  <c r="A274" i="65"/>
  <c r="B274" i="65"/>
  <c r="D274" i="65"/>
  <c r="E274" i="65"/>
  <c r="F274" i="65"/>
  <c r="G274" i="65"/>
  <c r="H274" i="65"/>
  <c r="J274" i="65"/>
  <c r="K274" i="65"/>
  <c r="L274" i="65"/>
  <c r="M274" i="65"/>
  <c r="O274" i="65"/>
  <c r="P274" i="65"/>
  <c r="R274" i="65"/>
  <c r="S274" i="65"/>
  <c r="T274" i="65"/>
  <c r="U274" i="65"/>
  <c r="V274" i="65"/>
  <c r="W274" i="65"/>
  <c r="X274" i="65"/>
  <c r="Z274" i="65"/>
  <c r="AA274" i="65"/>
  <c r="AB274" i="65"/>
  <c r="AC274" i="65"/>
  <c r="AD274" i="65"/>
  <c r="AE274" i="65"/>
  <c r="AF274" i="65"/>
  <c r="AG274" i="65"/>
  <c r="AH274" i="65"/>
  <c r="AI274" i="65"/>
  <c r="AJ274" i="65"/>
  <c r="AK274" i="65"/>
  <c r="AL274" i="65"/>
  <c r="AM274" i="65"/>
  <c r="AN274" i="65"/>
  <c r="AO274" i="65"/>
  <c r="AP274" i="65"/>
  <c r="AQ274" i="65"/>
  <c r="AR274" i="65"/>
  <c r="AS274" i="65"/>
  <c r="AT274" i="65"/>
  <c r="AU274" i="65"/>
  <c r="AW274" i="65"/>
  <c r="AX274" i="65"/>
  <c r="AY274" i="65"/>
  <c r="BA274" i="65"/>
  <c r="A275" i="65"/>
  <c r="B275" i="65"/>
  <c r="D275" i="65"/>
  <c r="E275" i="65"/>
  <c r="F275" i="65"/>
  <c r="G275" i="65"/>
  <c r="H275" i="65"/>
  <c r="J275" i="65"/>
  <c r="K275" i="65"/>
  <c r="L275" i="65"/>
  <c r="M275" i="65"/>
  <c r="O275" i="65"/>
  <c r="P275" i="65"/>
  <c r="R275" i="65"/>
  <c r="S275" i="65"/>
  <c r="T275" i="65"/>
  <c r="U275" i="65"/>
  <c r="V275" i="65"/>
  <c r="W275" i="65"/>
  <c r="X275" i="65"/>
  <c r="Z275" i="65"/>
  <c r="AA275" i="65"/>
  <c r="AB275" i="65"/>
  <c r="AC275" i="65"/>
  <c r="AD275" i="65"/>
  <c r="AE275" i="65"/>
  <c r="AF275" i="65"/>
  <c r="AG275" i="65"/>
  <c r="AH275" i="65"/>
  <c r="AI275" i="65"/>
  <c r="AJ275" i="65"/>
  <c r="AK275" i="65"/>
  <c r="AL275" i="65"/>
  <c r="AM275" i="65"/>
  <c r="AN275" i="65"/>
  <c r="AO275" i="65"/>
  <c r="AP275" i="65"/>
  <c r="AQ275" i="65"/>
  <c r="AR275" i="65"/>
  <c r="AS275" i="65"/>
  <c r="AT275" i="65"/>
  <c r="AU275" i="65"/>
  <c r="AW275" i="65"/>
  <c r="AX275" i="65"/>
  <c r="AY275" i="65"/>
  <c r="BA275" i="65"/>
  <c r="A276" i="65"/>
  <c r="B276" i="65"/>
  <c r="D276" i="65"/>
  <c r="E276" i="65"/>
  <c r="F276" i="65"/>
  <c r="G276" i="65"/>
  <c r="H276" i="65"/>
  <c r="J276" i="65"/>
  <c r="K276" i="65"/>
  <c r="L276" i="65"/>
  <c r="M276" i="65"/>
  <c r="O276" i="65"/>
  <c r="P276" i="65"/>
  <c r="R276" i="65"/>
  <c r="S276" i="65"/>
  <c r="T276" i="65"/>
  <c r="U276" i="65"/>
  <c r="V276" i="65"/>
  <c r="W276" i="65"/>
  <c r="X276" i="65"/>
  <c r="Z276" i="65"/>
  <c r="AA276" i="65"/>
  <c r="AB276" i="65"/>
  <c r="AC276" i="65"/>
  <c r="AD276" i="65"/>
  <c r="AE276" i="65"/>
  <c r="AF276" i="65"/>
  <c r="AG276" i="65"/>
  <c r="AH276" i="65"/>
  <c r="AI276" i="65"/>
  <c r="AJ276" i="65"/>
  <c r="AK276" i="65"/>
  <c r="AL276" i="65"/>
  <c r="AM276" i="65"/>
  <c r="AN276" i="65"/>
  <c r="AO276" i="65"/>
  <c r="AP276" i="65"/>
  <c r="AQ276" i="65"/>
  <c r="AR276" i="65"/>
  <c r="AS276" i="65"/>
  <c r="AT276" i="65"/>
  <c r="AU276" i="65"/>
  <c r="AW276" i="65"/>
  <c r="AX276" i="65"/>
  <c r="AY276" i="65"/>
  <c r="BA276" i="65"/>
  <c r="A277" i="65"/>
  <c r="B277" i="65"/>
  <c r="D277" i="65"/>
  <c r="E277" i="65"/>
  <c r="F277" i="65"/>
  <c r="G277" i="65"/>
  <c r="H277" i="65"/>
  <c r="J277" i="65"/>
  <c r="K277" i="65"/>
  <c r="L277" i="65"/>
  <c r="M277" i="65"/>
  <c r="O277" i="65"/>
  <c r="P277" i="65"/>
  <c r="R277" i="65"/>
  <c r="S277" i="65"/>
  <c r="T277" i="65"/>
  <c r="U277" i="65"/>
  <c r="V277" i="65"/>
  <c r="W277" i="65"/>
  <c r="X277" i="65"/>
  <c r="Z277" i="65"/>
  <c r="AA277" i="65"/>
  <c r="AB277" i="65"/>
  <c r="AC277" i="65"/>
  <c r="AD277" i="65"/>
  <c r="AE277" i="65"/>
  <c r="AF277" i="65"/>
  <c r="AG277" i="65"/>
  <c r="AH277" i="65"/>
  <c r="AI277" i="65"/>
  <c r="AJ277" i="65"/>
  <c r="AK277" i="65"/>
  <c r="AL277" i="65"/>
  <c r="AM277" i="65"/>
  <c r="AN277" i="65"/>
  <c r="AO277" i="65"/>
  <c r="AP277" i="65"/>
  <c r="AQ277" i="65"/>
  <c r="AR277" i="65"/>
  <c r="AS277" i="65"/>
  <c r="AT277" i="65"/>
  <c r="AU277" i="65"/>
  <c r="AW277" i="65"/>
  <c r="AX277" i="65"/>
  <c r="AY277" i="65"/>
  <c r="BA277" i="65"/>
  <c r="A278" i="65"/>
  <c r="B278" i="65"/>
  <c r="D278" i="65"/>
  <c r="E278" i="65"/>
  <c r="F278" i="65"/>
  <c r="G278" i="65"/>
  <c r="H278" i="65"/>
  <c r="J278" i="65"/>
  <c r="K278" i="65"/>
  <c r="L278" i="65"/>
  <c r="M278" i="65"/>
  <c r="O278" i="65"/>
  <c r="P278" i="65"/>
  <c r="R278" i="65"/>
  <c r="S278" i="65"/>
  <c r="T278" i="65"/>
  <c r="U278" i="65"/>
  <c r="V278" i="65"/>
  <c r="W278" i="65"/>
  <c r="X278" i="65"/>
  <c r="Z278" i="65"/>
  <c r="AA278" i="65"/>
  <c r="AB278" i="65"/>
  <c r="AC278" i="65"/>
  <c r="AD278" i="65"/>
  <c r="AE278" i="65"/>
  <c r="AF278" i="65"/>
  <c r="AG278" i="65"/>
  <c r="AH278" i="65"/>
  <c r="AI278" i="65"/>
  <c r="AJ278" i="65"/>
  <c r="AK278" i="65"/>
  <c r="AL278" i="65"/>
  <c r="AM278" i="65"/>
  <c r="AN278" i="65"/>
  <c r="AO278" i="65"/>
  <c r="AP278" i="65"/>
  <c r="AQ278" i="65"/>
  <c r="AR278" i="65"/>
  <c r="AS278" i="65"/>
  <c r="AT278" i="65"/>
  <c r="AU278" i="65"/>
  <c r="AW278" i="65"/>
  <c r="AX278" i="65"/>
  <c r="AY278" i="65"/>
  <c r="BA278" i="65"/>
  <c r="A279" i="65"/>
  <c r="B279" i="65"/>
  <c r="D279" i="65"/>
  <c r="E279" i="65"/>
  <c r="F279" i="65"/>
  <c r="G279" i="65"/>
  <c r="H279" i="65"/>
  <c r="J279" i="65"/>
  <c r="K279" i="65"/>
  <c r="L279" i="65"/>
  <c r="M279" i="65"/>
  <c r="O279" i="65"/>
  <c r="P279" i="65"/>
  <c r="R279" i="65"/>
  <c r="S279" i="65"/>
  <c r="T279" i="65"/>
  <c r="U279" i="65"/>
  <c r="V279" i="65"/>
  <c r="W279" i="65"/>
  <c r="X279" i="65"/>
  <c r="Z279" i="65"/>
  <c r="AA279" i="65"/>
  <c r="AB279" i="65"/>
  <c r="AC279" i="65"/>
  <c r="AD279" i="65"/>
  <c r="AE279" i="65"/>
  <c r="AF279" i="65"/>
  <c r="AG279" i="65"/>
  <c r="AH279" i="65"/>
  <c r="AI279" i="65"/>
  <c r="AJ279" i="65"/>
  <c r="AK279" i="65"/>
  <c r="AL279" i="65"/>
  <c r="AM279" i="65"/>
  <c r="AN279" i="65"/>
  <c r="AO279" i="65"/>
  <c r="AP279" i="65"/>
  <c r="AQ279" i="65"/>
  <c r="AR279" i="65"/>
  <c r="AS279" i="65"/>
  <c r="AT279" i="65"/>
  <c r="AU279" i="65"/>
  <c r="AW279" i="65"/>
  <c r="AX279" i="65"/>
  <c r="AY279" i="65"/>
  <c r="BA279" i="65"/>
  <c r="A280" i="65"/>
  <c r="B280" i="65"/>
  <c r="D280" i="65"/>
  <c r="E280" i="65"/>
  <c r="F280" i="65"/>
  <c r="G280" i="65"/>
  <c r="H280" i="65"/>
  <c r="J280" i="65"/>
  <c r="K280" i="65"/>
  <c r="L280" i="65"/>
  <c r="M280" i="65"/>
  <c r="O280" i="65"/>
  <c r="P280" i="65"/>
  <c r="R280" i="65"/>
  <c r="S280" i="65"/>
  <c r="T280" i="65"/>
  <c r="U280" i="65"/>
  <c r="V280" i="65"/>
  <c r="W280" i="65"/>
  <c r="X280" i="65"/>
  <c r="Z280" i="65"/>
  <c r="AA280" i="65"/>
  <c r="AB280" i="65"/>
  <c r="AC280" i="65"/>
  <c r="AD280" i="65"/>
  <c r="AE280" i="65"/>
  <c r="AF280" i="65"/>
  <c r="AG280" i="65"/>
  <c r="AH280" i="65"/>
  <c r="AI280" i="65"/>
  <c r="AJ280" i="65"/>
  <c r="AK280" i="65"/>
  <c r="AL280" i="65"/>
  <c r="AM280" i="65"/>
  <c r="AN280" i="65"/>
  <c r="AO280" i="65"/>
  <c r="AP280" i="65"/>
  <c r="AQ280" i="65"/>
  <c r="AR280" i="65"/>
  <c r="AS280" i="65"/>
  <c r="AT280" i="65"/>
  <c r="AU280" i="65"/>
  <c r="AW280" i="65"/>
  <c r="AX280" i="65"/>
  <c r="AY280" i="65"/>
  <c r="BA280" i="65"/>
  <c r="A281" i="65"/>
  <c r="B281" i="65"/>
  <c r="D281" i="65"/>
  <c r="E281" i="65"/>
  <c r="F281" i="65"/>
  <c r="G281" i="65"/>
  <c r="H281" i="65"/>
  <c r="J281" i="65"/>
  <c r="K281" i="65"/>
  <c r="L281" i="65"/>
  <c r="M281" i="65"/>
  <c r="O281" i="65"/>
  <c r="P281" i="65"/>
  <c r="R281" i="65"/>
  <c r="S281" i="65"/>
  <c r="T281" i="65"/>
  <c r="U281" i="65"/>
  <c r="V281" i="65"/>
  <c r="W281" i="65"/>
  <c r="X281" i="65"/>
  <c r="Z281" i="65"/>
  <c r="AA281" i="65"/>
  <c r="AB281" i="65"/>
  <c r="AC281" i="65"/>
  <c r="AD281" i="65"/>
  <c r="AE281" i="65"/>
  <c r="AF281" i="65"/>
  <c r="AG281" i="65"/>
  <c r="AH281" i="65"/>
  <c r="AI281" i="65"/>
  <c r="AJ281" i="65"/>
  <c r="AK281" i="65"/>
  <c r="AL281" i="65"/>
  <c r="AM281" i="65"/>
  <c r="AN281" i="65"/>
  <c r="AO281" i="65"/>
  <c r="AP281" i="65"/>
  <c r="AQ281" i="65"/>
  <c r="AR281" i="65"/>
  <c r="AS281" i="65"/>
  <c r="AT281" i="65"/>
  <c r="AU281" i="65"/>
  <c r="AW281" i="65"/>
  <c r="AX281" i="65"/>
  <c r="AY281" i="65"/>
  <c r="BA281" i="65"/>
  <c r="A282" i="65"/>
  <c r="B282" i="65"/>
  <c r="D282" i="65"/>
  <c r="E282" i="65"/>
  <c r="F282" i="65"/>
  <c r="G282" i="65"/>
  <c r="H282" i="65"/>
  <c r="J282" i="65"/>
  <c r="K282" i="65"/>
  <c r="L282" i="65"/>
  <c r="M282" i="65"/>
  <c r="O282" i="65"/>
  <c r="P282" i="65"/>
  <c r="R282" i="65"/>
  <c r="S282" i="65"/>
  <c r="T282" i="65"/>
  <c r="U282" i="65"/>
  <c r="V282" i="65"/>
  <c r="W282" i="65"/>
  <c r="X282" i="65"/>
  <c r="Z282" i="65"/>
  <c r="AA282" i="65"/>
  <c r="AB282" i="65"/>
  <c r="AC282" i="65"/>
  <c r="AD282" i="65"/>
  <c r="AE282" i="65"/>
  <c r="AF282" i="65"/>
  <c r="AG282" i="65"/>
  <c r="AH282" i="65"/>
  <c r="AI282" i="65"/>
  <c r="AJ282" i="65"/>
  <c r="AK282" i="65"/>
  <c r="AL282" i="65"/>
  <c r="AM282" i="65"/>
  <c r="AN282" i="65"/>
  <c r="AO282" i="65"/>
  <c r="AP282" i="65"/>
  <c r="AQ282" i="65"/>
  <c r="AR282" i="65"/>
  <c r="AS282" i="65"/>
  <c r="AT282" i="65"/>
  <c r="AU282" i="65"/>
  <c r="AW282" i="65"/>
  <c r="AX282" i="65"/>
  <c r="AY282" i="65"/>
  <c r="BA282" i="65"/>
  <c r="A283" i="65"/>
  <c r="B283" i="65"/>
  <c r="D283" i="65"/>
  <c r="E283" i="65"/>
  <c r="F283" i="65"/>
  <c r="G283" i="65"/>
  <c r="H283" i="65"/>
  <c r="J283" i="65"/>
  <c r="K283" i="65"/>
  <c r="L283" i="65"/>
  <c r="M283" i="65"/>
  <c r="O283" i="65"/>
  <c r="P283" i="65"/>
  <c r="R283" i="65"/>
  <c r="S283" i="65"/>
  <c r="T283" i="65"/>
  <c r="U283" i="65"/>
  <c r="V283" i="65"/>
  <c r="W283" i="65"/>
  <c r="X283" i="65"/>
  <c r="Z283" i="65"/>
  <c r="AA283" i="65"/>
  <c r="AB283" i="65"/>
  <c r="AC283" i="65"/>
  <c r="AD283" i="65"/>
  <c r="AE283" i="65"/>
  <c r="AF283" i="65"/>
  <c r="AG283" i="65"/>
  <c r="AH283" i="65"/>
  <c r="AI283" i="65"/>
  <c r="AJ283" i="65"/>
  <c r="AK283" i="65"/>
  <c r="AL283" i="65"/>
  <c r="AM283" i="65"/>
  <c r="AN283" i="65"/>
  <c r="AO283" i="65"/>
  <c r="AP283" i="65"/>
  <c r="AQ283" i="65"/>
  <c r="AR283" i="65"/>
  <c r="AS283" i="65"/>
  <c r="AT283" i="65"/>
  <c r="AU283" i="65"/>
  <c r="AW283" i="65"/>
  <c r="AX283" i="65"/>
  <c r="AY283" i="65"/>
  <c r="BA283" i="65"/>
  <c r="A284" i="65"/>
  <c r="B284" i="65"/>
  <c r="D284" i="65"/>
  <c r="E284" i="65"/>
  <c r="F284" i="65"/>
  <c r="G284" i="65"/>
  <c r="H284" i="65"/>
  <c r="J284" i="65"/>
  <c r="K284" i="65"/>
  <c r="L284" i="65"/>
  <c r="M284" i="65"/>
  <c r="O284" i="65"/>
  <c r="P284" i="65"/>
  <c r="R284" i="65"/>
  <c r="S284" i="65"/>
  <c r="T284" i="65"/>
  <c r="U284" i="65"/>
  <c r="V284" i="65"/>
  <c r="W284" i="65"/>
  <c r="X284" i="65"/>
  <c r="Z284" i="65"/>
  <c r="AA284" i="65"/>
  <c r="AB284" i="65"/>
  <c r="AC284" i="65"/>
  <c r="AD284" i="65"/>
  <c r="AE284" i="65"/>
  <c r="AF284" i="65"/>
  <c r="AG284" i="65"/>
  <c r="AH284" i="65"/>
  <c r="AI284" i="65"/>
  <c r="AJ284" i="65"/>
  <c r="AK284" i="65"/>
  <c r="AL284" i="65"/>
  <c r="AM284" i="65"/>
  <c r="AN284" i="65"/>
  <c r="AO284" i="65"/>
  <c r="AP284" i="65"/>
  <c r="AQ284" i="65"/>
  <c r="AR284" i="65"/>
  <c r="AS284" i="65"/>
  <c r="AT284" i="65"/>
  <c r="AU284" i="65"/>
  <c r="AW284" i="65"/>
  <c r="AX284" i="65"/>
  <c r="AY284" i="65"/>
  <c r="BA284" i="65"/>
  <c r="A285" i="65"/>
  <c r="B285" i="65"/>
  <c r="D285" i="65"/>
  <c r="E285" i="65"/>
  <c r="F285" i="65"/>
  <c r="G285" i="65"/>
  <c r="H285" i="65"/>
  <c r="J285" i="65"/>
  <c r="K285" i="65"/>
  <c r="L285" i="65"/>
  <c r="M285" i="65"/>
  <c r="O285" i="65"/>
  <c r="P285" i="65"/>
  <c r="R285" i="65"/>
  <c r="S285" i="65"/>
  <c r="T285" i="65"/>
  <c r="U285" i="65"/>
  <c r="V285" i="65"/>
  <c r="W285" i="65"/>
  <c r="X285" i="65"/>
  <c r="Z285" i="65"/>
  <c r="AA285" i="65"/>
  <c r="AB285" i="65"/>
  <c r="AC285" i="65"/>
  <c r="AD285" i="65"/>
  <c r="AE285" i="65"/>
  <c r="AF285" i="65"/>
  <c r="AG285" i="65"/>
  <c r="AH285" i="65"/>
  <c r="AI285" i="65"/>
  <c r="AJ285" i="65"/>
  <c r="AK285" i="65"/>
  <c r="AL285" i="65"/>
  <c r="AM285" i="65"/>
  <c r="AN285" i="65"/>
  <c r="AO285" i="65"/>
  <c r="AP285" i="65"/>
  <c r="AQ285" i="65"/>
  <c r="AR285" i="65"/>
  <c r="AS285" i="65"/>
  <c r="AT285" i="65"/>
  <c r="AU285" i="65"/>
  <c r="AW285" i="65"/>
  <c r="AX285" i="65"/>
  <c r="AY285" i="65"/>
  <c r="BA285" i="65"/>
  <c r="A286" i="65"/>
  <c r="B286" i="65"/>
  <c r="D286" i="65"/>
  <c r="E286" i="65"/>
  <c r="F286" i="65"/>
  <c r="G286" i="65"/>
  <c r="H286" i="65"/>
  <c r="J286" i="65"/>
  <c r="K286" i="65"/>
  <c r="L286" i="65"/>
  <c r="M286" i="65"/>
  <c r="O286" i="65"/>
  <c r="P286" i="65"/>
  <c r="R286" i="65"/>
  <c r="S286" i="65"/>
  <c r="T286" i="65"/>
  <c r="U286" i="65"/>
  <c r="V286" i="65"/>
  <c r="W286" i="65"/>
  <c r="X286" i="65"/>
  <c r="Z286" i="65"/>
  <c r="AA286" i="65"/>
  <c r="AB286" i="65"/>
  <c r="AC286" i="65"/>
  <c r="AD286" i="65"/>
  <c r="AE286" i="65"/>
  <c r="AF286" i="65"/>
  <c r="AG286" i="65"/>
  <c r="AH286" i="65"/>
  <c r="AI286" i="65"/>
  <c r="AJ286" i="65"/>
  <c r="AK286" i="65"/>
  <c r="AL286" i="65"/>
  <c r="AM286" i="65"/>
  <c r="AN286" i="65"/>
  <c r="AO286" i="65"/>
  <c r="AP286" i="65"/>
  <c r="AQ286" i="65"/>
  <c r="AR286" i="65"/>
  <c r="AS286" i="65"/>
  <c r="AT286" i="65"/>
  <c r="AU286" i="65"/>
  <c r="AW286" i="65"/>
  <c r="AX286" i="65"/>
  <c r="AY286" i="65"/>
  <c r="BA286" i="65"/>
  <c r="A287" i="65"/>
  <c r="B287" i="65"/>
  <c r="D287" i="65"/>
  <c r="E287" i="65"/>
  <c r="F287" i="65"/>
  <c r="G287" i="65"/>
  <c r="H287" i="65"/>
  <c r="J287" i="65"/>
  <c r="K287" i="65"/>
  <c r="L287" i="65"/>
  <c r="M287" i="65"/>
  <c r="O287" i="65"/>
  <c r="P287" i="65"/>
  <c r="R287" i="65"/>
  <c r="S287" i="65"/>
  <c r="T287" i="65"/>
  <c r="U287" i="65"/>
  <c r="V287" i="65"/>
  <c r="W287" i="65"/>
  <c r="X287" i="65"/>
  <c r="Z287" i="65"/>
  <c r="AA287" i="65"/>
  <c r="AB287" i="65"/>
  <c r="AC287" i="65"/>
  <c r="AD287" i="65"/>
  <c r="AE287" i="65"/>
  <c r="AF287" i="65"/>
  <c r="AG287" i="65"/>
  <c r="AH287" i="65"/>
  <c r="AI287" i="65"/>
  <c r="AJ287" i="65"/>
  <c r="AK287" i="65"/>
  <c r="AL287" i="65"/>
  <c r="AM287" i="65"/>
  <c r="AN287" i="65"/>
  <c r="AO287" i="65"/>
  <c r="AP287" i="65"/>
  <c r="AQ287" i="65"/>
  <c r="AR287" i="65"/>
  <c r="AS287" i="65"/>
  <c r="AT287" i="65"/>
  <c r="AU287" i="65"/>
  <c r="AW287" i="65"/>
  <c r="AX287" i="65"/>
  <c r="AY287" i="65"/>
  <c r="BA287" i="65"/>
  <c r="A288" i="65"/>
  <c r="B288" i="65"/>
  <c r="D288" i="65"/>
  <c r="E288" i="65"/>
  <c r="F288" i="65"/>
  <c r="G288" i="65"/>
  <c r="H288" i="65"/>
  <c r="J288" i="65"/>
  <c r="K288" i="65"/>
  <c r="L288" i="65"/>
  <c r="M288" i="65"/>
  <c r="O288" i="65"/>
  <c r="P288" i="65"/>
  <c r="R288" i="65"/>
  <c r="S288" i="65"/>
  <c r="T288" i="65"/>
  <c r="U288" i="65"/>
  <c r="V288" i="65"/>
  <c r="W288" i="65"/>
  <c r="X288" i="65"/>
  <c r="Z288" i="65"/>
  <c r="AA288" i="65"/>
  <c r="AB288" i="65"/>
  <c r="AC288" i="65"/>
  <c r="AD288" i="65"/>
  <c r="AE288" i="65"/>
  <c r="AF288" i="65"/>
  <c r="AG288" i="65"/>
  <c r="AH288" i="65"/>
  <c r="AI288" i="65"/>
  <c r="AJ288" i="65"/>
  <c r="AK288" i="65"/>
  <c r="AL288" i="65"/>
  <c r="AM288" i="65"/>
  <c r="AN288" i="65"/>
  <c r="AO288" i="65"/>
  <c r="AP288" i="65"/>
  <c r="AQ288" i="65"/>
  <c r="AR288" i="65"/>
  <c r="AS288" i="65"/>
  <c r="AT288" i="65"/>
  <c r="AU288" i="65"/>
  <c r="AW288" i="65"/>
  <c r="AX288" i="65"/>
  <c r="AY288" i="65"/>
  <c r="BA288" i="65"/>
  <c r="A289" i="65"/>
  <c r="B289" i="65"/>
  <c r="D289" i="65"/>
  <c r="E289" i="65"/>
  <c r="F289" i="65"/>
  <c r="G289" i="65"/>
  <c r="H289" i="65"/>
  <c r="J289" i="65"/>
  <c r="K289" i="65"/>
  <c r="L289" i="65"/>
  <c r="M289" i="65"/>
  <c r="O289" i="65"/>
  <c r="P289" i="65"/>
  <c r="R289" i="65"/>
  <c r="S289" i="65"/>
  <c r="T289" i="65"/>
  <c r="U289" i="65"/>
  <c r="V289" i="65"/>
  <c r="W289" i="65"/>
  <c r="X289" i="65"/>
  <c r="Z289" i="65"/>
  <c r="AA289" i="65"/>
  <c r="AB289" i="65"/>
  <c r="AC289" i="65"/>
  <c r="AD289" i="65"/>
  <c r="AE289" i="65"/>
  <c r="AF289" i="65"/>
  <c r="AG289" i="65"/>
  <c r="AH289" i="65"/>
  <c r="AI289" i="65"/>
  <c r="AJ289" i="65"/>
  <c r="AK289" i="65"/>
  <c r="AL289" i="65"/>
  <c r="AM289" i="65"/>
  <c r="AN289" i="65"/>
  <c r="AO289" i="65"/>
  <c r="AP289" i="65"/>
  <c r="AQ289" i="65"/>
  <c r="AR289" i="65"/>
  <c r="AS289" i="65"/>
  <c r="AT289" i="65"/>
  <c r="AU289" i="65"/>
  <c r="AW289" i="65"/>
  <c r="AX289" i="65"/>
  <c r="AY289" i="65"/>
  <c r="BA289" i="65"/>
  <c r="A290" i="65"/>
  <c r="B290" i="65"/>
  <c r="D290" i="65"/>
  <c r="E290" i="65"/>
  <c r="F290" i="65"/>
  <c r="G290" i="65"/>
  <c r="H290" i="65"/>
  <c r="J290" i="65"/>
  <c r="K290" i="65"/>
  <c r="L290" i="65"/>
  <c r="M290" i="65"/>
  <c r="O290" i="65"/>
  <c r="P290" i="65"/>
  <c r="R290" i="65"/>
  <c r="S290" i="65"/>
  <c r="T290" i="65"/>
  <c r="U290" i="65"/>
  <c r="V290" i="65"/>
  <c r="W290" i="65"/>
  <c r="X290" i="65"/>
  <c r="Z290" i="65"/>
  <c r="AA290" i="65"/>
  <c r="AB290" i="65"/>
  <c r="AC290" i="65"/>
  <c r="AD290" i="65"/>
  <c r="AE290" i="65"/>
  <c r="AF290" i="65"/>
  <c r="AG290" i="65"/>
  <c r="AH290" i="65"/>
  <c r="AI290" i="65"/>
  <c r="AJ290" i="65"/>
  <c r="AK290" i="65"/>
  <c r="AL290" i="65"/>
  <c r="AM290" i="65"/>
  <c r="AN290" i="65"/>
  <c r="AO290" i="65"/>
  <c r="AP290" i="65"/>
  <c r="AQ290" i="65"/>
  <c r="AR290" i="65"/>
  <c r="AS290" i="65"/>
  <c r="AT290" i="65"/>
  <c r="AU290" i="65"/>
  <c r="AW290" i="65"/>
  <c r="AX290" i="65"/>
  <c r="AY290" i="65"/>
  <c r="BA290" i="65"/>
  <c r="A291" i="65"/>
  <c r="B291" i="65"/>
  <c r="D291" i="65"/>
  <c r="E291" i="65"/>
  <c r="F291" i="65"/>
  <c r="G291" i="65"/>
  <c r="H291" i="65"/>
  <c r="J291" i="65"/>
  <c r="K291" i="65"/>
  <c r="L291" i="65"/>
  <c r="M291" i="65"/>
  <c r="O291" i="65"/>
  <c r="P291" i="65"/>
  <c r="R291" i="65"/>
  <c r="S291" i="65"/>
  <c r="T291" i="65"/>
  <c r="U291" i="65"/>
  <c r="V291" i="65"/>
  <c r="W291" i="65"/>
  <c r="X291" i="65"/>
  <c r="Z291" i="65"/>
  <c r="AA291" i="65"/>
  <c r="AB291" i="65"/>
  <c r="AC291" i="65"/>
  <c r="AD291" i="65"/>
  <c r="AE291" i="65"/>
  <c r="AF291" i="65"/>
  <c r="AG291" i="65"/>
  <c r="AH291" i="65"/>
  <c r="AI291" i="65"/>
  <c r="AJ291" i="65"/>
  <c r="AK291" i="65"/>
  <c r="AL291" i="65"/>
  <c r="AM291" i="65"/>
  <c r="AN291" i="65"/>
  <c r="AO291" i="65"/>
  <c r="AP291" i="65"/>
  <c r="AQ291" i="65"/>
  <c r="AR291" i="65"/>
  <c r="AS291" i="65"/>
  <c r="AT291" i="65"/>
  <c r="AU291" i="65"/>
  <c r="AW291" i="65"/>
  <c r="AX291" i="65"/>
  <c r="AY291" i="65"/>
  <c r="BA291" i="65"/>
  <c r="A292" i="65"/>
  <c r="B292" i="65"/>
  <c r="D292" i="65"/>
  <c r="E292" i="65"/>
  <c r="F292" i="65"/>
  <c r="G292" i="65"/>
  <c r="H292" i="65"/>
  <c r="J292" i="65"/>
  <c r="K292" i="65"/>
  <c r="L292" i="65"/>
  <c r="M292" i="65"/>
  <c r="O292" i="65"/>
  <c r="P292" i="65"/>
  <c r="R292" i="65"/>
  <c r="S292" i="65"/>
  <c r="T292" i="65"/>
  <c r="U292" i="65"/>
  <c r="V292" i="65"/>
  <c r="W292" i="65"/>
  <c r="X292" i="65"/>
  <c r="Z292" i="65"/>
  <c r="AA292" i="65"/>
  <c r="AB292" i="65"/>
  <c r="AC292" i="65"/>
  <c r="AD292" i="65"/>
  <c r="AE292" i="65"/>
  <c r="AF292" i="65"/>
  <c r="AG292" i="65"/>
  <c r="AH292" i="65"/>
  <c r="AI292" i="65"/>
  <c r="AJ292" i="65"/>
  <c r="AK292" i="65"/>
  <c r="AL292" i="65"/>
  <c r="AM292" i="65"/>
  <c r="AN292" i="65"/>
  <c r="AO292" i="65"/>
  <c r="AP292" i="65"/>
  <c r="AQ292" i="65"/>
  <c r="AR292" i="65"/>
  <c r="AS292" i="65"/>
  <c r="AT292" i="65"/>
  <c r="AU292" i="65"/>
  <c r="AW292" i="65"/>
  <c r="AX292" i="65"/>
  <c r="AY292" i="65"/>
  <c r="BA292" i="65"/>
  <c r="A293" i="65"/>
  <c r="B293" i="65"/>
  <c r="D293" i="65"/>
  <c r="E293" i="65"/>
  <c r="F293" i="65"/>
  <c r="G293" i="65"/>
  <c r="H293" i="65"/>
  <c r="J293" i="65"/>
  <c r="K293" i="65"/>
  <c r="L293" i="65"/>
  <c r="M293" i="65"/>
  <c r="O293" i="65"/>
  <c r="P293" i="65"/>
  <c r="R293" i="65"/>
  <c r="S293" i="65"/>
  <c r="T293" i="65"/>
  <c r="U293" i="65"/>
  <c r="V293" i="65"/>
  <c r="W293" i="65"/>
  <c r="X293" i="65"/>
  <c r="Z293" i="65"/>
  <c r="AA293" i="65"/>
  <c r="AB293" i="65"/>
  <c r="AC293" i="65"/>
  <c r="AD293" i="65"/>
  <c r="AE293" i="65"/>
  <c r="AF293" i="65"/>
  <c r="AG293" i="65"/>
  <c r="AH293" i="65"/>
  <c r="AI293" i="65"/>
  <c r="AJ293" i="65"/>
  <c r="AK293" i="65"/>
  <c r="AL293" i="65"/>
  <c r="AM293" i="65"/>
  <c r="AN293" i="65"/>
  <c r="AO293" i="65"/>
  <c r="AP293" i="65"/>
  <c r="AQ293" i="65"/>
  <c r="AR293" i="65"/>
  <c r="AS293" i="65"/>
  <c r="AT293" i="65"/>
  <c r="AU293" i="65"/>
  <c r="AW293" i="65"/>
  <c r="AX293" i="65"/>
  <c r="AY293" i="65"/>
  <c r="BA293" i="65"/>
  <c r="A294" i="65"/>
  <c r="B294" i="65"/>
  <c r="D294" i="65"/>
  <c r="E294" i="65"/>
  <c r="F294" i="65"/>
  <c r="G294" i="65"/>
  <c r="H294" i="65"/>
  <c r="J294" i="65"/>
  <c r="K294" i="65"/>
  <c r="L294" i="65"/>
  <c r="M294" i="65"/>
  <c r="O294" i="65"/>
  <c r="P294" i="65"/>
  <c r="R294" i="65"/>
  <c r="S294" i="65"/>
  <c r="T294" i="65"/>
  <c r="U294" i="65"/>
  <c r="V294" i="65"/>
  <c r="W294" i="65"/>
  <c r="X294" i="65"/>
  <c r="Z294" i="65"/>
  <c r="AA294" i="65"/>
  <c r="AB294" i="65"/>
  <c r="AC294" i="65"/>
  <c r="AD294" i="65"/>
  <c r="AE294" i="65"/>
  <c r="AF294" i="65"/>
  <c r="AG294" i="65"/>
  <c r="AH294" i="65"/>
  <c r="AI294" i="65"/>
  <c r="AJ294" i="65"/>
  <c r="AK294" i="65"/>
  <c r="AL294" i="65"/>
  <c r="AM294" i="65"/>
  <c r="AN294" i="65"/>
  <c r="AO294" i="65"/>
  <c r="AP294" i="65"/>
  <c r="AQ294" i="65"/>
  <c r="AR294" i="65"/>
  <c r="AS294" i="65"/>
  <c r="AT294" i="65"/>
  <c r="AU294" i="65"/>
  <c r="AW294" i="65"/>
  <c r="AX294" i="65"/>
  <c r="AY294" i="65"/>
  <c r="BA294" i="65"/>
  <c r="A295" i="65"/>
  <c r="B295" i="65"/>
  <c r="D295" i="65"/>
  <c r="E295" i="65"/>
  <c r="F295" i="65"/>
  <c r="G295" i="65"/>
  <c r="H295" i="65"/>
  <c r="J295" i="65"/>
  <c r="K295" i="65"/>
  <c r="L295" i="65"/>
  <c r="M295" i="65"/>
  <c r="O295" i="65"/>
  <c r="P295" i="65"/>
  <c r="R295" i="65"/>
  <c r="S295" i="65"/>
  <c r="T295" i="65"/>
  <c r="U295" i="65"/>
  <c r="V295" i="65"/>
  <c r="W295" i="65"/>
  <c r="X295" i="65"/>
  <c r="Z295" i="65"/>
  <c r="AA295" i="65"/>
  <c r="AB295" i="65"/>
  <c r="AC295" i="65"/>
  <c r="AD295" i="65"/>
  <c r="AE295" i="65"/>
  <c r="AF295" i="65"/>
  <c r="AG295" i="65"/>
  <c r="AH295" i="65"/>
  <c r="AI295" i="65"/>
  <c r="AJ295" i="65"/>
  <c r="AK295" i="65"/>
  <c r="AL295" i="65"/>
  <c r="AM295" i="65"/>
  <c r="AN295" i="65"/>
  <c r="AO295" i="65"/>
  <c r="AP295" i="65"/>
  <c r="AQ295" i="65"/>
  <c r="AR295" i="65"/>
  <c r="AS295" i="65"/>
  <c r="AT295" i="65"/>
  <c r="AU295" i="65"/>
  <c r="AW295" i="65"/>
  <c r="AX295" i="65"/>
  <c r="AY295" i="65"/>
  <c r="BA295" i="65"/>
  <c r="A296" i="65"/>
  <c r="B296" i="65"/>
  <c r="D296" i="65"/>
  <c r="E296" i="65"/>
  <c r="F296" i="65"/>
  <c r="G296" i="65"/>
  <c r="H296" i="65"/>
  <c r="J296" i="65"/>
  <c r="K296" i="65"/>
  <c r="L296" i="65"/>
  <c r="M296" i="65"/>
  <c r="O296" i="65"/>
  <c r="P296" i="65"/>
  <c r="R296" i="65"/>
  <c r="S296" i="65"/>
  <c r="T296" i="65"/>
  <c r="U296" i="65"/>
  <c r="V296" i="65"/>
  <c r="W296" i="65"/>
  <c r="X296" i="65"/>
  <c r="Z296" i="65"/>
  <c r="AA296" i="65"/>
  <c r="AB296" i="65"/>
  <c r="AC296" i="65"/>
  <c r="AD296" i="65"/>
  <c r="AE296" i="65"/>
  <c r="AF296" i="65"/>
  <c r="AG296" i="65"/>
  <c r="AH296" i="65"/>
  <c r="AI296" i="65"/>
  <c r="AJ296" i="65"/>
  <c r="AK296" i="65"/>
  <c r="AL296" i="65"/>
  <c r="AM296" i="65"/>
  <c r="AN296" i="65"/>
  <c r="AO296" i="65"/>
  <c r="AP296" i="65"/>
  <c r="AQ296" i="65"/>
  <c r="AR296" i="65"/>
  <c r="AS296" i="65"/>
  <c r="AT296" i="65"/>
  <c r="AU296" i="65"/>
  <c r="AW296" i="65"/>
  <c r="AX296" i="65"/>
  <c r="AY296" i="65"/>
  <c r="BA296" i="65"/>
  <c r="A297" i="65"/>
  <c r="B297" i="65"/>
  <c r="D297" i="65"/>
  <c r="E297" i="65"/>
  <c r="F297" i="65"/>
  <c r="G297" i="65"/>
  <c r="H297" i="65"/>
  <c r="J297" i="65"/>
  <c r="K297" i="65"/>
  <c r="L297" i="65"/>
  <c r="M297" i="65"/>
  <c r="O297" i="65"/>
  <c r="P297" i="65"/>
  <c r="R297" i="65"/>
  <c r="S297" i="65"/>
  <c r="T297" i="65"/>
  <c r="U297" i="65"/>
  <c r="V297" i="65"/>
  <c r="W297" i="65"/>
  <c r="X297" i="65"/>
  <c r="Z297" i="65"/>
  <c r="AA297" i="65"/>
  <c r="AB297" i="65"/>
  <c r="AC297" i="65"/>
  <c r="AD297" i="65"/>
  <c r="AE297" i="65"/>
  <c r="AF297" i="65"/>
  <c r="AG297" i="65"/>
  <c r="AH297" i="65"/>
  <c r="AI297" i="65"/>
  <c r="AJ297" i="65"/>
  <c r="AK297" i="65"/>
  <c r="AL297" i="65"/>
  <c r="AM297" i="65"/>
  <c r="AN297" i="65"/>
  <c r="AO297" i="65"/>
  <c r="AP297" i="65"/>
  <c r="AQ297" i="65"/>
  <c r="AR297" i="65"/>
  <c r="AS297" i="65"/>
  <c r="AT297" i="65"/>
  <c r="AU297" i="65"/>
  <c r="AW297" i="65"/>
  <c r="AX297" i="65"/>
  <c r="AY297" i="65"/>
  <c r="BA297" i="65"/>
  <c r="A298" i="65"/>
  <c r="B298" i="65"/>
  <c r="D298" i="65"/>
  <c r="E298" i="65"/>
  <c r="F298" i="65"/>
  <c r="G298" i="65"/>
  <c r="H298" i="65"/>
  <c r="J298" i="65"/>
  <c r="K298" i="65"/>
  <c r="L298" i="65"/>
  <c r="M298" i="65"/>
  <c r="O298" i="65"/>
  <c r="P298" i="65"/>
  <c r="R298" i="65"/>
  <c r="S298" i="65"/>
  <c r="T298" i="65"/>
  <c r="U298" i="65"/>
  <c r="V298" i="65"/>
  <c r="W298" i="65"/>
  <c r="X298" i="65"/>
  <c r="Z298" i="65"/>
  <c r="AA298" i="65"/>
  <c r="AB298" i="65"/>
  <c r="AC298" i="65"/>
  <c r="AD298" i="65"/>
  <c r="AE298" i="65"/>
  <c r="AF298" i="65"/>
  <c r="AG298" i="65"/>
  <c r="AH298" i="65"/>
  <c r="AI298" i="65"/>
  <c r="AJ298" i="65"/>
  <c r="AK298" i="65"/>
  <c r="AL298" i="65"/>
  <c r="AM298" i="65"/>
  <c r="AN298" i="65"/>
  <c r="AO298" i="65"/>
  <c r="AP298" i="65"/>
  <c r="AQ298" i="65"/>
  <c r="AR298" i="65"/>
  <c r="AS298" i="65"/>
  <c r="AT298" i="65"/>
  <c r="AU298" i="65"/>
  <c r="AW298" i="65"/>
  <c r="AX298" i="65"/>
  <c r="AY298" i="65"/>
  <c r="BA298" i="65"/>
  <c r="A299" i="65"/>
  <c r="B299" i="65"/>
  <c r="D299" i="65"/>
  <c r="E299" i="65"/>
  <c r="F299" i="65"/>
  <c r="G299" i="65"/>
  <c r="H299" i="65"/>
  <c r="J299" i="65"/>
  <c r="K299" i="65"/>
  <c r="L299" i="65"/>
  <c r="M299" i="65"/>
  <c r="O299" i="65"/>
  <c r="P299" i="65"/>
  <c r="R299" i="65"/>
  <c r="S299" i="65"/>
  <c r="T299" i="65"/>
  <c r="U299" i="65"/>
  <c r="V299" i="65"/>
  <c r="W299" i="65"/>
  <c r="X299" i="65"/>
  <c r="Z299" i="65"/>
  <c r="AA299" i="65"/>
  <c r="AB299" i="65"/>
  <c r="AC299" i="65"/>
  <c r="AD299" i="65"/>
  <c r="AE299" i="65"/>
  <c r="AF299" i="65"/>
  <c r="AG299" i="65"/>
  <c r="AH299" i="65"/>
  <c r="AI299" i="65"/>
  <c r="AJ299" i="65"/>
  <c r="AK299" i="65"/>
  <c r="AL299" i="65"/>
  <c r="AM299" i="65"/>
  <c r="AN299" i="65"/>
  <c r="AO299" i="65"/>
  <c r="AP299" i="65"/>
  <c r="AQ299" i="65"/>
  <c r="AR299" i="65"/>
  <c r="AS299" i="65"/>
  <c r="AT299" i="65"/>
  <c r="AU299" i="65"/>
  <c r="AW299" i="65"/>
  <c r="AX299" i="65"/>
  <c r="AY299" i="65"/>
  <c r="BA299" i="65"/>
  <c r="A300" i="65"/>
  <c r="B300" i="65"/>
  <c r="D300" i="65"/>
  <c r="E300" i="65"/>
  <c r="F300" i="65"/>
  <c r="G300" i="65"/>
  <c r="H300" i="65"/>
  <c r="J300" i="65"/>
  <c r="K300" i="65"/>
  <c r="L300" i="65"/>
  <c r="M300" i="65"/>
  <c r="O300" i="65"/>
  <c r="P300" i="65"/>
  <c r="R300" i="65"/>
  <c r="S300" i="65"/>
  <c r="T300" i="65"/>
  <c r="U300" i="65"/>
  <c r="V300" i="65"/>
  <c r="W300" i="65"/>
  <c r="X300" i="65"/>
  <c r="Z300" i="65"/>
  <c r="AA300" i="65"/>
  <c r="AB300" i="65"/>
  <c r="AC300" i="65"/>
  <c r="AD300" i="65"/>
  <c r="AE300" i="65"/>
  <c r="AF300" i="65"/>
  <c r="AG300" i="65"/>
  <c r="AH300" i="65"/>
  <c r="AI300" i="65"/>
  <c r="AJ300" i="65"/>
  <c r="AK300" i="65"/>
  <c r="AL300" i="65"/>
  <c r="AM300" i="65"/>
  <c r="AN300" i="65"/>
  <c r="AO300" i="65"/>
  <c r="AP300" i="65"/>
  <c r="AQ300" i="65"/>
  <c r="AR300" i="65"/>
  <c r="AS300" i="65"/>
  <c r="AT300" i="65"/>
  <c r="AU300" i="65"/>
  <c r="AW300" i="65"/>
  <c r="AX300" i="65"/>
  <c r="AY300" i="65"/>
  <c r="BA300" i="65"/>
  <c r="A301" i="65"/>
  <c r="B301" i="65"/>
  <c r="D301" i="65"/>
  <c r="E301" i="65"/>
  <c r="F301" i="65"/>
  <c r="G301" i="65"/>
  <c r="H301" i="65"/>
  <c r="J301" i="65"/>
  <c r="K301" i="65"/>
  <c r="L301" i="65"/>
  <c r="M301" i="65"/>
  <c r="O301" i="65"/>
  <c r="P301" i="65"/>
  <c r="R301" i="65"/>
  <c r="S301" i="65"/>
  <c r="T301" i="65"/>
  <c r="U301" i="65"/>
  <c r="V301" i="65"/>
  <c r="W301" i="65"/>
  <c r="X301" i="65"/>
  <c r="Z301" i="65"/>
  <c r="AA301" i="65"/>
  <c r="AB301" i="65"/>
  <c r="AC301" i="65"/>
  <c r="AD301" i="65"/>
  <c r="AE301" i="65"/>
  <c r="AF301" i="65"/>
  <c r="AG301" i="65"/>
  <c r="AH301" i="65"/>
  <c r="AI301" i="65"/>
  <c r="AJ301" i="65"/>
  <c r="AK301" i="65"/>
  <c r="AL301" i="65"/>
  <c r="AM301" i="65"/>
  <c r="AN301" i="65"/>
  <c r="AO301" i="65"/>
  <c r="AP301" i="65"/>
  <c r="AQ301" i="65"/>
  <c r="AR301" i="65"/>
  <c r="AS301" i="65"/>
  <c r="AT301" i="65"/>
  <c r="AU301" i="65"/>
  <c r="AW301" i="65"/>
  <c r="AX301" i="65"/>
  <c r="AY301" i="65"/>
  <c r="BA301" i="65"/>
  <c r="A302" i="65"/>
  <c r="B302" i="65"/>
  <c r="D302" i="65"/>
  <c r="E302" i="65"/>
  <c r="F302" i="65"/>
  <c r="G302" i="65"/>
  <c r="H302" i="65"/>
  <c r="J302" i="65"/>
  <c r="K302" i="65"/>
  <c r="L302" i="65"/>
  <c r="M302" i="65"/>
  <c r="O302" i="65"/>
  <c r="P302" i="65"/>
  <c r="R302" i="65"/>
  <c r="S302" i="65"/>
  <c r="T302" i="65"/>
  <c r="U302" i="65"/>
  <c r="V302" i="65"/>
  <c r="W302" i="65"/>
  <c r="X302" i="65"/>
  <c r="Z302" i="65"/>
  <c r="AA302" i="65"/>
  <c r="AB302" i="65"/>
  <c r="AC302" i="65"/>
  <c r="AD302" i="65"/>
  <c r="AE302" i="65"/>
  <c r="AF302" i="65"/>
  <c r="AG302" i="65"/>
  <c r="AH302" i="65"/>
  <c r="AI302" i="65"/>
  <c r="AJ302" i="65"/>
  <c r="AK302" i="65"/>
  <c r="AL302" i="65"/>
  <c r="AM302" i="65"/>
  <c r="AN302" i="65"/>
  <c r="AO302" i="65"/>
  <c r="AP302" i="65"/>
  <c r="AQ302" i="65"/>
  <c r="AR302" i="65"/>
  <c r="AS302" i="65"/>
  <c r="AT302" i="65"/>
  <c r="AU302" i="65"/>
  <c r="AW302" i="65"/>
  <c r="AX302" i="65"/>
  <c r="AY302" i="65"/>
  <c r="BA302" i="65"/>
  <c r="A303" i="65"/>
  <c r="B303" i="65"/>
  <c r="D303" i="65"/>
  <c r="E303" i="65"/>
  <c r="F303" i="65"/>
  <c r="G303" i="65"/>
  <c r="H303" i="65"/>
  <c r="J303" i="65"/>
  <c r="K303" i="65"/>
  <c r="L303" i="65"/>
  <c r="M303" i="65"/>
  <c r="O303" i="65"/>
  <c r="P303" i="65"/>
  <c r="R303" i="65"/>
  <c r="S303" i="65"/>
  <c r="T303" i="65"/>
  <c r="U303" i="65"/>
  <c r="V303" i="65"/>
  <c r="W303" i="65"/>
  <c r="X303" i="65"/>
  <c r="Z303" i="65"/>
  <c r="AA303" i="65"/>
  <c r="AB303" i="65"/>
  <c r="AC303" i="65"/>
  <c r="AD303" i="65"/>
  <c r="AE303" i="65"/>
  <c r="AF303" i="65"/>
  <c r="AG303" i="65"/>
  <c r="AH303" i="65"/>
  <c r="AI303" i="65"/>
  <c r="AJ303" i="65"/>
  <c r="AK303" i="65"/>
  <c r="AL303" i="65"/>
  <c r="AM303" i="65"/>
  <c r="AN303" i="65"/>
  <c r="AO303" i="65"/>
  <c r="AP303" i="65"/>
  <c r="AQ303" i="65"/>
  <c r="AR303" i="65"/>
  <c r="AS303" i="65"/>
  <c r="AT303" i="65"/>
  <c r="AU303" i="65"/>
  <c r="AW303" i="65"/>
  <c r="AX303" i="65"/>
  <c r="AY303" i="65"/>
  <c r="BA303" i="65"/>
  <c r="A304" i="65"/>
  <c r="B304" i="65"/>
  <c r="D304" i="65"/>
  <c r="E304" i="65"/>
  <c r="F304" i="65"/>
  <c r="G304" i="65"/>
  <c r="H304" i="65"/>
  <c r="J304" i="65"/>
  <c r="K304" i="65"/>
  <c r="L304" i="65"/>
  <c r="M304" i="65"/>
  <c r="O304" i="65"/>
  <c r="P304" i="65"/>
  <c r="R304" i="65"/>
  <c r="S304" i="65"/>
  <c r="T304" i="65"/>
  <c r="U304" i="65"/>
  <c r="V304" i="65"/>
  <c r="W304" i="65"/>
  <c r="X304" i="65"/>
  <c r="Z304" i="65"/>
  <c r="AA304" i="65"/>
  <c r="AB304" i="65"/>
  <c r="AC304" i="65"/>
  <c r="AD304" i="65"/>
  <c r="AE304" i="65"/>
  <c r="AF304" i="65"/>
  <c r="AG304" i="65"/>
  <c r="AH304" i="65"/>
  <c r="AI304" i="65"/>
  <c r="AJ304" i="65"/>
  <c r="AK304" i="65"/>
  <c r="AL304" i="65"/>
  <c r="AM304" i="65"/>
  <c r="AN304" i="65"/>
  <c r="AO304" i="65"/>
  <c r="AP304" i="65"/>
  <c r="AQ304" i="65"/>
  <c r="AR304" i="65"/>
  <c r="AS304" i="65"/>
  <c r="AT304" i="65"/>
  <c r="AU304" i="65"/>
  <c r="AW304" i="65"/>
  <c r="AX304" i="65"/>
  <c r="AY304" i="65"/>
  <c r="BA304" i="65"/>
  <c r="A305" i="65"/>
  <c r="B305" i="65"/>
  <c r="D305" i="65"/>
  <c r="E305" i="65"/>
  <c r="F305" i="65"/>
  <c r="G305" i="65"/>
  <c r="H305" i="65"/>
  <c r="J305" i="65"/>
  <c r="K305" i="65"/>
  <c r="L305" i="65"/>
  <c r="M305" i="65"/>
  <c r="O305" i="65"/>
  <c r="P305" i="65"/>
  <c r="R305" i="65"/>
  <c r="S305" i="65"/>
  <c r="T305" i="65"/>
  <c r="U305" i="65"/>
  <c r="V305" i="65"/>
  <c r="W305" i="65"/>
  <c r="X305" i="65"/>
  <c r="Z305" i="65"/>
  <c r="AA305" i="65"/>
  <c r="AB305" i="65"/>
  <c r="AC305" i="65"/>
  <c r="AD305" i="65"/>
  <c r="AE305" i="65"/>
  <c r="AF305" i="65"/>
  <c r="AG305" i="65"/>
  <c r="AH305" i="65"/>
  <c r="AI305" i="65"/>
  <c r="AJ305" i="65"/>
  <c r="AK305" i="65"/>
  <c r="AL305" i="65"/>
  <c r="AM305" i="65"/>
  <c r="AN305" i="65"/>
  <c r="AO305" i="65"/>
  <c r="AP305" i="65"/>
  <c r="AQ305" i="65"/>
  <c r="AR305" i="65"/>
  <c r="AS305" i="65"/>
  <c r="AT305" i="65"/>
  <c r="AU305" i="65"/>
  <c r="AW305" i="65"/>
  <c r="AX305" i="65"/>
  <c r="AY305" i="65"/>
  <c r="BA305" i="65"/>
  <c r="A306" i="65"/>
  <c r="B306" i="65"/>
  <c r="D306" i="65"/>
  <c r="E306" i="65"/>
  <c r="F306" i="65"/>
  <c r="G306" i="65"/>
  <c r="H306" i="65"/>
  <c r="J306" i="65"/>
  <c r="K306" i="65"/>
  <c r="L306" i="65"/>
  <c r="M306" i="65"/>
  <c r="O306" i="65"/>
  <c r="P306" i="65"/>
  <c r="R306" i="65"/>
  <c r="S306" i="65"/>
  <c r="T306" i="65"/>
  <c r="U306" i="65"/>
  <c r="V306" i="65"/>
  <c r="W306" i="65"/>
  <c r="X306" i="65"/>
  <c r="Z306" i="65"/>
  <c r="AA306" i="65"/>
  <c r="AB306" i="65"/>
  <c r="AC306" i="65"/>
  <c r="AD306" i="65"/>
  <c r="AE306" i="65"/>
  <c r="AF306" i="65"/>
  <c r="AG306" i="65"/>
  <c r="AH306" i="65"/>
  <c r="AI306" i="65"/>
  <c r="AJ306" i="65"/>
  <c r="AK306" i="65"/>
  <c r="AL306" i="65"/>
  <c r="AM306" i="65"/>
  <c r="AN306" i="65"/>
  <c r="AO306" i="65"/>
  <c r="AP306" i="65"/>
  <c r="AQ306" i="65"/>
  <c r="AR306" i="65"/>
  <c r="AS306" i="65"/>
  <c r="AT306" i="65"/>
  <c r="AU306" i="65"/>
  <c r="AW306" i="65"/>
  <c r="AX306" i="65"/>
  <c r="AY306" i="65"/>
  <c r="BA306" i="65"/>
  <c r="A307" i="65"/>
  <c r="B307" i="65"/>
  <c r="D307" i="65"/>
  <c r="E307" i="65"/>
  <c r="F307" i="65"/>
  <c r="G307" i="65"/>
  <c r="H307" i="65"/>
  <c r="J307" i="65"/>
  <c r="K307" i="65"/>
  <c r="L307" i="65"/>
  <c r="M307" i="65"/>
  <c r="O307" i="65"/>
  <c r="P307" i="65"/>
  <c r="R307" i="65"/>
  <c r="S307" i="65"/>
  <c r="T307" i="65"/>
  <c r="U307" i="65"/>
  <c r="V307" i="65"/>
  <c r="W307" i="65"/>
  <c r="X307" i="65"/>
  <c r="Z307" i="65"/>
  <c r="AA307" i="65"/>
  <c r="AB307" i="65"/>
  <c r="AC307" i="65"/>
  <c r="AD307" i="65"/>
  <c r="AE307" i="65"/>
  <c r="AF307" i="65"/>
  <c r="AG307" i="65"/>
  <c r="AH307" i="65"/>
  <c r="AI307" i="65"/>
  <c r="AJ307" i="65"/>
  <c r="AK307" i="65"/>
  <c r="AL307" i="65"/>
  <c r="AM307" i="65"/>
  <c r="AN307" i="65"/>
  <c r="AO307" i="65"/>
  <c r="AP307" i="65"/>
  <c r="AQ307" i="65"/>
  <c r="AR307" i="65"/>
  <c r="AS307" i="65"/>
  <c r="AT307" i="65"/>
  <c r="AU307" i="65"/>
  <c r="AW307" i="65"/>
  <c r="AX307" i="65"/>
  <c r="AY307" i="65"/>
  <c r="BA307" i="65"/>
  <c r="A308" i="65"/>
  <c r="B308" i="65"/>
  <c r="D308" i="65"/>
  <c r="E308" i="65"/>
  <c r="F308" i="65"/>
  <c r="G308" i="65"/>
  <c r="H308" i="65"/>
  <c r="J308" i="65"/>
  <c r="K308" i="65"/>
  <c r="L308" i="65"/>
  <c r="M308" i="65"/>
  <c r="O308" i="65"/>
  <c r="P308" i="65"/>
  <c r="R308" i="65"/>
  <c r="S308" i="65"/>
  <c r="T308" i="65"/>
  <c r="U308" i="65"/>
  <c r="V308" i="65"/>
  <c r="W308" i="65"/>
  <c r="X308" i="65"/>
  <c r="Z308" i="65"/>
  <c r="AA308" i="65"/>
  <c r="AB308" i="65"/>
  <c r="AC308" i="65"/>
  <c r="AD308" i="65"/>
  <c r="AE308" i="65"/>
  <c r="AF308" i="65"/>
  <c r="AG308" i="65"/>
  <c r="AH308" i="65"/>
  <c r="AI308" i="65"/>
  <c r="AJ308" i="65"/>
  <c r="AK308" i="65"/>
  <c r="AL308" i="65"/>
  <c r="AM308" i="65"/>
  <c r="AN308" i="65"/>
  <c r="AO308" i="65"/>
  <c r="AP308" i="65"/>
  <c r="AQ308" i="65"/>
  <c r="AR308" i="65"/>
  <c r="AS308" i="65"/>
  <c r="AT308" i="65"/>
  <c r="AU308" i="65"/>
  <c r="AW308" i="65"/>
  <c r="AX308" i="65"/>
  <c r="AY308" i="65"/>
  <c r="BA308" i="65"/>
  <c r="A309" i="65"/>
  <c r="B309" i="65"/>
  <c r="D309" i="65"/>
  <c r="E309" i="65"/>
  <c r="F309" i="65"/>
  <c r="G309" i="65"/>
  <c r="H309" i="65"/>
  <c r="J309" i="65"/>
  <c r="K309" i="65"/>
  <c r="L309" i="65"/>
  <c r="M309" i="65"/>
  <c r="O309" i="65"/>
  <c r="P309" i="65"/>
  <c r="R309" i="65"/>
  <c r="S309" i="65"/>
  <c r="T309" i="65"/>
  <c r="U309" i="65"/>
  <c r="V309" i="65"/>
  <c r="W309" i="65"/>
  <c r="X309" i="65"/>
  <c r="Z309" i="65"/>
  <c r="AA309" i="65"/>
  <c r="AB309" i="65"/>
  <c r="AC309" i="65"/>
  <c r="AD309" i="65"/>
  <c r="AE309" i="65"/>
  <c r="AF309" i="65"/>
  <c r="AG309" i="65"/>
  <c r="AH309" i="65"/>
  <c r="AI309" i="65"/>
  <c r="AJ309" i="65"/>
  <c r="AK309" i="65"/>
  <c r="AL309" i="65"/>
  <c r="AM309" i="65"/>
  <c r="AN309" i="65"/>
  <c r="AO309" i="65"/>
  <c r="AP309" i="65"/>
  <c r="AQ309" i="65"/>
  <c r="AR309" i="65"/>
  <c r="AS309" i="65"/>
  <c r="AT309" i="65"/>
  <c r="AU309" i="65"/>
  <c r="AW309" i="65"/>
  <c r="AX309" i="65"/>
  <c r="AY309" i="65"/>
  <c r="BA309" i="65"/>
  <c r="A310" i="65"/>
  <c r="B310" i="65"/>
  <c r="D310" i="65"/>
  <c r="E310" i="65"/>
  <c r="F310" i="65"/>
  <c r="G310" i="65"/>
  <c r="H310" i="65"/>
  <c r="J310" i="65"/>
  <c r="K310" i="65"/>
  <c r="L310" i="65"/>
  <c r="M310" i="65"/>
  <c r="O310" i="65"/>
  <c r="P310" i="65"/>
  <c r="R310" i="65"/>
  <c r="S310" i="65"/>
  <c r="T310" i="65"/>
  <c r="U310" i="65"/>
  <c r="V310" i="65"/>
  <c r="W310" i="65"/>
  <c r="X310" i="65"/>
  <c r="Z310" i="65"/>
  <c r="AA310" i="65"/>
  <c r="AB310" i="65"/>
  <c r="AC310" i="65"/>
  <c r="AD310" i="65"/>
  <c r="AE310" i="65"/>
  <c r="AF310" i="65"/>
  <c r="AG310" i="65"/>
  <c r="AH310" i="65"/>
  <c r="AI310" i="65"/>
  <c r="AJ310" i="65"/>
  <c r="AK310" i="65"/>
  <c r="AL310" i="65"/>
  <c r="AM310" i="65"/>
  <c r="AN310" i="65"/>
  <c r="AO310" i="65"/>
  <c r="AP310" i="65"/>
  <c r="AQ310" i="65"/>
  <c r="AR310" i="65"/>
  <c r="AS310" i="65"/>
  <c r="AT310" i="65"/>
  <c r="AU310" i="65"/>
  <c r="AW310" i="65"/>
  <c r="AX310" i="65"/>
  <c r="AY310" i="65"/>
  <c r="BA310" i="65"/>
  <c r="A311" i="65"/>
  <c r="B311" i="65"/>
  <c r="D311" i="65"/>
  <c r="E311" i="65"/>
  <c r="F311" i="65"/>
  <c r="G311" i="65"/>
  <c r="H311" i="65"/>
  <c r="J311" i="65"/>
  <c r="K311" i="65"/>
  <c r="L311" i="65"/>
  <c r="M311" i="65"/>
  <c r="O311" i="65"/>
  <c r="P311" i="65"/>
  <c r="R311" i="65"/>
  <c r="S311" i="65"/>
  <c r="T311" i="65"/>
  <c r="U311" i="65"/>
  <c r="V311" i="65"/>
  <c r="W311" i="65"/>
  <c r="X311" i="65"/>
  <c r="Z311" i="65"/>
  <c r="AA311" i="65"/>
  <c r="AB311" i="65"/>
  <c r="AC311" i="65"/>
  <c r="AD311" i="65"/>
  <c r="AE311" i="65"/>
  <c r="AF311" i="65"/>
  <c r="AG311" i="65"/>
  <c r="AH311" i="65"/>
  <c r="AI311" i="65"/>
  <c r="AJ311" i="65"/>
  <c r="AK311" i="65"/>
  <c r="AL311" i="65"/>
  <c r="AM311" i="65"/>
  <c r="AN311" i="65"/>
  <c r="AO311" i="65"/>
  <c r="AP311" i="65"/>
  <c r="AQ311" i="65"/>
  <c r="AR311" i="65"/>
  <c r="AS311" i="65"/>
  <c r="AT311" i="65"/>
  <c r="AU311" i="65"/>
  <c r="AW311" i="65"/>
  <c r="AX311" i="65"/>
  <c r="AY311" i="65"/>
  <c r="BA311" i="65"/>
  <c r="A312" i="65"/>
  <c r="B312" i="65"/>
  <c r="D312" i="65"/>
  <c r="E312" i="65"/>
  <c r="F312" i="65"/>
  <c r="G312" i="65"/>
  <c r="H312" i="65"/>
  <c r="J312" i="65"/>
  <c r="K312" i="65"/>
  <c r="L312" i="65"/>
  <c r="M312" i="65"/>
  <c r="O312" i="65"/>
  <c r="P312" i="65"/>
  <c r="R312" i="65"/>
  <c r="S312" i="65"/>
  <c r="T312" i="65"/>
  <c r="U312" i="65"/>
  <c r="V312" i="65"/>
  <c r="W312" i="65"/>
  <c r="X312" i="65"/>
  <c r="Z312" i="65"/>
  <c r="AA312" i="65"/>
  <c r="AB312" i="65"/>
  <c r="AC312" i="65"/>
  <c r="AD312" i="65"/>
  <c r="AE312" i="65"/>
  <c r="AF312" i="65"/>
  <c r="AG312" i="65"/>
  <c r="AH312" i="65"/>
  <c r="AI312" i="65"/>
  <c r="AJ312" i="65"/>
  <c r="AK312" i="65"/>
  <c r="AL312" i="65"/>
  <c r="AM312" i="65"/>
  <c r="AN312" i="65"/>
  <c r="AO312" i="65"/>
  <c r="AP312" i="65"/>
  <c r="AQ312" i="65"/>
  <c r="AR312" i="65"/>
  <c r="AS312" i="65"/>
  <c r="AT312" i="65"/>
  <c r="AU312" i="65"/>
  <c r="AW312" i="65"/>
  <c r="AX312" i="65"/>
  <c r="AY312" i="65"/>
  <c r="BA312" i="65"/>
  <c r="A313" i="65"/>
  <c r="B313" i="65"/>
  <c r="D313" i="65"/>
  <c r="E313" i="65"/>
  <c r="F313" i="65"/>
  <c r="G313" i="65"/>
  <c r="H313" i="65"/>
  <c r="J313" i="65"/>
  <c r="K313" i="65"/>
  <c r="L313" i="65"/>
  <c r="M313" i="65"/>
  <c r="O313" i="65"/>
  <c r="P313" i="65"/>
  <c r="R313" i="65"/>
  <c r="S313" i="65"/>
  <c r="T313" i="65"/>
  <c r="U313" i="65"/>
  <c r="V313" i="65"/>
  <c r="W313" i="65"/>
  <c r="X313" i="65"/>
  <c r="Z313" i="65"/>
  <c r="AA313" i="65"/>
  <c r="AB313" i="65"/>
  <c r="AC313" i="65"/>
  <c r="AD313" i="65"/>
  <c r="AE313" i="65"/>
  <c r="AF313" i="65"/>
  <c r="AG313" i="65"/>
  <c r="AH313" i="65"/>
  <c r="AI313" i="65"/>
  <c r="AJ313" i="65"/>
  <c r="AK313" i="65"/>
  <c r="AL313" i="65"/>
  <c r="AM313" i="65"/>
  <c r="AN313" i="65"/>
  <c r="AO313" i="65"/>
  <c r="AP313" i="65"/>
  <c r="AQ313" i="65"/>
  <c r="AR313" i="65"/>
  <c r="AS313" i="65"/>
  <c r="AT313" i="65"/>
  <c r="AU313" i="65"/>
  <c r="AW313" i="65"/>
  <c r="AX313" i="65"/>
  <c r="AY313" i="65"/>
  <c r="BA313" i="65"/>
  <c r="A314" i="65"/>
  <c r="B314" i="65"/>
  <c r="D314" i="65"/>
  <c r="E314" i="65"/>
  <c r="F314" i="65"/>
  <c r="G314" i="65"/>
  <c r="H314" i="65"/>
  <c r="J314" i="65"/>
  <c r="K314" i="65"/>
  <c r="L314" i="65"/>
  <c r="M314" i="65"/>
  <c r="O314" i="65"/>
  <c r="P314" i="65"/>
  <c r="R314" i="65"/>
  <c r="S314" i="65"/>
  <c r="T314" i="65"/>
  <c r="U314" i="65"/>
  <c r="V314" i="65"/>
  <c r="W314" i="65"/>
  <c r="X314" i="65"/>
  <c r="Z314" i="65"/>
  <c r="AA314" i="65"/>
  <c r="AB314" i="65"/>
  <c r="AC314" i="65"/>
  <c r="AD314" i="65"/>
  <c r="AE314" i="65"/>
  <c r="AF314" i="65"/>
  <c r="AG314" i="65"/>
  <c r="AH314" i="65"/>
  <c r="AI314" i="65"/>
  <c r="AJ314" i="65"/>
  <c r="AK314" i="65"/>
  <c r="AL314" i="65"/>
  <c r="AM314" i="65"/>
  <c r="AN314" i="65"/>
  <c r="AO314" i="65"/>
  <c r="AP314" i="65"/>
  <c r="AQ314" i="65"/>
  <c r="AR314" i="65"/>
  <c r="AS314" i="65"/>
  <c r="AT314" i="65"/>
  <c r="AU314" i="65"/>
  <c r="AW314" i="65"/>
  <c r="AX314" i="65"/>
  <c r="AY314" i="65"/>
  <c r="BA314" i="65"/>
  <c r="A315" i="65"/>
  <c r="B315" i="65"/>
  <c r="D315" i="65"/>
  <c r="E315" i="65"/>
  <c r="F315" i="65"/>
  <c r="G315" i="65"/>
  <c r="H315" i="65"/>
  <c r="J315" i="65"/>
  <c r="K315" i="65"/>
  <c r="L315" i="65"/>
  <c r="M315" i="65"/>
  <c r="O315" i="65"/>
  <c r="P315" i="65"/>
  <c r="R315" i="65"/>
  <c r="S315" i="65"/>
  <c r="T315" i="65"/>
  <c r="U315" i="65"/>
  <c r="V315" i="65"/>
  <c r="W315" i="65"/>
  <c r="X315" i="65"/>
  <c r="Z315" i="65"/>
  <c r="AA315" i="65"/>
  <c r="AB315" i="65"/>
  <c r="AC315" i="65"/>
  <c r="AD315" i="65"/>
  <c r="AE315" i="65"/>
  <c r="AF315" i="65"/>
  <c r="AG315" i="65"/>
  <c r="AH315" i="65"/>
  <c r="AI315" i="65"/>
  <c r="AJ315" i="65"/>
  <c r="AK315" i="65"/>
  <c r="AL315" i="65"/>
  <c r="AM315" i="65"/>
  <c r="AN315" i="65"/>
  <c r="AO315" i="65"/>
  <c r="AP315" i="65"/>
  <c r="AQ315" i="65"/>
  <c r="AR315" i="65"/>
  <c r="AS315" i="65"/>
  <c r="AT315" i="65"/>
  <c r="AU315" i="65"/>
  <c r="AW315" i="65"/>
  <c r="AX315" i="65"/>
  <c r="AY315" i="65"/>
  <c r="BA315" i="65"/>
  <c r="A316" i="65"/>
  <c r="B316" i="65"/>
  <c r="D316" i="65"/>
  <c r="E316" i="65"/>
  <c r="F316" i="65"/>
  <c r="G316" i="65"/>
  <c r="H316" i="65"/>
  <c r="J316" i="65"/>
  <c r="K316" i="65"/>
  <c r="L316" i="65"/>
  <c r="M316" i="65"/>
  <c r="O316" i="65"/>
  <c r="P316" i="65"/>
  <c r="R316" i="65"/>
  <c r="S316" i="65"/>
  <c r="T316" i="65"/>
  <c r="U316" i="65"/>
  <c r="V316" i="65"/>
  <c r="W316" i="65"/>
  <c r="X316" i="65"/>
  <c r="Z316" i="65"/>
  <c r="AA316" i="65"/>
  <c r="AB316" i="65"/>
  <c r="AC316" i="65"/>
  <c r="AD316" i="65"/>
  <c r="AE316" i="65"/>
  <c r="AF316" i="65"/>
  <c r="AG316" i="65"/>
  <c r="AH316" i="65"/>
  <c r="AI316" i="65"/>
  <c r="AJ316" i="65"/>
  <c r="AK316" i="65"/>
  <c r="AL316" i="65"/>
  <c r="AM316" i="65"/>
  <c r="AN316" i="65"/>
  <c r="AO316" i="65"/>
  <c r="AP316" i="65"/>
  <c r="AQ316" i="65"/>
  <c r="AR316" i="65"/>
  <c r="AS316" i="65"/>
  <c r="AT316" i="65"/>
  <c r="AU316" i="65"/>
  <c r="AW316" i="65"/>
  <c r="AX316" i="65"/>
  <c r="AY316" i="65"/>
  <c r="BA316" i="65"/>
  <c r="A317" i="65"/>
  <c r="B317" i="65"/>
  <c r="D317" i="65"/>
  <c r="E317" i="65"/>
  <c r="F317" i="65"/>
  <c r="G317" i="65"/>
  <c r="H317" i="65"/>
  <c r="J317" i="65"/>
  <c r="K317" i="65"/>
  <c r="L317" i="65"/>
  <c r="M317" i="65"/>
  <c r="O317" i="65"/>
  <c r="P317" i="65"/>
  <c r="R317" i="65"/>
  <c r="S317" i="65"/>
  <c r="T317" i="65"/>
  <c r="U317" i="65"/>
  <c r="V317" i="65"/>
  <c r="W317" i="65"/>
  <c r="X317" i="65"/>
  <c r="Z317" i="65"/>
  <c r="AA317" i="65"/>
  <c r="AB317" i="65"/>
  <c r="AC317" i="65"/>
  <c r="AD317" i="65"/>
  <c r="AE317" i="65"/>
  <c r="AF317" i="65"/>
  <c r="AG317" i="65"/>
  <c r="AH317" i="65"/>
  <c r="AI317" i="65"/>
  <c r="AJ317" i="65"/>
  <c r="AK317" i="65"/>
  <c r="AL317" i="65"/>
  <c r="AM317" i="65"/>
  <c r="AN317" i="65"/>
  <c r="AO317" i="65"/>
  <c r="AP317" i="65"/>
  <c r="AQ317" i="65"/>
  <c r="AR317" i="65"/>
  <c r="AS317" i="65"/>
  <c r="AT317" i="65"/>
  <c r="AU317" i="65"/>
  <c r="AW317" i="65"/>
  <c r="AX317" i="65"/>
  <c r="AY317" i="65"/>
  <c r="BA317" i="65"/>
  <c r="A318" i="65"/>
  <c r="B318" i="65"/>
  <c r="D318" i="65"/>
  <c r="E318" i="65"/>
  <c r="F318" i="65"/>
  <c r="G318" i="65"/>
  <c r="H318" i="65"/>
  <c r="J318" i="65"/>
  <c r="K318" i="65"/>
  <c r="L318" i="65"/>
  <c r="M318" i="65"/>
  <c r="O318" i="65"/>
  <c r="P318" i="65"/>
  <c r="R318" i="65"/>
  <c r="S318" i="65"/>
  <c r="T318" i="65"/>
  <c r="U318" i="65"/>
  <c r="V318" i="65"/>
  <c r="W318" i="65"/>
  <c r="X318" i="65"/>
  <c r="Z318" i="65"/>
  <c r="AA318" i="65"/>
  <c r="AB318" i="65"/>
  <c r="AC318" i="65"/>
  <c r="AD318" i="65"/>
  <c r="AE318" i="65"/>
  <c r="AF318" i="65"/>
  <c r="AG318" i="65"/>
  <c r="AH318" i="65"/>
  <c r="AI318" i="65"/>
  <c r="AJ318" i="65"/>
  <c r="AK318" i="65"/>
  <c r="AL318" i="65"/>
  <c r="AM318" i="65"/>
  <c r="AN318" i="65"/>
  <c r="AO318" i="65"/>
  <c r="AP318" i="65"/>
  <c r="AQ318" i="65"/>
  <c r="AR318" i="65"/>
  <c r="AS318" i="65"/>
  <c r="AT318" i="65"/>
  <c r="AU318" i="65"/>
  <c r="AW318" i="65"/>
  <c r="AX318" i="65"/>
  <c r="AY318" i="65"/>
  <c r="BA318" i="65"/>
  <c r="A319" i="65"/>
  <c r="B319" i="65"/>
  <c r="D319" i="65"/>
  <c r="E319" i="65"/>
  <c r="F319" i="65"/>
  <c r="G319" i="65"/>
  <c r="H319" i="65"/>
  <c r="J319" i="65"/>
  <c r="K319" i="65"/>
  <c r="L319" i="65"/>
  <c r="M319" i="65"/>
  <c r="O319" i="65"/>
  <c r="P319" i="65"/>
  <c r="R319" i="65"/>
  <c r="S319" i="65"/>
  <c r="T319" i="65"/>
  <c r="U319" i="65"/>
  <c r="V319" i="65"/>
  <c r="W319" i="65"/>
  <c r="X319" i="65"/>
  <c r="Z319" i="65"/>
  <c r="AA319" i="65"/>
  <c r="AB319" i="65"/>
  <c r="AC319" i="65"/>
  <c r="AD319" i="65"/>
  <c r="AE319" i="65"/>
  <c r="AF319" i="65"/>
  <c r="AG319" i="65"/>
  <c r="AH319" i="65"/>
  <c r="AI319" i="65"/>
  <c r="AJ319" i="65"/>
  <c r="AK319" i="65"/>
  <c r="AL319" i="65"/>
  <c r="AM319" i="65"/>
  <c r="AN319" i="65"/>
  <c r="AO319" i="65"/>
  <c r="AP319" i="65"/>
  <c r="AQ319" i="65"/>
  <c r="AR319" i="65"/>
  <c r="AS319" i="65"/>
  <c r="AT319" i="65"/>
  <c r="AU319" i="65"/>
  <c r="AW319" i="65"/>
  <c r="AX319" i="65"/>
  <c r="AY319" i="65"/>
  <c r="BA319" i="65"/>
  <c r="A320" i="65"/>
  <c r="B320" i="65"/>
  <c r="D320" i="65"/>
  <c r="E320" i="65"/>
  <c r="F320" i="65"/>
  <c r="G320" i="65"/>
  <c r="H320" i="65"/>
  <c r="J320" i="65"/>
  <c r="K320" i="65"/>
  <c r="L320" i="65"/>
  <c r="M320" i="65"/>
  <c r="O320" i="65"/>
  <c r="P320" i="65"/>
  <c r="R320" i="65"/>
  <c r="S320" i="65"/>
  <c r="T320" i="65"/>
  <c r="U320" i="65"/>
  <c r="V320" i="65"/>
  <c r="W320" i="65"/>
  <c r="X320" i="65"/>
  <c r="Z320" i="65"/>
  <c r="AA320" i="65"/>
  <c r="AB320" i="65"/>
  <c r="AC320" i="65"/>
  <c r="AD320" i="65"/>
  <c r="AE320" i="65"/>
  <c r="AF320" i="65"/>
  <c r="AG320" i="65"/>
  <c r="AH320" i="65"/>
  <c r="AI320" i="65"/>
  <c r="AJ320" i="65"/>
  <c r="AK320" i="65"/>
  <c r="AL320" i="65"/>
  <c r="AM320" i="65"/>
  <c r="AN320" i="65"/>
  <c r="AO320" i="65"/>
  <c r="AP320" i="65"/>
  <c r="AQ320" i="65"/>
  <c r="AR320" i="65"/>
  <c r="AS320" i="65"/>
  <c r="AT320" i="65"/>
  <c r="AU320" i="65"/>
  <c r="AW320" i="65"/>
  <c r="AX320" i="65"/>
  <c r="AY320" i="65"/>
  <c r="BA320" i="65"/>
  <c r="A321" i="65"/>
  <c r="B321" i="65"/>
  <c r="D321" i="65"/>
  <c r="E321" i="65"/>
  <c r="F321" i="65"/>
  <c r="G321" i="65"/>
  <c r="H321" i="65"/>
  <c r="J321" i="65"/>
  <c r="K321" i="65"/>
  <c r="L321" i="65"/>
  <c r="M321" i="65"/>
  <c r="O321" i="65"/>
  <c r="P321" i="65"/>
  <c r="R321" i="65"/>
  <c r="S321" i="65"/>
  <c r="T321" i="65"/>
  <c r="U321" i="65"/>
  <c r="V321" i="65"/>
  <c r="W321" i="65"/>
  <c r="X321" i="65"/>
  <c r="Z321" i="65"/>
  <c r="AA321" i="65"/>
  <c r="AB321" i="65"/>
  <c r="AC321" i="65"/>
  <c r="AD321" i="65"/>
  <c r="AE321" i="65"/>
  <c r="AF321" i="65"/>
  <c r="AG321" i="65"/>
  <c r="AH321" i="65"/>
  <c r="AI321" i="65"/>
  <c r="AJ321" i="65"/>
  <c r="AK321" i="65"/>
  <c r="AL321" i="65"/>
  <c r="AM321" i="65"/>
  <c r="AN321" i="65"/>
  <c r="AO321" i="65"/>
  <c r="AP321" i="65"/>
  <c r="AQ321" i="65"/>
  <c r="AR321" i="65"/>
  <c r="AS321" i="65"/>
  <c r="AT321" i="65"/>
  <c r="AU321" i="65"/>
  <c r="AW321" i="65"/>
  <c r="AX321" i="65"/>
  <c r="AY321" i="65"/>
  <c r="BA321" i="65"/>
  <c r="A322" i="65"/>
  <c r="B322" i="65"/>
  <c r="D322" i="65"/>
  <c r="E322" i="65"/>
  <c r="F322" i="65"/>
  <c r="G322" i="65"/>
  <c r="H322" i="65"/>
  <c r="J322" i="65"/>
  <c r="K322" i="65"/>
  <c r="L322" i="65"/>
  <c r="M322" i="65"/>
  <c r="O322" i="65"/>
  <c r="P322" i="65"/>
  <c r="R322" i="65"/>
  <c r="S322" i="65"/>
  <c r="T322" i="65"/>
  <c r="U322" i="65"/>
  <c r="V322" i="65"/>
  <c r="W322" i="65"/>
  <c r="X322" i="65"/>
  <c r="Z322" i="65"/>
  <c r="AA322" i="65"/>
  <c r="AB322" i="65"/>
  <c r="AC322" i="65"/>
  <c r="AD322" i="65"/>
  <c r="AE322" i="65"/>
  <c r="AF322" i="65"/>
  <c r="AG322" i="65"/>
  <c r="AH322" i="65"/>
  <c r="AI322" i="65"/>
  <c r="AJ322" i="65"/>
  <c r="AK322" i="65"/>
  <c r="AL322" i="65"/>
  <c r="AM322" i="65"/>
  <c r="AN322" i="65"/>
  <c r="AO322" i="65"/>
  <c r="AP322" i="65"/>
  <c r="AQ322" i="65"/>
  <c r="AR322" i="65"/>
  <c r="AS322" i="65"/>
  <c r="AT322" i="65"/>
  <c r="AU322" i="65"/>
  <c r="AW322" i="65"/>
  <c r="AX322" i="65"/>
  <c r="AY322" i="65"/>
  <c r="BA322" i="65"/>
  <c r="A323" i="65"/>
  <c r="B323" i="65"/>
  <c r="D323" i="65"/>
  <c r="E323" i="65"/>
  <c r="F323" i="65"/>
  <c r="G323" i="65"/>
  <c r="H323" i="65"/>
  <c r="J323" i="65"/>
  <c r="K323" i="65"/>
  <c r="L323" i="65"/>
  <c r="M323" i="65"/>
  <c r="O323" i="65"/>
  <c r="P323" i="65"/>
  <c r="R323" i="65"/>
  <c r="S323" i="65"/>
  <c r="T323" i="65"/>
  <c r="U323" i="65"/>
  <c r="V323" i="65"/>
  <c r="W323" i="65"/>
  <c r="X323" i="65"/>
  <c r="Z323" i="65"/>
  <c r="AA323" i="65"/>
  <c r="AB323" i="65"/>
  <c r="AC323" i="65"/>
  <c r="AD323" i="65"/>
  <c r="AE323" i="65"/>
  <c r="AF323" i="65"/>
  <c r="AG323" i="65"/>
  <c r="AH323" i="65"/>
  <c r="AI323" i="65"/>
  <c r="AJ323" i="65"/>
  <c r="AK323" i="65"/>
  <c r="AL323" i="65"/>
  <c r="AM323" i="65"/>
  <c r="AN323" i="65"/>
  <c r="AO323" i="65"/>
  <c r="AP323" i="65"/>
  <c r="AQ323" i="65"/>
  <c r="AR323" i="65"/>
  <c r="AS323" i="65"/>
  <c r="AT323" i="65"/>
  <c r="AU323" i="65"/>
  <c r="AW323" i="65"/>
  <c r="AX323" i="65"/>
  <c r="AY323" i="65"/>
  <c r="BA323" i="65"/>
  <c r="A324" i="65"/>
  <c r="B324" i="65"/>
  <c r="D324" i="65"/>
  <c r="E324" i="65"/>
  <c r="F324" i="65"/>
  <c r="G324" i="65"/>
  <c r="H324" i="65"/>
  <c r="J324" i="65"/>
  <c r="K324" i="65"/>
  <c r="L324" i="65"/>
  <c r="M324" i="65"/>
  <c r="O324" i="65"/>
  <c r="P324" i="65"/>
  <c r="R324" i="65"/>
  <c r="S324" i="65"/>
  <c r="T324" i="65"/>
  <c r="U324" i="65"/>
  <c r="V324" i="65"/>
  <c r="W324" i="65"/>
  <c r="X324" i="65"/>
  <c r="Z324" i="65"/>
  <c r="AA324" i="65"/>
  <c r="AB324" i="65"/>
  <c r="AC324" i="65"/>
  <c r="AD324" i="65"/>
  <c r="AE324" i="65"/>
  <c r="AF324" i="65"/>
  <c r="AG324" i="65"/>
  <c r="AH324" i="65"/>
  <c r="AI324" i="65"/>
  <c r="AJ324" i="65"/>
  <c r="AK324" i="65"/>
  <c r="AL324" i="65"/>
  <c r="AM324" i="65"/>
  <c r="AN324" i="65"/>
  <c r="AO324" i="65"/>
  <c r="AP324" i="65"/>
  <c r="AQ324" i="65"/>
  <c r="AR324" i="65"/>
  <c r="AS324" i="65"/>
  <c r="AT324" i="65"/>
  <c r="AU324" i="65"/>
  <c r="AW324" i="65"/>
  <c r="AX324" i="65"/>
  <c r="AY324" i="65"/>
  <c r="BA324" i="65"/>
  <c r="A325" i="65"/>
  <c r="B325" i="65"/>
  <c r="D325" i="65"/>
  <c r="E325" i="65"/>
  <c r="F325" i="65"/>
  <c r="G325" i="65"/>
  <c r="H325" i="65"/>
  <c r="J325" i="65"/>
  <c r="K325" i="65"/>
  <c r="L325" i="65"/>
  <c r="M325" i="65"/>
  <c r="O325" i="65"/>
  <c r="P325" i="65"/>
  <c r="R325" i="65"/>
  <c r="S325" i="65"/>
  <c r="T325" i="65"/>
  <c r="U325" i="65"/>
  <c r="V325" i="65"/>
  <c r="W325" i="65"/>
  <c r="X325" i="65"/>
  <c r="Z325" i="65"/>
  <c r="AA325" i="65"/>
  <c r="AB325" i="65"/>
  <c r="AC325" i="65"/>
  <c r="AD325" i="65"/>
  <c r="AE325" i="65"/>
  <c r="AF325" i="65"/>
  <c r="AG325" i="65"/>
  <c r="AH325" i="65"/>
  <c r="AI325" i="65"/>
  <c r="AJ325" i="65"/>
  <c r="AK325" i="65"/>
  <c r="AL325" i="65"/>
  <c r="AM325" i="65"/>
  <c r="AN325" i="65"/>
  <c r="AO325" i="65"/>
  <c r="AP325" i="65"/>
  <c r="AQ325" i="65"/>
  <c r="AR325" i="65"/>
  <c r="AS325" i="65"/>
  <c r="AT325" i="65"/>
  <c r="AU325" i="65"/>
  <c r="AW325" i="65"/>
  <c r="AX325" i="65"/>
  <c r="AY325" i="65"/>
  <c r="BA325" i="65"/>
  <c r="A326" i="65"/>
  <c r="B326" i="65"/>
  <c r="D326" i="65"/>
  <c r="E326" i="65"/>
  <c r="F326" i="65"/>
  <c r="G326" i="65"/>
  <c r="H326" i="65"/>
  <c r="J326" i="65"/>
  <c r="K326" i="65"/>
  <c r="L326" i="65"/>
  <c r="M326" i="65"/>
  <c r="O326" i="65"/>
  <c r="P326" i="65"/>
  <c r="R326" i="65"/>
  <c r="S326" i="65"/>
  <c r="T326" i="65"/>
  <c r="U326" i="65"/>
  <c r="V326" i="65"/>
  <c r="W326" i="65"/>
  <c r="X326" i="65"/>
  <c r="Z326" i="65"/>
  <c r="AA326" i="65"/>
  <c r="AB326" i="65"/>
  <c r="AC326" i="65"/>
  <c r="AD326" i="65"/>
  <c r="AE326" i="65"/>
  <c r="AF326" i="65"/>
  <c r="AG326" i="65"/>
  <c r="AH326" i="65"/>
  <c r="AI326" i="65"/>
  <c r="AJ326" i="65"/>
  <c r="AK326" i="65"/>
  <c r="AL326" i="65"/>
  <c r="AM326" i="65"/>
  <c r="AN326" i="65"/>
  <c r="AO326" i="65"/>
  <c r="AP326" i="65"/>
  <c r="AQ326" i="65"/>
  <c r="AR326" i="65"/>
  <c r="AS326" i="65"/>
  <c r="AT326" i="65"/>
  <c r="AU326" i="65"/>
  <c r="AW326" i="65"/>
  <c r="AX326" i="65"/>
  <c r="AY326" i="65"/>
  <c r="BA326" i="65"/>
  <c r="A327" i="65"/>
  <c r="B327" i="65"/>
  <c r="D327" i="65"/>
  <c r="E327" i="65"/>
  <c r="F327" i="65"/>
  <c r="G327" i="65"/>
  <c r="H327" i="65"/>
  <c r="J327" i="65"/>
  <c r="K327" i="65"/>
  <c r="L327" i="65"/>
  <c r="M327" i="65"/>
  <c r="O327" i="65"/>
  <c r="P327" i="65"/>
  <c r="R327" i="65"/>
  <c r="S327" i="65"/>
  <c r="T327" i="65"/>
  <c r="U327" i="65"/>
  <c r="V327" i="65"/>
  <c r="W327" i="65"/>
  <c r="X327" i="65"/>
  <c r="Z327" i="65"/>
  <c r="AA327" i="65"/>
  <c r="AB327" i="65"/>
  <c r="AC327" i="65"/>
  <c r="AD327" i="65"/>
  <c r="AE327" i="65"/>
  <c r="AF327" i="65"/>
  <c r="AG327" i="65"/>
  <c r="AH327" i="65"/>
  <c r="AI327" i="65"/>
  <c r="AJ327" i="65"/>
  <c r="AK327" i="65"/>
  <c r="AL327" i="65"/>
  <c r="AM327" i="65"/>
  <c r="AN327" i="65"/>
  <c r="AO327" i="65"/>
  <c r="AP327" i="65"/>
  <c r="AQ327" i="65"/>
  <c r="AR327" i="65"/>
  <c r="AS327" i="65"/>
  <c r="AT327" i="65"/>
  <c r="AU327" i="65"/>
  <c r="AW327" i="65"/>
  <c r="AX327" i="65"/>
  <c r="AY327" i="65"/>
  <c r="BA327" i="65"/>
  <c r="A328" i="65"/>
  <c r="B328" i="65"/>
  <c r="D328" i="65"/>
  <c r="E328" i="65"/>
  <c r="F328" i="65"/>
  <c r="G328" i="65"/>
  <c r="H328" i="65"/>
  <c r="J328" i="65"/>
  <c r="K328" i="65"/>
  <c r="L328" i="65"/>
  <c r="M328" i="65"/>
  <c r="O328" i="65"/>
  <c r="P328" i="65"/>
  <c r="R328" i="65"/>
  <c r="S328" i="65"/>
  <c r="T328" i="65"/>
  <c r="U328" i="65"/>
  <c r="V328" i="65"/>
  <c r="W328" i="65"/>
  <c r="X328" i="65"/>
  <c r="Z328" i="65"/>
  <c r="AA328" i="65"/>
  <c r="AB328" i="65"/>
  <c r="AC328" i="65"/>
  <c r="AD328" i="65"/>
  <c r="AE328" i="65"/>
  <c r="AF328" i="65"/>
  <c r="AG328" i="65"/>
  <c r="AH328" i="65"/>
  <c r="AI328" i="65"/>
  <c r="AJ328" i="65"/>
  <c r="AK328" i="65"/>
  <c r="AL328" i="65"/>
  <c r="AM328" i="65"/>
  <c r="AN328" i="65"/>
  <c r="AO328" i="65"/>
  <c r="AP328" i="65"/>
  <c r="AQ328" i="65"/>
  <c r="AR328" i="65"/>
  <c r="AS328" i="65"/>
  <c r="AT328" i="65"/>
  <c r="AU328" i="65"/>
  <c r="AW328" i="65"/>
  <c r="AX328" i="65"/>
  <c r="AY328" i="65"/>
  <c r="BA328" i="65"/>
  <c r="A329" i="65"/>
  <c r="B329" i="65"/>
  <c r="D329" i="65"/>
  <c r="E329" i="65"/>
  <c r="F329" i="65"/>
  <c r="G329" i="65"/>
  <c r="H329" i="65"/>
  <c r="J329" i="65"/>
  <c r="K329" i="65"/>
  <c r="L329" i="65"/>
  <c r="M329" i="65"/>
  <c r="O329" i="65"/>
  <c r="P329" i="65"/>
  <c r="R329" i="65"/>
  <c r="S329" i="65"/>
  <c r="T329" i="65"/>
  <c r="U329" i="65"/>
  <c r="V329" i="65"/>
  <c r="W329" i="65"/>
  <c r="X329" i="65"/>
  <c r="Z329" i="65"/>
  <c r="AA329" i="65"/>
  <c r="AB329" i="65"/>
  <c r="AC329" i="65"/>
  <c r="AD329" i="65"/>
  <c r="AE329" i="65"/>
  <c r="AF329" i="65"/>
  <c r="AG329" i="65"/>
  <c r="AH329" i="65"/>
  <c r="AI329" i="65"/>
  <c r="AJ329" i="65"/>
  <c r="AK329" i="65"/>
  <c r="AL329" i="65"/>
  <c r="AM329" i="65"/>
  <c r="AN329" i="65"/>
  <c r="AO329" i="65"/>
  <c r="AP329" i="65"/>
  <c r="AQ329" i="65"/>
  <c r="AR329" i="65"/>
  <c r="AS329" i="65"/>
  <c r="AT329" i="65"/>
  <c r="AU329" i="65"/>
  <c r="AW329" i="65"/>
  <c r="AX329" i="65"/>
  <c r="AY329" i="65"/>
  <c r="BA329" i="65"/>
  <c r="A330" i="65"/>
  <c r="B330" i="65"/>
  <c r="D330" i="65"/>
  <c r="E330" i="65"/>
  <c r="F330" i="65"/>
  <c r="G330" i="65"/>
  <c r="H330" i="65"/>
  <c r="J330" i="65"/>
  <c r="K330" i="65"/>
  <c r="L330" i="65"/>
  <c r="M330" i="65"/>
  <c r="O330" i="65"/>
  <c r="P330" i="65"/>
  <c r="R330" i="65"/>
  <c r="S330" i="65"/>
  <c r="T330" i="65"/>
  <c r="U330" i="65"/>
  <c r="V330" i="65"/>
  <c r="W330" i="65"/>
  <c r="X330" i="65"/>
  <c r="Z330" i="65"/>
  <c r="AA330" i="65"/>
  <c r="AB330" i="65"/>
  <c r="AC330" i="65"/>
  <c r="AD330" i="65"/>
  <c r="AE330" i="65"/>
  <c r="AF330" i="65"/>
  <c r="AG330" i="65"/>
  <c r="AH330" i="65"/>
  <c r="AI330" i="65"/>
  <c r="AJ330" i="65"/>
  <c r="AK330" i="65"/>
  <c r="AL330" i="65"/>
  <c r="AM330" i="65"/>
  <c r="AN330" i="65"/>
  <c r="AO330" i="65"/>
  <c r="AP330" i="65"/>
  <c r="AQ330" i="65"/>
  <c r="AR330" i="65"/>
  <c r="AS330" i="65"/>
  <c r="AT330" i="65"/>
  <c r="AU330" i="65"/>
  <c r="AW330" i="65"/>
  <c r="AX330" i="65"/>
  <c r="AY330" i="65"/>
  <c r="BA330" i="65"/>
  <c r="A331" i="65"/>
  <c r="B331" i="65"/>
  <c r="D331" i="65"/>
  <c r="E331" i="65"/>
  <c r="F331" i="65"/>
  <c r="G331" i="65"/>
  <c r="H331" i="65"/>
  <c r="J331" i="65"/>
  <c r="K331" i="65"/>
  <c r="L331" i="65"/>
  <c r="M331" i="65"/>
  <c r="O331" i="65"/>
  <c r="P331" i="65"/>
  <c r="R331" i="65"/>
  <c r="S331" i="65"/>
  <c r="T331" i="65"/>
  <c r="U331" i="65"/>
  <c r="V331" i="65"/>
  <c r="W331" i="65"/>
  <c r="X331" i="65"/>
  <c r="Z331" i="65"/>
  <c r="AA331" i="65"/>
  <c r="AB331" i="65"/>
  <c r="AC331" i="65"/>
  <c r="AD331" i="65"/>
  <c r="AE331" i="65"/>
  <c r="AF331" i="65"/>
  <c r="AG331" i="65"/>
  <c r="AH331" i="65"/>
  <c r="AI331" i="65"/>
  <c r="AJ331" i="65"/>
  <c r="AK331" i="65"/>
  <c r="AL331" i="65"/>
  <c r="AM331" i="65"/>
  <c r="AN331" i="65"/>
  <c r="AO331" i="65"/>
  <c r="AP331" i="65"/>
  <c r="AQ331" i="65"/>
  <c r="AR331" i="65"/>
  <c r="AS331" i="65"/>
  <c r="AT331" i="65"/>
  <c r="AU331" i="65"/>
  <c r="AW331" i="65"/>
  <c r="AX331" i="65"/>
  <c r="AY331" i="65"/>
  <c r="BA331" i="65"/>
  <c r="A332" i="65"/>
  <c r="B332" i="65"/>
  <c r="D332" i="65"/>
  <c r="E332" i="65"/>
  <c r="F332" i="65"/>
  <c r="G332" i="65"/>
  <c r="H332" i="65"/>
  <c r="J332" i="65"/>
  <c r="K332" i="65"/>
  <c r="L332" i="65"/>
  <c r="M332" i="65"/>
  <c r="O332" i="65"/>
  <c r="P332" i="65"/>
  <c r="R332" i="65"/>
  <c r="S332" i="65"/>
  <c r="T332" i="65"/>
  <c r="U332" i="65"/>
  <c r="V332" i="65"/>
  <c r="W332" i="65"/>
  <c r="X332" i="65"/>
  <c r="Z332" i="65"/>
  <c r="AA332" i="65"/>
  <c r="AB332" i="65"/>
  <c r="AC332" i="65"/>
  <c r="AD332" i="65"/>
  <c r="AE332" i="65"/>
  <c r="AF332" i="65"/>
  <c r="AG332" i="65"/>
  <c r="AH332" i="65"/>
  <c r="AI332" i="65"/>
  <c r="AJ332" i="65"/>
  <c r="AK332" i="65"/>
  <c r="AL332" i="65"/>
  <c r="AM332" i="65"/>
  <c r="AN332" i="65"/>
  <c r="AO332" i="65"/>
  <c r="AP332" i="65"/>
  <c r="AQ332" i="65"/>
  <c r="AR332" i="65"/>
  <c r="AS332" i="65"/>
  <c r="AT332" i="65"/>
  <c r="AU332" i="65"/>
  <c r="AW332" i="65"/>
  <c r="AX332" i="65"/>
  <c r="AY332" i="65"/>
  <c r="BA332" i="65"/>
  <c r="A333" i="65"/>
  <c r="B333" i="65"/>
  <c r="D333" i="65"/>
  <c r="E333" i="65"/>
  <c r="F333" i="65"/>
  <c r="G333" i="65"/>
  <c r="H333" i="65"/>
  <c r="J333" i="65"/>
  <c r="K333" i="65"/>
  <c r="L333" i="65"/>
  <c r="M333" i="65"/>
  <c r="O333" i="65"/>
  <c r="P333" i="65"/>
  <c r="R333" i="65"/>
  <c r="S333" i="65"/>
  <c r="T333" i="65"/>
  <c r="U333" i="65"/>
  <c r="V333" i="65"/>
  <c r="W333" i="65"/>
  <c r="X333" i="65"/>
  <c r="Z333" i="65"/>
  <c r="AA333" i="65"/>
  <c r="AB333" i="65"/>
  <c r="AC333" i="65"/>
  <c r="AD333" i="65"/>
  <c r="AE333" i="65"/>
  <c r="AF333" i="65"/>
  <c r="AG333" i="65"/>
  <c r="AH333" i="65"/>
  <c r="AI333" i="65"/>
  <c r="AJ333" i="65"/>
  <c r="AK333" i="65"/>
  <c r="AL333" i="65"/>
  <c r="AM333" i="65"/>
  <c r="AN333" i="65"/>
  <c r="AO333" i="65"/>
  <c r="AP333" i="65"/>
  <c r="AQ333" i="65"/>
  <c r="AR333" i="65"/>
  <c r="AS333" i="65"/>
  <c r="AT333" i="65"/>
  <c r="AU333" i="65"/>
  <c r="AW333" i="65"/>
  <c r="AX333" i="65"/>
  <c r="AY333" i="65"/>
  <c r="BA333" i="65"/>
  <c r="A334" i="65"/>
  <c r="B334" i="65"/>
  <c r="D334" i="65"/>
  <c r="E334" i="65"/>
  <c r="F334" i="65"/>
  <c r="G334" i="65"/>
  <c r="H334" i="65"/>
  <c r="J334" i="65"/>
  <c r="K334" i="65"/>
  <c r="L334" i="65"/>
  <c r="M334" i="65"/>
  <c r="O334" i="65"/>
  <c r="P334" i="65"/>
  <c r="R334" i="65"/>
  <c r="S334" i="65"/>
  <c r="T334" i="65"/>
  <c r="U334" i="65"/>
  <c r="V334" i="65"/>
  <c r="W334" i="65"/>
  <c r="X334" i="65"/>
  <c r="Z334" i="65"/>
  <c r="AA334" i="65"/>
  <c r="AB334" i="65"/>
  <c r="AC334" i="65"/>
  <c r="AD334" i="65"/>
  <c r="AE334" i="65"/>
  <c r="AF334" i="65"/>
  <c r="AG334" i="65"/>
  <c r="AH334" i="65"/>
  <c r="AI334" i="65"/>
  <c r="AJ334" i="65"/>
  <c r="AK334" i="65"/>
  <c r="AL334" i="65"/>
  <c r="AM334" i="65"/>
  <c r="AN334" i="65"/>
  <c r="AO334" i="65"/>
  <c r="AP334" i="65"/>
  <c r="AQ334" i="65"/>
  <c r="AR334" i="65"/>
  <c r="AS334" i="65"/>
  <c r="AT334" i="65"/>
  <c r="AU334" i="65"/>
  <c r="AW334" i="65"/>
  <c r="AX334" i="65"/>
  <c r="AY334" i="65"/>
  <c r="BA334" i="65"/>
  <c r="A335" i="65"/>
  <c r="B335" i="65"/>
  <c r="D335" i="65"/>
  <c r="E335" i="65"/>
  <c r="F335" i="65"/>
  <c r="G335" i="65"/>
  <c r="H335" i="65"/>
  <c r="J335" i="65"/>
  <c r="K335" i="65"/>
  <c r="L335" i="65"/>
  <c r="M335" i="65"/>
  <c r="O335" i="65"/>
  <c r="P335" i="65"/>
  <c r="R335" i="65"/>
  <c r="S335" i="65"/>
  <c r="T335" i="65"/>
  <c r="U335" i="65"/>
  <c r="V335" i="65"/>
  <c r="W335" i="65"/>
  <c r="X335" i="65"/>
  <c r="Z335" i="65"/>
  <c r="AA335" i="65"/>
  <c r="AB335" i="65"/>
  <c r="AC335" i="65"/>
  <c r="AD335" i="65"/>
  <c r="AE335" i="65"/>
  <c r="AF335" i="65"/>
  <c r="AG335" i="65"/>
  <c r="AH335" i="65"/>
  <c r="AI335" i="65"/>
  <c r="AJ335" i="65"/>
  <c r="AK335" i="65"/>
  <c r="AL335" i="65"/>
  <c r="AM335" i="65"/>
  <c r="AN335" i="65"/>
  <c r="AO335" i="65"/>
  <c r="AP335" i="65"/>
  <c r="AQ335" i="65"/>
  <c r="AR335" i="65"/>
  <c r="AS335" i="65"/>
  <c r="AT335" i="65"/>
  <c r="AU335" i="65"/>
  <c r="AW335" i="65"/>
  <c r="AX335" i="65"/>
  <c r="AY335" i="65"/>
  <c r="BA335" i="65"/>
  <c r="A336" i="65"/>
  <c r="B336" i="65"/>
  <c r="D336" i="65"/>
  <c r="E336" i="65"/>
  <c r="F336" i="65"/>
  <c r="G336" i="65"/>
  <c r="H336" i="65"/>
  <c r="J336" i="65"/>
  <c r="K336" i="65"/>
  <c r="L336" i="65"/>
  <c r="M336" i="65"/>
  <c r="O336" i="65"/>
  <c r="P336" i="65"/>
  <c r="R336" i="65"/>
  <c r="S336" i="65"/>
  <c r="T336" i="65"/>
  <c r="U336" i="65"/>
  <c r="V336" i="65"/>
  <c r="W336" i="65"/>
  <c r="X336" i="65"/>
  <c r="Z336" i="65"/>
  <c r="AA336" i="65"/>
  <c r="AB336" i="65"/>
  <c r="AC336" i="65"/>
  <c r="AD336" i="65"/>
  <c r="AE336" i="65"/>
  <c r="AF336" i="65"/>
  <c r="AG336" i="65"/>
  <c r="AH336" i="65"/>
  <c r="AI336" i="65"/>
  <c r="AJ336" i="65"/>
  <c r="AK336" i="65"/>
  <c r="AL336" i="65"/>
  <c r="AM336" i="65"/>
  <c r="AN336" i="65"/>
  <c r="AO336" i="65"/>
  <c r="AP336" i="65"/>
  <c r="AQ336" i="65"/>
  <c r="AR336" i="65"/>
  <c r="AS336" i="65"/>
  <c r="AT336" i="65"/>
  <c r="AU336" i="65"/>
  <c r="AW336" i="65"/>
  <c r="AX336" i="65"/>
  <c r="AY336" i="65"/>
  <c r="BA336" i="65"/>
  <c r="A337" i="65"/>
  <c r="B337" i="65"/>
  <c r="D337" i="65"/>
  <c r="E337" i="65"/>
  <c r="F337" i="65"/>
  <c r="G337" i="65"/>
  <c r="H337" i="65"/>
  <c r="J337" i="65"/>
  <c r="K337" i="65"/>
  <c r="L337" i="65"/>
  <c r="M337" i="65"/>
  <c r="O337" i="65"/>
  <c r="P337" i="65"/>
  <c r="R337" i="65"/>
  <c r="S337" i="65"/>
  <c r="T337" i="65"/>
  <c r="U337" i="65"/>
  <c r="V337" i="65"/>
  <c r="W337" i="65"/>
  <c r="X337" i="65"/>
  <c r="Z337" i="65"/>
  <c r="AA337" i="65"/>
  <c r="AB337" i="65"/>
  <c r="AC337" i="65"/>
  <c r="AD337" i="65"/>
  <c r="AE337" i="65"/>
  <c r="AF337" i="65"/>
  <c r="AG337" i="65"/>
  <c r="AH337" i="65"/>
  <c r="AI337" i="65"/>
  <c r="AJ337" i="65"/>
  <c r="AK337" i="65"/>
  <c r="AL337" i="65"/>
  <c r="AM337" i="65"/>
  <c r="AN337" i="65"/>
  <c r="AO337" i="65"/>
  <c r="AP337" i="65"/>
  <c r="AQ337" i="65"/>
  <c r="AR337" i="65"/>
  <c r="AS337" i="65"/>
  <c r="AT337" i="65"/>
  <c r="AU337" i="65"/>
  <c r="AW337" i="65"/>
  <c r="AX337" i="65"/>
  <c r="AY337" i="65"/>
  <c r="BA337" i="65"/>
  <c r="A338" i="65"/>
  <c r="B338" i="65"/>
  <c r="D338" i="65"/>
  <c r="E338" i="65"/>
  <c r="F338" i="65"/>
  <c r="G338" i="65"/>
  <c r="H338" i="65"/>
  <c r="J338" i="65"/>
  <c r="K338" i="65"/>
  <c r="L338" i="65"/>
  <c r="M338" i="65"/>
  <c r="O338" i="65"/>
  <c r="P338" i="65"/>
  <c r="R338" i="65"/>
  <c r="S338" i="65"/>
  <c r="T338" i="65"/>
  <c r="U338" i="65"/>
  <c r="V338" i="65"/>
  <c r="W338" i="65"/>
  <c r="X338" i="65"/>
  <c r="Z338" i="65"/>
  <c r="AA338" i="65"/>
  <c r="AB338" i="65"/>
  <c r="AC338" i="65"/>
  <c r="AD338" i="65"/>
  <c r="AE338" i="65"/>
  <c r="AF338" i="65"/>
  <c r="AG338" i="65"/>
  <c r="AH338" i="65"/>
  <c r="AI338" i="65"/>
  <c r="AJ338" i="65"/>
  <c r="AK338" i="65"/>
  <c r="AL338" i="65"/>
  <c r="AM338" i="65"/>
  <c r="AN338" i="65"/>
  <c r="AO338" i="65"/>
  <c r="AP338" i="65"/>
  <c r="AQ338" i="65"/>
  <c r="AR338" i="65"/>
  <c r="AS338" i="65"/>
  <c r="AT338" i="65"/>
  <c r="AU338" i="65"/>
  <c r="AW338" i="65"/>
  <c r="AX338" i="65"/>
  <c r="AY338" i="65"/>
  <c r="BA338" i="65"/>
  <c r="A339" i="65"/>
  <c r="B339" i="65"/>
  <c r="D339" i="65"/>
  <c r="E339" i="65"/>
  <c r="F339" i="65"/>
  <c r="G339" i="65"/>
  <c r="H339" i="65"/>
  <c r="J339" i="65"/>
  <c r="K339" i="65"/>
  <c r="L339" i="65"/>
  <c r="M339" i="65"/>
  <c r="O339" i="65"/>
  <c r="P339" i="65"/>
  <c r="R339" i="65"/>
  <c r="S339" i="65"/>
  <c r="T339" i="65"/>
  <c r="U339" i="65"/>
  <c r="V339" i="65"/>
  <c r="W339" i="65"/>
  <c r="X339" i="65"/>
  <c r="Z339" i="65"/>
  <c r="AA339" i="65"/>
  <c r="AB339" i="65"/>
  <c r="AC339" i="65"/>
  <c r="AD339" i="65"/>
  <c r="AE339" i="65"/>
  <c r="AF339" i="65"/>
  <c r="AG339" i="65"/>
  <c r="AH339" i="65"/>
  <c r="AI339" i="65"/>
  <c r="AJ339" i="65"/>
  <c r="AK339" i="65"/>
  <c r="AL339" i="65"/>
  <c r="AM339" i="65"/>
  <c r="AN339" i="65"/>
  <c r="AO339" i="65"/>
  <c r="AP339" i="65"/>
  <c r="AQ339" i="65"/>
  <c r="AR339" i="65"/>
  <c r="AS339" i="65"/>
  <c r="AT339" i="65"/>
  <c r="AU339" i="65"/>
  <c r="AW339" i="65"/>
  <c r="AX339" i="65"/>
  <c r="AY339" i="65"/>
  <c r="BA339" i="65"/>
  <c r="A340" i="65"/>
  <c r="B340" i="65"/>
  <c r="D340" i="65"/>
  <c r="E340" i="65"/>
  <c r="F340" i="65"/>
  <c r="G340" i="65"/>
  <c r="H340" i="65"/>
  <c r="J340" i="65"/>
  <c r="K340" i="65"/>
  <c r="L340" i="65"/>
  <c r="M340" i="65"/>
  <c r="O340" i="65"/>
  <c r="P340" i="65"/>
  <c r="R340" i="65"/>
  <c r="S340" i="65"/>
  <c r="T340" i="65"/>
  <c r="U340" i="65"/>
  <c r="V340" i="65"/>
  <c r="W340" i="65"/>
  <c r="X340" i="65"/>
  <c r="Z340" i="65"/>
  <c r="AA340" i="65"/>
  <c r="AB340" i="65"/>
  <c r="AC340" i="65"/>
  <c r="AD340" i="65"/>
  <c r="AE340" i="65"/>
  <c r="AF340" i="65"/>
  <c r="AG340" i="65"/>
  <c r="AH340" i="65"/>
  <c r="AI340" i="65"/>
  <c r="AJ340" i="65"/>
  <c r="AK340" i="65"/>
  <c r="AL340" i="65"/>
  <c r="AM340" i="65"/>
  <c r="AN340" i="65"/>
  <c r="AO340" i="65"/>
  <c r="AP340" i="65"/>
  <c r="AQ340" i="65"/>
  <c r="AR340" i="65"/>
  <c r="AS340" i="65"/>
  <c r="AT340" i="65"/>
  <c r="AU340" i="65"/>
  <c r="AW340" i="65"/>
  <c r="AX340" i="65"/>
  <c r="AY340" i="65"/>
  <c r="BA340" i="65"/>
  <c r="A341" i="65"/>
  <c r="B341" i="65"/>
  <c r="D341" i="65"/>
  <c r="E341" i="65"/>
  <c r="F341" i="65"/>
  <c r="G341" i="65"/>
  <c r="H341" i="65"/>
  <c r="J341" i="65"/>
  <c r="K341" i="65"/>
  <c r="L341" i="65"/>
  <c r="M341" i="65"/>
  <c r="O341" i="65"/>
  <c r="P341" i="65"/>
  <c r="R341" i="65"/>
  <c r="S341" i="65"/>
  <c r="T341" i="65"/>
  <c r="U341" i="65"/>
  <c r="V341" i="65"/>
  <c r="W341" i="65"/>
  <c r="X341" i="65"/>
  <c r="Z341" i="65"/>
  <c r="AA341" i="65"/>
  <c r="AB341" i="65"/>
  <c r="AC341" i="65"/>
  <c r="AD341" i="65"/>
  <c r="AE341" i="65"/>
  <c r="AF341" i="65"/>
  <c r="AG341" i="65"/>
  <c r="AH341" i="65"/>
  <c r="AI341" i="65"/>
  <c r="AJ341" i="65"/>
  <c r="AK341" i="65"/>
  <c r="AL341" i="65"/>
  <c r="AM341" i="65"/>
  <c r="AN341" i="65"/>
  <c r="AO341" i="65"/>
  <c r="AP341" i="65"/>
  <c r="AQ341" i="65"/>
  <c r="AR341" i="65"/>
  <c r="AS341" i="65"/>
  <c r="AT341" i="65"/>
  <c r="AU341" i="65"/>
  <c r="AW341" i="65"/>
  <c r="AX341" i="65"/>
  <c r="AY341" i="65"/>
  <c r="BA341" i="65"/>
  <c r="A342" i="65"/>
  <c r="B342" i="65"/>
  <c r="D342" i="65"/>
  <c r="E342" i="65"/>
  <c r="F342" i="65"/>
  <c r="G342" i="65"/>
  <c r="H342" i="65"/>
  <c r="J342" i="65"/>
  <c r="K342" i="65"/>
  <c r="L342" i="65"/>
  <c r="M342" i="65"/>
  <c r="O342" i="65"/>
  <c r="P342" i="65"/>
  <c r="R342" i="65"/>
  <c r="S342" i="65"/>
  <c r="T342" i="65"/>
  <c r="U342" i="65"/>
  <c r="V342" i="65"/>
  <c r="W342" i="65"/>
  <c r="X342" i="65"/>
  <c r="Z342" i="65"/>
  <c r="AA342" i="65"/>
  <c r="AB342" i="65"/>
  <c r="AC342" i="65"/>
  <c r="AD342" i="65"/>
  <c r="AE342" i="65"/>
  <c r="AF342" i="65"/>
  <c r="AG342" i="65"/>
  <c r="AH342" i="65"/>
  <c r="AI342" i="65"/>
  <c r="AJ342" i="65"/>
  <c r="AK342" i="65"/>
  <c r="AL342" i="65"/>
  <c r="AM342" i="65"/>
  <c r="AN342" i="65"/>
  <c r="AO342" i="65"/>
  <c r="AP342" i="65"/>
  <c r="AQ342" i="65"/>
  <c r="AR342" i="65"/>
  <c r="AS342" i="65"/>
  <c r="AT342" i="65"/>
  <c r="AU342" i="65"/>
  <c r="AW342" i="65"/>
  <c r="AX342" i="65"/>
  <c r="AY342" i="65"/>
  <c r="BA342" i="65"/>
  <c r="A343" i="65"/>
  <c r="B343" i="65"/>
  <c r="D343" i="65"/>
  <c r="E343" i="65"/>
  <c r="F343" i="65"/>
  <c r="G343" i="65"/>
  <c r="H343" i="65"/>
  <c r="J343" i="65"/>
  <c r="K343" i="65"/>
  <c r="L343" i="65"/>
  <c r="M343" i="65"/>
  <c r="O343" i="65"/>
  <c r="P343" i="65"/>
  <c r="R343" i="65"/>
  <c r="S343" i="65"/>
  <c r="T343" i="65"/>
  <c r="U343" i="65"/>
  <c r="V343" i="65"/>
  <c r="W343" i="65"/>
  <c r="X343" i="65"/>
  <c r="Z343" i="65"/>
  <c r="AA343" i="65"/>
  <c r="AB343" i="65"/>
  <c r="AC343" i="65"/>
  <c r="AD343" i="65"/>
  <c r="AE343" i="65"/>
  <c r="AF343" i="65"/>
  <c r="AG343" i="65"/>
  <c r="AH343" i="65"/>
  <c r="AI343" i="65"/>
  <c r="AJ343" i="65"/>
  <c r="AK343" i="65"/>
  <c r="AL343" i="65"/>
  <c r="AM343" i="65"/>
  <c r="AN343" i="65"/>
  <c r="AO343" i="65"/>
  <c r="AP343" i="65"/>
  <c r="AQ343" i="65"/>
  <c r="AR343" i="65"/>
  <c r="AS343" i="65"/>
  <c r="AT343" i="65"/>
  <c r="AU343" i="65"/>
  <c r="AW343" i="65"/>
  <c r="AX343" i="65"/>
  <c r="AY343" i="65"/>
  <c r="BA343" i="65"/>
  <c r="A344" i="65"/>
  <c r="B344" i="65"/>
  <c r="D344" i="65"/>
  <c r="E344" i="65"/>
  <c r="F344" i="65"/>
  <c r="G344" i="65"/>
  <c r="H344" i="65"/>
  <c r="J344" i="65"/>
  <c r="K344" i="65"/>
  <c r="L344" i="65"/>
  <c r="M344" i="65"/>
  <c r="O344" i="65"/>
  <c r="P344" i="65"/>
  <c r="R344" i="65"/>
  <c r="S344" i="65"/>
  <c r="T344" i="65"/>
  <c r="U344" i="65"/>
  <c r="V344" i="65"/>
  <c r="W344" i="65"/>
  <c r="X344" i="65"/>
  <c r="Z344" i="65"/>
  <c r="AA344" i="65"/>
  <c r="AB344" i="65"/>
  <c r="AC344" i="65"/>
  <c r="AD344" i="65"/>
  <c r="AE344" i="65"/>
  <c r="AF344" i="65"/>
  <c r="AG344" i="65"/>
  <c r="AH344" i="65"/>
  <c r="AI344" i="65"/>
  <c r="AJ344" i="65"/>
  <c r="AK344" i="65"/>
  <c r="AL344" i="65"/>
  <c r="AM344" i="65"/>
  <c r="AN344" i="65"/>
  <c r="AO344" i="65"/>
  <c r="AP344" i="65"/>
  <c r="AQ344" i="65"/>
  <c r="AR344" i="65"/>
  <c r="AS344" i="65"/>
  <c r="AT344" i="65"/>
  <c r="AU344" i="65"/>
  <c r="AW344" i="65"/>
  <c r="AX344" i="65"/>
  <c r="AY344" i="65"/>
  <c r="BA344" i="65"/>
  <c r="A345" i="65"/>
  <c r="B345" i="65"/>
  <c r="D345" i="65"/>
  <c r="E345" i="65"/>
  <c r="F345" i="65"/>
  <c r="G345" i="65"/>
  <c r="H345" i="65"/>
  <c r="J345" i="65"/>
  <c r="K345" i="65"/>
  <c r="L345" i="65"/>
  <c r="M345" i="65"/>
  <c r="O345" i="65"/>
  <c r="P345" i="65"/>
  <c r="R345" i="65"/>
  <c r="S345" i="65"/>
  <c r="T345" i="65"/>
  <c r="U345" i="65"/>
  <c r="V345" i="65"/>
  <c r="W345" i="65"/>
  <c r="X345" i="65"/>
  <c r="Z345" i="65"/>
  <c r="AA345" i="65"/>
  <c r="AB345" i="65"/>
  <c r="AC345" i="65"/>
  <c r="AD345" i="65"/>
  <c r="AE345" i="65"/>
  <c r="AF345" i="65"/>
  <c r="AG345" i="65"/>
  <c r="AH345" i="65"/>
  <c r="AI345" i="65"/>
  <c r="AJ345" i="65"/>
  <c r="AK345" i="65"/>
  <c r="AL345" i="65"/>
  <c r="AM345" i="65"/>
  <c r="AN345" i="65"/>
  <c r="AO345" i="65"/>
  <c r="AP345" i="65"/>
  <c r="AQ345" i="65"/>
  <c r="AR345" i="65"/>
  <c r="AS345" i="65"/>
  <c r="AT345" i="65"/>
  <c r="AU345" i="65"/>
  <c r="AW345" i="65"/>
  <c r="AX345" i="65"/>
  <c r="AY345" i="65"/>
  <c r="BA345" i="65"/>
  <c r="A346" i="65"/>
  <c r="B346" i="65"/>
  <c r="D346" i="65"/>
  <c r="E346" i="65"/>
  <c r="F346" i="65"/>
  <c r="G346" i="65"/>
  <c r="H346" i="65"/>
  <c r="J346" i="65"/>
  <c r="K346" i="65"/>
  <c r="L346" i="65"/>
  <c r="M346" i="65"/>
  <c r="O346" i="65"/>
  <c r="P346" i="65"/>
  <c r="R346" i="65"/>
  <c r="S346" i="65"/>
  <c r="T346" i="65"/>
  <c r="U346" i="65"/>
  <c r="V346" i="65"/>
  <c r="W346" i="65"/>
  <c r="X346" i="65"/>
  <c r="Z346" i="65"/>
  <c r="AA346" i="65"/>
  <c r="AB346" i="65"/>
  <c r="AC346" i="65"/>
  <c r="AD346" i="65"/>
  <c r="AE346" i="65"/>
  <c r="AF346" i="65"/>
  <c r="AG346" i="65"/>
  <c r="AH346" i="65"/>
  <c r="AI346" i="65"/>
  <c r="AJ346" i="65"/>
  <c r="AK346" i="65"/>
  <c r="AL346" i="65"/>
  <c r="AM346" i="65"/>
  <c r="AN346" i="65"/>
  <c r="AO346" i="65"/>
  <c r="AP346" i="65"/>
  <c r="AQ346" i="65"/>
  <c r="AR346" i="65"/>
  <c r="AS346" i="65"/>
  <c r="AT346" i="65"/>
  <c r="AU346" i="65"/>
  <c r="AW346" i="65"/>
  <c r="AX346" i="65"/>
  <c r="AY346" i="65"/>
  <c r="BA346" i="65"/>
  <c r="A347" i="65"/>
  <c r="B347" i="65"/>
  <c r="D347" i="65"/>
  <c r="E347" i="65"/>
  <c r="F347" i="65"/>
  <c r="G347" i="65"/>
  <c r="H347" i="65"/>
  <c r="J347" i="65"/>
  <c r="K347" i="65"/>
  <c r="L347" i="65"/>
  <c r="M347" i="65"/>
  <c r="O347" i="65"/>
  <c r="P347" i="65"/>
  <c r="R347" i="65"/>
  <c r="S347" i="65"/>
  <c r="T347" i="65"/>
  <c r="U347" i="65"/>
  <c r="V347" i="65"/>
  <c r="W347" i="65"/>
  <c r="X347" i="65"/>
  <c r="Z347" i="65"/>
  <c r="AA347" i="65"/>
  <c r="AB347" i="65"/>
  <c r="AC347" i="65"/>
  <c r="AD347" i="65"/>
  <c r="AE347" i="65"/>
  <c r="AF347" i="65"/>
  <c r="AG347" i="65"/>
  <c r="AH347" i="65"/>
  <c r="AI347" i="65"/>
  <c r="AJ347" i="65"/>
  <c r="AK347" i="65"/>
  <c r="AL347" i="65"/>
  <c r="AM347" i="65"/>
  <c r="AN347" i="65"/>
  <c r="AO347" i="65"/>
  <c r="AP347" i="65"/>
  <c r="AQ347" i="65"/>
  <c r="AR347" i="65"/>
  <c r="AS347" i="65"/>
  <c r="AT347" i="65"/>
  <c r="AU347" i="65"/>
  <c r="AW347" i="65"/>
  <c r="AX347" i="65"/>
  <c r="AY347" i="65"/>
  <c r="BA347" i="65"/>
  <c r="A348" i="65"/>
  <c r="B348" i="65"/>
  <c r="D348" i="65"/>
  <c r="E348" i="65"/>
  <c r="F348" i="65"/>
  <c r="G348" i="65"/>
  <c r="H348" i="65"/>
  <c r="J348" i="65"/>
  <c r="K348" i="65"/>
  <c r="L348" i="65"/>
  <c r="M348" i="65"/>
  <c r="O348" i="65"/>
  <c r="P348" i="65"/>
  <c r="R348" i="65"/>
  <c r="S348" i="65"/>
  <c r="T348" i="65"/>
  <c r="U348" i="65"/>
  <c r="V348" i="65"/>
  <c r="W348" i="65"/>
  <c r="X348" i="65"/>
  <c r="Z348" i="65"/>
  <c r="AA348" i="65"/>
  <c r="AB348" i="65"/>
  <c r="AC348" i="65"/>
  <c r="AD348" i="65"/>
  <c r="AE348" i="65"/>
  <c r="AF348" i="65"/>
  <c r="AG348" i="65"/>
  <c r="AH348" i="65"/>
  <c r="AI348" i="65"/>
  <c r="AJ348" i="65"/>
  <c r="AK348" i="65"/>
  <c r="AL348" i="65"/>
  <c r="AM348" i="65"/>
  <c r="AN348" i="65"/>
  <c r="AO348" i="65"/>
  <c r="AP348" i="65"/>
  <c r="AQ348" i="65"/>
  <c r="AR348" i="65"/>
  <c r="AS348" i="65"/>
  <c r="AT348" i="65"/>
  <c r="AU348" i="65"/>
  <c r="AW348" i="65"/>
  <c r="AX348" i="65"/>
  <c r="AY348" i="65"/>
  <c r="BA348" i="65"/>
  <c r="A349" i="65"/>
  <c r="B349" i="65"/>
  <c r="D349" i="65"/>
  <c r="E349" i="65"/>
  <c r="F349" i="65"/>
  <c r="G349" i="65"/>
  <c r="H349" i="65"/>
  <c r="J349" i="65"/>
  <c r="K349" i="65"/>
  <c r="L349" i="65"/>
  <c r="M349" i="65"/>
  <c r="O349" i="65"/>
  <c r="P349" i="65"/>
  <c r="R349" i="65"/>
  <c r="S349" i="65"/>
  <c r="T349" i="65"/>
  <c r="U349" i="65"/>
  <c r="V349" i="65"/>
  <c r="W349" i="65"/>
  <c r="X349" i="65"/>
  <c r="Z349" i="65"/>
  <c r="AA349" i="65"/>
  <c r="AB349" i="65"/>
  <c r="AC349" i="65"/>
  <c r="AD349" i="65"/>
  <c r="AE349" i="65"/>
  <c r="AF349" i="65"/>
  <c r="AG349" i="65"/>
  <c r="AH349" i="65"/>
  <c r="AI349" i="65"/>
  <c r="AJ349" i="65"/>
  <c r="AK349" i="65"/>
  <c r="AL349" i="65"/>
  <c r="AM349" i="65"/>
  <c r="AN349" i="65"/>
  <c r="AO349" i="65"/>
  <c r="AP349" i="65"/>
  <c r="AQ349" i="65"/>
  <c r="AR349" i="65"/>
  <c r="AS349" i="65"/>
  <c r="AT349" i="65"/>
  <c r="AU349" i="65"/>
  <c r="AW349" i="65"/>
  <c r="AX349" i="65"/>
  <c r="AY349" i="65"/>
  <c r="BA349" i="65"/>
  <c r="A350" i="65"/>
  <c r="B350" i="65"/>
  <c r="D350" i="65"/>
  <c r="E350" i="65"/>
  <c r="F350" i="65"/>
  <c r="G350" i="65"/>
  <c r="H350" i="65"/>
  <c r="J350" i="65"/>
  <c r="K350" i="65"/>
  <c r="L350" i="65"/>
  <c r="M350" i="65"/>
  <c r="O350" i="65"/>
  <c r="P350" i="65"/>
  <c r="R350" i="65"/>
  <c r="S350" i="65"/>
  <c r="T350" i="65"/>
  <c r="U350" i="65"/>
  <c r="V350" i="65"/>
  <c r="W350" i="65"/>
  <c r="X350" i="65"/>
  <c r="Z350" i="65"/>
  <c r="AA350" i="65"/>
  <c r="AB350" i="65"/>
  <c r="AC350" i="65"/>
  <c r="AD350" i="65"/>
  <c r="AE350" i="65"/>
  <c r="AF350" i="65"/>
  <c r="AG350" i="65"/>
  <c r="AH350" i="65"/>
  <c r="AI350" i="65"/>
  <c r="AJ350" i="65"/>
  <c r="AK350" i="65"/>
  <c r="AL350" i="65"/>
  <c r="AM350" i="65"/>
  <c r="AN350" i="65"/>
  <c r="AO350" i="65"/>
  <c r="AP350" i="65"/>
  <c r="AQ350" i="65"/>
  <c r="AR350" i="65"/>
  <c r="AS350" i="65"/>
  <c r="AT350" i="65"/>
  <c r="AU350" i="65"/>
  <c r="AW350" i="65"/>
  <c r="AX350" i="65"/>
  <c r="AY350" i="65"/>
  <c r="BA350" i="65"/>
  <c r="A351" i="65"/>
  <c r="B351" i="65"/>
  <c r="D351" i="65"/>
  <c r="E351" i="65"/>
  <c r="F351" i="65"/>
  <c r="G351" i="65"/>
  <c r="H351" i="65"/>
  <c r="J351" i="65"/>
  <c r="K351" i="65"/>
  <c r="L351" i="65"/>
  <c r="M351" i="65"/>
  <c r="O351" i="65"/>
  <c r="P351" i="65"/>
  <c r="R351" i="65"/>
  <c r="S351" i="65"/>
  <c r="T351" i="65"/>
  <c r="U351" i="65"/>
  <c r="V351" i="65"/>
  <c r="W351" i="65"/>
  <c r="X351" i="65"/>
  <c r="Z351" i="65"/>
  <c r="AA351" i="65"/>
  <c r="AB351" i="65"/>
  <c r="AC351" i="65"/>
  <c r="AD351" i="65"/>
  <c r="AE351" i="65"/>
  <c r="AF351" i="65"/>
  <c r="AG351" i="65"/>
  <c r="AH351" i="65"/>
  <c r="AI351" i="65"/>
  <c r="AJ351" i="65"/>
  <c r="AK351" i="65"/>
  <c r="AL351" i="65"/>
  <c r="AM351" i="65"/>
  <c r="AN351" i="65"/>
  <c r="AO351" i="65"/>
  <c r="AP351" i="65"/>
  <c r="AQ351" i="65"/>
  <c r="AR351" i="65"/>
  <c r="AS351" i="65"/>
  <c r="AT351" i="65"/>
  <c r="AU351" i="65"/>
  <c r="AW351" i="65"/>
  <c r="AX351" i="65"/>
  <c r="AY351" i="65"/>
  <c r="BA351" i="65"/>
  <c r="A352" i="65"/>
  <c r="B352" i="65"/>
  <c r="D352" i="65"/>
  <c r="E352" i="65"/>
  <c r="F352" i="65"/>
  <c r="G352" i="65"/>
  <c r="H352" i="65"/>
  <c r="J352" i="65"/>
  <c r="K352" i="65"/>
  <c r="L352" i="65"/>
  <c r="M352" i="65"/>
  <c r="O352" i="65"/>
  <c r="P352" i="65"/>
  <c r="R352" i="65"/>
  <c r="S352" i="65"/>
  <c r="T352" i="65"/>
  <c r="U352" i="65"/>
  <c r="V352" i="65"/>
  <c r="W352" i="65"/>
  <c r="X352" i="65"/>
  <c r="Z352" i="65"/>
  <c r="AA352" i="65"/>
  <c r="AB352" i="65"/>
  <c r="AC352" i="65"/>
  <c r="AD352" i="65"/>
  <c r="AE352" i="65"/>
  <c r="AF352" i="65"/>
  <c r="AG352" i="65"/>
  <c r="AH352" i="65"/>
  <c r="AI352" i="65"/>
  <c r="AJ352" i="65"/>
  <c r="AK352" i="65"/>
  <c r="AL352" i="65"/>
  <c r="AM352" i="65"/>
  <c r="AN352" i="65"/>
  <c r="AO352" i="65"/>
  <c r="AP352" i="65"/>
  <c r="AQ352" i="65"/>
  <c r="AR352" i="65"/>
  <c r="AS352" i="65"/>
  <c r="AT352" i="65"/>
  <c r="AU352" i="65"/>
  <c r="AW352" i="65"/>
  <c r="AX352" i="65"/>
  <c r="AY352" i="65"/>
  <c r="BA352" i="65"/>
  <c r="A353" i="65"/>
  <c r="B353" i="65"/>
  <c r="D353" i="65"/>
  <c r="E353" i="65"/>
  <c r="F353" i="65"/>
  <c r="G353" i="65"/>
  <c r="H353" i="65"/>
  <c r="J353" i="65"/>
  <c r="K353" i="65"/>
  <c r="L353" i="65"/>
  <c r="M353" i="65"/>
  <c r="O353" i="65"/>
  <c r="P353" i="65"/>
  <c r="R353" i="65"/>
  <c r="S353" i="65"/>
  <c r="T353" i="65"/>
  <c r="U353" i="65"/>
  <c r="V353" i="65"/>
  <c r="W353" i="65"/>
  <c r="X353" i="65"/>
  <c r="Z353" i="65"/>
  <c r="AA353" i="65"/>
  <c r="AB353" i="65"/>
  <c r="AC353" i="65"/>
  <c r="AD353" i="65"/>
  <c r="AE353" i="65"/>
  <c r="AF353" i="65"/>
  <c r="AG353" i="65"/>
  <c r="AH353" i="65"/>
  <c r="AI353" i="65"/>
  <c r="AJ353" i="65"/>
  <c r="AK353" i="65"/>
  <c r="AL353" i="65"/>
  <c r="AM353" i="65"/>
  <c r="AN353" i="65"/>
  <c r="AO353" i="65"/>
  <c r="AP353" i="65"/>
  <c r="AQ353" i="65"/>
  <c r="AR353" i="65"/>
  <c r="AS353" i="65"/>
  <c r="AT353" i="65"/>
  <c r="AU353" i="65"/>
  <c r="AW353" i="65"/>
  <c r="AX353" i="65"/>
  <c r="AY353" i="65"/>
  <c r="BA353" i="65"/>
  <c r="A354" i="65"/>
  <c r="B354" i="65"/>
  <c r="D354" i="65"/>
  <c r="E354" i="65"/>
  <c r="F354" i="65"/>
  <c r="G354" i="65"/>
  <c r="H354" i="65"/>
  <c r="J354" i="65"/>
  <c r="K354" i="65"/>
  <c r="L354" i="65"/>
  <c r="M354" i="65"/>
  <c r="O354" i="65"/>
  <c r="P354" i="65"/>
  <c r="R354" i="65"/>
  <c r="S354" i="65"/>
  <c r="T354" i="65"/>
  <c r="U354" i="65"/>
  <c r="V354" i="65"/>
  <c r="W354" i="65"/>
  <c r="X354" i="65"/>
  <c r="Z354" i="65"/>
  <c r="AA354" i="65"/>
  <c r="AB354" i="65"/>
  <c r="AC354" i="65"/>
  <c r="AD354" i="65"/>
  <c r="AE354" i="65"/>
  <c r="AF354" i="65"/>
  <c r="AG354" i="65"/>
  <c r="AH354" i="65"/>
  <c r="AI354" i="65"/>
  <c r="AJ354" i="65"/>
  <c r="AK354" i="65"/>
  <c r="AL354" i="65"/>
  <c r="AM354" i="65"/>
  <c r="AN354" i="65"/>
  <c r="AO354" i="65"/>
  <c r="AP354" i="65"/>
  <c r="AQ354" i="65"/>
  <c r="AR354" i="65"/>
  <c r="AS354" i="65"/>
  <c r="AT354" i="65"/>
  <c r="AU354" i="65"/>
  <c r="AW354" i="65"/>
  <c r="AX354" i="65"/>
  <c r="AY354" i="65"/>
  <c r="BA354" i="65"/>
  <c r="A355" i="65"/>
  <c r="B355" i="65"/>
  <c r="D355" i="65"/>
  <c r="E355" i="65"/>
  <c r="F355" i="65"/>
  <c r="G355" i="65"/>
  <c r="H355" i="65"/>
  <c r="J355" i="65"/>
  <c r="K355" i="65"/>
  <c r="L355" i="65"/>
  <c r="M355" i="65"/>
  <c r="O355" i="65"/>
  <c r="P355" i="65"/>
  <c r="R355" i="65"/>
  <c r="S355" i="65"/>
  <c r="T355" i="65"/>
  <c r="U355" i="65"/>
  <c r="V355" i="65"/>
  <c r="W355" i="65"/>
  <c r="X355" i="65"/>
  <c r="Z355" i="65"/>
  <c r="AA355" i="65"/>
  <c r="AB355" i="65"/>
  <c r="AC355" i="65"/>
  <c r="AD355" i="65"/>
  <c r="AE355" i="65"/>
  <c r="AF355" i="65"/>
  <c r="AG355" i="65"/>
  <c r="AH355" i="65"/>
  <c r="AI355" i="65"/>
  <c r="AJ355" i="65"/>
  <c r="AK355" i="65"/>
  <c r="AL355" i="65"/>
  <c r="AM355" i="65"/>
  <c r="AN355" i="65"/>
  <c r="AO355" i="65"/>
  <c r="AP355" i="65"/>
  <c r="AQ355" i="65"/>
  <c r="AR355" i="65"/>
  <c r="AS355" i="65"/>
  <c r="AT355" i="65"/>
  <c r="AU355" i="65"/>
  <c r="AW355" i="65"/>
  <c r="AX355" i="65"/>
  <c r="AY355" i="65"/>
  <c r="BA355" i="65"/>
  <c r="A356" i="65"/>
  <c r="B356" i="65"/>
  <c r="D356" i="65"/>
  <c r="E356" i="65"/>
  <c r="F356" i="65"/>
  <c r="G356" i="65"/>
  <c r="H356" i="65"/>
  <c r="J356" i="65"/>
  <c r="K356" i="65"/>
  <c r="L356" i="65"/>
  <c r="M356" i="65"/>
  <c r="O356" i="65"/>
  <c r="P356" i="65"/>
  <c r="R356" i="65"/>
  <c r="S356" i="65"/>
  <c r="T356" i="65"/>
  <c r="U356" i="65"/>
  <c r="V356" i="65"/>
  <c r="W356" i="65"/>
  <c r="X356" i="65"/>
  <c r="Z356" i="65"/>
  <c r="AA356" i="65"/>
  <c r="AB356" i="65"/>
  <c r="AC356" i="65"/>
  <c r="AD356" i="65"/>
  <c r="AE356" i="65"/>
  <c r="AF356" i="65"/>
  <c r="AG356" i="65"/>
  <c r="AH356" i="65"/>
  <c r="AI356" i="65"/>
  <c r="AJ356" i="65"/>
  <c r="AK356" i="65"/>
  <c r="AL356" i="65"/>
  <c r="AM356" i="65"/>
  <c r="AN356" i="65"/>
  <c r="AO356" i="65"/>
  <c r="AP356" i="65"/>
  <c r="AQ356" i="65"/>
  <c r="AR356" i="65"/>
  <c r="AS356" i="65"/>
  <c r="AT356" i="65"/>
  <c r="AU356" i="65"/>
  <c r="AW356" i="65"/>
  <c r="AX356" i="65"/>
  <c r="AY356" i="65"/>
  <c r="BA356" i="65"/>
  <c r="A357" i="65"/>
  <c r="B357" i="65"/>
  <c r="D357" i="65"/>
  <c r="E357" i="65"/>
  <c r="F357" i="65"/>
  <c r="G357" i="65"/>
  <c r="H357" i="65"/>
  <c r="J357" i="65"/>
  <c r="K357" i="65"/>
  <c r="L357" i="65"/>
  <c r="M357" i="65"/>
  <c r="O357" i="65"/>
  <c r="P357" i="65"/>
  <c r="R357" i="65"/>
  <c r="S357" i="65"/>
  <c r="T357" i="65"/>
  <c r="U357" i="65"/>
  <c r="V357" i="65"/>
  <c r="W357" i="65"/>
  <c r="X357" i="65"/>
  <c r="Z357" i="65"/>
  <c r="AA357" i="65"/>
  <c r="AB357" i="65"/>
  <c r="AC357" i="65"/>
  <c r="AD357" i="65"/>
  <c r="AE357" i="65"/>
  <c r="AF357" i="65"/>
  <c r="AG357" i="65"/>
  <c r="AH357" i="65"/>
  <c r="AI357" i="65"/>
  <c r="AJ357" i="65"/>
  <c r="AK357" i="65"/>
  <c r="AL357" i="65"/>
  <c r="AM357" i="65"/>
  <c r="AN357" i="65"/>
  <c r="AO357" i="65"/>
  <c r="AP357" i="65"/>
  <c r="AQ357" i="65"/>
  <c r="AR357" i="65"/>
  <c r="AS357" i="65"/>
  <c r="AT357" i="65"/>
  <c r="AU357" i="65"/>
  <c r="AW357" i="65"/>
  <c r="AX357" i="65"/>
  <c r="AY357" i="65"/>
  <c r="BA357" i="65"/>
  <c r="A358" i="65"/>
  <c r="B358" i="65"/>
  <c r="D358" i="65"/>
  <c r="E358" i="65"/>
  <c r="F358" i="65"/>
  <c r="G358" i="65"/>
  <c r="H358" i="65"/>
  <c r="J358" i="65"/>
  <c r="K358" i="65"/>
  <c r="L358" i="65"/>
  <c r="M358" i="65"/>
  <c r="O358" i="65"/>
  <c r="P358" i="65"/>
  <c r="R358" i="65"/>
  <c r="S358" i="65"/>
  <c r="T358" i="65"/>
  <c r="U358" i="65"/>
  <c r="V358" i="65"/>
  <c r="W358" i="65"/>
  <c r="X358" i="65"/>
  <c r="Z358" i="65"/>
  <c r="AA358" i="65"/>
  <c r="AB358" i="65"/>
  <c r="AC358" i="65"/>
  <c r="AD358" i="65"/>
  <c r="AE358" i="65"/>
  <c r="AF358" i="65"/>
  <c r="AG358" i="65"/>
  <c r="AH358" i="65"/>
  <c r="AI358" i="65"/>
  <c r="AJ358" i="65"/>
  <c r="AK358" i="65"/>
  <c r="AL358" i="65"/>
  <c r="AM358" i="65"/>
  <c r="AN358" i="65"/>
  <c r="AO358" i="65"/>
  <c r="AP358" i="65"/>
  <c r="AQ358" i="65"/>
  <c r="AR358" i="65"/>
  <c r="AS358" i="65"/>
  <c r="AT358" i="65"/>
  <c r="AU358" i="65"/>
  <c r="AW358" i="65"/>
  <c r="AX358" i="65"/>
  <c r="AY358" i="65"/>
  <c r="BA358" i="65"/>
  <c r="A359" i="65"/>
  <c r="B359" i="65"/>
  <c r="D359" i="65"/>
  <c r="E359" i="65"/>
  <c r="F359" i="65"/>
  <c r="G359" i="65"/>
  <c r="H359" i="65"/>
  <c r="J359" i="65"/>
  <c r="K359" i="65"/>
  <c r="L359" i="65"/>
  <c r="M359" i="65"/>
  <c r="O359" i="65"/>
  <c r="P359" i="65"/>
  <c r="R359" i="65"/>
  <c r="S359" i="65"/>
  <c r="T359" i="65"/>
  <c r="U359" i="65"/>
  <c r="V359" i="65"/>
  <c r="W359" i="65"/>
  <c r="X359" i="65"/>
  <c r="Z359" i="65"/>
  <c r="AA359" i="65"/>
  <c r="AB359" i="65"/>
  <c r="AC359" i="65"/>
  <c r="AD359" i="65"/>
  <c r="AE359" i="65"/>
  <c r="AF359" i="65"/>
  <c r="AG359" i="65"/>
  <c r="AH359" i="65"/>
  <c r="AI359" i="65"/>
  <c r="AJ359" i="65"/>
  <c r="AK359" i="65"/>
  <c r="AL359" i="65"/>
  <c r="AM359" i="65"/>
  <c r="AN359" i="65"/>
  <c r="AO359" i="65"/>
  <c r="AP359" i="65"/>
  <c r="AQ359" i="65"/>
  <c r="AR359" i="65"/>
  <c r="AS359" i="65"/>
  <c r="AT359" i="65"/>
  <c r="AU359" i="65"/>
  <c r="AW359" i="65"/>
  <c r="AX359" i="65"/>
  <c r="AY359" i="65"/>
  <c r="BA359" i="65"/>
  <c r="A360" i="65"/>
  <c r="B360" i="65"/>
  <c r="D360" i="65"/>
  <c r="E360" i="65"/>
  <c r="F360" i="65"/>
  <c r="G360" i="65"/>
  <c r="H360" i="65"/>
  <c r="J360" i="65"/>
  <c r="K360" i="65"/>
  <c r="L360" i="65"/>
  <c r="M360" i="65"/>
  <c r="O360" i="65"/>
  <c r="P360" i="65"/>
  <c r="R360" i="65"/>
  <c r="S360" i="65"/>
  <c r="T360" i="65"/>
  <c r="U360" i="65"/>
  <c r="V360" i="65"/>
  <c r="W360" i="65"/>
  <c r="X360" i="65"/>
  <c r="Z360" i="65"/>
  <c r="AA360" i="65"/>
  <c r="AB360" i="65"/>
  <c r="AC360" i="65"/>
  <c r="AD360" i="65"/>
  <c r="AE360" i="65"/>
  <c r="AF360" i="65"/>
  <c r="AG360" i="65"/>
  <c r="AH360" i="65"/>
  <c r="AI360" i="65"/>
  <c r="AJ360" i="65"/>
  <c r="AK360" i="65"/>
  <c r="AL360" i="65"/>
  <c r="AM360" i="65"/>
  <c r="AN360" i="65"/>
  <c r="AO360" i="65"/>
  <c r="AP360" i="65"/>
  <c r="AQ360" i="65"/>
  <c r="AR360" i="65"/>
  <c r="AS360" i="65"/>
  <c r="AT360" i="65"/>
  <c r="AU360" i="65"/>
  <c r="AW360" i="65"/>
  <c r="AX360" i="65"/>
  <c r="AY360" i="65"/>
  <c r="BA360" i="65"/>
  <c r="A361" i="65"/>
  <c r="B361" i="65"/>
  <c r="D361" i="65"/>
  <c r="E361" i="65"/>
  <c r="F361" i="65"/>
  <c r="G361" i="65"/>
  <c r="H361" i="65"/>
  <c r="J361" i="65"/>
  <c r="K361" i="65"/>
  <c r="L361" i="65"/>
  <c r="M361" i="65"/>
  <c r="O361" i="65"/>
  <c r="P361" i="65"/>
  <c r="R361" i="65"/>
  <c r="S361" i="65"/>
  <c r="T361" i="65"/>
  <c r="U361" i="65"/>
  <c r="V361" i="65"/>
  <c r="W361" i="65"/>
  <c r="X361" i="65"/>
  <c r="Z361" i="65"/>
  <c r="AA361" i="65"/>
  <c r="AB361" i="65"/>
  <c r="AC361" i="65"/>
  <c r="AD361" i="65"/>
  <c r="AE361" i="65"/>
  <c r="AF361" i="65"/>
  <c r="AG361" i="65"/>
  <c r="AH361" i="65"/>
  <c r="AI361" i="65"/>
  <c r="AJ361" i="65"/>
  <c r="AK361" i="65"/>
  <c r="AL361" i="65"/>
  <c r="AM361" i="65"/>
  <c r="AN361" i="65"/>
  <c r="AO361" i="65"/>
  <c r="AP361" i="65"/>
  <c r="AQ361" i="65"/>
  <c r="AR361" i="65"/>
  <c r="AS361" i="65"/>
  <c r="AT361" i="65"/>
  <c r="AU361" i="65"/>
  <c r="AW361" i="65"/>
  <c r="AX361" i="65"/>
  <c r="AY361" i="65"/>
  <c r="BA361" i="65"/>
  <c r="A362" i="65"/>
  <c r="B362" i="65"/>
  <c r="D362" i="65"/>
  <c r="E362" i="65"/>
  <c r="F362" i="65"/>
  <c r="G362" i="65"/>
  <c r="H362" i="65"/>
  <c r="J362" i="65"/>
  <c r="K362" i="65"/>
  <c r="L362" i="65"/>
  <c r="M362" i="65"/>
  <c r="O362" i="65"/>
  <c r="P362" i="65"/>
  <c r="R362" i="65"/>
  <c r="S362" i="65"/>
  <c r="T362" i="65"/>
  <c r="U362" i="65"/>
  <c r="V362" i="65"/>
  <c r="W362" i="65"/>
  <c r="X362" i="65"/>
  <c r="Z362" i="65"/>
  <c r="AA362" i="65"/>
  <c r="AB362" i="65"/>
  <c r="AC362" i="65"/>
  <c r="AD362" i="65"/>
  <c r="AE362" i="65"/>
  <c r="AF362" i="65"/>
  <c r="AG362" i="65"/>
  <c r="AH362" i="65"/>
  <c r="AI362" i="65"/>
  <c r="AJ362" i="65"/>
  <c r="AK362" i="65"/>
  <c r="AL362" i="65"/>
  <c r="AM362" i="65"/>
  <c r="AN362" i="65"/>
  <c r="AO362" i="65"/>
  <c r="AP362" i="65"/>
  <c r="AQ362" i="65"/>
  <c r="AR362" i="65"/>
  <c r="AS362" i="65"/>
  <c r="AT362" i="65"/>
  <c r="AU362" i="65"/>
  <c r="AW362" i="65"/>
  <c r="AX362" i="65"/>
  <c r="AY362" i="65"/>
  <c r="BA362" i="65"/>
  <c r="A363" i="65"/>
  <c r="B363" i="65"/>
  <c r="D363" i="65"/>
  <c r="E363" i="65"/>
  <c r="F363" i="65"/>
  <c r="G363" i="65"/>
  <c r="H363" i="65"/>
  <c r="J363" i="65"/>
  <c r="K363" i="65"/>
  <c r="L363" i="65"/>
  <c r="M363" i="65"/>
  <c r="O363" i="65"/>
  <c r="P363" i="65"/>
  <c r="R363" i="65"/>
  <c r="S363" i="65"/>
  <c r="T363" i="65"/>
  <c r="U363" i="65"/>
  <c r="V363" i="65"/>
  <c r="W363" i="65"/>
  <c r="X363" i="65"/>
  <c r="Z363" i="65"/>
  <c r="AA363" i="65"/>
  <c r="AB363" i="65"/>
  <c r="AC363" i="65"/>
  <c r="AD363" i="65"/>
  <c r="AE363" i="65"/>
  <c r="AF363" i="65"/>
  <c r="AG363" i="65"/>
  <c r="AH363" i="65"/>
  <c r="AI363" i="65"/>
  <c r="AJ363" i="65"/>
  <c r="AK363" i="65"/>
  <c r="AL363" i="65"/>
  <c r="AM363" i="65"/>
  <c r="AN363" i="65"/>
  <c r="AO363" i="65"/>
  <c r="AP363" i="65"/>
  <c r="AQ363" i="65"/>
  <c r="AR363" i="65"/>
  <c r="AS363" i="65"/>
  <c r="AT363" i="65"/>
  <c r="AU363" i="65"/>
  <c r="AW363" i="65"/>
  <c r="AX363" i="65"/>
  <c r="AY363" i="65"/>
  <c r="BA363" i="65"/>
  <c r="A364" i="65"/>
  <c r="B364" i="65"/>
  <c r="D364" i="65"/>
  <c r="E364" i="65"/>
  <c r="F364" i="65"/>
  <c r="G364" i="65"/>
  <c r="H364" i="65"/>
  <c r="J364" i="65"/>
  <c r="K364" i="65"/>
  <c r="L364" i="65"/>
  <c r="M364" i="65"/>
  <c r="O364" i="65"/>
  <c r="P364" i="65"/>
  <c r="R364" i="65"/>
  <c r="S364" i="65"/>
  <c r="T364" i="65"/>
  <c r="U364" i="65"/>
  <c r="V364" i="65"/>
  <c r="W364" i="65"/>
  <c r="X364" i="65"/>
  <c r="Z364" i="65"/>
  <c r="AA364" i="65"/>
  <c r="AB364" i="65"/>
  <c r="AC364" i="65"/>
  <c r="AD364" i="65"/>
  <c r="AE364" i="65"/>
  <c r="AF364" i="65"/>
  <c r="AG364" i="65"/>
  <c r="AH364" i="65"/>
  <c r="AI364" i="65"/>
  <c r="AJ364" i="65"/>
  <c r="AK364" i="65"/>
  <c r="AL364" i="65"/>
  <c r="AM364" i="65"/>
  <c r="AN364" i="65"/>
  <c r="AO364" i="65"/>
  <c r="AP364" i="65"/>
  <c r="AQ364" i="65"/>
  <c r="AR364" i="65"/>
  <c r="AS364" i="65"/>
  <c r="AT364" i="65"/>
  <c r="AU364" i="65"/>
  <c r="AW364" i="65"/>
  <c r="AX364" i="65"/>
  <c r="AY364" i="65"/>
  <c r="BA364" i="65"/>
  <c r="A365" i="65"/>
  <c r="B365" i="65"/>
  <c r="D365" i="65"/>
  <c r="E365" i="65"/>
  <c r="F365" i="65"/>
  <c r="G365" i="65"/>
  <c r="H365" i="65"/>
  <c r="J365" i="65"/>
  <c r="K365" i="65"/>
  <c r="L365" i="65"/>
  <c r="M365" i="65"/>
  <c r="O365" i="65"/>
  <c r="P365" i="65"/>
  <c r="R365" i="65"/>
  <c r="S365" i="65"/>
  <c r="T365" i="65"/>
  <c r="U365" i="65"/>
  <c r="V365" i="65"/>
  <c r="W365" i="65"/>
  <c r="X365" i="65"/>
  <c r="Z365" i="65"/>
  <c r="AA365" i="65"/>
  <c r="AB365" i="65"/>
  <c r="AC365" i="65"/>
  <c r="AD365" i="65"/>
  <c r="AE365" i="65"/>
  <c r="AF365" i="65"/>
  <c r="AG365" i="65"/>
  <c r="AH365" i="65"/>
  <c r="AI365" i="65"/>
  <c r="AJ365" i="65"/>
  <c r="AK365" i="65"/>
  <c r="AL365" i="65"/>
  <c r="AM365" i="65"/>
  <c r="AN365" i="65"/>
  <c r="AO365" i="65"/>
  <c r="AP365" i="65"/>
  <c r="AQ365" i="65"/>
  <c r="AR365" i="65"/>
  <c r="AS365" i="65"/>
  <c r="AT365" i="65"/>
  <c r="AU365" i="65"/>
  <c r="AW365" i="65"/>
  <c r="AX365" i="65"/>
  <c r="AY365" i="65"/>
  <c r="BA365" i="65"/>
  <c r="A366" i="65"/>
  <c r="B366" i="65"/>
  <c r="D366" i="65"/>
  <c r="E366" i="65"/>
  <c r="F366" i="65"/>
  <c r="G366" i="65"/>
  <c r="H366" i="65"/>
  <c r="J366" i="65"/>
  <c r="K366" i="65"/>
  <c r="L366" i="65"/>
  <c r="M366" i="65"/>
  <c r="O366" i="65"/>
  <c r="P366" i="65"/>
  <c r="R366" i="65"/>
  <c r="S366" i="65"/>
  <c r="T366" i="65"/>
  <c r="U366" i="65"/>
  <c r="V366" i="65"/>
  <c r="W366" i="65"/>
  <c r="X366" i="65"/>
  <c r="Z366" i="65"/>
  <c r="AA366" i="65"/>
  <c r="AB366" i="65"/>
  <c r="AC366" i="65"/>
  <c r="AD366" i="65"/>
  <c r="AE366" i="65"/>
  <c r="AF366" i="65"/>
  <c r="AG366" i="65"/>
  <c r="AH366" i="65"/>
  <c r="AI366" i="65"/>
  <c r="AJ366" i="65"/>
  <c r="AK366" i="65"/>
  <c r="AL366" i="65"/>
  <c r="AM366" i="65"/>
  <c r="AN366" i="65"/>
  <c r="AO366" i="65"/>
  <c r="AP366" i="65"/>
  <c r="AQ366" i="65"/>
  <c r="AR366" i="65"/>
  <c r="AS366" i="65"/>
  <c r="AT366" i="65"/>
  <c r="AU366" i="65"/>
  <c r="AW366" i="65"/>
  <c r="AX366" i="65"/>
  <c r="AY366" i="65"/>
  <c r="BA366" i="65"/>
  <c r="A367" i="65"/>
  <c r="B367" i="65"/>
  <c r="D367" i="65"/>
  <c r="E367" i="65"/>
  <c r="F367" i="65"/>
  <c r="G367" i="65"/>
  <c r="H367" i="65"/>
  <c r="J367" i="65"/>
  <c r="K367" i="65"/>
  <c r="L367" i="65"/>
  <c r="M367" i="65"/>
  <c r="O367" i="65"/>
  <c r="P367" i="65"/>
  <c r="R367" i="65"/>
  <c r="S367" i="65"/>
  <c r="T367" i="65"/>
  <c r="U367" i="65"/>
  <c r="V367" i="65"/>
  <c r="W367" i="65"/>
  <c r="X367" i="65"/>
  <c r="Z367" i="65"/>
  <c r="AA367" i="65"/>
  <c r="AB367" i="65"/>
  <c r="AC367" i="65"/>
  <c r="AD367" i="65"/>
  <c r="AE367" i="65"/>
  <c r="AF367" i="65"/>
  <c r="AG367" i="65"/>
  <c r="AH367" i="65"/>
  <c r="AI367" i="65"/>
  <c r="AJ367" i="65"/>
  <c r="AK367" i="65"/>
  <c r="AL367" i="65"/>
  <c r="AM367" i="65"/>
  <c r="AN367" i="65"/>
  <c r="AO367" i="65"/>
  <c r="AP367" i="65"/>
  <c r="AQ367" i="65"/>
  <c r="AR367" i="65"/>
  <c r="AS367" i="65"/>
  <c r="AT367" i="65"/>
  <c r="AU367" i="65"/>
  <c r="AW367" i="65"/>
  <c r="AX367" i="65"/>
  <c r="AY367" i="65"/>
  <c r="BA367" i="65"/>
  <c r="A368" i="65"/>
  <c r="B368" i="65"/>
  <c r="D368" i="65"/>
  <c r="E368" i="65"/>
  <c r="F368" i="65"/>
  <c r="G368" i="65"/>
  <c r="H368" i="65"/>
  <c r="J368" i="65"/>
  <c r="K368" i="65"/>
  <c r="L368" i="65"/>
  <c r="M368" i="65"/>
  <c r="O368" i="65"/>
  <c r="P368" i="65"/>
  <c r="R368" i="65"/>
  <c r="S368" i="65"/>
  <c r="T368" i="65"/>
  <c r="U368" i="65"/>
  <c r="V368" i="65"/>
  <c r="W368" i="65"/>
  <c r="X368" i="65"/>
  <c r="Z368" i="65"/>
  <c r="AA368" i="65"/>
  <c r="AB368" i="65"/>
  <c r="AC368" i="65"/>
  <c r="AD368" i="65"/>
  <c r="AE368" i="65"/>
  <c r="AF368" i="65"/>
  <c r="AG368" i="65"/>
  <c r="AH368" i="65"/>
  <c r="AI368" i="65"/>
  <c r="AJ368" i="65"/>
  <c r="AK368" i="65"/>
  <c r="AL368" i="65"/>
  <c r="AM368" i="65"/>
  <c r="AN368" i="65"/>
  <c r="AO368" i="65"/>
  <c r="AP368" i="65"/>
  <c r="AQ368" i="65"/>
  <c r="AR368" i="65"/>
  <c r="AS368" i="65"/>
  <c r="AT368" i="65"/>
  <c r="AU368" i="65"/>
  <c r="AW368" i="65"/>
  <c r="AX368" i="65"/>
  <c r="AY368" i="65"/>
  <c r="BA368" i="65"/>
  <c r="A369" i="65"/>
  <c r="B369" i="65"/>
  <c r="D369" i="65"/>
  <c r="E369" i="65"/>
  <c r="F369" i="65"/>
  <c r="G369" i="65"/>
  <c r="H369" i="65"/>
  <c r="J369" i="65"/>
  <c r="K369" i="65"/>
  <c r="L369" i="65"/>
  <c r="M369" i="65"/>
  <c r="O369" i="65"/>
  <c r="P369" i="65"/>
  <c r="R369" i="65"/>
  <c r="S369" i="65"/>
  <c r="T369" i="65"/>
  <c r="U369" i="65"/>
  <c r="V369" i="65"/>
  <c r="W369" i="65"/>
  <c r="X369" i="65"/>
  <c r="Z369" i="65"/>
  <c r="AA369" i="65"/>
  <c r="AB369" i="65"/>
  <c r="AC369" i="65"/>
  <c r="AD369" i="65"/>
  <c r="AE369" i="65"/>
  <c r="AF369" i="65"/>
  <c r="AG369" i="65"/>
  <c r="AH369" i="65"/>
  <c r="AI369" i="65"/>
  <c r="AJ369" i="65"/>
  <c r="AK369" i="65"/>
  <c r="AL369" i="65"/>
  <c r="AM369" i="65"/>
  <c r="AN369" i="65"/>
  <c r="AO369" i="65"/>
  <c r="AP369" i="65"/>
  <c r="AQ369" i="65"/>
  <c r="AR369" i="65"/>
  <c r="AS369" i="65"/>
  <c r="AT369" i="65"/>
  <c r="AU369" i="65"/>
  <c r="AW369" i="65"/>
  <c r="AX369" i="65"/>
  <c r="AY369" i="65"/>
  <c r="BA369" i="65"/>
  <c r="A370" i="65"/>
  <c r="B370" i="65"/>
  <c r="D370" i="65"/>
  <c r="E370" i="65"/>
  <c r="F370" i="65"/>
  <c r="G370" i="65"/>
  <c r="H370" i="65"/>
  <c r="J370" i="65"/>
  <c r="K370" i="65"/>
  <c r="L370" i="65"/>
  <c r="M370" i="65"/>
  <c r="O370" i="65"/>
  <c r="P370" i="65"/>
  <c r="R370" i="65"/>
  <c r="S370" i="65"/>
  <c r="T370" i="65"/>
  <c r="U370" i="65"/>
  <c r="V370" i="65"/>
  <c r="W370" i="65"/>
  <c r="X370" i="65"/>
  <c r="AO370" i="65"/>
  <c r="AP370" i="65"/>
  <c r="AQ370" i="65"/>
  <c r="AR370" i="65"/>
  <c r="AS370" i="65"/>
  <c r="AT370" i="65"/>
  <c r="AU370" i="65"/>
  <c r="AW370" i="65"/>
  <c r="AX370" i="65"/>
  <c r="AY370" i="65"/>
  <c r="BA370" i="65"/>
  <c r="A371" i="65"/>
  <c r="B371" i="65"/>
  <c r="D371" i="65"/>
  <c r="E371" i="65"/>
  <c r="F371" i="65"/>
  <c r="G371" i="65"/>
  <c r="H371" i="65"/>
  <c r="J371" i="65"/>
  <c r="K371" i="65"/>
  <c r="L371" i="65"/>
  <c r="M371" i="65"/>
  <c r="O371" i="65"/>
  <c r="P371" i="65"/>
  <c r="R371" i="65"/>
  <c r="S371" i="65"/>
  <c r="T371" i="65"/>
  <c r="U371" i="65"/>
  <c r="V371" i="65"/>
  <c r="W371" i="65"/>
  <c r="X371" i="65"/>
  <c r="AO371" i="65"/>
  <c r="AP371" i="65"/>
  <c r="AQ371" i="65"/>
  <c r="AR371" i="65"/>
  <c r="AS371" i="65"/>
  <c r="AT371" i="65"/>
  <c r="AU371" i="65"/>
  <c r="AW371" i="65"/>
  <c r="AX371" i="65"/>
  <c r="AY371" i="65"/>
  <c r="BA371" i="65"/>
  <c r="A372" i="65"/>
  <c r="B372" i="65"/>
  <c r="D372" i="65"/>
  <c r="E372" i="65"/>
  <c r="F372" i="65"/>
  <c r="G372" i="65"/>
  <c r="H372" i="65"/>
  <c r="J372" i="65"/>
  <c r="K372" i="65"/>
  <c r="L372" i="65"/>
  <c r="M372" i="65"/>
  <c r="O372" i="65"/>
  <c r="P372" i="65"/>
  <c r="R372" i="65"/>
  <c r="S372" i="65"/>
  <c r="T372" i="65"/>
  <c r="U372" i="65"/>
  <c r="V372" i="65"/>
  <c r="W372" i="65"/>
  <c r="X372" i="65"/>
  <c r="AO372" i="65"/>
  <c r="AP372" i="65"/>
  <c r="AQ372" i="65"/>
  <c r="AR372" i="65"/>
  <c r="AS372" i="65"/>
  <c r="AT372" i="65"/>
  <c r="AU372" i="65"/>
  <c r="AW372" i="65"/>
  <c r="AX372" i="65"/>
  <c r="AY372" i="65"/>
  <c r="BA372" i="65"/>
  <c r="A373" i="65"/>
  <c r="B373" i="65"/>
  <c r="D373" i="65"/>
  <c r="E373" i="65"/>
  <c r="F373" i="65"/>
  <c r="G373" i="65"/>
  <c r="H373" i="65"/>
  <c r="J373" i="65"/>
  <c r="K373" i="65"/>
  <c r="L373" i="65"/>
  <c r="M373" i="65"/>
  <c r="O373" i="65"/>
  <c r="P373" i="65"/>
  <c r="R373" i="65"/>
  <c r="S373" i="65"/>
  <c r="T373" i="65"/>
  <c r="U373" i="65"/>
  <c r="V373" i="65"/>
  <c r="W373" i="65"/>
  <c r="X373" i="65"/>
  <c r="AO373" i="65"/>
  <c r="AP373" i="65"/>
  <c r="AQ373" i="65"/>
  <c r="AR373" i="65"/>
  <c r="AS373" i="65"/>
  <c r="AT373" i="65"/>
  <c r="AU373" i="65"/>
  <c r="AW373" i="65"/>
  <c r="AX373" i="65"/>
  <c r="AY373" i="65"/>
  <c r="BA373" i="65"/>
  <c r="A374" i="65"/>
  <c r="B374" i="65"/>
  <c r="D374" i="65"/>
  <c r="E374" i="65"/>
  <c r="F374" i="65"/>
  <c r="G374" i="65"/>
  <c r="H374" i="65"/>
  <c r="J374" i="65"/>
  <c r="K374" i="65"/>
  <c r="L374" i="65"/>
  <c r="M374" i="65"/>
  <c r="O374" i="65"/>
  <c r="P374" i="65"/>
  <c r="R374" i="65"/>
  <c r="S374" i="65"/>
  <c r="T374" i="65"/>
  <c r="U374" i="65"/>
  <c r="V374" i="65"/>
  <c r="W374" i="65"/>
  <c r="X374" i="65"/>
  <c r="AO374" i="65"/>
  <c r="AP374" i="65"/>
  <c r="AQ374" i="65"/>
  <c r="AR374" i="65"/>
  <c r="AS374" i="65"/>
  <c r="AT374" i="65"/>
  <c r="AU374" i="65"/>
  <c r="AW374" i="65"/>
  <c r="AX374" i="65"/>
  <c r="AY374" i="65"/>
  <c r="BA374" i="65"/>
  <c r="A375" i="65"/>
  <c r="B375" i="65"/>
  <c r="D375" i="65"/>
  <c r="E375" i="65"/>
  <c r="F375" i="65"/>
  <c r="G375" i="65"/>
  <c r="H375" i="65"/>
  <c r="J375" i="65"/>
  <c r="K375" i="65"/>
  <c r="L375" i="65"/>
  <c r="M375" i="65"/>
  <c r="O375" i="65"/>
  <c r="P375" i="65"/>
  <c r="R375" i="65"/>
  <c r="S375" i="65"/>
  <c r="T375" i="65"/>
  <c r="U375" i="65"/>
  <c r="V375" i="65"/>
  <c r="W375" i="65"/>
  <c r="X375" i="65"/>
  <c r="AO375" i="65"/>
  <c r="AP375" i="65"/>
  <c r="AQ375" i="65"/>
  <c r="AR375" i="65"/>
  <c r="AS375" i="65"/>
  <c r="AT375" i="65"/>
  <c r="AU375" i="65"/>
  <c r="AW375" i="65"/>
  <c r="AX375" i="65"/>
  <c r="AY375" i="65"/>
  <c r="BA375" i="65"/>
  <c r="A376" i="65"/>
  <c r="B376" i="65"/>
  <c r="D376" i="65"/>
  <c r="E376" i="65"/>
  <c r="F376" i="65"/>
  <c r="G376" i="65"/>
  <c r="H376" i="65"/>
  <c r="J376" i="65"/>
  <c r="K376" i="65"/>
  <c r="L376" i="65"/>
  <c r="M376" i="65"/>
  <c r="O376" i="65"/>
  <c r="P376" i="65"/>
  <c r="R376" i="65"/>
  <c r="S376" i="65"/>
  <c r="T376" i="65"/>
  <c r="U376" i="65"/>
  <c r="V376" i="65"/>
  <c r="W376" i="65"/>
  <c r="X376" i="65"/>
  <c r="AO376" i="65"/>
  <c r="AP376" i="65"/>
  <c r="AQ376" i="65"/>
  <c r="AR376" i="65"/>
  <c r="AS376" i="65"/>
  <c r="AT376" i="65"/>
  <c r="AU376" i="65"/>
  <c r="AW376" i="65"/>
  <c r="AX376" i="65"/>
  <c r="AY376" i="65"/>
  <c r="BA376" i="65"/>
  <c r="A377" i="65"/>
  <c r="B377" i="65"/>
  <c r="D377" i="65"/>
  <c r="E377" i="65"/>
  <c r="F377" i="65"/>
  <c r="G377" i="65"/>
  <c r="H377" i="65"/>
  <c r="J377" i="65"/>
  <c r="K377" i="65"/>
  <c r="L377" i="65"/>
  <c r="M377" i="65"/>
  <c r="O377" i="65"/>
  <c r="P377" i="65"/>
  <c r="R377" i="65"/>
  <c r="S377" i="65"/>
  <c r="T377" i="65"/>
  <c r="U377" i="65"/>
  <c r="V377" i="65"/>
  <c r="W377" i="65"/>
  <c r="X377" i="65"/>
  <c r="AO377" i="65"/>
  <c r="AP377" i="65"/>
  <c r="AQ377" i="65"/>
  <c r="AR377" i="65"/>
  <c r="AS377" i="65"/>
  <c r="AT377" i="65"/>
  <c r="AU377" i="65"/>
  <c r="AW377" i="65"/>
  <c r="AX377" i="65"/>
  <c r="AY377" i="65"/>
  <c r="BA377" i="65"/>
  <c r="A378" i="65"/>
  <c r="B378" i="65"/>
  <c r="D378" i="65"/>
  <c r="E378" i="65"/>
  <c r="F378" i="65"/>
  <c r="G378" i="65"/>
  <c r="H378" i="65"/>
  <c r="J378" i="65"/>
  <c r="K378" i="65"/>
  <c r="L378" i="65"/>
  <c r="M378" i="65"/>
  <c r="O378" i="65"/>
  <c r="P378" i="65"/>
  <c r="R378" i="65"/>
  <c r="S378" i="65"/>
  <c r="T378" i="65"/>
  <c r="U378" i="65"/>
  <c r="V378" i="65"/>
  <c r="W378" i="65"/>
  <c r="X378" i="65"/>
  <c r="AO378" i="65"/>
  <c r="AP378" i="65"/>
  <c r="AQ378" i="65"/>
  <c r="AR378" i="65"/>
  <c r="AS378" i="65"/>
  <c r="AT378" i="65"/>
  <c r="AU378" i="65"/>
  <c r="AW378" i="65"/>
  <c r="AX378" i="65"/>
  <c r="AY378" i="65"/>
  <c r="BA378" i="65"/>
  <c r="A379" i="65"/>
  <c r="B379" i="65"/>
  <c r="D379" i="65"/>
  <c r="E379" i="65"/>
  <c r="F379" i="65"/>
  <c r="G379" i="65"/>
  <c r="H379" i="65"/>
  <c r="J379" i="65"/>
  <c r="K379" i="65"/>
  <c r="L379" i="65"/>
  <c r="M379" i="65"/>
  <c r="O379" i="65"/>
  <c r="P379" i="65"/>
  <c r="R379" i="65"/>
  <c r="S379" i="65"/>
  <c r="T379" i="65"/>
  <c r="U379" i="65"/>
  <c r="V379" i="65"/>
  <c r="W379" i="65"/>
  <c r="X379" i="65"/>
  <c r="AO379" i="65"/>
  <c r="AP379" i="65"/>
  <c r="AQ379" i="65"/>
  <c r="AR379" i="65"/>
  <c r="AS379" i="65"/>
  <c r="AT379" i="65"/>
  <c r="AU379" i="65"/>
  <c r="AW379" i="65"/>
  <c r="AX379" i="65"/>
  <c r="AY379" i="65"/>
  <c r="BA379" i="65"/>
  <c r="A380" i="65"/>
  <c r="B380" i="65"/>
  <c r="D380" i="65"/>
  <c r="E380" i="65"/>
  <c r="F380" i="65"/>
  <c r="G380" i="65"/>
  <c r="H380" i="65"/>
  <c r="J380" i="65"/>
  <c r="K380" i="65"/>
  <c r="L380" i="65"/>
  <c r="M380" i="65"/>
  <c r="O380" i="65"/>
  <c r="P380" i="65"/>
  <c r="R380" i="65"/>
  <c r="S380" i="65"/>
  <c r="T380" i="65"/>
  <c r="U380" i="65"/>
  <c r="V380" i="65"/>
  <c r="W380" i="65"/>
  <c r="X380" i="65"/>
  <c r="AO380" i="65"/>
  <c r="AP380" i="65"/>
  <c r="AQ380" i="65"/>
  <c r="AR380" i="65"/>
  <c r="AS380" i="65"/>
  <c r="AT380" i="65"/>
  <c r="AU380" i="65"/>
  <c r="AW380" i="65"/>
  <c r="AX380" i="65"/>
  <c r="AY380" i="65"/>
  <c r="BA380" i="65"/>
  <c r="A381" i="65"/>
  <c r="B381" i="65"/>
  <c r="D381" i="65"/>
  <c r="E381" i="65"/>
  <c r="F381" i="65"/>
  <c r="G381" i="65"/>
  <c r="H381" i="65"/>
  <c r="J381" i="65"/>
  <c r="K381" i="65"/>
  <c r="L381" i="65"/>
  <c r="M381" i="65"/>
  <c r="O381" i="65"/>
  <c r="P381" i="65"/>
  <c r="R381" i="65"/>
  <c r="S381" i="65"/>
  <c r="T381" i="65"/>
  <c r="U381" i="65"/>
  <c r="V381" i="65"/>
  <c r="W381" i="65"/>
  <c r="X381" i="65"/>
  <c r="AO381" i="65"/>
  <c r="AP381" i="65"/>
  <c r="AQ381" i="65"/>
  <c r="AR381" i="65"/>
  <c r="AS381" i="65"/>
  <c r="AT381" i="65"/>
  <c r="AU381" i="65"/>
  <c r="AW381" i="65"/>
  <c r="AX381" i="65"/>
  <c r="AY381" i="65"/>
  <c r="BA381" i="65"/>
  <c r="A382" i="65"/>
  <c r="B382" i="65"/>
  <c r="D382" i="65"/>
  <c r="E382" i="65"/>
  <c r="F382" i="65"/>
  <c r="G382" i="65"/>
  <c r="H382" i="65"/>
  <c r="J382" i="65"/>
  <c r="K382" i="65"/>
  <c r="L382" i="65"/>
  <c r="M382" i="65"/>
  <c r="O382" i="65"/>
  <c r="P382" i="65"/>
  <c r="R382" i="65"/>
  <c r="S382" i="65"/>
  <c r="T382" i="65"/>
  <c r="U382" i="65"/>
  <c r="V382" i="65"/>
  <c r="W382" i="65"/>
  <c r="X382" i="65"/>
  <c r="AO382" i="65"/>
  <c r="AP382" i="65"/>
  <c r="AQ382" i="65"/>
  <c r="AR382" i="65"/>
  <c r="AS382" i="65"/>
  <c r="AT382" i="65"/>
  <c r="AU382" i="65"/>
  <c r="AW382" i="65"/>
  <c r="AX382" i="65"/>
  <c r="AY382" i="65"/>
  <c r="BA382" i="65"/>
  <c r="A383" i="65"/>
  <c r="B383" i="65"/>
  <c r="D383" i="65"/>
  <c r="E383" i="65"/>
  <c r="F383" i="65"/>
  <c r="G383" i="65"/>
  <c r="H383" i="65"/>
  <c r="J383" i="65"/>
  <c r="K383" i="65"/>
  <c r="L383" i="65"/>
  <c r="M383" i="65"/>
  <c r="O383" i="65"/>
  <c r="P383" i="65"/>
  <c r="R383" i="65"/>
  <c r="S383" i="65"/>
  <c r="T383" i="65"/>
  <c r="U383" i="65"/>
  <c r="V383" i="65"/>
  <c r="W383" i="65"/>
  <c r="X383" i="65"/>
  <c r="AO383" i="65"/>
  <c r="AP383" i="65"/>
  <c r="AQ383" i="65"/>
  <c r="AR383" i="65"/>
  <c r="AS383" i="65"/>
  <c r="AT383" i="65"/>
  <c r="AU383" i="65"/>
  <c r="AW383" i="65"/>
  <c r="AX383" i="65"/>
  <c r="AY383" i="65"/>
  <c r="BA383" i="65"/>
  <c r="A384" i="65"/>
  <c r="B384" i="65"/>
  <c r="D384" i="65"/>
  <c r="E384" i="65"/>
  <c r="F384" i="65"/>
  <c r="G384" i="65"/>
  <c r="H384" i="65"/>
  <c r="J384" i="65"/>
  <c r="K384" i="65"/>
  <c r="L384" i="65"/>
  <c r="M384" i="65"/>
  <c r="O384" i="65"/>
  <c r="P384" i="65"/>
  <c r="R384" i="65"/>
  <c r="S384" i="65"/>
  <c r="T384" i="65"/>
  <c r="U384" i="65"/>
  <c r="V384" i="65"/>
  <c r="W384" i="65"/>
  <c r="X384" i="65"/>
  <c r="AO384" i="65"/>
  <c r="AP384" i="65"/>
  <c r="AQ384" i="65"/>
  <c r="AR384" i="65"/>
  <c r="AS384" i="65"/>
  <c r="AT384" i="65"/>
  <c r="AU384" i="65"/>
  <c r="AW384" i="65"/>
  <c r="AX384" i="65"/>
  <c r="AY384" i="65"/>
  <c r="BA384" i="65"/>
  <c r="A385" i="65"/>
  <c r="B385" i="65"/>
  <c r="D385" i="65"/>
  <c r="E385" i="65"/>
  <c r="F385" i="65"/>
  <c r="G385" i="65"/>
  <c r="H385" i="65"/>
  <c r="J385" i="65"/>
  <c r="K385" i="65"/>
  <c r="L385" i="65"/>
  <c r="M385" i="65"/>
  <c r="O385" i="65"/>
  <c r="P385" i="65"/>
  <c r="R385" i="65"/>
  <c r="S385" i="65"/>
  <c r="T385" i="65"/>
  <c r="U385" i="65"/>
  <c r="V385" i="65"/>
  <c r="W385" i="65"/>
  <c r="X385" i="65"/>
  <c r="AO385" i="65"/>
  <c r="AP385" i="65"/>
  <c r="AQ385" i="65"/>
  <c r="AR385" i="65"/>
  <c r="AS385" i="65"/>
  <c r="AT385" i="65"/>
  <c r="AU385" i="65"/>
  <c r="AW385" i="65"/>
  <c r="AX385" i="65"/>
  <c r="AY385" i="65"/>
  <c r="BA385" i="65"/>
  <c r="A386" i="65"/>
  <c r="B386" i="65"/>
  <c r="D386" i="65"/>
  <c r="E386" i="65"/>
  <c r="F386" i="65"/>
  <c r="G386" i="65"/>
  <c r="H386" i="65"/>
  <c r="J386" i="65"/>
  <c r="K386" i="65"/>
  <c r="L386" i="65"/>
  <c r="M386" i="65"/>
  <c r="O386" i="65"/>
  <c r="P386" i="65"/>
  <c r="R386" i="65"/>
  <c r="S386" i="65"/>
  <c r="T386" i="65"/>
  <c r="U386" i="65"/>
  <c r="V386" i="65"/>
  <c r="W386" i="65"/>
  <c r="X386" i="65"/>
  <c r="AO386" i="65"/>
  <c r="AP386" i="65"/>
  <c r="AQ386" i="65"/>
  <c r="AR386" i="65"/>
  <c r="AS386" i="65"/>
  <c r="AT386" i="65"/>
  <c r="AU386" i="65"/>
  <c r="AW386" i="65"/>
  <c r="AX386" i="65"/>
  <c r="AY386" i="65"/>
  <c r="BA386" i="65"/>
  <c r="A387" i="65"/>
  <c r="B387" i="65"/>
  <c r="D387" i="65"/>
  <c r="E387" i="65"/>
  <c r="F387" i="65"/>
  <c r="G387" i="65"/>
  <c r="H387" i="65"/>
  <c r="J387" i="65"/>
  <c r="K387" i="65"/>
  <c r="L387" i="65"/>
  <c r="M387" i="65"/>
  <c r="O387" i="65"/>
  <c r="P387" i="65"/>
  <c r="R387" i="65"/>
  <c r="S387" i="65"/>
  <c r="T387" i="65"/>
  <c r="U387" i="65"/>
  <c r="V387" i="65"/>
  <c r="W387" i="65"/>
  <c r="X387" i="65"/>
  <c r="AO387" i="65"/>
  <c r="AP387" i="65"/>
  <c r="AQ387" i="65"/>
  <c r="AR387" i="65"/>
  <c r="AS387" i="65"/>
  <c r="AT387" i="65"/>
  <c r="AU387" i="65"/>
  <c r="AW387" i="65"/>
  <c r="AX387" i="65"/>
  <c r="AY387" i="65"/>
  <c r="BA387" i="65"/>
  <c r="A388" i="65"/>
  <c r="B388" i="65"/>
  <c r="D388" i="65"/>
  <c r="E388" i="65"/>
  <c r="F388" i="65"/>
  <c r="G388" i="65"/>
  <c r="H388" i="65"/>
  <c r="J388" i="65"/>
  <c r="K388" i="65"/>
  <c r="L388" i="65"/>
  <c r="M388" i="65"/>
  <c r="O388" i="65"/>
  <c r="P388" i="65"/>
  <c r="R388" i="65"/>
  <c r="S388" i="65"/>
  <c r="T388" i="65"/>
  <c r="U388" i="65"/>
  <c r="V388" i="65"/>
  <c r="W388" i="65"/>
  <c r="X388" i="65"/>
  <c r="AO388" i="65"/>
  <c r="AP388" i="65"/>
  <c r="AQ388" i="65"/>
  <c r="AR388" i="65"/>
  <c r="AS388" i="65"/>
  <c r="AT388" i="65"/>
  <c r="AU388" i="65"/>
  <c r="AW388" i="65"/>
  <c r="AX388" i="65"/>
  <c r="AY388" i="65"/>
  <c r="BA388" i="65"/>
  <c r="A389" i="65"/>
  <c r="B389" i="65"/>
  <c r="D389" i="65"/>
  <c r="E389" i="65"/>
  <c r="F389" i="65"/>
  <c r="G389" i="65"/>
  <c r="H389" i="65"/>
  <c r="J389" i="65"/>
  <c r="K389" i="65"/>
  <c r="L389" i="65"/>
  <c r="M389" i="65"/>
  <c r="O389" i="65"/>
  <c r="P389" i="65"/>
  <c r="R389" i="65"/>
  <c r="S389" i="65"/>
  <c r="T389" i="65"/>
  <c r="U389" i="65"/>
  <c r="V389" i="65"/>
  <c r="W389" i="65"/>
  <c r="X389" i="65"/>
  <c r="AO389" i="65"/>
  <c r="AP389" i="65"/>
  <c r="AQ389" i="65"/>
  <c r="AR389" i="65"/>
  <c r="AS389" i="65"/>
  <c r="AT389" i="65"/>
  <c r="AU389" i="65"/>
  <c r="AW389" i="65"/>
  <c r="AX389" i="65"/>
  <c r="AY389" i="65"/>
  <c r="BA389" i="65"/>
  <c r="A390" i="65"/>
  <c r="B390" i="65"/>
  <c r="D390" i="65"/>
  <c r="E390" i="65"/>
  <c r="F390" i="65"/>
  <c r="G390" i="65"/>
  <c r="H390" i="65"/>
  <c r="J390" i="65"/>
  <c r="K390" i="65"/>
  <c r="L390" i="65"/>
  <c r="M390" i="65"/>
  <c r="O390" i="65"/>
  <c r="P390" i="65"/>
  <c r="R390" i="65"/>
  <c r="S390" i="65"/>
  <c r="T390" i="65"/>
  <c r="U390" i="65"/>
  <c r="V390" i="65"/>
  <c r="W390" i="65"/>
  <c r="X390" i="65"/>
  <c r="AO390" i="65"/>
  <c r="AP390" i="65"/>
  <c r="AQ390" i="65"/>
  <c r="AR390" i="65"/>
  <c r="AS390" i="65"/>
  <c r="AT390" i="65"/>
  <c r="AU390" i="65"/>
  <c r="AW390" i="65"/>
  <c r="AX390" i="65"/>
  <c r="AY390" i="65"/>
  <c r="BA390" i="65"/>
  <c r="A391" i="65"/>
  <c r="B391" i="65"/>
  <c r="D391" i="65"/>
  <c r="E391" i="65"/>
  <c r="F391" i="65"/>
  <c r="G391" i="65"/>
  <c r="H391" i="65"/>
  <c r="J391" i="65"/>
  <c r="K391" i="65"/>
  <c r="L391" i="65"/>
  <c r="M391" i="65"/>
  <c r="O391" i="65"/>
  <c r="P391" i="65"/>
  <c r="R391" i="65"/>
  <c r="S391" i="65"/>
  <c r="T391" i="65"/>
  <c r="U391" i="65"/>
  <c r="V391" i="65"/>
  <c r="W391" i="65"/>
  <c r="X391" i="65"/>
  <c r="AO391" i="65"/>
  <c r="AP391" i="65"/>
  <c r="AQ391" i="65"/>
  <c r="AR391" i="65"/>
  <c r="AS391" i="65"/>
  <c r="AT391" i="65"/>
  <c r="AU391" i="65"/>
  <c r="AW391" i="65"/>
  <c r="AX391" i="65"/>
  <c r="AY391" i="65"/>
  <c r="BA391" i="65"/>
  <c r="A392" i="65"/>
  <c r="B392" i="65"/>
  <c r="D392" i="65"/>
  <c r="E392" i="65"/>
  <c r="F392" i="65"/>
  <c r="G392" i="65"/>
  <c r="H392" i="65"/>
  <c r="J392" i="65"/>
  <c r="K392" i="65"/>
  <c r="L392" i="65"/>
  <c r="M392" i="65"/>
  <c r="O392" i="65"/>
  <c r="P392" i="65"/>
  <c r="R392" i="65"/>
  <c r="S392" i="65"/>
  <c r="T392" i="65"/>
  <c r="U392" i="65"/>
  <c r="V392" i="65"/>
  <c r="W392" i="65"/>
  <c r="X392" i="65"/>
  <c r="AO392" i="65"/>
  <c r="AP392" i="65"/>
  <c r="AQ392" i="65"/>
  <c r="AR392" i="65"/>
  <c r="AS392" i="65"/>
  <c r="AT392" i="65"/>
  <c r="AU392" i="65"/>
  <c r="AW392" i="65"/>
  <c r="AX392" i="65"/>
  <c r="AY392" i="65"/>
  <c r="BA392" i="65"/>
  <c r="A393" i="65"/>
  <c r="B393" i="65"/>
  <c r="D393" i="65"/>
  <c r="E393" i="65"/>
  <c r="F393" i="65"/>
  <c r="G393" i="65"/>
  <c r="H393" i="65"/>
  <c r="J393" i="65"/>
  <c r="K393" i="65"/>
  <c r="L393" i="65"/>
  <c r="M393" i="65"/>
  <c r="O393" i="65"/>
  <c r="P393" i="65"/>
  <c r="R393" i="65"/>
  <c r="S393" i="65"/>
  <c r="T393" i="65"/>
  <c r="U393" i="65"/>
  <c r="V393" i="65"/>
  <c r="W393" i="65"/>
  <c r="X393" i="65"/>
  <c r="AO393" i="65"/>
  <c r="AP393" i="65"/>
  <c r="AQ393" i="65"/>
  <c r="AR393" i="65"/>
  <c r="AS393" i="65"/>
  <c r="AT393" i="65"/>
  <c r="AU393" i="65"/>
  <c r="AW393" i="65"/>
  <c r="AX393" i="65"/>
  <c r="AY393" i="65"/>
  <c r="BA393" i="65"/>
  <c r="A394" i="65"/>
  <c r="B394" i="65"/>
  <c r="D394" i="65"/>
  <c r="E394" i="65"/>
  <c r="F394" i="65"/>
  <c r="G394" i="65"/>
  <c r="H394" i="65"/>
  <c r="J394" i="65"/>
  <c r="K394" i="65"/>
  <c r="L394" i="65"/>
  <c r="M394" i="65"/>
  <c r="O394" i="65"/>
  <c r="P394" i="65"/>
  <c r="R394" i="65"/>
  <c r="S394" i="65"/>
  <c r="T394" i="65"/>
  <c r="U394" i="65"/>
  <c r="V394" i="65"/>
  <c r="W394" i="65"/>
  <c r="X394" i="65"/>
  <c r="AO394" i="65"/>
  <c r="AP394" i="65"/>
  <c r="AQ394" i="65"/>
  <c r="AR394" i="65"/>
  <c r="AS394" i="65"/>
  <c r="AT394" i="65"/>
  <c r="AU394" i="65"/>
  <c r="AW394" i="65"/>
  <c r="AX394" i="65"/>
  <c r="AY394" i="65"/>
  <c r="BA394" i="65"/>
  <c r="A395" i="65"/>
  <c r="B395" i="65"/>
  <c r="D395" i="65"/>
  <c r="E395" i="65"/>
  <c r="F395" i="65"/>
  <c r="G395" i="65"/>
  <c r="H395" i="65"/>
  <c r="J395" i="65"/>
  <c r="K395" i="65"/>
  <c r="L395" i="65"/>
  <c r="M395" i="65"/>
  <c r="O395" i="65"/>
  <c r="P395" i="65"/>
  <c r="R395" i="65"/>
  <c r="S395" i="65"/>
  <c r="T395" i="65"/>
  <c r="U395" i="65"/>
  <c r="V395" i="65"/>
  <c r="W395" i="65"/>
  <c r="X395" i="65"/>
  <c r="AO395" i="65"/>
  <c r="AP395" i="65"/>
  <c r="AQ395" i="65"/>
  <c r="AR395" i="65"/>
  <c r="AS395" i="65"/>
  <c r="AT395" i="65"/>
  <c r="AU395" i="65"/>
  <c r="AW395" i="65"/>
  <c r="AX395" i="65"/>
  <c r="AY395" i="65"/>
  <c r="BA395" i="65"/>
  <c r="A396" i="65"/>
  <c r="B396" i="65"/>
  <c r="D396" i="65"/>
  <c r="E396" i="65"/>
  <c r="F396" i="65"/>
  <c r="G396" i="65"/>
  <c r="H396" i="65"/>
  <c r="J396" i="65"/>
  <c r="K396" i="65"/>
  <c r="L396" i="65"/>
  <c r="M396" i="65"/>
  <c r="O396" i="65"/>
  <c r="P396" i="65"/>
  <c r="R396" i="65"/>
  <c r="S396" i="65"/>
  <c r="T396" i="65"/>
  <c r="U396" i="65"/>
  <c r="V396" i="65"/>
  <c r="W396" i="65"/>
  <c r="X396" i="65"/>
  <c r="AO396" i="65"/>
  <c r="AP396" i="65"/>
  <c r="AQ396" i="65"/>
  <c r="AR396" i="65"/>
  <c r="AS396" i="65"/>
  <c r="AT396" i="65"/>
  <c r="AU396" i="65"/>
  <c r="AW396" i="65"/>
  <c r="AX396" i="65"/>
  <c r="AY396" i="65"/>
  <c r="BA396" i="65"/>
  <c r="A397" i="65"/>
  <c r="B397" i="65"/>
  <c r="D397" i="65"/>
  <c r="E397" i="65"/>
  <c r="F397" i="65"/>
  <c r="G397" i="65"/>
  <c r="H397" i="65"/>
  <c r="J397" i="65"/>
  <c r="K397" i="65"/>
  <c r="L397" i="65"/>
  <c r="M397" i="65"/>
  <c r="O397" i="65"/>
  <c r="P397" i="65"/>
  <c r="R397" i="65"/>
  <c r="S397" i="65"/>
  <c r="T397" i="65"/>
  <c r="U397" i="65"/>
  <c r="V397" i="65"/>
  <c r="W397" i="65"/>
  <c r="X397" i="65"/>
  <c r="AO397" i="65"/>
  <c r="AP397" i="65"/>
  <c r="AQ397" i="65"/>
  <c r="AR397" i="65"/>
  <c r="AS397" i="65"/>
  <c r="AT397" i="65"/>
  <c r="AU397" i="65"/>
  <c r="AW397" i="65"/>
  <c r="AX397" i="65"/>
  <c r="AY397" i="65"/>
  <c r="BA397" i="65"/>
  <c r="A398" i="65"/>
  <c r="B398" i="65"/>
  <c r="D398" i="65"/>
  <c r="E398" i="65"/>
  <c r="F398" i="65"/>
  <c r="G398" i="65"/>
  <c r="H398" i="65"/>
  <c r="J398" i="65"/>
  <c r="K398" i="65"/>
  <c r="L398" i="65"/>
  <c r="M398" i="65"/>
  <c r="O398" i="65"/>
  <c r="P398" i="65"/>
  <c r="R398" i="65"/>
  <c r="S398" i="65"/>
  <c r="T398" i="65"/>
  <c r="U398" i="65"/>
  <c r="V398" i="65"/>
  <c r="W398" i="65"/>
  <c r="X398" i="65"/>
  <c r="AO398" i="65"/>
  <c r="AP398" i="65"/>
  <c r="AQ398" i="65"/>
  <c r="AR398" i="65"/>
  <c r="AS398" i="65"/>
  <c r="AT398" i="65"/>
  <c r="AU398" i="65"/>
  <c r="AW398" i="65"/>
  <c r="AX398" i="65"/>
  <c r="AY398" i="65"/>
  <c r="BA398" i="65"/>
  <c r="A399" i="65"/>
  <c r="B399" i="65"/>
  <c r="D399" i="65"/>
  <c r="E399" i="65"/>
  <c r="F399" i="65"/>
  <c r="G399" i="65"/>
  <c r="H399" i="65"/>
  <c r="J399" i="65"/>
  <c r="K399" i="65"/>
  <c r="L399" i="65"/>
  <c r="M399" i="65"/>
  <c r="O399" i="65"/>
  <c r="P399" i="65"/>
  <c r="R399" i="65"/>
  <c r="S399" i="65"/>
  <c r="T399" i="65"/>
  <c r="U399" i="65"/>
  <c r="V399" i="65"/>
  <c r="W399" i="65"/>
  <c r="X399" i="65"/>
  <c r="AO399" i="65"/>
  <c r="AP399" i="65"/>
  <c r="AQ399" i="65"/>
  <c r="AR399" i="65"/>
  <c r="AS399" i="65"/>
  <c r="AT399" i="65"/>
  <c r="AU399" i="65"/>
  <c r="AW399" i="65"/>
  <c r="AX399" i="65"/>
  <c r="AY399" i="65"/>
  <c r="BA399" i="65"/>
  <c r="A400" i="65"/>
  <c r="B400" i="65"/>
  <c r="D400" i="65"/>
  <c r="E400" i="65"/>
  <c r="F400" i="65"/>
  <c r="G400" i="65"/>
  <c r="H400" i="65"/>
  <c r="J400" i="65"/>
  <c r="K400" i="65"/>
  <c r="L400" i="65"/>
  <c r="M400" i="65"/>
  <c r="O400" i="65"/>
  <c r="P400" i="65"/>
  <c r="R400" i="65"/>
  <c r="S400" i="65"/>
  <c r="T400" i="65"/>
  <c r="U400" i="65"/>
  <c r="V400" i="65"/>
  <c r="W400" i="65"/>
  <c r="X400" i="65"/>
  <c r="AO400" i="65"/>
  <c r="AP400" i="65"/>
  <c r="AQ400" i="65"/>
  <c r="AR400" i="65"/>
  <c r="AS400" i="65"/>
  <c r="AT400" i="65"/>
  <c r="AU400" i="65"/>
  <c r="AW400" i="65"/>
  <c r="AX400" i="65"/>
  <c r="AY400" i="65"/>
  <c r="BA400" i="65"/>
  <c r="A401" i="65"/>
  <c r="B401" i="65"/>
  <c r="D401" i="65"/>
  <c r="E401" i="65"/>
  <c r="F401" i="65"/>
  <c r="G401" i="65"/>
  <c r="H401" i="65"/>
  <c r="J401" i="65"/>
  <c r="K401" i="65"/>
  <c r="L401" i="65"/>
  <c r="M401" i="65"/>
  <c r="O401" i="65"/>
  <c r="P401" i="65"/>
  <c r="R401" i="65"/>
  <c r="S401" i="65"/>
  <c r="T401" i="65"/>
  <c r="U401" i="65"/>
  <c r="V401" i="65"/>
  <c r="W401" i="65"/>
  <c r="X401" i="65"/>
  <c r="AO401" i="65"/>
  <c r="AP401" i="65"/>
  <c r="AQ401" i="65"/>
  <c r="AR401" i="65"/>
  <c r="AS401" i="65"/>
  <c r="AT401" i="65"/>
  <c r="AU401" i="65"/>
  <c r="AW401" i="65"/>
  <c r="AX401" i="65"/>
  <c r="AY401" i="65"/>
  <c r="BA401" i="65"/>
  <c r="A402" i="65"/>
  <c r="B402" i="65"/>
  <c r="D402" i="65"/>
  <c r="E402" i="65"/>
  <c r="F402" i="65"/>
  <c r="G402" i="65"/>
  <c r="H402" i="65"/>
  <c r="J402" i="65"/>
  <c r="K402" i="65"/>
  <c r="L402" i="65"/>
  <c r="M402" i="65"/>
  <c r="O402" i="65"/>
  <c r="P402" i="65"/>
  <c r="R402" i="65"/>
  <c r="S402" i="65"/>
  <c r="T402" i="65"/>
  <c r="U402" i="65"/>
  <c r="V402" i="65"/>
  <c r="W402" i="65"/>
  <c r="X402" i="65"/>
  <c r="AO402" i="65"/>
  <c r="AP402" i="65"/>
  <c r="AQ402" i="65"/>
  <c r="AR402" i="65"/>
  <c r="AS402" i="65"/>
  <c r="AT402" i="65"/>
  <c r="AU402" i="65"/>
  <c r="AW402" i="65"/>
  <c r="AX402" i="65"/>
  <c r="AY402" i="65"/>
  <c r="BA402" i="65"/>
  <c r="A403" i="65"/>
  <c r="B403" i="65"/>
  <c r="D403" i="65"/>
  <c r="E403" i="65"/>
  <c r="F403" i="65"/>
  <c r="G403" i="65"/>
  <c r="H403" i="65"/>
  <c r="J403" i="65"/>
  <c r="K403" i="65"/>
  <c r="L403" i="65"/>
  <c r="M403" i="65"/>
  <c r="O403" i="65"/>
  <c r="P403" i="65"/>
  <c r="R403" i="65"/>
  <c r="S403" i="65"/>
  <c r="T403" i="65"/>
  <c r="U403" i="65"/>
  <c r="V403" i="65"/>
  <c r="W403" i="65"/>
  <c r="X403" i="65"/>
  <c r="AO403" i="65"/>
  <c r="AP403" i="65"/>
  <c r="AQ403" i="65"/>
  <c r="AR403" i="65"/>
  <c r="AS403" i="65"/>
  <c r="AT403" i="65"/>
  <c r="AU403" i="65"/>
  <c r="AW403" i="65"/>
  <c r="AX403" i="65"/>
  <c r="AY403" i="65"/>
  <c r="BA403" i="65"/>
  <c r="A404" i="65"/>
  <c r="B404" i="65"/>
  <c r="D404" i="65"/>
  <c r="E404" i="65"/>
  <c r="F404" i="65"/>
  <c r="G404" i="65"/>
  <c r="H404" i="65"/>
  <c r="J404" i="65"/>
  <c r="K404" i="65"/>
  <c r="L404" i="65"/>
  <c r="M404" i="65"/>
  <c r="O404" i="65"/>
  <c r="P404" i="65"/>
  <c r="R404" i="65"/>
  <c r="S404" i="65"/>
  <c r="T404" i="65"/>
  <c r="U404" i="65"/>
  <c r="V404" i="65"/>
  <c r="W404" i="65"/>
  <c r="X404" i="65"/>
  <c r="AO404" i="65"/>
  <c r="AP404" i="65"/>
  <c r="AQ404" i="65"/>
  <c r="AR404" i="65"/>
  <c r="AS404" i="65"/>
  <c r="AT404" i="65"/>
  <c r="AU404" i="65"/>
  <c r="AW404" i="65"/>
  <c r="AX404" i="65"/>
  <c r="AY404" i="65"/>
  <c r="BA404" i="65"/>
  <c r="A405" i="65"/>
  <c r="B405" i="65"/>
  <c r="D405" i="65"/>
  <c r="E405" i="65"/>
  <c r="F405" i="65"/>
  <c r="G405" i="65"/>
  <c r="H405" i="65"/>
  <c r="J405" i="65"/>
  <c r="K405" i="65"/>
  <c r="L405" i="65"/>
  <c r="M405" i="65"/>
  <c r="O405" i="65"/>
  <c r="P405" i="65"/>
  <c r="R405" i="65"/>
  <c r="S405" i="65"/>
  <c r="T405" i="65"/>
  <c r="U405" i="65"/>
  <c r="V405" i="65"/>
  <c r="W405" i="65"/>
  <c r="X405" i="65"/>
  <c r="AO405" i="65"/>
  <c r="AP405" i="65"/>
  <c r="AQ405" i="65"/>
  <c r="AR405" i="65"/>
  <c r="AS405" i="65"/>
  <c r="AT405" i="65"/>
  <c r="AU405" i="65"/>
  <c r="AW405" i="65"/>
  <c r="AX405" i="65"/>
  <c r="AY405" i="65"/>
  <c r="BA405" i="65"/>
  <c r="A406" i="65"/>
  <c r="B406" i="65"/>
  <c r="D406" i="65"/>
  <c r="E406" i="65"/>
  <c r="F406" i="65"/>
  <c r="G406" i="65"/>
  <c r="H406" i="65"/>
  <c r="J406" i="65"/>
  <c r="K406" i="65"/>
  <c r="L406" i="65"/>
  <c r="M406" i="65"/>
  <c r="O406" i="65"/>
  <c r="P406" i="65"/>
  <c r="R406" i="65"/>
  <c r="S406" i="65"/>
  <c r="T406" i="65"/>
  <c r="U406" i="65"/>
  <c r="V406" i="65"/>
  <c r="W406" i="65"/>
  <c r="X406" i="65"/>
  <c r="AO406" i="65"/>
  <c r="AP406" i="65"/>
  <c r="AQ406" i="65"/>
  <c r="AR406" i="65"/>
  <c r="AS406" i="65"/>
  <c r="AT406" i="65"/>
  <c r="AU406" i="65"/>
  <c r="AW406" i="65"/>
  <c r="AX406" i="65"/>
  <c r="AY406" i="65"/>
  <c r="BA406" i="65"/>
  <c r="A407" i="65"/>
  <c r="B407" i="65"/>
  <c r="D407" i="65"/>
  <c r="E407" i="65"/>
  <c r="F407" i="65"/>
  <c r="G407" i="65"/>
  <c r="H407" i="65"/>
  <c r="J407" i="65"/>
  <c r="K407" i="65"/>
  <c r="L407" i="65"/>
  <c r="M407" i="65"/>
  <c r="O407" i="65"/>
  <c r="P407" i="65"/>
  <c r="R407" i="65"/>
  <c r="S407" i="65"/>
  <c r="T407" i="65"/>
  <c r="U407" i="65"/>
  <c r="V407" i="65"/>
  <c r="W407" i="65"/>
  <c r="X407" i="65"/>
  <c r="AO407" i="65"/>
  <c r="AP407" i="65"/>
  <c r="AQ407" i="65"/>
  <c r="AR407" i="65"/>
  <c r="AS407" i="65"/>
  <c r="AT407" i="65"/>
  <c r="AU407" i="65"/>
  <c r="AW407" i="65"/>
  <c r="AX407" i="65"/>
  <c r="AY407" i="65"/>
  <c r="BA407" i="65"/>
  <c r="A408" i="65"/>
  <c r="B408" i="65"/>
  <c r="D408" i="65"/>
  <c r="E408" i="65"/>
  <c r="F408" i="65"/>
  <c r="G408" i="65"/>
  <c r="H408" i="65"/>
  <c r="J408" i="65"/>
  <c r="K408" i="65"/>
  <c r="L408" i="65"/>
  <c r="M408" i="65"/>
  <c r="O408" i="65"/>
  <c r="P408" i="65"/>
  <c r="R408" i="65"/>
  <c r="S408" i="65"/>
  <c r="T408" i="65"/>
  <c r="U408" i="65"/>
  <c r="V408" i="65"/>
  <c r="W408" i="65"/>
  <c r="X408" i="65"/>
  <c r="AO408" i="65"/>
  <c r="AP408" i="65"/>
  <c r="AQ408" i="65"/>
  <c r="AR408" i="65"/>
  <c r="AS408" i="65"/>
  <c r="AT408" i="65"/>
  <c r="AU408" i="65"/>
  <c r="AW408" i="65"/>
  <c r="AX408" i="65"/>
  <c r="AY408" i="65"/>
  <c r="BA408" i="65"/>
  <c r="A409" i="65"/>
  <c r="B409" i="65"/>
  <c r="D409" i="65"/>
  <c r="E409" i="65"/>
  <c r="F409" i="65"/>
  <c r="G409" i="65"/>
  <c r="H409" i="65"/>
  <c r="J409" i="65"/>
  <c r="K409" i="65"/>
  <c r="L409" i="65"/>
  <c r="M409" i="65"/>
  <c r="O409" i="65"/>
  <c r="P409" i="65"/>
  <c r="R409" i="65"/>
  <c r="S409" i="65"/>
  <c r="T409" i="65"/>
  <c r="U409" i="65"/>
  <c r="V409" i="65"/>
  <c r="W409" i="65"/>
  <c r="X409" i="65"/>
  <c r="AO409" i="65"/>
  <c r="AP409" i="65"/>
  <c r="AQ409" i="65"/>
  <c r="AR409" i="65"/>
  <c r="AS409" i="65"/>
  <c r="AT409" i="65"/>
  <c r="AU409" i="65"/>
  <c r="AW409" i="65"/>
  <c r="AX409" i="65"/>
  <c r="AY409" i="65"/>
  <c r="BA409" i="65"/>
  <c r="A410" i="65"/>
  <c r="B410" i="65"/>
  <c r="D410" i="65"/>
  <c r="E410" i="65"/>
  <c r="F410" i="65"/>
  <c r="G410" i="65"/>
  <c r="H410" i="65"/>
  <c r="J410" i="65"/>
  <c r="K410" i="65"/>
  <c r="L410" i="65"/>
  <c r="M410" i="65"/>
  <c r="O410" i="65"/>
  <c r="P410" i="65"/>
  <c r="R410" i="65"/>
  <c r="S410" i="65"/>
  <c r="T410" i="65"/>
  <c r="U410" i="65"/>
  <c r="V410" i="65"/>
  <c r="W410" i="65"/>
  <c r="X410" i="65"/>
  <c r="AO410" i="65"/>
  <c r="AP410" i="65"/>
  <c r="AQ410" i="65"/>
  <c r="AR410" i="65"/>
  <c r="AS410" i="65"/>
  <c r="AT410" i="65"/>
  <c r="AU410" i="65"/>
  <c r="AW410" i="65"/>
  <c r="AX410" i="65"/>
  <c r="AY410" i="65"/>
  <c r="BA410" i="65"/>
  <c r="A411" i="65"/>
  <c r="B411" i="65"/>
  <c r="D411" i="65"/>
  <c r="E411" i="65"/>
  <c r="F411" i="65"/>
  <c r="G411" i="65"/>
  <c r="H411" i="65"/>
  <c r="J411" i="65"/>
  <c r="K411" i="65"/>
  <c r="L411" i="65"/>
  <c r="M411" i="65"/>
  <c r="O411" i="65"/>
  <c r="P411" i="65"/>
  <c r="R411" i="65"/>
  <c r="S411" i="65"/>
  <c r="T411" i="65"/>
  <c r="U411" i="65"/>
  <c r="V411" i="65"/>
  <c r="W411" i="65"/>
  <c r="X411" i="65"/>
  <c r="AO411" i="65"/>
  <c r="AP411" i="65"/>
  <c r="AQ411" i="65"/>
  <c r="AR411" i="65"/>
  <c r="AS411" i="65"/>
  <c r="AT411" i="65"/>
  <c r="AU411" i="65"/>
  <c r="AW411" i="65"/>
  <c r="AX411" i="65"/>
  <c r="AY411" i="65"/>
  <c r="BA411" i="65"/>
  <c r="A412" i="65"/>
  <c r="B412" i="65"/>
  <c r="D412" i="65"/>
  <c r="E412" i="65"/>
  <c r="F412" i="65"/>
  <c r="G412" i="65"/>
  <c r="H412" i="65"/>
  <c r="J412" i="65"/>
  <c r="K412" i="65"/>
  <c r="L412" i="65"/>
  <c r="M412" i="65"/>
  <c r="O412" i="65"/>
  <c r="P412" i="65"/>
  <c r="R412" i="65"/>
  <c r="S412" i="65"/>
  <c r="T412" i="65"/>
  <c r="U412" i="65"/>
  <c r="V412" i="65"/>
  <c r="W412" i="65"/>
  <c r="X412" i="65"/>
  <c r="AO412" i="65"/>
  <c r="AP412" i="65"/>
  <c r="AQ412" i="65"/>
  <c r="AR412" i="65"/>
  <c r="AS412" i="65"/>
  <c r="AT412" i="65"/>
  <c r="AU412" i="65"/>
  <c r="AW412" i="65"/>
  <c r="AX412" i="65"/>
  <c r="AY412" i="65"/>
  <c r="BA412" i="65"/>
  <c r="A413" i="65"/>
  <c r="B413" i="65"/>
  <c r="D413" i="65"/>
  <c r="E413" i="65"/>
  <c r="F413" i="65"/>
  <c r="G413" i="65"/>
  <c r="H413" i="65"/>
  <c r="J413" i="65"/>
  <c r="K413" i="65"/>
  <c r="L413" i="65"/>
  <c r="M413" i="65"/>
  <c r="O413" i="65"/>
  <c r="P413" i="65"/>
  <c r="R413" i="65"/>
  <c r="S413" i="65"/>
  <c r="T413" i="65"/>
  <c r="U413" i="65"/>
  <c r="V413" i="65"/>
  <c r="W413" i="65"/>
  <c r="X413" i="65"/>
  <c r="AO413" i="65"/>
  <c r="AP413" i="65"/>
  <c r="AQ413" i="65"/>
  <c r="AR413" i="65"/>
  <c r="AS413" i="65"/>
  <c r="AT413" i="65"/>
  <c r="AU413" i="65"/>
  <c r="AW413" i="65"/>
  <c r="AX413" i="65"/>
  <c r="AY413" i="65"/>
  <c r="BA413" i="65"/>
  <c r="A414" i="65"/>
  <c r="B414" i="65"/>
  <c r="D414" i="65"/>
  <c r="E414" i="65"/>
  <c r="F414" i="65"/>
  <c r="G414" i="65"/>
  <c r="H414" i="65"/>
  <c r="J414" i="65"/>
  <c r="K414" i="65"/>
  <c r="L414" i="65"/>
  <c r="M414" i="65"/>
  <c r="O414" i="65"/>
  <c r="P414" i="65"/>
  <c r="R414" i="65"/>
  <c r="S414" i="65"/>
  <c r="T414" i="65"/>
  <c r="U414" i="65"/>
  <c r="V414" i="65"/>
  <c r="W414" i="65"/>
  <c r="X414" i="65"/>
  <c r="AO414" i="65"/>
  <c r="AP414" i="65"/>
  <c r="AQ414" i="65"/>
  <c r="AR414" i="65"/>
  <c r="AS414" i="65"/>
  <c r="AT414" i="65"/>
  <c r="AU414" i="65"/>
  <c r="AW414" i="65"/>
  <c r="AX414" i="65"/>
  <c r="AY414" i="65"/>
  <c r="BA414" i="65"/>
  <c r="A415" i="65"/>
  <c r="B415" i="65"/>
  <c r="D415" i="65"/>
  <c r="E415" i="65"/>
  <c r="F415" i="65"/>
  <c r="G415" i="65"/>
  <c r="H415" i="65"/>
  <c r="J415" i="65"/>
  <c r="K415" i="65"/>
  <c r="L415" i="65"/>
  <c r="M415" i="65"/>
  <c r="O415" i="65"/>
  <c r="P415" i="65"/>
  <c r="R415" i="65"/>
  <c r="S415" i="65"/>
  <c r="T415" i="65"/>
  <c r="U415" i="65"/>
  <c r="V415" i="65"/>
  <c r="W415" i="65"/>
  <c r="X415" i="65"/>
  <c r="AO415" i="65"/>
  <c r="AP415" i="65"/>
  <c r="AQ415" i="65"/>
  <c r="AR415" i="65"/>
  <c r="AS415" i="65"/>
  <c r="AT415" i="65"/>
  <c r="AU415" i="65"/>
  <c r="AW415" i="65"/>
  <c r="AX415" i="65"/>
  <c r="AY415" i="65"/>
  <c r="BA415" i="65"/>
  <c r="A416" i="65"/>
  <c r="B416" i="65"/>
  <c r="D416" i="65"/>
  <c r="E416" i="65"/>
  <c r="F416" i="65"/>
  <c r="G416" i="65"/>
  <c r="H416" i="65"/>
  <c r="J416" i="65"/>
  <c r="K416" i="65"/>
  <c r="L416" i="65"/>
  <c r="M416" i="65"/>
  <c r="O416" i="65"/>
  <c r="P416" i="65"/>
  <c r="R416" i="65"/>
  <c r="S416" i="65"/>
  <c r="T416" i="65"/>
  <c r="U416" i="65"/>
  <c r="V416" i="65"/>
  <c r="W416" i="65"/>
  <c r="X416" i="65"/>
  <c r="AO416" i="65"/>
  <c r="AP416" i="65"/>
  <c r="AQ416" i="65"/>
  <c r="AR416" i="65"/>
  <c r="AS416" i="65"/>
  <c r="AT416" i="65"/>
  <c r="AU416" i="65"/>
  <c r="AW416" i="65"/>
  <c r="AX416" i="65"/>
  <c r="AY416" i="65"/>
  <c r="BA416" i="65"/>
  <c r="A417" i="65"/>
  <c r="B417" i="65"/>
  <c r="D417" i="65"/>
  <c r="E417" i="65"/>
  <c r="F417" i="65"/>
  <c r="G417" i="65"/>
  <c r="H417" i="65"/>
  <c r="J417" i="65"/>
  <c r="K417" i="65"/>
  <c r="L417" i="65"/>
  <c r="M417" i="65"/>
  <c r="O417" i="65"/>
  <c r="P417" i="65"/>
  <c r="R417" i="65"/>
  <c r="S417" i="65"/>
  <c r="T417" i="65"/>
  <c r="U417" i="65"/>
  <c r="V417" i="65"/>
  <c r="W417" i="65"/>
  <c r="X417" i="65"/>
  <c r="AO417" i="65"/>
  <c r="AP417" i="65"/>
  <c r="AQ417" i="65"/>
  <c r="AR417" i="65"/>
  <c r="AS417" i="65"/>
  <c r="AT417" i="65"/>
  <c r="AU417" i="65"/>
  <c r="AW417" i="65"/>
  <c r="AX417" i="65"/>
  <c r="AY417" i="65"/>
  <c r="BA417" i="65"/>
  <c r="A418" i="65"/>
  <c r="B418" i="65"/>
  <c r="D418" i="65"/>
  <c r="E418" i="65"/>
  <c r="F418" i="65"/>
  <c r="G418" i="65"/>
  <c r="H418" i="65"/>
  <c r="J418" i="65"/>
  <c r="K418" i="65"/>
  <c r="L418" i="65"/>
  <c r="M418" i="65"/>
  <c r="O418" i="65"/>
  <c r="P418" i="65"/>
  <c r="R418" i="65"/>
  <c r="S418" i="65"/>
  <c r="T418" i="65"/>
  <c r="U418" i="65"/>
  <c r="V418" i="65"/>
  <c r="W418" i="65"/>
  <c r="X418" i="65"/>
  <c r="AO418" i="65"/>
  <c r="AP418" i="65"/>
  <c r="AQ418" i="65"/>
  <c r="AR418" i="65"/>
  <c r="AS418" i="65"/>
  <c r="AT418" i="65"/>
  <c r="AU418" i="65"/>
  <c r="AW418" i="65"/>
  <c r="AX418" i="65"/>
  <c r="AY418" i="65"/>
  <c r="BA418" i="65"/>
  <c r="A419" i="65"/>
  <c r="B419" i="65"/>
  <c r="D419" i="65"/>
  <c r="E419" i="65"/>
  <c r="F419" i="65"/>
  <c r="G419" i="65"/>
  <c r="H419" i="65"/>
  <c r="J419" i="65"/>
  <c r="K419" i="65"/>
  <c r="L419" i="65"/>
  <c r="M419" i="65"/>
  <c r="O419" i="65"/>
  <c r="P419" i="65"/>
  <c r="R419" i="65"/>
  <c r="S419" i="65"/>
  <c r="T419" i="65"/>
  <c r="U419" i="65"/>
  <c r="V419" i="65"/>
  <c r="W419" i="65"/>
  <c r="X419" i="65"/>
  <c r="AO419" i="65"/>
  <c r="AP419" i="65"/>
  <c r="AQ419" i="65"/>
  <c r="AR419" i="65"/>
  <c r="AS419" i="65"/>
  <c r="AT419" i="65"/>
  <c r="AU419" i="65"/>
  <c r="AW419" i="65"/>
  <c r="AX419" i="65"/>
  <c r="AY419" i="65"/>
  <c r="BA419" i="65"/>
  <c r="A420" i="65"/>
  <c r="B420" i="65"/>
  <c r="D420" i="65"/>
  <c r="E420" i="65"/>
  <c r="F420" i="65"/>
  <c r="G420" i="65"/>
  <c r="H420" i="65"/>
  <c r="J420" i="65"/>
  <c r="K420" i="65"/>
  <c r="L420" i="65"/>
  <c r="M420" i="65"/>
  <c r="O420" i="65"/>
  <c r="P420" i="65"/>
  <c r="R420" i="65"/>
  <c r="S420" i="65"/>
  <c r="T420" i="65"/>
  <c r="U420" i="65"/>
  <c r="V420" i="65"/>
  <c r="W420" i="65"/>
  <c r="X420" i="65"/>
  <c r="AO420" i="65"/>
  <c r="AP420" i="65"/>
  <c r="AQ420" i="65"/>
  <c r="AR420" i="65"/>
  <c r="AS420" i="65"/>
  <c r="AT420" i="65"/>
  <c r="AU420" i="65"/>
  <c r="AW420" i="65"/>
  <c r="AX420" i="65"/>
  <c r="AY420" i="65"/>
  <c r="BA420" i="65"/>
  <c r="A421" i="65"/>
  <c r="B421" i="65"/>
  <c r="D421" i="65"/>
  <c r="E421" i="65"/>
  <c r="F421" i="65"/>
  <c r="G421" i="65"/>
  <c r="H421" i="65"/>
  <c r="J421" i="65"/>
  <c r="K421" i="65"/>
  <c r="L421" i="65"/>
  <c r="M421" i="65"/>
  <c r="O421" i="65"/>
  <c r="P421" i="65"/>
  <c r="R421" i="65"/>
  <c r="S421" i="65"/>
  <c r="T421" i="65"/>
  <c r="U421" i="65"/>
  <c r="V421" i="65"/>
  <c r="W421" i="65"/>
  <c r="X421" i="65"/>
  <c r="AO421" i="65"/>
  <c r="AP421" i="65"/>
  <c r="AQ421" i="65"/>
  <c r="AR421" i="65"/>
  <c r="AS421" i="65"/>
  <c r="AT421" i="65"/>
  <c r="AU421" i="65"/>
  <c r="AW421" i="65"/>
  <c r="AX421" i="65"/>
  <c r="AY421" i="65"/>
  <c r="BA421" i="65"/>
  <c r="A422" i="65"/>
  <c r="B422" i="65"/>
  <c r="D422" i="65"/>
  <c r="E422" i="65"/>
  <c r="F422" i="65"/>
  <c r="G422" i="65"/>
  <c r="H422" i="65"/>
  <c r="J422" i="65"/>
  <c r="K422" i="65"/>
  <c r="L422" i="65"/>
  <c r="M422" i="65"/>
  <c r="O422" i="65"/>
  <c r="P422" i="65"/>
  <c r="R422" i="65"/>
  <c r="S422" i="65"/>
  <c r="T422" i="65"/>
  <c r="U422" i="65"/>
  <c r="V422" i="65"/>
  <c r="W422" i="65"/>
  <c r="X422" i="65"/>
  <c r="AO422" i="65"/>
  <c r="AP422" i="65"/>
  <c r="AQ422" i="65"/>
  <c r="AR422" i="65"/>
  <c r="AS422" i="65"/>
  <c r="AT422" i="65"/>
  <c r="AU422" i="65"/>
  <c r="AW422" i="65"/>
  <c r="AX422" i="65"/>
  <c r="AY422" i="65"/>
  <c r="BA422" i="65"/>
  <c r="A423" i="65"/>
  <c r="B423" i="65"/>
  <c r="D423" i="65"/>
  <c r="E423" i="65"/>
  <c r="F423" i="65"/>
  <c r="G423" i="65"/>
  <c r="H423" i="65"/>
  <c r="J423" i="65"/>
  <c r="K423" i="65"/>
  <c r="L423" i="65"/>
  <c r="M423" i="65"/>
  <c r="O423" i="65"/>
  <c r="P423" i="65"/>
  <c r="R423" i="65"/>
  <c r="S423" i="65"/>
  <c r="T423" i="65"/>
  <c r="U423" i="65"/>
  <c r="V423" i="65"/>
  <c r="W423" i="65"/>
  <c r="X423" i="65"/>
  <c r="AO423" i="65"/>
  <c r="AP423" i="65"/>
  <c r="AQ423" i="65"/>
  <c r="AR423" i="65"/>
  <c r="AS423" i="65"/>
  <c r="AT423" i="65"/>
  <c r="AU423" i="65"/>
  <c r="AW423" i="65"/>
  <c r="AX423" i="65"/>
  <c r="AY423" i="65"/>
  <c r="BA423" i="65"/>
  <c r="A424" i="65"/>
  <c r="B424" i="65"/>
  <c r="D424" i="65"/>
  <c r="E424" i="65"/>
  <c r="F424" i="65"/>
  <c r="G424" i="65"/>
  <c r="H424" i="65"/>
  <c r="J424" i="65"/>
  <c r="K424" i="65"/>
  <c r="L424" i="65"/>
  <c r="M424" i="65"/>
  <c r="O424" i="65"/>
  <c r="P424" i="65"/>
  <c r="R424" i="65"/>
  <c r="S424" i="65"/>
  <c r="T424" i="65"/>
  <c r="U424" i="65"/>
  <c r="V424" i="65"/>
  <c r="W424" i="65"/>
  <c r="X424" i="65"/>
  <c r="AO424" i="65"/>
  <c r="AP424" i="65"/>
  <c r="AQ424" i="65"/>
  <c r="AR424" i="65"/>
  <c r="AS424" i="65"/>
  <c r="AT424" i="65"/>
  <c r="AU424" i="65"/>
  <c r="AW424" i="65"/>
  <c r="AX424" i="65"/>
  <c r="AY424" i="65"/>
  <c r="BA424" i="65"/>
  <c r="A425" i="65"/>
  <c r="B425" i="65"/>
  <c r="D425" i="65"/>
  <c r="E425" i="65"/>
  <c r="F425" i="65"/>
  <c r="G425" i="65"/>
  <c r="H425" i="65"/>
  <c r="J425" i="65"/>
  <c r="K425" i="65"/>
  <c r="L425" i="65"/>
  <c r="M425" i="65"/>
  <c r="O425" i="65"/>
  <c r="P425" i="65"/>
  <c r="R425" i="65"/>
  <c r="S425" i="65"/>
  <c r="T425" i="65"/>
  <c r="U425" i="65"/>
  <c r="V425" i="65"/>
  <c r="W425" i="65"/>
  <c r="X425" i="65"/>
  <c r="AO425" i="65"/>
  <c r="AP425" i="65"/>
  <c r="AQ425" i="65"/>
  <c r="AR425" i="65"/>
  <c r="AS425" i="65"/>
  <c r="AT425" i="65"/>
  <c r="AU425" i="65"/>
  <c r="AW425" i="65"/>
  <c r="AX425" i="65"/>
  <c r="AY425" i="65"/>
  <c r="BA425" i="65"/>
  <c r="A426" i="65"/>
  <c r="B426" i="65"/>
  <c r="D426" i="65"/>
  <c r="E426" i="65"/>
  <c r="F426" i="65"/>
  <c r="G426" i="65"/>
  <c r="H426" i="65"/>
  <c r="J426" i="65"/>
  <c r="K426" i="65"/>
  <c r="L426" i="65"/>
  <c r="M426" i="65"/>
  <c r="O426" i="65"/>
  <c r="P426" i="65"/>
  <c r="R426" i="65"/>
  <c r="S426" i="65"/>
  <c r="T426" i="65"/>
  <c r="U426" i="65"/>
  <c r="V426" i="65"/>
  <c r="W426" i="65"/>
  <c r="X426" i="65"/>
  <c r="AO426" i="65"/>
  <c r="AP426" i="65"/>
  <c r="AQ426" i="65"/>
  <c r="AR426" i="65"/>
  <c r="AS426" i="65"/>
  <c r="AT426" i="65"/>
  <c r="AU426" i="65"/>
  <c r="AW426" i="65"/>
  <c r="AX426" i="65"/>
  <c r="AY426" i="65"/>
  <c r="BA426" i="65"/>
  <c r="A427" i="65"/>
  <c r="B427" i="65"/>
  <c r="D427" i="65"/>
  <c r="E427" i="65"/>
  <c r="F427" i="65"/>
  <c r="G427" i="65"/>
  <c r="H427" i="65"/>
  <c r="J427" i="65"/>
  <c r="K427" i="65"/>
  <c r="L427" i="65"/>
  <c r="M427" i="65"/>
  <c r="O427" i="65"/>
  <c r="P427" i="65"/>
  <c r="R427" i="65"/>
  <c r="S427" i="65"/>
  <c r="T427" i="65"/>
  <c r="U427" i="65"/>
  <c r="V427" i="65"/>
  <c r="W427" i="65"/>
  <c r="X427" i="65"/>
  <c r="AO427" i="65"/>
  <c r="AP427" i="65"/>
  <c r="AQ427" i="65"/>
  <c r="AR427" i="65"/>
  <c r="AS427" i="65"/>
  <c r="AT427" i="65"/>
  <c r="AU427" i="65"/>
  <c r="AW427" i="65"/>
  <c r="AX427" i="65"/>
  <c r="AY427" i="65"/>
  <c r="BA427" i="65"/>
  <c r="A428" i="65"/>
  <c r="B428" i="65"/>
  <c r="D428" i="65"/>
  <c r="E428" i="65"/>
  <c r="F428" i="65"/>
  <c r="G428" i="65"/>
  <c r="H428" i="65"/>
  <c r="J428" i="65"/>
  <c r="K428" i="65"/>
  <c r="L428" i="65"/>
  <c r="M428" i="65"/>
  <c r="O428" i="65"/>
  <c r="P428" i="65"/>
  <c r="R428" i="65"/>
  <c r="S428" i="65"/>
  <c r="T428" i="65"/>
  <c r="U428" i="65"/>
  <c r="V428" i="65"/>
  <c r="W428" i="65"/>
  <c r="X428" i="65"/>
  <c r="AO428" i="65"/>
  <c r="AP428" i="65"/>
  <c r="AQ428" i="65"/>
  <c r="AR428" i="65"/>
  <c r="AS428" i="65"/>
  <c r="AT428" i="65"/>
  <c r="AU428" i="65"/>
  <c r="AW428" i="65"/>
  <c r="AX428" i="65"/>
  <c r="AY428" i="65"/>
  <c r="BA428" i="65"/>
  <c r="A429" i="65"/>
  <c r="B429" i="65"/>
  <c r="D429" i="65"/>
  <c r="E429" i="65"/>
  <c r="F429" i="65"/>
  <c r="G429" i="65"/>
  <c r="H429" i="65"/>
  <c r="J429" i="65"/>
  <c r="K429" i="65"/>
  <c r="L429" i="65"/>
  <c r="M429" i="65"/>
  <c r="O429" i="65"/>
  <c r="P429" i="65"/>
  <c r="R429" i="65"/>
  <c r="S429" i="65"/>
  <c r="T429" i="65"/>
  <c r="U429" i="65"/>
  <c r="V429" i="65"/>
  <c r="W429" i="65"/>
  <c r="X429" i="65"/>
  <c r="AO429" i="65"/>
  <c r="AP429" i="65"/>
  <c r="AQ429" i="65"/>
  <c r="AR429" i="65"/>
  <c r="AS429" i="65"/>
  <c r="AT429" i="65"/>
  <c r="AU429" i="65"/>
  <c r="AW429" i="65"/>
  <c r="AX429" i="65"/>
  <c r="AY429" i="65"/>
  <c r="BA429" i="65"/>
  <c r="A430" i="65"/>
  <c r="B430" i="65"/>
  <c r="D430" i="65"/>
  <c r="E430" i="65"/>
  <c r="F430" i="65"/>
  <c r="G430" i="65"/>
  <c r="H430" i="65"/>
  <c r="J430" i="65"/>
  <c r="K430" i="65"/>
  <c r="L430" i="65"/>
  <c r="M430" i="65"/>
  <c r="O430" i="65"/>
  <c r="P430" i="65"/>
  <c r="R430" i="65"/>
  <c r="S430" i="65"/>
  <c r="T430" i="65"/>
  <c r="U430" i="65"/>
  <c r="V430" i="65"/>
  <c r="W430" i="65"/>
  <c r="X430" i="65"/>
  <c r="AO430" i="65"/>
  <c r="AP430" i="65"/>
  <c r="AQ430" i="65"/>
  <c r="AR430" i="65"/>
  <c r="AS430" i="65"/>
  <c r="AT430" i="65"/>
  <c r="AU430" i="65"/>
  <c r="AW430" i="65"/>
  <c r="AX430" i="65"/>
  <c r="AY430" i="65"/>
  <c r="BA430" i="65"/>
  <c r="A431" i="65"/>
  <c r="B431" i="65"/>
  <c r="D431" i="65"/>
  <c r="E431" i="65"/>
  <c r="F431" i="65"/>
  <c r="G431" i="65"/>
  <c r="H431" i="65"/>
  <c r="J431" i="65"/>
  <c r="K431" i="65"/>
  <c r="L431" i="65"/>
  <c r="M431" i="65"/>
  <c r="O431" i="65"/>
  <c r="P431" i="65"/>
  <c r="R431" i="65"/>
  <c r="S431" i="65"/>
  <c r="T431" i="65"/>
  <c r="U431" i="65"/>
  <c r="V431" i="65"/>
  <c r="W431" i="65"/>
  <c r="X431" i="65"/>
  <c r="AO431" i="65"/>
  <c r="AP431" i="65"/>
  <c r="AQ431" i="65"/>
  <c r="AR431" i="65"/>
  <c r="AS431" i="65"/>
  <c r="AT431" i="65"/>
  <c r="AU431" i="65"/>
  <c r="AW431" i="65"/>
  <c r="AX431" i="65"/>
  <c r="AY431" i="65"/>
  <c r="BA431" i="65"/>
  <c r="A432" i="65"/>
  <c r="B432" i="65"/>
  <c r="D432" i="65"/>
  <c r="E432" i="65"/>
  <c r="F432" i="65"/>
  <c r="G432" i="65"/>
  <c r="H432" i="65"/>
  <c r="J432" i="65"/>
  <c r="K432" i="65"/>
  <c r="L432" i="65"/>
  <c r="M432" i="65"/>
  <c r="O432" i="65"/>
  <c r="P432" i="65"/>
  <c r="R432" i="65"/>
  <c r="S432" i="65"/>
  <c r="T432" i="65"/>
  <c r="U432" i="65"/>
  <c r="V432" i="65"/>
  <c r="W432" i="65"/>
  <c r="X432" i="65"/>
  <c r="AO432" i="65"/>
  <c r="AP432" i="65"/>
  <c r="AQ432" i="65"/>
  <c r="AR432" i="65"/>
  <c r="AS432" i="65"/>
  <c r="AT432" i="65"/>
  <c r="AU432" i="65"/>
  <c r="AW432" i="65"/>
  <c r="AX432" i="65"/>
  <c r="AY432" i="65"/>
  <c r="BA432" i="65"/>
  <c r="A433" i="65"/>
  <c r="B433" i="65"/>
  <c r="D433" i="65"/>
  <c r="E433" i="65"/>
  <c r="F433" i="65"/>
  <c r="G433" i="65"/>
  <c r="H433" i="65"/>
  <c r="J433" i="65"/>
  <c r="K433" i="65"/>
  <c r="L433" i="65"/>
  <c r="M433" i="65"/>
  <c r="O433" i="65"/>
  <c r="P433" i="65"/>
  <c r="R433" i="65"/>
  <c r="S433" i="65"/>
  <c r="T433" i="65"/>
  <c r="U433" i="65"/>
  <c r="V433" i="65"/>
  <c r="W433" i="65"/>
  <c r="X433" i="65"/>
  <c r="AO433" i="65"/>
  <c r="AP433" i="65"/>
  <c r="AQ433" i="65"/>
  <c r="AR433" i="65"/>
  <c r="AS433" i="65"/>
  <c r="AT433" i="65"/>
  <c r="AU433" i="65"/>
  <c r="AW433" i="65"/>
  <c r="AX433" i="65"/>
  <c r="AY433" i="65"/>
  <c r="BA433" i="65"/>
  <c r="A434" i="65"/>
  <c r="B434" i="65"/>
  <c r="D434" i="65"/>
  <c r="E434" i="65"/>
  <c r="F434" i="65"/>
  <c r="G434" i="65"/>
  <c r="H434" i="65"/>
  <c r="J434" i="65"/>
  <c r="K434" i="65"/>
  <c r="L434" i="65"/>
  <c r="M434" i="65"/>
  <c r="O434" i="65"/>
  <c r="P434" i="65"/>
  <c r="R434" i="65"/>
  <c r="S434" i="65"/>
  <c r="T434" i="65"/>
  <c r="U434" i="65"/>
  <c r="V434" i="65"/>
  <c r="W434" i="65"/>
  <c r="X434" i="65"/>
  <c r="AO434" i="65"/>
  <c r="AP434" i="65"/>
  <c r="AQ434" i="65"/>
  <c r="AR434" i="65"/>
  <c r="AS434" i="65"/>
  <c r="AT434" i="65"/>
  <c r="AU434" i="65"/>
  <c r="AW434" i="65"/>
  <c r="AX434" i="65"/>
  <c r="AY434" i="65"/>
  <c r="BA434" i="65"/>
  <c r="A435" i="65"/>
  <c r="B435" i="65"/>
  <c r="D435" i="65"/>
  <c r="E435" i="65"/>
  <c r="F435" i="65"/>
  <c r="G435" i="65"/>
  <c r="H435" i="65"/>
  <c r="J435" i="65"/>
  <c r="K435" i="65"/>
  <c r="L435" i="65"/>
  <c r="M435" i="65"/>
  <c r="O435" i="65"/>
  <c r="P435" i="65"/>
  <c r="R435" i="65"/>
  <c r="S435" i="65"/>
  <c r="T435" i="65"/>
  <c r="U435" i="65"/>
  <c r="V435" i="65"/>
  <c r="W435" i="65"/>
  <c r="X435" i="65"/>
  <c r="AO435" i="65"/>
  <c r="AP435" i="65"/>
  <c r="AQ435" i="65"/>
  <c r="AR435" i="65"/>
  <c r="AS435" i="65"/>
  <c r="AT435" i="65"/>
  <c r="AU435" i="65"/>
  <c r="AW435" i="65"/>
  <c r="AX435" i="65"/>
  <c r="AY435" i="65"/>
  <c r="BA435" i="65"/>
  <c r="A436" i="65"/>
  <c r="B436" i="65"/>
  <c r="D436" i="65"/>
  <c r="E436" i="65"/>
  <c r="F436" i="65"/>
  <c r="G436" i="65"/>
  <c r="H436" i="65"/>
  <c r="J436" i="65"/>
  <c r="K436" i="65"/>
  <c r="L436" i="65"/>
  <c r="M436" i="65"/>
  <c r="O436" i="65"/>
  <c r="P436" i="65"/>
  <c r="R436" i="65"/>
  <c r="S436" i="65"/>
  <c r="T436" i="65"/>
  <c r="U436" i="65"/>
  <c r="V436" i="65"/>
  <c r="W436" i="65"/>
  <c r="X436" i="65"/>
  <c r="AO436" i="65"/>
  <c r="AP436" i="65"/>
  <c r="AQ436" i="65"/>
  <c r="AR436" i="65"/>
  <c r="AS436" i="65"/>
  <c r="AT436" i="65"/>
  <c r="AU436" i="65"/>
  <c r="AW436" i="65"/>
  <c r="AX436" i="65"/>
  <c r="AY436" i="65"/>
  <c r="BA436" i="65"/>
  <c r="A437" i="65"/>
  <c r="B437" i="65"/>
  <c r="D437" i="65"/>
  <c r="E437" i="65"/>
  <c r="F437" i="65"/>
  <c r="G437" i="65"/>
  <c r="H437" i="65"/>
  <c r="J437" i="65"/>
  <c r="K437" i="65"/>
  <c r="L437" i="65"/>
  <c r="M437" i="65"/>
  <c r="O437" i="65"/>
  <c r="P437" i="65"/>
  <c r="R437" i="65"/>
  <c r="S437" i="65"/>
  <c r="T437" i="65"/>
  <c r="U437" i="65"/>
  <c r="V437" i="65"/>
  <c r="W437" i="65"/>
  <c r="X437" i="65"/>
  <c r="AO437" i="65"/>
  <c r="AP437" i="65"/>
  <c r="AQ437" i="65"/>
  <c r="AR437" i="65"/>
  <c r="AS437" i="65"/>
  <c r="AT437" i="65"/>
  <c r="AU437" i="65"/>
  <c r="AW437" i="65"/>
  <c r="AX437" i="65"/>
  <c r="AY437" i="65"/>
  <c r="BA437" i="65"/>
  <c r="A438" i="65"/>
  <c r="B438" i="65"/>
  <c r="D438" i="65"/>
  <c r="E438" i="65"/>
  <c r="F438" i="65"/>
  <c r="G438" i="65"/>
  <c r="H438" i="65"/>
  <c r="J438" i="65"/>
  <c r="K438" i="65"/>
  <c r="L438" i="65"/>
  <c r="M438" i="65"/>
  <c r="O438" i="65"/>
  <c r="P438" i="65"/>
  <c r="R438" i="65"/>
  <c r="S438" i="65"/>
  <c r="T438" i="65"/>
  <c r="U438" i="65"/>
  <c r="V438" i="65"/>
  <c r="W438" i="65"/>
  <c r="X438" i="65"/>
  <c r="AO438" i="65"/>
  <c r="AP438" i="65"/>
  <c r="AQ438" i="65"/>
  <c r="AR438" i="65"/>
  <c r="AS438" i="65"/>
  <c r="AT438" i="65"/>
  <c r="AU438" i="65"/>
  <c r="AW438" i="65"/>
  <c r="AX438" i="65"/>
  <c r="AY438" i="65"/>
  <c r="BA438" i="65"/>
  <c r="A439" i="65"/>
  <c r="B439" i="65"/>
  <c r="D439" i="65"/>
  <c r="E439" i="65"/>
  <c r="F439" i="65"/>
  <c r="G439" i="65"/>
  <c r="H439" i="65"/>
  <c r="J439" i="65"/>
  <c r="K439" i="65"/>
  <c r="L439" i="65"/>
  <c r="M439" i="65"/>
  <c r="O439" i="65"/>
  <c r="P439" i="65"/>
  <c r="R439" i="65"/>
  <c r="S439" i="65"/>
  <c r="T439" i="65"/>
  <c r="U439" i="65"/>
  <c r="V439" i="65"/>
  <c r="W439" i="65"/>
  <c r="X439" i="65"/>
  <c r="AO439" i="65"/>
  <c r="AP439" i="65"/>
  <c r="AQ439" i="65"/>
  <c r="AR439" i="65"/>
  <c r="AS439" i="65"/>
  <c r="AT439" i="65"/>
  <c r="AU439" i="65"/>
  <c r="AW439" i="65"/>
  <c r="AX439" i="65"/>
  <c r="AY439" i="65"/>
  <c r="BA439" i="65"/>
  <c r="A440" i="65"/>
  <c r="B440" i="65"/>
  <c r="D440" i="65"/>
  <c r="E440" i="65"/>
  <c r="F440" i="65"/>
  <c r="G440" i="65"/>
  <c r="H440" i="65"/>
  <c r="J440" i="65"/>
  <c r="K440" i="65"/>
  <c r="L440" i="65"/>
  <c r="M440" i="65"/>
  <c r="O440" i="65"/>
  <c r="P440" i="65"/>
  <c r="R440" i="65"/>
  <c r="S440" i="65"/>
  <c r="T440" i="65"/>
  <c r="U440" i="65"/>
  <c r="V440" i="65"/>
  <c r="W440" i="65"/>
  <c r="X440" i="65"/>
  <c r="AO440" i="65"/>
  <c r="AP440" i="65"/>
  <c r="AQ440" i="65"/>
  <c r="AR440" i="65"/>
  <c r="AS440" i="65"/>
  <c r="AT440" i="65"/>
  <c r="AU440" i="65"/>
  <c r="AW440" i="65"/>
  <c r="AX440" i="65"/>
  <c r="AY440" i="65"/>
  <c r="BA440" i="65"/>
  <c r="A441" i="65"/>
  <c r="B441" i="65"/>
  <c r="D441" i="65"/>
  <c r="E441" i="65"/>
  <c r="F441" i="65"/>
  <c r="G441" i="65"/>
  <c r="H441" i="65"/>
  <c r="J441" i="65"/>
  <c r="K441" i="65"/>
  <c r="L441" i="65"/>
  <c r="M441" i="65"/>
  <c r="O441" i="65"/>
  <c r="P441" i="65"/>
  <c r="R441" i="65"/>
  <c r="S441" i="65"/>
  <c r="T441" i="65"/>
  <c r="U441" i="65"/>
  <c r="V441" i="65"/>
  <c r="W441" i="65"/>
  <c r="X441" i="65"/>
  <c r="AO441" i="65"/>
  <c r="AP441" i="65"/>
  <c r="AQ441" i="65"/>
  <c r="AR441" i="65"/>
  <c r="AS441" i="65"/>
  <c r="AT441" i="65"/>
  <c r="AU441" i="65"/>
  <c r="AW441" i="65"/>
  <c r="AX441" i="65"/>
  <c r="AY441" i="65"/>
  <c r="BA441" i="65"/>
  <c r="A442" i="65"/>
  <c r="B442" i="65"/>
  <c r="D442" i="65"/>
  <c r="E442" i="65"/>
  <c r="F442" i="65"/>
  <c r="G442" i="65"/>
  <c r="H442" i="65"/>
  <c r="J442" i="65"/>
  <c r="K442" i="65"/>
  <c r="L442" i="65"/>
  <c r="M442" i="65"/>
  <c r="O442" i="65"/>
  <c r="P442" i="65"/>
  <c r="R442" i="65"/>
  <c r="S442" i="65"/>
  <c r="T442" i="65"/>
  <c r="U442" i="65"/>
  <c r="V442" i="65"/>
  <c r="W442" i="65"/>
  <c r="X442" i="65"/>
  <c r="AO442" i="65"/>
  <c r="AP442" i="65"/>
  <c r="AQ442" i="65"/>
  <c r="AR442" i="65"/>
  <c r="AS442" i="65"/>
  <c r="AT442" i="65"/>
  <c r="AU442" i="65"/>
  <c r="AW442" i="65"/>
  <c r="AX442" i="65"/>
  <c r="AY442" i="65"/>
  <c r="BA442" i="65"/>
  <c r="A443" i="65"/>
  <c r="B443" i="65"/>
  <c r="D443" i="65"/>
  <c r="E443" i="65"/>
  <c r="F443" i="65"/>
  <c r="G443" i="65"/>
  <c r="H443" i="65"/>
  <c r="J443" i="65"/>
  <c r="K443" i="65"/>
  <c r="L443" i="65"/>
  <c r="M443" i="65"/>
  <c r="O443" i="65"/>
  <c r="P443" i="65"/>
  <c r="R443" i="65"/>
  <c r="S443" i="65"/>
  <c r="T443" i="65"/>
  <c r="U443" i="65"/>
  <c r="V443" i="65"/>
  <c r="W443" i="65"/>
  <c r="X443" i="65"/>
  <c r="AO443" i="65"/>
  <c r="AP443" i="65"/>
  <c r="AQ443" i="65"/>
  <c r="AR443" i="65"/>
  <c r="AS443" i="65"/>
  <c r="AT443" i="65"/>
  <c r="AU443" i="65"/>
  <c r="AW443" i="65"/>
  <c r="AX443" i="65"/>
  <c r="AY443" i="65"/>
  <c r="BA443" i="65"/>
  <c r="A444" i="65"/>
  <c r="B444" i="65"/>
  <c r="D444" i="65"/>
  <c r="E444" i="65"/>
  <c r="F444" i="65"/>
  <c r="G444" i="65"/>
  <c r="H444" i="65"/>
  <c r="J444" i="65"/>
  <c r="K444" i="65"/>
  <c r="L444" i="65"/>
  <c r="M444" i="65"/>
  <c r="O444" i="65"/>
  <c r="P444" i="65"/>
  <c r="R444" i="65"/>
  <c r="S444" i="65"/>
  <c r="T444" i="65"/>
  <c r="U444" i="65"/>
  <c r="V444" i="65"/>
  <c r="W444" i="65"/>
  <c r="X444" i="65"/>
  <c r="AO444" i="65"/>
  <c r="AP444" i="65"/>
  <c r="AQ444" i="65"/>
  <c r="AR444" i="65"/>
  <c r="AS444" i="65"/>
  <c r="AT444" i="65"/>
  <c r="AU444" i="65"/>
  <c r="AW444" i="65"/>
  <c r="AX444" i="65"/>
  <c r="AY444" i="65"/>
  <c r="BA444" i="65"/>
  <c r="A445" i="65"/>
  <c r="B445" i="65"/>
  <c r="D445" i="65"/>
  <c r="E445" i="65"/>
  <c r="F445" i="65"/>
  <c r="G445" i="65"/>
  <c r="H445" i="65"/>
  <c r="J445" i="65"/>
  <c r="K445" i="65"/>
  <c r="L445" i="65"/>
  <c r="M445" i="65"/>
  <c r="O445" i="65"/>
  <c r="P445" i="65"/>
  <c r="R445" i="65"/>
  <c r="S445" i="65"/>
  <c r="T445" i="65"/>
  <c r="U445" i="65"/>
  <c r="V445" i="65"/>
  <c r="W445" i="65"/>
  <c r="X445" i="65"/>
  <c r="AO445" i="65"/>
  <c r="AP445" i="65"/>
  <c r="AQ445" i="65"/>
  <c r="AR445" i="65"/>
  <c r="AS445" i="65"/>
  <c r="AT445" i="65"/>
  <c r="AU445" i="65"/>
  <c r="AW445" i="65"/>
  <c r="AX445" i="65"/>
  <c r="AY445" i="65"/>
  <c r="BA445" i="65"/>
  <c r="A446" i="65"/>
  <c r="B446" i="65"/>
  <c r="D446" i="65"/>
  <c r="E446" i="65"/>
  <c r="F446" i="65"/>
  <c r="G446" i="65"/>
  <c r="H446" i="65"/>
  <c r="J446" i="65"/>
  <c r="K446" i="65"/>
  <c r="L446" i="65"/>
  <c r="M446" i="65"/>
  <c r="O446" i="65"/>
  <c r="P446" i="65"/>
  <c r="R446" i="65"/>
  <c r="S446" i="65"/>
  <c r="T446" i="65"/>
  <c r="U446" i="65"/>
  <c r="V446" i="65"/>
  <c r="W446" i="65"/>
  <c r="X446" i="65"/>
  <c r="AO446" i="65"/>
  <c r="AP446" i="65"/>
  <c r="AQ446" i="65"/>
  <c r="AR446" i="65"/>
  <c r="AS446" i="65"/>
  <c r="AT446" i="65"/>
  <c r="AU446" i="65"/>
  <c r="AW446" i="65"/>
  <c r="AX446" i="65"/>
  <c r="AY446" i="65"/>
  <c r="BA446" i="65"/>
  <c r="A447" i="65"/>
  <c r="B447" i="65"/>
  <c r="D447" i="65"/>
  <c r="E447" i="65"/>
  <c r="F447" i="65"/>
  <c r="G447" i="65"/>
  <c r="H447" i="65"/>
  <c r="J447" i="65"/>
  <c r="K447" i="65"/>
  <c r="L447" i="65"/>
  <c r="M447" i="65"/>
  <c r="O447" i="65"/>
  <c r="P447" i="65"/>
  <c r="R447" i="65"/>
  <c r="S447" i="65"/>
  <c r="T447" i="65"/>
  <c r="U447" i="65"/>
  <c r="V447" i="65"/>
  <c r="W447" i="65"/>
  <c r="X447" i="65"/>
  <c r="AO447" i="65"/>
  <c r="AP447" i="65"/>
  <c r="AQ447" i="65"/>
  <c r="AR447" i="65"/>
  <c r="AS447" i="65"/>
  <c r="AT447" i="65"/>
  <c r="AU447" i="65"/>
  <c r="AW447" i="65"/>
  <c r="AX447" i="65"/>
  <c r="AY447" i="65"/>
  <c r="BA447" i="65"/>
  <c r="A448" i="65"/>
  <c r="B448" i="65"/>
  <c r="D448" i="65"/>
  <c r="E448" i="65"/>
  <c r="F448" i="65"/>
  <c r="G448" i="65"/>
  <c r="H448" i="65"/>
  <c r="J448" i="65"/>
  <c r="K448" i="65"/>
  <c r="L448" i="65"/>
  <c r="M448" i="65"/>
  <c r="O448" i="65"/>
  <c r="P448" i="65"/>
  <c r="R448" i="65"/>
  <c r="S448" i="65"/>
  <c r="T448" i="65"/>
  <c r="U448" i="65"/>
  <c r="V448" i="65"/>
  <c r="W448" i="65"/>
  <c r="X448" i="65"/>
  <c r="AO448" i="65"/>
  <c r="AP448" i="65"/>
  <c r="AQ448" i="65"/>
  <c r="AR448" i="65"/>
  <c r="AS448" i="65"/>
  <c r="AT448" i="65"/>
  <c r="AU448" i="65"/>
  <c r="AW448" i="65"/>
  <c r="AX448" i="65"/>
  <c r="AY448" i="65"/>
  <c r="BA448" i="65"/>
  <c r="A449" i="65"/>
  <c r="B449" i="65"/>
  <c r="D449" i="65"/>
  <c r="E449" i="65"/>
  <c r="F449" i="65"/>
  <c r="G449" i="65"/>
  <c r="H449" i="65"/>
  <c r="J449" i="65"/>
  <c r="K449" i="65"/>
  <c r="L449" i="65"/>
  <c r="M449" i="65"/>
  <c r="O449" i="65"/>
  <c r="P449" i="65"/>
  <c r="R449" i="65"/>
  <c r="S449" i="65"/>
  <c r="T449" i="65"/>
  <c r="U449" i="65"/>
  <c r="V449" i="65"/>
  <c r="W449" i="65"/>
  <c r="X449" i="65"/>
  <c r="AO449" i="65"/>
  <c r="AP449" i="65"/>
  <c r="AQ449" i="65"/>
  <c r="AR449" i="65"/>
  <c r="AS449" i="65"/>
  <c r="AT449" i="65"/>
  <c r="AU449" i="65"/>
  <c r="AW449" i="65"/>
  <c r="AX449" i="65"/>
  <c r="AY449" i="65"/>
  <c r="BA449" i="65"/>
  <c r="A450" i="65"/>
  <c r="B450" i="65"/>
  <c r="D450" i="65"/>
  <c r="E450" i="65"/>
  <c r="F450" i="65"/>
  <c r="G450" i="65"/>
  <c r="H450" i="65"/>
  <c r="J450" i="65"/>
  <c r="K450" i="65"/>
  <c r="L450" i="65"/>
  <c r="M450" i="65"/>
  <c r="O450" i="65"/>
  <c r="P450" i="65"/>
  <c r="R450" i="65"/>
  <c r="S450" i="65"/>
  <c r="T450" i="65"/>
  <c r="U450" i="65"/>
  <c r="V450" i="65"/>
  <c r="W450" i="65"/>
  <c r="X450" i="65"/>
  <c r="AO450" i="65"/>
  <c r="AP450" i="65"/>
  <c r="AQ450" i="65"/>
  <c r="AR450" i="65"/>
  <c r="AS450" i="65"/>
  <c r="AT450" i="65"/>
  <c r="AU450" i="65"/>
  <c r="AW450" i="65"/>
  <c r="AX450" i="65"/>
  <c r="AY450" i="65"/>
  <c r="BA450" i="65"/>
  <c r="A451" i="65"/>
  <c r="B451" i="65"/>
  <c r="D451" i="65"/>
  <c r="E451" i="65"/>
  <c r="F451" i="65"/>
  <c r="G451" i="65"/>
  <c r="H451" i="65"/>
  <c r="J451" i="65"/>
  <c r="K451" i="65"/>
  <c r="L451" i="65"/>
  <c r="M451" i="65"/>
  <c r="O451" i="65"/>
  <c r="P451" i="65"/>
  <c r="R451" i="65"/>
  <c r="S451" i="65"/>
  <c r="T451" i="65"/>
  <c r="U451" i="65"/>
  <c r="V451" i="65"/>
  <c r="W451" i="65"/>
  <c r="X451" i="65"/>
  <c r="AO451" i="65"/>
  <c r="AP451" i="65"/>
  <c r="AQ451" i="65"/>
  <c r="AR451" i="65"/>
  <c r="AS451" i="65"/>
  <c r="AT451" i="65"/>
  <c r="AU451" i="65"/>
  <c r="AW451" i="65"/>
  <c r="AX451" i="65"/>
  <c r="AY451" i="65"/>
  <c r="BA451" i="65"/>
  <c r="A452" i="65"/>
  <c r="B452" i="65"/>
  <c r="D452" i="65"/>
  <c r="E452" i="65"/>
  <c r="F452" i="65"/>
  <c r="G452" i="65"/>
  <c r="H452" i="65"/>
  <c r="J452" i="65"/>
  <c r="K452" i="65"/>
  <c r="L452" i="65"/>
  <c r="M452" i="65"/>
  <c r="O452" i="65"/>
  <c r="P452" i="65"/>
  <c r="R452" i="65"/>
  <c r="S452" i="65"/>
  <c r="T452" i="65"/>
  <c r="U452" i="65"/>
  <c r="V452" i="65"/>
  <c r="W452" i="65"/>
  <c r="X452" i="65"/>
  <c r="AO452" i="65"/>
  <c r="AP452" i="65"/>
  <c r="AQ452" i="65"/>
  <c r="AR452" i="65"/>
  <c r="AS452" i="65"/>
  <c r="AT452" i="65"/>
  <c r="AU452" i="65"/>
  <c r="AW452" i="65"/>
  <c r="AX452" i="65"/>
  <c r="AY452" i="65"/>
  <c r="BA452" i="65"/>
  <c r="A453" i="65"/>
  <c r="B453" i="65"/>
  <c r="D453" i="65"/>
  <c r="E453" i="65"/>
  <c r="F453" i="65"/>
  <c r="G453" i="65"/>
  <c r="H453" i="65"/>
  <c r="J453" i="65"/>
  <c r="K453" i="65"/>
  <c r="L453" i="65"/>
  <c r="M453" i="65"/>
  <c r="O453" i="65"/>
  <c r="P453" i="65"/>
  <c r="R453" i="65"/>
  <c r="S453" i="65"/>
  <c r="T453" i="65"/>
  <c r="U453" i="65"/>
  <c r="V453" i="65"/>
  <c r="W453" i="65"/>
  <c r="X453" i="65"/>
  <c r="AO453" i="65"/>
  <c r="AP453" i="65"/>
  <c r="AQ453" i="65"/>
  <c r="AR453" i="65"/>
  <c r="AS453" i="65"/>
  <c r="AT453" i="65"/>
  <c r="AU453" i="65"/>
  <c r="AW453" i="65"/>
  <c r="AX453" i="65"/>
  <c r="AY453" i="65"/>
  <c r="BA453" i="65"/>
  <c r="A454" i="65"/>
  <c r="B454" i="65"/>
  <c r="D454" i="65"/>
  <c r="E454" i="65"/>
  <c r="F454" i="65"/>
  <c r="G454" i="65"/>
  <c r="H454" i="65"/>
  <c r="J454" i="65"/>
  <c r="K454" i="65"/>
  <c r="L454" i="65"/>
  <c r="M454" i="65"/>
  <c r="O454" i="65"/>
  <c r="P454" i="65"/>
  <c r="R454" i="65"/>
  <c r="S454" i="65"/>
  <c r="T454" i="65"/>
  <c r="U454" i="65"/>
  <c r="V454" i="65"/>
  <c r="W454" i="65"/>
  <c r="X454" i="65"/>
  <c r="AO454" i="65"/>
  <c r="AP454" i="65"/>
  <c r="AQ454" i="65"/>
  <c r="AR454" i="65"/>
  <c r="AS454" i="65"/>
  <c r="AT454" i="65"/>
  <c r="AU454" i="65"/>
  <c r="AW454" i="65"/>
  <c r="AX454" i="65"/>
  <c r="AY454" i="65"/>
  <c r="BA454" i="65"/>
  <c r="A455" i="65"/>
  <c r="B455" i="65"/>
  <c r="D455" i="65"/>
  <c r="E455" i="65"/>
  <c r="F455" i="65"/>
  <c r="G455" i="65"/>
  <c r="H455" i="65"/>
  <c r="J455" i="65"/>
  <c r="K455" i="65"/>
  <c r="L455" i="65"/>
  <c r="M455" i="65"/>
  <c r="O455" i="65"/>
  <c r="P455" i="65"/>
  <c r="R455" i="65"/>
  <c r="S455" i="65"/>
  <c r="T455" i="65"/>
  <c r="U455" i="65"/>
  <c r="V455" i="65"/>
  <c r="W455" i="65"/>
  <c r="X455" i="65"/>
  <c r="AO455" i="65"/>
  <c r="AP455" i="65"/>
  <c r="AQ455" i="65"/>
  <c r="AR455" i="65"/>
  <c r="AS455" i="65"/>
  <c r="AT455" i="65"/>
  <c r="AU455" i="65"/>
  <c r="AW455" i="65"/>
  <c r="AX455" i="65"/>
  <c r="AY455" i="65"/>
  <c r="BA455" i="65"/>
  <c r="A456" i="65"/>
  <c r="B456" i="65"/>
  <c r="D456" i="65"/>
  <c r="E456" i="65"/>
  <c r="F456" i="65"/>
  <c r="G456" i="65"/>
  <c r="H456" i="65"/>
  <c r="J456" i="65"/>
  <c r="K456" i="65"/>
  <c r="L456" i="65"/>
  <c r="M456" i="65"/>
  <c r="O456" i="65"/>
  <c r="P456" i="65"/>
  <c r="R456" i="65"/>
  <c r="S456" i="65"/>
  <c r="T456" i="65"/>
  <c r="U456" i="65"/>
  <c r="V456" i="65"/>
  <c r="W456" i="65"/>
  <c r="X456" i="65"/>
  <c r="AO456" i="65"/>
  <c r="AP456" i="65"/>
  <c r="AQ456" i="65"/>
  <c r="AR456" i="65"/>
  <c r="AS456" i="65"/>
  <c r="AT456" i="65"/>
  <c r="AU456" i="65"/>
  <c r="AW456" i="65"/>
  <c r="AX456" i="65"/>
  <c r="AY456" i="65"/>
  <c r="BA456" i="65"/>
  <c r="A457" i="65"/>
  <c r="B457" i="65"/>
  <c r="D457" i="65"/>
  <c r="E457" i="65"/>
  <c r="F457" i="65"/>
  <c r="G457" i="65"/>
  <c r="H457" i="65"/>
  <c r="J457" i="65"/>
  <c r="K457" i="65"/>
  <c r="L457" i="65"/>
  <c r="M457" i="65"/>
  <c r="O457" i="65"/>
  <c r="P457" i="65"/>
  <c r="R457" i="65"/>
  <c r="S457" i="65"/>
  <c r="T457" i="65"/>
  <c r="U457" i="65"/>
  <c r="V457" i="65"/>
  <c r="W457" i="65"/>
  <c r="X457" i="65"/>
  <c r="AO457" i="65"/>
  <c r="AP457" i="65"/>
  <c r="AQ457" i="65"/>
  <c r="AR457" i="65"/>
  <c r="AS457" i="65"/>
  <c r="AT457" i="65"/>
  <c r="AU457" i="65"/>
  <c r="AW457" i="65"/>
  <c r="AX457" i="65"/>
  <c r="AY457" i="65"/>
  <c r="BA457" i="65"/>
  <c r="A458" i="65"/>
  <c r="B458" i="65"/>
  <c r="D458" i="65"/>
  <c r="E458" i="65"/>
  <c r="F458" i="65"/>
  <c r="G458" i="65"/>
  <c r="H458" i="65"/>
  <c r="J458" i="65"/>
  <c r="K458" i="65"/>
  <c r="L458" i="65"/>
  <c r="M458" i="65"/>
  <c r="O458" i="65"/>
  <c r="P458" i="65"/>
  <c r="R458" i="65"/>
  <c r="S458" i="65"/>
  <c r="T458" i="65"/>
  <c r="U458" i="65"/>
  <c r="V458" i="65"/>
  <c r="W458" i="65"/>
  <c r="X458" i="65"/>
  <c r="AO458" i="65"/>
  <c r="AP458" i="65"/>
  <c r="AQ458" i="65"/>
  <c r="AR458" i="65"/>
  <c r="AS458" i="65"/>
  <c r="AT458" i="65"/>
  <c r="AU458" i="65"/>
  <c r="AW458" i="65"/>
  <c r="AX458" i="65"/>
  <c r="AY458" i="65"/>
  <c r="BA458" i="65"/>
  <c r="A459" i="65"/>
  <c r="B459" i="65"/>
  <c r="D459" i="65"/>
  <c r="E459" i="65"/>
  <c r="F459" i="65"/>
  <c r="G459" i="65"/>
  <c r="H459" i="65"/>
  <c r="J459" i="65"/>
  <c r="K459" i="65"/>
  <c r="L459" i="65"/>
  <c r="M459" i="65"/>
  <c r="O459" i="65"/>
  <c r="P459" i="65"/>
  <c r="R459" i="65"/>
  <c r="S459" i="65"/>
  <c r="T459" i="65"/>
  <c r="U459" i="65"/>
  <c r="V459" i="65"/>
  <c r="W459" i="65"/>
  <c r="X459" i="65"/>
  <c r="AO459" i="65"/>
  <c r="AP459" i="65"/>
  <c r="AQ459" i="65"/>
  <c r="AR459" i="65"/>
  <c r="AS459" i="65"/>
  <c r="AT459" i="65"/>
  <c r="AU459" i="65"/>
  <c r="AW459" i="65"/>
  <c r="AX459" i="65"/>
  <c r="AY459" i="65"/>
  <c r="BA459" i="65"/>
  <c r="A460" i="65"/>
  <c r="B460" i="65"/>
  <c r="D460" i="65"/>
  <c r="E460" i="65"/>
  <c r="F460" i="65"/>
  <c r="G460" i="65"/>
  <c r="H460" i="65"/>
  <c r="J460" i="65"/>
  <c r="K460" i="65"/>
  <c r="L460" i="65"/>
  <c r="M460" i="65"/>
  <c r="O460" i="65"/>
  <c r="P460" i="65"/>
  <c r="R460" i="65"/>
  <c r="S460" i="65"/>
  <c r="T460" i="65"/>
  <c r="U460" i="65"/>
  <c r="V460" i="65"/>
  <c r="W460" i="65"/>
  <c r="X460" i="65"/>
  <c r="AO460" i="65"/>
  <c r="AP460" i="65"/>
  <c r="AQ460" i="65"/>
  <c r="AR460" i="65"/>
  <c r="AS460" i="65"/>
  <c r="AT460" i="65"/>
  <c r="AU460" i="65"/>
  <c r="AW460" i="65"/>
  <c r="AX460" i="65"/>
  <c r="AY460" i="65"/>
  <c r="BA460" i="65"/>
  <c r="A461" i="65"/>
  <c r="B461" i="65"/>
  <c r="D461" i="65"/>
  <c r="E461" i="65"/>
  <c r="F461" i="65"/>
  <c r="G461" i="65"/>
  <c r="H461" i="65"/>
  <c r="J461" i="65"/>
  <c r="K461" i="65"/>
  <c r="L461" i="65"/>
  <c r="M461" i="65"/>
  <c r="O461" i="65"/>
  <c r="P461" i="65"/>
  <c r="R461" i="65"/>
  <c r="S461" i="65"/>
  <c r="T461" i="65"/>
  <c r="U461" i="65"/>
  <c r="V461" i="65"/>
  <c r="W461" i="65"/>
  <c r="X461" i="65"/>
  <c r="AO461" i="65"/>
  <c r="AP461" i="65"/>
  <c r="AQ461" i="65"/>
  <c r="AR461" i="65"/>
  <c r="AS461" i="65"/>
  <c r="AT461" i="65"/>
  <c r="AU461" i="65"/>
  <c r="AW461" i="65"/>
  <c r="AX461" i="65"/>
  <c r="AY461" i="65"/>
  <c r="BA461" i="65"/>
  <c r="A462" i="65"/>
  <c r="B462" i="65"/>
  <c r="D462" i="65"/>
  <c r="E462" i="65"/>
  <c r="F462" i="65"/>
  <c r="G462" i="65"/>
  <c r="H462" i="65"/>
  <c r="J462" i="65"/>
  <c r="K462" i="65"/>
  <c r="L462" i="65"/>
  <c r="M462" i="65"/>
  <c r="O462" i="65"/>
  <c r="P462" i="65"/>
  <c r="R462" i="65"/>
  <c r="S462" i="65"/>
  <c r="T462" i="65"/>
  <c r="U462" i="65"/>
  <c r="V462" i="65"/>
  <c r="W462" i="65"/>
  <c r="X462" i="65"/>
  <c r="AO462" i="65"/>
  <c r="AP462" i="65"/>
  <c r="AQ462" i="65"/>
  <c r="AR462" i="65"/>
  <c r="AS462" i="65"/>
  <c r="AT462" i="65"/>
  <c r="AU462" i="65"/>
  <c r="AW462" i="65"/>
  <c r="AX462" i="65"/>
  <c r="AY462" i="65"/>
  <c r="BA462" i="65"/>
  <c r="A463" i="65"/>
  <c r="B463" i="65"/>
  <c r="D463" i="65"/>
  <c r="E463" i="65"/>
  <c r="F463" i="65"/>
  <c r="G463" i="65"/>
  <c r="H463" i="65"/>
  <c r="J463" i="65"/>
  <c r="K463" i="65"/>
  <c r="L463" i="65"/>
  <c r="M463" i="65"/>
  <c r="O463" i="65"/>
  <c r="P463" i="65"/>
  <c r="R463" i="65"/>
  <c r="S463" i="65"/>
  <c r="T463" i="65"/>
  <c r="U463" i="65"/>
  <c r="V463" i="65"/>
  <c r="W463" i="65"/>
  <c r="X463" i="65"/>
  <c r="AO463" i="65"/>
  <c r="AP463" i="65"/>
  <c r="AQ463" i="65"/>
  <c r="AR463" i="65"/>
  <c r="AS463" i="65"/>
  <c r="AT463" i="65"/>
  <c r="AU463" i="65"/>
  <c r="AW463" i="65"/>
  <c r="AX463" i="65"/>
  <c r="AY463" i="65"/>
  <c r="BA463" i="65"/>
  <c r="A464" i="65"/>
  <c r="B464" i="65"/>
  <c r="D464" i="65"/>
  <c r="E464" i="65"/>
  <c r="F464" i="65"/>
  <c r="G464" i="65"/>
  <c r="H464" i="65"/>
  <c r="J464" i="65"/>
  <c r="K464" i="65"/>
  <c r="L464" i="65"/>
  <c r="M464" i="65"/>
  <c r="O464" i="65"/>
  <c r="P464" i="65"/>
  <c r="R464" i="65"/>
  <c r="S464" i="65"/>
  <c r="T464" i="65"/>
  <c r="U464" i="65"/>
  <c r="V464" i="65"/>
  <c r="W464" i="65"/>
  <c r="X464" i="65"/>
  <c r="AO464" i="65"/>
  <c r="AP464" i="65"/>
  <c r="AQ464" i="65"/>
  <c r="AR464" i="65"/>
  <c r="AS464" i="65"/>
  <c r="AT464" i="65"/>
  <c r="AU464" i="65"/>
  <c r="AW464" i="65"/>
  <c r="AX464" i="65"/>
  <c r="AY464" i="65"/>
  <c r="BA464" i="65"/>
  <c r="A465" i="65"/>
  <c r="B465" i="65"/>
  <c r="D465" i="65"/>
  <c r="E465" i="65"/>
  <c r="F465" i="65"/>
  <c r="G465" i="65"/>
  <c r="H465" i="65"/>
  <c r="J465" i="65"/>
  <c r="K465" i="65"/>
  <c r="L465" i="65"/>
  <c r="M465" i="65"/>
  <c r="O465" i="65"/>
  <c r="P465" i="65"/>
  <c r="R465" i="65"/>
  <c r="S465" i="65"/>
  <c r="T465" i="65"/>
  <c r="U465" i="65"/>
  <c r="V465" i="65"/>
  <c r="W465" i="65"/>
  <c r="X465" i="65"/>
  <c r="AO465" i="65"/>
  <c r="AP465" i="65"/>
  <c r="AQ465" i="65"/>
  <c r="AR465" i="65"/>
  <c r="AS465" i="65"/>
  <c r="AT465" i="65"/>
  <c r="AU465" i="65"/>
  <c r="AW465" i="65"/>
  <c r="AX465" i="65"/>
  <c r="AY465" i="65"/>
  <c r="BA465" i="65"/>
  <c r="A466" i="65"/>
  <c r="B466" i="65"/>
  <c r="D466" i="65"/>
  <c r="E466" i="65"/>
  <c r="F466" i="65"/>
  <c r="G466" i="65"/>
  <c r="H466" i="65"/>
  <c r="J466" i="65"/>
  <c r="K466" i="65"/>
  <c r="L466" i="65"/>
  <c r="M466" i="65"/>
  <c r="O466" i="65"/>
  <c r="P466" i="65"/>
  <c r="R466" i="65"/>
  <c r="S466" i="65"/>
  <c r="T466" i="65"/>
  <c r="U466" i="65"/>
  <c r="V466" i="65"/>
  <c r="W466" i="65"/>
  <c r="X466" i="65"/>
  <c r="AO466" i="65"/>
  <c r="AP466" i="65"/>
  <c r="AQ466" i="65"/>
  <c r="AR466" i="65"/>
  <c r="AS466" i="65"/>
  <c r="AT466" i="65"/>
  <c r="AU466" i="65"/>
  <c r="AW466" i="65"/>
  <c r="AX466" i="65"/>
  <c r="AY466" i="65"/>
  <c r="BA466" i="65"/>
  <c r="A467" i="65"/>
  <c r="B467" i="65"/>
  <c r="D467" i="65"/>
  <c r="E467" i="65"/>
  <c r="F467" i="65"/>
  <c r="G467" i="65"/>
  <c r="H467" i="65"/>
  <c r="J467" i="65"/>
  <c r="K467" i="65"/>
  <c r="L467" i="65"/>
  <c r="M467" i="65"/>
  <c r="O467" i="65"/>
  <c r="P467" i="65"/>
  <c r="R467" i="65"/>
  <c r="S467" i="65"/>
  <c r="T467" i="65"/>
  <c r="U467" i="65"/>
  <c r="V467" i="65"/>
  <c r="W467" i="65"/>
  <c r="X467" i="65"/>
  <c r="AO467" i="65"/>
  <c r="AP467" i="65"/>
  <c r="AQ467" i="65"/>
  <c r="AR467" i="65"/>
  <c r="AS467" i="65"/>
  <c r="AT467" i="65"/>
  <c r="AU467" i="65"/>
  <c r="AW467" i="65"/>
  <c r="AX467" i="65"/>
  <c r="AY467" i="65"/>
  <c r="BA467" i="65"/>
  <c r="A468" i="65"/>
  <c r="B468" i="65"/>
  <c r="D468" i="65"/>
  <c r="E468" i="65"/>
  <c r="F468" i="65"/>
  <c r="G468" i="65"/>
  <c r="H468" i="65"/>
  <c r="J468" i="65"/>
  <c r="K468" i="65"/>
  <c r="L468" i="65"/>
  <c r="M468" i="65"/>
  <c r="O468" i="65"/>
  <c r="P468" i="65"/>
  <c r="R468" i="65"/>
  <c r="S468" i="65"/>
  <c r="T468" i="65"/>
  <c r="U468" i="65"/>
  <c r="V468" i="65"/>
  <c r="W468" i="65"/>
  <c r="X468" i="65"/>
  <c r="AO468" i="65"/>
  <c r="AP468" i="65"/>
  <c r="AQ468" i="65"/>
  <c r="AR468" i="65"/>
  <c r="AS468" i="65"/>
  <c r="AT468" i="65"/>
  <c r="AU468" i="65"/>
  <c r="AW468" i="65"/>
  <c r="AX468" i="65"/>
  <c r="AY468" i="65"/>
  <c r="BA468" i="65"/>
  <c r="A469" i="65"/>
  <c r="B469" i="65"/>
  <c r="D469" i="65"/>
  <c r="E469" i="65"/>
  <c r="F469" i="65"/>
  <c r="G469" i="65"/>
  <c r="H469" i="65"/>
  <c r="J469" i="65"/>
  <c r="K469" i="65"/>
  <c r="L469" i="65"/>
  <c r="M469" i="65"/>
  <c r="O469" i="65"/>
  <c r="P469" i="65"/>
  <c r="R469" i="65"/>
  <c r="S469" i="65"/>
  <c r="T469" i="65"/>
  <c r="U469" i="65"/>
  <c r="V469" i="65"/>
  <c r="W469" i="65"/>
  <c r="X469" i="65"/>
  <c r="AO469" i="65"/>
  <c r="AP469" i="65"/>
  <c r="AQ469" i="65"/>
  <c r="AR469" i="65"/>
  <c r="AS469" i="65"/>
  <c r="AT469" i="65"/>
  <c r="AU469" i="65"/>
  <c r="AW469" i="65"/>
  <c r="AX469" i="65"/>
  <c r="AY469" i="65"/>
  <c r="BA469" i="65"/>
  <c r="A470" i="65"/>
  <c r="B470" i="65"/>
  <c r="D470" i="65"/>
  <c r="E470" i="65"/>
  <c r="F470" i="65"/>
  <c r="G470" i="65"/>
  <c r="H470" i="65"/>
  <c r="J470" i="65"/>
  <c r="K470" i="65"/>
  <c r="L470" i="65"/>
  <c r="M470" i="65"/>
  <c r="O470" i="65"/>
  <c r="P470" i="65"/>
  <c r="R470" i="65"/>
  <c r="S470" i="65"/>
  <c r="T470" i="65"/>
  <c r="U470" i="65"/>
  <c r="V470" i="65"/>
  <c r="W470" i="65"/>
  <c r="X470" i="65"/>
  <c r="AO470" i="65"/>
  <c r="AP470" i="65"/>
  <c r="AQ470" i="65"/>
  <c r="AR470" i="65"/>
  <c r="AS470" i="65"/>
  <c r="AT470" i="65"/>
  <c r="AU470" i="65"/>
  <c r="AW470" i="65"/>
  <c r="AX470" i="65"/>
  <c r="AY470" i="65"/>
  <c r="BA470" i="65"/>
  <c r="A471" i="65"/>
  <c r="B471" i="65"/>
  <c r="D471" i="65"/>
  <c r="E471" i="65"/>
  <c r="F471" i="65"/>
  <c r="G471" i="65"/>
  <c r="H471" i="65"/>
  <c r="J471" i="65"/>
  <c r="K471" i="65"/>
  <c r="L471" i="65"/>
  <c r="M471" i="65"/>
  <c r="O471" i="65"/>
  <c r="P471" i="65"/>
  <c r="R471" i="65"/>
  <c r="S471" i="65"/>
  <c r="T471" i="65"/>
  <c r="U471" i="65"/>
  <c r="V471" i="65"/>
  <c r="W471" i="65"/>
  <c r="X471" i="65"/>
  <c r="AO471" i="65"/>
  <c r="AP471" i="65"/>
  <c r="AQ471" i="65"/>
  <c r="AR471" i="65"/>
  <c r="AS471" i="65"/>
  <c r="AT471" i="65"/>
  <c r="AU471" i="65"/>
  <c r="AW471" i="65"/>
  <c r="AX471" i="65"/>
  <c r="AY471" i="65"/>
  <c r="BA471" i="65"/>
  <c r="A472" i="65"/>
  <c r="B472" i="65"/>
  <c r="D472" i="65"/>
  <c r="E472" i="65"/>
  <c r="F472" i="65"/>
  <c r="G472" i="65"/>
  <c r="H472" i="65"/>
  <c r="J472" i="65"/>
  <c r="K472" i="65"/>
  <c r="L472" i="65"/>
  <c r="M472" i="65"/>
  <c r="O472" i="65"/>
  <c r="P472" i="65"/>
  <c r="R472" i="65"/>
  <c r="S472" i="65"/>
  <c r="T472" i="65"/>
  <c r="U472" i="65"/>
  <c r="V472" i="65"/>
  <c r="W472" i="65"/>
  <c r="X472" i="65"/>
  <c r="AO472" i="65"/>
  <c r="AP472" i="65"/>
  <c r="AQ472" i="65"/>
  <c r="AR472" i="65"/>
  <c r="AS472" i="65"/>
  <c r="AT472" i="65"/>
  <c r="AU472" i="65"/>
  <c r="AW472" i="65"/>
  <c r="AX472" i="65"/>
  <c r="AY472" i="65"/>
  <c r="BA472" i="65"/>
  <c r="A473" i="65"/>
  <c r="B473" i="65"/>
  <c r="D473" i="65"/>
  <c r="E473" i="65"/>
  <c r="F473" i="65"/>
  <c r="G473" i="65"/>
  <c r="H473" i="65"/>
  <c r="J473" i="65"/>
  <c r="K473" i="65"/>
  <c r="L473" i="65"/>
  <c r="M473" i="65"/>
  <c r="O473" i="65"/>
  <c r="P473" i="65"/>
  <c r="R473" i="65"/>
  <c r="S473" i="65"/>
  <c r="T473" i="65"/>
  <c r="U473" i="65"/>
  <c r="V473" i="65"/>
  <c r="W473" i="65"/>
  <c r="X473" i="65"/>
  <c r="AO473" i="65"/>
  <c r="AP473" i="65"/>
  <c r="AQ473" i="65"/>
  <c r="AR473" i="65"/>
  <c r="AS473" i="65"/>
  <c r="AT473" i="65"/>
  <c r="AU473" i="65"/>
  <c r="AW473" i="65"/>
  <c r="AX473" i="65"/>
  <c r="AY473" i="65"/>
  <c r="BA473" i="65"/>
  <c r="A474" i="65"/>
  <c r="B474" i="65"/>
  <c r="D474" i="65"/>
  <c r="E474" i="65"/>
  <c r="F474" i="65"/>
  <c r="G474" i="65"/>
  <c r="H474" i="65"/>
  <c r="J474" i="65"/>
  <c r="K474" i="65"/>
  <c r="L474" i="65"/>
  <c r="M474" i="65"/>
  <c r="O474" i="65"/>
  <c r="P474" i="65"/>
  <c r="R474" i="65"/>
  <c r="S474" i="65"/>
  <c r="T474" i="65"/>
  <c r="U474" i="65"/>
  <c r="V474" i="65"/>
  <c r="W474" i="65"/>
  <c r="X474" i="65"/>
  <c r="AO474" i="65"/>
  <c r="AP474" i="65"/>
  <c r="AQ474" i="65"/>
  <c r="AR474" i="65"/>
  <c r="AS474" i="65"/>
  <c r="AT474" i="65"/>
  <c r="AU474" i="65"/>
  <c r="AW474" i="65"/>
  <c r="AX474" i="65"/>
  <c r="AY474" i="65"/>
  <c r="BA474" i="65"/>
  <c r="A475" i="65"/>
  <c r="B475" i="65"/>
  <c r="D475" i="65"/>
  <c r="E475" i="65"/>
  <c r="F475" i="65"/>
  <c r="G475" i="65"/>
  <c r="H475" i="65"/>
  <c r="J475" i="65"/>
  <c r="K475" i="65"/>
  <c r="L475" i="65"/>
  <c r="M475" i="65"/>
  <c r="O475" i="65"/>
  <c r="P475" i="65"/>
  <c r="R475" i="65"/>
  <c r="S475" i="65"/>
  <c r="T475" i="65"/>
  <c r="U475" i="65"/>
  <c r="V475" i="65"/>
  <c r="W475" i="65"/>
  <c r="X475" i="65"/>
  <c r="AO475" i="65"/>
  <c r="AP475" i="65"/>
  <c r="AQ475" i="65"/>
  <c r="AR475" i="65"/>
  <c r="AS475" i="65"/>
  <c r="AT475" i="65"/>
  <c r="AU475" i="65"/>
  <c r="AW475" i="65"/>
  <c r="AX475" i="65"/>
  <c r="AY475" i="65"/>
  <c r="BA475" i="65"/>
  <c r="A476" i="65"/>
  <c r="B476" i="65"/>
  <c r="D476" i="65"/>
  <c r="E476" i="65"/>
  <c r="F476" i="65"/>
  <c r="G476" i="65"/>
  <c r="H476" i="65"/>
  <c r="J476" i="65"/>
  <c r="K476" i="65"/>
  <c r="L476" i="65"/>
  <c r="M476" i="65"/>
  <c r="O476" i="65"/>
  <c r="P476" i="65"/>
  <c r="R476" i="65"/>
  <c r="S476" i="65"/>
  <c r="T476" i="65"/>
  <c r="U476" i="65"/>
  <c r="V476" i="65"/>
  <c r="W476" i="65"/>
  <c r="X476" i="65"/>
  <c r="AO476" i="65"/>
  <c r="AP476" i="65"/>
  <c r="AQ476" i="65"/>
  <c r="AR476" i="65"/>
  <c r="AS476" i="65"/>
  <c r="AT476" i="65"/>
  <c r="AU476" i="65"/>
  <c r="AW476" i="65"/>
  <c r="AX476" i="65"/>
  <c r="AY476" i="65"/>
  <c r="BA476" i="65"/>
  <c r="A477" i="65"/>
  <c r="B477" i="65"/>
  <c r="D477" i="65"/>
  <c r="E477" i="65"/>
  <c r="F477" i="65"/>
  <c r="G477" i="65"/>
  <c r="H477" i="65"/>
  <c r="J477" i="65"/>
  <c r="K477" i="65"/>
  <c r="L477" i="65"/>
  <c r="M477" i="65"/>
  <c r="O477" i="65"/>
  <c r="P477" i="65"/>
  <c r="R477" i="65"/>
  <c r="S477" i="65"/>
  <c r="T477" i="65"/>
  <c r="U477" i="65"/>
  <c r="V477" i="65"/>
  <c r="W477" i="65"/>
  <c r="X477" i="65"/>
  <c r="AO477" i="65"/>
  <c r="AP477" i="65"/>
  <c r="AQ477" i="65"/>
  <c r="AR477" i="65"/>
  <c r="AS477" i="65"/>
  <c r="AT477" i="65"/>
  <c r="AU477" i="65"/>
  <c r="AW477" i="65"/>
  <c r="AX477" i="65"/>
  <c r="AY477" i="65"/>
  <c r="BA477" i="65"/>
  <c r="A478" i="65"/>
  <c r="B478" i="65"/>
  <c r="D478" i="65"/>
  <c r="E478" i="65"/>
  <c r="F478" i="65"/>
  <c r="G478" i="65"/>
  <c r="H478" i="65"/>
  <c r="J478" i="65"/>
  <c r="K478" i="65"/>
  <c r="L478" i="65"/>
  <c r="M478" i="65"/>
  <c r="O478" i="65"/>
  <c r="P478" i="65"/>
  <c r="R478" i="65"/>
  <c r="S478" i="65"/>
  <c r="T478" i="65"/>
  <c r="U478" i="65"/>
  <c r="V478" i="65"/>
  <c r="W478" i="65"/>
  <c r="X478" i="65"/>
  <c r="AO478" i="65"/>
  <c r="AP478" i="65"/>
  <c r="AQ478" i="65"/>
  <c r="AR478" i="65"/>
  <c r="AS478" i="65"/>
  <c r="AT478" i="65"/>
  <c r="AU478" i="65"/>
  <c r="AW478" i="65"/>
  <c r="AX478" i="65"/>
  <c r="AY478" i="65"/>
  <c r="BA478" i="65"/>
  <c r="A479" i="65"/>
  <c r="B479" i="65"/>
  <c r="D479" i="65"/>
  <c r="E479" i="65"/>
  <c r="F479" i="65"/>
  <c r="G479" i="65"/>
  <c r="H479" i="65"/>
  <c r="J479" i="65"/>
  <c r="K479" i="65"/>
  <c r="L479" i="65"/>
  <c r="M479" i="65"/>
  <c r="O479" i="65"/>
  <c r="P479" i="65"/>
  <c r="R479" i="65"/>
  <c r="S479" i="65"/>
  <c r="T479" i="65"/>
  <c r="U479" i="65"/>
  <c r="V479" i="65"/>
  <c r="W479" i="65"/>
  <c r="X479" i="65"/>
  <c r="AO479" i="65"/>
  <c r="AP479" i="65"/>
  <c r="AQ479" i="65"/>
  <c r="AR479" i="65"/>
  <c r="AS479" i="65"/>
  <c r="AT479" i="65"/>
  <c r="AU479" i="65"/>
  <c r="AW479" i="65"/>
  <c r="AX479" i="65"/>
  <c r="AY479" i="65"/>
  <c r="BA479" i="65"/>
  <c r="A480" i="65"/>
  <c r="B480" i="65"/>
  <c r="D480" i="65"/>
  <c r="E480" i="65"/>
  <c r="F480" i="65"/>
  <c r="G480" i="65"/>
  <c r="H480" i="65"/>
  <c r="J480" i="65"/>
  <c r="K480" i="65"/>
  <c r="L480" i="65"/>
  <c r="M480" i="65"/>
  <c r="O480" i="65"/>
  <c r="P480" i="65"/>
  <c r="R480" i="65"/>
  <c r="S480" i="65"/>
  <c r="T480" i="65"/>
  <c r="U480" i="65"/>
  <c r="V480" i="65"/>
  <c r="W480" i="65"/>
  <c r="X480" i="65"/>
  <c r="AO480" i="65"/>
  <c r="AP480" i="65"/>
  <c r="AQ480" i="65"/>
  <c r="AR480" i="65"/>
  <c r="AS480" i="65"/>
  <c r="AT480" i="65"/>
  <c r="AU480" i="65"/>
  <c r="AW480" i="65"/>
  <c r="AX480" i="65"/>
  <c r="AY480" i="65"/>
  <c r="BA480" i="65"/>
  <c r="A481" i="65"/>
  <c r="B481" i="65"/>
  <c r="D481" i="65"/>
  <c r="E481" i="65"/>
  <c r="F481" i="65"/>
  <c r="G481" i="65"/>
  <c r="H481" i="65"/>
  <c r="J481" i="65"/>
  <c r="K481" i="65"/>
  <c r="L481" i="65"/>
  <c r="M481" i="65"/>
  <c r="O481" i="65"/>
  <c r="P481" i="65"/>
  <c r="R481" i="65"/>
  <c r="S481" i="65"/>
  <c r="T481" i="65"/>
  <c r="U481" i="65"/>
  <c r="V481" i="65"/>
  <c r="W481" i="65"/>
  <c r="X481" i="65"/>
  <c r="AO481" i="65"/>
  <c r="AP481" i="65"/>
  <c r="AQ481" i="65"/>
  <c r="AR481" i="65"/>
  <c r="AS481" i="65"/>
  <c r="AT481" i="65"/>
  <c r="AU481" i="65"/>
  <c r="AW481" i="65"/>
  <c r="AX481" i="65"/>
  <c r="AY481" i="65"/>
  <c r="BA481" i="65"/>
  <c r="A482" i="65"/>
  <c r="B482" i="65"/>
  <c r="D482" i="65"/>
  <c r="E482" i="65"/>
  <c r="F482" i="65"/>
  <c r="G482" i="65"/>
  <c r="H482" i="65"/>
  <c r="J482" i="65"/>
  <c r="K482" i="65"/>
  <c r="L482" i="65"/>
  <c r="M482" i="65"/>
  <c r="O482" i="65"/>
  <c r="P482" i="65"/>
  <c r="R482" i="65"/>
  <c r="S482" i="65"/>
  <c r="T482" i="65"/>
  <c r="U482" i="65"/>
  <c r="V482" i="65"/>
  <c r="W482" i="65"/>
  <c r="X482" i="65"/>
  <c r="AO482" i="65"/>
  <c r="AP482" i="65"/>
  <c r="AQ482" i="65"/>
  <c r="AR482" i="65"/>
  <c r="AS482" i="65"/>
  <c r="AT482" i="65"/>
  <c r="AU482" i="65"/>
  <c r="AW482" i="65"/>
  <c r="AX482" i="65"/>
  <c r="AY482" i="65"/>
  <c r="BA482" i="65"/>
  <c r="A483" i="65"/>
  <c r="B483" i="65"/>
  <c r="D483" i="65"/>
  <c r="E483" i="65"/>
  <c r="F483" i="65"/>
  <c r="G483" i="65"/>
  <c r="H483" i="65"/>
  <c r="J483" i="65"/>
  <c r="K483" i="65"/>
  <c r="L483" i="65"/>
  <c r="M483" i="65"/>
  <c r="O483" i="65"/>
  <c r="P483" i="65"/>
  <c r="R483" i="65"/>
  <c r="S483" i="65"/>
  <c r="T483" i="65"/>
  <c r="U483" i="65"/>
  <c r="V483" i="65"/>
  <c r="W483" i="65"/>
  <c r="X483" i="65"/>
  <c r="AO483" i="65"/>
  <c r="AP483" i="65"/>
  <c r="AQ483" i="65"/>
  <c r="AR483" i="65"/>
  <c r="AS483" i="65"/>
  <c r="AT483" i="65"/>
  <c r="AU483" i="65"/>
  <c r="AW483" i="65"/>
  <c r="AX483" i="65"/>
  <c r="AY483" i="65"/>
  <c r="BA483" i="65"/>
  <c r="A484" i="65"/>
  <c r="B484" i="65"/>
  <c r="D484" i="65"/>
  <c r="E484" i="65"/>
  <c r="F484" i="65"/>
  <c r="G484" i="65"/>
  <c r="H484" i="65"/>
  <c r="J484" i="65"/>
  <c r="K484" i="65"/>
  <c r="L484" i="65"/>
  <c r="M484" i="65"/>
  <c r="O484" i="65"/>
  <c r="P484" i="65"/>
  <c r="R484" i="65"/>
  <c r="S484" i="65"/>
  <c r="T484" i="65"/>
  <c r="U484" i="65"/>
  <c r="V484" i="65"/>
  <c r="W484" i="65"/>
  <c r="X484" i="65"/>
  <c r="AO484" i="65"/>
  <c r="AP484" i="65"/>
  <c r="AQ484" i="65"/>
  <c r="AR484" i="65"/>
  <c r="AS484" i="65"/>
  <c r="AT484" i="65"/>
  <c r="AU484" i="65"/>
  <c r="AW484" i="65"/>
  <c r="AX484" i="65"/>
  <c r="AY484" i="65"/>
  <c r="BA484" i="65"/>
  <c r="A485" i="65"/>
  <c r="B485" i="65"/>
  <c r="D485" i="65"/>
  <c r="E485" i="65"/>
  <c r="F485" i="65"/>
  <c r="G485" i="65"/>
  <c r="H485" i="65"/>
  <c r="J485" i="65"/>
  <c r="K485" i="65"/>
  <c r="L485" i="65"/>
  <c r="M485" i="65"/>
  <c r="O485" i="65"/>
  <c r="P485" i="65"/>
  <c r="R485" i="65"/>
  <c r="S485" i="65"/>
  <c r="T485" i="65"/>
  <c r="U485" i="65"/>
  <c r="V485" i="65"/>
  <c r="W485" i="65"/>
  <c r="X485" i="65"/>
  <c r="AO485" i="65"/>
  <c r="AP485" i="65"/>
  <c r="AQ485" i="65"/>
  <c r="AR485" i="65"/>
  <c r="AS485" i="65"/>
  <c r="AT485" i="65"/>
  <c r="AU485" i="65"/>
  <c r="AW485" i="65"/>
  <c r="AX485" i="65"/>
  <c r="AY485" i="65"/>
  <c r="BA485" i="65"/>
  <c r="A486" i="65"/>
  <c r="B486" i="65"/>
  <c r="D486" i="65"/>
  <c r="E486" i="65"/>
  <c r="F486" i="65"/>
  <c r="G486" i="65"/>
  <c r="H486" i="65"/>
  <c r="J486" i="65"/>
  <c r="K486" i="65"/>
  <c r="L486" i="65"/>
  <c r="M486" i="65"/>
  <c r="O486" i="65"/>
  <c r="P486" i="65"/>
  <c r="R486" i="65"/>
  <c r="S486" i="65"/>
  <c r="T486" i="65"/>
  <c r="U486" i="65"/>
  <c r="V486" i="65"/>
  <c r="W486" i="65"/>
  <c r="X486" i="65"/>
  <c r="AO486" i="65"/>
  <c r="AP486" i="65"/>
  <c r="AQ486" i="65"/>
  <c r="AR486" i="65"/>
  <c r="AS486" i="65"/>
  <c r="AT486" i="65"/>
  <c r="AU486" i="65"/>
  <c r="AW486" i="65"/>
  <c r="AX486" i="65"/>
  <c r="AY486" i="65"/>
  <c r="BA486" i="65"/>
  <c r="A487" i="65"/>
  <c r="B487" i="65"/>
  <c r="D487" i="65"/>
  <c r="E487" i="65"/>
  <c r="F487" i="65"/>
  <c r="G487" i="65"/>
  <c r="H487" i="65"/>
  <c r="J487" i="65"/>
  <c r="K487" i="65"/>
  <c r="L487" i="65"/>
  <c r="M487" i="65"/>
  <c r="O487" i="65"/>
  <c r="P487" i="65"/>
  <c r="R487" i="65"/>
  <c r="S487" i="65"/>
  <c r="T487" i="65"/>
  <c r="U487" i="65"/>
  <c r="V487" i="65"/>
  <c r="W487" i="65"/>
  <c r="X487" i="65"/>
  <c r="AO487" i="65"/>
  <c r="AP487" i="65"/>
  <c r="AQ487" i="65"/>
  <c r="AR487" i="65"/>
  <c r="AS487" i="65"/>
  <c r="AT487" i="65"/>
  <c r="AU487" i="65"/>
  <c r="AW487" i="65"/>
  <c r="AX487" i="65"/>
  <c r="AY487" i="65"/>
  <c r="BA487" i="65"/>
  <c r="A488" i="65"/>
  <c r="B488" i="65"/>
  <c r="D488" i="65"/>
  <c r="E488" i="65"/>
  <c r="F488" i="65"/>
  <c r="G488" i="65"/>
  <c r="H488" i="65"/>
  <c r="J488" i="65"/>
  <c r="K488" i="65"/>
  <c r="L488" i="65"/>
  <c r="M488" i="65"/>
  <c r="O488" i="65"/>
  <c r="P488" i="65"/>
  <c r="R488" i="65"/>
  <c r="S488" i="65"/>
  <c r="T488" i="65"/>
  <c r="U488" i="65"/>
  <c r="V488" i="65"/>
  <c r="W488" i="65"/>
  <c r="X488" i="65"/>
  <c r="AO488" i="65"/>
  <c r="AP488" i="65"/>
  <c r="AQ488" i="65"/>
  <c r="AR488" i="65"/>
  <c r="AS488" i="65"/>
  <c r="AT488" i="65"/>
  <c r="AU488" i="65"/>
  <c r="AW488" i="65"/>
  <c r="AX488" i="65"/>
  <c r="AY488" i="65"/>
  <c r="BA488" i="65"/>
  <c r="A489" i="65"/>
  <c r="B489" i="65"/>
  <c r="D489" i="65"/>
  <c r="E489" i="65"/>
  <c r="F489" i="65"/>
  <c r="G489" i="65"/>
  <c r="H489" i="65"/>
  <c r="J489" i="65"/>
  <c r="K489" i="65"/>
  <c r="L489" i="65"/>
  <c r="M489" i="65"/>
  <c r="O489" i="65"/>
  <c r="P489" i="65"/>
  <c r="R489" i="65"/>
  <c r="S489" i="65"/>
  <c r="T489" i="65"/>
  <c r="U489" i="65"/>
  <c r="V489" i="65"/>
  <c r="W489" i="65"/>
  <c r="X489" i="65"/>
  <c r="AO489" i="65"/>
  <c r="AP489" i="65"/>
  <c r="AQ489" i="65"/>
  <c r="AR489" i="65"/>
  <c r="AS489" i="65"/>
  <c r="AT489" i="65"/>
  <c r="AU489" i="65"/>
  <c r="AW489" i="65"/>
  <c r="AX489" i="65"/>
  <c r="AY489" i="65"/>
  <c r="BA489" i="65"/>
  <c r="A490" i="65"/>
  <c r="B490" i="65"/>
  <c r="D490" i="65"/>
  <c r="E490" i="65"/>
  <c r="F490" i="65"/>
  <c r="G490" i="65"/>
  <c r="H490" i="65"/>
  <c r="J490" i="65"/>
  <c r="K490" i="65"/>
  <c r="L490" i="65"/>
  <c r="M490" i="65"/>
  <c r="O490" i="65"/>
  <c r="P490" i="65"/>
  <c r="R490" i="65"/>
  <c r="S490" i="65"/>
  <c r="T490" i="65"/>
  <c r="U490" i="65"/>
  <c r="V490" i="65"/>
  <c r="W490" i="65"/>
  <c r="X490" i="65"/>
  <c r="AO490" i="65"/>
  <c r="AP490" i="65"/>
  <c r="AQ490" i="65"/>
  <c r="AR490" i="65"/>
  <c r="AS490" i="65"/>
  <c r="AT490" i="65"/>
  <c r="AU490" i="65"/>
  <c r="AW490" i="65"/>
  <c r="AX490" i="65"/>
  <c r="AY490" i="65"/>
  <c r="BA490" i="65"/>
  <c r="A491" i="65"/>
  <c r="B491" i="65"/>
  <c r="D491" i="65"/>
  <c r="E491" i="65"/>
  <c r="F491" i="65"/>
  <c r="G491" i="65"/>
  <c r="H491" i="65"/>
  <c r="J491" i="65"/>
  <c r="K491" i="65"/>
  <c r="L491" i="65"/>
  <c r="M491" i="65"/>
  <c r="O491" i="65"/>
  <c r="P491" i="65"/>
  <c r="R491" i="65"/>
  <c r="S491" i="65"/>
  <c r="T491" i="65"/>
  <c r="U491" i="65"/>
  <c r="V491" i="65"/>
  <c r="W491" i="65"/>
  <c r="X491" i="65"/>
  <c r="AO491" i="65"/>
  <c r="AP491" i="65"/>
  <c r="AQ491" i="65"/>
  <c r="AR491" i="65"/>
  <c r="AS491" i="65"/>
  <c r="AT491" i="65"/>
  <c r="AU491" i="65"/>
  <c r="AW491" i="65"/>
  <c r="AX491" i="65"/>
  <c r="AY491" i="65"/>
  <c r="BA491" i="65"/>
  <c r="A492" i="65"/>
  <c r="B492" i="65"/>
  <c r="D492" i="65"/>
  <c r="E492" i="65"/>
  <c r="F492" i="65"/>
  <c r="G492" i="65"/>
  <c r="H492" i="65"/>
  <c r="J492" i="65"/>
  <c r="K492" i="65"/>
  <c r="L492" i="65"/>
  <c r="M492" i="65"/>
  <c r="O492" i="65"/>
  <c r="P492" i="65"/>
  <c r="R492" i="65"/>
  <c r="S492" i="65"/>
  <c r="T492" i="65"/>
  <c r="U492" i="65"/>
  <c r="V492" i="65"/>
  <c r="W492" i="65"/>
  <c r="X492" i="65"/>
  <c r="AO492" i="65"/>
  <c r="AP492" i="65"/>
  <c r="AQ492" i="65"/>
  <c r="AR492" i="65"/>
  <c r="AS492" i="65"/>
  <c r="AT492" i="65"/>
  <c r="AU492" i="65"/>
  <c r="AW492" i="65"/>
  <c r="AX492" i="65"/>
  <c r="AY492" i="65"/>
  <c r="BA492" i="65"/>
  <c r="A493" i="65"/>
  <c r="B493" i="65"/>
  <c r="D493" i="65"/>
  <c r="E493" i="65"/>
  <c r="F493" i="65"/>
  <c r="G493" i="65"/>
  <c r="H493" i="65"/>
  <c r="J493" i="65"/>
  <c r="K493" i="65"/>
  <c r="L493" i="65"/>
  <c r="M493" i="65"/>
  <c r="O493" i="65"/>
  <c r="P493" i="65"/>
  <c r="R493" i="65"/>
  <c r="S493" i="65"/>
  <c r="T493" i="65"/>
  <c r="U493" i="65"/>
  <c r="V493" i="65"/>
  <c r="W493" i="65"/>
  <c r="X493" i="65"/>
  <c r="AO493" i="65"/>
  <c r="AP493" i="65"/>
  <c r="AQ493" i="65"/>
  <c r="AR493" i="65"/>
  <c r="AS493" i="65"/>
  <c r="AT493" i="65"/>
  <c r="AU493" i="65"/>
  <c r="AW493" i="65"/>
  <c r="AX493" i="65"/>
  <c r="AY493" i="65"/>
  <c r="BA493" i="65"/>
  <c r="A494" i="65"/>
  <c r="B494" i="65"/>
  <c r="D494" i="65"/>
  <c r="E494" i="65"/>
  <c r="F494" i="65"/>
  <c r="G494" i="65"/>
  <c r="H494" i="65"/>
  <c r="J494" i="65"/>
  <c r="K494" i="65"/>
  <c r="L494" i="65"/>
  <c r="M494" i="65"/>
  <c r="O494" i="65"/>
  <c r="P494" i="65"/>
  <c r="R494" i="65"/>
  <c r="S494" i="65"/>
  <c r="T494" i="65"/>
  <c r="U494" i="65"/>
  <c r="V494" i="65"/>
  <c r="W494" i="65"/>
  <c r="X494" i="65"/>
  <c r="AO494" i="65"/>
  <c r="AP494" i="65"/>
  <c r="AQ494" i="65"/>
  <c r="AR494" i="65"/>
  <c r="AS494" i="65"/>
  <c r="AT494" i="65"/>
  <c r="AU494" i="65"/>
  <c r="AW494" i="65"/>
  <c r="AX494" i="65"/>
  <c r="AY494" i="65"/>
  <c r="BA494" i="65"/>
  <c r="A495" i="65"/>
  <c r="B495" i="65"/>
  <c r="D495" i="65"/>
  <c r="E495" i="65"/>
  <c r="F495" i="65"/>
  <c r="G495" i="65"/>
  <c r="H495" i="65"/>
  <c r="J495" i="65"/>
  <c r="K495" i="65"/>
  <c r="L495" i="65"/>
  <c r="M495" i="65"/>
  <c r="O495" i="65"/>
  <c r="P495" i="65"/>
  <c r="R495" i="65"/>
  <c r="S495" i="65"/>
  <c r="T495" i="65"/>
  <c r="U495" i="65"/>
  <c r="V495" i="65"/>
  <c r="W495" i="65"/>
  <c r="X495" i="65"/>
  <c r="AO495" i="65"/>
  <c r="AP495" i="65"/>
  <c r="AQ495" i="65"/>
  <c r="AR495" i="65"/>
  <c r="AS495" i="65"/>
  <c r="AT495" i="65"/>
  <c r="AU495" i="65"/>
  <c r="AW495" i="65"/>
  <c r="AX495" i="65"/>
  <c r="AY495" i="65"/>
  <c r="BA495" i="65"/>
  <c r="A496" i="65"/>
  <c r="B496" i="65"/>
  <c r="D496" i="65"/>
  <c r="E496" i="65"/>
  <c r="F496" i="65"/>
  <c r="G496" i="65"/>
  <c r="H496" i="65"/>
  <c r="J496" i="65"/>
  <c r="K496" i="65"/>
  <c r="L496" i="65"/>
  <c r="M496" i="65"/>
  <c r="O496" i="65"/>
  <c r="P496" i="65"/>
  <c r="R496" i="65"/>
  <c r="S496" i="65"/>
  <c r="T496" i="65"/>
  <c r="U496" i="65"/>
  <c r="V496" i="65"/>
  <c r="W496" i="65"/>
  <c r="X496" i="65"/>
  <c r="AO496" i="65"/>
  <c r="AP496" i="65"/>
  <c r="AQ496" i="65"/>
  <c r="AR496" i="65"/>
  <c r="AS496" i="65"/>
  <c r="AT496" i="65"/>
  <c r="AU496" i="65"/>
  <c r="AW496" i="65"/>
  <c r="AX496" i="65"/>
  <c r="AY496" i="65"/>
  <c r="BA496" i="65"/>
  <c r="A497" i="65"/>
  <c r="B497" i="65"/>
  <c r="D497" i="65"/>
  <c r="E497" i="65"/>
  <c r="F497" i="65"/>
  <c r="G497" i="65"/>
  <c r="H497" i="65"/>
  <c r="J497" i="65"/>
  <c r="K497" i="65"/>
  <c r="L497" i="65"/>
  <c r="M497" i="65"/>
  <c r="O497" i="65"/>
  <c r="P497" i="65"/>
  <c r="R497" i="65"/>
  <c r="S497" i="65"/>
  <c r="T497" i="65"/>
  <c r="U497" i="65"/>
  <c r="V497" i="65"/>
  <c r="W497" i="65"/>
  <c r="X497" i="65"/>
  <c r="AO497" i="65"/>
  <c r="AP497" i="65"/>
  <c r="AQ497" i="65"/>
  <c r="AR497" i="65"/>
  <c r="AS497" i="65"/>
  <c r="AT497" i="65"/>
  <c r="AU497" i="65"/>
  <c r="AW497" i="65"/>
  <c r="AX497" i="65"/>
  <c r="AY497" i="65"/>
  <c r="BA497" i="65"/>
  <c r="A498" i="65"/>
  <c r="B498" i="65"/>
  <c r="D498" i="65"/>
  <c r="E498" i="65"/>
  <c r="F498" i="65"/>
  <c r="G498" i="65"/>
  <c r="H498" i="65"/>
  <c r="J498" i="65"/>
  <c r="K498" i="65"/>
  <c r="L498" i="65"/>
  <c r="M498" i="65"/>
  <c r="O498" i="65"/>
  <c r="P498" i="65"/>
  <c r="R498" i="65"/>
  <c r="S498" i="65"/>
  <c r="T498" i="65"/>
  <c r="U498" i="65"/>
  <c r="V498" i="65"/>
  <c r="W498" i="65"/>
  <c r="X498" i="65"/>
  <c r="AO498" i="65"/>
  <c r="AP498" i="65"/>
  <c r="AQ498" i="65"/>
  <c r="AR498" i="65"/>
  <c r="AS498" i="65"/>
  <c r="AT498" i="65"/>
  <c r="AU498" i="65"/>
  <c r="AW498" i="65"/>
  <c r="AX498" i="65"/>
  <c r="AY498" i="65"/>
  <c r="BA498" i="65"/>
  <c r="A499" i="65"/>
  <c r="B499" i="65"/>
  <c r="D499" i="65"/>
  <c r="E499" i="65"/>
  <c r="F499" i="65"/>
  <c r="G499" i="65"/>
  <c r="H499" i="65"/>
  <c r="J499" i="65"/>
  <c r="K499" i="65"/>
  <c r="L499" i="65"/>
  <c r="M499" i="65"/>
  <c r="O499" i="65"/>
  <c r="P499" i="65"/>
  <c r="R499" i="65"/>
  <c r="S499" i="65"/>
  <c r="T499" i="65"/>
  <c r="U499" i="65"/>
  <c r="V499" i="65"/>
  <c r="W499" i="65"/>
  <c r="X499" i="65"/>
  <c r="AO499" i="65"/>
  <c r="AP499" i="65"/>
  <c r="AQ499" i="65"/>
  <c r="AR499" i="65"/>
  <c r="AS499" i="65"/>
  <c r="AT499" i="65"/>
  <c r="AU499" i="65"/>
  <c r="AW499" i="65"/>
  <c r="AX499" i="65"/>
  <c r="AY499" i="65"/>
  <c r="BA499" i="65"/>
  <c r="A500" i="65"/>
  <c r="B500" i="65"/>
  <c r="AW500" i="65"/>
  <c r="AX500" i="65"/>
  <c r="AY500" i="65"/>
  <c r="BA500" i="65"/>
  <c r="A501" i="65"/>
  <c r="B501" i="65"/>
  <c r="AW501" i="65"/>
  <c r="AX501" i="65"/>
  <c r="AY501" i="65"/>
  <c r="BA501" i="65"/>
  <c r="E1" i="67"/>
  <c r="Z1" i="67"/>
  <c r="AA1" i="67"/>
  <c r="AC1" i="67"/>
  <c r="AD1" i="67"/>
  <c r="S2" i="67"/>
  <c r="A3" i="67"/>
  <c r="B3" i="67"/>
  <c r="D3" i="67"/>
  <c r="E3" i="67"/>
  <c r="I3" i="67"/>
  <c r="J3" i="67"/>
  <c r="K3" i="67"/>
  <c r="R3" i="67"/>
  <c r="S3" i="67"/>
  <c r="J4" i="67"/>
  <c r="K4" i="67"/>
  <c r="L4" i="67"/>
  <c r="M4" i="67"/>
  <c r="O4" i="67"/>
  <c r="P4" i="67"/>
  <c r="R4" i="67"/>
  <c r="S4" i="67"/>
  <c r="T4" i="67"/>
  <c r="U4" i="67"/>
  <c r="W4" i="67"/>
  <c r="X4" i="67"/>
  <c r="Z4" i="67"/>
  <c r="AA4" i="67"/>
  <c r="AC4" i="67"/>
  <c r="AD4" i="67"/>
  <c r="AF4" i="67"/>
  <c r="AF5" i="67"/>
  <c r="H6" i="67"/>
  <c r="K6" i="67"/>
  <c r="M6" i="67"/>
  <c r="P6" i="67"/>
  <c r="S6" i="67"/>
  <c r="U6" i="67"/>
  <c r="X6" i="67"/>
  <c r="AA6" i="67"/>
  <c r="AC6" i="67"/>
  <c r="D8" i="67"/>
  <c r="E8" i="67"/>
  <c r="F8" i="67"/>
  <c r="G8" i="67"/>
  <c r="H8" i="67"/>
  <c r="J8" i="67"/>
  <c r="K8" i="67"/>
  <c r="L8" i="67"/>
  <c r="M8" i="67"/>
  <c r="O8" i="67"/>
  <c r="P8" i="67"/>
  <c r="R8" i="67"/>
  <c r="S8" i="67"/>
  <c r="T8" i="67"/>
  <c r="U8" i="67"/>
  <c r="V8" i="67"/>
  <c r="W8" i="67"/>
  <c r="X8" i="67"/>
  <c r="AH8" i="67"/>
  <c r="AL8" i="67"/>
  <c r="AM8" i="67"/>
  <c r="AN8" i="67"/>
  <c r="AT8" i="67"/>
  <c r="AU8" i="67"/>
  <c r="AW8" i="67"/>
  <c r="AX8" i="67"/>
  <c r="AY8" i="67"/>
  <c r="BA8" i="67"/>
  <c r="BC8" i="67"/>
  <c r="A10" i="67"/>
  <c r="B10" i="67"/>
  <c r="D10" i="67"/>
  <c r="E10" i="67"/>
  <c r="F10" i="67"/>
  <c r="G10" i="67"/>
  <c r="H10" i="67"/>
  <c r="J10" i="67"/>
  <c r="K10" i="67"/>
  <c r="L10" i="67"/>
  <c r="M10" i="67"/>
  <c r="O10" i="67"/>
  <c r="P10" i="67"/>
  <c r="R10" i="67"/>
  <c r="S10" i="67"/>
  <c r="U10" i="67"/>
  <c r="V10" i="67"/>
  <c r="W10" i="67"/>
  <c r="X10" i="67"/>
  <c r="Z10" i="67"/>
  <c r="AA10" i="67"/>
  <c r="AB10" i="67"/>
  <c r="AC10" i="67"/>
  <c r="AD10" i="67"/>
  <c r="AE10" i="67"/>
  <c r="AF10" i="67"/>
  <c r="AG10" i="67"/>
  <c r="AH10" i="67"/>
  <c r="AI10" i="67"/>
  <c r="AJ10" i="67"/>
  <c r="AK10" i="67"/>
  <c r="AL10" i="67"/>
  <c r="AM10" i="67"/>
  <c r="AN10" i="67"/>
  <c r="AO10" i="67"/>
  <c r="AP10" i="67"/>
  <c r="AQ10" i="67"/>
  <c r="AR10" i="67"/>
  <c r="AS10" i="67"/>
  <c r="AT10" i="67"/>
  <c r="AU10" i="67"/>
  <c r="AW10" i="67"/>
  <c r="AX10" i="67"/>
  <c r="AY10" i="67"/>
  <c r="BA10" i="67"/>
  <c r="BC10" i="67"/>
  <c r="A11" i="67"/>
  <c r="B11" i="67"/>
  <c r="D11" i="67"/>
  <c r="E11" i="67"/>
  <c r="F11" i="67"/>
  <c r="G11" i="67"/>
  <c r="H11" i="67"/>
  <c r="J11" i="67"/>
  <c r="K11" i="67"/>
  <c r="L11" i="67"/>
  <c r="M11" i="67"/>
  <c r="O11" i="67"/>
  <c r="P11" i="67"/>
  <c r="R11" i="67"/>
  <c r="S11" i="67"/>
  <c r="U11" i="67"/>
  <c r="V11" i="67"/>
  <c r="W11" i="67"/>
  <c r="X11" i="67"/>
  <c r="Z11" i="67"/>
  <c r="AA11" i="67"/>
  <c r="AB11" i="67"/>
  <c r="AC11" i="67"/>
  <c r="AD11" i="67"/>
  <c r="AE11" i="67"/>
  <c r="AF11" i="67"/>
  <c r="AG11" i="67"/>
  <c r="AH11" i="67"/>
  <c r="AI11" i="67"/>
  <c r="AJ11" i="67"/>
  <c r="AK11" i="67"/>
  <c r="AL11" i="67"/>
  <c r="AM11" i="67"/>
  <c r="AN11" i="67"/>
  <c r="AO11" i="67"/>
  <c r="AP11" i="67"/>
  <c r="AQ11" i="67"/>
  <c r="AR11" i="67"/>
  <c r="AS11" i="67"/>
  <c r="AT11" i="67"/>
  <c r="AU11" i="67"/>
  <c r="AW11" i="67"/>
  <c r="AX11" i="67"/>
  <c r="AY11" i="67"/>
  <c r="BA11" i="67"/>
  <c r="BC11" i="67"/>
  <c r="A12" i="67"/>
  <c r="B12" i="67"/>
  <c r="D12" i="67"/>
  <c r="E12" i="67"/>
  <c r="F12" i="67"/>
  <c r="G12" i="67"/>
  <c r="H12" i="67"/>
  <c r="J12" i="67"/>
  <c r="K12" i="67"/>
  <c r="L12" i="67"/>
  <c r="M12" i="67"/>
  <c r="O12" i="67"/>
  <c r="P12" i="67"/>
  <c r="R12" i="67"/>
  <c r="S12" i="67"/>
  <c r="U12" i="67"/>
  <c r="V12" i="67"/>
  <c r="W12" i="67"/>
  <c r="X12" i="67"/>
  <c r="Z12" i="67"/>
  <c r="AA12" i="67"/>
  <c r="AB12" i="67"/>
  <c r="AC12" i="67"/>
  <c r="AD12" i="67"/>
  <c r="AE12" i="67"/>
  <c r="AF12" i="67"/>
  <c r="AG12" i="67"/>
  <c r="AH12" i="67"/>
  <c r="AI12" i="67"/>
  <c r="AJ12" i="67"/>
  <c r="AK12" i="67"/>
  <c r="AL12" i="67"/>
  <c r="AM12" i="67"/>
  <c r="AN12" i="67"/>
  <c r="AO12" i="67"/>
  <c r="AP12" i="67"/>
  <c r="AQ12" i="67"/>
  <c r="AR12" i="67"/>
  <c r="AS12" i="67"/>
  <c r="AT12" i="67"/>
  <c r="AU12" i="67"/>
  <c r="AW12" i="67"/>
  <c r="AX12" i="67"/>
  <c r="AY12" i="67"/>
  <c r="BA12" i="67"/>
  <c r="BC12" i="67"/>
  <c r="A13" i="67"/>
  <c r="B13" i="67"/>
  <c r="D13" i="67"/>
  <c r="E13" i="67"/>
  <c r="F13" i="67"/>
  <c r="G13" i="67"/>
  <c r="H13" i="67"/>
  <c r="J13" i="67"/>
  <c r="K13" i="67"/>
  <c r="L13" i="67"/>
  <c r="M13" i="67"/>
  <c r="O13" i="67"/>
  <c r="P13" i="67"/>
  <c r="R13" i="67"/>
  <c r="S13" i="67"/>
  <c r="U13" i="67"/>
  <c r="V13" i="67"/>
  <c r="W13" i="67"/>
  <c r="X13" i="67"/>
  <c r="Z13" i="67"/>
  <c r="AA13" i="67"/>
  <c r="AB13" i="67"/>
  <c r="AC13" i="67"/>
  <c r="AD13" i="67"/>
  <c r="AE13" i="67"/>
  <c r="AF13" i="67"/>
  <c r="AG13" i="67"/>
  <c r="AH13" i="67"/>
  <c r="AI13" i="67"/>
  <c r="AJ13" i="67"/>
  <c r="AK13" i="67"/>
  <c r="AL13" i="67"/>
  <c r="AM13" i="67"/>
  <c r="AN13" i="67"/>
  <c r="AO13" i="67"/>
  <c r="AP13" i="67"/>
  <c r="AQ13" i="67"/>
  <c r="AR13" i="67"/>
  <c r="AS13" i="67"/>
  <c r="AT13" i="67"/>
  <c r="AU13" i="67"/>
  <c r="AW13" i="67"/>
  <c r="AX13" i="67"/>
  <c r="AY13" i="67"/>
  <c r="BA13" i="67"/>
  <c r="BC13" i="67"/>
  <c r="A14" i="67"/>
  <c r="B14" i="67"/>
  <c r="D14" i="67"/>
  <c r="E14" i="67"/>
  <c r="F14" i="67"/>
  <c r="G14" i="67"/>
  <c r="H14" i="67"/>
  <c r="J14" i="67"/>
  <c r="K14" i="67"/>
  <c r="L14" i="67"/>
  <c r="M14" i="67"/>
  <c r="O14" i="67"/>
  <c r="P14" i="67"/>
  <c r="R14" i="67"/>
  <c r="S14" i="67"/>
  <c r="U14" i="67"/>
  <c r="V14" i="67"/>
  <c r="W14" i="67"/>
  <c r="X14" i="67"/>
  <c r="Z14" i="67"/>
  <c r="AA14" i="67"/>
  <c r="AB14" i="67"/>
  <c r="AC14" i="67"/>
  <c r="AD14" i="67"/>
  <c r="AE14" i="67"/>
  <c r="AF14" i="67"/>
  <c r="AG14" i="67"/>
  <c r="AH14" i="67"/>
  <c r="AI14" i="67"/>
  <c r="AJ14" i="67"/>
  <c r="AK14" i="67"/>
  <c r="AL14" i="67"/>
  <c r="AM14" i="67"/>
  <c r="AN14" i="67"/>
  <c r="AO14" i="67"/>
  <c r="AP14" i="67"/>
  <c r="AQ14" i="67"/>
  <c r="AR14" i="67"/>
  <c r="AS14" i="67"/>
  <c r="AT14" i="67"/>
  <c r="AU14" i="67"/>
  <c r="AW14" i="67"/>
  <c r="AX14" i="67"/>
  <c r="AY14" i="67"/>
  <c r="BA14" i="67"/>
  <c r="BC14" i="67"/>
  <c r="A15" i="67"/>
  <c r="B15" i="67"/>
  <c r="D15" i="67"/>
  <c r="E15" i="67"/>
  <c r="F15" i="67"/>
  <c r="G15" i="67"/>
  <c r="H15" i="67"/>
  <c r="J15" i="67"/>
  <c r="K15" i="67"/>
  <c r="L15" i="67"/>
  <c r="M15" i="67"/>
  <c r="O15" i="67"/>
  <c r="P15" i="67"/>
  <c r="R15" i="67"/>
  <c r="S15" i="67"/>
  <c r="U15" i="67"/>
  <c r="V15" i="67"/>
  <c r="W15" i="67"/>
  <c r="X15" i="67"/>
  <c r="Z15" i="67"/>
  <c r="AA15" i="67"/>
  <c r="AB15" i="67"/>
  <c r="AC15" i="67"/>
  <c r="AD15" i="67"/>
  <c r="AE15" i="67"/>
  <c r="AF15" i="67"/>
  <c r="AG15" i="67"/>
  <c r="AH15" i="67"/>
  <c r="AI15" i="67"/>
  <c r="AJ15" i="67"/>
  <c r="AK15" i="67"/>
  <c r="AL15" i="67"/>
  <c r="AM15" i="67"/>
  <c r="AN15" i="67"/>
  <c r="AO15" i="67"/>
  <c r="AP15" i="67"/>
  <c r="AQ15" i="67"/>
  <c r="AR15" i="67"/>
  <c r="AS15" i="67"/>
  <c r="AT15" i="67"/>
  <c r="AU15" i="67"/>
  <c r="AW15" i="67"/>
  <c r="AX15" i="67"/>
  <c r="AY15" i="67"/>
  <c r="BA15" i="67"/>
  <c r="BC15" i="67"/>
  <c r="A16" i="67"/>
  <c r="B16" i="67"/>
  <c r="D16" i="67"/>
  <c r="E16" i="67"/>
  <c r="F16" i="67"/>
  <c r="G16" i="67"/>
  <c r="H16" i="67"/>
  <c r="J16" i="67"/>
  <c r="K16" i="67"/>
  <c r="L16" i="67"/>
  <c r="M16" i="67"/>
  <c r="O16" i="67"/>
  <c r="P16" i="67"/>
  <c r="R16" i="67"/>
  <c r="S16" i="67"/>
  <c r="U16" i="67"/>
  <c r="V16" i="67"/>
  <c r="W16" i="67"/>
  <c r="X16" i="67"/>
  <c r="Z16" i="67"/>
  <c r="AA16" i="67"/>
  <c r="AB16" i="67"/>
  <c r="AC16" i="67"/>
  <c r="AD16" i="67"/>
  <c r="AE16" i="67"/>
  <c r="AF16" i="67"/>
  <c r="AG16" i="67"/>
  <c r="AH16" i="67"/>
  <c r="AI16" i="67"/>
  <c r="AJ16" i="67"/>
  <c r="AK16" i="67"/>
  <c r="AL16" i="67"/>
  <c r="AM16" i="67"/>
  <c r="AN16" i="67"/>
  <c r="AO16" i="67"/>
  <c r="AP16" i="67"/>
  <c r="AQ16" i="67"/>
  <c r="AR16" i="67"/>
  <c r="AS16" i="67"/>
  <c r="AT16" i="67"/>
  <c r="AU16" i="67"/>
  <c r="AW16" i="67"/>
  <c r="AX16" i="67"/>
  <c r="AY16" i="67"/>
  <c r="BA16" i="67"/>
  <c r="BC16" i="67"/>
  <c r="A17" i="67"/>
  <c r="B17" i="67"/>
  <c r="D17" i="67"/>
  <c r="E17" i="67"/>
  <c r="F17" i="67"/>
  <c r="G17" i="67"/>
  <c r="H17" i="67"/>
  <c r="J17" i="67"/>
  <c r="K17" i="67"/>
  <c r="L17" i="67"/>
  <c r="M17" i="67"/>
  <c r="O17" i="67"/>
  <c r="P17" i="67"/>
  <c r="R17" i="67"/>
  <c r="S17" i="67"/>
  <c r="U17" i="67"/>
  <c r="V17" i="67"/>
  <c r="W17" i="67"/>
  <c r="X17" i="67"/>
  <c r="Z17" i="67"/>
  <c r="AA17" i="67"/>
  <c r="AB17" i="67"/>
  <c r="AC17" i="67"/>
  <c r="AD17" i="67"/>
  <c r="AE17" i="67"/>
  <c r="AF17" i="67"/>
  <c r="AG17" i="67"/>
  <c r="AH17" i="67"/>
  <c r="AI17" i="67"/>
  <c r="AJ17" i="67"/>
  <c r="AK17" i="67"/>
  <c r="AL17" i="67"/>
  <c r="AM17" i="67"/>
  <c r="AN17" i="67"/>
  <c r="AO17" i="67"/>
  <c r="AP17" i="67"/>
  <c r="AQ17" i="67"/>
  <c r="AR17" i="67"/>
  <c r="AS17" i="67"/>
  <c r="AT17" i="67"/>
  <c r="AU17" i="67"/>
  <c r="AW17" i="67"/>
  <c r="AX17" i="67"/>
  <c r="AY17" i="67"/>
  <c r="BA17" i="67"/>
  <c r="BC17" i="67"/>
  <c r="A18" i="67"/>
  <c r="B18" i="67"/>
  <c r="D18" i="67"/>
  <c r="E18" i="67"/>
  <c r="F18" i="67"/>
  <c r="G18" i="67"/>
  <c r="H18" i="67"/>
  <c r="J18" i="67"/>
  <c r="K18" i="67"/>
  <c r="L18" i="67"/>
  <c r="M18" i="67"/>
  <c r="O18" i="67"/>
  <c r="P18" i="67"/>
  <c r="R18" i="67"/>
  <c r="S18" i="67"/>
  <c r="U18" i="67"/>
  <c r="V18" i="67"/>
  <c r="W18" i="67"/>
  <c r="X18" i="67"/>
  <c r="Z18" i="67"/>
  <c r="AA18" i="67"/>
  <c r="AB18" i="67"/>
  <c r="AC18" i="67"/>
  <c r="AD18" i="67"/>
  <c r="AE18" i="67"/>
  <c r="AF18" i="67"/>
  <c r="AG18" i="67"/>
  <c r="AH18" i="67"/>
  <c r="AI18" i="67"/>
  <c r="AJ18" i="67"/>
  <c r="AK18" i="67"/>
  <c r="AL18" i="67"/>
  <c r="AM18" i="67"/>
  <c r="AN18" i="67"/>
  <c r="AO18" i="67"/>
  <c r="AP18" i="67"/>
  <c r="AQ18" i="67"/>
  <c r="AR18" i="67"/>
  <c r="AS18" i="67"/>
  <c r="AT18" i="67"/>
  <c r="AU18" i="67"/>
  <c r="AW18" i="67"/>
  <c r="AX18" i="67"/>
  <c r="AY18" i="67"/>
  <c r="BA18" i="67"/>
  <c r="BC18" i="67"/>
  <c r="A19" i="67"/>
  <c r="B19" i="67"/>
  <c r="D19" i="67"/>
  <c r="E19" i="67"/>
  <c r="F19" i="67"/>
  <c r="G19" i="67"/>
  <c r="H19" i="67"/>
  <c r="J19" i="67"/>
  <c r="K19" i="67"/>
  <c r="L19" i="67"/>
  <c r="M19" i="67"/>
  <c r="O19" i="67"/>
  <c r="P19" i="67"/>
  <c r="R19" i="67"/>
  <c r="S19" i="67"/>
  <c r="U19" i="67"/>
  <c r="V19" i="67"/>
  <c r="W19" i="67"/>
  <c r="X19" i="67"/>
  <c r="Z19" i="67"/>
  <c r="AA19" i="67"/>
  <c r="AB19" i="67"/>
  <c r="AC19" i="67"/>
  <c r="AD19" i="67"/>
  <c r="AE19" i="67"/>
  <c r="AF19" i="67"/>
  <c r="AG19" i="67"/>
  <c r="AH19" i="67"/>
  <c r="AI19" i="67"/>
  <c r="AJ19" i="67"/>
  <c r="AK19" i="67"/>
  <c r="AL19" i="67"/>
  <c r="AM19" i="67"/>
  <c r="AN19" i="67"/>
  <c r="AO19" i="67"/>
  <c r="AP19" i="67"/>
  <c r="AQ19" i="67"/>
  <c r="AR19" i="67"/>
  <c r="AS19" i="67"/>
  <c r="AT19" i="67"/>
  <c r="AU19" i="67"/>
  <c r="AW19" i="67"/>
  <c r="AX19" i="67"/>
  <c r="AY19" i="67"/>
  <c r="BA19" i="67"/>
  <c r="BC19" i="67"/>
  <c r="A20" i="67"/>
  <c r="B20" i="67"/>
  <c r="D20" i="67"/>
  <c r="E20" i="67"/>
  <c r="F20" i="67"/>
  <c r="G20" i="67"/>
  <c r="H20" i="67"/>
  <c r="J20" i="67"/>
  <c r="K20" i="67"/>
  <c r="L20" i="67"/>
  <c r="M20" i="67"/>
  <c r="O20" i="67"/>
  <c r="P20" i="67"/>
  <c r="R20" i="67"/>
  <c r="S20" i="67"/>
  <c r="U20" i="67"/>
  <c r="V20" i="67"/>
  <c r="W20" i="67"/>
  <c r="X20" i="67"/>
  <c r="Z20" i="67"/>
  <c r="AA20" i="67"/>
  <c r="AB20" i="67"/>
  <c r="AC20" i="67"/>
  <c r="AD20" i="67"/>
  <c r="AE20" i="67"/>
  <c r="AF20" i="67"/>
  <c r="AG20" i="67"/>
  <c r="AH20" i="67"/>
  <c r="AI20" i="67"/>
  <c r="AJ20" i="67"/>
  <c r="AK20" i="67"/>
  <c r="AL20" i="67"/>
  <c r="AM20" i="67"/>
  <c r="AN20" i="67"/>
  <c r="AO20" i="67"/>
  <c r="AP20" i="67"/>
  <c r="AQ20" i="67"/>
  <c r="AR20" i="67"/>
  <c r="AS20" i="67"/>
  <c r="AT20" i="67"/>
  <c r="AU20" i="67"/>
  <c r="AW20" i="67"/>
  <c r="AX20" i="67"/>
  <c r="AY20" i="67"/>
  <c r="BA20" i="67"/>
  <c r="BC20" i="67"/>
  <c r="A21" i="67"/>
  <c r="B21" i="67"/>
  <c r="D21" i="67"/>
  <c r="E21" i="67"/>
  <c r="F21" i="67"/>
  <c r="G21" i="67"/>
  <c r="H21" i="67"/>
  <c r="J21" i="67"/>
  <c r="K21" i="67"/>
  <c r="L21" i="67"/>
  <c r="M21" i="67"/>
  <c r="O21" i="67"/>
  <c r="P21" i="67"/>
  <c r="R21" i="67"/>
  <c r="S21" i="67"/>
  <c r="U21" i="67"/>
  <c r="V21" i="67"/>
  <c r="W21" i="67"/>
  <c r="X21" i="67"/>
  <c r="Z21" i="67"/>
  <c r="AA21" i="67"/>
  <c r="AB21" i="67"/>
  <c r="AC21" i="67"/>
  <c r="AD21" i="67"/>
  <c r="AE21" i="67"/>
  <c r="AF21" i="67"/>
  <c r="AG21" i="67"/>
  <c r="AH21" i="67"/>
  <c r="AI21" i="67"/>
  <c r="AJ21" i="67"/>
  <c r="AK21" i="67"/>
  <c r="AL21" i="67"/>
  <c r="AM21" i="67"/>
  <c r="AN21" i="67"/>
  <c r="AO21" i="67"/>
  <c r="AP21" i="67"/>
  <c r="AQ21" i="67"/>
  <c r="AR21" i="67"/>
  <c r="AS21" i="67"/>
  <c r="AT21" i="67"/>
  <c r="AU21" i="67"/>
  <c r="AW21" i="67"/>
  <c r="AX21" i="67"/>
  <c r="AY21" i="67"/>
  <c r="BA21" i="67"/>
  <c r="BC21" i="67"/>
  <c r="A22" i="67"/>
  <c r="B22" i="67"/>
  <c r="D22" i="67"/>
  <c r="E22" i="67"/>
  <c r="F22" i="67"/>
  <c r="G22" i="67"/>
  <c r="H22" i="67"/>
  <c r="J22" i="67"/>
  <c r="K22" i="67"/>
  <c r="L22" i="67"/>
  <c r="M22" i="67"/>
  <c r="O22" i="67"/>
  <c r="P22" i="67"/>
  <c r="R22" i="67"/>
  <c r="S22" i="67"/>
  <c r="U22" i="67"/>
  <c r="V22" i="67"/>
  <c r="W22" i="67"/>
  <c r="X22" i="67"/>
  <c r="Z22" i="67"/>
  <c r="AA22" i="67"/>
  <c r="AB22" i="67"/>
  <c r="AC22" i="67"/>
  <c r="AD22" i="67"/>
  <c r="AE22" i="67"/>
  <c r="AF22" i="67"/>
  <c r="AG22" i="67"/>
  <c r="AH22" i="67"/>
  <c r="AI22" i="67"/>
  <c r="AJ22" i="67"/>
  <c r="AK22" i="67"/>
  <c r="AL22" i="67"/>
  <c r="AM22" i="67"/>
  <c r="AN22" i="67"/>
  <c r="AO22" i="67"/>
  <c r="AP22" i="67"/>
  <c r="AQ22" i="67"/>
  <c r="AR22" i="67"/>
  <c r="AS22" i="67"/>
  <c r="AT22" i="67"/>
  <c r="AU22" i="67"/>
  <c r="AW22" i="67"/>
  <c r="AX22" i="67"/>
  <c r="AY22" i="67"/>
  <c r="BA22" i="67"/>
  <c r="BC22" i="67"/>
  <c r="A23" i="67"/>
  <c r="B23" i="67"/>
  <c r="D23" i="67"/>
  <c r="E23" i="67"/>
  <c r="F23" i="67"/>
  <c r="G23" i="67"/>
  <c r="H23" i="67"/>
  <c r="J23" i="67"/>
  <c r="K23" i="67"/>
  <c r="L23" i="67"/>
  <c r="M23" i="67"/>
  <c r="O23" i="67"/>
  <c r="P23" i="67"/>
  <c r="R23" i="67"/>
  <c r="S23" i="67"/>
  <c r="U23" i="67"/>
  <c r="V23" i="67"/>
  <c r="W23" i="67"/>
  <c r="X23" i="67"/>
  <c r="Z23" i="67"/>
  <c r="AA23" i="67"/>
  <c r="AB23" i="67"/>
  <c r="AC23" i="67"/>
  <c r="AD23" i="67"/>
  <c r="AE23" i="67"/>
  <c r="AF23" i="67"/>
  <c r="AG23" i="67"/>
  <c r="AH23" i="67"/>
  <c r="AI23" i="67"/>
  <c r="AJ23" i="67"/>
  <c r="AK23" i="67"/>
  <c r="AL23" i="67"/>
  <c r="AM23" i="67"/>
  <c r="AN23" i="67"/>
  <c r="AO23" i="67"/>
  <c r="AP23" i="67"/>
  <c r="AQ23" i="67"/>
  <c r="AR23" i="67"/>
  <c r="AS23" i="67"/>
  <c r="AT23" i="67"/>
  <c r="AU23" i="67"/>
  <c r="AW23" i="67"/>
  <c r="AX23" i="67"/>
  <c r="AY23" i="67"/>
  <c r="BA23" i="67"/>
  <c r="BC23" i="67"/>
  <c r="A24" i="67"/>
  <c r="B24" i="67"/>
  <c r="D24" i="67"/>
  <c r="E24" i="67"/>
  <c r="F24" i="67"/>
  <c r="G24" i="67"/>
  <c r="H24" i="67"/>
  <c r="J24" i="67"/>
  <c r="K24" i="67"/>
  <c r="L24" i="67"/>
  <c r="M24" i="67"/>
  <c r="O24" i="67"/>
  <c r="P24" i="67"/>
  <c r="R24" i="67"/>
  <c r="S24" i="67"/>
  <c r="U24" i="67"/>
  <c r="V24" i="67"/>
  <c r="W24" i="67"/>
  <c r="X24" i="67"/>
  <c r="Z24" i="67"/>
  <c r="AA24" i="67"/>
  <c r="AB24" i="67"/>
  <c r="AC24" i="67"/>
  <c r="AD24" i="67"/>
  <c r="AE24" i="67"/>
  <c r="AF24" i="67"/>
  <c r="AG24" i="67"/>
  <c r="AH24" i="67"/>
  <c r="AI24" i="67"/>
  <c r="AJ24" i="67"/>
  <c r="AK24" i="67"/>
  <c r="AL24" i="67"/>
  <c r="AM24" i="67"/>
  <c r="AN24" i="67"/>
  <c r="AO24" i="67"/>
  <c r="AP24" i="67"/>
  <c r="AQ24" i="67"/>
  <c r="AR24" i="67"/>
  <c r="AS24" i="67"/>
  <c r="AT24" i="67"/>
  <c r="AU24" i="67"/>
  <c r="AW24" i="67"/>
  <c r="AX24" i="67"/>
  <c r="AY24" i="67"/>
  <c r="BA24" i="67"/>
  <c r="BC24" i="67"/>
  <c r="A25" i="67"/>
  <c r="B25" i="67"/>
  <c r="D25" i="67"/>
  <c r="E25" i="67"/>
  <c r="F25" i="67"/>
  <c r="G25" i="67"/>
  <c r="H25" i="67"/>
  <c r="J25" i="67"/>
  <c r="K25" i="67"/>
  <c r="L25" i="67"/>
  <c r="M25" i="67"/>
  <c r="O25" i="67"/>
  <c r="P25" i="67"/>
  <c r="R25" i="67"/>
  <c r="S25" i="67"/>
  <c r="U25" i="67"/>
  <c r="V25" i="67"/>
  <c r="W25" i="67"/>
  <c r="X25" i="67"/>
  <c r="Z25" i="67"/>
  <c r="AA25" i="67"/>
  <c r="AB25" i="67"/>
  <c r="AC25" i="67"/>
  <c r="AD25" i="67"/>
  <c r="AE25" i="67"/>
  <c r="AF25" i="67"/>
  <c r="AG25" i="67"/>
  <c r="AH25" i="67"/>
  <c r="AI25" i="67"/>
  <c r="AJ25" i="67"/>
  <c r="AK25" i="67"/>
  <c r="AL25" i="67"/>
  <c r="AM25" i="67"/>
  <c r="AN25" i="67"/>
  <c r="AO25" i="67"/>
  <c r="AP25" i="67"/>
  <c r="AQ25" i="67"/>
  <c r="AR25" i="67"/>
  <c r="AS25" i="67"/>
  <c r="AT25" i="67"/>
  <c r="AU25" i="67"/>
  <c r="AW25" i="67"/>
  <c r="AX25" i="67"/>
  <c r="AY25" i="67"/>
  <c r="BA25" i="67"/>
  <c r="BC25" i="67"/>
  <c r="A26" i="67"/>
  <c r="B26" i="67"/>
  <c r="D26" i="67"/>
  <c r="E26" i="67"/>
  <c r="F26" i="67"/>
  <c r="G26" i="67"/>
  <c r="H26" i="67"/>
  <c r="J26" i="67"/>
  <c r="K26" i="67"/>
  <c r="L26" i="67"/>
  <c r="M26" i="67"/>
  <c r="O26" i="67"/>
  <c r="P26" i="67"/>
  <c r="R26" i="67"/>
  <c r="S26" i="67"/>
  <c r="U26" i="67"/>
  <c r="V26" i="67"/>
  <c r="W26" i="67"/>
  <c r="X26" i="67"/>
  <c r="Z26" i="67"/>
  <c r="AA26" i="67"/>
  <c r="AB26" i="67"/>
  <c r="AC26" i="67"/>
  <c r="AD26" i="67"/>
  <c r="AE26" i="67"/>
  <c r="AF26" i="67"/>
  <c r="AG26" i="67"/>
  <c r="AH26" i="67"/>
  <c r="AI26" i="67"/>
  <c r="AJ26" i="67"/>
  <c r="AK26" i="67"/>
  <c r="AL26" i="67"/>
  <c r="AM26" i="67"/>
  <c r="AN26" i="67"/>
  <c r="AO26" i="67"/>
  <c r="AP26" i="67"/>
  <c r="AQ26" i="67"/>
  <c r="AR26" i="67"/>
  <c r="AS26" i="67"/>
  <c r="AT26" i="67"/>
  <c r="AU26" i="67"/>
  <c r="AW26" i="67"/>
  <c r="AX26" i="67"/>
  <c r="AY26" i="67"/>
  <c r="BA26" i="67"/>
  <c r="BC26" i="67"/>
  <c r="A27" i="67"/>
  <c r="B27" i="67"/>
  <c r="D27" i="67"/>
  <c r="E27" i="67"/>
  <c r="F27" i="67"/>
  <c r="G27" i="67"/>
  <c r="H27" i="67"/>
  <c r="J27" i="67"/>
  <c r="K27" i="67"/>
  <c r="L27" i="67"/>
  <c r="M27" i="67"/>
  <c r="O27" i="67"/>
  <c r="P27" i="67"/>
  <c r="R27" i="67"/>
  <c r="S27" i="67"/>
  <c r="U27" i="67"/>
  <c r="V27" i="67"/>
  <c r="W27" i="67"/>
  <c r="X27" i="67"/>
  <c r="Z27" i="67"/>
  <c r="AA27" i="67"/>
  <c r="AB27" i="67"/>
  <c r="AC27" i="67"/>
  <c r="AD27" i="67"/>
  <c r="AE27" i="67"/>
  <c r="AF27" i="67"/>
  <c r="AG27" i="67"/>
  <c r="AH27" i="67"/>
  <c r="AI27" i="67"/>
  <c r="AJ27" i="67"/>
  <c r="AK27" i="67"/>
  <c r="AL27" i="67"/>
  <c r="AM27" i="67"/>
  <c r="AN27" i="67"/>
  <c r="AO27" i="67"/>
  <c r="AP27" i="67"/>
  <c r="AQ27" i="67"/>
  <c r="AR27" i="67"/>
  <c r="AS27" i="67"/>
  <c r="AT27" i="67"/>
  <c r="AU27" i="67"/>
  <c r="AW27" i="67"/>
  <c r="AX27" i="67"/>
  <c r="AY27" i="67"/>
  <c r="BA27" i="67"/>
  <c r="BC27" i="67"/>
  <c r="A28" i="67"/>
  <c r="B28" i="67"/>
  <c r="D28" i="67"/>
  <c r="E28" i="67"/>
  <c r="F28" i="67"/>
  <c r="G28" i="67"/>
  <c r="H28" i="67"/>
  <c r="J28" i="67"/>
  <c r="K28" i="67"/>
  <c r="L28" i="67"/>
  <c r="M28" i="67"/>
  <c r="O28" i="67"/>
  <c r="P28" i="67"/>
  <c r="R28" i="67"/>
  <c r="S28" i="67"/>
  <c r="U28" i="67"/>
  <c r="V28" i="67"/>
  <c r="W28" i="67"/>
  <c r="X28" i="67"/>
  <c r="Z28" i="67"/>
  <c r="AA28" i="67"/>
  <c r="AB28" i="67"/>
  <c r="AC28" i="67"/>
  <c r="AD28" i="67"/>
  <c r="AE28" i="67"/>
  <c r="AF28" i="67"/>
  <c r="AG28" i="67"/>
  <c r="AH28" i="67"/>
  <c r="AI28" i="67"/>
  <c r="AJ28" i="67"/>
  <c r="AK28" i="67"/>
  <c r="AL28" i="67"/>
  <c r="AM28" i="67"/>
  <c r="AN28" i="67"/>
  <c r="AO28" i="67"/>
  <c r="AP28" i="67"/>
  <c r="AQ28" i="67"/>
  <c r="AR28" i="67"/>
  <c r="AS28" i="67"/>
  <c r="AT28" i="67"/>
  <c r="AU28" i="67"/>
  <c r="AW28" i="67"/>
  <c r="AX28" i="67"/>
  <c r="AY28" i="67"/>
  <c r="BA28" i="67"/>
  <c r="BC28" i="67"/>
  <c r="A29" i="67"/>
  <c r="B29" i="67"/>
  <c r="D29" i="67"/>
  <c r="E29" i="67"/>
  <c r="F29" i="67"/>
  <c r="G29" i="67"/>
  <c r="H29" i="67"/>
  <c r="J29" i="67"/>
  <c r="K29" i="67"/>
  <c r="L29" i="67"/>
  <c r="M29" i="67"/>
  <c r="O29" i="67"/>
  <c r="P29" i="67"/>
  <c r="R29" i="67"/>
  <c r="S29" i="67"/>
  <c r="U29" i="67"/>
  <c r="V29" i="67"/>
  <c r="W29" i="67"/>
  <c r="X29" i="67"/>
  <c r="Z29" i="67"/>
  <c r="AA29" i="67"/>
  <c r="AB29" i="67"/>
  <c r="AC29" i="67"/>
  <c r="AD29" i="67"/>
  <c r="AE29" i="67"/>
  <c r="AF29" i="67"/>
  <c r="AG29" i="67"/>
  <c r="AH29" i="67"/>
  <c r="AI29" i="67"/>
  <c r="AJ29" i="67"/>
  <c r="AK29" i="67"/>
  <c r="AL29" i="67"/>
  <c r="AM29" i="67"/>
  <c r="AN29" i="67"/>
  <c r="AO29" i="67"/>
  <c r="AP29" i="67"/>
  <c r="AQ29" i="67"/>
  <c r="AR29" i="67"/>
  <c r="AS29" i="67"/>
  <c r="AT29" i="67"/>
  <c r="AU29" i="67"/>
  <c r="AW29" i="67"/>
  <c r="AX29" i="67"/>
  <c r="AY29" i="67"/>
  <c r="BA29" i="67"/>
  <c r="BC29" i="67"/>
  <c r="A30" i="67"/>
  <c r="B30" i="67"/>
  <c r="D30" i="67"/>
  <c r="E30" i="67"/>
  <c r="F30" i="67"/>
  <c r="G30" i="67"/>
  <c r="H30" i="67"/>
  <c r="J30" i="67"/>
  <c r="K30" i="67"/>
  <c r="L30" i="67"/>
  <c r="M30" i="67"/>
  <c r="O30" i="67"/>
  <c r="P30" i="67"/>
  <c r="R30" i="67"/>
  <c r="S30" i="67"/>
  <c r="U30" i="67"/>
  <c r="V30" i="67"/>
  <c r="W30" i="67"/>
  <c r="X30" i="67"/>
  <c r="Z30" i="67"/>
  <c r="AA30" i="67"/>
  <c r="AB30" i="67"/>
  <c r="AC30" i="67"/>
  <c r="AD30" i="67"/>
  <c r="AE30" i="67"/>
  <c r="AF30" i="67"/>
  <c r="AG30" i="67"/>
  <c r="AH30" i="67"/>
  <c r="AI30" i="67"/>
  <c r="AJ30" i="67"/>
  <c r="AK30" i="67"/>
  <c r="AL30" i="67"/>
  <c r="AM30" i="67"/>
  <c r="AN30" i="67"/>
  <c r="AO30" i="67"/>
  <c r="AP30" i="67"/>
  <c r="AQ30" i="67"/>
  <c r="AR30" i="67"/>
  <c r="AS30" i="67"/>
  <c r="AT30" i="67"/>
  <c r="AU30" i="67"/>
  <c r="AW30" i="67"/>
  <c r="AX30" i="67"/>
  <c r="AY30" i="67"/>
  <c r="BA30" i="67"/>
  <c r="BC30" i="67"/>
  <c r="A31" i="67"/>
  <c r="B31" i="67"/>
  <c r="D31" i="67"/>
  <c r="E31" i="67"/>
  <c r="F31" i="67"/>
  <c r="G31" i="67"/>
  <c r="H31" i="67"/>
  <c r="J31" i="67"/>
  <c r="K31" i="67"/>
  <c r="L31" i="67"/>
  <c r="M31" i="67"/>
  <c r="O31" i="67"/>
  <c r="P31" i="67"/>
  <c r="R31" i="67"/>
  <c r="S31" i="67"/>
  <c r="U31" i="67"/>
  <c r="V31" i="67"/>
  <c r="W31" i="67"/>
  <c r="X31" i="67"/>
  <c r="Z31" i="67"/>
  <c r="AA31" i="67"/>
  <c r="AB31" i="67"/>
  <c r="AC31" i="67"/>
  <c r="AD31" i="67"/>
  <c r="AE31" i="67"/>
  <c r="AF31" i="67"/>
  <c r="AG31" i="67"/>
  <c r="AH31" i="67"/>
  <c r="AI31" i="67"/>
  <c r="AJ31" i="67"/>
  <c r="AK31" i="67"/>
  <c r="AL31" i="67"/>
  <c r="AM31" i="67"/>
  <c r="AN31" i="67"/>
  <c r="AO31" i="67"/>
  <c r="AP31" i="67"/>
  <c r="AQ31" i="67"/>
  <c r="AR31" i="67"/>
  <c r="AS31" i="67"/>
  <c r="AT31" i="67"/>
  <c r="AU31" i="67"/>
  <c r="AW31" i="67"/>
  <c r="AX31" i="67"/>
  <c r="AY31" i="67"/>
  <c r="BA31" i="67"/>
  <c r="BC31" i="67"/>
  <c r="A32" i="67"/>
  <c r="B32" i="67"/>
  <c r="D32" i="67"/>
  <c r="E32" i="67"/>
  <c r="F32" i="67"/>
  <c r="G32" i="67"/>
  <c r="H32" i="67"/>
  <c r="J32" i="67"/>
  <c r="K32" i="67"/>
  <c r="L32" i="67"/>
  <c r="M32" i="67"/>
  <c r="O32" i="67"/>
  <c r="P32" i="67"/>
  <c r="R32" i="67"/>
  <c r="S32" i="67"/>
  <c r="U32" i="67"/>
  <c r="V32" i="67"/>
  <c r="W32" i="67"/>
  <c r="X32" i="67"/>
  <c r="Z32" i="67"/>
  <c r="AA32" i="67"/>
  <c r="AB32" i="67"/>
  <c r="AC32" i="67"/>
  <c r="AD32" i="67"/>
  <c r="AE32" i="67"/>
  <c r="AF32" i="67"/>
  <c r="AG32" i="67"/>
  <c r="AH32" i="67"/>
  <c r="AI32" i="67"/>
  <c r="AJ32" i="67"/>
  <c r="AK32" i="67"/>
  <c r="AL32" i="67"/>
  <c r="AM32" i="67"/>
  <c r="AN32" i="67"/>
  <c r="AO32" i="67"/>
  <c r="AP32" i="67"/>
  <c r="AQ32" i="67"/>
  <c r="AR32" i="67"/>
  <c r="AS32" i="67"/>
  <c r="AT32" i="67"/>
  <c r="AU32" i="67"/>
  <c r="AW32" i="67"/>
  <c r="AX32" i="67"/>
  <c r="AY32" i="67"/>
  <c r="BA32" i="67"/>
  <c r="BC32" i="67"/>
  <c r="A33" i="67"/>
  <c r="B33" i="67"/>
  <c r="D33" i="67"/>
  <c r="E33" i="67"/>
  <c r="F33" i="67"/>
  <c r="G33" i="67"/>
  <c r="H33" i="67"/>
  <c r="J33" i="67"/>
  <c r="K33" i="67"/>
  <c r="L33" i="67"/>
  <c r="M33" i="67"/>
  <c r="O33" i="67"/>
  <c r="P33" i="67"/>
  <c r="R33" i="67"/>
  <c r="S33" i="67"/>
  <c r="U33" i="67"/>
  <c r="V33" i="67"/>
  <c r="W33" i="67"/>
  <c r="X33" i="67"/>
  <c r="Z33" i="67"/>
  <c r="AA33" i="67"/>
  <c r="AB33" i="67"/>
  <c r="AC33" i="67"/>
  <c r="AD33" i="67"/>
  <c r="AE33" i="67"/>
  <c r="AF33" i="67"/>
  <c r="AG33" i="67"/>
  <c r="AH33" i="67"/>
  <c r="AI33" i="67"/>
  <c r="AJ33" i="67"/>
  <c r="AK33" i="67"/>
  <c r="AL33" i="67"/>
  <c r="AM33" i="67"/>
  <c r="AN33" i="67"/>
  <c r="AO33" i="67"/>
  <c r="AP33" i="67"/>
  <c r="AQ33" i="67"/>
  <c r="AR33" i="67"/>
  <c r="AS33" i="67"/>
  <c r="AT33" i="67"/>
  <c r="AU33" i="67"/>
  <c r="AW33" i="67"/>
  <c r="AX33" i="67"/>
  <c r="AY33" i="67"/>
  <c r="BA33" i="67"/>
  <c r="BC33" i="67"/>
  <c r="A34" i="67"/>
  <c r="B34" i="67"/>
  <c r="D34" i="67"/>
  <c r="E34" i="67"/>
  <c r="F34" i="67"/>
  <c r="G34" i="67"/>
  <c r="H34" i="67"/>
  <c r="J34" i="67"/>
  <c r="K34" i="67"/>
  <c r="L34" i="67"/>
  <c r="M34" i="67"/>
  <c r="O34" i="67"/>
  <c r="P34" i="67"/>
  <c r="R34" i="67"/>
  <c r="S34" i="67"/>
  <c r="U34" i="67"/>
  <c r="V34" i="67"/>
  <c r="W34" i="67"/>
  <c r="X34" i="67"/>
  <c r="Z34" i="67"/>
  <c r="AA34" i="67"/>
  <c r="AB34" i="67"/>
  <c r="AC34" i="67"/>
  <c r="AD34" i="67"/>
  <c r="AE34" i="67"/>
  <c r="AF34" i="67"/>
  <c r="AG34" i="67"/>
  <c r="AH34" i="67"/>
  <c r="AI34" i="67"/>
  <c r="AJ34" i="67"/>
  <c r="AK34" i="67"/>
  <c r="AL34" i="67"/>
  <c r="AM34" i="67"/>
  <c r="AN34" i="67"/>
  <c r="AO34" i="67"/>
  <c r="AP34" i="67"/>
  <c r="AQ34" i="67"/>
  <c r="AR34" i="67"/>
  <c r="AS34" i="67"/>
  <c r="AT34" i="67"/>
  <c r="AU34" i="67"/>
  <c r="AW34" i="67"/>
  <c r="AX34" i="67"/>
  <c r="AY34" i="67"/>
  <c r="BA34" i="67"/>
  <c r="BC34" i="67"/>
  <c r="A35" i="67"/>
  <c r="B35" i="67"/>
  <c r="D35" i="67"/>
  <c r="E35" i="67"/>
  <c r="F35" i="67"/>
  <c r="G35" i="67"/>
  <c r="H35" i="67"/>
  <c r="J35" i="67"/>
  <c r="K35" i="67"/>
  <c r="L35" i="67"/>
  <c r="M35" i="67"/>
  <c r="O35" i="67"/>
  <c r="P35" i="67"/>
  <c r="R35" i="67"/>
  <c r="S35" i="67"/>
  <c r="U35" i="67"/>
  <c r="V35" i="67"/>
  <c r="W35" i="67"/>
  <c r="X35" i="67"/>
  <c r="Z35" i="67"/>
  <c r="AA35" i="67"/>
  <c r="AB35" i="67"/>
  <c r="AC35" i="67"/>
  <c r="AD35" i="67"/>
  <c r="AE35" i="67"/>
  <c r="AF35" i="67"/>
  <c r="AG35" i="67"/>
  <c r="AH35" i="67"/>
  <c r="AI35" i="67"/>
  <c r="AJ35" i="67"/>
  <c r="AK35" i="67"/>
  <c r="AL35" i="67"/>
  <c r="AM35" i="67"/>
  <c r="AN35" i="67"/>
  <c r="AO35" i="67"/>
  <c r="AP35" i="67"/>
  <c r="AQ35" i="67"/>
  <c r="AR35" i="67"/>
  <c r="AS35" i="67"/>
  <c r="AT35" i="67"/>
  <c r="AU35" i="67"/>
  <c r="AW35" i="67"/>
  <c r="AX35" i="67"/>
  <c r="AY35" i="67"/>
  <c r="BA35" i="67"/>
  <c r="BC35" i="67"/>
  <c r="A36" i="67"/>
  <c r="B36" i="67"/>
  <c r="D36" i="67"/>
  <c r="E36" i="67"/>
  <c r="F36" i="67"/>
  <c r="G36" i="67"/>
  <c r="H36" i="67"/>
  <c r="J36" i="67"/>
  <c r="K36" i="67"/>
  <c r="L36" i="67"/>
  <c r="M36" i="67"/>
  <c r="O36" i="67"/>
  <c r="P36" i="67"/>
  <c r="R36" i="67"/>
  <c r="S36" i="67"/>
  <c r="U36" i="67"/>
  <c r="V36" i="67"/>
  <c r="W36" i="67"/>
  <c r="X36" i="67"/>
  <c r="Z36" i="67"/>
  <c r="AA36" i="67"/>
  <c r="AB36" i="67"/>
  <c r="AC36" i="67"/>
  <c r="AD36" i="67"/>
  <c r="AE36" i="67"/>
  <c r="AF36" i="67"/>
  <c r="AG36" i="67"/>
  <c r="AH36" i="67"/>
  <c r="AI36" i="67"/>
  <c r="AJ36" i="67"/>
  <c r="AK36" i="67"/>
  <c r="AL36" i="67"/>
  <c r="AM36" i="67"/>
  <c r="AN36" i="67"/>
  <c r="AO36" i="67"/>
  <c r="AP36" i="67"/>
  <c r="AQ36" i="67"/>
  <c r="AR36" i="67"/>
  <c r="AS36" i="67"/>
  <c r="AT36" i="67"/>
  <c r="AU36" i="67"/>
  <c r="AW36" i="67"/>
  <c r="AX36" i="67"/>
  <c r="AY36" i="67"/>
  <c r="BA36" i="67"/>
  <c r="BC36" i="67"/>
  <c r="A37" i="67"/>
  <c r="B37" i="67"/>
  <c r="D37" i="67"/>
  <c r="E37" i="67"/>
  <c r="F37" i="67"/>
  <c r="G37" i="67"/>
  <c r="H37" i="67"/>
  <c r="J37" i="67"/>
  <c r="K37" i="67"/>
  <c r="L37" i="67"/>
  <c r="M37" i="67"/>
  <c r="O37" i="67"/>
  <c r="P37" i="67"/>
  <c r="R37" i="67"/>
  <c r="S37" i="67"/>
  <c r="U37" i="67"/>
  <c r="V37" i="67"/>
  <c r="W37" i="67"/>
  <c r="X37" i="67"/>
  <c r="Z37" i="67"/>
  <c r="AA37" i="67"/>
  <c r="AB37" i="67"/>
  <c r="AC37" i="67"/>
  <c r="AD37" i="67"/>
  <c r="AE37" i="67"/>
  <c r="AF37" i="67"/>
  <c r="AG37" i="67"/>
  <c r="AH37" i="67"/>
  <c r="AI37" i="67"/>
  <c r="AJ37" i="67"/>
  <c r="AK37" i="67"/>
  <c r="AL37" i="67"/>
  <c r="AM37" i="67"/>
  <c r="AN37" i="67"/>
  <c r="AO37" i="67"/>
  <c r="AP37" i="67"/>
  <c r="AQ37" i="67"/>
  <c r="AR37" i="67"/>
  <c r="AS37" i="67"/>
  <c r="AT37" i="67"/>
  <c r="AU37" i="67"/>
  <c r="AW37" i="67"/>
  <c r="AX37" i="67"/>
  <c r="AY37" i="67"/>
  <c r="BA37" i="67"/>
  <c r="BC37" i="67"/>
  <c r="A38" i="67"/>
  <c r="B38" i="67"/>
  <c r="D38" i="67"/>
  <c r="E38" i="67"/>
  <c r="F38" i="67"/>
  <c r="G38" i="67"/>
  <c r="H38" i="67"/>
  <c r="J38" i="67"/>
  <c r="K38" i="67"/>
  <c r="L38" i="67"/>
  <c r="M38" i="67"/>
  <c r="O38" i="67"/>
  <c r="P38" i="67"/>
  <c r="R38" i="67"/>
  <c r="S38" i="67"/>
  <c r="U38" i="67"/>
  <c r="V38" i="67"/>
  <c r="W38" i="67"/>
  <c r="X38" i="67"/>
  <c r="Z38" i="67"/>
  <c r="AA38" i="67"/>
  <c r="AB38" i="67"/>
  <c r="AC38" i="67"/>
  <c r="AD38" i="67"/>
  <c r="AE38" i="67"/>
  <c r="AF38" i="67"/>
  <c r="AG38" i="67"/>
  <c r="AH38" i="67"/>
  <c r="AI38" i="67"/>
  <c r="AJ38" i="67"/>
  <c r="AK38" i="67"/>
  <c r="AL38" i="67"/>
  <c r="AM38" i="67"/>
  <c r="AN38" i="67"/>
  <c r="AO38" i="67"/>
  <c r="AP38" i="67"/>
  <c r="AQ38" i="67"/>
  <c r="AR38" i="67"/>
  <c r="AS38" i="67"/>
  <c r="AT38" i="67"/>
  <c r="AU38" i="67"/>
  <c r="AW38" i="67"/>
  <c r="AX38" i="67"/>
  <c r="AY38" i="67"/>
  <c r="BA38" i="67"/>
  <c r="BC38" i="67"/>
  <c r="A39" i="67"/>
  <c r="B39" i="67"/>
  <c r="D39" i="67"/>
  <c r="E39" i="67"/>
  <c r="F39" i="67"/>
  <c r="G39" i="67"/>
  <c r="H39" i="67"/>
  <c r="J39" i="67"/>
  <c r="K39" i="67"/>
  <c r="L39" i="67"/>
  <c r="M39" i="67"/>
  <c r="O39" i="67"/>
  <c r="P39" i="67"/>
  <c r="R39" i="67"/>
  <c r="S39" i="67"/>
  <c r="U39" i="67"/>
  <c r="V39" i="67"/>
  <c r="W39" i="67"/>
  <c r="X39" i="67"/>
  <c r="Z39" i="67"/>
  <c r="AA39" i="67"/>
  <c r="AB39" i="67"/>
  <c r="AC39" i="67"/>
  <c r="AD39" i="67"/>
  <c r="AE39" i="67"/>
  <c r="AF39" i="67"/>
  <c r="AG39" i="67"/>
  <c r="AH39" i="67"/>
  <c r="AI39" i="67"/>
  <c r="AJ39" i="67"/>
  <c r="AK39" i="67"/>
  <c r="AL39" i="67"/>
  <c r="AM39" i="67"/>
  <c r="AN39" i="67"/>
  <c r="AO39" i="67"/>
  <c r="AP39" i="67"/>
  <c r="AQ39" i="67"/>
  <c r="AR39" i="67"/>
  <c r="AS39" i="67"/>
  <c r="AT39" i="67"/>
  <c r="AU39" i="67"/>
  <c r="AW39" i="67"/>
  <c r="AX39" i="67"/>
  <c r="AY39" i="67"/>
  <c r="BA39" i="67"/>
  <c r="BC39" i="67"/>
  <c r="A40" i="67"/>
  <c r="B40" i="67"/>
  <c r="D40" i="67"/>
  <c r="E40" i="67"/>
  <c r="F40" i="67"/>
  <c r="G40" i="67"/>
  <c r="H40" i="67"/>
  <c r="J40" i="67"/>
  <c r="K40" i="67"/>
  <c r="L40" i="67"/>
  <c r="M40" i="67"/>
  <c r="O40" i="67"/>
  <c r="P40" i="67"/>
  <c r="R40" i="67"/>
  <c r="S40" i="67"/>
  <c r="U40" i="67"/>
  <c r="V40" i="67"/>
  <c r="W40" i="67"/>
  <c r="X40" i="67"/>
  <c r="Z40" i="67"/>
  <c r="AA40" i="67"/>
  <c r="AB40" i="67"/>
  <c r="AC40" i="67"/>
  <c r="AD40" i="67"/>
  <c r="AE40" i="67"/>
  <c r="AF40" i="67"/>
  <c r="AG40" i="67"/>
  <c r="AH40" i="67"/>
  <c r="AI40" i="67"/>
  <c r="AJ40" i="67"/>
  <c r="AK40" i="67"/>
  <c r="AL40" i="67"/>
  <c r="AM40" i="67"/>
  <c r="AN40" i="67"/>
  <c r="AO40" i="67"/>
  <c r="AP40" i="67"/>
  <c r="AQ40" i="67"/>
  <c r="AR40" i="67"/>
  <c r="AS40" i="67"/>
  <c r="AT40" i="67"/>
  <c r="AU40" i="67"/>
  <c r="AW40" i="67"/>
  <c r="AX40" i="67"/>
  <c r="AY40" i="67"/>
  <c r="BA40" i="67"/>
  <c r="BC40" i="67"/>
  <c r="A41" i="67"/>
  <c r="B41" i="67"/>
  <c r="D41" i="67"/>
  <c r="E41" i="67"/>
  <c r="F41" i="67"/>
  <c r="G41" i="67"/>
  <c r="H41" i="67"/>
  <c r="J41" i="67"/>
  <c r="K41" i="67"/>
  <c r="L41" i="67"/>
  <c r="M41" i="67"/>
  <c r="O41" i="67"/>
  <c r="P41" i="67"/>
  <c r="R41" i="67"/>
  <c r="S41" i="67"/>
  <c r="U41" i="67"/>
  <c r="V41" i="67"/>
  <c r="W41" i="67"/>
  <c r="X41" i="67"/>
  <c r="Z41" i="67"/>
  <c r="AA41" i="67"/>
  <c r="AB41" i="67"/>
  <c r="AC41" i="67"/>
  <c r="AD41" i="67"/>
  <c r="AE41" i="67"/>
  <c r="AF41" i="67"/>
  <c r="AG41" i="67"/>
  <c r="AH41" i="67"/>
  <c r="AI41" i="67"/>
  <c r="AJ41" i="67"/>
  <c r="AK41" i="67"/>
  <c r="AL41" i="67"/>
  <c r="AM41" i="67"/>
  <c r="AN41" i="67"/>
  <c r="AO41" i="67"/>
  <c r="AP41" i="67"/>
  <c r="AQ41" i="67"/>
  <c r="AR41" i="67"/>
  <c r="AS41" i="67"/>
  <c r="AT41" i="67"/>
  <c r="AU41" i="67"/>
  <c r="AW41" i="67"/>
  <c r="AX41" i="67"/>
  <c r="AY41" i="67"/>
  <c r="BA41" i="67"/>
  <c r="BC41" i="67"/>
  <c r="A42" i="67"/>
  <c r="B42" i="67"/>
  <c r="D42" i="67"/>
  <c r="E42" i="67"/>
  <c r="F42" i="67"/>
  <c r="G42" i="67"/>
  <c r="H42" i="67"/>
  <c r="J42" i="67"/>
  <c r="K42" i="67"/>
  <c r="L42" i="67"/>
  <c r="M42" i="67"/>
  <c r="O42" i="67"/>
  <c r="P42" i="67"/>
  <c r="R42" i="67"/>
  <c r="S42" i="67"/>
  <c r="U42" i="67"/>
  <c r="V42" i="67"/>
  <c r="W42" i="67"/>
  <c r="X42" i="67"/>
  <c r="Z42" i="67"/>
  <c r="AA42" i="67"/>
  <c r="AB42" i="67"/>
  <c r="AC42" i="67"/>
  <c r="AD42" i="67"/>
  <c r="AE42" i="67"/>
  <c r="AF42" i="67"/>
  <c r="AG42" i="67"/>
  <c r="AH42" i="67"/>
  <c r="AI42" i="67"/>
  <c r="AJ42" i="67"/>
  <c r="AK42" i="67"/>
  <c r="AL42" i="67"/>
  <c r="AM42" i="67"/>
  <c r="AN42" i="67"/>
  <c r="AO42" i="67"/>
  <c r="AP42" i="67"/>
  <c r="AQ42" i="67"/>
  <c r="AR42" i="67"/>
  <c r="AS42" i="67"/>
  <c r="AT42" i="67"/>
  <c r="AU42" i="67"/>
  <c r="AW42" i="67"/>
  <c r="AX42" i="67"/>
  <c r="AY42" i="67"/>
  <c r="BA42" i="67"/>
  <c r="BC42" i="67"/>
  <c r="A43" i="67"/>
  <c r="B43" i="67"/>
  <c r="D43" i="67"/>
  <c r="E43" i="67"/>
  <c r="F43" i="67"/>
  <c r="G43" i="67"/>
  <c r="H43" i="67"/>
  <c r="J43" i="67"/>
  <c r="K43" i="67"/>
  <c r="L43" i="67"/>
  <c r="M43" i="67"/>
  <c r="O43" i="67"/>
  <c r="P43" i="67"/>
  <c r="R43" i="67"/>
  <c r="S43" i="67"/>
  <c r="U43" i="67"/>
  <c r="V43" i="67"/>
  <c r="W43" i="67"/>
  <c r="X43" i="67"/>
  <c r="Z43" i="67"/>
  <c r="AA43" i="67"/>
  <c r="AB43" i="67"/>
  <c r="AC43" i="67"/>
  <c r="AD43" i="67"/>
  <c r="AE43" i="67"/>
  <c r="AF43" i="67"/>
  <c r="AG43" i="67"/>
  <c r="AH43" i="67"/>
  <c r="AI43" i="67"/>
  <c r="AJ43" i="67"/>
  <c r="AK43" i="67"/>
  <c r="AL43" i="67"/>
  <c r="AM43" i="67"/>
  <c r="AN43" i="67"/>
  <c r="AO43" i="67"/>
  <c r="AP43" i="67"/>
  <c r="AQ43" i="67"/>
  <c r="AR43" i="67"/>
  <c r="AS43" i="67"/>
  <c r="AT43" i="67"/>
  <c r="AU43" i="67"/>
  <c r="AW43" i="67"/>
  <c r="AX43" i="67"/>
  <c r="AY43" i="67"/>
  <c r="BA43" i="67"/>
  <c r="BC43" i="67"/>
  <c r="A44" i="67"/>
  <c r="B44" i="67"/>
  <c r="D44" i="67"/>
  <c r="E44" i="67"/>
  <c r="F44" i="67"/>
  <c r="G44" i="67"/>
  <c r="H44" i="67"/>
  <c r="J44" i="67"/>
  <c r="K44" i="67"/>
  <c r="L44" i="67"/>
  <c r="M44" i="67"/>
  <c r="O44" i="67"/>
  <c r="P44" i="67"/>
  <c r="R44" i="67"/>
  <c r="S44" i="67"/>
  <c r="U44" i="67"/>
  <c r="V44" i="67"/>
  <c r="W44" i="67"/>
  <c r="X44" i="67"/>
  <c r="Z44" i="67"/>
  <c r="AA44" i="67"/>
  <c r="AB44" i="67"/>
  <c r="AC44" i="67"/>
  <c r="AD44" i="67"/>
  <c r="AE44" i="67"/>
  <c r="AF44" i="67"/>
  <c r="AG44" i="67"/>
  <c r="AH44" i="67"/>
  <c r="AI44" i="67"/>
  <c r="AJ44" i="67"/>
  <c r="AK44" i="67"/>
  <c r="AL44" i="67"/>
  <c r="AM44" i="67"/>
  <c r="AN44" i="67"/>
  <c r="AO44" i="67"/>
  <c r="AP44" i="67"/>
  <c r="AQ44" i="67"/>
  <c r="AR44" i="67"/>
  <c r="AS44" i="67"/>
  <c r="AT44" i="67"/>
  <c r="AU44" i="67"/>
  <c r="AW44" i="67"/>
  <c r="AX44" i="67"/>
  <c r="AY44" i="67"/>
  <c r="BA44" i="67"/>
  <c r="BC44" i="67"/>
  <c r="A45" i="67"/>
  <c r="B45" i="67"/>
  <c r="D45" i="67"/>
  <c r="E45" i="67"/>
  <c r="F45" i="67"/>
  <c r="G45" i="67"/>
  <c r="H45" i="67"/>
  <c r="J45" i="67"/>
  <c r="K45" i="67"/>
  <c r="L45" i="67"/>
  <c r="M45" i="67"/>
  <c r="O45" i="67"/>
  <c r="P45" i="67"/>
  <c r="R45" i="67"/>
  <c r="S45" i="67"/>
  <c r="U45" i="67"/>
  <c r="V45" i="67"/>
  <c r="W45" i="67"/>
  <c r="X45" i="67"/>
  <c r="Z45" i="67"/>
  <c r="AA45" i="67"/>
  <c r="AB45" i="67"/>
  <c r="AC45" i="67"/>
  <c r="AD45" i="67"/>
  <c r="AE45" i="67"/>
  <c r="AF45" i="67"/>
  <c r="AG45" i="67"/>
  <c r="AH45" i="67"/>
  <c r="AI45" i="67"/>
  <c r="AJ45" i="67"/>
  <c r="AK45" i="67"/>
  <c r="AL45" i="67"/>
  <c r="AM45" i="67"/>
  <c r="AN45" i="67"/>
  <c r="AO45" i="67"/>
  <c r="AP45" i="67"/>
  <c r="AQ45" i="67"/>
  <c r="AR45" i="67"/>
  <c r="AS45" i="67"/>
  <c r="AT45" i="67"/>
  <c r="AU45" i="67"/>
  <c r="AW45" i="67"/>
  <c r="AX45" i="67"/>
  <c r="AY45" i="67"/>
  <c r="BA45" i="67"/>
  <c r="BC45" i="67"/>
  <c r="A46" i="67"/>
  <c r="B46" i="67"/>
  <c r="D46" i="67"/>
  <c r="E46" i="67"/>
  <c r="F46" i="67"/>
  <c r="G46" i="67"/>
  <c r="H46" i="67"/>
  <c r="J46" i="67"/>
  <c r="K46" i="67"/>
  <c r="L46" i="67"/>
  <c r="M46" i="67"/>
  <c r="O46" i="67"/>
  <c r="P46" i="67"/>
  <c r="R46" i="67"/>
  <c r="S46" i="67"/>
  <c r="U46" i="67"/>
  <c r="V46" i="67"/>
  <c r="W46" i="67"/>
  <c r="X46" i="67"/>
  <c r="Z46" i="67"/>
  <c r="AA46" i="67"/>
  <c r="AB46" i="67"/>
  <c r="AC46" i="67"/>
  <c r="AD46" i="67"/>
  <c r="AE46" i="67"/>
  <c r="AF46" i="67"/>
  <c r="AG46" i="67"/>
  <c r="AH46" i="67"/>
  <c r="AI46" i="67"/>
  <c r="AJ46" i="67"/>
  <c r="AK46" i="67"/>
  <c r="AL46" i="67"/>
  <c r="AM46" i="67"/>
  <c r="AN46" i="67"/>
  <c r="AO46" i="67"/>
  <c r="AP46" i="67"/>
  <c r="AQ46" i="67"/>
  <c r="AR46" i="67"/>
  <c r="AS46" i="67"/>
  <c r="AT46" i="67"/>
  <c r="AU46" i="67"/>
  <c r="AW46" i="67"/>
  <c r="AX46" i="67"/>
  <c r="AY46" i="67"/>
  <c r="BA46" i="67"/>
  <c r="BC46" i="67"/>
  <c r="A47" i="67"/>
  <c r="B47" i="67"/>
  <c r="D47" i="67"/>
  <c r="E47" i="67"/>
  <c r="F47" i="67"/>
  <c r="G47" i="67"/>
  <c r="H47" i="67"/>
  <c r="J47" i="67"/>
  <c r="K47" i="67"/>
  <c r="L47" i="67"/>
  <c r="M47" i="67"/>
  <c r="O47" i="67"/>
  <c r="P47" i="67"/>
  <c r="R47" i="67"/>
  <c r="S47" i="67"/>
  <c r="U47" i="67"/>
  <c r="V47" i="67"/>
  <c r="W47" i="67"/>
  <c r="X47" i="67"/>
  <c r="Z47" i="67"/>
  <c r="AA47" i="67"/>
  <c r="AB47" i="67"/>
  <c r="AC47" i="67"/>
  <c r="AD47" i="67"/>
  <c r="AE47" i="67"/>
  <c r="AF47" i="67"/>
  <c r="AG47" i="67"/>
  <c r="AH47" i="67"/>
  <c r="AI47" i="67"/>
  <c r="AJ47" i="67"/>
  <c r="AK47" i="67"/>
  <c r="AL47" i="67"/>
  <c r="AM47" i="67"/>
  <c r="AN47" i="67"/>
  <c r="AO47" i="67"/>
  <c r="AP47" i="67"/>
  <c r="AQ47" i="67"/>
  <c r="AR47" i="67"/>
  <c r="AS47" i="67"/>
  <c r="AT47" i="67"/>
  <c r="AU47" i="67"/>
  <c r="AW47" i="67"/>
  <c r="AX47" i="67"/>
  <c r="AY47" i="67"/>
  <c r="BA47" i="67"/>
  <c r="BC47" i="67"/>
  <c r="A48" i="67"/>
  <c r="B48" i="67"/>
  <c r="D48" i="67"/>
  <c r="E48" i="67"/>
  <c r="F48" i="67"/>
  <c r="G48" i="67"/>
  <c r="H48" i="67"/>
  <c r="J48" i="67"/>
  <c r="K48" i="67"/>
  <c r="L48" i="67"/>
  <c r="M48" i="67"/>
  <c r="O48" i="67"/>
  <c r="P48" i="67"/>
  <c r="R48" i="67"/>
  <c r="S48" i="67"/>
  <c r="U48" i="67"/>
  <c r="V48" i="67"/>
  <c r="W48" i="67"/>
  <c r="X48" i="67"/>
  <c r="Z48" i="67"/>
  <c r="AA48" i="67"/>
  <c r="AB48" i="67"/>
  <c r="AC48" i="67"/>
  <c r="AD48" i="67"/>
  <c r="AE48" i="67"/>
  <c r="AF48" i="67"/>
  <c r="AG48" i="67"/>
  <c r="AH48" i="67"/>
  <c r="AI48" i="67"/>
  <c r="AJ48" i="67"/>
  <c r="AK48" i="67"/>
  <c r="AL48" i="67"/>
  <c r="AM48" i="67"/>
  <c r="AN48" i="67"/>
  <c r="AO48" i="67"/>
  <c r="AP48" i="67"/>
  <c r="AQ48" i="67"/>
  <c r="AR48" i="67"/>
  <c r="AS48" i="67"/>
  <c r="AT48" i="67"/>
  <c r="AU48" i="67"/>
  <c r="AW48" i="67"/>
  <c r="AX48" i="67"/>
  <c r="AY48" i="67"/>
  <c r="BA48" i="67"/>
  <c r="BC48" i="67"/>
  <c r="A49" i="67"/>
  <c r="B49" i="67"/>
  <c r="D49" i="67"/>
  <c r="E49" i="67"/>
  <c r="F49" i="67"/>
  <c r="G49" i="67"/>
  <c r="H49" i="67"/>
  <c r="J49" i="67"/>
  <c r="K49" i="67"/>
  <c r="L49" i="67"/>
  <c r="M49" i="67"/>
  <c r="O49" i="67"/>
  <c r="P49" i="67"/>
  <c r="R49" i="67"/>
  <c r="S49" i="67"/>
  <c r="U49" i="67"/>
  <c r="V49" i="67"/>
  <c r="W49" i="67"/>
  <c r="X49" i="67"/>
  <c r="Z49" i="67"/>
  <c r="AA49" i="67"/>
  <c r="AB49" i="67"/>
  <c r="AC49" i="67"/>
  <c r="AD49" i="67"/>
  <c r="AE49" i="67"/>
  <c r="AF49" i="67"/>
  <c r="AG49" i="67"/>
  <c r="AH49" i="67"/>
  <c r="AI49" i="67"/>
  <c r="AJ49" i="67"/>
  <c r="AK49" i="67"/>
  <c r="AL49" i="67"/>
  <c r="AM49" i="67"/>
  <c r="AN49" i="67"/>
  <c r="AO49" i="67"/>
  <c r="AP49" i="67"/>
  <c r="AQ49" i="67"/>
  <c r="AR49" i="67"/>
  <c r="AS49" i="67"/>
  <c r="AT49" i="67"/>
  <c r="AU49" i="67"/>
  <c r="AW49" i="67"/>
  <c r="AX49" i="67"/>
  <c r="AY49" i="67"/>
  <c r="BA49" i="67"/>
  <c r="BC49" i="67"/>
  <c r="A50" i="67"/>
  <c r="B50" i="67"/>
  <c r="D50" i="67"/>
  <c r="E50" i="67"/>
  <c r="F50" i="67"/>
  <c r="G50" i="67"/>
  <c r="H50" i="67"/>
  <c r="J50" i="67"/>
  <c r="K50" i="67"/>
  <c r="L50" i="67"/>
  <c r="M50" i="67"/>
  <c r="O50" i="67"/>
  <c r="P50" i="67"/>
  <c r="R50" i="67"/>
  <c r="S50" i="67"/>
  <c r="U50" i="67"/>
  <c r="V50" i="67"/>
  <c r="W50" i="67"/>
  <c r="X50" i="67"/>
  <c r="Z50" i="67"/>
  <c r="AA50" i="67"/>
  <c r="AB50" i="67"/>
  <c r="AC50" i="67"/>
  <c r="AD50" i="67"/>
  <c r="AE50" i="67"/>
  <c r="AF50" i="67"/>
  <c r="AG50" i="67"/>
  <c r="AH50" i="67"/>
  <c r="AI50" i="67"/>
  <c r="AJ50" i="67"/>
  <c r="AK50" i="67"/>
  <c r="AL50" i="67"/>
  <c r="AM50" i="67"/>
  <c r="AN50" i="67"/>
  <c r="AO50" i="67"/>
  <c r="AP50" i="67"/>
  <c r="AQ50" i="67"/>
  <c r="AR50" i="67"/>
  <c r="AS50" i="67"/>
  <c r="AT50" i="67"/>
  <c r="AU50" i="67"/>
  <c r="AW50" i="67"/>
  <c r="AX50" i="67"/>
  <c r="AY50" i="67"/>
  <c r="BA50" i="67"/>
  <c r="BC50" i="67"/>
  <c r="A51" i="67"/>
  <c r="B51" i="67"/>
  <c r="D51" i="67"/>
  <c r="E51" i="67"/>
  <c r="F51" i="67"/>
  <c r="G51" i="67"/>
  <c r="H51" i="67"/>
  <c r="J51" i="67"/>
  <c r="K51" i="67"/>
  <c r="L51" i="67"/>
  <c r="M51" i="67"/>
  <c r="O51" i="67"/>
  <c r="P51" i="67"/>
  <c r="R51" i="67"/>
  <c r="S51" i="67"/>
  <c r="U51" i="67"/>
  <c r="V51" i="67"/>
  <c r="W51" i="67"/>
  <c r="X51" i="67"/>
  <c r="Z51" i="67"/>
  <c r="AA51" i="67"/>
  <c r="AB51" i="67"/>
  <c r="AC51" i="67"/>
  <c r="AD51" i="67"/>
  <c r="AE51" i="67"/>
  <c r="AF51" i="67"/>
  <c r="AG51" i="67"/>
  <c r="AH51" i="67"/>
  <c r="AI51" i="67"/>
  <c r="AJ51" i="67"/>
  <c r="AK51" i="67"/>
  <c r="AL51" i="67"/>
  <c r="AM51" i="67"/>
  <c r="AN51" i="67"/>
  <c r="AO51" i="67"/>
  <c r="AP51" i="67"/>
  <c r="AQ51" i="67"/>
  <c r="AR51" i="67"/>
  <c r="AS51" i="67"/>
  <c r="AT51" i="67"/>
  <c r="AU51" i="67"/>
  <c r="AW51" i="67"/>
  <c r="AX51" i="67"/>
  <c r="AY51" i="67"/>
  <c r="BA51" i="67"/>
  <c r="BC51" i="67"/>
  <c r="A52" i="67"/>
  <c r="B52" i="67"/>
  <c r="D52" i="67"/>
  <c r="E52" i="67"/>
  <c r="F52" i="67"/>
  <c r="G52" i="67"/>
  <c r="H52" i="67"/>
  <c r="J52" i="67"/>
  <c r="K52" i="67"/>
  <c r="L52" i="67"/>
  <c r="M52" i="67"/>
  <c r="O52" i="67"/>
  <c r="P52" i="67"/>
  <c r="R52" i="67"/>
  <c r="S52" i="67"/>
  <c r="U52" i="67"/>
  <c r="V52" i="67"/>
  <c r="W52" i="67"/>
  <c r="X52" i="67"/>
  <c r="Z52" i="67"/>
  <c r="AA52" i="67"/>
  <c r="AB52" i="67"/>
  <c r="AC52" i="67"/>
  <c r="AD52" i="67"/>
  <c r="AE52" i="67"/>
  <c r="AF52" i="67"/>
  <c r="AG52" i="67"/>
  <c r="AH52" i="67"/>
  <c r="AI52" i="67"/>
  <c r="AJ52" i="67"/>
  <c r="AK52" i="67"/>
  <c r="AL52" i="67"/>
  <c r="AM52" i="67"/>
  <c r="AN52" i="67"/>
  <c r="AO52" i="67"/>
  <c r="AP52" i="67"/>
  <c r="AQ52" i="67"/>
  <c r="AR52" i="67"/>
  <c r="AS52" i="67"/>
  <c r="AT52" i="67"/>
  <c r="AU52" i="67"/>
  <c r="AW52" i="67"/>
  <c r="AX52" i="67"/>
  <c r="AY52" i="67"/>
  <c r="BA52" i="67"/>
  <c r="BC52" i="67"/>
  <c r="A53" i="67"/>
  <c r="B53" i="67"/>
  <c r="D53" i="67"/>
  <c r="E53" i="67"/>
  <c r="F53" i="67"/>
  <c r="G53" i="67"/>
  <c r="H53" i="67"/>
  <c r="J53" i="67"/>
  <c r="K53" i="67"/>
  <c r="L53" i="67"/>
  <c r="M53" i="67"/>
  <c r="O53" i="67"/>
  <c r="P53" i="67"/>
  <c r="R53" i="67"/>
  <c r="S53" i="67"/>
  <c r="U53" i="67"/>
  <c r="V53" i="67"/>
  <c r="W53" i="67"/>
  <c r="X53" i="67"/>
  <c r="Z53" i="67"/>
  <c r="AA53" i="67"/>
  <c r="AB53" i="67"/>
  <c r="AC53" i="67"/>
  <c r="AD53" i="67"/>
  <c r="AE53" i="67"/>
  <c r="AF53" i="67"/>
  <c r="AG53" i="67"/>
  <c r="AH53" i="67"/>
  <c r="AI53" i="67"/>
  <c r="AJ53" i="67"/>
  <c r="AK53" i="67"/>
  <c r="AL53" i="67"/>
  <c r="AM53" i="67"/>
  <c r="AN53" i="67"/>
  <c r="AO53" i="67"/>
  <c r="AP53" i="67"/>
  <c r="AQ53" i="67"/>
  <c r="AR53" i="67"/>
  <c r="AS53" i="67"/>
  <c r="AT53" i="67"/>
  <c r="AU53" i="67"/>
  <c r="AW53" i="67"/>
  <c r="AX53" i="67"/>
  <c r="AY53" i="67"/>
  <c r="BA53" i="67"/>
  <c r="BC53" i="67"/>
  <c r="A54" i="67"/>
  <c r="B54" i="67"/>
  <c r="D54" i="67"/>
  <c r="E54" i="67"/>
  <c r="F54" i="67"/>
  <c r="G54" i="67"/>
  <c r="H54" i="67"/>
  <c r="J54" i="67"/>
  <c r="K54" i="67"/>
  <c r="L54" i="67"/>
  <c r="M54" i="67"/>
  <c r="O54" i="67"/>
  <c r="P54" i="67"/>
  <c r="R54" i="67"/>
  <c r="S54" i="67"/>
  <c r="U54" i="67"/>
  <c r="V54" i="67"/>
  <c r="W54" i="67"/>
  <c r="X54" i="67"/>
  <c r="Z54" i="67"/>
  <c r="AA54" i="67"/>
  <c r="AB54" i="67"/>
  <c r="AC54" i="67"/>
  <c r="AD54" i="67"/>
  <c r="AE54" i="67"/>
  <c r="AF54" i="67"/>
  <c r="AG54" i="67"/>
  <c r="AH54" i="67"/>
  <c r="AI54" i="67"/>
  <c r="AJ54" i="67"/>
  <c r="AK54" i="67"/>
  <c r="AL54" i="67"/>
  <c r="AM54" i="67"/>
  <c r="AN54" i="67"/>
  <c r="AO54" i="67"/>
  <c r="AP54" i="67"/>
  <c r="AQ54" i="67"/>
  <c r="AR54" i="67"/>
  <c r="AS54" i="67"/>
  <c r="AT54" i="67"/>
  <c r="AU54" i="67"/>
  <c r="AW54" i="67"/>
  <c r="AX54" i="67"/>
  <c r="AY54" i="67"/>
  <c r="BA54" i="67"/>
  <c r="BC54" i="67"/>
  <c r="A55" i="67"/>
  <c r="B55" i="67"/>
  <c r="D55" i="67"/>
  <c r="E55" i="67"/>
  <c r="F55" i="67"/>
  <c r="G55" i="67"/>
  <c r="H55" i="67"/>
  <c r="J55" i="67"/>
  <c r="K55" i="67"/>
  <c r="L55" i="67"/>
  <c r="M55" i="67"/>
  <c r="O55" i="67"/>
  <c r="P55" i="67"/>
  <c r="R55" i="67"/>
  <c r="S55" i="67"/>
  <c r="U55" i="67"/>
  <c r="V55" i="67"/>
  <c r="W55" i="67"/>
  <c r="X55" i="67"/>
  <c r="Z55" i="67"/>
  <c r="AA55" i="67"/>
  <c r="AB55" i="67"/>
  <c r="AC55" i="67"/>
  <c r="AD55" i="67"/>
  <c r="AE55" i="67"/>
  <c r="AF55" i="67"/>
  <c r="AG55" i="67"/>
  <c r="AH55" i="67"/>
  <c r="AI55" i="67"/>
  <c r="AJ55" i="67"/>
  <c r="AK55" i="67"/>
  <c r="AL55" i="67"/>
  <c r="AM55" i="67"/>
  <c r="AN55" i="67"/>
  <c r="AO55" i="67"/>
  <c r="AP55" i="67"/>
  <c r="AQ55" i="67"/>
  <c r="AR55" i="67"/>
  <c r="AS55" i="67"/>
  <c r="AT55" i="67"/>
  <c r="AU55" i="67"/>
  <c r="AW55" i="67"/>
  <c r="AX55" i="67"/>
  <c r="AY55" i="67"/>
  <c r="BA55" i="67"/>
  <c r="BC55" i="67"/>
  <c r="A56" i="67"/>
  <c r="B56" i="67"/>
  <c r="D56" i="67"/>
  <c r="E56" i="67"/>
  <c r="F56" i="67"/>
  <c r="G56" i="67"/>
  <c r="H56" i="67"/>
  <c r="J56" i="67"/>
  <c r="K56" i="67"/>
  <c r="L56" i="67"/>
  <c r="M56" i="67"/>
  <c r="O56" i="67"/>
  <c r="P56" i="67"/>
  <c r="R56" i="67"/>
  <c r="S56" i="67"/>
  <c r="U56" i="67"/>
  <c r="V56" i="67"/>
  <c r="W56" i="67"/>
  <c r="X56" i="67"/>
  <c r="Z56" i="67"/>
  <c r="AA56" i="67"/>
  <c r="AB56" i="67"/>
  <c r="AC56" i="67"/>
  <c r="AD56" i="67"/>
  <c r="AE56" i="67"/>
  <c r="AF56" i="67"/>
  <c r="AG56" i="67"/>
  <c r="AH56" i="67"/>
  <c r="AI56" i="67"/>
  <c r="AJ56" i="67"/>
  <c r="AK56" i="67"/>
  <c r="AL56" i="67"/>
  <c r="AM56" i="67"/>
  <c r="AN56" i="67"/>
  <c r="AO56" i="67"/>
  <c r="AP56" i="67"/>
  <c r="AQ56" i="67"/>
  <c r="AR56" i="67"/>
  <c r="AS56" i="67"/>
  <c r="AT56" i="67"/>
  <c r="AU56" i="67"/>
  <c r="AW56" i="67"/>
  <c r="AX56" i="67"/>
  <c r="AY56" i="67"/>
  <c r="BA56" i="67"/>
  <c r="BC56" i="67"/>
  <c r="A57" i="67"/>
  <c r="B57" i="67"/>
  <c r="D57" i="67"/>
  <c r="E57" i="67"/>
  <c r="F57" i="67"/>
  <c r="G57" i="67"/>
  <c r="H57" i="67"/>
  <c r="J57" i="67"/>
  <c r="K57" i="67"/>
  <c r="L57" i="67"/>
  <c r="M57" i="67"/>
  <c r="O57" i="67"/>
  <c r="P57" i="67"/>
  <c r="R57" i="67"/>
  <c r="S57" i="67"/>
  <c r="U57" i="67"/>
  <c r="V57" i="67"/>
  <c r="W57" i="67"/>
  <c r="X57" i="67"/>
  <c r="Z57" i="67"/>
  <c r="AA57" i="67"/>
  <c r="AB57" i="67"/>
  <c r="AC57" i="67"/>
  <c r="AD57" i="67"/>
  <c r="AE57" i="67"/>
  <c r="AF57" i="67"/>
  <c r="AG57" i="67"/>
  <c r="AH57" i="67"/>
  <c r="AI57" i="67"/>
  <c r="AJ57" i="67"/>
  <c r="AK57" i="67"/>
  <c r="AL57" i="67"/>
  <c r="AM57" i="67"/>
  <c r="AN57" i="67"/>
  <c r="AO57" i="67"/>
  <c r="AP57" i="67"/>
  <c r="AQ57" i="67"/>
  <c r="AR57" i="67"/>
  <c r="AS57" i="67"/>
  <c r="AT57" i="67"/>
  <c r="AU57" i="67"/>
  <c r="AW57" i="67"/>
  <c r="AX57" i="67"/>
  <c r="AY57" i="67"/>
  <c r="BA57" i="67"/>
  <c r="BC57" i="67"/>
  <c r="A58" i="67"/>
  <c r="B58" i="67"/>
  <c r="D58" i="67"/>
  <c r="E58" i="67"/>
  <c r="F58" i="67"/>
  <c r="G58" i="67"/>
  <c r="H58" i="67"/>
  <c r="J58" i="67"/>
  <c r="K58" i="67"/>
  <c r="L58" i="67"/>
  <c r="M58" i="67"/>
  <c r="O58" i="67"/>
  <c r="P58" i="67"/>
  <c r="R58" i="67"/>
  <c r="S58" i="67"/>
  <c r="U58" i="67"/>
  <c r="V58" i="67"/>
  <c r="W58" i="67"/>
  <c r="X58" i="67"/>
  <c r="Z58" i="67"/>
  <c r="AA58" i="67"/>
  <c r="AB58" i="67"/>
  <c r="AC58" i="67"/>
  <c r="AD58" i="67"/>
  <c r="AE58" i="67"/>
  <c r="AF58" i="67"/>
  <c r="AG58" i="67"/>
  <c r="AH58" i="67"/>
  <c r="AI58" i="67"/>
  <c r="AJ58" i="67"/>
  <c r="AK58" i="67"/>
  <c r="AL58" i="67"/>
  <c r="AM58" i="67"/>
  <c r="AN58" i="67"/>
  <c r="AO58" i="67"/>
  <c r="AP58" i="67"/>
  <c r="AQ58" i="67"/>
  <c r="AR58" i="67"/>
  <c r="AS58" i="67"/>
  <c r="AT58" i="67"/>
  <c r="AU58" i="67"/>
  <c r="AW58" i="67"/>
  <c r="AX58" i="67"/>
  <c r="AY58" i="67"/>
  <c r="BA58" i="67"/>
  <c r="BC58" i="67"/>
  <c r="A59" i="67"/>
  <c r="B59" i="67"/>
  <c r="D59" i="67"/>
  <c r="E59" i="67"/>
  <c r="F59" i="67"/>
  <c r="G59" i="67"/>
  <c r="H59" i="67"/>
  <c r="J59" i="67"/>
  <c r="K59" i="67"/>
  <c r="L59" i="67"/>
  <c r="M59" i="67"/>
  <c r="O59" i="67"/>
  <c r="P59" i="67"/>
  <c r="R59" i="67"/>
  <c r="S59" i="67"/>
  <c r="U59" i="67"/>
  <c r="V59" i="67"/>
  <c r="W59" i="67"/>
  <c r="X59" i="67"/>
  <c r="Z59" i="67"/>
  <c r="AA59" i="67"/>
  <c r="AB59" i="67"/>
  <c r="AC59" i="67"/>
  <c r="AD59" i="67"/>
  <c r="AE59" i="67"/>
  <c r="AF59" i="67"/>
  <c r="AG59" i="67"/>
  <c r="AH59" i="67"/>
  <c r="AI59" i="67"/>
  <c r="AJ59" i="67"/>
  <c r="AK59" i="67"/>
  <c r="AL59" i="67"/>
  <c r="AM59" i="67"/>
  <c r="AN59" i="67"/>
  <c r="AO59" i="67"/>
  <c r="AP59" i="67"/>
  <c r="AQ59" i="67"/>
  <c r="AR59" i="67"/>
  <c r="AS59" i="67"/>
  <c r="AT59" i="67"/>
  <c r="AU59" i="67"/>
  <c r="AW59" i="67"/>
  <c r="AX59" i="67"/>
  <c r="AY59" i="67"/>
  <c r="BA59" i="67"/>
  <c r="BC59" i="67"/>
  <c r="A60" i="67"/>
  <c r="B60" i="67"/>
  <c r="D60" i="67"/>
  <c r="E60" i="67"/>
  <c r="F60" i="67"/>
  <c r="G60" i="67"/>
  <c r="H60" i="67"/>
  <c r="J60" i="67"/>
  <c r="K60" i="67"/>
  <c r="L60" i="67"/>
  <c r="M60" i="67"/>
  <c r="O60" i="67"/>
  <c r="P60" i="67"/>
  <c r="R60" i="67"/>
  <c r="S60" i="67"/>
  <c r="U60" i="67"/>
  <c r="V60" i="67"/>
  <c r="W60" i="67"/>
  <c r="X60" i="67"/>
  <c r="Z60" i="67"/>
  <c r="AA60" i="67"/>
  <c r="AB60" i="67"/>
  <c r="AC60" i="67"/>
  <c r="AD60" i="67"/>
  <c r="AE60" i="67"/>
  <c r="AF60" i="67"/>
  <c r="AG60" i="67"/>
  <c r="AH60" i="67"/>
  <c r="AI60" i="67"/>
  <c r="AJ60" i="67"/>
  <c r="AK60" i="67"/>
  <c r="AL60" i="67"/>
  <c r="AM60" i="67"/>
  <c r="AN60" i="67"/>
  <c r="AO60" i="67"/>
  <c r="AP60" i="67"/>
  <c r="AQ60" i="67"/>
  <c r="AR60" i="67"/>
  <c r="AS60" i="67"/>
  <c r="AT60" i="67"/>
  <c r="AU60" i="67"/>
  <c r="AW60" i="67"/>
  <c r="AX60" i="67"/>
  <c r="AY60" i="67"/>
  <c r="BA60" i="67"/>
  <c r="BC60" i="67"/>
  <c r="A61" i="67"/>
  <c r="B61" i="67"/>
  <c r="D61" i="67"/>
  <c r="E61" i="67"/>
  <c r="F61" i="67"/>
  <c r="G61" i="67"/>
  <c r="H61" i="67"/>
  <c r="J61" i="67"/>
  <c r="K61" i="67"/>
  <c r="L61" i="67"/>
  <c r="M61" i="67"/>
  <c r="O61" i="67"/>
  <c r="P61" i="67"/>
  <c r="R61" i="67"/>
  <c r="S61" i="67"/>
  <c r="U61" i="67"/>
  <c r="V61" i="67"/>
  <c r="W61" i="67"/>
  <c r="X61" i="67"/>
  <c r="Z61" i="67"/>
  <c r="AA61" i="67"/>
  <c r="AB61" i="67"/>
  <c r="AC61" i="67"/>
  <c r="AD61" i="67"/>
  <c r="AE61" i="67"/>
  <c r="AF61" i="67"/>
  <c r="AG61" i="67"/>
  <c r="AH61" i="67"/>
  <c r="AI61" i="67"/>
  <c r="AJ61" i="67"/>
  <c r="AK61" i="67"/>
  <c r="AL61" i="67"/>
  <c r="AM61" i="67"/>
  <c r="AN61" i="67"/>
  <c r="AO61" i="67"/>
  <c r="AP61" i="67"/>
  <c r="AQ61" i="67"/>
  <c r="AR61" i="67"/>
  <c r="AS61" i="67"/>
  <c r="AT61" i="67"/>
  <c r="AU61" i="67"/>
  <c r="AW61" i="67"/>
  <c r="AX61" i="67"/>
  <c r="AY61" i="67"/>
  <c r="BA61" i="67"/>
  <c r="BC61" i="67"/>
  <c r="A62" i="67"/>
  <c r="B62" i="67"/>
  <c r="D62" i="67"/>
  <c r="E62" i="67"/>
  <c r="F62" i="67"/>
  <c r="G62" i="67"/>
  <c r="H62" i="67"/>
  <c r="J62" i="67"/>
  <c r="K62" i="67"/>
  <c r="L62" i="67"/>
  <c r="M62" i="67"/>
  <c r="O62" i="67"/>
  <c r="P62" i="67"/>
  <c r="R62" i="67"/>
  <c r="S62" i="67"/>
  <c r="U62" i="67"/>
  <c r="V62" i="67"/>
  <c r="W62" i="67"/>
  <c r="X62" i="67"/>
  <c r="Z62" i="67"/>
  <c r="AA62" i="67"/>
  <c r="AB62" i="67"/>
  <c r="AC62" i="67"/>
  <c r="AD62" i="67"/>
  <c r="AE62" i="67"/>
  <c r="AF62" i="67"/>
  <c r="AG62" i="67"/>
  <c r="AH62" i="67"/>
  <c r="AI62" i="67"/>
  <c r="AJ62" i="67"/>
  <c r="AK62" i="67"/>
  <c r="AL62" i="67"/>
  <c r="AM62" i="67"/>
  <c r="AN62" i="67"/>
  <c r="AO62" i="67"/>
  <c r="AP62" i="67"/>
  <c r="AQ62" i="67"/>
  <c r="AR62" i="67"/>
  <c r="AS62" i="67"/>
  <c r="AT62" i="67"/>
  <c r="AU62" i="67"/>
  <c r="AW62" i="67"/>
  <c r="AX62" i="67"/>
  <c r="AY62" i="67"/>
  <c r="BA62" i="67"/>
  <c r="BC62" i="67"/>
  <c r="A63" i="67"/>
  <c r="B63" i="67"/>
  <c r="D63" i="67"/>
  <c r="E63" i="67"/>
  <c r="F63" i="67"/>
  <c r="G63" i="67"/>
  <c r="H63" i="67"/>
  <c r="J63" i="67"/>
  <c r="K63" i="67"/>
  <c r="L63" i="67"/>
  <c r="M63" i="67"/>
  <c r="O63" i="67"/>
  <c r="P63" i="67"/>
  <c r="R63" i="67"/>
  <c r="S63" i="67"/>
  <c r="U63" i="67"/>
  <c r="V63" i="67"/>
  <c r="W63" i="67"/>
  <c r="X63" i="67"/>
  <c r="Z63" i="67"/>
  <c r="AA63" i="67"/>
  <c r="AB63" i="67"/>
  <c r="AC63" i="67"/>
  <c r="AD63" i="67"/>
  <c r="AE63" i="67"/>
  <c r="AF63" i="67"/>
  <c r="AG63" i="67"/>
  <c r="AH63" i="67"/>
  <c r="AI63" i="67"/>
  <c r="AJ63" i="67"/>
  <c r="AK63" i="67"/>
  <c r="AL63" i="67"/>
  <c r="AM63" i="67"/>
  <c r="AN63" i="67"/>
  <c r="AO63" i="67"/>
  <c r="AP63" i="67"/>
  <c r="AQ63" i="67"/>
  <c r="AR63" i="67"/>
  <c r="AS63" i="67"/>
  <c r="AT63" i="67"/>
  <c r="AU63" i="67"/>
  <c r="AW63" i="67"/>
  <c r="AX63" i="67"/>
  <c r="AY63" i="67"/>
  <c r="BA63" i="67"/>
  <c r="BC63" i="67"/>
  <c r="A64" i="67"/>
  <c r="B64" i="67"/>
  <c r="D64" i="67"/>
  <c r="E64" i="67"/>
  <c r="F64" i="67"/>
  <c r="G64" i="67"/>
  <c r="H64" i="67"/>
  <c r="J64" i="67"/>
  <c r="K64" i="67"/>
  <c r="L64" i="67"/>
  <c r="M64" i="67"/>
  <c r="O64" i="67"/>
  <c r="P64" i="67"/>
  <c r="R64" i="67"/>
  <c r="S64" i="67"/>
  <c r="U64" i="67"/>
  <c r="V64" i="67"/>
  <c r="W64" i="67"/>
  <c r="X64" i="67"/>
  <c r="Z64" i="67"/>
  <c r="AA64" i="67"/>
  <c r="AB64" i="67"/>
  <c r="AC64" i="67"/>
  <c r="AD64" i="67"/>
  <c r="AE64" i="67"/>
  <c r="AF64" i="67"/>
  <c r="AG64" i="67"/>
  <c r="AH64" i="67"/>
  <c r="AI64" i="67"/>
  <c r="AJ64" i="67"/>
  <c r="AK64" i="67"/>
  <c r="AL64" i="67"/>
  <c r="AM64" i="67"/>
  <c r="AN64" i="67"/>
  <c r="AO64" i="67"/>
  <c r="AP64" i="67"/>
  <c r="AQ64" i="67"/>
  <c r="AR64" i="67"/>
  <c r="AS64" i="67"/>
  <c r="AT64" i="67"/>
  <c r="AU64" i="67"/>
  <c r="AW64" i="67"/>
  <c r="AX64" i="67"/>
  <c r="AY64" i="67"/>
  <c r="BA64" i="67"/>
  <c r="BC64" i="67"/>
  <c r="A65" i="67"/>
  <c r="B65" i="67"/>
  <c r="D65" i="67"/>
  <c r="E65" i="67"/>
  <c r="F65" i="67"/>
  <c r="G65" i="67"/>
  <c r="H65" i="67"/>
  <c r="J65" i="67"/>
  <c r="K65" i="67"/>
  <c r="L65" i="67"/>
  <c r="M65" i="67"/>
  <c r="O65" i="67"/>
  <c r="P65" i="67"/>
  <c r="R65" i="67"/>
  <c r="S65" i="67"/>
  <c r="U65" i="67"/>
  <c r="V65" i="67"/>
  <c r="W65" i="67"/>
  <c r="X65" i="67"/>
  <c r="Z65" i="67"/>
  <c r="AA65" i="67"/>
  <c r="AB65" i="67"/>
  <c r="AC65" i="67"/>
  <c r="AD65" i="67"/>
  <c r="AE65" i="67"/>
  <c r="AF65" i="67"/>
  <c r="AG65" i="67"/>
  <c r="AH65" i="67"/>
  <c r="AI65" i="67"/>
  <c r="AJ65" i="67"/>
  <c r="AK65" i="67"/>
  <c r="AL65" i="67"/>
  <c r="AM65" i="67"/>
  <c r="AN65" i="67"/>
  <c r="AO65" i="67"/>
  <c r="AP65" i="67"/>
  <c r="AQ65" i="67"/>
  <c r="AR65" i="67"/>
  <c r="AS65" i="67"/>
  <c r="AT65" i="67"/>
  <c r="AU65" i="67"/>
  <c r="AW65" i="67"/>
  <c r="AX65" i="67"/>
  <c r="AY65" i="67"/>
  <c r="BA65" i="67"/>
  <c r="BC65" i="67"/>
  <c r="A66" i="67"/>
  <c r="B66" i="67"/>
  <c r="D66" i="67"/>
  <c r="E66" i="67"/>
  <c r="F66" i="67"/>
  <c r="G66" i="67"/>
  <c r="H66" i="67"/>
  <c r="J66" i="67"/>
  <c r="K66" i="67"/>
  <c r="L66" i="67"/>
  <c r="M66" i="67"/>
  <c r="O66" i="67"/>
  <c r="P66" i="67"/>
  <c r="R66" i="67"/>
  <c r="S66" i="67"/>
  <c r="U66" i="67"/>
  <c r="V66" i="67"/>
  <c r="W66" i="67"/>
  <c r="X66" i="67"/>
  <c r="Z66" i="67"/>
  <c r="AA66" i="67"/>
  <c r="AB66" i="67"/>
  <c r="AC66" i="67"/>
  <c r="AD66" i="67"/>
  <c r="AE66" i="67"/>
  <c r="AF66" i="67"/>
  <c r="AG66" i="67"/>
  <c r="AH66" i="67"/>
  <c r="AI66" i="67"/>
  <c r="AJ66" i="67"/>
  <c r="AK66" i="67"/>
  <c r="AL66" i="67"/>
  <c r="AM66" i="67"/>
  <c r="AN66" i="67"/>
  <c r="AO66" i="67"/>
  <c r="AP66" i="67"/>
  <c r="AQ66" i="67"/>
  <c r="AR66" i="67"/>
  <c r="AS66" i="67"/>
  <c r="AT66" i="67"/>
  <c r="AU66" i="67"/>
  <c r="AW66" i="67"/>
  <c r="AX66" i="67"/>
  <c r="AY66" i="67"/>
  <c r="BA66" i="67"/>
  <c r="BC66" i="67"/>
  <c r="A67" i="67"/>
  <c r="B67" i="67"/>
  <c r="D67" i="67"/>
  <c r="E67" i="67"/>
  <c r="F67" i="67"/>
  <c r="G67" i="67"/>
  <c r="H67" i="67"/>
  <c r="J67" i="67"/>
  <c r="K67" i="67"/>
  <c r="L67" i="67"/>
  <c r="M67" i="67"/>
  <c r="O67" i="67"/>
  <c r="P67" i="67"/>
  <c r="R67" i="67"/>
  <c r="S67" i="67"/>
  <c r="U67" i="67"/>
  <c r="V67" i="67"/>
  <c r="W67" i="67"/>
  <c r="X67" i="67"/>
  <c r="Z67" i="67"/>
  <c r="AA67" i="67"/>
  <c r="AB67" i="67"/>
  <c r="AC67" i="67"/>
  <c r="AD67" i="67"/>
  <c r="AE67" i="67"/>
  <c r="AF67" i="67"/>
  <c r="AG67" i="67"/>
  <c r="AH67" i="67"/>
  <c r="AI67" i="67"/>
  <c r="AJ67" i="67"/>
  <c r="AK67" i="67"/>
  <c r="AL67" i="67"/>
  <c r="AM67" i="67"/>
  <c r="AN67" i="67"/>
  <c r="AO67" i="67"/>
  <c r="AP67" i="67"/>
  <c r="AQ67" i="67"/>
  <c r="AR67" i="67"/>
  <c r="AS67" i="67"/>
  <c r="AT67" i="67"/>
  <c r="AU67" i="67"/>
  <c r="AW67" i="67"/>
  <c r="AX67" i="67"/>
  <c r="AY67" i="67"/>
  <c r="BA67" i="67"/>
  <c r="BC67" i="67"/>
  <c r="A68" i="67"/>
  <c r="B68" i="67"/>
  <c r="D68" i="67"/>
  <c r="E68" i="67"/>
  <c r="F68" i="67"/>
  <c r="G68" i="67"/>
  <c r="H68" i="67"/>
  <c r="J68" i="67"/>
  <c r="K68" i="67"/>
  <c r="L68" i="67"/>
  <c r="M68" i="67"/>
  <c r="O68" i="67"/>
  <c r="P68" i="67"/>
  <c r="R68" i="67"/>
  <c r="S68" i="67"/>
  <c r="U68" i="67"/>
  <c r="V68" i="67"/>
  <c r="W68" i="67"/>
  <c r="X68" i="67"/>
  <c r="Z68" i="67"/>
  <c r="AA68" i="67"/>
  <c r="AB68" i="67"/>
  <c r="AC68" i="67"/>
  <c r="AD68" i="67"/>
  <c r="AE68" i="67"/>
  <c r="AF68" i="67"/>
  <c r="AG68" i="67"/>
  <c r="AH68" i="67"/>
  <c r="AI68" i="67"/>
  <c r="AJ68" i="67"/>
  <c r="AK68" i="67"/>
  <c r="AL68" i="67"/>
  <c r="AM68" i="67"/>
  <c r="AN68" i="67"/>
  <c r="AO68" i="67"/>
  <c r="AP68" i="67"/>
  <c r="AQ68" i="67"/>
  <c r="AR68" i="67"/>
  <c r="AS68" i="67"/>
  <c r="AT68" i="67"/>
  <c r="AU68" i="67"/>
  <c r="AW68" i="67"/>
  <c r="AX68" i="67"/>
  <c r="AY68" i="67"/>
  <c r="BA68" i="67"/>
  <c r="BC68" i="67"/>
  <c r="A69" i="67"/>
  <c r="B69" i="67"/>
  <c r="D69" i="67"/>
  <c r="E69" i="67"/>
  <c r="F69" i="67"/>
  <c r="G69" i="67"/>
  <c r="H69" i="67"/>
  <c r="J69" i="67"/>
  <c r="K69" i="67"/>
  <c r="L69" i="67"/>
  <c r="M69" i="67"/>
  <c r="O69" i="67"/>
  <c r="P69" i="67"/>
  <c r="R69" i="67"/>
  <c r="S69" i="67"/>
  <c r="U69" i="67"/>
  <c r="V69" i="67"/>
  <c r="W69" i="67"/>
  <c r="X69" i="67"/>
  <c r="Z69" i="67"/>
  <c r="AA69" i="67"/>
  <c r="AB69" i="67"/>
  <c r="AC69" i="67"/>
  <c r="AD69" i="67"/>
  <c r="AE69" i="67"/>
  <c r="AF69" i="67"/>
  <c r="AG69" i="67"/>
  <c r="AH69" i="67"/>
  <c r="AI69" i="67"/>
  <c r="AJ69" i="67"/>
  <c r="AK69" i="67"/>
  <c r="AL69" i="67"/>
  <c r="AM69" i="67"/>
  <c r="AN69" i="67"/>
  <c r="AO69" i="67"/>
  <c r="AP69" i="67"/>
  <c r="AQ69" i="67"/>
  <c r="AR69" i="67"/>
  <c r="AS69" i="67"/>
  <c r="AT69" i="67"/>
  <c r="AU69" i="67"/>
  <c r="AW69" i="67"/>
  <c r="AX69" i="67"/>
  <c r="AY69" i="67"/>
  <c r="BA69" i="67"/>
  <c r="BC69" i="67"/>
  <c r="A70" i="67"/>
  <c r="B70" i="67"/>
  <c r="D70" i="67"/>
  <c r="E70" i="67"/>
  <c r="F70" i="67"/>
  <c r="G70" i="67"/>
  <c r="H70" i="67"/>
  <c r="J70" i="67"/>
  <c r="K70" i="67"/>
  <c r="L70" i="67"/>
  <c r="M70" i="67"/>
  <c r="O70" i="67"/>
  <c r="P70" i="67"/>
  <c r="R70" i="67"/>
  <c r="S70" i="67"/>
  <c r="U70" i="67"/>
  <c r="V70" i="67"/>
  <c r="W70" i="67"/>
  <c r="X70" i="67"/>
  <c r="Z70" i="67"/>
  <c r="AA70" i="67"/>
  <c r="AB70" i="67"/>
  <c r="AC70" i="67"/>
  <c r="AD70" i="67"/>
  <c r="AE70" i="67"/>
  <c r="AF70" i="67"/>
  <c r="AG70" i="67"/>
  <c r="AH70" i="67"/>
  <c r="AI70" i="67"/>
  <c r="AJ70" i="67"/>
  <c r="AK70" i="67"/>
  <c r="AL70" i="67"/>
  <c r="AM70" i="67"/>
  <c r="AN70" i="67"/>
  <c r="AO70" i="67"/>
  <c r="AP70" i="67"/>
  <c r="AQ70" i="67"/>
  <c r="AR70" i="67"/>
  <c r="AS70" i="67"/>
  <c r="AT70" i="67"/>
  <c r="AU70" i="67"/>
  <c r="AW70" i="67"/>
  <c r="AX70" i="67"/>
  <c r="AY70" i="67"/>
  <c r="BA70" i="67"/>
  <c r="BC70" i="67"/>
  <c r="A71" i="67"/>
  <c r="B71" i="67"/>
  <c r="D71" i="67"/>
  <c r="E71" i="67"/>
  <c r="F71" i="67"/>
  <c r="G71" i="67"/>
  <c r="H71" i="67"/>
  <c r="J71" i="67"/>
  <c r="K71" i="67"/>
  <c r="L71" i="67"/>
  <c r="M71" i="67"/>
  <c r="O71" i="67"/>
  <c r="P71" i="67"/>
  <c r="R71" i="67"/>
  <c r="S71" i="67"/>
  <c r="U71" i="67"/>
  <c r="V71" i="67"/>
  <c r="W71" i="67"/>
  <c r="X71" i="67"/>
  <c r="Z71" i="67"/>
  <c r="AA71" i="67"/>
  <c r="AB71" i="67"/>
  <c r="AC71" i="67"/>
  <c r="AD71" i="67"/>
  <c r="AE71" i="67"/>
  <c r="AF71" i="67"/>
  <c r="AG71" i="67"/>
  <c r="AH71" i="67"/>
  <c r="AI71" i="67"/>
  <c r="AJ71" i="67"/>
  <c r="AK71" i="67"/>
  <c r="AL71" i="67"/>
  <c r="AM71" i="67"/>
  <c r="AN71" i="67"/>
  <c r="AO71" i="67"/>
  <c r="AP71" i="67"/>
  <c r="AQ71" i="67"/>
  <c r="AR71" i="67"/>
  <c r="AS71" i="67"/>
  <c r="AT71" i="67"/>
  <c r="AU71" i="67"/>
  <c r="AW71" i="67"/>
  <c r="AX71" i="67"/>
  <c r="AY71" i="67"/>
  <c r="BA71" i="67"/>
  <c r="BC71" i="67"/>
  <c r="A72" i="67"/>
  <c r="B72" i="67"/>
  <c r="D72" i="67"/>
  <c r="E72" i="67"/>
  <c r="F72" i="67"/>
  <c r="G72" i="67"/>
  <c r="H72" i="67"/>
  <c r="J72" i="67"/>
  <c r="K72" i="67"/>
  <c r="L72" i="67"/>
  <c r="M72" i="67"/>
  <c r="O72" i="67"/>
  <c r="P72" i="67"/>
  <c r="R72" i="67"/>
  <c r="S72" i="67"/>
  <c r="U72" i="67"/>
  <c r="V72" i="67"/>
  <c r="W72" i="67"/>
  <c r="X72" i="67"/>
  <c r="Z72" i="67"/>
  <c r="AA72" i="67"/>
  <c r="AB72" i="67"/>
  <c r="AC72" i="67"/>
  <c r="AD72" i="67"/>
  <c r="AE72" i="67"/>
  <c r="AF72" i="67"/>
  <c r="AG72" i="67"/>
  <c r="AH72" i="67"/>
  <c r="AI72" i="67"/>
  <c r="AJ72" i="67"/>
  <c r="AK72" i="67"/>
  <c r="AL72" i="67"/>
  <c r="AM72" i="67"/>
  <c r="AN72" i="67"/>
  <c r="AO72" i="67"/>
  <c r="AP72" i="67"/>
  <c r="AQ72" i="67"/>
  <c r="AR72" i="67"/>
  <c r="AS72" i="67"/>
  <c r="AT72" i="67"/>
  <c r="AU72" i="67"/>
  <c r="AW72" i="67"/>
  <c r="AX72" i="67"/>
  <c r="AY72" i="67"/>
  <c r="BA72" i="67"/>
  <c r="BC72" i="67"/>
  <c r="A73" i="67"/>
  <c r="B73" i="67"/>
  <c r="D73" i="67"/>
  <c r="E73" i="67"/>
  <c r="F73" i="67"/>
  <c r="G73" i="67"/>
  <c r="H73" i="67"/>
  <c r="J73" i="67"/>
  <c r="K73" i="67"/>
  <c r="L73" i="67"/>
  <c r="M73" i="67"/>
  <c r="O73" i="67"/>
  <c r="P73" i="67"/>
  <c r="R73" i="67"/>
  <c r="S73" i="67"/>
  <c r="U73" i="67"/>
  <c r="V73" i="67"/>
  <c r="W73" i="67"/>
  <c r="X73" i="67"/>
  <c r="Z73" i="67"/>
  <c r="AA73" i="67"/>
  <c r="AB73" i="67"/>
  <c r="AC73" i="67"/>
  <c r="AD73" i="67"/>
  <c r="AE73" i="67"/>
  <c r="AF73" i="67"/>
  <c r="AG73" i="67"/>
  <c r="AH73" i="67"/>
  <c r="AI73" i="67"/>
  <c r="AJ73" i="67"/>
  <c r="AK73" i="67"/>
  <c r="AL73" i="67"/>
  <c r="AM73" i="67"/>
  <c r="AN73" i="67"/>
  <c r="AO73" i="67"/>
  <c r="AP73" i="67"/>
  <c r="AQ73" i="67"/>
  <c r="AR73" i="67"/>
  <c r="AS73" i="67"/>
  <c r="AT73" i="67"/>
  <c r="AU73" i="67"/>
  <c r="AW73" i="67"/>
  <c r="AX73" i="67"/>
  <c r="AY73" i="67"/>
  <c r="BA73" i="67"/>
  <c r="BC73" i="67"/>
  <c r="A74" i="67"/>
  <c r="B74" i="67"/>
  <c r="D74" i="67"/>
  <c r="E74" i="67"/>
  <c r="F74" i="67"/>
  <c r="G74" i="67"/>
  <c r="H74" i="67"/>
  <c r="J74" i="67"/>
  <c r="K74" i="67"/>
  <c r="L74" i="67"/>
  <c r="M74" i="67"/>
  <c r="O74" i="67"/>
  <c r="P74" i="67"/>
  <c r="R74" i="67"/>
  <c r="S74" i="67"/>
  <c r="U74" i="67"/>
  <c r="V74" i="67"/>
  <c r="W74" i="67"/>
  <c r="X74" i="67"/>
  <c r="Z74" i="67"/>
  <c r="AA74" i="67"/>
  <c r="AB74" i="67"/>
  <c r="AC74" i="67"/>
  <c r="AD74" i="67"/>
  <c r="AE74" i="67"/>
  <c r="AF74" i="67"/>
  <c r="AG74" i="67"/>
  <c r="AH74" i="67"/>
  <c r="AI74" i="67"/>
  <c r="AJ74" i="67"/>
  <c r="AK74" i="67"/>
  <c r="AL74" i="67"/>
  <c r="AM74" i="67"/>
  <c r="AN74" i="67"/>
  <c r="AO74" i="67"/>
  <c r="AP74" i="67"/>
  <c r="AQ74" i="67"/>
  <c r="AR74" i="67"/>
  <c r="AS74" i="67"/>
  <c r="AT74" i="67"/>
  <c r="AU74" i="67"/>
  <c r="AW74" i="67"/>
  <c r="AX74" i="67"/>
  <c r="AY74" i="67"/>
  <c r="BA74" i="67"/>
  <c r="BC74" i="67"/>
  <c r="A75" i="67"/>
  <c r="B75" i="67"/>
  <c r="D75" i="67"/>
  <c r="E75" i="67"/>
  <c r="F75" i="67"/>
  <c r="G75" i="67"/>
  <c r="H75" i="67"/>
  <c r="J75" i="67"/>
  <c r="K75" i="67"/>
  <c r="L75" i="67"/>
  <c r="M75" i="67"/>
  <c r="O75" i="67"/>
  <c r="P75" i="67"/>
  <c r="R75" i="67"/>
  <c r="S75" i="67"/>
  <c r="U75" i="67"/>
  <c r="V75" i="67"/>
  <c r="W75" i="67"/>
  <c r="X75" i="67"/>
  <c r="Z75" i="67"/>
  <c r="AA75" i="67"/>
  <c r="AB75" i="67"/>
  <c r="AC75" i="67"/>
  <c r="AD75" i="67"/>
  <c r="AE75" i="67"/>
  <c r="AF75" i="67"/>
  <c r="AG75" i="67"/>
  <c r="AH75" i="67"/>
  <c r="AI75" i="67"/>
  <c r="AJ75" i="67"/>
  <c r="AK75" i="67"/>
  <c r="AL75" i="67"/>
  <c r="AM75" i="67"/>
  <c r="AN75" i="67"/>
  <c r="AO75" i="67"/>
  <c r="AP75" i="67"/>
  <c r="AQ75" i="67"/>
  <c r="AR75" i="67"/>
  <c r="AS75" i="67"/>
  <c r="AT75" i="67"/>
  <c r="AU75" i="67"/>
  <c r="AW75" i="67"/>
  <c r="AX75" i="67"/>
  <c r="AY75" i="67"/>
  <c r="BA75" i="67"/>
  <c r="BC75" i="67"/>
  <c r="A76" i="67"/>
  <c r="B76" i="67"/>
  <c r="D76" i="67"/>
  <c r="E76" i="67"/>
  <c r="F76" i="67"/>
  <c r="G76" i="67"/>
  <c r="H76" i="67"/>
  <c r="J76" i="67"/>
  <c r="K76" i="67"/>
  <c r="L76" i="67"/>
  <c r="M76" i="67"/>
  <c r="O76" i="67"/>
  <c r="P76" i="67"/>
  <c r="R76" i="67"/>
  <c r="S76" i="67"/>
  <c r="U76" i="67"/>
  <c r="V76" i="67"/>
  <c r="W76" i="67"/>
  <c r="X76" i="67"/>
  <c r="Z76" i="67"/>
  <c r="AA76" i="67"/>
  <c r="AB76" i="67"/>
  <c r="AC76" i="67"/>
  <c r="AD76" i="67"/>
  <c r="AE76" i="67"/>
  <c r="AF76" i="67"/>
  <c r="AG76" i="67"/>
  <c r="AH76" i="67"/>
  <c r="AI76" i="67"/>
  <c r="AJ76" i="67"/>
  <c r="AK76" i="67"/>
  <c r="AL76" i="67"/>
  <c r="AM76" i="67"/>
  <c r="AN76" i="67"/>
  <c r="AO76" i="67"/>
  <c r="AP76" i="67"/>
  <c r="AQ76" i="67"/>
  <c r="AR76" i="67"/>
  <c r="AS76" i="67"/>
  <c r="AT76" i="67"/>
  <c r="AU76" i="67"/>
  <c r="AW76" i="67"/>
  <c r="AX76" i="67"/>
  <c r="AY76" i="67"/>
  <c r="BA76" i="67"/>
  <c r="BC76" i="67"/>
  <c r="A77" i="67"/>
  <c r="B77" i="67"/>
  <c r="D77" i="67"/>
  <c r="E77" i="67"/>
  <c r="F77" i="67"/>
  <c r="G77" i="67"/>
  <c r="H77" i="67"/>
  <c r="J77" i="67"/>
  <c r="K77" i="67"/>
  <c r="L77" i="67"/>
  <c r="M77" i="67"/>
  <c r="O77" i="67"/>
  <c r="P77" i="67"/>
  <c r="R77" i="67"/>
  <c r="S77" i="67"/>
  <c r="U77" i="67"/>
  <c r="V77" i="67"/>
  <c r="W77" i="67"/>
  <c r="X77" i="67"/>
  <c r="Z77" i="67"/>
  <c r="AA77" i="67"/>
  <c r="AB77" i="67"/>
  <c r="AC77" i="67"/>
  <c r="AD77" i="67"/>
  <c r="AE77" i="67"/>
  <c r="AF77" i="67"/>
  <c r="AG77" i="67"/>
  <c r="AH77" i="67"/>
  <c r="AI77" i="67"/>
  <c r="AJ77" i="67"/>
  <c r="AK77" i="67"/>
  <c r="AL77" i="67"/>
  <c r="AM77" i="67"/>
  <c r="AN77" i="67"/>
  <c r="AO77" i="67"/>
  <c r="AP77" i="67"/>
  <c r="AQ77" i="67"/>
  <c r="AR77" i="67"/>
  <c r="AS77" i="67"/>
  <c r="AT77" i="67"/>
  <c r="AU77" i="67"/>
  <c r="AW77" i="67"/>
  <c r="AX77" i="67"/>
  <c r="AY77" i="67"/>
  <c r="BA77" i="67"/>
  <c r="BC77" i="67"/>
  <c r="A78" i="67"/>
  <c r="B78" i="67"/>
  <c r="D78" i="67"/>
  <c r="E78" i="67"/>
  <c r="F78" i="67"/>
  <c r="G78" i="67"/>
  <c r="H78" i="67"/>
  <c r="J78" i="67"/>
  <c r="K78" i="67"/>
  <c r="L78" i="67"/>
  <c r="M78" i="67"/>
  <c r="O78" i="67"/>
  <c r="P78" i="67"/>
  <c r="R78" i="67"/>
  <c r="S78" i="67"/>
  <c r="U78" i="67"/>
  <c r="V78" i="67"/>
  <c r="W78" i="67"/>
  <c r="X78" i="67"/>
  <c r="Z78" i="67"/>
  <c r="AA78" i="67"/>
  <c r="AB78" i="67"/>
  <c r="AC78" i="67"/>
  <c r="AD78" i="67"/>
  <c r="AE78" i="67"/>
  <c r="AF78" i="67"/>
  <c r="AG78" i="67"/>
  <c r="AH78" i="67"/>
  <c r="AI78" i="67"/>
  <c r="AJ78" i="67"/>
  <c r="AK78" i="67"/>
  <c r="AL78" i="67"/>
  <c r="AM78" i="67"/>
  <c r="AN78" i="67"/>
  <c r="AO78" i="67"/>
  <c r="AP78" i="67"/>
  <c r="AQ78" i="67"/>
  <c r="AR78" i="67"/>
  <c r="AS78" i="67"/>
  <c r="AT78" i="67"/>
  <c r="AU78" i="67"/>
  <c r="AW78" i="67"/>
  <c r="AX78" i="67"/>
  <c r="AY78" i="67"/>
  <c r="BA78" i="67"/>
  <c r="BC78" i="67"/>
  <c r="A79" i="67"/>
  <c r="B79" i="67"/>
  <c r="D79" i="67"/>
  <c r="E79" i="67"/>
  <c r="F79" i="67"/>
  <c r="G79" i="67"/>
  <c r="H79" i="67"/>
  <c r="J79" i="67"/>
  <c r="K79" i="67"/>
  <c r="L79" i="67"/>
  <c r="M79" i="67"/>
  <c r="O79" i="67"/>
  <c r="P79" i="67"/>
  <c r="R79" i="67"/>
  <c r="S79" i="67"/>
  <c r="U79" i="67"/>
  <c r="V79" i="67"/>
  <c r="W79" i="67"/>
  <c r="X79" i="67"/>
  <c r="Z79" i="67"/>
  <c r="AA79" i="67"/>
  <c r="AB79" i="67"/>
  <c r="AC79" i="67"/>
  <c r="AD79" i="67"/>
  <c r="AE79" i="67"/>
  <c r="AF79" i="67"/>
  <c r="AG79" i="67"/>
  <c r="AH79" i="67"/>
  <c r="AI79" i="67"/>
  <c r="AJ79" i="67"/>
  <c r="AK79" i="67"/>
  <c r="AL79" i="67"/>
  <c r="AM79" i="67"/>
  <c r="AN79" i="67"/>
  <c r="AO79" i="67"/>
  <c r="AP79" i="67"/>
  <c r="AQ79" i="67"/>
  <c r="AR79" i="67"/>
  <c r="AS79" i="67"/>
  <c r="AT79" i="67"/>
  <c r="AU79" i="67"/>
  <c r="AW79" i="67"/>
  <c r="AX79" i="67"/>
  <c r="AY79" i="67"/>
  <c r="BA79" i="67"/>
  <c r="BC79" i="67"/>
  <c r="A80" i="67"/>
  <c r="B80" i="67"/>
  <c r="D80" i="67"/>
  <c r="E80" i="67"/>
  <c r="F80" i="67"/>
  <c r="G80" i="67"/>
  <c r="H80" i="67"/>
  <c r="J80" i="67"/>
  <c r="K80" i="67"/>
  <c r="L80" i="67"/>
  <c r="M80" i="67"/>
  <c r="O80" i="67"/>
  <c r="P80" i="67"/>
  <c r="R80" i="67"/>
  <c r="S80" i="67"/>
  <c r="U80" i="67"/>
  <c r="V80" i="67"/>
  <c r="W80" i="67"/>
  <c r="X80" i="67"/>
  <c r="Z80" i="67"/>
  <c r="AA80" i="67"/>
  <c r="AB80" i="67"/>
  <c r="AC80" i="67"/>
  <c r="AD80" i="67"/>
  <c r="AE80" i="67"/>
  <c r="AF80" i="67"/>
  <c r="AG80" i="67"/>
  <c r="AH80" i="67"/>
  <c r="AI80" i="67"/>
  <c r="AJ80" i="67"/>
  <c r="AK80" i="67"/>
  <c r="AL80" i="67"/>
  <c r="AM80" i="67"/>
  <c r="AN80" i="67"/>
  <c r="AO80" i="67"/>
  <c r="AP80" i="67"/>
  <c r="AQ80" i="67"/>
  <c r="AR80" i="67"/>
  <c r="AS80" i="67"/>
  <c r="AT80" i="67"/>
  <c r="AU80" i="67"/>
  <c r="AW80" i="67"/>
  <c r="AX80" i="67"/>
  <c r="AY80" i="67"/>
  <c r="BA80" i="67"/>
  <c r="BC80" i="67"/>
  <c r="A81" i="67"/>
  <c r="B81" i="67"/>
  <c r="D81" i="67"/>
  <c r="E81" i="67"/>
  <c r="F81" i="67"/>
  <c r="G81" i="67"/>
  <c r="H81" i="67"/>
  <c r="J81" i="67"/>
  <c r="K81" i="67"/>
  <c r="L81" i="67"/>
  <c r="M81" i="67"/>
  <c r="O81" i="67"/>
  <c r="P81" i="67"/>
  <c r="R81" i="67"/>
  <c r="S81" i="67"/>
  <c r="U81" i="67"/>
  <c r="V81" i="67"/>
  <c r="W81" i="67"/>
  <c r="X81" i="67"/>
  <c r="Z81" i="67"/>
  <c r="AA81" i="67"/>
  <c r="AB81" i="67"/>
  <c r="AC81" i="67"/>
  <c r="AD81" i="67"/>
  <c r="AE81" i="67"/>
  <c r="AF81" i="67"/>
  <c r="AG81" i="67"/>
  <c r="AH81" i="67"/>
  <c r="AI81" i="67"/>
  <c r="AJ81" i="67"/>
  <c r="AK81" i="67"/>
  <c r="AL81" i="67"/>
  <c r="AM81" i="67"/>
  <c r="AN81" i="67"/>
  <c r="AO81" i="67"/>
  <c r="AP81" i="67"/>
  <c r="AQ81" i="67"/>
  <c r="AR81" i="67"/>
  <c r="AS81" i="67"/>
  <c r="AT81" i="67"/>
  <c r="AU81" i="67"/>
  <c r="AW81" i="67"/>
  <c r="AX81" i="67"/>
  <c r="AY81" i="67"/>
  <c r="BA81" i="67"/>
  <c r="BC81" i="67"/>
  <c r="A82" i="67"/>
  <c r="B82" i="67"/>
  <c r="D82" i="67"/>
  <c r="E82" i="67"/>
  <c r="F82" i="67"/>
  <c r="G82" i="67"/>
  <c r="H82" i="67"/>
  <c r="J82" i="67"/>
  <c r="K82" i="67"/>
  <c r="L82" i="67"/>
  <c r="M82" i="67"/>
  <c r="O82" i="67"/>
  <c r="P82" i="67"/>
  <c r="R82" i="67"/>
  <c r="S82" i="67"/>
  <c r="U82" i="67"/>
  <c r="V82" i="67"/>
  <c r="W82" i="67"/>
  <c r="X82" i="67"/>
  <c r="Z82" i="67"/>
  <c r="AA82" i="67"/>
  <c r="AB82" i="67"/>
  <c r="AC82" i="67"/>
  <c r="AD82" i="67"/>
  <c r="AE82" i="67"/>
  <c r="AF82" i="67"/>
  <c r="AG82" i="67"/>
  <c r="AH82" i="67"/>
  <c r="AI82" i="67"/>
  <c r="AJ82" i="67"/>
  <c r="AK82" i="67"/>
  <c r="AL82" i="67"/>
  <c r="AM82" i="67"/>
  <c r="AN82" i="67"/>
  <c r="AO82" i="67"/>
  <c r="AP82" i="67"/>
  <c r="AQ82" i="67"/>
  <c r="AR82" i="67"/>
  <c r="AS82" i="67"/>
  <c r="AT82" i="67"/>
  <c r="AU82" i="67"/>
  <c r="AW82" i="67"/>
  <c r="AX82" i="67"/>
  <c r="AY82" i="67"/>
  <c r="BA82" i="67"/>
  <c r="BC82" i="67"/>
  <c r="A83" i="67"/>
  <c r="B83" i="67"/>
  <c r="D83" i="67"/>
  <c r="E83" i="67"/>
  <c r="F83" i="67"/>
  <c r="G83" i="67"/>
  <c r="H83" i="67"/>
  <c r="J83" i="67"/>
  <c r="K83" i="67"/>
  <c r="L83" i="67"/>
  <c r="M83" i="67"/>
  <c r="O83" i="67"/>
  <c r="P83" i="67"/>
  <c r="R83" i="67"/>
  <c r="S83" i="67"/>
  <c r="U83" i="67"/>
  <c r="V83" i="67"/>
  <c r="W83" i="67"/>
  <c r="X83" i="67"/>
  <c r="Z83" i="67"/>
  <c r="AA83" i="67"/>
  <c r="AB83" i="67"/>
  <c r="AC83" i="67"/>
  <c r="AD83" i="67"/>
  <c r="AE83" i="67"/>
  <c r="AF83" i="67"/>
  <c r="AG83" i="67"/>
  <c r="AH83" i="67"/>
  <c r="AI83" i="67"/>
  <c r="AJ83" i="67"/>
  <c r="AK83" i="67"/>
  <c r="AL83" i="67"/>
  <c r="AM83" i="67"/>
  <c r="AN83" i="67"/>
  <c r="AO83" i="67"/>
  <c r="AP83" i="67"/>
  <c r="AQ83" i="67"/>
  <c r="AR83" i="67"/>
  <c r="AS83" i="67"/>
  <c r="AT83" i="67"/>
  <c r="AU83" i="67"/>
  <c r="AW83" i="67"/>
  <c r="AX83" i="67"/>
  <c r="AY83" i="67"/>
  <c r="BA83" i="67"/>
  <c r="BC83" i="67"/>
  <c r="A84" i="67"/>
  <c r="B84" i="67"/>
  <c r="D84" i="67"/>
  <c r="E84" i="67"/>
  <c r="F84" i="67"/>
  <c r="G84" i="67"/>
  <c r="H84" i="67"/>
  <c r="J84" i="67"/>
  <c r="K84" i="67"/>
  <c r="L84" i="67"/>
  <c r="M84" i="67"/>
  <c r="O84" i="67"/>
  <c r="P84" i="67"/>
  <c r="R84" i="67"/>
  <c r="S84" i="67"/>
  <c r="U84" i="67"/>
  <c r="V84" i="67"/>
  <c r="W84" i="67"/>
  <c r="X84" i="67"/>
  <c r="Z84" i="67"/>
  <c r="AA84" i="67"/>
  <c r="AB84" i="67"/>
  <c r="AC84" i="67"/>
  <c r="AD84" i="67"/>
  <c r="AE84" i="67"/>
  <c r="AF84" i="67"/>
  <c r="AG84" i="67"/>
  <c r="AH84" i="67"/>
  <c r="AI84" i="67"/>
  <c r="AJ84" i="67"/>
  <c r="AK84" i="67"/>
  <c r="AL84" i="67"/>
  <c r="AM84" i="67"/>
  <c r="AN84" i="67"/>
  <c r="AO84" i="67"/>
  <c r="AP84" i="67"/>
  <c r="AQ84" i="67"/>
  <c r="AR84" i="67"/>
  <c r="AS84" i="67"/>
  <c r="AT84" i="67"/>
  <c r="AU84" i="67"/>
  <c r="AW84" i="67"/>
  <c r="AX84" i="67"/>
  <c r="AY84" i="67"/>
  <c r="BA84" i="67"/>
  <c r="BC84" i="67"/>
  <c r="A85" i="67"/>
  <c r="B85" i="67"/>
  <c r="D85" i="67"/>
  <c r="E85" i="67"/>
  <c r="F85" i="67"/>
  <c r="G85" i="67"/>
  <c r="H85" i="67"/>
  <c r="J85" i="67"/>
  <c r="K85" i="67"/>
  <c r="L85" i="67"/>
  <c r="M85" i="67"/>
  <c r="O85" i="67"/>
  <c r="P85" i="67"/>
  <c r="R85" i="67"/>
  <c r="S85" i="67"/>
  <c r="U85" i="67"/>
  <c r="V85" i="67"/>
  <c r="W85" i="67"/>
  <c r="X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AL85" i="67"/>
  <c r="AM85" i="67"/>
  <c r="AN85" i="67"/>
  <c r="AO85" i="67"/>
  <c r="AP85" i="67"/>
  <c r="AQ85" i="67"/>
  <c r="AR85" i="67"/>
  <c r="AS85" i="67"/>
  <c r="AT85" i="67"/>
  <c r="AU85" i="67"/>
  <c r="AW85" i="67"/>
  <c r="AX85" i="67"/>
  <c r="AY85" i="67"/>
  <c r="BA85" i="67"/>
  <c r="BC85" i="67"/>
  <c r="A86" i="67"/>
  <c r="B86" i="67"/>
  <c r="D86" i="67"/>
  <c r="E86" i="67"/>
  <c r="F86" i="67"/>
  <c r="G86" i="67"/>
  <c r="H86" i="67"/>
  <c r="J86" i="67"/>
  <c r="K86" i="67"/>
  <c r="L86" i="67"/>
  <c r="M86" i="67"/>
  <c r="O86" i="67"/>
  <c r="P86" i="67"/>
  <c r="R86" i="67"/>
  <c r="S86" i="67"/>
  <c r="U86" i="67"/>
  <c r="V86" i="67"/>
  <c r="W86" i="67"/>
  <c r="X86" i="67"/>
  <c r="Z86" i="67"/>
  <c r="AA86" i="67"/>
  <c r="AB86" i="67"/>
  <c r="AC86" i="67"/>
  <c r="AD86" i="67"/>
  <c r="AE86" i="67"/>
  <c r="AF86" i="67"/>
  <c r="AG86" i="67"/>
  <c r="AH86" i="67"/>
  <c r="AI86" i="67"/>
  <c r="AJ86" i="67"/>
  <c r="AK86" i="67"/>
  <c r="AL86" i="67"/>
  <c r="AM86" i="67"/>
  <c r="AN86" i="67"/>
  <c r="AO86" i="67"/>
  <c r="AP86" i="67"/>
  <c r="AQ86" i="67"/>
  <c r="AR86" i="67"/>
  <c r="AS86" i="67"/>
  <c r="AT86" i="67"/>
  <c r="AU86" i="67"/>
  <c r="AW86" i="67"/>
  <c r="AX86" i="67"/>
  <c r="AY86" i="67"/>
  <c r="BA86" i="67"/>
  <c r="BC86" i="67"/>
  <c r="A87" i="67"/>
  <c r="B87" i="67"/>
  <c r="D87" i="67"/>
  <c r="E87" i="67"/>
  <c r="F87" i="67"/>
  <c r="G87" i="67"/>
  <c r="H87" i="67"/>
  <c r="J87" i="67"/>
  <c r="K87" i="67"/>
  <c r="L87" i="67"/>
  <c r="M87" i="67"/>
  <c r="O87" i="67"/>
  <c r="P87" i="67"/>
  <c r="R87" i="67"/>
  <c r="S87" i="67"/>
  <c r="U87" i="67"/>
  <c r="V87" i="67"/>
  <c r="W87" i="67"/>
  <c r="X87" i="67"/>
  <c r="Z87" i="67"/>
  <c r="AA87" i="67"/>
  <c r="AB87" i="67"/>
  <c r="AC87" i="67"/>
  <c r="AD87" i="67"/>
  <c r="AE87" i="67"/>
  <c r="AF87" i="67"/>
  <c r="AG87" i="67"/>
  <c r="AH87" i="67"/>
  <c r="AI87" i="67"/>
  <c r="AJ87" i="67"/>
  <c r="AK87" i="67"/>
  <c r="AL87" i="67"/>
  <c r="AM87" i="67"/>
  <c r="AN87" i="67"/>
  <c r="AO87" i="67"/>
  <c r="AP87" i="67"/>
  <c r="AQ87" i="67"/>
  <c r="AR87" i="67"/>
  <c r="AS87" i="67"/>
  <c r="AT87" i="67"/>
  <c r="AU87" i="67"/>
  <c r="AW87" i="67"/>
  <c r="AX87" i="67"/>
  <c r="AY87" i="67"/>
  <c r="BA87" i="67"/>
  <c r="BC87" i="67"/>
  <c r="A88" i="67"/>
  <c r="B88" i="67"/>
  <c r="D88" i="67"/>
  <c r="E88" i="67"/>
  <c r="F88" i="67"/>
  <c r="G88" i="67"/>
  <c r="H88" i="67"/>
  <c r="J88" i="67"/>
  <c r="K88" i="67"/>
  <c r="L88" i="67"/>
  <c r="M88" i="67"/>
  <c r="O88" i="67"/>
  <c r="P88" i="67"/>
  <c r="R88" i="67"/>
  <c r="S88" i="67"/>
  <c r="U88" i="67"/>
  <c r="V88" i="67"/>
  <c r="W88" i="67"/>
  <c r="X88" i="67"/>
  <c r="Z88" i="67"/>
  <c r="AA88" i="67"/>
  <c r="AB88" i="67"/>
  <c r="AC88" i="67"/>
  <c r="AD88" i="67"/>
  <c r="AE88" i="67"/>
  <c r="AF88" i="67"/>
  <c r="AG88" i="67"/>
  <c r="AH88" i="67"/>
  <c r="AI88" i="67"/>
  <c r="AJ88" i="67"/>
  <c r="AK88" i="67"/>
  <c r="AL88" i="67"/>
  <c r="AM88" i="67"/>
  <c r="AN88" i="67"/>
  <c r="AO88" i="67"/>
  <c r="AP88" i="67"/>
  <c r="AQ88" i="67"/>
  <c r="AR88" i="67"/>
  <c r="AS88" i="67"/>
  <c r="AT88" i="67"/>
  <c r="AU88" i="67"/>
  <c r="AW88" i="67"/>
  <c r="AX88" i="67"/>
  <c r="AY88" i="67"/>
  <c r="BA88" i="67"/>
  <c r="BC88" i="67"/>
  <c r="A89" i="67"/>
  <c r="B89" i="67"/>
  <c r="D89" i="67"/>
  <c r="E89" i="67"/>
  <c r="F89" i="67"/>
  <c r="G89" i="67"/>
  <c r="H89" i="67"/>
  <c r="J89" i="67"/>
  <c r="K89" i="67"/>
  <c r="L89" i="67"/>
  <c r="M89" i="67"/>
  <c r="O89" i="67"/>
  <c r="P89" i="67"/>
  <c r="R89" i="67"/>
  <c r="S89" i="67"/>
  <c r="U89" i="67"/>
  <c r="V89" i="67"/>
  <c r="W89" i="67"/>
  <c r="X89" i="67"/>
  <c r="Z89" i="67"/>
  <c r="AA89" i="67"/>
  <c r="AB89" i="67"/>
  <c r="AC89" i="67"/>
  <c r="AD89" i="67"/>
  <c r="AE89" i="67"/>
  <c r="AF89" i="67"/>
  <c r="AG89" i="67"/>
  <c r="AH89" i="67"/>
  <c r="AI89" i="67"/>
  <c r="AJ89" i="67"/>
  <c r="AK89" i="67"/>
  <c r="AL89" i="67"/>
  <c r="AM89" i="67"/>
  <c r="AN89" i="67"/>
  <c r="AO89" i="67"/>
  <c r="AP89" i="67"/>
  <c r="AQ89" i="67"/>
  <c r="AR89" i="67"/>
  <c r="AS89" i="67"/>
  <c r="AT89" i="67"/>
  <c r="AU89" i="67"/>
  <c r="AW89" i="67"/>
  <c r="AX89" i="67"/>
  <c r="AY89" i="67"/>
  <c r="BA89" i="67"/>
  <c r="BC89" i="67"/>
  <c r="A90" i="67"/>
  <c r="B90" i="67"/>
  <c r="D90" i="67"/>
  <c r="E90" i="67"/>
  <c r="F90" i="67"/>
  <c r="G90" i="67"/>
  <c r="H90" i="67"/>
  <c r="J90" i="67"/>
  <c r="K90" i="67"/>
  <c r="L90" i="67"/>
  <c r="M90" i="67"/>
  <c r="O90" i="67"/>
  <c r="P90" i="67"/>
  <c r="R90" i="67"/>
  <c r="S90" i="67"/>
  <c r="U90" i="67"/>
  <c r="V90" i="67"/>
  <c r="W90" i="67"/>
  <c r="X90" i="67"/>
  <c r="Z90" i="67"/>
  <c r="AA90" i="67"/>
  <c r="AB90" i="67"/>
  <c r="AC90" i="67"/>
  <c r="AD90" i="67"/>
  <c r="AE90" i="67"/>
  <c r="AF90" i="67"/>
  <c r="AG90" i="67"/>
  <c r="AH90" i="67"/>
  <c r="AI90" i="67"/>
  <c r="AJ90" i="67"/>
  <c r="AK90" i="67"/>
  <c r="AL90" i="67"/>
  <c r="AM90" i="67"/>
  <c r="AN90" i="67"/>
  <c r="AO90" i="67"/>
  <c r="AP90" i="67"/>
  <c r="AQ90" i="67"/>
  <c r="AR90" i="67"/>
  <c r="AS90" i="67"/>
  <c r="AT90" i="67"/>
  <c r="AU90" i="67"/>
  <c r="AW90" i="67"/>
  <c r="AX90" i="67"/>
  <c r="AY90" i="67"/>
  <c r="BA90" i="67"/>
  <c r="BC90" i="67"/>
  <c r="A91" i="67"/>
  <c r="B91" i="67"/>
  <c r="D91" i="67"/>
  <c r="E91" i="67"/>
  <c r="F91" i="67"/>
  <c r="G91" i="67"/>
  <c r="H91" i="67"/>
  <c r="J91" i="67"/>
  <c r="K91" i="67"/>
  <c r="L91" i="67"/>
  <c r="M91" i="67"/>
  <c r="O91" i="67"/>
  <c r="P91" i="67"/>
  <c r="R91" i="67"/>
  <c r="S91" i="67"/>
  <c r="U91" i="67"/>
  <c r="V91" i="67"/>
  <c r="W91" i="67"/>
  <c r="X91" i="67"/>
  <c r="Z91" i="67"/>
  <c r="AA91" i="67"/>
  <c r="AB91" i="67"/>
  <c r="AC91" i="67"/>
  <c r="AD91" i="67"/>
  <c r="AE91" i="67"/>
  <c r="AF91" i="67"/>
  <c r="AG91" i="67"/>
  <c r="AH91" i="67"/>
  <c r="AI91" i="67"/>
  <c r="AJ91" i="67"/>
  <c r="AK91" i="67"/>
  <c r="AL91" i="67"/>
  <c r="AM91" i="67"/>
  <c r="AN91" i="67"/>
  <c r="AO91" i="67"/>
  <c r="AP91" i="67"/>
  <c r="AQ91" i="67"/>
  <c r="AR91" i="67"/>
  <c r="AS91" i="67"/>
  <c r="AT91" i="67"/>
  <c r="AU91" i="67"/>
  <c r="AW91" i="67"/>
  <c r="AX91" i="67"/>
  <c r="AY91" i="67"/>
  <c r="BA91" i="67"/>
  <c r="BC91" i="67"/>
  <c r="A92" i="67"/>
  <c r="B92" i="67"/>
  <c r="D92" i="67"/>
  <c r="E92" i="67"/>
  <c r="F92" i="67"/>
  <c r="G92" i="67"/>
  <c r="H92" i="67"/>
  <c r="J92" i="67"/>
  <c r="K92" i="67"/>
  <c r="L92" i="67"/>
  <c r="M92" i="67"/>
  <c r="O92" i="67"/>
  <c r="P92" i="67"/>
  <c r="R92" i="67"/>
  <c r="S92" i="67"/>
  <c r="U92" i="67"/>
  <c r="V92" i="67"/>
  <c r="W92" i="67"/>
  <c r="X92" i="67"/>
  <c r="Z92" i="67"/>
  <c r="AA92" i="67"/>
  <c r="AB92" i="67"/>
  <c r="AC92" i="67"/>
  <c r="AD92" i="67"/>
  <c r="AE92" i="67"/>
  <c r="AF92" i="67"/>
  <c r="AG92" i="67"/>
  <c r="AH92" i="67"/>
  <c r="AI92" i="67"/>
  <c r="AJ92" i="67"/>
  <c r="AK92" i="67"/>
  <c r="AL92" i="67"/>
  <c r="AM92" i="67"/>
  <c r="AN92" i="67"/>
  <c r="AO92" i="67"/>
  <c r="AP92" i="67"/>
  <c r="AQ92" i="67"/>
  <c r="AR92" i="67"/>
  <c r="AS92" i="67"/>
  <c r="AT92" i="67"/>
  <c r="AU92" i="67"/>
  <c r="AW92" i="67"/>
  <c r="AX92" i="67"/>
  <c r="AY92" i="67"/>
  <c r="BA92" i="67"/>
  <c r="BC92" i="67"/>
  <c r="A93" i="67"/>
  <c r="B93" i="67"/>
  <c r="D93" i="67"/>
  <c r="E93" i="67"/>
  <c r="F93" i="67"/>
  <c r="G93" i="67"/>
  <c r="H93" i="67"/>
  <c r="J93" i="67"/>
  <c r="K93" i="67"/>
  <c r="L93" i="67"/>
  <c r="M93" i="67"/>
  <c r="O93" i="67"/>
  <c r="P93" i="67"/>
  <c r="R93" i="67"/>
  <c r="S93" i="67"/>
  <c r="U93" i="67"/>
  <c r="V93" i="67"/>
  <c r="W93" i="67"/>
  <c r="X93" i="67"/>
  <c r="Z93" i="67"/>
  <c r="AA93" i="67"/>
  <c r="AB93" i="67"/>
  <c r="AC93" i="67"/>
  <c r="AD93" i="67"/>
  <c r="AE93" i="67"/>
  <c r="AF93" i="67"/>
  <c r="AG93" i="67"/>
  <c r="AH93" i="67"/>
  <c r="AI93" i="67"/>
  <c r="AJ93" i="67"/>
  <c r="AK93" i="67"/>
  <c r="AL93" i="67"/>
  <c r="AM93" i="67"/>
  <c r="AN93" i="67"/>
  <c r="AO93" i="67"/>
  <c r="AP93" i="67"/>
  <c r="AQ93" i="67"/>
  <c r="AR93" i="67"/>
  <c r="AS93" i="67"/>
  <c r="AT93" i="67"/>
  <c r="AU93" i="67"/>
  <c r="AW93" i="67"/>
  <c r="AX93" i="67"/>
  <c r="AY93" i="67"/>
  <c r="BA93" i="67"/>
  <c r="BC93" i="67"/>
  <c r="A94" i="67"/>
  <c r="B94" i="67"/>
  <c r="D94" i="67"/>
  <c r="E94" i="67"/>
  <c r="F94" i="67"/>
  <c r="G94" i="67"/>
  <c r="H94" i="67"/>
  <c r="J94" i="67"/>
  <c r="K94" i="67"/>
  <c r="L94" i="67"/>
  <c r="M94" i="67"/>
  <c r="O94" i="67"/>
  <c r="P94" i="67"/>
  <c r="R94" i="67"/>
  <c r="S94" i="67"/>
  <c r="U94" i="67"/>
  <c r="V94" i="67"/>
  <c r="W94" i="67"/>
  <c r="X94" i="67"/>
  <c r="Z94" i="67"/>
  <c r="AA94" i="67"/>
  <c r="AB94" i="67"/>
  <c r="AC94" i="67"/>
  <c r="AD94" i="67"/>
  <c r="AE94" i="67"/>
  <c r="AF94" i="67"/>
  <c r="AG94" i="67"/>
  <c r="AH94" i="67"/>
  <c r="AI94" i="67"/>
  <c r="AJ94" i="67"/>
  <c r="AK94" i="67"/>
  <c r="AL94" i="67"/>
  <c r="AM94" i="67"/>
  <c r="AN94" i="67"/>
  <c r="AO94" i="67"/>
  <c r="AP94" i="67"/>
  <c r="AQ94" i="67"/>
  <c r="AR94" i="67"/>
  <c r="AS94" i="67"/>
  <c r="AT94" i="67"/>
  <c r="AU94" i="67"/>
  <c r="AW94" i="67"/>
  <c r="AX94" i="67"/>
  <c r="AY94" i="67"/>
  <c r="BA94" i="67"/>
  <c r="BC94" i="67"/>
  <c r="A95" i="67"/>
  <c r="B95" i="67"/>
  <c r="D95" i="67"/>
  <c r="E95" i="67"/>
  <c r="F95" i="67"/>
  <c r="G95" i="67"/>
  <c r="H95" i="67"/>
  <c r="J95" i="67"/>
  <c r="K95" i="67"/>
  <c r="L95" i="67"/>
  <c r="M95" i="67"/>
  <c r="O95" i="67"/>
  <c r="P95" i="67"/>
  <c r="R95" i="67"/>
  <c r="S95" i="67"/>
  <c r="U95" i="67"/>
  <c r="V95" i="67"/>
  <c r="W95" i="67"/>
  <c r="X95" i="67"/>
  <c r="Z95" i="67"/>
  <c r="AA95" i="67"/>
  <c r="AB95" i="67"/>
  <c r="AC95" i="67"/>
  <c r="AD95" i="67"/>
  <c r="AE95" i="67"/>
  <c r="AF95" i="67"/>
  <c r="AG95" i="67"/>
  <c r="AH95" i="67"/>
  <c r="AI95" i="67"/>
  <c r="AJ95" i="67"/>
  <c r="AK95" i="67"/>
  <c r="AL95" i="67"/>
  <c r="AM95" i="67"/>
  <c r="AN95" i="67"/>
  <c r="AO95" i="67"/>
  <c r="AP95" i="67"/>
  <c r="AQ95" i="67"/>
  <c r="AR95" i="67"/>
  <c r="AS95" i="67"/>
  <c r="AT95" i="67"/>
  <c r="AU95" i="67"/>
  <c r="AW95" i="67"/>
  <c r="AX95" i="67"/>
  <c r="AY95" i="67"/>
  <c r="BA95" i="67"/>
  <c r="BC95" i="67"/>
  <c r="A96" i="67"/>
  <c r="B96" i="67"/>
  <c r="D96" i="67"/>
  <c r="E96" i="67"/>
  <c r="F96" i="67"/>
  <c r="G96" i="67"/>
  <c r="H96" i="67"/>
  <c r="J96" i="67"/>
  <c r="K96" i="67"/>
  <c r="L96" i="67"/>
  <c r="M96" i="67"/>
  <c r="O96" i="67"/>
  <c r="P96" i="67"/>
  <c r="R96" i="67"/>
  <c r="S96" i="67"/>
  <c r="U96" i="67"/>
  <c r="V96" i="67"/>
  <c r="W96" i="67"/>
  <c r="X96" i="67"/>
  <c r="Z96" i="67"/>
  <c r="AA96" i="67"/>
  <c r="AB96" i="67"/>
  <c r="AC96" i="67"/>
  <c r="AD96" i="67"/>
  <c r="AE96" i="67"/>
  <c r="AF96" i="67"/>
  <c r="AG96" i="67"/>
  <c r="AH96" i="67"/>
  <c r="AI96" i="67"/>
  <c r="AJ96" i="67"/>
  <c r="AK96" i="67"/>
  <c r="AL96" i="67"/>
  <c r="AM96" i="67"/>
  <c r="AN96" i="67"/>
  <c r="AO96" i="67"/>
  <c r="AP96" i="67"/>
  <c r="AQ96" i="67"/>
  <c r="AR96" i="67"/>
  <c r="AS96" i="67"/>
  <c r="AT96" i="67"/>
  <c r="AU96" i="67"/>
  <c r="AW96" i="67"/>
  <c r="AX96" i="67"/>
  <c r="AY96" i="67"/>
  <c r="BA96" i="67"/>
  <c r="BC96" i="67"/>
  <c r="A97" i="67"/>
  <c r="B97" i="67"/>
  <c r="D97" i="67"/>
  <c r="E97" i="67"/>
  <c r="F97" i="67"/>
  <c r="G97" i="67"/>
  <c r="H97" i="67"/>
  <c r="J97" i="67"/>
  <c r="K97" i="67"/>
  <c r="L97" i="67"/>
  <c r="M97" i="67"/>
  <c r="O97" i="67"/>
  <c r="P97" i="67"/>
  <c r="R97" i="67"/>
  <c r="S97" i="67"/>
  <c r="U97" i="67"/>
  <c r="V97" i="67"/>
  <c r="W97" i="67"/>
  <c r="X97" i="67"/>
  <c r="Z97" i="67"/>
  <c r="AA97" i="67"/>
  <c r="AB97" i="67"/>
  <c r="AC97" i="67"/>
  <c r="AD97" i="67"/>
  <c r="AE97" i="67"/>
  <c r="AF97" i="67"/>
  <c r="AG97" i="67"/>
  <c r="AH97" i="67"/>
  <c r="AI97" i="67"/>
  <c r="AJ97" i="67"/>
  <c r="AK97" i="67"/>
  <c r="AL97" i="67"/>
  <c r="AM97" i="67"/>
  <c r="AN97" i="67"/>
  <c r="AO97" i="67"/>
  <c r="AP97" i="67"/>
  <c r="AQ97" i="67"/>
  <c r="AR97" i="67"/>
  <c r="AS97" i="67"/>
  <c r="AT97" i="67"/>
  <c r="AU97" i="67"/>
  <c r="AW97" i="67"/>
  <c r="AX97" i="67"/>
  <c r="AY97" i="67"/>
  <c r="BA97" i="67"/>
  <c r="BC97" i="67"/>
  <c r="A98" i="67"/>
  <c r="B98" i="67"/>
  <c r="D98" i="67"/>
  <c r="E98" i="67"/>
  <c r="F98" i="67"/>
  <c r="G98" i="67"/>
  <c r="H98" i="67"/>
  <c r="J98" i="67"/>
  <c r="K98" i="67"/>
  <c r="L98" i="67"/>
  <c r="M98" i="67"/>
  <c r="O98" i="67"/>
  <c r="P98" i="67"/>
  <c r="R98" i="67"/>
  <c r="S98" i="67"/>
  <c r="U98" i="67"/>
  <c r="V98" i="67"/>
  <c r="W98" i="67"/>
  <c r="X98" i="67"/>
  <c r="Z98" i="67"/>
  <c r="AA98" i="67"/>
  <c r="AB98" i="67"/>
  <c r="AC98" i="67"/>
  <c r="AD98" i="67"/>
  <c r="AE98" i="67"/>
  <c r="AF98" i="67"/>
  <c r="AG98" i="67"/>
  <c r="AH98" i="67"/>
  <c r="AI98" i="67"/>
  <c r="AJ98" i="67"/>
  <c r="AK98" i="67"/>
  <c r="AL98" i="67"/>
  <c r="AM98" i="67"/>
  <c r="AN98" i="67"/>
  <c r="AO98" i="67"/>
  <c r="AP98" i="67"/>
  <c r="AQ98" i="67"/>
  <c r="AR98" i="67"/>
  <c r="AS98" i="67"/>
  <c r="AT98" i="67"/>
  <c r="AU98" i="67"/>
  <c r="AW98" i="67"/>
  <c r="AX98" i="67"/>
  <c r="AY98" i="67"/>
  <c r="BA98" i="67"/>
  <c r="BC98" i="67"/>
  <c r="A99" i="67"/>
  <c r="B99" i="67"/>
  <c r="D99" i="67"/>
  <c r="E99" i="67"/>
  <c r="F99" i="67"/>
  <c r="G99" i="67"/>
  <c r="H99" i="67"/>
  <c r="J99" i="67"/>
  <c r="K99" i="67"/>
  <c r="L99" i="67"/>
  <c r="M99" i="67"/>
  <c r="O99" i="67"/>
  <c r="P99" i="67"/>
  <c r="R99" i="67"/>
  <c r="S99" i="67"/>
  <c r="U99" i="67"/>
  <c r="V99" i="67"/>
  <c r="W99" i="67"/>
  <c r="X99" i="67"/>
  <c r="Z99" i="67"/>
  <c r="AA99" i="67"/>
  <c r="AB99" i="67"/>
  <c r="AC99" i="67"/>
  <c r="AD99" i="67"/>
  <c r="AE99" i="67"/>
  <c r="AF99" i="67"/>
  <c r="AG99" i="67"/>
  <c r="AH99" i="67"/>
  <c r="AI99" i="67"/>
  <c r="AJ99" i="67"/>
  <c r="AK99" i="67"/>
  <c r="AL99" i="67"/>
  <c r="AM99" i="67"/>
  <c r="AN99" i="67"/>
  <c r="AO99" i="67"/>
  <c r="AP99" i="67"/>
  <c r="AQ99" i="67"/>
  <c r="AR99" i="67"/>
  <c r="AS99" i="67"/>
  <c r="AT99" i="67"/>
  <c r="AU99" i="67"/>
  <c r="AW99" i="67"/>
  <c r="AX99" i="67"/>
  <c r="AY99" i="67"/>
  <c r="BA99" i="67"/>
  <c r="BC99" i="67"/>
  <c r="A100" i="67"/>
  <c r="B100" i="67"/>
  <c r="D100" i="67"/>
  <c r="E100" i="67"/>
  <c r="F100" i="67"/>
  <c r="G100" i="67"/>
  <c r="H100" i="67"/>
  <c r="J100" i="67"/>
  <c r="K100" i="67"/>
  <c r="L100" i="67"/>
  <c r="M100" i="67"/>
  <c r="O100" i="67"/>
  <c r="P100" i="67"/>
  <c r="R100" i="67"/>
  <c r="S100" i="67"/>
  <c r="U100" i="67"/>
  <c r="V100" i="67"/>
  <c r="W100" i="67"/>
  <c r="X100" i="67"/>
  <c r="Z100" i="67"/>
  <c r="AA100" i="67"/>
  <c r="AB100" i="67"/>
  <c r="AC100" i="67"/>
  <c r="AD100" i="67"/>
  <c r="AE100" i="67"/>
  <c r="AF100" i="67"/>
  <c r="AG100" i="67"/>
  <c r="AH100" i="67"/>
  <c r="AI100" i="67"/>
  <c r="AJ100" i="67"/>
  <c r="AK100" i="67"/>
  <c r="AL100" i="67"/>
  <c r="AM100" i="67"/>
  <c r="AN100" i="67"/>
  <c r="AO100" i="67"/>
  <c r="AP100" i="67"/>
  <c r="AQ100" i="67"/>
  <c r="AR100" i="67"/>
  <c r="AS100" i="67"/>
  <c r="AT100" i="67"/>
  <c r="AU100" i="67"/>
  <c r="AW100" i="67"/>
  <c r="AX100" i="67"/>
  <c r="AY100" i="67"/>
  <c r="BA100" i="67"/>
  <c r="BC100" i="67"/>
  <c r="A101" i="67"/>
  <c r="B101" i="67"/>
  <c r="D101" i="67"/>
  <c r="E101" i="67"/>
  <c r="F101" i="67"/>
  <c r="G101" i="67"/>
  <c r="H101" i="67"/>
  <c r="J101" i="67"/>
  <c r="K101" i="67"/>
  <c r="L101" i="67"/>
  <c r="M101" i="67"/>
  <c r="O101" i="67"/>
  <c r="P101" i="67"/>
  <c r="R101" i="67"/>
  <c r="S101" i="67"/>
  <c r="U101" i="67"/>
  <c r="V101" i="67"/>
  <c r="W101" i="67"/>
  <c r="X101" i="67"/>
  <c r="Z101" i="67"/>
  <c r="AA101" i="67"/>
  <c r="AB101" i="67"/>
  <c r="AC101" i="67"/>
  <c r="AD101" i="67"/>
  <c r="AE101" i="67"/>
  <c r="AF101" i="67"/>
  <c r="AG101" i="67"/>
  <c r="AH101" i="67"/>
  <c r="AI101" i="67"/>
  <c r="AJ101" i="67"/>
  <c r="AK101" i="67"/>
  <c r="AL101" i="67"/>
  <c r="AM101" i="67"/>
  <c r="AN101" i="67"/>
  <c r="AO101" i="67"/>
  <c r="AP101" i="67"/>
  <c r="AQ101" i="67"/>
  <c r="AR101" i="67"/>
  <c r="AS101" i="67"/>
  <c r="AT101" i="67"/>
  <c r="AU101" i="67"/>
  <c r="AW101" i="67"/>
  <c r="AX101" i="67"/>
  <c r="AY101" i="67"/>
  <c r="BA101" i="67"/>
  <c r="BC101" i="67"/>
  <c r="A102" i="67"/>
  <c r="B102" i="67"/>
  <c r="D102" i="67"/>
  <c r="E102" i="67"/>
  <c r="F102" i="67"/>
  <c r="G102" i="67"/>
  <c r="H102" i="67"/>
  <c r="J102" i="67"/>
  <c r="K102" i="67"/>
  <c r="L102" i="67"/>
  <c r="M102" i="67"/>
  <c r="O102" i="67"/>
  <c r="P102" i="67"/>
  <c r="R102" i="67"/>
  <c r="S102" i="67"/>
  <c r="U102" i="67"/>
  <c r="V102" i="67"/>
  <c r="W102" i="67"/>
  <c r="X102" i="67"/>
  <c r="Z102" i="67"/>
  <c r="AA102" i="67"/>
  <c r="AB102" i="67"/>
  <c r="AC102" i="67"/>
  <c r="AD102" i="67"/>
  <c r="AE102" i="67"/>
  <c r="AF102" i="67"/>
  <c r="AG102" i="67"/>
  <c r="AH102" i="67"/>
  <c r="AI102" i="67"/>
  <c r="AJ102" i="67"/>
  <c r="AK102" i="67"/>
  <c r="AL102" i="67"/>
  <c r="AM102" i="67"/>
  <c r="AN102" i="67"/>
  <c r="AO102" i="67"/>
  <c r="AP102" i="67"/>
  <c r="AQ102" i="67"/>
  <c r="AR102" i="67"/>
  <c r="AS102" i="67"/>
  <c r="AT102" i="67"/>
  <c r="AU102" i="67"/>
  <c r="AW102" i="67"/>
  <c r="AX102" i="67"/>
  <c r="AY102" i="67"/>
  <c r="BA102" i="67"/>
  <c r="BC102" i="67"/>
  <c r="A103" i="67"/>
  <c r="B103" i="67"/>
  <c r="D103" i="67"/>
  <c r="E103" i="67"/>
  <c r="F103" i="67"/>
  <c r="G103" i="67"/>
  <c r="H103" i="67"/>
  <c r="J103" i="67"/>
  <c r="K103" i="67"/>
  <c r="L103" i="67"/>
  <c r="M103" i="67"/>
  <c r="O103" i="67"/>
  <c r="P103" i="67"/>
  <c r="R103" i="67"/>
  <c r="S103" i="67"/>
  <c r="U103" i="67"/>
  <c r="V103" i="67"/>
  <c r="W103" i="67"/>
  <c r="X103" i="67"/>
  <c r="Z103" i="67"/>
  <c r="AA103" i="67"/>
  <c r="AB103" i="67"/>
  <c r="AC103" i="67"/>
  <c r="AD103" i="67"/>
  <c r="AE103" i="67"/>
  <c r="AF103" i="67"/>
  <c r="AG103" i="67"/>
  <c r="AH103" i="67"/>
  <c r="AI103" i="67"/>
  <c r="AJ103" i="67"/>
  <c r="AK103" i="67"/>
  <c r="AL103" i="67"/>
  <c r="AM103" i="67"/>
  <c r="AN103" i="67"/>
  <c r="AO103" i="67"/>
  <c r="AP103" i="67"/>
  <c r="AQ103" i="67"/>
  <c r="AR103" i="67"/>
  <c r="AS103" i="67"/>
  <c r="AT103" i="67"/>
  <c r="AU103" i="67"/>
  <c r="AW103" i="67"/>
  <c r="AX103" i="67"/>
  <c r="AY103" i="67"/>
  <c r="BA103" i="67"/>
  <c r="BC103" i="67"/>
  <c r="A104" i="67"/>
  <c r="B104" i="67"/>
  <c r="D104" i="67"/>
  <c r="E104" i="67"/>
  <c r="F104" i="67"/>
  <c r="G104" i="67"/>
  <c r="H104" i="67"/>
  <c r="J104" i="67"/>
  <c r="K104" i="67"/>
  <c r="L104" i="67"/>
  <c r="M104" i="67"/>
  <c r="O104" i="67"/>
  <c r="P104" i="67"/>
  <c r="R104" i="67"/>
  <c r="S104" i="67"/>
  <c r="U104" i="67"/>
  <c r="V104" i="67"/>
  <c r="W104" i="67"/>
  <c r="X104" i="67"/>
  <c r="Z104" i="67"/>
  <c r="AA104" i="67"/>
  <c r="AB104" i="67"/>
  <c r="AC104" i="67"/>
  <c r="AD104" i="67"/>
  <c r="AE104" i="67"/>
  <c r="AF104" i="67"/>
  <c r="AG104" i="67"/>
  <c r="AH104" i="67"/>
  <c r="AI104" i="67"/>
  <c r="AJ104" i="67"/>
  <c r="AK104" i="67"/>
  <c r="AL104" i="67"/>
  <c r="AM104" i="67"/>
  <c r="AN104" i="67"/>
  <c r="AO104" i="67"/>
  <c r="AP104" i="67"/>
  <c r="AQ104" i="67"/>
  <c r="AR104" i="67"/>
  <c r="AS104" i="67"/>
  <c r="AT104" i="67"/>
  <c r="AU104" i="67"/>
  <c r="AW104" i="67"/>
  <c r="AX104" i="67"/>
  <c r="AY104" i="67"/>
  <c r="BA104" i="67"/>
  <c r="BC104" i="67"/>
  <c r="A105" i="67"/>
  <c r="B105" i="67"/>
  <c r="D105" i="67"/>
  <c r="E105" i="67"/>
  <c r="F105" i="67"/>
  <c r="G105" i="67"/>
  <c r="H105" i="67"/>
  <c r="J105" i="67"/>
  <c r="K105" i="67"/>
  <c r="L105" i="67"/>
  <c r="M105" i="67"/>
  <c r="O105" i="67"/>
  <c r="P105" i="67"/>
  <c r="R105" i="67"/>
  <c r="S105" i="67"/>
  <c r="U105" i="67"/>
  <c r="V105" i="67"/>
  <c r="W105" i="67"/>
  <c r="X105" i="67"/>
  <c r="Z105" i="67"/>
  <c r="AA105" i="67"/>
  <c r="AB105" i="67"/>
  <c r="AC105" i="67"/>
  <c r="AD105" i="67"/>
  <c r="AE105" i="67"/>
  <c r="AF105" i="67"/>
  <c r="AG105" i="67"/>
  <c r="AH105" i="67"/>
  <c r="AI105" i="67"/>
  <c r="AJ105" i="67"/>
  <c r="AK105" i="67"/>
  <c r="AL105" i="67"/>
  <c r="AM105" i="67"/>
  <c r="AN105" i="67"/>
  <c r="AO105" i="67"/>
  <c r="AP105" i="67"/>
  <c r="AQ105" i="67"/>
  <c r="AR105" i="67"/>
  <c r="AS105" i="67"/>
  <c r="AT105" i="67"/>
  <c r="AU105" i="67"/>
  <c r="AW105" i="67"/>
  <c r="AX105" i="67"/>
  <c r="AY105" i="67"/>
  <c r="BA105" i="67"/>
  <c r="BC105" i="67"/>
  <c r="A106" i="67"/>
  <c r="B106" i="67"/>
  <c r="D106" i="67"/>
  <c r="E106" i="67"/>
  <c r="F106" i="67"/>
  <c r="G106" i="67"/>
  <c r="H106" i="67"/>
  <c r="J106" i="67"/>
  <c r="K106" i="67"/>
  <c r="L106" i="67"/>
  <c r="M106" i="67"/>
  <c r="O106" i="67"/>
  <c r="P106" i="67"/>
  <c r="R106" i="67"/>
  <c r="S106" i="67"/>
  <c r="U106" i="67"/>
  <c r="V106" i="67"/>
  <c r="W106" i="67"/>
  <c r="X106" i="67"/>
  <c r="Z106" i="67"/>
  <c r="AA106" i="67"/>
  <c r="AB106" i="67"/>
  <c r="AC106" i="67"/>
  <c r="AD106" i="67"/>
  <c r="AE106" i="67"/>
  <c r="AF106" i="67"/>
  <c r="AG106" i="67"/>
  <c r="AH106" i="67"/>
  <c r="AI106" i="67"/>
  <c r="AJ106" i="67"/>
  <c r="AK106" i="67"/>
  <c r="AL106" i="67"/>
  <c r="AM106" i="67"/>
  <c r="AN106" i="67"/>
  <c r="AO106" i="67"/>
  <c r="AP106" i="67"/>
  <c r="AQ106" i="67"/>
  <c r="AR106" i="67"/>
  <c r="AS106" i="67"/>
  <c r="AT106" i="67"/>
  <c r="AU106" i="67"/>
  <c r="AW106" i="67"/>
  <c r="AX106" i="67"/>
  <c r="AY106" i="67"/>
  <c r="BA106" i="67"/>
  <c r="BC106" i="67"/>
  <c r="A107" i="67"/>
  <c r="B107" i="67"/>
  <c r="D107" i="67"/>
  <c r="E107" i="67"/>
  <c r="F107" i="67"/>
  <c r="G107" i="67"/>
  <c r="H107" i="67"/>
  <c r="J107" i="67"/>
  <c r="K107" i="67"/>
  <c r="L107" i="67"/>
  <c r="M107" i="67"/>
  <c r="O107" i="67"/>
  <c r="P107" i="67"/>
  <c r="R107" i="67"/>
  <c r="S107" i="67"/>
  <c r="U107" i="67"/>
  <c r="V107" i="67"/>
  <c r="W107" i="67"/>
  <c r="X107" i="67"/>
  <c r="Z107" i="67"/>
  <c r="AA107" i="67"/>
  <c r="AB107" i="67"/>
  <c r="AC107" i="67"/>
  <c r="AD107" i="67"/>
  <c r="AE107" i="67"/>
  <c r="AF107" i="67"/>
  <c r="AG107" i="67"/>
  <c r="AH107" i="67"/>
  <c r="AI107" i="67"/>
  <c r="AJ107" i="67"/>
  <c r="AK107" i="67"/>
  <c r="AL107" i="67"/>
  <c r="AM107" i="67"/>
  <c r="AN107" i="67"/>
  <c r="AO107" i="67"/>
  <c r="AP107" i="67"/>
  <c r="AQ107" i="67"/>
  <c r="AR107" i="67"/>
  <c r="AS107" i="67"/>
  <c r="AT107" i="67"/>
  <c r="AU107" i="67"/>
  <c r="AW107" i="67"/>
  <c r="AX107" i="67"/>
  <c r="AY107" i="67"/>
  <c r="BA107" i="67"/>
  <c r="BC107" i="67"/>
  <c r="A108" i="67"/>
  <c r="B108" i="67"/>
  <c r="D108" i="67"/>
  <c r="E108" i="67"/>
  <c r="F108" i="67"/>
  <c r="G108" i="67"/>
  <c r="H108" i="67"/>
  <c r="J108" i="67"/>
  <c r="K108" i="67"/>
  <c r="L108" i="67"/>
  <c r="M108" i="67"/>
  <c r="O108" i="67"/>
  <c r="P108" i="67"/>
  <c r="R108" i="67"/>
  <c r="S108" i="67"/>
  <c r="U108" i="67"/>
  <c r="V108" i="67"/>
  <c r="W108" i="67"/>
  <c r="X108" i="67"/>
  <c r="Z108" i="67"/>
  <c r="AA108" i="67"/>
  <c r="AB108" i="67"/>
  <c r="AC108" i="67"/>
  <c r="AD108" i="67"/>
  <c r="AE108" i="67"/>
  <c r="AF108" i="67"/>
  <c r="AG108" i="67"/>
  <c r="AH108" i="67"/>
  <c r="AI108" i="67"/>
  <c r="AJ108" i="67"/>
  <c r="AK108" i="67"/>
  <c r="AL108" i="67"/>
  <c r="AM108" i="67"/>
  <c r="AN108" i="67"/>
  <c r="AO108" i="67"/>
  <c r="AP108" i="67"/>
  <c r="AQ108" i="67"/>
  <c r="AR108" i="67"/>
  <c r="AS108" i="67"/>
  <c r="AT108" i="67"/>
  <c r="AU108" i="67"/>
  <c r="AW108" i="67"/>
  <c r="AX108" i="67"/>
  <c r="AY108" i="67"/>
  <c r="BA108" i="67"/>
  <c r="BC108" i="67"/>
  <c r="A109" i="67"/>
  <c r="B109" i="67"/>
  <c r="D109" i="67"/>
  <c r="E109" i="67"/>
  <c r="F109" i="67"/>
  <c r="G109" i="67"/>
  <c r="H109" i="67"/>
  <c r="J109" i="67"/>
  <c r="K109" i="67"/>
  <c r="L109" i="67"/>
  <c r="M109" i="67"/>
  <c r="O109" i="67"/>
  <c r="P109" i="67"/>
  <c r="R109" i="67"/>
  <c r="S109" i="67"/>
  <c r="U109" i="67"/>
  <c r="V109" i="67"/>
  <c r="W109" i="67"/>
  <c r="X109" i="67"/>
  <c r="Z109" i="67"/>
  <c r="AA109" i="67"/>
  <c r="AB109" i="67"/>
  <c r="AC109" i="67"/>
  <c r="AD109" i="67"/>
  <c r="AE109" i="67"/>
  <c r="AF109" i="67"/>
  <c r="AG109" i="67"/>
  <c r="AH109" i="67"/>
  <c r="AI109" i="67"/>
  <c r="AJ109" i="67"/>
  <c r="AK109" i="67"/>
  <c r="AL109" i="67"/>
  <c r="AM109" i="67"/>
  <c r="AN109" i="67"/>
  <c r="AO109" i="67"/>
  <c r="AP109" i="67"/>
  <c r="AQ109" i="67"/>
  <c r="AR109" i="67"/>
  <c r="AS109" i="67"/>
  <c r="AT109" i="67"/>
  <c r="AU109" i="67"/>
  <c r="AW109" i="67"/>
  <c r="AX109" i="67"/>
  <c r="AY109" i="67"/>
  <c r="BA109" i="67"/>
  <c r="BC109" i="67"/>
  <c r="A110" i="67"/>
  <c r="B110" i="67"/>
  <c r="D110" i="67"/>
  <c r="E110" i="67"/>
  <c r="F110" i="67"/>
  <c r="G110" i="67"/>
  <c r="H110" i="67"/>
  <c r="J110" i="67"/>
  <c r="K110" i="67"/>
  <c r="L110" i="67"/>
  <c r="M110" i="67"/>
  <c r="O110" i="67"/>
  <c r="P110" i="67"/>
  <c r="R110" i="67"/>
  <c r="S110" i="67"/>
  <c r="U110" i="67"/>
  <c r="V110" i="67"/>
  <c r="W110" i="67"/>
  <c r="X110" i="67"/>
  <c r="Z110" i="67"/>
  <c r="AA110" i="67"/>
  <c r="AB110" i="67"/>
  <c r="AC110" i="67"/>
  <c r="AD110" i="67"/>
  <c r="AE110" i="67"/>
  <c r="AF110" i="67"/>
  <c r="AG110" i="67"/>
  <c r="AH110" i="67"/>
  <c r="AI110" i="67"/>
  <c r="AJ110" i="67"/>
  <c r="AK110" i="67"/>
  <c r="AL110" i="67"/>
  <c r="AM110" i="67"/>
  <c r="AN110" i="67"/>
  <c r="AO110" i="67"/>
  <c r="AP110" i="67"/>
  <c r="AQ110" i="67"/>
  <c r="AR110" i="67"/>
  <c r="AS110" i="67"/>
  <c r="AT110" i="67"/>
  <c r="AU110" i="67"/>
  <c r="AW110" i="67"/>
  <c r="AX110" i="67"/>
  <c r="AY110" i="67"/>
  <c r="BA110" i="67"/>
  <c r="BC110" i="67"/>
  <c r="A111" i="67"/>
  <c r="B111" i="67"/>
  <c r="D111" i="67"/>
  <c r="E111" i="67"/>
  <c r="F111" i="67"/>
  <c r="G111" i="67"/>
  <c r="H111" i="67"/>
  <c r="J111" i="67"/>
  <c r="K111" i="67"/>
  <c r="L111" i="67"/>
  <c r="M111" i="67"/>
  <c r="O111" i="67"/>
  <c r="P111" i="67"/>
  <c r="R111" i="67"/>
  <c r="S111" i="67"/>
  <c r="U111" i="67"/>
  <c r="V111" i="67"/>
  <c r="W111" i="67"/>
  <c r="X111" i="67"/>
  <c r="Z111" i="67"/>
  <c r="AA111" i="67"/>
  <c r="AB111" i="67"/>
  <c r="AC111" i="67"/>
  <c r="AD111" i="67"/>
  <c r="AE111" i="67"/>
  <c r="AF111" i="67"/>
  <c r="AG111" i="67"/>
  <c r="AH111" i="67"/>
  <c r="AI111" i="67"/>
  <c r="AJ111" i="67"/>
  <c r="AK111" i="67"/>
  <c r="AL111" i="67"/>
  <c r="AM111" i="67"/>
  <c r="AN111" i="67"/>
  <c r="AO111" i="67"/>
  <c r="AP111" i="67"/>
  <c r="AQ111" i="67"/>
  <c r="AR111" i="67"/>
  <c r="AS111" i="67"/>
  <c r="AT111" i="67"/>
  <c r="AU111" i="67"/>
  <c r="AW111" i="67"/>
  <c r="AX111" i="67"/>
  <c r="AY111" i="67"/>
  <c r="BA111" i="67"/>
  <c r="BC111" i="67"/>
  <c r="A112" i="67"/>
  <c r="B112" i="67"/>
  <c r="D112" i="67"/>
  <c r="E112" i="67"/>
  <c r="F112" i="67"/>
  <c r="G112" i="67"/>
  <c r="H112" i="67"/>
  <c r="J112" i="67"/>
  <c r="K112" i="67"/>
  <c r="L112" i="67"/>
  <c r="M112" i="67"/>
  <c r="O112" i="67"/>
  <c r="P112" i="67"/>
  <c r="R112" i="67"/>
  <c r="S112" i="67"/>
  <c r="U112" i="67"/>
  <c r="V112" i="67"/>
  <c r="W112" i="67"/>
  <c r="X112" i="67"/>
  <c r="Z112" i="67"/>
  <c r="AA112" i="67"/>
  <c r="AB112" i="67"/>
  <c r="AC112" i="67"/>
  <c r="AD112" i="67"/>
  <c r="AE112" i="67"/>
  <c r="AF112" i="67"/>
  <c r="AG112" i="67"/>
  <c r="AH112" i="67"/>
  <c r="AI112" i="67"/>
  <c r="AJ112" i="67"/>
  <c r="AK112" i="67"/>
  <c r="AL112" i="67"/>
  <c r="AM112" i="67"/>
  <c r="AN112" i="67"/>
  <c r="AO112" i="67"/>
  <c r="AP112" i="67"/>
  <c r="AQ112" i="67"/>
  <c r="AR112" i="67"/>
  <c r="AS112" i="67"/>
  <c r="AT112" i="67"/>
  <c r="AU112" i="67"/>
  <c r="AW112" i="67"/>
  <c r="AX112" i="67"/>
  <c r="AY112" i="67"/>
  <c r="BA112" i="67"/>
  <c r="BC112" i="67"/>
  <c r="A113" i="67"/>
  <c r="B113" i="67"/>
  <c r="D113" i="67"/>
  <c r="E113" i="67"/>
  <c r="F113" i="67"/>
  <c r="G113" i="67"/>
  <c r="H113" i="67"/>
  <c r="J113" i="67"/>
  <c r="K113" i="67"/>
  <c r="L113" i="67"/>
  <c r="M113" i="67"/>
  <c r="O113" i="67"/>
  <c r="P113" i="67"/>
  <c r="R113" i="67"/>
  <c r="S113" i="67"/>
  <c r="U113" i="67"/>
  <c r="V113" i="67"/>
  <c r="W113" i="67"/>
  <c r="X113" i="67"/>
  <c r="Z113" i="67"/>
  <c r="AA113" i="67"/>
  <c r="AB113" i="67"/>
  <c r="AC113" i="67"/>
  <c r="AD113" i="67"/>
  <c r="AE113" i="67"/>
  <c r="AF113" i="67"/>
  <c r="AG113" i="67"/>
  <c r="AH113" i="67"/>
  <c r="AI113" i="67"/>
  <c r="AJ113" i="67"/>
  <c r="AK113" i="67"/>
  <c r="AL113" i="67"/>
  <c r="AM113" i="67"/>
  <c r="AN113" i="67"/>
  <c r="AO113" i="67"/>
  <c r="AP113" i="67"/>
  <c r="AQ113" i="67"/>
  <c r="AR113" i="67"/>
  <c r="AS113" i="67"/>
  <c r="AT113" i="67"/>
  <c r="AU113" i="67"/>
  <c r="AW113" i="67"/>
  <c r="AX113" i="67"/>
  <c r="AY113" i="67"/>
  <c r="BA113" i="67"/>
  <c r="BC113" i="67"/>
  <c r="A114" i="67"/>
  <c r="B114" i="67"/>
  <c r="D114" i="67"/>
  <c r="E114" i="67"/>
  <c r="F114" i="67"/>
  <c r="G114" i="67"/>
  <c r="H114" i="67"/>
  <c r="J114" i="67"/>
  <c r="K114" i="67"/>
  <c r="L114" i="67"/>
  <c r="M114" i="67"/>
  <c r="O114" i="67"/>
  <c r="P114" i="67"/>
  <c r="R114" i="67"/>
  <c r="S114" i="67"/>
  <c r="U114" i="67"/>
  <c r="V114" i="67"/>
  <c r="W114" i="67"/>
  <c r="X114" i="67"/>
  <c r="Z114" i="67"/>
  <c r="AA114" i="67"/>
  <c r="AB114" i="67"/>
  <c r="AC114" i="67"/>
  <c r="AD114" i="67"/>
  <c r="AE114" i="67"/>
  <c r="AF114" i="67"/>
  <c r="AG114" i="67"/>
  <c r="AH114" i="67"/>
  <c r="AI114" i="67"/>
  <c r="AJ114" i="67"/>
  <c r="AK114" i="67"/>
  <c r="AL114" i="67"/>
  <c r="AM114" i="67"/>
  <c r="AN114" i="67"/>
  <c r="AO114" i="67"/>
  <c r="AP114" i="67"/>
  <c r="AQ114" i="67"/>
  <c r="AR114" i="67"/>
  <c r="AS114" i="67"/>
  <c r="AT114" i="67"/>
  <c r="AU114" i="67"/>
  <c r="AW114" i="67"/>
  <c r="AX114" i="67"/>
  <c r="AY114" i="67"/>
  <c r="BA114" i="67"/>
  <c r="BC114" i="67"/>
  <c r="A115" i="67"/>
  <c r="B115" i="67"/>
  <c r="D115" i="67"/>
  <c r="E115" i="67"/>
  <c r="F115" i="67"/>
  <c r="G115" i="67"/>
  <c r="H115" i="67"/>
  <c r="J115" i="67"/>
  <c r="K115" i="67"/>
  <c r="L115" i="67"/>
  <c r="M115" i="67"/>
  <c r="O115" i="67"/>
  <c r="P115" i="67"/>
  <c r="R115" i="67"/>
  <c r="S115" i="67"/>
  <c r="U115" i="67"/>
  <c r="V115" i="67"/>
  <c r="W115" i="67"/>
  <c r="X115" i="67"/>
  <c r="Z115" i="67"/>
  <c r="AA115" i="67"/>
  <c r="AB115" i="67"/>
  <c r="AC115" i="67"/>
  <c r="AD115" i="67"/>
  <c r="AE115" i="67"/>
  <c r="AF115" i="67"/>
  <c r="AG115" i="67"/>
  <c r="AH115" i="67"/>
  <c r="AI115" i="67"/>
  <c r="AJ115" i="67"/>
  <c r="AK115" i="67"/>
  <c r="AL115" i="67"/>
  <c r="AM115" i="67"/>
  <c r="AN115" i="67"/>
  <c r="AO115" i="67"/>
  <c r="AP115" i="67"/>
  <c r="AQ115" i="67"/>
  <c r="AR115" i="67"/>
  <c r="AS115" i="67"/>
  <c r="AT115" i="67"/>
  <c r="AU115" i="67"/>
  <c r="AW115" i="67"/>
  <c r="AX115" i="67"/>
  <c r="AY115" i="67"/>
  <c r="BA115" i="67"/>
  <c r="BC115" i="67"/>
  <c r="A116" i="67"/>
  <c r="B116" i="67"/>
  <c r="D116" i="67"/>
  <c r="E116" i="67"/>
  <c r="F116" i="67"/>
  <c r="G116" i="67"/>
  <c r="H116" i="67"/>
  <c r="J116" i="67"/>
  <c r="K116" i="67"/>
  <c r="L116" i="67"/>
  <c r="M116" i="67"/>
  <c r="O116" i="67"/>
  <c r="P116" i="67"/>
  <c r="R116" i="67"/>
  <c r="S116" i="67"/>
  <c r="U116" i="67"/>
  <c r="V116" i="67"/>
  <c r="W116" i="67"/>
  <c r="X116" i="67"/>
  <c r="Z116" i="67"/>
  <c r="AA116" i="67"/>
  <c r="AB116" i="67"/>
  <c r="AC116" i="67"/>
  <c r="AD116" i="67"/>
  <c r="AE116" i="67"/>
  <c r="AF116" i="67"/>
  <c r="AG116" i="67"/>
  <c r="AH116" i="67"/>
  <c r="AI116" i="67"/>
  <c r="AJ116" i="67"/>
  <c r="AK116" i="67"/>
  <c r="AL116" i="67"/>
  <c r="AM116" i="67"/>
  <c r="AN116" i="67"/>
  <c r="AO116" i="67"/>
  <c r="AP116" i="67"/>
  <c r="AQ116" i="67"/>
  <c r="AR116" i="67"/>
  <c r="AS116" i="67"/>
  <c r="AT116" i="67"/>
  <c r="AU116" i="67"/>
  <c r="AW116" i="67"/>
  <c r="AX116" i="67"/>
  <c r="AY116" i="67"/>
  <c r="BA116" i="67"/>
  <c r="BC116" i="67"/>
  <c r="A117" i="67"/>
  <c r="B117" i="67"/>
  <c r="D117" i="67"/>
  <c r="E117" i="67"/>
  <c r="F117" i="67"/>
  <c r="G117" i="67"/>
  <c r="H117" i="67"/>
  <c r="J117" i="67"/>
  <c r="K117" i="67"/>
  <c r="L117" i="67"/>
  <c r="M117" i="67"/>
  <c r="O117" i="67"/>
  <c r="P117" i="67"/>
  <c r="R117" i="67"/>
  <c r="S117" i="67"/>
  <c r="U117" i="67"/>
  <c r="V117" i="67"/>
  <c r="W117" i="67"/>
  <c r="X117" i="67"/>
  <c r="Z117" i="67"/>
  <c r="AA117" i="67"/>
  <c r="AB117" i="67"/>
  <c r="AC117" i="67"/>
  <c r="AD117" i="67"/>
  <c r="AE117" i="67"/>
  <c r="AF117" i="67"/>
  <c r="AG117" i="67"/>
  <c r="AH117" i="67"/>
  <c r="AI117" i="67"/>
  <c r="AJ117" i="67"/>
  <c r="AK117" i="67"/>
  <c r="AL117" i="67"/>
  <c r="AM117" i="67"/>
  <c r="AN117" i="67"/>
  <c r="AO117" i="67"/>
  <c r="AP117" i="67"/>
  <c r="AQ117" i="67"/>
  <c r="AR117" i="67"/>
  <c r="AS117" i="67"/>
  <c r="AT117" i="67"/>
  <c r="AU117" i="67"/>
  <c r="AW117" i="67"/>
  <c r="AX117" i="67"/>
  <c r="AY117" i="67"/>
  <c r="BA117" i="67"/>
  <c r="BC117" i="67"/>
  <c r="A118" i="67"/>
  <c r="B118" i="67"/>
  <c r="D118" i="67"/>
  <c r="E118" i="67"/>
  <c r="F118" i="67"/>
  <c r="G118" i="67"/>
  <c r="H118" i="67"/>
  <c r="J118" i="67"/>
  <c r="K118" i="67"/>
  <c r="L118" i="67"/>
  <c r="M118" i="67"/>
  <c r="O118" i="67"/>
  <c r="P118" i="67"/>
  <c r="R118" i="67"/>
  <c r="S118" i="67"/>
  <c r="U118" i="67"/>
  <c r="V118" i="67"/>
  <c r="W118" i="67"/>
  <c r="X118" i="67"/>
  <c r="Z118" i="67"/>
  <c r="AA118" i="67"/>
  <c r="AB118" i="67"/>
  <c r="AC118" i="67"/>
  <c r="AD118" i="67"/>
  <c r="AE118" i="67"/>
  <c r="AF118" i="67"/>
  <c r="AG118" i="67"/>
  <c r="AH118" i="67"/>
  <c r="AI118" i="67"/>
  <c r="AJ118" i="67"/>
  <c r="AK118" i="67"/>
  <c r="AL118" i="67"/>
  <c r="AM118" i="67"/>
  <c r="AN118" i="67"/>
  <c r="AO118" i="67"/>
  <c r="AP118" i="67"/>
  <c r="AQ118" i="67"/>
  <c r="AR118" i="67"/>
  <c r="AS118" i="67"/>
  <c r="AT118" i="67"/>
  <c r="AU118" i="67"/>
  <c r="AW118" i="67"/>
  <c r="AX118" i="67"/>
  <c r="AY118" i="67"/>
  <c r="BA118" i="67"/>
  <c r="BC118" i="67"/>
  <c r="A119" i="67"/>
  <c r="B119" i="67"/>
  <c r="D119" i="67"/>
  <c r="E119" i="67"/>
  <c r="F119" i="67"/>
  <c r="G119" i="67"/>
  <c r="H119" i="67"/>
  <c r="J119" i="67"/>
  <c r="K119" i="67"/>
  <c r="L119" i="67"/>
  <c r="M119" i="67"/>
  <c r="O119" i="67"/>
  <c r="P119" i="67"/>
  <c r="R119" i="67"/>
  <c r="S119" i="67"/>
  <c r="U119" i="67"/>
  <c r="V119" i="67"/>
  <c r="W119" i="67"/>
  <c r="X119" i="67"/>
  <c r="Z119" i="67"/>
  <c r="AA119" i="67"/>
  <c r="AB119" i="67"/>
  <c r="AC119" i="67"/>
  <c r="AD119" i="67"/>
  <c r="AE119" i="67"/>
  <c r="AF119" i="67"/>
  <c r="AG119" i="67"/>
  <c r="AH119" i="67"/>
  <c r="AI119" i="67"/>
  <c r="AJ119" i="67"/>
  <c r="AK119" i="67"/>
  <c r="AL119" i="67"/>
  <c r="AM119" i="67"/>
  <c r="AN119" i="67"/>
  <c r="AO119" i="67"/>
  <c r="AP119" i="67"/>
  <c r="AQ119" i="67"/>
  <c r="AR119" i="67"/>
  <c r="AS119" i="67"/>
  <c r="AT119" i="67"/>
  <c r="AU119" i="67"/>
  <c r="AW119" i="67"/>
  <c r="AX119" i="67"/>
  <c r="AY119" i="67"/>
  <c r="BA119" i="67"/>
  <c r="BC119" i="67"/>
  <c r="A120" i="67"/>
  <c r="B120" i="67"/>
  <c r="D120" i="67"/>
  <c r="E120" i="67"/>
  <c r="F120" i="67"/>
  <c r="G120" i="67"/>
  <c r="H120" i="67"/>
  <c r="J120" i="67"/>
  <c r="K120" i="67"/>
  <c r="L120" i="67"/>
  <c r="M120" i="67"/>
  <c r="O120" i="67"/>
  <c r="P120" i="67"/>
  <c r="R120" i="67"/>
  <c r="S120" i="67"/>
  <c r="U120" i="67"/>
  <c r="V120" i="67"/>
  <c r="W120" i="67"/>
  <c r="X120" i="67"/>
  <c r="Z120" i="67"/>
  <c r="AA120" i="67"/>
  <c r="AB120" i="67"/>
  <c r="AC120" i="67"/>
  <c r="AD120" i="67"/>
  <c r="AE120" i="67"/>
  <c r="AF120" i="67"/>
  <c r="AG120" i="67"/>
  <c r="AH120" i="67"/>
  <c r="AI120" i="67"/>
  <c r="AJ120" i="67"/>
  <c r="AK120" i="67"/>
  <c r="AL120" i="67"/>
  <c r="AM120" i="67"/>
  <c r="AN120" i="67"/>
  <c r="AO120" i="67"/>
  <c r="AP120" i="67"/>
  <c r="AQ120" i="67"/>
  <c r="AR120" i="67"/>
  <c r="AS120" i="67"/>
  <c r="AT120" i="67"/>
  <c r="AU120" i="67"/>
  <c r="AW120" i="67"/>
  <c r="AX120" i="67"/>
  <c r="AY120" i="67"/>
  <c r="BA120" i="67"/>
  <c r="BC120" i="67"/>
  <c r="A121" i="67"/>
  <c r="B121" i="67"/>
  <c r="D121" i="67"/>
  <c r="E121" i="67"/>
  <c r="F121" i="67"/>
  <c r="G121" i="67"/>
  <c r="H121" i="67"/>
  <c r="J121" i="67"/>
  <c r="K121" i="67"/>
  <c r="L121" i="67"/>
  <c r="M121" i="67"/>
  <c r="O121" i="67"/>
  <c r="P121" i="67"/>
  <c r="R121" i="67"/>
  <c r="S121" i="67"/>
  <c r="U121" i="67"/>
  <c r="V121" i="67"/>
  <c r="W121" i="67"/>
  <c r="X121" i="67"/>
  <c r="Z121" i="67"/>
  <c r="AA121" i="67"/>
  <c r="AB121" i="67"/>
  <c r="AC121" i="67"/>
  <c r="AD121" i="67"/>
  <c r="AE121" i="67"/>
  <c r="AF121" i="67"/>
  <c r="AG121" i="67"/>
  <c r="AH121" i="67"/>
  <c r="AI121" i="67"/>
  <c r="AJ121" i="67"/>
  <c r="AK121" i="67"/>
  <c r="AL121" i="67"/>
  <c r="AM121" i="67"/>
  <c r="AN121" i="67"/>
  <c r="AO121" i="67"/>
  <c r="AP121" i="67"/>
  <c r="AQ121" i="67"/>
  <c r="AR121" i="67"/>
  <c r="AS121" i="67"/>
  <c r="AT121" i="67"/>
  <c r="AU121" i="67"/>
  <c r="AW121" i="67"/>
  <c r="AX121" i="67"/>
  <c r="AY121" i="67"/>
  <c r="BA121" i="67"/>
  <c r="BC121" i="67"/>
  <c r="A122" i="67"/>
  <c r="B122" i="67"/>
  <c r="D122" i="67"/>
  <c r="E122" i="67"/>
  <c r="F122" i="67"/>
  <c r="G122" i="67"/>
  <c r="H122" i="67"/>
  <c r="J122" i="67"/>
  <c r="K122" i="67"/>
  <c r="L122" i="67"/>
  <c r="M122" i="67"/>
  <c r="O122" i="67"/>
  <c r="P122" i="67"/>
  <c r="R122" i="67"/>
  <c r="S122" i="67"/>
  <c r="U122" i="67"/>
  <c r="V122" i="67"/>
  <c r="W122" i="67"/>
  <c r="X122" i="67"/>
  <c r="Z122" i="67"/>
  <c r="AA122" i="67"/>
  <c r="AB122" i="67"/>
  <c r="AC122" i="67"/>
  <c r="AD122" i="67"/>
  <c r="AE122" i="67"/>
  <c r="AF122" i="67"/>
  <c r="AG122" i="67"/>
  <c r="AH122" i="67"/>
  <c r="AI122" i="67"/>
  <c r="AJ122" i="67"/>
  <c r="AK122" i="67"/>
  <c r="AL122" i="67"/>
  <c r="AM122" i="67"/>
  <c r="AN122" i="67"/>
  <c r="AO122" i="67"/>
  <c r="AP122" i="67"/>
  <c r="AQ122" i="67"/>
  <c r="AR122" i="67"/>
  <c r="AS122" i="67"/>
  <c r="AT122" i="67"/>
  <c r="AU122" i="67"/>
  <c r="AW122" i="67"/>
  <c r="AX122" i="67"/>
  <c r="AY122" i="67"/>
  <c r="BA122" i="67"/>
  <c r="BC122" i="67"/>
  <c r="A123" i="67"/>
  <c r="B123" i="67"/>
  <c r="D123" i="67"/>
  <c r="E123" i="67"/>
  <c r="F123" i="67"/>
  <c r="G123" i="67"/>
  <c r="H123" i="67"/>
  <c r="J123" i="67"/>
  <c r="K123" i="67"/>
  <c r="L123" i="67"/>
  <c r="M123" i="67"/>
  <c r="O123" i="67"/>
  <c r="P123" i="67"/>
  <c r="R123" i="67"/>
  <c r="S123" i="67"/>
  <c r="U123" i="67"/>
  <c r="V123" i="67"/>
  <c r="W123" i="67"/>
  <c r="X123" i="67"/>
  <c r="Z123" i="67"/>
  <c r="AA123" i="67"/>
  <c r="AB123" i="67"/>
  <c r="AC123" i="67"/>
  <c r="AD123" i="67"/>
  <c r="AE123" i="67"/>
  <c r="AF123" i="67"/>
  <c r="AG123" i="67"/>
  <c r="AH123" i="67"/>
  <c r="AI123" i="67"/>
  <c r="AJ123" i="67"/>
  <c r="AK123" i="67"/>
  <c r="AL123" i="67"/>
  <c r="AM123" i="67"/>
  <c r="AN123" i="67"/>
  <c r="AO123" i="67"/>
  <c r="AP123" i="67"/>
  <c r="AQ123" i="67"/>
  <c r="AR123" i="67"/>
  <c r="AS123" i="67"/>
  <c r="AT123" i="67"/>
  <c r="AU123" i="67"/>
  <c r="AW123" i="67"/>
  <c r="AX123" i="67"/>
  <c r="AY123" i="67"/>
  <c r="BA123" i="67"/>
  <c r="BC123" i="67"/>
  <c r="A124" i="67"/>
  <c r="B124" i="67"/>
  <c r="D124" i="67"/>
  <c r="E124" i="67"/>
  <c r="F124" i="67"/>
  <c r="G124" i="67"/>
  <c r="H124" i="67"/>
  <c r="J124" i="67"/>
  <c r="K124" i="67"/>
  <c r="L124" i="67"/>
  <c r="M124" i="67"/>
  <c r="O124" i="67"/>
  <c r="P124" i="67"/>
  <c r="R124" i="67"/>
  <c r="S124" i="67"/>
  <c r="U124" i="67"/>
  <c r="V124" i="67"/>
  <c r="W124" i="67"/>
  <c r="X124" i="67"/>
  <c r="Z124" i="67"/>
  <c r="AA124" i="67"/>
  <c r="AB124" i="67"/>
  <c r="AC124" i="67"/>
  <c r="AD124" i="67"/>
  <c r="AE124" i="67"/>
  <c r="AF124" i="67"/>
  <c r="AG124" i="67"/>
  <c r="AH124" i="67"/>
  <c r="AI124" i="67"/>
  <c r="AJ124" i="67"/>
  <c r="AK124" i="67"/>
  <c r="AL124" i="67"/>
  <c r="AM124" i="67"/>
  <c r="AN124" i="67"/>
  <c r="AO124" i="67"/>
  <c r="AP124" i="67"/>
  <c r="AQ124" i="67"/>
  <c r="AR124" i="67"/>
  <c r="AS124" i="67"/>
  <c r="AT124" i="67"/>
  <c r="AU124" i="67"/>
  <c r="AW124" i="67"/>
  <c r="AX124" i="67"/>
  <c r="AY124" i="67"/>
  <c r="BA124" i="67"/>
  <c r="BC124" i="67"/>
  <c r="A125" i="67"/>
  <c r="B125" i="67"/>
  <c r="D125" i="67"/>
  <c r="E125" i="67"/>
  <c r="F125" i="67"/>
  <c r="G125" i="67"/>
  <c r="H125" i="67"/>
  <c r="J125" i="67"/>
  <c r="K125" i="67"/>
  <c r="L125" i="67"/>
  <c r="M125" i="67"/>
  <c r="O125" i="67"/>
  <c r="P125" i="67"/>
  <c r="R125" i="67"/>
  <c r="S125" i="67"/>
  <c r="U125" i="67"/>
  <c r="V125" i="67"/>
  <c r="W125" i="67"/>
  <c r="X125" i="67"/>
  <c r="Z125" i="67"/>
  <c r="AA125" i="67"/>
  <c r="AB125" i="67"/>
  <c r="AC125" i="67"/>
  <c r="AD125" i="67"/>
  <c r="AE125" i="67"/>
  <c r="AF125" i="67"/>
  <c r="AG125" i="67"/>
  <c r="AH125" i="67"/>
  <c r="AI125" i="67"/>
  <c r="AJ125" i="67"/>
  <c r="AK125" i="67"/>
  <c r="AL125" i="67"/>
  <c r="AM125" i="67"/>
  <c r="AN125" i="67"/>
  <c r="AO125" i="67"/>
  <c r="AP125" i="67"/>
  <c r="AQ125" i="67"/>
  <c r="AR125" i="67"/>
  <c r="AS125" i="67"/>
  <c r="AT125" i="67"/>
  <c r="AU125" i="67"/>
  <c r="AW125" i="67"/>
  <c r="AX125" i="67"/>
  <c r="AY125" i="67"/>
  <c r="BA125" i="67"/>
  <c r="BC125" i="67"/>
  <c r="A126" i="67"/>
  <c r="B126" i="67"/>
  <c r="D126" i="67"/>
  <c r="E126" i="67"/>
  <c r="F126" i="67"/>
  <c r="G126" i="67"/>
  <c r="H126" i="67"/>
  <c r="J126" i="67"/>
  <c r="K126" i="67"/>
  <c r="L126" i="67"/>
  <c r="M126" i="67"/>
  <c r="O126" i="67"/>
  <c r="P126" i="67"/>
  <c r="R126" i="67"/>
  <c r="S126" i="67"/>
  <c r="U126" i="67"/>
  <c r="V126" i="67"/>
  <c r="W126" i="67"/>
  <c r="X126" i="67"/>
  <c r="Z126" i="67"/>
  <c r="AA126" i="67"/>
  <c r="AB126" i="67"/>
  <c r="AC126" i="67"/>
  <c r="AD126" i="67"/>
  <c r="AE126" i="67"/>
  <c r="AF126" i="67"/>
  <c r="AG126" i="67"/>
  <c r="AH126" i="67"/>
  <c r="AI126" i="67"/>
  <c r="AJ126" i="67"/>
  <c r="AK126" i="67"/>
  <c r="AL126" i="67"/>
  <c r="AM126" i="67"/>
  <c r="AN126" i="67"/>
  <c r="AO126" i="67"/>
  <c r="AP126" i="67"/>
  <c r="AQ126" i="67"/>
  <c r="AR126" i="67"/>
  <c r="AS126" i="67"/>
  <c r="AT126" i="67"/>
  <c r="AU126" i="67"/>
  <c r="AW126" i="67"/>
  <c r="AX126" i="67"/>
  <c r="AY126" i="67"/>
  <c r="BA126" i="67"/>
  <c r="BC126" i="67"/>
  <c r="A127" i="67"/>
  <c r="B127" i="67"/>
  <c r="D127" i="67"/>
  <c r="E127" i="67"/>
  <c r="F127" i="67"/>
  <c r="G127" i="67"/>
  <c r="H127" i="67"/>
  <c r="J127" i="67"/>
  <c r="K127" i="67"/>
  <c r="L127" i="67"/>
  <c r="M127" i="67"/>
  <c r="O127" i="67"/>
  <c r="P127" i="67"/>
  <c r="R127" i="67"/>
  <c r="S127" i="67"/>
  <c r="U127" i="67"/>
  <c r="V127" i="67"/>
  <c r="W127" i="67"/>
  <c r="X127" i="67"/>
  <c r="Z127" i="67"/>
  <c r="AA127" i="67"/>
  <c r="AB127" i="67"/>
  <c r="AC127" i="67"/>
  <c r="AD127" i="67"/>
  <c r="AE127" i="67"/>
  <c r="AF127" i="67"/>
  <c r="AG127" i="67"/>
  <c r="AH127" i="67"/>
  <c r="AI127" i="67"/>
  <c r="AJ127" i="67"/>
  <c r="AK127" i="67"/>
  <c r="AL127" i="67"/>
  <c r="AM127" i="67"/>
  <c r="AN127" i="67"/>
  <c r="AO127" i="67"/>
  <c r="AP127" i="67"/>
  <c r="AQ127" i="67"/>
  <c r="AR127" i="67"/>
  <c r="AS127" i="67"/>
  <c r="AT127" i="67"/>
  <c r="AU127" i="67"/>
  <c r="AW127" i="67"/>
  <c r="AX127" i="67"/>
  <c r="AY127" i="67"/>
  <c r="BA127" i="67"/>
  <c r="BC127" i="67"/>
  <c r="A128" i="67"/>
  <c r="B128" i="67"/>
  <c r="D128" i="67"/>
  <c r="E128" i="67"/>
  <c r="F128" i="67"/>
  <c r="G128" i="67"/>
  <c r="H128" i="67"/>
  <c r="J128" i="67"/>
  <c r="K128" i="67"/>
  <c r="L128" i="67"/>
  <c r="M128" i="67"/>
  <c r="O128" i="67"/>
  <c r="P128" i="67"/>
  <c r="R128" i="67"/>
  <c r="S128" i="67"/>
  <c r="U128" i="67"/>
  <c r="V128" i="67"/>
  <c r="W128" i="67"/>
  <c r="X128" i="67"/>
  <c r="Z128" i="67"/>
  <c r="AA128" i="67"/>
  <c r="AB128" i="67"/>
  <c r="AC128" i="67"/>
  <c r="AD128" i="67"/>
  <c r="AE128" i="67"/>
  <c r="AF128" i="67"/>
  <c r="AG128" i="67"/>
  <c r="AH128" i="67"/>
  <c r="AI128" i="67"/>
  <c r="AJ128" i="67"/>
  <c r="AK128" i="67"/>
  <c r="AL128" i="67"/>
  <c r="AM128" i="67"/>
  <c r="AN128" i="67"/>
  <c r="AO128" i="67"/>
  <c r="AP128" i="67"/>
  <c r="AQ128" i="67"/>
  <c r="AR128" i="67"/>
  <c r="AS128" i="67"/>
  <c r="AT128" i="67"/>
  <c r="AU128" i="67"/>
  <c r="AW128" i="67"/>
  <c r="AX128" i="67"/>
  <c r="AY128" i="67"/>
  <c r="BA128" i="67"/>
  <c r="BC128" i="67"/>
  <c r="A129" i="67"/>
  <c r="B129" i="67"/>
  <c r="D129" i="67"/>
  <c r="E129" i="67"/>
  <c r="F129" i="67"/>
  <c r="G129" i="67"/>
  <c r="H129" i="67"/>
  <c r="J129" i="67"/>
  <c r="K129" i="67"/>
  <c r="L129" i="67"/>
  <c r="M129" i="67"/>
  <c r="O129" i="67"/>
  <c r="P129" i="67"/>
  <c r="R129" i="67"/>
  <c r="S129" i="67"/>
  <c r="U129" i="67"/>
  <c r="V129" i="67"/>
  <c r="W129" i="67"/>
  <c r="X129" i="67"/>
  <c r="Z129" i="67"/>
  <c r="AA129" i="67"/>
  <c r="AB129" i="67"/>
  <c r="AC129" i="67"/>
  <c r="AD129" i="67"/>
  <c r="AE129" i="67"/>
  <c r="AF129" i="67"/>
  <c r="AG129" i="67"/>
  <c r="AH129" i="67"/>
  <c r="AI129" i="67"/>
  <c r="AJ129" i="67"/>
  <c r="AK129" i="67"/>
  <c r="AL129" i="67"/>
  <c r="AM129" i="67"/>
  <c r="AN129" i="67"/>
  <c r="AO129" i="67"/>
  <c r="AP129" i="67"/>
  <c r="AQ129" i="67"/>
  <c r="AR129" i="67"/>
  <c r="AS129" i="67"/>
  <c r="AT129" i="67"/>
  <c r="AU129" i="67"/>
  <c r="AW129" i="67"/>
  <c r="AX129" i="67"/>
  <c r="AY129" i="67"/>
  <c r="BA129" i="67"/>
  <c r="BC129" i="67"/>
  <c r="A130" i="67"/>
  <c r="B130" i="67"/>
  <c r="D130" i="67"/>
  <c r="E130" i="67"/>
  <c r="F130" i="67"/>
  <c r="G130" i="67"/>
  <c r="H130" i="67"/>
  <c r="J130" i="67"/>
  <c r="K130" i="67"/>
  <c r="L130" i="67"/>
  <c r="M130" i="67"/>
  <c r="O130" i="67"/>
  <c r="P130" i="67"/>
  <c r="R130" i="67"/>
  <c r="S130" i="67"/>
  <c r="U130" i="67"/>
  <c r="V130" i="67"/>
  <c r="W130" i="67"/>
  <c r="X130" i="67"/>
  <c r="Z130" i="67"/>
  <c r="AA130" i="67"/>
  <c r="AB130" i="67"/>
  <c r="AC130" i="67"/>
  <c r="AD130" i="67"/>
  <c r="AE130" i="67"/>
  <c r="AF130" i="67"/>
  <c r="AG130" i="67"/>
  <c r="AH130" i="67"/>
  <c r="AI130" i="67"/>
  <c r="AJ130" i="67"/>
  <c r="AK130" i="67"/>
  <c r="AL130" i="67"/>
  <c r="AM130" i="67"/>
  <c r="AN130" i="67"/>
  <c r="AO130" i="67"/>
  <c r="AP130" i="67"/>
  <c r="AQ130" i="67"/>
  <c r="AR130" i="67"/>
  <c r="AS130" i="67"/>
  <c r="AT130" i="67"/>
  <c r="AU130" i="67"/>
  <c r="AW130" i="67"/>
  <c r="AX130" i="67"/>
  <c r="AY130" i="67"/>
  <c r="BA130" i="67"/>
  <c r="BC130" i="67"/>
  <c r="A131" i="67"/>
  <c r="B131" i="67"/>
  <c r="D131" i="67"/>
  <c r="E131" i="67"/>
  <c r="F131" i="67"/>
  <c r="G131" i="67"/>
  <c r="H131" i="67"/>
  <c r="J131" i="67"/>
  <c r="K131" i="67"/>
  <c r="L131" i="67"/>
  <c r="M131" i="67"/>
  <c r="O131" i="67"/>
  <c r="P131" i="67"/>
  <c r="R131" i="67"/>
  <c r="S131" i="67"/>
  <c r="U131" i="67"/>
  <c r="V131" i="67"/>
  <c r="W131" i="67"/>
  <c r="X131" i="67"/>
  <c r="Z131" i="67"/>
  <c r="AA131" i="67"/>
  <c r="AB131" i="67"/>
  <c r="AC131" i="67"/>
  <c r="AD131" i="67"/>
  <c r="AE131" i="67"/>
  <c r="AF131" i="67"/>
  <c r="AG131" i="67"/>
  <c r="AH131" i="67"/>
  <c r="AI131" i="67"/>
  <c r="AJ131" i="67"/>
  <c r="AK131" i="67"/>
  <c r="AL131" i="67"/>
  <c r="AM131" i="67"/>
  <c r="AN131" i="67"/>
  <c r="AO131" i="67"/>
  <c r="AP131" i="67"/>
  <c r="AQ131" i="67"/>
  <c r="AR131" i="67"/>
  <c r="AS131" i="67"/>
  <c r="AT131" i="67"/>
  <c r="AU131" i="67"/>
  <c r="AW131" i="67"/>
  <c r="AX131" i="67"/>
  <c r="AY131" i="67"/>
  <c r="BA131" i="67"/>
  <c r="BC131" i="67"/>
  <c r="A132" i="67"/>
  <c r="B132" i="67"/>
  <c r="D132" i="67"/>
  <c r="E132" i="67"/>
  <c r="F132" i="67"/>
  <c r="G132" i="67"/>
  <c r="H132" i="67"/>
  <c r="J132" i="67"/>
  <c r="K132" i="67"/>
  <c r="L132" i="67"/>
  <c r="M132" i="67"/>
  <c r="O132" i="67"/>
  <c r="P132" i="67"/>
  <c r="R132" i="67"/>
  <c r="S132" i="67"/>
  <c r="U132" i="67"/>
  <c r="V132" i="67"/>
  <c r="W132" i="67"/>
  <c r="X132" i="67"/>
  <c r="Z132" i="67"/>
  <c r="AA132" i="67"/>
  <c r="AB132" i="67"/>
  <c r="AC132" i="67"/>
  <c r="AD132" i="67"/>
  <c r="AE132" i="67"/>
  <c r="AF132" i="67"/>
  <c r="AG132" i="67"/>
  <c r="AH132" i="67"/>
  <c r="AI132" i="67"/>
  <c r="AJ132" i="67"/>
  <c r="AK132" i="67"/>
  <c r="AL132" i="67"/>
  <c r="AM132" i="67"/>
  <c r="AN132" i="67"/>
  <c r="AO132" i="67"/>
  <c r="AP132" i="67"/>
  <c r="AQ132" i="67"/>
  <c r="AR132" i="67"/>
  <c r="AS132" i="67"/>
  <c r="AT132" i="67"/>
  <c r="AU132" i="67"/>
  <c r="AW132" i="67"/>
  <c r="AX132" i="67"/>
  <c r="AY132" i="67"/>
  <c r="BA132" i="67"/>
  <c r="BC132" i="67"/>
  <c r="A133" i="67"/>
  <c r="B133" i="67"/>
  <c r="D133" i="67"/>
  <c r="E133" i="67"/>
  <c r="F133" i="67"/>
  <c r="G133" i="67"/>
  <c r="H133" i="67"/>
  <c r="J133" i="67"/>
  <c r="K133" i="67"/>
  <c r="L133" i="67"/>
  <c r="M133" i="67"/>
  <c r="O133" i="67"/>
  <c r="P133" i="67"/>
  <c r="R133" i="67"/>
  <c r="S133" i="67"/>
  <c r="U133" i="67"/>
  <c r="V133" i="67"/>
  <c r="W133" i="67"/>
  <c r="X133" i="67"/>
  <c r="Z133" i="67"/>
  <c r="AA133" i="67"/>
  <c r="AB133" i="67"/>
  <c r="AC133" i="67"/>
  <c r="AD133" i="67"/>
  <c r="AE133" i="67"/>
  <c r="AF133" i="67"/>
  <c r="AG133" i="67"/>
  <c r="AH133" i="67"/>
  <c r="AI133" i="67"/>
  <c r="AJ133" i="67"/>
  <c r="AK133" i="67"/>
  <c r="AL133" i="67"/>
  <c r="AM133" i="67"/>
  <c r="AN133" i="67"/>
  <c r="AO133" i="67"/>
  <c r="AP133" i="67"/>
  <c r="AQ133" i="67"/>
  <c r="AR133" i="67"/>
  <c r="AS133" i="67"/>
  <c r="AT133" i="67"/>
  <c r="AU133" i="67"/>
  <c r="AW133" i="67"/>
  <c r="AX133" i="67"/>
  <c r="AY133" i="67"/>
  <c r="BA133" i="67"/>
  <c r="BC133" i="67"/>
  <c r="A134" i="67"/>
  <c r="B134" i="67"/>
  <c r="D134" i="67"/>
  <c r="E134" i="67"/>
  <c r="F134" i="67"/>
  <c r="G134" i="67"/>
  <c r="H134" i="67"/>
  <c r="J134" i="67"/>
  <c r="K134" i="67"/>
  <c r="L134" i="67"/>
  <c r="M134" i="67"/>
  <c r="O134" i="67"/>
  <c r="P134" i="67"/>
  <c r="R134" i="67"/>
  <c r="S134" i="67"/>
  <c r="U134" i="67"/>
  <c r="V134" i="67"/>
  <c r="W134" i="67"/>
  <c r="X134" i="67"/>
  <c r="Z134" i="67"/>
  <c r="AA134" i="67"/>
  <c r="AB134" i="67"/>
  <c r="AC134" i="67"/>
  <c r="AD134" i="67"/>
  <c r="AE134" i="67"/>
  <c r="AF134" i="67"/>
  <c r="AG134" i="67"/>
  <c r="AH134" i="67"/>
  <c r="AI134" i="67"/>
  <c r="AJ134" i="67"/>
  <c r="AK134" i="67"/>
  <c r="AL134" i="67"/>
  <c r="AM134" i="67"/>
  <c r="AN134" i="67"/>
  <c r="AO134" i="67"/>
  <c r="AP134" i="67"/>
  <c r="AQ134" i="67"/>
  <c r="AR134" i="67"/>
  <c r="AS134" i="67"/>
  <c r="AT134" i="67"/>
  <c r="AU134" i="67"/>
  <c r="AW134" i="67"/>
  <c r="AX134" i="67"/>
  <c r="AY134" i="67"/>
  <c r="BA134" i="67"/>
  <c r="BC134" i="67"/>
  <c r="A135" i="67"/>
  <c r="B135" i="67"/>
  <c r="D135" i="67"/>
  <c r="E135" i="67"/>
  <c r="F135" i="67"/>
  <c r="G135" i="67"/>
  <c r="H135" i="67"/>
  <c r="J135" i="67"/>
  <c r="K135" i="67"/>
  <c r="L135" i="67"/>
  <c r="M135" i="67"/>
  <c r="O135" i="67"/>
  <c r="P135" i="67"/>
  <c r="R135" i="67"/>
  <c r="S135" i="67"/>
  <c r="U135" i="67"/>
  <c r="V135" i="67"/>
  <c r="W135" i="67"/>
  <c r="X135" i="67"/>
  <c r="Z135" i="67"/>
  <c r="AA135" i="67"/>
  <c r="AB135" i="67"/>
  <c r="AC135" i="67"/>
  <c r="AD135" i="67"/>
  <c r="AE135" i="67"/>
  <c r="AF135" i="67"/>
  <c r="AG135" i="67"/>
  <c r="AH135" i="67"/>
  <c r="AI135" i="67"/>
  <c r="AJ135" i="67"/>
  <c r="AK135" i="67"/>
  <c r="AL135" i="67"/>
  <c r="AM135" i="67"/>
  <c r="AN135" i="67"/>
  <c r="AO135" i="67"/>
  <c r="AP135" i="67"/>
  <c r="AQ135" i="67"/>
  <c r="AR135" i="67"/>
  <c r="AS135" i="67"/>
  <c r="AT135" i="67"/>
  <c r="AU135" i="67"/>
  <c r="AW135" i="67"/>
  <c r="AX135" i="67"/>
  <c r="AY135" i="67"/>
  <c r="BA135" i="67"/>
  <c r="BC135" i="67"/>
  <c r="A136" i="67"/>
  <c r="B136" i="67"/>
  <c r="D136" i="67"/>
  <c r="E136" i="67"/>
  <c r="F136" i="67"/>
  <c r="G136" i="67"/>
  <c r="H136" i="67"/>
  <c r="J136" i="67"/>
  <c r="K136" i="67"/>
  <c r="L136" i="67"/>
  <c r="M136" i="67"/>
  <c r="O136" i="67"/>
  <c r="P136" i="67"/>
  <c r="R136" i="67"/>
  <c r="S136" i="67"/>
  <c r="U136" i="67"/>
  <c r="V136" i="67"/>
  <c r="W136" i="67"/>
  <c r="X136" i="67"/>
  <c r="Z136" i="67"/>
  <c r="AA136" i="67"/>
  <c r="AB136" i="67"/>
  <c r="AC136" i="67"/>
  <c r="AD136" i="67"/>
  <c r="AE136" i="67"/>
  <c r="AF136" i="67"/>
  <c r="AG136" i="67"/>
  <c r="AH136" i="67"/>
  <c r="AI136" i="67"/>
  <c r="AJ136" i="67"/>
  <c r="AK136" i="67"/>
  <c r="AL136" i="67"/>
  <c r="AM136" i="67"/>
  <c r="AN136" i="67"/>
  <c r="AO136" i="67"/>
  <c r="AP136" i="67"/>
  <c r="AQ136" i="67"/>
  <c r="AR136" i="67"/>
  <c r="AS136" i="67"/>
  <c r="AT136" i="67"/>
  <c r="AU136" i="67"/>
  <c r="AW136" i="67"/>
  <c r="AX136" i="67"/>
  <c r="AY136" i="67"/>
  <c r="BA136" i="67"/>
  <c r="BC136" i="67"/>
  <c r="A137" i="67"/>
  <c r="B137" i="67"/>
  <c r="D137" i="67"/>
  <c r="E137" i="67"/>
  <c r="F137" i="67"/>
  <c r="G137" i="67"/>
  <c r="H137" i="67"/>
  <c r="J137" i="67"/>
  <c r="K137" i="67"/>
  <c r="L137" i="67"/>
  <c r="M137" i="67"/>
  <c r="O137" i="67"/>
  <c r="P137" i="67"/>
  <c r="R137" i="67"/>
  <c r="S137" i="67"/>
  <c r="U137" i="67"/>
  <c r="V137" i="67"/>
  <c r="W137" i="67"/>
  <c r="X137" i="67"/>
  <c r="Z137" i="67"/>
  <c r="AA137" i="67"/>
  <c r="AB137" i="67"/>
  <c r="AC137" i="67"/>
  <c r="AD137" i="67"/>
  <c r="AE137" i="67"/>
  <c r="AF137" i="67"/>
  <c r="AG137" i="67"/>
  <c r="AH137" i="67"/>
  <c r="AI137" i="67"/>
  <c r="AJ137" i="67"/>
  <c r="AK137" i="67"/>
  <c r="AL137" i="67"/>
  <c r="AM137" i="67"/>
  <c r="AN137" i="67"/>
  <c r="AO137" i="67"/>
  <c r="AP137" i="67"/>
  <c r="AQ137" i="67"/>
  <c r="AR137" i="67"/>
  <c r="AS137" i="67"/>
  <c r="AT137" i="67"/>
  <c r="AU137" i="67"/>
  <c r="AW137" i="67"/>
  <c r="AX137" i="67"/>
  <c r="AY137" i="67"/>
  <c r="BA137" i="67"/>
  <c r="BC137" i="67"/>
  <c r="A138" i="67"/>
  <c r="B138" i="67"/>
  <c r="D138" i="67"/>
  <c r="E138" i="67"/>
  <c r="F138" i="67"/>
  <c r="G138" i="67"/>
  <c r="H138" i="67"/>
  <c r="J138" i="67"/>
  <c r="K138" i="67"/>
  <c r="L138" i="67"/>
  <c r="M138" i="67"/>
  <c r="O138" i="67"/>
  <c r="P138" i="67"/>
  <c r="R138" i="67"/>
  <c r="S138" i="67"/>
  <c r="U138" i="67"/>
  <c r="V138" i="67"/>
  <c r="W138" i="67"/>
  <c r="X138" i="67"/>
  <c r="Z138" i="67"/>
  <c r="AA138" i="67"/>
  <c r="AB138" i="67"/>
  <c r="AC138" i="67"/>
  <c r="AD138" i="67"/>
  <c r="AE138" i="67"/>
  <c r="AF138" i="67"/>
  <c r="AG138" i="67"/>
  <c r="AH138" i="67"/>
  <c r="AI138" i="67"/>
  <c r="AJ138" i="67"/>
  <c r="AK138" i="67"/>
  <c r="AL138" i="67"/>
  <c r="AM138" i="67"/>
  <c r="AN138" i="67"/>
  <c r="AO138" i="67"/>
  <c r="AP138" i="67"/>
  <c r="AQ138" i="67"/>
  <c r="AR138" i="67"/>
  <c r="AS138" i="67"/>
  <c r="AT138" i="67"/>
  <c r="AU138" i="67"/>
  <c r="AW138" i="67"/>
  <c r="AX138" i="67"/>
  <c r="AY138" i="67"/>
  <c r="BA138" i="67"/>
  <c r="BC138" i="67"/>
  <c r="A139" i="67"/>
  <c r="B139" i="67"/>
  <c r="D139" i="67"/>
  <c r="E139" i="67"/>
  <c r="F139" i="67"/>
  <c r="G139" i="67"/>
  <c r="H139" i="67"/>
  <c r="J139" i="67"/>
  <c r="K139" i="67"/>
  <c r="L139" i="67"/>
  <c r="M139" i="67"/>
  <c r="O139" i="67"/>
  <c r="P139" i="67"/>
  <c r="R139" i="67"/>
  <c r="S139" i="67"/>
  <c r="U139" i="67"/>
  <c r="V139" i="67"/>
  <c r="W139" i="67"/>
  <c r="X139" i="67"/>
  <c r="Z139" i="67"/>
  <c r="AA139" i="67"/>
  <c r="AB139" i="67"/>
  <c r="AC139" i="67"/>
  <c r="AD139" i="67"/>
  <c r="AE139" i="67"/>
  <c r="AF139" i="67"/>
  <c r="AG139" i="67"/>
  <c r="AH139" i="67"/>
  <c r="AI139" i="67"/>
  <c r="AJ139" i="67"/>
  <c r="AK139" i="67"/>
  <c r="AL139" i="67"/>
  <c r="AM139" i="67"/>
  <c r="AN139" i="67"/>
  <c r="AO139" i="67"/>
  <c r="AP139" i="67"/>
  <c r="AQ139" i="67"/>
  <c r="AR139" i="67"/>
  <c r="AS139" i="67"/>
  <c r="AT139" i="67"/>
  <c r="AU139" i="67"/>
  <c r="AW139" i="67"/>
  <c r="AX139" i="67"/>
  <c r="AY139" i="67"/>
  <c r="BA139" i="67"/>
  <c r="BC139" i="67"/>
  <c r="A140" i="67"/>
  <c r="B140" i="67"/>
  <c r="D140" i="67"/>
  <c r="E140" i="67"/>
  <c r="F140" i="67"/>
  <c r="G140" i="67"/>
  <c r="H140" i="67"/>
  <c r="J140" i="67"/>
  <c r="K140" i="67"/>
  <c r="L140" i="67"/>
  <c r="M140" i="67"/>
  <c r="O140" i="67"/>
  <c r="P140" i="67"/>
  <c r="R140" i="67"/>
  <c r="S140" i="67"/>
  <c r="U140" i="67"/>
  <c r="V140" i="67"/>
  <c r="W140" i="67"/>
  <c r="X140" i="67"/>
  <c r="Z140" i="67"/>
  <c r="AA140" i="67"/>
  <c r="AB140" i="67"/>
  <c r="AC140" i="67"/>
  <c r="AD140" i="67"/>
  <c r="AE140" i="67"/>
  <c r="AF140" i="67"/>
  <c r="AG140" i="67"/>
  <c r="AH140" i="67"/>
  <c r="AI140" i="67"/>
  <c r="AJ140" i="67"/>
  <c r="AK140" i="67"/>
  <c r="AL140" i="67"/>
  <c r="AM140" i="67"/>
  <c r="AN140" i="67"/>
  <c r="AO140" i="67"/>
  <c r="AP140" i="67"/>
  <c r="AQ140" i="67"/>
  <c r="AR140" i="67"/>
  <c r="AS140" i="67"/>
  <c r="AT140" i="67"/>
  <c r="AU140" i="67"/>
  <c r="AW140" i="67"/>
  <c r="AX140" i="67"/>
  <c r="AY140" i="67"/>
  <c r="BA140" i="67"/>
  <c r="BC140" i="67"/>
  <c r="A141" i="67"/>
  <c r="B141" i="67"/>
  <c r="D141" i="67"/>
  <c r="E141" i="67"/>
  <c r="F141" i="67"/>
  <c r="G141" i="67"/>
  <c r="H141" i="67"/>
  <c r="J141" i="67"/>
  <c r="K141" i="67"/>
  <c r="L141" i="67"/>
  <c r="M141" i="67"/>
  <c r="O141" i="67"/>
  <c r="P141" i="67"/>
  <c r="R141" i="67"/>
  <c r="S141" i="67"/>
  <c r="U141" i="67"/>
  <c r="V141" i="67"/>
  <c r="W141" i="67"/>
  <c r="X141" i="67"/>
  <c r="Z141" i="67"/>
  <c r="AA141" i="67"/>
  <c r="AB141" i="67"/>
  <c r="AC141" i="67"/>
  <c r="AD141" i="67"/>
  <c r="AE141" i="67"/>
  <c r="AF141" i="67"/>
  <c r="AG141" i="67"/>
  <c r="AH141" i="67"/>
  <c r="AI141" i="67"/>
  <c r="AJ141" i="67"/>
  <c r="AK141" i="67"/>
  <c r="AL141" i="67"/>
  <c r="AM141" i="67"/>
  <c r="AN141" i="67"/>
  <c r="AO141" i="67"/>
  <c r="AP141" i="67"/>
  <c r="AQ141" i="67"/>
  <c r="AR141" i="67"/>
  <c r="AS141" i="67"/>
  <c r="AT141" i="67"/>
  <c r="AU141" i="67"/>
  <c r="AW141" i="67"/>
  <c r="AX141" i="67"/>
  <c r="AY141" i="67"/>
  <c r="BA141" i="67"/>
  <c r="BC141" i="67"/>
  <c r="A142" i="67"/>
  <c r="B142" i="67"/>
  <c r="D142" i="67"/>
  <c r="E142" i="67"/>
  <c r="F142" i="67"/>
  <c r="G142" i="67"/>
  <c r="H142" i="67"/>
  <c r="J142" i="67"/>
  <c r="K142" i="67"/>
  <c r="L142" i="67"/>
  <c r="M142" i="67"/>
  <c r="O142" i="67"/>
  <c r="P142" i="67"/>
  <c r="R142" i="67"/>
  <c r="S142" i="67"/>
  <c r="U142" i="67"/>
  <c r="V142" i="67"/>
  <c r="W142" i="67"/>
  <c r="X142" i="67"/>
  <c r="Z142" i="67"/>
  <c r="AA142" i="67"/>
  <c r="AB142" i="67"/>
  <c r="AC142" i="67"/>
  <c r="AD142" i="67"/>
  <c r="AE142" i="67"/>
  <c r="AF142" i="67"/>
  <c r="AG142" i="67"/>
  <c r="AH142" i="67"/>
  <c r="AI142" i="67"/>
  <c r="AJ142" i="67"/>
  <c r="AK142" i="67"/>
  <c r="AL142" i="67"/>
  <c r="AM142" i="67"/>
  <c r="AN142" i="67"/>
  <c r="AO142" i="67"/>
  <c r="AP142" i="67"/>
  <c r="AQ142" i="67"/>
  <c r="AR142" i="67"/>
  <c r="AS142" i="67"/>
  <c r="AT142" i="67"/>
  <c r="AU142" i="67"/>
  <c r="AW142" i="67"/>
  <c r="AX142" i="67"/>
  <c r="AY142" i="67"/>
  <c r="BA142" i="67"/>
  <c r="BC142" i="67"/>
  <c r="A143" i="67"/>
  <c r="B143" i="67"/>
  <c r="D143" i="67"/>
  <c r="E143" i="67"/>
  <c r="F143" i="67"/>
  <c r="G143" i="67"/>
  <c r="H143" i="67"/>
  <c r="J143" i="67"/>
  <c r="K143" i="67"/>
  <c r="L143" i="67"/>
  <c r="M143" i="67"/>
  <c r="O143" i="67"/>
  <c r="P143" i="67"/>
  <c r="R143" i="67"/>
  <c r="S143" i="67"/>
  <c r="U143" i="67"/>
  <c r="V143" i="67"/>
  <c r="W143" i="67"/>
  <c r="X143" i="67"/>
  <c r="Z143" i="67"/>
  <c r="AA143" i="67"/>
  <c r="AB143" i="67"/>
  <c r="AC143" i="67"/>
  <c r="AD143" i="67"/>
  <c r="AE143" i="67"/>
  <c r="AF143" i="67"/>
  <c r="AG143" i="67"/>
  <c r="AH143" i="67"/>
  <c r="AI143" i="67"/>
  <c r="AJ143" i="67"/>
  <c r="AK143" i="67"/>
  <c r="AL143" i="67"/>
  <c r="AM143" i="67"/>
  <c r="AN143" i="67"/>
  <c r="AO143" i="67"/>
  <c r="AP143" i="67"/>
  <c r="AQ143" i="67"/>
  <c r="AR143" i="67"/>
  <c r="AS143" i="67"/>
  <c r="AT143" i="67"/>
  <c r="AU143" i="67"/>
  <c r="AW143" i="67"/>
  <c r="AX143" i="67"/>
  <c r="AY143" i="67"/>
  <c r="BA143" i="67"/>
  <c r="BC143" i="67"/>
  <c r="A144" i="67"/>
  <c r="B144" i="67"/>
  <c r="D144" i="67"/>
  <c r="E144" i="67"/>
  <c r="F144" i="67"/>
  <c r="G144" i="67"/>
  <c r="H144" i="67"/>
  <c r="J144" i="67"/>
  <c r="K144" i="67"/>
  <c r="L144" i="67"/>
  <c r="M144" i="67"/>
  <c r="O144" i="67"/>
  <c r="P144" i="67"/>
  <c r="R144" i="67"/>
  <c r="S144" i="67"/>
  <c r="U144" i="67"/>
  <c r="V144" i="67"/>
  <c r="W144" i="67"/>
  <c r="X144" i="67"/>
  <c r="Z144" i="67"/>
  <c r="AA144" i="67"/>
  <c r="AB144" i="67"/>
  <c r="AC144" i="67"/>
  <c r="AD144" i="67"/>
  <c r="AE144" i="67"/>
  <c r="AF144" i="67"/>
  <c r="AG144" i="67"/>
  <c r="AH144" i="67"/>
  <c r="AI144" i="67"/>
  <c r="AJ144" i="67"/>
  <c r="AK144" i="67"/>
  <c r="AL144" i="67"/>
  <c r="AM144" i="67"/>
  <c r="AN144" i="67"/>
  <c r="AO144" i="67"/>
  <c r="AP144" i="67"/>
  <c r="AQ144" i="67"/>
  <c r="AR144" i="67"/>
  <c r="AS144" i="67"/>
  <c r="AT144" i="67"/>
  <c r="AU144" i="67"/>
  <c r="AW144" i="67"/>
  <c r="AX144" i="67"/>
  <c r="AY144" i="67"/>
  <c r="BA144" i="67"/>
  <c r="BC144" i="67"/>
  <c r="A145" i="67"/>
  <c r="B145" i="67"/>
  <c r="D145" i="67"/>
  <c r="E145" i="67"/>
  <c r="F145" i="67"/>
  <c r="G145" i="67"/>
  <c r="H145" i="67"/>
  <c r="J145" i="67"/>
  <c r="K145" i="67"/>
  <c r="L145" i="67"/>
  <c r="M145" i="67"/>
  <c r="O145" i="67"/>
  <c r="P145" i="67"/>
  <c r="R145" i="67"/>
  <c r="S145" i="67"/>
  <c r="U145" i="67"/>
  <c r="V145" i="67"/>
  <c r="W145" i="67"/>
  <c r="X145" i="67"/>
  <c r="Z145" i="67"/>
  <c r="AA145" i="67"/>
  <c r="AB145" i="67"/>
  <c r="AC145" i="67"/>
  <c r="AD145" i="67"/>
  <c r="AE145" i="67"/>
  <c r="AF145" i="67"/>
  <c r="AG145" i="67"/>
  <c r="AH145" i="67"/>
  <c r="AI145" i="67"/>
  <c r="AJ145" i="67"/>
  <c r="AK145" i="67"/>
  <c r="AL145" i="67"/>
  <c r="AM145" i="67"/>
  <c r="AN145" i="67"/>
  <c r="AO145" i="67"/>
  <c r="AP145" i="67"/>
  <c r="AQ145" i="67"/>
  <c r="AR145" i="67"/>
  <c r="AS145" i="67"/>
  <c r="AT145" i="67"/>
  <c r="AU145" i="67"/>
  <c r="AW145" i="67"/>
  <c r="AX145" i="67"/>
  <c r="AY145" i="67"/>
  <c r="BA145" i="67"/>
  <c r="BC145" i="67"/>
  <c r="A146" i="67"/>
  <c r="B146" i="67"/>
  <c r="D146" i="67"/>
  <c r="E146" i="67"/>
  <c r="F146" i="67"/>
  <c r="G146" i="67"/>
  <c r="H146" i="67"/>
  <c r="J146" i="67"/>
  <c r="K146" i="67"/>
  <c r="L146" i="67"/>
  <c r="M146" i="67"/>
  <c r="O146" i="67"/>
  <c r="P146" i="67"/>
  <c r="R146" i="67"/>
  <c r="S146" i="67"/>
  <c r="U146" i="67"/>
  <c r="V146" i="67"/>
  <c r="W146" i="67"/>
  <c r="X146" i="67"/>
  <c r="Z146" i="67"/>
  <c r="AA146" i="67"/>
  <c r="AB146" i="67"/>
  <c r="AC146" i="67"/>
  <c r="AD146" i="67"/>
  <c r="AE146" i="67"/>
  <c r="AF146" i="67"/>
  <c r="AG146" i="67"/>
  <c r="AH146" i="67"/>
  <c r="AI146" i="67"/>
  <c r="AJ146" i="67"/>
  <c r="AK146" i="67"/>
  <c r="AL146" i="67"/>
  <c r="AM146" i="67"/>
  <c r="AN146" i="67"/>
  <c r="AO146" i="67"/>
  <c r="AP146" i="67"/>
  <c r="AQ146" i="67"/>
  <c r="AR146" i="67"/>
  <c r="AS146" i="67"/>
  <c r="AT146" i="67"/>
  <c r="AU146" i="67"/>
  <c r="AW146" i="67"/>
  <c r="AX146" i="67"/>
  <c r="AY146" i="67"/>
  <c r="BA146" i="67"/>
  <c r="BC146" i="67"/>
  <c r="A147" i="67"/>
  <c r="B147" i="67"/>
  <c r="D147" i="67"/>
  <c r="E147" i="67"/>
  <c r="F147" i="67"/>
  <c r="G147" i="67"/>
  <c r="H147" i="67"/>
  <c r="J147" i="67"/>
  <c r="K147" i="67"/>
  <c r="L147" i="67"/>
  <c r="M147" i="67"/>
  <c r="O147" i="67"/>
  <c r="P147" i="67"/>
  <c r="R147" i="67"/>
  <c r="S147" i="67"/>
  <c r="U147" i="67"/>
  <c r="V147" i="67"/>
  <c r="W147" i="67"/>
  <c r="X147" i="67"/>
  <c r="Z147" i="67"/>
  <c r="AA147" i="67"/>
  <c r="AB147" i="67"/>
  <c r="AC147" i="67"/>
  <c r="AD147" i="67"/>
  <c r="AE147" i="67"/>
  <c r="AF147" i="67"/>
  <c r="AG147" i="67"/>
  <c r="AH147" i="67"/>
  <c r="AI147" i="67"/>
  <c r="AJ147" i="67"/>
  <c r="AK147" i="67"/>
  <c r="AL147" i="67"/>
  <c r="AM147" i="67"/>
  <c r="AN147" i="67"/>
  <c r="AO147" i="67"/>
  <c r="AP147" i="67"/>
  <c r="AQ147" i="67"/>
  <c r="AR147" i="67"/>
  <c r="AS147" i="67"/>
  <c r="AT147" i="67"/>
  <c r="AU147" i="67"/>
  <c r="AW147" i="67"/>
  <c r="AX147" i="67"/>
  <c r="AY147" i="67"/>
  <c r="BA147" i="67"/>
  <c r="BC147" i="67"/>
  <c r="A148" i="67"/>
  <c r="B148" i="67"/>
  <c r="D148" i="67"/>
  <c r="E148" i="67"/>
  <c r="F148" i="67"/>
  <c r="G148" i="67"/>
  <c r="H148" i="67"/>
  <c r="J148" i="67"/>
  <c r="K148" i="67"/>
  <c r="L148" i="67"/>
  <c r="M148" i="67"/>
  <c r="O148" i="67"/>
  <c r="P148" i="67"/>
  <c r="R148" i="67"/>
  <c r="S148" i="67"/>
  <c r="U148" i="67"/>
  <c r="V148" i="67"/>
  <c r="W148" i="67"/>
  <c r="X148" i="67"/>
  <c r="Z148" i="67"/>
  <c r="AA148" i="67"/>
  <c r="AB148" i="67"/>
  <c r="AC148" i="67"/>
  <c r="AD148" i="67"/>
  <c r="AE148" i="67"/>
  <c r="AF148" i="67"/>
  <c r="AG148" i="67"/>
  <c r="AH148" i="67"/>
  <c r="AI148" i="67"/>
  <c r="AJ148" i="67"/>
  <c r="AK148" i="67"/>
  <c r="AL148" i="67"/>
  <c r="AM148" i="67"/>
  <c r="AN148" i="67"/>
  <c r="AO148" i="67"/>
  <c r="AP148" i="67"/>
  <c r="AQ148" i="67"/>
  <c r="AR148" i="67"/>
  <c r="AS148" i="67"/>
  <c r="AT148" i="67"/>
  <c r="AU148" i="67"/>
  <c r="AW148" i="67"/>
  <c r="AX148" i="67"/>
  <c r="AY148" i="67"/>
  <c r="BA148" i="67"/>
  <c r="BC148" i="67"/>
  <c r="A149" i="67"/>
  <c r="B149" i="67"/>
  <c r="D149" i="67"/>
  <c r="E149" i="67"/>
  <c r="F149" i="67"/>
  <c r="G149" i="67"/>
  <c r="H149" i="67"/>
  <c r="J149" i="67"/>
  <c r="K149" i="67"/>
  <c r="L149" i="67"/>
  <c r="M149" i="67"/>
  <c r="O149" i="67"/>
  <c r="P149" i="67"/>
  <c r="R149" i="67"/>
  <c r="S149" i="67"/>
  <c r="U149" i="67"/>
  <c r="V149" i="67"/>
  <c r="W149" i="67"/>
  <c r="X149" i="67"/>
  <c r="Z149" i="67"/>
  <c r="AA149" i="67"/>
  <c r="AB149" i="67"/>
  <c r="AC149" i="67"/>
  <c r="AD149" i="67"/>
  <c r="AE149" i="67"/>
  <c r="AF149" i="67"/>
  <c r="AG149" i="67"/>
  <c r="AH149" i="67"/>
  <c r="AI149" i="67"/>
  <c r="AJ149" i="67"/>
  <c r="AK149" i="67"/>
  <c r="AL149" i="67"/>
  <c r="AM149" i="67"/>
  <c r="AN149" i="67"/>
  <c r="AO149" i="67"/>
  <c r="AP149" i="67"/>
  <c r="AQ149" i="67"/>
  <c r="AR149" i="67"/>
  <c r="AS149" i="67"/>
  <c r="AT149" i="67"/>
  <c r="AU149" i="67"/>
  <c r="AW149" i="67"/>
  <c r="AX149" i="67"/>
  <c r="AY149" i="67"/>
  <c r="BA149" i="67"/>
  <c r="BC149" i="67"/>
  <c r="A150" i="67"/>
  <c r="B150" i="67"/>
  <c r="D150" i="67"/>
  <c r="E150" i="67"/>
  <c r="F150" i="67"/>
  <c r="G150" i="67"/>
  <c r="H150" i="67"/>
  <c r="J150" i="67"/>
  <c r="K150" i="67"/>
  <c r="L150" i="67"/>
  <c r="M150" i="67"/>
  <c r="O150" i="67"/>
  <c r="P150" i="67"/>
  <c r="R150" i="67"/>
  <c r="S150" i="67"/>
  <c r="U150" i="67"/>
  <c r="V150" i="67"/>
  <c r="W150" i="67"/>
  <c r="X150" i="67"/>
  <c r="Z150" i="67"/>
  <c r="AA150" i="67"/>
  <c r="AB150" i="67"/>
  <c r="AC150" i="67"/>
  <c r="AD150" i="67"/>
  <c r="AE150" i="67"/>
  <c r="AF150" i="67"/>
  <c r="AG150" i="67"/>
  <c r="AH150" i="67"/>
  <c r="AI150" i="67"/>
  <c r="AJ150" i="67"/>
  <c r="AK150" i="67"/>
  <c r="AL150" i="67"/>
  <c r="AM150" i="67"/>
  <c r="AN150" i="67"/>
  <c r="AO150" i="67"/>
  <c r="AP150" i="67"/>
  <c r="AQ150" i="67"/>
  <c r="AR150" i="67"/>
  <c r="AS150" i="67"/>
  <c r="AT150" i="67"/>
  <c r="AU150" i="67"/>
  <c r="AW150" i="67"/>
  <c r="AX150" i="67"/>
  <c r="AY150" i="67"/>
  <c r="BA150" i="67"/>
  <c r="BC150" i="67"/>
  <c r="A151" i="67"/>
  <c r="B151" i="67"/>
  <c r="D151" i="67"/>
  <c r="E151" i="67"/>
  <c r="F151" i="67"/>
  <c r="G151" i="67"/>
  <c r="H151" i="67"/>
  <c r="J151" i="67"/>
  <c r="K151" i="67"/>
  <c r="L151" i="67"/>
  <c r="M151" i="67"/>
  <c r="O151" i="67"/>
  <c r="P151" i="67"/>
  <c r="R151" i="67"/>
  <c r="S151" i="67"/>
  <c r="U151" i="67"/>
  <c r="V151" i="67"/>
  <c r="W151" i="67"/>
  <c r="X151" i="67"/>
  <c r="Z151" i="67"/>
  <c r="AA151" i="67"/>
  <c r="AB151" i="67"/>
  <c r="AC151" i="67"/>
  <c r="AD151" i="67"/>
  <c r="AE151" i="67"/>
  <c r="AF151" i="67"/>
  <c r="AG151" i="67"/>
  <c r="AH151" i="67"/>
  <c r="AI151" i="67"/>
  <c r="AJ151" i="67"/>
  <c r="AK151" i="67"/>
  <c r="AL151" i="67"/>
  <c r="AM151" i="67"/>
  <c r="AN151" i="67"/>
  <c r="AO151" i="67"/>
  <c r="AP151" i="67"/>
  <c r="AQ151" i="67"/>
  <c r="AR151" i="67"/>
  <c r="AS151" i="67"/>
  <c r="AT151" i="67"/>
  <c r="AU151" i="67"/>
  <c r="AW151" i="67"/>
  <c r="AX151" i="67"/>
  <c r="AY151" i="67"/>
  <c r="BA151" i="67"/>
  <c r="BC151" i="67"/>
  <c r="A152" i="67"/>
  <c r="B152" i="67"/>
  <c r="D152" i="67"/>
  <c r="E152" i="67"/>
  <c r="F152" i="67"/>
  <c r="G152" i="67"/>
  <c r="H152" i="67"/>
  <c r="J152" i="67"/>
  <c r="K152" i="67"/>
  <c r="L152" i="67"/>
  <c r="M152" i="67"/>
  <c r="O152" i="67"/>
  <c r="P152" i="67"/>
  <c r="R152" i="67"/>
  <c r="S152" i="67"/>
  <c r="U152" i="67"/>
  <c r="V152" i="67"/>
  <c r="W152" i="67"/>
  <c r="X152" i="67"/>
  <c r="Z152" i="67"/>
  <c r="AA152" i="67"/>
  <c r="AB152" i="67"/>
  <c r="AC152" i="67"/>
  <c r="AD152" i="67"/>
  <c r="AE152" i="67"/>
  <c r="AF152" i="67"/>
  <c r="AG152" i="67"/>
  <c r="AH152" i="67"/>
  <c r="AI152" i="67"/>
  <c r="AJ152" i="67"/>
  <c r="AK152" i="67"/>
  <c r="AL152" i="67"/>
  <c r="AM152" i="67"/>
  <c r="AN152" i="67"/>
  <c r="AO152" i="67"/>
  <c r="AP152" i="67"/>
  <c r="AQ152" i="67"/>
  <c r="AR152" i="67"/>
  <c r="AS152" i="67"/>
  <c r="AT152" i="67"/>
  <c r="AU152" i="67"/>
  <c r="AW152" i="67"/>
  <c r="AX152" i="67"/>
  <c r="AY152" i="67"/>
  <c r="BA152" i="67"/>
  <c r="BC152" i="67"/>
  <c r="A153" i="67"/>
  <c r="B153" i="67"/>
  <c r="D153" i="67"/>
  <c r="E153" i="67"/>
  <c r="F153" i="67"/>
  <c r="G153" i="67"/>
  <c r="H153" i="67"/>
  <c r="J153" i="67"/>
  <c r="K153" i="67"/>
  <c r="L153" i="67"/>
  <c r="M153" i="67"/>
  <c r="O153" i="67"/>
  <c r="P153" i="67"/>
  <c r="R153" i="67"/>
  <c r="S153" i="67"/>
  <c r="U153" i="67"/>
  <c r="V153" i="67"/>
  <c r="W153" i="67"/>
  <c r="X153" i="67"/>
  <c r="Z153" i="67"/>
  <c r="AA153" i="67"/>
  <c r="AB153" i="67"/>
  <c r="AC153" i="67"/>
  <c r="AD153" i="67"/>
  <c r="AE153" i="67"/>
  <c r="AF153" i="67"/>
  <c r="AG153" i="67"/>
  <c r="AH153" i="67"/>
  <c r="AI153" i="67"/>
  <c r="AJ153" i="67"/>
  <c r="AK153" i="67"/>
  <c r="AL153" i="67"/>
  <c r="AM153" i="67"/>
  <c r="AN153" i="67"/>
  <c r="AO153" i="67"/>
  <c r="AP153" i="67"/>
  <c r="AQ153" i="67"/>
  <c r="AR153" i="67"/>
  <c r="AS153" i="67"/>
  <c r="AT153" i="67"/>
  <c r="AU153" i="67"/>
  <c r="AW153" i="67"/>
  <c r="AX153" i="67"/>
  <c r="AY153" i="67"/>
  <c r="BA153" i="67"/>
  <c r="BC153" i="67"/>
  <c r="A154" i="67"/>
  <c r="B154" i="67"/>
  <c r="D154" i="67"/>
  <c r="E154" i="67"/>
  <c r="F154" i="67"/>
  <c r="G154" i="67"/>
  <c r="H154" i="67"/>
  <c r="J154" i="67"/>
  <c r="K154" i="67"/>
  <c r="L154" i="67"/>
  <c r="M154" i="67"/>
  <c r="O154" i="67"/>
  <c r="P154" i="67"/>
  <c r="R154" i="67"/>
  <c r="S154" i="67"/>
  <c r="U154" i="67"/>
  <c r="V154" i="67"/>
  <c r="W154" i="67"/>
  <c r="X154" i="67"/>
  <c r="Z154" i="67"/>
  <c r="AA154" i="67"/>
  <c r="AB154" i="67"/>
  <c r="AC154" i="67"/>
  <c r="AD154" i="67"/>
  <c r="AE154" i="67"/>
  <c r="AF154" i="67"/>
  <c r="AG154" i="67"/>
  <c r="AH154" i="67"/>
  <c r="AI154" i="67"/>
  <c r="AJ154" i="67"/>
  <c r="AK154" i="67"/>
  <c r="AL154" i="67"/>
  <c r="AM154" i="67"/>
  <c r="AN154" i="67"/>
  <c r="AO154" i="67"/>
  <c r="AP154" i="67"/>
  <c r="AQ154" i="67"/>
  <c r="AR154" i="67"/>
  <c r="AS154" i="67"/>
  <c r="AT154" i="67"/>
  <c r="AU154" i="67"/>
  <c r="AW154" i="67"/>
  <c r="AX154" i="67"/>
  <c r="AY154" i="67"/>
  <c r="BA154" i="67"/>
  <c r="BC154" i="67"/>
  <c r="A155" i="67"/>
  <c r="B155" i="67"/>
  <c r="D155" i="67"/>
  <c r="E155" i="67"/>
  <c r="F155" i="67"/>
  <c r="G155" i="67"/>
  <c r="H155" i="67"/>
  <c r="J155" i="67"/>
  <c r="K155" i="67"/>
  <c r="L155" i="67"/>
  <c r="M155" i="67"/>
  <c r="O155" i="67"/>
  <c r="P155" i="67"/>
  <c r="R155" i="67"/>
  <c r="S155" i="67"/>
  <c r="U155" i="67"/>
  <c r="V155" i="67"/>
  <c r="W155" i="67"/>
  <c r="X155" i="67"/>
  <c r="Z155" i="67"/>
  <c r="AA155" i="67"/>
  <c r="AB155" i="67"/>
  <c r="AC155" i="67"/>
  <c r="AD155" i="67"/>
  <c r="AE155" i="67"/>
  <c r="AF155" i="67"/>
  <c r="AG155" i="67"/>
  <c r="AH155" i="67"/>
  <c r="AI155" i="67"/>
  <c r="AJ155" i="67"/>
  <c r="AK155" i="67"/>
  <c r="AL155" i="67"/>
  <c r="AM155" i="67"/>
  <c r="AN155" i="67"/>
  <c r="AO155" i="67"/>
  <c r="AP155" i="67"/>
  <c r="AQ155" i="67"/>
  <c r="AR155" i="67"/>
  <c r="AS155" i="67"/>
  <c r="AT155" i="67"/>
  <c r="AU155" i="67"/>
  <c r="AW155" i="67"/>
  <c r="AX155" i="67"/>
  <c r="AY155" i="67"/>
  <c r="BA155" i="67"/>
  <c r="BC155" i="67"/>
  <c r="A156" i="67"/>
  <c r="B156" i="67"/>
  <c r="D156" i="67"/>
  <c r="E156" i="67"/>
  <c r="F156" i="67"/>
  <c r="G156" i="67"/>
  <c r="H156" i="67"/>
  <c r="J156" i="67"/>
  <c r="K156" i="67"/>
  <c r="L156" i="67"/>
  <c r="M156" i="67"/>
  <c r="O156" i="67"/>
  <c r="P156" i="67"/>
  <c r="R156" i="67"/>
  <c r="S156" i="67"/>
  <c r="U156" i="67"/>
  <c r="V156" i="67"/>
  <c r="W156" i="67"/>
  <c r="X156" i="67"/>
  <c r="Z156" i="67"/>
  <c r="AA156" i="67"/>
  <c r="AB156" i="67"/>
  <c r="AC156" i="67"/>
  <c r="AD156" i="67"/>
  <c r="AE156" i="67"/>
  <c r="AF156" i="67"/>
  <c r="AG156" i="67"/>
  <c r="AH156" i="67"/>
  <c r="AI156" i="67"/>
  <c r="AJ156" i="67"/>
  <c r="AK156" i="67"/>
  <c r="AL156" i="67"/>
  <c r="AM156" i="67"/>
  <c r="AN156" i="67"/>
  <c r="AO156" i="67"/>
  <c r="AP156" i="67"/>
  <c r="AQ156" i="67"/>
  <c r="AR156" i="67"/>
  <c r="AS156" i="67"/>
  <c r="AT156" i="67"/>
  <c r="AU156" i="67"/>
  <c r="AW156" i="67"/>
  <c r="AX156" i="67"/>
  <c r="AY156" i="67"/>
  <c r="BA156" i="67"/>
  <c r="BC156" i="67"/>
  <c r="A157" i="67"/>
  <c r="B157" i="67"/>
  <c r="D157" i="67"/>
  <c r="E157" i="67"/>
  <c r="F157" i="67"/>
  <c r="G157" i="67"/>
  <c r="H157" i="67"/>
  <c r="J157" i="67"/>
  <c r="K157" i="67"/>
  <c r="L157" i="67"/>
  <c r="M157" i="67"/>
  <c r="O157" i="67"/>
  <c r="P157" i="67"/>
  <c r="R157" i="67"/>
  <c r="S157" i="67"/>
  <c r="U157" i="67"/>
  <c r="V157" i="67"/>
  <c r="W157" i="67"/>
  <c r="X157" i="67"/>
  <c r="Z157" i="67"/>
  <c r="AA157" i="67"/>
  <c r="AB157" i="67"/>
  <c r="AC157" i="67"/>
  <c r="AD157" i="67"/>
  <c r="AE157" i="67"/>
  <c r="AF157" i="67"/>
  <c r="AG157" i="67"/>
  <c r="AH157" i="67"/>
  <c r="AI157" i="67"/>
  <c r="AJ157" i="67"/>
  <c r="AK157" i="67"/>
  <c r="AL157" i="67"/>
  <c r="AM157" i="67"/>
  <c r="AN157" i="67"/>
  <c r="AO157" i="67"/>
  <c r="AP157" i="67"/>
  <c r="AQ157" i="67"/>
  <c r="AR157" i="67"/>
  <c r="AS157" i="67"/>
  <c r="AT157" i="67"/>
  <c r="AU157" i="67"/>
  <c r="AW157" i="67"/>
  <c r="AX157" i="67"/>
  <c r="AY157" i="67"/>
  <c r="BA157" i="67"/>
  <c r="BC157" i="67"/>
  <c r="A158" i="67"/>
  <c r="B158" i="67"/>
  <c r="D158" i="67"/>
  <c r="E158" i="67"/>
  <c r="F158" i="67"/>
  <c r="G158" i="67"/>
  <c r="H158" i="67"/>
  <c r="J158" i="67"/>
  <c r="K158" i="67"/>
  <c r="L158" i="67"/>
  <c r="M158" i="67"/>
  <c r="O158" i="67"/>
  <c r="P158" i="67"/>
  <c r="R158" i="67"/>
  <c r="S158" i="67"/>
  <c r="U158" i="67"/>
  <c r="V158" i="67"/>
  <c r="W158" i="67"/>
  <c r="X158" i="67"/>
  <c r="Z158" i="67"/>
  <c r="AA158" i="67"/>
  <c r="AB158" i="67"/>
  <c r="AC158" i="67"/>
  <c r="AD158" i="67"/>
  <c r="AE158" i="67"/>
  <c r="AF158" i="67"/>
  <c r="AG158" i="67"/>
  <c r="AH158" i="67"/>
  <c r="AI158" i="67"/>
  <c r="AJ158" i="67"/>
  <c r="AK158" i="67"/>
  <c r="AL158" i="67"/>
  <c r="AM158" i="67"/>
  <c r="AN158" i="67"/>
  <c r="AO158" i="67"/>
  <c r="AP158" i="67"/>
  <c r="AQ158" i="67"/>
  <c r="AR158" i="67"/>
  <c r="AS158" i="67"/>
  <c r="AT158" i="67"/>
  <c r="AU158" i="67"/>
  <c r="AW158" i="67"/>
  <c r="AX158" i="67"/>
  <c r="AY158" i="67"/>
  <c r="BA158" i="67"/>
  <c r="BC158" i="67"/>
  <c r="A159" i="67"/>
  <c r="B159" i="67"/>
  <c r="D159" i="67"/>
  <c r="E159" i="67"/>
  <c r="F159" i="67"/>
  <c r="G159" i="67"/>
  <c r="H159" i="67"/>
  <c r="J159" i="67"/>
  <c r="K159" i="67"/>
  <c r="L159" i="67"/>
  <c r="M159" i="67"/>
  <c r="O159" i="67"/>
  <c r="P159" i="67"/>
  <c r="R159" i="67"/>
  <c r="S159" i="67"/>
  <c r="U159" i="67"/>
  <c r="V159" i="67"/>
  <c r="W159" i="67"/>
  <c r="X159" i="67"/>
  <c r="Z159" i="67"/>
  <c r="AA159" i="67"/>
  <c r="AB159" i="67"/>
  <c r="AC159" i="67"/>
  <c r="AD159" i="67"/>
  <c r="AE159" i="67"/>
  <c r="AF159" i="67"/>
  <c r="AG159" i="67"/>
  <c r="AH159" i="67"/>
  <c r="AI159" i="67"/>
  <c r="AJ159" i="67"/>
  <c r="AK159" i="67"/>
  <c r="AL159" i="67"/>
  <c r="AM159" i="67"/>
  <c r="AN159" i="67"/>
  <c r="AO159" i="67"/>
  <c r="AP159" i="67"/>
  <c r="AQ159" i="67"/>
  <c r="AR159" i="67"/>
  <c r="AS159" i="67"/>
  <c r="AT159" i="67"/>
  <c r="AU159" i="67"/>
  <c r="AW159" i="67"/>
  <c r="AX159" i="67"/>
  <c r="AY159" i="67"/>
  <c r="BA159" i="67"/>
  <c r="BC159" i="67"/>
  <c r="A160" i="67"/>
  <c r="B160" i="67"/>
  <c r="D160" i="67"/>
  <c r="E160" i="67"/>
  <c r="F160" i="67"/>
  <c r="G160" i="67"/>
  <c r="H160" i="67"/>
  <c r="J160" i="67"/>
  <c r="K160" i="67"/>
  <c r="L160" i="67"/>
  <c r="M160" i="67"/>
  <c r="O160" i="67"/>
  <c r="P160" i="67"/>
  <c r="R160" i="67"/>
  <c r="S160" i="67"/>
  <c r="U160" i="67"/>
  <c r="V160" i="67"/>
  <c r="W160" i="67"/>
  <c r="X160" i="67"/>
  <c r="Z160" i="67"/>
  <c r="AA160" i="67"/>
  <c r="AB160" i="67"/>
  <c r="AC160" i="67"/>
  <c r="AD160" i="67"/>
  <c r="AE160" i="67"/>
  <c r="AF160" i="67"/>
  <c r="AG160" i="67"/>
  <c r="AH160" i="67"/>
  <c r="AI160" i="67"/>
  <c r="AJ160" i="67"/>
  <c r="AK160" i="67"/>
  <c r="AL160" i="67"/>
  <c r="AM160" i="67"/>
  <c r="AN160" i="67"/>
  <c r="AO160" i="67"/>
  <c r="AP160" i="67"/>
  <c r="AQ160" i="67"/>
  <c r="AR160" i="67"/>
  <c r="AS160" i="67"/>
  <c r="AT160" i="67"/>
  <c r="AU160" i="67"/>
  <c r="AW160" i="67"/>
  <c r="AX160" i="67"/>
  <c r="AY160" i="67"/>
  <c r="BA160" i="67"/>
  <c r="BC160" i="67"/>
  <c r="A161" i="67"/>
  <c r="B161" i="67"/>
  <c r="D161" i="67"/>
  <c r="E161" i="67"/>
  <c r="F161" i="67"/>
  <c r="G161" i="67"/>
  <c r="H161" i="67"/>
  <c r="J161" i="67"/>
  <c r="K161" i="67"/>
  <c r="L161" i="67"/>
  <c r="M161" i="67"/>
  <c r="O161" i="67"/>
  <c r="P161" i="67"/>
  <c r="R161" i="67"/>
  <c r="S161" i="67"/>
  <c r="U161" i="67"/>
  <c r="V161" i="67"/>
  <c r="W161" i="67"/>
  <c r="X161" i="67"/>
  <c r="Z161" i="67"/>
  <c r="AA161" i="67"/>
  <c r="AB161" i="67"/>
  <c r="AC161" i="67"/>
  <c r="AD161" i="67"/>
  <c r="AE161" i="67"/>
  <c r="AF161" i="67"/>
  <c r="AG161" i="67"/>
  <c r="AH161" i="67"/>
  <c r="AI161" i="67"/>
  <c r="AJ161" i="67"/>
  <c r="AK161" i="67"/>
  <c r="AL161" i="67"/>
  <c r="AM161" i="67"/>
  <c r="AN161" i="67"/>
  <c r="AO161" i="67"/>
  <c r="AP161" i="67"/>
  <c r="AQ161" i="67"/>
  <c r="AR161" i="67"/>
  <c r="AS161" i="67"/>
  <c r="AT161" i="67"/>
  <c r="AU161" i="67"/>
  <c r="AW161" i="67"/>
  <c r="AX161" i="67"/>
  <c r="AY161" i="67"/>
  <c r="BA161" i="67"/>
  <c r="BC161" i="67"/>
  <c r="A162" i="67"/>
  <c r="B162" i="67"/>
  <c r="D162" i="67"/>
  <c r="E162" i="67"/>
  <c r="F162" i="67"/>
  <c r="G162" i="67"/>
  <c r="H162" i="67"/>
  <c r="J162" i="67"/>
  <c r="K162" i="67"/>
  <c r="L162" i="67"/>
  <c r="M162" i="67"/>
  <c r="O162" i="67"/>
  <c r="P162" i="67"/>
  <c r="R162" i="67"/>
  <c r="S162" i="67"/>
  <c r="U162" i="67"/>
  <c r="V162" i="67"/>
  <c r="W162" i="67"/>
  <c r="X162" i="67"/>
  <c r="Z162" i="67"/>
  <c r="AA162" i="67"/>
  <c r="AB162" i="67"/>
  <c r="AC162" i="67"/>
  <c r="AD162" i="67"/>
  <c r="AE162" i="67"/>
  <c r="AF162" i="67"/>
  <c r="AG162" i="67"/>
  <c r="AH162" i="67"/>
  <c r="AI162" i="67"/>
  <c r="AJ162" i="67"/>
  <c r="AK162" i="67"/>
  <c r="AL162" i="67"/>
  <c r="AM162" i="67"/>
  <c r="AN162" i="67"/>
  <c r="AO162" i="67"/>
  <c r="AP162" i="67"/>
  <c r="AQ162" i="67"/>
  <c r="AR162" i="67"/>
  <c r="AS162" i="67"/>
  <c r="AT162" i="67"/>
  <c r="AU162" i="67"/>
  <c r="AW162" i="67"/>
  <c r="AX162" i="67"/>
  <c r="AY162" i="67"/>
  <c r="BA162" i="67"/>
  <c r="BC162" i="67"/>
  <c r="A163" i="67"/>
  <c r="B163" i="67"/>
  <c r="D163" i="67"/>
  <c r="E163" i="67"/>
  <c r="F163" i="67"/>
  <c r="G163" i="67"/>
  <c r="H163" i="67"/>
  <c r="J163" i="67"/>
  <c r="K163" i="67"/>
  <c r="L163" i="67"/>
  <c r="M163" i="67"/>
  <c r="O163" i="67"/>
  <c r="P163" i="67"/>
  <c r="R163" i="67"/>
  <c r="S163" i="67"/>
  <c r="U163" i="67"/>
  <c r="V163" i="67"/>
  <c r="W163" i="67"/>
  <c r="X163" i="67"/>
  <c r="Z163" i="67"/>
  <c r="AA163" i="67"/>
  <c r="AB163" i="67"/>
  <c r="AC163" i="67"/>
  <c r="AD163" i="67"/>
  <c r="AE163" i="67"/>
  <c r="AF163" i="67"/>
  <c r="AG163" i="67"/>
  <c r="AH163" i="67"/>
  <c r="AI163" i="67"/>
  <c r="AJ163" i="67"/>
  <c r="AK163" i="67"/>
  <c r="AL163" i="67"/>
  <c r="AM163" i="67"/>
  <c r="AN163" i="67"/>
  <c r="AO163" i="67"/>
  <c r="AP163" i="67"/>
  <c r="AQ163" i="67"/>
  <c r="AR163" i="67"/>
  <c r="AS163" i="67"/>
  <c r="AT163" i="67"/>
  <c r="AU163" i="67"/>
  <c r="AW163" i="67"/>
  <c r="AX163" i="67"/>
  <c r="AY163" i="67"/>
  <c r="BA163" i="67"/>
  <c r="BC163" i="67"/>
  <c r="A164" i="67"/>
  <c r="B164" i="67"/>
  <c r="D164" i="67"/>
  <c r="E164" i="67"/>
  <c r="F164" i="67"/>
  <c r="G164" i="67"/>
  <c r="H164" i="67"/>
  <c r="J164" i="67"/>
  <c r="K164" i="67"/>
  <c r="L164" i="67"/>
  <c r="M164" i="67"/>
  <c r="O164" i="67"/>
  <c r="P164" i="67"/>
  <c r="R164" i="67"/>
  <c r="S164" i="67"/>
  <c r="U164" i="67"/>
  <c r="V164" i="67"/>
  <c r="W164" i="67"/>
  <c r="X164" i="67"/>
  <c r="Z164" i="67"/>
  <c r="AA164" i="67"/>
  <c r="AB164" i="67"/>
  <c r="AC164" i="67"/>
  <c r="AD164" i="67"/>
  <c r="AE164" i="67"/>
  <c r="AF164" i="67"/>
  <c r="AG164" i="67"/>
  <c r="AH164" i="67"/>
  <c r="AI164" i="67"/>
  <c r="AJ164" i="67"/>
  <c r="AK164" i="67"/>
  <c r="AL164" i="67"/>
  <c r="AM164" i="67"/>
  <c r="AN164" i="67"/>
  <c r="AO164" i="67"/>
  <c r="AP164" i="67"/>
  <c r="AQ164" i="67"/>
  <c r="AR164" i="67"/>
  <c r="AS164" i="67"/>
  <c r="AT164" i="67"/>
  <c r="AU164" i="67"/>
  <c r="AW164" i="67"/>
  <c r="AX164" i="67"/>
  <c r="AY164" i="67"/>
  <c r="BA164" i="67"/>
  <c r="BC164" i="67"/>
  <c r="A165" i="67"/>
  <c r="B165" i="67"/>
  <c r="D165" i="67"/>
  <c r="E165" i="67"/>
  <c r="F165" i="67"/>
  <c r="G165" i="67"/>
  <c r="H165" i="67"/>
  <c r="J165" i="67"/>
  <c r="K165" i="67"/>
  <c r="L165" i="67"/>
  <c r="M165" i="67"/>
  <c r="O165" i="67"/>
  <c r="P165" i="67"/>
  <c r="R165" i="67"/>
  <c r="S165" i="67"/>
  <c r="U165" i="67"/>
  <c r="V165" i="67"/>
  <c r="W165" i="67"/>
  <c r="X165" i="67"/>
  <c r="Z165" i="67"/>
  <c r="AA165" i="67"/>
  <c r="AB165" i="67"/>
  <c r="AC165" i="67"/>
  <c r="AD165" i="67"/>
  <c r="AE165" i="67"/>
  <c r="AF165" i="67"/>
  <c r="AG165" i="67"/>
  <c r="AH165" i="67"/>
  <c r="AI165" i="67"/>
  <c r="AJ165" i="67"/>
  <c r="AK165" i="67"/>
  <c r="AL165" i="67"/>
  <c r="AM165" i="67"/>
  <c r="AN165" i="67"/>
  <c r="AO165" i="67"/>
  <c r="AP165" i="67"/>
  <c r="AQ165" i="67"/>
  <c r="AR165" i="67"/>
  <c r="AS165" i="67"/>
  <c r="AT165" i="67"/>
  <c r="AU165" i="67"/>
  <c r="AW165" i="67"/>
  <c r="AX165" i="67"/>
  <c r="AY165" i="67"/>
  <c r="BA165" i="67"/>
  <c r="BC165" i="67"/>
  <c r="A166" i="67"/>
  <c r="B166" i="67"/>
  <c r="D166" i="67"/>
  <c r="E166" i="67"/>
  <c r="F166" i="67"/>
  <c r="G166" i="67"/>
  <c r="H166" i="67"/>
  <c r="J166" i="67"/>
  <c r="K166" i="67"/>
  <c r="L166" i="67"/>
  <c r="M166" i="67"/>
  <c r="O166" i="67"/>
  <c r="P166" i="67"/>
  <c r="R166" i="67"/>
  <c r="S166" i="67"/>
  <c r="U166" i="67"/>
  <c r="V166" i="67"/>
  <c r="W166" i="67"/>
  <c r="X166" i="67"/>
  <c r="Z166" i="67"/>
  <c r="AA166" i="67"/>
  <c r="AB166" i="67"/>
  <c r="AC166" i="67"/>
  <c r="AD166" i="67"/>
  <c r="AE166" i="67"/>
  <c r="AF166" i="67"/>
  <c r="AG166" i="67"/>
  <c r="AH166" i="67"/>
  <c r="AI166" i="67"/>
  <c r="AJ166" i="67"/>
  <c r="AK166" i="67"/>
  <c r="AL166" i="67"/>
  <c r="AM166" i="67"/>
  <c r="AN166" i="67"/>
  <c r="AO166" i="67"/>
  <c r="AP166" i="67"/>
  <c r="AQ166" i="67"/>
  <c r="AR166" i="67"/>
  <c r="AS166" i="67"/>
  <c r="AT166" i="67"/>
  <c r="AU166" i="67"/>
  <c r="AW166" i="67"/>
  <c r="AX166" i="67"/>
  <c r="AY166" i="67"/>
  <c r="BA166" i="67"/>
  <c r="BC166" i="67"/>
  <c r="A167" i="67"/>
  <c r="B167" i="67"/>
  <c r="D167" i="67"/>
  <c r="E167" i="67"/>
  <c r="F167" i="67"/>
  <c r="G167" i="67"/>
  <c r="H167" i="67"/>
  <c r="J167" i="67"/>
  <c r="K167" i="67"/>
  <c r="L167" i="67"/>
  <c r="M167" i="67"/>
  <c r="O167" i="67"/>
  <c r="P167" i="67"/>
  <c r="R167" i="67"/>
  <c r="S167" i="67"/>
  <c r="U167" i="67"/>
  <c r="V167" i="67"/>
  <c r="W167" i="67"/>
  <c r="X167" i="67"/>
  <c r="Z167" i="67"/>
  <c r="AA167" i="67"/>
  <c r="AB167" i="67"/>
  <c r="AC167" i="67"/>
  <c r="AD167" i="67"/>
  <c r="AE167" i="67"/>
  <c r="AF167" i="67"/>
  <c r="AG167" i="67"/>
  <c r="AH167" i="67"/>
  <c r="AI167" i="67"/>
  <c r="AJ167" i="67"/>
  <c r="AK167" i="67"/>
  <c r="AL167" i="67"/>
  <c r="AM167" i="67"/>
  <c r="AN167" i="67"/>
  <c r="AO167" i="67"/>
  <c r="AP167" i="67"/>
  <c r="AQ167" i="67"/>
  <c r="AR167" i="67"/>
  <c r="AS167" i="67"/>
  <c r="AT167" i="67"/>
  <c r="AU167" i="67"/>
  <c r="AW167" i="67"/>
  <c r="AX167" i="67"/>
  <c r="AY167" i="67"/>
  <c r="BA167" i="67"/>
  <c r="BC167" i="67"/>
  <c r="A168" i="67"/>
  <c r="B168" i="67"/>
  <c r="D168" i="67"/>
  <c r="E168" i="67"/>
  <c r="F168" i="67"/>
  <c r="G168" i="67"/>
  <c r="H168" i="67"/>
  <c r="J168" i="67"/>
  <c r="K168" i="67"/>
  <c r="L168" i="67"/>
  <c r="M168" i="67"/>
  <c r="O168" i="67"/>
  <c r="P168" i="67"/>
  <c r="R168" i="67"/>
  <c r="S168" i="67"/>
  <c r="U168" i="67"/>
  <c r="V168" i="67"/>
  <c r="W168" i="67"/>
  <c r="X168" i="67"/>
  <c r="Z168" i="67"/>
  <c r="AA168" i="67"/>
  <c r="AB168" i="67"/>
  <c r="AC168" i="67"/>
  <c r="AD168" i="67"/>
  <c r="AE168" i="67"/>
  <c r="AF168" i="67"/>
  <c r="AG168" i="67"/>
  <c r="AH168" i="67"/>
  <c r="AI168" i="67"/>
  <c r="AJ168" i="67"/>
  <c r="AK168" i="67"/>
  <c r="AL168" i="67"/>
  <c r="AM168" i="67"/>
  <c r="AN168" i="67"/>
  <c r="AO168" i="67"/>
  <c r="AP168" i="67"/>
  <c r="AQ168" i="67"/>
  <c r="AR168" i="67"/>
  <c r="AS168" i="67"/>
  <c r="AT168" i="67"/>
  <c r="AU168" i="67"/>
  <c r="AW168" i="67"/>
  <c r="AX168" i="67"/>
  <c r="AY168" i="67"/>
  <c r="BA168" i="67"/>
  <c r="BC168" i="67"/>
  <c r="A169" i="67"/>
  <c r="B169" i="67"/>
  <c r="D169" i="67"/>
  <c r="E169" i="67"/>
  <c r="F169" i="67"/>
  <c r="G169" i="67"/>
  <c r="H169" i="67"/>
  <c r="J169" i="67"/>
  <c r="K169" i="67"/>
  <c r="L169" i="67"/>
  <c r="M169" i="67"/>
  <c r="O169" i="67"/>
  <c r="P169" i="67"/>
  <c r="R169" i="67"/>
  <c r="S169" i="67"/>
  <c r="U169" i="67"/>
  <c r="V169" i="67"/>
  <c r="W169" i="67"/>
  <c r="X169" i="67"/>
  <c r="Z169" i="67"/>
  <c r="AA169" i="67"/>
  <c r="AB169" i="67"/>
  <c r="AC169" i="67"/>
  <c r="AD169" i="67"/>
  <c r="AE169" i="67"/>
  <c r="AF169" i="67"/>
  <c r="AG169" i="67"/>
  <c r="AH169" i="67"/>
  <c r="AI169" i="67"/>
  <c r="AJ169" i="67"/>
  <c r="AK169" i="67"/>
  <c r="AL169" i="67"/>
  <c r="AM169" i="67"/>
  <c r="AN169" i="67"/>
  <c r="AO169" i="67"/>
  <c r="AP169" i="67"/>
  <c r="AQ169" i="67"/>
  <c r="AR169" i="67"/>
  <c r="AS169" i="67"/>
  <c r="AT169" i="67"/>
  <c r="AU169" i="67"/>
  <c r="AW169" i="67"/>
  <c r="AX169" i="67"/>
  <c r="AY169" i="67"/>
  <c r="BA169" i="67"/>
  <c r="BC169" i="67"/>
  <c r="A170" i="67"/>
  <c r="B170" i="67"/>
  <c r="D170" i="67"/>
  <c r="E170" i="67"/>
  <c r="F170" i="67"/>
  <c r="G170" i="67"/>
  <c r="H170" i="67"/>
  <c r="J170" i="67"/>
  <c r="K170" i="67"/>
  <c r="L170" i="67"/>
  <c r="M170" i="67"/>
  <c r="O170" i="67"/>
  <c r="P170" i="67"/>
  <c r="R170" i="67"/>
  <c r="S170" i="67"/>
  <c r="U170" i="67"/>
  <c r="V170" i="67"/>
  <c r="W170" i="67"/>
  <c r="X170" i="67"/>
  <c r="Z170" i="67"/>
  <c r="AA170" i="67"/>
  <c r="AB170" i="67"/>
  <c r="AC170" i="67"/>
  <c r="AD170" i="67"/>
  <c r="AE170" i="67"/>
  <c r="AF170" i="67"/>
  <c r="AG170" i="67"/>
  <c r="AH170" i="67"/>
  <c r="AI170" i="67"/>
  <c r="AJ170" i="67"/>
  <c r="AK170" i="67"/>
  <c r="AL170" i="67"/>
  <c r="AM170" i="67"/>
  <c r="AN170" i="67"/>
  <c r="AO170" i="67"/>
  <c r="AP170" i="67"/>
  <c r="AQ170" i="67"/>
  <c r="AR170" i="67"/>
  <c r="AS170" i="67"/>
  <c r="AT170" i="67"/>
  <c r="AU170" i="67"/>
  <c r="AW170" i="67"/>
  <c r="AX170" i="67"/>
  <c r="AY170" i="67"/>
  <c r="BA170" i="67"/>
  <c r="BC170" i="67"/>
  <c r="A171" i="67"/>
  <c r="B171" i="67"/>
  <c r="D171" i="67"/>
  <c r="E171" i="67"/>
  <c r="F171" i="67"/>
  <c r="G171" i="67"/>
  <c r="H171" i="67"/>
  <c r="J171" i="67"/>
  <c r="K171" i="67"/>
  <c r="L171" i="67"/>
  <c r="M171" i="67"/>
  <c r="O171" i="67"/>
  <c r="P171" i="67"/>
  <c r="R171" i="67"/>
  <c r="S171" i="67"/>
  <c r="U171" i="67"/>
  <c r="V171" i="67"/>
  <c r="W171" i="67"/>
  <c r="X171" i="67"/>
  <c r="Z171" i="67"/>
  <c r="AA171" i="67"/>
  <c r="AB171" i="67"/>
  <c r="AC171" i="67"/>
  <c r="AD171" i="67"/>
  <c r="AE171" i="67"/>
  <c r="AF171" i="67"/>
  <c r="AG171" i="67"/>
  <c r="AH171" i="67"/>
  <c r="AI171" i="67"/>
  <c r="AJ171" i="67"/>
  <c r="AK171" i="67"/>
  <c r="AL171" i="67"/>
  <c r="AM171" i="67"/>
  <c r="AN171" i="67"/>
  <c r="AO171" i="67"/>
  <c r="AP171" i="67"/>
  <c r="AQ171" i="67"/>
  <c r="AR171" i="67"/>
  <c r="AS171" i="67"/>
  <c r="AT171" i="67"/>
  <c r="AU171" i="67"/>
  <c r="AW171" i="67"/>
  <c r="AX171" i="67"/>
  <c r="AY171" i="67"/>
  <c r="BA171" i="67"/>
  <c r="BC171" i="67"/>
  <c r="A172" i="67"/>
  <c r="B172" i="67"/>
  <c r="D172" i="67"/>
  <c r="E172" i="67"/>
  <c r="F172" i="67"/>
  <c r="G172" i="67"/>
  <c r="H172" i="67"/>
  <c r="J172" i="67"/>
  <c r="K172" i="67"/>
  <c r="L172" i="67"/>
  <c r="M172" i="67"/>
  <c r="O172" i="67"/>
  <c r="P172" i="67"/>
  <c r="R172" i="67"/>
  <c r="S172" i="67"/>
  <c r="U172" i="67"/>
  <c r="V172" i="67"/>
  <c r="W172" i="67"/>
  <c r="X172" i="67"/>
  <c r="Z172" i="67"/>
  <c r="AA172" i="67"/>
  <c r="AB172" i="67"/>
  <c r="AC172" i="67"/>
  <c r="AD172" i="67"/>
  <c r="AE172" i="67"/>
  <c r="AF172" i="67"/>
  <c r="AG172" i="67"/>
  <c r="AH172" i="67"/>
  <c r="AI172" i="67"/>
  <c r="AJ172" i="67"/>
  <c r="AK172" i="67"/>
  <c r="AL172" i="67"/>
  <c r="AM172" i="67"/>
  <c r="AN172" i="67"/>
  <c r="AO172" i="67"/>
  <c r="AP172" i="67"/>
  <c r="AQ172" i="67"/>
  <c r="AR172" i="67"/>
  <c r="AS172" i="67"/>
  <c r="AT172" i="67"/>
  <c r="AU172" i="67"/>
  <c r="AW172" i="67"/>
  <c r="AX172" i="67"/>
  <c r="AY172" i="67"/>
  <c r="BA172" i="67"/>
  <c r="BC172" i="67"/>
  <c r="A173" i="67"/>
  <c r="B173" i="67"/>
  <c r="D173" i="67"/>
  <c r="E173" i="67"/>
  <c r="F173" i="67"/>
  <c r="G173" i="67"/>
  <c r="H173" i="67"/>
  <c r="J173" i="67"/>
  <c r="K173" i="67"/>
  <c r="L173" i="67"/>
  <c r="M173" i="67"/>
  <c r="O173" i="67"/>
  <c r="P173" i="67"/>
  <c r="R173" i="67"/>
  <c r="S173" i="67"/>
  <c r="U173" i="67"/>
  <c r="V173" i="67"/>
  <c r="W173" i="67"/>
  <c r="X173" i="67"/>
  <c r="Z173" i="67"/>
  <c r="AA173" i="67"/>
  <c r="AB173" i="67"/>
  <c r="AC173" i="67"/>
  <c r="AD173" i="67"/>
  <c r="AE173" i="67"/>
  <c r="AF173" i="67"/>
  <c r="AG173" i="67"/>
  <c r="AH173" i="67"/>
  <c r="AI173" i="67"/>
  <c r="AJ173" i="67"/>
  <c r="AK173" i="67"/>
  <c r="AL173" i="67"/>
  <c r="AM173" i="67"/>
  <c r="AN173" i="67"/>
  <c r="AO173" i="67"/>
  <c r="AP173" i="67"/>
  <c r="AQ173" i="67"/>
  <c r="AR173" i="67"/>
  <c r="AS173" i="67"/>
  <c r="AT173" i="67"/>
  <c r="AU173" i="67"/>
  <c r="AW173" i="67"/>
  <c r="AX173" i="67"/>
  <c r="AY173" i="67"/>
  <c r="BA173" i="67"/>
  <c r="BC173" i="67"/>
  <c r="A174" i="67"/>
  <c r="B174" i="67"/>
  <c r="D174" i="67"/>
  <c r="E174" i="67"/>
  <c r="F174" i="67"/>
  <c r="G174" i="67"/>
  <c r="H174" i="67"/>
  <c r="J174" i="67"/>
  <c r="K174" i="67"/>
  <c r="L174" i="67"/>
  <c r="M174" i="67"/>
  <c r="O174" i="67"/>
  <c r="P174" i="67"/>
  <c r="R174" i="67"/>
  <c r="S174" i="67"/>
  <c r="U174" i="67"/>
  <c r="V174" i="67"/>
  <c r="W174" i="67"/>
  <c r="X174" i="67"/>
  <c r="Z174" i="67"/>
  <c r="AA174" i="67"/>
  <c r="AB174" i="67"/>
  <c r="AC174" i="67"/>
  <c r="AD174" i="67"/>
  <c r="AE174" i="67"/>
  <c r="AF174" i="67"/>
  <c r="AG174" i="67"/>
  <c r="AH174" i="67"/>
  <c r="AI174" i="67"/>
  <c r="AJ174" i="67"/>
  <c r="AK174" i="67"/>
  <c r="AL174" i="67"/>
  <c r="AM174" i="67"/>
  <c r="AN174" i="67"/>
  <c r="AO174" i="67"/>
  <c r="AP174" i="67"/>
  <c r="AQ174" i="67"/>
  <c r="AR174" i="67"/>
  <c r="AS174" i="67"/>
  <c r="AT174" i="67"/>
  <c r="AU174" i="67"/>
  <c r="AW174" i="67"/>
  <c r="AX174" i="67"/>
  <c r="AY174" i="67"/>
  <c r="BA174" i="67"/>
  <c r="A175" i="67"/>
  <c r="B175" i="67"/>
  <c r="D175" i="67"/>
  <c r="E175" i="67"/>
  <c r="F175" i="67"/>
  <c r="G175" i="67"/>
  <c r="H175" i="67"/>
  <c r="J175" i="67"/>
  <c r="K175" i="67"/>
  <c r="L175" i="67"/>
  <c r="M175" i="67"/>
  <c r="O175" i="67"/>
  <c r="P175" i="67"/>
  <c r="R175" i="67"/>
  <c r="S175" i="67"/>
  <c r="U175" i="67"/>
  <c r="V175" i="67"/>
  <c r="W175" i="67"/>
  <c r="X175" i="67"/>
  <c r="Z175" i="67"/>
  <c r="AA175" i="67"/>
  <c r="AB175" i="67"/>
  <c r="AC175" i="67"/>
  <c r="AD175" i="67"/>
  <c r="AE175" i="67"/>
  <c r="AF175" i="67"/>
  <c r="AG175" i="67"/>
  <c r="AH175" i="67"/>
  <c r="AI175" i="67"/>
  <c r="AJ175" i="67"/>
  <c r="AK175" i="67"/>
  <c r="AL175" i="67"/>
  <c r="AM175" i="67"/>
  <c r="AN175" i="67"/>
  <c r="AO175" i="67"/>
  <c r="AP175" i="67"/>
  <c r="AQ175" i="67"/>
  <c r="AR175" i="67"/>
  <c r="AS175" i="67"/>
  <c r="AT175" i="67"/>
  <c r="AU175" i="67"/>
  <c r="AW175" i="67"/>
  <c r="AX175" i="67"/>
  <c r="AY175" i="67"/>
  <c r="BA175" i="67"/>
  <c r="A176" i="67"/>
  <c r="B176" i="67"/>
  <c r="D176" i="67"/>
  <c r="E176" i="67"/>
  <c r="F176" i="67"/>
  <c r="G176" i="67"/>
  <c r="H176" i="67"/>
  <c r="J176" i="67"/>
  <c r="K176" i="67"/>
  <c r="L176" i="67"/>
  <c r="M176" i="67"/>
  <c r="O176" i="67"/>
  <c r="P176" i="67"/>
  <c r="R176" i="67"/>
  <c r="S176" i="67"/>
  <c r="U176" i="67"/>
  <c r="V176" i="67"/>
  <c r="W176" i="67"/>
  <c r="X176" i="67"/>
  <c r="Z176" i="67"/>
  <c r="AA176" i="67"/>
  <c r="AB176" i="67"/>
  <c r="AC176" i="67"/>
  <c r="AD176" i="67"/>
  <c r="AE176" i="67"/>
  <c r="AF176" i="67"/>
  <c r="AG176" i="67"/>
  <c r="AH176" i="67"/>
  <c r="AI176" i="67"/>
  <c r="AJ176" i="67"/>
  <c r="AK176" i="67"/>
  <c r="AL176" i="67"/>
  <c r="AM176" i="67"/>
  <c r="AN176" i="67"/>
  <c r="AO176" i="67"/>
  <c r="AP176" i="67"/>
  <c r="AQ176" i="67"/>
  <c r="AR176" i="67"/>
  <c r="AS176" i="67"/>
  <c r="AT176" i="67"/>
  <c r="AU176" i="67"/>
  <c r="AW176" i="67"/>
  <c r="AX176" i="67"/>
  <c r="AY176" i="67"/>
  <c r="BA176" i="67"/>
  <c r="A177" i="67"/>
  <c r="B177" i="67"/>
  <c r="D177" i="67"/>
  <c r="E177" i="67"/>
  <c r="F177" i="67"/>
  <c r="G177" i="67"/>
  <c r="H177" i="67"/>
  <c r="J177" i="67"/>
  <c r="K177" i="67"/>
  <c r="L177" i="67"/>
  <c r="M177" i="67"/>
  <c r="O177" i="67"/>
  <c r="P177" i="67"/>
  <c r="R177" i="67"/>
  <c r="S177" i="67"/>
  <c r="U177" i="67"/>
  <c r="V177" i="67"/>
  <c r="W177" i="67"/>
  <c r="X177" i="67"/>
  <c r="Z177" i="67"/>
  <c r="AA177" i="67"/>
  <c r="AB177" i="67"/>
  <c r="AC177" i="67"/>
  <c r="AD177" i="67"/>
  <c r="AE177" i="67"/>
  <c r="AF177" i="67"/>
  <c r="AG177" i="67"/>
  <c r="AH177" i="67"/>
  <c r="AI177" i="67"/>
  <c r="AJ177" i="67"/>
  <c r="AK177" i="67"/>
  <c r="AL177" i="67"/>
  <c r="AM177" i="67"/>
  <c r="AN177" i="67"/>
  <c r="AO177" i="67"/>
  <c r="AP177" i="67"/>
  <c r="AQ177" i="67"/>
  <c r="AR177" i="67"/>
  <c r="AS177" i="67"/>
  <c r="AT177" i="67"/>
  <c r="AU177" i="67"/>
  <c r="AW177" i="67"/>
  <c r="AX177" i="67"/>
  <c r="AY177" i="67"/>
  <c r="BA177" i="67"/>
  <c r="A178" i="67"/>
  <c r="B178" i="67"/>
  <c r="D178" i="67"/>
  <c r="E178" i="67"/>
  <c r="F178" i="67"/>
  <c r="G178" i="67"/>
  <c r="H178" i="67"/>
  <c r="J178" i="67"/>
  <c r="K178" i="67"/>
  <c r="L178" i="67"/>
  <c r="M178" i="67"/>
  <c r="O178" i="67"/>
  <c r="P178" i="67"/>
  <c r="R178" i="67"/>
  <c r="S178" i="67"/>
  <c r="U178" i="67"/>
  <c r="V178" i="67"/>
  <c r="W178" i="67"/>
  <c r="X178" i="67"/>
  <c r="Z178" i="67"/>
  <c r="AA178" i="67"/>
  <c r="AB178" i="67"/>
  <c r="AC178" i="67"/>
  <c r="AD178" i="67"/>
  <c r="AE178" i="67"/>
  <c r="AF178" i="67"/>
  <c r="AG178" i="67"/>
  <c r="AH178" i="67"/>
  <c r="AI178" i="67"/>
  <c r="AJ178" i="67"/>
  <c r="AK178" i="67"/>
  <c r="AL178" i="67"/>
  <c r="AM178" i="67"/>
  <c r="AN178" i="67"/>
  <c r="AO178" i="67"/>
  <c r="AP178" i="67"/>
  <c r="AQ178" i="67"/>
  <c r="AR178" i="67"/>
  <c r="AS178" i="67"/>
  <c r="AT178" i="67"/>
  <c r="AU178" i="67"/>
  <c r="AW178" i="67"/>
  <c r="AX178" i="67"/>
  <c r="AY178" i="67"/>
  <c r="BA178" i="67"/>
  <c r="A179" i="67"/>
  <c r="B179" i="67"/>
  <c r="D179" i="67"/>
  <c r="E179" i="67"/>
  <c r="F179" i="67"/>
  <c r="G179" i="67"/>
  <c r="H179" i="67"/>
  <c r="J179" i="67"/>
  <c r="K179" i="67"/>
  <c r="L179" i="67"/>
  <c r="M179" i="67"/>
  <c r="O179" i="67"/>
  <c r="P179" i="67"/>
  <c r="R179" i="67"/>
  <c r="S179" i="67"/>
  <c r="U179" i="67"/>
  <c r="V179" i="67"/>
  <c r="W179" i="67"/>
  <c r="X179" i="67"/>
  <c r="Z179" i="67"/>
  <c r="AA179" i="67"/>
  <c r="AB179" i="67"/>
  <c r="AC179" i="67"/>
  <c r="AD179" i="67"/>
  <c r="AE179" i="67"/>
  <c r="AF179" i="67"/>
  <c r="AG179" i="67"/>
  <c r="AH179" i="67"/>
  <c r="AI179" i="67"/>
  <c r="AJ179" i="67"/>
  <c r="AK179" i="67"/>
  <c r="AL179" i="67"/>
  <c r="AM179" i="67"/>
  <c r="AN179" i="67"/>
  <c r="AO179" i="67"/>
  <c r="AP179" i="67"/>
  <c r="AQ179" i="67"/>
  <c r="AR179" i="67"/>
  <c r="AS179" i="67"/>
  <c r="AT179" i="67"/>
  <c r="AU179" i="67"/>
  <c r="AW179" i="67"/>
  <c r="AX179" i="67"/>
  <c r="AY179" i="67"/>
  <c r="BA179" i="67"/>
  <c r="A180" i="67"/>
  <c r="B180" i="67"/>
  <c r="D180" i="67"/>
  <c r="E180" i="67"/>
  <c r="F180" i="67"/>
  <c r="G180" i="67"/>
  <c r="H180" i="67"/>
  <c r="J180" i="67"/>
  <c r="K180" i="67"/>
  <c r="L180" i="67"/>
  <c r="M180" i="67"/>
  <c r="O180" i="67"/>
  <c r="P180" i="67"/>
  <c r="R180" i="67"/>
  <c r="S180" i="67"/>
  <c r="U180" i="67"/>
  <c r="V180" i="67"/>
  <c r="W180" i="67"/>
  <c r="X180" i="67"/>
  <c r="Z180" i="67"/>
  <c r="AA180" i="67"/>
  <c r="AB180" i="67"/>
  <c r="AC180" i="67"/>
  <c r="AD180" i="67"/>
  <c r="AE180" i="67"/>
  <c r="AF180" i="67"/>
  <c r="AG180" i="67"/>
  <c r="AH180" i="67"/>
  <c r="AI180" i="67"/>
  <c r="AJ180" i="67"/>
  <c r="AK180" i="67"/>
  <c r="AL180" i="67"/>
  <c r="AM180" i="67"/>
  <c r="AN180" i="67"/>
  <c r="AO180" i="67"/>
  <c r="AP180" i="67"/>
  <c r="AQ180" i="67"/>
  <c r="AR180" i="67"/>
  <c r="AS180" i="67"/>
  <c r="AT180" i="67"/>
  <c r="AU180" i="67"/>
  <c r="AW180" i="67"/>
  <c r="AX180" i="67"/>
  <c r="AY180" i="67"/>
  <c r="BA180" i="67"/>
  <c r="A181" i="67"/>
  <c r="B181" i="67"/>
  <c r="D181" i="67"/>
  <c r="E181" i="67"/>
  <c r="F181" i="67"/>
  <c r="G181" i="67"/>
  <c r="H181" i="67"/>
  <c r="J181" i="67"/>
  <c r="K181" i="67"/>
  <c r="L181" i="67"/>
  <c r="M181" i="67"/>
  <c r="O181" i="67"/>
  <c r="P181" i="67"/>
  <c r="R181" i="67"/>
  <c r="S181" i="67"/>
  <c r="U181" i="67"/>
  <c r="V181" i="67"/>
  <c r="W181" i="67"/>
  <c r="X181" i="67"/>
  <c r="Z181" i="67"/>
  <c r="AA181" i="67"/>
  <c r="AB181" i="67"/>
  <c r="AC181" i="67"/>
  <c r="AD181" i="67"/>
  <c r="AE181" i="67"/>
  <c r="AF181" i="67"/>
  <c r="AG181" i="67"/>
  <c r="AH181" i="67"/>
  <c r="AI181" i="67"/>
  <c r="AJ181" i="67"/>
  <c r="AK181" i="67"/>
  <c r="AL181" i="67"/>
  <c r="AM181" i="67"/>
  <c r="AN181" i="67"/>
  <c r="AO181" i="67"/>
  <c r="AP181" i="67"/>
  <c r="AQ181" i="67"/>
  <c r="AR181" i="67"/>
  <c r="AS181" i="67"/>
  <c r="AT181" i="67"/>
  <c r="AU181" i="67"/>
  <c r="AW181" i="67"/>
  <c r="AX181" i="67"/>
  <c r="AY181" i="67"/>
  <c r="BA181" i="67"/>
  <c r="A182" i="67"/>
  <c r="B182" i="67"/>
  <c r="D182" i="67"/>
  <c r="E182" i="67"/>
  <c r="F182" i="67"/>
  <c r="G182" i="67"/>
  <c r="H182" i="67"/>
  <c r="J182" i="67"/>
  <c r="K182" i="67"/>
  <c r="L182" i="67"/>
  <c r="M182" i="67"/>
  <c r="O182" i="67"/>
  <c r="P182" i="67"/>
  <c r="R182" i="67"/>
  <c r="S182" i="67"/>
  <c r="U182" i="67"/>
  <c r="V182" i="67"/>
  <c r="W182" i="67"/>
  <c r="X182" i="67"/>
  <c r="Z182" i="67"/>
  <c r="AA182" i="67"/>
  <c r="AB182" i="67"/>
  <c r="AC182" i="67"/>
  <c r="AD182" i="67"/>
  <c r="AE182" i="67"/>
  <c r="AF182" i="67"/>
  <c r="AG182" i="67"/>
  <c r="AH182" i="67"/>
  <c r="AI182" i="67"/>
  <c r="AJ182" i="67"/>
  <c r="AK182" i="67"/>
  <c r="AL182" i="67"/>
  <c r="AM182" i="67"/>
  <c r="AN182" i="67"/>
  <c r="AO182" i="67"/>
  <c r="AP182" i="67"/>
  <c r="AQ182" i="67"/>
  <c r="AR182" i="67"/>
  <c r="AS182" i="67"/>
  <c r="AT182" i="67"/>
  <c r="AU182" i="67"/>
  <c r="AW182" i="67"/>
  <c r="AX182" i="67"/>
  <c r="AY182" i="67"/>
  <c r="BA182" i="67"/>
  <c r="A183" i="67"/>
  <c r="B183" i="67"/>
  <c r="D183" i="67"/>
  <c r="E183" i="67"/>
  <c r="F183" i="67"/>
  <c r="G183" i="67"/>
  <c r="H183" i="67"/>
  <c r="J183" i="67"/>
  <c r="K183" i="67"/>
  <c r="L183" i="67"/>
  <c r="M183" i="67"/>
  <c r="O183" i="67"/>
  <c r="P183" i="67"/>
  <c r="R183" i="67"/>
  <c r="S183" i="67"/>
  <c r="U183" i="67"/>
  <c r="V183" i="67"/>
  <c r="W183" i="67"/>
  <c r="X183" i="67"/>
  <c r="Z183" i="67"/>
  <c r="AA183" i="67"/>
  <c r="AB183" i="67"/>
  <c r="AC183" i="67"/>
  <c r="AD183" i="67"/>
  <c r="AE183" i="67"/>
  <c r="AF183" i="67"/>
  <c r="AG183" i="67"/>
  <c r="AH183" i="67"/>
  <c r="AI183" i="67"/>
  <c r="AJ183" i="67"/>
  <c r="AK183" i="67"/>
  <c r="AL183" i="67"/>
  <c r="AM183" i="67"/>
  <c r="AN183" i="67"/>
  <c r="AO183" i="67"/>
  <c r="AP183" i="67"/>
  <c r="AQ183" i="67"/>
  <c r="AR183" i="67"/>
  <c r="AS183" i="67"/>
  <c r="AT183" i="67"/>
  <c r="AU183" i="67"/>
  <c r="AW183" i="67"/>
  <c r="AX183" i="67"/>
  <c r="AY183" i="67"/>
  <c r="BA183" i="67"/>
  <c r="A184" i="67"/>
  <c r="B184" i="67"/>
  <c r="D184" i="67"/>
  <c r="E184" i="67"/>
  <c r="F184" i="67"/>
  <c r="G184" i="67"/>
  <c r="H184" i="67"/>
  <c r="J184" i="67"/>
  <c r="K184" i="67"/>
  <c r="L184" i="67"/>
  <c r="M184" i="67"/>
  <c r="O184" i="67"/>
  <c r="P184" i="67"/>
  <c r="R184" i="67"/>
  <c r="S184" i="67"/>
  <c r="U184" i="67"/>
  <c r="V184" i="67"/>
  <c r="W184" i="67"/>
  <c r="X184" i="67"/>
  <c r="Z184" i="67"/>
  <c r="AA184" i="67"/>
  <c r="AB184" i="67"/>
  <c r="AC184" i="67"/>
  <c r="AD184" i="67"/>
  <c r="AE184" i="67"/>
  <c r="AF184" i="67"/>
  <c r="AG184" i="67"/>
  <c r="AH184" i="67"/>
  <c r="AI184" i="67"/>
  <c r="AJ184" i="67"/>
  <c r="AK184" i="67"/>
  <c r="AL184" i="67"/>
  <c r="AM184" i="67"/>
  <c r="AN184" i="67"/>
  <c r="AO184" i="67"/>
  <c r="AP184" i="67"/>
  <c r="AQ184" i="67"/>
  <c r="AR184" i="67"/>
  <c r="AS184" i="67"/>
  <c r="AT184" i="67"/>
  <c r="AU184" i="67"/>
  <c r="AW184" i="67"/>
  <c r="AX184" i="67"/>
  <c r="AY184" i="67"/>
  <c r="BA184" i="67"/>
  <c r="A185" i="67"/>
  <c r="B185" i="67"/>
  <c r="D185" i="67"/>
  <c r="E185" i="67"/>
  <c r="F185" i="67"/>
  <c r="G185" i="67"/>
  <c r="H185" i="67"/>
  <c r="J185" i="67"/>
  <c r="K185" i="67"/>
  <c r="L185" i="67"/>
  <c r="M185" i="67"/>
  <c r="O185" i="67"/>
  <c r="P185" i="67"/>
  <c r="R185" i="67"/>
  <c r="S185" i="67"/>
  <c r="U185" i="67"/>
  <c r="V185" i="67"/>
  <c r="W185" i="67"/>
  <c r="X185" i="67"/>
  <c r="Z185" i="67"/>
  <c r="AA185" i="67"/>
  <c r="AB185" i="67"/>
  <c r="AC185" i="67"/>
  <c r="AD185" i="67"/>
  <c r="AE185" i="67"/>
  <c r="AF185" i="67"/>
  <c r="AG185" i="67"/>
  <c r="AH185" i="67"/>
  <c r="AI185" i="67"/>
  <c r="AJ185" i="67"/>
  <c r="AK185" i="67"/>
  <c r="AL185" i="67"/>
  <c r="AM185" i="67"/>
  <c r="AN185" i="67"/>
  <c r="AO185" i="67"/>
  <c r="AP185" i="67"/>
  <c r="AQ185" i="67"/>
  <c r="AR185" i="67"/>
  <c r="AS185" i="67"/>
  <c r="AT185" i="67"/>
  <c r="AU185" i="67"/>
  <c r="AW185" i="67"/>
  <c r="AX185" i="67"/>
  <c r="AY185" i="67"/>
  <c r="BA185" i="67"/>
  <c r="A186" i="67"/>
  <c r="B186" i="67"/>
  <c r="D186" i="67"/>
  <c r="E186" i="67"/>
  <c r="F186" i="67"/>
  <c r="G186" i="67"/>
  <c r="H186" i="67"/>
  <c r="J186" i="67"/>
  <c r="K186" i="67"/>
  <c r="L186" i="67"/>
  <c r="M186" i="67"/>
  <c r="O186" i="67"/>
  <c r="P186" i="67"/>
  <c r="R186" i="67"/>
  <c r="S186" i="67"/>
  <c r="U186" i="67"/>
  <c r="V186" i="67"/>
  <c r="W186" i="67"/>
  <c r="X186" i="67"/>
  <c r="Z186" i="67"/>
  <c r="AA186" i="67"/>
  <c r="AB186" i="67"/>
  <c r="AC186" i="67"/>
  <c r="AD186" i="67"/>
  <c r="AE186" i="67"/>
  <c r="AF186" i="67"/>
  <c r="AG186" i="67"/>
  <c r="AH186" i="67"/>
  <c r="AI186" i="67"/>
  <c r="AJ186" i="67"/>
  <c r="AK186" i="67"/>
  <c r="AL186" i="67"/>
  <c r="AM186" i="67"/>
  <c r="AN186" i="67"/>
  <c r="AO186" i="67"/>
  <c r="AP186" i="67"/>
  <c r="AQ186" i="67"/>
  <c r="AR186" i="67"/>
  <c r="AS186" i="67"/>
  <c r="AT186" i="67"/>
  <c r="AU186" i="67"/>
  <c r="AW186" i="67"/>
  <c r="AX186" i="67"/>
  <c r="AY186" i="67"/>
  <c r="BA186" i="67"/>
  <c r="A187" i="67"/>
  <c r="B187" i="67"/>
  <c r="D187" i="67"/>
  <c r="E187" i="67"/>
  <c r="F187" i="67"/>
  <c r="G187" i="67"/>
  <c r="H187" i="67"/>
  <c r="J187" i="67"/>
  <c r="K187" i="67"/>
  <c r="L187" i="67"/>
  <c r="M187" i="67"/>
  <c r="O187" i="67"/>
  <c r="P187" i="67"/>
  <c r="R187" i="67"/>
  <c r="S187" i="67"/>
  <c r="U187" i="67"/>
  <c r="V187" i="67"/>
  <c r="W187" i="67"/>
  <c r="X187" i="67"/>
  <c r="Z187" i="67"/>
  <c r="AA187" i="67"/>
  <c r="AB187" i="67"/>
  <c r="AC187" i="67"/>
  <c r="AD187" i="67"/>
  <c r="AE187" i="67"/>
  <c r="AF187" i="67"/>
  <c r="AG187" i="67"/>
  <c r="AH187" i="67"/>
  <c r="AI187" i="67"/>
  <c r="AJ187" i="67"/>
  <c r="AK187" i="67"/>
  <c r="AL187" i="67"/>
  <c r="AM187" i="67"/>
  <c r="AN187" i="67"/>
  <c r="AO187" i="67"/>
  <c r="AP187" i="67"/>
  <c r="AQ187" i="67"/>
  <c r="AR187" i="67"/>
  <c r="AS187" i="67"/>
  <c r="AT187" i="67"/>
  <c r="AU187" i="67"/>
  <c r="AW187" i="67"/>
  <c r="AX187" i="67"/>
  <c r="AY187" i="67"/>
  <c r="BA187" i="67"/>
  <c r="A188" i="67"/>
  <c r="B188" i="67"/>
  <c r="D188" i="67"/>
  <c r="E188" i="67"/>
  <c r="F188" i="67"/>
  <c r="G188" i="67"/>
  <c r="H188" i="67"/>
  <c r="J188" i="67"/>
  <c r="K188" i="67"/>
  <c r="L188" i="67"/>
  <c r="M188" i="67"/>
  <c r="O188" i="67"/>
  <c r="P188" i="67"/>
  <c r="R188" i="67"/>
  <c r="S188" i="67"/>
  <c r="U188" i="67"/>
  <c r="V188" i="67"/>
  <c r="W188" i="67"/>
  <c r="X188" i="67"/>
  <c r="Z188" i="67"/>
  <c r="AA188" i="67"/>
  <c r="AB188" i="67"/>
  <c r="AC188" i="67"/>
  <c r="AD188" i="67"/>
  <c r="AE188" i="67"/>
  <c r="AF188" i="67"/>
  <c r="AG188" i="67"/>
  <c r="AH188" i="67"/>
  <c r="AI188" i="67"/>
  <c r="AJ188" i="67"/>
  <c r="AK188" i="67"/>
  <c r="AL188" i="67"/>
  <c r="AM188" i="67"/>
  <c r="AN188" i="67"/>
  <c r="AO188" i="67"/>
  <c r="AP188" i="67"/>
  <c r="AQ188" i="67"/>
  <c r="AR188" i="67"/>
  <c r="AS188" i="67"/>
  <c r="AT188" i="67"/>
  <c r="AU188" i="67"/>
  <c r="AW188" i="67"/>
  <c r="AX188" i="67"/>
  <c r="AY188" i="67"/>
  <c r="BA188" i="67"/>
  <c r="A189" i="67"/>
  <c r="B189" i="67"/>
  <c r="D189" i="67"/>
  <c r="E189" i="67"/>
  <c r="F189" i="67"/>
  <c r="G189" i="67"/>
  <c r="H189" i="67"/>
  <c r="J189" i="67"/>
  <c r="K189" i="67"/>
  <c r="L189" i="67"/>
  <c r="M189" i="67"/>
  <c r="O189" i="67"/>
  <c r="P189" i="67"/>
  <c r="R189" i="67"/>
  <c r="S189" i="67"/>
  <c r="U189" i="67"/>
  <c r="V189" i="67"/>
  <c r="W189" i="67"/>
  <c r="X189" i="67"/>
  <c r="Z189" i="67"/>
  <c r="AA189" i="67"/>
  <c r="AB189" i="67"/>
  <c r="AC189" i="67"/>
  <c r="AD189" i="67"/>
  <c r="AE189" i="67"/>
  <c r="AF189" i="67"/>
  <c r="AG189" i="67"/>
  <c r="AH189" i="67"/>
  <c r="AI189" i="67"/>
  <c r="AJ189" i="67"/>
  <c r="AK189" i="67"/>
  <c r="AL189" i="67"/>
  <c r="AM189" i="67"/>
  <c r="AN189" i="67"/>
  <c r="AO189" i="67"/>
  <c r="AP189" i="67"/>
  <c r="AQ189" i="67"/>
  <c r="AR189" i="67"/>
  <c r="AS189" i="67"/>
  <c r="AT189" i="67"/>
  <c r="AU189" i="67"/>
  <c r="AW189" i="67"/>
  <c r="AX189" i="67"/>
  <c r="AY189" i="67"/>
  <c r="BA189" i="67"/>
  <c r="A190" i="67"/>
  <c r="B190" i="67"/>
  <c r="D190" i="67"/>
  <c r="E190" i="67"/>
  <c r="F190" i="67"/>
  <c r="G190" i="67"/>
  <c r="H190" i="67"/>
  <c r="J190" i="67"/>
  <c r="K190" i="67"/>
  <c r="L190" i="67"/>
  <c r="M190" i="67"/>
  <c r="O190" i="67"/>
  <c r="P190" i="67"/>
  <c r="R190" i="67"/>
  <c r="S190" i="67"/>
  <c r="U190" i="67"/>
  <c r="V190" i="67"/>
  <c r="W190" i="67"/>
  <c r="X190" i="67"/>
  <c r="Z190" i="67"/>
  <c r="AA190" i="67"/>
  <c r="AB190" i="67"/>
  <c r="AC190" i="67"/>
  <c r="AD190" i="67"/>
  <c r="AE190" i="67"/>
  <c r="AF190" i="67"/>
  <c r="AG190" i="67"/>
  <c r="AH190" i="67"/>
  <c r="AI190" i="67"/>
  <c r="AJ190" i="67"/>
  <c r="AK190" i="67"/>
  <c r="AL190" i="67"/>
  <c r="AM190" i="67"/>
  <c r="AN190" i="67"/>
  <c r="AO190" i="67"/>
  <c r="AP190" i="67"/>
  <c r="AQ190" i="67"/>
  <c r="AR190" i="67"/>
  <c r="AS190" i="67"/>
  <c r="AT190" i="67"/>
  <c r="AU190" i="67"/>
  <c r="AW190" i="67"/>
  <c r="AX190" i="67"/>
  <c r="AY190" i="67"/>
  <c r="BA190" i="67"/>
  <c r="A191" i="67"/>
  <c r="B191" i="67"/>
  <c r="D191" i="67"/>
  <c r="E191" i="67"/>
  <c r="F191" i="67"/>
  <c r="G191" i="67"/>
  <c r="H191" i="67"/>
  <c r="J191" i="67"/>
  <c r="K191" i="67"/>
  <c r="L191" i="67"/>
  <c r="M191" i="67"/>
  <c r="O191" i="67"/>
  <c r="P191" i="67"/>
  <c r="R191" i="67"/>
  <c r="S191" i="67"/>
  <c r="U191" i="67"/>
  <c r="V191" i="67"/>
  <c r="W191" i="67"/>
  <c r="X191" i="67"/>
  <c r="Z191" i="67"/>
  <c r="AA191" i="67"/>
  <c r="AB191" i="67"/>
  <c r="AC191" i="67"/>
  <c r="AD191" i="67"/>
  <c r="AE191" i="67"/>
  <c r="AF191" i="67"/>
  <c r="AG191" i="67"/>
  <c r="AH191" i="67"/>
  <c r="AI191" i="67"/>
  <c r="AJ191" i="67"/>
  <c r="AK191" i="67"/>
  <c r="AL191" i="67"/>
  <c r="AM191" i="67"/>
  <c r="AN191" i="67"/>
  <c r="AO191" i="67"/>
  <c r="AP191" i="67"/>
  <c r="AQ191" i="67"/>
  <c r="AR191" i="67"/>
  <c r="AS191" i="67"/>
  <c r="AT191" i="67"/>
  <c r="AU191" i="67"/>
  <c r="AW191" i="67"/>
  <c r="AX191" i="67"/>
  <c r="AY191" i="67"/>
  <c r="BA191" i="67"/>
  <c r="A192" i="67"/>
  <c r="B192" i="67"/>
  <c r="D192" i="67"/>
  <c r="E192" i="67"/>
  <c r="F192" i="67"/>
  <c r="G192" i="67"/>
  <c r="H192" i="67"/>
  <c r="J192" i="67"/>
  <c r="K192" i="67"/>
  <c r="L192" i="67"/>
  <c r="M192" i="67"/>
  <c r="O192" i="67"/>
  <c r="P192" i="67"/>
  <c r="R192" i="67"/>
  <c r="S192" i="67"/>
  <c r="U192" i="67"/>
  <c r="V192" i="67"/>
  <c r="W192" i="67"/>
  <c r="X192" i="67"/>
  <c r="Z192" i="67"/>
  <c r="AA192" i="67"/>
  <c r="AB192" i="67"/>
  <c r="AC192" i="67"/>
  <c r="AD192" i="67"/>
  <c r="AE192" i="67"/>
  <c r="AF192" i="67"/>
  <c r="AG192" i="67"/>
  <c r="AH192" i="67"/>
  <c r="AI192" i="67"/>
  <c r="AJ192" i="67"/>
  <c r="AK192" i="67"/>
  <c r="AL192" i="67"/>
  <c r="AM192" i="67"/>
  <c r="AN192" i="67"/>
  <c r="AO192" i="67"/>
  <c r="AP192" i="67"/>
  <c r="AQ192" i="67"/>
  <c r="AR192" i="67"/>
  <c r="AS192" i="67"/>
  <c r="AT192" i="67"/>
  <c r="AU192" i="67"/>
  <c r="AW192" i="67"/>
  <c r="AX192" i="67"/>
  <c r="AY192" i="67"/>
  <c r="BA192" i="67"/>
  <c r="A193" i="67"/>
  <c r="B193" i="67"/>
  <c r="D193" i="67"/>
  <c r="E193" i="67"/>
  <c r="F193" i="67"/>
  <c r="G193" i="67"/>
  <c r="H193" i="67"/>
  <c r="J193" i="67"/>
  <c r="K193" i="67"/>
  <c r="L193" i="67"/>
  <c r="M193" i="67"/>
  <c r="O193" i="67"/>
  <c r="P193" i="67"/>
  <c r="R193" i="67"/>
  <c r="S193" i="67"/>
  <c r="U193" i="67"/>
  <c r="V193" i="67"/>
  <c r="W193" i="67"/>
  <c r="X193" i="67"/>
  <c r="Z193" i="67"/>
  <c r="AA193" i="67"/>
  <c r="AB193" i="67"/>
  <c r="AC193" i="67"/>
  <c r="AD193" i="67"/>
  <c r="AE193" i="67"/>
  <c r="AF193" i="67"/>
  <c r="AG193" i="67"/>
  <c r="AH193" i="67"/>
  <c r="AI193" i="67"/>
  <c r="AJ193" i="67"/>
  <c r="AK193" i="67"/>
  <c r="AL193" i="67"/>
  <c r="AM193" i="67"/>
  <c r="AN193" i="67"/>
  <c r="AO193" i="67"/>
  <c r="AP193" i="67"/>
  <c r="AQ193" i="67"/>
  <c r="AR193" i="67"/>
  <c r="AS193" i="67"/>
  <c r="AT193" i="67"/>
  <c r="AU193" i="67"/>
  <c r="AW193" i="67"/>
  <c r="AX193" i="67"/>
  <c r="AY193" i="67"/>
  <c r="BA193" i="67"/>
  <c r="A194" i="67"/>
  <c r="B194" i="67"/>
  <c r="D194" i="67"/>
  <c r="E194" i="67"/>
  <c r="F194" i="67"/>
  <c r="G194" i="67"/>
  <c r="H194" i="67"/>
  <c r="J194" i="67"/>
  <c r="K194" i="67"/>
  <c r="L194" i="67"/>
  <c r="M194" i="67"/>
  <c r="O194" i="67"/>
  <c r="P194" i="67"/>
  <c r="R194" i="67"/>
  <c r="S194" i="67"/>
  <c r="U194" i="67"/>
  <c r="V194" i="67"/>
  <c r="W194" i="67"/>
  <c r="X194" i="67"/>
  <c r="Z194" i="67"/>
  <c r="AA194" i="67"/>
  <c r="AB194" i="67"/>
  <c r="AC194" i="67"/>
  <c r="AD194" i="67"/>
  <c r="AE194" i="67"/>
  <c r="AF194" i="67"/>
  <c r="AG194" i="67"/>
  <c r="AH194" i="67"/>
  <c r="AI194" i="67"/>
  <c r="AJ194" i="67"/>
  <c r="AK194" i="67"/>
  <c r="AL194" i="67"/>
  <c r="AM194" i="67"/>
  <c r="AN194" i="67"/>
  <c r="AO194" i="67"/>
  <c r="AP194" i="67"/>
  <c r="AQ194" i="67"/>
  <c r="AR194" i="67"/>
  <c r="AS194" i="67"/>
  <c r="AT194" i="67"/>
  <c r="AU194" i="67"/>
  <c r="AW194" i="67"/>
  <c r="AX194" i="67"/>
  <c r="AY194" i="67"/>
  <c r="BA194" i="67"/>
  <c r="A195" i="67"/>
  <c r="B195" i="67"/>
  <c r="D195" i="67"/>
  <c r="E195" i="67"/>
  <c r="F195" i="67"/>
  <c r="G195" i="67"/>
  <c r="H195" i="67"/>
  <c r="J195" i="67"/>
  <c r="K195" i="67"/>
  <c r="L195" i="67"/>
  <c r="M195" i="67"/>
  <c r="O195" i="67"/>
  <c r="P195" i="67"/>
  <c r="R195" i="67"/>
  <c r="S195" i="67"/>
  <c r="U195" i="67"/>
  <c r="V195" i="67"/>
  <c r="W195" i="67"/>
  <c r="X195" i="67"/>
  <c r="Z195" i="67"/>
  <c r="AA195" i="67"/>
  <c r="AB195" i="67"/>
  <c r="AC195" i="67"/>
  <c r="AD195" i="67"/>
  <c r="AE195" i="67"/>
  <c r="AF195" i="67"/>
  <c r="AG195" i="67"/>
  <c r="AH195" i="67"/>
  <c r="AI195" i="67"/>
  <c r="AJ195" i="67"/>
  <c r="AK195" i="67"/>
  <c r="AL195" i="67"/>
  <c r="AM195" i="67"/>
  <c r="AN195" i="67"/>
  <c r="AO195" i="67"/>
  <c r="AP195" i="67"/>
  <c r="AQ195" i="67"/>
  <c r="AR195" i="67"/>
  <c r="AS195" i="67"/>
  <c r="AT195" i="67"/>
  <c r="AU195" i="67"/>
  <c r="AW195" i="67"/>
  <c r="AX195" i="67"/>
  <c r="AY195" i="67"/>
  <c r="BA195" i="67"/>
  <c r="A196" i="67"/>
  <c r="B196" i="67"/>
  <c r="D196" i="67"/>
  <c r="E196" i="67"/>
  <c r="F196" i="67"/>
  <c r="G196" i="67"/>
  <c r="H196" i="67"/>
  <c r="J196" i="67"/>
  <c r="K196" i="67"/>
  <c r="L196" i="67"/>
  <c r="M196" i="67"/>
  <c r="O196" i="67"/>
  <c r="P196" i="67"/>
  <c r="R196" i="67"/>
  <c r="S196" i="67"/>
  <c r="U196" i="67"/>
  <c r="V196" i="67"/>
  <c r="W196" i="67"/>
  <c r="X196" i="67"/>
  <c r="Z196" i="67"/>
  <c r="AA196" i="67"/>
  <c r="AB196" i="67"/>
  <c r="AC196" i="67"/>
  <c r="AD196" i="67"/>
  <c r="AE196" i="67"/>
  <c r="AF196" i="67"/>
  <c r="AG196" i="67"/>
  <c r="AH196" i="67"/>
  <c r="AI196" i="67"/>
  <c r="AJ196" i="67"/>
  <c r="AK196" i="67"/>
  <c r="AL196" i="67"/>
  <c r="AM196" i="67"/>
  <c r="AN196" i="67"/>
  <c r="AO196" i="67"/>
  <c r="AP196" i="67"/>
  <c r="AQ196" i="67"/>
  <c r="AR196" i="67"/>
  <c r="AS196" i="67"/>
  <c r="AT196" i="67"/>
  <c r="AU196" i="67"/>
  <c r="AW196" i="67"/>
  <c r="AX196" i="67"/>
  <c r="AY196" i="67"/>
  <c r="BA196" i="67"/>
  <c r="A197" i="67"/>
  <c r="B197" i="67"/>
  <c r="D197" i="67"/>
  <c r="E197" i="67"/>
  <c r="F197" i="67"/>
  <c r="G197" i="67"/>
  <c r="H197" i="67"/>
  <c r="J197" i="67"/>
  <c r="K197" i="67"/>
  <c r="L197" i="67"/>
  <c r="M197" i="67"/>
  <c r="O197" i="67"/>
  <c r="P197" i="67"/>
  <c r="R197" i="67"/>
  <c r="S197" i="67"/>
  <c r="U197" i="67"/>
  <c r="V197" i="67"/>
  <c r="W197" i="67"/>
  <c r="X197" i="67"/>
  <c r="Z197" i="67"/>
  <c r="AA197" i="67"/>
  <c r="AB197" i="67"/>
  <c r="AC197" i="67"/>
  <c r="AD197" i="67"/>
  <c r="AE197" i="67"/>
  <c r="AF197" i="67"/>
  <c r="AG197" i="67"/>
  <c r="AH197" i="67"/>
  <c r="AI197" i="67"/>
  <c r="AJ197" i="67"/>
  <c r="AK197" i="67"/>
  <c r="AL197" i="67"/>
  <c r="AM197" i="67"/>
  <c r="AN197" i="67"/>
  <c r="AO197" i="67"/>
  <c r="AP197" i="67"/>
  <c r="AQ197" i="67"/>
  <c r="AR197" i="67"/>
  <c r="AS197" i="67"/>
  <c r="AT197" i="67"/>
  <c r="AU197" i="67"/>
  <c r="AW197" i="67"/>
  <c r="AX197" i="67"/>
  <c r="AY197" i="67"/>
  <c r="BA197" i="67"/>
  <c r="A198" i="67"/>
  <c r="B198" i="67"/>
  <c r="D198" i="67"/>
  <c r="E198" i="67"/>
  <c r="F198" i="67"/>
  <c r="G198" i="67"/>
  <c r="H198" i="67"/>
  <c r="J198" i="67"/>
  <c r="K198" i="67"/>
  <c r="L198" i="67"/>
  <c r="M198" i="67"/>
  <c r="O198" i="67"/>
  <c r="P198" i="67"/>
  <c r="R198" i="67"/>
  <c r="S198" i="67"/>
  <c r="U198" i="67"/>
  <c r="V198" i="67"/>
  <c r="W198" i="67"/>
  <c r="X198" i="67"/>
  <c r="Z198" i="67"/>
  <c r="AA198" i="67"/>
  <c r="AB198" i="67"/>
  <c r="AC198" i="67"/>
  <c r="AD198" i="67"/>
  <c r="AE198" i="67"/>
  <c r="AF198" i="67"/>
  <c r="AG198" i="67"/>
  <c r="AH198" i="67"/>
  <c r="AI198" i="67"/>
  <c r="AJ198" i="67"/>
  <c r="AK198" i="67"/>
  <c r="AL198" i="67"/>
  <c r="AM198" i="67"/>
  <c r="AN198" i="67"/>
  <c r="AO198" i="67"/>
  <c r="AP198" i="67"/>
  <c r="AQ198" i="67"/>
  <c r="AR198" i="67"/>
  <c r="AS198" i="67"/>
  <c r="AT198" i="67"/>
  <c r="AU198" i="67"/>
  <c r="AW198" i="67"/>
  <c r="AX198" i="67"/>
  <c r="AY198" i="67"/>
  <c r="BA198" i="67"/>
  <c r="A199" i="67"/>
  <c r="B199" i="67"/>
  <c r="D199" i="67"/>
  <c r="E199" i="67"/>
  <c r="F199" i="67"/>
  <c r="G199" i="67"/>
  <c r="H199" i="67"/>
  <c r="J199" i="67"/>
  <c r="K199" i="67"/>
  <c r="L199" i="67"/>
  <c r="M199" i="67"/>
  <c r="O199" i="67"/>
  <c r="P199" i="67"/>
  <c r="R199" i="67"/>
  <c r="S199" i="67"/>
  <c r="U199" i="67"/>
  <c r="V199" i="67"/>
  <c r="W199" i="67"/>
  <c r="X199" i="67"/>
  <c r="Z199" i="67"/>
  <c r="AA199" i="67"/>
  <c r="AB199" i="67"/>
  <c r="AC199" i="67"/>
  <c r="AD199" i="67"/>
  <c r="AE199" i="67"/>
  <c r="AF199" i="67"/>
  <c r="AG199" i="67"/>
  <c r="AH199" i="67"/>
  <c r="AI199" i="67"/>
  <c r="AJ199" i="67"/>
  <c r="AK199" i="67"/>
  <c r="AL199" i="67"/>
  <c r="AM199" i="67"/>
  <c r="AN199" i="67"/>
  <c r="AO199" i="67"/>
  <c r="AP199" i="67"/>
  <c r="AQ199" i="67"/>
  <c r="AR199" i="67"/>
  <c r="AS199" i="67"/>
  <c r="AT199" i="67"/>
  <c r="AU199" i="67"/>
  <c r="AW199" i="67"/>
  <c r="AX199" i="67"/>
  <c r="AY199" i="67"/>
  <c r="BA199" i="67"/>
  <c r="A200" i="67"/>
  <c r="B200" i="67"/>
  <c r="D200" i="67"/>
  <c r="E200" i="67"/>
  <c r="F200" i="67"/>
  <c r="G200" i="67"/>
  <c r="H200" i="67"/>
  <c r="J200" i="67"/>
  <c r="K200" i="67"/>
  <c r="L200" i="67"/>
  <c r="M200" i="67"/>
  <c r="O200" i="67"/>
  <c r="P200" i="67"/>
  <c r="R200" i="67"/>
  <c r="S200" i="67"/>
  <c r="U200" i="67"/>
  <c r="V200" i="67"/>
  <c r="W200" i="67"/>
  <c r="X200" i="67"/>
  <c r="Z200" i="67"/>
  <c r="AA200" i="67"/>
  <c r="AB200" i="67"/>
  <c r="AC200" i="67"/>
  <c r="AD200" i="67"/>
  <c r="AE200" i="67"/>
  <c r="AF200" i="67"/>
  <c r="AG200" i="67"/>
  <c r="AH200" i="67"/>
  <c r="AI200" i="67"/>
  <c r="AJ200" i="67"/>
  <c r="AK200" i="67"/>
  <c r="AL200" i="67"/>
  <c r="AM200" i="67"/>
  <c r="AN200" i="67"/>
  <c r="AO200" i="67"/>
  <c r="AP200" i="67"/>
  <c r="AQ200" i="67"/>
  <c r="AR200" i="67"/>
  <c r="AS200" i="67"/>
  <c r="AT200" i="67"/>
  <c r="AU200" i="67"/>
  <c r="AW200" i="67"/>
  <c r="AX200" i="67"/>
  <c r="AY200" i="67"/>
  <c r="BA200" i="67"/>
  <c r="A201" i="67"/>
  <c r="B201" i="67"/>
  <c r="D201" i="67"/>
  <c r="E201" i="67"/>
  <c r="F201" i="67"/>
  <c r="G201" i="67"/>
  <c r="H201" i="67"/>
  <c r="J201" i="67"/>
  <c r="K201" i="67"/>
  <c r="L201" i="67"/>
  <c r="M201" i="67"/>
  <c r="O201" i="67"/>
  <c r="P201" i="67"/>
  <c r="R201" i="67"/>
  <c r="S201" i="67"/>
  <c r="U201" i="67"/>
  <c r="V201" i="67"/>
  <c r="W201" i="67"/>
  <c r="X201" i="67"/>
  <c r="Z201" i="67"/>
  <c r="AA201" i="67"/>
  <c r="AB201" i="67"/>
  <c r="AC201" i="67"/>
  <c r="AD201" i="67"/>
  <c r="AE201" i="67"/>
  <c r="AF201" i="67"/>
  <c r="AG201" i="67"/>
  <c r="AH201" i="67"/>
  <c r="AI201" i="67"/>
  <c r="AJ201" i="67"/>
  <c r="AK201" i="67"/>
  <c r="AL201" i="67"/>
  <c r="AM201" i="67"/>
  <c r="AN201" i="67"/>
  <c r="AO201" i="67"/>
  <c r="AP201" i="67"/>
  <c r="AQ201" i="67"/>
  <c r="AR201" i="67"/>
  <c r="AS201" i="67"/>
  <c r="AT201" i="67"/>
  <c r="AU201" i="67"/>
  <c r="AW201" i="67"/>
  <c r="AX201" i="67"/>
  <c r="AY201" i="67"/>
  <c r="BA201" i="67"/>
  <c r="A202" i="67"/>
  <c r="B202" i="67"/>
  <c r="D202" i="67"/>
  <c r="E202" i="67"/>
  <c r="F202" i="67"/>
  <c r="G202" i="67"/>
  <c r="H202" i="67"/>
  <c r="J202" i="67"/>
  <c r="K202" i="67"/>
  <c r="L202" i="67"/>
  <c r="M202" i="67"/>
  <c r="O202" i="67"/>
  <c r="P202" i="67"/>
  <c r="R202" i="67"/>
  <c r="S202" i="67"/>
  <c r="U202" i="67"/>
  <c r="V202" i="67"/>
  <c r="W202" i="67"/>
  <c r="X202" i="67"/>
  <c r="Z202" i="67"/>
  <c r="AA202" i="67"/>
  <c r="AB202" i="67"/>
  <c r="AC202" i="67"/>
  <c r="AD202" i="67"/>
  <c r="AE202" i="67"/>
  <c r="AF202" i="67"/>
  <c r="AG202" i="67"/>
  <c r="AH202" i="67"/>
  <c r="AI202" i="67"/>
  <c r="AJ202" i="67"/>
  <c r="AK202" i="67"/>
  <c r="AL202" i="67"/>
  <c r="AM202" i="67"/>
  <c r="AN202" i="67"/>
  <c r="AO202" i="67"/>
  <c r="AP202" i="67"/>
  <c r="AQ202" i="67"/>
  <c r="AR202" i="67"/>
  <c r="AS202" i="67"/>
  <c r="AT202" i="67"/>
  <c r="AU202" i="67"/>
  <c r="AW202" i="67"/>
  <c r="AX202" i="67"/>
  <c r="AY202" i="67"/>
  <c r="BA202" i="67"/>
  <c r="A203" i="67"/>
  <c r="B203" i="67"/>
  <c r="D203" i="67"/>
  <c r="E203" i="67"/>
  <c r="F203" i="67"/>
  <c r="G203" i="67"/>
  <c r="H203" i="67"/>
  <c r="J203" i="67"/>
  <c r="K203" i="67"/>
  <c r="L203" i="67"/>
  <c r="M203" i="67"/>
  <c r="O203" i="67"/>
  <c r="P203" i="67"/>
  <c r="R203" i="67"/>
  <c r="S203" i="67"/>
  <c r="U203" i="67"/>
  <c r="V203" i="67"/>
  <c r="W203" i="67"/>
  <c r="X203" i="67"/>
  <c r="Z203" i="67"/>
  <c r="AA203" i="67"/>
  <c r="AB203" i="67"/>
  <c r="AC203" i="67"/>
  <c r="AD203" i="67"/>
  <c r="AE203" i="67"/>
  <c r="AF203" i="67"/>
  <c r="AG203" i="67"/>
  <c r="AH203" i="67"/>
  <c r="AI203" i="67"/>
  <c r="AJ203" i="67"/>
  <c r="AK203" i="67"/>
  <c r="AL203" i="67"/>
  <c r="AM203" i="67"/>
  <c r="AN203" i="67"/>
  <c r="AO203" i="67"/>
  <c r="AP203" i="67"/>
  <c r="AQ203" i="67"/>
  <c r="AR203" i="67"/>
  <c r="AS203" i="67"/>
  <c r="AT203" i="67"/>
  <c r="AU203" i="67"/>
  <c r="AW203" i="67"/>
  <c r="AX203" i="67"/>
  <c r="AY203" i="67"/>
  <c r="BA203" i="67"/>
  <c r="A204" i="67"/>
  <c r="B204" i="67"/>
  <c r="D204" i="67"/>
  <c r="E204" i="67"/>
  <c r="F204" i="67"/>
  <c r="G204" i="67"/>
  <c r="H204" i="67"/>
  <c r="J204" i="67"/>
  <c r="K204" i="67"/>
  <c r="L204" i="67"/>
  <c r="M204" i="67"/>
  <c r="O204" i="67"/>
  <c r="P204" i="67"/>
  <c r="R204" i="67"/>
  <c r="S204" i="67"/>
  <c r="U204" i="67"/>
  <c r="V204" i="67"/>
  <c r="W204" i="67"/>
  <c r="X204" i="67"/>
  <c r="Z204" i="67"/>
  <c r="AA204" i="67"/>
  <c r="AB204" i="67"/>
  <c r="AC204" i="67"/>
  <c r="AD204" i="67"/>
  <c r="AE204" i="67"/>
  <c r="AF204" i="67"/>
  <c r="AG204" i="67"/>
  <c r="AH204" i="67"/>
  <c r="AI204" i="67"/>
  <c r="AJ204" i="67"/>
  <c r="AK204" i="67"/>
  <c r="AL204" i="67"/>
  <c r="AM204" i="67"/>
  <c r="AN204" i="67"/>
  <c r="AO204" i="67"/>
  <c r="AP204" i="67"/>
  <c r="AQ204" i="67"/>
  <c r="AR204" i="67"/>
  <c r="AS204" i="67"/>
  <c r="AT204" i="67"/>
  <c r="AU204" i="67"/>
  <c r="AW204" i="67"/>
  <c r="AX204" i="67"/>
  <c r="AY204" i="67"/>
  <c r="BA204" i="67"/>
  <c r="A205" i="67"/>
  <c r="B205" i="67"/>
  <c r="D205" i="67"/>
  <c r="E205" i="67"/>
  <c r="F205" i="67"/>
  <c r="G205" i="67"/>
  <c r="H205" i="67"/>
  <c r="J205" i="67"/>
  <c r="K205" i="67"/>
  <c r="L205" i="67"/>
  <c r="M205" i="67"/>
  <c r="O205" i="67"/>
  <c r="P205" i="67"/>
  <c r="R205" i="67"/>
  <c r="S205" i="67"/>
  <c r="U205" i="67"/>
  <c r="V205" i="67"/>
  <c r="W205" i="67"/>
  <c r="X205" i="67"/>
  <c r="Z205" i="67"/>
  <c r="AA205" i="67"/>
  <c r="AB205" i="67"/>
  <c r="AC205" i="67"/>
  <c r="AD205" i="67"/>
  <c r="AE205" i="67"/>
  <c r="AF205" i="67"/>
  <c r="AG205" i="67"/>
  <c r="AH205" i="67"/>
  <c r="AI205" i="67"/>
  <c r="AJ205" i="67"/>
  <c r="AK205" i="67"/>
  <c r="AL205" i="67"/>
  <c r="AM205" i="67"/>
  <c r="AN205" i="67"/>
  <c r="AO205" i="67"/>
  <c r="AP205" i="67"/>
  <c r="AQ205" i="67"/>
  <c r="AR205" i="67"/>
  <c r="AS205" i="67"/>
  <c r="AT205" i="67"/>
  <c r="AU205" i="67"/>
  <c r="AW205" i="67"/>
  <c r="AX205" i="67"/>
  <c r="AY205" i="67"/>
  <c r="BA205" i="67"/>
  <c r="A206" i="67"/>
  <c r="B206" i="67"/>
  <c r="D206" i="67"/>
  <c r="E206" i="67"/>
  <c r="F206" i="67"/>
  <c r="G206" i="67"/>
  <c r="H206" i="67"/>
  <c r="J206" i="67"/>
  <c r="K206" i="67"/>
  <c r="L206" i="67"/>
  <c r="M206" i="67"/>
  <c r="O206" i="67"/>
  <c r="P206" i="67"/>
  <c r="R206" i="67"/>
  <c r="S206" i="67"/>
  <c r="U206" i="67"/>
  <c r="V206" i="67"/>
  <c r="W206" i="67"/>
  <c r="X206" i="67"/>
  <c r="Z206" i="67"/>
  <c r="AA206" i="67"/>
  <c r="AB206" i="67"/>
  <c r="AC206" i="67"/>
  <c r="AD206" i="67"/>
  <c r="AE206" i="67"/>
  <c r="AF206" i="67"/>
  <c r="AG206" i="67"/>
  <c r="AH206" i="67"/>
  <c r="AI206" i="67"/>
  <c r="AJ206" i="67"/>
  <c r="AK206" i="67"/>
  <c r="AL206" i="67"/>
  <c r="AM206" i="67"/>
  <c r="AN206" i="67"/>
  <c r="AO206" i="67"/>
  <c r="AP206" i="67"/>
  <c r="AQ206" i="67"/>
  <c r="AR206" i="67"/>
  <c r="AS206" i="67"/>
  <c r="AT206" i="67"/>
  <c r="AU206" i="67"/>
  <c r="AW206" i="67"/>
  <c r="AX206" i="67"/>
  <c r="AY206" i="67"/>
  <c r="BA206" i="67"/>
  <c r="A207" i="67"/>
  <c r="B207" i="67"/>
  <c r="D207" i="67"/>
  <c r="E207" i="67"/>
  <c r="F207" i="67"/>
  <c r="G207" i="67"/>
  <c r="H207" i="67"/>
  <c r="J207" i="67"/>
  <c r="K207" i="67"/>
  <c r="L207" i="67"/>
  <c r="M207" i="67"/>
  <c r="O207" i="67"/>
  <c r="P207" i="67"/>
  <c r="R207" i="67"/>
  <c r="S207" i="67"/>
  <c r="U207" i="67"/>
  <c r="V207" i="67"/>
  <c r="W207" i="67"/>
  <c r="X207" i="67"/>
  <c r="Z207" i="67"/>
  <c r="AA207" i="67"/>
  <c r="AB207" i="67"/>
  <c r="AC207" i="67"/>
  <c r="AD207" i="67"/>
  <c r="AE207" i="67"/>
  <c r="AF207" i="67"/>
  <c r="AG207" i="67"/>
  <c r="AH207" i="67"/>
  <c r="AI207" i="67"/>
  <c r="AJ207" i="67"/>
  <c r="AK207" i="67"/>
  <c r="AL207" i="67"/>
  <c r="AM207" i="67"/>
  <c r="AN207" i="67"/>
  <c r="AO207" i="67"/>
  <c r="AP207" i="67"/>
  <c r="AQ207" i="67"/>
  <c r="AR207" i="67"/>
  <c r="AS207" i="67"/>
  <c r="AT207" i="67"/>
  <c r="AU207" i="67"/>
  <c r="AW207" i="67"/>
  <c r="AX207" i="67"/>
  <c r="AY207" i="67"/>
  <c r="BA207" i="67"/>
  <c r="A208" i="67"/>
  <c r="B208" i="67"/>
  <c r="D208" i="67"/>
  <c r="E208" i="67"/>
  <c r="F208" i="67"/>
  <c r="G208" i="67"/>
  <c r="H208" i="67"/>
  <c r="J208" i="67"/>
  <c r="K208" i="67"/>
  <c r="L208" i="67"/>
  <c r="M208" i="67"/>
  <c r="O208" i="67"/>
  <c r="P208" i="67"/>
  <c r="R208" i="67"/>
  <c r="S208" i="67"/>
  <c r="U208" i="67"/>
  <c r="V208" i="67"/>
  <c r="W208" i="67"/>
  <c r="X208" i="67"/>
  <c r="Z208" i="67"/>
  <c r="AA208" i="67"/>
  <c r="AB208" i="67"/>
  <c r="AC208" i="67"/>
  <c r="AD208" i="67"/>
  <c r="AE208" i="67"/>
  <c r="AF208" i="67"/>
  <c r="AG208" i="67"/>
  <c r="AH208" i="67"/>
  <c r="AI208" i="67"/>
  <c r="AJ208" i="67"/>
  <c r="AK208" i="67"/>
  <c r="AL208" i="67"/>
  <c r="AM208" i="67"/>
  <c r="AN208" i="67"/>
  <c r="AO208" i="67"/>
  <c r="AP208" i="67"/>
  <c r="AQ208" i="67"/>
  <c r="AR208" i="67"/>
  <c r="AS208" i="67"/>
  <c r="AT208" i="67"/>
  <c r="AU208" i="67"/>
  <c r="AW208" i="67"/>
  <c r="AX208" i="67"/>
  <c r="AY208" i="67"/>
  <c r="BA208" i="67"/>
  <c r="A209" i="67"/>
  <c r="B209" i="67"/>
  <c r="D209" i="67"/>
  <c r="E209" i="67"/>
  <c r="F209" i="67"/>
  <c r="G209" i="67"/>
  <c r="H209" i="67"/>
  <c r="J209" i="67"/>
  <c r="K209" i="67"/>
  <c r="L209" i="67"/>
  <c r="M209" i="67"/>
  <c r="O209" i="67"/>
  <c r="P209" i="67"/>
  <c r="R209" i="67"/>
  <c r="S209" i="67"/>
  <c r="U209" i="67"/>
  <c r="V209" i="67"/>
  <c r="W209" i="67"/>
  <c r="X209" i="67"/>
  <c r="Z209" i="67"/>
  <c r="AA209" i="67"/>
  <c r="AB209" i="67"/>
  <c r="AC209" i="67"/>
  <c r="AD209" i="67"/>
  <c r="AE209" i="67"/>
  <c r="AF209" i="67"/>
  <c r="AG209" i="67"/>
  <c r="AH209" i="67"/>
  <c r="AI209" i="67"/>
  <c r="AJ209" i="67"/>
  <c r="AK209" i="67"/>
  <c r="AL209" i="67"/>
  <c r="AM209" i="67"/>
  <c r="AN209" i="67"/>
  <c r="AO209" i="67"/>
  <c r="AP209" i="67"/>
  <c r="AQ209" i="67"/>
  <c r="AR209" i="67"/>
  <c r="AS209" i="67"/>
  <c r="AT209" i="67"/>
  <c r="AU209" i="67"/>
  <c r="AW209" i="67"/>
  <c r="AX209" i="67"/>
  <c r="AY209" i="67"/>
  <c r="BA209" i="67"/>
  <c r="A210" i="67"/>
  <c r="B210" i="67"/>
  <c r="D210" i="67"/>
  <c r="E210" i="67"/>
  <c r="F210" i="67"/>
  <c r="G210" i="67"/>
  <c r="H210" i="67"/>
  <c r="J210" i="67"/>
  <c r="K210" i="67"/>
  <c r="L210" i="67"/>
  <c r="M210" i="67"/>
  <c r="O210" i="67"/>
  <c r="P210" i="67"/>
  <c r="R210" i="67"/>
  <c r="S210" i="67"/>
  <c r="U210" i="67"/>
  <c r="V210" i="67"/>
  <c r="W210" i="67"/>
  <c r="X210" i="67"/>
  <c r="Z210" i="67"/>
  <c r="AA210" i="67"/>
  <c r="AB210" i="67"/>
  <c r="AC210" i="67"/>
  <c r="AD210" i="67"/>
  <c r="AE210" i="67"/>
  <c r="AF210" i="67"/>
  <c r="AG210" i="67"/>
  <c r="AH210" i="67"/>
  <c r="AI210" i="67"/>
  <c r="AJ210" i="67"/>
  <c r="AK210" i="67"/>
  <c r="AL210" i="67"/>
  <c r="AM210" i="67"/>
  <c r="AN210" i="67"/>
  <c r="AO210" i="67"/>
  <c r="AP210" i="67"/>
  <c r="AQ210" i="67"/>
  <c r="AR210" i="67"/>
  <c r="AS210" i="67"/>
  <c r="AT210" i="67"/>
  <c r="AU210" i="67"/>
  <c r="AW210" i="67"/>
  <c r="AX210" i="67"/>
  <c r="AY210" i="67"/>
  <c r="BA210" i="67"/>
  <c r="A211" i="67"/>
  <c r="B211" i="67"/>
  <c r="D211" i="67"/>
  <c r="E211" i="67"/>
  <c r="F211" i="67"/>
  <c r="G211" i="67"/>
  <c r="H211" i="67"/>
  <c r="J211" i="67"/>
  <c r="K211" i="67"/>
  <c r="L211" i="67"/>
  <c r="M211" i="67"/>
  <c r="O211" i="67"/>
  <c r="P211" i="67"/>
  <c r="R211" i="67"/>
  <c r="S211" i="67"/>
  <c r="U211" i="67"/>
  <c r="V211" i="67"/>
  <c r="W211" i="67"/>
  <c r="X211" i="67"/>
  <c r="Z211" i="67"/>
  <c r="AA211" i="67"/>
  <c r="AB211" i="67"/>
  <c r="AC211" i="67"/>
  <c r="AD211" i="67"/>
  <c r="AE211" i="67"/>
  <c r="AF211" i="67"/>
  <c r="AG211" i="67"/>
  <c r="AH211" i="67"/>
  <c r="AI211" i="67"/>
  <c r="AJ211" i="67"/>
  <c r="AK211" i="67"/>
  <c r="AL211" i="67"/>
  <c r="AM211" i="67"/>
  <c r="AN211" i="67"/>
  <c r="AO211" i="67"/>
  <c r="AP211" i="67"/>
  <c r="AQ211" i="67"/>
  <c r="AR211" i="67"/>
  <c r="AS211" i="67"/>
  <c r="AT211" i="67"/>
  <c r="AU211" i="67"/>
  <c r="AW211" i="67"/>
  <c r="AX211" i="67"/>
  <c r="AY211" i="67"/>
  <c r="BA211" i="67"/>
  <c r="A212" i="67"/>
  <c r="B212" i="67"/>
  <c r="D212" i="67"/>
  <c r="E212" i="67"/>
  <c r="F212" i="67"/>
  <c r="G212" i="67"/>
  <c r="H212" i="67"/>
  <c r="J212" i="67"/>
  <c r="K212" i="67"/>
  <c r="L212" i="67"/>
  <c r="M212" i="67"/>
  <c r="O212" i="67"/>
  <c r="P212" i="67"/>
  <c r="R212" i="67"/>
  <c r="S212" i="67"/>
  <c r="U212" i="67"/>
  <c r="V212" i="67"/>
  <c r="W212" i="67"/>
  <c r="X212" i="67"/>
  <c r="Z212" i="67"/>
  <c r="AA212" i="67"/>
  <c r="AB212" i="67"/>
  <c r="AC212" i="67"/>
  <c r="AD212" i="67"/>
  <c r="AE212" i="67"/>
  <c r="AF212" i="67"/>
  <c r="AG212" i="67"/>
  <c r="AH212" i="67"/>
  <c r="AI212" i="67"/>
  <c r="AJ212" i="67"/>
  <c r="AK212" i="67"/>
  <c r="AL212" i="67"/>
  <c r="AM212" i="67"/>
  <c r="AN212" i="67"/>
  <c r="AO212" i="67"/>
  <c r="AP212" i="67"/>
  <c r="AQ212" i="67"/>
  <c r="AR212" i="67"/>
  <c r="AS212" i="67"/>
  <c r="AT212" i="67"/>
  <c r="AU212" i="67"/>
  <c r="AW212" i="67"/>
  <c r="AX212" i="67"/>
  <c r="AY212" i="67"/>
  <c r="BA212" i="67"/>
  <c r="A213" i="67"/>
  <c r="B213" i="67"/>
  <c r="D213" i="67"/>
  <c r="E213" i="67"/>
  <c r="F213" i="67"/>
  <c r="G213" i="67"/>
  <c r="H213" i="67"/>
  <c r="J213" i="67"/>
  <c r="K213" i="67"/>
  <c r="L213" i="67"/>
  <c r="M213" i="67"/>
  <c r="O213" i="67"/>
  <c r="P213" i="67"/>
  <c r="R213" i="67"/>
  <c r="S213" i="67"/>
  <c r="U213" i="67"/>
  <c r="V213" i="67"/>
  <c r="W213" i="67"/>
  <c r="X213" i="67"/>
  <c r="Z213" i="67"/>
  <c r="AA213" i="67"/>
  <c r="AB213" i="67"/>
  <c r="AC213" i="67"/>
  <c r="AD213" i="67"/>
  <c r="AE213" i="67"/>
  <c r="AF213" i="67"/>
  <c r="AG213" i="67"/>
  <c r="AH213" i="67"/>
  <c r="AI213" i="67"/>
  <c r="AJ213" i="67"/>
  <c r="AK213" i="67"/>
  <c r="AL213" i="67"/>
  <c r="AM213" i="67"/>
  <c r="AN213" i="67"/>
  <c r="AO213" i="67"/>
  <c r="AP213" i="67"/>
  <c r="AQ213" i="67"/>
  <c r="AR213" i="67"/>
  <c r="AS213" i="67"/>
  <c r="AT213" i="67"/>
  <c r="AU213" i="67"/>
  <c r="AW213" i="67"/>
  <c r="AX213" i="67"/>
  <c r="AY213" i="67"/>
  <c r="BA213" i="67"/>
  <c r="A214" i="67"/>
  <c r="B214" i="67"/>
  <c r="D214" i="67"/>
  <c r="E214" i="67"/>
  <c r="F214" i="67"/>
  <c r="G214" i="67"/>
  <c r="H214" i="67"/>
  <c r="J214" i="67"/>
  <c r="K214" i="67"/>
  <c r="L214" i="67"/>
  <c r="M214" i="67"/>
  <c r="O214" i="67"/>
  <c r="P214" i="67"/>
  <c r="R214" i="67"/>
  <c r="S214" i="67"/>
  <c r="U214" i="67"/>
  <c r="V214" i="67"/>
  <c r="W214" i="67"/>
  <c r="X214" i="67"/>
  <c r="Z214" i="67"/>
  <c r="AA214" i="67"/>
  <c r="AB214" i="67"/>
  <c r="AC214" i="67"/>
  <c r="AD214" i="67"/>
  <c r="AE214" i="67"/>
  <c r="AF214" i="67"/>
  <c r="AG214" i="67"/>
  <c r="AH214" i="67"/>
  <c r="AI214" i="67"/>
  <c r="AJ214" i="67"/>
  <c r="AK214" i="67"/>
  <c r="AL214" i="67"/>
  <c r="AM214" i="67"/>
  <c r="AN214" i="67"/>
  <c r="AO214" i="67"/>
  <c r="AP214" i="67"/>
  <c r="AQ214" i="67"/>
  <c r="AR214" i="67"/>
  <c r="AS214" i="67"/>
  <c r="AT214" i="67"/>
  <c r="AU214" i="67"/>
  <c r="AW214" i="67"/>
  <c r="AX214" i="67"/>
  <c r="AY214" i="67"/>
  <c r="BA214" i="67"/>
  <c r="A215" i="67"/>
  <c r="B215" i="67"/>
  <c r="D215" i="67"/>
  <c r="E215" i="67"/>
  <c r="F215" i="67"/>
  <c r="G215" i="67"/>
  <c r="H215" i="67"/>
  <c r="J215" i="67"/>
  <c r="K215" i="67"/>
  <c r="L215" i="67"/>
  <c r="M215" i="67"/>
  <c r="O215" i="67"/>
  <c r="P215" i="67"/>
  <c r="R215" i="67"/>
  <c r="S215" i="67"/>
  <c r="U215" i="67"/>
  <c r="V215" i="67"/>
  <c r="W215" i="67"/>
  <c r="X215" i="67"/>
  <c r="Z215" i="67"/>
  <c r="AA215" i="67"/>
  <c r="AB215" i="67"/>
  <c r="AC215" i="67"/>
  <c r="AD215" i="67"/>
  <c r="AE215" i="67"/>
  <c r="AF215" i="67"/>
  <c r="AG215" i="67"/>
  <c r="AH215" i="67"/>
  <c r="AI215" i="67"/>
  <c r="AJ215" i="67"/>
  <c r="AK215" i="67"/>
  <c r="AL215" i="67"/>
  <c r="AM215" i="67"/>
  <c r="AN215" i="67"/>
  <c r="AO215" i="67"/>
  <c r="AP215" i="67"/>
  <c r="AQ215" i="67"/>
  <c r="AR215" i="67"/>
  <c r="AS215" i="67"/>
  <c r="AT215" i="67"/>
  <c r="AU215" i="67"/>
  <c r="AW215" i="67"/>
  <c r="AX215" i="67"/>
  <c r="AY215" i="67"/>
  <c r="BA215" i="67"/>
  <c r="A216" i="67"/>
  <c r="B216" i="67"/>
  <c r="D216" i="67"/>
  <c r="E216" i="67"/>
  <c r="F216" i="67"/>
  <c r="G216" i="67"/>
  <c r="H216" i="67"/>
  <c r="J216" i="67"/>
  <c r="K216" i="67"/>
  <c r="L216" i="67"/>
  <c r="M216" i="67"/>
  <c r="O216" i="67"/>
  <c r="P216" i="67"/>
  <c r="R216" i="67"/>
  <c r="S216" i="67"/>
  <c r="U216" i="67"/>
  <c r="V216" i="67"/>
  <c r="W216" i="67"/>
  <c r="X216" i="67"/>
  <c r="Z216" i="67"/>
  <c r="AA216" i="67"/>
  <c r="AB216" i="67"/>
  <c r="AC216" i="67"/>
  <c r="AD216" i="67"/>
  <c r="AE216" i="67"/>
  <c r="AF216" i="67"/>
  <c r="AG216" i="67"/>
  <c r="AH216" i="67"/>
  <c r="AI216" i="67"/>
  <c r="AJ216" i="67"/>
  <c r="AK216" i="67"/>
  <c r="AL216" i="67"/>
  <c r="AM216" i="67"/>
  <c r="AN216" i="67"/>
  <c r="AO216" i="67"/>
  <c r="AP216" i="67"/>
  <c r="AQ216" i="67"/>
  <c r="AR216" i="67"/>
  <c r="AS216" i="67"/>
  <c r="AT216" i="67"/>
  <c r="AU216" i="67"/>
  <c r="AW216" i="67"/>
  <c r="AX216" i="67"/>
  <c r="AY216" i="67"/>
  <c r="BA216" i="67"/>
  <c r="A217" i="67"/>
  <c r="B217" i="67"/>
  <c r="D217" i="67"/>
  <c r="E217" i="67"/>
  <c r="F217" i="67"/>
  <c r="G217" i="67"/>
  <c r="H217" i="67"/>
  <c r="J217" i="67"/>
  <c r="K217" i="67"/>
  <c r="L217" i="67"/>
  <c r="M217" i="67"/>
  <c r="O217" i="67"/>
  <c r="P217" i="67"/>
  <c r="R217" i="67"/>
  <c r="S217" i="67"/>
  <c r="U217" i="67"/>
  <c r="V217" i="67"/>
  <c r="W217" i="67"/>
  <c r="X217" i="67"/>
  <c r="Z217" i="67"/>
  <c r="AA217" i="67"/>
  <c r="AB217" i="67"/>
  <c r="AC217" i="67"/>
  <c r="AD217" i="67"/>
  <c r="AE217" i="67"/>
  <c r="AF217" i="67"/>
  <c r="AG217" i="67"/>
  <c r="AH217" i="67"/>
  <c r="AI217" i="67"/>
  <c r="AJ217" i="67"/>
  <c r="AK217" i="67"/>
  <c r="AL217" i="67"/>
  <c r="AM217" i="67"/>
  <c r="AN217" i="67"/>
  <c r="AO217" i="67"/>
  <c r="AP217" i="67"/>
  <c r="AQ217" i="67"/>
  <c r="AR217" i="67"/>
  <c r="AS217" i="67"/>
  <c r="AT217" i="67"/>
  <c r="AU217" i="67"/>
  <c r="AW217" i="67"/>
  <c r="AX217" i="67"/>
  <c r="AY217" i="67"/>
  <c r="BA217" i="67"/>
  <c r="A218" i="67"/>
  <c r="B218" i="67"/>
  <c r="D218" i="67"/>
  <c r="E218" i="67"/>
  <c r="F218" i="67"/>
  <c r="G218" i="67"/>
  <c r="H218" i="67"/>
  <c r="J218" i="67"/>
  <c r="K218" i="67"/>
  <c r="L218" i="67"/>
  <c r="M218" i="67"/>
  <c r="O218" i="67"/>
  <c r="P218" i="67"/>
  <c r="R218" i="67"/>
  <c r="S218" i="67"/>
  <c r="U218" i="67"/>
  <c r="V218" i="67"/>
  <c r="W218" i="67"/>
  <c r="X218" i="67"/>
  <c r="Z218" i="67"/>
  <c r="AA218" i="67"/>
  <c r="AB218" i="67"/>
  <c r="AC218" i="67"/>
  <c r="AD218" i="67"/>
  <c r="AE218" i="67"/>
  <c r="AF218" i="67"/>
  <c r="AG218" i="67"/>
  <c r="AH218" i="67"/>
  <c r="AI218" i="67"/>
  <c r="AJ218" i="67"/>
  <c r="AK218" i="67"/>
  <c r="AL218" i="67"/>
  <c r="AM218" i="67"/>
  <c r="AN218" i="67"/>
  <c r="AO218" i="67"/>
  <c r="AP218" i="67"/>
  <c r="AQ218" i="67"/>
  <c r="AR218" i="67"/>
  <c r="AS218" i="67"/>
  <c r="AT218" i="67"/>
  <c r="AU218" i="67"/>
  <c r="AW218" i="67"/>
  <c r="AX218" i="67"/>
  <c r="AY218" i="67"/>
  <c r="BA218" i="67"/>
  <c r="A219" i="67"/>
  <c r="B219" i="67"/>
  <c r="D219" i="67"/>
  <c r="E219" i="67"/>
  <c r="F219" i="67"/>
  <c r="G219" i="67"/>
  <c r="H219" i="67"/>
  <c r="J219" i="67"/>
  <c r="K219" i="67"/>
  <c r="L219" i="67"/>
  <c r="M219" i="67"/>
  <c r="O219" i="67"/>
  <c r="P219" i="67"/>
  <c r="R219" i="67"/>
  <c r="S219" i="67"/>
  <c r="U219" i="67"/>
  <c r="V219" i="67"/>
  <c r="W219" i="67"/>
  <c r="X219" i="67"/>
  <c r="Z219" i="67"/>
  <c r="AA219" i="67"/>
  <c r="AB219" i="67"/>
  <c r="AC219" i="67"/>
  <c r="AD219" i="67"/>
  <c r="AE219" i="67"/>
  <c r="AF219" i="67"/>
  <c r="AG219" i="67"/>
  <c r="AH219" i="67"/>
  <c r="AI219" i="67"/>
  <c r="AJ219" i="67"/>
  <c r="AK219" i="67"/>
  <c r="AL219" i="67"/>
  <c r="AM219" i="67"/>
  <c r="AN219" i="67"/>
  <c r="AO219" i="67"/>
  <c r="AP219" i="67"/>
  <c r="AQ219" i="67"/>
  <c r="AR219" i="67"/>
  <c r="AS219" i="67"/>
  <c r="AT219" i="67"/>
  <c r="AU219" i="67"/>
  <c r="AW219" i="67"/>
  <c r="AX219" i="67"/>
  <c r="AY219" i="67"/>
  <c r="BA219" i="67"/>
  <c r="A220" i="67"/>
  <c r="B220" i="67"/>
  <c r="D220" i="67"/>
  <c r="E220" i="67"/>
  <c r="F220" i="67"/>
  <c r="G220" i="67"/>
  <c r="H220" i="67"/>
  <c r="J220" i="67"/>
  <c r="K220" i="67"/>
  <c r="L220" i="67"/>
  <c r="M220" i="67"/>
  <c r="O220" i="67"/>
  <c r="P220" i="67"/>
  <c r="R220" i="67"/>
  <c r="S220" i="67"/>
  <c r="U220" i="67"/>
  <c r="V220" i="67"/>
  <c r="W220" i="67"/>
  <c r="X220" i="67"/>
  <c r="Z220" i="67"/>
  <c r="AA220" i="67"/>
  <c r="AB220" i="67"/>
  <c r="AC220" i="67"/>
  <c r="AD220" i="67"/>
  <c r="AE220" i="67"/>
  <c r="AF220" i="67"/>
  <c r="AG220" i="67"/>
  <c r="AH220" i="67"/>
  <c r="AI220" i="67"/>
  <c r="AJ220" i="67"/>
  <c r="AK220" i="67"/>
  <c r="AL220" i="67"/>
  <c r="AM220" i="67"/>
  <c r="AN220" i="67"/>
  <c r="AO220" i="67"/>
  <c r="AP220" i="67"/>
  <c r="AQ220" i="67"/>
  <c r="AR220" i="67"/>
  <c r="AS220" i="67"/>
  <c r="AT220" i="67"/>
  <c r="AU220" i="67"/>
  <c r="AW220" i="67"/>
  <c r="AX220" i="67"/>
  <c r="AY220" i="67"/>
  <c r="BA220" i="67"/>
  <c r="A221" i="67"/>
  <c r="B221" i="67"/>
  <c r="D221" i="67"/>
  <c r="E221" i="67"/>
  <c r="F221" i="67"/>
  <c r="G221" i="67"/>
  <c r="H221" i="67"/>
  <c r="J221" i="67"/>
  <c r="K221" i="67"/>
  <c r="L221" i="67"/>
  <c r="M221" i="67"/>
  <c r="O221" i="67"/>
  <c r="P221" i="67"/>
  <c r="R221" i="67"/>
  <c r="S221" i="67"/>
  <c r="U221" i="67"/>
  <c r="V221" i="67"/>
  <c r="W221" i="67"/>
  <c r="X221" i="67"/>
  <c r="Z221" i="67"/>
  <c r="AA221" i="67"/>
  <c r="AB221" i="67"/>
  <c r="AC221" i="67"/>
  <c r="AD221" i="67"/>
  <c r="AE221" i="67"/>
  <c r="AF221" i="67"/>
  <c r="AG221" i="67"/>
  <c r="AH221" i="67"/>
  <c r="AI221" i="67"/>
  <c r="AJ221" i="67"/>
  <c r="AK221" i="67"/>
  <c r="AL221" i="67"/>
  <c r="AM221" i="67"/>
  <c r="AN221" i="67"/>
  <c r="AO221" i="67"/>
  <c r="AP221" i="67"/>
  <c r="AQ221" i="67"/>
  <c r="AR221" i="67"/>
  <c r="AS221" i="67"/>
  <c r="AT221" i="67"/>
  <c r="AU221" i="67"/>
  <c r="AW221" i="67"/>
  <c r="AX221" i="67"/>
  <c r="AY221" i="67"/>
  <c r="BA221" i="67"/>
  <c r="A222" i="67"/>
  <c r="B222" i="67"/>
  <c r="D222" i="67"/>
  <c r="E222" i="67"/>
  <c r="F222" i="67"/>
  <c r="G222" i="67"/>
  <c r="H222" i="67"/>
  <c r="J222" i="67"/>
  <c r="K222" i="67"/>
  <c r="L222" i="67"/>
  <c r="M222" i="67"/>
  <c r="O222" i="67"/>
  <c r="P222" i="67"/>
  <c r="R222" i="67"/>
  <c r="S222" i="67"/>
  <c r="U222" i="67"/>
  <c r="V222" i="67"/>
  <c r="W222" i="67"/>
  <c r="X222" i="67"/>
  <c r="Z222" i="67"/>
  <c r="AA222" i="67"/>
  <c r="AB222" i="67"/>
  <c r="AC222" i="67"/>
  <c r="AD222" i="67"/>
  <c r="AE222" i="67"/>
  <c r="AF222" i="67"/>
  <c r="AG222" i="67"/>
  <c r="AH222" i="67"/>
  <c r="AI222" i="67"/>
  <c r="AJ222" i="67"/>
  <c r="AK222" i="67"/>
  <c r="AL222" i="67"/>
  <c r="AM222" i="67"/>
  <c r="AN222" i="67"/>
  <c r="AO222" i="67"/>
  <c r="AP222" i="67"/>
  <c r="AQ222" i="67"/>
  <c r="AR222" i="67"/>
  <c r="AS222" i="67"/>
  <c r="AT222" i="67"/>
  <c r="AU222" i="67"/>
  <c r="AW222" i="67"/>
  <c r="AX222" i="67"/>
  <c r="AY222" i="67"/>
  <c r="BA222" i="67"/>
  <c r="A223" i="67"/>
  <c r="B223" i="67"/>
  <c r="D223" i="67"/>
  <c r="E223" i="67"/>
  <c r="F223" i="67"/>
  <c r="G223" i="67"/>
  <c r="H223" i="67"/>
  <c r="J223" i="67"/>
  <c r="K223" i="67"/>
  <c r="L223" i="67"/>
  <c r="M223" i="67"/>
  <c r="O223" i="67"/>
  <c r="P223" i="67"/>
  <c r="R223" i="67"/>
  <c r="S223" i="67"/>
  <c r="U223" i="67"/>
  <c r="V223" i="67"/>
  <c r="W223" i="67"/>
  <c r="X223" i="67"/>
  <c r="Z223" i="67"/>
  <c r="AA223" i="67"/>
  <c r="AB223" i="67"/>
  <c r="AC223" i="67"/>
  <c r="AD223" i="67"/>
  <c r="AE223" i="67"/>
  <c r="AF223" i="67"/>
  <c r="AG223" i="67"/>
  <c r="AH223" i="67"/>
  <c r="AI223" i="67"/>
  <c r="AJ223" i="67"/>
  <c r="AK223" i="67"/>
  <c r="AL223" i="67"/>
  <c r="AM223" i="67"/>
  <c r="AN223" i="67"/>
  <c r="AO223" i="67"/>
  <c r="AP223" i="67"/>
  <c r="AQ223" i="67"/>
  <c r="AR223" i="67"/>
  <c r="AS223" i="67"/>
  <c r="AT223" i="67"/>
  <c r="AU223" i="67"/>
  <c r="AW223" i="67"/>
  <c r="AX223" i="67"/>
  <c r="AY223" i="67"/>
  <c r="BA223" i="67"/>
  <c r="A224" i="67"/>
  <c r="B224" i="67"/>
  <c r="D224" i="67"/>
  <c r="E224" i="67"/>
  <c r="F224" i="67"/>
  <c r="G224" i="67"/>
  <c r="H224" i="67"/>
  <c r="J224" i="67"/>
  <c r="K224" i="67"/>
  <c r="L224" i="67"/>
  <c r="M224" i="67"/>
  <c r="O224" i="67"/>
  <c r="P224" i="67"/>
  <c r="R224" i="67"/>
  <c r="S224" i="67"/>
  <c r="U224" i="67"/>
  <c r="V224" i="67"/>
  <c r="W224" i="67"/>
  <c r="X224" i="67"/>
  <c r="Z224" i="67"/>
  <c r="AA224" i="67"/>
  <c r="AB224" i="67"/>
  <c r="AC224" i="67"/>
  <c r="AD224" i="67"/>
  <c r="AE224" i="67"/>
  <c r="AF224" i="67"/>
  <c r="AG224" i="67"/>
  <c r="AH224" i="67"/>
  <c r="AI224" i="67"/>
  <c r="AJ224" i="67"/>
  <c r="AK224" i="67"/>
  <c r="AL224" i="67"/>
  <c r="AM224" i="67"/>
  <c r="AN224" i="67"/>
  <c r="AO224" i="67"/>
  <c r="AP224" i="67"/>
  <c r="AQ224" i="67"/>
  <c r="AR224" i="67"/>
  <c r="AS224" i="67"/>
  <c r="AT224" i="67"/>
  <c r="AU224" i="67"/>
  <c r="AW224" i="67"/>
  <c r="AX224" i="67"/>
  <c r="AY224" i="67"/>
  <c r="BA224" i="67"/>
  <c r="A225" i="67"/>
  <c r="B225" i="67"/>
  <c r="D225" i="67"/>
  <c r="E225" i="67"/>
  <c r="F225" i="67"/>
  <c r="G225" i="67"/>
  <c r="H225" i="67"/>
  <c r="J225" i="67"/>
  <c r="K225" i="67"/>
  <c r="L225" i="67"/>
  <c r="M225" i="67"/>
  <c r="O225" i="67"/>
  <c r="P225" i="67"/>
  <c r="R225" i="67"/>
  <c r="S225" i="67"/>
  <c r="U225" i="67"/>
  <c r="V225" i="67"/>
  <c r="W225" i="67"/>
  <c r="X225" i="67"/>
  <c r="Z225" i="67"/>
  <c r="AA225" i="67"/>
  <c r="AB225" i="67"/>
  <c r="AC225" i="67"/>
  <c r="AD225" i="67"/>
  <c r="AE225" i="67"/>
  <c r="AF225" i="67"/>
  <c r="AG225" i="67"/>
  <c r="AH225" i="67"/>
  <c r="AI225" i="67"/>
  <c r="AJ225" i="67"/>
  <c r="AK225" i="67"/>
  <c r="AL225" i="67"/>
  <c r="AM225" i="67"/>
  <c r="AN225" i="67"/>
  <c r="AO225" i="67"/>
  <c r="AP225" i="67"/>
  <c r="AQ225" i="67"/>
  <c r="AR225" i="67"/>
  <c r="AS225" i="67"/>
  <c r="AT225" i="67"/>
  <c r="AU225" i="67"/>
  <c r="AW225" i="67"/>
  <c r="AX225" i="67"/>
  <c r="AY225" i="67"/>
  <c r="BA225" i="67"/>
  <c r="A226" i="67"/>
  <c r="B226" i="67"/>
  <c r="D226" i="67"/>
  <c r="E226" i="67"/>
  <c r="F226" i="67"/>
  <c r="G226" i="67"/>
  <c r="H226" i="67"/>
  <c r="J226" i="67"/>
  <c r="K226" i="67"/>
  <c r="L226" i="67"/>
  <c r="M226" i="67"/>
  <c r="O226" i="67"/>
  <c r="P226" i="67"/>
  <c r="R226" i="67"/>
  <c r="S226" i="67"/>
  <c r="U226" i="67"/>
  <c r="V226" i="67"/>
  <c r="W226" i="67"/>
  <c r="X226" i="67"/>
  <c r="Z226" i="67"/>
  <c r="AA226" i="67"/>
  <c r="AB226" i="67"/>
  <c r="AC226" i="67"/>
  <c r="AD226" i="67"/>
  <c r="AE226" i="67"/>
  <c r="AF226" i="67"/>
  <c r="AG226" i="67"/>
  <c r="AH226" i="67"/>
  <c r="AI226" i="67"/>
  <c r="AJ226" i="67"/>
  <c r="AK226" i="67"/>
  <c r="AL226" i="67"/>
  <c r="AM226" i="67"/>
  <c r="AN226" i="67"/>
  <c r="AO226" i="67"/>
  <c r="AP226" i="67"/>
  <c r="AQ226" i="67"/>
  <c r="AR226" i="67"/>
  <c r="AS226" i="67"/>
  <c r="AT226" i="67"/>
  <c r="AU226" i="67"/>
  <c r="AW226" i="67"/>
  <c r="AX226" i="67"/>
  <c r="AY226" i="67"/>
  <c r="BA226" i="67"/>
  <c r="A227" i="67"/>
  <c r="B227" i="67"/>
  <c r="D227" i="67"/>
  <c r="E227" i="67"/>
  <c r="F227" i="67"/>
  <c r="G227" i="67"/>
  <c r="H227" i="67"/>
  <c r="J227" i="67"/>
  <c r="K227" i="67"/>
  <c r="L227" i="67"/>
  <c r="M227" i="67"/>
  <c r="O227" i="67"/>
  <c r="P227" i="67"/>
  <c r="R227" i="67"/>
  <c r="S227" i="67"/>
  <c r="U227" i="67"/>
  <c r="V227" i="67"/>
  <c r="W227" i="67"/>
  <c r="X227" i="67"/>
  <c r="Z227" i="67"/>
  <c r="AA227" i="67"/>
  <c r="AB227" i="67"/>
  <c r="AC227" i="67"/>
  <c r="AD227" i="67"/>
  <c r="AE227" i="67"/>
  <c r="AF227" i="67"/>
  <c r="AG227" i="67"/>
  <c r="AH227" i="67"/>
  <c r="AI227" i="67"/>
  <c r="AJ227" i="67"/>
  <c r="AK227" i="67"/>
  <c r="AL227" i="67"/>
  <c r="AM227" i="67"/>
  <c r="AN227" i="67"/>
  <c r="AO227" i="67"/>
  <c r="AP227" i="67"/>
  <c r="AQ227" i="67"/>
  <c r="AR227" i="67"/>
  <c r="AS227" i="67"/>
  <c r="AT227" i="67"/>
  <c r="AU227" i="67"/>
  <c r="AW227" i="67"/>
  <c r="AX227" i="67"/>
  <c r="AY227" i="67"/>
  <c r="BA227" i="67"/>
  <c r="A228" i="67"/>
  <c r="B228" i="67"/>
  <c r="D228" i="67"/>
  <c r="E228" i="67"/>
  <c r="F228" i="67"/>
  <c r="G228" i="67"/>
  <c r="H228" i="67"/>
  <c r="J228" i="67"/>
  <c r="K228" i="67"/>
  <c r="L228" i="67"/>
  <c r="M228" i="67"/>
  <c r="O228" i="67"/>
  <c r="P228" i="67"/>
  <c r="R228" i="67"/>
  <c r="S228" i="67"/>
  <c r="U228" i="67"/>
  <c r="V228" i="67"/>
  <c r="W228" i="67"/>
  <c r="X228" i="67"/>
  <c r="Z228" i="67"/>
  <c r="AA228" i="67"/>
  <c r="AB228" i="67"/>
  <c r="AC228" i="67"/>
  <c r="AD228" i="67"/>
  <c r="AE228" i="67"/>
  <c r="AF228" i="67"/>
  <c r="AG228" i="67"/>
  <c r="AH228" i="67"/>
  <c r="AI228" i="67"/>
  <c r="AJ228" i="67"/>
  <c r="AK228" i="67"/>
  <c r="AL228" i="67"/>
  <c r="AM228" i="67"/>
  <c r="AN228" i="67"/>
  <c r="AO228" i="67"/>
  <c r="AP228" i="67"/>
  <c r="AQ228" i="67"/>
  <c r="AR228" i="67"/>
  <c r="AS228" i="67"/>
  <c r="AT228" i="67"/>
  <c r="AU228" i="67"/>
  <c r="AW228" i="67"/>
  <c r="AX228" i="67"/>
  <c r="AY228" i="67"/>
  <c r="BA228" i="67"/>
  <c r="A229" i="67"/>
  <c r="B229" i="67"/>
  <c r="D229" i="67"/>
  <c r="E229" i="67"/>
  <c r="F229" i="67"/>
  <c r="G229" i="67"/>
  <c r="H229" i="67"/>
  <c r="J229" i="67"/>
  <c r="K229" i="67"/>
  <c r="L229" i="67"/>
  <c r="M229" i="67"/>
  <c r="O229" i="67"/>
  <c r="P229" i="67"/>
  <c r="R229" i="67"/>
  <c r="S229" i="67"/>
  <c r="U229" i="67"/>
  <c r="V229" i="67"/>
  <c r="W229" i="67"/>
  <c r="X229" i="67"/>
  <c r="Z229" i="67"/>
  <c r="AA229" i="67"/>
  <c r="AB229" i="67"/>
  <c r="AC229" i="67"/>
  <c r="AD229" i="67"/>
  <c r="AE229" i="67"/>
  <c r="AF229" i="67"/>
  <c r="AG229" i="67"/>
  <c r="AH229" i="67"/>
  <c r="AI229" i="67"/>
  <c r="AJ229" i="67"/>
  <c r="AK229" i="67"/>
  <c r="AL229" i="67"/>
  <c r="AM229" i="67"/>
  <c r="AN229" i="67"/>
  <c r="AO229" i="67"/>
  <c r="AP229" i="67"/>
  <c r="AQ229" i="67"/>
  <c r="AR229" i="67"/>
  <c r="AS229" i="67"/>
  <c r="AT229" i="67"/>
  <c r="AU229" i="67"/>
  <c r="AW229" i="67"/>
  <c r="AX229" i="67"/>
  <c r="AY229" i="67"/>
  <c r="BA229" i="67"/>
  <c r="A230" i="67"/>
  <c r="B230" i="67"/>
  <c r="D230" i="67"/>
  <c r="E230" i="67"/>
  <c r="F230" i="67"/>
  <c r="G230" i="67"/>
  <c r="H230" i="67"/>
  <c r="J230" i="67"/>
  <c r="K230" i="67"/>
  <c r="L230" i="67"/>
  <c r="M230" i="67"/>
  <c r="O230" i="67"/>
  <c r="P230" i="67"/>
  <c r="R230" i="67"/>
  <c r="S230" i="67"/>
  <c r="U230" i="67"/>
  <c r="V230" i="67"/>
  <c r="W230" i="67"/>
  <c r="X230" i="67"/>
  <c r="Z230" i="67"/>
  <c r="AA230" i="67"/>
  <c r="AB230" i="67"/>
  <c r="AC230" i="67"/>
  <c r="AD230" i="67"/>
  <c r="AE230" i="67"/>
  <c r="AF230" i="67"/>
  <c r="AG230" i="67"/>
  <c r="AH230" i="67"/>
  <c r="AI230" i="67"/>
  <c r="AJ230" i="67"/>
  <c r="AK230" i="67"/>
  <c r="AL230" i="67"/>
  <c r="AM230" i="67"/>
  <c r="AN230" i="67"/>
  <c r="AO230" i="67"/>
  <c r="AP230" i="67"/>
  <c r="AQ230" i="67"/>
  <c r="AR230" i="67"/>
  <c r="AS230" i="67"/>
  <c r="AT230" i="67"/>
  <c r="AU230" i="67"/>
  <c r="AW230" i="67"/>
  <c r="AX230" i="67"/>
  <c r="AY230" i="67"/>
  <c r="BA230" i="67"/>
  <c r="A231" i="67"/>
  <c r="B231" i="67"/>
  <c r="D231" i="67"/>
  <c r="E231" i="67"/>
  <c r="F231" i="67"/>
  <c r="G231" i="67"/>
  <c r="H231" i="67"/>
  <c r="J231" i="67"/>
  <c r="K231" i="67"/>
  <c r="L231" i="67"/>
  <c r="M231" i="67"/>
  <c r="O231" i="67"/>
  <c r="P231" i="67"/>
  <c r="R231" i="67"/>
  <c r="S231" i="67"/>
  <c r="U231" i="67"/>
  <c r="V231" i="67"/>
  <c r="W231" i="67"/>
  <c r="X231" i="67"/>
  <c r="Z231" i="67"/>
  <c r="AA231" i="67"/>
  <c r="AB231" i="67"/>
  <c r="AC231" i="67"/>
  <c r="AD231" i="67"/>
  <c r="AE231" i="67"/>
  <c r="AF231" i="67"/>
  <c r="AG231" i="67"/>
  <c r="AH231" i="67"/>
  <c r="AI231" i="67"/>
  <c r="AJ231" i="67"/>
  <c r="AK231" i="67"/>
  <c r="AL231" i="67"/>
  <c r="AM231" i="67"/>
  <c r="AN231" i="67"/>
  <c r="AO231" i="67"/>
  <c r="AP231" i="67"/>
  <c r="AQ231" i="67"/>
  <c r="AR231" i="67"/>
  <c r="AS231" i="67"/>
  <c r="AT231" i="67"/>
  <c r="AU231" i="67"/>
  <c r="AW231" i="67"/>
  <c r="AX231" i="67"/>
  <c r="AY231" i="67"/>
  <c r="BA231" i="67"/>
  <c r="A232" i="67"/>
  <c r="B232" i="67"/>
  <c r="D232" i="67"/>
  <c r="E232" i="67"/>
  <c r="F232" i="67"/>
  <c r="G232" i="67"/>
  <c r="H232" i="67"/>
  <c r="J232" i="67"/>
  <c r="K232" i="67"/>
  <c r="L232" i="67"/>
  <c r="M232" i="67"/>
  <c r="O232" i="67"/>
  <c r="P232" i="67"/>
  <c r="R232" i="67"/>
  <c r="S232" i="67"/>
  <c r="U232" i="67"/>
  <c r="V232" i="67"/>
  <c r="W232" i="67"/>
  <c r="X232" i="67"/>
  <c r="Z232" i="67"/>
  <c r="AA232" i="67"/>
  <c r="AB232" i="67"/>
  <c r="AC232" i="67"/>
  <c r="AD232" i="67"/>
  <c r="AE232" i="67"/>
  <c r="AF232" i="67"/>
  <c r="AG232" i="67"/>
  <c r="AH232" i="67"/>
  <c r="AI232" i="67"/>
  <c r="AJ232" i="67"/>
  <c r="AK232" i="67"/>
  <c r="AL232" i="67"/>
  <c r="AM232" i="67"/>
  <c r="AN232" i="67"/>
  <c r="AO232" i="67"/>
  <c r="AP232" i="67"/>
  <c r="AQ232" i="67"/>
  <c r="AR232" i="67"/>
  <c r="AS232" i="67"/>
  <c r="AT232" i="67"/>
  <c r="AU232" i="67"/>
  <c r="AW232" i="67"/>
  <c r="AX232" i="67"/>
  <c r="AY232" i="67"/>
  <c r="BA232" i="67"/>
  <c r="A233" i="67"/>
  <c r="B233" i="67"/>
  <c r="D233" i="67"/>
  <c r="E233" i="67"/>
  <c r="F233" i="67"/>
  <c r="G233" i="67"/>
  <c r="H233" i="67"/>
  <c r="J233" i="67"/>
  <c r="K233" i="67"/>
  <c r="L233" i="67"/>
  <c r="M233" i="67"/>
  <c r="O233" i="67"/>
  <c r="P233" i="67"/>
  <c r="R233" i="67"/>
  <c r="S233" i="67"/>
  <c r="U233" i="67"/>
  <c r="V233" i="67"/>
  <c r="W233" i="67"/>
  <c r="X233" i="67"/>
  <c r="Z233" i="67"/>
  <c r="AA233" i="67"/>
  <c r="AB233" i="67"/>
  <c r="AC233" i="67"/>
  <c r="AD233" i="67"/>
  <c r="AE233" i="67"/>
  <c r="AF233" i="67"/>
  <c r="AG233" i="67"/>
  <c r="AH233" i="67"/>
  <c r="AI233" i="67"/>
  <c r="AJ233" i="67"/>
  <c r="AK233" i="67"/>
  <c r="AL233" i="67"/>
  <c r="AM233" i="67"/>
  <c r="AN233" i="67"/>
  <c r="AO233" i="67"/>
  <c r="AP233" i="67"/>
  <c r="AQ233" i="67"/>
  <c r="AR233" i="67"/>
  <c r="AS233" i="67"/>
  <c r="AT233" i="67"/>
  <c r="AU233" i="67"/>
  <c r="AW233" i="67"/>
  <c r="AX233" i="67"/>
  <c r="AY233" i="67"/>
  <c r="BA233" i="67"/>
  <c r="A234" i="67"/>
  <c r="B234" i="67"/>
  <c r="D234" i="67"/>
  <c r="E234" i="67"/>
  <c r="F234" i="67"/>
  <c r="G234" i="67"/>
  <c r="H234" i="67"/>
  <c r="J234" i="67"/>
  <c r="K234" i="67"/>
  <c r="L234" i="67"/>
  <c r="M234" i="67"/>
  <c r="O234" i="67"/>
  <c r="P234" i="67"/>
  <c r="R234" i="67"/>
  <c r="S234" i="67"/>
  <c r="U234" i="67"/>
  <c r="V234" i="67"/>
  <c r="W234" i="67"/>
  <c r="X234" i="67"/>
  <c r="Z234" i="67"/>
  <c r="AA234" i="67"/>
  <c r="AB234" i="67"/>
  <c r="AC234" i="67"/>
  <c r="AD234" i="67"/>
  <c r="AE234" i="67"/>
  <c r="AF234" i="67"/>
  <c r="AG234" i="67"/>
  <c r="AH234" i="67"/>
  <c r="AI234" i="67"/>
  <c r="AJ234" i="67"/>
  <c r="AK234" i="67"/>
  <c r="AL234" i="67"/>
  <c r="AM234" i="67"/>
  <c r="AN234" i="67"/>
  <c r="AO234" i="67"/>
  <c r="AP234" i="67"/>
  <c r="AQ234" i="67"/>
  <c r="AR234" i="67"/>
  <c r="AS234" i="67"/>
  <c r="AT234" i="67"/>
  <c r="AU234" i="67"/>
  <c r="AW234" i="67"/>
  <c r="AX234" i="67"/>
  <c r="AY234" i="67"/>
  <c r="BA234" i="67"/>
  <c r="A235" i="67"/>
  <c r="B235" i="67"/>
  <c r="D235" i="67"/>
  <c r="E235" i="67"/>
  <c r="F235" i="67"/>
  <c r="G235" i="67"/>
  <c r="H235" i="67"/>
  <c r="J235" i="67"/>
  <c r="K235" i="67"/>
  <c r="L235" i="67"/>
  <c r="M235" i="67"/>
  <c r="O235" i="67"/>
  <c r="P235" i="67"/>
  <c r="R235" i="67"/>
  <c r="S235" i="67"/>
  <c r="U235" i="67"/>
  <c r="V235" i="67"/>
  <c r="W235" i="67"/>
  <c r="X235" i="67"/>
  <c r="Z235" i="67"/>
  <c r="AA235" i="67"/>
  <c r="AB235" i="67"/>
  <c r="AC235" i="67"/>
  <c r="AD235" i="67"/>
  <c r="AE235" i="67"/>
  <c r="AF235" i="67"/>
  <c r="AG235" i="67"/>
  <c r="AH235" i="67"/>
  <c r="AI235" i="67"/>
  <c r="AJ235" i="67"/>
  <c r="AK235" i="67"/>
  <c r="AL235" i="67"/>
  <c r="AM235" i="67"/>
  <c r="AN235" i="67"/>
  <c r="AO235" i="67"/>
  <c r="AP235" i="67"/>
  <c r="AQ235" i="67"/>
  <c r="AR235" i="67"/>
  <c r="AS235" i="67"/>
  <c r="AT235" i="67"/>
  <c r="AU235" i="67"/>
  <c r="AW235" i="67"/>
  <c r="AX235" i="67"/>
  <c r="AY235" i="67"/>
  <c r="BA235" i="67"/>
  <c r="A236" i="67"/>
  <c r="B236" i="67"/>
  <c r="D236" i="67"/>
  <c r="E236" i="67"/>
  <c r="F236" i="67"/>
  <c r="G236" i="67"/>
  <c r="H236" i="67"/>
  <c r="J236" i="67"/>
  <c r="K236" i="67"/>
  <c r="L236" i="67"/>
  <c r="M236" i="67"/>
  <c r="O236" i="67"/>
  <c r="P236" i="67"/>
  <c r="R236" i="67"/>
  <c r="S236" i="67"/>
  <c r="U236" i="67"/>
  <c r="V236" i="67"/>
  <c r="W236" i="67"/>
  <c r="X236" i="67"/>
  <c r="Z236" i="67"/>
  <c r="AA236" i="67"/>
  <c r="AB236" i="67"/>
  <c r="AC236" i="67"/>
  <c r="AD236" i="67"/>
  <c r="AE236" i="67"/>
  <c r="AF236" i="67"/>
  <c r="AG236" i="67"/>
  <c r="AH236" i="67"/>
  <c r="AI236" i="67"/>
  <c r="AJ236" i="67"/>
  <c r="AK236" i="67"/>
  <c r="AL236" i="67"/>
  <c r="AM236" i="67"/>
  <c r="AN236" i="67"/>
  <c r="AO236" i="67"/>
  <c r="AP236" i="67"/>
  <c r="AQ236" i="67"/>
  <c r="AR236" i="67"/>
  <c r="AS236" i="67"/>
  <c r="AT236" i="67"/>
  <c r="AU236" i="67"/>
  <c r="AW236" i="67"/>
  <c r="AX236" i="67"/>
  <c r="AY236" i="67"/>
  <c r="BA236" i="67"/>
  <c r="A237" i="67"/>
  <c r="B237" i="67"/>
  <c r="D237" i="67"/>
  <c r="E237" i="67"/>
  <c r="F237" i="67"/>
  <c r="G237" i="67"/>
  <c r="H237" i="67"/>
  <c r="J237" i="67"/>
  <c r="K237" i="67"/>
  <c r="L237" i="67"/>
  <c r="M237" i="67"/>
  <c r="O237" i="67"/>
  <c r="P237" i="67"/>
  <c r="R237" i="67"/>
  <c r="S237" i="67"/>
  <c r="U237" i="67"/>
  <c r="V237" i="67"/>
  <c r="W237" i="67"/>
  <c r="X237" i="67"/>
  <c r="Z237" i="67"/>
  <c r="AA237" i="67"/>
  <c r="AB237" i="67"/>
  <c r="AC237" i="67"/>
  <c r="AD237" i="67"/>
  <c r="AE237" i="67"/>
  <c r="AF237" i="67"/>
  <c r="AG237" i="67"/>
  <c r="AH237" i="67"/>
  <c r="AI237" i="67"/>
  <c r="AJ237" i="67"/>
  <c r="AK237" i="67"/>
  <c r="AL237" i="67"/>
  <c r="AM237" i="67"/>
  <c r="AN237" i="67"/>
  <c r="AO237" i="67"/>
  <c r="AP237" i="67"/>
  <c r="AQ237" i="67"/>
  <c r="AR237" i="67"/>
  <c r="AS237" i="67"/>
  <c r="AT237" i="67"/>
  <c r="AU237" i="67"/>
  <c r="AW237" i="67"/>
  <c r="AX237" i="67"/>
  <c r="AY237" i="67"/>
  <c r="BA237" i="67"/>
  <c r="A238" i="67"/>
  <c r="B238" i="67"/>
  <c r="D238" i="67"/>
  <c r="E238" i="67"/>
  <c r="F238" i="67"/>
  <c r="G238" i="67"/>
  <c r="H238" i="67"/>
  <c r="J238" i="67"/>
  <c r="K238" i="67"/>
  <c r="L238" i="67"/>
  <c r="M238" i="67"/>
  <c r="O238" i="67"/>
  <c r="P238" i="67"/>
  <c r="R238" i="67"/>
  <c r="S238" i="67"/>
  <c r="U238" i="67"/>
  <c r="V238" i="67"/>
  <c r="W238" i="67"/>
  <c r="X238" i="67"/>
  <c r="Z238" i="67"/>
  <c r="AA238" i="67"/>
  <c r="AB238" i="67"/>
  <c r="AC238" i="67"/>
  <c r="AD238" i="67"/>
  <c r="AE238" i="67"/>
  <c r="AF238" i="67"/>
  <c r="AG238" i="67"/>
  <c r="AH238" i="67"/>
  <c r="AI238" i="67"/>
  <c r="AJ238" i="67"/>
  <c r="AK238" i="67"/>
  <c r="AL238" i="67"/>
  <c r="AM238" i="67"/>
  <c r="AN238" i="67"/>
  <c r="AO238" i="67"/>
  <c r="AP238" i="67"/>
  <c r="AQ238" i="67"/>
  <c r="AR238" i="67"/>
  <c r="AS238" i="67"/>
  <c r="AT238" i="67"/>
  <c r="AU238" i="67"/>
  <c r="AW238" i="67"/>
  <c r="AX238" i="67"/>
  <c r="AY238" i="67"/>
  <c r="BA238" i="67"/>
  <c r="A239" i="67"/>
  <c r="B239" i="67"/>
  <c r="D239" i="67"/>
  <c r="E239" i="67"/>
  <c r="F239" i="67"/>
  <c r="G239" i="67"/>
  <c r="H239" i="67"/>
  <c r="J239" i="67"/>
  <c r="K239" i="67"/>
  <c r="L239" i="67"/>
  <c r="M239" i="67"/>
  <c r="O239" i="67"/>
  <c r="P239" i="67"/>
  <c r="R239" i="67"/>
  <c r="S239" i="67"/>
  <c r="U239" i="67"/>
  <c r="V239" i="67"/>
  <c r="W239" i="67"/>
  <c r="X239" i="67"/>
  <c r="Z239" i="67"/>
  <c r="AA239" i="67"/>
  <c r="AB239" i="67"/>
  <c r="AC239" i="67"/>
  <c r="AD239" i="67"/>
  <c r="AE239" i="67"/>
  <c r="AF239" i="67"/>
  <c r="AG239" i="67"/>
  <c r="AH239" i="67"/>
  <c r="AI239" i="67"/>
  <c r="AJ239" i="67"/>
  <c r="AK239" i="67"/>
  <c r="AL239" i="67"/>
  <c r="AM239" i="67"/>
  <c r="AN239" i="67"/>
  <c r="AO239" i="67"/>
  <c r="AP239" i="67"/>
  <c r="AQ239" i="67"/>
  <c r="AR239" i="67"/>
  <c r="AS239" i="67"/>
  <c r="AT239" i="67"/>
  <c r="AU239" i="67"/>
  <c r="AW239" i="67"/>
  <c r="AX239" i="67"/>
  <c r="AY239" i="67"/>
  <c r="BA239" i="67"/>
  <c r="A240" i="67"/>
  <c r="B240" i="67"/>
  <c r="D240" i="67"/>
  <c r="E240" i="67"/>
  <c r="F240" i="67"/>
  <c r="G240" i="67"/>
  <c r="H240" i="67"/>
  <c r="J240" i="67"/>
  <c r="K240" i="67"/>
  <c r="L240" i="67"/>
  <c r="M240" i="67"/>
  <c r="O240" i="67"/>
  <c r="P240" i="67"/>
  <c r="R240" i="67"/>
  <c r="S240" i="67"/>
  <c r="U240" i="67"/>
  <c r="V240" i="67"/>
  <c r="W240" i="67"/>
  <c r="X240" i="67"/>
  <c r="Z240" i="67"/>
  <c r="AA240" i="67"/>
  <c r="AB240" i="67"/>
  <c r="AC240" i="67"/>
  <c r="AD240" i="67"/>
  <c r="AE240" i="67"/>
  <c r="AF240" i="67"/>
  <c r="AG240" i="67"/>
  <c r="AH240" i="67"/>
  <c r="AI240" i="67"/>
  <c r="AJ240" i="67"/>
  <c r="AK240" i="67"/>
  <c r="AL240" i="67"/>
  <c r="AM240" i="67"/>
  <c r="AN240" i="67"/>
  <c r="AO240" i="67"/>
  <c r="AP240" i="67"/>
  <c r="AQ240" i="67"/>
  <c r="AR240" i="67"/>
  <c r="AS240" i="67"/>
  <c r="AT240" i="67"/>
  <c r="AU240" i="67"/>
  <c r="AW240" i="67"/>
  <c r="AX240" i="67"/>
  <c r="AY240" i="67"/>
  <c r="BA240" i="67"/>
  <c r="A241" i="67"/>
  <c r="B241" i="67"/>
  <c r="D241" i="67"/>
  <c r="E241" i="67"/>
  <c r="F241" i="67"/>
  <c r="G241" i="67"/>
  <c r="H241" i="67"/>
  <c r="J241" i="67"/>
  <c r="K241" i="67"/>
  <c r="L241" i="67"/>
  <c r="M241" i="67"/>
  <c r="O241" i="67"/>
  <c r="P241" i="67"/>
  <c r="R241" i="67"/>
  <c r="S241" i="67"/>
  <c r="U241" i="67"/>
  <c r="V241" i="67"/>
  <c r="W241" i="67"/>
  <c r="X241" i="67"/>
  <c r="Z241" i="67"/>
  <c r="AA241" i="67"/>
  <c r="AB241" i="67"/>
  <c r="AC241" i="67"/>
  <c r="AD241" i="67"/>
  <c r="AE241" i="67"/>
  <c r="AF241" i="67"/>
  <c r="AG241" i="67"/>
  <c r="AH241" i="67"/>
  <c r="AI241" i="67"/>
  <c r="AJ241" i="67"/>
  <c r="AK241" i="67"/>
  <c r="AL241" i="67"/>
  <c r="AM241" i="67"/>
  <c r="AN241" i="67"/>
  <c r="AO241" i="67"/>
  <c r="AP241" i="67"/>
  <c r="AQ241" i="67"/>
  <c r="AR241" i="67"/>
  <c r="AS241" i="67"/>
  <c r="AT241" i="67"/>
  <c r="AU241" i="67"/>
  <c r="AW241" i="67"/>
  <c r="AX241" i="67"/>
  <c r="AY241" i="67"/>
  <c r="BA241" i="67"/>
  <c r="A242" i="67"/>
  <c r="B242" i="67"/>
  <c r="D242" i="67"/>
  <c r="E242" i="67"/>
  <c r="F242" i="67"/>
  <c r="G242" i="67"/>
  <c r="H242" i="67"/>
  <c r="J242" i="67"/>
  <c r="K242" i="67"/>
  <c r="L242" i="67"/>
  <c r="M242" i="67"/>
  <c r="O242" i="67"/>
  <c r="P242" i="67"/>
  <c r="R242" i="67"/>
  <c r="S242" i="67"/>
  <c r="U242" i="67"/>
  <c r="V242" i="67"/>
  <c r="W242" i="67"/>
  <c r="X242" i="67"/>
  <c r="Z242" i="67"/>
  <c r="AA242" i="67"/>
  <c r="AB242" i="67"/>
  <c r="AC242" i="67"/>
  <c r="AD242" i="67"/>
  <c r="AE242" i="67"/>
  <c r="AF242" i="67"/>
  <c r="AG242" i="67"/>
  <c r="AH242" i="67"/>
  <c r="AI242" i="67"/>
  <c r="AJ242" i="67"/>
  <c r="AK242" i="67"/>
  <c r="AL242" i="67"/>
  <c r="AM242" i="67"/>
  <c r="AN242" i="67"/>
  <c r="AO242" i="67"/>
  <c r="AP242" i="67"/>
  <c r="AQ242" i="67"/>
  <c r="AR242" i="67"/>
  <c r="AS242" i="67"/>
  <c r="AT242" i="67"/>
  <c r="AU242" i="67"/>
  <c r="AW242" i="67"/>
  <c r="AX242" i="67"/>
  <c r="AY242" i="67"/>
  <c r="BA242" i="67"/>
  <c r="A243" i="67"/>
  <c r="B243" i="67"/>
  <c r="D243" i="67"/>
  <c r="E243" i="67"/>
  <c r="F243" i="67"/>
  <c r="G243" i="67"/>
  <c r="H243" i="67"/>
  <c r="J243" i="67"/>
  <c r="K243" i="67"/>
  <c r="L243" i="67"/>
  <c r="M243" i="67"/>
  <c r="O243" i="67"/>
  <c r="P243" i="67"/>
  <c r="R243" i="67"/>
  <c r="S243" i="67"/>
  <c r="U243" i="67"/>
  <c r="V243" i="67"/>
  <c r="W243" i="67"/>
  <c r="X243" i="67"/>
  <c r="Z243" i="67"/>
  <c r="AA243" i="67"/>
  <c r="AB243" i="67"/>
  <c r="AC243" i="67"/>
  <c r="AD243" i="67"/>
  <c r="AE243" i="67"/>
  <c r="AF243" i="67"/>
  <c r="AG243" i="67"/>
  <c r="AH243" i="67"/>
  <c r="AI243" i="67"/>
  <c r="AJ243" i="67"/>
  <c r="AK243" i="67"/>
  <c r="AL243" i="67"/>
  <c r="AM243" i="67"/>
  <c r="AN243" i="67"/>
  <c r="AO243" i="67"/>
  <c r="AP243" i="67"/>
  <c r="AQ243" i="67"/>
  <c r="AR243" i="67"/>
  <c r="AS243" i="67"/>
  <c r="AT243" i="67"/>
  <c r="AU243" i="67"/>
  <c r="AW243" i="67"/>
  <c r="AX243" i="67"/>
  <c r="AY243" i="67"/>
  <c r="BA243" i="67"/>
  <c r="A244" i="67"/>
  <c r="B244" i="67"/>
  <c r="D244" i="67"/>
  <c r="E244" i="67"/>
  <c r="F244" i="67"/>
  <c r="G244" i="67"/>
  <c r="H244" i="67"/>
  <c r="J244" i="67"/>
  <c r="K244" i="67"/>
  <c r="L244" i="67"/>
  <c r="M244" i="67"/>
  <c r="O244" i="67"/>
  <c r="P244" i="67"/>
  <c r="R244" i="67"/>
  <c r="S244" i="67"/>
  <c r="U244" i="67"/>
  <c r="V244" i="67"/>
  <c r="W244" i="67"/>
  <c r="X244" i="67"/>
  <c r="Z244" i="67"/>
  <c r="AA244" i="67"/>
  <c r="AB244" i="67"/>
  <c r="AC244" i="67"/>
  <c r="AD244" i="67"/>
  <c r="AE244" i="67"/>
  <c r="AF244" i="67"/>
  <c r="AG244" i="67"/>
  <c r="AH244" i="67"/>
  <c r="AI244" i="67"/>
  <c r="AJ244" i="67"/>
  <c r="AK244" i="67"/>
  <c r="AL244" i="67"/>
  <c r="AM244" i="67"/>
  <c r="AN244" i="67"/>
  <c r="AO244" i="67"/>
  <c r="AP244" i="67"/>
  <c r="AQ244" i="67"/>
  <c r="AR244" i="67"/>
  <c r="AS244" i="67"/>
  <c r="AT244" i="67"/>
  <c r="AU244" i="67"/>
  <c r="AW244" i="67"/>
  <c r="AX244" i="67"/>
  <c r="AY244" i="67"/>
  <c r="BA244" i="67"/>
  <c r="A245" i="67"/>
  <c r="B245" i="67"/>
  <c r="D245" i="67"/>
  <c r="E245" i="67"/>
  <c r="F245" i="67"/>
  <c r="G245" i="67"/>
  <c r="H245" i="67"/>
  <c r="J245" i="67"/>
  <c r="K245" i="67"/>
  <c r="L245" i="67"/>
  <c r="M245" i="67"/>
  <c r="O245" i="67"/>
  <c r="P245" i="67"/>
  <c r="R245" i="67"/>
  <c r="S245" i="67"/>
  <c r="U245" i="67"/>
  <c r="V245" i="67"/>
  <c r="W245" i="67"/>
  <c r="X245" i="67"/>
  <c r="Z245" i="67"/>
  <c r="AA245" i="67"/>
  <c r="AB245" i="67"/>
  <c r="AC245" i="67"/>
  <c r="AD245" i="67"/>
  <c r="AE245" i="67"/>
  <c r="AF245" i="67"/>
  <c r="AG245" i="67"/>
  <c r="AH245" i="67"/>
  <c r="AI245" i="67"/>
  <c r="AJ245" i="67"/>
  <c r="AK245" i="67"/>
  <c r="AL245" i="67"/>
  <c r="AM245" i="67"/>
  <c r="AN245" i="67"/>
  <c r="AO245" i="67"/>
  <c r="AP245" i="67"/>
  <c r="AQ245" i="67"/>
  <c r="AR245" i="67"/>
  <c r="AS245" i="67"/>
  <c r="AT245" i="67"/>
  <c r="AU245" i="67"/>
  <c r="AW245" i="67"/>
  <c r="AX245" i="67"/>
  <c r="AY245" i="67"/>
  <c r="BA245" i="67"/>
  <c r="A246" i="67"/>
  <c r="B246" i="67"/>
  <c r="D246" i="67"/>
  <c r="E246" i="67"/>
  <c r="F246" i="67"/>
  <c r="G246" i="67"/>
  <c r="H246" i="67"/>
  <c r="J246" i="67"/>
  <c r="K246" i="67"/>
  <c r="L246" i="67"/>
  <c r="M246" i="67"/>
  <c r="O246" i="67"/>
  <c r="P246" i="67"/>
  <c r="R246" i="67"/>
  <c r="S246" i="67"/>
  <c r="U246" i="67"/>
  <c r="V246" i="67"/>
  <c r="W246" i="67"/>
  <c r="X246" i="67"/>
  <c r="Z246" i="67"/>
  <c r="AA246" i="67"/>
  <c r="AB246" i="67"/>
  <c r="AC246" i="67"/>
  <c r="AD246" i="67"/>
  <c r="AE246" i="67"/>
  <c r="AF246" i="67"/>
  <c r="AG246" i="67"/>
  <c r="AH246" i="67"/>
  <c r="AI246" i="67"/>
  <c r="AJ246" i="67"/>
  <c r="AK246" i="67"/>
  <c r="AL246" i="67"/>
  <c r="AM246" i="67"/>
  <c r="AN246" i="67"/>
  <c r="AO246" i="67"/>
  <c r="AP246" i="67"/>
  <c r="AQ246" i="67"/>
  <c r="AR246" i="67"/>
  <c r="AS246" i="67"/>
  <c r="AT246" i="67"/>
  <c r="AU246" i="67"/>
  <c r="AW246" i="67"/>
  <c r="AX246" i="67"/>
  <c r="AY246" i="67"/>
  <c r="BA246" i="67"/>
  <c r="A247" i="67"/>
  <c r="B247" i="67"/>
  <c r="D247" i="67"/>
  <c r="E247" i="67"/>
  <c r="F247" i="67"/>
  <c r="G247" i="67"/>
  <c r="H247" i="67"/>
  <c r="J247" i="67"/>
  <c r="K247" i="67"/>
  <c r="L247" i="67"/>
  <c r="M247" i="67"/>
  <c r="O247" i="67"/>
  <c r="P247" i="67"/>
  <c r="R247" i="67"/>
  <c r="S247" i="67"/>
  <c r="U247" i="67"/>
  <c r="V247" i="67"/>
  <c r="W247" i="67"/>
  <c r="X247" i="67"/>
  <c r="Z247" i="67"/>
  <c r="AA247" i="67"/>
  <c r="AB247" i="67"/>
  <c r="AC247" i="67"/>
  <c r="AD247" i="67"/>
  <c r="AE247" i="67"/>
  <c r="AF247" i="67"/>
  <c r="AG247" i="67"/>
  <c r="AH247" i="67"/>
  <c r="AI247" i="67"/>
  <c r="AJ247" i="67"/>
  <c r="AK247" i="67"/>
  <c r="AL247" i="67"/>
  <c r="AM247" i="67"/>
  <c r="AN247" i="67"/>
  <c r="AO247" i="67"/>
  <c r="AP247" i="67"/>
  <c r="AQ247" i="67"/>
  <c r="AR247" i="67"/>
  <c r="AS247" i="67"/>
  <c r="AT247" i="67"/>
  <c r="AU247" i="67"/>
  <c r="AW247" i="67"/>
  <c r="AX247" i="67"/>
  <c r="AY247" i="67"/>
  <c r="BA247" i="67"/>
  <c r="A248" i="67"/>
  <c r="B248" i="67"/>
  <c r="D248" i="67"/>
  <c r="E248" i="67"/>
  <c r="F248" i="67"/>
  <c r="G248" i="67"/>
  <c r="H248" i="67"/>
  <c r="J248" i="67"/>
  <c r="K248" i="67"/>
  <c r="L248" i="67"/>
  <c r="M248" i="67"/>
  <c r="O248" i="67"/>
  <c r="P248" i="67"/>
  <c r="R248" i="67"/>
  <c r="S248" i="67"/>
  <c r="U248" i="67"/>
  <c r="V248" i="67"/>
  <c r="W248" i="67"/>
  <c r="X248" i="67"/>
  <c r="Z248" i="67"/>
  <c r="AA248" i="67"/>
  <c r="AB248" i="67"/>
  <c r="AC248" i="67"/>
  <c r="AD248" i="67"/>
  <c r="AE248" i="67"/>
  <c r="AF248" i="67"/>
  <c r="AG248" i="67"/>
  <c r="AH248" i="67"/>
  <c r="AI248" i="67"/>
  <c r="AJ248" i="67"/>
  <c r="AK248" i="67"/>
  <c r="AL248" i="67"/>
  <c r="AM248" i="67"/>
  <c r="AN248" i="67"/>
  <c r="AO248" i="67"/>
  <c r="AP248" i="67"/>
  <c r="AQ248" i="67"/>
  <c r="AR248" i="67"/>
  <c r="AS248" i="67"/>
  <c r="AT248" i="67"/>
  <c r="AU248" i="67"/>
  <c r="AW248" i="67"/>
  <c r="AX248" i="67"/>
  <c r="AY248" i="67"/>
  <c r="BA248" i="67"/>
  <c r="A249" i="67"/>
  <c r="B249" i="67"/>
  <c r="D249" i="67"/>
  <c r="E249" i="67"/>
  <c r="F249" i="67"/>
  <c r="G249" i="67"/>
  <c r="H249" i="67"/>
  <c r="J249" i="67"/>
  <c r="K249" i="67"/>
  <c r="L249" i="67"/>
  <c r="M249" i="67"/>
  <c r="O249" i="67"/>
  <c r="P249" i="67"/>
  <c r="R249" i="67"/>
  <c r="S249" i="67"/>
  <c r="U249" i="67"/>
  <c r="V249" i="67"/>
  <c r="W249" i="67"/>
  <c r="X249" i="67"/>
  <c r="Z249" i="67"/>
  <c r="AA249" i="67"/>
  <c r="AB249" i="67"/>
  <c r="AC249" i="67"/>
  <c r="AD249" i="67"/>
  <c r="AE249" i="67"/>
  <c r="AF249" i="67"/>
  <c r="AG249" i="67"/>
  <c r="AH249" i="67"/>
  <c r="AI249" i="67"/>
  <c r="AJ249" i="67"/>
  <c r="AK249" i="67"/>
  <c r="AL249" i="67"/>
  <c r="AM249" i="67"/>
  <c r="AN249" i="67"/>
  <c r="AO249" i="67"/>
  <c r="AP249" i="67"/>
  <c r="AQ249" i="67"/>
  <c r="AR249" i="67"/>
  <c r="AS249" i="67"/>
  <c r="AT249" i="67"/>
  <c r="AU249" i="67"/>
  <c r="AW249" i="67"/>
  <c r="AX249" i="67"/>
  <c r="AY249" i="67"/>
  <c r="BA249" i="67"/>
  <c r="A250" i="67"/>
  <c r="B250" i="67"/>
  <c r="D250" i="67"/>
  <c r="E250" i="67"/>
  <c r="F250" i="67"/>
  <c r="G250" i="67"/>
  <c r="H250" i="67"/>
  <c r="J250" i="67"/>
  <c r="K250" i="67"/>
  <c r="L250" i="67"/>
  <c r="M250" i="67"/>
  <c r="O250" i="67"/>
  <c r="P250" i="67"/>
  <c r="R250" i="67"/>
  <c r="S250" i="67"/>
  <c r="U250" i="67"/>
  <c r="V250" i="67"/>
  <c r="W250" i="67"/>
  <c r="X250" i="67"/>
  <c r="Z250" i="67"/>
  <c r="AA250" i="67"/>
  <c r="AB250" i="67"/>
  <c r="AC250" i="67"/>
  <c r="AD250" i="67"/>
  <c r="AE250" i="67"/>
  <c r="AF250" i="67"/>
  <c r="AG250" i="67"/>
  <c r="AH250" i="67"/>
  <c r="AI250" i="67"/>
  <c r="AJ250" i="67"/>
  <c r="AK250" i="67"/>
  <c r="AL250" i="67"/>
  <c r="AM250" i="67"/>
  <c r="AN250" i="67"/>
  <c r="AO250" i="67"/>
  <c r="AP250" i="67"/>
  <c r="AQ250" i="67"/>
  <c r="AR250" i="67"/>
  <c r="AS250" i="67"/>
  <c r="AT250" i="67"/>
  <c r="AU250" i="67"/>
  <c r="AW250" i="67"/>
  <c r="AX250" i="67"/>
  <c r="AY250" i="67"/>
  <c r="BA250" i="67"/>
  <c r="A251" i="67"/>
  <c r="B251" i="67"/>
  <c r="D251" i="67"/>
  <c r="E251" i="67"/>
  <c r="F251" i="67"/>
  <c r="G251" i="67"/>
  <c r="H251" i="67"/>
  <c r="J251" i="67"/>
  <c r="K251" i="67"/>
  <c r="L251" i="67"/>
  <c r="M251" i="67"/>
  <c r="O251" i="67"/>
  <c r="P251" i="67"/>
  <c r="R251" i="67"/>
  <c r="S251" i="67"/>
  <c r="U251" i="67"/>
  <c r="V251" i="67"/>
  <c r="W251" i="67"/>
  <c r="X251" i="67"/>
  <c r="Z251" i="67"/>
  <c r="AA251" i="67"/>
  <c r="AB251" i="67"/>
  <c r="AC251" i="67"/>
  <c r="AD251" i="67"/>
  <c r="AE251" i="67"/>
  <c r="AF251" i="67"/>
  <c r="AG251" i="67"/>
  <c r="AH251" i="67"/>
  <c r="AI251" i="67"/>
  <c r="AJ251" i="67"/>
  <c r="AK251" i="67"/>
  <c r="AL251" i="67"/>
  <c r="AM251" i="67"/>
  <c r="AN251" i="67"/>
  <c r="AO251" i="67"/>
  <c r="AP251" i="67"/>
  <c r="AQ251" i="67"/>
  <c r="AR251" i="67"/>
  <c r="AS251" i="67"/>
  <c r="AT251" i="67"/>
  <c r="AU251" i="67"/>
  <c r="AW251" i="67"/>
  <c r="AX251" i="67"/>
  <c r="AY251" i="67"/>
  <c r="BA251" i="67"/>
  <c r="A252" i="67"/>
  <c r="B252" i="67"/>
  <c r="D252" i="67"/>
  <c r="E252" i="67"/>
  <c r="F252" i="67"/>
  <c r="G252" i="67"/>
  <c r="H252" i="67"/>
  <c r="J252" i="67"/>
  <c r="K252" i="67"/>
  <c r="L252" i="67"/>
  <c r="M252" i="67"/>
  <c r="O252" i="67"/>
  <c r="P252" i="67"/>
  <c r="R252" i="67"/>
  <c r="S252" i="67"/>
  <c r="U252" i="67"/>
  <c r="V252" i="67"/>
  <c r="W252" i="67"/>
  <c r="X252" i="67"/>
  <c r="Z252" i="67"/>
  <c r="AA252" i="67"/>
  <c r="AB252" i="67"/>
  <c r="AC252" i="67"/>
  <c r="AD252" i="67"/>
  <c r="AE252" i="67"/>
  <c r="AF252" i="67"/>
  <c r="AG252" i="67"/>
  <c r="AH252" i="67"/>
  <c r="AI252" i="67"/>
  <c r="AJ252" i="67"/>
  <c r="AK252" i="67"/>
  <c r="AL252" i="67"/>
  <c r="AM252" i="67"/>
  <c r="AN252" i="67"/>
  <c r="AO252" i="67"/>
  <c r="AP252" i="67"/>
  <c r="AQ252" i="67"/>
  <c r="AR252" i="67"/>
  <c r="AS252" i="67"/>
  <c r="AT252" i="67"/>
  <c r="AU252" i="67"/>
  <c r="AW252" i="67"/>
  <c r="AX252" i="67"/>
  <c r="AY252" i="67"/>
  <c r="BA252" i="67"/>
  <c r="A253" i="67"/>
  <c r="B253" i="67"/>
  <c r="D253" i="67"/>
  <c r="E253" i="67"/>
  <c r="F253" i="67"/>
  <c r="G253" i="67"/>
  <c r="H253" i="67"/>
  <c r="J253" i="67"/>
  <c r="K253" i="67"/>
  <c r="L253" i="67"/>
  <c r="M253" i="67"/>
  <c r="O253" i="67"/>
  <c r="P253" i="67"/>
  <c r="R253" i="67"/>
  <c r="S253" i="67"/>
  <c r="U253" i="67"/>
  <c r="V253" i="67"/>
  <c r="W253" i="67"/>
  <c r="X253" i="67"/>
  <c r="Z253" i="67"/>
  <c r="AA253" i="67"/>
  <c r="AB253" i="67"/>
  <c r="AC253" i="67"/>
  <c r="AD253" i="67"/>
  <c r="AE253" i="67"/>
  <c r="AF253" i="67"/>
  <c r="AG253" i="67"/>
  <c r="AH253" i="67"/>
  <c r="AI253" i="67"/>
  <c r="AJ253" i="67"/>
  <c r="AK253" i="67"/>
  <c r="AL253" i="67"/>
  <c r="AM253" i="67"/>
  <c r="AN253" i="67"/>
  <c r="AO253" i="67"/>
  <c r="AP253" i="67"/>
  <c r="AQ253" i="67"/>
  <c r="AR253" i="67"/>
  <c r="AS253" i="67"/>
  <c r="AT253" i="67"/>
  <c r="AU253" i="67"/>
  <c r="AW253" i="67"/>
  <c r="AX253" i="67"/>
  <c r="AY253" i="67"/>
  <c r="BA253" i="67"/>
  <c r="A254" i="67"/>
  <c r="B254" i="67"/>
  <c r="D254" i="67"/>
  <c r="E254" i="67"/>
  <c r="F254" i="67"/>
  <c r="G254" i="67"/>
  <c r="H254" i="67"/>
  <c r="J254" i="67"/>
  <c r="K254" i="67"/>
  <c r="L254" i="67"/>
  <c r="M254" i="67"/>
  <c r="O254" i="67"/>
  <c r="P254" i="67"/>
  <c r="R254" i="67"/>
  <c r="S254" i="67"/>
  <c r="U254" i="67"/>
  <c r="V254" i="67"/>
  <c r="W254" i="67"/>
  <c r="X254" i="67"/>
  <c r="Z254" i="67"/>
  <c r="AA254" i="67"/>
  <c r="AB254" i="67"/>
  <c r="AC254" i="67"/>
  <c r="AD254" i="67"/>
  <c r="AE254" i="67"/>
  <c r="AF254" i="67"/>
  <c r="AG254" i="67"/>
  <c r="AH254" i="67"/>
  <c r="AI254" i="67"/>
  <c r="AJ254" i="67"/>
  <c r="AK254" i="67"/>
  <c r="AL254" i="67"/>
  <c r="AM254" i="67"/>
  <c r="AN254" i="67"/>
  <c r="AO254" i="67"/>
  <c r="AP254" i="67"/>
  <c r="AQ254" i="67"/>
  <c r="AR254" i="67"/>
  <c r="AS254" i="67"/>
  <c r="AT254" i="67"/>
  <c r="AU254" i="67"/>
  <c r="AW254" i="67"/>
  <c r="AX254" i="67"/>
  <c r="AY254" i="67"/>
  <c r="BA254" i="67"/>
  <c r="A255" i="67"/>
  <c r="B255" i="67"/>
  <c r="D255" i="67"/>
  <c r="E255" i="67"/>
  <c r="F255" i="67"/>
  <c r="G255" i="67"/>
  <c r="H255" i="67"/>
  <c r="J255" i="67"/>
  <c r="K255" i="67"/>
  <c r="L255" i="67"/>
  <c r="M255" i="67"/>
  <c r="O255" i="67"/>
  <c r="P255" i="67"/>
  <c r="R255" i="67"/>
  <c r="S255" i="67"/>
  <c r="U255" i="67"/>
  <c r="V255" i="67"/>
  <c r="W255" i="67"/>
  <c r="X255" i="67"/>
  <c r="Z255" i="67"/>
  <c r="AA255" i="67"/>
  <c r="AB255" i="67"/>
  <c r="AC255" i="67"/>
  <c r="AD255" i="67"/>
  <c r="AE255" i="67"/>
  <c r="AF255" i="67"/>
  <c r="AG255" i="67"/>
  <c r="AH255" i="67"/>
  <c r="AI255" i="67"/>
  <c r="AJ255" i="67"/>
  <c r="AK255" i="67"/>
  <c r="AL255" i="67"/>
  <c r="AM255" i="67"/>
  <c r="AN255" i="67"/>
  <c r="AO255" i="67"/>
  <c r="AP255" i="67"/>
  <c r="AQ255" i="67"/>
  <c r="AR255" i="67"/>
  <c r="AS255" i="67"/>
  <c r="AT255" i="67"/>
  <c r="AU255" i="67"/>
  <c r="AW255" i="67"/>
  <c r="AX255" i="67"/>
  <c r="AY255" i="67"/>
  <c r="BA255" i="67"/>
  <c r="A256" i="67"/>
  <c r="B256" i="67"/>
  <c r="D256" i="67"/>
  <c r="E256" i="67"/>
  <c r="F256" i="67"/>
  <c r="G256" i="67"/>
  <c r="H256" i="67"/>
  <c r="J256" i="67"/>
  <c r="K256" i="67"/>
  <c r="L256" i="67"/>
  <c r="M256" i="67"/>
  <c r="O256" i="67"/>
  <c r="P256" i="67"/>
  <c r="R256" i="67"/>
  <c r="S256" i="67"/>
  <c r="U256" i="67"/>
  <c r="V256" i="67"/>
  <c r="W256" i="67"/>
  <c r="X256" i="67"/>
  <c r="Z256" i="67"/>
  <c r="AA256" i="67"/>
  <c r="AB256" i="67"/>
  <c r="AC256" i="67"/>
  <c r="AD256" i="67"/>
  <c r="AE256" i="67"/>
  <c r="AF256" i="67"/>
  <c r="AG256" i="67"/>
  <c r="AH256" i="67"/>
  <c r="AI256" i="67"/>
  <c r="AJ256" i="67"/>
  <c r="AK256" i="67"/>
  <c r="AL256" i="67"/>
  <c r="AM256" i="67"/>
  <c r="AN256" i="67"/>
  <c r="AO256" i="67"/>
  <c r="AP256" i="67"/>
  <c r="AQ256" i="67"/>
  <c r="AR256" i="67"/>
  <c r="AS256" i="67"/>
  <c r="AT256" i="67"/>
  <c r="AU256" i="67"/>
  <c r="AW256" i="67"/>
  <c r="AX256" i="67"/>
  <c r="AY256" i="67"/>
  <c r="BA256" i="67"/>
  <c r="A257" i="67"/>
  <c r="B257" i="67"/>
  <c r="D257" i="67"/>
  <c r="E257" i="67"/>
  <c r="F257" i="67"/>
  <c r="G257" i="67"/>
  <c r="H257" i="67"/>
  <c r="J257" i="67"/>
  <c r="K257" i="67"/>
  <c r="L257" i="67"/>
  <c r="M257" i="67"/>
  <c r="O257" i="67"/>
  <c r="P257" i="67"/>
  <c r="R257" i="67"/>
  <c r="S257" i="67"/>
  <c r="U257" i="67"/>
  <c r="V257" i="67"/>
  <c r="W257" i="67"/>
  <c r="X257" i="67"/>
  <c r="Z257" i="67"/>
  <c r="AA257" i="67"/>
  <c r="AB257" i="67"/>
  <c r="AC257" i="67"/>
  <c r="AD257" i="67"/>
  <c r="AE257" i="67"/>
  <c r="AF257" i="67"/>
  <c r="AG257" i="67"/>
  <c r="AH257" i="67"/>
  <c r="AI257" i="67"/>
  <c r="AJ257" i="67"/>
  <c r="AK257" i="67"/>
  <c r="AL257" i="67"/>
  <c r="AM257" i="67"/>
  <c r="AN257" i="67"/>
  <c r="AO257" i="67"/>
  <c r="AP257" i="67"/>
  <c r="AQ257" i="67"/>
  <c r="AR257" i="67"/>
  <c r="AS257" i="67"/>
  <c r="AT257" i="67"/>
  <c r="AU257" i="67"/>
  <c r="AW257" i="67"/>
  <c r="AX257" i="67"/>
  <c r="AY257" i="67"/>
  <c r="BA257" i="67"/>
  <c r="A258" i="67"/>
  <c r="B258" i="67"/>
  <c r="D258" i="67"/>
  <c r="E258" i="67"/>
  <c r="F258" i="67"/>
  <c r="G258" i="67"/>
  <c r="H258" i="67"/>
  <c r="J258" i="67"/>
  <c r="K258" i="67"/>
  <c r="L258" i="67"/>
  <c r="M258" i="67"/>
  <c r="O258" i="67"/>
  <c r="P258" i="67"/>
  <c r="R258" i="67"/>
  <c r="S258" i="67"/>
  <c r="U258" i="67"/>
  <c r="V258" i="67"/>
  <c r="W258" i="67"/>
  <c r="X258" i="67"/>
  <c r="Z258" i="67"/>
  <c r="AA258" i="67"/>
  <c r="AB258" i="67"/>
  <c r="AC258" i="67"/>
  <c r="AD258" i="67"/>
  <c r="AE258" i="67"/>
  <c r="AF258" i="67"/>
  <c r="AG258" i="67"/>
  <c r="AH258" i="67"/>
  <c r="AI258" i="67"/>
  <c r="AJ258" i="67"/>
  <c r="AK258" i="67"/>
  <c r="AL258" i="67"/>
  <c r="AM258" i="67"/>
  <c r="AN258" i="67"/>
  <c r="AO258" i="67"/>
  <c r="AP258" i="67"/>
  <c r="AQ258" i="67"/>
  <c r="AR258" i="67"/>
  <c r="AS258" i="67"/>
  <c r="AT258" i="67"/>
  <c r="AU258" i="67"/>
  <c r="AW258" i="67"/>
  <c r="AX258" i="67"/>
  <c r="AY258" i="67"/>
  <c r="BA258" i="67"/>
  <c r="A259" i="67"/>
  <c r="B259" i="67"/>
  <c r="D259" i="67"/>
  <c r="E259" i="67"/>
  <c r="F259" i="67"/>
  <c r="G259" i="67"/>
  <c r="H259" i="67"/>
  <c r="J259" i="67"/>
  <c r="K259" i="67"/>
  <c r="L259" i="67"/>
  <c r="M259" i="67"/>
  <c r="O259" i="67"/>
  <c r="P259" i="67"/>
  <c r="R259" i="67"/>
  <c r="S259" i="67"/>
  <c r="U259" i="67"/>
  <c r="V259" i="67"/>
  <c r="W259" i="67"/>
  <c r="X259" i="67"/>
  <c r="Z259" i="67"/>
  <c r="AA259" i="67"/>
  <c r="AB259" i="67"/>
  <c r="AC259" i="67"/>
  <c r="AD259" i="67"/>
  <c r="AE259" i="67"/>
  <c r="AF259" i="67"/>
  <c r="AG259" i="67"/>
  <c r="AH259" i="67"/>
  <c r="AI259" i="67"/>
  <c r="AJ259" i="67"/>
  <c r="AK259" i="67"/>
  <c r="AL259" i="67"/>
  <c r="AM259" i="67"/>
  <c r="AN259" i="67"/>
  <c r="AO259" i="67"/>
  <c r="AP259" i="67"/>
  <c r="AQ259" i="67"/>
  <c r="AR259" i="67"/>
  <c r="AS259" i="67"/>
  <c r="AT259" i="67"/>
  <c r="AU259" i="67"/>
  <c r="AW259" i="67"/>
  <c r="AX259" i="67"/>
  <c r="AY259" i="67"/>
  <c r="BA259" i="67"/>
  <c r="A260" i="67"/>
  <c r="B260" i="67"/>
  <c r="D260" i="67"/>
  <c r="E260" i="67"/>
  <c r="F260" i="67"/>
  <c r="G260" i="67"/>
  <c r="H260" i="67"/>
  <c r="J260" i="67"/>
  <c r="K260" i="67"/>
  <c r="L260" i="67"/>
  <c r="M260" i="67"/>
  <c r="O260" i="67"/>
  <c r="P260" i="67"/>
  <c r="R260" i="67"/>
  <c r="S260" i="67"/>
  <c r="U260" i="67"/>
  <c r="V260" i="67"/>
  <c r="W260" i="67"/>
  <c r="X260" i="67"/>
  <c r="Z260" i="67"/>
  <c r="AA260" i="67"/>
  <c r="AB260" i="67"/>
  <c r="AC260" i="67"/>
  <c r="AD260" i="67"/>
  <c r="AE260" i="67"/>
  <c r="AF260" i="67"/>
  <c r="AG260" i="67"/>
  <c r="AH260" i="67"/>
  <c r="AI260" i="67"/>
  <c r="AJ260" i="67"/>
  <c r="AK260" i="67"/>
  <c r="AL260" i="67"/>
  <c r="AM260" i="67"/>
  <c r="AN260" i="67"/>
  <c r="AO260" i="67"/>
  <c r="AP260" i="67"/>
  <c r="AQ260" i="67"/>
  <c r="AR260" i="67"/>
  <c r="AS260" i="67"/>
  <c r="AT260" i="67"/>
  <c r="AU260" i="67"/>
  <c r="AW260" i="67"/>
  <c r="AX260" i="67"/>
  <c r="AY260" i="67"/>
  <c r="BA260" i="67"/>
  <c r="A261" i="67"/>
  <c r="B261" i="67"/>
  <c r="D261" i="67"/>
  <c r="E261" i="67"/>
  <c r="F261" i="67"/>
  <c r="G261" i="67"/>
  <c r="H261" i="67"/>
  <c r="J261" i="67"/>
  <c r="K261" i="67"/>
  <c r="L261" i="67"/>
  <c r="M261" i="67"/>
  <c r="O261" i="67"/>
  <c r="P261" i="67"/>
  <c r="R261" i="67"/>
  <c r="S261" i="67"/>
  <c r="U261" i="67"/>
  <c r="V261" i="67"/>
  <c r="W261" i="67"/>
  <c r="X261" i="67"/>
  <c r="Z261" i="67"/>
  <c r="AA261" i="67"/>
  <c r="AB261" i="67"/>
  <c r="AC261" i="67"/>
  <c r="AD261" i="67"/>
  <c r="AE261" i="67"/>
  <c r="AF261" i="67"/>
  <c r="AG261" i="67"/>
  <c r="AH261" i="67"/>
  <c r="AI261" i="67"/>
  <c r="AJ261" i="67"/>
  <c r="AK261" i="67"/>
  <c r="AL261" i="67"/>
  <c r="AM261" i="67"/>
  <c r="AN261" i="67"/>
  <c r="AO261" i="67"/>
  <c r="AP261" i="67"/>
  <c r="AQ261" i="67"/>
  <c r="AR261" i="67"/>
  <c r="AS261" i="67"/>
  <c r="AT261" i="67"/>
  <c r="AU261" i="67"/>
  <c r="AW261" i="67"/>
  <c r="AX261" i="67"/>
  <c r="AY261" i="67"/>
  <c r="BA261" i="67"/>
  <c r="A262" i="67"/>
  <c r="B262" i="67"/>
  <c r="D262" i="67"/>
  <c r="E262" i="67"/>
  <c r="F262" i="67"/>
  <c r="G262" i="67"/>
  <c r="H262" i="67"/>
  <c r="J262" i="67"/>
  <c r="K262" i="67"/>
  <c r="L262" i="67"/>
  <c r="M262" i="67"/>
  <c r="O262" i="67"/>
  <c r="P262" i="67"/>
  <c r="R262" i="67"/>
  <c r="S262" i="67"/>
  <c r="U262" i="67"/>
  <c r="V262" i="67"/>
  <c r="W262" i="67"/>
  <c r="X262" i="67"/>
  <c r="Z262" i="67"/>
  <c r="AA262" i="67"/>
  <c r="AB262" i="67"/>
  <c r="AC262" i="67"/>
  <c r="AD262" i="67"/>
  <c r="AE262" i="67"/>
  <c r="AF262" i="67"/>
  <c r="AG262" i="67"/>
  <c r="AH262" i="67"/>
  <c r="AI262" i="67"/>
  <c r="AJ262" i="67"/>
  <c r="AK262" i="67"/>
  <c r="AL262" i="67"/>
  <c r="AM262" i="67"/>
  <c r="AN262" i="67"/>
  <c r="AO262" i="67"/>
  <c r="AP262" i="67"/>
  <c r="AQ262" i="67"/>
  <c r="AR262" i="67"/>
  <c r="AS262" i="67"/>
  <c r="AT262" i="67"/>
  <c r="AU262" i="67"/>
  <c r="AW262" i="67"/>
  <c r="AX262" i="67"/>
  <c r="AY262" i="67"/>
  <c r="BA262" i="67"/>
  <c r="A263" i="67"/>
  <c r="B263" i="67"/>
  <c r="D263" i="67"/>
  <c r="E263" i="67"/>
  <c r="F263" i="67"/>
  <c r="G263" i="67"/>
  <c r="H263" i="67"/>
  <c r="J263" i="67"/>
  <c r="K263" i="67"/>
  <c r="L263" i="67"/>
  <c r="M263" i="67"/>
  <c r="O263" i="67"/>
  <c r="P263" i="67"/>
  <c r="R263" i="67"/>
  <c r="S263" i="67"/>
  <c r="U263" i="67"/>
  <c r="V263" i="67"/>
  <c r="W263" i="67"/>
  <c r="X263" i="67"/>
  <c r="Z263" i="67"/>
  <c r="AA263" i="67"/>
  <c r="AB263" i="67"/>
  <c r="AC263" i="67"/>
  <c r="AD263" i="67"/>
  <c r="AE263" i="67"/>
  <c r="AF263" i="67"/>
  <c r="AG263" i="67"/>
  <c r="AH263" i="67"/>
  <c r="AI263" i="67"/>
  <c r="AJ263" i="67"/>
  <c r="AK263" i="67"/>
  <c r="AL263" i="67"/>
  <c r="AM263" i="67"/>
  <c r="AN263" i="67"/>
  <c r="AO263" i="67"/>
  <c r="AP263" i="67"/>
  <c r="AQ263" i="67"/>
  <c r="AR263" i="67"/>
  <c r="AS263" i="67"/>
  <c r="AT263" i="67"/>
  <c r="AU263" i="67"/>
  <c r="AW263" i="67"/>
  <c r="AX263" i="67"/>
  <c r="AY263" i="67"/>
  <c r="BA263" i="67"/>
  <c r="A264" i="67"/>
  <c r="B264" i="67"/>
  <c r="D264" i="67"/>
  <c r="E264" i="67"/>
  <c r="F264" i="67"/>
  <c r="G264" i="67"/>
  <c r="H264" i="67"/>
  <c r="J264" i="67"/>
  <c r="K264" i="67"/>
  <c r="L264" i="67"/>
  <c r="M264" i="67"/>
  <c r="O264" i="67"/>
  <c r="P264" i="67"/>
  <c r="R264" i="67"/>
  <c r="S264" i="67"/>
  <c r="U264" i="67"/>
  <c r="V264" i="67"/>
  <c r="W264" i="67"/>
  <c r="X264" i="67"/>
  <c r="Z264" i="67"/>
  <c r="AA264" i="67"/>
  <c r="AB264" i="67"/>
  <c r="AC264" i="67"/>
  <c r="AD264" i="67"/>
  <c r="AE264" i="67"/>
  <c r="AF264" i="67"/>
  <c r="AG264" i="67"/>
  <c r="AH264" i="67"/>
  <c r="AI264" i="67"/>
  <c r="AJ264" i="67"/>
  <c r="AK264" i="67"/>
  <c r="AL264" i="67"/>
  <c r="AM264" i="67"/>
  <c r="AN264" i="67"/>
  <c r="AO264" i="67"/>
  <c r="AP264" i="67"/>
  <c r="AQ264" i="67"/>
  <c r="AR264" i="67"/>
  <c r="AS264" i="67"/>
  <c r="AT264" i="67"/>
  <c r="AU264" i="67"/>
  <c r="AW264" i="67"/>
  <c r="AX264" i="67"/>
  <c r="AY264" i="67"/>
  <c r="BA264" i="67"/>
  <c r="A265" i="67"/>
  <c r="B265" i="67"/>
  <c r="D265" i="67"/>
  <c r="E265" i="67"/>
  <c r="F265" i="67"/>
  <c r="G265" i="67"/>
  <c r="H265" i="67"/>
  <c r="J265" i="67"/>
  <c r="K265" i="67"/>
  <c r="L265" i="67"/>
  <c r="M265" i="67"/>
  <c r="O265" i="67"/>
  <c r="P265" i="67"/>
  <c r="R265" i="67"/>
  <c r="S265" i="67"/>
  <c r="U265" i="67"/>
  <c r="V265" i="67"/>
  <c r="W265" i="67"/>
  <c r="X265" i="67"/>
  <c r="Z265" i="67"/>
  <c r="AA265" i="67"/>
  <c r="AB265" i="67"/>
  <c r="AC265" i="67"/>
  <c r="AD265" i="67"/>
  <c r="AE265" i="67"/>
  <c r="AF265" i="67"/>
  <c r="AG265" i="67"/>
  <c r="AH265" i="67"/>
  <c r="AI265" i="67"/>
  <c r="AJ265" i="67"/>
  <c r="AK265" i="67"/>
  <c r="AL265" i="67"/>
  <c r="AM265" i="67"/>
  <c r="AN265" i="67"/>
  <c r="AO265" i="67"/>
  <c r="AP265" i="67"/>
  <c r="AQ265" i="67"/>
  <c r="AR265" i="67"/>
  <c r="AS265" i="67"/>
  <c r="AT265" i="67"/>
  <c r="AU265" i="67"/>
  <c r="AW265" i="67"/>
  <c r="AX265" i="67"/>
  <c r="AY265" i="67"/>
  <c r="BA265" i="67"/>
  <c r="A266" i="67"/>
  <c r="B266" i="67"/>
  <c r="D266" i="67"/>
  <c r="E266" i="67"/>
  <c r="F266" i="67"/>
  <c r="G266" i="67"/>
  <c r="H266" i="67"/>
  <c r="J266" i="67"/>
  <c r="K266" i="67"/>
  <c r="L266" i="67"/>
  <c r="M266" i="67"/>
  <c r="O266" i="67"/>
  <c r="P266" i="67"/>
  <c r="R266" i="67"/>
  <c r="S266" i="67"/>
  <c r="U266" i="67"/>
  <c r="V266" i="67"/>
  <c r="W266" i="67"/>
  <c r="X266" i="67"/>
  <c r="Z266" i="67"/>
  <c r="AA266" i="67"/>
  <c r="AB266" i="67"/>
  <c r="AC266" i="67"/>
  <c r="AD266" i="67"/>
  <c r="AE266" i="67"/>
  <c r="AF266" i="67"/>
  <c r="AG266" i="67"/>
  <c r="AH266" i="67"/>
  <c r="AI266" i="67"/>
  <c r="AJ266" i="67"/>
  <c r="AK266" i="67"/>
  <c r="AL266" i="67"/>
  <c r="AM266" i="67"/>
  <c r="AN266" i="67"/>
  <c r="AO266" i="67"/>
  <c r="AP266" i="67"/>
  <c r="AQ266" i="67"/>
  <c r="AR266" i="67"/>
  <c r="AS266" i="67"/>
  <c r="AT266" i="67"/>
  <c r="AU266" i="67"/>
  <c r="AW266" i="67"/>
  <c r="AX266" i="67"/>
  <c r="AY266" i="67"/>
  <c r="BA266" i="67"/>
  <c r="A267" i="67"/>
  <c r="B267" i="67"/>
  <c r="D267" i="67"/>
  <c r="E267" i="67"/>
  <c r="F267" i="67"/>
  <c r="G267" i="67"/>
  <c r="H267" i="67"/>
  <c r="J267" i="67"/>
  <c r="K267" i="67"/>
  <c r="L267" i="67"/>
  <c r="M267" i="67"/>
  <c r="O267" i="67"/>
  <c r="P267" i="67"/>
  <c r="R267" i="67"/>
  <c r="S267" i="67"/>
  <c r="U267" i="67"/>
  <c r="V267" i="67"/>
  <c r="W267" i="67"/>
  <c r="X267" i="67"/>
  <c r="Z267" i="67"/>
  <c r="AA267" i="67"/>
  <c r="AB267" i="67"/>
  <c r="AC267" i="67"/>
  <c r="AD267" i="67"/>
  <c r="AE267" i="67"/>
  <c r="AF267" i="67"/>
  <c r="AG267" i="67"/>
  <c r="AH267" i="67"/>
  <c r="AI267" i="67"/>
  <c r="AJ267" i="67"/>
  <c r="AK267" i="67"/>
  <c r="AL267" i="67"/>
  <c r="AM267" i="67"/>
  <c r="AN267" i="67"/>
  <c r="AO267" i="67"/>
  <c r="AP267" i="67"/>
  <c r="AQ267" i="67"/>
  <c r="AR267" i="67"/>
  <c r="AS267" i="67"/>
  <c r="AT267" i="67"/>
  <c r="AU267" i="67"/>
  <c r="AW267" i="67"/>
  <c r="AX267" i="67"/>
  <c r="AY267" i="67"/>
  <c r="BA267" i="67"/>
  <c r="A268" i="67"/>
  <c r="B268" i="67"/>
  <c r="D268" i="67"/>
  <c r="E268" i="67"/>
  <c r="F268" i="67"/>
  <c r="G268" i="67"/>
  <c r="H268" i="67"/>
  <c r="J268" i="67"/>
  <c r="K268" i="67"/>
  <c r="L268" i="67"/>
  <c r="M268" i="67"/>
  <c r="O268" i="67"/>
  <c r="P268" i="67"/>
  <c r="R268" i="67"/>
  <c r="S268" i="67"/>
  <c r="U268" i="67"/>
  <c r="V268" i="67"/>
  <c r="W268" i="67"/>
  <c r="X268" i="67"/>
  <c r="Z268" i="67"/>
  <c r="AA268" i="67"/>
  <c r="AB268" i="67"/>
  <c r="AC268" i="67"/>
  <c r="AD268" i="67"/>
  <c r="AE268" i="67"/>
  <c r="AF268" i="67"/>
  <c r="AG268" i="67"/>
  <c r="AH268" i="67"/>
  <c r="AI268" i="67"/>
  <c r="AJ268" i="67"/>
  <c r="AK268" i="67"/>
  <c r="AL268" i="67"/>
  <c r="AM268" i="67"/>
  <c r="AN268" i="67"/>
  <c r="AO268" i="67"/>
  <c r="AP268" i="67"/>
  <c r="AQ268" i="67"/>
  <c r="AR268" i="67"/>
  <c r="AS268" i="67"/>
  <c r="AT268" i="67"/>
  <c r="AU268" i="67"/>
  <c r="AW268" i="67"/>
  <c r="AX268" i="67"/>
  <c r="AY268" i="67"/>
  <c r="BA268" i="67"/>
  <c r="A269" i="67"/>
  <c r="B269" i="67"/>
  <c r="D269" i="67"/>
  <c r="E269" i="67"/>
  <c r="F269" i="67"/>
  <c r="G269" i="67"/>
  <c r="H269" i="67"/>
  <c r="J269" i="67"/>
  <c r="K269" i="67"/>
  <c r="L269" i="67"/>
  <c r="M269" i="67"/>
  <c r="O269" i="67"/>
  <c r="P269" i="67"/>
  <c r="R269" i="67"/>
  <c r="S269" i="67"/>
  <c r="U269" i="67"/>
  <c r="V269" i="67"/>
  <c r="W269" i="67"/>
  <c r="X269" i="67"/>
  <c r="Z269" i="67"/>
  <c r="AA269" i="67"/>
  <c r="AB269" i="67"/>
  <c r="AC269" i="67"/>
  <c r="AD269" i="67"/>
  <c r="AE269" i="67"/>
  <c r="AF269" i="67"/>
  <c r="AG269" i="67"/>
  <c r="AH269" i="67"/>
  <c r="AI269" i="67"/>
  <c r="AJ269" i="67"/>
  <c r="AK269" i="67"/>
  <c r="AL269" i="67"/>
  <c r="AM269" i="67"/>
  <c r="AN269" i="67"/>
  <c r="AO269" i="67"/>
  <c r="AP269" i="67"/>
  <c r="AQ269" i="67"/>
  <c r="AR269" i="67"/>
  <c r="AS269" i="67"/>
  <c r="AT269" i="67"/>
  <c r="AU269" i="67"/>
  <c r="AW269" i="67"/>
  <c r="AX269" i="67"/>
  <c r="AY269" i="67"/>
  <c r="BA269" i="67"/>
  <c r="A270" i="67"/>
  <c r="B270" i="67"/>
  <c r="D270" i="67"/>
  <c r="E270" i="67"/>
  <c r="F270" i="67"/>
  <c r="G270" i="67"/>
  <c r="H270" i="67"/>
  <c r="J270" i="67"/>
  <c r="K270" i="67"/>
  <c r="L270" i="67"/>
  <c r="M270" i="67"/>
  <c r="O270" i="67"/>
  <c r="P270" i="67"/>
  <c r="R270" i="67"/>
  <c r="S270" i="67"/>
  <c r="U270" i="67"/>
  <c r="V270" i="67"/>
  <c r="W270" i="67"/>
  <c r="X270" i="67"/>
  <c r="Z270" i="67"/>
  <c r="AA270" i="67"/>
  <c r="AB270" i="67"/>
  <c r="AC270" i="67"/>
  <c r="AD270" i="67"/>
  <c r="AE270" i="67"/>
  <c r="AF270" i="67"/>
  <c r="AG270" i="67"/>
  <c r="AH270" i="67"/>
  <c r="AI270" i="67"/>
  <c r="AJ270" i="67"/>
  <c r="AK270" i="67"/>
  <c r="AL270" i="67"/>
  <c r="AM270" i="67"/>
  <c r="AN270" i="67"/>
  <c r="AO270" i="67"/>
  <c r="AP270" i="67"/>
  <c r="AQ270" i="67"/>
  <c r="AR270" i="67"/>
  <c r="AS270" i="67"/>
  <c r="AT270" i="67"/>
  <c r="AU270" i="67"/>
  <c r="AW270" i="67"/>
  <c r="AX270" i="67"/>
  <c r="AY270" i="67"/>
  <c r="BA270" i="67"/>
  <c r="A271" i="67"/>
  <c r="B271" i="67"/>
  <c r="D271" i="67"/>
  <c r="E271" i="67"/>
  <c r="F271" i="67"/>
  <c r="G271" i="67"/>
  <c r="H271" i="67"/>
  <c r="J271" i="67"/>
  <c r="K271" i="67"/>
  <c r="L271" i="67"/>
  <c r="M271" i="67"/>
  <c r="O271" i="67"/>
  <c r="P271" i="67"/>
  <c r="R271" i="67"/>
  <c r="S271" i="67"/>
  <c r="U271" i="67"/>
  <c r="V271" i="67"/>
  <c r="W271" i="67"/>
  <c r="X271" i="67"/>
  <c r="Z271" i="67"/>
  <c r="AA271" i="67"/>
  <c r="AB271" i="67"/>
  <c r="AC271" i="67"/>
  <c r="AD271" i="67"/>
  <c r="AE271" i="67"/>
  <c r="AF271" i="67"/>
  <c r="AG271" i="67"/>
  <c r="AH271" i="67"/>
  <c r="AI271" i="67"/>
  <c r="AJ271" i="67"/>
  <c r="AK271" i="67"/>
  <c r="AL271" i="67"/>
  <c r="AM271" i="67"/>
  <c r="AN271" i="67"/>
  <c r="AO271" i="67"/>
  <c r="AP271" i="67"/>
  <c r="AQ271" i="67"/>
  <c r="AR271" i="67"/>
  <c r="AS271" i="67"/>
  <c r="AT271" i="67"/>
  <c r="AU271" i="67"/>
  <c r="AW271" i="67"/>
  <c r="AX271" i="67"/>
  <c r="AY271" i="67"/>
  <c r="BA271" i="67"/>
  <c r="A272" i="67"/>
  <c r="B272" i="67"/>
  <c r="D272" i="67"/>
  <c r="E272" i="67"/>
  <c r="F272" i="67"/>
  <c r="G272" i="67"/>
  <c r="H272" i="67"/>
  <c r="J272" i="67"/>
  <c r="K272" i="67"/>
  <c r="L272" i="67"/>
  <c r="M272" i="67"/>
  <c r="O272" i="67"/>
  <c r="P272" i="67"/>
  <c r="R272" i="67"/>
  <c r="S272" i="67"/>
  <c r="U272" i="67"/>
  <c r="V272" i="67"/>
  <c r="W272" i="67"/>
  <c r="X272" i="67"/>
  <c r="Z272" i="67"/>
  <c r="AA272" i="67"/>
  <c r="AB272" i="67"/>
  <c r="AC272" i="67"/>
  <c r="AD272" i="67"/>
  <c r="AE272" i="67"/>
  <c r="AF272" i="67"/>
  <c r="AG272" i="67"/>
  <c r="AH272" i="67"/>
  <c r="AI272" i="67"/>
  <c r="AJ272" i="67"/>
  <c r="AK272" i="67"/>
  <c r="AL272" i="67"/>
  <c r="AM272" i="67"/>
  <c r="AN272" i="67"/>
  <c r="AO272" i="67"/>
  <c r="AP272" i="67"/>
  <c r="AQ272" i="67"/>
  <c r="AR272" i="67"/>
  <c r="AS272" i="67"/>
  <c r="AT272" i="67"/>
  <c r="AU272" i="67"/>
  <c r="AW272" i="67"/>
  <c r="AX272" i="67"/>
  <c r="AY272" i="67"/>
  <c r="BA272" i="67"/>
  <c r="A273" i="67"/>
  <c r="B273" i="67"/>
  <c r="D273" i="67"/>
  <c r="E273" i="67"/>
  <c r="F273" i="67"/>
  <c r="G273" i="67"/>
  <c r="H273" i="67"/>
  <c r="J273" i="67"/>
  <c r="K273" i="67"/>
  <c r="L273" i="67"/>
  <c r="M273" i="67"/>
  <c r="O273" i="67"/>
  <c r="P273" i="67"/>
  <c r="R273" i="67"/>
  <c r="S273" i="67"/>
  <c r="U273" i="67"/>
  <c r="V273" i="67"/>
  <c r="W273" i="67"/>
  <c r="X273" i="67"/>
  <c r="Z273" i="67"/>
  <c r="AA273" i="67"/>
  <c r="AB273" i="67"/>
  <c r="AC273" i="67"/>
  <c r="AD273" i="67"/>
  <c r="AE273" i="67"/>
  <c r="AF273" i="67"/>
  <c r="AG273" i="67"/>
  <c r="AH273" i="67"/>
  <c r="AI273" i="67"/>
  <c r="AJ273" i="67"/>
  <c r="AK273" i="67"/>
  <c r="AL273" i="67"/>
  <c r="AM273" i="67"/>
  <c r="AN273" i="67"/>
  <c r="AO273" i="67"/>
  <c r="AP273" i="67"/>
  <c r="AQ273" i="67"/>
  <c r="AR273" i="67"/>
  <c r="AS273" i="67"/>
  <c r="AT273" i="67"/>
  <c r="AU273" i="67"/>
  <c r="AW273" i="67"/>
  <c r="AX273" i="67"/>
  <c r="AY273" i="67"/>
  <c r="BA273" i="67"/>
  <c r="A274" i="67"/>
  <c r="B274" i="67"/>
  <c r="D274" i="67"/>
  <c r="E274" i="67"/>
  <c r="F274" i="67"/>
  <c r="G274" i="67"/>
  <c r="H274" i="67"/>
  <c r="J274" i="67"/>
  <c r="K274" i="67"/>
  <c r="L274" i="67"/>
  <c r="M274" i="67"/>
  <c r="O274" i="67"/>
  <c r="P274" i="67"/>
  <c r="R274" i="67"/>
  <c r="S274" i="67"/>
  <c r="U274" i="67"/>
  <c r="V274" i="67"/>
  <c r="W274" i="67"/>
  <c r="X274" i="67"/>
  <c r="Z274" i="67"/>
  <c r="AA274" i="67"/>
  <c r="AB274" i="67"/>
  <c r="AC274" i="67"/>
  <c r="AD274" i="67"/>
  <c r="AE274" i="67"/>
  <c r="AF274" i="67"/>
  <c r="AG274" i="67"/>
  <c r="AH274" i="67"/>
  <c r="AI274" i="67"/>
  <c r="AJ274" i="67"/>
  <c r="AK274" i="67"/>
  <c r="AL274" i="67"/>
  <c r="AM274" i="67"/>
  <c r="AN274" i="67"/>
  <c r="AO274" i="67"/>
  <c r="AP274" i="67"/>
  <c r="AQ274" i="67"/>
  <c r="AR274" i="67"/>
  <c r="AS274" i="67"/>
  <c r="AT274" i="67"/>
  <c r="AU274" i="67"/>
  <c r="AW274" i="67"/>
  <c r="AX274" i="67"/>
  <c r="AY274" i="67"/>
  <c r="BA274" i="67"/>
  <c r="A275" i="67"/>
  <c r="B275" i="67"/>
  <c r="D275" i="67"/>
  <c r="E275" i="67"/>
  <c r="F275" i="67"/>
  <c r="G275" i="67"/>
  <c r="H275" i="67"/>
  <c r="J275" i="67"/>
  <c r="K275" i="67"/>
  <c r="L275" i="67"/>
  <c r="M275" i="67"/>
  <c r="O275" i="67"/>
  <c r="P275" i="67"/>
  <c r="R275" i="67"/>
  <c r="S275" i="67"/>
  <c r="U275" i="67"/>
  <c r="V275" i="67"/>
  <c r="W275" i="67"/>
  <c r="X275" i="67"/>
  <c r="Z275" i="67"/>
  <c r="AA275" i="67"/>
  <c r="AB275" i="67"/>
  <c r="AC275" i="67"/>
  <c r="AD275" i="67"/>
  <c r="AE275" i="67"/>
  <c r="AF275" i="67"/>
  <c r="AG275" i="67"/>
  <c r="AH275" i="67"/>
  <c r="AI275" i="67"/>
  <c r="AJ275" i="67"/>
  <c r="AK275" i="67"/>
  <c r="AL275" i="67"/>
  <c r="AM275" i="67"/>
  <c r="AN275" i="67"/>
  <c r="AO275" i="67"/>
  <c r="AP275" i="67"/>
  <c r="AQ275" i="67"/>
  <c r="AR275" i="67"/>
  <c r="AS275" i="67"/>
  <c r="AT275" i="67"/>
  <c r="AU275" i="67"/>
  <c r="AW275" i="67"/>
  <c r="AX275" i="67"/>
  <c r="AY275" i="67"/>
  <c r="BA275" i="67"/>
  <c r="A276" i="67"/>
  <c r="B276" i="67"/>
  <c r="D276" i="67"/>
  <c r="E276" i="67"/>
  <c r="F276" i="67"/>
  <c r="G276" i="67"/>
  <c r="H276" i="67"/>
  <c r="J276" i="67"/>
  <c r="K276" i="67"/>
  <c r="L276" i="67"/>
  <c r="M276" i="67"/>
  <c r="O276" i="67"/>
  <c r="P276" i="67"/>
  <c r="R276" i="67"/>
  <c r="S276" i="67"/>
  <c r="U276" i="67"/>
  <c r="V276" i="67"/>
  <c r="W276" i="67"/>
  <c r="X276" i="67"/>
  <c r="Z276" i="67"/>
  <c r="AA276" i="67"/>
  <c r="AB276" i="67"/>
  <c r="AC276" i="67"/>
  <c r="AD276" i="67"/>
  <c r="AE276" i="67"/>
  <c r="AF276" i="67"/>
  <c r="AG276" i="67"/>
  <c r="AH276" i="67"/>
  <c r="AI276" i="67"/>
  <c r="AJ276" i="67"/>
  <c r="AK276" i="67"/>
  <c r="AL276" i="67"/>
  <c r="AM276" i="67"/>
  <c r="AN276" i="67"/>
  <c r="AO276" i="67"/>
  <c r="AP276" i="67"/>
  <c r="AQ276" i="67"/>
  <c r="AR276" i="67"/>
  <c r="AS276" i="67"/>
  <c r="AT276" i="67"/>
  <c r="AU276" i="67"/>
  <c r="AW276" i="67"/>
  <c r="AX276" i="67"/>
  <c r="AY276" i="67"/>
  <c r="BA276" i="67"/>
  <c r="A277" i="67"/>
  <c r="B277" i="67"/>
  <c r="D277" i="67"/>
  <c r="E277" i="67"/>
  <c r="F277" i="67"/>
  <c r="G277" i="67"/>
  <c r="H277" i="67"/>
  <c r="J277" i="67"/>
  <c r="K277" i="67"/>
  <c r="L277" i="67"/>
  <c r="M277" i="67"/>
  <c r="O277" i="67"/>
  <c r="P277" i="67"/>
  <c r="R277" i="67"/>
  <c r="S277" i="67"/>
  <c r="U277" i="67"/>
  <c r="V277" i="67"/>
  <c r="W277" i="67"/>
  <c r="X277" i="67"/>
  <c r="Z277" i="67"/>
  <c r="AA277" i="67"/>
  <c r="AB277" i="67"/>
  <c r="AC277" i="67"/>
  <c r="AD277" i="67"/>
  <c r="AE277" i="67"/>
  <c r="AF277" i="67"/>
  <c r="AG277" i="67"/>
  <c r="AH277" i="67"/>
  <c r="AI277" i="67"/>
  <c r="AJ277" i="67"/>
  <c r="AK277" i="67"/>
  <c r="AL277" i="67"/>
  <c r="AM277" i="67"/>
  <c r="AN277" i="67"/>
  <c r="AO277" i="67"/>
  <c r="AP277" i="67"/>
  <c r="AQ277" i="67"/>
  <c r="AR277" i="67"/>
  <c r="AS277" i="67"/>
  <c r="AT277" i="67"/>
  <c r="AU277" i="67"/>
  <c r="AW277" i="67"/>
  <c r="AX277" i="67"/>
  <c r="AY277" i="67"/>
  <c r="BA277" i="67"/>
  <c r="A278" i="67"/>
  <c r="B278" i="67"/>
  <c r="D278" i="67"/>
  <c r="E278" i="67"/>
  <c r="F278" i="67"/>
  <c r="G278" i="67"/>
  <c r="H278" i="67"/>
  <c r="J278" i="67"/>
  <c r="K278" i="67"/>
  <c r="L278" i="67"/>
  <c r="M278" i="67"/>
  <c r="O278" i="67"/>
  <c r="P278" i="67"/>
  <c r="R278" i="67"/>
  <c r="S278" i="67"/>
  <c r="U278" i="67"/>
  <c r="V278" i="67"/>
  <c r="W278" i="67"/>
  <c r="X278" i="67"/>
  <c r="Z278" i="67"/>
  <c r="AA278" i="67"/>
  <c r="AB278" i="67"/>
  <c r="AC278" i="67"/>
  <c r="AD278" i="67"/>
  <c r="AE278" i="67"/>
  <c r="AF278" i="67"/>
  <c r="AG278" i="67"/>
  <c r="AH278" i="67"/>
  <c r="AI278" i="67"/>
  <c r="AJ278" i="67"/>
  <c r="AK278" i="67"/>
  <c r="AL278" i="67"/>
  <c r="AM278" i="67"/>
  <c r="AN278" i="67"/>
  <c r="AO278" i="67"/>
  <c r="AP278" i="67"/>
  <c r="AQ278" i="67"/>
  <c r="AR278" i="67"/>
  <c r="AS278" i="67"/>
  <c r="AT278" i="67"/>
  <c r="AU278" i="67"/>
  <c r="AW278" i="67"/>
  <c r="AX278" i="67"/>
  <c r="AY278" i="67"/>
  <c r="BA278" i="67"/>
  <c r="A279" i="67"/>
  <c r="B279" i="67"/>
  <c r="D279" i="67"/>
  <c r="E279" i="67"/>
  <c r="F279" i="67"/>
  <c r="G279" i="67"/>
  <c r="H279" i="67"/>
  <c r="J279" i="67"/>
  <c r="K279" i="67"/>
  <c r="L279" i="67"/>
  <c r="M279" i="67"/>
  <c r="O279" i="67"/>
  <c r="P279" i="67"/>
  <c r="R279" i="67"/>
  <c r="S279" i="67"/>
  <c r="U279" i="67"/>
  <c r="V279" i="67"/>
  <c r="W279" i="67"/>
  <c r="X279" i="67"/>
  <c r="Z279" i="67"/>
  <c r="AA279" i="67"/>
  <c r="AB279" i="67"/>
  <c r="AC279" i="67"/>
  <c r="AD279" i="67"/>
  <c r="AE279" i="67"/>
  <c r="AF279" i="67"/>
  <c r="AG279" i="67"/>
  <c r="AH279" i="67"/>
  <c r="AI279" i="67"/>
  <c r="AJ279" i="67"/>
  <c r="AK279" i="67"/>
  <c r="AL279" i="67"/>
  <c r="AM279" i="67"/>
  <c r="AN279" i="67"/>
  <c r="AO279" i="67"/>
  <c r="AP279" i="67"/>
  <c r="AQ279" i="67"/>
  <c r="AR279" i="67"/>
  <c r="AS279" i="67"/>
  <c r="AT279" i="67"/>
  <c r="AU279" i="67"/>
  <c r="AW279" i="67"/>
  <c r="AX279" i="67"/>
  <c r="AY279" i="67"/>
  <c r="BA279" i="67"/>
  <c r="A280" i="67"/>
  <c r="B280" i="67"/>
  <c r="D280" i="67"/>
  <c r="E280" i="67"/>
  <c r="F280" i="67"/>
  <c r="G280" i="67"/>
  <c r="H280" i="67"/>
  <c r="J280" i="67"/>
  <c r="K280" i="67"/>
  <c r="L280" i="67"/>
  <c r="M280" i="67"/>
  <c r="O280" i="67"/>
  <c r="P280" i="67"/>
  <c r="R280" i="67"/>
  <c r="S280" i="67"/>
  <c r="U280" i="67"/>
  <c r="V280" i="67"/>
  <c r="W280" i="67"/>
  <c r="X280" i="67"/>
  <c r="Z280" i="67"/>
  <c r="AA280" i="67"/>
  <c r="AB280" i="67"/>
  <c r="AC280" i="67"/>
  <c r="AD280" i="67"/>
  <c r="AE280" i="67"/>
  <c r="AF280" i="67"/>
  <c r="AG280" i="67"/>
  <c r="AH280" i="67"/>
  <c r="AI280" i="67"/>
  <c r="AJ280" i="67"/>
  <c r="AK280" i="67"/>
  <c r="AL280" i="67"/>
  <c r="AM280" i="67"/>
  <c r="AN280" i="67"/>
  <c r="AO280" i="67"/>
  <c r="AP280" i="67"/>
  <c r="AQ280" i="67"/>
  <c r="AR280" i="67"/>
  <c r="AS280" i="67"/>
  <c r="AT280" i="67"/>
  <c r="AU280" i="67"/>
  <c r="AW280" i="67"/>
  <c r="AX280" i="67"/>
  <c r="AY280" i="67"/>
  <c r="BA280" i="67"/>
  <c r="A281" i="67"/>
  <c r="B281" i="67"/>
  <c r="D281" i="67"/>
  <c r="E281" i="67"/>
  <c r="F281" i="67"/>
  <c r="G281" i="67"/>
  <c r="H281" i="67"/>
  <c r="J281" i="67"/>
  <c r="K281" i="67"/>
  <c r="L281" i="67"/>
  <c r="M281" i="67"/>
  <c r="O281" i="67"/>
  <c r="P281" i="67"/>
  <c r="R281" i="67"/>
  <c r="S281" i="67"/>
  <c r="U281" i="67"/>
  <c r="V281" i="67"/>
  <c r="W281" i="67"/>
  <c r="X281" i="67"/>
  <c r="Z281" i="67"/>
  <c r="AA281" i="67"/>
  <c r="AB281" i="67"/>
  <c r="AC281" i="67"/>
  <c r="AD281" i="67"/>
  <c r="AE281" i="67"/>
  <c r="AF281" i="67"/>
  <c r="AG281" i="67"/>
  <c r="AH281" i="67"/>
  <c r="AI281" i="67"/>
  <c r="AJ281" i="67"/>
  <c r="AK281" i="67"/>
  <c r="AL281" i="67"/>
  <c r="AM281" i="67"/>
  <c r="AN281" i="67"/>
  <c r="AO281" i="67"/>
  <c r="AP281" i="67"/>
  <c r="AQ281" i="67"/>
  <c r="AR281" i="67"/>
  <c r="AS281" i="67"/>
  <c r="AT281" i="67"/>
  <c r="AU281" i="67"/>
  <c r="AW281" i="67"/>
  <c r="AX281" i="67"/>
  <c r="AY281" i="67"/>
  <c r="BA281" i="67"/>
  <c r="A282" i="67"/>
  <c r="B282" i="67"/>
  <c r="D282" i="67"/>
  <c r="E282" i="67"/>
  <c r="F282" i="67"/>
  <c r="G282" i="67"/>
  <c r="H282" i="67"/>
  <c r="J282" i="67"/>
  <c r="K282" i="67"/>
  <c r="L282" i="67"/>
  <c r="M282" i="67"/>
  <c r="O282" i="67"/>
  <c r="P282" i="67"/>
  <c r="R282" i="67"/>
  <c r="S282" i="67"/>
  <c r="U282" i="67"/>
  <c r="V282" i="67"/>
  <c r="W282" i="67"/>
  <c r="X282" i="67"/>
  <c r="Z282" i="67"/>
  <c r="AA282" i="67"/>
  <c r="AB282" i="67"/>
  <c r="AC282" i="67"/>
  <c r="AD282" i="67"/>
  <c r="AE282" i="67"/>
  <c r="AF282" i="67"/>
  <c r="AG282" i="67"/>
  <c r="AH282" i="67"/>
  <c r="AI282" i="67"/>
  <c r="AJ282" i="67"/>
  <c r="AK282" i="67"/>
  <c r="AL282" i="67"/>
  <c r="AM282" i="67"/>
  <c r="AN282" i="67"/>
  <c r="AO282" i="67"/>
  <c r="AP282" i="67"/>
  <c r="AQ282" i="67"/>
  <c r="AR282" i="67"/>
  <c r="AS282" i="67"/>
  <c r="AT282" i="67"/>
  <c r="AU282" i="67"/>
  <c r="AW282" i="67"/>
  <c r="AX282" i="67"/>
  <c r="AY282" i="67"/>
  <c r="BA282" i="67"/>
  <c r="A283" i="67"/>
  <c r="B283" i="67"/>
  <c r="D283" i="67"/>
  <c r="E283" i="67"/>
  <c r="F283" i="67"/>
  <c r="G283" i="67"/>
  <c r="H283" i="67"/>
  <c r="J283" i="67"/>
  <c r="K283" i="67"/>
  <c r="L283" i="67"/>
  <c r="M283" i="67"/>
  <c r="O283" i="67"/>
  <c r="P283" i="67"/>
  <c r="R283" i="67"/>
  <c r="S283" i="67"/>
  <c r="U283" i="67"/>
  <c r="V283" i="67"/>
  <c r="W283" i="67"/>
  <c r="X283" i="67"/>
  <c r="Z283" i="67"/>
  <c r="AA283" i="67"/>
  <c r="AB283" i="67"/>
  <c r="AC283" i="67"/>
  <c r="AD283" i="67"/>
  <c r="AE283" i="67"/>
  <c r="AF283" i="67"/>
  <c r="AG283" i="67"/>
  <c r="AH283" i="67"/>
  <c r="AI283" i="67"/>
  <c r="AJ283" i="67"/>
  <c r="AK283" i="67"/>
  <c r="AL283" i="67"/>
  <c r="AM283" i="67"/>
  <c r="AN283" i="67"/>
  <c r="AO283" i="67"/>
  <c r="AP283" i="67"/>
  <c r="AQ283" i="67"/>
  <c r="AR283" i="67"/>
  <c r="AS283" i="67"/>
  <c r="AT283" i="67"/>
  <c r="AU283" i="67"/>
  <c r="AW283" i="67"/>
  <c r="AX283" i="67"/>
  <c r="AY283" i="67"/>
  <c r="BA283" i="67"/>
  <c r="A284" i="67"/>
  <c r="B284" i="67"/>
  <c r="D284" i="67"/>
  <c r="E284" i="67"/>
  <c r="F284" i="67"/>
  <c r="G284" i="67"/>
  <c r="H284" i="67"/>
  <c r="J284" i="67"/>
  <c r="K284" i="67"/>
  <c r="L284" i="67"/>
  <c r="M284" i="67"/>
  <c r="O284" i="67"/>
  <c r="P284" i="67"/>
  <c r="R284" i="67"/>
  <c r="S284" i="67"/>
  <c r="U284" i="67"/>
  <c r="V284" i="67"/>
  <c r="W284" i="67"/>
  <c r="X284" i="67"/>
  <c r="Z284" i="67"/>
  <c r="AA284" i="67"/>
  <c r="AB284" i="67"/>
  <c r="AC284" i="67"/>
  <c r="AD284" i="67"/>
  <c r="AE284" i="67"/>
  <c r="AF284" i="67"/>
  <c r="AG284" i="67"/>
  <c r="AH284" i="67"/>
  <c r="AI284" i="67"/>
  <c r="AJ284" i="67"/>
  <c r="AK284" i="67"/>
  <c r="AL284" i="67"/>
  <c r="AM284" i="67"/>
  <c r="AN284" i="67"/>
  <c r="AO284" i="67"/>
  <c r="AP284" i="67"/>
  <c r="AQ284" i="67"/>
  <c r="AR284" i="67"/>
  <c r="AS284" i="67"/>
  <c r="AT284" i="67"/>
  <c r="AU284" i="67"/>
  <c r="AW284" i="67"/>
  <c r="AX284" i="67"/>
  <c r="AY284" i="67"/>
  <c r="BA284" i="67"/>
  <c r="A285" i="67"/>
  <c r="B285" i="67"/>
  <c r="D285" i="67"/>
  <c r="E285" i="67"/>
  <c r="F285" i="67"/>
  <c r="G285" i="67"/>
  <c r="H285" i="67"/>
  <c r="J285" i="67"/>
  <c r="K285" i="67"/>
  <c r="L285" i="67"/>
  <c r="M285" i="67"/>
  <c r="O285" i="67"/>
  <c r="P285" i="67"/>
  <c r="R285" i="67"/>
  <c r="S285" i="67"/>
  <c r="U285" i="67"/>
  <c r="V285" i="67"/>
  <c r="W285" i="67"/>
  <c r="X285" i="67"/>
  <c r="Z285" i="67"/>
  <c r="AA285" i="67"/>
  <c r="AB285" i="67"/>
  <c r="AC285" i="67"/>
  <c r="AD285" i="67"/>
  <c r="AE285" i="67"/>
  <c r="AF285" i="67"/>
  <c r="AG285" i="67"/>
  <c r="AH285" i="67"/>
  <c r="AI285" i="67"/>
  <c r="AJ285" i="67"/>
  <c r="AK285" i="67"/>
  <c r="AL285" i="67"/>
  <c r="AM285" i="67"/>
  <c r="AN285" i="67"/>
  <c r="AO285" i="67"/>
  <c r="AP285" i="67"/>
  <c r="AQ285" i="67"/>
  <c r="AR285" i="67"/>
  <c r="AS285" i="67"/>
  <c r="AT285" i="67"/>
  <c r="AU285" i="67"/>
  <c r="AW285" i="67"/>
  <c r="AX285" i="67"/>
  <c r="AY285" i="67"/>
  <c r="BA285" i="67"/>
  <c r="A286" i="67"/>
  <c r="B286" i="67"/>
  <c r="D286" i="67"/>
  <c r="E286" i="67"/>
  <c r="F286" i="67"/>
  <c r="G286" i="67"/>
  <c r="H286" i="67"/>
  <c r="J286" i="67"/>
  <c r="K286" i="67"/>
  <c r="L286" i="67"/>
  <c r="M286" i="67"/>
  <c r="O286" i="67"/>
  <c r="P286" i="67"/>
  <c r="R286" i="67"/>
  <c r="S286" i="67"/>
  <c r="U286" i="67"/>
  <c r="V286" i="67"/>
  <c r="W286" i="67"/>
  <c r="X286" i="67"/>
  <c r="Z286" i="67"/>
  <c r="AA286" i="67"/>
  <c r="AB286" i="67"/>
  <c r="AC286" i="67"/>
  <c r="AD286" i="67"/>
  <c r="AE286" i="67"/>
  <c r="AF286" i="67"/>
  <c r="AG286" i="67"/>
  <c r="AH286" i="67"/>
  <c r="AI286" i="67"/>
  <c r="AJ286" i="67"/>
  <c r="AK286" i="67"/>
  <c r="AL286" i="67"/>
  <c r="AM286" i="67"/>
  <c r="AN286" i="67"/>
  <c r="AO286" i="67"/>
  <c r="AP286" i="67"/>
  <c r="AQ286" i="67"/>
  <c r="AR286" i="67"/>
  <c r="AS286" i="67"/>
  <c r="AT286" i="67"/>
  <c r="AU286" i="67"/>
  <c r="AW286" i="67"/>
  <c r="AX286" i="67"/>
  <c r="AY286" i="67"/>
  <c r="BA286" i="67"/>
  <c r="A287" i="67"/>
  <c r="B287" i="67"/>
  <c r="D287" i="67"/>
  <c r="E287" i="67"/>
  <c r="F287" i="67"/>
  <c r="G287" i="67"/>
  <c r="H287" i="67"/>
  <c r="J287" i="67"/>
  <c r="K287" i="67"/>
  <c r="L287" i="67"/>
  <c r="M287" i="67"/>
  <c r="O287" i="67"/>
  <c r="P287" i="67"/>
  <c r="R287" i="67"/>
  <c r="S287" i="67"/>
  <c r="U287" i="67"/>
  <c r="V287" i="67"/>
  <c r="W287" i="67"/>
  <c r="X287" i="67"/>
  <c r="Z287" i="67"/>
  <c r="AA287" i="67"/>
  <c r="AB287" i="67"/>
  <c r="AC287" i="67"/>
  <c r="AD287" i="67"/>
  <c r="AE287" i="67"/>
  <c r="AF287" i="67"/>
  <c r="AG287" i="67"/>
  <c r="AH287" i="67"/>
  <c r="AI287" i="67"/>
  <c r="AJ287" i="67"/>
  <c r="AK287" i="67"/>
  <c r="AL287" i="67"/>
  <c r="AM287" i="67"/>
  <c r="AN287" i="67"/>
  <c r="AO287" i="67"/>
  <c r="AP287" i="67"/>
  <c r="AQ287" i="67"/>
  <c r="AR287" i="67"/>
  <c r="AS287" i="67"/>
  <c r="AT287" i="67"/>
  <c r="AU287" i="67"/>
  <c r="AW287" i="67"/>
  <c r="AX287" i="67"/>
  <c r="AY287" i="67"/>
  <c r="BA287" i="67"/>
  <c r="A288" i="67"/>
  <c r="B288" i="67"/>
  <c r="D288" i="67"/>
  <c r="E288" i="67"/>
  <c r="F288" i="67"/>
  <c r="G288" i="67"/>
  <c r="H288" i="67"/>
  <c r="J288" i="67"/>
  <c r="K288" i="67"/>
  <c r="L288" i="67"/>
  <c r="M288" i="67"/>
  <c r="O288" i="67"/>
  <c r="P288" i="67"/>
  <c r="R288" i="67"/>
  <c r="S288" i="67"/>
  <c r="U288" i="67"/>
  <c r="V288" i="67"/>
  <c r="W288" i="67"/>
  <c r="X288" i="67"/>
  <c r="Z288" i="67"/>
  <c r="AA288" i="67"/>
  <c r="AB288" i="67"/>
  <c r="AC288" i="67"/>
  <c r="AD288" i="67"/>
  <c r="AE288" i="67"/>
  <c r="AF288" i="67"/>
  <c r="AG288" i="67"/>
  <c r="AH288" i="67"/>
  <c r="AI288" i="67"/>
  <c r="AJ288" i="67"/>
  <c r="AK288" i="67"/>
  <c r="AL288" i="67"/>
  <c r="AM288" i="67"/>
  <c r="AN288" i="67"/>
  <c r="AO288" i="67"/>
  <c r="AP288" i="67"/>
  <c r="AQ288" i="67"/>
  <c r="AR288" i="67"/>
  <c r="AS288" i="67"/>
  <c r="AT288" i="67"/>
  <c r="AU288" i="67"/>
  <c r="AW288" i="67"/>
  <c r="AX288" i="67"/>
  <c r="AY288" i="67"/>
  <c r="BA288" i="67"/>
  <c r="A289" i="67"/>
  <c r="B289" i="67"/>
  <c r="D289" i="67"/>
  <c r="E289" i="67"/>
  <c r="F289" i="67"/>
  <c r="G289" i="67"/>
  <c r="H289" i="67"/>
  <c r="J289" i="67"/>
  <c r="K289" i="67"/>
  <c r="L289" i="67"/>
  <c r="M289" i="67"/>
  <c r="O289" i="67"/>
  <c r="P289" i="67"/>
  <c r="R289" i="67"/>
  <c r="S289" i="67"/>
  <c r="U289" i="67"/>
  <c r="V289" i="67"/>
  <c r="W289" i="67"/>
  <c r="X289" i="67"/>
  <c r="Z289" i="67"/>
  <c r="AA289" i="67"/>
  <c r="AB289" i="67"/>
  <c r="AC289" i="67"/>
  <c r="AD289" i="67"/>
  <c r="AE289" i="67"/>
  <c r="AF289" i="67"/>
  <c r="AG289" i="67"/>
  <c r="AH289" i="67"/>
  <c r="AI289" i="67"/>
  <c r="AJ289" i="67"/>
  <c r="AK289" i="67"/>
  <c r="AL289" i="67"/>
  <c r="AM289" i="67"/>
  <c r="AN289" i="67"/>
  <c r="AO289" i="67"/>
  <c r="AP289" i="67"/>
  <c r="AQ289" i="67"/>
  <c r="AR289" i="67"/>
  <c r="AS289" i="67"/>
  <c r="AT289" i="67"/>
  <c r="AU289" i="67"/>
  <c r="AW289" i="67"/>
  <c r="AX289" i="67"/>
  <c r="AY289" i="67"/>
  <c r="BA289" i="67"/>
  <c r="A290" i="67"/>
  <c r="B290" i="67"/>
  <c r="D290" i="67"/>
  <c r="E290" i="67"/>
  <c r="F290" i="67"/>
  <c r="G290" i="67"/>
  <c r="H290" i="67"/>
  <c r="J290" i="67"/>
  <c r="K290" i="67"/>
  <c r="L290" i="67"/>
  <c r="M290" i="67"/>
  <c r="O290" i="67"/>
  <c r="P290" i="67"/>
  <c r="R290" i="67"/>
  <c r="S290" i="67"/>
  <c r="U290" i="67"/>
  <c r="V290" i="67"/>
  <c r="W290" i="67"/>
  <c r="X290" i="67"/>
  <c r="Z290" i="67"/>
  <c r="AA290" i="67"/>
  <c r="AB290" i="67"/>
  <c r="AC290" i="67"/>
  <c r="AD290" i="67"/>
  <c r="AE290" i="67"/>
  <c r="AF290" i="67"/>
  <c r="AG290" i="67"/>
  <c r="AH290" i="67"/>
  <c r="AI290" i="67"/>
  <c r="AJ290" i="67"/>
  <c r="AK290" i="67"/>
  <c r="AL290" i="67"/>
  <c r="AM290" i="67"/>
  <c r="AN290" i="67"/>
  <c r="AO290" i="67"/>
  <c r="AP290" i="67"/>
  <c r="AQ290" i="67"/>
  <c r="AR290" i="67"/>
  <c r="AS290" i="67"/>
  <c r="AT290" i="67"/>
  <c r="AU290" i="67"/>
  <c r="AW290" i="67"/>
  <c r="AX290" i="67"/>
  <c r="AY290" i="67"/>
  <c r="BA290" i="67"/>
  <c r="A291" i="67"/>
  <c r="B291" i="67"/>
  <c r="D291" i="67"/>
  <c r="E291" i="67"/>
  <c r="F291" i="67"/>
  <c r="G291" i="67"/>
  <c r="H291" i="67"/>
  <c r="J291" i="67"/>
  <c r="K291" i="67"/>
  <c r="L291" i="67"/>
  <c r="M291" i="67"/>
  <c r="O291" i="67"/>
  <c r="P291" i="67"/>
  <c r="R291" i="67"/>
  <c r="S291" i="67"/>
  <c r="U291" i="67"/>
  <c r="V291" i="67"/>
  <c r="W291" i="67"/>
  <c r="X291" i="67"/>
  <c r="Z291" i="67"/>
  <c r="AA291" i="67"/>
  <c r="AB291" i="67"/>
  <c r="AC291" i="67"/>
  <c r="AD291" i="67"/>
  <c r="AE291" i="67"/>
  <c r="AF291" i="67"/>
  <c r="AG291" i="67"/>
  <c r="AH291" i="67"/>
  <c r="AI291" i="67"/>
  <c r="AJ291" i="67"/>
  <c r="AK291" i="67"/>
  <c r="AL291" i="67"/>
  <c r="AM291" i="67"/>
  <c r="AN291" i="67"/>
  <c r="AO291" i="67"/>
  <c r="AP291" i="67"/>
  <c r="AQ291" i="67"/>
  <c r="AR291" i="67"/>
  <c r="AS291" i="67"/>
  <c r="AT291" i="67"/>
  <c r="AU291" i="67"/>
  <c r="AW291" i="67"/>
  <c r="AX291" i="67"/>
  <c r="AY291" i="67"/>
  <c r="BA291" i="67"/>
  <c r="A292" i="67"/>
  <c r="B292" i="67"/>
  <c r="D292" i="67"/>
  <c r="E292" i="67"/>
  <c r="F292" i="67"/>
  <c r="G292" i="67"/>
  <c r="H292" i="67"/>
  <c r="J292" i="67"/>
  <c r="K292" i="67"/>
  <c r="L292" i="67"/>
  <c r="M292" i="67"/>
  <c r="O292" i="67"/>
  <c r="P292" i="67"/>
  <c r="R292" i="67"/>
  <c r="S292" i="67"/>
  <c r="U292" i="67"/>
  <c r="V292" i="67"/>
  <c r="W292" i="67"/>
  <c r="X292" i="67"/>
  <c r="Z292" i="67"/>
  <c r="AA292" i="67"/>
  <c r="AB292" i="67"/>
  <c r="AC292" i="67"/>
  <c r="AD292" i="67"/>
  <c r="AE292" i="67"/>
  <c r="AF292" i="67"/>
  <c r="AG292" i="67"/>
  <c r="AH292" i="67"/>
  <c r="AI292" i="67"/>
  <c r="AJ292" i="67"/>
  <c r="AK292" i="67"/>
  <c r="AL292" i="67"/>
  <c r="AM292" i="67"/>
  <c r="AN292" i="67"/>
  <c r="AO292" i="67"/>
  <c r="AP292" i="67"/>
  <c r="AQ292" i="67"/>
  <c r="AR292" i="67"/>
  <c r="AS292" i="67"/>
  <c r="AT292" i="67"/>
  <c r="AU292" i="67"/>
  <c r="AW292" i="67"/>
  <c r="AX292" i="67"/>
  <c r="AY292" i="67"/>
  <c r="BA292" i="67"/>
  <c r="A293" i="67"/>
  <c r="B293" i="67"/>
  <c r="D293" i="67"/>
  <c r="E293" i="67"/>
  <c r="F293" i="67"/>
  <c r="G293" i="67"/>
  <c r="H293" i="67"/>
  <c r="J293" i="67"/>
  <c r="K293" i="67"/>
  <c r="L293" i="67"/>
  <c r="M293" i="67"/>
  <c r="O293" i="67"/>
  <c r="P293" i="67"/>
  <c r="R293" i="67"/>
  <c r="S293" i="67"/>
  <c r="U293" i="67"/>
  <c r="V293" i="67"/>
  <c r="W293" i="67"/>
  <c r="X293" i="67"/>
  <c r="Z293" i="67"/>
  <c r="AA293" i="67"/>
  <c r="AB293" i="67"/>
  <c r="AC293" i="67"/>
  <c r="AD293" i="67"/>
  <c r="AE293" i="67"/>
  <c r="AF293" i="67"/>
  <c r="AG293" i="67"/>
  <c r="AH293" i="67"/>
  <c r="AI293" i="67"/>
  <c r="AJ293" i="67"/>
  <c r="AK293" i="67"/>
  <c r="AL293" i="67"/>
  <c r="AM293" i="67"/>
  <c r="AN293" i="67"/>
  <c r="AO293" i="67"/>
  <c r="AP293" i="67"/>
  <c r="AQ293" i="67"/>
  <c r="AR293" i="67"/>
  <c r="AS293" i="67"/>
  <c r="AT293" i="67"/>
  <c r="AU293" i="67"/>
  <c r="AW293" i="67"/>
  <c r="AX293" i="67"/>
  <c r="AY293" i="67"/>
  <c r="BA293" i="67"/>
  <c r="A294" i="67"/>
  <c r="B294" i="67"/>
  <c r="D294" i="67"/>
  <c r="E294" i="67"/>
  <c r="F294" i="67"/>
  <c r="G294" i="67"/>
  <c r="H294" i="67"/>
  <c r="J294" i="67"/>
  <c r="K294" i="67"/>
  <c r="L294" i="67"/>
  <c r="M294" i="67"/>
  <c r="O294" i="67"/>
  <c r="P294" i="67"/>
  <c r="R294" i="67"/>
  <c r="S294" i="67"/>
  <c r="U294" i="67"/>
  <c r="V294" i="67"/>
  <c r="W294" i="67"/>
  <c r="X294" i="67"/>
  <c r="Z294" i="67"/>
  <c r="AA294" i="67"/>
  <c r="AB294" i="67"/>
  <c r="AC294" i="67"/>
  <c r="AD294" i="67"/>
  <c r="AE294" i="67"/>
  <c r="AF294" i="67"/>
  <c r="AG294" i="67"/>
  <c r="AH294" i="67"/>
  <c r="AI294" i="67"/>
  <c r="AJ294" i="67"/>
  <c r="AK294" i="67"/>
  <c r="AL294" i="67"/>
  <c r="AM294" i="67"/>
  <c r="AN294" i="67"/>
  <c r="AO294" i="67"/>
  <c r="AP294" i="67"/>
  <c r="AQ294" i="67"/>
  <c r="AR294" i="67"/>
  <c r="AS294" i="67"/>
  <c r="AT294" i="67"/>
  <c r="AU294" i="67"/>
  <c r="AW294" i="67"/>
  <c r="AX294" i="67"/>
  <c r="AY294" i="67"/>
  <c r="BA294" i="67"/>
  <c r="A295" i="67"/>
  <c r="B295" i="67"/>
  <c r="D295" i="67"/>
  <c r="E295" i="67"/>
  <c r="F295" i="67"/>
  <c r="G295" i="67"/>
  <c r="H295" i="67"/>
  <c r="J295" i="67"/>
  <c r="K295" i="67"/>
  <c r="L295" i="67"/>
  <c r="M295" i="67"/>
  <c r="O295" i="67"/>
  <c r="P295" i="67"/>
  <c r="R295" i="67"/>
  <c r="S295" i="67"/>
  <c r="U295" i="67"/>
  <c r="V295" i="67"/>
  <c r="W295" i="67"/>
  <c r="X295" i="67"/>
  <c r="Z295" i="67"/>
  <c r="AA295" i="67"/>
  <c r="AB295" i="67"/>
  <c r="AC295" i="67"/>
  <c r="AD295" i="67"/>
  <c r="AE295" i="67"/>
  <c r="AF295" i="67"/>
  <c r="AG295" i="67"/>
  <c r="AH295" i="67"/>
  <c r="AI295" i="67"/>
  <c r="AJ295" i="67"/>
  <c r="AK295" i="67"/>
  <c r="AL295" i="67"/>
  <c r="AM295" i="67"/>
  <c r="AN295" i="67"/>
  <c r="AO295" i="67"/>
  <c r="AP295" i="67"/>
  <c r="AQ295" i="67"/>
  <c r="AR295" i="67"/>
  <c r="AS295" i="67"/>
  <c r="AT295" i="67"/>
  <c r="AU295" i="67"/>
  <c r="AW295" i="67"/>
  <c r="AX295" i="67"/>
  <c r="AY295" i="67"/>
  <c r="BA295" i="67"/>
  <c r="A296" i="67"/>
  <c r="B296" i="67"/>
  <c r="D296" i="67"/>
  <c r="E296" i="67"/>
  <c r="F296" i="67"/>
  <c r="G296" i="67"/>
  <c r="H296" i="67"/>
  <c r="J296" i="67"/>
  <c r="K296" i="67"/>
  <c r="L296" i="67"/>
  <c r="M296" i="67"/>
  <c r="O296" i="67"/>
  <c r="P296" i="67"/>
  <c r="R296" i="67"/>
  <c r="S296" i="67"/>
  <c r="U296" i="67"/>
  <c r="V296" i="67"/>
  <c r="W296" i="67"/>
  <c r="X296" i="67"/>
  <c r="Z296" i="67"/>
  <c r="AA296" i="67"/>
  <c r="AB296" i="67"/>
  <c r="AC296" i="67"/>
  <c r="AD296" i="67"/>
  <c r="AE296" i="67"/>
  <c r="AF296" i="67"/>
  <c r="AG296" i="67"/>
  <c r="AH296" i="67"/>
  <c r="AI296" i="67"/>
  <c r="AJ296" i="67"/>
  <c r="AK296" i="67"/>
  <c r="AL296" i="67"/>
  <c r="AM296" i="67"/>
  <c r="AN296" i="67"/>
  <c r="AO296" i="67"/>
  <c r="AP296" i="67"/>
  <c r="AQ296" i="67"/>
  <c r="AR296" i="67"/>
  <c r="AS296" i="67"/>
  <c r="AT296" i="67"/>
  <c r="AU296" i="67"/>
  <c r="AW296" i="67"/>
  <c r="AX296" i="67"/>
  <c r="AY296" i="67"/>
  <c r="BA296" i="67"/>
  <c r="A297" i="67"/>
  <c r="B297" i="67"/>
  <c r="D297" i="67"/>
  <c r="E297" i="67"/>
  <c r="F297" i="67"/>
  <c r="G297" i="67"/>
  <c r="H297" i="67"/>
  <c r="J297" i="67"/>
  <c r="K297" i="67"/>
  <c r="L297" i="67"/>
  <c r="M297" i="67"/>
  <c r="O297" i="67"/>
  <c r="P297" i="67"/>
  <c r="R297" i="67"/>
  <c r="S297" i="67"/>
  <c r="U297" i="67"/>
  <c r="V297" i="67"/>
  <c r="W297" i="67"/>
  <c r="X297" i="67"/>
  <c r="Z297" i="67"/>
  <c r="AA297" i="67"/>
  <c r="AB297" i="67"/>
  <c r="AC297" i="67"/>
  <c r="AD297" i="67"/>
  <c r="AE297" i="67"/>
  <c r="AF297" i="67"/>
  <c r="AG297" i="67"/>
  <c r="AH297" i="67"/>
  <c r="AI297" i="67"/>
  <c r="AJ297" i="67"/>
  <c r="AK297" i="67"/>
  <c r="AL297" i="67"/>
  <c r="AM297" i="67"/>
  <c r="AN297" i="67"/>
  <c r="AO297" i="67"/>
  <c r="AP297" i="67"/>
  <c r="AQ297" i="67"/>
  <c r="AR297" i="67"/>
  <c r="AS297" i="67"/>
  <c r="AT297" i="67"/>
  <c r="AU297" i="67"/>
  <c r="AW297" i="67"/>
  <c r="AX297" i="67"/>
  <c r="AY297" i="67"/>
  <c r="BA297" i="67"/>
  <c r="A298" i="67"/>
  <c r="B298" i="67"/>
  <c r="D298" i="67"/>
  <c r="E298" i="67"/>
  <c r="F298" i="67"/>
  <c r="G298" i="67"/>
  <c r="H298" i="67"/>
  <c r="J298" i="67"/>
  <c r="K298" i="67"/>
  <c r="L298" i="67"/>
  <c r="M298" i="67"/>
  <c r="O298" i="67"/>
  <c r="P298" i="67"/>
  <c r="R298" i="67"/>
  <c r="S298" i="67"/>
  <c r="U298" i="67"/>
  <c r="V298" i="67"/>
  <c r="W298" i="67"/>
  <c r="X298" i="67"/>
  <c r="Z298" i="67"/>
  <c r="AA298" i="67"/>
  <c r="AB298" i="67"/>
  <c r="AC298" i="67"/>
  <c r="AD298" i="67"/>
  <c r="AE298" i="67"/>
  <c r="AF298" i="67"/>
  <c r="AG298" i="67"/>
  <c r="AH298" i="67"/>
  <c r="AI298" i="67"/>
  <c r="AJ298" i="67"/>
  <c r="AK298" i="67"/>
  <c r="AL298" i="67"/>
  <c r="AM298" i="67"/>
  <c r="AN298" i="67"/>
  <c r="AO298" i="67"/>
  <c r="AP298" i="67"/>
  <c r="AQ298" i="67"/>
  <c r="AR298" i="67"/>
  <c r="AS298" i="67"/>
  <c r="AT298" i="67"/>
  <c r="AU298" i="67"/>
  <c r="AW298" i="67"/>
  <c r="AX298" i="67"/>
  <c r="AY298" i="67"/>
  <c r="BA298" i="67"/>
  <c r="A299" i="67"/>
  <c r="B299" i="67"/>
  <c r="D299" i="67"/>
  <c r="E299" i="67"/>
  <c r="F299" i="67"/>
  <c r="G299" i="67"/>
  <c r="H299" i="67"/>
  <c r="J299" i="67"/>
  <c r="K299" i="67"/>
  <c r="L299" i="67"/>
  <c r="M299" i="67"/>
  <c r="O299" i="67"/>
  <c r="P299" i="67"/>
  <c r="R299" i="67"/>
  <c r="S299" i="67"/>
  <c r="U299" i="67"/>
  <c r="V299" i="67"/>
  <c r="W299" i="67"/>
  <c r="X299" i="67"/>
  <c r="Z299" i="67"/>
  <c r="AA299" i="67"/>
  <c r="AB299" i="67"/>
  <c r="AC299" i="67"/>
  <c r="AD299" i="67"/>
  <c r="AE299" i="67"/>
  <c r="AF299" i="67"/>
  <c r="AG299" i="67"/>
  <c r="AH299" i="67"/>
  <c r="AI299" i="67"/>
  <c r="AJ299" i="67"/>
  <c r="AK299" i="67"/>
  <c r="AL299" i="67"/>
  <c r="AM299" i="67"/>
  <c r="AN299" i="67"/>
  <c r="AO299" i="67"/>
  <c r="AP299" i="67"/>
  <c r="AQ299" i="67"/>
  <c r="AR299" i="67"/>
  <c r="AS299" i="67"/>
  <c r="AT299" i="67"/>
  <c r="AU299" i="67"/>
  <c r="AW299" i="67"/>
  <c r="AX299" i="67"/>
  <c r="AY299" i="67"/>
  <c r="BA299" i="67"/>
  <c r="A300" i="67"/>
  <c r="B300" i="67"/>
  <c r="D300" i="67"/>
  <c r="E300" i="67"/>
  <c r="F300" i="67"/>
  <c r="G300" i="67"/>
  <c r="H300" i="67"/>
  <c r="J300" i="67"/>
  <c r="K300" i="67"/>
  <c r="L300" i="67"/>
  <c r="M300" i="67"/>
  <c r="O300" i="67"/>
  <c r="P300" i="67"/>
  <c r="R300" i="67"/>
  <c r="S300" i="67"/>
  <c r="U300" i="67"/>
  <c r="V300" i="67"/>
  <c r="W300" i="67"/>
  <c r="X300" i="67"/>
  <c r="Z300" i="67"/>
  <c r="AA300" i="67"/>
  <c r="AB300" i="67"/>
  <c r="AC300" i="67"/>
  <c r="AD300" i="67"/>
  <c r="AE300" i="67"/>
  <c r="AF300" i="67"/>
  <c r="AG300" i="67"/>
  <c r="AH300" i="67"/>
  <c r="AI300" i="67"/>
  <c r="AJ300" i="67"/>
  <c r="AK300" i="67"/>
  <c r="AL300" i="67"/>
  <c r="AM300" i="67"/>
  <c r="AN300" i="67"/>
  <c r="AO300" i="67"/>
  <c r="AP300" i="67"/>
  <c r="AQ300" i="67"/>
  <c r="AR300" i="67"/>
  <c r="AS300" i="67"/>
  <c r="AT300" i="67"/>
  <c r="AU300" i="67"/>
  <c r="AW300" i="67"/>
  <c r="AX300" i="67"/>
  <c r="AY300" i="67"/>
  <c r="BA300" i="67"/>
  <c r="A301" i="67"/>
  <c r="B301" i="67"/>
  <c r="D301" i="67"/>
  <c r="E301" i="67"/>
  <c r="F301" i="67"/>
  <c r="G301" i="67"/>
  <c r="H301" i="67"/>
  <c r="J301" i="67"/>
  <c r="K301" i="67"/>
  <c r="L301" i="67"/>
  <c r="M301" i="67"/>
  <c r="O301" i="67"/>
  <c r="P301" i="67"/>
  <c r="R301" i="67"/>
  <c r="S301" i="67"/>
  <c r="U301" i="67"/>
  <c r="V301" i="67"/>
  <c r="W301" i="67"/>
  <c r="X301" i="67"/>
  <c r="Z301" i="67"/>
  <c r="AA301" i="67"/>
  <c r="AB301" i="67"/>
  <c r="AC301" i="67"/>
  <c r="AD301" i="67"/>
  <c r="AE301" i="67"/>
  <c r="AF301" i="67"/>
  <c r="AG301" i="67"/>
  <c r="AH301" i="67"/>
  <c r="AI301" i="67"/>
  <c r="AJ301" i="67"/>
  <c r="AK301" i="67"/>
  <c r="AL301" i="67"/>
  <c r="AM301" i="67"/>
  <c r="AN301" i="67"/>
  <c r="AO301" i="67"/>
  <c r="AP301" i="67"/>
  <c r="AQ301" i="67"/>
  <c r="AR301" i="67"/>
  <c r="AS301" i="67"/>
  <c r="AT301" i="67"/>
  <c r="AU301" i="67"/>
  <c r="AW301" i="67"/>
  <c r="AX301" i="67"/>
  <c r="AY301" i="67"/>
  <c r="BA301" i="67"/>
  <c r="A302" i="67"/>
  <c r="B302" i="67"/>
  <c r="D302" i="67"/>
  <c r="E302" i="67"/>
  <c r="F302" i="67"/>
  <c r="G302" i="67"/>
  <c r="H302" i="67"/>
  <c r="J302" i="67"/>
  <c r="K302" i="67"/>
  <c r="L302" i="67"/>
  <c r="M302" i="67"/>
  <c r="O302" i="67"/>
  <c r="P302" i="67"/>
  <c r="R302" i="67"/>
  <c r="S302" i="67"/>
  <c r="U302" i="67"/>
  <c r="V302" i="67"/>
  <c r="W302" i="67"/>
  <c r="X302" i="67"/>
  <c r="Z302" i="67"/>
  <c r="AA302" i="67"/>
  <c r="AB302" i="67"/>
  <c r="AC302" i="67"/>
  <c r="AD302" i="67"/>
  <c r="AE302" i="67"/>
  <c r="AF302" i="67"/>
  <c r="AG302" i="67"/>
  <c r="AH302" i="67"/>
  <c r="AI302" i="67"/>
  <c r="AJ302" i="67"/>
  <c r="AK302" i="67"/>
  <c r="AL302" i="67"/>
  <c r="AM302" i="67"/>
  <c r="AN302" i="67"/>
  <c r="AO302" i="67"/>
  <c r="AP302" i="67"/>
  <c r="AQ302" i="67"/>
  <c r="AR302" i="67"/>
  <c r="AS302" i="67"/>
  <c r="AT302" i="67"/>
  <c r="AU302" i="67"/>
  <c r="AW302" i="67"/>
  <c r="AX302" i="67"/>
  <c r="AY302" i="67"/>
  <c r="BA302" i="67"/>
  <c r="A303" i="67"/>
  <c r="B303" i="67"/>
  <c r="D303" i="67"/>
  <c r="E303" i="67"/>
  <c r="F303" i="67"/>
  <c r="G303" i="67"/>
  <c r="H303" i="67"/>
  <c r="J303" i="67"/>
  <c r="K303" i="67"/>
  <c r="L303" i="67"/>
  <c r="M303" i="67"/>
  <c r="O303" i="67"/>
  <c r="P303" i="67"/>
  <c r="R303" i="67"/>
  <c r="S303" i="67"/>
  <c r="U303" i="67"/>
  <c r="V303" i="67"/>
  <c r="W303" i="67"/>
  <c r="X303" i="67"/>
  <c r="Z303" i="67"/>
  <c r="AA303" i="67"/>
  <c r="AB303" i="67"/>
  <c r="AC303" i="67"/>
  <c r="AD303" i="67"/>
  <c r="AE303" i="67"/>
  <c r="AF303" i="67"/>
  <c r="AG303" i="67"/>
  <c r="AH303" i="67"/>
  <c r="AI303" i="67"/>
  <c r="AJ303" i="67"/>
  <c r="AK303" i="67"/>
  <c r="AL303" i="67"/>
  <c r="AM303" i="67"/>
  <c r="AN303" i="67"/>
  <c r="AO303" i="67"/>
  <c r="AP303" i="67"/>
  <c r="AQ303" i="67"/>
  <c r="AR303" i="67"/>
  <c r="AS303" i="67"/>
  <c r="AT303" i="67"/>
  <c r="AU303" i="67"/>
  <c r="AW303" i="67"/>
  <c r="AX303" i="67"/>
  <c r="AY303" i="67"/>
  <c r="BA303" i="67"/>
  <c r="A304" i="67"/>
  <c r="B304" i="67"/>
  <c r="D304" i="67"/>
  <c r="E304" i="67"/>
  <c r="F304" i="67"/>
  <c r="G304" i="67"/>
  <c r="H304" i="67"/>
  <c r="J304" i="67"/>
  <c r="K304" i="67"/>
  <c r="L304" i="67"/>
  <c r="M304" i="67"/>
  <c r="O304" i="67"/>
  <c r="P304" i="67"/>
  <c r="R304" i="67"/>
  <c r="S304" i="67"/>
  <c r="U304" i="67"/>
  <c r="V304" i="67"/>
  <c r="W304" i="67"/>
  <c r="X304" i="67"/>
  <c r="Z304" i="67"/>
  <c r="AA304" i="67"/>
  <c r="AB304" i="67"/>
  <c r="AC304" i="67"/>
  <c r="AD304" i="67"/>
  <c r="AE304" i="67"/>
  <c r="AF304" i="67"/>
  <c r="AG304" i="67"/>
  <c r="AH304" i="67"/>
  <c r="AI304" i="67"/>
  <c r="AJ304" i="67"/>
  <c r="AK304" i="67"/>
  <c r="AL304" i="67"/>
  <c r="AM304" i="67"/>
  <c r="AN304" i="67"/>
  <c r="AO304" i="67"/>
  <c r="AP304" i="67"/>
  <c r="AQ304" i="67"/>
  <c r="AR304" i="67"/>
  <c r="AS304" i="67"/>
  <c r="AT304" i="67"/>
  <c r="AU304" i="67"/>
  <c r="AW304" i="67"/>
  <c r="AX304" i="67"/>
  <c r="AY304" i="67"/>
  <c r="BA304" i="67"/>
  <c r="A305" i="67"/>
  <c r="B305" i="67"/>
  <c r="D305" i="67"/>
  <c r="E305" i="67"/>
  <c r="F305" i="67"/>
  <c r="G305" i="67"/>
  <c r="H305" i="67"/>
  <c r="J305" i="67"/>
  <c r="K305" i="67"/>
  <c r="L305" i="67"/>
  <c r="M305" i="67"/>
  <c r="O305" i="67"/>
  <c r="P305" i="67"/>
  <c r="R305" i="67"/>
  <c r="S305" i="67"/>
  <c r="U305" i="67"/>
  <c r="V305" i="67"/>
  <c r="W305" i="67"/>
  <c r="X305" i="67"/>
  <c r="Z305" i="67"/>
  <c r="AA305" i="67"/>
  <c r="AB305" i="67"/>
  <c r="AC305" i="67"/>
  <c r="AD305" i="67"/>
  <c r="AE305" i="67"/>
  <c r="AF305" i="67"/>
  <c r="AG305" i="67"/>
  <c r="AH305" i="67"/>
  <c r="AI305" i="67"/>
  <c r="AJ305" i="67"/>
  <c r="AK305" i="67"/>
  <c r="AL305" i="67"/>
  <c r="AM305" i="67"/>
  <c r="AN305" i="67"/>
  <c r="AO305" i="67"/>
  <c r="AP305" i="67"/>
  <c r="AQ305" i="67"/>
  <c r="AR305" i="67"/>
  <c r="AS305" i="67"/>
  <c r="AT305" i="67"/>
  <c r="AU305" i="67"/>
  <c r="AW305" i="67"/>
  <c r="AX305" i="67"/>
  <c r="AY305" i="67"/>
  <c r="BA305" i="67"/>
  <c r="A306" i="67"/>
  <c r="B306" i="67"/>
  <c r="D306" i="67"/>
  <c r="E306" i="67"/>
  <c r="F306" i="67"/>
  <c r="G306" i="67"/>
  <c r="H306" i="67"/>
  <c r="J306" i="67"/>
  <c r="K306" i="67"/>
  <c r="L306" i="67"/>
  <c r="M306" i="67"/>
  <c r="O306" i="67"/>
  <c r="P306" i="67"/>
  <c r="R306" i="67"/>
  <c r="S306" i="67"/>
  <c r="U306" i="67"/>
  <c r="V306" i="67"/>
  <c r="W306" i="67"/>
  <c r="X306" i="67"/>
  <c r="Z306" i="67"/>
  <c r="AA306" i="67"/>
  <c r="AB306" i="67"/>
  <c r="AC306" i="67"/>
  <c r="AD306" i="67"/>
  <c r="AE306" i="67"/>
  <c r="AF306" i="67"/>
  <c r="AG306" i="67"/>
  <c r="AH306" i="67"/>
  <c r="AI306" i="67"/>
  <c r="AJ306" i="67"/>
  <c r="AK306" i="67"/>
  <c r="AL306" i="67"/>
  <c r="AM306" i="67"/>
  <c r="AN306" i="67"/>
  <c r="AO306" i="67"/>
  <c r="AP306" i="67"/>
  <c r="AQ306" i="67"/>
  <c r="AR306" i="67"/>
  <c r="AS306" i="67"/>
  <c r="AT306" i="67"/>
  <c r="AU306" i="67"/>
  <c r="AW306" i="67"/>
  <c r="AX306" i="67"/>
  <c r="AY306" i="67"/>
  <c r="BA306" i="67"/>
  <c r="A307" i="67"/>
  <c r="B307" i="67"/>
  <c r="D307" i="67"/>
  <c r="E307" i="67"/>
  <c r="F307" i="67"/>
  <c r="G307" i="67"/>
  <c r="H307" i="67"/>
  <c r="J307" i="67"/>
  <c r="K307" i="67"/>
  <c r="L307" i="67"/>
  <c r="M307" i="67"/>
  <c r="O307" i="67"/>
  <c r="P307" i="67"/>
  <c r="R307" i="67"/>
  <c r="S307" i="67"/>
  <c r="U307" i="67"/>
  <c r="V307" i="67"/>
  <c r="W307" i="67"/>
  <c r="X307" i="67"/>
  <c r="Z307" i="67"/>
  <c r="AA307" i="67"/>
  <c r="AB307" i="67"/>
  <c r="AC307" i="67"/>
  <c r="AD307" i="67"/>
  <c r="AE307" i="67"/>
  <c r="AF307" i="67"/>
  <c r="AG307" i="67"/>
  <c r="AH307" i="67"/>
  <c r="AI307" i="67"/>
  <c r="AJ307" i="67"/>
  <c r="AK307" i="67"/>
  <c r="AL307" i="67"/>
  <c r="AM307" i="67"/>
  <c r="AN307" i="67"/>
  <c r="AO307" i="67"/>
  <c r="AP307" i="67"/>
  <c r="AQ307" i="67"/>
  <c r="AR307" i="67"/>
  <c r="AS307" i="67"/>
  <c r="AT307" i="67"/>
  <c r="AU307" i="67"/>
  <c r="AW307" i="67"/>
  <c r="AX307" i="67"/>
  <c r="AY307" i="67"/>
  <c r="BA307" i="67"/>
  <c r="A308" i="67"/>
  <c r="B308" i="67"/>
  <c r="D308" i="67"/>
  <c r="E308" i="67"/>
  <c r="F308" i="67"/>
  <c r="G308" i="67"/>
  <c r="H308" i="67"/>
  <c r="J308" i="67"/>
  <c r="K308" i="67"/>
  <c r="L308" i="67"/>
  <c r="M308" i="67"/>
  <c r="O308" i="67"/>
  <c r="P308" i="67"/>
  <c r="R308" i="67"/>
  <c r="S308" i="67"/>
  <c r="U308" i="67"/>
  <c r="V308" i="67"/>
  <c r="W308" i="67"/>
  <c r="X308" i="67"/>
  <c r="Z308" i="67"/>
  <c r="AA308" i="67"/>
  <c r="AB308" i="67"/>
  <c r="AC308" i="67"/>
  <c r="AD308" i="67"/>
  <c r="AE308" i="67"/>
  <c r="AF308" i="67"/>
  <c r="AG308" i="67"/>
  <c r="AH308" i="67"/>
  <c r="AI308" i="67"/>
  <c r="AJ308" i="67"/>
  <c r="AK308" i="67"/>
  <c r="AL308" i="67"/>
  <c r="AM308" i="67"/>
  <c r="AN308" i="67"/>
  <c r="AO308" i="67"/>
  <c r="AP308" i="67"/>
  <c r="AQ308" i="67"/>
  <c r="AR308" i="67"/>
  <c r="AS308" i="67"/>
  <c r="AT308" i="67"/>
  <c r="AU308" i="67"/>
  <c r="AW308" i="67"/>
  <c r="AX308" i="67"/>
  <c r="AY308" i="67"/>
  <c r="BA308" i="67"/>
  <c r="A309" i="67"/>
  <c r="B309" i="67"/>
  <c r="D309" i="67"/>
  <c r="E309" i="67"/>
  <c r="F309" i="67"/>
  <c r="G309" i="67"/>
  <c r="H309" i="67"/>
  <c r="J309" i="67"/>
  <c r="K309" i="67"/>
  <c r="L309" i="67"/>
  <c r="M309" i="67"/>
  <c r="O309" i="67"/>
  <c r="P309" i="67"/>
  <c r="R309" i="67"/>
  <c r="S309" i="67"/>
  <c r="U309" i="67"/>
  <c r="V309" i="67"/>
  <c r="W309" i="67"/>
  <c r="X309" i="67"/>
  <c r="Z309" i="67"/>
  <c r="AA309" i="67"/>
  <c r="AB309" i="67"/>
  <c r="AC309" i="67"/>
  <c r="AD309" i="67"/>
  <c r="AE309" i="67"/>
  <c r="AF309" i="67"/>
  <c r="AG309" i="67"/>
  <c r="AH309" i="67"/>
  <c r="AI309" i="67"/>
  <c r="AJ309" i="67"/>
  <c r="AK309" i="67"/>
  <c r="AL309" i="67"/>
  <c r="AM309" i="67"/>
  <c r="AN309" i="67"/>
  <c r="AO309" i="67"/>
  <c r="AP309" i="67"/>
  <c r="AQ309" i="67"/>
  <c r="AR309" i="67"/>
  <c r="AS309" i="67"/>
  <c r="AT309" i="67"/>
  <c r="AU309" i="67"/>
  <c r="AW309" i="67"/>
  <c r="AX309" i="67"/>
  <c r="AY309" i="67"/>
  <c r="BA309" i="67"/>
  <c r="A310" i="67"/>
  <c r="B310" i="67"/>
  <c r="D310" i="67"/>
  <c r="E310" i="67"/>
  <c r="F310" i="67"/>
  <c r="G310" i="67"/>
  <c r="H310" i="67"/>
  <c r="J310" i="67"/>
  <c r="K310" i="67"/>
  <c r="L310" i="67"/>
  <c r="M310" i="67"/>
  <c r="O310" i="67"/>
  <c r="P310" i="67"/>
  <c r="R310" i="67"/>
  <c r="S310" i="67"/>
  <c r="U310" i="67"/>
  <c r="V310" i="67"/>
  <c r="W310" i="67"/>
  <c r="X310" i="67"/>
  <c r="Z310" i="67"/>
  <c r="AA310" i="67"/>
  <c r="AB310" i="67"/>
  <c r="AC310" i="67"/>
  <c r="AD310" i="67"/>
  <c r="AE310" i="67"/>
  <c r="AF310" i="67"/>
  <c r="AG310" i="67"/>
  <c r="AH310" i="67"/>
  <c r="AI310" i="67"/>
  <c r="AJ310" i="67"/>
  <c r="AK310" i="67"/>
  <c r="AL310" i="67"/>
  <c r="AM310" i="67"/>
  <c r="AN310" i="67"/>
  <c r="AO310" i="67"/>
  <c r="AP310" i="67"/>
  <c r="AQ310" i="67"/>
  <c r="AR310" i="67"/>
  <c r="AS310" i="67"/>
  <c r="AT310" i="67"/>
  <c r="AU310" i="67"/>
  <c r="AW310" i="67"/>
  <c r="AX310" i="67"/>
  <c r="AY310" i="67"/>
  <c r="BA310" i="67"/>
  <c r="A311" i="67"/>
  <c r="B311" i="67"/>
  <c r="D311" i="67"/>
  <c r="E311" i="67"/>
  <c r="F311" i="67"/>
  <c r="G311" i="67"/>
  <c r="H311" i="67"/>
  <c r="J311" i="67"/>
  <c r="K311" i="67"/>
  <c r="L311" i="67"/>
  <c r="M311" i="67"/>
  <c r="O311" i="67"/>
  <c r="P311" i="67"/>
  <c r="R311" i="67"/>
  <c r="S311" i="67"/>
  <c r="U311" i="67"/>
  <c r="V311" i="67"/>
  <c r="W311" i="67"/>
  <c r="X311" i="67"/>
  <c r="Z311" i="67"/>
  <c r="AA311" i="67"/>
  <c r="AB311" i="67"/>
  <c r="AC311" i="67"/>
  <c r="AD311" i="67"/>
  <c r="AE311" i="67"/>
  <c r="AF311" i="67"/>
  <c r="AG311" i="67"/>
  <c r="AH311" i="67"/>
  <c r="AI311" i="67"/>
  <c r="AJ311" i="67"/>
  <c r="AK311" i="67"/>
  <c r="AL311" i="67"/>
  <c r="AM311" i="67"/>
  <c r="AN311" i="67"/>
  <c r="AO311" i="67"/>
  <c r="AP311" i="67"/>
  <c r="AQ311" i="67"/>
  <c r="AR311" i="67"/>
  <c r="AS311" i="67"/>
  <c r="AT311" i="67"/>
  <c r="AU311" i="67"/>
  <c r="AW311" i="67"/>
  <c r="AX311" i="67"/>
  <c r="AY311" i="67"/>
  <c r="BA311" i="67"/>
  <c r="A312" i="67"/>
  <c r="B312" i="67"/>
  <c r="D312" i="67"/>
  <c r="E312" i="67"/>
  <c r="F312" i="67"/>
  <c r="G312" i="67"/>
  <c r="H312" i="67"/>
  <c r="J312" i="67"/>
  <c r="K312" i="67"/>
  <c r="L312" i="67"/>
  <c r="M312" i="67"/>
  <c r="O312" i="67"/>
  <c r="P312" i="67"/>
  <c r="R312" i="67"/>
  <c r="S312" i="67"/>
  <c r="U312" i="67"/>
  <c r="V312" i="67"/>
  <c r="W312" i="67"/>
  <c r="X312" i="67"/>
  <c r="Z312" i="67"/>
  <c r="AA312" i="67"/>
  <c r="AB312" i="67"/>
  <c r="AC312" i="67"/>
  <c r="AD312" i="67"/>
  <c r="AE312" i="67"/>
  <c r="AF312" i="67"/>
  <c r="AG312" i="67"/>
  <c r="AH312" i="67"/>
  <c r="AI312" i="67"/>
  <c r="AJ312" i="67"/>
  <c r="AK312" i="67"/>
  <c r="AL312" i="67"/>
  <c r="AM312" i="67"/>
  <c r="AN312" i="67"/>
  <c r="AO312" i="67"/>
  <c r="AP312" i="67"/>
  <c r="AQ312" i="67"/>
  <c r="AR312" i="67"/>
  <c r="AS312" i="67"/>
  <c r="AT312" i="67"/>
  <c r="AU312" i="67"/>
  <c r="AW312" i="67"/>
  <c r="AX312" i="67"/>
  <c r="AY312" i="67"/>
  <c r="BA312" i="67"/>
  <c r="A313" i="67"/>
  <c r="B313" i="67"/>
  <c r="D313" i="67"/>
  <c r="E313" i="67"/>
  <c r="F313" i="67"/>
  <c r="G313" i="67"/>
  <c r="H313" i="67"/>
  <c r="J313" i="67"/>
  <c r="K313" i="67"/>
  <c r="L313" i="67"/>
  <c r="M313" i="67"/>
  <c r="O313" i="67"/>
  <c r="P313" i="67"/>
  <c r="R313" i="67"/>
  <c r="S313" i="67"/>
  <c r="U313" i="67"/>
  <c r="V313" i="67"/>
  <c r="W313" i="67"/>
  <c r="X313" i="67"/>
  <c r="Z313" i="67"/>
  <c r="AA313" i="67"/>
  <c r="AB313" i="67"/>
  <c r="AC313" i="67"/>
  <c r="AD313" i="67"/>
  <c r="AE313" i="67"/>
  <c r="AF313" i="67"/>
  <c r="AG313" i="67"/>
  <c r="AH313" i="67"/>
  <c r="AI313" i="67"/>
  <c r="AJ313" i="67"/>
  <c r="AK313" i="67"/>
  <c r="AL313" i="67"/>
  <c r="AM313" i="67"/>
  <c r="AN313" i="67"/>
  <c r="AO313" i="67"/>
  <c r="AP313" i="67"/>
  <c r="AQ313" i="67"/>
  <c r="AR313" i="67"/>
  <c r="AS313" i="67"/>
  <c r="AT313" i="67"/>
  <c r="AU313" i="67"/>
  <c r="AW313" i="67"/>
  <c r="AX313" i="67"/>
  <c r="AY313" i="67"/>
  <c r="BA313" i="67"/>
  <c r="A314" i="67"/>
  <c r="B314" i="67"/>
  <c r="D314" i="67"/>
  <c r="E314" i="67"/>
  <c r="F314" i="67"/>
  <c r="G314" i="67"/>
  <c r="H314" i="67"/>
  <c r="J314" i="67"/>
  <c r="K314" i="67"/>
  <c r="L314" i="67"/>
  <c r="M314" i="67"/>
  <c r="O314" i="67"/>
  <c r="P314" i="67"/>
  <c r="R314" i="67"/>
  <c r="S314" i="67"/>
  <c r="U314" i="67"/>
  <c r="V314" i="67"/>
  <c r="W314" i="67"/>
  <c r="X314" i="67"/>
  <c r="Z314" i="67"/>
  <c r="AA314" i="67"/>
  <c r="AB314" i="67"/>
  <c r="AC314" i="67"/>
  <c r="AD314" i="67"/>
  <c r="AE314" i="67"/>
  <c r="AF314" i="67"/>
  <c r="AG314" i="67"/>
  <c r="AH314" i="67"/>
  <c r="AI314" i="67"/>
  <c r="AJ314" i="67"/>
  <c r="AK314" i="67"/>
  <c r="AL314" i="67"/>
  <c r="AM314" i="67"/>
  <c r="AN314" i="67"/>
  <c r="AO314" i="67"/>
  <c r="AP314" i="67"/>
  <c r="AQ314" i="67"/>
  <c r="AR314" i="67"/>
  <c r="AS314" i="67"/>
  <c r="AT314" i="67"/>
  <c r="AU314" i="67"/>
  <c r="AW314" i="67"/>
  <c r="AX314" i="67"/>
  <c r="AY314" i="67"/>
  <c r="BA314" i="67"/>
  <c r="A315" i="67"/>
  <c r="B315" i="67"/>
  <c r="D315" i="67"/>
  <c r="E315" i="67"/>
  <c r="F315" i="67"/>
  <c r="G315" i="67"/>
  <c r="H315" i="67"/>
  <c r="J315" i="67"/>
  <c r="K315" i="67"/>
  <c r="L315" i="67"/>
  <c r="M315" i="67"/>
  <c r="O315" i="67"/>
  <c r="P315" i="67"/>
  <c r="R315" i="67"/>
  <c r="S315" i="67"/>
  <c r="U315" i="67"/>
  <c r="V315" i="67"/>
  <c r="W315" i="67"/>
  <c r="X315" i="67"/>
  <c r="Z315" i="67"/>
  <c r="AA315" i="67"/>
  <c r="AB315" i="67"/>
  <c r="AC315" i="67"/>
  <c r="AD315" i="67"/>
  <c r="AE315" i="67"/>
  <c r="AF315" i="67"/>
  <c r="AG315" i="67"/>
  <c r="AH315" i="67"/>
  <c r="AI315" i="67"/>
  <c r="AJ315" i="67"/>
  <c r="AK315" i="67"/>
  <c r="AL315" i="67"/>
  <c r="AM315" i="67"/>
  <c r="AN315" i="67"/>
  <c r="AO315" i="67"/>
  <c r="AP315" i="67"/>
  <c r="AQ315" i="67"/>
  <c r="AR315" i="67"/>
  <c r="AS315" i="67"/>
  <c r="AT315" i="67"/>
  <c r="AU315" i="67"/>
  <c r="AW315" i="67"/>
  <c r="AX315" i="67"/>
  <c r="AY315" i="67"/>
  <c r="BA315" i="67"/>
  <c r="A316" i="67"/>
  <c r="B316" i="67"/>
  <c r="D316" i="67"/>
  <c r="E316" i="67"/>
  <c r="F316" i="67"/>
  <c r="G316" i="67"/>
  <c r="H316" i="67"/>
  <c r="J316" i="67"/>
  <c r="K316" i="67"/>
  <c r="L316" i="67"/>
  <c r="M316" i="67"/>
  <c r="O316" i="67"/>
  <c r="P316" i="67"/>
  <c r="R316" i="67"/>
  <c r="S316" i="67"/>
  <c r="U316" i="67"/>
  <c r="V316" i="67"/>
  <c r="W316" i="67"/>
  <c r="X316" i="67"/>
  <c r="Z316" i="67"/>
  <c r="AA316" i="67"/>
  <c r="AB316" i="67"/>
  <c r="AC316" i="67"/>
  <c r="AD316" i="67"/>
  <c r="AE316" i="67"/>
  <c r="AF316" i="67"/>
  <c r="AG316" i="67"/>
  <c r="AH316" i="67"/>
  <c r="AI316" i="67"/>
  <c r="AJ316" i="67"/>
  <c r="AK316" i="67"/>
  <c r="AL316" i="67"/>
  <c r="AM316" i="67"/>
  <c r="AN316" i="67"/>
  <c r="AO316" i="67"/>
  <c r="AP316" i="67"/>
  <c r="AQ316" i="67"/>
  <c r="AR316" i="67"/>
  <c r="AS316" i="67"/>
  <c r="AT316" i="67"/>
  <c r="AU316" i="67"/>
  <c r="AW316" i="67"/>
  <c r="AX316" i="67"/>
  <c r="AY316" i="67"/>
  <c r="BA316" i="67"/>
  <c r="A317" i="67"/>
  <c r="B317" i="67"/>
  <c r="D317" i="67"/>
  <c r="E317" i="67"/>
  <c r="F317" i="67"/>
  <c r="G317" i="67"/>
  <c r="H317" i="67"/>
  <c r="J317" i="67"/>
  <c r="K317" i="67"/>
  <c r="L317" i="67"/>
  <c r="M317" i="67"/>
  <c r="O317" i="67"/>
  <c r="P317" i="67"/>
  <c r="R317" i="67"/>
  <c r="S317" i="67"/>
  <c r="U317" i="67"/>
  <c r="V317" i="67"/>
  <c r="W317" i="67"/>
  <c r="X317" i="67"/>
  <c r="Z317" i="67"/>
  <c r="AA317" i="67"/>
  <c r="AB317" i="67"/>
  <c r="AC317" i="67"/>
  <c r="AD317" i="67"/>
  <c r="AE317" i="67"/>
  <c r="AF317" i="67"/>
  <c r="AG317" i="67"/>
  <c r="AH317" i="67"/>
  <c r="AI317" i="67"/>
  <c r="AJ317" i="67"/>
  <c r="AK317" i="67"/>
  <c r="AL317" i="67"/>
  <c r="AM317" i="67"/>
  <c r="AN317" i="67"/>
  <c r="AO317" i="67"/>
  <c r="AP317" i="67"/>
  <c r="AQ317" i="67"/>
  <c r="AR317" i="67"/>
  <c r="AS317" i="67"/>
  <c r="AT317" i="67"/>
  <c r="AU317" i="67"/>
  <c r="AW317" i="67"/>
  <c r="AX317" i="67"/>
  <c r="AY317" i="67"/>
  <c r="BA317" i="67"/>
  <c r="A318" i="67"/>
  <c r="B318" i="67"/>
  <c r="D318" i="67"/>
  <c r="E318" i="67"/>
  <c r="F318" i="67"/>
  <c r="G318" i="67"/>
  <c r="H318" i="67"/>
  <c r="J318" i="67"/>
  <c r="K318" i="67"/>
  <c r="L318" i="67"/>
  <c r="M318" i="67"/>
  <c r="O318" i="67"/>
  <c r="P318" i="67"/>
  <c r="R318" i="67"/>
  <c r="S318" i="67"/>
  <c r="U318" i="67"/>
  <c r="V318" i="67"/>
  <c r="W318" i="67"/>
  <c r="X318" i="67"/>
  <c r="Z318" i="67"/>
  <c r="AA318" i="67"/>
  <c r="AB318" i="67"/>
  <c r="AC318" i="67"/>
  <c r="AD318" i="67"/>
  <c r="AE318" i="67"/>
  <c r="AF318" i="67"/>
  <c r="AG318" i="67"/>
  <c r="AH318" i="67"/>
  <c r="AI318" i="67"/>
  <c r="AJ318" i="67"/>
  <c r="AK318" i="67"/>
  <c r="AL318" i="67"/>
  <c r="AM318" i="67"/>
  <c r="AN318" i="67"/>
  <c r="AO318" i="67"/>
  <c r="AP318" i="67"/>
  <c r="AQ318" i="67"/>
  <c r="AR318" i="67"/>
  <c r="AS318" i="67"/>
  <c r="AT318" i="67"/>
  <c r="AU318" i="67"/>
  <c r="AW318" i="67"/>
  <c r="AX318" i="67"/>
  <c r="AY318" i="67"/>
  <c r="BA318" i="67"/>
  <c r="A319" i="67"/>
  <c r="B319" i="67"/>
  <c r="D319" i="67"/>
  <c r="E319" i="67"/>
  <c r="F319" i="67"/>
  <c r="G319" i="67"/>
  <c r="H319" i="67"/>
  <c r="J319" i="67"/>
  <c r="K319" i="67"/>
  <c r="L319" i="67"/>
  <c r="M319" i="67"/>
  <c r="O319" i="67"/>
  <c r="P319" i="67"/>
  <c r="R319" i="67"/>
  <c r="S319" i="67"/>
  <c r="U319" i="67"/>
  <c r="V319" i="67"/>
  <c r="W319" i="67"/>
  <c r="X319" i="67"/>
  <c r="Z319" i="67"/>
  <c r="AA319" i="67"/>
  <c r="AB319" i="67"/>
  <c r="AC319" i="67"/>
  <c r="AD319" i="67"/>
  <c r="AE319" i="67"/>
  <c r="AF319" i="67"/>
  <c r="AG319" i="67"/>
  <c r="AH319" i="67"/>
  <c r="AI319" i="67"/>
  <c r="AJ319" i="67"/>
  <c r="AK319" i="67"/>
  <c r="AL319" i="67"/>
  <c r="AM319" i="67"/>
  <c r="AN319" i="67"/>
  <c r="AO319" i="67"/>
  <c r="AP319" i="67"/>
  <c r="AQ319" i="67"/>
  <c r="AR319" i="67"/>
  <c r="AS319" i="67"/>
  <c r="AT319" i="67"/>
  <c r="AU319" i="67"/>
  <c r="AW319" i="67"/>
  <c r="AX319" i="67"/>
  <c r="AY319" i="67"/>
  <c r="BA319" i="67"/>
  <c r="A320" i="67"/>
  <c r="B320" i="67"/>
  <c r="D320" i="67"/>
  <c r="E320" i="67"/>
  <c r="F320" i="67"/>
  <c r="G320" i="67"/>
  <c r="H320" i="67"/>
  <c r="J320" i="67"/>
  <c r="K320" i="67"/>
  <c r="L320" i="67"/>
  <c r="M320" i="67"/>
  <c r="O320" i="67"/>
  <c r="P320" i="67"/>
  <c r="R320" i="67"/>
  <c r="S320" i="67"/>
  <c r="U320" i="67"/>
  <c r="V320" i="67"/>
  <c r="W320" i="67"/>
  <c r="X320" i="67"/>
  <c r="Z320" i="67"/>
  <c r="AA320" i="67"/>
  <c r="AB320" i="67"/>
  <c r="AC320" i="67"/>
  <c r="AD320" i="67"/>
  <c r="AE320" i="67"/>
  <c r="AF320" i="67"/>
  <c r="AG320" i="67"/>
  <c r="AH320" i="67"/>
  <c r="AI320" i="67"/>
  <c r="AJ320" i="67"/>
  <c r="AK320" i="67"/>
  <c r="AL320" i="67"/>
  <c r="AM320" i="67"/>
  <c r="AN320" i="67"/>
  <c r="AO320" i="67"/>
  <c r="AP320" i="67"/>
  <c r="AQ320" i="67"/>
  <c r="AR320" i="67"/>
  <c r="AS320" i="67"/>
  <c r="AT320" i="67"/>
  <c r="AU320" i="67"/>
  <c r="AW320" i="67"/>
  <c r="AX320" i="67"/>
  <c r="AY320" i="67"/>
  <c r="BA320" i="67"/>
  <c r="A321" i="67"/>
  <c r="B321" i="67"/>
  <c r="D321" i="67"/>
  <c r="E321" i="67"/>
  <c r="F321" i="67"/>
  <c r="G321" i="67"/>
  <c r="H321" i="67"/>
  <c r="J321" i="67"/>
  <c r="K321" i="67"/>
  <c r="L321" i="67"/>
  <c r="M321" i="67"/>
  <c r="O321" i="67"/>
  <c r="P321" i="67"/>
  <c r="R321" i="67"/>
  <c r="S321" i="67"/>
  <c r="U321" i="67"/>
  <c r="V321" i="67"/>
  <c r="W321" i="67"/>
  <c r="X321" i="67"/>
  <c r="Z321" i="67"/>
  <c r="AA321" i="67"/>
  <c r="AB321" i="67"/>
  <c r="AC321" i="67"/>
  <c r="AD321" i="67"/>
  <c r="AE321" i="67"/>
  <c r="AF321" i="67"/>
  <c r="AG321" i="67"/>
  <c r="AH321" i="67"/>
  <c r="AI321" i="67"/>
  <c r="AJ321" i="67"/>
  <c r="AK321" i="67"/>
  <c r="AL321" i="67"/>
  <c r="AM321" i="67"/>
  <c r="AN321" i="67"/>
  <c r="AO321" i="67"/>
  <c r="AP321" i="67"/>
  <c r="AQ321" i="67"/>
  <c r="AR321" i="67"/>
  <c r="AS321" i="67"/>
  <c r="AT321" i="67"/>
  <c r="AU321" i="67"/>
  <c r="AW321" i="67"/>
  <c r="AX321" i="67"/>
  <c r="AY321" i="67"/>
  <c r="BA321" i="67"/>
  <c r="A322" i="67"/>
  <c r="B322" i="67"/>
  <c r="D322" i="67"/>
  <c r="E322" i="67"/>
  <c r="F322" i="67"/>
  <c r="G322" i="67"/>
  <c r="H322" i="67"/>
  <c r="J322" i="67"/>
  <c r="K322" i="67"/>
  <c r="L322" i="67"/>
  <c r="M322" i="67"/>
  <c r="O322" i="67"/>
  <c r="P322" i="67"/>
  <c r="R322" i="67"/>
  <c r="S322" i="67"/>
  <c r="U322" i="67"/>
  <c r="V322" i="67"/>
  <c r="W322" i="67"/>
  <c r="X322" i="67"/>
  <c r="Z322" i="67"/>
  <c r="AA322" i="67"/>
  <c r="AB322" i="67"/>
  <c r="AC322" i="67"/>
  <c r="AD322" i="67"/>
  <c r="AE322" i="67"/>
  <c r="AF322" i="67"/>
  <c r="AG322" i="67"/>
  <c r="AH322" i="67"/>
  <c r="AI322" i="67"/>
  <c r="AJ322" i="67"/>
  <c r="AK322" i="67"/>
  <c r="AL322" i="67"/>
  <c r="AM322" i="67"/>
  <c r="AN322" i="67"/>
  <c r="AO322" i="67"/>
  <c r="AP322" i="67"/>
  <c r="AQ322" i="67"/>
  <c r="AR322" i="67"/>
  <c r="AS322" i="67"/>
  <c r="AT322" i="67"/>
  <c r="AU322" i="67"/>
  <c r="AW322" i="67"/>
  <c r="AX322" i="67"/>
  <c r="AY322" i="67"/>
  <c r="BA322" i="67"/>
  <c r="A323" i="67"/>
  <c r="B323" i="67"/>
  <c r="D323" i="67"/>
  <c r="E323" i="67"/>
  <c r="F323" i="67"/>
  <c r="G323" i="67"/>
  <c r="H323" i="67"/>
  <c r="J323" i="67"/>
  <c r="K323" i="67"/>
  <c r="L323" i="67"/>
  <c r="M323" i="67"/>
  <c r="O323" i="67"/>
  <c r="P323" i="67"/>
  <c r="R323" i="67"/>
  <c r="S323" i="67"/>
  <c r="U323" i="67"/>
  <c r="V323" i="67"/>
  <c r="W323" i="67"/>
  <c r="X323" i="67"/>
  <c r="Z323" i="67"/>
  <c r="AA323" i="67"/>
  <c r="AB323" i="67"/>
  <c r="AC323" i="67"/>
  <c r="AD323" i="67"/>
  <c r="AE323" i="67"/>
  <c r="AF323" i="67"/>
  <c r="AG323" i="67"/>
  <c r="AH323" i="67"/>
  <c r="AI323" i="67"/>
  <c r="AJ323" i="67"/>
  <c r="AK323" i="67"/>
  <c r="AL323" i="67"/>
  <c r="AM323" i="67"/>
  <c r="AN323" i="67"/>
  <c r="AO323" i="67"/>
  <c r="AP323" i="67"/>
  <c r="AQ323" i="67"/>
  <c r="AR323" i="67"/>
  <c r="AS323" i="67"/>
  <c r="AT323" i="67"/>
  <c r="AU323" i="67"/>
  <c r="AW323" i="67"/>
  <c r="AX323" i="67"/>
  <c r="AY323" i="67"/>
  <c r="BA323" i="67"/>
  <c r="A324" i="67"/>
  <c r="B324" i="67"/>
  <c r="D324" i="67"/>
  <c r="E324" i="67"/>
  <c r="F324" i="67"/>
  <c r="G324" i="67"/>
  <c r="H324" i="67"/>
  <c r="J324" i="67"/>
  <c r="K324" i="67"/>
  <c r="L324" i="67"/>
  <c r="M324" i="67"/>
  <c r="O324" i="67"/>
  <c r="P324" i="67"/>
  <c r="R324" i="67"/>
  <c r="S324" i="67"/>
  <c r="U324" i="67"/>
  <c r="V324" i="67"/>
  <c r="W324" i="67"/>
  <c r="X324" i="67"/>
  <c r="Z324" i="67"/>
  <c r="AA324" i="67"/>
  <c r="AB324" i="67"/>
  <c r="AC324" i="67"/>
  <c r="AD324" i="67"/>
  <c r="AE324" i="67"/>
  <c r="AF324" i="67"/>
  <c r="AG324" i="67"/>
  <c r="AH324" i="67"/>
  <c r="AI324" i="67"/>
  <c r="AJ324" i="67"/>
  <c r="AK324" i="67"/>
  <c r="AL324" i="67"/>
  <c r="AM324" i="67"/>
  <c r="AN324" i="67"/>
  <c r="AO324" i="67"/>
  <c r="AP324" i="67"/>
  <c r="AQ324" i="67"/>
  <c r="AR324" i="67"/>
  <c r="AS324" i="67"/>
  <c r="AT324" i="67"/>
  <c r="AU324" i="67"/>
  <c r="AW324" i="67"/>
  <c r="AX324" i="67"/>
  <c r="AY324" i="67"/>
  <c r="BA324" i="67"/>
  <c r="A325" i="67"/>
  <c r="B325" i="67"/>
  <c r="D325" i="67"/>
  <c r="E325" i="67"/>
  <c r="F325" i="67"/>
  <c r="G325" i="67"/>
  <c r="H325" i="67"/>
  <c r="J325" i="67"/>
  <c r="K325" i="67"/>
  <c r="L325" i="67"/>
  <c r="M325" i="67"/>
  <c r="O325" i="67"/>
  <c r="P325" i="67"/>
  <c r="R325" i="67"/>
  <c r="S325" i="67"/>
  <c r="U325" i="67"/>
  <c r="V325" i="67"/>
  <c r="W325" i="67"/>
  <c r="X325" i="67"/>
  <c r="Z325" i="67"/>
  <c r="AA325" i="67"/>
  <c r="AB325" i="67"/>
  <c r="AC325" i="67"/>
  <c r="AD325" i="67"/>
  <c r="AE325" i="67"/>
  <c r="AF325" i="67"/>
  <c r="AG325" i="67"/>
  <c r="AH325" i="67"/>
  <c r="AI325" i="67"/>
  <c r="AJ325" i="67"/>
  <c r="AK325" i="67"/>
  <c r="AL325" i="67"/>
  <c r="AM325" i="67"/>
  <c r="AN325" i="67"/>
  <c r="AO325" i="67"/>
  <c r="AP325" i="67"/>
  <c r="AQ325" i="67"/>
  <c r="AR325" i="67"/>
  <c r="AS325" i="67"/>
  <c r="AT325" i="67"/>
  <c r="AU325" i="67"/>
  <c r="AW325" i="67"/>
  <c r="AX325" i="67"/>
  <c r="AY325" i="67"/>
  <c r="BA325" i="67"/>
  <c r="A326" i="67"/>
  <c r="B326" i="67"/>
  <c r="D326" i="67"/>
  <c r="E326" i="67"/>
  <c r="F326" i="67"/>
  <c r="G326" i="67"/>
  <c r="H326" i="67"/>
  <c r="J326" i="67"/>
  <c r="K326" i="67"/>
  <c r="L326" i="67"/>
  <c r="M326" i="67"/>
  <c r="O326" i="67"/>
  <c r="P326" i="67"/>
  <c r="R326" i="67"/>
  <c r="S326" i="67"/>
  <c r="U326" i="67"/>
  <c r="V326" i="67"/>
  <c r="W326" i="67"/>
  <c r="X326" i="67"/>
  <c r="Z326" i="67"/>
  <c r="AA326" i="67"/>
  <c r="AB326" i="67"/>
  <c r="AC326" i="67"/>
  <c r="AD326" i="67"/>
  <c r="AE326" i="67"/>
  <c r="AF326" i="67"/>
  <c r="AG326" i="67"/>
  <c r="AH326" i="67"/>
  <c r="AI326" i="67"/>
  <c r="AJ326" i="67"/>
  <c r="AK326" i="67"/>
  <c r="AL326" i="67"/>
  <c r="AM326" i="67"/>
  <c r="AN326" i="67"/>
  <c r="AO326" i="67"/>
  <c r="AP326" i="67"/>
  <c r="AQ326" i="67"/>
  <c r="AR326" i="67"/>
  <c r="AS326" i="67"/>
  <c r="AT326" i="67"/>
  <c r="AU326" i="67"/>
  <c r="AW326" i="67"/>
  <c r="AX326" i="67"/>
  <c r="AY326" i="67"/>
  <c r="BA326" i="67"/>
  <c r="A327" i="67"/>
  <c r="B327" i="67"/>
  <c r="D327" i="67"/>
  <c r="E327" i="67"/>
  <c r="F327" i="67"/>
  <c r="G327" i="67"/>
  <c r="H327" i="67"/>
  <c r="J327" i="67"/>
  <c r="K327" i="67"/>
  <c r="L327" i="67"/>
  <c r="M327" i="67"/>
  <c r="O327" i="67"/>
  <c r="P327" i="67"/>
  <c r="R327" i="67"/>
  <c r="S327" i="67"/>
  <c r="U327" i="67"/>
  <c r="V327" i="67"/>
  <c r="W327" i="67"/>
  <c r="X327" i="67"/>
  <c r="Z327" i="67"/>
  <c r="AA327" i="67"/>
  <c r="AB327" i="67"/>
  <c r="AC327" i="67"/>
  <c r="AD327" i="67"/>
  <c r="AE327" i="67"/>
  <c r="AF327" i="67"/>
  <c r="AG327" i="67"/>
  <c r="AH327" i="67"/>
  <c r="AI327" i="67"/>
  <c r="AJ327" i="67"/>
  <c r="AK327" i="67"/>
  <c r="AL327" i="67"/>
  <c r="AM327" i="67"/>
  <c r="AN327" i="67"/>
  <c r="AO327" i="67"/>
  <c r="AP327" i="67"/>
  <c r="AQ327" i="67"/>
  <c r="AR327" i="67"/>
  <c r="AS327" i="67"/>
  <c r="AT327" i="67"/>
  <c r="AU327" i="67"/>
  <c r="AW327" i="67"/>
  <c r="AX327" i="67"/>
  <c r="AY327" i="67"/>
  <c r="BA327" i="67"/>
  <c r="A328" i="67"/>
  <c r="B328" i="67"/>
  <c r="D328" i="67"/>
  <c r="E328" i="67"/>
  <c r="F328" i="67"/>
  <c r="G328" i="67"/>
  <c r="H328" i="67"/>
  <c r="J328" i="67"/>
  <c r="K328" i="67"/>
  <c r="L328" i="67"/>
  <c r="M328" i="67"/>
  <c r="O328" i="67"/>
  <c r="P328" i="67"/>
  <c r="R328" i="67"/>
  <c r="S328" i="67"/>
  <c r="U328" i="67"/>
  <c r="V328" i="67"/>
  <c r="W328" i="67"/>
  <c r="X328" i="67"/>
  <c r="Z328" i="67"/>
  <c r="AA328" i="67"/>
  <c r="AB328" i="67"/>
  <c r="AC328" i="67"/>
  <c r="AD328" i="67"/>
  <c r="AE328" i="67"/>
  <c r="AF328" i="67"/>
  <c r="AG328" i="67"/>
  <c r="AH328" i="67"/>
  <c r="AI328" i="67"/>
  <c r="AJ328" i="67"/>
  <c r="AK328" i="67"/>
  <c r="AL328" i="67"/>
  <c r="AM328" i="67"/>
  <c r="AN328" i="67"/>
  <c r="AO328" i="67"/>
  <c r="AP328" i="67"/>
  <c r="AQ328" i="67"/>
  <c r="AR328" i="67"/>
  <c r="AS328" i="67"/>
  <c r="AT328" i="67"/>
  <c r="AU328" i="67"/>
  <c r="AW328" i="67"/>
  <c r="AX328" i="67"/>
  <c r="AY328" i="67"/>
  <c r="BA328" i="67"/>
  <c r="A329" i="67"/>
  <c r="B329" i="67"/>
  <c r="D329" i="67"/>
  <c r="E329" i="67"/>
  <c r="F329" i="67"/>
  <c r="G329" i="67"/>
  <c r="H329" i="67"/>
  <c r="J329" i="67"/>
  <c r="K329" i="67"/>
  <c r="L329" i="67"/>
  <c r="M329" i="67"/>
  <c r="O329" i="67"/>
  <c r="P329" i="67"/>
  <c r="R329" i="67"/>
  <c r="S329" i="67"/>
  <c r="U329" i="67"/>
  <c r="V329" i="67"/>
  <c r="W329" i="67"/>
  <c r="X329" i="67"/>
  <c r="Z329" i="67"/>
  <c r="AA329" i="67"/>
  <c r="AB329" i="67"/>
  <c r="AC329" i="67"/>
  <c r="AD329" i="67"/>
  <c r="AE329" i="67"/>
  <c r="AF329" i="67"/>
  <c r="AG329" i="67"/>
  <c r="AH329" i="67"/>
  <c r="AI329" i="67"/>
  <c r="AJ329" i="67"/>
  <c r="AK329" i="67"/>
  <c r="AL329" i="67"/>
  <c r="AM329" i="67"/>
  <c r="AN329" i="67"/>
  <c r="AO329" i="67"/>
  <c r="AP329" i="67"/>
  <c r="AQ329" i="67"/>
  <c r="AR329" i="67"/>
  <c r="AS329" i="67"/>
  <c r="AT329" i="67"/>
  <c r="AU329" i="67"/>
  <c r="AW329" i="67"/>
  <c r="AX329" i="67"/>
  <c r="AY329" i="67"/>
  <c r="BA329" i="67"/>
  <c r="A330" i="67"/>
  <c r="B330" i="67"/>
  <c r="D330" i="67"/>
  <c r="E330" i="67"/>
  <c r="F330" i="67"/>
  <c r="G330" i="67"/>
  <c r="H330" i="67"/>
  <c r="J330" i="67"/>
  <c r="K330" i="67"/>
  <c r="L330" i="67"/>
  <c r="M330" i="67"/>
  <c r="O330" i="67"/>
  <c r="P330" i="67"/>
  <c r="R330" i="67"/>
  <c r="S330" i="67"/>
  <c r="U330" i="67"/>
  <c r="V330" i="67"/>
  <c r="W330" i="67"/>
  <c r="X330" i="67"/>
  <c r="Z330" i="67"/>
  <c r="AA330" i="67"/>
  <c r="AB330" i="67"/>
  <c r="AC330" i="67"/>
  <c r="AD330" i="67"/>
  <c r="AE330" i="67"/>
  <c r="AF330" i="67"/>
  <c r="AG330" i="67"/>
  <c r="AH330" i="67"/>
  <c r="AI330" i="67"/>
  <c r="AJ330" i="67"/>
  <c r="AK330" i="67"/>
  <c r="AL330" i="67"/>
  <c r="AM330" i="67"/>
  <c r="AN330" i="67"/>
  <c r="AO330" i="67"/>
  <c r="AP330" i="67"/>
  <c r="AQ330" i="67"/>
  <c r="AR330" i="67"/>
  <c r="AS330" i="67"/>
  <c r="AT330" i="67"/>
  <c r="AU330" i="67"/>
  <c r="AW330" i="67"/>
  <c r="AX330" i="67"/>
  <c r="AY330" i="67"/>
  <c r="BA330" i="67"/>
  <c r="A331" i="67"/>
  <c r="B331" i="67"/>
  <c r="D331" i="67"/>
  <c r="E331" i="67"/>
  <c r="F331" i="67"/>
  <c r="G331" i="67"/>
  <c r="H331" i="67"/>
  <c r="J331" i="67"/>
  <c r="K331" i="67"/>
  <c r="L331" i="67"/>
  <c r="M331" i="67"/>
  <c r="O331" i="67"/>
  <c r="P331" i="67"/>
  <c r="R331" i="67"/>
  <c r="S331" i="67"/>
  <c r="U331" i="67"/>
  <c r="V331" i="67"/>
  <c r="W331" i="67"/>
  <c r="X331" i="67"/>
  <c r="Z331" i="67"/>
  <c r="AA331" i="67"/>
  <c r="AB331" i="67"/>
  <c r="AC331" i="67"/>
  <c r="AD331" i="67"/>
  <c r="AE331" i="67"/>
  <c r="AF331" i="67"/>
  <c r="AG331" i="67"/>
  <c r="AH331" i="67"/>
  <c r="AI331" i="67"/>
  <c r="AJ331" i="67"/>
  <c r="AK331" i="67"/>
  <c r="AL331" i="67"/>
  <c r="AM331" i="67"/>
  <c r="AN331" i="67"/>
  <c r="AO331" i="67"/>
  <c r="AP331" i="67"/>
  <c r="AQ331" i="67"/>
  <c r="AR331" i="67"/>
  <c r="AS331" i="67"/>
  <c r="AT331" i="67"/>
  <c r="AU331" i="67"/>
  <c r="AW331" i="67"/>
  <c r="AX331" i="67"/>
  <c r="AY331" i="67"/>
  <c r="BA331" i="67"/>
  <c r="A332" i="67"/>
  <c r="B332" i="67"/>
  <c r="D332" i="67"/>
  <c r="E332" i="67"/>
  <c r="F332" i="67"/>
  <c r="G332" i="67"/>
  <c r="H332" i="67"/>
  <c r="J332" i="67"/>
  <c r="K332" i="67"/>
  <c r="L332" i="67"/>
  <c r="M332" i="67"/>
  <c r="O332" i="67"/>
  <c r="P332" i="67"/>
  <c r="R332" i="67"/>
  <c r="S332" i="67"/>
  <c r="U332" i="67"/>
  <c r="V332" i="67"/>
  <c r="W332" i="67"/>
  <c r="X332" i="67"/>
  <c r="Z332" i="67"/>
  <c r="AA332" i="67"/>
  <c r="AB332" i="67"/>
  <c r="AC332" i="67"/>
  <c r="AD332" i="67"/>
  <c r="AE332" i="67"/>
  <c r="AF332" i="67"/>
  <c r="AG332" i="67"/>
  <c r="AH332" i="67"/>
  <c r="AI332" i="67"/>
  <c r="AJ332" i="67"/>
  <c r="AK332" i="67"/>
  <c r="AL332" i="67"/>
  <c r="AM332" i="67"/>
  <c r="AN332" i="67"/>
  <c r="AO332" i="67"/>
  <c r="AP332" i="67"/>
  <c r="AQ332" i="67"/>
  <c r="AR332" i="67"/>
  <c r="AS332" i="67"/>
  <c r="AT332" i="67"/>
  <c r="AU332" i="67"/>
  <c r="AW332" i="67"/>
  <c r="AX332" i="67"/>
  <c r="AY332" i="67"/>
  <c r="BA332" i="67"/>
  <c r="A333" i="67"/>
  <c r="B333" i="67"/>
  <c r="D333" i="67"/>
  <c r="E333" i="67"/>
  <c r="F333" i="67"/>
  <c r="G333" i="67"/>
  <c r="H333" i="67"/>
  <c r="J333" i="67"/>
  <c r="K333" i="67"/>
  <c r="L333" i="67"/>
  <c r="M333" i="67"/>
  <c r="O333" i="67"/>
  <c r="P333" i="67"/>
  <c r="R333" i="67"/>
  <c r="S333" i="67"/>
  <c r="U333" i="67"/>
  <c r="V333" i="67"/>
  <c r="W333" i="67"/>
  <c r="X333" i="67"/>
  <c r="Z333" i="67"/>
  <c r="AA333" i="67"/>
  <c r="AB333" i="67"/>
  <c r="AC333" i="67"/>
  <c r="AD333" i="67"/>
  <c r="AE333" i="67"/>
  <c r="AF333" i="67"/>
  <c r="AG333" i="67"/>
  <c r="AH333" i="67"/>
  <c r="AI333" i="67"/>
  <c r="AJ333" i="67"/>
  <c r="AK333" i="67"/>
  <c r="AL333" i="67"/>
  <c r="AM333" i="67"/>
  <c r="AN333" i="67"/>
  <c r="AO333" i="67"/>
  <c r="AP333" i="67"/>
  <c r="AQ333" i="67"/>
  <c r="AR333" i="67"/>
  <c r="AS333" i="67"/>
  <c r="AT333" i="67"/>
  <c r="AU333" i="67"/>
  <c r="AW333" i="67"/>
  <c r="AX333" i="67"/>
  <c r="AY333" i="67"/>
  <c r="BA333" i="67"/>
  <c r="A334" i="67"/>
  <c r="B334" i="67"/>
  <c r="D334" i="67"/>
  <c r="E334" i="67"/>
  <c r="F334" i="67"/>
  <c r="G334" i="67"/>
  <c r="H334" i="67"/>
  <c r="J334" i="67"/>
  <c r="K334" i="67"/>
  <c r="L334" i="67"/>
  <c r="M334" i="67"/>
  <c r="O334" i="67"/>
  <c r="P334" i="67"/>
  <c r="R334" i="67"/>
  <c r="S334" i="67"/>
  <c r="U334" i="67"/>
  <c r="V334" i="67"/>
  <c r="W334" i="67"/>
  <c r="X334" i="67"/>
  <c r="Z334" i="67"/>
  <c r="AA334" i="67"/>
  <c r="AB334" i="67"/>
  <c r="AC334" i="67"/>
  <c r="AD334" i="67"/>
  <c r="AE334" i="67"/>
  <c r="AF334" i="67"/>
  <c r="AG334" i="67"/>
  <c r="AH334" i="67"/>
  <c r="AI334" i="67"/>
  <c r="AJ334" i="67"/>
  <c r="AK334" i="67"/>
  <c r="AL334" i="67"/>
  <c r="AM334" i="67"/>
  <c r="AN334" i="67"/>
  <c r="AO334" i="67"/>
  <c r="AP334" i="67"/>
  <c r="AQ334" i="67"/>
  <c r="AR334" i="67"/>
  <c r="AS334" i="67"/>
  <c r="AT334" i="67"/>
  <c r="AU334" i="67"/>
  <c r="AW334" i="67"/>
  <c r="AX334" i="67"/>
  <c r="AY334" i="67"/>
  <c r="BA334" i="67"/>
  <c r="A335" i="67"/>
  <c r="B335" i="67"/>
  <c r="D335" i="67"/>
  <c r="E335" i="67"/>
  <c r="F335" i="67"/>
  <c r="G335" i="67"/>
  <c r="H335" i="67"/>
  <c r="J335" i="67"/>
  <c r="K335" i="67"/>
  <c r="L335" i="67"/>
  <c r="M335" i="67"/>
  <c r="O335" i="67"/>
  <c r="P335" i="67"/>
  <c r="R335" i="67"/>
  <c r="S335" i="67"/>
  <c r="U335" i="67"/>
  <c r="V335" i="67"/>
  <c r="W335" i="67"/>
  <c r="X335" i="67"/>
  <c r="Z335" i="67"/>
  <c r="AA335" i="67"/>
  <c r="AB335" i="67"/>
  <c r="AC335" i="67"/>
  <c r="AD335" i="67"/>
  <c r="AE335" i="67"/>
  <c r="AF335" i="67"/>
  <c r="AG335" i="67"/>
  <c r="AH335" i="67"/>
  <c r="AI335" i="67"/>
  <c r="AJ335" i="67"/>
  <c r="AK335" i="67"/>
  <c r="AL335" i="67"/>
  <c r="AM335" i="67"/>
  <c r="AN335" i="67"/>
  <c r="AO335" i="67"/>
  <c r="AP335" i="67"/>
  <c r="AQ335" i="67"/>
  <c r="AR335" i="67"/>
  <c r="AS335" i="67"/>
  <c r="AT335" i="67"/>
  <c r="AU335" i="67"/>
  <c r="AW335" i="67"/>
  <c r="AX335" i="67"/>
  <c r="AY335" i="67"/>
  <c r="BA335" i="67"/>
  <c r="A336" i="67"/>
  <c r="B336" i="67"/>
  <c r="D336" i="67"/>
  <c r="E336" i="67"/>
  <c r="F336" i="67"/>
  <c r="G336" i="67"/>
  <c r="H336" i="67"/>
  <c r="J336" i="67"/>
  <c r="K336" i="67"/>
  <c r="L336" i="67"/>
  <c r="M336" i="67"/>
  <c r="O336" i="67"/>
  <c r="P336" i="67"/>
  <c r="R336" i="67"/>
  <c r="S336" i="67"/>
  <c r="U336" i="67"/>
  <c r="V336" i="67"/>
  <c r="W336" i="67"/>
  <c r="X336" i="67"/>
  <c r="Z336" i="67"/>
  <c r="AA336" i="67"/>
  <c r="AB336" i="67"/>
  <c r="AC336" i="67"/>
  <c r="AD336" i="67"/>
  <c r="AE336" i="67"/>
  <c r="AF336" i="67"/>
  <c r="AG336" i="67"/>
  <c r="AH336" i="67"/>
  <c r="AI336" i="67"/>
  <c r="AJ336" i="67"/>
  <c r="AK336" i="67"/>
  <c r="AL336" i="67"/>
  <c r="AM336" i="67"/>
  <c r="AN336" i="67"/>
  <c r="AO336" i="67"/>
  <c r="AP336" i="67"/>
  <c r="AQ336" i="67"/>
  <c r="AR336" i="67"/>
  <c r="AS336" i="67"/>
  <c r="AT336" i="67"/>
  <c r="AU336" i="67"/>
  <c r="AW336" i="67"/>
  <c r="AX336" i="67"/>
  <c r="AY336" i="67"/>
  <c r="BA336" i="67"/>
  <c r="A337" i="67"/>
  <c r="B337" i="67"/>
  <c r="D337" i="67"/>
  <c r="E337" i="67"/>
  <c r="F337" i="67"/>
  <c r="G337" i="67"/>
  <c r="H337" i="67"/>
  <c r="J337" i="67"/>
  <c r="K337" i="67"/>
  <c r="L337" i="67"/>
  <c r="M337" i="67"/>
  <c r="O337" i="67"/>
  <c r="P337" i="67"/>
  <c r="R337" i="67"/>
  <c r="S337" i="67"/>
  <c r="U337" i="67"/>
  <c r="V337" i="67"/>
  <c r="W337" i="67"/>
  <c r="X337" i="67"/>
  <c r="Z337" i="67"/>
  <c r="AA337" i="67"/>
  <c r="AB337" i="67"/>
  <c r="AC337" i="67"/>
  <c r="AD337" i="67"/>
  <c r="AE337" i="67"/>
  <c r="AF337" i="67"/>
  <c r="AG337" i="67"/>
  <c r="AH337" i="67"/>
  <c r="AI337" i="67"/>
  <c r="AJ337" i="67"/>
  <c r="AK337" i="67"/>
  <c r="AL337" i="67"/>
  <c r="AM337" i="67"/>
  <c r="AN337" i="67"/>
  <c r="AO337" i="67"/>
  <c r="AP337" i="67"/>
  <c r="AQ337" i="67"/>
  <c r="AR337" i="67"/>
  <c r="AS337" i="67"/>
  <c r="AT337" i="67"/>
  <c r="AU337" i="67"/>
  <c r="AW337" i="67"/>
  <c r="AX337" i="67"/>
  <c r="AY337" i="67"/>
  <c r="BA337" i="67"/>
  <c r="A338" i="67"/>
  <c r="B338" i="67"/>
  <c r="D338" i="67"/>
  <c r="E338" i="67"/>
  <c r="F338" i="67"/>
  <c r="G338" i="67"/>
  <c r="H338" i="67"/>
  <c r="J338" i="67"/>
  <c r="K338" i="67"/>
  <c r="L338" i="67"/>
  <c r="M338" i="67"/>
  <c r="O338" i="67"/>
  <c r="P338" i="67"/>
  <c r="R338" i="67"/>
  <c r="S338" i="67"/>
  <c r="U338" i="67"/>
  <c r="V338" i="67"/>
  <c r="W338" i="67"/>
  <c r="X338" i="67"/>
  <c r="Z338" i="67"/>
  <c r="AA338" i="67"/>
  <c r="AB338" i="67"/>
  <c r="AC338" i="67"/>
  <c r="AD338" i="67"/>
  <c r="AE338" i="67"/>
  <c r="AF338" i="67"/>
  <c r="AG338" i="67"/>
  <c r="AH338" i="67"/>
  <c r="AI338" i="67"/>
  <c r="AJ338" i="67"/>
  <c r="AK338" i="67"/>
  <c r="AL338" i="67"/>
  <c r="AM338" i="67"/>
  <c r="AN338" i="67"/>
  <c r="AO338" i="67"/>
  <c r="AP338" i="67"/>
  <c r="AQ338" i="67"/>
  <c r="AR338" i="67"/>
  <c r="AS338" i="67"/>
  <c r="AT338" i="67"/>
  <c r="AU338" i="67"/>
  <c r="AW338" i="67"/>
  <c r="AX338" i="67"/>
  <c r="AY338" i="67"/>
  <c r="BA338" i="67"/>
  <c r="A339" i="67"/>
  <c r="B339" i="67"/>
  <c r="D339" i="67"/>
  <c r="E339" i="67"/>
  <c r="F339" i="67"/>
  <c r="G339" i="67"/>
  <c r="H339" i="67"/>
  <c r="J339" i="67"/>
  <c r="K339" i="67"/>
  <c r="L339" i="67"/>
  <c r="M339" i="67"/>
  <c r="O339" i="67"/>
  <c r="P339" i="67"/>
  <c r="R339" i="67"/>
  <c r="S339" i="67"/>
  <c r="U339" i="67"/>
  <c r="V339" i="67"/>
  <c r="W339" i="67"/>
  <c r="X339" i="67"/>
  <c r="Z339" i="67"/>
  <c r="AA339" i="67"/>
  <c r="AB339" i="67"/>
  <c r="AC339" i="67"/>
  <c r="AD339" i="67"/>
  <c r="AE339" i="67"/>
  <c r="AF339" i="67"/>
  <c r="AG339" i="67"/>
  <c r="AH339" i="67"/>
  <c r="AI339" i="67"/>
  <c r="AJ339" i="67"/>
  <c r="AK339" i="67"/>
  <c r="AL339" i="67"/>
  <c r="AM339" i="67"/>
  <c r="AN339" i="67"/>
  <c r="AO339" i="67"/>
  <c r="AP339" i="67"/>
  <c r="AQ339" i="67"/>
  <c r="AR339" i="67"/>
  <c r="AS339" i="67"/>
  <c r="AT339" i="67"/>
  <c r="AU339" i="67"/>
  <c r="AW339" i="67"/>
  <c r="AX339" i="67"/>
  <c r="AY339" i="67"/>
  <c r="BA339" i="67"/>
  <c r="A340" i="67"/>
  <c r="B340" i="67"/>
  <c r="D340" i="67"/>
  <c r="E340" i="67"/>
  <c r="F340" i="67"/>
  <c r="G340" i="67"/>
  <c r="H340" i="67"/>
  <c r="J340" i="67"/>
  <c r="K340" i="67"/>
  <c r="L340" i="67"/>
  <c r="M340" i="67"/>
  <c r="O340" i="67"/>
  <c r="P340" i="67"/>
  <c r="R340" i="67"/>
  <c r="S340" i="67"/>
  <c r="U340" i="67"/>
  <c r="V340" i="67"/>
  <c r="W340" i="67"/>
  <c r="X340" i="67"/>
  <c r="Z340" i="67"/>
  <c r="AA340" i="67"/>
  <c r="AB340" i="67"/>
  <c r="AC340" i="67"/>
  <c r="AD340" i="67"/>
  <c r="AE340" i="67"/>
  <c r="AF340" i="67"/>
  <c r="AG340" i="67"/>
  <c r="AH340" i="67"/>
  <c r="AI340" i="67"/>
  <c r="AJ340" i="67"/>
  <c r="AK340" i="67"/>
  <c r="AL340" i="67"/>
  <c r="AM340" i="67"/>
  <c r="AN340" i="67"/>
  <c r="AO340" i="67"/>
  <c r="AP340" i="67"/>
  <c r="AQ340" i="67"/>
  <c r="AR340" i="67"/>
  <c r="AS340" i="67"/>
  <c r="AT340" i="67"/>
  <c r="AU340" i="67"/>
  <c r="AW340" i="67"/>
  <c r="AX340" i="67"/>
  <c r="AY340" i="67"/>
  <c r="BA340" i="67"/>
  <c r="A341" i="67"/>
  <c r="B341" i="67"/>
  <c r="D341" i="67"/>
  <c r="E341" i="67"/>
  <c r="F341" i="67"/>
  <c r="G341" i="67"/>
  <c r="H341" i="67"/>
  <c r="J341" i="67"/>
  <c r="K341" i="67"/>
  <c r="L341" i="67"/>
  <c r="M341" i="67"/>
  <c r="O341" i="67"/>
  <c r="P341" i="67"/>
  <c r="R341" i="67"/>
  <c r="S341" i="67"/>
  <c r="U341" i="67"/>
  <c r="V341" i="67"/>
  <c r="W341" i="67"/>
  <c r="X341" i="67"/>
  <c r="Z341" i="67"/>
  <c r="AA341" i="67"/>
  <c r="AB341" i="67"/>
  <c r="AC341" i="67"/>
  <c r="AD341" i="67"/>
  <c r="AE341" i="67"/>
  <c r="AF341" i="67"/>
  <c r="AG341" i="67"/>
  <c r="AH341" i="67"/>
  <c r="AI341" i="67"/>
  <c r="AJ341" i="67"/>
  <c r="AK341" i="67"/>
  <c r="AL341" i="67"/>
  <c r="AM341" i="67"/>
  <c r="AN341" i="67"/>
  <c r="AO341" i="67"/>
  <c r="AP341" i="67"/>
  <c r="AQ341" i="67"/>
  <c r="AR341" i="67"/>
  <c r="AS341" i="67"/>
  <c r="AT341" i="67"/>
  <c r="AU341" i="67"/>
  <c r="AW341" i="67"/>
  <c r="AX341" i="67"/>
  <c r="AY341" i="67"/>
  <c r="BA341" i="67"/>
  <c r="A342" i="67"/>
  <c r="B342" i="67"/>
  <c r="D342" i="67"/>
  <c r="E342" i="67"/>
  <c r="F342" i="67"/>
  <c r="G342" i="67"/>
  <c r="H342" i="67"/>
  <c r="J342" i="67"/>
  <c r="K342" i="67"/>
  <c r="L342" i="67"/>
  <c r="M342" i="67"/>
  <c r="O342" i="67"/>
  <c r="P342" i="67"/>
  <c r="R342" i="67"/>
  <c r="S342" i="67"/>
  <c r="U342" i="67"/>
  <c r="V342" i="67"/>
  <c r="W342" i="67"/>
  <c r="X342" i="67"/>
  <c r="Z342" i="67"/>
  <c r="AA342" i="67"/>
  <c r="AB342" i="67"/>
  <c r="AC342" i="67"/>
  <c r="AD342" i="67"/>
  <c r="AE342" i="67"/>
  <c r="AF342" i="67"/>
  <c r="AG342" i="67"/>
  <c r="AH342" i="67"/>
  <c r="AI342" i="67"/>
  <c r="AJ342" i="67"/>
  <c r="AK342" i="67"/>
  <c r="AL342" i="67"/>
  <c r="AM342" i="67"/>
  <c r="AN342" i="67"/>
  <c r="AO342" i="67"/>
  <c r="AP342" i="67"/>
  <c r="AQ342" i="67"/>
  <c r="AR342" i="67"/>
  <c r="AS342" i="67"/>
  <c r="AT342" i="67"/>
  <c r="AU342" i="67"/>
  <c r="AW342" i="67"/>
  <c r="AX342" i="67"/>
  <c r="AY342" i="67"/>
  <c r="BA342" i="67"/>
  <c r="A343" i="67"/>
  <c r="B343" i="67"/>
  <c r="D343" i="67"/>
  <c r="E343" i="67"/>
  <c r="F343" i="67"/>
  <c r="G343" i="67"/>
  <c r="H343" i="67"/>
  <c r="J343" i="67"/>
  <c r="K343" i="67"/>
  <c r="L343" i="67"/>
  <c r="M343" i="67"/>
  <c r="O343" i="67"/>
  <c r="P343" i="67"/>
  <c r="R343" i="67"/>
  <c r="S343" i="67"/>
  <c r="U343" i="67"/>
  <c r="V343" i="67"/>
  <c r="W343" i="67"/>
  <c r="X343" i="67"/>
  <c r="Z343" i="67"/>
  <c r="AA343" i="67"/>
  <c r="AB343" i="67"/>
  <c r="AC343" i="67"/>
  <c r="AD343" i="67"/>
  <c r="AE343" i="67"/>
  <c r="AF343" i="67"/>
  <c r="AG343" i="67"/>
  <c r="AH343" i="67"/>
  <c r="AI343" i="67"/>
  <c r="AJ343" i="67"/>
  <c r="AK343" i="67"/>
  <c r="AL343" i="67"/>
  <c r="AM343" i="67"/>
  <c r="AN343" i="67"/>
  <c r="AO343" i="67"/>
  <c r="AP343" i="67"/>
  <c r="AQ343" i="67"/>
  <c r="AR343" i="67"/>
  <c r="AS343" i="67"/>
  <c r="AT343" i="67"/>
  <c r="AU343" i="67"/>
  <c r="AW343" i="67"/>
  <c r="AX343" i="67"/>
  <c r="AY343" i="67"/>
  <c r="BA343" i="67"/>
  <c r="A344" i="67"/>
  <c r="B344" i="67"/>
  <c r="D344" i="67"/>
  <c r="E344" i="67"/>
  <c r="F344" i="67"/>
  <c r="G344" i="67"/>
  <c r="H344" i="67"/>
  <c r="J344" i="67"/>
  <c r="K344" i="67"/>
  <c r="L344" i="67"/>
  <c r="M344" i="67"/>
  <c r="O344" i="67"/>
  <c r="P344" i="67"/>
  <c r="R344" i="67"/>
  <c r="S344" i="67"/>
  <c r="U344" i="67"/>
  <c r="V344" i="67"/>
  <c r="W344" i="67"/>
  <c r="X344" i="67"/>
  <c r="Z344" i="67"/>
  <c r="AA344" i="67"/>
  <c r="AB344" i="67"/>
  <c r="AC344" i="67"/>
  <c r="AD344" i="67"/>
  <c r="AE344" i="67"/>
  <c r="AF344" i="67"/>
  <c r="AG344" i="67"/>
  <c r="AH344" i="67"/>
  <c r="AI344" i="67"/>
  <c r="AJ344" i="67"/>
  <c r="AK344" i="67"/>
  <c r="AL344" i="67"/>
  <c r="AM344" i="67"/>
  <c r="AN344" i="67"/>
  <c r="AO344" i="67"/>
  <c r="AP344" i="67"/>
  <c r="AQ344" i="67"/>
  <c r="AR344" i="67"/>
  <c r="AS344" i="67"/>
  <c r="AT344" i="67"/>
  <c r="AU344" i="67"/>
  <c r="AW344" i="67"/>
  <c r="AX344" i="67"/>
  <c r="AY344" i="67"/>
  <c r="BA344" i="67"/>
  <c r="A345" i="67"/>
  <c r="B345" i="67"/>
  <c r="D345" i="67"/>
  <c r="E345" i="67"/>
  <c r="F345" i="67"/>
  <c r="G345" i="67"/>
  <c r="H345" i="67"/>
  <c r="J345" i="67"/>
  <c r="K345" i="67"/>
  <c r="L345" i="67"/>
  <c r="M345" i="67"/>
  <c r="O345" i="67"/>
  <c r="P345" i="67"/>
  <c r="R345" i="67"/>
  <c r="S345" i="67"/>
  <c r="U345" i="67"/>
  <c r="V345" i="67"/>
  <c r="W345" i="67"/>
  <c r="X345" i="67"/>
  <c r="Z345" i="67"/>
  <c r="AA345" i="67"/>
  <c r="AB345" i="67"/>
  <c r="AC345" i="67"/>
  <c r="AD345" i="67"/>
  <c r="AE345" i="67"/>
  <c r="AF345" i="67"/>
  <c r="AG345" i="67"/>
  <c r="AH345" i="67"/>
  <c r="AI345" i="67"/>
  <c r="AJ345" i="67"/>
  <c r="AK345" i="67"/>
  <c r="AL345" i="67"/>
  <c r="AM345" i="67"/>
  <c r="AN345" i="67"/>
  <c r="AO345" i="67"/>
  <c r="AP345" i="67"/>
  <c r="AQ345" i="67"/>
  <c r="AR345" i="67"/>
  <c r="AS345" i="67"/>
  <c r="AT345" i="67"/>
  <c r="AU345" i="67"/>
  <c r="AW345" i="67"/>
  <c r="AX345" i="67"/>
  <c r="AY345" i="67"/>
  <c r="BA345" i="67"/>
  <c r="A346" i="67"/>
  <c r="B346" i="67"/>
  <c r="D346" i="67"/>
  <c r="E346" i="67"/>
  <c r="F346" i="67"/>
  <c r="G346" i="67"/>
  <c r="H346" i="67"/>
  <c r="J346" i="67"/>
  <c r="K346" i="67"/>
  <c r="L346" i="67"/>
  <c r="M346" i="67"/>
  <c r="O346" i="67"/>
  <c r="P346" i="67"/>
  <c r="R346" i="67"/>
  <c r="S346" i="67"/>
  <c r="U346" i="67"/>
  <c r="V346" i="67"/>
  <c r="W346" i="67"/>
  <c r="X346" i="67"/>
  <c r="Z346" i="67"/>
  <c r="AA346" i="67"/>
  <c r="AB346" i="67"/>
  <c r="AC346" i="67"/>
  <c r="AD346" i="67"/>
  <c r="AE346" i="67"/>
  <c r="AF346" i="67"/>
  <c r="AG346" i="67"/>
  <c r="AH346" i="67"/>
  <c r="AI346" i="67"/>
  <c r="AJ346" i="67"/>
  <c r="AK346" i="67"/>
  <c r="AL346" i="67"/>
  <c r="AM346" i="67"/>
  <c r="AN346" i="67"/>
  <c r="AO346" i="67"/>
  <c r="AP346" i="67"/>
  <c r="AQ346" i="67"/>
  <c r="AR346" i="67"/>
  <c r="AS346" i="67"/>
  <c r="AT346" i="67"/>
  <c r="AU346" i="67"/>
  <c r="AW346" i="67"/>
  <c r="AX346" i="67"/>
  <c r="AY346" i="67"/>
  <c r="BA346" i="67"/>
  <c r="A347" i="67"/>
  <c r="B347" i="67"/>
  <c r="D347" i="67"/>
  <c r="E347" i="67"/>
  <c r="F347" i="67"/>
  <c r="G347" i="67"/>
  <c r="H347" i="67"/>
  <c r="J347" i="67"/>
  <c r="K347" i="67"/>
  <c r="L347" i="67"/>
  <c r="M347" i="67"/>
  <c r="O347" i="67"/>
  <c r="P347" i="67"/>
  <c r="R347" i="67"/>
  <c r="S347" i="67"/>
  <c r="U347" i="67"/>
  <c r="V347" i="67"/>
  <c r="W347" i="67"/>
  <c r="X347" i="67"/>
  <c r="Z347" i="67"/>
  <c r="AA347" i="67"/>
  <c r="AB347" i="67"/>
  <c r="AC347" i="67"/>
  <c r="AD347" i="67"/>
  <c r="AE347" i="67"/>
  <c r="AF347" i="67"/>
  <c r="AG347" i="67"/>
  <c r="AH347" i="67"/>
  <c r="AI347" i="67"/>
  <c r="AJ347" i="67"/>
  <c r="AK347" i="67"/>
  <c r="AL347" i="67"/>
  <c r="AM347" i="67"/>
  <c r="AN347" i="67"/>
  <c r="AO347" i="67"/>
  <c r="AP347" i="67"/>
  <c r="AQ347" i="67"/>
  <c r="AR347" i="67"/>
  <c r="AS347" i="67"/>
  <c r="AT347" i="67"/>
  <c r="AU347" i="67"/>
  <c r="AW347" i="67"/>
  <c r="AX347" i="67"/>
  <c r="AY347" i="67"/>
  <c r="BA347" i="67"/>
  <c r="A348" i="67"/>
  <c r="B348" i="67"/>
  <c r="D348" i="67"/>
  <c r="E348" i="67"/>
  <c r="F348" i="67"/>
  <c r="G348" i="67"/>
  <c r="H348" i="67"/>
  <c r="J348" i="67"/>
  <c r="K348" i="67"/>
  <c r="L348" i="67"/>
  <c r="M348" i="67"/>
  <c r="O348" i="67"/>
  <c r="P348" i="67"/>
  <c r="R348" i="67"/>
  <c r="S348" i="67"/>
  <c r="U348" i="67"/>
  <c r="V348" i="67"/>
  <c r="W348" i="67"/>
  <c r="X348" i="67"/>
  <c r="Z348" i="67"/>
  <c r="AA348" i="67"/>
  <c r="AB348" i="67"/>
  <c r="AC348" i="67"/>
  <c r="AD348" i="67"/>
  <c r="AE348" i="67"/>
  <c r="AF348" i="67"/>
  <c r="AG348" i="67"/>
  <c r="AH348" i="67"/>
  <c r="AI348" i="67"/>
  <c r="AJ348" i="67"/>
  <c r="AK348" i="67"/>
  <c r="AL348" i="67"/>
  <c r="AM348" i="67"/>
  <c r="AN348" i="67"/>
  <c r="AO348" i="67"/>
  <c r="AP348" i="67"/>
  <c r="AQ348" i="67"/>
  <c r="AR348" i="67"/>
  <c r="AS348" i="67"/>
  <c r="AT348" i="67"/>
  <c r="AU348" i="67"/>
  <c r="AW348" i="67"/>
  <c r="AX348" i="67"/>
  <c r="AY348" i="67"/>
  <c r="BA348" i="67"/>
  <c r="A349" i="67"/>
  <c r="B349" i="67"/>
  <c r="D349" i="67"/>
  <c r="E349" i="67"/>
  <c r="F349" i="67"/>
  <c r="G349" i="67"/>
  <c r="H349" i="67"/>
  <c r="J349" i="67"/>
  <c r="K349" i="67"/>
  <c r="L349" i="67"/>
  <c r="M349" i="67"/>
  <c r="O349" i="67"/>
  <c r="P349" i="67"/>
  <c r="R349" i="67"/>
  <c r="S349" i="67"/>
  <c r="U349" i="67"/>
  <c r="V349" i="67"/>
  <c r="W349" i="67"/>
  <c r="X349" i="67"/>
  <c r="Z349" i="67"/>
  <c r="AA349" i="67"/>
  <c r="AB349" i="67"/>
  <c r="AC349" i="67"/>
  <c r="AD349" i="67"/>
  <c r="AE349" i="67"/>
  <c r="AF349" i="67"/>
  <c r="AG349" i="67"/>
  <c r="AH349" i="67"/>
  <c r="AI349" i="67"/>
  <c r="AJ349" i="67"/>
  <c r="AK349" i="67"/>
  <c r="AL349" i="67"/>
  <c r="AM349" i="67"/>
  <c r="AN349" i="67"/>
  <c r="AO349" i="67"/>
  <c r="AP349" i="67"/>
  <c r="AQ349" i="67"/>
  <c r="AR349" i="67"/>
  <c r="AS349" i="67"/>
  <c r="AT349" i="67"/>
  <c r="AU349" i="67"/>
  <c r="AW349" i="67"/>
  <c r="AX349" i="67"/>
  <c r="AY349" i="67"/>
  <c r="BA349" i="67"/>
  <c r="A350" i="67"/>
  <c r="B350" i="67"/>
  <c r="D350" i="67"/>
  <c r="E350" i="67"/>
  <c r="F350" i="67"/>
  <c r="G350" i="67"/>
  <c r="H350" i="67"/>
  <c r="J350" i="67"/>
  <c r="K350" i="67"/>
  <c r="L350" i="67"/>
  <c r="M350" i="67"/>
  <c r="O350" i="67"/>
  <c r="P350" i="67"/>
  <c r="R350" i="67"/>
  <c r="S350" i="67"/>
  <c r="U350" i="67"/>
  <c r="V350" i="67"/>
  <c r="W350" i="67"/>
  <c r="X350" i="67"/>
  <c r="Z350" i="67"/>
  <c r="AA350" i="67"/>
  <c r="AB350" i="67"/>
  <c r="AC350" i="67"/>
  <c r="AD350" i="67"/>
  <c r="AE350" i="67"/>
  <c r="AF350" i="67"/>
  <c r="AG350" i="67"/>
  <c r="AH350" i="67"/>
  <c r="AI350" i="67"/>
  <c r="AJ350" i="67"/>
  <c r="AK350" i="67"/>
  <c r="AL350" i="67"/>
  <c r="AM350" i="67"/>
  <c r="AN350" i="67"/>
  <c r="AO350" i="67"/>
  <c r="AP350" i="67"/>
  <c r="AQ350" i="67"/>
  <c r="AR350" i="67"/>
  <c r="AS350" i="67"/>
  <c r="AT350" i="67"/>
  <c r="AU350" i="67"/>
  <c r="AW350" i="67"/>
  <c r="AX350" i="67"/>
  <c r="AY350" i="67"/>
  <c r="BA350" i="67"/>
  <c r="A351" i="67"/>
  <c r="B351" i="67"/>
  <c r="D351" i="67"/>
  <c r="E351" i="67"/>
  <c r="F351" i="67"/>
  <c r="G351" i="67"/>
  <c r="H351" i="67"/>
  <c r="J351" i="67"/>
  <c r="K351" i="67"/>
  <c r="L351" i="67"/>
  <c r="M351" i="67"/>
  <c r="O351" i="67"/>
  <c r="P351" i="67"/>
  <c r="R351" i="67"/>
  <c r="S351" i="67"/>
  <c r="U351" i="67"/>
  <c r="V351" i="67"/>
  <c r="W351" i="67"/>
  <c r="X351" i="67"/>
  <c r="Z351" i="67"/>
  <c r="AA351" i="67"/>
  <c r="AB351" i="67"/>
  <c r="AC351" i="67"/>
  <c r="AD351" i="67"/>
  <c r="AE351" i="67"/>
  <c r="AF351" i="67"/>
  <c r="AG351" i="67"/>
  <c r="AH351" i="67"/>
  <c r="AI351" i="67"/>
  <c r="AJ351" i="67"/>
  <c r="AK351" i="67"/>
  <c r="AL351" i="67"/>
  <c r="AM351" i="67"/>
  <c r="AN351" i="67"/>
  <c r="AO351" i="67"/>
  <c r="AP351" i="67"/>
  <c r="AQ351" i="67"/>
  <c r="AR351" i="67"/>
  <c r="AS351" i="67"/>
  <c r="AT351" i="67"/>
  <c r="AU351" i="67"/>
  <c r="AW351" i="67"/>
  <c r="AX351" i="67"/>
  <c r="AY351" i="67"/>
  <c r="BA351" i="67"/>
  <c r="A352" i="67"/>
  <c r="B352" i="67"/>
  <c r="D352" i="67"/>
  <c r="E352" i="67"/>
  <c r="F352" i="67"/>
  <c r="G352" i="67"/>
  <c r="H352" i="67"/>
  <c r="J352" i="67"/>
  <c r="K352" i="67"/>
  <c r="L352" i="67"/>
  <c r="M352" i="67"/>
  <c r="O352" i="67"/>
  <c r="P352" i="67"/>
  <c r="R352" i="67"/>
  <c r="S352" i="67"/>
  <c r="U352" i="67"/>
  <c r="V352" i="67"/>
  <c r="W352" i="67"/>
  <c r="X352" i="67"/>
  <c r="Z352" i="67"/>
  <c r="AA352" i="67"/>
  <c r="AB352" i="67"/>
  <c r="AC352" i="67"/>
  <c r="AD352" i="67"/>
  <c r="AE352" i="67"/>
  <c r="AF352" i="67"/>
  <c r="AG352" i="67"/>
  <c r="AH352" i="67"/>
  <c r="AI352" i="67"/>
  <c r="AJ352" i="67"/>
  <c r="AK352" i="67"/>
  <c r="AL352" i="67"/>
  <c r="AM352" i="67"/>
  <c r="AN352" i="67"/>
  <c r="AO352" i="67"/>
  <c r="AP352" i="67"/>
  <c r="AQ352" i="67"/>
  <c r="AR352" i="67"/>
  <c r="AS352" i="67"/>
  <c r="AT352" i="67"/>
  <c r="AU352" i="67"/>
  <c r="AW352" i="67"/>
  <c r="AX352" i="67"/>
  <c r="AY352" i="67"/>
  <c r="BA352" i="67"/>
  <c r="A353" i="67"/>
  <c r="B353" i="67"/>
  <c r="D353" i="67"/>
  <c r="E353" i="67"/>
  <c r="F353" i="67"/>
  <c r="G353" i="67"/>
  <c r="H353" i="67"/>
  <c r="J353" i="67"/>
  <c r="K353" i="67"/>
  <c r="L353" i="67"/>
  <c r="M353" i="67"/>
  <c r="O353" i="67"/>
  <c r="P353" i="67"/>
  <c r="R353" i="67"/>
  <c r="S353" i="67"/>
  <c r="U353" i="67"/>
  <c r="V353" i="67"/>
  <c r="W353" i="67"/>
  <c r="X353" i="67"/>
  <c r="Z353" i="67"/>
  <c r="AA353" i="67"/>
  <c r="AB353" i="67"/>
  <c r="AC353" i="67"/>
  <c r="AD353" i="67"/>
  <c r="AE353" i="67"/>
  <c r="AF353" i="67"/>
  <c r="AG353" i="67"/>
  <c r="AH353" i="67"/>
  <c r="AI353" i="67"/>
  <c r="AJ353" i="67"/>
  <c r="AK353" i="67"/>
  <c r="AL353" i="67"/>
  <c r="AM353" i="67"/>
  <c r="AN353" i="67"/>
  <c r="AO353" i="67"/>
  <c r="AP353" i="67"/>
  <c r="AQ353" i="67"/>
  <c r="AR353" i="67"/>
  <c r="AS353" i="67"/>
  <c r="AT353" i="67"/>
  <c r="AU353" i="67"/>
  <c r="AW353" i="67"/>
  <c r="AX353" i="67"/>
  <c r="AY353" i="67"/>
  <c r="BA353" i="67"/>
  <c r="A354" i="67"/>
  <c r="B354" i="67"/>
  <c r="D354" i="67"/>
  <c r="E354" i="67"/>
  <c r="F354" i="67"/>
  <c r="G354" i="67"/>
  <c r="H354" i="67"/>
  <c r="J354" i="67"/>
  <c r="K354" i="67"/>
  <c r="L354" i="67"/>
  <c r="M354" i="67"/>
  <c r="O354" i="67"/>
  <c r="P354" i="67"/>
  <c r="R354" i="67"/>
  <c r="S354" i="67"/>
  <c r="U354" i="67"/>
  <c r="V354" i="67"/>
  <c r="W354" i="67"/>
  <c r="X354" i="67"/>
  <c r="Z354" i="67"/>
  <c r="AA354" i="67"/>
  <c r="AB354" i="67"/>
  <c r="AC354" i="67"/>
  <c r="AD354" i="67"/>
  <c r="AE354" i="67"/>
  <c r="AF354" i="67"/>
  <c r="AG354" i="67"/>
  <c r="AH354" i="67"/>
  <c r="AI354" i="67"/>
  <c r="AJ354" i="67"/>
  <c r="AK354" i="67"/>
  <c r="AL354" i="67"/>
  <c r="AM354" i="67"/>
  <c r="AN354" i="67"/>
  <c r="AO354" i="67"/>
  <c r="AP354" i="67"/>
  <c r="AQ354" i="67"/>
  <c r="AR354" i="67"/>
  <c r="AS354" i="67"/>
  <c r="AT354" i="67"/>
  <c r="AU354" i="67"/>
  <c r="AW354" i="67"/>
  <c r="AX354" i="67"/>
  <c r="AY354" i="67"/>
  <c r="BA354" i="67"/>
  <c r="A355" i="67"/>
  <c r="B355" i="67"/>
  <c r="D355" i="67"/>
  <c r="E355" i="67"/>
  <c r="F355" i="67"/>
  <c r="G355" i="67"/>
  <c r="H355" i="67"/>
  <c r="J355" i="67"/>
  <c r="K355" i="67"/>
  <c r="L355" i="67"/>
  <c r="M355" i="67"/>
  <c r="O355" i="67"/>
  <c r="P355" i="67"/>
  <c r="R355" i="67"/>
  <c r="S355" i="67"/>
  <c r="U355" i="67"/>
  <c r="V355" i="67"/>
  <c r="W355" i="67"/>
  <c r="X355" i="67"/>
  <c r="Z355" i="67"/>
  <c r="AA355" i="67"/>
  <c r="AB355" i="67"/>
  <c r="AC355" i="67"/>
  <c r="AD355" i="67"/>
  <c r="AE355" i="67"/>
  <c r="AF355" i="67"/>
  <c r="AG355" i="67"/>
  <c r="AH355" i="67"/>
  <c r="AI355" i="67"/>
  <c r="AJ355" i="67"/>
  <c r="AK355" i="67"/>
  <c r="AL355" i="67"/>
  <c r="AM355" i="67"/>
  <c r="AN355" i="67"/>
  <c r="AO355" i="67"/>
  <c r="AP355" i="67"/>
  <c r="AQ355" i="67"/>
  <c r="AR355" i="67"/>
  <c r="AS355" i="67"/>
  <c r="AT355" i="67"/>
  <c r="AU355" i="67"/>
  <c r="AW355" i="67"/>
  <c r="AX355" i="67"/>
  <c r="AY355" i="67"/>
  <c r="BA355" i="67"/>
  <c r="A356" i="67"/>
  <c r="B356" i="67"/>
  <c r="D356" i="67"/>
  <c r="E356" i="67"/>
  <c r="F356" i="67"/>
  <c r="G356" i="67"/>
  <c r="H356" i="67"/>
  <c r="J356" i="67"/>
  <c r="K356" i="67"/>
  <c r="L356" i="67"/>
  <c r="M356" i="67"/>
  <c r="O356" i="67"/>
  <c r="P356" i="67"/>
  <c r="R356" i="67"/>
  <c r="S356" i="67"/>
  <c r="U356" i="67"/>
  <c r="V356" i="67"/>
  <c r="W356" i="67"/>
  <c r="X356" i="67"/>
  <c r="Z356" i="67"/>
  <c r="AA356" i="67"/>
  <c r="AB356" i="67"/>
  <c r="AC356" i="67"/>
  <c r="AD356" i="67"/>
  <c r="AE356" i="67"/>
  <c r="AF356" i="67"/>
  <c r="AG356" i="67"/>
  <c r="AH356" i="67"/>
  <c r="AI356" i="67"/>
  <c r="AJ356" i="67"/>
  <c r="AK356" i="67"/>
  <c r="AL356" i="67"/>
  <c r="AM356" i="67"/>
  <c r="AN356" i="67"/>
  <c r="AO356" i="67"/>
  <c r="AP356" i="67"/>
  <c r="AQ356" i="67"/>
  <c r="AR356" i="67"/>
  <c r="AS356" i="67"/>
  <c r="AT356" i="67"/>
  <c r="AU356" i="67"/>
  <c r="AW356" i="67"/>
  <c r="AX356" i="67"/>
  <c r="AY356" i="67"/>
  <c r="BA356" i="67"/>
  <c r="A357" i="67"/>
  <c r="B357" i="67"/>
  <c r="D357" i="67"/>
  <c r="E357" i="67"/>
  <c r="F357" i="67"/>
  <c r="G357" i="67"/>
  <c r="H357" i="67"/>
  <c r="J357" i="67"/>
  <c r="K357" i="67"/>
  <c r="L357" i="67"/>
  <c r="M357" i="67"/>
  <c r="O357" i="67"/>
  <c r="P357" i="67"/>
  <c r="R357" i="67"/>
  <c r="S357" i="67"/>
  <c r="U357" i="67"/>
  <c r="V357" i="67"/>
  <c r="W357" i="67"/>
  <c r="X357" i="67"/>
  <c r="Z357" i="67"/>
  <c r="AA357" i="67"/>
  <c r="AB357" i="67"/>
  <c r="AC357" i="67"/>
  <c r="AD357" i="67"/>
  <c r="AE357" i="67"/>
  <c r="AF357" i="67"/>
  <c r="AG357" i="67"/>
  <c r="AH357" i="67"/>
  <c r="AI357" i="67"/>
  <c r="AJ357" i="67"/>
  <c r="AK357" i="67"/>
  <c r="AL357" i="67"/>
  <c r="AM357" i="67"/>
  <c r="AN357" i="67"/>
  <c r="AO357" i="67"/>
  <c r="AP357" i="67"/>
  <c r="AQ357" i="67"/>
  <c r="AR357" i="67"/>
  <c r="AS357" i="67"/>
  <c r="AT357" i="67"/>
  <c r="AU357" i="67"/>
  <c r="AW357" i="67"/>
  <c r="AX357" i="67"/>
  <c r="AY357" i="67"/>
  <c r="BA357" i="67"/>
  <c r="A358" i="67"/>
  <c r="B358" i="67"/>
  <c r="D358" i="67"/>
  <c r="E358" i="67"/>
  <c r="F358" i="67"/>
  <c r="G358" i="67"/>
  <c r="H358" i="67"/>
  <c r="J358" i="67"/>
  <c r="K358" i="67"/>
  <c r="L358" i="67"/>
  <c r="M358" i="67"/>
  <c r="O358" i="67"/>
  <c r="P358" i="67"/>
  <c r="R358" i="67"/>
  <c r="S358" i="67"/>
  <c r="U358" i="67"/>
  <c r="V358" i="67"/>
  <c r="W358" i="67"/>
  <c r="X358" i="67"/>
  <c r="Z358" i="67"/>
  <c r="AA358" i="67"/>
  <c r="AB358" i="67"/>
  <c r="AC358" i="67"/>
  <c r="AD358" i="67"/>
  <c r="AE358" i="67"/>
  <c r="AF358" i="67"/>
  <c r="AG358" i="67"/>
  <c r="AH358" i="67"/>
  <c r="AI358" i="67"/>
  <c r="AJ358" i="67"/>
  <c r="AK358" i="67"/>
  <c r="AL358" i="67"/>
  <c r="AM358" i="67"/>
  <c r="AN358" i="67"/>
  <c r="AO358" i="67"/>
  <c r="AP358" i="67"/>
  <c r="AQ358" i="67"/>
  <c r="AR358" i="67"/>
  <c r="AS358" i="67"/>
  <c r="AT358" i="67"/>
  <c r="AU358" i="67"/>
  <c r="AW358" i="67"/>
  <c r="AX358" i="67"/>
  <c r="AY358" i="67"/>
  <c r="BA358" i="67"/>
  <c r="A359" i="67"/>
  <c r="B359" i="67"/>
  <c r="D359" i="67"/>
  <c r="E359" i="67"/>
  <c r="F359" i="67"/>
  <c r="G359" i="67"/>
  <c r="H359" i="67"/>
  <c r="J359" i="67"/>
  <c r="K359" i="67"/>
  <c r="L359" i="67"/>
  <c r="M359" i="67"/>
  <c r="O359" i="67"/>
  <c r="P359" i="67"/>
  <c r="R359" i="67"/>
  <c r="S359" i="67"/>
  <c r="U359" i="67"/>
  <c r="V359" i="67"/>
  <c r="W359" i="67"/>
  <c r="X359" i="67"/>
  <c r="Z359" i="67"/>
  <c r="AA359" i="67"/>
  <c r="AB359" i="67"/>
  <c r="AC359" i="67"/>
  <c r="AD359" i="67"/>
  <c r="AE359" i="67"/>
  <c r="AF359" i="67"/>
  <c r="AG359" i="67"/>
  <c r="AH359" i="67"/>
  <c r="AI359" i="67"/>
  <c r="AJ359" i="67"/>
  <c r="AK359" i="67"/>
  <c r="AL359" i="67"/>
  <c r="AM359" i="67"/>
  <c r="AN359" i="67"/>
  <c r="AO359" i="67"/>
  <c r="AP359" i="67"/>
  <c r="AQ359" i="67"/>
  <c r="AR359" i="67"/>
  <c r="AS359" i="67"/>
  <c r="AT359" i="67"/>
  <c r="AU359" i="67"/>
  <c r="AW359" i="67"/>
  <c r="AX359" i="67"/>
  <c r="AY359" i="67"/>
  <c r="BA359" i="67"/>
  <c r="A360" i="67"/>
  <c r="B360" i="67"/>
  <c r="D360" i="67"/>
  <c r="E360" i="67"/>
  <c r="F360" i="67"/>
  <c r="G360" i="67"/>
  <c r="H360" i="67"/>
  <c r="J360" i="67"/>
  <c r="K360" i="67"/>
  <c r="L360" i="67"/>
  <c r="M360" i="67"/>
  <c r="O360" i="67"/>
  <c r="P360" i="67"/>
  <c r="R360" i="67"/>
  <c r="S360" i="67"/>
  <c r="U360" i="67"/>
  <c r="V360" i="67"/>
  <c r="W360" i="67"/>
  <c r="X360" i="67"/>
  <c r="Z360" i="67"/>
  <c r="AA360" i="67"/>
  <c r="AB360" i="67"/>
  <c r="AC360" i="67"/>
  <c r="AD360" i="67"/>
  <c r="AE360" i="67"/>
  <c r="AF360" i="67"/>
  <c r="AG360" i="67"/>
  <c r="AH360" i="67"/>
  <c r="AI360" i="67"/>
  <c r="AJ360" i="67"/>
  <c r="AK360" i="67"/>
  <c r="AL360" i="67"/>
  <c r="AM360" i="67"/>
  <c r="AN360" i="67"/>
  <c r="AO360" i="67"/>
  <c r="AP360" i="67"/>
  <c r="AQ360" i="67"/>
  <c r="AR360" i="67"/>
  <c r="AS360" i="67"/>
  <c r="AT360" i="67"/>
  <c r="AU360" i="67"/>
  <c r="AW360" i="67"/>
  <c r="AX360" i="67"/>
  <c r="AY360" i="67"/>
  <c r="BA360" i="67"/>
  <c r="A361" i="67"/>
  <c r="B361" i="67"/>
  <c r="D361" i="67"/>
  <c r="E361" i="67"/>
  <c r="F361" i="67"/>
  <c r="G361" i="67"/>
  <c r="H361" i="67"/>
  <c r="J361" i="67"/>
  <c r="K361" i="67"/>
  <c r="L361" i="67"/>
  <c r="M361" i="67"/>
  <c r="O361" i="67"/>
  <c r="P361" i="67"/>
  <c r="R361" i="67"/>
  <c r="S361" i="67"/>
  <c r="U361" i="67"/>
  <c r="V361" i="67"/>
  <c r="W361" i="67"/>
  <c r="X361" i="67"/>
  <c r="Z361" i="67"/>
  <c r="AA361" i="67"/>
  <c r="AB361" i="67"/>
  <c r="AC361" i="67"/>
  <c r="AD361" i="67"/>
  <c r="AE361" i="67"/>
  <c r="AF361" i="67"/>
  <c r="AG361" i="67"/>
  <c r="AH361" i="67"/>
  <c r="AI361" i="67"/>
  <c r="AJ361" i="67"/>
  <c r="AK361" i="67"/>
  <c r="AL361" i="67"/>
  <c r="AM361" i="67"/>
  <c r="AN361" i="67"/>
  <c r="AO361" i="67"/>
  <c r="AP361" i="67"/>
  <c r="AQ361" i="67"/>
  <c r="AR361" i="67"/>
  <c r="AS361" i="67"/>
  <c r="AT361" i="67"/>
  <c r="AU361" i="67"/>
  <c r="AW361" i="67"/>
  <c r="AX361" i="67"/>
  <c r="AY361" i="67"/>
  <c r="BA361" i="67"/>
  <c r="A362" i="67"/>
  <c r="B362" i="67"/>
  <c r="D362" i="67"/>
  <c r="E362" i="67"/>
  <c r="F362" i="67"/>
  <c r="G362" i="67"/>
  <c r="H362" i="67"/>
  <c r="J362" i="67"/>
  <c r="K362" i="67"/>
  <c r="L362" i="67"/>
  <c r="M362" i="67"/>
  <c r="O362" i="67"/>
  <c r="P362" i="67"/>
  <c r="R362" i="67"/>
  <c r="S362" i="67"/>
  <c r="U362" i="67"/>
  <c r="V362" i="67"/>
  <c r="W362" i="67"/>
  <c r="X362" i="67"/>
  <c r="Z362" i="67"/>
  <c r="AA362" i="67"/>
  <c r="AB362" i="67"/>
  <c r="AC362" i="67"/>
  <c r="AD362" i="67"/>
  <c r="AE362" i="67"/>
  <c r="AF362" i="67"/>
  <c r="AG362" i="67"/>
  <c r="AH362" i="67"/>
  <c r="AI362" i="67"/>
  <c r="AJ362" i="67"/>
  <c r="AK362" i="67"/>
  <c r="AL362" i="67"/>
  <c r="AM362" i="67"/>
  <c r="AN362" i="67"/>
  <c r="AO362" i="67"/>
  <c r="AP362" i="67"/>
  <c r="AQ362" i="67"/>
  <c r="AR362" i="67"/>
  <c r="AS362" i="67"/>
  <c r="AT362" i="67"/>
  <c r="AU362" i="67"/>
  <c r="AW362" i="67"/>
  <c r="AX362" i="67"/>
  <c r="AY362" i="67"/>
  <c r="BA362" i="67"/>
  <c r="A363" i="67"/>
  <c r="B363" i="67"/>
  <c r="D363" i="67"/>
  <c r="E363" i="67"/>
  <c r="F363" i="67"/>
  <c r="G363" i="67"/>
  <c r="H363" i="67"/>
  <c r="J363" i="67"/>
  <c r="K363" i="67"/>
  <c r="L363" i="67"/>
  <c r="M363" i="67"/>
  <c r="O363" i="67"/>
  <c r="P363" i="67"/>
  <c r="R363" i="67"/>
  <c r="S363" i="67"/>
  <c r="U363" i="67"/>
  <c r="V363" i="67"/>
  <c r="W363" i="67"/>
  <c r="X363" i="67"/>
  <c r="Z363" i="67"/>
  <c r="AA363" i="67"/>
  <c r="AB363" i="67"/>
  <c r="AC363" i="67"/>
  <c r="AD363" i="67"/>
  <c r="AE363" i="67"/>
  <c r="AF363" i="67"/>
  <c r="AG363" i="67"/>
  <c r="AH363" i="67"/>
  <c r="AI363" i="67"/>
  <c r="AJ363" i="67"/>
  <c r="AK363" i="67"/>
  <c r="AL363" i="67"/>
  <c r="AM363" i="67"/>
  <c r="AN363" i="67"/>
  <c r="AO363" i="67"/>
  <c r="AP363" i="67"/>
  <c r="AQ363" i="67"/>
  <c r="AR363" i="67"/>
  <c r="AS363" i="67"/>
  <c r="AT363" i="67"/>
  <c r="AU363" i="67"/>
  <c r="AW363" i="67"/>
  <c r="AX363" i="67"/>
  <c r="AY363" i="67"/>
  <c r="BA363" i="67"/>
  <c r="A364" i="67"/>
  <c r="B364" i="67"/>
  <c r="D364" i="67"/>
  <c r="E364" i="67"/>
  <c r="F364" i="67"/>
  <c r="G364" i="67"/>
  <c r="H364" i="67"/>
  <c r="J364" i="67"/>
  <c r="K364" i="67"/>
  <c r="L364" i="67"/>
  <c r="M364" i="67"/>
  <c r="O364" i="67"/>
  <c r="P364" i="67"/>
  <c r="R364" i="67"/>
  <c r="S364" i="67"/>
  <c r="U364" i="67"/>
  <c r="V364" i="67"/>
  <c r="W364" i="67"/>
  <c r="X364" i="67"/>
  <c r="Z364" i="67"/>
  <c r="AA364" i="67"/>
  <c r="AB364" i="67"/>
  <c r="AC364" i="67"/>
  <c r="AD364" i="67"/>
  <c r="AE364" i="67"/>
  <c r="AF364" i="67"/>
  <c r="AG364" i="67"/>
  <c r="AH364" i="67"/>
  <c r="AI364" i="67"/>
  <c r="AJ364" i="67"/>
  <c r="AK364" i="67"/>
  <c r="AL364" i="67"/>
  <c r="AM364" i="67"/>
  <c r="AN364" i="67"/>
  <c r="AO364" i="67"/>
  <c r="AP364" i="67"/>
  <c r="AQ364" i="67"/>
  <c r="AR364" i="67"/>
  <c r="AS364" i="67"/>
  <c r="AT364" i="67"/>
  <c r="AU364" i="67"/>
  <c r="AW364" i="67"/>
  <c r="AX364" i="67"/>
  <c r="AY364" i="67"/>
  <c r="BA364" i="67"/>
  <c r="A365" i="67"/>
  <c r="B365" i="67"/>
  <c r="D365" i="67"/>
  <c r="E365" i="67"/>
  <c r="F365" i="67"/>
  <c r="G365" i="67"/>
  <c r="H365" i="67"/>
  <c r="J365" i="67"/>
  <c r="K365" i="67"/>
  <c r="L365" i="67"/>
  <c r="M365" i="67"/>
  <c r="O365" i="67"/>
  <c r="P365" i="67"/>
  <c r="R365" i="67"/>
  <c r="S365" i="67"/>
  <c r="U365" i="67"/>
  <c r="V365" i="67"/>
  <c r="W365" i="67"/>
  <c r="X365" i="67"/>
  <c r="Z365" i="67"/>
  <c r="AA365" i="67"/>
  <c r="AB365" i="67"/>
  <c r="AC365" i="67"/>
  <c r="AD365" i="67"/>
  <c r="AE365" i="67"/>
  <c r="AF365" i="67"/>
  <c r="AG365" i="67"/>
  <c r="AH365" i="67"/>
  <c r="AI365" i="67"/>
  <c r="AJ365" i="67"/>
  <c r="AK365" i="67"/>
  <c r="AL365" i="67"/>
  <c r="AM365" i="67"/>
  <c r="AN365" i="67"/>
  <c r="AO365" i="67"/>
  <c r="AP365" i="67"/>
  <c r="AQ365" i="67"/>
  <c r="AR365" i="67"/>
  <c r="AS365" i="67"/>
  <c r="AT365" i="67"/>
  <c r="AU365" i="67"/>
  <c r="AW365" i="67"/>
  <c r="AX365" i="67"/>
  <c r="AY365" i="67"/>
  <c r="BA365" i="67"/>
  <c r="A366" i="67"/>
  <c r="B366" i="67"/>
  <c r="D366" i="67"/>
  <c r="E366" i="67"/>
  <c r="F366" i="67"/>
  <c r="G366" i="67"/>
  <c r="H366" i="67"/>
  <c r="J366" i="67"/>
  <c r="K366" i="67"/>
  <c r="L366" i="67"/>
  <c r="M366" i="67"/>
  <c r="O366" i="67"/>
  <c r="P366" i="67"/>
  <c r="R366" i="67"/>
  <c r="S366" i="67"/>
  <c r="U366" i="67"/>
  <c r="V366" i="67"/>
  <c r="W366" i="67"/>
  <c r="X366" i="67"/>
  <c r="Z366" i="67"/>
  <c r="AA366" i="67"/>
  <c r="AB366" i="67"/>
  <c r="AC366" i="67"/>
  <c r="AD366" i="67"/>
  <c r="AE366" i="67"/>
  <c r="AF366" i="67"/>
  <c r="AG366" i="67"/>
  <c r="AH366" i="67"/>
  <c r="AI366" i="67"/>
  <c r="AJ366" i="67"/>
  <c r="AK366" i="67"/>
  <c r="AL366" i="67"/>
  <c r="AM366" i="67"/>
  <c r="AN366" i="67"/>
  <c r="AO366" i="67"/>
  <c r="AP366" i="67"/>
  <c r="AQ366" i="67"/>
  <c r="AR366" i="67"/>
  <c r="AS366" i="67"/>
  <c r="AT366" i="67"/>
  <c r="AU366" i="67"/>
  <c r="AW366" i="67"/>
  <c r="AX366" i="67"/>
  <c r="AY366" i="67"/>
  <c r="BA366" i="67"/>
  <c r="A367" i="67"/>
  <c r="B367" i="67"/>
  <c r="D367" i="67"/>
  <c r="E367" i="67"/>
  <c r="F367" i="67"/>
  <c r="G367" i="67"/>
  <c r="H367" i="67"/>
  <c r="J367" i="67"/>
  <c r="K367" i="67"/>
  <c r="L367" i="67"/>
  <c r="M367" i="67"/>
  <c r="O367" i="67"/>
  <c r="P367" i="67"/>
  <c r="R367" i="67"/>
  <c r="S367" i="67"/>
  <c r="U367" i="67"/>
  <c r="V367" i="67"/>
  <c r="W367" i="67"/>
  <c r="X367" i="67"/>
  <c r="Z367" i="67"/>
  <c r="AA367" i="67"/>
  <c r="AB367" i="67"/>
  <c r="AC367" i="67"/>
  <c r="AD367" i="67"/>
  <c r="AE367" i="67"/>
  <c r="AF367" i="67"/>
  <c r="AG367" i="67"/>
  <c r="AH367" i="67"/>
  <c r="AI367" i="67"/>
  <c r="AJ367" i="67"/>
  <c r="AK367" i="67"/>
  <c r="AL367" i="67"/>
  <c r="AM367" i="67"/>
  <c r="AN367" i="67"/>
  <c r="AO367" i="67"/>
  <c r="AP367" i="67"/>
  <c r="AQ367" i="67"/>
  <c r="AR367" i="67"/>
  <c r="AS367" i="67"/>
  <c r="AT367" i="67"/>
  <c r="AU367" i="67"/>
  <c r="AW367" i="67"/>
  <c r="AX367" i="67"/>
  <c r="AY367" i="67"/>
  <c r="BA367" i="67"/>
  <c r="A368" i="67"/>
  <c r="B368" i="67"/>
  <c r="D368" i="67"/>
  <c r="E368" i="67"/>
  <c r="F368" i="67"/>
  <c r="G368" i="67"/>
  <c r="H368" i="67"/>
  <c r="J368" i="67"/>
  <c r="K368" i="67"/>
  <c r="L368" i="67"/>
  <c r="M368" i="67"/>
  <c r="O368" i="67"/>
  <c r="P368" i="67"/>
  <c r="R368" i="67"/>
  <c r="S368" i="67"/>
  <c r="U368" i="67"/>
  <c r="V368" i="67"/>
  <c r="W368" i="67"/>
  <c r="X368" i="67"/>
  <c r="Z368" i="67"/>
  <c r="AA368" i="67"/>
  <c r="AB368" i="67"/>
  <c r="AC368" i="67"/>
  <c r="AD368" i="67"/>
  <c r="AE368" i="67"/>
  <c r="AF368" i="67"/>
  <c r="AG368" i="67"/>
  <c r="AH368" i="67"/>
  <c r="AI368" i="67"/>
  <c r="AJ368" i="67"/>
  <c r="AK368" i="67"/>
  <c r="AL368" i="67"/>
  <c r="AM368" i="67"/>
  <c r="AN368" i="67"/>
  <c r="AO368" i="67"/>
  <c r="AP368" i="67"/>
  <c r="AQ368" i="67"/>
  <c r="AR368" i="67"/>
  <c r="AS368" i="67"/>
  <c r="AT368" i="67"/>
  <c r="AU368" i="67"/>
  <c r="AW368" i="67"/>
  <c r="AX368" i="67"/>
  <c r="AY368" i="67"/>
  <c r="BA368" i="67"/>
  <c r="A369" i="67"/>
  <c r="B369" i="67"/>
  <c r="D369" i="67"/>
  <c r="E369" i="67"/>
  <c r="F369" i="67"/>
  <c r="G369" i="67"/>
  <c r="H369" i="67"/>
  <c r="J369" i="67"/>
  <c r="K369" i="67"/>
  <c r="L369" i="67"/>
  <c r="M369" i="67"/>
  <c r="O369" i="67"/>
  <c r="P369" i="67"/>
  <c r="R369" i="67"/>
  <c r="S369" i="67"/>
  <c r="U369" i="67"/>
  <c r="V369" i="67"/>
  <c r="W369" i="67"/>
  <c r="X369" i="67"/>
  <c r="Z369" i="67"/>
  <c r="AA369" i="67"/>
  <c r="AB369" i="67"/>
  <c r="AC369" i="67"/>
  <c r="AD369" i="67"/>
  <c r="AE369" i="67"/>
  <c r="AF369" i="67"/>
  <c r="AG369" i="67"/>
  <c r="AH369" i="67"/>
  <c r="AI369" i="67"/>
  <c r="AJ369" i="67"/>
  <c r="AK369" i="67"/>
  <c r="AL369" i="67"/>
  <c r="AM369" i="67"/>
  <c r="AN369" i="67"/>
  <c r="AO369" i="67"/>
  <c r="AP369" i="67"/>
  <c r="AQ369" i="67"/>
  <c r="AR369" i="67"/>
  <c r="AS369" i="67"/>
  <c r="AT369" i="67"/>
  <c r="AU369" i="67"/>
  <c r="AW369" i="67"/>
  <c r="AX369" i="67"/>
  <c r="AY369" i="67"/>
  <c r="BA369" i="67"/>
  <c r="A370" i="67"/>
  <c r="B370" i="67"/>
  <c r="D370" i="67"/>
  <c r="E370" i="67"/>
  <c r="F370" i="67"/>
  <c r="G370" i="67"/>
  <c r="H370" i="67"/>
  <c r="J370" i="67"/>
  <c r="K370" i="67"/>
  <c r="L370" i="67"/>
  <c r="M370" i="67"/>
  <c r="O370" i="67"/>
  <c r="P370" i="67"/>
  <c r="R370" i="67"/>
  <c r="S370" i="67"/>
  <c r="U370" i="67"/>
  <c r="V370" i="67"/>
  <c r="W370" i="67"/>
  <c r="X370" i="67"/>
  <c r="AO370" i="67"/>
  <c r="AP370" i="67"/>
  <c r="AQ370" i="67"/>
  <c r="AR370" i="67"/>
  <c r="AS370" i="67"/>
  <c r="AT370" i="67"/>
  <c r="AU370" i="67"/>
  <c r="AW370" i="67"/>
  <c r="AX370" i="67"/>
  <c r="AY370" i="67"/>
  <c r="BA370" i="67"/>
  <c r="A371" i="67"/>
  <c r="B371" i="67"/>
  <c r="D371" i="67"/>
  <c r="E371" i="67"/>
  <c r="F371" i="67"/>
  <c r="G371" i="67"/>
  <c r="H371" i="67"/>
  <c r="J371" i="67"/>
  <c r="K371" i="67"/>
  <c r="L371" i="67"/>
  <c r="M371" i="67"/>
  <c r="O371" i="67"/>
  <c r="P371" i="67"/>
  <c r="R371" i="67"/>
  <c r="S371" i="67"/>
  <c r="U371" i="67"/>
  <c r="V371" i="67"/>
  <c r="W371" i="67"/>
  <c r="X371" i="67"/>
  <c r="AO371" i="67"/>
  <c r="AP371" i="67"/>
  <c r="AQ371" i="67"/>
  <c r="AR371" i="67"/>
  <c r="AS371" i="67"/>
  <c r="AT371" i="67"/>
  <c r="AU371" i="67"/>
  <c r="AW371" i="67"/>
  <c r="AX371" i="67"/>
  <c r="AY371" i="67"/>
  <c r="BA371" i="67"/>
  <c r="A372" i="67"/>
  <c r="B372" i="67"/>
  <c r="D372" i="67"/>
  <c r="E372" i="67"/>
  <c r="F372" i="67"/>
  <c r="G372" i="67"/>
  <c r="H372" i="67"/>
  <c r="J372" i="67"/>
  <c r="K372" i="67"/>
  <c r="L372" i="67"/>
  <c r="M372" i="67"/>
  <c r="O372" i="67"/>
  <c r="P372" i="67"/>
  <c r="R372" i="67"/>
  <c r="S372" i="67"/>
  <c r="U372" i="67"/>
  <c r="V372" i="67"/>
  <c r="W372" i="67"/>
  <c r="X372" i="67"/>
  <c r="AO372" i="67"/>
  <c r="AP372" i="67"/>
  <c r="AQ372" i="67"/>
  <c r="AR372" i="67"/>
  <c r="AS372" i="67"/>
  <c r="AT372" i="67"/>
  <c r="AU372" i="67"/>
  <c r="AW372" i="67"/>
  <c r="AX372" i="67"/>
  <c r="AY372" i="67"/>
  <c r="BA372" i="67"/>
  <c r="A373" i="67"/>
  <c r="B373" i="67"/>
  <c r="D373" i="67"/>
  <c r="E373" i="67"/>
  <c r="F373" i="67"/>
  <c r="G373" i="67"/>
  <c r="H373" i="67"/>
  <c r="J373" i="67"/>
  <c r="K373" i="67"/>
  <c r="L373" i="67"/>
  <c r="M373" i="67"/>
  <c r="O373" i="67"/>
  <c r="P373" i="67"/>
  <c r="R373" i="67"/>
  <c r="S373" i="67"/>
  <c r="U373" i="67"/>
  <c r="V373" i="67"/>
  <c r="W373" i="67"/>
  <c r="X373" i="67"/>
  <c r="AO373" i="67"/>
  <c r="AP373" i="67"/>
  <c r="AQ373" i="67"/>
  <c r="AR373" i="67"/>
  <c r="AS373" i="67"/>
  <c r="AT373" i="67"/>
  <c r="AU373" i="67"/>
  <c r="AW373" i="67"/>
  <c r="AX373" i="67"/>
  <c r="AY373" i="67"/>
  <c r="BA373" i="67"/>
  <c r="A374" i="67"/>
  <c r="B374" i="67"/>
  <c r="D374" i="67"/>
  <c r="E374" i="67"/>
  <c r="F374" i="67"/>
  <c r="G374" i="67"/>
  <c r="H374" i="67"/>
  <c r="J374" i="67"/>
  <c r="K374" i="67"/>
  <c r="L374" i="67"/>
  <c r="M374" i="67"/>
  <c r="O374" i="67"/>
  <c r="P374" i="67"/>
  <c r="R374" i="67"/>
  <c r="S374" i="67"/>
  <c r="U374" i="67"/>
  <c r="V374" i="67"/>
  <c r="W374" i="67"/>
  <c r="X374" i="67"/>
  <c r="AO374" i="67"/>
  <c r="AP374" i="67"/>
  <c r="AQ374" i="67"/>
  <c r="AR374" i="67"/>
  <c r="AS374" i="67"/>
  <c r="AT374" i="67"/>
  <c r="AU374" i="67"/>
  <c r="AW374" i="67"/>
  <c r="AX374" i="67"/>
  <c r="AY374" i="67"/>
  <c r="BA374" i="67"/>
  <c r="A375" i="67"/>
  <c r="B375" i="67"/>
  <c r="D375" i="67"/>
  <c r="E375" i="67"/>
  <c r="F375" i="67"/>
  <c r="G375" i="67"/>
  <c r="H375" i="67"/>
  <c r="J375" i="67"/>
  <c r="K375" i="67"/>
  <c r="L375" i="67"/>
  <c r="M375" i="67"/>
  <c r="O375" i="67"/>
  <c r="P375" i="67"/>
  <c r="R375" i="67"/>
  <c r="S375" i="67"/>
  <c r="U375" i="67"/>
  <c r="V375" i="67"/>
  <c r="W375" i="67"/>
  <c r="X375" i="67"/>
  <c r="AO375" i="67"/>
  <c r="AP375" i="67"/>
  <c r="AQ375" i="67"/>
  <c r="AR375" i="67"/>
  <c r="AS375" i="67"/>
  <c r="AT375" i="67"/>
  <c r="AU375" i="67"/>
  <c r="AW375" i="67"/>
  <c r="AX375" i="67"/>
  <c r="AY375" i="67"/>
  <c r="BA375" i="67"/>
  <c r="A376" i="67"/>
  <c r="B376" i="67"/>
  <c r="D376" i="67"/>
  <c r="E376" i="67"/>
  <c r="F376" i="67"/>
  <c r="G376" i="67"/>
  <c r="H376" i="67"/>
  <c r="J376" i="67"/>
  <c r="K376" i="67"/>
  <c r="L376" i="67"/>
  <c r="M376" i="67"/>
  <c r="O376" i="67"/>
  <c r="P376" i="67"/>
  <c r="R376" i="67"/>
  <c r="S376" i="67"/>
  <c r="U376" i="67"/>
  <c r="V376" i="67"/>
  <c r="W376" i="67"/>
  <c r="X376" i="67"/>
  <c r="AO376" i="67"/>
  <c r="AP376" i="67"/>
  <c r="AQ376" i="67"/>
  <c r="AR376" i="67"/>
  <c r="AS376" i="67"/>
  <c r="AT376" i="67"/>
  <c r="AU376" i="67"/>
  <c r="AW376" i="67"/>
  <c r="AX376" i="67"/>
  <c r="AY376" i="67"/>
  <c r="BA376" i="67"/>
  <c r="A377" i="67"/>
  <c r="B377" i="67"/>
  <c r="D377" i="67"/>
  <c r="E377" i="67"/>
  <c r="F377" i="67"/>
  <c r="G377" i="67"/>
  <c r="H377" i="67"/>
  <c r="J377" i="67"/>
  <c r="K377" i="67"/>
  <c r="L377" i="67"/>
  <c r="M377" i="67"/>
  <c r="O377" i="67"/>
  <c r="P377" i="67"/>
  <c r="R377" i="67"/>
  <c r="S377" i="67"/>
  <c r="U377" i="67"/>
  <c r="V377" i="67"/>
  <c r="W377" i="67"/>
  <c r="X377" i="67"/>
  <c r="AO377" i="67"/>
  <c r="AP377" i="67"/>
  <c r="AQ377" i="67"/>
  <c r="AR377" i="67"/>
  <c r="AS377" i="67"/>
  <c r="AT377" i="67"/>
  <c r="AU377" i="67"/>
  <c r="AW377" i="67"/>
  <c r="AX377" i="67"/>
  <c r="AY377" i="67"/>
  <c r="BA377" i="67"/>
  <c r="A378" i="67"/>
  <c r="B378" i="67"/>
  <c r="D378" i="67"/>
  <c r="E378" i="67"/>
  <c r="F378" i="67"/>
  <c r="G378" i="67"/>
  <c r="H378" i="67"/>
  <c r="J378" i="67"/>
  <c r="K378" i="67"/>
  <c r="L378" i="67"/>
  <c r="M378" i="67"/>
  <c r="O378" i="67"/>
  <c r="P378" i="67"/>
  <c r="R378" i="67"/>
  <c r="S378" i="67"/>
  <c r="U378" i="67"/>
  <c r="V378" i="67"/>
  <c r="W378" i="67"/>
  <c r="X378" i="67"/>
  <c r="AO378" i="67"/>
  <c r="AP378" i="67"/>
  <c r="AQ378" i="67"/>
  <c r="AR378" i="67"/>
  <c r="AS378" i="67"/>
  <c r="AT378" i="67"/>
  <c r="AU378" i="67"/>
  <c r="AW378" i="67"/>
  <c r="AX378" i="67"/>
  <c r="AY378" i="67"/>
  <c r="BA378" i="67"/>
  <c r="A379" i="67"/>
  <c r="B379" i="67"/>
  <c r="D379" i="67"/>
  <c r="E379" i="67"/>
  <c r="F379" i="67"/>
  <c r="G379" i="67"/>
  <c r="H379" i="67"/>
  <c r="J379" i="67"/>
  <c r="K379" i="67"/>
  <c r="L379" i="67"/>
  <c r="M379" i="67"/>
  <c r="O379" i="67"/>
  <c r="P379" i="67"/>
  <c r="R379" i="67"/>
  <c r="S379" i="67"/>
  <c r="U379" i="67"/>
  <c r="V379" i="67"/>
  <c r="W379" i="67"/>
  <c r="X379" i="67"/>
  <c r="AO379" i="67"/>
  <c r="AP379" i="67"/>
  <c r="AQ379" i="67"/>
  <c r="AR379" i="67"/>
  <c r="AS379" i="67"/>
  <c r="AT379" i="67"/>
  <c r="AU379" i="67"/>
  <c r="AW379" i="67"/>
  <c r="AX379" i="67"/>
  <c r="AY379" i="67"/>
  <c r="BA379" i="67"/>
  <c r="A380" i="67"/>
  <c r="B380" i="67"/>
  <c r="D380" i="67"/>
  <c r="E380" i="67"/>
  <c r="F380" i="67"/>
  <c r="G380" i="67"/>
  <c r="H380" i="67"/>
  <c r="J380" i="67"/>
  <c r="K380" i="67"/>
  <c r="L380" i="67"/>
  <c r="M380" i="67"/>
  <c r="O380" i="67"/>
  <c r="P380" i="67"/>
  <c r="R380" i="67"/>
  <c r="S380" i="67"/>
  <c r="U380" i="67"/>
  <c r="V380" i="67"/>
  <c r="W380" i="67"/>
  <c r="X380" i="67"/>
  <c r="AO380" i="67"/>
  <c r="AP380" i="67"/>
  <c r="AQ380" i="67"/>
  <c r="AR380" i="67"/>
  <c r="AS380" i="67"/>
  <c r="AT380" i="67"/>
  <c r="AU380" i="67"/>
  <c r="AW380" i="67"/>
  <c r="AX380" i="67"/>
  <c r="AY380" i="67"/>
  <c r="BA380" i="67"/>
  <c r="A381" i="67"/>
  <c r="B381" i="67"/>
  <c r="D381" i="67"/>
  <c r="E381" i="67"/>
  <c r="F381" i="67"/>
  <c r="G381" i="67"/>
  <c r="H381" i="67"/>
  <c r="J381" i="67"/>
  <c r="K381" i="67"/>
  <c r="L381" i="67"/>
  <c r="M381" i="67"/>
  <c r="O381" i="67"/>
  <c r="P381" i="67"/>
  <c r="R381" i="67"/>
  <c r="S381" i="67"/>
  <c r="U381" i="67"/>
  <c r="V381" i="67"/>
  <c r="W381" i="67"/>
  <c r="X381" i="67"/>
  <c r="AO381" i="67"/>
  <c r="AP381" i="67"/>
  <c r="AQ381" i="67"/>
  <c r="AR381" i="67"/>
  <c r="AS381" i="67"/>
  <c r="AT381" i="67"/>
  <c r="AU381" i="67"/>
  <c r="AW381" i="67"/>
  <c r="AX381" i="67"/>
  <c r="AY381" i="67"/>
  <c r="BA381" i="67"/>
  <c r="A382" i="67"/>
  <c r="B382" i="67"/>
  <c r="D382" i="67"/>
  <c r="E382" i="67"/>
  <c r="F382" i="67"/>
  <c r="G382" i="67"/>
  <c r="H382" i="67"/>
  <c r="J382" i="67"/>
  <c r="K382" i="67"/>
  <c r="L382" i="67"/>
  <c r="M382" i="67"/>
  <c r="O382" i="67"/>
  <c r="P382" i="67"/>
  <c r="R382" i="67"/>
  <c r="S382" i="67"/>
  <c r="U382" i="67"/>
  <c r="V382" i="67"/>
  <c r="W382" i="67"/>
  <c r="X382" i="67"/>
  <c r="AO382" i="67"/>
  <c r="AP382" i="67"/>
  <c r="AQ382" i="67"/>
  <c r="AR382" i="67"/>
  <c r="AS382" i="67"/>
  <c r="AT382" i="67"/>
  <c r="AU382" i="67"/>
  <c r="AW382" i="67"/>
  <c r="AX382" i="67"/>
  <c r="AY382" i="67"/>
  <c r="BA382" i="67"/>
  <c r="A383" i="67"/>
  <c r="B383" i="67"/>
  <c r="D383" i="67"/>
  <c r="E383" i="67"/>
  <c r="F383" i="67"/>
  <c r="G383" i="67"/>
  <c r="H383" i="67"/>
  <c r="J383" i="67"/>
  <c r="K383" i="67"/>
  <c r="L383" i="67"/>
  <c r="M383" i="67"/>
  <c r="O383" i="67"/>
  <c r="P383" i="67"/>
  <c r="R383" i="67"/>
  <c r="S383" i="67"/>
  <c r="U383" i="67"/>
  <c r="V383" i="67"/>
  <c r="W383" i="67"/>
  <c r="X383" i="67"/>
  <c r="AO383" i="67"/>
  <c r="AP383" i="67"/>
  <c r="AQ383" i="67"/>
  <c r="AR383" i="67"/>
  <c r="AS383" i="67"/>
  <c r="AT383" i="67"/>
  <c r="AU383" i="67"/>
  <c r="AW383" i="67"/>
  <c r="AX383" i="67"/>
  <c r="AY383" i="67"/>
  <c r="BA383" i="67"/>
  <c r="A384" i="67"/>
  <c r="B384" i="67"/>
  <c r="D384" i="67"/>
  <c r="E384" i="67"/>
  <c r="F384" i="67"/>
  <c r="G384" i="67"/>
  <c r="H384" i="67"/>
  <c r="J384" i="67"/>
  <c r="K384" i="67"/>
  <c r="L384" i="67"/>
  <c r="M384" i="67"/>
  <c r="O384" i="67"/>
  <c r="P384" i="67"/>
  <c r="R384" i="67"/>
  <c r="S384" i="67"/>
  <c r="U384" i="67"/>
  <c r="V384" i="67"/>
  <c r="W384" i="67"/>
  <c r="X384" i="67"/>
  <c r="AO384" i="67"/>
  <c r="AP384" i="67"/>
  <c r="AQ384" i="67"/>
  <c r="AR384" i="67"/>
  <c r="AS384" i="67"/>
  <c r="AT384" i="67"/>
  <c r="AU384" i="67"/>
  <c r="AW384" i="67"/>
  <c r="AX384" i="67"/>
  <c r="AY384" i="67"/>
  <c r="BA384" i="67"/>
  <c r="A385" i="67"/>
  <c r="B385" i="67"/>
  <c r="D385" i="67"/>
  <c r="E385" i="67"/>
  <c r="F385" i="67"/>
  <c r="G385" i="67"/>
  <c r="H385" i="67"/>
  <c r="J385" i="67"/>
  <c r="K385" i="67"/>
  <c r="L385" i="67"/>
  <c r="M385" i="67"/>
  <c r="O385" i="67"/>
  <c r="P385" i="67"/>
  <c r="R385" i="67"/>
  <c r="S385" i="67"/>
  <c r="U385" i="67"/>
  <c r="V385" i="67"/>
  <c r="W385" i="67"/>
  <c r="X385" i="67"/>
  <c r="AO385" i="67"/>
  <c r="AP385" i="67"/>
  <c r="AQ385" i="67"/>
  <c r="AR385" i="67"/>
  <c r="AS385" i="67"/>
  <c r="AT385" i="67"/>
  <c r="AU385" i="67"/>
  <c r="AW385" i="67"/>
  <c r="AX385" i="67"/>
  <c r="AY385" i="67"/>
  <c r="BA385" i="67"/>
  <c r="A386" i="67"/>
  <c r="B386" i="67"/>
  <c r="D386" i="67"/>
  <c r="E386" i="67"/>
  <c r="F386" i="67"/>
  <c r="G386" i="67"/>
  <c r="H386" i="67"/>
  <c r="J386" i="67"/>
  <c r="K386" i="67"/>
  <c r="L386" i="67"/>
  <c r="M386" i="67"/>
  <c r="O386" i="67"/>
  <c r="P386" i="67"/>
  <c r="R386" i="67"/>
  <c r="S386" i="67"/>
  <c r="U386" i="67"/>
  <c r="V386" i="67"/>
  <c r="W386" i="67"/>
  <c r="X386" i="67"/>
  <c r="AO386" i="67"/>
  <c r="AP386" i="67"/>
  <c r="AQ386" i="67"/>
  <c r="AR386" i="67"/>
  <c r="AS386" i="67"/>
  <c r="AT386" i="67"/>
  <c r="AU386" i="67"/>
  <c r="AW386" i="67"/>
  <c r="AX386" i="67"/>
  <c r="AY386" i="67"/>
  <c r="BA386" i="67"/>
  <c r="A387" i="67"/>
  <c r="B387" i="67"/>
  <c r="D387" i="67"/>
  <c r="E387" i="67"/>
  <c r="F387" i="67"/>
  <c r="G387" i="67"/>
  <c r="H387" i="67"/>
  <c r="J387" i="67"/>
  <c r="K387" i="67"/>
  <c r="L387" i="67"/>
  <c r="M387" i="67"/>
  <c r="O387" i="67"/>
  <c r="P387" i="67"/>
  <c r="R387" i="67"/>
  <c r="S387" i="67"/>
  <c r="U387" i="67"/>
  <c r="V387" i="67"/>
  <c r="W387" i="67"/>
  <c r="X387" i="67"/>
  <c r="AO387" i="67"/>
  <c r="AP387" i="67"/>
  <c r="AQ387" i="67"/>
  <c r="AR387" i="67"/>
  <c r="AS387" i="67"/>
  <c r="AT387" i="67"/>
  <c r="AU387" i="67"/>
  <c r="AW387" i="67"/>
  <c r="AX387" i="67"/>
  <c r="AY387" i="67"/>
  <c r="BA387" i="67"/>
  <c r="A388" i="67"/>
  <c r="B388" i="67"/>
  <c r="D388" i="67"/>
  <c r="E388" i="67"/>
  <c r="F388" i="67"/>
  <c r="G388" i="67"/>
  <c r="H388" i="67"/>
  <c r="J388" i="67"/>
  <c r="K388" i="67"/>
  <c r="L388" i="67"/>
  <c r="M388" i="67"/>
  <c r="O388" i="67"/>
  <c r="P388" i="67"/>
  <c r="R388" i="67"/>
  <c r="S388" i="67"/>
  <c r="U388" i="67"/>
  <c r="V388" i="67"/>
  <c r="W388" i="67"/>
  <c r="X388" i="67"/>
  <c r="AO388" i="67"/>
  <c r="AP388" i="67"/>
  <c r="AQ388" i="67"/>
  <c r="AR388" i="67"/>
  <c r="AS388" i="67"/>
  <c r="AT388" i="67"/>
  <c r="AU388" i="67"/>
  <c r="AW388" i="67"/>
  <c r="AX388" i="67"/>
  <c r="AY388" i="67"/>
  <c r="BA388" i="67"/>
  <c r="A389" i="67"/>
  <c r="B389" i="67"/>
  <c r="D389" i="67"/>
  <c r="E389" i="67"/>
  <c r="F389" i="67"/>
  <c r="G389" i="67"/>
  <c r="H389" i="67"/>
  <c r="J389" i="67"/>
  <c r="K389" i="67"/>
  <c r="L389" i="67"/>
  <c r="M389" i="67"/>
  <c r="O389" i="67"/>
  <c r="P389" i="67"/>
  <c r="R389" i="67"/>
  <c r="S389" i="67"/>
  <c r="U389" i="67"/>
  <c r="V389" i="67"/>
  <c r="W389" i="67"/>
  <c r="X389" i="67"/>
  <c r="AO389" i="67"/>
  <c r="AP389" i="67"/>
  <c r="AQ389" i="67"/>
  <c r="AR389" i="67"/>
  <c r="AS389" i="67"/>
  <c r="AT389" i="67"/>
  <c r="AU389" i="67"/>
  <c r="AW389" i="67"/>
  <c r="AX389" i="67"/>
  <c r="AY389" i="67"/>
  <c r="BA389" i="67"/>
  <c r="A390" i="67"/>
  <c r="B390" i="67"/>
  <c r="D390" i="67"/>
  <c r="E390" i="67"/>
  <c r="F390" i="67"/>
  <c r="G390" i="67"/>
  <c r="H390" i="67"/>
  <c r="J390" i="67"/>
  <c r="K390" i="67"/>
  <c r="L390" i="67"/>
  <c r="M390" i="67"/>
  <c r="O390" i="67"/>
  <c r="P390" i="67"/>
  <c r="R390" i="67"/>
  <c r="S390" i="67"/>
  <c r="U390" i="67"/>
  <c r="V390" i="67"/>
  <c r="W390" i="67"/>
  <c r="X390" i="67"/>
  <c r="AO390" i="67"/>
  <c r="AP390" i="67"/>
  <c r="AQ390" i="67"/>
  <c r="AR390" i="67"/>
  <c r="AS390" i="67"/>
  <c r="AT390" i="67"/>
  <c r="AU390" i="67"/>
  <c r="AW390" i="67"/>
  <c r="AX390" i="67"/>
  <c r="AY390" i="67"/>
  <c r="BA390" i="67"/>
  <c r="A391" i="67"/>
  <c r="B391" i="67"/>
  <c r="D391" i="67"/>
  <c r="E391" i="67"/>
  <c r="F391" i="67"/>
  <c r="G391" i="67"/>
  <c r="H391" i="67"/>
  <c r="J391" i="67"/>
  <c r="K391" i="67"/>
  <c r="L391" i="67"/>
  <c r="M391" i="67"/>
  <c r="O391" i="67"/>
  <c r="P391" i="67"/>
  <c r="R391" i="67"/>
  <c r="S391" i="67"/>
  <c r="U391" i="67"/>
  <c r="V391" i="67"/>
  <c r="W391" i="67"/>
  <c r="X391" i="67"/>
  <c r="AO391" i="67"/>
  <c r="AP391" i="67"/>
  <c r="AQ391" i="67"/>
  <c r="AR391" i="67"/>
  <c r="AS391" i="67"/>
  <c r="AT391" i="67"/>
  <c r="AU391" i="67"/>
  <c r="AW391" i="67"/>
  <c r="AX391" i="67"/>
  <c r="AY391" i="67"/>
  <c r="BA391" i="67"/>
  <c r="A392" i="67"/>
  <c r="B392" i="67"/>
  <c r="D392" i="67"/>
  <c r="E392" i="67"/>
  <c r="F392" i="67"/>
  <c r="G392" i="67"/>
  <c r="H392" i="67"/>
  <c r="J392" i="67"/>
  <c r="K392" i="67"/>
  <c r="L392" i="67"/>
  <c r="M392" i="67"/>
  <c r="O392" i="67"/>
  <c r="P392" i="67"/>
  <c r="R392" i="67"/>
  <c r="S392" i="67"/>
  <c r="U392" i="67"/>
  <c r="V392" i="67"/>
  <c r="W392" i="67"/>
  <c r="X392" i="67"/>
  <c r="AO392" i="67"/>
  <c r="AP392" i="67"/>
  <c r="AQ392" i="67"/>
  <c r="AR392" i="67"/>
  <c r="AS392" i="67"/>
  <c r="AT392" i="67"/>
  <c r="AU392" i="67"/>
  <c r="AW392" i="67"/>
  <c r="AX392" i="67"/>
  <c r="AY392" i="67"/>
  <c r="BA392" i="67"/>
  <c r="A393" i="67"/>
  <c r="B393" i="67"/>
  <c r="D393" i="67"/>
  <c r="E393" i="67"/>
  <c r="F393" i="67"/>
  <c r="G393" i="67"/>
  <c r="H393" i="67"/>
  <c r="J393" i="67"/>
  <c r="K393" i="67"/>
  <c r="L393" i="67"/>
  <c r="M393" i="67"/>
  <c r="O393" i="67"/>
  <c r="P393" i="67"/>
  <c r="R393" i="67"/>
  <c r="S393" i="67"/>
  <c r="U393" i="67"/>
  <c r="V393" i="67"/>
  <c r="W393" i="67"/>
  <c r="X393" i="67"/>
  <c r="AO393" i="67"/>
  <c r="AP393" i="67"/>
  <c r="AQ393" i="67"/>
  <c r="AR393" i="67"/>
  <c r="AS393" i="67"/>
  <c r="AT393" i="67"/>
  <c r="AU393" i="67"/>
  <c r="AW393" i="67"/>
  <c r="AX393" i="67"/>
  <c r="AY393" i="67"/>
  <c r="BA393" i="67"/>
  <c r="A394" i="67"/>
  <c r="B394" i="67"/>
  <c r="D394" i="67"/>
  <c r="E394" i="67"/>
  <c r="F394" i="67"/>
  <c r="G394" i="67"/>
  <c r="H394" i="67"/>
  <c r="J394" i="67"/>
  <c r="K394" i="67"/>
  <c r="L394" i="67"/>
  <c r="M394" i="67"/>
  <c r="O394" i="67"/>
  <c r="P394" i="67"/>
  <c r="R394" i="67"/>
  <c r="S394" i="67"/>
  <c r="U394" i="67"/>
  <c r="V394" i="67"/>
  <c r="W394" i="67"/>
  <c r="X394" i="67"/>
  <c r="AO394" i="67"/>
  <c r="AP394" i="67"/>
  <c r="AQ394" i="67"/>
  <c r="AR394" i="67"/>
  <c r="AS394" i="67"/>
  <c r="AT394" i="67"/>
  <c r="AU394" i="67"/>
  <c r="AW394" i="67"/>
  <c r="AX394" i="67"/>
  <c r="AY394" i="67"/>
  <c r="BA394" i="67"/>
  <c r="A395" i="67"/>
  <c r="B395" i="67"/>
  <c r="D395" i="67"/>
  <c r="E395" i="67"/>
  <c r="F395" i="67"/>
  <c r="G395" i="67"/>
  <c r="H395" i="67"/>
  <c r="J395" i="67"/>
  <c r="K395" i="67"/>
  <c r="L395" i="67"/>
  <c r="M395" i="67"/>
  <c r="O395" i="67"/>
  <c r="P395" i="67"/>
  <c r="R395" i="67"/>
  <c r="S395" i="67"/>
  <c r="U395" i="67"/>
  <c r="V395" i="67"/>
  <c r="W395" i="67"/>
  <c r="X395" i="67"/>
  <c r="AO395" i="67"/>
  <c r="AP395" i="67"/>
  <c r="AQ395" i="67"/>
  <c r="AR395" i="67"/>
  <c r="AS395" i="67"/>
  <c r="AT395" i="67"/>
  <c r="AU395" i="67"/>
  <c r="AW395" i="67"/>
  <c r="AX395" i="67"/>
  <c r="AY395" i="67"/>
  <c r="BA395" i="67"/>
  <c r="A396" i="67"/>
  <c r="B396" i="67"/>
  <c r="D396" i="67"/>
  <c r="E396" i="67"/>
  <c r="F396" i="67"/>
  <c r="G396" i="67"/>
  <c r="H396" i="67"/>
  <c r="J396" i="67"/>
  <c r="K396" i="67"/>
  <c r="L396" i="67"/>
  <c r="M396" i="67"/>
  <c r="O396" i="67"/>
  <c r="P396" i="67"/>
  <c r="R396" i="67"/>
  <c r="S396" i="67"/>
  <c r="U396" i="67"/>
  <c r="V396" i="67"/>
  <c r="W396" i="67"/>
  <c r="X396" i="67"/>
  <c r="AO396" i="67"/>
  <c r="AP396" i="67"/>
  <c r="AQ396" i="67"/>
  <c r="AR396" i="67"/>
  <c r="AS396" i="67"/>
  <c r="AT396" i="67"/>
  <c r="AU396" i="67"/>
  <c r="AW396" i="67"/>
  <c r="AX396" i="67"/>
  <c r="AY396" i="67"/>
  <c r="BA396" i="67"/>
  <c r="A397" i="67"/>
  <c r="B397" i="67"/>
  <c r="D397" i="67"/>
  <c r="E397" i="67"/>
  <c r="F397" i="67"/>
  <c r="G397" i="67"/>
  <c r="H397" i="67"/>
  <c r="J397" i="67"/>
  <c r="K397" i="67"/>
  <c r="L397" i="67"/>
  <c r="M397" i="67"/>
  <c r="O397" i="67"/>
  <c r="P397" i="67"/>
  <c r="R397" i="67"/>
  <c r="S397" i="67"/>
  <c r="U397" i="67"/>
  <c r="V397" i="67"/>
  <c r="W397" i="67"/>
  <c r="X397" i="67"/>
  <c r="AO397" i="67"/>
  <c r="AP397" i="67"/>
  <c r="AQ397" i="67"/>
  <c r="AR397" i="67"/>
  <c r="AS397" i="67"/>
  <c r="AT397" i="67"/>
  <c r="AU397" i="67"/>
  <c r="AW397" i="67"/>
  <c r="AX397" i="67"/>
  <c r="AY397" i="67"/>
  <c r="BA397" i="67"/>
  <c r="A398" i="67"/>
  <c r="B398" i="67"/>
  <c r="D398" i="67"/>
  <c r="E398" i="67"/>
  <c r="F398" i="67"/>
  <c r="G398" i="67"/>
  <c r="H398" i="67"/>
  <c r="J398" i="67"/>
  <c r="K398" i="67"/>
  <c r="L398" i="67"/>
  <c r="M398" i="67"/>
  <c r="O398" i="67"/>
  <c r="P398" i="67"/>
  <c r="R398" i="67"/>
  <c r="S398" i="67"/>
  <c r="U398" i="67"/>
  <c r="V398" i="67"/>
  <c r="W398" i="67"/>
  <c r="X398" i="67"/>
  <c r="AO398" i="67"/>
  <c r="AP398" i="67"/>
  <c r="AQ398" i="67"/>
  <c r="AR398" i="67"/>
  <c r="AS398" i="67"/>
  <c r="AT398" i="67"/>
  <c r="AU398" i="67"/>
  <c r="AW398" i="67"/>
  <c r="AX398" i="67"/>
  <c r="AY398" i="67"/>
  <c r="BA398" i="67"/>
  <c r="A399" i="67"/>
  <c r="B399" i="67"/>
  <c r="D399" i="67"/>
  <c r="E399" i="67"/>
  <c r="F399" i="67"/>
  <c r="G399" i="67"/>
  <c r="H399" i="67"/>
  <c r="J399" i="67"/>
  <c r="K399" i="67"/>
  <c r="L399" i="67"/>
  <c r="M399" i="67"/>
  <c r="O399" i="67"/>
  <c r="P399" i="67"/>
  <c r="R399" i="67"/>
  <c r="S399" i="67"/>
  <c r="U399" i="67"/>
  <c r="V399" i="67"/>
  <c r="W399" i="67"/>
  <c r="X399" i="67"/>
  <c r="AO399" i="67"/>
  <c r="AP399" i="67"/>
  <c r="AQ399" i="67"/>
  <c r="AR399" i="67"/>
  <c r="AS399" i="67"/>
  <c r="AT399" i="67"/>
  <c r="AU399" i="67"/>
  <c r="AW399" i="67"/>
  <c r="AX399" i="67"/>
  <c r="AY399" i="67"/>
  <c r="BA399" i="67"/>
  <c r="A400" i="67"/>
  <c r="B400" i="67"/>
  <c r="D400" i="67"/>
  <c r="E400" i="67"/>
  <c r="F400" i="67"/>
  <c r="G400" i="67"/>
  <c r="H400" i="67"/>
  <c r="J400" i="67"/>
  <c r="K400" i="67"/>
  <c r="L400" i="67"/>
  <c r="M400" i="67"/>
  <c r="O400" i="67"/>
  <c r="P400" i="67"/>
  <c r="R400" i="67"/>
  <c r="S400" i="67"/>
  <c r="U400" i="67"/>
  <c r="V400" i="67"/>
  <c r="W400" i="67"/>
  <c r="X400" i="67"/>
  <c r="AO400" i="67"/>
  <c r="AP400" i="67"/>
  <c r="AQ400" i="67"/>
  <c r="AR400" i="67"/>
  <c r="AS400" i="67"/>
  <c r="AT400" i="67"/>
  <c r="AU400" i="67"/>
  <c r="AW400" i="67"/>
  <c r="AX400" i="67"/>
  <c r="AY400" i="67"/>
  <c r="BA400" i="67"/>
  <c r="A401" i="67"/>
  <c r="B401" i="67"/>
  <c r="D401" i="67"/>
  <c r="E401" i="67"/>
  <c r="F401" i="67"/>
  <c r="G401" i="67"/>
  <c r="H401" i="67"/>
  <c r="J401" i="67"/>
  <c r="K401" i="67"/>
  <c r="L401" i="67"/>
  <c r="M401" i="67"/>
  <c r="O401" i="67"/>
  <c r="P401" i="67"/>
  <c r="R401" i="67"/>
  <c r="S401" i="67"/>
  <c r="U401" i="67"/>
  <c r="V401" i="67"/>
  <c r="W401" i="67"/>
  <c r="X401" i="67"/>
  <c r="AO401" i="67"/>
  <c r="AP401" i="67"/>
  <c r="AQ401" i="67"/>
  <c r="AR401" i="67"/>
  <c r="AS401" i="67"/>
  <c r="AT401" i="67"/>
  <c r="AU401" i="67"/>
  <c r="AW401" i="67"/>
  <c r="AX401" i="67"/>
  <c r="AY401" i="67"/>
  <c r="BA401" i="67"/>
  <c r="A402" i="67"/>
  <c r="B402" i="67"/>
  <c r="D402" i="67"/>
  <c r="E402" i="67"/>
  <c r="F402" i="67"/>
  <c r="G402" i="67"/>
  <c r="H402" i="67"/>
  <c r="J402" i="67"/>
  <c r="K402" i="67"/>
  <c r="L402" i="67"/>
  <c r="M402" i="67"/>
  <c r="O402" i="67"/>
  <c r="P402" i="67"/>
  <c r="R402" i="67"/>
  <c r="S402" i="67"/>
  <c r="U402" i="67"/>
  <c r="V402" i="67"/>
  <c r="W402" i="67"/>
  <c r="X402" i="67"/>
  <c r="AO402" i="67"/>
  <c r="AP402" i="67"/>
  <c r="AQ402" i="67"/>
  <c r="AR402" i="67"/>
  <c r="AS402" i="67"/>
  <c r="AT402" i="67"/>
  <c r="AU402" i="67"/>
  <c r="AW402" i="67"/>
  <c r="AX402" i="67"/>
  <c r="AY402" i="67"/>
  <c r="BA402" i="67"/>
  <c r="A403" i="67"/>
  <c r="B403" i="67"/>
  <c r="D403" i="67"/>
  <c r="E403" i="67"/>
  <c r="F403" i="67"/>
  <c r="G403" i="67"/>
  <c r="H403" i="67"/>
  <c r="J403" i="67"/>
  <c r="K403" i="67"/>
  <c r="L403" i="67"/>
  <c r="M403" i="67"/>
  <c r="O403" i="67"/>
  <c r="P403" i="67"/>
  <c r="R403" i="67"/>
  <c r="S403" i="67"/>
  <c r="U403" i="67"/>
  <c r="V403" i="67"/>
  <c r="W403" i="67"/>
  <c r="X403" i="67"/>
  <c r="AO403" i="67"/>
  <c r="AP403" i="67"/>
  <c r="AQ403" i="67"/>
  <c r="AR403" i="67"/>
  <c r="AS403" i="67"/>
  <c r="AT403" i="67"/>
  <c r="AU403" i="67"/>
  <c r="AW403" i="67"/>
  <c r="AX403" i="67"/>
  <c r="AY403" i="67"/>
  <c r="BA403" i="67"/>
  <c r="A404" i="67"/>
  <c r="B404" i="67"/>
  <c r="D404" i="67"/>
  <c r="E404" i="67"/>
  <c r="F404" i="67"/>
  <c r="G404" i="67"/>
  <c r="H404" i="67"/>
  <c r="J404" i="67"/>
  <c r="K404" i="67"/>
  <c r="L404" i="67"/>
  <c r="M404" i="67"/>
  <c r="O404" i="67"/>
  <c r="P404" i="67"/>
  <c r="R404" i="67"/>
  <c r="S404" i="67"/>
  <c r="U404" i="67"/>
  <c r="V404" i="67"/>
  <c r="W404" i="67"/>
  <c r="X404" i="67"/>
  <c r="AO404" i="67"/>
  <c r="AP404" i="67"/>
  <c r="AQ404" i="67"/>
  <c r="AR404" i="67"/>
  <c r="AS404" i="67"/>
  <c r="AT404" i="67"/>
  <c r="AU404" i="67"/>
  <c r="AW404" i="67"/>
  <c r="AX404" i="67"/>
  <c r="AY404" i="67"/>
  <c r="BA404" i="67"/>
  <c r="A405" i="67"/>
  <c r="B405" i="67"/>
  <c r="D405" i="67"/>
  <c r="E405" i="67"/>
  <c r="F405" i="67"/>
  <c r="G405" i="67"/>
  <c r="H405" i="67"/>
  <c r="J405" i="67"/>
  <c r="K405" i="67"/>
  <c r="L405" i="67"/>
  <c r="M405" i="67"/>
  <c r="O405" i="67"/>
  <c r="P405" i="67"/>
  <c r="R405" i="67"/>
  <c r="S405" i="67"/>
  <c r="U405" i="67"/>
  <c r="V405" i="67"/>
  <c r="W405" i="67"/>
  <c r="X405" i="67"/>
  <c r="AO405" i="67"/>
  <c r="AP405" i="67"/>
  <c r="AQ405" i="67"/>
  <c r="AR405" i="67"/>
  <c r="AS405" i="67"/>
  <c r="AT405" i="67"/>
  <c r="AU405" i="67"/>
  <c r="AW405" i="67"/>
  <c r="AX405" i="67"/>
  <c r="AY405" i="67"/>
  <c r="BA405" i="67"/>
  <c r="A406" i="67"/>
  <c r="B406" i="67"/>
  <c r="D406" i="67"/>
  <c r="E406" i="67"/>
  <c r="F406" i="67"/>
  <c r="G406" i="67"/>
  <c r="H406" i="67"/>
  <c r="J406" i="67"/>
  <c r="K406" i="67"/>
  <c r="L406" i="67"/>
  <c r="M406" i="67"/>
  <c r="O406" i="67"/>
  <c r="P406" i="67"/>
  <c r="R406" i="67"/>
  <c r="S406" i="67"/>
  <c r="U406" i="67"/>
  <c r="V406" i="67"/>
  <c r="W406" i="67"/>
  <c r="X406" i="67"/>
  <c r="AO406" i="67"/>
  <c r="AP406" i="67"/>
  <c r="AQ406" i="67"/>
  <c r="AR406" i="67"/>
  <c r="AS406" i="67"/>
  <c r="AT406" i="67"/>
  <c r="AU406" i="67"/>
  <c r="AW406" i="67"/>
  <c r="AX406" i="67"/>
  <c r="AY406" i="67"/>
  <c r="BA406" i="67"/>
  <c r="A407" i="67"/>
  <c r="B407" i="67"/>
  <c r="D407" i="67"/>
  <c r="E407" i="67"/>
  <c r="F407" i="67"/>
  <c r="G407" i="67"/>
  <c r="H407" i="67"/>
  <c r="J407" i="67"/>
  <c r="K407" i="67"/>
  <c r="L407" i="67"/>
  <c r="M407" i="67"/>
  <c r="O407" i="67"/>
  <c r="P407" i="67"/>
  <c r="R407" i="67"/>
  <c r="S407" i="67"/>
  <c r="U407" i="67"/>
  <c r="V407" i="67"/>
  <c r="W407" i="67"/>
  <c r="X407" i="67"/>
  <c r="AO407" i="67"/>
  <c r="AP407" i="67"/>
  <c r="AQ407" i="67"/>
  <c r="AR407" i="67"/>
  <c r="AS407" i="67"/>
  <c r="AT407" i="67"/>
  <c r="AU407" i="67"/>
  <c r="AW407" i="67"/>
  <c r="AX407" i="67"/>
  <c r="AY407" i="67"/>
  <c r="BA407" i="67"/>
  <c r="A408" i="67"/>
  <c r="B408" i="67"/>
  <c r="D408" i="67"/>
  <c r="E408" i="67"/>
  <c r="F408" i="67"/>
  <c r="G408" i="67"/>
  <c r="H408" i="67"/>
  <c r="J408" i="67"/>
  <c r="K408" i="67"/>
  <c r="L408" i="67"/>
  <c r="M408" i="67"/>
  <c r="O408" i="67"/>
  <c r="P408" i="67"/>
  <c r="R408" i="67"/>
  <c r="S408" i="67"/>
  <c r="U408" i="67"/>
  <c r="V408" i="67"/>
  <c r="W408" i="67"/>
  <c r="X408" i="67"/>
  <c r="AO408" i="67"/>
  <c r="AP408" i="67"/>
  <c r="AQ408" i="67"/>
  <c r="AR408" i="67"/>
  <c r="AS408" i="67"/>
  <c r="AT408" i="67"/>
  <c r="AU408" i="67"/>
  <c r="AW408" i="67"/>
  <c r="AX408" i="67"/>
  <c r="AY408" i="67"/>
  <c r="BA408" i="67"/>
  <c r="A409" i="67"/>
  <c r="B409" i="67"/>
  <c r="D409" i="67"/>
  <c r="E409" i="67"/>
  <c r="F409" i="67"/>
  <c r="G409" i="67"/>
  <c r="H409" i="67"/>
  <c r="J409" i="67"/>
  <c r="K409" i="67"/>
  <c r="L409" i="67"/>
  <c r="M409" i="67"/>
  <c r="O409" i="67"/>
  <c r="P409" i="67"/>
  <c r="R409" i="67"/>
  <c r="S409" i="67"/>
  <c r="U409" i="67"/>
  <c r="V409" i="67"/>
  <c r="W409" i="67"/>
  <c r="X409" i="67"/>
  <c r="AO409" i="67"/>
  <c r="AP409" i="67"/>
  <c r="AQ409" i="67"/>
  <c r="AR409" i="67"/>
  <c r="AS409" i="67"/>
  <c r="AT409" i="67"/>
  <c r="AU409" i="67"/>
  <c r="AW409" i="67"/>
  <c r="AX409" i="67"/>
  <c r="AY409" i="67"/>
  <c r="BA409" i="67"/>
  <c r="A410" i="67"/>
  <c r="B410" i="67"/>
  <c r="D410" i="67"/>
  <c r="E410" i="67"/>
  <c r="F410" i="67"/>
  <c r="G410" i="67"/>
  <c r="H410" i="67"/>
  <c r="J410" i="67"/>
  <c r="K410" i="67"/>
  <c r="L410" i="67"/>
  <c r="M410" i="67"/>
  <c r="O410" i="67"/>
  <c r="P410" i="67"/>
  <c r="R410" i="67"/>
  <c r="S410" i="67"/>
  <c r="U410" i="67"/>
  <c r="V410" i="67"/>
  <c r="W410" i="67"/>
  <c r="X410" i="67"/>
  <c r="AO410" i="67"/>
  <c r="AP410" i="67"/>
  <c r="AQ410" i="67"/>
  <c r="AR410" i="67"/>
  <c r="AS410" i="67"/>
  <c r="AT410" i="67"/>
  <c r="AU410" i="67"/>
  <c r="AW410" i="67"/>
  <c r="AX410" i="67"/>
  <c r="AY410" i="67"/>
  <c r="BA410" i="67"/>
  <c r="A411" i="67"/>
  <c r="B411" i="67"/>
  <c r="D411" i="67"/>
  <c r="E411" i="67"/>
  <c r="F411" i="67"/>
  <c r="G411" i="67"/>
  <c r="H411" i="67"/>
  <c r="J411" i="67"/>
  <c r="K411" i="67"/>
  <c r="L411" i="67"/>
  <c r="M411" i="67"/>
  <c r="O411" i="67"/>
  <c r="P411" i="67"/>
  <c r="R411" i="67"/>
  <c r="S411" i="67"/>
  <c r="U411" i="67"/>
  <c r="V411" i="67"/>
  <c r="W411" i="67"/>
  <c r="X411" i="67"/>
  <c r="AO411" i="67"/>
  <c r="AP411" i="67"/>
  <c r="AQ411" i="67"/>
  <c r="AR411" i="67"/>
  <c r="AS411" i="67"/>
  <c r="AT411" i="67"/>
  <c r="AU411" i="67"/>
  <c r="AW411" i="67"/>
  <c r="AX411" i="67"/>
  <c r="AY411" i="67"/>
  <c r="BA411" i="67"/>
  <c r="A412" i="67"/>
  <c r="B412" i="67"/>
  <c r="D412" i="67"/>
  <c r="E412" i="67"/>
  <c r="F412" i="67"/>
  <c r="G412" i="67"/>
  <c r="H412" i="67"/>
  <c r="J412" i="67"/>
  <c r="K412" i="67"/>
  <c r="L412" i="67"/>
  <c r="M412" i="67"/>
  <c r="O412" i="67"/>
  <c r="P412" i="67"/>
  <c r="R412" i="67"/>
  <c r="S412" i="67"/>
  <c r="U412" i="67"/>
  <c r="V412" i="67"/>
  <c r="W412" i="67"/>
  <c r="X412" i="67"/>
  <c r="AO412" i="67"/>
  <c r="AP412" i="67"/>
  <c r="AQ412" i="67"/>
  <c r="AR412" i="67"/>
  <c r="AS412" i="67"/>
  <c r="AT412" i="67"/>
  <c r="AU412" i="67"/>
  <c r="AW412" i="67"/>
  <c r="AX412" i="67"/>
  <c r="AY412" i="67"/>
  <c r="BA412" i="67"/>
  <c r="A413" i="67"/>
  <c r="B413" i="67"/>
  <c r="D413" i="67"/>
  <c r="E413" i="67"/>
  <c r="F413" i="67"/>
  <c r="G413" i="67"/>
  <c r="H413" i="67"/>
  <c r="J413" i="67"/>
  <c r="K413" i="67"/>
  <c r="L413" i="67"/>
  <c r="M413" i="67"/>
  <c r="O413" i="67"/>
  <c r="P413" i="67"/>
  <c r="R413" i="67"/>
  <c r="S413" i="67"/>
  <c r="U413" i="67"/>
  <c r="V413" i="67"/>
  <c r="W413" i="67"/>
  <c r="X413" i="67"/>
  <c r="AO413" i="67"/>
  <c r="AP413" i="67"/>
  <c r="AQ413" i="67"/>
  <c r="AR413" i="67"/>
  <c r="AS413" i="67"/>
  <c r="AT413" i="67"/>
  <c r="AU413" i="67"/>
  <c r="AW413" i="67"/>
  <c r="AX413" i="67"/>
  <c r="AY413" i="67"/>
  <c r="BA413" i="67"/>
  <c r="A414" i="67"/>
  <c r="B414" i="67"/>
  <c r="D414" i="67"/>
  <c r="E414" i="67"/>
  <c r="F414" i="67"/>
  <c r="G414" i="67"/>
  <c r="H414" i="67"/>
  <c r="J414" i="67"/>
  <c r="K414" i="67"/>
  <c r="L414" i="67"/>
  <c r="M414" i="67"/>
  <c r="O414" i="67"/>
  <c r="P414" i="67"/>
  <c r="R414" i="67"/>
  <c r="S414" i="67"/>
  <c r="U414" i="67"/>
  <c r="V414" i="67"/>
  <c r="W414" i="67"/>
  <c r="X414" i="67"/>
  <c r="AO414" i="67"/>
  <c r="AP414" i="67"/>
  <c r="AQ414" i="67"/>
  <c r="AR414" i="67"/>
  <c r="AS414" i="67"/>
  <c r="AT414" i="67"/>
  <c r="AU414" i="67"/>
  <c r="AW414" i="67"/>
  <c r="AX414" i="67"/>
  <c r="AY414" i="67"/>
  <c r="BA414" i="67"/>
  <c r="A415" i="67"/>
  <c r="B415" i="67"/>
  <c r="D415" i="67"/>
  <c r="E415" i="67"/>
  <c r="F415" i="67"/>
  <c r="G415" i="67"/>
  <c r="H415" i="67"/>
  <c r="J415" i="67"/>
  <c r="K415" i="67"/>
  <c r="L415" i="67"/>
  <c r="M415" i="67"/>
  <c r="O415" i="67"/>
  <c r="P415" i="67"/>
  <c r="R415" i="67"/>
  <c r="S415" i="67"/>
  <c r="U415" i="67"/>
  <c r="V415" i="67"/>
  <c r="W415" i="67"/>
  <c r="X415" i="67"/>
  <c r="AO415" i="67"/>
  <c r="AP415" i="67"/>
  <c r="AQ415" i="67"/>
  <c r="AR415" i="67"/>
  <c r="AS415" i="67"/>
  <c r="AT415" i="67"/>
  <c r="AU415" i="67"/>
  <c r="AW415" i="67"/>
  <c r="AX415" i="67"/>
  <c r="AY415" i="67"/>
  <c r="BA415" i="67"/>
  <c r="A416" i="67"/>
  <c r="B416" i="67"/>
  <c r="D416" i="67"/>
  <c r="E416" i="67"/>
  <c r="F416" i="67"/>
  <c r="G416" i="67"/>
  <c r="H416" i="67"/>
  <c r="J416" i="67"/>
  <c r="K416" i="67"/>
  <c r="L416" i="67"/>
  <c r="M416" i="67"/>
  <c r="O416" i="67"/>
  <c r="P416" i="67"/>
  <c r="R416" i="67"/>
  <c r="S416" i="67"/>
  <c r="U416" i="67"/>
  <c r="V416" i="67"/>
  <c r="W416" i="67"/>
  <c r="X416" i="67"/>
  <c r="AO416" i="67"/>
  <c r="AP416" i="67"/>
  <c r="AQ416" i="67"/>
  <c r="AR416" i="67"/>
  <c r="AS416" i="67"/>
  <c r="AT416" i="67"/>
  <c r="AU416" i="67"/>
  <c r="AW416" i="67"/>
  <c r="AX416" i="67"/>
  <c r="AY416" i="67"/>
  <c r="BA416" i="67"/>
  <c r="A417" i="67"/>
  <c r="B417" i="67"/>
  <c r="D417" i="67"/>
  <c r="E417" i="67"/>
  <c r="F417" i="67"/>
  <c r="G417" i="67"/>
  <c r="H417" i="67"/>
  <c r="J417" i="67"/>
  <c r="K417" i="67"/>
  <c r="L417" i="67"/>
  <c r="M417" i="67"/>
  <c r="O417" i="67"/>
  <c r="P417" i="67"/>
  <c r="R417" i="67"/>
  <c r="S417" i="67"/>
  <c r="U417" i="67"/>
  <c r="V417" i="67"/>
  <c r="W417" i="67"/>
  <c r="X417" i="67"/>
  <c r="AO417" i="67"/>
  <c r="AP417" i="67"/>
  <c r="AQ417" i="67"/>
  <c r="AR417" i="67"/>
  <c r="AS417" i="67"/>
  <c r="AT417" i="67"/>
  <c r="AU417" i="67"/>
  <c r="AW417" i="67"/>
  <c r="AX417" i="67"/>
  <c r="AY417" i="67"/>
  <c r="BA417" i="67"/>
  <c r="A418" i="67"/>
  <c r="B418" i="67"/>
  <c r="D418" i="67"/>
  <c r="E418" i="67"/>
  <c r="F418" i="67"/>
  <c r="G418" i="67"/>
  <c r="H418" i="67"/>
  <c r="J418" i="67"/>
  <c r="K418" i="67"/>
  <c r="L418" i="67"/>
  <c r="M418" i="67"/>
  <c r="O418" i="67"/>
  <c r="P418" i="67"/>
  <c r="R418" i="67"/>
  <c r="S418" i="67"/>
  <c r="U418" i="67"/>
  <c r="V418" i="67"/>
  <c r="W418" i="67"/>
  <c r="X418" i="67"/>
  <c r="AO418" i="67"/>
  <c r="AP418" i="67"/>
  <c r="AQ418" i="67"/>
  <c r="AR418" i="67"/>
  <c r="AS418" i="67"/>
  <c r="AT418" i="67"/>
  <c r="AU418" i="67"/>
  <c r="AW418" i="67"/>
  <c r="AX418" i="67"/>
  <c r="AY418" i="67"/>
  <c r="BA418" i="67"/>
  <c r="A419" i="67"/>
  <c r="B419" i="67"/>
  <c r="D419" i="67"/>
  <c r="E419" i="67"/>
  <c r="F419" i="67"/>
  <c r="G419" i="67"/>
  <c r="H419" i="67"/>
  <c r="J419" i="67"/>
  <c r="K419" i="67"/>
  <c r="L419" i="67"/>
  <c r="M419" i="67"/>
  <c r="O419" i="67"/>
  <c r="P419" i="67"/>
  <c r="R419" i="67"/>
  <c r="S419" i="67"/>
  <c r="U419" i="67"/>
  <c r="V419" i="67"/>
  <c r="W419" i="67"/>
  <c r="X419" i="67"/>
  <c r="AO419" i="67"/>
  <c r="AP419" i="67"/>
  <c r="AQ419" i="67"/>
  <c r="AR419" i="67"/>
  <c r="AS419" i="67"/>
  <c r="AT419" i="67"/>
  <c r="AU419" i="67"/>
  <c r="AW419" i="67"/>
  <c r="AX419" i="67"/>
  <c r="AY419" i="67"/>
  <c r="BA419" i="67"/>
  <c r="A420" i="67"/>
  <c r="B420" i="67"/>
  <c r="D420" i="67"/>
  <c r="E420" i="67"/>
  <c r="F420" i="67"/>
  <c r="G420" i="67"/>
  <c r="H420" i="67"/>
  <c r="J420" i="67"/>
  <c r="K420" i="67"/>
  <c r="L420" i="67"/>
  <c r="M420" i="67"/>
  <c r="O420" i="67"/>
  <c r="P420" i="67"/>
  <c r="R420" i="67"/>
  <c r="S420" i="67"/>
  <c r="U420" i="67"/>
  <c r="V420" i="67"/>
  <c r="W420" i="67"/>
  <c r="X420" i="67"/>
  <c r="AO420" i="67"/>
  <c r="AP420" i="67"/>
  <c r="AQ420" i="67"/>
  <c r="AR420" i="67"/>
  <c r="AS420" i="67"/>
  <c r="AT420" i="67"/>
  <c r="AU420" i="67"/>
  <c r="AW420" i="67"/>
  <c r="AX420" i="67"/>
  <c r="AY420" i="67"/>
  <c r="BA420" i="67"/>
  <c r="A421" i="67"/>
  <c r="B421" i="67"/>
  <c r="D421" i="67"/>
  <c r="E421" i="67"/>
  <c r="F421" i="67"/>
  <c r="G421" i="67"/>
  <c r="H421" i="67"/>
  <c r="J421" i="67"/>
  <c r="K421" i="67"/>
  <c r="L421" i="67"/>
  <c r="M421" i="67"/>
  <c r="O421" i="67"/>
  <c r="P421" i="67"/>
  <c r="R421" i="67"/>
  <c r="S421" i="67"/>
  <c r="U421" i="67"/>
  <c r="V421" i="67"/>
  <c r="W421" i="67"/>
  <c r="X421" i="67"/>
  <c r="AO421" i="67"/>
  <c r="AP421" i="67"/>
  <c r="AQ421" i="67"/>
  <c r="AR421" i="67"/>
  <c r="AS421" i="67"/>
  <c r="AT421" i="67"/>
  <c r="AU421" i="67"/>
  <c r="AW421" i="67"/>
  <c r="AX421" i="67"/>
  <c r="AY421" i="67"/>
  <c r="BA421" i="67"/>
  <c r="A422" i="67"/>
  <c r="B422" i="67"/>
  <c r="D422" i="67"/>
  <c r="E422" i="67"/>
  <c r="F422" i="67"/>
  <c r="G422" i="67"/>
  <c r="H422" i="67"/>
  <c r="J422" i="67"/>
  <c r="K422" i="67"/>
  <c r="L422" i="67"/>
  <c r="M422" i="67"/>
  <c r="O422" i="67"/>
  <c r="P422" i="67"/>
  <c r="R422" i="67"/>
  <c r="S422" i="67"/>
  <c r="U422" i="67"/>
  <c r="V422" i="67"/>
  <c r="W422" i="67"/>
  <c r="X422" i="67"/>
  <c r="AO422" i="67"/>
  <c r="AP422" i="67"/>
  <c r="AQ422" i="67"/>
  <c r="AR422" i="67"/>
  <c r="AS422" i="67"/>
  <c r="AT422" i="67"/>
  <c r="AU422" i="67"/>
  <c r="AW422" i="67"/>
  <c r="AX422" i="67"/>
  <c r="AY422" i="67"/>
  <c r="BA422" i="67"/>
  <c r="A423" i="67"/>
  <c r="B423" i="67"/>
  <c r="D423" i="67"/>
  <c r="E423" i="67"/>
  <c r="F423" i="67"/>
  <c r="G423" i="67"/>
  <c r="H423" i="67"/>
  <c r="J423" i="67"/>
  <c r="K423" i="67"/>
  <c r="L423" i="67"/>
  <c r="M423" i="67"/>
  <c r="O423" i="67"/>
  <c r="P423" i="67"/>
  <c r="R423" i="67"/>
  <c r="S423" i="67"/>
  <c r="U423" i="67"/>
  <c r="V423" i="67"/>
  <c r="W423" i="67"/>
  <c r="X423" i="67"/>
  <c r="AO423" i="67"/>
  <c r="AP423" i="67"/>
  <c r="AQ423" i="67"/>
  <c r="AR423" i="67"/>
  <c r="AS423" i="67"/>
  <c r="AT423" i="67"/>
  <c r="AU423" i="67"/>
  <c r="AW423" i="67"/>
  <c r="AX423" i="67"/>
  <c r="AY423" i="67"/>
  <c r="BA423" i="67"/>
  <c r="A424" i="67"/>
  <c r="B424" i="67"/>
  <c r="D424" i="67"/>
  <c r="E424" i="67"/>
  <c r="F424" i="67"/>
  <c r="G424" i="67"/>
  <c r="H424" i="67"/>
  <c r="J424" i="67"/>
  <c r="K424" i="67"/>
  <c r="L424" i="67"/>
  <c r="M424" i="67"/>
  <c r="O424" i="67"/>
  <c r="P424" i="67"/>
  <c r="R424" i="67"/>
  <c r="S424" i="67"/>
  <c r="U424" i="67"/>
  <c r="V424" i="67"/>
  <c r="W424" i="67"/>
  <c r="X424" i="67"/>
  <c r="AO424" i="67"/>
  <c r="AP424" i="67"/>
  <c r="AQ424" i="67"/>
  <c r="AR424" i="67"/>
  <c r="AS424" i="67"/>
  <c r="AT424" i="67"/>
  <c r="AU424" i="67"/>
  <c r="AW424" i="67"/>
  <c r="AX424" i="67"/>
  <c r="AY424" i="67"/>
  <c r="BA424" i="67"/>
  <c r="A425" i="67"/>
  <c r="B425" i="67"/>
  <c r="D425" i="67"/>
  <c r="E425" i="67"/>
  <c r="F425" i="67"/>
  <c r="G425" i="67"/>
  <c r="H425" i="67"/>
  <c r="J425" i="67"/>
  <c r="K425" i="67"/>
  <c r="L425" i="67"/>
  <c r="M425" i="67"/>
  <c r="O425" i="67"/>
  <c r="P425" i="67"/>
  <c r="R425" i="67"/>
  <c r="S425" i="67"/>
  <c r="U425" i="67"/>
  <c r="V425" i="67"/>
  <c r="W425" i="67"/>
  <c r="X425" i="67"/>
  <c r="AO425" i="67"/>
  <c r="AP425" i="67"/>
  <c r="AQ425" i="67"/>
  <c r="AR425" i="67"/>
  <c r="AS425" i="67"/>
  <c r="AT425" i="67"/>
  <c r="AU425" i="67"/>
  <c r="AW425" i="67"/>
  <c r="AX425" i="67"/>
  <c r="AY425" i="67"/>
  <c r="BA425" i="67"/>
  <c r="A426" i="67"/>
  <c r="B426" i="67"/>
  <c r="D426" i="67"/>
  <c r="E426" i="67"/>
  <c r="F426" i="67"/>
  <c r="G426" i="67"/>
  <c r="H426" i="67"/>
  <c r="J426" i="67"/>
  <c r="K426" i="67"/>
  <c r="L426" i="67"/>
  <c r="M426" i="67"/>
  <c r="O426" i="67"/>
  <c r="P426" i="67"/>
  <c r="R426" i="67"/>
  <c r="S426" i="67"/>
  <c r="U426" i="67"/>
  <c r="V426" i="67"/>
  <c r="W426" i="67"/>
  <c r="X426" i="67"/>
  <c r="AO426" i="67"/>
  <c r="AP426" i="67"/>
  <c r="AQ426" i="67"/>
  <c r="AR426" i="67"/>
  <c r="AS426" i="67"/>
  <c r="AT426" i="67"/>
  <c r="AU426" i="67"/>
  <c r="AW426" i="67"/>
  <c r="AX426" i="67"/>
  <c r="AY426" i="67"/>
  <c r="BA426" i="67"/>
  <c r="A427" i="67"/>
  <c r="B427" i="67"/>
  <c r="D427" i="67"/>
  <c r="E427" i="67"/>
  <c r="F427" i="67"/>
  <c r="G427" i="67"/>
  <c r="H427" i="67"/>
  <c r="J427" i="67"/>
  <c r="K427" i="67"/>
  <c r="L427" i="67"/>
  <c r="M427" i="67"/>
  <c r="O427" i="67"/>
  <c r="P427" i="67"/>
  <c r="R427" i="67"/>
  <c r="S427" i="67"/>
  <c r="U427" i="67"/>
  <c r="V427" i="67"/>
  <c r="W427" i="67"/>
  <c r="X427" i="67"/>
  <c r="AO427" i="67"/>
  <c r="AP427" i="67"/>
  <c r="AQ427" i="67"/>
  <c r="AR427" i="67"/>
  <c r="AS427" i="67"/>
  <c r="AT427" i="67"/>
  <c r="AU427" i="67"/>
  <c r="AW427" i="67"/>
  <c r="AX427" i="67"/>
  <c r="AY427" i="67"/>
  <c r="BA427" i="67"/>
  <c r="A428" i="67"/>
  <c r="B428" i="67"/>
  <c r="D428" i="67"/>
  <c r="E428" i="67"/>
  <c r="F428" i="67"/>
  <c r="G428" i="67"/>
  <c r="H428" i="67"/>
  <c r="J428" i="67"/>
  <c r="K428" i="67"/>
  <c r="L428" i="67"/>
  <c r="M428" i="67"/>
  <c r="O428" i="67"/>
  <c r="P428" i="67"/>
  <c r="R428" i="67"/>
  <c r="S428" i="67"/>
  <c r="U428" i="67"/>
  <c r="V428" i="67"/>
  <c r="W428" i="67"/>
  <c r="X428" i="67"/>
  <c r="AO428" i="67"/>
  <c r="AP428" i="67"/>
  <c r="AQ428" i="67"/>
  <c r="AR428" i="67"/>
  <c r="AS428" i="67"/>
  <c r="AT428" i="67"/>
  <c r="AU428" i="67"/>
  <c r="AW428" i="67"/>
  <c r="AX428" i="67"/>
  <c r="AY428" i="67"/>
  <c r="BA428" i="67"/>
  <c r="A429" i="67"/>
  <c r="B429" i="67"/>
  <c r="D429" i="67"/>
  <c r="E429" i="67"/>
  <c r="F429" i="67"/>
  <c r="G429" i="67"/>
  <c r="H429" i="67"/>
  <c r="J429" i="67"/>
  <c r="K429" i="67"/>
  <c r="L429" i="67"/>
  <c r="M429" i="67"/>
  <c r="O429" i="67"/>
  <c r="P429" i="67"/>
  <c r="R429" i="67"/>
  <c r="S429" i="67"/>
  <c r="U429" i="67"/>
  <c r="V429" i="67"/>
  <c r="W429" i="67"/>
  <c r="X429" i="67"/>
  <c r="AO429" i="67"/>
  <c r="AP429" i="67"/>
  <c r="AQ429" i="67"/>
  <c r="AR429" i="67"/>
  <c r="AS429" i="67"/>
  <c r="AT429" i="67"/>
  <c r="AU429" i="67"/>
  <c r="AW429" i="67"/>
  <c r="AX429" i="67"/>
  <c r="AY429" i="67"/>
  <c r="BA429" i="67"/>
  <c r="A430" i="67"/>
  <c r="B430" i="67"/>
  <c r="D430" i="67"/>
  <c r="E430" i="67"/>
  <c r="F430" i="67"/>
  <c r="G430" i="67"/>
  <c r="H430" i="67"/>
  <c r="J430" i="67"/>
  <c r="K430" i="67"/>
  <c r="L430" i="67"/>
  <c r="M430" i="67"/>
  <c r="O430" i="67"/>
  <c r="P430" i="67"/>
  <c r="R430" i="67"/>
  <c r="S430" i="67"/>
  <c r="U430" i="67"/>
  <c r="V430" i="67"/>
  <c r="W430" i="67"/>
  <c r="X430" i="67"/>
  <c r="AO430" i="67"/>
  <c r="AP430" i="67"/>
  <c r="AQ430" i="67"/>
  <c r="AR430" i="67"/>
  <c r="AS430" i="67"/>
  <c r="AT430" i="67"/>
  <c r="AU430" i="67"/>
  <c r="AW430" i="67"/>
  <c r="AX430" i="67"/>
  <c r="AY430" i="67"/>
  <c r="BA430" i="67"/>
  <c r="A431" i="67"/>
  <c r="B431" i="67"/>
  <c r="D431" i="67"/>
  <c r="E431" i="67"/>
  <c r="F431" i="67"/>
  <c r="G431" i="67"/>
  <c r="H431" i="67"/>
  <c r="J431" i="67"/>
  <c r="K431" i="67"/>
  <c r="L431" i="67"/>
  <c r="M431" i="67"/>
  <c r="O431" i="67"/>
  <c r="P431" i="67"/>
  <c r="R431" i="67"/>
  <c r="S431" i="67"/>
  <c r="U431" i="67"/>
  <c r="V431" i="67"/>
  <c r="W431" i="67"/>
  <c r="X431" i="67"/>
  <c r="AO431" i="67"/>
  <c r="AP431" i="67"/>
  <c r="AQ431" i="67"/>
  <c r="AR431" i="67"/>
  <c r="AS431" i="67"/>
  <c r="AT431" i="67"/>
  <c r="AU431" i="67"/>
  <c r="AW431" i="67"/>
  <c r="AX431" i="67"/>
  <c r="AY431" i="67"/>
  <c r="BA431" i="67"/>
  <c r="A432" i="67"/>
  <c r="B432" i="67"/>
  <c r="D432" i="67"/>
  <c r="E432" i="67"/>
  <c r="F432" i="67"/>
  <c r="G432" i="67"/>
  <c r="H432" i="67"/>
  <c r="J432" i="67"/>
  <c r="K432" i="67"/>
  <c r="L432" i="67"/>
  <c r="M432" i="67"/>
  <c r="O432" i="67"/>
  <c r="P432" i="67"/>
  <c r="R432" i="67"/>
  <c r="S432" i="67"/>
  <c r="U432" i="67"/>
  <c r="V432" i="67"/>
  <c r="W432" i="67"/>
  <c r="X432" i="67"/>
  <c r="AO432" i="67"/>
  <c r="AP432" i="67"/>
  <c r="AQ432" i="67"/>
  <c r="AR432" i="67"/>
  <c r="AS432" i="67"/>
  <c r="AT432" i="67"/>
  <c r="AU432" i="67"/>
  <c r="AW432" i="67"/>
  <c r="AX432" i="67"/>
  <c r="AY432" i="67"/>
  <c r="BA432" i="67"/>
  <c r="A433" i="67"/>
  <c r="B433" i="67"/>
  <c r="D433" i="67"/>
  <c r="E433" i="67"/>
  <c r="F433" i="67"/>
  <c r="G433" i="67"/>
  <c r="H433" i="67"/>
  <c r="J433" i="67"/>
  <c r="K433" i="67"/>
  <c r="L433" i="67"/>
  <c r="M433" i="67"/>
  <c r="O433" i="67"/>
  <c r="P433" i="67"/>
  <c r="R433" i="67"/>
  <c r="S433" i="67"/>
  <c r="U433" i="67"/>
  <c r="V433" i="67"/>
  <c r="W433" i="67"/>
  <c r="X433" i="67"/>
  <c r="AO433" i="67"/>
  <c r="AP433" i="67"/>
  <c r="AQ433" i="67"/>
  <c r="AR433" i="67"/>
  <c r="AS433" i="67"/>
  <c r="AT433" i="67"/>
  <c r="AU433" i="67"/>
  <c r="AW433" i="67"/>
  <c r="AX433" i="67"/>
  <c r="AY433" i="67"/>
  <c r="BA433" i="67"/>
  <c r="A434" i="67"/>
  <c r="B434" i="67"/>
  <c r="D434" i="67"/>
  <c r="E434" i="67"/>
  <c r="F434" i="67"/>
  <c r="G434" i="67"/>
  <c r="H434" i="67"/>
  <c r="J434" i="67"/>
  <c r="K434" i="67"/>
  <c r="L434" i="67"/>
  <c r="M434" i="67"/>
  <c r="O434" i="67"/>
  <c r="P434" i="67"/>
  <c r="R434" i="67"/>
  <c r="S434" i="67"/>
  <c r="U434" i="67"/>
  <c r="V434" i="67"/>
  <c r="W434" i="67"/>
  <c r="X434" i="67"/>
  <c r="AO434" i="67"/>
  <c r="AP434" i="67"/>
  <c r="AQ434" i="67"/>
  <c r="AR434" i="67"/>
  <c r="AS434" i="67"/>
  <c r="AT434" i="67"/>
  <c r="AU434" i="67"/>
  <c r="AW434" i="67"/>
  <c r="AX434" i="67"/>
  <c r="AY434" i="67"/>
  <c r="BA434" i="67"/>
  <c r="A435" i="67"/>
  <c r="B435" i="67"/>
  <c r="D435" i="67"/>
  <c r="E435" i="67"/>
  <c r="F435" i="67"/>
  <c r="G435" i="67"/>
  <c r="H435" i="67"/>
  <c r="J435" i="67"/>
  <c r="K435" i="67"/>
  <c r="L435" i="67"/>
  <c r="M435" i="67"/>
  <c r="O435" i="67"/>
  <c r="P435" i="67"/>
  <c r="R435" i="67"/>
  <c r="S435" i="67"/>
  <c r="U435" i="67"/>
  <c r="V435" i="67"/>
  <c r="W435" i="67"/>
  <c r="X435" i="67"/>
  <c r="AO435" i="67"/>
  <c r="AP435" i="67"/>
  <c r="AQ435" i="67"/>
  <c r="AR435" i="67"/>
  <c r="AS435" i="67"/>
  <c r="AT435" i="67"/>
  <c r="AU435" i="67"/>
  <c r="AW435" i="67"/>
  <c r="AX435" i="67"/>
  <c r="AY435" i="67"/>
  <c r="BA435" i="67"/>
  <c r="A436" i="67"/>
  <c r="B436" i="67"/>
  <c r="D436" i="67"/>
  <c r="E436" i="67"/>
  <c r="F436" i="67"/>
  <c r="G436" i="67"/>
  <c r="H436" i="67"/>
  <c r="J436" i="67"/>
  <c r="K436" i="67"/>
  <c r="L436" i="67"/>
  <c r="M436" i="67"/>
  <c r="O436" i="67"/>
  <c r="P436" i="67"/>
  <c r="R436" i="67"/>
  <c r="S436" i="67"/>
  <c r="U436" i="67"/>
  <c r="V436" i="67"/>
  <c r="W436" i="67"/>
  <c r="X436" i="67"/>
  <c r="AO436" i="67"/>
  <c r="AP436" i="67"/>
  <c r="AQ436" i="67"/>
  <c r="AR436" i="67"/>
  <c r="AS436" i="67"/>
  <c r="AT436" i="67"/>
  <c r="AU436" i="67"/>
  <c r="AW436" i="67"/>
  <c r="AX436" i="67"/>
  <c r="AY436" i="67"/>
  <c r="BA436" i="67"/>
  <c r="A437" i="67"/>
  <c r="B437" i="67"/>
  <c r="D437" i="67"/>
  <c r="E437" i="67"/>
  <c r="F437" i="67"/>
  <c r="G437" i="67"/>
  <c r="H437" i="67"/>
  <c r="J437" i="67"/>
  <c r="K437" i="67"/>
  <c r="L437" i="67"/>
  <c r="M437" i="67"/>
  <c r="O437" i="67"/>
  <c r="P437" i="67"/>
  <c r="R437" i="67"/>
  <c r="S437" i="67"/>
  <c r="U437" i="67"/>
  <c r="V437" i="67"/>
  <c r="W437" i="67"/>
  <c r="X437" i="67"/>
  <c r="AO437" i="67"/>
  <c r="AP437" i="67"/>
  <c r="AQ437" i="67"/>
  <c r="AR437" i="67"/>
  <c r="AS437" i="67"/>
  <c r="AT437" i="67"/>
  <c r="AU437" i="67"/>
  <c r="AW437" i="67"/>
  <c r="AX437" i="67"/>
  <c r="AY437" i="67"/>
  <c r="BA437" i="67"/>
  <c r="A438" i="67"/>
  <c r="B438" i="67"/>
  <c r="D438" i="67"/>
  <c r="E438" i="67"/>
  <c r="F438" i="67"/>
  <c r="G438" i="67"/>
  <c r="H438" i="67"/>
  <c r="J438" i="67"/>
  <c r="K438" i="67"/>
  <c r="L438" i="67"/>
  <c r="M438" i="67"/>
  <c r="O438" i="67"/>
  <c r="P438" i="67"/>
  <c r="R438" i="67"/>
  <c r="S438" i="67"/>
  <c r="U438" i="67"/>
  <c r="V438" i="67"/>
  <c r="W438" i="67"/>
  <c r="X438" i="67"/>
  <c r="AO438" i="67"/>
  <c r="AP438" i="67"/>
  <c r="AQ438" i="67"/>
  <c r="AR438" i="67"/>
  <c r="AS438" i="67"/>
  <c r="AT438" i="67"/>
  <c r="AU438" i="67"/>
  <c r="AW438" i="67"/>
  <c r="AX438" i="67"/>
  <c r="AY438" i="67"/>
  <c r="BA438" i="67"/>
  <c r="A439" i="67"/>
  <c r="B439" i="67"/>
  <c r="D439" i="67"/>
  <c r="E439" i="67"/>
  <c r="F439" i="67"/>
  <c r="G439" i="67"/>
  <c r="H439" i="67"/>
  <c r="J439" i="67"/>
  <c r="K439" i="67"/>
  <c r="L439" i="67"/>
  <c r="M439" i="67"/>
  <c r="O439" i="67"/>
  <c r="P439" i="67"/>
  <c r="R439" i="67"/>
  <c r="S439" i="67"/>
  <c r="U439" i="67"/>
  <c r="V439" i="67"/>
  <c r="W439" i="67"/>
  <c r="X439" i="67"/>
  <c r="AO439" i="67"/>
  <c r="AP439" i="67"/>
  <c r="AQ439" i="67"/>
  <c r="AR439" i="67"/>
  <c r="AS439" i="67"/>
  <c r="AT439" i="67"/>
  <c r="AU439" i="67"/>
  <c r="AW439" i="67"/>
  <c r="AX439" i="67"/>
  <c r="AY439" i="67"/>
  <c r="BA439" i="67"/>
  <c r="A440" i="67"/>
  <c r="B440" i="67"/>
  <c r="D440" i="67"/>
  <c r="E440" i="67"/>
  <c r="F440" i="67"/>
  <c r="G440" i="67"/>
  <c r="H440" i="67"/>
  <c r="J440" i="67"/>
  <c r="K440" i="67"/>
  <c r="L440" i="67"/>
  <c r="M440" i="67"/>
  <c r="O440" i="67"/>
  <c r="P440" i="67"/>
  <c r="R440" i="67"/>
  <c r="S440" i="67"/>
  <c r="U440" i="67"/>
  <c r="V440" i="67"/>
  <c r="W440" i="67"/>
  <c r="X440" i="67"/>
  <c r="AO440" i="67"/>
  <c r="AP440" i="67"/>
  <c r="AQ440" i="67"/>
  <c r="AR440" i="67"/>
  <c r="AS440" i="67"/>
  <c r="AT440" i="67"/>
  <c r="AU440" i="67"/>
  <c r="AW440" i="67"/>
  <c r="AX440" i="67"/>
  <c r="AY440" i="67"/>
  <c r="BA440" i="67"/>
  <c r="A441" i="67"/>
  <c r="B441" i="67"/>
  <c r="D441" i="67"/>
  <c r="E441" i="67"/>
  <c r="F441" i="67"/>
  <c r="G441" i="67"/>
  <c r="H441" i="67"/>
  <c r="J441" i="67"/>
  <c r="K441" i="67"/>
  <c r="L441" i="67"/>
  <c r="M441" i="67"/>
  <c r="O441" i="67"/>
  <c r="P441" i="67"/>
  <c r="R441" i="67"/>
  <c r="S441" i="67"/>
  <c r="U441" i="67"/>
  <c r="V441" i="67"/>
  <c r="W441" i="67"/>
  <c r="X441" i="67"/>
  <c r="AO441" i="67"/>
  <c r="AP441" i="67"/>
  <c r="AQ441" i="67"/>
  <c r="AR441" i="67"/>
  <c r="AS441" i="67"/>
  <c r="AT441" i="67"/>
  <c r="AU441" i="67"/>
  <c r="AW441" i="67"/>
  <c r="AX441" i="67"/>
  <c r="AY441" i="67"/>
  <c r="BA441" i="67"/>
  <c r="A442" i="67"/>
  <c r="B442" i="67"/>
  <c r="D442" i="67"/>
  <c r="E442" i="67"/>
  <c r="F442" i="67"/>
  <c r="G442" i="67"/>
  <c r="H442" i="67"/>
  <c r="J442" i="67"/>
  <c r="K442" i="67"/>
  <c r="L442" i="67"/>
  <c r="M442" i="67"/>
  <c r="O442" i="67"/>
  <c r="P442" i="67"/>
  <c r="R442" i="67"/>
  <c r="S442" i="67"/>
  <c r="U442" i="67"/>
  <c r="V442" i="67"/>
  <c r="W442" i="67"/>
  <c r="X442" i="67"/>
  <c r="AO442" i="67"/>
  <c r="AP442" i="67"/>
  <c r="AQ442" i="67"/>
  <c r="AR442" i="67"/>
  <c r="AS442" i="67"/>
  <c r="AT442" i="67"/>
  <c r="AU442" i="67"/>
  <c r="AW442" i="67"/>
  <c r="AX442" i="67"/>
  <c r="AY442" i="67"/>
  <c r="BA442" i="67"/>
  <c r="A443" i="67"/>
  <c r="B443" i="67"/>
  <c r="D443" i="67"/>
  <c r="E443" i="67"/>
  <c r="F443" i="67"/>
  <c r="G443" i="67"/>
  <c r="H443" i="67"/>
  <c r="J443" i="67"/>
  <c r="K443" i="67"/>
  <c r="L443" i="67"/>
  <c r="M443" i="67"/>
  <c r="O443" i="67"/>
  <c r="P443" i="67"/>
  <c r="R443" i="67"/>
  <c r="S443" i="67"/>
  <c r="U443" i="67"/>
  <c r="V443" i="67"/>
  <c r="W443" i="67"/>
  <c r="X443" i="67"/>
  <c r="AO443" i="67"/>
  <c r="AP443" i="67"/>
  <c r="AQ443" i="67"/>
  <c r="AR443" i="67"/>
  <c r="AS443" i="67"/>
  <c r="AT443" i="67"/>
  <c r="AU443" i="67"/>
  <c r="AW443" i="67"/>
  <c r="AX443" i="67"/>
  <c r="AY443" i="67"/>
  <c r="BA443" i="67"/>
  <c r="A444" i="67"/>
  <c r="B444" i="67"/>
  <c r="D444" i="67"/>
  <c r="E444" i="67"/>
  <c r="F444" i="67"/>
  <c r="G444" i="67"/>
  <c r="H444" i="67"/>
  <c r="J444" i="67"/>
  <c r="K444" i="67"/>
  <c r="L444" i="67"/>
  <c r="M444" i="67"/>
  <c r="O444" i="67"/>
  <c r="P444" i="67"/>
  <c r="R444" i="67"/>
  <c r="S444" i="67"/>
  <c r="U444" i="67"/>
  <c r="V444" i="67"/>
  <c r="W444" i="67"/>
  <c r="X444" i="67"/>
  <c r="AO444" i="67"/>
  <c r="AP444" i="67"/>
  <c r="AQ444" i="67"/>
  <c r="AR444" i="67"/>
  <c r="AS444" i="67"/>
  <c r="AT444" i="67"/>
  <c r="AU444" i="67"/>
  <c r="AW444" i="67"/>
  <c r="AX444" i="67"/>
  <c r="AY444" i="67"/>
  <c r="BA444" i="67"/>
  <c r="A445" i="67"/>
  <c r="B445" i="67"/>
  <c r="D445" i="67"/>
  <c r="E445" i="67"/>
  <c r="F445" i="67"/>
  <c r="G445" i="67"/>
  <c r="H445" i="67"/>
  <c r="J445" i="67"/>
  <c r="K445" i="67"/>
  <c r="L445" i="67"/>
  <c r="M445" i="67"/>
  <c r="O445" i="67"/>
  <c r="P445" i="67"/>
  <c r="R445" i="67"/>
  <c r="S445" i="67"/>
  <c r="U445" i="67"/>
  <c r="V445" i="67"/>
  <c r="W445" i="67"/>
  <c r="X445" i="67"/>
  <c r="AO445" i="67"/>
  <c r="AP445" i="67"/>
  <c r="AQ445" i="67"/>
  <c r="AR445" i="67"/>
  <c r="AS445" i="67"/>
  <c r="AT445" i="67"/>
  <c r="AU445" i="67"/>
  <c r="AW445" i="67"/>
  <c r="AX445" i="67"/>
  <c r="AY445" i="67"/>
  <c r="BA445" i="67"/>
  <c r="A446" i="67"/>
  <c r="B446" i="67"/>
  <c r="D446" i="67"/>
  <c r="E446" i="67"/>
  <c r="F446" i="67"/>
  <c r="G446" i="67"/>
  <c r="H446" i="67"/>
  <c r="J446" i="67"/>
  <c r="K446" i="67"/>
  <c r="L446" i="67"/>
  <c r="M446" i="67"/>
  <c r="O446" i="67"/>
  <c r="P446" i="67"/>
  <c r="R446" i="67"/>
  <c r="S446" i="67"/>
  <c r="U446" i="67"/>
  <c r="V446" i="67"/>
  <c r="W446" i="67"/>
  <c r="X446" i="67"/>
  <c r="AO446" i="67"/>
  <c r="AP446" i="67"/>
  <c r="AQ446" i="67"/>
  <c r="AR446" i="67"/>
  <c r="AS446" i="67"/>
  <c r="AT446" i="67"/>
  <c r="AU446" i="67"/>
  <c r="AW446" i="67"/>
  <c r="AX446" i="67"/>
  <c r="AY446" i="67"/>
  <c r="BA446" i="67"/>
  <c r="A447" i="67"/>
  <c r="B447" i="67"/>
  <c r="D447" i="67"/>
  <c r="E447" i="67"/>
  <c r="F447" i="67"/>
  <c r="G447" i="67"/>
  <c r="H447" i="67"/>
  <c r="J447" i="67"/>
  <c r="K447" i="67"/>
  <c r="L447" i="67"/>
  <c r="M447" i="67"/>
  <c r="O447" i="67"/>
  <c r="P447" i="67"/>
  <c r="R447" i="67"/>
  <c r="S447" i="67"/>
  <c r="U447" i="67"/>
  <c r="V447" i="67"/>
  <c r="W447" i="67"/>
  <c r="X447" i="67"/>
  <c r="AO447" i="67"/>
  <c r="AP447" i="67"/>
  <c r="AQ447" i="67"/>
  <c r="AR447" i="67"/>
  <c r="AS447" i="67"/>
  <c r="AT447" i="67"/>
  <c r="AU447" i="67"/>
  <c r="AW447" i="67"/>
  <c r="AX447" i="67"/>
  <c r="AY447" i="67"/>
  <c r="BA447" i="67"/>
  <c r="A448" i="67"/>
  <c r="B448" i="67"/>
  <c r="D448" i="67"/>
  <c r="E448" i="67"/>
  <c r="F448" i="67"/>
  <c r="G448" i="67"/>
  <c r="H448" i="67"/>
  <c r="J448" i="67"/>
  <c r="K448" i="67"/>
  <c r="L448" i="67"/>
  <c r="M448" i="67"/>
  <c r="O448" i="67"/>
  <c r="P448" i="67"/>
  <c r="R448" i="67"/>
  <c r="S448" i="67"/>
  <c r="U448" i="67"/>
  <c r="V448" i="67"/>
  <c r="W448" i="67"/>
  <c r="X448" i="67"/>
  <c r="AO448" i="67"/>
  <c r="AP448" i="67"/>
  <c r="AQ448" i="67"/>
  <c r="AR448" i="67"/>
  <c r="AS448" i="67"/>
  <c r="AT448" i="67"/>
  <c r="AU448" i="67"/>
  <c r="AW448" i="67"/>
  <c r="AX448" i="67"/>
  <c r="AY448" i="67"/>
  <c r="BA448" i="67"/>
  <c r="A449" i="67"/>
  <c r="B449" i="67"/>
  <c r="D449" i="67"/>
  <c r="E449" i="67"/>
  <c r="F449" i="67"/>
  <c r="G449" i="67"/>
  <c r="H449" i="67"/>
  <c r="J449" i="67"/>
  <c r="K449" i="67"/>
  <c r="L449" i="67"/>
  <c r="M449" i="67"/>
  <c r="O449" i="67"/>
  <c r="P449" i="67"/>
  <c r="R449" i="67"/>
  <c r="S449" i="67"/>
  <c r="U449" i="67"/>
  <c r="V449" i="67"/>
  <c r="W449" i="67"/>
  <c r="X449" i="67"/>
  <c r="AO449" i="67"/>
  <c r="AP449" i="67"/>
  <c r="AQ449" i="67"/>
  <c r="AR449" i="67"/>
  <c r="AS449" i="67"/>
  <c r="AT449" i="67"/>
  <c r="AU449" i="67"/>
  <c r="AW449" i="67"/>
  <c r="AX449" i="67"/>
  <c r="AY449" i="67"/>
  <c r="BA449" i="67"/>
  <c r="A450" i="67"/>
  <c r="B450" i="67"/>
  <c r="D450" i="67"/>
  <c r="E450" i="67"/>
  <c r="F450" i="67"/>
  <c r="G450" i="67"/>
  <c r="H450" i="67"/>
  <c r="J450" i="67"/>
  <c r="K450" i="67"/>
  <c r="L450" i="67"/>
  <c r="M450" i="67"/>
  <c r="O450" i="67"/>
  <c r="P450" i="67"/>
  <c r="R450" i="67"/>
  <c r="S450" i="67"/>
  <c r="U450" i="67"/>
  <c r="V450" i="67"/>
  <c r="W450" i="67"/>
  <c r="X450" i="67"/>
  <c r="AO450" i="67"/>
  <c r="AP450" i="67"/>
  <c r="AQ450" i="67"/>
  <c r="AR450" i="67"/>
  <c r="AS450" i="67"/>
  <c r="AT450" i="67"/>
  <c r="AU450" i="67"/>
  <c r="AW450" i="67"/>
  <c r="AX450" i="67"/>
  <c r="AY450" i="67"/>
  <c r="BA450" i="67"/>
  <c r="A451" i="67"/>
  <c r="B451" i="67"/>
  <c r="D451" i="67"/>
  <c r="E451" i="67"/>
  <c r="F451" i="67"/>
  <c r="G451" i="67"/>
  <c r="H451" i="67"/>
  <c r="J451" i="67"/>
  <c r="K451" i="67"/>
  <c r="L451" i="67"/>
  <c r="M451" i="67"/>
  <c r="O451" i="67"/>
  <c r="P451" i="67"/>
  <c r="R451" i="67"/>
  <c r="S451" i="67"/>
  <c r="U451" i="67"/>
  <c r="V451" i="67"/>
  <c r="W451" i="67"/>
  <c r="X451" i="67"/>
  <c r="AO451" i="67"/>
  <c r="AP451" i="67"/>
  <c r="AQ451" i="67"/>
  <c r="AR451" i="67"/>
  <c r="AS451" i="67"/>
  <c r="AT451" i="67"/>
  <c r="AU451" i="67"/>
  <c r="AW451" i="67"/>
  <c r="AX451" i="67"/>
  <c r="AY451" i="67"/>
  <c r="BA451" i="67"/>
  <c r="A452" i="67"/>
  <c r="B452" i="67"/>
  <c r="D452" i="67"/>
  <c r="E452" i="67"/>
  <c r="F452" i="67"/>
  <c r="G452" i="67"/>
  <c r="H452" i="67"/>
  <c r="J452" i="67"/>
  <c r="K452" i="67"/>
  <c r="L452" i="67"/>
  <c r="M452" i="67"/>
  <c r="O452" i="67"/>
  <c r="P452" i="67"/>
  <c r="R452" i="67"/>
  <c r="S452" i="67"/>
  <c r="U452" i="67"/>
  <c r="V452" i="67"/>
  <c r="W452" i="67"/>
  <c r="X452" i="67"/>
  <c r="AO452" i="67"/>
  <c r="AP452" i="67"/>
  <c r="AQ452" i="67"/>
  <c r="AR452" i="67"/>
  <c r="AS452" i="67"/>
  <c r="AT452" i="67"/>
  <c r="AU452" i="67"/>
  <c r="AW452" i="67"/>
  <c r="AX452" i="67"/>
  <c r="AY452" i="67"/>
  <c r="BA452" i="67"/>
  <c r="A453" i="67"/>
  <c r="B453" i="67"/>
  <c r="D453" i="67"/>
  <c r="E453" i="67"/>
  <c r="F453" i="67"/>
  <c r="G453" i="67"/>
  <c r="H453" i="67"/>
  <c r="J453" i="67"/>
  <c r="K453" i="67"/>
  <c r="L453" i="67"/>
  <c r="M453" i="67"/>
  <c r="O453" i="67"/>
  <c r="P453" i="67"/>
  <c r="R453" i="67"/>
  <c r="S453" i="67"/>
  <c r="U453" i="67"/>
  <c r="V453" i="67"/>
  <c r="W453" i="67"/>
  <c r="X453" i="67"/>
  <c r="AO453" i="67"/>
  <c r="AP453" i="67"/>
  <c r="AQ453" i="67"/>
  <c r="AR453" i="67"/>
  <c r="AS453" i="67"/>
  <c r="AT453" i="67"/>
  <c r="AU453" i="67"/>
  <c r="AW453" i="67"/>
  <c r="AX453" i="67"/>
  <c r="AY453" i="67"/>
  <c r="BA453" i="67"/>
  <c r="A454" i="67"/>
  <c r="B454" i="67"/>
  <c r="D454" i="67"/>
  <c r="E454" i="67"/>
  <c r="F454" i="67"/>
  <c r="G454" i="67"/>
  <c r="H454" i="67"/>
  <c r="J454" i="67"/>
  <c r="K454" i="67"/>
  <c r="L454" i="67"/>
  <c r="M454" i="67"/>
  <c r="O454" i="67"/>
  <c r="P454" i="67"/>
  <c r="R454" i="67"/>
  <c r="S454" i="67"/>
  <c r="U454" i="67"/>
  <c r="V454" i="67"/>
  <c r="W454" i="67"/>
  <c r="X454" i="67"/>
  <c r="AO454" i="67"/>
  <c r="AP454" i="67"/>
  <c r="AQ454" i="67"/>
  <c r="AR454" i="67"/>
  <c r="AS454" i="67"/>
  <c r="AT454" i="67"/>
  <c r="AU454" i="67"/>
  <c r="AW454" i="67"/>
  <c r="AX454" i="67"/>
  <c r="AY454" i="67"/>
  <c r="BA454" i="67"/>
  <c r="A455" i="67"/>
  <c r="B455" i="67"/>
  <c r="D455" i="67"/>
  <c r="E455" i="67"/>
  <c r="F455" i="67"/>
  <c r="G455" i="67"/>
  <c r="H455" i="67"/>
  <c r="J455" i="67"/>
  <c r="K455" i="67"/>
  <c r="L455" i="67"/>
  <c r="M455" i="67"/>
  <c r="O455" i="67"/>
  <c r="P455" i="67"/>
  <c r="R455" i="67"/>
  <c r="S455" i="67"/>
  <c r="U455" i="67"/>
  <c r="V455" i="67"/>
  <c r="W455" i="67"/>
  <c r="X455" i="67"/>
  <c r="AO455" i="67"/>
  <c r="AP455" i="67"/>
  <c r="AQ455" i="67"/>
  <c r="AR455" i="67"/>
  <c r="AS455" i="67"/>
  <c r="AT455" i="67"/>
  <c r="AU455" i="67"/>
  <c r="AW455" i="67"/>
  <c r="AX455" i="67"/>
  <c r="AY455" i="67"/>
  <c r="BA455" i="67"/>
  <c r="A456" i="67"/>
  <c r="B456" i="67"/>
  <c r="D456" i="67"/>
  <c r="E456" i="67"/>
  <c r="F456" i="67"/>
  <c r="G456" i="67"/>
  <c r="H456" i="67"/>
  <c r="J456" i="67"/>
  <c r="K456" i="67"/>
  <c r="L456" i="67"/>
  <c r="M456" i="67"/>
  <c r="O456" i="67"/>
  <c r="P456" i="67"/>
  <c r="R456" i="67"/>
  <c r="S456" i="67"/>
  <c r="U456" i="67"/>
  <c r="V456" i="67"/>
  <c r="W456" i="67"/>
  <c r="X456" i="67"/>
  <c r="AO456" i="67"/>
  <c r="AP456" i="67"/>
  <c r="AQ456" i="67"/>
  <c r="AR456" i="67"/>
  <c r="AS456" i="67"/>
  <c r="AT456" i="67"/>
  <c r="AU456" i="67"/>
  <c r="AW456" i="67"/>
  <c r="AX456" i="67"/>
  <c r="AY456" i="67"/>
  <c r="BA456" i="67"/>
  <c r="A457" i="67"/>
  <c r="B457" i="67"/>
  <c r="D457" i="67"/>
  <c r="E457" i="67"/>
  <c r="F457" i="67"/>
  <c r="G457" i="67"/>
  <c r="H457" i="67"/>
  <c r="J457" i="67"/>
  <c r="K457" i="67"/>
  <c r="L457" i="67"/>
  <c r="M457" i="67"/>
  <c r="O457" i="67"/>
  <c r="P457" i="67"/>
  <c r="R457" i="67"/>
  <c r="S457" i="67"/>
  <c r="U457" i="67"/>
  <c r="V457" i="67"/>
  <c r="W457" i="67"/>
  <c r="X457" i="67"/>
  <c r="AO457" i="67"/>
  <c r="AP457" i="67"/>
  <c r="AQ457" i="67"/>
  <c r="AR457" i="67"/>
  <c r="AS457" i="67"/>
  <c r="AT457" i="67"/>
  <c r="AU457" i="67"/>
  <c r="AW457" i="67"/>
  <c r="AX457" i="67"/>
  <c r="AY457" i="67"/>
  <c r="BA457" i="67"/>
  <c r="A458" i="67"/>
  <c r="B458" i="67"/>
  <c r="D458" i="67"/>
  <c r="E458" i="67"/>
  <c r="F458" i="67"/>
  <c r="G458" i="67"/>
  <c r="H458" i="67"/>
  <c r="J458" i="67"/>
  <c r="K458" i="67"/>
  <c r="L458" i="67"/>
  <c r="M458" i="67"/>
  <c r="O458" i="67"/>
  <c r="P458" i="67"/>
  <c r="R458" i="67"/>
  <c r="S458" i="67"/>
  <c r="U458" i="67"/>
  <c r="V458" i="67"/>
  <c r="W458" i="67"/>
  <c r="X458" i="67"/>
  <c r="AO458" i="67"/>
  <c r="AP458" i="67"/>
  <c r="AQ458" i="67"/>
  <c r="AR458" i="67"/>
  <c r="AS458" i="67"/>
  <c r="AT458" i="67"/>
  <c r="AU458" i="67"/>
  <c r="AW458" i="67"/>
  <c r="AX458" i="67"/>
  <c r="AY458" i="67"/>
  <c r="BA458" i="67"/>
  <c r="A459" i="67"/>
  <c r="B459" i="67"/>
  <c r="D459" i="67"/>
  <c r="E459" i="67"/>
  <c r="F459" i="67"/>
  <c r="G459" i="67"/>
  <c r="H459" i="67"/>
  <c r="J459" i="67"/>
  <c r="K459" i="67"/>
  <c r="L459" i="67"/>
  <c r="M459" i="67"/>
  <c r="O459" i="67"/>
  <c r="P459" i="67"/>
  <c r="R459" i="67"/>
  <c r="S459" i="67"/>
  <c r="U459" i="67"/>
  <c r="V459" i="67"/>
  <c r="W459" i="67"/>
  <c r="X459" i="67"/>
  <c r="AO459" i="67"/>
  <c r="AP459" i="67"/>
  <c r="AQ459" i="67"/>
  <c r="AR459" i="67"/>
  <c r="AS459" i="67"/>
  <c r="AT459" i="67"/>
  <c r="AU459" i="67"/>
  <c r="AW459" i="67"/>
  <c r="AX459" i="67"/>
  <c r="AY459" i="67"/>
  <c r="BA459" i="67"/>
  <c r="A460" i="67"/>
  <c r="B460" i="67"/>
  <c r="D460" i="67"/>
  <c r="E460" i="67"/>
  <c r="F460" i="67"/>
  <c r="G460" i="67"/>
  <c r="H460" i="67"/>
  <c r="J460" i="67"/>
  <c r="K460" i="67"/>
  <c r="L460" i="67"/>
  <c r="M460" i="67"/>
  <c r="O460" i="67"/>
  <c r="P460" i="67"/>
  <c r="R460" i="67"/>
  <c r="S460" i="67"/>
  <c r="U460" i="67"/>
  <c r="V460" i="67"/>
  <c r="W460" i="67"/>
  <c r="X460" i="67"/>
  <c r="AO460" i="67"/>
  <c r="AP460" i="67"/>
  <c r="AQ460" i="67"/>
  <c r="AR460" i="67"/>
  <c r="AS460" i="67"/>
  <c r="AT460" i="67"/>
  <c r="AU460" i="67"/>
  <c r="AW460" i="67"/>
  <c r="AX460" i="67"/>
  <c r="AY460" i="67"/>
  <c r="BA460" i="67"/>
  <c r="A461" i="67"/>
  <c r="B461" i="67"/>
  <c r="D461" i="67"/>
  <c r="E461" i="67"/>
  <c r="F461" i="67"/>
  <c r="G461" i="67"/>
  <c r="H461" i="67"/>
  <c r="J461" i="67"/>
  <c r="K461" i="67"/>
  <c r="L461" i="67"/>
  <c r="M461" i="67"/>
  <c r="O461" i="67"/>
  <c r="P461" i="67"/>
  <c r="R461" i="67"/>
  <c r="S461" i="67"/>
  <c r="U461" i="67"/>
  <c r="V461" i="67"/>
  <c r="W461" i="67"/>
  <c r="X461" i="67"/>
  <c r="AO461" i="67"/>
  <c r="AP461" i="67"/>
  <c r="AQ461" i="67"/>
  <c r="AR461" i="67"/>
  <c r="AS461" i="67"/>
  <c r="AT461" i="67"/>
  <c r="AU461" i="67"/>
  <c r="AW461" i="67"/>
  <c r="AX461" i="67"/>
  <c r="AY461" i="67"/>
  <c r="BA461" i="67"/>
  <c r="A462" i="67"/>
  <c r="B462" i="67"/>
  <c r="D462" i="67"/>
  <c r="E462" i="67"/>
  <c r="F462" i="67"/>
  <c r="G462" i="67"/>
  <c r="H462" i="67"/>
  <c r="J462" i="67"/>
  <c r="K462" i="67"/>
  <c r="L462" i="67"/>
  <c r="M462" i="67"/>
  <c r="O462" i="67"/>
  <c r="P462" i="67"/>
  <c r="R462" i="67"/>
  <c r="S462" i="67"/>
  <c r="U462" i="67"/>
  <c r="V462" i="67"/>
  <c r="W462" i="67"/>
  <c r="X462" i="67"/>
  <c r="AO462" i="67"/>
  <c r="AP462" i="67"/>
  <c r="AQ462" i="67"/>
  <c r="AR462" i="67"/>
  <c r="AS462" i="67"/>
  <c r="AT462" i="67"/>
  <c r="AU462" i="67"/>
  <c r="AW462" i="67"/>
  <c r="AX462" i="67"/>
  <c r="AY462" i="67"/>
  <c r="BA462" i="67"/>
  <c r="A463" i="67"/>
  <c r="B463" i="67"/>
  <c r="D463" i="67"/>
  <c r="E463" i="67"/>
  <c r="F463" i="67"/>
  <c r="G463" i="67"/>
  <c r="H463" i="67"/>
  <c r="J463" i="67"/>
  <c r="K463" i="67"/>
  <c r="L463" i="67"/>
  <c r="M463" i="67"/>
  <c r="O463" i="67"/>
  <c r="P463" i="67"/>
  <c r="R463" i="67"/>
  <c r="S463" i="67"/>
  <c r="U463" i="67"/>
  <c r="V463" i="67"/>
  <c r="W463" i="67"/>
  <c r="X463" i="67"/>
  <c r="AO463" i="67"/>
  <c r="AP463" i="67"/>
  <c r="AQ463" i="67"/>
  <c r="AR463" i="67"/>
  <c r="AS463" i="67"/>
  <c r="AT463" i="67"/>
  <c r="AU463" i="67"/>
  <c r="AW463" i="67"/>
  <c r="AX463" i="67"/>
  <c r="AY463" i="67"/>
  <c r="BA463" i="67"/>
  <c r="A464" i="67"/>
  <c r="B464" i="67"/>
  <c r="D464" i="67"/>
  <c r="E464" i="67"/>
  <c r="F464" i="67"/>
  <c r="G464" i="67"/>
  <c r="H464" i="67"/>
  <c r="J464" i="67"/>
  <c r="K464" i="67"/>
  <c r="L464" i="67"/>
  <c r="M464" i="67"/>
  <c r="O464" i="67"/>
  <c r="P464" i="67"/>
  <c r="R464" i="67"/>
  <c r="S464" i="67"/>
  <c r="U464" i="67"/>
  <c r="V464" i="67"/>
  <c r="W464" i="67"/>
  <c r="X464" i="67"/>
  <c r="AO464" i="67"/>
  <c r="AP464" i="67"/>
  <c r="AQ464" i="67"/>
  <c r="AR464" i="67"/>
  <c r="AS464" i="67"/>
  <c r="AT464" i="67"/>
  <c r="AU464" i="67"/>
  <c r="AW464" i="67"/>
  <c r="AX464" i="67"/>
  <c r="AY464" i="67"/>
  <c r="BA464" i="67"/>
  <c r="A465" i="67"/>
  <c r="B465" i="67"/>
  <c r="D465" i="67"/>
  <c r="E465" i="67"/>
  <c r="F465" i="67"/>
  <c r="G465" i="67"/>
  <c r="H465" i="67"/>
  <c r="J465" i="67"/>
  <c r="K465" i="67"/>
  <c r="L465" i="67"/>
  <c r="M465" i="67"/>
  <c r="O465" i="67"/>
  <c r="P465" i="67"/>
  <c r="R465" i="67"/>
  <c r="S465" i="67"/>
  <c r="U465" i="67"/>
  <c r="V465" i="67"/>
  <c r="W465" i="67"/>
  <c r="X465" i="67"/>
  <c r="AO465" i="67"/>
  <c r="AP465" i="67"/>
  <c r="AQ465" i="67"/>
  <c r="AR465" i="67"/>
  <c r="AS465" i="67"/>
  <c r="AT465" i="67"/>
  <c r="AU465" i="67"/>
  <c r="AW465" i="67"/>
  <c r="AX465" i="67"/>
  <c r="AY465" i="67"/>
  <c r="BA465" i="67"/>
  <c r="A466" i="67"/>
  <c r="B466" i="67"/>
  <c r="D466" i="67"/>
  <c r="E466" i="67"/>
  <c r="F466" i="67"/>
  <c r="G466" i="67"/>
  <c r="H466" i="67"/>
  <c r="J466" i="67"/>
  <c r="K466" i="67"/>
  <c r="L466" i="67"/>
  <c r="M466" i="67"/>
  <c r="O466" i="67"/>
  <c r="P466" i="67"/>
  <c r="R466" i="67"/>
  <c r="S466" i="67"/>
  <c r="U466" i="67"/>
  <c r="V466" i="67"/>
  <c r="W466" i="67"/>
  <c r="X466" i="67"/>
  <c r="AO466" i="67"/>
  <c r="AP466" i="67"/>
  <c r="AQ466" i="67"/>
  <c r="AR466" i="67"/>
  <c r="AS466" i="67"/>
  <c r="AT466" i="67"/>
  <c r="AU466" i="67"/>
  <c r="AW466" i="67"/>
  <c r="AX466" i="67"/>
  <c r="AY466" i="67"/>
  <c r="BA466" i="67"/>
  <c r="A467" i="67"/>
  <c r="B467" i="67"/>
  <c r="D467" i="67"/>
  <c r="E467" i="67"/>
  <c r="F467" i="67"/>
  <c r="G467" i="67"/>
  <c r="H467" i="67"/>
  <c r="J467" i="67"/>
  <c r="K467" i="67"/>
  <c r="L467" i="67"/>
  <c r="M467" i="67"/>
  <c r="O467" i="67"/>
  <c r="P467" i="67"/>
  <c r="R467" i="67"/>
  <c r="S467" i="67"/>
  <c r="U467" i="67"/>
  <c r="V467" i="67"/>
  <c r="W467" i="67"/>
  <c r="X467" i="67"/>
  <c r="AO467" i="67"/>
  <c r="AP467" i="67"/>
  <c r="AQ467" i="67"/>
  <c r="AR467" i="67"/>
  <c r="AS467" i="67"/>
  <c r="AT467" i="67"/>
  <c r="AU467" i="67"/>
  <c r="AW467" i="67"/>
  <c r="AX467" i="67"/>
  <c r="AY467" i="67"/>
  <c r="BA467" i="67"/>
  <c r="A468" i="67"/>
  <c r="B468" i="67"/>
  <c r="D468" i="67"/>
  <c r="E468" i="67"/>
  <c r="F468" i="67"/>
  <c r="G468" i="67"/>
  <c r="H468" i="67"/>
  <c r="J468" i="67"/>
  <c r="K468" i="67"/>
  <c r="L468" i="67"/>
  <c r="M468" i="67"/>
  <c r="O468" i="67"/>
  <c r="P468" i="67"/>
  <c r="R468" i="67"/>
  <c r="S468" i="67"/>
  <c r="U468" i="67"/>
  <c r="V468" i="67"/>
  <c r="W468" i="67"/>
  <c r="X468" i="67"/>
  <c r="AO468" i="67"/>
  <c r="AP468" i="67"/>
  <c r="AQ468" i="67"/>
  <c r="AR468" i="67"/>
  <c r="AS468" i="67"/>
  <c r="AT468" i="67"/>
  <c r="AU468" i="67"/>
  <c r="AW468" i="67"/>
  <c r="AX468" i="67"/>
  <c r="AY468" i="67"/>
  <c r="BA468" i="67"/>
  <c r="A469" i="67"/>
  <c r="B469" i="67"/>
  <c r="D469" i="67"/>
  <c r="E469" i="67"/>
  <c r="F469" i="67"/>
  <c r="G469" i="67"/>
  <c r="H469" i="67"/>
  <c r="J469" i="67"/>
  <c r="K469" i="67"/>
  <c r="L469" i="67"/>
  <c r="M469" i="67"/>
  <c r="O469" i="67"/>
  <c r="P469" i="67"/>
  <c r="R469" i="67"/>
  <c r="S469" i="67"/>
  <c r="U469" i="67"/>
  <c r="V469" i="67"/>
  <c r="W469" i="67"/>
  <c r="X469" i="67"/>
  <c r="AO469" i="67"/>
  <c r="AP469" i="67"/>
  <c r="AQ469" i="67"/>
  <c r="AR469" i="67"/>
  <c r="AS469" i="67"/>
  <c r="AT469" i="67"/>
  <c r="AU469" i="67"/>
  <c r="AW469" i="67"/>
  <c r="AX469" i="67"/>
  <c r="AY469" i="67"/>
  <c r="BA469" i="67"/>
  <c r="A470" i="67"/>
  <c r="B470" i="67"/>
  <c r="D470" i="67"/>
  <c r="E470" i="67"/>
  <c r="F470" i="67"/>
  <c r="G470" i="67"/>
  <c r="H470" i="67"/>
  <c r="J470" i="67"/>
  <c r="K470" i="67"/>
  <c r="L470" i="67"/>
  <c r="M470" i="67"/>
  <c r="O470" i="67"/>
  <c r="P470" i="67"/>
  <c r="R470" i="67"/>
  <c r="S470" i="67"/>
  <c r="U470" i="67"/>
  <c r="V470" i="67"/>
  <c r="W470" i="67"/>
  <c r="X470" i="67"/>
  <c r="AO470" i="67"/>
  <c r="AP470" i="67"/>
  <c r="AQ470" i="67"/>
  <c r="AR470" i="67"/>
  <c r="AS470" i="67"/>
  <c r="AT470" i="67"/>
  <c r="AU470" i="67"/>
  <c r="AW470" i="67"/>
  <c r="AX470" i="67"/>
  <c r="AY470" i="67"/>
  <c r="BA470" i="67"/>
  <c r="A471" i="67"/>
  <c r="B471" i="67"/>
  <c r="D471" i="67"/>
  <c r="E471" i="67"/>
  <c r="F471" i="67"/>
  <c r="G471" i="67"/>
  <c r="H471" i="67"/>
  <c r="J471" i="67"/>
  <c r="K471" i="67"/>
  <c r="L471" i="67"/>
  <c r="M471" i="67"/>
  <c r="O471" i="67"/>
  <c r="P471" i="67"/>
  <c r="R471" i="67"/>
  <c r="S471" i="67"/>
  <c r="U471" i="67"/>
  <c r="V471" i="67"/>
  <c r="W471" i="67"/>
  <c r="X471" i="67"/>
  <c r="AO471" i="67"/>
  <c r="AP471" i="67"/>
  <c r="AQ471" i="67"/>
  <c r="AR471" i="67"/>
  <c r="AS471" i="67"/>
  <c r="AT471" i="67"/>
  <c r="AU471" i="67"/>
  <c r="AW471" i="67"/>
  <c r="AX471" i="67"/>
  <c r="AY471" i="67"/>
  <c r="BA471" i="67"/>
  <c r="A472" i="67"/>
  <c r="B472" i="67"/>
  <c r="D472" i="67"/>
  <c r="E472" i="67"/>
  <c r="F472" i="67"/>
  <c r="G472" i="67"/>
  <c r="H472" i="67"/>
  <c r="J472" i="67"/>
  <c r="K472" i="67"/>
  <c r="L472" i="67"/>
  <c r="M472" i="67"/>
  <c r="O472" i="67"/>
  <c r="P472" i="67"/>
  <c r="R472" i="67"/>
  <c r="S472" i="67"/>
  <c r="U472" i="67"/>
  <c r="V472" i="67"/>
  <c r="W472" i="67"/>
  <c r="X472" i="67"/>
  <c r="AO472" i="67"/>
  <c r="AP472" i="67"/>
  <c r="AQ472" i="67"/>
  <c r="AR472" i="67"/>
  <c r="AS472" i="67"/>
  <c r="AT472" i="67"/>
  <c r="AU472" i="67"/>
  <c r="AW472" i="67"/>
  <c r="AX472" i="67"/>
  <c r="AY472" i="67"/>
  <c r="BA472" i="67"/>
  <c r="A473" i="67"/>
  <c r="B473" i="67"/>
  <c r="D473" i="67"/>
  <c r="E473" i="67"/>
  <c r="F473" i="67"/>
  <c r="G473" i="67"/>
  <c r="H473" i="67"/>
  <c r="J473" i="67"/>
  <c r="K473" i="67"/>
  <c r="L473" i="67"/>
  <c r="M473" i="67"/>
  <c r="O473" i="67"/>
  <c r="P473" i="67"/>
  <c r="R473" i="67"/>
  <c r="S473" i="67"/>
  <c r="U473" i="67"/>
  <c r="V473" i="67"/>
  <c r="W473" i="67"/>
  <c r="X473" i="67"/>
  <c r="AO473" i="67"/>
  <c r="AP473" i="67"/>
  <c r="AQ473" i="67"/>
  <c r="AR473" i="67"/>
  <c r="AS473" i="67"/>
  <c r="AT473" i="67"/>
  <c r="AU473" i="67"/>
  <c r="AW473" i="67"/>
  <c r="AX473" i="67"/>
  <c r="AY473" i="67"/>
  <c r="BA473" i="67"/>
  <c r="A474" i="67"/>
  <c r="B474" i="67"/>
  <c r="D474" i="67"/>
  <c r="E474" i="67"/>
  <c r="F474" i="67"/>
  <c r="G474" i="67"/>
  <c r="H474" i="67"/>
  <c r="J474" i="67"/>
  <c r="K474" i="67"/>
  <c r="L474" i="67"/>
  <c r="M474" i="67"/>
  <c r="O474" i="67"/>
  <c r="P474" i="67"/>
  <c r="R474" i="67"/>
  <c r="S474" i="67"/>
  <c r="U474" i="67"/>
  <c r="V474" i="67"/>
  <c r="W474" i="67"/>
  <c r="X474" i="67"/>
  <c r="AO474" i="67"/>
  <c r="AP474" i="67"/>
  <c r="AQ474" i="67"/>
  <c r="AR474" i="67"/>
  <c r="AS474" i="67"/>
  <c r="AT474" i="67"/>
  <c r="AU474" i="67"/>
  <c r="AW474" i="67"/>
  <c r="AX474" i="67"/>
  <c r="AY474" i="67"/>
  <c r="BA474" i="67"/>
  <c r="A475" i="67"/>
  <c r="B475" i="67"/>
  <c r="D475" i="67"/>
  <c r="E475" i="67"/>
  <c r="F475" i="67"/>
  <c r="G475" i="67"/>
  <c r="H475" i="67"/>
  <c r="J475" i="67"/>
  <c r="K475" i="67"/>
  <c r="L475" i="67"/>
  <c r="M475" i="67"/>
  <c r="O475" i="67"/>
  <c r="P475" i="67"/>
  <c r="R475" i="67"/>
  <c r="S475" i="67"/>
  <c r="U475" i="67"/>
  <c r="V475" i="67"/>
  <c r="W475" i="67"/>
  <c r="X475" i="67"/>
  <c r="AO475" i="67"/>
  <c r="AP475" i="67"/>
  <c r="AQ475" i="67"/>
  <c r="AR475" i="67"/>
  <c r="AS475" i="67"/>
  <c r="AT475" i="67"/>
  <c r="AU475" i="67"/>
  <c r="AW475" i="67"/>
  <c r="AX475" i="67"/>
  <c r="AY475" i="67"/>
  <c r="BA475" i="67"/>
  <c r="A476" i="67"/>
  <c r="B476" i="67"/>
  <c r="D476" i="67"/>
  <c r="E476" i="67"/>
  <c r="F476" i="67"/>
  <c r="G476" i="67"/>
  <c r="H476" i="67"/>
  <c r="J476" i="67"/>
  <c r="K476" i="67"/>
  <c r="L476" i="67"/>
  <c r="M476" i="67"/>
  <c r="O476" i="67"/>
  <c r="P476" i="67"/>
  <c r="R476" i="67"/>
  <c r="S476" i="67"/>
  <c r="U476" i="67"/>
  <c r="V476" i="67"/>
  <c r="W476" i="67"/>
  <c r="X476" i="67"/>
  <c r="AO476" i="67"/>
  <c r="AP476" i="67"/>
  <c r="AQ476" i="67"/>
  <c r="AR476" i="67"/>
  <c r="AS476" i="67"/>
  <c r="AT476" i="67"/>
  <c r="AU476" i="67"/>
  <c r="AW476" i="67"/>
  <c r="AX476" i="67"/>
  <c r="AY476" i="67"/>
  <c r="BA476" i="67"/>
  <c r="A477" i="67"/>
  <c r="B477" i="67"/>
  <c r="D477" i="67"/>
  <c r="E477" i="67"/>
  <c r="F477" i="67"/>
  <c r="G477" i="67"/>
  <c r="H477" i="67"/>
  <c r="J477" i="67"/>
  <c r="K477" i="67"/>
  <c r="L477" i="67"/>
  <c r="M477" i="67"/>
  <c r="O477" i="67"/>
  <c r="P477" i="67"/>
  <c r="R477" i="67"/>
  <c r="S477" i="67"/>
  <c r="U477" i="67"/>
  <c r="V477" i="67"/>
  <c r="W477" i="67"/>
  <c r="X477" i="67"/>
  <c r="AO477" i="67"/>
  <c r="AP477" i="67"/>
  <c r="AQ477" i="67"/>
  <c r="AR477" i="67"/>
  <c r="AS477" i="67"/>
  <c r="AT477" i="67"/>
  <c r="AU477" i="67"/>
  <c r="AW477" i="67"/>
  <c r="AX477" i="67"/>
  <c r="AY477" i="67"/>
  <c r="BA477" i="67"/>
  <c r="A478" i="67"/>
  <c r="B478" i="67"/>
  <c r="D478" i="67"/>
  <c r="E478" i="67"/>
  <c r="F478" i="67"/>
  <c r="G478" i="67"/>
  <c r="H478" i="67"/>
  <c r="J478" i="67"/>
  <c r="K478" i="67"/>
  <c r="L478" i="67"/>
  <c r="M478" i="67"/>
  <c r="O478" i="67"/>
  <c r="P478" i="67"/>
  <c r="R478" i="67"/>
  <c r="S478" i="67"/>
  <c r="U478" i="67"/>
  <c r="V478" i="67"/>
  <c r="W478" i="67"/>
  <c r="X478" i="67"/>
  <c r="AO478" i="67"/>
  <c r="AP478" i="67"/>
  <c r="AQ478" i="67"/>
  <c r="AR478" i="67"/>
  <c r="AS478" i="67"/>
  <c r="AT478" i="67"/>
  <c r="AU478" i="67"/>
  <c r="AW478" i="67"/>
  <c r="AX478" i="67"/>
  <c r="AY478" i="67"/>
  <c r="BA478" i="67"/>
  <c r="A479" i="67"/>
  <c r="B479" i="67"/>
  <c r="D479" i="67"/>
  <c r="E479" i="67"/>
  <c r="F479" i="67"/>
  <c r="G479" i="67"/>
  <c r="H479" i="67"/>
  <c r="J479" i="67"/>
  <c r="K479" i="67"/>
  <c r="L479" i="67"/>
  <c r="M479" i="67"/>
  <c r="O479" i="67"/>
  <c r="P479" i="67"/>
  <c r="R479" i="67"/>
  <c r="S479" i="67"/>
  <c r="U479" i="67"/>
  <c r="V479" i="67"/>
  <c r="W479" i="67"/>
  <c r="X479" i="67"/>
  <c r="AO479" i="67"/>
  <c r="AP479" i="67"/>
  <c r="AQ479" i="67"/>
  <c r="AR479" i="67"/>
  <c r="AS479" i="67"/>
  <c r="AT479" i="67"/>
  <c r="AU479" i="67"/>
  <c r="AW479" i="67"/>
  <c r="AX479" i="67"/>
  <c r="AY479" i="67"/>
  <c r="BA479" i="67"/>
  <c r="A480" i="67"/>
  <c r="B480" i="67"/>
  <c r="D480" i="67"/>
  <c r="E480" i="67"/>
  <c r="F480" i="67"/>
  <c r="G480" i="67"/>
  <c r="H480" i="67"/>
  <c r="J480" i="67"/>
  <c r="K480" i="67"/>
  <c r="L480" i="67"/>
  <c r="M480" i="67"/>
  <c r="O480" i="67"/>
  <c r="P480" i="67"/>
  <c r="R480" i="67"/>
  <c r="S480" i="67"/>
  <c r="U480" i="67"/>
  <c r="V480" i="67"/>
  <c r="W480" i="67"/>
  <c r="X480" i="67"/>
  <c r="AO480" i="67"/>
  <c r="AP480" i="67"/>
  <c r="AQ480" i="67"/>
  <c r="AR480" i="67"/>
  <c r="AS480" i="67"/>
  <c r="AT480" i="67"/>
  <c r="AU480" i="67"/>
  <c r="AW480" i="67"/>
  <c r="AX480" i="67"/>
  <c r="AY480" i="67"/>
  <c r="BA480" i="67"/>
  <c r="A481" i="67"/>
  <c r="B481" i="67"/>
  <c r="D481" i="67"/>
  <c r="E481" i="67"/>
  <c r="F481" i="67"/>
  <c r="G481" i="67"/>
  <c r="H481" i="67"/>
  <c r="J481" i="67"/>
  <c r="K481" i="67"/>
  <c r="L481" i="67"/>
  <c r="M481" i="67"/>
  <c r="O481" i="67"/>
  <c r="P481" i="67"/>
  <c r="R481" i="67"/>
  <c r="S481" i="67"/>
  <c r="U481" i="67"/>
  <c r="V481" i="67"/>
  <c r="W481" i="67"/>
  <c r="X481" i="67"/>
  <c r="AO481" i="67"/>
  <c r="AP481" i="67"/>
  <c r="AQ481" i="67"/>
  <c r="AR481" i="67"/>
  <c r="AS481" i="67"/>
  <c r="AT481" i="67"/>
  <c r="AU481" i="67"/>
  <c r="AW481" i="67"/>
  <c r="AX481" i="67"/>
  <c r="AY481" i="67"/>
  <c r="BA481" i="67"/>
  <c r="A482" i="67"/>
  <c r="B482" i="67"/>
  <c r="D482" i="67"/>
  <c r="E482" i="67"/>
  <c r="F482" i="67"/>
  <c r="G482" i="67"/>
  <c r="H482" i="67"/>
  <c r="J482" i="67"/>
  <c r="K482" i="67"/>
  <c r="L482" i="67"/>
  <c r="M482" i="67"/>
  <c r="O482" i="67"/>
  <c r="P482" i="67"/>
  <c r="R482" i="67"/>
  <c r="S482" i="67"/>
  <c r="U482" i="67"/>
  <c r="V482" i="67"/>
  <c r="W482" i="67"/>
  <c r="X482" i="67"/>
  <c r="AO482" i="67"/>
  <c r="AP482" i="67"/>
  <c r="AQ482" i="67"/>
  <c r="AR482" i="67"/>
  <c r="AS482" i="67"/>
  <c r="AT482" i="67"/>
  <c r="AU482" i="67"/>
  <c r="AW482" i="67"/>
  <c r="AX482" i="67"/>
  <c r="AY482" i="67"/>
  <c r="BA482" i="67"/>
  <c r="A483" i="67"/>
  <c r="B483" i="67"/>
  <c r="D483" i="67"/>
  <c r="E483" i="67"/>
  <c r="F483" i="67"/>
  <c r="G483" i="67"/>
  <c r="H483" i="67"/>
  <c r="J483" i="67"/>
  <c r="K483" i="67"/>
  <c r="L483" i="67"/>
  <c r="M483" i="67"/>
  <c r="O483" i="67"/>
  <c r="P483" i="67"/>
  <c r="R483" i="67"/>
  <c r="S483" i="67"/>
  <c r="U483" i="67"/>
  <c r="V483" i="67"/>
  <c r="W483" i="67"/>
  <c r="X483" i="67"/>
  <c r="AO483" i="67"/>
  <c r="AP483" i="67"/>
  <c r="AQ483" i="67"/>
  <c r="AR483" i="67"/>
  <c r="AS483" i="67"/>
  <c r="AT483" i="67"/>
  <c r="AU483" i="67"/>
  <c r="AW483" i="67"/>
  <c r="AX483" i="67"/>
  <c r="AY483" i="67"/>
  <c r="BA483" i="67"/>
  <c r="A484" i="67"/>
  <c r="B484" i="67"/>
  <c r="D484" i="67"/>
  <c r="E484" i="67"/>
  <c r="F484" i="67"/>
  <c r="G484" i="67"/>
  <c r="H484" i="67"/>
  <c r="J484" i="67"/>
  <c r="K484" i="67"/>
  <c r="L484" i="67"/>
  <c r="M484" i="67"/>
  <c r="O484" i="67"/>
  <c r="P484" i="67"/>
  <c r="R484" i="67"/>
  <c r="S484" i="67"/>
  <c r="U484" i="67"/>
  <c r="V484" i="67"/>
  <c r="W484" i="67"/>
  <c r="X484" i="67"/>
  <c r="AO484" i="67"/>
  <c r="AP484" i="67"/>
  <c r="AQ484" i="67"/>
  <c r="AR484" i="67"/>
  <c r="AS484" i="67"/>
  <c r="AT484" i="67"/>
  <c r="AU484" i="67"/>
  <c r="AW484" i="67"/>
  <c r="AX484" i="67"/>
  <c r="AY484" i="67"/>
  <c r="BA484" i="67"/>
  <c r="A485" i="67"/>
  <c r="B485" i="67"/>
  <c r="D485" i="67"/>
  <c r="E485" i="67"/>
  <c r="F485" i="67"/>
  <c r="G485" i="67"/>
  <c r="H485" i="67"/>
  <c r="J485" i="67"/>
  <c r="K485" i="67"/>
  <c r="L485" i="67"/>
  <c r="M485" i="67"/>
  <c r="O485" i="67"/>
  <c r="P485" i="67"/>
  <c r="R485" i="67"/>
  <c r="S485" i="67"/>
  <c r="U485" i="67"/>
  <c r="V485" i="67"/>
  <c r="W485" i="67"/>
  <c r="X485" i="67"/>
  <c r="AO485" i="67"/>
  <c r="AP485" i="67"/>
  <c r="AQ485" i="67"/>
  <c r="AR485" i="67"/>
  <c r="AS485" i="67"/>
  <c r="AT485" i="67"/>
  <c r="AU485" i="67"/>
  <c r="AW485" i="67"/>
  <c r="AX485" i="67"/>
  <c r="AY485" i="67"/>
  <c r="BA485" i="67"/>
  <c r="A486" i="67"/>
  <c r="B486" i="67"/>
  <c r="D486" i="67"/>
  <c r="E486" i="67"/>
  <c r="F486" i="67"/>
  <c r="G486" i="67"/>
  <c r="H486" i="67"/>
  <c r="J486" i="67"/>
  <c r="K486" i="67"/>
  <c r="L486" i="67"/>
  <c r="M486" i="67"/>
  <c r="O486" i="67"/>
  <c r="P486" i="67"/>
  <c r="R486" i="67"/>
  <c r="S486" i="67"/>
  <c r="U486" i="67"/>
  <c r="V486" i="67"/>
  <c r="W486" i="67"/>
  <c r="X486" i="67"/>
  <c r="AO486" i="67"/>
  <c r="AP486" i="67"/>
  <c r="AQ486" i="67"/>
  <c r="AR486" i="67"/>
  <c r="AS486" i="67"/>
  <c r="AT486" i="67"/>
  <c r="AU486" i="67"/>
  <c r="AW486" i="67"/>
  <c r="AX486" i="67"/>
  <c r="AY486" i="67"/>
  <c r="BA486" i="67"/>
  <c r="A487" i="67"/>
  <c r="B487" i="67"/>
  <c r="D487" i="67"/>
  <c r="E487" i="67"/>
  <c r="F487" i="67"/>
  <c r="G487" i="67"/>
  <c r="H487" i="67"/>
  <c r="J487" i="67"/>
  <c r="K487" i="67"/>
  <c r="L487" i="67"/>
  <c r="M487" i="67"/>
  <c r="O487" i="67"/>
  <c r="P487" i="67"/>
  <c r="R487" i="67"/>
  <c r="S487" i="67"/>
  <c r="U487" i="67"/>
  <c r="V487" i="67"/>
  <c r="W487" i="67"/>
  <c r="X487" i="67"/>
  <c r="AO487" i="67"/>
  <c r="AP487" i="67"/>
  <c r="AQ487" i="67"/>
  <c r="AR487" i="67"/>
  <c r="AS487" i="67"/>
  <c r="AT487" i="67"/>
  <c r="AU487" i="67"/>
  <c r="AW487" i="67"/>
  <c r="AX487" i="67"/>
  <c r="AY487" i="67"/>
  <c r="BA487" i="67"/>
  <c r="A488" i="67"/>
  <c r="B488" i="67"/>
  <c r="D488" i="67"/>
  <c r="E488" i="67"/>
  <c r="F488" i="67"/>
  <c r="G488" i="67"/>
  <c r="H488" i="67"/>
  <c r="J488" i="67"/>
  <c r="K488" i="67"/>
  <c r="L488" i="67"/>
  <c r="M488" i="67"/>
  <c r="O488" i="67"/>
  <c r="P488" i="67"/>
  <c r="R488" i="67"/>
  <c r="S488" i="67"/>
  <c r="U488" i="67"/>
  <c r="V488" i="67"/>
  <c r="W488" i="67"/>
  <c r="X488" i="67"/>
  <c r="AO488" i="67"/>
  <c r="AP488" i="67"/>
  <c r="AQ488" i="67"/>
  <c r="AR488" i="67"/>
  <c r="AS488" i="67"/>
  <c r="AT488" i="67"/>
  <c r="AU488" i="67"/>
  <c r="AW488" i="67"/>
  <c r="AX488" i="67"/>
  <c r="AY488" i="67"/>
  <c r="BA488" i="67"/>
  <c r="A489" i="67"/>
  <c r="B489" i="67"/>
  <c r="D489" i="67"/>
  <c r="E489" i="67"/>
  <c r="F489" i="67"/>
  <c r="G489" i="67"/>
  <c r="H489" i="67"/>
  <c r="J489" i="67"/>
  <c r="K489" i="67"/>
  <c r="L489" i="67"/>
  <c r="M489" i="67"/>
  <c r="O489" i="67"/>
  <c r="P489" i="67"/>
  <c r="R489" i="67"/>
  <c r="S489" i="67"/>
  <c r="U489" i="67"/>
  <c r="V489" i="67"/>
  <c r="W489" i="67"/>
  <c r="X489" i="67"/>
  <c r="AO489" i="67"/>
  <c r="AP489" i="67"/>
  <c r="AQ489" i="67"/>
  <c r="AR489" i="67"/>
  <c r="AS489" i="67"/>
  <c r="AT489" i="67"/>
  <c r="AU489" i="67"/>
  <c r="AW489" i="67"/>
  <c r="AX489" i="67"/>
  <c r="AY489" i="67"/>
  <c r="BA489" i="67"/>
  <c r="A490" i="67"/>
  <c r="B490" i="67"/>
  <c r="D490" i="67"/>
  <c r="E490" i="67"/>
  <c r="F490" i="67"/>
  <c r="G490" i="67"/>
  <c r="H490" i="67"/>
  <c r="J490" i="67"/>
  <c r="K490" i="67"/>
  <c r="L490" i="67"/>
  <c r="M490" i="67"/>
  <c r="O490" i="67"/>
  <c r="P490" i="67"/>
  <c r="R490" i="67"/>
  <c r="S490" i="67"/>
  <c r="U490" i="67"/>
  <c r="V490" i="67"/>
  <c r="W490" i="67"/>
  <c r="X490" i="67"/>
  <c r="AO490" i="67"/>
  <c r="AP490" i="67"/>
  <c r="AQ490" i="67"/>
  <c r="AR490" i="67"/>
  <c r="AS490" i="67"/>
  <c r="AT490" i="67"/>
  <c r="AU490" i="67"/>
  <c r="AW490" i="67"/>
  <c r="AX490" i="67"/>
  <c r="AY490" i="67"/>
  <c r="BA490" i="67"/>
  <c r="A491" i="67"/>
  <c r="B491" i="67"/>
  <c r="D491" i="67"/>
  <c r="E491" i="67"/>
  <c r="F491" i="67"/>
  <c r="G491" i="67"/>
  <c r="H491" i="67"/>
  <c r="J491" i="67"/>
  <c r="K491" i="67"/>
  <c r="L491" i="67"/>
  <c r="M491" i="67"/>
  <c r="O491" i="67"/>
  <c r="P491" i="67"/>
  <c r="R491" i="67"/>
  <c r="S491" i="67"/>
  <c r="U491" i="67"/>
  <c r="V491" i="67"/>
  <c r="W491" i="67"/>
  <c r="X491" i="67"/>
  <c r="AO491" i="67"/>
  <c r="AP491" i="67"/>
  <c r="AQ491" i="67"/>
  <c r="AR491" i="67"/>
  <c r="AS491" i="67"/>
  <c r="AT491" i="67"/>
  <c r="AU491" i="67"/>
  <c r="AW491" i="67"/>
  <c r="AX491" i="67"/>
  <c r="AY491" i="67"/>
  <c r="BA491" i="67"/>
  <c r="A492" i="67"/>
  <c r="B492" i="67"/>
  <c r="D492" i="67"/>
  <c r="E492" i="67"/>
  <c r="F492" i="67"/>
  <c r="G492" i="67"/>
  <c r="H492" i="67"/>
  <c r="J492" i="67"/>
  <c r="K492" i="67"/>
  <c r="L492" i="67"/>
  <c r="M492" i="67"/>
  <c r="O492" i="67"/>
  <c r="P492" i="67"/>
  <c r="R492" i="67"/>
  <c r="S492" i="67"/>
  <c r="U492" i="67"/>
  <c r="V492" i="67"/>
  <c r="W492" i="67"/>
  <c r="X492" i="67"/>
  <c r="AO492" i="67"/>
  <c r="AP492" i="67"/>
  <c r="AQ492" i="67"/>
  <c r="AR492" i="67"/>
  <c r="AS492" i="67"/>
  <c r="AT492" i="67"/>
  <c r="AU492" i="67"/>
  <c r="AW492" i="67"/>
  <c r="AX492" i="67"/>
  <c r="AY492" i="67"/>
  <c r="BA492" i="67"/>
  <c r="A493" i="67"/>
  <c r="B493" i="67"/>
  <c r="D493" i="67"/>
  <c r="E493" i="67"/>
  <c r="F493" i="67"/>
  <c r="G493" i="67"/>
  <c r="H493" i="67"/>
  <c r="J493" i="67"/>
  <c r="K493" i="67"/>
  <c r="L493" i="67"/>
  <c r="M493" i="67"/>
  <c r="O493" i="67"/>
  <c r="P493" i="67"/>
  <c r="R493" i="67"/>
  <c r="S493" i="67"/>
  <c r="U493" i="67"/>
  <c r="V493" i="67"/>
  <c r="W493" i="67"/>
  <c r="X493" i="67"/>
  <c r="AO493" i="67"/>
  <c r="AP493" i="67"/>
  <c r="AQ493" i="67"/>
  <c r="AR493" i="67"/>
  <c r="AS493" i="67"/>
  <c r="AT493" i="67"/>
  <c r="AU493" i="67"/>
  <c r="AW493" i="67"/>
  <c r="AX493" i="67"/>
  <c r="AY493" i="67"/>
  <c r="BA493" i="67"/>
  <c r="A494" i="67"/>
  <c r="B494" i="67"/>
  <c r="D494" i="67"/>
  <c r="E494" i="67"/>
  <c r="F494" i="67"/>
  <c r="G494" i="67"/>
  <c r="H494" i="67"/>
  <c r="J494" i="67"/>
  <c r="K494" i="67"/>
  <c r="L494" i="67"/>
  <c r="M494" i="67"/>
  <c r="O494" i="67"/>
  <c r="P494" i="67"/>
  <c r="R494" i="67"/>
  <c r="S494" i="67"/>
  <c r="U494" i="67"/>
  <c r="V494" i="67"/>
  <c r="W494" i="67"/>
  <c r="X494" i="67"/>
  <c r="AO494" i="67"/>
  <c r="AP494" i="67"/>
  <c r="AQ494" i="67"/>
  <c r="AR494" i="67"/>
  <c r="AS494" i="67"/>
  <c r="AT494" i="67"/>
  <c r="AU494" i="67"/>
  <c r="AW494" i="67"/>
  <c r="AX494" i="67"/>
  <c r="AY494" i="67"/>
  <c r="BA494" i="67"/>
  <c r="A495" i="67"/>
  <c r="B495" i="67"/>
  <c r="D495" i="67"/>
  <c r="E495" i="67"/>
  <c r="F495" i="67"/>
  <c r="G495" i="67"/>
  <c r="H495" i="67"/>
  <c r="J495" i="67"/>
  <c r="K495" i="67"/>
  <c r="L495" i="67"/>
  <c r="M495" i="67"/>
  <c r="O495" i="67"/>
  <c r="P495" i="67"/>
  <c r="R495" i="67"/>
  <c r="S495" i="67"/>
  <c r="U495" i="67"/>
  <c r="V495" i="67"/>
  <c r="W495" i="67"/>
  <c r="X495" i="67"/>
  <c r="AO495" i="67"/>
  <c r="AP495" i="67"/>
  <c r="AQ495" i="67"/>
  <c r="AR495" i="67"/>
  <c r="AS495" i="67"/>
  <c r="AT495" i="67"/>
  <c r="AU495" i="67"/>
  <c r="AW495" i="67"/>
  <c r="AX495" i="67"/>
  <c r="AY495" i="67"/>
  <c r="BA495" i="67"/>
  <c r="A496" i="67"/>
  <c r="B496" i="67"/>
  <c r="D496" i="67"/>
  <c r="E496" i="67"/>
  <c r="F496" i="67"/>
  <c r="G496" i="67"/>
  <c r="H496" i="67"/>
  <c r="J496" i="67"/>
  <c r="K496" i="67"/>
  <c r="L496" i="67"/>
  <c r="M496" i="67"/>
  <c r="O496" i="67"/>
  <c r="P496" i="67"/>
  <c r="R496" i="67"/>
  <c r="S496" i="67"/>
  <c r="U496" i="67"/>
  <c r="V496" i="67"/>
  <c r="W496" i="67"/>
  <c r="X496" i="67"/>
  <c r="AO496" i="67"/>
  <c r="AP496" i="67"/>
  <c r="AQ496" i="67"/>
  <c r="AR496" i="67"/>
  <c r="AS496" i="67"/>
  <c r="AT496" i="67"/>
  <c r="AU496" i="67"/>
  <c r="AW496" i="67"/>
  <c r="AX496" i="67"/>
  <c r="AY496" i="67"/>
  <c r="BA496" i="67"/>
  <c r="A497" i="67"/>
  <c r="B497" i="67"/>
  <c r="D497" i="67"/>
  <c r="E497" i="67"/>
  <c r="F497" i="67"/>
  <c r="G497" i="67"/>
  <c r="H497" i="67"/>
  <c r="J497" i="67"/>
  <c r="K497" i="67"/>
  <c r="L497" i="67"/>
  <c r="M497" i="67"/>
  <c r="O497" i="67"/>
  <c r="P497" i="67"/>
  <c r="R497" i="67"/>
  <c r="S497" i="67"/>
  <c r="U497" i="67"/>
  <c r="V497" i="67"/>
  <c r="W497" i="67"/>
  <c r="X497" i="67"/>
  <c r="AO497" i="67"/>
  <c r="AP497" i="67"/>
  <c r="AQ497" i="67"/>
  <c r="AR497" i="67"/>
  <c r="AS497" i="67"/>
  <c r="AT497" i="67"/>
  <c r="AU497" i="67"/>
  <c r="AW497" i="67"/>
  <c r="AX497" i="67"/>
  <c r="AY497" i="67"/>
  <c r="BA497" i="67"/>
  <c r="A498" i="67"/>
  <c r="B498" i="67"/>
  <c r="D498" i="67"/>
  <c r="E498" i="67"/>
  <c r="F498" i="67"/>
  <c r="G498" i="67"/>
  <c r="H498" i="67"/>
  <c r="J498" i="67"/>
  <c r="K498" i="67"/>
  <c r="L498" i="67"/>
  <c r="M498" i="67"/>
  <c r="O498" i="67"/>
  <c r="P498" i="67"/>
  <c r="R498" i="67"/>
  <c r="S498" i="67"/>
  <c r="U498" i="67"/>
  <c r="V498" i="67"/>
  <c r="W498" i="67"/>
  <c r="X498" i="67"/>
  <c r="AO498" i="67"/>
  <c r="AP498" i="67"/>
  <c r="AQ498" i="67"/>
  <c r="AR498" i="67"/>
  <c r="AS498" i="67"/>
  <c r="AT498" i="67"/>
  <c r="AU498" i="67"/>
  <c r="AW498" i="67"/>
  <c r="AX498" i="67"/>
  <c r="AY498" i="67"/>
  <c r="BA498" i="67"/>
  <c r="A499" i="67"/>
  <c r="B499" i="67"/>
  <c r="D499" i="67"/>
  <c r="E499" i="67"/>
  <c r="F499" i="67"/>
  <c r="G499" i="67"/>
  <c r="H499" i="67"/>
  <c r="J499" i="67"/>
  <c r="K499" i="67"/>
  <c r="L499" i="67"/>
  <c r="M499" i="67"/>
  <c r="O499" i="67"/>
  <c r="P499" i="67"/>
  <c r="R499" i="67"/>
  <c r="S499" i="67"/>
  <c r="U499" i="67"/>
  <c r="V499" i="67"/>
  <c r="W499" i="67"/>
  <c r="X499" i="67"/>
  <c r="AO499" i="67"/>
  <c r="AP499" i="67"/>
  <c r="AQ499" i="67"/>
  <c r="AR499" i="67"/>
  <c r="AS499" i="67"/>
  <c r="AT499" i="67"/>
  <c r="AU499" i="67"/>
  <c r="AW499" i="67"/>
  <c r="AX499" i="67"/>
  <c r="AY499" i="67"/>
  <c r="BA499" i="67"/>
  <c r="A500" i="67"/>
  <c r="B500" i="67"/>
  <c r="AW500" i="67"/>
  <c r="AX500" i="67"/>
  <c r="AY500" i="67"/>
  <c r="BA500" i="67"/>
  <c r="A501" i="67"/>
  <c r="B501" i="67"/>
  <c r="AW501" i="67"/>
  <c r="AX501" i="67"/>
  <c r="AY501" i="67"/>
  <c r="BA501" i="67"/>
  <c r="AF6" i="55"/>
  <c r="C7" i="55"/>
  <c r="D7" i="55"/>
  <c r="O7" i="55"/>
  <c r="S7" i="55"/>
  <c r="T7" i="55"/>
  <c r="U7" i="55"/>
  <c r="AF7" i="55"/>
  <c r="AK7" i="55"/>
  <c r="AL7" i="55"/>
  <c r="AM7" i="55"/>
  <c r="C8" i="55"/>
  <c r="D8" i="55"/>
  <c r="E8" i="55"/>
  <c r="M8" i="55"/>
  <c r="N8" i="55"/>
  <c r="O8" i="55"/>
  <c r="S8" i="55"/>
  <c r="T8" i="55"/>
  <c r="U8" i="55"/>
  <c r="AF8" i="55"/>
  <c r="AK8" i="55"/>
  <c r="AL8" i="55"/>
  <c r="AM8" i="55"/>
  <c r="C9" i="55"/>
  <c r="D9" i="55"/>
  <c r="E9" i="55"/>
  <c r="M9" i="55"/>
  <c r="N9" i="55"/>
  <c r="O9" i="55"/>
  <c r="S9" i="55"/>
  <c r="U9" i="55"/>
  <c r="AF9" i="55"/>
  <c r="AK9" i="55"/>
  <c r="AL9" i="55"/>
  <c r="AM9" i="55"/>
  <c r="C10" i="55"/>
  <c r="D10" i="55"/>
  <c r="E10" i="55"/>
  <c r="M10" i="55"/>
  <c r="N10" i="55"/>
  <c r="O10" i="55"/>
  <c r="R10" i="55"/>
  <c r="S10" i="55"/>
  <c r="T10" i="55"/>
  <c r="U10" i="55"/>
  <c r="AK10" i="55"/>
  <c r="AL10" i="55"/>
  <c r="AM10" i="55"/>
  <c r="C11" i="55"/>
  <c r="D11" i="55"/>
  <c r="E11" i="55"/>
  <c r="M11" i="55"/>
  <c r="N11" i="55"/>
  <c r="O11" i="55"/>
  <c r="R11" i="55"/>
  <c r="S11" i="55"/>
  <c r="T11" i="55"/>
  <c r="U11" i="55"/>
  <c r="AK11" i="55"/>
  <c r="AL11" i="55"/>
  <c r="AM11" i="55"/>
  <c r="C12" i="55"/>
  <c r="D12" i="55"/>
  <c r="E12" i="55"/>
  <c r="F12" i="55"/>
  <c r="M12" i="55"/>
  <c r="N12" i="55"/>
  <c r="R12" i="55"/>
  <c r="U12" i="55"/>
  <c r="AK12" i="55"/>
  <c r="AL12" i="55"/>
  <c r="AM12" i="55"/>
  <c r="C13" i="55"/>
  <c r="D13" i="55"/>
  <c r="E13" i="55"/>
  <c r="M13" i="55"/>
  <c r="N13" i="55"/>
  <c r="O13" i="55"/>
  <c r="R13" i="55"/>
  <c r="S13" i="55"/>
  <c r="T13" i="55"/>
  <c r="U13" i="55"/>
  <c r="AK13" i="55"/>
  <c r="AL13" i="55"/>
  <c r="AM13" i="55"/>
  <c r="C14" i="55"/>
  <c r="D14" i="55"/>
  <c r="E14" i="55"/>
  <c r="M14" i="55"/>
  <c r="N14" i="55"/>
  <c r="O14" i="55"/>
  <c r="S14" i="55"/>
  <c r="U14" i="55"/>
  <c r="AK14" i="55"/>
  <c r="AL14" i="55"/>
  <c r="AM14" i="55"/>
  <c r="AK15" i="55"/>
  <c r="AL15" i="55"/>
  <c r="AM15" i="55"/>
  <c r="AK16" i="55"/>
  <c r="AL16" i="55"/>
  <c r="AM16" i="55"/>
  <c r="AK17" i="55"/>
  <c r="AL17" i="55"/>
  <c r="AM17" i="55"/>
  <c r="AK18" i="55"/>
  <c r="AL18" i="55"/>
  <c r="AM18" i="55"/>
  <c r="AK19" i="55"/>
  <c r="AL19" i="55"/>
  <c r="AM19" i="55"/>
  <c r="AK20" i="55"/>
  <c r="AL20" i="55"/>
  <c r="AM20" i="55"/>
  <c r="AK21" i="55"/>
  <c r="AL21" i="55"/>
  <c r="AM21" i="55"/>
  <c r="AK22" i="55"/>
  <c r="AL22" i="55"/>
  <c r="AM22" i="55"/>
  <c r="AK23" i="55"/>
  <c r="AL23" i="55"/>
  <c r="AM23" i="55"/>
  <c r="AK24" i="55"/>
  <c r="AL24" i="55"/>
  <c r="AM24" i="55"/>
  <c r="AK25" i="55"/>
  <c r="AL25" i="55"/>
  <c r="AM25" i="55"/>
  <c r="A26" i="55"/>
  <c r="B26" i="55"/>
  <c r="C26" i="55"/>
  <c r="D26" i="55"/>
  <c r="E26" i="55"/>
  <c r="F26" i="55"/>
  <c r="G26" i="55"/>
  <c r="H26" i="55"/>
  <c r="I26" i="55"/>
  <c r="J26" i="55"/>
  <c r="K26" i="55"/>
  <c r="L26" i="55"/>
  <c r="M26" i="55"/>
  <c r="N26" i="55"/>
  <c r="O26" i="55"/>
  <c r="P26" i="55"/>
  <c r="Q26" i="55"/>
  <c r="R26" i="55"/>
  <c r="S26" i="55"/>
  <c r="T26" i="55"/>
  <c r="U26" i="55"/>
  <c r="W26" i="55"/>
  <c r="X26" i="55"/>
  <c r="Y26" i="55"/>
  <c r="Z26" i="55"/>
  <c r="AA26" i="55"/>
  <c r="AK26" i="55"/>
  <c r="AL26" i="55"/>
  <c r="AM26" i="55"/>
  <c r="A27" i="55"/>
  <c r="B27" i="55"/>
  <c r="C27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W27" i="55"/>
  <c r="X27" i="55"/>
  <c r="Y27" i="55"/>
  <c r="Z27" i="55"/>
  <c r="AA27" i="55"/>
  <c r="AK27" i="55"/>
  <c r="AL27" i="55"/>
  <c r="AM27" i="55"/>
  <c r="A28" i="55"/>
  <c r="B28" i="55"/>
  <c r="C28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W28" i="55"/>
  <c r="X28" i="55"/>
  <c r="Y28" i="55"/>
  <c r="Z28" i="55"/>
  <c r="AA28" i="55"/>
  <c r="AK28" i="55"/>
  <c r="AL28" i="55"/>
  <c r="AM28" i="55"/>
  <c r="A29" i="55"/>
  <c r="B29" i="55"/>
  <c r="C29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W29" i="55"/>
  <c r="X29" i="55"/>
  <c r="Y29" i="55"/>
  <c r="Z29" i="55"/>
  <c r="AA29" i="55"/>
  <c r="AK29" i="55"/>
  <c r="AL29" i="55"/>
  <c r="AM29" i="55"/>
  <c r="A30" i="55"/>
  <c r="B30" i="55"/>
  <c r="C30" i="55"/>
  <c r="D30" i="55"/>
  <c r="E30" i="55"/>
  <c r="F30" i="55"/>
  <c r="G30" i="55"/>
  <c r="H30" i="55"/>
  <c r="I30" i="55"/>
  <c r="J30" i="55"/>
  <c r="K30" i="55"/>
  <c r="L30" i="55"/>
  <c r="M30" i="55"/>
  <c r="N30" i="55"/>
  <c r="O30" i="55"/>
  <c r="P30" i="55"/>
  <c r="Q30" i="55"/>
  <c r="R30" i="55"/>
  <c r="S30" i="55"/>
  <c r="T30" i="55"/>
  <c r="U30" i="55"/>
  <c r="W30" i="55"/>
  <c r="X30" i="55"/>
  <c r="Y30" i="55"/>
  <c r="Z30" i="55"/>
  <c r="AA30" i="55"/>
  <c r="AK30" i="55"/>
  <c r="AL30" i="55"/>
  <c r="AM30" i="55"/>
  <c r="A31" i="55"/>
  <c r="B31" i="55"/>
  <c r="C31" i="55"/>
  <c r="D31" i="55"/>
  <c r="E31" i="55"/>
  <c r="F31" i="55"/>
  <c r="G31" i="55"/>
  <c r="H31" i="55"/>
  <c r="I31" i="55"/>
  <c r="J31" i="55"/>
  <c r="K31" i="55"/>
  <c r="L31" i="55"/>
  <c r="M31" i="55"/>
  <c r="N31" i="55"/>
  <c r="O31" i="55"/>
  <c r="P31" i="55"/>
  <c r="Q31" i="55"/>
  <c r="R31" i="55"/>
  <c r="S31" i="55"/>
  <c r="T31" i="55"/>
  <c r="U31" i="55"/>
  <c r="W31" i="55"/>
  <c r="X31" i="55"/>
  <c r="Y31" i="55"/>
  <c r="Z31" i="55"/>
  <c r="AA31" i="55"/>
  <c r="AK31" i="55"/>
  <c r="AL31" i="55"/>
  <c r="AM31" i="55"/>
  <c r="B32" i="55"/>
  <c r="C32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W32" i="55"/>
  <c r="X32" i="55"/>
  <c r="Y32" i="55"/>
  <c r="Z32" i="55"/>
  <c r="AA32" i="55"/>
  <c r="AK32" i="55"/>
  <c r="AL32" i="55"/>
  <c r="AM32" i="55"/>
  <c r="B33" i="55"/>
  <c r="C33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W33" i="55"/>
  <c r="X33" i="55"/>
  <c r="Y33" i="55"/>
  <c r="Z33" i="55"/>
  <c r="AA33" i="55"/>
  <c r="AK33" i="55"/>
  <c r="AL33" i="55"/>
  <c r="AM33" i="55"/>
  <c r="B34" i="55"/>
  <c r="AK34" i="55"/>
  <c r="AL34" i="55"/>
  <c r="AM34" i="55"/>
  <c r="AK35" i="55"/>
  <c r="AL35" i="55"/>
  <c r="AM35" i="55"/>
  <c r="AK36" i="55"/>
  <c r="AL36" i="55"/>
  <c r="AM36" i="55"/>
  <c r="AK37" i="55"/>
  <c r="AL37" i="55"/>
  <c r="AM37" i="55"/>
  <c r="AK38" i="55"/>
  <c r="AL38" i="55"/>
  <c r="AM38" i="55"/>
  <c r="X39" i="55"/>
  <c r="Y39" i="55"/>
  <c r="AA39" i="55"/>
  <c r="AK39" i="55"/>
  <c r="AL39" i="55"/>
  <c r="AM39" i="55"/>
  <c r="AK40" i="55"/>
  <c r="AL40" i="55"/>
  <c r="AM40" i="55"/>
  <c r="AK41" i="55"/>
  <c r="AL41" i="55"/>
  <c r="AM41" i="55"/>
  <c r="AK42" i="55"/>
  <c r="AL42" i="55"/>
  <c r="AM42" i="55"/>
  <c r="AK43" i="55"/>
  <c r="AL43" i="55"/>
  <c r="AM43" i="55"/>
  <c r="Z45" i="55"/>
  <c r="AA45" i="55"/>
  <c r="AK45" i="55"/>
  <c r="AL45" i="55"/>
  <c r="AM45" i="55"/>
  <c r="Z46" i="55"/>
  <c r="AA46" i="55"/>
  <c r="AK46" i="55"/>
  <c r="AL46" i="55"/>
  <c r="AM46" i="55"/>
  <c r="Z47" i="55"/>
  <c r="AA47" i="55"/>
  <c r="AK47" i="55"/>
  <c r="AL47" i="55"/>
  <c r="AM47" i="55"/>
  <c r="Z48" i="55"/>
  <c r="AA48" i="55"/>
  <c r="AK48" i="55"/>
  <c r="AL48" i="55"/>
  <c r="AM48" i="55"/>
  <c r="Z49" i="55"/>
  <c r="AA49" i="55"/>
  <c r="AK49" i="55"/>
  <c r="AL49" i="55"/>
  <c r="AM49" i="55"/>
  <c r="Z50" i="55"/>
  <c r="AA50" i="55"/>
  <c r="AK50" i="55"/>
  <c r="AL50" i="55"/>
  <c r="AM50" i="55"/>
  <c r="AI51" i="55"/>
  <c r="AK51" i="55"/>
  <c r="AL51" i="55"/>
  <c r="AM51" i="55"/>
  <c r="AK52" i="55"/>
  <c r="AL52" i="55"/>
  <c r="AM52" i="55"/>
  <c r="AK53" i="55"/>
  <c r="AL53" i="55"/>
  <c r="AM53" i="55"/>
  <c r="AK54" i="55"/>
  <c r="AL54" i="55"/>
  <c r="AM54" i="55"/>
  <c r="AK55" i="55"/>
  <c r="AL55" i="55"/>
  <c r="AM55" i="55"/>
  <c r="AK56" i="55"/>
  <c r="AL56" i="55"/>
  <c r="AM56" i="55"/>
  <c r="AK57" i="55"/>
  <c r="AL57" i="55"/>
  <c r="AM57" i="55"/>
  <c r="AK58" i="55"/>
  <c r="AL58" i="55"/>
  <c r="AM58" i="55"/>
  <c r="AK59" i="55"/>
  <c r="AL59" i="55"/>
  <c r="AM59" i="55"/>
  <c r="AK60" i="55"/>
  <c r="AL60" i="55"/>
  <c r="AM60" i="55"/>
  <c r="AK61" i="55"/>
  <c r="AL61" i="55"/>
  <c r="AM61" i="55"/>
  <c r="AK62" i="55"/>
  <c r="AL62" i="55"/>
  <c r="AM62" i="55"/>
  <c r="AI63" i="55"/>
  <c r="AK63" i="55"/>
  <c r="AL63" i="55"/>
  <c r="AM63" i="55"/>
  <c r="AK64" i="55"/>
  <c r="AL64" i="55"/>
  <c r="AM64" i="55"/>
  <c r="AK65" i="55"/>
  <c r="AL65" i="55"/>
  <c r="AM65" i="55"/>
  <c r="AK66" i="55"/>
  <c r="AL66" i="55"/>
  <c r="AM66" i="55"/>
  <c r="AK67" i="55"/>
  <c r="AL67" i="55"/>
  <c r="AM67" i="55"/>
  <c r="AK68" i="55"/>
  <c r="AL68" i="55"/>
  <c r="AM68" i="55"/>
  <c r="AK69" i="55"/>
  <c r="AL69" i="55"/>
  <c r="AM69" i="55"/>
  <c r="AK70" i="55"/>
  <c r="AL70" i="55"/>
  <c r="AM70" i="55"/>
  <c r="AK71" i="55"/>
  <c r="AL71" i="55"/>
  <c r="AM71" i="55"/>
  <c r="AK72" i="55"/>
  <c r="AL72" i="55"/>
  <c r="AM72" i="55"/>
  <c r="AK73" i="55"/>
  <c r="AL73" i="55"/>
  <c r="AM73" i="55"/>
  <c r="AK74" i="55"/>
  <c r="AL74" i="55"/>
  <c r="AM74" i="55"/>
  <c r="AI75" i="55"/>
  <c r="AK75" i="55"/>
  <c r="AL75" i="55"/>
  <c r="AM75" i="55"/>
  <c r="AK76" i="55"/>
  <c r="AL76" i="55"/>
  <c r="AM76" i="55"/>
  <c r="AK77" i="55"/>
  <c r="AL77" i="55"/>
  <c r="AM77" i="55"/>
  <c r="AK78" i="55"/>
  <c r="AL78" i="55"/>
  <c r="AM78" i="55"/>
  <c r="AK79" i="55"/>
  <c r="AL79" i="55"/>
  <c r="AM79" i="55"/>
  <c r="AK80" i="55"/>
  <c r="AL80" i="55"/>
  <c r="AM80" i="55"/>
  <c r="AK81" i="55"/>
  <c r="AL81" i="55"/>
  <c r="AM81" i="55"/>
  <c r="AK82" i="55"/>
  <c r="AL82" i="55"/>
  <c r="AM82" i="55"/>
  <c r="AK83" i="55"/>
  <c r="AL83" i="55"/>
  <c r="AM83" i="55"/>
  <c r="AK84" i="55"/>
  <c r="AL84" i="55"/>
  <c r="AM84" i="55"/>
  <c r="AK85" i="55"/>
  <c r="AL85" i="55"/>
  <c r="AM85" i="55"/>
  <c r="AK86" i="55"/>
  <c r="AL86" i="55"/>
  <c r="AM86" i="55"/>
  <c r="AI87" i="55"/>
  <c r="AK87" i="55"/>
  <c r="AL87" i="55"/>
  <c r="AM87" i="55"/>
  <c r="AK88" i="55"/>
  <c r="AL88" i="55"/>
  <c r="AM88" i="55"/>
  <c r="AK89" i="55"/>
  <c r="AL89" i="55"/>
  <c r="AM89" i="55"/>
  <c r="AK90" i="55"/>
  <c r="AL90" i="55"/>
  <c r="AM90" i="55"/>
  <c r="AK91" i="55"/>
  <c r="AL91" i="55"/>
  <c r="AM91" i="55"/>
  <c r="AK92" i="55"/>
  <c r="AL92" i="55"/>
  <c r="AM92" i="55"/>
  <c r="AK93" i="55"/>
  <c r="AL93" i="55"/>
  <c r="AM93" i="55"/>
  <c r="AK94" i="55"/>
  <c r="AL94" i="55"/>
  <c r="AM94" i="55"/>
  <c r="AK95" i="55"/>
  <c r="AL95" i="55"/>
  <c r="AM95" i="55"/>
  <c r="AK96" i="55"/>
  <c r="AL96" i="55"/>
  <c r="AM96" i="55"/>
  <c r="AK97" i="55"/>
  <c r="AL97" i="55"/>
  <c r="AM97" i="55"/>
  <c r="AK98" i="55"/>
  <c r="AL98" i="55"/>
  <c r="AM98" i="55"/>
  <c r="AI99" i="55"/>
  <c r="AK99" i="55"/>
  <c r="AL99" i="55"/>
  <c r="AM99" i="55"/>
  <c r="AK100" i="55"/>
  <c r="AL100" i="55"/>
  <c r="AM100" i="55"/>
  <c r="AK101" i="55"/>
  <c r="AL101" i="55"/>
  <c r="AM101" i="55"/>
  <c r="AK102" i="55"/>
  <c r="AL102" i="55"/>
  <c r="AM102" i="55"/>
  <c r="AK103" i="55"/>
  <c r="AL103" i="55"/>
  <c r="AM103" i="55"/>
  <c r="AK104" i="55"/>
  <c r="AL104" i="55"/>
  <c r="AM104" i="55"/>
  <c r="AK105" i="55"/>
  <c r="AL105" i="55"/>
  <c r="AM105" i="55"/>
  <c r="AK106" i="55"/>
  <c r="AL106" i="55"/>
  <c r="AM106" i="55"/>
  <c r="AK107" i="55"/>
  <c r="AL107" i="55"/>
  <c r="AM107" i="55"/>
  <c r="AK108" i="55"/>
  <c r="AL108" i="55"/>
  <c r="AM108" i="55"/>
  <c r="AK109" i="55"/>
  <c r="AL109" i="55"/>
  <c r="AM109" i="55"/>
  <c r="AK110" i="55"/>
  <c r="AL110" i="55"/>
  <c r="AM110" i="55"/>
  <c r="AI111" i="55"/>
  <c r="AK111" i="55"/>
  <c r="AL111" i="55"/>
  <c r="AM111" i="55"/>
  <c r="AK112" i="55"/>
  <c r="AL112" i="55"/>
  <c r="AM112" i="55"/>
  <c r="AK113" i="55"/>
  <c r="AL113" i="55"/>
  <c r="AM113" i="55"/>
  <c r="AK114" i="55"/>
  <c r="AL114" i="55"/>
  <c r="AM114" i="55"/>
  <c r="AK115" i="55"/>
  <c r="AL115" i="55"/>
  <c r="AM115" i="55"/>
  <c r="AK116" i="55"/>
  <c r="AL116" i="55"/>
  <c r="AM116" i="55"/>
  <c r="AK117" i="55"/>
  <c r="AL117" i="55"/>
  <c r="AM117" i="55"/>
  <c r="AK118" i="55"/>
  <c r="AL118" i="55"/>
  <c r="AM118" i="55"/>
  <c r="AK119" i="55"/>
  <c r="AL119" i="55"/>
  <c r="AM119" i="55"/>
  <c r="AK120" i="55"/>
  <c r="AL120" i="55"/>
  <c r="AM120" i="55"/>
  <c r="AK121" i="55"/>
  <c r="AL121" i="55"/>
  <c r="AM121" i="55"/>
  <c r="AK122" i="55"/>
  <c r="AL122" i="55"/>
  <c r="AM122" i="55"/>
  <c r="AI123" i="55"/>
  <c r="AK123" i="55"/>
  <c r="AL123" i="55"/>
  <c r="AM123" i="55"/>
  <c r="AK124" i="55"/>
  <c r="AL124" i="55"/>
  <c r="AM124" i="55"/>
  <c r="AK125" i="55"/>
  <c r="AL125" i="55"/>
  <c r="AM125" i="55"/>
  <c r="AK126" i="55"/>
  <c r="AL126" i="55"/>
  <c r="AM126" i="55"/>
  <c r="AK127" i="55"/>
  <c r="AL127" i="55"/>
  <c r="AM127" i="55"/>
  <c r="AK128" i="55"/>
  <c r="AL128" i="55"/>
  <c r="AM128" i="55"/>
  <c r="AK129" i="55"/>
  <c r="AL129" i="55"/>
  <c r="AM129" i="55"/>
  <c r="AK130" i="55"/>
  <c r="AL130" i="55"/>
  <c r="AM130" i="55"/>
  <c r="AK131" i="55"/>
  <c r="AL131" i="55"/>
  <c r="AM131" i="55"/>
  <c r="AK132" i="55"/>
  <c r="AL132" i="55"/>
  <c r="AM132" i="55"/>
  <c r="AK133" i="55"/>
  <c r="AL133" i="55"/>
  <c r="AM133" i="55"/>
  <c r="AK134" i="55"/>
  <c r="AL134" i="55"/>
  <c r="AM134" i="55"/>
  <c r="AI135" i="55"/>
  <c r="AK135" i="55"/>
  <c r="AL135" i="55"/>
  <c r="AM135" i="55"/>
  <c r="AK136" i="55"/>
  <c r="AL136" i="55"/>
  <c r="AM136" i="55"/>
  <c r="AK137" i="55"/>
  <c r="AL137" i="55"/>
  <c r="AM137" i="55"/>
  <c r="AK138" i="55"/>
  <c r="AL138" i="55"/>
  <c r="AM138" i="55"/>
  <c r="AK139" i="55"/>
  <c r="AL139" i="55"/>
  <c r="AM139" i="55"/>
  <c r="AK140" i="55"/>
  <c r="AL140" i="55"/>
  <c r="AM140" i="55"/>
  <c r="AK141" i="55"/>
  <c r="AL141" i="55"/>
  <c r="AM141" i="55"/>
  <c r="AK142" i="55"/>
  <c r="AL142" i="55"/>
  <c r="AM142" i="55"/>
  <c r="AK143" i="55"/>
  <c r="AL143" i="55"/>
  <c r="AM143" i="55"/>
  <c r="AK144" i="55"/>
  <c r="AL144" i="55"/>
  <c r="AM144" i="55"/>
  <c r="AK145" i="55"/>
  <c r="AL145" i="55"/>
  <c r="AM145" i="55"/>
  <c r="AK146" i="55"/>
  <c r="AL146" i="55"/>
  <c r="AM146" i="55"/>
  <c r="AI147" i="55"/>
  <c r="AK147" i="55"/>
  <c r="AL147" i="55"/>
  <c r="AM147" i="55"/>
  <c r="AK148" i="55"/>
  <c r="AL148" i="55"/>
  <c r="AM148" i="55"/>
  <c r="AK149" i="55"/>
  <c r="AL149" i="55"/>
  <c r="AM149" i="55"/>
  <c r="AK150" i="55"/>
  <c r="AL150" i="55"/>
  <c r="AM150" i="55"/>
  <c r="AK151" i="55"/>
  <c r="AL151" i="55"/>
  <c r="AM151" i="55"/>
  <c r="AK152" i="55"/>
  <c r="AL152" i="55"/>
  <c r="AM152" i="55"/>
  <c r="AK153" i="55"/>
  <c r="AL153" i="55"/>
  <c r="AM153" i="55"/>
  <c r="AK154" i="55"/>
  <c r="AL154" i="55"/>
  <c r="AM154" i="55"/>
  <c r="AK155" i="55"/>
  <c r="AL155" i="55"/>
  <c r="AM155" i="55"/>
  <c r="AK156" i="55"/>
  <c r="AL156" i="55"/>
  <c r="AM156" i="55"/>
  <c r="AK157" i="55"/>
  <c r="AL157" i="55"/>
  <c r="AM157" i="55"/>
  <c r="AK158" i="55"/>
  <c r="AL158" i="55"/>
  <c r="AM158" i="55"/>
  <c r="AI159" i="55"/>
  <c r="AK159" i="55"/>
  <c r="AL159" i="55"/>
  <c r="AM159" i="55"/>
  <c r="AK160" i="55"/>
  <c r="AL160" i="55"/>
  <c r="AM160" i="55"/>
  <c r="AK161" i="55"/>
  <c r="AL161" i="55"/>
  <c r="AM161" i="55"/>
  <c r="AK162" i="55"/>
  <c r="AL162" i="55"/>
  <c r="AM162" i="55"/>
  <c r="AK163" i="55"/>
  <c r="AL163" i="55"/>
  <c r="AM163" i="55"/>
  <c r="AK164" i="55"/>
  <c r="AL164" i="55"/>
  <c r="AM164" i="55"/>
  <c r="AK165" i="55"/>
  <c r="AL165" i="55"/>
  <c r="AM165" i="55"/>
  <c r="AK166" i="55"/>
  <c r="AL166" i="55"/>
  <c r="AM166" i="55"/>
  <c r="AK167" i="55"/>
  <c r="AL167" i="55"/>
  <c r="AM167" i="55"/>
  <c r="AK168" i="55"/>
  <c r="AL168" i="55"/>
  <c r="AM168" i="55"/>
  <c r="AK169" i="55"/>
  <c r="AL169" i="55"/>
  <c r="AM169" i="55"/>
  <c r="AK170" i="55"/>
  <c r="AL170" i="55"/>
  <c r="AM170" i="55"/>
</calcChain>
</file>

<file path=xl/comments1.xml><?xml version="1.0" encoding="utf-8"?>
<comments xmlns="http://schemas.openxmlformats.org/spreadsheetml/2006/main">
  <authors>
    <author>solitsk</author>
  </authors>
  <commentList>
    <comment ref="S5" authorId="0" shapeId="0">
      <text>
        <r>
          <rPr>
            <sz val="8"/>
            <color indexed="81"/>
            <rFont val="Tahoma"/>
          </rPr>
          <t xml:space="preserve">You must add ACA onto the commodity to make it feed through the model
</t>
        </r>
      </text>
    </comment>
  </commentList>
</comments>
</file>

<file path=xl/comments2.xml><?xml version="1.0" encoding="utf-8"?>
<comments xmlns="http://schemas.openxmlformats.org/spreadsheetml/2006/main">
  <authors>
    <author>Sanjeev K Khanna</author>
  </authors>
  <commentList>
    <comment ref="F13" authorId="0" shapeId="0">
      <text>
        <r>
          <rPr>
            <b/>
            <sz val="8"/>
            <color indexed="81"/>
            <rFont val="Tahoma"/>
          </rPr>
          <t>Sanjeev K Khanna:</t>
        </r>
        <r>
          <rPr>
            <sz val="8"/>
            <color indexed="81"/>
            <rFont val="Tahoma"/>
          </rPr>
          <t xml:space="preserve">
Spreads are diff from mid to bid/offer</t>
        </r>
      </text>
    </comment>
    <comment ref="C18" authorId="0" shapeId="0">
      <text>
        <r>
          <rPr>
            <b/>
            <sz val="8"/>
            <color indexed="81"/>
            <rFont val="Tahoma"/>
          </rPr>
          <t>Sanjeev K Khanna:</t>
        </r>
        <r>
          <rPr>
            <sz val="8"/>
            <color indexed="81"/>
            <rFont val="Tahoma"/>
          </rPr>
          <t xml:space="preserve">
Please make sure the monthly vol for this curve is listed
If not, please use Nymex or another proxy location</t>
        </r>
      </text>
    </comment>
    <comment ref="C19" authorId="0" shapeId="0">
      <text>
        <r>
          <rPr>
            <b/>
            <sz val="8"/>
            <color indexed="81"/>
            <rFont val="Tahoma"/>
          </rPr>
          <t>Sanjeev K Khanna:</t>
        </r>
        <r>
          <rPr>
            <sz val="8"/>
            <color indexed="81"/>
            <rFont val="Tahoma"/>
          </rPr>
          <t xml:space="preserve">
Please make sure the monthly vol for this curve is listed
If not, please use Nymex or another proxy location</t>
        </r>
      </text>
    </comment>
  </commentList>
</comments>
</file>

<file path=xl/sharedStrings.xml><?xml version="1.0" encoding="utf-8"?>
<sst xmlns="http://schemas.openxmlformats.org/spreadsheetml/2006/main" count="1437" uniqueCount="252">
  <si>
    <t>Mid</t>
  </si>
  <si>
    <t>Monthly</t>
  </si>
  <si>
    <t>PV</t>
  </si>
  <si>
    <t>Discount</t>
  </si>
  <si>
    <t>Factor</t>
  </si>
  <si>
    <t>Nymex</t>
  </si>
  <si>
    <t>Basis</t>
  </si>
  <si>
    <t>Index</t>
  </si>
  <si>
    <t>Date</t>
  </si>
  <si>
    <t>Real</t>
  </si>
  <si>
    <t>Term</t>
  </si>
  <si>
    <t>MMbtu</t>
  </si>
  <si>
    <t>MMBtu/day 1</t>
  </si>
  <si>
    <t>Start Date</t>
  </si>
  <si>
    <t>Stop Date</t>
  </si>
  <si>
    <t>Mark Date</t>
  </si>
  <si>
    <t>Curve Date</t>
  </si>
  <si>
    <t>Phy1 Fin2</t>
  </si>
  <si>
    <t>Buy1 Sell2</t>
  </si>
  <si>
    <t>MMBtu/month 2</t>
  </si>
  <si>
    <t>Delivery Pt.</t>
  </si>
  <si>
    <t>Accum</t>
  </si>
  <si>
    <t>TOTAL</t>
  </si>
  <si>
    <t>Delivery</t>
  </si>
  <si>
    <t>Calendar</t>
  </si>
  <si>
    <t>Libor</t>
  </si>
  <si>
    <t>Active</t>
  </si>
  <si>
    <t>Month</t>
  </si>
  <si>
    <t>Days</t>
  </si>
  <si>
    <t>AA</t>
  </si>
  <si>
    <t>Months</t>
  </si>
  <si>
    <t>SWAP PRICE</t>
  </si>
  <si>
    <t>Cost of Funds</t>
  </si>
  <si>
    <t>Adjustment (bp)</t>
  </si>
  <si>
    <t>MMBtu</t>
  </si>
  <si>
    <t>NG-P</t>
  </si>
  <si>
    <t>Total</t>
  </si>
  <si>
    <t>LIBOR-AA</t>
  </si>
  <si>
    <t>User ID:</t>
  </si>
  <si>
    <t>mbennet_pc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</si>
  <si>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</si>
  <si>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</si>
  <si>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</si>
  <si>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</si>
  <si>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</si>
  <si>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</si>
  <si>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Effective Date</t>
  </si>
  <si>
    <t>Prompt Month</t>
  </si>
  <si>
    <t>Curve Code</t>
  </si>
  <si>
    <t>INTNS</t>
  </si>
  <si>
    <t>NG</t>
  </si>
  <si>
    <t>Curve Type</t>
  </si>
  <si>
    <t>PR</t>
  </si>
  <si>
    <t>VO</t>
  </si>
  <si>
    <t>Book Code 1</t>
  </si>
  <si>
    <t>R</t>
  </si>
  <si>
    <t>P</t>
  </si>
  <si>
    <t>D</t>
  </si>
  <si>
    <t>I</t>
  </si>
  <si>
    <t>Publisher</t>
  </si>
  <si>
    <t>DQUIGLE</t>
  </si>
  <si>
    <t>Inputs</t>
  </si>
  <si>
    <t>Basis Swap Model</t>
  </si>
  <si>
    <t>Valuation Date</t>
  </si>
  <si>
    <t>Term End Date</t>
  </si>
  <si>
    <t>Term Start Date</t>
  </si>
  <si>
    <t>Daily Volume</t>
  </si>
  <si>
    <t>Cost of Funds Adj (bp)</t>
  </si>
  <si>
    <t>Delivery Location</t>
  </si>
  <si>
    <t>Receipt Location</t>
  </si>
  <si>
    <t>Receipt Pt</t>
  </si>
  <si>
    <t>Outputs</t>
  </si>
  <si>
    <t>Counter Party</t>
  </si>
  <si>
    <t>Structurer</t>
  </si>
  <si>
    <t>Originator</t>
  </si>
  <si>
    <t>Sanjeev Khanna</t>
  </si>
  <si>
    <t>Start</t>
  </si>
  <si>
    <t>Stop</t>
  </si>
  <si>
    <t>Version</t>
  </si>
  <si>
    <t>Price</t>
  </si>
  <si>
    <t>($/mmbtu)</t>
  </si>
  <si>
    <t xml:space="preserve"> </t>
  </si>
  <si>
    <t>Intrinsic</t>
  </si>
  <si>
    <t>Vol</t>
  </si>
  <si>
    <t>Commodity</t>
  </si>
  <si>
    <t>Option</t>
  </si>
  <si>
    <t>Correlation</t>
  </si>
  <si>
    <t>Charge</t>
  </si>
  <si>
    <t>Strike</t>
  </si>
  <si>
    <t>Expire Date</t>
  </si>
  <si>
    <t>Expire Days</t>
  </si>
  <si>
    <t>Premium</t>
  </si>
  <si>
    <t>Blended A</t>
  </si>
  <si>
    <t>Blended B</t>
  </si>
  <si>
    <t>Demand Charge ($/mmbtu)</t>
  </si>
  <si>
    <t>Option Type</t>
  </si>
  <si>
    <t>Extrinsic</t>
  </si>
  <si>
    <t>Transport Option Pricing Model</t>
  </si>
  <si>
    <t>Option Premium ($/mmbtu)</t>
  </si>
  <si>
    <t>Intrinsic Value ($)</t>
  </si>
  <si>
    <t>Extrinsic Value ($)</t>
  </si>
  <si>
    <t>Total Option Premium ($)</t>
  </si>
  <si>
    <t>Value</t>
  </si>
  <si>
    <t>Intrinsic Premium ($/mmbtu)</t>
  </si>
  <si>
    <t>Extrinsic Premium ($/mmbtu)</t>
  </si>
  <si>
    <t>Commodity Charge ($/mmbtu)</t>
  </si>
  <si>
    <t>Receipt</t>
  </si>
  <si>
    <t>Price Curve</t>
  </si>
  <si>
    <t>Notional Volume (mmbtu)</t>
  </si>
  <si>
    <t>PV Volume (mmbtu)</t>
  </si>
  <si>
    <t>MTM Profit/(Loss) ($)</t>
  </si>
  <si>
    <t>Fuel</t>
  </si>
  <si>
    <t>Dly Vol Curve</t>
  </si>
  <si>
    <t>Mthly Vol Curve</t>
  </si>
  <si>
    <t>Physical</t>
  </si>
  <si>
    <t>Financial</t>
  </si>
  <si>
    <t>Buy</t>
  </si>
  <si>
    <t>Sell</t>
  </si>
  <si>
    <t>Physical or Financial</t>
  </si>
  <si>
    <t>Buy or Sell</t>
  </si>
  <si>
    <t>CurveList</t>
  </si>
  <si>
    <t>Daily Volatility</t>
  </si>
  <si>
    <t>Please add new curves in the Curve List file</t>
  </si>
  <si>
    <t>Fuel Charge for Winter ($/mmbtu)</t>
  </si>
  <si>
    <t>Fuel Charge for Summer ($/mmbtu)</t>
  </si>
  <si>
    <t>Demand</t>
  </si>
  <si>
    <t>Demand Charges (PV)</t>
  </si>
  <si>
    <t>ABC of America</t>
  </si>
  <si>
    <t>Point</t>
  </si>
  <si>
    <t>Basis Offer</t>
  </si>
  <si>
    <t>at Rect. Point</t>
  </si>
  <si>
    <t>Index Offer</t>
  </si>
  <si>
    <t xml:space="preserve">Delivery </t>
  </si>
  <si>
    <t>Basis Bid</t>
  </si>
  <si>
    <t>at Dev. Point</t>
  </si>
  <si>
    <t xml:space="preserve">Index Bid </t>
  </si>
  <si>
    <t xml:space="preserve">Extrinsic </t>
  </si>
  <si>
    <t xml:space="preserve">Daily </t>
  </si>
  <si>
    <t xml:space="preserve">Cost of </t>
  </si>
  <si>
    <t>Funds</t>
  </si>
  <si>
    <t>Pricing Input</t>
  </si>
  <si>
    <t xml:space="preserve"> ($/mmbtu)</t>
  </si>
  <si>
    <t>Pricing Output</t>
  </si>
  <si>
    <t>NG_OMICRON_1</t>
  </si>
  <si>
    <t>Path 1</t>
  </si>
  <si>
    <t>Path 3</t>
  </si>
  <si>
    <t>Path 2</t>
  </si>
  <si>
    <t xml:space="preserve">Fuel </t>
  </si>
  <si>
    <t xml:space="preserve"> Rate</t>
  </si>
  <si>
    <t>MDQ</t>
  </si>
  <si>
    <t>(Mmbtu)</t>
  </si>
  <si>
    <t xml:space="preserve"> Date</t>
  </si>
  <si>
    <t>Curve</t>
  </si>
  <si>
    <t>Mark</t>
  </si>
  <si>
    <t>ATEST_PC</t>
  </si>
  <si>
    <t>IF-CGT/APPALAC</t>
  </si>
  <si>
    <t>ML7/CG</t>
  </si>
  <si>
    <t>NG_OMICRON_11</t>
  </si>
  <si>
    <t>MICH/CONS</t>
  </si>
  <si>
    <t>IF-ANR/OK</t>
  </si>
  <si>
    <t>NG_OMICRON_3</t>
  </si>
  <si>
    <t>BMILLS</t>
  </si>
  <si>
    <t>Path</t>
  </si>
  <si>
    <t>IF-PAN/TX/OK</t>
  </si>
  <si>
    <t>CGPR-CHIPPAWA</t>
  </si>
  <si>
    <t>NGI-MICH_CG</t>
  </si>
  <si>
    <t>CGPR-DAWN</t>
  </si>
  <si>
    <t>NG_OMICRON_9</t>
  </si>
  <si>
    <t>NG_OMICRON_7</t>
  </si>
  <si>
    <t>IF-ANR/LA</t>
  </si>
  <si>
    <t>NGI/CHI. GATE</t>
  </si>
  <si>
    <t>CGPR-AECO/BASIS</t>
  </si>
  <si>
    <t>GGREENA</t>
  </si>
  <si>
    <t>TRANS:AECO/EMP</t>
  </si>
  <si>
    <t>CAD/USD</t>
  </si>
  <si>
    <t>FX</t>
  </si>
  <si>
    <t>F</t>
  </si>
  <si>
    <t xml:space="preserve">Intrinsic </t>
  </si>
  <si>
    <t>GRI</t>
  </si>
  <si>
    <t>N</t>
  </si>
  <si>
    <t>Y</t>
  </si>
  <si>
    <t>Commodity,</t>
  </si>
  <si>
    <t>ACA &amp; GRI</t>
  </si>
  <si>
    <t>1 Canadian = x US$</t>
  </si>
  <si>
    <t>Us Empress Adder</t>
  </si>
  <si>
    <t>US Empress</t>
  </si>
  <si>
    <t>Escalating Commodity</t>
  </si>
  <si>
    <t>Escalator</t>
  </si>
  <si>
    <t>Path 20</t>
  </si>
  <si>
    <t>Path 39</t>
  </si>
  <si>
    <t>Value (Nominal)</t>
  </si>
  <si>
    <t>Bid</t>
  </si>
  <si>
    <t xml:space="preserve">Vol </t>
  </si>
  <si>
    <t>Offer</t>
  </si>
  <si>
    <t>Daily</t>
  </si>
  <si>
    <t>Receipt Path</t>
  </si>
  <si>
    <t>Dlvd Path</t>
  </si>
  <si>
    <t xml:space="preserve">Demand </t>
  </si>
  <si>
    <t>Monthly Volatility</t>
  </si>
  <si>
    <t>at Receipt Point</t>
  </si>
  <si>
    <t>at Delivery Point</t>
  </si>
  <si>
    <t>Quantity</t>
  </si>
  <si>
    <t>Value (PV'dl)</t>
  </si>
  <si>
    <t>Value (PV'd)</t>
  </si>
  <si>
    <t>GHUAN</t>
  </si>
  <si>
    <t>PRYDER</t>
  </si>
  <si>
    <t>Kirkwall to Chippewa</t>
  </si>
  <si>
    <t xml:space="preserve">ANR OK vs ML7 </t>
  </si>
  <si>
    <t>ANR LA vs ML7</t>
  </si>
  <si>
    <t>Fake Chippawa</t>
  </si>
  <si>
    <t>ML-7 vs St.Clair</t>
  </si>
  <si>
    <t>St.Clair vs Chippawa</t>
  </si>
  <si>
    <t>CGPR-ST.CLAIR</t>
  </si>
  <si>
    <t>Empress vs Chippawa</t>
  </si>
  <si>
    <t>Ojibway vs Dawn</t>
  </si>
  <si>
    <t>Dawn to Chippawa</t>
  </si>
  <si>
    <t>Dawn to Chip</t>
  </si>
  <si>
    <t>Nominal</t>
  </si>
  <si>
    <t>PV'd</t>
  </si>
  <si>
    <t>ANR OK vs ML7</t>
  </si>
  <si>
    <t>PEPL vs Ojibway</t>
  </si>
  <si>
    <t>ML7 vs St. Clair</t>
  </si>
  <si>
    <t>St. Clair vs Chippawa</t>
  </si>
  <si>
    <t>Dawn vs Chippawa</t>
  </si>
  <si>
    <t>Sithe Transport Spread Option - Non Optimized Pathing</t>
  </si>
  <si>
    <t>CGPR-Ojibway</t>
  </si>
  <si>
    <t>CGPR-OJIBWAY</t>
  </si>
  <si>
    <t>ANR SW</t>
  </si>
  <si>
    <t>ANR SE</t>
  </si>
  <si>
    <t>PEPL</t>
  </si>
  <si>
    <t>Great Lakes</t>
  </si>
  <si>
    <t>Union</t>
  </si>
  <si>
    <t>TCPL</t>
  </si>
  <si>
    <t>Path 22</t>
  </si>
  <si>
    <t>Run at Libor = 1, 10% = 2</t>
  </si>
  <si>
    <t>Summer</t>
  </si>
  <si>
    <t>Winter</t>
  </si>
  <si>
    <t xml:space="preserve">Commodity Chrg </t>
  </si>
  <si>
    <t>Fuel Chrg</t>
  </si>
  <si>
    <t>at Rcpt Pt</t>
  </si>
  <si>
    <t>at Dlv Pt</t>
  </si>
  <si>
    <t>Demand Chrg</t>
  </si>
  <si>
    <t>Commodity Chrg</t>
  </si>
  <si>
    <t>ANR</t>
  </si>
  <si>
    <t>GLGT</t>
  </si>
  <si>
    <t>Total Value by Pipe</t>
  </si>
  <si>
    <t>Variable Cost Analysis</t>
  </si>
  <si>
    <t>Spread Option Model Escalators</t>
  </si>
  <si>
    <t>Sithe Variable Charges</t>
  </si>
  <si>
    <t>BMCKAY_PC</t>
  </si>
  <si>
    <t>PEPL TxOk vs Dawn</t>
  </si>
  <si>
    <t>CGPR-OJIBWAY-I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</si>
</sst>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000"/>
    <numFmt numFmtId="165" formatCode="0.0000"/>
    <numFmt numFmtId="166" formatCode="0.000"/>
    <numFmt numFmtId="167" formatCode="mm/yy"/>
    <numFmt numFmtId="168" formatCode="mm/dd/yy"/>
    <numFmt numFmtId="169" formatCode="&quot;$&quot;#,##0.0000_);[Red]\(&quot;$&quot;#,##0.0000\)"/>
    <numFmt numFmtId="171" formatCode="0.0000_);\(0.0000\)"/>
    <numFmt numFmtId="172" formatCode="&quot;$&quot;#,##0.0000"/>
    <numFmt numFmtId="174" formatCode="mmmm\-yy"/>
    <numFmt numFmtId="175" formatCode="_(* #,##0.0_);_(* \(#,##0.0\);_(* &quot;-&quot;??_);_(@_)"/>
    <numFmt numFmtId="176" formatCode="_(* #,##0_);_(* \(#,##0\);_(* &quot;-&quot;??_);_(@_)"/>
    <numFmt numFmtId="177" formatCode="#,##0.00;\(#,##0.00\)"/>
    <numFmt numFmtId="179" formatCode="_(&quot;$&quot;* #,##0.0000_);_(&quot;$&quot;* \(#,##0.0000\);_(&quot;$&quot;* &quot;-&quot;??_);_(@_)"/>
    <numFmt numFmtId="181" formatCode="&quot;$&quot;#,##0.0000;[Red]\-&quot;$&quot;#,##0.0000"/>
    <numFmt numFmtId="183" formatCode="_(&quot;$&quot;* #,##0.00000_);_(&quot;$&quot;* \(#,##0.00000\);_(&quot;$&quot;* &quot;-&quot;??_);_(@_)"/>
    <numFmt numFmtId="187" formatCode="0.0000%"/>
    <numFmt numFmtId="188" formatCode="0.0%"/>
    <numFmt numFmtId="190" formatCode="_(* #,##0.000_);_(* \(#,##0.000\);_(* &quot;-&quot;??_);_(@_)"/>
    <numFmt numFmtId="191" formatCode="_(* #,##0.0000_);_(* \(#,##0.0000\);_(* &quot;-&quot;??_);_(@_)"/>
    <numFmt numFmtId="192" formatCode="_(* #,##0.00000_);_(* \(#,##0.00000\);_(* &quot;-&quot;??_);_(@_)"/>
    <numFmt numFmtId="199" formatCode="_(&quot;$&quot;* #,##0_);_(&quot;$&quot;* \(#,##0\);_(&quot;$&quot;* &quot;-&quot;??_);_(@_)"/>
    <numFmt numFmtId="200" formatCode="&quot;$&quot;#,##0"/>
  </numFmts>
  <fonts count="48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Arial"/>
      <family val="2"/>
    </font>
    <font>
      <sz val="11"/>
      <name val="??"/>
      <family val="3"/>
      <charset val="129"/>
    </font>
    <font>
      <b/>
      <sz val="10"/>
      <name val="Arial"/>
    </font>
    <font>
      <sz val="10"/>
      <name val="MS Sans Serif"/>
    </font>
    <font>
      <sz val="8"/>
      <name val="Arial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8"/>
      <name val="Arial"/>
    </font>
    <font>
      <sz val="11"/>
      <name val="Arial"/>
    </font>
    <font>
      <sz val="8"/>
      <name val="Times New Roman"/>
      <family val="1"/>
    </font>
    <font>
      <sz val="8"/>
      <color indexed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8"/>
      <name val="Arial"/>
    </font>
    <font>
      <b/>
      <sz val="10"/>
      <color indexed="12"/>
      <name val="Arial"/>
      <family val="2"/>
    </font>
    <font>
      <b/>
      <sz val="8"/>
      <name val="Times New Roman"/>
      <family val="1"/>
    </font>
    <font>
      <sz val="10"/>
      <color indexed="8"/>
      <name val="Arial"/>
    </font>
    <font>
      <u/>
      <sz val="10"/>
      <color indexed="36"/>
      <name val="Arial"/>
    </font>
    <font>
      <b/>
      <sz val="24"/>
      <name val="Arial"/>
      <family val="2"/>
    </font>
    <font>
      <b/>
      <sz val="10"/>
      <color indexed="8"/>
      <name val="Arial"/>
      <family val="2"/>
    </font>
    <font>
      <b/>
      <sz val="9"/>
      <color indexed="8"/>
      <name val="Arial"/>
      <family val="2"/>
    </font>
    <font>
      <b/>
      <sz val="12"/>
      <color indexed="12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0"/>
      <color indexed="8"/>
      <name val="Times New Roman"/>
      <family val="1"/>
    </font>
    <font>
      <b/>
      <sz val="16"/>
      <name val="Arial"/>
      <family val="2"/>
    </font>
    <font>
      <sz val="8"/>
      <color indexed="9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4"/>
      <name val="Arial"/>
      <family val="2"/>
    </font>
    <font>
      <b/>
      <sz val="22"/>
      <name val="Arial"/>
      <family val="2"/>
    </font>
    <font>
      <b/>
      <sz val="9"/>
      <name val="Times New Roman"/>
      <family val="1"/>
    </font>
    <font>
      <b/>
      <sz val="10"/>
      <color indexed="17"/>
      <name val="Arial"/>
      <family val="2"/>
    </font>
    <font>
      <sz val="10"/>
      <color indexed="17"/>
      <name val="Arial"/>
      <family val="2"/>
    </font>
    <font>
      <sz val="8"/>
      <color indexed="12"/>
      <name val="Times New Roman"/>
      <family val="1"/>
    </font>
    <font>
      <sz val="10"/>
      <color indexed="53"/>
      <name val="Arial"/>
      <family val="2"/>
    </font>
    <font>
      <i/>
      <sz val="10"/>
      <name val="Arial"/>
      <family val="2"/>
    </font>
    <font>
      <sz val="10"/>
      <color indexed="20"/>
      <name val="Arial"/>
      <family val="2"/>
    </font>
    <font>
      <u/>
      <sz val="10"/>
      <name val="Arial"/>
      <family val="2"/>
    </font>
    <font>
      <u val="singleAccounting"/>
      <sz val="10"/>
      <name val="Arial"/>
      <family val="2"/>
    </font>
    <font>
      <sz val="10"/>
      <color indexed="9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</fills>
  <borders count="36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6">
    <xf numFmtId="0" fontId="0" fillId="0" borderId="0"/>
    <xf numFmtId="1" fontId="6" fillId="0" borderId="0"/>
    <xf numFmtId="0" fontId="5" fillId="2" borderId="1">
      <alignment horizontal="center" vertical="center"/>
    </xf>
    <xf numFmtId="0" fontId="20" fillId="0" borderId="2">
      <alignment horizont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" fillId="0" borderId="0">
      <protection locked="0"/>
    </xf>
    <xf numFmtId="0" fontId="1" fillId="0" borderId="0"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38" fontId="7" fillId="3" borderId="0" applyNumberFormat="0" applyBorder="0" applyAlignment="0" applyProtection="0"/>
    <xf numFmtId="0" fontId="8" fillId="0" borderId="0" applyNumberFormat="0" applyFill="0" applyBorder="0" applyAlignment="0" applyProtection="0"/>
    <xf numFmtId="0" fontId="1" fillId="0" borderId="0">
      <protection locked="0"/>
    </xf>
    <xf numFmtId="0" fontId="1" fillId="0" borderId="0">
      <protection locked="0"/>
    </xf>
    <xf numFmtId="0" fontId="9" fillId="0" borderId="3" applyNumberFormat="0" applyFill="0" applyAlignment="0" applyProtection="0"/>
    <xf numFmtId="10" fontId="7" fillId="4" borderId="4" applyNumberFormat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37" fontId="10" fillId="0" borderId="0"/>
    <xf numFmtId="0" fontId="1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0" borderId="5">
      <protection locked="0"/>
    </xf>
    <xf numFmtId="38" fontId="6" fillId="0" borderId="0" applyFont="0" applyFill="0" applyBorder="0" applyAlignment="0" applyProtection="0"/>
    <xf numFmtId="40" fontId="6" fillId="0" borderId="0" applyFont="0" applyFill="0" applyBorder="0" applyAlignment="0" applyProtection="0"/>
    <xf numFmtId="37" fontId="7" fillId="5" borderId="0" applyNumberFormat="0" applyBorder="0" applyAlignment="0" applyProtection="0"/>
    <xf numFmtId="37" fontId="13" fillId="0" borderId="0"/>
    <xf numFmtId="3" fontId="16" fillId="0" borderId="3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</cellStyleXfs>
  <cellXfs count="336">
    <xf numFmtId="0" fontId="0" fillId="0" borderId="0" xfId="0"/>
    <xf numFmtId="0" fontId="3" fillId="0" borderId="0" xfId="0" applyFont="1"/>
    <xf numFmtId="0" fontId="3" fillId="0" borderId="6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Border="1"/>
    <xf numFmtId="0" fontId="3" fillId="0" borderId="6" xfId="0" quotePrefix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7" xfId="0" quotePrefix="1" applyFont="1" applyBorder="1" applyAlignment="1">
      <alignment horizont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165" fontId="3" fillId="0" borderId="8" xfId="0" applyNumberFormat="1" applyFont="1" applyBorder="1" applyAlignment="1">
      <alignment horizontal="center"/>
    </xf>
    <xf numFmtId="0" fontId="3" fillId="0" borderId="0" xfId="0" quotePrefix="1" applyFont="1" applyAlignment="1">
      <alignment horizontal="center"/>
    </xf>
    <xf numFmtId="168" fontId="3" fillId="0" borderId="9" xfId="0" applyNumberFormat="1" applyFont="1" applyBorder="1" applyAlignment="1">
      <alignment horizontal="center"/>
    </xf>
    <xf numFmtId="0" fontId="3" fillId="0" borderId="9" xfId="22" quotePrefix="1" applyFont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18" fillId="6" borderId="10" xfId="0" applyFont="1" applyFill="1" applyBorder="1" applyAlignment="1">
      <alignment horizontal="center"/>
    </xf>
    <xf numFmtId="0" fontId="18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3" fillId="5" borderId="11" xfId="0" applyFont="1" applyFill="1" applyBorder="1" applyAlignment="1">
      <alignment horizontal="center"/>
    </xf>
    <xf numFmtId="0" fontId="3" fillId="5" borderId="11" xfId="0" quotePrefix="1" applyFont="1" applyFill="1" applyBorder="1" applyAlignment="1">
      <alignment horizontal="center"/>
    </xf>
    <xf numFmtId="0" fontId="18" fillId="6" borderId="11" xfId="0" applyFont="1" applyFill="1" applyBorder="1" applyAlignment="1">
      <alignment horizontal="center"/>
    </xf>
    <xf numFmtId="0" fontId="9" fillId="6" borderId="11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17" fontId="3" fillId="0" borderId="0" xfId="0" applyNumberFormat="1" applyFont="1" applyAlignment="1">
      <alignment horizontal="center"/>
    </xf>
    <xf numFmtId="38" fontId="3" fillId="0" borderId="0" xfId="0" applyNumberFormat="1" applyFont="1" applyAlignment="1">
      <alignment horizontal="center"/>
    </xf>
    <xf numFmtId="172" fontId="3" fillId="0" borderId="0" xfId="0" applyNumberFormat="1" applyFont="1" applyAlignment="1">
      <alignment horizontal="center"/>
    </xf>
    <xf numFmtId="9" fontId="19" fillId="0" borderId="0" xfId="26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6" fontId="3" fillId="0" borderId="0" xfId="0" applyNumberFormat="1" applyFont="1" applyAlignment="1">
      <alignment horizontal="center"/>
    </xf>
    <xf numFmtId="38" fontId="3" fillId="0" borderId="0" xfId="0" applyNumberFormat="1" applyFont="1"/>
    <xf numFmtId="165" fontId="3" fillId="0" borderId="0" xfId="0" applyNumberFormat="1" applyFont="1"/>
    <xf numFmtId="6" fontId="3" fillId="0" borderId="0" xfId="0" applyNumberFormat="1" applyFont="1" applyFill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0" fontId="17" fillId="0" borderId="12" xfId="0" applyFont="1" applyBorder="1"/>
    <xf numFmtId="164" fontId="3" fillId="0" borderId="0" xfId="0" quotePrefix="1" applyNumberFormat="1" applyFont="1" applyAlignment="1">
      <alignment horizontal="center"/>
    </xf>
    <xf numFmtId="0" fontId="3" fillId="0" borderId="13" xfId="0" applyFont="1" applyBorder="1" applyAlignment="1">
      <alignment horizontal="center"/>
    </xf>
    <xf numFmtId="165" fontId="3" fillId="0" borderId="14" xfId="0" applyNumberFormat="1" applyFont="1" applyBorder="1" applyAlignment="1">
      <alignment horizontal="center"/>
    </xf>
    <xf numFmtId="171" fontId="9" fillId="0" borderId="0" xfId="0" applyNumberFormat="1" applyFont="1" applyAlignment="1">
      <alignment horizontal="center"/>
    </xf>
    <xf numFmtId="0" fontId="17" fillId="5" borderId="0" xfId="0" applyFont="1" applyFill="1" applyAlignment="1"/>
    <xf numFmtId="0" fontId="3" fillId="5" borderId="0" xfId="0" applyFont="1" applyFill="1"/>
    <xf numFmtId="0" fontId="17" fillId="7" borderId="0" xfId="0" applyFont="1" applyFill="1" applyBorder="1" applyAlignment="1">
      <alignment horizontal="center"/>
    </xf>
    <xf numFmtId="169" fontId="3" fillId="0" borderId="0" xfId="0" applyNumberFormat="1" applyFont="1"/>
    <xf numFmtId="166" fontId="2" fillId="0" borderId="0" xfId="0" applyNumberFormat="1" applyFont="1"/>
    <xf numFmtId="0" fontId="21" fillId="8" borderId="15" xfId="0" applyFont="1" applyFill="1" applyBorder="1" applyAlignment="1">
      <alignment horizontal="center"/>
    </xf>
    <xf numFmtId="0" fontId="15" fillId="0" borderId="0" xfId="0" applyFont="1"/>
    <xf numFmtId="17" fontId="15" fillId="0" borderId="0" xfId="0" applyNumberFormat="1" applyFont="1" applyAlignment="1">
      <alignment horizontal="center"/>
    </xf>
    <xf numFmtId="0" fontId="22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17" fontId="22" fillId="0" borderId="0" xfId="0" applyNumberFormat="1" applyFont="1" applyAlignment="1">
      <alignment horizontal="left"/>
    </xf>
    <xf numFmtId="17" fontId="15" fillId="0" borderId="0" xfId="0" applyNumberFormat="1" applyFont="1"/>
    <xf numFmtId="14" fontId="15" fillId="0" borderId="0" xfId="0" applyNumberFormat="1" applyFont="1" applyAlignment="1">
      <alignment horizontal="center"/>
    </xf>
    <xf numFmtId="17" fontId="15" fillId="0" borderId="0" xfId="23" applyNumberFormat="1" applyFont="1" applyBorder="1" applyAlignment="1" applyProtection="1">
      <alignment horizontal="center"/>
    </xf>
    <xf numFmtId="0" fontId="15" fillId="0" borderId="0" xfId="23" applyFont="1" applyBorder="1" applyAlignment="1" applyProtection="1">
      <alignment horizontal="center"/>
    </xf>
    <xf numFmtId="17" fontId="15" fillId="0" borderId="0" xfId="0" applyNumberFormat="1" applyFont="1" applyAlignment="1">
      <alignment horizontal="right"/>
    </xf>
    <xf numFmtId="168" fontId="15" fillId="0" borderId="0" xfId="0" applyNumberFormat="1" applyFont="1" applyFill="1"/>
    <xf numFmtId="0" fontId="15" fillId="0" borderId="0" xfId="0" applyFont="1" applyFill="1" applyAlignment="1">
      <alignment horizontal="center"/>
    </xf>
    <xf numFmtId="15" fontId="0" fillId="0" borderId="0" xfId="0" applyNumberFormat="1"/>
    <xf numFmtId="176" fontId="3" fillId="0" borderId="0" xfId="4" applyNumberFormat="1" applyFont="1" applyAlignment="1">
      <alignment horizontal="center"/>
    </xf>
    <xf numFmtId="0" fontId="18" fillId="8" borderId="9" xfId="0" applyFont="1" applyFill="1" applyBorder="1" applyAlignment="1">
      <alignment horizontal="center"/>
    </xf>
    <xf numFmtId="0" fontId="18" fillId="8" borderId="16" xfId="0" applyFont="1" applyFill="1" applyBorder="1" applyAlignment="1">
      <alignment horizontal="center"/>
    </xf>
    <xf numFmtId="17" fontId="18" fillId="8" borderId="15" xfId="0" applyNumberFormat="1" applyFont="1" applyFill="1" applyBorder="1" applyAlignment="1">
      <alignment horizontal="center"/>
    </xf>
    <xf numFmtId="17" fontId="18" fillId="8" borderId="9" xfId="0" applyNumberFormat="1" applyFont="1" applyFill="1" applyBorder="1" applyAlignment="1">
      <alignment horizontal="center"/>
    </xf>
    <xf numFmtId="171" fontId="18" fillId="0" borderId="0" xfId="0" applyNumberFormat="1" applyFont="1" applyAlignment="1">
      <alignment horizontal="center"/>
    </xf>
    <xf numFmtId="172" fontId="26" fillId="8" borderId="0" xfId="0" applyNumberFormat="1" applyFont="1" applyFill="1" applyAlignment="1">
      <alignment horizontal="center"/>
    </xf>
    <xf numFmtId="1" fontId="18" fillId="0" borderId="0" xfId="0" applyNumberFormat="1" applyFont="1"/>
    <xf numFmtId="166" fontId="31" fillId="0" borderId="0" xfId="0" applyNumberFormat="1" applyFont="1"/>
    <xf numFmtId="167" fontId="18" fillId="0" borderId="0" xfId="0" applyNumberFormat="1" applyFont="1" applyAlignment="1">
      <alignment horizontal="center"/>
    </xf>
    <xf numFmtId="177" fontId="18" fillId="0" borderId="0" xfId="0" applyNumberFormat="1" applyFont="1" applyAlignment="1">
      <alignment horizontal="center"/>
    </xf>
    <xf numFmtId="38" fontId="18" fillId="0" borderId="0" xfId="0" applyNumberFormat="1" applyFont="1" applyFill="1" applyBorder="1" applyAlignment="1">
      <alignment horizontal="center"/>
    </xf>
    <xf numFmtId="38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18" fillId="0" borderId="0" xfId="0" applyFont="1"/>
    <xf numFmtId="0" fontId="3" fillId="0" borderId="0" xfId="25" applyFont="1"/>
    <xf numFmtId="0" fontId="3" fillId="0" borderId="0" xfId="25" applyFont="1" applyBorder="1"/>
    <xf numFmtId="0" fontId="3" fillId="0" borderId="0" xfId="24" applyFont="1"/>
    <xf numFmtId="0" fontId="3" fillId="0" borderId="4" xfId="25" applyFont="1" applyBorder="1"/>
    <xf numFmtId="17" fontId="3" fillId="0" borderId="4" xfId="25" applyNumberFormat="1" applyFont="1" applyBorder="1" applyAlignment="1">
      <alignment horizontal="center"/>
    </xf>
    <xf numFmtId="169" fontId="3" fillId="0" borderId="4" xfId="25" applyNumberFormat="1" applyFont="1" applyBorder="1" applyAlignment="1">
      <alignment horizontal="center"/>
    </xf>
    <xf numFmtId="1" fontId="3" fillId="0" borderId="0" xfId="25" applyNumberFormat="1" applyFont="1" applyBorder="1"/>
    <xf numFmtId="176" fontId="3" fillId="0" borderId="4" xfId="4" applyNumberFormat="1" applyFont="1" applyBorder="1" applyAlignment="1">
      <alignment horizontal="center"/>
    </xf>
    <xf numFmtId="0" fontId="3" fillId="0" borderId="0" xfId="0" applyFont="1" applyFill="1"/>
    <xf numFmtId="10" fontId="3" fillId="0" borderId="0" xfId="0" applyNumberFormat="1" applyFont="1" applyAlignment="1">
      <alignment horizontal="center"/>
    </xf>
    <xf numFmtId="10" fontId="3" fillId="0" borderId="0" xfId="0" applyNumberFormat="1" applyFont="1"/>
    <xf numFmtId="168" fontId="0" fillId="0" borderId="0" xfId="0" applyNumberFormat="1" applyBorder="1"/>
    <xf numFmtId="172" fontId="9" fillId="0" borderId="0" xfId="0" applyNumberFormat="1" applyFont="1"/>
    <xf numFmtId="0" fontId="9" fillId="0" borderId="0" xfId="0" applyFont="1"/>
    <xf numFmtId="165" fontId="3" fillId="0" borderId="0" xfId="0" applyNumberFormat="1" applyFont="1" applyFill="1"/>
    <xf numFmtId="171" fontId="9" fillId="0" borderId="0" xfId="0" applyNumberFormat="1" applyFont="1" applyFill="1" applyAlignment="1">
      <alignment horizontal="center"/>
    </xf>
    <xf numFmtId="44" fontId="3" fillId="0" borderId="0" xfId="5" applyFont="1" applyAlignment="1">
      <alignment horizontal="center"/>
    </xf>
    <xf numFmtId="44" fontId="9" fillId="0" borderId="0" xfId="5" applyFont="1"/>
    <xf numFmtId="0" fontId="0" fillId="9" borderId="0" xfId="0" applyFill="1"/>
    <xf numFmtId="0" fontId="7" fillId="9" borderId="6" xfId="0" applyFont="1" applyFill="1" applyBorder="1" applyAlignment="1">
      <alignment vertical="center" wrapText="1"/>
    </xf>
    <xf numFmtId="0" fontId="16" fillId="9" borderId="7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vertical="center" wrapText="1"/>
    </xf>
    <xf numFmtId="175" fontId="16" fillId="9" borderId="17" xfId="4" applyNumberFormat="1" applyFont="1" applyFill="1" applyBorder="1" applyAlignment="1">
      <alignment horizontal="center" vertical="center" wrapText="1"/>
    </xf>
    <xf numFmtId="0" fontId="7" fillId="9" borderId="8" xfId="0" applyFont="1" applyFill="1" applyBorder="1" applyAlignment="1">
      <alignment vertical="center" wrapText="1"/>
    </xf>
    <xf numFmtId="0" fontId="16" fillId="9" borderId="0" xfId="0" applyFont="1" applyFill="1" applyBorder="1" applyAlignment="1">
      <alignment horizontal="left" vertical="center" wrapText="1"/>
    </xf>
    <xf numFmtId="0" fontId="7" fillId="9" borderId="0" xfId="0" applyFont="1" applyFill="1" applyBorder="1" applyAlignment="1">
      <alignment vertical="center" wrapText="1"/>
    </xf>
    <xf numFmtId="176" fontId="16" fillId="9" borderId="18" xfId="4" applyNumberFormat="1" applyFont="1" applyFill="1" applyBorder="1" applyAlignment="1">
      <alignment horizontal="center" vertical="center" wrapText="1"/>
    </xf>
    <xf numFmtId="15" fontId="16" fillId="9" borderId="0" xfId="0" applyNumberFormat="1" applyFont="1" applyFill="1" applyBorder="1" applyAlignment="1">
      <alignment horizontal="left" vertical="center" wrapText="1"/>
    </xf>
    <xf numFmtId="0" fontId="33" fillId="9" borderId="18" xfId="0" applyFont="1" applyFill="1" applyBorder="1" applyAlignment="1">
      <alignment horizontal="center" vertical="center" wrapText="1"/>
    </xf>
    <xf numFmtId="174" fontId="33" fillId="9" borderId="0" xfId="0" applyNumberFormat="1" applyFont="1" applyFill="1" applyBorder="1" applyAlignment="1">
      <alignment horizontal="left" vertical="center" wrapText="1"/>
    </xf>
    <xf numFmtId="0" fontId="16" fillId="9" borderId="18" xfId="0" applyFont="1" applyFill="1" applyBorder="1" applyAlignment="1">
      <alignment horizontal="center" vertical="center" wrapText="1"/>
    </xf>
    <xf numFmtId="172" fontId="16" fillId="9" borderId="18" xfId="0" applyNumberFormat="1" applyFont="1" applyFill="1" applyBorder="1" applyAlignment="1">
      <alignment horizontal="center" vertical="center" wrapText="1"/>
    </xf>
    <xf numFmtId="0" fontId="33" fillId="9" borderId="0" xfId="0" applyFont="1" applyFill="1" applyBorder="1" applyAlignment="1">
      <alignment horizontal="left" vertical="center" wrapText="1"/>
    </xf>
    <xf numFmtId="0" fontId="33" fillId="9" borderId="0" xfId="0" applyFont="1" applyFill="1" applyBorder="1" applyAlignment="1">
      <alignment vertical="center" wrapText="1"/>
    </xf>
    <xf numFmtId="0" fontId="7" fillId="9" borderId="0" xfId="0" applyFont="1" applyFill="1" applyBorder="1"/>
    <xf numFmtId="10" fontId="16" fillId="9" borderId="18" xfId="26" applyNumberFormat="1" applyFont="1" applyFill="1" applyBorder="1" applyAlignment="1">
      <alignment horizontal="center" vertical="center" wrapText="1"/>
    </xf>
    <xf numFmtId="0" fontId="7" fillId="9" borderId="8" xfId="0" applyFont="1" applyFill="1" applyBorder="1"/>
    <xf numFmtId="0" fontId="33" fillId="9" borderId="0" xfId="0" applyFont="1" applyFill="1" applyBorder="1"/>
    <xf numFmtId="165" fontId="33" fillId="9" borderId="0" xfId="0" applyNumberFormat="1" applyFont="1" applyFill="1" applyBorder="1" applyAlignment="1">
      <alignment vertical="center" wrapText="1"/>
    </xf>
    <xf numFmtId="165" fontId="16" fillId="9" borderId="0" xfId="0" applyNumberFormat="1" applyFont="1" applyFill="1" applyBorder="1" applyAlignment="1">
      <alignment vertical="center" wrapText="1"/>
    </xf>
    <xf numFmtId="0" fontId="7" fillId="9" borderId="15" xfId="0" applyFont="1" applyFill="1" applyBorder="1" applyAlignment="1">
      <alignment vertical="center" wrapText="1"/>
    </xf>
    <xf numFmtId="165" fontId="16" fillId="9" borderId="9" xfId="0" applyNumberFormat="1" applyFont="1" applyFill="1" applyBorder="1" applyAlignment="1">
      <alignment vertical="center" wrapText="1"/>
    </xf>
    <xf numFmtId="0" fontId="7" fillId="9" borderId="9" xfId="0" applyFont="1" applyFill="1" applyBorder="1" applyAlignment="1">
      <alignment vertical="center" wrapText="1"/>
    </xf>
    <xf numFmtId="10" fontId="16" fillId="9" borderId="19" xfId="26" applyNumberFormat="1" applyFont="1" applyFill="1" applyBorder="1" applyAlignment="1">
      <alignment horizontal="center" vertical="center" wrapText="1"/>
    </xf>
    <xf numFmtId="0" fontId="7" fillId="9" borderId="20" xfId="0" applyFont="1" applyFill="1" applyBorder="1"/>
    <xf numFmtId="172" fontId="7" fillId="9" borderId="10" xfId="0" applyNumberFormat="1" applyFont="1" applyFill="1" applyBorder="1" applyAlignment="1">
      <alignment horizontal="center"/>
    </xf>
    <xf numFmtId="0" fontId="7" fillId="9" borderId="10" xfId="0" applyFont="1" applyFill="1" applyBorder="1"/>
    <xf numFmtId="0" fontId="7" fillId="9" borderId="21" xfId="0" applyFont="1" applyFill="1" applyBorder="1"/>
    <xf numFmtId="172" fontId="7" fillId="9" borderId="0" xfId="0" applyNumberFormat="1" applyFont="1" applyFill="1" applyBorder="1" applyAlignment="1">
      <alignment horizontal="center"/>
    </xf>
    <xf numFmtId="176" fontId="7" fillId="9" borderId="0" xfId="4" applyNumberFormat="1" applyFont="1" applyFill="1" applyBorder="1" applyAlignment="1">
      <alignment horizontal="center"/>
    </xf>
    <xf numFmtId="38" fontId="7" fillId="9" borderId="22" xfId="0" applyNumberFormat="1" applyFont="1" applyFill="1" applyBorder="1"/>
    <xf numFmtId="38" fontId="7" fillId="9" borderId="11" xfId="0" applyNumberFormat="1" applyFont="1" applyFill="1" applyBorder="1"/>
    <xf numFmtId="0" fontId="7" fillId="9" borderId="11" xfId="0" applyFont="1" applyFill="1" applyBorder="1"/>
    <xf numFmtId="0" fontId="30" fillId="6" borderId="23" xfId="0" applyFont="1" applyFill="1" applyBorder="1"/>
    <xf numFmtId="0" fontId="0" fillId="6" borderId="24" xfId="0" applyFill="1" applyBorder="1"/>
    <xf numFmtId="0" fontId="0" fillId="9" borderId="8" xfId="0" applyFill="1" applyBorder="1"/>
    <xf numFmtId="0" fontId="0" fillId="9" borderId="0" xfId="0" applyFill="1" applyBorder="1"/>
    <xf numFmtId="0" fontId="0" fillId="9" borderId="18" xfId="0" applyFill="1" applyBorder="1"/>
    <xf numFmtId="0" fontId="32" fillId="9" borderId="8" xfId="0" applyFont="1" applyFill="1" applyBorder="1"/>
    <xf numFmtId="0" fontId="17" fillId="9" borderId="8" xfId="0" applyFont="1" applyFill="1" applyBorder="1"/>
    <xf numFmtId="6" fontId="7" fillId="9" borderId="25" xfId="5" applyNumberFormat="1" applyFont="1" applyFill="1" applyBorder="1"/>
    <xf numFmtId="6" fontId="7" fillId="9" borderId="18" xfId="0" applyNumberFormat="1" applyFont="1" applyFill="1" applyBorder="1"/>
    <xf numFmtId="6" fontId="7" fillId="9" borderId="26" xfId="0" applyNumberFormat="1" applyFont="1" applyFill="1" applyBorder="1"/>
    <xf numFmtId="0" fontId="0" fillId="9" borderId="15" xfId="0" applyFill="1" applyBorder="1"/>
    <xf numFmtId="0" fontId="0" fillId="9" borderId="9" xfId="0" applyFill="1" applyBorder="1"/>
    <xf numFmtId="0" fontId="0" fillId="9" borderId="19" xfId="0" applyFill="1" applyBorder="1"/>
    <xf numFmtId="0" fontId="0" fillId="5" borderId="0" xfId="0" applyFill="1"/>
    <xf numFmtId="0" fontId="36" fillId="5" borderId="0" xfId="0" applyFont="1" applyFill="1"/>
    <xf numFmtId="0" fontId="25" fillId="5" borderId="0" xfId="0" applyFont="1" applyFill="1" applyAlignment="1"/>
    <xf numFmtId="0" fontId="17" fillId="5" borderId="6" xfId="0" applyFont="1" applyFill="1" applyBorder="1" applyAlignment="1">
      <alignment horizontal="centerContinuous"/>
    </xf>
    <xf numFmtId="0" fontId="17" fillId="5" borderId="7" xfId="0" applyFont="1" applyFill="1" applyBorder="1" applyAlignment="1">
      <alignment horizontal="centerContinuous"/>
    </xf>
    <xf numFmtId="0" fontId="17" fillId="5" borderId="17" xfId="0" applyFont="1" applyFill="1" applyBorder="1" applyAlignment="1">
      <alignment horizontal="centerContinuous"/>
    </xf>
    <xf numFmtId="0" fontId="3" fillId="5" borderId="6" xfId="0" applyFont="1" applyFill="1" applyBorder="1"/>
    <xf numFmtId="0" fontId="3" fillId="5" borderId="7" xfId="0" applyFont="1" applyFill="1" applyBorder="1"/>
    <xf numFmtId="0" fontId="3" fillId="5" borderId="17" xfId="0" applyFont="1" applyFill="1" applyBorder="1"/>
    <xf numFmtId="0" fontId="3" fillId="5" borderId="8" xfId="0" applyFont="1" applyFill="1" applyBorder="1" applyAlignment="1">
      <alignment horizontal="center"/>
    </xf>
    <xf numFmtId="0" fontId="3" fillId="5" borderId="18" xfId="0" applyFont="1" applyFill="1" applyBorder="1" applyAlignment="1">
      <alignment horizontal="center"/>
    </xf>
    <xf numFmtId="174" fontId="0" fillId="5" borderId="0" xfId="0" applyNumberFormat="1" applyFill="1"/>
    <xf numFmtId="0" fontId="3" fillId="5" borderId="15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5" borderId="19" xfId="0" applyFont="1" applyFill="1" applyBorder="1" applyAlignment="1">
      <alignment horizontal="center"/>
    </xf>
    <xf numFmtId="0" fontId="3" fillId="5" borderId="0" xfId="0" applyFont="1" applyFill="1" applyBorder="1"/>
    <xf numFmtId="0" fontId="3" fillId="5" borderId="0" xfId="21" quotePrefix="1" applyFont="1" applyFill="1" applyBorder="1" applyAlignment="1">
      <alignment horizontal="left"/>
    </xf>
    <xf numFmtId="0" fontId="3" fillId="0" borderId="0" xfId="25" applyFont="1" applyFill="1" applyBorder="1"/>
    <xf numFmtId="0" fontId="17" fillId="0" borderId="0" xfId="25" quotePrefix="1" applyFont="1" applyFill="1" applyBorder="1" applyAlignment="1">
      <alignment horizontal="center"/>
    </xf>
    <xf numFmtId="0" fontId="1" fillId="0" borderId="0" xfId="24" applyFill="1" applyBorder="1"/>
    <xf numFmtId="169" fontId="17" fillId="0" borderId="0" xfId="25" applyNumberFormat="1" applyFont="1" applyFill="1" applyBorder="1" applyAlignment="1">
      <alignment horizontal="center"/>
    </xf>
    <xf numFmtId="0" fontId="0" fillId="0" borderId="0" xfId="0" applyFill="1" applyBorder="1"/>
    <xf numFmtId="0" fontId="23" fillId="0" borderId="0" xfId="25" applyFont="1" applyFill="1" applyBorder="1" applyAlignment="1">
      <alignment horizontal="center"/>
    </xf>
    <xf numFmtId="1" fontId="23" fillId="0" borderId="0" xfId="25" applyNumberFormat="1" applyFont="1" applyFill="1" applyBorder="1" applyAlignment="1">
      <alignment horizontal="center"/>
    </xf>
    <xf numFmtId="1" fontId="23" fillId="0" borderId="0" xfId="25" quotePrefix="1" applyNumberFormat="1" applyFont="1" applyFill="1" applyBorder="1" applyAlignment="1">
      <alignment horizontal="center"/>
    </xf>
    <xf numFmtId="0" fontId="26" fillId="0" borderId="0" xfId="25" applyFont="1" applyFill="1" applyBorder="1" applyAlignment="1">
      <alignment horizontal="center"/>
    </xf>
    <xf numFmtId="1" fontId="26" fillId="0" borderId="0" xfId="25" applyNumberFormat="1" applyFont="1" applyFill="1" applyBorder="1" applyAlignment="1">
      <alignment horizontal="center"/>
    </xf>
    <xf numFmtId="1" fontId="26" fillId="0" borderId="0" xfId="25" quotePrefix="1" applyNumberFormat="1" applyFont="1" applyFill="1" applyBorder="1" applyAlignment="1">
      <alignment horizontal="center"/>
    </xf>
    <xf numFmtId="0" fontId="17" fillId="0" borderId="0" xfId="25" applyFont="1"/>
    <xf numFmtId="169" fontId="3" fillId="0" borderId="0" xfId="25" applyNumberFormat="1" applyFont="1" applyFill="1" applyBorder="1" applyAlignment="1">
      <alignment horizontal="center"/>
    </xf>
    <xf numFmtId="6" fontId="17" fillId="0" borderId="0" xfId="25" applyNumberFormat="1" applyFont="1" applyFill="1" applyBorder="1" applyAlignment="1">
      <alignment horizontal="center"/>
    </xf>
    <xf numFmtId="0" fontId="17" fillId="0" borderId="0" xfId="25" applyFont="1" applyFill="1" applyBorder="1" applyAlignment="1">
      <alignment horizontal="left"/>
    </xf>
    <xf numFmtId="17" fontId="18" fillId="8" borderId="16" xfId="0" applyNumberFormat="1" applyFont="1" applyFill="1" applyBorder="1" applyAlignment="1">
      <alignment horizontal="center"/>
    </xf>
    <xf numFmtId="0" fontId="3" fillId="0" borderId="0" xfId="21" applyFont="1" applyBorder="1" applyAlignment="1">
      <alignment horizontal="left"/>
    </xf>
    <xf numFmtId="0" fontId="3" fillId="0" borderId="0" xfId="21" applyFont="1" applyBorder="1"/>
    <xf numFmtId="171" fontId="3" fillId="0" borderId="0" xfId="0" applyNumberFormat="1" applyFont="1"/>
    <xf numFmtId="0" fontId="15" fillId="0" borderId="0" xfId="0" applyFont="1" applyAlignment="1">
      <alignment horizontal="center" wrapText="1"/>
    </xf>
    <xf numFmtId="14" fontId="3" fillId="0" borderId="27" xfId="25" applyNumberFormat="1" applyFont="1" applyBorder="1"/>
    <xf numFmtId="0" fontId="3" fillId="5" borderId="28" xfId="25" applyFont="1" applyFill="1" applyBorder="1"/>
    <xf numFmtId="0" fontId="3" fillId="5" borderId="28" xfId="25" applyFont="1" applyFill="1" applyBorder="1" applyAlignment="1">
      <alignment horizontal="center"/>
    </xf>
    <xf numFmtId="0" fontId="3" fillId="5" borderId="2" xfId="25" applyFont="1" applyFill="1" applyBorder="1" applyAlignment="1">
      <alignment horizontal="center"/>
    </xf>
    <xf numFmtId="0" fontId="3" fillId="5" borderId="2" xfId="25" quotePrefix="1" applyFont="1" applyFill="1" applyBorder="1" applyAlignment="1">
      <alignment horizontal="center"/>
    </xf>
    <xf numFmtId="0" fontId="3" fillId="0" borderId="0" xfId="25" applyFont="1" applyFill="1" applyBorder="1" applyAlignment="1">
      <alignment horizontal="center"/>
    </xf>
    <xf numFmtId="0" fontId="3" fillId="5" borderId="29" xfId="25" applyFont="1" applyFill="1" applyBorder="1" applyAlignment="1">
      <alignment horizontal="center"/>
    </xf>
    <xf numFmtId="0" fontId="3" fillId="5" borderId="30" xfId="25" applyFont="1" applyFill="1" applyBorder="1" applyAlignment="1">
      <alignment horizontal="center"/>
    </xf>
    <xf numFmtId="0" fontId="3" fillId="5" borderId="29" xfId="25" applyFont="1" applyFill="1" applyBorder="1" applyAlignment="1">
      <alignment horizontal="left"/>
    </xf>
    <xf numFmtId="0" fontId="15" fillId="0" borderId="0" xfId="0" applyFont="1" applyBorder="1" applyAlignment="1">
      <alignment horizontal="center"/>
    </xf>
    <xf numFmtId="0" fontId="3" fillId="0" borderId="0" xfId="21" applyFont="1" applyBorder="1" applyAlignment="1">
      <alignment horizontal="center"/>
    </xf>
    <xf numFmtId="0" fontId="29" fillId="0" borderId="31" xfId="25" applyFont="1" applyBorder="1"/>
    <xf numFmtId="0" fontId="3" fillId="0" borderId="0" xfId="25" applyFont="1" applyFill="1" applyAlignment="1">
      <alignment horizontal="center"/>
    </xf>
    <xf numFmtId="14" fontId="3" fillId="0" borderId="27" xfId="25" applyNumberFormat="1" applyFont="1" applyFill="1" applyBorder="1"/>
    <xf numFmtId="17" fontId="3" fillId="0" borderId="4" xfId="25" applyNumberFormat="1" applyFont="1" applyFill="1" applyBorder="1" applyAlignment="1">
      <alignment horizontal="center"/>
    </xf>
    <xf numFmtId="17" fontId="9" fillId="0" borderId="4" xfId="25" applyNumberFormat="1" applyFont="1" applyFill="1" applyBorder="1" applyAlignment="1">
      <alignment horizontal="center"/>
    </xf>
    <xf numFmtId="169" fontId="3" fillId="0" borderId="4" xfId="25" applyNumberFormat="1" applyFont="1" applyFill="1" applyBorder="1"/>
    <xf numFmtId="0" fontId="0" fillId="0" borderId="0" xfId="0" applyFill="1"/>
    <xf numFmtId="0" fontId="3" fillId="0" borderId="0" xfId="25" applyFont="1" applyFill="1"/>
    <xf numFmtId="169" fontId="3" fillId="0" borderId="4" xfId="25" applyNumberFormat="1" applyFont="1" applyFill="1" applyBorder="1" applyAlignment="1">
      <alignment horizontal="center"/>
    </xf>
    <xf numFmtId="0" fontId="3" fillId="0" borderId="4" xfId="25" applyNumberFormat="1" applyFont="1" applyFill="1" applyBorder="1"/>
    <xf numFmtId="0" fontId="3" fillId="0" borderId="4" xfId="25" applyFont="1" applyFill="1" applyBorder="1"/>
    <xf numFmtId="176" fontId="3" fillId="0" borderId="4" xfId="4" applyNumberFormat="1" applyFont="1" applyFill="1" applyBorder="1" applyAlignment="1">
      <alignment horizontal="center"/>
    </xf>
    <xf numFmtId="39" fontId="3" fillId="0" borderId="4" xfId="4" applyNumberFormat="1" applyFont="1" applyFill="1" applyBorder="1" applyAlignment="1">
      <alignment horizontal="center"/>
    </xf>
    <xf numFmtId="14" fontId="9" fillId="0" borderId="27" xfId="25" applyNumberFormat="1" applyFont="1" applyFill="1" applyBorder="1"/>
    <xf numFmtId="0" fontId="12" fillId="0" borderId="0" xfId="25" applyFont="1" applyFill="1"/>
    <xf numFmtId="0" fontId="12" fillId="0" borderId="0" xfId="0" applyFont="1" applyFill="1"/>
    <xf numFmtId="168" fontId="38" fillId="2" borderId="0" xfId="0" applyNumberFormat="1" applyFont="1" applyFill="1"/>
    <xf numFmtId="169" fontId="40" fillId="0" borderId="4" xfId="25" applyNumberFormat="1" applyFont="1" applyFill="1" applyBorder="1"/>
    <xf numFmtId="0" fontId="15" fillId="10" borderId="0" xfId="0" applyFont="1" applyFill="1" applyAlignment="1">
      <alignment horizontal="center"/>
    </xf>
    <xf numFmtId="166" fontId="15" fillId="0" borderId="0" xfId="0" applyNumberFormat="1" applyFont="1"/>
    <xf numFmtId="179" fontId="9" fillId="0" borderId="0" xfId="5" applyNumberFormat="1" applyFont="1"/>
    <xf numFmtId="179" fontId="3" fillId="0" borderId="0" xfId="0" applyNumberFormat="1" applyFont="1"/>
    <xf numFmtId="179" fontId="3" fillId="0" borderId="0" xfId="5" applyNumberFormat="1" applyFont="1" applyAlignment="1">
      <alignment horizontal="center"/>
    </xf>
    <xf numFmtId="37" fontId="3" fillId="0" borderId="4" xfId="4" applyNumberFormat="1" applyFont="1" applyBorder="1" applyAlignment="1">
      <alignment horizontal="center"/>
    </xf>
    <xf numFmtId="37" fontId="3" fillId="0" borderId="4" xfId="4" applyNumberFormat="1" applyFont="1" applyFill="1" applyBorder="1" applyAlignment="1">
      <alignment horizontal="center"/>
    </xf>
    <xf numFmtId="15" fontId="9" fillId="5" borderId="4" xfId="0" applyNumberFormat="1" applyFont="1" applyFill="1" applyBorder="1"/>
    <xf numFmtId="181" fontId="9" fillId="5" borderId="4" xfId="0" applyNumberFormat="1" applyFont="1" applyFill="1" applyBorder="1"/>
    <xf numFmtId="0" fontId="3" fillId="0" borderId="11" xfId="0" applyFont="1" applyBorder="1" applyAlignment="1">
      <alignment horizontal="center"/>
    </xf>
    <xf numFmtId="0" fontId="3" fillId="5" borderId="0" xfId="0" applyFont="1" applyFill="1" applyAlignment="1">
      <alignment horizontal="center"/>
    </xf>
    <xf numFmtId="0" fontId="41" fillId="0" borderId="4" xfId="0" applyFont="1" applyBorder="1"/>
    <xf numFmtId="165" fontId="15" fillId="0" borderId="0" xfId="0" applyNumberFormat="1" applyFont="1"/>
    <xf numFmtId="17" fontId="17" fillId="7" borderId="0" xfId="0" applyNumberFormat="1" applyFont="1" applyFill="1" applyBorder="1" applyAlignment="1">
      <alignment horizontal="center"/>
    </xf>
    <xf numFmtId="183" fontId="9" fillId="0" borderId="0" xfId="5" applyNumberFormat="1" applyFont="1"/>
    <xf numFmtId="0" fontId="17" fillId="0" borderId="0" xfId="0" applyFont="1"/>
    <xf numFmtId="0" fontId="0" fillId="0" borderId="0" xfId="0" applyAlignment="1">
      <alignment horizontal="right"/>
    </xf>
    <xf numFmtId="17" fontId="0" fillId="0" borderId="0" xfId="0" applyNumberFormat="1"/>
    <xf numFmtId="17" fontId="0" fillId="0" borderId="9" xfId="0" applyNumberFormat="1" applyBorder="1"/>
    <xf numFmtId="17" fontId="0" fillId="0" borderId="0" xfId="0" applyNumberFormat="1" applyBorder="1"/>
    <xf numFmtId="0" fontId="40" fillId="0" borderId="0" xfId="0" applyFont="1" applyFill="1"/>
    <xf numFmtId="0" fontId="17" fillId="7" borderId="20" xfId="0" applyFont="1" applyFill="1" applyBorder="1" applyAlignment="1">
      <alignment horizontal="center"/>
    </xf>
    <xf numFmtId="0" fontId="17" fillId="7" borderId="10" xfId="0" applyFont="1" applyFill="1" applyBorder="1" applyAlignment="1">
      <alignment horizontal="center"/>
    </xf>
    <xf numFmtId="0" fontId="17" fillId="7" borderId="28" xfId="0" applyFont="1" applyFill="1" applyBorder="1" applyAlignment="1">
      <alignment horizontal="center"/>
    </xf>
    <xf numFmtId="0" fontId="3" fillId="5" borderId="21" xfId="0" applyFont="1" applyFill="1" applyBorder="1" applyAlignment="1">
      <alignment horizontal="center"/>
    </xf>
    <xf numFmtId="0" fontId="3" fillId="5" borderId="31" xfId="0" applyFont="1" applyFill="1" applyBorder="1" applyAlignment="1">
      <alignment horizontal="center"/>
    </xf>
    <xf numFmtId="0" fontId="3" fillId="5" borderId="22" xfId="0" applyFont="1" applyFill="1" applyBorder="1" applyAlignment="1">
      <alignment horizontal="center"/>
    </xf>
    <xf numFmtId="0" fontId="3" fillId="5" borderId="29" xfId="0" applyFont="1" applyFill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91" fontId="9" fillId="0" borderId="0" xfId="0" applyNumberFormat="1" applyFont="1" applyFill="1" applyAlignment="1">
      <alignment horizontal="center"/>
    </xf>
    <xf numFmtId="192" fontId="9" fillId="0" borderId="0" xfId="0" applyNumberFormat="1" applyFont="1" applyFill="1" applyAlignment="1">
      <alignment horizontal="center"/>
    </xf>
    <xf numFmtId="0" fontId="17" fillId="5" borderId="11" xfId="0" applyFont="1" applyFill="1" applyBorder="1" applyAlignment="1">
      <alignment horizontal="center"/>
    </xf>
    <xf numFmtId="169" fontId="3" fillId="0" borderId="0" xfId="25" applyNumberFormat="1" applyFont="1" applyFill="1" applyBorder="1" applyAlignment="1">
      <alignment horizontal="right"/>
    </xf>
    <xf numFmtId="10" fontId="9" fillId="0" borderId="0" xfId="26" applyNumberFormat="1" applyFont="1" applyFill="1" applyBorder="1"/>
    <xf numFmtId="169" fontId="9" fillId="11" borderId="4" xfId="25" applyNumberFormat="1" applyFont="1" applyFill="1" applyBorder="1" applyAlignment="1">
      <alignment horizontal="center"/>
    </xf>
    <xf numFmtId="17" fontId="9" fillId="11" borderId="4" xfId="25" applyNumberFormat="1" applyFont="1" applyFill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3" fillId="5" borderId="2" xfId="25" applyFont="1" applyFill="1" applyBorder="1"/>
    <xf numFmtId="0" fontId="3" fillId="5" borderId="30" xfId="25" applyFont="1" applyFill="1" applyBorder="1" applyAlignment="1">
      <alignment horizontal="centerContinuous"/>
    </xf>
    <xf numFmtId="0" fontId="9" fillId="0" borderId="4" xfId="25" applyFont="1" applyFill="1" applyBorder="1"/>
    <xf numFmtId="169" fontId="9" fillId="0" borderId="4" xfId="25" applyNumberFormat="1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0" fontId="15" fillId="10" borderId="0" xfId="0" applyFont="1" applyFill="1"/>
    <xf numFmtId="0" fontId="42" fillId="0" borderId="0" xfId="25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176" fontId="18" fillId="6" borderId="10" xfId="4" applyNumberFormat="1" applyFont="1" applyFill="1" applyBorder="1" applyAlignment="1">
      <alignment horizontal="center"/>
    </xf>
    <xf numFmtId="176" fontId="18" fillId="6" borderId="0" xfId="4" applyNumberFormat="1" applyFont="1" applyFill="1" applyBorder="1" applyAlignment="1">
      <alignment horizontal="center"/>
    </xf>
    <xf numFmtId="176" fontId="18" fillId="6" borderId="11" xfId="4" applyNumberFormat="1" applyFont="1" applyFill="1" applyBorder="1" applyAlignment="1">
      <alignment horizontal="center"/>
    </xf>
    <xf numFmtId="176" fontId="3" fillId="0" borderId="0" xfId="4" applyNumberFormat="1" applyFont="1"/>
    <xf numFmtId="199" fontId="3" fillId="0" borderId="0" xfId="5" applyNumberFormat="1" applyFont="1" applyAlignment="1">
      <alignment horizontal="center"/>
    </xf>
    <xf numFmtId="0" fontId="40" fillId="0" borderId="32" xfId="0" applyFont="1" applyBorder="1"/>
    <xf numFmtId="0" fontId="39" fillId="0" borderId="33" xfId="0" applyFont="1" applyBorder="1" applyAlignment="1">
      <alignment horizontal="center" wrapText="1"/>
    </xf>
    <xf numFmtId="0" fontId="39" fillId="0" borderId="27" xfId="0" applyFont="1" applyBorder="1" applyAlignment="1">
      <alignment horizontal="center" wrapText="1"/>
    </xf>
    <xf numFmtId="14" fontId="40" fillId="0" borderId="20" xfId="0" applyNumberFormat="1" applyFont="1" applyBorder="1"/>
    <xf numFmtId="190" fontId="40" fillId="0" borderId="10" xfId="4" applyNumberFormat="1" applyFont="1" applyBorder="1"/>
    <xf numFmtId="190" fontId="40" fillId="0" borderId="28" xfId="4" applyNumberFormat="1" applyFont="1" applyBorder="1"/>
    <xf numFmtId="14" fontId="40" fillId="0" borderId="21" xfId="0" applyNumberFormat="1" applyFont="1" applyBorder="1"/>
    <xf numFmtId="190" fontId="40" fillId="0" borderId="0" xfId="4" applyNumberFormat="1" applyFont="1" applyBorder="1"/>
    <xf numFmtId="190" fontId="40" fillId="0" borderId="31" xfId="4" applyNumberFormat="1" applyFont="1" applyBorder="1"/>
    <xf numFmtId="14" fontId="40" fillId="0" borderId="22" xfId="0" applyNumberFormat="1" applyFont="1" applyBorder="1"/>
    <xf numFmtId="190" fontId="40" fillId="0" borderId="11" xfId="4" applyNumberFormat="1" applyFont="1" applyBorder="1"/>
    <xf numFmtId="190" fontId="40" fillId="0" borderId="29" xfId="4" applyNumberFormat="1" applyFont="1" applyBorder="1"/>
    <xf numFmtId="0" fontId="17" fillId="0" borderId="0" xfId="0" applyFont="1" applyAlignment="1">
      <alignment wrapText="1"/>
    </xf>
    <xf numFmtId="0" fontId="7" fillId="0" borderId="0" xfId="21" applyFont="1" applyBorder="1" applyAlignment="1">
      <alignment horizontal="left"/>
    </xf>
    <xf numFmtId="0" fontId="9" fillId="12" borderId="4" xfId="25" applyFont="1" applyFill="1" applyBorder="1"/>
    <xf numFmtId="0" fontId="43" fillId="0" borderId="0" xfId="0" applyFont="1"/>
    <xf numFmtId="2" fontId="0" fillId="0" borderId="0" xfId="0" applyNumberFormat="1"/>
    <xf numFmtId="165" fontId="0" fillId="0" borderId="0" xfId="0" applyNumberFormat="1"/>
    <xf numFmtId="165" fontId="40" fillId="0" borderId="0" xfId="0" applyNumberFormat="1" applyFont="1" applyFill="1"/>
    <xf numFmtId="165" fontId="40" fillId="0" borderId="0" xfId="0" applyNumberFormat="1" applyFont="1"/>
    <xf numFmtId="165" fontId="44" fillId="0" borderId="0" xfId="0" applyNumberFormat="1" applyFont="1"/>
    <xf numFmtId="10" fontId="9" fillId="0" borderId="4" xfId="26" applyNumberFormat="1" applyFont="1" applyFill="1" applyBorder="1" applyAlignment="1">
      <alignment horizontal="center"/>
    </xf>
    <xf numFmtId="38" fontId="40" fillId="0" borderId="4" xfId="25" applyNumberFormat="1" applyFont="1" applyFill="1" applyBorder="1" applyAlignment="1">
      <alignment horizontal="center"/>
    </xf>
    <xf numFmtId="0" fontId="3" fillId="0" borderId="4" xfId="5" applyNumberFormat="1" applyFont="1" applyFill="1" applyBorder="1" applyAlignment="1">
      <alignment horizontal="center"/>
    </xf>
    <xf numFmtId="169" fontId="40" fillId="0" borderId="4" xfId="25" applyNumberFormat="1" applyFont="1" applyFill="1" applyBorder="1" applyAlignment="1">
      <alignment horizontal="center"/>
    </xf>
    <xf numFmtId="187" fontId="40" fillId="0" borderId="4" xfId="26" applyNumberFormat="1" applyFont="1" applyFill="1" applyBorder="1" applyAlignment="1">
      <alignment horizontal="center"/>
    </xf>
    <xf numFmtId="187" fontId="3" fillId="0" borderId="4" xfId="26" applyNumberFormat="1" applyFont="1" applyFill="1" applyBorder="1" applyAlignment="1">
      <alignment horizontal="center"/>
    </xf>
    <xf numFmtId="10" fontId="3" fillId="0" borderId="4" xfId="26" applyNumberFormat="1" applyFont="1" applyFill="1" applyBorder="1" applyAlignment="1">
      <alignment horizontal="center"/>
    </xf>
    <xf numFmtId="187" fontId="9" fillId="0" borderId="4" xfId="26" applyNumberFormat="1" applyFont="1" applyFill="1" applyBorder="1" applyAlignment="1">
      <alignment horizontal="center"/>
    </xf>
    <xf numFmtId="38" fontId="9" fillId="0" borderId="4" xfId="25" applyNumberFormat="1" applyFont="1" applyFill="1" applyBorder="1" applyAlignment="1">
      <alignment horizontal="center"/>
    </xf>
    <xf numFmtId="10" fontId="40" fillId="0" borderId="4" xfId="26" applyNumberFormat="1" applyFont="1" applyFill="1" applyBorder="1" applyAlignment="1">
      <alignment horizontal="center"/>
    </xf>
    <xf numFmtId="0" fontId="3" fillId="0" borderId="4" xfId="25" applyNumberFormat="1" applyFont="1" applyFill="1" applyBorder="1" applyAlignment="1">
      <alignment horizontal="center"/>
    </xf>
    <xf numFmtId="38" fontId="3" fillId="0" borderId="4" xfId="25" applyNumberFormat="1" applyFont="1" applyFill="1" applyBorder="1" applyAlignment="1">
      <alignment horizontal="center"/>
    </xf>
    <xf numFmtId="0" fontId="21" fillId="0" borderId="4" xfId="25" applyFont="1" applyBorder="1" applyAlignment="1">
      <alignment horizontal="center"/>
    </xf>
    <xf numFmtId="200" fontId="3" fillId="0" borderId="32" xfId="25" applyNumberFormat="1" applyFont="1" applyBorder="1" applyAlignment="1">
      <alignment horizontal="center"/>
    </xf>
    <xf numFmtId="200" fontId="17" fillId="0" borderId="20" xfId="25" applyNumberFormat="1" applyFont="1" applyFill="1" applyBorder="1" applyAlignment="1">
      <alignment horizontal="center"/>
    </xf>
    <xf numFmtId="200" fontId="3" fillId="0" borderId="28" xfId="25" applyNumberFormat="1" applyFont="1" applyFill="1" applyBorder="1" applyAlignment="1">
      <alignment horizontal="center"/>
    </xf>
    <xf numFmtId="200" fontId="3" fillId="0" borderId="2" xfId="25" applyNumberFormat="1" applyFont="1" applyFill="1" applyBorder="1" applyAlignment="1">
      <alignment horizontal="center"/>
    </xf>
    <xf numFmtId="200" fontId="17" fillId="0" borderId="21" xfId="25" applyNumberFormat="1" applyFont="1" applyFill="1" applyBorder="1" applyAlignment="1">
      <alignment horizontal="center"/>
    </xf>
    <xf numFmtId="200" fontId="3" fillId="0" borderId="31" xfId="25" applyNumberFormat="1" applyFont="1" applyFill="1" applyBorder="1" applyAlignment="1">
      <alignment horizontal="center"/>
    </xf>
    <xf numFmtId="200" fontId="3" fillId="0" borderId="34" xfId="25" applyNumberFormat="1" applyFont="1" applyFill="1" applyBorder="1" applyAlignment="1">
      <alignment horizontal="center"/>
    </xf>
    <xf numFmtId="200" fontId="3" fillId="0" borderId="32" xfId="25" applyNumberFormat="1" applyFont="1" applyFill="1" applyBorder="1" applyAlignment="1">
      <alignment horizontal="center"/>
    </xf>
    <xf numFmtId="200" fontId="3" fillId="0" borderId="4" xfId="25" applyNumberFormat="1" applyFont="1" applyFill="1" applyBorder="1" applyAlignment="1">
      <alignment horizontal="center"/>
    </xf>
    <xf numFmtId="200" fontId="17" fillId="0" borderId="21" xfId="25" applyNumberFormat="1" applyFont="1" applyFill="1" applyBorder="1"/>
    <xf numFmtId="200" fontId="3" fillId="0" borderId="31" xfId="25" applyNumberFormat="1" applyFont="1" applyFill="1" applyBorder="1"/>
    <xf numFmtId="200" fontId="3" fillId="0" borderId="34" xfId="25" applyNumberFormat="1" applyFont="1" applyFill="1" applyBorder="1"/>
    <xf numFmtId="200" fontId="17" fillId="0" borderId="22" xfId="25" applyNumberFormat="1" applyFont="1" applyFill="1" applyBorder="1"/>
    <xf numFmtId="200" fontId="3" fillId="0" borderId="29" xfId="25" applyNumberFormat="1" applyFont="1" applyFill="1" applyBorder="1"/>
    <xf numFmtId="200" fontId="3" fillId="0" borderId="30" xfId="25" applyNumberFormat="1" applyFont="1" applyFill="1" applyBorder="1"/>
    <xf numFmtId="200" fontId="3" fillId="0" borderId="0" xfId="25" applyNumberFormat="1" applyFont="1" applyBorder="1"/>
    <xf numFmtId="200" fontId="3" fillId="0" borderId="0" xfId="25" applyNumberFormat="1" applyFont="1"/>
    <xf numFmtId="200" fontId="0" fillId="0" borderId="0" xfId="0" applyNumberFormat="1"/>
    <xf numFmtId="200" fontId="17" fillId="0" borderId="0" xfId="0" applyNumberFormat="1" applyFont="1"/>
    <xf numFmtId="200" fontId="3" fillId="0" borderId="0" xfId="0" applyNumberFormat="1" applyFont="1"/>
    <xf numFmtId="6" fontId="3" fillId="0" borderId="0" xfId="25" applyNumberFormat="1" applyFont="1" applyFill="1" applyBorder="1" applyAlignment="1">
      <alignment horizontal="center"/>
    </xf>
    <xf numFmtId="0" fontId="0" fillId="0" borderId="20" xfId="0" applyBorder="1"/>
    <xf numFmtId="0" fontId="0" fillId="0" borderId="10" xfId="0" applyBorder="1" applyAlignment="1">
      <alignment horizontal="right"/>
    </xf>
    <xf numFmtId="188" fontId="0" fillId="0" borderId="28" xfId="0" applyNumberFormat="1" applyBorder="1"/>
    <xf numFmtId="0" fontId="0" fillId="0" borderId="21" xfId="0" applyBorder="1"/>
    <xf numFmtId="0" fontId="0" fillId="0" borderId="0" xfId="0" applyBorder="1" applyAlignment="1">
      <alignment horizontal="right"/>
    </xf>
    <xf numFmtId="188" fontId="0" fillId="0" borderId="31" xfId="0" applyNumberFormat="1" applyBorder="1"/>
    <xf numFmtId="188" fontId="45" fillId="0" borderId="31" xfId="0" applyNumberFormat="1" applyFont="1" applyBorder="1"/>
    <xf numFmtId="0" fontId="0" fillId="0" borderId="22" xfId="0" applyBorder="1"/>
    <xf numFmtId="0" fontId="0" fillId="0" borderId="11" xfId="0" applyBorder="1" applyAlignment="1">
      <alignment horizontal="right"/>
    </xf>
    <xf numFmtId="188" fontId="0" fillId="0" borderId="29" xfId="0" applyNumberFormat="1" applyBorder="1"/>
    <xf numFmtId="176" fontId="0" fillId="0" borderId="0" xfId="4" applyNumberFormat="1" applyFont="1"/>
    <xf numFmtId="176" fontId="46" fillId="0" borderId="0" xfId="4" applyNumberFormat="1" applyFont="1"/>
    <xf numFmtId="188" fontId="47" fillId="0" borderId="0" xfId="26" applyNumberFormat="1" applyFont="1"/>
    <xf numFmtId="200" fontId="47" fillId="0" borderId="0" xfId="0" applyNumberFormat="1" applyFont="1"/>
    <xf numFmtId="44" fontId="9" fillId="0" borderId="0" xfId="5" applyNumberFormat="1" applyFont="1"/>
    <xf numFmtId="171" fontId="18" fillId="11" borderId="0" xfId="0" applyNumberFormat="1" applyFont="1" applyFill="1" applyAlignment="1">
      <alignment horizontal="center"/>
    </xf>
    <xf numFmtId="0" fontId="17" fillId="0" borderId="32" xfId="25" applyFont="1" applyBorder="1" applyAlignment="1">
      <alignment horizontal="center"/>
    </xf>
    <xf numFmtId="0" fontId="17" fillId="0" borderId="33" xfId="25" applyFont="1" applyBorder="1" applyAlignment="1">
      <alignment horizontal="center"/>
    </xf>
    <xf numFmtId="0" fontId="17" fillId="0" borderId="27" xfId="25" applyFont="1" applyBorder="1" applyAlignment="1">
      <alignment horizontal="center"/>
    </xf>
    <xf numFmtId="0" fontId="28" fillId="6" borderId="35" xfId="0" applyFont="1" applyFill="1" applyBorder="1" applyAlignment="1">
      <alignment horizontal="center"/>
    </xf>
    <xf numFmtId="0" fontId="37" fillId="6" borderId="23" xfId="0" applyFont="1" applyFill="1" applyBorder="1" applyAlignment="1">
      <alignment horizontal="center"/>
    </xf>
    <xf numFmtId="0" fontId="37" fillId="6" borderId="35" xfId="0" applyFont="1" applyFill="1" applyBorder="1" applyAlignment="1">
      <alignment horizontal="center"/>
    </xf>
    <xf numFmtId="0" fontId="37" fillId="6" borderId="24" xfId="0" applyFont="1" applyFill="1" applyBorder="1" applyAlignment="1">
      <alignment horizontal="center"/>
    </xf>
  </cellXfs>
  <cellStyles count="36">
    <cellStyle name="0" xfId="1"/>
    <cellStyle name="Actual Date" xfId="2"/>
    <cellStyle name="Column_Title" xfId="3"/>
    <cellStyle name="Comma" xfId="4" builtinId="3"/>
    <cellStyle name="Currency" xfId="5" builtinId="4"/>
    <cellStyle name="Date" xfId="6"/>
    <cellStyle name="Fixed" xfId="7"/>
    <cellStyle name="Followe೤ Hyperlink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Milliers [0]_laroux" xfId="15"/>
    <cellStyle name="Milliers_laroux" xfId="16"/>
    <cellStyle name="Monétaire [0]_laroux" xfId="17"/>
    <cellStyle name="Monétaire_laroux" xfId="18"/>
    <cellStyle name="no dec" xfId="19"/>
    <cellStyle name="Normal" xfId="0" builtinId="0"/>
    <cellStyle name="Normal - Style1" xfId="20"/>
    <cellStyle name="Normal_Codes2" xfId="21"/>
    <cellStyle name="Normal_Curves" xfId="22"/>
    <cellStyle name="Normal_June Options 97" xfId="23"/>
    <cellStyle name="Normal_PriceSheet" xfId="24"/>
    <cellStyle name="Normal_PriceSheet_1" xfId="25"/>
    <cellStyle name="Percent" xfId="26" builtinId="5"/>
    <cellStyle name="Percent [2]" xfId="27"/>
    <cellStyle name="Total" xfId="28" builtinId="25" customBuiltin="1"/>
    <cellStyle name="Tusental (0)_laroux" xfId="29"/>
    <cellStyle name="Tusental_laroux" xfId="30"/>
    <cellStyle name="Unprot" xfId="31"/>
    <cellStyle name="Unprot$" xfId="32"/>
    <cellStyle name="Unprotect" xfId="33"/>
    <cellStyle name="Valuta (0)_laroux" xfId="34"/>
    <cellStyle name="Valuta_laroux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12233856867837"/>
          <c:y val="0.13312693498452013"/>
          <c:w val="0.77375679580976009"/>
          <c:h val="0.60061919504643968"/>
        </c:manualLayout>
      </c:layout>
      <c:lineChart>
        <c:grouping val="standard"/>
        <c:varyColors val="0"/>
        <c:ser>
          <c:idx val="1"/>
          <c:order val="1"/>
          <c:tx>
            <c:v>Basis Differntial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Curves!$C$17:$C$76</c:f>
              <c:numCache>
                <c:formatCode>mm/dd/yy</c:formatCode>
                <c:ptCount val="60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 formatCode="mmm\-yy">
                  <c:v>37834</c:v>
                </c:pt>
                <c:pt idx="27" formatCode="mmm\-yy">
                  <c:v>37865</c:v>
                </c:pt>
                <c:pt idx="28" formatCode="mmm\-yy">
                  <c:v>37895</c:v>
                </c:pt>
                <c:pt idx="29" formatCode="mmm\-yy">
                  <c:v>37926</c:v>
                </c:pt>
                <c:pt idx="30" formatCode="mmm\-yy">
                  <c:v>37956</c:v>
                </c:pt>
                <c:pt idx="31" formatCode="mmm\-yy">
                  <c:v>37987</c:v>
                </c:pt>
                <c:pt idx="32" formatCode="mmm\-yy">
                  <c:v>38018</c:v>
                </c:pt>
                <c:pt idx="33" formatCode="mmm\-yy">
                  <c:v>38047</c:v>
                </c:pt>
                <c:pt idx="34" formatCode="mmm\-yy">
                  <c:v>38078</c:v>
                </c:pt>
                <c:pt idx="35" formatCode="mmm\-yy">
                  <c:v>38108</c:v>
                </c:pt>
                <c:pt idx="36" formatCode="mmm\-yy">
                  <c:v>38139</c:v>
                </c:pt>
                <c:pt idx="37" formatCode="mmm\-yy">
                  <c:v>38169</c:v>
                </c:pt>
                <c:pt idx="38" formatCode="mmm\-yy">
                  <c:v>38200</c:v>
                </c:pt>
                <c:pt idx="39" formatCode="mmm\-yy">
                  <c:v>38231</c:v>
                </c:pt>
                <c:pt idx="40" formatCode="mmm\-yy">
                  <c:v>38261</c:v>
                </c:pt>
                <c:pt idx="41" formatCode="mmm\-yy">
                  <c:v>38292</c:v>
                </c:pt>
                <c:pt idx="42" formatCode="mmm\-yy">
                  <c:v>38322</c:v>
                </c:pt>
                <c:pt idx="43" formatCode="mmm\-yy">
                  <c:v>38353</c:v>
                </c:pt>
                <c:pt idx="44" formatCode="mmm\-yy">
                  <c:v>38384</c:v>
                </c:pt>
                <c:pt idx="45" formatCode="mmm\-yy">
                  <c:v>38412</c:v>
                </c:pt>
                <c:pt idx="46" formatCode="mmm\-yy">
                  <c:v>38443</c:v>
                </c:pt>
                <c:pt idx="47" formatCode="mmm\-yy">
                  <c:v>38473</c:v>
                </c:pt>
                <c:pt idx="48" formatCode="mmm\-yy">
                  <c:v>38504</c:v>
                </c:pt>
                <c:pt idx="49" formatCode="mmm\-yy">
                  <c:v>38534</c:v>
                </c:pt>
                <c:pt idx="50" formatCode="mmm\-yy">
                  <c:v>38565</c:v>
                </c:pt>
                <c:pt idx="51" formatCode="mmm\-yy">
                  <c:v>38596</c:v>
                </c:pt>
                <c:pt idx="52" formatCode="mmm\-yy">
                  <c:v>38626</c:v>
                </c:pt>
                <c:pt idx="53" formatCode="mmm\-yy">
                  <c:v>38657</c:v>
                </c:pt>
                <c:pt idx="54" formatCode="mmm\-yy">
                  <c:v>38687</c:v>
                </c:pt>
                <c:pt idx="55" formatCode="mmm\-yy">
                  <c:v>38718</c:v>
                </c:pt>
                <c:pt idx="56" formatCode="mmm\-yy">
                  <c:v>38749</c:v>
                </c:pt>
                <c:pt idx="57" formatCode="mmm\-yy">
                  <c:v>38777</c:v>
                </c:pt>
                <c:pt idx="58" formatCode="mmm\-yy">
                  <c:v>38808</c:v>
                </c:pt>
                <c:pt idx="59" formatCode="mmm\-yy">
                  <c:v>38838</c:v>
                </c:pt>
              </c:numCache>
            </c:numRef>
          </c:cat>
          <c:val>
            <c:numRef>
              <c:f>Curves!$AC$17:$AC$76</c:f>
              <c:numCache>
                <c:formatCode>General</c:formatCode>
                <c:ptCount val="60"/>
                <c:pt idx="0">
                  <c:v>0.22</c:v>
                </c:pt>
                <c:pt idx="1">
                  <c:v>0.22750000000000001</c:v>
                </c:pt>
                <c:pt idx="2">
                  <c:v>0.255</c:v>
                </c:pt>
                <c:pt idx="3">
                  <c:v>0.21</c:v>
                </c:pt>
                <c:pt idx="4">
                  <c:v>0.23250000000000001</c:v>
                </c:pt>
                <c:pt idx="5">
                  <c:v>0.27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0.27</c:v>
                </c:pt>
                <c:pt idx="10">
                  <c:v>0.20499999999999999</c:v>
                </c:pt>
                <c:pt idx="11">
                  <c:v>0.19500000000000001</c:v>
                </c:pt>
                <c:pt idx="12">
                  <c:v>0.20499999999999999</c:v>
                </c:pt>
                <c:pt idx="13">
                  <c:v>0.24</c:v>
                </c:pt>
                <c:pt idx="14">
                  <c:v>0.24</c:v>
                </c:pt>
                <c:pt idx="15">
                  <c:v>0.21</c:v>
                </c:pt>
                <c:pt idx="16">
                  <c:v>0.20499999999999999</c:v>
                </c:pt>
                <c:pt idx="17">
                  <c:v>0.28000000000000003</c:v>
                </c:pt>
                <c:pt idx="18">
                  <c:v>0.32</c:v>
                </c:pt>
                <c:pt idx="19">
                  <c:v>0.32</c:v>
                </c:pt>
                <c:pt idx="20">
                  <c:v>0.3</c:v>
                </c:pt>
                <c:pt idx="21">
                  <c:v>0.28000000000000003</c:v>
                </c:pt>
                <c:pt idx="22">
                  <c:v>0.19500000000000001</c:v>
                </c:pt>
                <c:pt idx="23">
                  <c:v>0.185</c:v>
                </c:pt>
                <c:pt idx="24">
                  <c:v>0.19500000000000001</c:v>
                </c:pt>
                <c:pt idx="25">
                  <c:v>0.2</c:v>
                </c:pt>
                <c:pt idx="26">
                  <c:v>0.21</c:v>
                </c:pt>
                <c:pt idx="27">
                  <c:v>0.185</c:v>
                </c:pt>
                <c:pt idx="28">
                  <c:v>0.19500000000000001</c:v>
                </c:pt>
                <c:pt idx="29">
                  <c:v>0.28000000000000003</c:v>
                </c:pt>
                <c:pt idx="30">
                  <c:v>0.32</c:v>
                </c:pt>
                <c:pt idx="31">
                  <c:v>0.32</c:v>
                </c:pt>
                <c:pt idx="32">
                  <c:v>0.3</c:v>
                </c:pt>
                <c:pt idx="33">
                  <c:v>0.28000000000000003</c:v>
                </c:pt>
                <c:pt idx="34">
                  <c:v>0.19500000000000001</c:v>
                </c:pt>
                <c:pt idx="35">
                  <c:v>0.185</c:v>
                </c:pt>
                <c:pt idx="36">
                  <c:v>0.19500000000000001</c:v>
                </c:pt>
                <c:pt idx="37">
                  <c:v>0.2</c:v>
                </c:pt>
                <c:pt idx="38">
                  <c:v>0.21</c:v>
                </c:pt>
                <c:pt idx="39">
                  <c:v>0.185</c:v>
                </c:pt>
                <c:pt idx="40">
                  <c:v>0.19500000000000001</c:v>
                </c:pt>
                <c:pt idx="41">
                  <c:v>0.28000000000000003</c:v>
                </c:pt>
                <c:pt idx="42">
                  <c:v>0.32</c:v>
                </c:pt>
                <c:pt idx="43">
                  <c:v>0.32</c:v>
                </c:pt>
                <c:pt idx="44">
                  <c:v>0.3</c:v>
                </c:pt>
                <c:pt idx="45">
                  <c:v>0.28000000000000003</c:v>
                </c:pt>
                <c:pt idx="46">
                  <c:v>0.19500000000000001</c:v>
                </c:pt>
                <c:pt idx="47">
                  <c:v>0.185</c:v>
                </c:pt>
                <c:pt idx="48">
                  <c:v>0.19500000000000001</c:v>
                </c:pt>
                <c:pt idx="49">
                  <c:v>0.2</c:v>
                </c:pt>
                <c:pt idx="50">
                  <c:v>0.21</c:v>
                </c:pt>
                <c:pt idx="51">
                  <c:v>0.185</c:v>
                </c:pt>
                <c:pt idx="52">
                  <c:v>0.19500000000000001</c:v>
                </c:pt>
                <c:pt idx="53">
                  <c:v>0.28000000000000003</c:v>
                </c:pt>
                <c:pt idx="54">
                  <c:v>0.32</c:v>
                </c:pt>
                <c:pt idx="55">
                  <c:v>0.32</c:v>
                </c:pt>
                <c:pt idx="56">
                  <c:v>0.3</c:v>
                </c:pt>
                <c:pt idx="57">
                  <c:v>0.28000000000000003</c:v>
                </c:pt>
                <c:pt idx="58">
                  <c:v>0.19500000000000001</c:v>
                </c:pt>
                <c:pt idx="59">
                  <c:v>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8E-4184-A9F9-1DFAD560320C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Curves!$C$17:$C$76</c:f>
              <c:numCache>
                <c:formatCode>mm/dd/yy</c:formatCode>
                <c:ptCount val="60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 formatCode="mmm\-yy">
                  <c:v>37834</c:v>
                </c:pt>
                <c:pt idx="27" formatCode="mmm\-yy">
                  <c:v>37865</c:v>
                </c:pt>
                <c:pt idx="28" formatCode="mmm\-yy">
                  <c:v>37895</c:v>
                </c:pt>
                <c:pt idx="29" formatCode="mmm\-yy">
                  <c:v>37926</c:v>
                </c:pt>
                <c:pt idx="30" formatCode="mmm\-yy">
                  <c:v>37956</c:v>
                </c:pt>
                <c:pt idx="31" formatCode="mmm\-yy">
                  <c:v>37987</c:v>
                </c:pt>
                <c:pt idx="32" formatCode="mmm\-yy">
                  <c:v>38018</c:v>
                </c:pt>
                <c:pt idx="33" formatCode="mmm\-yy">
                  <c:v>38047</c:v>
                </c:pt>
                <c:pt idx="34" formatCode="mmm\-yy">
                  <c:v>38078</c:v>
                </c:pt>
                <c:pt idx="35" formatCode="mmm\-yy">
                  <c:v>38108</c:v>
                </c:pt>
                <c:pt idx="36" formatCode="mmm\-yy">
                  <c:v>38139</c:v>
                </c:pt>
                <c:pt idx="37" formatCode="mmm\-yy">
                  <c:v>38169</c:v>
                </c:pt>
                <c:pt idx="38" formatCode="mmm\-yy">
                  <c:v>38200</c:v>
                </c:pt>
                <c:pt idx="39" formatCode="mmm\-yy">
                  <c:v>38231</c:v>
                </c:pt>
                <c:pt idx="40" formatCode="mmm\-yy">
                  <c:v>38261</c:v>
                </c:pt>
                <c:pt idx="41" formatCode="mmm\-yy">
                  <c:v>38292</c:v>
                </c:pt>
                <c:pt idx="42" formatCode="mmm\-yy">
                  <c:v>38322</c:v>
                </c:pt>
                <c:pt idx="43" formatCode="mmm\-yy">
                  <c:v>38353</c:v>
                </c:pt>
                <c:pt idx="44" formatCode="mmm\-yy">
                  <c:v>38384</c:v>
                </c:pt>
                <c:pt idx="45" formatCode="mmm\-yy">
                  <c:v>38412</c:v>
                </c:pt>
                <c:pt idx="46" formatCode="mmm\-yy">
                  <c:v>38443</c:v>
                </c:pt>
                <c:pt idx="47" formatCode="mmm\-yy">
                  <c:v>38473</c:v>
                </c:pt>
                <c:pt idx="48" formatCode="mmm\-yy">
                  <c:v>38504</c:v>
                </c:pt>
                <c:pt idx="49" formatCode="mmm\-yy">
                  <c:v>38534</c:v>
                </c:pt>
                <c:pt idx="50" formatCode="mmm\-yy">
                  <c:v>38565</c:v>
                </c:pt>
                <c:pt idx="51" formatCode="mmm\-yy">
                  <c:v>38596</c:v>
                </c:pt>
                <c:pt idx="52" formatCode="mmm\-yy">
                  <c:v>38626</c:v>
                </c:pt>
                <c:pt idx="53" formatCode="mmm\-yy">
                  <c:v>38657</c:v>
                </c:pt>
                <c:pt idx="54" formatCode="mmm\-yy">
                  <c:v>38687</c:v>
                </c:pt>
                <c:pt idx="55" formatCode="mmm\-yy">
                  <c:v>38718</c:v>
                </c:pt>
                <c:pt idx="56" formatCode="mmm\-yy">
                  <c:v>38749</c:v>
                </c:pt>
                <c:pt idx="57" formatCode="mmm\-yy">
                  <c:v>38777</c:v>
                </c:pt>
                <c:pt idx="58" formatCode="mmm\-yy">
                  <c:v>38808</c:v>
                </c:pt>
                <c:pt idx="59" formatCode="mmm\-yy">
                  <c:v>38838</c:v>
                </c:pt>
              </c:numCache>
            </c:numRef>
          </c:cat>
          <c:val>
            <c:numRef>
              <c:f>Curves!$AE$17:$AE$76</c:f>
              <c:numCache>
                <c:formatCode>General</c:formatCode>
                <c:ptCount val="6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0.12</c:v>
                </c:pt>
                <c:pt idx="6">
                  <c:v>0.16</c:v>
                </c:pt>
                <c:pt idx="7">
                  <c:v>0.215</c:v>
                </c:pt>
                <c:pt idx="8">
                  <c:v>0.20499999999999999</c:v>
                </c:pt>
                <c:pt idx="9">
                  <c:v>0.2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0.12</c:v>
                </c:pt>
                <c:pt idx="18">
                  <c:v>0.15</c:v>
                </c:pt>
                <c:pt idx="19">
                  <c:v>0.17</c:v>
                </c:pt>
                <c:pt idx="20">
                  <c:v>0.17</c:v>
                </c:pt>
                <c:pt idx="21">
                  <c:v>0.16</c:v>
                </c:pt>
                <c:pt idx="22">
                  <c:v>0.09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0.09</c:v>
                </c:pt>
                <c:pt idx="28">
                  <c:v>0.09</c:v>
                </c:pt>
                <c:pt idx="29">
                  <c:v>0.17</c:v>
                </c:pt>
                <c:pt idx="30">
                  <c:v>0.17</c:v>
                </c:pt>
                <c:pt idx="31">
                  <c:v>0.17</c:v>
                </c:pt>
                <c:pt idx="32">
                  <c:v>0.17</c:v>
                </c:pt>
                <c:pt idx="33">
                  <c:v>0.17</c:v>
                </c:pt>
                <c:pt idx="34">
                  <c:v>9.5000000000000001E-2</c:v>
                </c:pt>
                <c:pt idx="35">
                  <c:v>9.5000000000000001E-2</c:v>
                </c:pt>
                <c:pt idx="36">
                  <c:v>9.5000000000000001E-2</c:v>
                </c:pt>
                <c:pt idx="37">
                  <c:v>9.5000000000000001E-2</c:v>
                </c:pt>
                <c:pt idx="38">
                  <c:v>9.5000000000000001E-2</c:v>
                </c:pt>
                <c:pt idx="39">
                  <c:v>9.5000000000000001E-2</c:v>
                </c:pt>
                <c:pt idx="40">
                  <c:v>9.5000000000000001E-2</c:v>
                </c:pt>
                <c:pt idx="41">
                  <c:v>0.17</c:v>
                </c:pt>
                <c:pt idx="42">
                  <c:v>0.17</c:v>
                </c:pt>
                <c:pt idx="43">
                  <c:v>0.17</c:v>
                </c:pt>
                <c:pt idx="44">
                  <c:v>0.17</c:v>
                </c:pt>
                <c:pt idx="45">
                  <c:v>0.17</c:v>
                </c:pt>
                <c:pt idx="46">
                  <c:v>9.5000000000000001E-2</c:v>
                </c:pt>
                <c:pt idx="47">
                  <c:v>9.5000000000000001E-2</c:v>
                </c:pt>
                <c:pt idx="48">
                  <c:v>9.5000000000000001E-2</c:v>
                </c:pt>
                <c:pt idx="49">
                  <c:v>9.5000000000000001E-2</c:v>
                </c:pt>
                <c:pt idx="50">
                  <c:v>9.5000000000000001E-2</c:v>
                </c:pt>
                <c:pt idx="51">
                  <c:v>9.5000000000000001E-2</c:v>
                </c:pt>
                <c:pt idx="52">
                  <c:v>9.5000000000000001E-2</c:v>
                </c:pt>
                <c:pt idx="53">
                  <c:v>0.17499999999999999</c:v>
                </c:pt>
                <c:pt idx="54">
                  <c:v>0.17499999999999999</c:v>
                </c:pt>
                <c:pt idx="55">
                  <c:v>0.17499999999999999</c:v>
                </c:pt>
                <c:pt idx="56">
                  <c:v>0.17499999999999999</c:v>
                </c:pt>
                <c:pt idx="57">
                  <c:v>0.17499999999999999</c:v>
                </c:pt>
                <c:pt idx="58">
                  <c:v>0.09</c:v>
                </c:pt>
                <c:pt idx="59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8E-4184-A9F9-1DFAD5603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9770576"/>
        <c:axId val="1"/>
      </c:lineChart>
      <c:lineChart>
        <c:grouping val="standard"/>
        <c:varyColors val="0"/>
        <c:ser>
          <c:idx val="0"/>
          <c:order val="0"/>
          <c:tx>
            <c:v>Nymex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Curves!$C$17:$C$76</c:f>
              <c:numCache>
                <c:formatCode>mm/dd/yy</c:formatCode>
                <c:ptCount val="60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 formatCode="mmm\-yy">
                  <c:v>37834</c:v>
                </c:pt>
                <c:pt idx="27" formatCode="mmm\-yy">
                  <c:v>37865</c:v>
                </c:pt>
                <c:pt idx="28" formatCode="mmm\-yy">
                  <c:v>37895</c:v>
                </c:pt>
                <c:pt idx="29" formatCode="mmm\-yy">
                  <c:v>37926</c:v>
                </c:pt>
                <c:pt idx="30" formatCode="mmm\-yy">
                  <c:v>37956</c:v>
                </c:pt>
                <c:pt idx="31" formatCode="mmm\-yy">
                  <c:v>37987</c:v>
                </c:pt>
                <c:pt idx="32" formatCode="mmm\-yy">
                  <c:v>38018</c:v>
                </c:pt>
                <c:pt idx="33" formatCode="mmm\-yy">
                  <c:v>38047</c:v>
                </c:pt>
                <c:pt idx="34" formatCode="mmm\-yy">
                  <c:v>38078</c:v>
                </c:pt>
                <c:pt idx="35" formatCode="mmm\-yy">
                  <c:v>38108</c:v>
                </c:pt>
                <c:pt idx="36" formatCode="mmm\-yy">
                  <c:v>38139</c:v>
                </c:pt>
                <c:pt idx="37" formatCode="mmm\-yy">
                  <c:v>38169</c:v>
                </c:pt>
                <c:pt idx="38" formatCode="mmm\-yy">
                  <c:v>38200</c:v>
                </c:pt>
                <c:pt idx="39" formatCode="mmm\-yy">
                  <c:v>38231</c:v>
                </c:pt>
                <c:pt idx="40" formatCode="mmm\-yy">
                  <c:v>38261</c:v>
                </c:pt>
                <c:pt idx="41" formatCode="mmm\-yy">
                  <c:v>38292</c:v>
                </c:pt>
                <c:pt idx="42" formatCode="mmm\-yy">
                  <c:v>38322</c:v>
                </c:pt>
                <c:pt idx="43" formatCode="mmm\-yy">
                  <c:v>38353</c:v>
                </c:pt>
                <c:pt idx="44" formatCode="mmm\-yy">
                  <c:v>38384</c:v>
                </c:pt>
                <c:pt idx="45" formatCode="mmm\-yy">
                  <c:v>38412</c:v>
                </c:pt>
                <c:pt idx="46" formatCode="mmm\-yy">
                  <c:v>38443</c:v>
                </c:pt>
                <c:pt idx="47" formatCode="mmm\-yy">
                  <c:v>38473</c:v>
                </c:pt>
                <c:pt idx="48" formatCode="mmm\-yy">
                  <c:v>38504</c:v>
                </c:pt>
                <c:pt idx="49" formatCode="mmm\-yy">
                  <c:v>38534</c:v>
                </c:pt>
                <c:pt idx="50" formatCode="mmm\-yy">
                  <c:v>38565</c:v>
                </c:pt>
                <c:pt idx="51" formatCode="mmm\-yy">
                  <c:v>38596</c:v>
                </c:pt>
                <c:pt idx="52" formatCode="mmm\-yy">
                  <c:v>38626</c:v>
                </c:pt>
                <c:pt idx="53" formatCode="mmm\-yy">
                  <c:v>38657</c:v>
                </c:pt>
                <c:pt idx="54" formatCode="mmm\-yy">
                  <c:v>38687</c:v>
                </c:pt>
                <c:pt idx="55" formatCode="mmm\-yy">
                  <c:v>38718</c:v>
                </c:pt>
                <c:pt idx="56" formatCode="mmm\-yy">
                  <c:v>38749</c:v>
                </c:pt>
                <c:pt idx="57" formatCode="mmm\-yy">
                  <c:v>38777</c:v>
                </c:pt>
                <c:pt idx="58" formatCode="mmm\-yy">
                  <c:v>38808</c:v>
                </c:pt>
                <c:pt idx="59" formatCode="mmm\-yy">
                  <c:v>38838</c:v>
                </c:pt>
              </c:numCache>
            </c:numRef>
          </c:cat>
          <c:val>
            <c:numRef>
              <c:f>Curves!$E$17:$E$76</c:f>
              <c:numCache>
                <c:formatCode>General</c:formatCode>
                <c:ptCount val="60"/>
                <c:pt idx="0">
                  <c:v>4.3940000000000001</c:v>
                </c:pt>
                <c:pt idx="1">
                  <c:v>4.4649999999999999</c:v>
                </c:pt>
                <c:pt idx="2">
                  <c:v>4.5280000000000005</c:v>
                </c:pt>
                <c:pt idx="3">
                  <c:v>4.5430000000000001</c:v>
                </c:pt>
                <c:pt idx="4">
                  <c:v>4.5630000000000006</c:v>
                </c:pt>
                <c:pt idx="5">
                  <c:v>4.7280000000000006</c:v>
                </c:pt>
                <c:pt idx="6">
                  <c:v>4.8849999999999998</c:v>
                </c:pt>
                <c:pt idx="7">
                  <c:v>4.9470000000000001</c:v>
                </c:pt>
                <c:pt idx="8">
                  <c:v>4.8170000000000002</c:v>
                </c:pt>
                <c:pt idx="9">
                  <c:v>4.63</c:v>
                </c:pt>
                <c:pt idx="10">
                  <c:v>4.2919999999999998</c:v>
                </c:pt>
                <c:pt idx="11">
                  <c:v>4.2120000000000006</c:v>
                </c:pt>
                <c:pt idx="12">
                  <c:v>4.2519999999999998</c:v>
                </c:pt>
                <c:pt idx="13">
                  <c:v>4.2970000000000006</c:v>
                </c:pt>
                <c:pt idx="14">
                  <c:v>4.3220000000000001</c:v>
                </c:pt>
                <c:pt idx="15">
                  <c:v>4.327</c:v>
                </c:pt>
                <c:pt idx="16">
                  <c:v>4.3370000000000006</c:v>
                </c:pt>
                <c:pt idx="17">
                  <c:v>4.4770000000000003</c:v>
                </c:pt>
                <c:pt idx="18">
                  <c:v>4.6070000000000002</c:v>
                </c:pt>
                <c:pt idx="19">
                  <c:v>4.6509999999999998</c:v>
                </c:pt>
                <c:pt idx="20">
                  <c:v>4.4960000000000004</c:v>
                </c:pt>
                <c:pt idx="21">
                  <c:v>4.3079999999999998</c:v>
                </c:pt>
                <c:pt idx="22">
                  <c:v>3.98</c:v>
                </c:pt>
                <c:pt idx="23">
                  <c:v>3.94</c:v>
                </c:pt>
                <c:pt idx="24">
                  <c:v>3.97</c:v>
                </c:pt>
                <c:pt idx="25">
                  <c:v>4.01</c:v>
                </c:pt>
                <c:pt idx="26">
                  <c:v>4.056</c:v>
                </c:pt>
                <c:pt idx="27">
                  <c:v>4.0650000000000004</c:v>
                </c:pt>
                <c:pt idx="28">
                  <c:v>4.0860000000000003</c:v>
                </c:pt>
                <c:pt idx="29">
                  <c:v>4.1989999999999998</c:v>
                </c:pt>
                <c:pt idx="30">
                  <c:v>4.3370000000000006</c:v>
                </c:pt>
                <c:pt idx="31">
                  <c:v>4.3940000000000001</c:v>
                </c:pt>
                <c:pt idx="32">
                  <c:v>4.274</c:v>
                </c:pt>
                <c:pt idx="33">
                  <c:v>4.1349999999999998</c:v>
                </c:pt>
                <c:pt idx="34">
                  <c:v>3.96</c:v>
                </c:pt>
                <c:pt idx="35">
                  <c:v>3.93</c:v>
                </c:pt>
                <c:pt idx="36">
                  <c:v>4</c:v>
                </c:pt>
                <c:pt idx="37">
                  <c:v>4.0549999999999997</c:v>
                </c:pt>
                <c:pt idx="38">
                  <c:v>4.1109999999999998</c:v>
                </c:pt>
                <c:pt idx="39">
                  <c:v>4.125</c:v>
                </c:pt>
                <c:pt idx="40">
                  <c:v>4.1560000000000006</c:v>
                </c:pt>
                <c:pt idx="41">
                  <c:v>4.2890000000000006</c:v>
                </c:pt>
                <c:pt idx="42">
                  <c:v>4.4270000000000005</c:v>
                </c:pt>
                <c:pt idx="43">
                  <c:v>4.4140000000000006</c:v>
                </c:pt>
                <c:pt idx="44">
                  <c:v>4.2940000000000005</c:v>
                </c:pt>
                <c:pt idx="45">
                  <c:v>4.1550000000000002</c:v>
                </c:pt>
                <c:pt idx="46">
                  <c:v>3.98</c:v>
                </c:pt>
                <c:pt idx="47">
                  <c:v>3.95</c:v>
                </c:pt>
                <c:pt idx="48">
                  <c:v>4.0199999999999996</c:v>
                </c:pt>
                <c:pt idx="49">
                  <c:v>4.0750000000000002</c:v>
                </c:pt>
                <c:pt idx="50">
                  <c:v>4.1310000000000002</c:v>
                </c:pt>
                <c:pt idx="51">
                  <c:v>4.1449999999999996</c:v>
                </c:pt>
                <c:pt idx="52">
                  <c:v>4.1760000000000002</c:v>
                </c:pt>
                <c:pt idx="53">
                  <c:v>4.3090000000000002</c:v>
                </c:pt>
                <c:pt idx="54">
                  <c:v>4.4470000000000001</c:v>
                </c:pt>
                <c:pt idx="55">
                  <c:v>4.444</c:v>
                </c:pt>
                <c:pt idx="56">
                  <c:v>4.3239999999999998</c:v>
                </c:pt>
                <c:pt idx="57">
                  <c:v>4.1849999999999996</c:v>
                </c:pt>
                <c:pt idx="58">
                  <c:v>4.01</c:v>
                </c:pt>
                <c:pt idx="59">
                  <c:v>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8E-4184-A9F9-1DFAD5603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38977057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3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\$#,##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9770576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m/d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months"/>
      </c:date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Nymex ($/mmbtu)</a:t>
                </a:r>
              </a:p>
            </c:rich>
          </c:tx>
          <c:layout>
            <c:manualLayout>
              <c:xMode val="edge"/>
              <c:yMode val="edge"/>
              <c:x val="0.94268615473898643"/>
              <c:y val="0.29721362229102166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.0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1"/>
        <c:delete val="1"/>
      </c:legendEntry>
      <c:layout>
        <c:manualLayout>
          <c:xMode val="edge"/>
          <c:yMode val="edge"/>
          <c:x val="0.36500807911493555"/>
          <c:y val="0.91021671826625383"/>
          <c:w val="0.27752680395515761"/>
          <c:h val="6.811145510835912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Lines="15" dropStyle="combo" dx="22" fmlaLink="$S$13" fmlaRange="$T$14:$T$373" sel="7" val="4"/>
</file>

<file path=xl/ctrlProps/ctrlProp4.xml><?xml version="1.0" encoding="utf-8"?>
<formControlPr xmlns="http://schemas.microsoft.com/office/spreadsheetml/2009/9/main" objectType="Drop" dropLines="15" dropStyle="combo" dx="22" fmlaLink="$T$13" fmlaRange="$T$14:$T$373" sel="18" val="10"/>
</file>

<file path=xl/ctrlProps/ctrlProp5.xml><?xml version="1.0" encoding="utf-8"?>
<formControlPr xmlns="http://schemas.microsoft.com/office/spreadsheetml/2009/9/main" objectType="Drop" dropLines="15" dropStyle="combo" dx="22" fmlaLink="$T$6" fmlaRange="$AB$5:$AB$268" noThreeD="1" sel="33" val="32"/>
</file>

<file path=xl/ctrlProps/ctrlProp6.xml><?xml version="1.0" encoding="utf-8"?>
<formControlPr xmlns="http://schemas.microsoft.com/office/spreadsheetml/2009/9/main" objectType="Drop" dropLines="15" dropStyle="combo" dx="22" fmlaLink="$T$7" fmlaRange="$AB$5:$AB$268" noThreeD="1" sel="76" val="75"/>
</file>

<file path=xl/ctrlProps/ctrlProp7.xml><?xml version="1.0" encoding="utf-8"?>
<formControlPr xmlns="http://schemas.microsoft.com/office/spreadsheetml/2009/9/main" objectType="Drop" dropLines="15" dropStyle="combo" dx="22" fmlaLink="$U$6" fmlaRange="$AF$5:$AF$24" noThreeD="1" sel="9" val="0"/>
</file>

<file path=xl/ctrlProps/ctrlProp8.xml><?xml version="1.0" encoding="utf-8"?>
<formControlPr xmlns="http://schemas.microsoft.com/office/spreadsheetml/2009/9/main" objectType="Drop" dropLines="15" dropStyle="combo" dx="22" fmlaLink="$U$7" fmlaRange="$AF$5:$AF$24" noThreeD="1" sel="6" val="5"/>
</file>

<file path=xl/ctrlProps/ctrlProp9.xml><?xml version="1.0" encoding="utf-8"?>
<formControlPr xmlns="http://schemas.microsoft.com/office/spreadsheetml/2009/9/main" objectType="Drop" dropLines="15" dropStyle="combo" dx="22" fmlaLink="$V$6" fmlaRange="$AB$5:$AB$268" noThreeD="1" sel="27" val="26"/>
</file>

<file path=xl/ctrlProps/ctrlProp10.xml><?xml version="1.0" encoding="utf-8"?>
<formControlPr xmlns="http://schemas.microsoft.com/office/spreadsheetml/2009/9/main" objectType="Drop" dropLines="15" dropStyle="combo" dx="22" fmlaLink="$V$7" fmlaRange="$AB$5:$AB$268" noThreeD="1" sel="118" val="105"/>
</file>

<file path=xl/ctrlProps/ctrlProp11.xml><?xml version="1.0" encoding="utf-8"?>
<formControlPr xmlns="http://schemas.microsoft.com/office/spreadsheetml/2009/9/main" objectType="Drop" dropLines="15" dropStyle="combo" dx="22" fmlaLink="$R$13" fmlaRange="$R$14:$R$15" sel="1" val="0"/>
</file>

<file path=xl/ctrlProps/ctrlProp12.xml><?xml version="1.0" encoding="utf-8"?>
<formControlPr xmlns="http://schemas.microsoft.com/office/spreadsheetml/2009/9/main" objectType="Drop" dropLines="15" dropStyle="combo" dx="22" fmlaLink="$R$16" fmlaRange="$R$17:$R$18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638175</xdr:colOff>
          <xdr:row>10</xdr:row>
          <xdr:rowOff>9525</xdr:rowOff>
        </xdr:from>
        <xdr:to>
          <xdr:col>1</xdr:col>
          <xdr:colOff>923925</xdr:colOff>
          <xdr:row>14</xdr:row>
          <xdr:rowOff>76200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00714D9-9BC4-6BB8-14BA-1138FEC2A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22</xdr:row>
          <xdr:rowOff>133350</xdr:rowOff>
        </xdr:from>
        <xdr:to>
          <xdr:col>6</xdr:col>
          <xdr:colOff>933450</xdr:colOff>
          <xdr:row>24</xdr:row>
          <xdr:rowOff>9525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BC63A134-0B32-BA07-9FBF-55E4788972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9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Curves and Value Transport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9525</xdr:colOff>
      <xdr:row>30</xdr:row>
      <xdr:rowOff>142875</xdr:rowOff>
    </xdr:from>
    <xdr:to>
      <xdr:col>6</xdr:col>
      <xdr:colOff>942975</xdr:colOff>
      <xdr:row>49</xdr:row>
      <xdr:rowOff>142875</xdr:rowOff>
    </xdr:to>
    <xdr:graphicFrame macro="">
      <xdr:nvGraphicFramePr>
        <xdr:cNvPr id="4098" name="Chart 2">
          <a:extLst>
            <a:ext uri="{FF2B5EF4-FFF2-40B4-BE49-F238E27FC236}">
              <a16:creationId xmlns:a16="http://schemas.microsoft.com/office/drawing/2014/main" id="{2045021E-88CB-B7A5-527C-F88100C11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352425</xdr:colOff>
      <xdr:row>2</xdr:row>
      <xdr:rowOff>123825</xdr:rowOff>
    </xdr:from>
    <xdr:to>
      <xdr:col>6</xdr:col>
      <xdr:colOff>933450</xdr:colOff>
      <xdr:row>5</xdr:row>
      <xdr:rowOff>180975</xdr:rowOff>
    </xdr:to>
    <xdr:sp macro="" textlink="">
      <xdr:nvSpPr>
        <xdr:cNvPr id="4099" name="WordArt 3">
          <a:extLst>
            <a:ext uri="{FF2B5EF4-FFF2-40B4-BE49-F238E27FC236}">
              <a16:creationId xmlns:a16="http://schemas.microsoft.com/office/drawing/2014/main" id="{80FD12D1-BD67-5078-82ED-9654A06B2EE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771900" y="609600"/>
          <a:ext cx="2895600" cy="447675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>
          <a:prstTxWarp prst="textWave1">
            <a:avLst>
              <a:gd name="adj1" fmla="val 13005"/>
              <a:gd name="adj2" fmla="val 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>
                <a:noFill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>
                <a:outerShdw dist="53882" dir="2700000" algn="ctr" rotWithShape="0">
                  <a:srgbClr val="C0C0C0"/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Draft Indicative Quote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409575</xdr:colOff>
          <xdr:row>11</xdr:row>
          <xdr:rowOff>0</xdr:rowOff>
        </xdr:from>
        <xdr:to>
          <xdr:col>3</xdr:col>
          <xdr:colOff>1362075</xdr:colOff>
          <xdr:row>12</xdr:row>
          <xdr:rowOff>0</xdr:rowOff>
        </xdr:to>
        <xdr:sp macro="" textlink="">
          <xdr:nvSpPr>
            <xdr:cNvPr id="4100" name="Drop Down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D4CAE964-98D3-A8F3-597C-53E137D26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390525</xdr:colOff>
          <xdr:row>12</xdr:row>
          <xdr:rowOff>9525</xdr:rowOff>
        </xdr:from>
        <xdr:to>
          <xdr:col>3</xdr:col>
          <xdr:colOff>1343025</xdr:colOff>
          <xdr:row>13</xdr:row>
          <xdr:rowOff>47625</xdr:rowOff>
        </xdr:to>
        <xdr:sp macro="" textlink="">
          <xdr:nvSpPr>
            <xdr:cNvPr id="4101" name="Drop Down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4F2EB418-F70D-A126-C2FA-172898070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1428750</xdr:colOff>
          <xdr:row>13</xdr:row>
          <xdr:rowOff>47625</xdr:rowOff>
        </xdr:from>
        <xdr:to>
          <xdr:col>3</xdr:col>
          <xdr:colOff>1352550</xdr:colOff>
          <xdr:row>13</xdr:row>
          <xdr:rowOff>247650</xdr:rowOff>
        </xdr:to>
        <xdr:sp macro="" textlink="">
          <xdr:nvSpPr>
            <xdr:cNvPr id="4111" name="Drop Down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8669C659-9C64-F99C-A6E5-480175A9FB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1428750</xdr:colOff>
          <xdr:row>14</xdr:row>
          <xdr:rowOff>47625</xdr:rowOff>
        </xdr:from>
        <xdr:to>
          <xdr:col>3</xdr:col>
          <xdr:colOff>1352550</xdr:colOff>
          <xdr:row>14</xdr:row>
          <xdr:rowOff>247650</xdr:rowOff>
        </xdr:to>
        <xdr:sp macro="" textlink="">
          <xdr:nvSpPr>
            <xdr:cNvPr id="4112" name="Drop Down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F1FDEE59-CC1A-4303-0427-61017C1E79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1428750</xdr:colOff>
          <xdr:row>15</xdr:row>
          <xdr:rowOff>38100</xdr:rowOff>
        </xdr:from>
        <xdr:to>
          <xdr:col>3</xdr:col>
          <xdr:colOff>1362075</xdr:colOff>
          <xdr:row>15</xdr:row>
          <xdr:rowOff>238125</xdr:rowOff>
        </xdr:to>
        <xdr:sp macro="" textlink="">
          <xdr:nvSpPr>
            <xdr:cNvPr id="4113" name="Drop Down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B6E4310F-4276-BD6D-AE76-A3457603F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1438275</xdr:colOff>
          <xdr:row>16</xdr:row>
          <xdr:rowOff>47625</xdr:rowOff>
        </xdr:from>
        <xdr:to>
          <xdr:col>3</xdr:col>
          <xdr:colOff>1352550</xdr:colOff>
          <xdr:row>16</xdr:row>
          <xdr:rowOff>247650</xdr:rowOff>
        </xdr:to>
        <xdr:sp macro="" textlink="">
          <xdr:nvSpPr>
            <xdr:cNvPr id="4114" name="Drop Down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65495D04-2A9D-B0AA-0DA5-69A6B96BA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1438275</xdr:colOff>
          <xdr:row>17</xdr:row>
          <xdr:rowOff>47625</xdr:rowOff>
        </xdr:from>
        <xdr:to>
          <xdr:col>3</xdr:col>
          <xdr:colOff>1352550</xdr:colOff>
          <xdr:row>17</xdr:row>
          <xdr:rowOff>247650</xdr:rowOff>
        </xdr:to>
        <xdr:sp macro="" textlink="">
          <xdr:nvSpPr>
            <xdr:cNvPr id="4116" name="Drop Down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6FAEAF76-2BAF-ABC5-260D-04C7AAAAD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1428750</xdr:colOff>
          <xdr:row>18</xdr:row>
          <xdr:rowOff>38100</xdr:rowOff>
        </xdr:from>
        <xdr:to>
          <xdr:col>3</xdr:col>
          <xdr:colOff>1352550</xdr:colOff>
          <xdr:row>18</xdr:row>
          <xdr:rowOff>238125</xdr:rowOff>
        </xdr:to>
        <xdr:sp macro="" textlink="">
          <xdr:nvSpPr>
            <xdr:cNvPr id="4118" name="Drop Down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6BD8B2-FDD3-1F45-E651-BFCA6B146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142875</xdr:rowOff>
        </xdr:from>
        <xdr:to>
          <xdr:col>6</xdr:col>
          <xdr:colOff>952500</xdr:colOff>
          <xdr:row>10</xdr:row>
          <xdr:rowOff>19050</xdr:rowOff>
        </xdr:to>
        <xdr:sp macro="" textlink="">
          <xdr:nvSpPr>
            <xdr:cNvPr id="4121" name="Drop Down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E9FD97BC-9ABD-14F4-BC87-5CF135CD5D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9525</xdr:rowOff>
        </xdr:from>
        <xdr:to>
          <xdr:col>6</xdr:col>
          <xdr:colOff>952500</xdr:colOff>
          <xdr:row>11</xdr:row>
          <xdr:rowOff>0</xdr:rowOff>
        </xdr:to>
        <xdr:sp macro="" textlink="">
          <xdr:nvSpPr>
            <xdr:cNvPr id="4122" name="Drop Down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20CE2830-ED12-1EF9-722C-91CDD4BA0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114300</xdr:colOff>
      <xdr:row>0</xdr:row>
      <xdr:rowOff>85725</xdr:rowOff>
    </xdr:from>
    <xdr:to>
      <xdr:col>6</xdr:col>
      <xdr:colOff>819150</xdr:colOff>
      <xdr:row>24</xdr:row>
      <xdr:rowOff>161925</xdr:rowOff>
    </xdr:to>
    <xdr:sp macro="" textlink="">
      <xdr:nvSpPr>
        <xdr:cNvPr id="4131" name="Line 35">
          <a:extLst>
            <a:ext uri="{FF2B5EF4-FFF2-40B4-BE49-F238E27FC236}">
              <a16:creationId xmlns:a16="http://schemas.microsoft.com/office/drawing/2014/main" id="{E5A54522-E481-068A-2BCC-19D36DD0019A}"/>
            </a:ext>
          </a:extLst>
        </xdr:cNvPr>
        <xdr:cNvSpPr>
          <a:spLocks noChangeShapeType="1"/>
        </xdr:cNvSpPr>
      </xdr:nvSpPr>
      <xdr:spPr bwMode="auto">
        <a:xfrm>
          <a:off x="114300" y="85725"/>
          <a:ext cx="6438900" cy="4924425"/>
        </a:xfrm>
        <a:prstGeom prst="line">
          <a:avLst/>
        </a:prstGeom>
        <a:noFill/>
        <a:ln w="381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0.12843</cdr:x>
      <cdr:y>0.03021</cdr:y>
    </cdr:from>
    <cdr:to>
      <cdr:x>0.89496</cdr:x>
      <cdr:y>0.08279</cdr:y>
    </cdr:to>
    <cdr:sp macro="" textlink="InputOutputSheet!$N$10">
      <cdr:nvSpPr>
        <cdr:cNvPr id="5121" name="Text Box 1">
          <a:extLst xmlns:a="http://schemas.openxmlformats.org/drawingml/2006/main">
            <a:ext uri="{FF2B5EF4-FFF2-40B4-BE49-F238E27FC236}">
              <a16:creationId xmlns:a16="http://schemas.microsoft.com/office/drawing/2014/main" id="{4DA88567-0FA6-DD94-4B1A-F68FA14548D9}"/>
            </a:ext>
          </a:extLst>
        </cdr:cNvPr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815453" y="96410"/>
          <a:ext cx="4847991" cy="162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E4DBCF9-5978-4F68-8D1B-A765E89E6F26}" type="TxLink"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​</a:t>
          </a:fld>
          <a:endParaRPr lang="en-US" sz="900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0.00753</cdr:x>
      <cdr:y>0.07867</cdr:y>
    </cdr:from>
    <cdr:to>
      <cdr:x>0.06934</cdr:x>
      <cdr:y>0.87191</cdr:y>
    </cdr:to>
    <cdr:sp macro="" textlink="InputOutputSheet!$N$11">
      <cdr:nvSpPr>
        <cdr:cNvPr id="5122" name="Text Box 2">
          <a:extLst xmlns:a="http://schemas.openxmlformats.org/drawingml/2006/main">
            <a:ext uri="{FF2B5EF4-FFF2-40B4-BE49-F238E27FC236}">
              <a16:creationId xmlns:a16="http://schemas.microsoft.com/office/drawing/2014/main" id="{4020AA87-9201-7AE7-A2A9-EF00A1AF81A4}"/>
            </a:ext>
          </a:extLst>
        </cdr:cNvPr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50800" y="245953"/>
          <a:ext cx="390892" cy="24480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vert="vert270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09521A-947F-45DB-929A-730BC3E1DDDB}" type="TxLink"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​</a:t>
          </a:fld>
          <a:endParaRPr lang="en-US" sz="8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Physical%20De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XCEL\Fall%201999%20Projects\Transport%20Book\Posi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NAES\NATTS\ADM\Industrials\Avondale\Curveloa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as%20Structuring\EcoGas\EcoGasPricingSheet0828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TEMP/Fgt-St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xcel%20Files\Enron%20Caribbean\QUOTE_David_Fairley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as%20Structuring\Models(NewSKK)\CurvesLis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Sithe%20Transpor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Sithe%20Capacity%20Valuation%20Backu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Curve%20Tabl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Pipeline%20Charge%20Escalato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ummary"/>
      <sheetName val="Mainline to Leach"/>
      <sheetName val="Onshore to Mainline"/>
      <sheetName val="Niagara to Leidy"/>
      <sheetName val="Brazos 133B to TSta. 30"/>
      <sheetName val="Mobile Bay to Colonial"/>
      <sheetName val="Ventura to Chicago"/>
      <sheetName val="Monchy to Chicago"/>
      <sheetName val="NGPLTXOK to Gulf"/>
      <sheetName val="SJ to Valero"/>
      <sheetName val="Ignacio to Bloomfield"/>
      <sheetName val="LaPlata to Pecos"/>
      <sheetName val="Topock to PGECG"/>
      <sheetName val="Topock to PGECG 2"/>
      <sheetName val="Kingsgate to Malin"/>
      <sheetName val="ELSJ to Socal"/>
      <sheetName val="ELSJ to Topock"/>
      <sheetName val="Curves"/>
      <sheetName val="Intracorrel"/>
      <sheetName val="Intercorrel"/>
      <sheetName val="Correlations"/>
      <sheetName val="Data"/>
      <sheetName val="Date Table"/>
    </sheetNames>
    <sheetDataSet>
      <sheetData sheetId="0" refreshError="1"/>
      <sheetData sheetId="1" refreshError="1"/>
      <sheetData sheetId="2" refreshError="1">
        <row r="6">
          <cell r="H6">
            <v>40117</v>
          </cell>
        </row>
        <row r="20">
          <cell r="A20">
            <v>36464</v>
          </cell>
        </row>
        <row r="21">
          <cell r="J21" t="e">
            <v>#NAME?</v>
          </cell>
          <cell r="K21">
            <v>0.10436190718841773</v>
          </cell>
          <cell r="M21">
            <v>0.10543656555012561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 t="str">
            <v/>
          </cell>
          <cell r="M1" t="str">
            <v/>
          </cell>
          <cell r="N1" t="e">
            <v>#VALUE!</v>
          </cell>
          <cell r="O1" t="e">
            <v>#VALUE!</v>
          </cell>
          <cell r="P1" t="e">
            <v>#VALUE!</v>
          </cell>
          <cell r="Q1" t="e">
            <v>#VALUE!</v>
          </cell>
          <cell r="R1" t="e">
            <v>#VALUE!</v>
          </cell>
          <cell r="S1" t="e">
            <v>#VALUE!</v>
          </cell>
          <cell r="T1" t="e">
            <v>#VALUE!</v>
          </cell>
          <cell r="U1" t="e">
            <v>#VALUE!</v>
          </cell>
          <cell r="V1" t="e">
            <v>#VALUE!</v>
          </cell>
          <cell r="W1" t="e">
            <v>#VALUE!</v>
          </cell>
          <cell r="X1" t="str">
            <v/>
          </cell>
          <cell r="Y1" t="str">
            <v/>
          </cell>
          <cell r="Z1" t="str">
            <v/>
          </cell>
          <cell r="AA1" t="str">
            <v/>
          </cell>
          <cell r="AB1" t="str">
            <v/>
          </cell>
          <cell r="AC1" t="str">
            <v/>
          </cell>
          <cell r="AD1" t="str">
            <v/>
          </cell>
          <cell r="AE1" t="str">
            <v/>
          </cell>
          <cell r="AF1" t="str">
            <v/>
          </cell>
          <cell r="AG1" t="str">
            <v/>
          </cell>
          <cell r="AH1" t="str">
            <v/>
          </cell>
          <cell r="AI1" t="str">
            <v/>
          </cell>
          <cell r="AJ1" t="str">
            <v/>
          </cell>
          <cell r="AK1" t="str">
            <v/>
          </cell>
          <cell r="AL1" t="e">
            <v>#VALUE!</v>
          </cell>
          <cell r="AM1" t="e">
            <v>#VALUE!</v>
          </cell>
          <cell r="AN1" t="e">
            <v>#VALUE!</v>
          </cell>
          <cell r="AO1" t="e">
            <v>#VALUE!</v>
          </cell>
          <cell r="AP1" t="e">
            <v>#VALUE!</v>
          </cell>
          <cell r="AQ1" t="e">
            <v>#VALUE!</v>
          </cell>
          <cell r="AR1" t="e">
            <v>#VALUE!</v>
          </cell>
          <cell r="AS1" t="e">
            <v>#VALUE!</v>
          </cell>
          <cell r="AT1" t="e">
            <v>#VALUE!</v>
          </cell>
          <cell r="AU1" t="e">
            <v>#VALUE!</v>
          </cell>
          <cell r="AV1" t="str">
            <v/>
          </cell>
          <cell r="AW1" t="str">
            <v/>
          </cell>
          <cell r="AX1" t="e">
            <v>#VALUE!</v>
          </cell>
          <cell r="AY1" t="e">
            <v>#VALUE!</v>
          </cell>
          <cell r="AZ1" t="e">
            <v>#VALUE!</v>
          </cell>
          <cell r="BA1" t="e">
            <v>#VALUE!</v>
          </cell>
          <cell r="BB1" t="e">
            <v>#VALUE!</v>
          </cell>
          <cell r="BC1" t="e">
            <v>#VALUE!</v>
          </cell>
          <cell r="BD1" t="e">
            <v>#VALUE!</v>
          </cell>
          <cell r="BE1" t="e">
            <v>#VALUE!</v>
          </cell>
          <cell r="BF1" t="e">
            <v>#VALUE!</v>
          </cell>
          <cell r="BG1" t="e">
            <v>#VALUE!</v>
          </cell>
          <cell r="BH1" t="str">
            <v/>
          </cell>
          <cell r="BI1" t="str">
            <v/>
          </cell>
          <cell r="BJ1" t="str">
            <v/>
          </cell>
          <cell r="BK1" t="str">
            <v/>
          </cell>
          <cell r="BL1" t="str">
            <v/>
          </cell>
          <cell r="BM1" t="str">
            <v/>
          </cell>
          <cell r="BN1" t="str">
            <v/>
          </cell>
          <cell r="BO1" t="str">
            <v/>
          </cell>
          <cell r="BP1" t="str">
            <v/>
          </cell>
          <cell r="BQ1" t="str">
            <v/>
          </cell>
          <cell r="BR1" t="str">
            <v/>
          </cell>
          <cell r="BS1" t="str">
            <v/>
          </cell>
          <cell r="BT1" t="str">
            <v/>
          </cell>
          <cell r="BU1" t="str">
            <v/>
          </cell>
          <cell r="BV1" t="str">
            <v/>
          </cell>
          <cell r="BW1" t="str">
            <v/>
          </cell>
          <cell r="BX1" t="str">
            <v/>
          </cell>
          <cell r="BY1" t="str">
            <v/>
          </cell>
          <cell r="BZ1" t="str">
            <v/>
          </cell>
          <cell r="CA1" t="str">
            <v/>
          </cell>
          <cell r="CB1" t="str">
            <v/>
          </cell>
          <cell r="CC1" t="str">
            <v/>
          </cell>
          <cell r="CD1" t="str">
            <v/>
          </cell>
          <cell r="CE1" t="str">
            <v/>
          </cell>
          <cell r="CF1" t="str">
            <v/>
          </cell>
          <cell r="CG1" t="str">
            <v/>
          </cell>
          <cell r="CH1" t="str">
            <v/>
          </cell>
          <cell r="CI1" t="str">
            <v/>
          </cell>
          <cell r="CJ1" t="str">
            <v/>
          </cell>
        </row>
        <row r="4">
          <cell r="A4">
            <v>36465</v>
          </cell>
        </row>
        <row r="5">
          <cell r="A5">
            <v>36495</v>
          </cell>
          <cell r="B5">
            <v>0.99483999999999995</v>
          </cell>
          <cell r="C5">
            <v>0.92220000000000002</v>
          </cell>
          <cell r="D5">
            <v>0.94220999999999999</v>
          </cell>
          <cell r="E5">
            <v>0.92601600000000006</v>
          </cell>
          <cell r="F5">
            <v>0.999</v>
          </cell>
          <cell r="G5">
            <v>0.98379000000000005</v>
          </cell>
          <cell r="H5">
            <v>0.97993590000000008</v>
          </cell>
          <cell r="I5">
            <v>0.86876275000000003</v>
          </cell>
          <cell r="J5">
            <v>0.70074899999999996</v>
          </cell>
          <cell r="K5">
            <v>0.95189999999999997</v>
          </cell>
          <cell r="N5">
            <v>1.0639999999999998</v>
          </cell>
          <cell r="O5">
            <v>1.06</v>
          </cell>
          <cell r="P5">
            <v>1.083</v>
          </cell>
          <cell r="Q5">
            <v>1.0176000000000001</v>
          </cell>
          <cell r="R5">
            <v>1</v>
          </cell>
          <cell r="S5">
            <v>1.929</v>
          </cell>
          <cell r="T5">
            <v>2.0849700000000002</v>
          </cell>
          <cell r="U5">
            <v>1.0043500000000001</v>
          </cell>
          <cell r="V5">
            <v>1.4300999999999999</v>
          </cell>
          <cell r="W5">
            <v>2.004</v>
          </cell>
          <cell r="AL5">
            <v>0.93500000000000005</v>
          </cell>
          <cell r="AM5">
            <v>0.87</v>
          </cell>
          <cell r="AN5">
            <v>0.87</v>
          </cell>
          <cell r="AO5">
            <v>0.91</v>
          </cell>
          <cell r="AP5">
            <v>0.999</v>
          </cell>
          <cell r="AQ5">
            <v>0.51</v>
          </cell>
          <cell r="AR5">
            <v>0.47</v>
          </cell>
          <cell r="AS5">
            <v>0.86499999999999999</v>
          </cell>
          <cell r="AT5">
            <v>0.49</v>
          </cell>
          <cell r="AU5">
            <v>0.47499999999999998</v>
          </cell>
          <cell r="AX5">
            <v>5.0000000000000001E-4</v>
          </cell>
          <cell r="AY5">
            <v>0.03</v>
          </cell>
          <cell r="AZ5">
            <v>5.0000000000000001E-4</v>
          </cell>
          <cell r="BA5">
            <v>1E-4</v>
          </cell>
          <cell r="BB5">
            <v>0</v>
          </cell>
          <cell r="BC5">
            <v>4.0000000000000001E-3</v>
          </cell>
          <cell r="BD5">
            <v>4.9699999999999996E-3</v>
          </cell>
          <cell r="BE5">
            <v>2.15E-3</v>
          </cell>
          <cell r="BF5">
            <v>1E-4</v>
          </cell>
          <cell r="BG5">
            <v>4.0000000000000001E-3</v>
          </cell>
        </row>
        <row r="6">
          <cell r="A6">
            <v>36526</v>
          </cell>
        </row>
        <row r="7">
          <cell r="A7">
            <v>36557</v>
          </cell>
        </row>
        <row r="8">
          <cell r="A8">
            <v>36586</v>
          </cell>
        </row>
        <row r="9">
          <cell r="A9">
            <v>36617</v>
          </cell>
        </row>
        <row r="10">
          <cell r="A10">
            <v>36647</v>
          </cell>
        </row>
        <row r="11">
          <cell r="A11">
            <v>36678</v>
          </cell>
        </row>
        <row r="12">
          <cell r="A12">
            <v>36708</v>
          </cell>
        </row>
        <row r="13">
          <cell r="A13">
            <v>36739</v>
          </cell>
        </row>
        <row r="14">
          <cell r="A14">
            <v>36770</v>
          </cell>
        </row>
        <row r="15">
          <cell r="A15">
            <v>36800</v>
          </cell>
        </row>
        <row r="16">
          <cell r="A16">
            <v>36831</v>
          </cell>
        </row>
        <row r="17">
          <cell r="A17">
            <v>36861</v>
          </cell>
        </row>
        <row r="18">
          <cell r="A18">
            <v>36892</v>
          </cell>
        </row>
        <row r="19">
          <cell r="A19">
            <v>36923</v>
          </cell>
        </row>
        <row r="20">
          <cell r="A20">
            <v>36951</v>
          </cell>
        </row>
        <row r="21">
          <cell r="A21">
            <v>36982</v>
          </cell>
        </row>
        <row r="22">
          <cell r="A22">
            <v>37012</v>
          </cell>
        </row>
        <row r="23">
          <cell r="A23">
            <v>37043</v>
          </cell>
        </row>
        <row r="24">
          <cell r="A24">
            <v>37073</v>
          </cell>
        </row>
        <row r="25">
          <cell r="A25">
            <v>37104</v>
          </cell>
        </row>
        <row r="26">
          <cell r="A26">
            <v>37135</v>
          </cell>
        </row>
        <row r="27">
          <cell r="A27">
            <v>37165</v>
          </cell>
        </row>
        <row r="28">
          <cell r="A28">
            <v>37196</v>
          </cell>
        </row>
        <row r="29">
          <cell r="A29">
            <v>37226</v>
          </cell>
        </row>
        <row r="30">
          <cell r="A30">
            <v>37257</v>
          </cell>
        </row>
        <row r="31">
          <cell r="A31">
            <v>37288</v>
          </cell>
        </row>
        <row r="32">
          <cell r="A32">
            <v>37316</v>
          </cell>
        </row>
        <row r="33">
          <cell r="A33">
            <v>37347</v>
          </cell>
        </row>
        <row r="34">
          <cell r="A34">
            <v>37377</v>
          </cell>
        </row>
        <row r="35">
          <cell r="A35">
            <v>37408</v>
          </cell>
        </row>
        <row r="36">
          <cell r="A36">
            <v>37438</v>
          </cell>
        </row>
        <row r="37">
          <cell r="A37">
            <v>37469</v>
          </cell>
        </row>
        <row r="38">
          <cell r="A38">
            <v>37500</v>
          </cell>
        </row>
        <row r="39">
          <cell r="A39">
            <v>37530</v>
          </cell>
        </row>
        <row r="40">
          <cell r="A40">
            <v>37561</v>
          </cell>
        </row>
        <row r="41">
          <cell r="A41">
            <v>37591</v>
          </cell>
        </row>
        <row r="42">
          <cell r="A42">
            <v>37622</v>
          </cell>
        </row>
        <row r="43">
          <cell r="A43">
            <v>37653</v>
          </cell>
        </row>
        <row r="44">
          <cell r="A44">
            <v>37681</v>
          </cell>
        </row>
        <row r="45">
          <cell r="A45">
            <v>37712</v>
          </cell>
        </row>
        <row r="46">
          <cell r="A46">
            <v>37742</v>
          </cell>
        </row>
        <row r="47">
          <cell r="A47">
            <v>37773</v>
          </cell>
        </row>
        <row r="48">
          <cell r="A48">
            <v>37803</v>
          </cell>
        </row>
        <row r="49">
          <cell r="A49">
            <v>37834</v>
          </cell>
        </row>
        <row r="50">
          <cell r="A50">
            <v>37865</v>
          </cell>
        </row>
        <row r="51">
          <cell r="A51">
            <v>37895</v>
          </cell>
        </row>
        <row r="52">
          <cell r="A52">
            <v>37926</v>
          </cell>
        </row>
        <row r="53">
          <cell r="A53">
            <v>37956</v>
          </cell>
        </row>
        <row r="54">
          <cell r="A54">
            <v>37987</v>
          </cell>
        </row>
        <row r="55">
          <cell r="A55">
            <v>38018</v>
          </cell>
        </row>
        <row r="56">
          <cell r="A56">
            <v>38047</v>
          </cell>
        </row>
        <row r="57">
          <cell r="A57">
            <v>38078</v>
          </cell>
        </row>
        <row r="58">
          <cell r="A58">
            <v>38108</v>
          </cell>
        </row>
        <row r="59">
          <cell r="A59">
            <v>38139</v>
          </cell>
        </row>
        <row r="60">
          <cell r="A60">
            <v>38169</v>
          </cell>
        </row>
        <row r="61">
          <cell r="A61">
            <v>38200</v>
          </cell>
        </row>
        <row r="62">
          <cell r="A62">
            <v>38231</v>
          </cell>
        </row>
        <row r="63">
          <cell r="A63">
            <v>38261</v>
          </cell>
        </row>
        <row r="64">
          <cell r="A64">
            <v>38292</v>
          </cell>
        </row>
        <row r="65">
          <cell r="A65">
            <v>38322</v>
          </cell>
        </row>
        <row r="66">
          <cell r="A66">
            <v>38353</v>
          </cell>
        </row>
        <row r="67">
          <cell r="A67">
            <v>38384</v>
          </cell>
        </row>
        <row r="68">
          <cell r="A68">
            <v>38412</v>
          </cell>
        </row>
        <row r="69">
          <cell r="A69">
            <v>38443</v>
          </cell>
        </row>
        <row r="70">
          <cell r="A70">
            <v>38473</v>
          </cell>
        </row>
        <row r="71">
          <cell r="A71">
            <v>38504</v>
          </cell>
        </row>
        <row r="72">
          <cell r="A72">
            <v>38534</v>
          </cell>
        </row>
        <row r="73">
          <cell r="A73">
            <v>38565</v>
          </cell>
        </row>
        <row r="74">
          <cell r="A74">
            <v>38596</v>
          </cell>
        </row>
        <row r="75">
          <cell r="A75">
            <v>38626</v>
          </cell>
        </row>
        <row r="76">
          <cell r="A76">
            <v>38657</v>
          </cell>
        </row>
        <row r="77">
          <cell r="A77">
            <v>38687</v>
          </cell>
        </row>
        <row r="78">
          <cell r="A78">
            <v>38718</v>
          </cell>
        </row>
        <row r="79">
          <cell r="A79">
            <v>38749</v>
          </cell>
        </row>
        <row r="80">
          <cell r="A80">
            <v>38777</v>
          </cell>
        </row>
        <row r="81">
          <cell r="A81">
            <v>38808</v>
          </cell>
        </row>
        <row r="82">
          <cell r="A82">
            <v>38838</v>
          </cell>
        </row>
        <row r="83">
          <cell r="A83">
            <v>38869</v>
          </cell>
        </row>
        <row r="84">
          <cell r="A84">
            <v>38899</v>
          </cell>
        </row>
        <row r="85">
          <cell r="A85">
            <v>38930</v>
          </cell>
        </row>
        <row r="86">
          <cell r="A86">
            <v>38961</v>
          </cell>
        </row>
        <row r="87">
          <cell r="A87">
            <v>38991</v>
          </cell>
        </row>
        <row r="88">
          <cell r="A88">
            <v>39022</v>
          </cell>
        </row>
        <row r="89">
          <cell r="A89">
            <v>39052</v>
          </cell>
        </row>
        <row r="90">
          <cell r="A90">
            <v>39083</v>
          </cell>
        </row>
        <row r="91">
          <cell r="A91">
            <v>39114</v>
          </cell>
        </row>
        <row r="92">
          <cell r="A92">
            <v>39142</v>
          </cell>
        </row>
        <row r="93">
          <cell r="A93">
            <v>39173</v>
          </cell>
        </row>
        <row r="94">
          <cell r="A94">
            <v>39203</v>
          </cell>
        </row>
        <row r="95">
          <cell r="A95">
            <v>39234</v>
          </cell>
        </row>
        <row r="96">
          <cell r="A96">
            <v>39264</v>
          </cell>
        </row>
        <row r="97">
          <cell r="A97">
            <v>39295</v>
          </cell>
        </row>
        <row r="98">
          <cell r="A98">
            <v>39326</v>
          </cell>
        </row>
        <row r="99">
          <cell r="A99">
            <v>39356</v>
          </cell>
        </row>
        <row r="100">
          <cell r="A100">
            <v>39387</v>
          </cell>
        </row>
        <row r="101">
          <cell r="A101">
            <v>39417</v>
          </cell>
        </row>
        <row r="102">
          <cell r="A102">
            <v>39448</v>
          </cell>
        </row>
        <row r="103">
          <cell r="A103">
            <v>39479</v>
          </cell>
        </row>
        <row r="104">
          <cell r="A104">
            <v>39508</v>
          </cell>
        </row>
        <row r="105">
          <cell r="A105">
            <v>39539</v>
          </cell>
        </row>
        <row r="106">
          <cell r="A106">
            <v>39569</v>
          </cell>
        </row>
        <row r="107">
          <cell r="A107">
            <v>39600</v>
          </cell>
        </row>
        <row r="108">
          <cell r="A108">
            <v>39630</v>
          </cell>
        </row>
        <row r="109">
          <cell r="A109">
            <v>39661</v>
          </cell>
        </row>
        <row r="110">
          <cell r="A110">
            <v>39692</v>
          </cell>
        </row>
        <row r="111">
          <cell r="A111">
            <v>39722</v>
          </cell>
        </row>
        <row r="112">
          <cell r="A112">
            <v>39753</v>
          </cell>
        </row>
        <row r="113">
          <cell r="A113">
            <v>39783</v>
          </cell>
        </row>
        <row r="114">
          <cell r="A114">
            <v>39814</v>
          </cell>
        </row>
        <row r="115">
          <cell r="A115">
            <v>39845</v>
          </cell>
        </row>
        <row r="116">
          <cell r="A116">
            <v>39873</v>
          </cell>
        </row>
        <row r="117">
          <cell r="A117">
            <v>39904</v>
          </cell>
        </row>
        <row r="118">
          <cell r="A118">
            <v>39934</v>
          </cell>
        </row>
        <row r="119">
          <cell r="A119">
            <v>39965</v>
          </cell>
        </row>
        <row r="120">
          <cell r="A120">
            <v>39995</v>
          </cell>
        </row>
        <row r="121">
          <cell r="A121">
            <v>40026</v>
          </cell>
        </row>
        <row r="122">
          <cell r="A122">
            <v>40057</v>
          </cell>
        </row>
        <row r="123">
          <cell r="A123">
            <v>40087</v>
          </cell>
        </row>
        <row r="124">
          <cell r="A124">
            <v>40118</v>
          </cell>
        </row>
        <row r="125">
          <cell r="A125">
            <v>40148</v>
          </cell>
        </row>
        <row r="126">
          <cell r="A126">
            <v>40179</v>
          </cell>
        </row>
        <row r="127">
          <cell r="A127">
            <v>40210</v>
          </cell>
        </row>
        <row r="128">
          <cell r="A128">
            <v>40238</v>
          </cell>
        </row>
        <row r="129">
          <cell r="A129">
            <v>40269</v>
          </cell>
        </row>
        <row r="130">
          <cell r="A130">
            <v>40299</v>
          </cell>
        </row>
        <row r="131">
          <cell r="A131">
            <v>40330</v>
          </cell>
        </row>
        <row r="132">
          <cell r="A132">
            <v>40360</v>
          </cell>
        </row>
        <row r="133">
          <cell r="A133">
            <v>40391</v>
          </cell>
        </row>
        <row r="134">
          <cell r="A134">
            <v>40422</v>
          </cell>
        </row>
        <row r="135">
          <cell r="A135">
            <v>40452</v>
          </cell>
        </row>
        <row r="136">
          <cell r="A136">
            <v>40483</v>
          </cell>
        </row>
        <row r="137">
          <cell r="A137">
            <v>40513</v>
          </cell>
        </row>
        <row r="138">
          <cell r="A138">
            <v>40544</v>
          </cell>
        </row>
        <row r="139">
          <cell r="A139">
            <v>40575</v>
          </cell>
        </row>
        <row r="140">
          <cell r="A140">
            <v>40603</v>
          </cell>
        </row>
        <row r="141">
          <cell r="A141">
            <v>40634</v>
          </cell>
        </row>
        <row r="142">
          <cell r="A142">
            <v>40664</v>
          </cell>
        </row>
        <row r="143">
          <cell r="A143">
            <v>40695</v>
          </cell>
        </row>
        <row r="144">
          <cell r="A144">
            <v>40725</v>
          </cell>
        </row>
        <row r="145">
          <cell r="A145">
            <v>40756</v>
          </cell>
        </row>
        <row r="146">
          <cell r="A146">
            <v>40787</v>
          </cell>
        </row>
        <row r="147">
          <cell r="A147">
            <v>40817</v>
          </cell>
        </row>
        <row r="148">
          <cell r="A148">
            <v>40848</v>
          </cell>
        </row>
        <row r="149">
          <cell r="A149">
            <v>40878</v>
          </cell>
        </row>
        <row r="150">
          <cell r="A150">
            <v>40909</v>
          </cell>
        </row>
        <row r="151">
          <cell r="A151">
            <v>40940</v>
          </cell>
        </row>
        <row r="152">
          <cell r="A152">
            <v>40969</v>
          </cell>
        </row>
        <row r="153">
          <cell r="A153">
            <v>41000</v>
          </cell>
        </row>
        <row r="154">
          <cell r="A154">
            <v>41030</v>
          </cell>
        </row>
        <row r="155">
          <cell r="A155">
            <v>41061</v>
          </cell>
        </row>
        <row r="156">
          <cell r="A156">
            <v>41091</v>
          </cell>
        </row>
        <row r="157">
          <cell r="A157">
            <v>41122</v>
          </cell>
        </row>
        <row r="158">
          <cell r="A158">
            <v>41153</v>
          </cell>
        </row>
        <row r="159">
          <cell r="A159">
            <v>41183</v>
          </cell>
        </row>
        <row r="160">
          <cell r="A160">
            <v>41214</v>
          </cell>
        </row>
        <row r="161">
          <cell r="A161">
            <v>41244</v>
          </cell>
        </row>
        <row r="162">
          <cell r="A162">
            <v>41275</v>
          </cell>
        </row>
        <row r="163">
          <cell r="A163">
            <v>41306</v>
          </cell>
        </row>
        <row r="164">
          <cell r="A164">
            <v>41334</v>
          </cell>
        </row>
        <row r="165">
          <cell r="A165">
            <v>41365</v>
          </cell>
        </row>
        <row r="166">
          <cell r="A166">
            <v>41395</v>
          </cell>
        </row>
        <row r="167">
          <cell r="A167">
            <v>41426</v>
          </cell>
        </row>
        <row r="168">
          <cell r="A168">
            <v>41456</v>
          </cell>
        </row>
        <row r="169">
          <cell r="A169">
            <v>41487</v>
          </cell>
        </row>
        <row r="170">
          <cell r="A170">
            <v>41518</v>
          </cell>
        </row>
        <row r="171">
          <cell r="A171">
            <v>41548</v>
          </cell>
        </row>
        <row r="172">
          <cell r="A172">
            <v>41579</v>
          </cell>
        </row>
        <row r="173">
          <cell r="A173">
            <v>41609</v>
          </cell>
        </row>
        <row r="174">
          <cell r="A174">
            <v>41640</v>
          </cell>
        </row>
        <row r="175">
          <cell r="A175">
            <v>41671</v>
          </cell>
        </row>
        <row r="176">
          <cell r="A176">
            <v>41699</v>
          </cell>
        </row>
        <row r="177">
          <cell r="A177">
            <v>41730</v>
          </cell>
        </row>
        <row r="178">
          <cell r="A178">
            <v>41760</v>
          </cell>
        </row>
        <row r="179">
          <cell r="A179">
            <v>41791</v>
          </cell>
        </row>
        <row r="180">
          <cell r="A180">
            <v>41821</v>
          </cell>
        </row>
        <row r="181">
          <cell r="A181">
            <v>41852</v>
          </cell>
        </row>
        <row r="182">
          <cell r="A182">
            <v>41883</v>
          </cell>
        </row>
        <row r="183">
          <cell r="A183">
            <v>41913</v>
          </cell>
        </row>
        <row r="184">
          <cell r="A184">
            <v>41944</v>
          </cell>
        </row>
        <row r="185">
          <cell r="A185">
            <v>41974</v>
          </cell>
        </row>
        <row r="186">
          <cell r="A186">
            <v>42005</v>
          </cell>
        </row>
        <row r="187">
          <cell r="A187">
            <v>42036</v>
          </cell>
        </row>
        <row r="188">
          <cell r="A188">
            <v>42064</v>
          </cell>
        </row>
        <row r="189">
          <cell r="A189">
            <v>42095</v>
          </cell>
        </row>
        <row r="190">
          <cell r="A190">
            <v>42125</v>
          </cell>
        </row>
        <row r="191">
          <cell r="A191">
            <v>42156</v>
          </cell>
        </row>
        <row r="192">
          <cell r="A192">
            <v>42186</v>
          </cell>
        </row>
        <row r="193">
          <cell r="A193">
            <v>42217</v>
          </cell>
        </row>
        <row r="194">
          <cell r="A194">
            <v>42248</v>
          </cell>
        </row>
        <row r="195">
          <cell r="A195">
            <v>42278</v>
          </cell>
        </row>
        <row r="196">
          <cell r="A196">
            <v>42309</v>
          </cell>
        </row>
        <row r="197">
          <cell r="A197">
            <v>42339</v>
          </cell>
        </row>
        <row r="198">
          <cell r="A198">
            <v>42370</v>
          </cell>
        </row>
        <row r="199">
          <cell r="A199">
            <v>42401</v>
          </cell>
        </row>
        <row r="200">
          <cell r="A200">
            <v>42430</v>
          </cell>
        </row>
        <row r="201">
          <cell r="A201">
            <v>42461</v>
          </cell>
        </row>
        <row r="202">
          <cell r="A202">
            <v>42491</v>
          </cell>
        </row>
        <row r="203">
          <cell r="A203">
            <v>42522</v>
          </cell>
        </row>
        <row r="204">
          <cell r="A204">
            <v>42552</v>
          </cell>
        </row>
        <row r="205">
          <cell r="A205">
            <v>42583</v>
          </cell>
        </row>
        <row r="206">
          <cell r="A206">
            <v>42614</v>
          </cell>
        </row>
        <row r="207">
          <cell r="A207">
            <v>42644</v>
          </cell>
        </row>
        <row r="208">
          <cell r="A208">
            <v>42675</v>
          </cell>
        </row>
        <row r="209">
          <cell r="A209">
            <v>42705</v>
          </cell>
        </row>
        <row r="210">
          <cell r="A210">
            <v>42736</v>
          </cell>
        </row>
        <row r="211">
          <cell r="A211">
            <v>42767</v>
          </cell>
        </row>
        <row r="212">
          <cell r="A212">
            <v>42795</v>
          </cell>
        </row>
        <row r="213">
          <cell r="A213">
            <v>42826</v>
          </cell>
        </row>
        <row r="214">
          <cell r="A214">
            <v>42856</v>
          </cell>
        </row>
        <row r="215">
          <cell r="A215">
            <v>42887</v>
          </cell>
        </row>
        <row r="216">
          <cell r="A216">
            <v>42917</v>
          </cell>
        </row>
        <row r="217">
          <cell r="A217">
            <v>42948</v>
          </cell>
        </row>
        <row r="218">
          <cell r="A218">
            <v>42979</v>
          </cell>
        </row>
        <row r="219">
          <cell r="A219">
            <v>43009</v>
          </cell>
        </row>
        <row r="220">
          <cell r="A220">
            <v>43040</v>
          </cell>
        </row>
        <row r="221">
          <cell r="A221">
            <v>43070</v>
          </cell>
        </row>
        <row r="222">
          <cell r="A222">
            <v>43101</v>
          </cell>
        </row>
        <row r="223">
          <cell r="A223">
            <v>43132</v>
          </cell>
        </row>
        <row r="224">
          <cell r="A224">
            <v>43160</v>
          </cell>
        </row>
        <row r="225">
          <cell r="A225">
            <v>43191</v>
          </cell>
        </row>
        <row r="226">
          <cell r="A226">
            <v>43221</v>
          </cell>
        </row>
        <row r="227">
          <cell r="A227">
            <v>43252</v>
          </cell>
        </row>
        <row r="228">
          <cell r="A228">
            <v>43282</v>
          </cell>
        </row>
        <row r="229">
          <cell r="A229">
            <v>43313</v>
          </cell>
        </row>
        <row r="230">
          <cell r="A230">
            <v>43344</v>
          </cell>
        </row>
        <row r="231">
          <cell r="A231">
            <v>43374</v>
          </cell>
        </row>
        <row r="232">
          <cell r="A232">
            <v>43405</v>
          </cell>
        </row>
        <row r="233">
          <cell r="A233">
            <v>43435</v>
          </cell>
        </row>
        <row r="234">
          <cell r="A234">
            <v>43466</v>
          </cell>
        </row>
        <row r="235">
          <cell r="A235">
            <v>43497</v>
          </cell>
        </row>
        <row r="236">
          <cell r="A236">
            <v>43525</v>
          </cell>
        </row>
        <row r="237">
          <cell r="A237">
            <v>43556</v>
          </cell>
        </row>
        <row r="238">
          <cell r="A238">
            <v>43586</v>
          </cell>
        </row>
        <row r="239">
          <cell r="A239">
            <v>43617</v>
          </cell>
        </row>
        <row r="240">
          <cell r="A240">
            <v>43647</v>
          </cell>
        </row>
        <row r="241">
          <cell r="A241">
            <v>43678</v>
          </cell>
        </row>
        <row r="242">
          <cell r="A242">
            <v>43709</v>
          </cell>
        </row>
        <row r="243">
          <cell r="A243">
            <v>43739</v>
          </cell>
        </row>
        <row r="244">
          <cell r="A244">
            <v>43770</v>
          </cell>
        </row>
        <row r="245">
          <cell r="A245">
            <v>43800</v>
          </cell>
        </row>
        <row r="246">
          <cell r="A246">
            <v>43831</v>
          </cell>
        </row>
        <row r="247">
          <cell r="A247">
            <v>43862</v>
          </cell>
        </row>
        <row r="248">
          <cell r="A248">
            <v>43891</v>
          </cell>
        </row>
        <row r="249">
          <cell r="A249">
            <v>43922</v>
          </cell>
        </row>
        <row r="250">
          <cell r="A250">
            <v>43952</v>
          </cell>
        </row>
        <row r="251">
          <cell r="A251">
            <v>43983</v>
          </cell>
        </row>
        <row r="252">
          <cell r="A252">
            <v>44013</v>
          </cell>
        </row>
        <row r="253">
          <cell r="A253">
            <v>44044</v>
          </cell>
        </row>
        <row r="254">
          <cell r="A254">
            <v>44075</v>
          </cell>
        </row>
        <row r="255">
          <cell r="A255">
            <v>44105</v>
          </cell>
        </row>
        <row r="256">
          <cell r="A256">
            <v>44136</v>
          </cell>
        </row>
        <row r="257">
          <cell r="A257">
            <v>44166</v>
          </cell>
        </row>
        <row r="258">
          <cell r="A258">
            <v>44197</v>
          </cell>
        </row>
        <row r="259">
          <cell r="A259">
            <v>44228</v>
          </cell>
        </row>
        <row r="260">
          <cell r="A260">
            <v>44256</v>
          </cell>
        </row>
        <row r="261">
          <cell r="A261">
            <v>44287</v>
          </cell>
        </row>
        <row r="262">
          <cell r="A262">
            <v>44317</v>
          </cell>
        </row>
        <row r="263">
          <cell r="A263">
            <v>44348</v>
          </cell>
        </row>
        <row r="264">
          <cell r="A264">
            <v>44378</v>
          </cell>
        </row>
        <row r="265">
          <cell r="A265">
            <v>44409</v>
          </cell>
        </row>
        <row r="266">
          <cell r="A266">
            <v>44440</v>
          </cell>
        </row>
        <row r="267">
          <cell r="A267">
            <v>44470</v>
          </cell>
        </row>
        <row r="268">
          <cell r="A268">
            <v>44501</v>
          </cell>
        </row>
        <row r="269">
          <cell r="A269">
            <v>44531</v>
          </cell>
        </row>
        <row r="270">
          <cell r="A270">
            <v>44562</v>
          </cell>
        </row>
        <row r="271">
          <cell r="A271">
            <v>44593</v>
          </cell>
        </row>
        <row r="272">
          <cell r="A272">
            <v>44621</v>
          </cell>
        </row>
        <row r="273">
          <cell r="A273">
            <v>44652</v>
          </cell>
        </row>
        <row r="274">
          <cell r="A274">
            <v>44682</v>
          </cell>
        </row>
        <row r="275">
          <cell r="A275">
            <v>44713</v>
          </cell>
        </row>
        <row r="276">
          <cell r="A276">
            <v>44743</v>
          </cell>
        </row>
        <row r="277">
          <cell r="A277">
            <v>44774</v>
          </cell>
        </row>
        <row r="278">
          <cell r="A278">
            <v>44805</v>
          </cell>
        </row>
        <row r="279">
          <cell r="A279">
            <v>44835</v>
          </cell>
        </row>
        <row r="280">
          <cell r="A280">
            <v>44866</v>
          </cell>
        </row>
        <row r="281">
          <cell r="A281">
            <v>44896</v>
          </cell>
        </row>
        <row r="282">
          <cell r="A282">
            <v>44927</v>
          </cell>
        </row>
        <row r="283">
          <cell r="A283">
            <v>44958</v>
          </cell>
        </row>
        <row r="284">
          <cell r="A284">
            <v>44986</v>
          </cell>
        </row>
        <row r="285">
          <cell r="A285">
            <v>45017</v>
          </cell>
        </row>
        <row r="286">
          <cell r="A286">
            <v>45047</v>
          </cell>
        </row>
        <row r="287">
          <cell r="A287">
            <v>45078</v>
          </cell>
        </row>
        <row r="288">
          <cell r="A288">
            <v>45108</v>
          </cell>
        </row>
        <row r="289">
          <cell r="A289">
            <v>45139</v>
          </cell>
        </row>
        <row r="290">
          <cell r="A290">
            <v>45170</v>
          </cell>
        </row>
        <row r="291">
          <cell r="A291">
            <v>45200</v>
          </cell>
        </row>
        <row r="292">
          <cell r="A292">
            <v>45231</v>
          </cell>
        </row>
        <row r="293">
          <cell r="A293">
            <v>45261</v>
          </cell>
        </row>
        <row r="294">
          <cell r="A294">
            <v>45292</v>
          </cell>
        </row>
        <row r="295">
          <cell r="A295">
            <v>45323</v>
          </cell>
        </row>
        <row r="296">
          <cell r="A296">
            <v>45352</v>
          </cell>
        </row>
        <row r="297">
          <cell r="A297">
            <v>45383</v>
          </cell>
        </row>
        <row r="298">
          <cell r="A298">
            <v>45413</v>
          </cell>
        </row>
        <row r="299">
          <cell r="A299">
            <v>45444</v>
          </cell>
        </row>
        <row r="300">
          <cell r="A300">
            <v>45474</v>
          </cell>
        </row>
        <row r="301">
          <cell r="A301">
            <v>45505</v>
          </cell>
        </row>
        <row r="302">
          <cell r="A302">
            <v>45536</v>
          </cell>
        </row>
        <row r="303">
          <cell r="A303">
            <v>45566</v>
          </cell>
        </row>
        <row r="304">
          <cell r="A304">
            <v>45597</v>
          </cell>
        </row>
        <row r="305">
          <cell r="A305">
            <v>45627</v>
          </cell>
        </row>
      </sheetData>
      <sheetData sheetId="20" refreshError="1">
        <row r="1">
          <cell r="A1">
            <v>0</v>
          </cell>
        </row>
        <row r="2">
          <cell r="A2">
            <v>30</v>
          </cell>
        </row>
        <row r="3">
          <cell r="A3">
            <v>60</v>
          </cell>
          <cell r="B3">
            <v>0.99750000000000005</v>
          </cell>
          <cell r="C3">
            <v>0.99750000000000005</v>
          </cell>
        </row>
        <row r="4">
          <cell r="A4">
            <v>90</v>
          </cell>
        </row>
        <row r="5">
          <cell r="A5">
            <v>120</v>
          </cell>
        </row>
        <row r="6">
          <cell r="A6">
            <v>150</v>
          </cell>
        </row>
        <row r="7">
          <cell r="A7">
            <v>50000000000</v>
          </cell>
        </row>
      </sheetData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ummary"/>
      <sheetName val="Mainline to Leach"/>
      <sheetName val="Onshore to Mainline"/>
      <sheetName val="Niagara to Leidy"/>
      <sheetName val="Brazos 133B to TSta. 30"/>
      <sheetName val="Mobile Bay to Colonial"/>
      <sheetName val="Ventura to Chicago"/>
      <sheetName val="Monchy to Chicago"/>
      <sheetName val="NGPLTXOK to Gulf"/>
      <sheetName val="SJ to Valero"/>
      <sheetName val="Ignacio to Bloomfield"/>
      <sheetName val="LaPlata to Pecos"/>
      <sheetName val="Topock to PGECG"/>
      <sheetName val="Topock to PGECG 2"/>
      <sheetName val="Kingsgate to Malin"/>
      <sheetName val="ELSJ to Socal"/>
      <sheetName val="ELSJ to Topock"/>
      <sheetName val="Curves"/>
      <sheetName val="Intracorrel"/>
      <sheetName val="Intercorrel"/>
      <sheetName val="Correlations"/>
      <sheetName val="Data"/>
      <sheetName val="DateTable"/>
      <sheetName val="POS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4">
          <cell r="D4">
            <v>0</v>
          </cell>
          <cell r="F4">
            <v>36373</v>
          </cell>
        </row>
        <row r="5">
          <cell r="D5">
            <v>1</v>
          </cell>
          <cell r="F5">
            <v>36404</v>
          </cell>
        </row>
        <row r="6">
          <cell r="D6">
            <v>2</v>
          </cell>
          <cell r="F6">
            <v>36434</v>
          </cell>
        </row>
        <row r="7">
          <cell r="D7">
            <v>1</v>
          </cell>
          <cell r="F7">
            <v>36465</v>
          </cell>
        </row>
        <row r="8">
          <cell r="D8">
            <v>4</v>
          </cell>
          <cell r="F8">
            <v>36495</v>
          </cell>
        </row>
        <row r="9">
          <cell r="D9">
            <v>4</v>
          </cell>
          <cell r="F9">
            <v>36526</v>
          </cell>
        </row>
        <row r="10">
          <cell r="D10">
            <v>5</v>
          </cell>
          <cell r="F10">
            <v>36557</v>
          </cell>
        </row>
        <row r="11">
          <cell r="D11">
            <v>5</v>
          </cell>
          <cell r="F11">
            <v>36586</v>
          </cell>
        </row>
        <row r="12">
          <cell r="D12">
            <v>5</v>
          </cell>
          <cell r="F12">
            <v>36617</v>
          </cell>
        </row>
        <row r="13">
          <cell r="D13">
            <v>6</v>
          </cell>
          <cell r="F13">
            <v>36647</v>
          </cell>
        </row>
        <row r="14">
          <cell r="D14">
            <v>6</v>
          </cell>
          <cell r="F14">
            <v>36678</v>
          </cell>
        </row>
        <row r="15">
          <cell r="D15">
            <v>6</v>
          </cell>
          <cell r="F15">
            <v>36708</v>
          </cell>
        </row>
        <row r="16">
          <cell r="D16">
            <v>6</v>
          </cell>
          <cell r="F16">
            <v>36739</v>
          </cell>
        </row>
        <row r="17">
          <cell r="D17">
            <v>6</v>
          </cell>
          <cell r="F17">
            <v>36770</v>
          </cell>
        </row>
        <row r="18">
          <cell r="D18">
            <v>6</v>
          </cell>
          <cell r="F18">
            <v>36800</v>
          </cell>
        </row>
        <row r="19">
          <cell r="D19">
            <v>6</v>
          </cell>
          <cell r="F19">
            <v>36831</v>
          </cell>
        </row>
        <row r="20">
          <cell r="D20">
            <v>6</v>
          </cell>
          <cell r="F20">
            <v>36861</v>
          </cell>
        </row>
        <row r="21">
          <cell r="D21">
            <v>6</v>
          </cell>
          <cell r="F21">
            <v>36892</v>
          </cell>
        </row>
        <row r="22">
          <cell r="D22">
            <v>7</v>
          </cell>
          <cell r="F22">
            <v>36923</v>
          </cell>
        </row>
        <row r="23">
          <cell r="D23">
            <v>7</v>
          </cell>
          <cell r="F23">
            <v>36951</v>
          </cell>
        </row>
        <row r="24">
          <cell r="D24">
            <v>7</v>
          </cell>
          <cell r="F24">
            <v>36982</v>
          </cell>
        </row>
        <row r="25">
          <cell r="D25">
            <v>7</v>
          </cell>
          <cell r="F25">
            <v>37012</v>
          </cell>
        </row>
        <row r="26">
          <cell r="D26">
            <v>7</v>
          </cell>
          <cell r="F26">
            <v>37043</v>
          </cell>
        </row>
        <row r="27">
          <cell r="D27">
            <v>7</v>
          </cell>
          <cell r="F27">
            <v>37073</v>
          </cell>
        </row>
        <row r="28">
          <cell r="D28">
            <v>7</v>
          </cell>
          <cell r="F28">
            <v>37104</v>
          </cell>
        </row>
        <row r="29">
          <cell r="D29">
            <v>7</v>
          </cell>
          <cell r="F29">
            <v>37135</v>
          </cell>
        </row>
        <row r="30">
          <cell r="D30">
            <v>7</v>
          </cell>
          <cell r="F30">
            <v>37165</v>
          </cell>
        </row>
        <row r="31">
          <cell r="D31">
            <v>7</v>
          </cell>
          <cell r="F31">
            <v>37196</v>
          </cell>
        </row>
        <row r="32">
          <cell r="D32">
            <v>7</v>
          </cell>
          <cell r="F32">
            <v>37226</v>
          </cell>
        </row>
        <row r="33">
          <cell r="D33">
            <v>7</v>
          </cell>
          <cell r="F33">
            <v>37257</v>
          </cell>
        </row>
        <row r="34">
          <cell r="D34">
            <v>8</v>
          </cell>
          <cell r="F34">
            <v>37288</v>
          </cell>
        </row>
        <row r="35">
          <cell r="D35">
            <v>8</v>
          </cell>
          <cell r="F35">
            <v>37316</v>
          </cell>
        </row>
        <row r="36">
          <cell r="D36">
            <v>8</v>
          </cell>
          <cell r="F36">
            <v>37347</v>
          </cell>
        </row>
        <row r="37">
          <cell r="D37">
            <v>8</v>
          </cell>
          <cell r="F37">
            <v>37377</v>
          </cell>
        </row>
        <row r="38">
          <cell r="D38">
            <v>8</v>
          </cell>
          <cell r="F38">
            <v>37408</v>
          </cell>
        </row>
        <row r="39">
          <cell r="D39">
            <v>8</v>
          </cell>
          <cell r="F39">
            <v>37438</v>
          </cell>
        </row>
        <row r="40">
          <cell r="D40">
            <v>8</v>
          </cell>
          <cell r="F40">
            <v>37469</v>
          </cell>
        </row>
        <row r="41">
          <cell r="D41">
            <v>8</v>
          </cell>
          <cell r="F41">
            <v>37500</v>
          </cell>
        </row>
        <row r="42">
          <cell r="D42">
            <v>8</v>
          </cell>
          <cell r="F42">
            <v>37530</v>
          </cell>
        </row>
        <row r="43">
          <cell r="D43">
            <v>8</v>
          </cell>
          <cell r="F43">
            <v>37561</v>
          </cell>
        </row>
        <row r="44">
          <cell r="D44">
            <v>8</v>
          </cell>
          <cell r="F44">
            <v>37591</v>
          </cell>
        </row>
        <row r="45">
          <cell r="D45">
            <v>8</v>
          </cell>
          <cell r="F45">
            <v>37622</v>
          </cell>
        </row>
        <row r="46">
          <cell r="D46">
            <v>9</v>
          </cell>
          <cell r="F46">
            <v>37653</v>
          </cell>
        </row>
        <row r="47">
          <cell r="D47">
            <v>9</v>
          </cell>
          <cell r="F47">
            <v>37681</v>
          </cell>
        </row>
        <row r="48">
          <cell r="D48">
            <v>9</v>
          </cell>
          <cell r="F48">
            <v>37712</v>
          </cell>
        </row>
        <row r="49">
          <cell r="D49">
            <v>9</v>
          </cell>
          <cell r="F49">
            <v>37742</v>
          </cell>
        </row>
        <row r="50">
          <cell r="D50">
            <v>9</v>
          </cell>
          <cell r="F50">
            <v>37773</v>
          </cell>
        </row>
        <row r="51">
          <cell r="D51">
            <v>9</v>
          </cell>
          <cell r="F51">
            <v>37803</v>
          </cell>
        </row>
        <row r="52">
          <cell r="D52">
            <v>9</v>
          </cell>
          <cell r="F52">
            <v>37834</v>
          </cell>
        </row>
        <row r="53">
          <cell r="D53">
            <v>9</v>
          </cell>
          <cell r="F53">
            <v>37865</v>
          </cell>
        </row>
        <row r="54">
          <cell r="D54">
            <v>9</v>
          </cell>
          <cell r="F54">
            <v>37895</v>
          </cell>
        </row>
        <row r="55">
          <cell r="D55">
            <v>9</v>
          </cell>
          <cell r="F55">
            <v>37926</v>
          </cell>
        </row>
        <row r="56">
          <cell r="D56">
            <v>9</v>
          </cell>
          <cell r="F56">
            <v>37956</v>
          </cell>
        </row>
        <row r="57">
          <cell r="D57">
            <v>9</v>
          </cell>
          <cell r="F57">
            <v>37987</v>
          </cell>
        </row>
        <row r="58">
          <cell r="D58">
            <v>10</v>
          </cell>
          <cell r="F58">
            <v>38018</v>
          </cell>
        </row>
        <row r="59">
          <cell r="D59">
            <v>10</v>
          </cell>
          <cell r="F59">
            <v>38047</v>
          </cell>
        </row>
        <row r="60">
          <cell r="D60">
            <v>10</v>
          </cell>
          <cell r="F60">
            <v>38078</v>
          </cell>
        </row>
        <row r="61">
          <cell r="D61">
            <v>10</v>
          </cell>
          <cell r="F61">
            <v>38108</v>
          </cell>
        </row>
        <row r="62">
          <cell r="D62">
            <v>10</v>
          </cell>
          <cell r="F62">
            <v>38139</v>
          </cell>
        </row>
        <row r="63">
          <cell r="D63">
            <v>10</v>
          </cell>
          <cell r="F63">
            <v>38169</v>
          </cell>
        </row>
        <row r="64">
          <cell r="D64">
            <v>10</v>
          </cell>
          <cell r="F64">
            <v>38200</v>
          </cell>
        </row>
        <row r="65">
          <cell r="D65">
            <v>10</v>
          </cell>
          <cell r="F65">
            <v>38231</v>
          </cell>
        </row>
        <row r="66">
          <cell r="D66">
            <v>10</v>
          </cell>
          <cell r="F66">
            <v>38261</v>
          </cell>
        </row>
        <row r="67">
          <cell r="D67">
            <v>10</v>
          </cell>
          <cell r="F67">
            <v>38292</v>
          </cell>
        </row>
        <row r="68">
          <cell r="D68">
            <v>10</v>
          </cell>
          <cell r="F68">
            <v>38322</v>
          </cell>
        </row>
        <row r="69">
          <cell r="D69">
            <v>10</v>
          </cell>
          <cell r="F69">
            <v>38353</v>
          </cell>
        </row>
        <row r="70">
          <cell r="D70">
            <v>11</v>
          </cell>
          <cell r="F70">
            <v>38384</v>
          </cell>
        </row>
        <row r="71">
          <cell r="D71">
            <v>11</v>
          </cell>
          <cell r="F71">
            <v>38412</v>
          </cell>
        </row>
        <row r="72">
          <cell r="D72">
            <v>11</v>
          </cell>
          <cell r="F72">
            <v>38443</v>
          </cell>
        </row>
        <row r="73">
          <cell r="D73">
            <v>11</v>
          </cell>
          <cell r="F73">
            <v>38473</v>
          </cell>
        </row>
        <row r="74">
          <cell r="D74">
            <v>11</v>
          </cell>
          <cell r="F74">
            <v>38504</v>
          </cell>
        </row>
        <row r="75">
          <cell r="D75">
            <v>11</v>
          </cell>
          <cell r="F75">
            <v>38534</v>
          </cell>
        </row>
        <row r="76">
          <cell r="D76">
            <v>11</v>
          </cell>
          <cell r="F76">
            <v>38565</v>
          </cell>
        </row>
        <row r="77">
          <cell r="D77">
            <v>11</v>
          </cell>
          <cell r="F77">
            <v>38596</v>
          </cell>
        </row>
        <row r="78">
          <cell r="D78">
            <v>11</v>
          </cell>
          <cell r="F78">
            <v>38626</v>
          </cell>
        </row>
        <row r="79">
          <cell r="D79">
            <v>11</v>
          </cell>
          <cell r="F79">
            <v>38657</v>
          </cell>
        </row>
        <row r="80">
          <cell r="D80">
            <v>11</v>
          </cell>
          <cell r="F80">
            <v>38687</v>
          </cell>
        </row>
        <row r="81">
          <cell r="D81">
            <v>11</v>
          </cell>
          <cell r="F81">
            <v>38718</v>
          </cell>
        </row>
        <row r="82">
          <cell r="D82">
            <v>12</v>
          </cell>
          <cell r="F82">
            <v>38749</v>
          </cell>
        </row>
        <row r="83">
          <cell r="D83">
            <v>12</v>
          </cell>
          <cell r="F83">
            <v>38777</v>
          </cell>
        </row>
        <row r="84">
          <cell r="D84">
            <v>12</v>
          </cell>
          <cell r="F84">
            <v>38808</v>
          </cell>
        </row>
        <row r="85">
          <cell r="D85">
            <v>12</v>
          </cell>
          <cell r="F85">
            <v>38838</v>
          </cell>
        </row>
        <row r="86">
          <cell r="D86">
            <v>12</v>
          </cell>
          <cell r="F86">
            <v>38869</v>
          </cell>
        </row>
        <row r="87">
          <cell r="D87">
            <v>12</v>
          </cell>
          <cell r="F87">
            <v>38899</v>
          </cell>
        </row>
        <row r="88">
          <cell r="D88">
            <v>12</v>
          </cell>
          <cell r="F88">
            <v>38930</v>
          </cell>
        </row>
        <row r="89">
          <cell r="D89">
            <v>12</v>
          </cell>
          <cell r="F89">
            <v>38961</v>
          </cell>
        </row>
        <row r="90">
          <cell r="D90">
            <v>12</v>
          </cell>
          <cell r="F90">
            <v>38991</v>
          </cell>
        </row>
        <row r="91">
          <cell r="D91">
            <v>12</v>
          </cell>
          <cell r="F91">
            <v>39022</v>
          </cell>
        </row>
        <row r="92">
          <cell r="D92">
            <v>12</v>
          </cell>
          <cell r="F92">
            <v>39052</v>
          </cell>
        </row>
        <row r="93">
          <cell r="D93">
            <v>12</v>
          </cell>
          <cell r="F93">
            <v>39083</v>
          </cell>
        </row>
        <row r="94">
          <cell r="D94">
            <v>12</v>
          </cell>
          <cell r="F94">
            <v>39114</v>
          </cell>
        </row>
        <row r="95">
          <cell r="D95">
            <v>12</v>
          </cell>
          <cell r="F95">
            <v>39142</v>
          </cell>
        </row>
        <row r="96">
          <cell r="D96">
            <v>12</v>
          </cell>
          <cell r="F96">
            <v>39173</v>
          </cell>
        </row>
        <row r="97">
          <cell r="D97">
            <v>12</v>
          </cell>
          <cell r="F97">
            <v>39203</v>
          </cell>
        </row>
        <row r="98">
          <cell r="D98">
            <v>12</v>
          </cell>
          <cell r="F98">
            <v>39234</v>
          </cell>
        </row>
        <row r="99">
          <cell r="D99">
            <v>12</v>
          </cell>
          <cell r="F99">
            <v>39264</v>
          </cell>
        </row>
        <row r="100">
          <cell r="D100">
            <v>12</v>
          </cell>
          <cell r="F100">
            <v>39295</v>
          </cell>
        </row>
        <row r="101">
          <cell r="D101">
            <v>12</v>
          </cell>
          <cell r="F101">
            <v>39326</v>
          </cell>
        </row>
        <row r="102">
          <cell r="D102">
            <v>12</v>
          </cell>
          <cell r="F102">
            <v>39356</v>
          </cell>
        </row>
        <row r="103">
          <cell r="D103">
            <v>12</v>
          </cell>
          <cell r="F103">
            <v>39387</v>
          </cell>
        </row>
        <row r="104">
          <cell r="D104">
            <v>12</v>
          </cell>
          <cell r="F104">
            <v>39417</v>
          </cell>
        </row>
        <row r="105">
          <cell r="D105">
            <v>12</v>
          </cell>
          <cell r="F105">
            <v>39448</v>
          </cell>
        </row>
        <row r="106">
          <cell r="D106">
            <v>12</v>
          </cell>
          <cell r="F106">
            <v>39479</v>
          </cell>
        </row>
        <row r="107">
          <cell r="D107">
            <v>12</v>
          </cell>
          <cell r="F107">
            <v>39508</v>
          </cell>
        </row>
        <row r="108">
          <cell r="D108">
            <v>12</v>
          </cell>
          <cell r="F108">
            <v>39539</v>
          </cell>
        </row>
        <row r="109">
          <cell r="D109">
            <v>12</v>
          </cell>
          <cell r="F109">
            <v>39569</v>
          </cell>
        </row>
        <row r="110">
          <cell r="D110">
            <v>12</v>
          </cell>
          <cell r="F110">
            <v>39600</v>
          </cell>
        </row>
        <row r="111">
          <cell r="D111">
            <v>12</v>
          </cell>
          <cell r="F111">
            <v>39630</v>
          </cell>
        </row>
        <row r="112">
          <cell r="D112">
            <v>12</v>
          </cell>
          <cell r="F112">
            <v>39661</v>
          </cell>
        </row>
        <row r="113">
          <cell r="D113">
            <v>12</v>
          </cell>
          <cell r="F113">
            <v>39692</v>
          </cell>
        </row>
        <row r="114">
          <cell r="D114">
            <v>12</v>
          </cell>
          <cell r="F114">
            <v>39722</v>
          </cell>
        </row>
        <row r="115">
          <cell r="D115">
            <v>12</v>
          </cell>
          <cell r="F115">
            <v>39753</v>
          </cell>
        </row>
        <row r="116">
          <cell r="D116">
            <v>12</v>
          </cell>
          <cell r="F116">
            <v>39783</v>
          </cell>
        </row>
        <row r="117">
          <cell r="D117">
            <v>12</v>
          </cell>
          <cell r="F117">
            <v>39814</v>
          </cell>
        </row>
        <row r="118">
          <cell r="D118">
            <v>12</v>
          </cell>
          <cell r="F118">
            <v>39845</v>
          </cell>
        </row>
        <row r="119">
          <cell r="D119">
            <v>12</v>
          </cell>
          <cell r="F119">
            <v>39873</v>
          </cell>
        </row>
        <row r="120">
          <cell r="D120">
            <v>12</v>
          </cell>
          <cell r="F120">
            <v>39904</v>
          </cell>
        </row>
        <row r="121">
          <cell r="D121">
            <v>12</v>
          </cell>
          <cell r="F121">
            <v>39934</v>
          </cell>
        </row>
        <row r="122">
          <cell r="D122">
            <v>12</v>
          </cell>
          <cell r="F122">
            <v>39965</v>
          </cell>
        </row>
        <row r="123">
          <cell r="D123">
            <v>12</v>
          </cell>
          <cell r="F123">
            <v>39995</v>
          </cell>
        </row>
        <row r="124">
          <cell r="D124">
            <v>12</v>
          </cell>
          <cell r="F124">
            <v>40026</v>
          </cell>
        </row>
        <row r="125">
          <cell r="D125">
            <v>12</v>
          </cell>
          <cell r="F125">
            <v>40057</v>
          </cell>
        </row>
        <row r="126">
          <cell r="D126">
            <v>12</v>
          </cell>
          <cell r="F126">
            <v>40087</v>
          </cell>
        </row>
        <row r="127">
          <cell r="D127">
            <v>12</v>
          </cell>
          <cell r="F127">
            <v>40118</v>
          </cell>
        </row>
        <row r="128">
          <cell r="D128">
            <v>12</v>
          </cell>
          <cell r="F128">
            <v>40148</v>
          </cell>
        </row>
        <row r="129">
          <cell r="D129">
            <v>12</v>
          </cell>
          <cell r="F129">
            <v>40179</v>
          </cell>
        </row>
        <row r="130">
          <cell r="D130">
            <v>12</v>
          </cell>
          <cell r="F130">
            <v>40210</v>
          </cell>
        </row>
        <row r="131">
          <cell r="D131">
            <v>12</v>
          </cell>
          <cell r="F131">
            <v>40238</v>
          </cell>
        </row>
        <row r="132">
          <cell r="D132">
            <v>12</v>
          </cell>
          <cell r="F132">
            <v>40269</v>
          </cell>
        </row>
        <row r="133">
          <cell r="D133">
            <v>12</v>
          </cell>
          <cell r="F133">
            <v>40299</v>
          </cell>
        </row>
        <row r="134">
          <cell r="D134">
            <v>12</v>
          </cell>
          <cell r="F134">
            <v>40330</v>
          </cell>
        </row>
        <row r="135">
          <cell r="D135">
            <v>12</v>
          </cell>
          <cell r="F135">
            <v>40360</v>
          </cell>
        </row>
        <row r="136">
          <cell r="D136">
            <v>12</v>
          </cell>
          <cell r="F136">
            <v>40391</v>
          </cell>
        </row>
        <row r="137">
          <cell r="D137">
            <v>12</v>
          </cell>
          <cell r="F137">
            <v>40422</v>
          </cell>
        </row>
        <row r="138">
          <cell r="D138">
            <v>12</v>
          </cell>
          <cell r="F138">
            <v>40452</v>
          </cell>
        </row>
        <row r="139">
          <cell r="D139">
            <v>12</v>
          </cell>
          <cell r="F139">
            <v>40483</v>
          </cell>
        </row>
        <row r="140">
          <cell r="D140">
            <v>12</v>
          </cell>
          <cell r="F140">
            <v>40513</v>
          </cell>
        </row>
        <row r="141">
          <cell r="D141">
            <v>13</v>
          </cell>
          <cell r="F141">
            <v>40544</v>
          </cell>
        </row>
        <row r="142">
          <cell r="D142">
            <v>13</v>
          </cell>
          <cell r="F142">
            <v>40575</v>
          </cell>
        </row>
        <row r="143">
          <cell r="D143">
            <v>13</v>
          </cell>
          <cell r="F143">
            <v>40603</v>
          </cell>
        </row>
        <row r="144">
          <cell r="D144">
            <v>13</v>
          </cell>
          <cell r="F144">
            <v>40634</v>
          </cell>
        </row>
        <row r="145">
          <cell r="D145">
            <v>13</v>
          </cell>
          <cell r="F145">
            <v>40664</v>
          </cell>
        </row>
        <row r="146">
          <cell r="D146">
            <v>13</v>
          </cell>
          <cell r="F146">
            <v>40695</v>
          </cell>
        </row>
        <row r="147">
          <cell r="D147">
            <v>13</v>
          </cell>
          <cell r="F147">
            <v>40725</v>
          </cell>
        </row>
        <row r="148">
          <cell r="D148">
            <v>13</v>
          </cell>
          <cell r="F148">
            <v>40756</v>
          </cell>
        </row>
        <row r="149">
          <cell r="D149">
            <v>13</v>
          </cell>
          <cell r="F149">
            <v>40787</v>
          </cell>
        </row>
        <row r="150">
          <cell r="D150">
            <v>13</v>
          </cell>
          <cell r="F150">
            <v>40817</v>
          </cell>
        </row>
        <row r="151">
          <cell r="D151">
            <v>13</v>
          </cell>
          <cell r="F151">
            <v>40848</v>
          </cell>
        </row>
        <row r="152">
          <cell r="D152">
            <v>13</v>
          </cell>
          <cell r="F152">
            <v>40878</v>
          </cell>
        </row>
        <row r="153">
          <cell r="D153">
            <v>13</v>
          </cell>
          <cell r="F153">
            <v>40909</v>
          </cell>
        </row>
        <row r="154">
          <cell r="D154">
            <v>13</v>
          </cell>
          <cell r="F154">
            <v>40940</v>
          </cell>
        </row>
        <row r="155">
          <cell r="D155">
            <v>13</v>
          </cell>
          <cell r="F155">
            <v>40969</v>
          </cell>
        </row>
        <row r="156">
          <cell r="D156">
            <v>13</v>
          </cell>
          <cell r="F156">
            <v>41000</v>
          </cell>
        </row>
        <row r="157">
          <cell r="D157">
            <v>13</v>
          </cell>
          <cell r="F157">
            <v>41030</v>
          </cell>
        </row>
        <row r="158">
          <cell r="D158">
            <v>13</v>
          </cell>
          <cell r="F158">
            <v>41061</v>
          </cell>
        </row>
        <row r="159">
          <cell r="D159">
            <v>13</v>
          </cell>
          <cell r="F159">
            <v>41091</v>
          </cell>
        </row>
        <row r="160">
          <cell r="D160">
            <v>13</v>
          </cell>
          <cell r="F160">
            <v>41122</v>
          </cell>
        </row>
        <row r="161">
          <cell r="D161">
            <v>13</v>
          </cell>
          <cell r="F161">
            <v>41153</v>
          </cell>
        </row>
        <row r="162">
          <cell r="D162">
            <v>13</v>
          </cell>
          <cell r="F162">
            <v>41183</v>
          </cell>
        </row>
        <row r="163">
          <cell r="D163">
            <v>13</v>
          </cell>
          <cell r="F163">
            <v>41214</v>
          </cell>
        </row>
        <row r="164">
          <cell r="D164">
            <v>13</v>
          </cell>
          <cell r="F164">
            <v>41244</v>
          </cell>
        </row>
        <row r="165">
          <cell r="D165">
            <v>13</v>
          </cell>
          <cell r="F165">
            <v>41275</v>
          </cell>
        </row>
        <row r="166">
          <cell r="D166">
            <v>13</v>
          </cell>
          <cell r="F166">
            <v>41306</v>
          </cell>
        </row>
        <row r="167">
          <cell r="D167">
            <v>13</v>
          </cell>
          <cell r="F167">
            <v>41334</v>
          </cell>
        </row>
        <row r="168">
          <cell r="D168">
            <v>13</v>
          </cell>
          <cell r="F168">
            <v>41365</v>
          </cell>
        </row>
        <row r="169">
          <cell r="D169">
            <v>13</v>
          </cell>
          <cell r="F169">
            <v>41395</v>
          </cell>
        </row>
        <row r="170">
          <cell r="D170">
            <v>13</v>
          </cell>
          <cell r="F170">
            <v>41426</v>
          </cell>
        </row>
        <row r="171">
          <cell r="D171">
            <v>13</v>
          </cell>
          <cell r="F171">
            <v>41456</v>
          </cell>
        </row>
        <row r="172">
          <cell r="D172">
            <v>13</v>
          </cell>
          <cell r="F172">
            <v>41487</v>
          </cell>
        </row>
        <row r="173">
          <cell r="D173">
            <v>13</v>
          </cell>
          <cell r="F173">
            <v>41518</v>
          </cell>
        </row>
        <row r="174">
          <cell r="D174">
            <v>13</v>
          </cell>
          <cell r="F174">
            <v>41548</v>
          </cell>
        </row>
        <row r="175">
          <cell r="D175">
            <v>13</v>
          </cell>
          <cell r="F175">
            <v>41579</v>
          </cell>
        </row>
        <row r="176">
          <cell r="D176">
            <v>13</v>
          </cell>
          <cell r="F176">
            <v>41609</v>
          </cell>
        </row>
        <row r="177">
          <cell r="D177">
            <v>13</v>
          </cell>
          <cell r="F177">
            <v>41640</v>
          </cell>
        </row>
        <row r="178">
          <cell r="D178">
            <v>13</v>
          </cell>
          <cell r="F178">
            <v>41671</v>
          </cell>
        </row>
        <row r="179">
          <cell r="D179">
            <v>13</v>
          </cell>
          <cell r="F179">
            <v>41699</v>
          </cell>
        </row>
        <row r="180">
          <cell r="D180">
            <v>13</v>
          </cell>
          <cell r="F180">
            <v>41730</v>
          </cell>
        </row>
        <row r="181">
          <cell r="D181">
            <v>13</v>
          </cell>
          <cell r="F181">
            <v>41760</v>
          </cell>
        </row>
        <row r="182">
          <cell r="D182">
            <v>13</v>
          </cell>
          <cell r="F182">
            <v>41791</v>
          </cell>
        </row>
        <row r="183">
          <cell r="D183">
            <v>13</v>
          </cell>
          <cell r="F183">
            <v>41821</v>
          </cell>
        </row>
        <row r="184">
          <cell r="D184">
            <v>13</v>
          </cell>
          <cell r="F184">
            <v>41852</v>
          </cell>
        </row>
        <row r="185">
          <cell r="D185">
            <v>13</v>
          </cell>
          <cell r="F185">
            <v>41883</v>
          </cell>
        </row>
        <row r="186">
          <cell r="D186">
            <v>13</v>
          </cell>
          <cell r="F186">
            <v>41913</v>
          </cell>
        </row>
        <row r="187">
          <cell r="D187">
            <v>13</v>
          </cell>
          <cell r="F187">
            <v>41944</v>
          </cell>
        </row>
        <row r="188">
          <cell r="D188">
            <v>13</v>
          </cell>
          <cell r="F188">
            <v>41974</v>
          </cell>
        </row>
        <row r="189">
          <cell r="D189">
            <v>13</v>
          </cell>
          <cell r="F189">
            <v>42005</v>
          </cell>
        </row>
        <row r="190">
          <cell r="D190">
            <v>13</v>
          </cell>
          <cell r="F190">
            <v>42036</v>
          </cell>
        </row>
        <row r="191">
          <cell r="D191">
            <v>13</v>
          </cell>
          <cell r="F191">
            <v>42064</v>
          </cell>
        </row>
        <row r="192">
          <cell r="D192">
            <v>13</v>
          </cell>
          <cell r="F192">
            <v>42095</v>
          </cell>
        </row>
        <row r="193">
          <cell r="D193">
            <v>13</v>
          </cell>
          <cell r="F193">
            <v>42125</v>
          </cell>
        </row>
        <row r="194">
          <cell r="D194">
            <v>13</v>
          </cell>
          <cell r="F194">
            <v>42156</v>
          </cell>
        </row>
        <row r="195">
          <cell r="D195">
            <v>13</v>
          </cell>
          <cell r="F195">
            <v>42186</v>
          </cell>
        </row>
        <row r="196">
          <cell r="D196">
            <v>13</v>
          </cell>
          <cell r="F196">
            <v>42217</v>
          </cell>
        </row>
        <row r="197">
          <cell r="D197">
            <v>13</v>
          </cell>
          <cell r="F197">
            <v>42248</v>
          </cell>
        </row>
        <row r="198">
          <cell r="D198">
            <v>13</v>
          </cell>
          <cell r="F198">
            <v>42278</v>
          </cell>
        </row>
        <row r="199">
          <cell r="D199">
            <v>13</v>
          </cell>
          <cell r="F199">
            <v>42309</v>
          </cell>
        </row>
        <row r="200">
          <cell r="D200">
            <v>13</v>
          </cell>
          <cell r="F200">
            <v>42339</v>
          </cell>
        </row>
        <row r="201">
          <cell r="D201">
            <v>14</v>
          </cell>
          <cell r="F201">
            <v>42370</v>
          </cell>
        </row>
        <row r="202">
          <cell r="D202">
            <v>14</v>
          </cell>
          <cell r="F202">
            <v>42401</v>
          </cell>
        </row>
        <row r="203">
          <cell r="D203">
            <v>14</v>
          </cell>
          <cell r="F203">
            <v>42430</v>
          </cell>
        </row>
        <row r="204">
          <cell r="D204">
            <v>14</v>
          </cell>
          <cell r="F204">
            <v>42461</v>
          </cell>
        </row>
        <row r="205">
          <cell r="D205">
            <v>14</v>
          </cell>
          <cell r="F205">
            <v>42491</v>
          </cell>
        </row>
        <row r="206">
          <cell r="D206">
            <v>14</v>
          </cell>
          <cell r="F206">
            <v>42522</v>
          </cell>
        </row>
        <row r="207">
          <cell r="D207">
            <v>14</v>
          </cell>
          <cell r="F207">
            <v>42552</v>
          </cell>
        </row>
        <row r="208">
          <cell r="D208">
            <v>14</v>
          </cell>
          <cell r="F208">
            <v>42583</v>
          </cell>
        </row>
        <row r="209">
          <cell r="D209">
            <v>14</v>
          </cell>
          <cell r="F209">
            <v>42614</v>
          </cell>
        </row>
        <row r="210">
          <cell r="D210">
            <v>14</v>
          </cell>
          <cell r="F210">
            <v>42644</v>
          </cell>
        </row>
        <row r="211">
          <cell r="D211">
            <v>14</v>
          </cell>
          <cell r="F211">
            <v>42675</v>
          </cell>
        </row>
        <row r="212">
          <cell r="D212">
            <v>14</v>
          </cell>
          <cell r="F212">
            <v>42705</v>
          </cell>
        </row>
        <row r="213">
          <cell r="D213">
            <v>14</v>
          </cell>
          <cell r="F213">
            <v>42736</v>
          </cell>
        </row>
        <row r="214">
          <cell r="D214">
            <v>14</v>
          </cell>
          <cell r="F214">
            <v>42767</v>
          </cell>
        </row>
        <row r="215">
          <cell r="D215">
            <v>14</v>
          </cell>
          <cell r="F215">
            <v>42795</v>
          </cell>
        </row>
        <row r="216">
          <cell r="D216">
            <v>14</v>
          </cell>
          <cell r="F216">
            <v>42826</v>
          </cell>
        </row>
        <row r="217">
          <cell r="D217">
            <v>14</v>
          </cell>
          <cell r="F217">
            <v>42856</v>
          </cell>
        </row>
        <row r="218">
          <cell r="D218">
            <v>14</v>
          </cell>
          <cell r="F218">
            <v>42887</v>
          </cell>
        </row>
        <row r="219">
          <cell r="D219">
            <v>14</v>
          </cell>
          <cell r="F219">
            <v>42917</v>
          </cell>
        </row>
        <row r="220">
          <cell r="D220">
            <v>14</v>
          </cell>
          <cell r="F220">
            <v>42948</v>
          </cell>
        </row>
        <row r="221">
          <cell r="D221">
            <v>14</v>
          </cell>
          <cell r="F221">
            <v>42979</v>
          </cell>
        </row>
        <row r="222">
          <cell r="D222">
            <v>14</v>
          </cell>
          <cell r="F222">
            <v>43009</v>
          </cell>
        </row>
        <row r="223">
          <cell r="D223">
            <v>14</v>
          </cell>
          <cell r="F223">
            <v>43040</v>
          </cell>
        </row>
        <row r="224">
          <cell r="D224">
            <v>14</v>
          </cell>
          <cell r="F224">
            <v>43070</v>
          </cell>
        </row>
        <row r="225">
          <cell r="D225">
            <v>14</v>
          </cell>
          <cell r="F225">
            <v>43101</v>
          </cell>
        </row>
        <row r="226">
          <cell r="D226">
            <v>14</v>
          </cell>
          <cell r="F226">
            <v>43132</v>
          </cell>
        </row>
        <row r="227">
          <cell r="D227">
            <v>14</v>
          </cell>
          <cell r="F227">
            <v>43160</v>
          </cell>
        </row>
        <row r="228">
          <cell r="D228">
            <v>14</v>
          </cell>
          <cell r="F228">
            <v>43191</v>
          </cell>
        </row>
        <row r="229">
          <cell r="D229">
            <v>14</v>
          </cell>
          <cell r="F229">
            <v>43221</v>
          </cell>
        </row>
        <row r="230">
          <cell r="D230">
            <v>14</v>
          </cell>
          <cell r="F230">
            <v>43252</v>
          </cell>
        </row>
        <row r="231">
          <cell r="D231">
            <v>14</v>
          </cell>
          <cell r="F231">
            <v>43282</v>
          </cell>
        </row>
        <row r="232">
          <cell r="D232">
            <v>14</v>
          </cell>
          <cell r="F232">
            <v>43313</v>
          </cell>
        </row>
        <row r="233">
          <cell r="D233">
            <v>14</v>
          </cell>
          <cell r="F233">
            <v>43344</v>
          </cell>
        </row>
        <row r="234">
          <cell r="D234">
            <v>14</v>
          </cell>
          <cell r="F234">
            <v>43374</v>
          </cell>
        </row>
        <row r="235">
          <cell r="D235">
            <v>14</v>
          </cell>
          <cell r="F235">
            <v>43405</v>
          </cell>
        </row>
        <row r="236">
          <cell r="D236">
            <v>14</v>
          </cell>
          <cell r="F236">
            <v>43435</v>
          </cell>
        </row>
        <row r="237">
          <cell r="D237">
            <v>14</v>
          </cell>
          <cell r="F237">
            <v>43466</v>
          </cell>
        </row>
        <row r="238">
          <cell r="D238">
            <v>14</v>
          </cell>
          <cell r="F238">
            <v>43497</v>
          </cell>
        </row>
        <row r="239">
          <cell r="D239">
            <v>14</v>
          </cell>
          <cell r="F239">
            <v>43525</v>
          </cell>
        </row>
        <row r="240">
          <cell r="D240">
            <v>14</v>
          </cell>
          <cell r="F240">
            <v>43556</v>
          </cell>
        </row>
        <row r="241">
          <cell r="D241">
            <v>14</v>
          </cell>
          <cell r="F241">
            <v>43586</v>
          </cell>
        </row>
        <row r="242">
          <cell r="D242">
            <v>14</v>
          </cell>
          <cell r="F242">
            <v>43617</v>
          </cell>
        </row>
        <row r="243">
          <cell r="D243">
            <v>14</v>
          </cell>
          <cell r="F243">
            <v>43647</v>
          </cell>
        </row>
        <row r="244">
          <cell r="D244">
            <v>14</v>
          </cell>
          <cell r="F244">
            <v>43678</v>
          </cell>
        </row>
        <row r="245">
          <cell r="D245">
            <v>14</v>
          </cell>
          <cell r="F245">
            <v>43709</v>
          </cell>
        </row>
        <row r="246">
          <cell r="D246">
            <v>14</v>
          </cell>
          <cell r="F246">
            <v>43739</v>
          </cell>
        </row>
        <row r="247">
          <cell r="D247">
            <v>14</v>
          </cell>
          <cell r="F247">
            <v>43770</v>
          </cell>
        </row>
        <row r="248">
          <cell r="D248">
            <v>14</v>
          </cell>
          <cell r="F248">
            <v>43800</v>
          </cell>
        </row>
        <row r="249">
          <cell r="D249">
            <v>14</v>
          </cell>
          <cell r="F249">
            <v>43831</v>
          </cell>
        </row>
        <row r="250">
          <cell r="D250">
            <v>14</v>
          </cell>
          <cell r="F250">
            <v>43862</v>
          </cell>
        </row>
        <row r="251">
          <cell r="D251">
            <v>14</v>
          </cell>
          <cell r="F251">
            <v>43891</v>
          </cell>
        </row>
        <row r="252">
          <cell r="D252">
            <v>14</v>
          </cell>
          <cell r="F252">
            <v>43922</v>
          </cell>
        </row>
        <row r="253">
          <cell r="D253">
            <v>14</v>
          </cell>
          <cell r="F253">
            <v>43952</v>
          </cell>
        </row>
        <row r="254">
          <cell r="D254">
            <v>14</v>
          </cell>
          <cell r="F254">
            <v>43983</v>
          </cell>
        </row>
        <row r="255">
          <cell r="D255">
            <v>14</v>
          </cell>
          <cell r="F255">
            <v>44013</v>
          </cell>
        </row>
        <row r="256">
          <cell r="D256">
            <v>14</v>
          </cell>
          <cell r="F256">
            <v>44044</v>
          </cell>
        </row>
        <row r="257">
          <cell r="D257">
            <v>14</v>
          </cell>
          <cell r="F257">
            <v>44075</v>
          </cell>
        </row>
        <row r="258">
          <cell r="D258">
            <v>14</v>
          </cell>
          <cell r="F258">
            <v>44105</v>
          </cell>
        </row>
        <row r="259">
          <cell r="D259">
            <v>14</v>
          </cell>
          <cell r="F259">
            <v>44136</v>
          </cell>
        </row>
        <row r="260">
          <cell r="D260">
            <v>14</v>
          </cell>
          <cell r="F260">
            <v>44166</v>
          </cell>
        </row>
        <row r="261">
          <cell r="D261">
            <v>14</v>
          </cell>
          <cell r="F261">
            <v>44197</v>
          </cell>
        </row>
        <row r="262">
          <cell r="D262">
            <v>14</v>
          </cell>
          <cell r="F262">
            <v>44228</v>
          </cell>
        </row>
        <row r="263">
          <cell r="D263">
            <v>14</v>
          </cell>
          <cell r="F263">
            <v>44256</v>
          </cell>
        </row>
        <row r="264">
          <cell r="D264">
            <v>14</v>
          </cell>
          <cell r="F264">
            <v>44287</v>
          </cell>
        </row>
        <row r="265">
          <cell r="D265">
            <v>14</v>
          </cell>
          <cell r="F265">
            <v>44317</v>
          </cell>
        </row>
        <row r="266">
          <cell r="D266">
            <v>14</v>
          </cell>
          <cell r="F266">
            <v>44348</v>
          </cell>
        </row>
        <row r="267">
          <cell r="D267">
            <v>14</v>
          </cell>
          <cell r="F267">
            <v>44378</v>
          </cell>
        </row>
        <row r="268">
          <cell r="D268">
            <v>14</v>
          </cell>
          <cell r="F268">
            <v>44409</v>
          </cell>
        </row>
        <row r="269">
          <cell r="D269">
            <v>14</v>
          </cell>
          <cell r="F269">
            <v>44440</v>
          </cell>
        </row>
        <row r="270">
          <cell r="D270">
            <v>14</v>
          </cell>
          <cell r="F270">
            <v>44470</v>
          </cell>
        </row>
        <row r="271">
          <cell r="D271">
            <v>14</v>
          </cell>
          <cell r="F271">
            <v>44501</v>
          </cell>
        </row>
        <row r="272">
          <cell r="D272">
            <v>14</v>
          </cell>
          <cell r="F272">
            <v>44531</v>
          </cell>
        </row>
        <row r="273">
          <cell r="D273">
            <v>14</v>
          </cell>
          <cell r="F273">
            <v>44562</v>
          </cell>
        </row>
        <row r="274">
          <cell r="D274">
            <v>14</v>
          </cell>
          <cell r="F274">
            <v>44593</v>
          </cell>
        </row>
        <row r="275">
          <cell r="D275">
            <v>14</v>
          </cell>
          <cell r="F275">
            <v>44621</v>
          </cell>
        </row>
        <row r="276">
          <cell r="D276">
            <v>14</v>
          </cell>
          <cell r="F276">
            <v>44652</v>
          </cell>
        </row>
        <row r="277">
          <cell r="D277">
            <v>14</v>
          </cell>
          <cell r="F277">
            <v>44682</v>
          </cell>
        </row>
        <row r="278">
          <cell r="D278">
            <v>14</v>
          </cell>
          <cell r="F278">
            <v>44713</v>
          </cell>
        </row>
        <row r="279">
          <cell r="D279">
            <v>14</v>
          </cell>
          <cell r="F279">
            <v>44743</v>
          </cell>
        </row>
        <row r="280">
          <cell r="D280">
            <v>14</v>
          </cell>
          <cell r="F280">
            <v>44774</v>
          </cell>
        </row>
        <row r="281">
          <cell r="D281">
            <v>14</v>
          </cell>
          <cell r="F281">
            <v>44805</v>
          </cell>
        </row>
        <row r="282">
          <cell r="D282">
            <v>14</v>
          </cell>
          <cell r="F282">
            <v>44835</v>
          </cell>
        </row>
        <row r="283">
          <cell r="D283">
            <v>14</v>
          </cell>
          <cell r="F283">
            <v>44866</v>
          </cell>
        </row>
        <row r="284">
          <cell r="D284">
            <v>14</v>
          </cell>
          <cell r="F284">
            <v>44896</v>
          </cell>
        </row>
        <row r="285">
          <cell r="D285">
            <v>14</v>
          </cell>
          <cell r="F285">
            <v>44927</v>
          </cell>
        </row>
        <row r="286">
          <cell r="D286">
            <v>14</v>
          </cell>
          <cell r="F286">
            <v>44958</v>
          </cell>
        </row>
        <row r="287">
          <cell r="D287">
            <v>14</v>
          </cell>
          <cell r="F287">
            <v>44986</v>
          </cell>
        </row>
        <row r="288">
          <cell r="D288">
            <v>14</v>
          </cell>
          <cell r="F288">
            <v>45017</v>
          </cell>
        </row>
      </sheetData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</sheetNames>
    <sheetDataSet>
      <sheetData sheetId="0">
        <row r="19">
          <cell r="E19">
            <v>4.84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"/>
      <sheetName val="Quote Summary"/>
      <sheetName val="Summary"/>
      <sheetName val="Gas Price"/>
      <sheetName val="Curves"/>
    </sheetNames>
    <sheetDataSet>
      <sheetData sheetId="0"/>
      <sheetData sheetId="1"/>
      <sheetData sheetId="2"/>
      <sheetData sheetId="3"/>
      <sheetData sheetId="4">
        <row r="1">
          <cell r="C1" t="str">
            <v>mbennet_pc</v>
          </cell>
        </row>
        <row r="2">
          <cell r="C2" t="str">
            <v>mbennet_pc</v>
          </cell>
        </row>
        <row r="3">
          <cell r="C3" t="str">
            <v>egsprod</v>
          </cell>
        </row>
        <row r="10">
          <cell r="C10">
            <v>1</v>
          </cell>
        </row>
        <row r="11">
          <cell r="C11" t="str">
            <v>Effective Date</v>
          </cell>
        </row>
        <row r="12">
          <cell r="C12" t="str">
            <v>Prompt Month</v>
          </cell>
        </row>
        <row r="13">
          <cell r="C13" t="str">
            <v>Curve Code</v>
          </cell>
        </row>
        <row r="14">
          <cell r="C14" t="str">
            <v>Curve Type</v>
          </cell>
        </row>
        <row r="15">
          <cell r="C15" t="str">
            <v>Book Code 1</v>
          </cell>
        </row>
        <row r="16">
          <cell r="C16" t="str">
            <v>Publisher</v>
          </cell>
        </row>
        <row r="17">
          <cell r="C17">
            <v>36770</v>
          </cell>
          <cell r="D17">
            <v>6.7216196212185012E-2</v>
          </cell>
          <cell r="E17">
            <v>4.6849999999999996</v>
          </cell>
          <cell r="F17">
            <v>0</v>
          </cell>
          <cell r="G17">
            <v>-0.01</v>
          </cell>
          <cell r="H17">
            <v>0.4</v>
          </cell>
          <cell r="I17">
            <v>0.59</v>
          </cell>
        </row>
        <row r="18">
          <cell r="C18">
            <v>36800</v>
          </cell>
        </row>
        <row r="19">
          <cell r="C19">
            <v>36831</v>
          </cell>
        </row>
        <row r="20">
          <cell r="C20">
            <v>36861</v>
          </cell>
        </row>
        <row r="21">
          <cell r="C21">
            <v>36892</v>
          </cell>
        </row>
        <row r="22">
          <cell r="C22">
            <v>36923</v>
          </cell>
        </row>
        <row r="23">
          <cell r="C23">
            <v>36951</v>
          </cell>
        </row>
        <row r="24">
          <cell r="C24">
            <v>36982</v>
          </cell>
        </row>
        <row r="25">
          <cell r="C25">
            <v>37012</v>
          </cell>
        </row>
        <row r="26">
          <cell r="C26">
            <v>37043</v>
          </cell>
        </row>
        <row r="27">
          <cell r="C27">
            <v>37073</v>
          </cell>
        </row>
        <row r="28">
          <cell r="C28">
            <v>37104</v>
          </cell>
        </row>
        <row r="29">
          <cell r="C29">
            <v>37135</v>
          </cell>
        </row>
        <row r="30">
          <cell r="C30">
            <v>37165</v>
          </cell>
        </row>
        <row r="31">
          <cell r="C31">
            <v>37196</v>
          </cell>
        </row>
        <row r="32">
          <cell r="C32">
            <v>37226</v>
          </cell>
        </row>
        <row r="33">
          <cell r="C33">
            <v>37257</v>
          </cell>
        </row>
        <row r="34">
          <cell r="C34">
            <v>37288</v>
          </cell>
        </row>
        <row r="35">
          <cell r="C35">
            <v>37316</v>
          </cell>
        </row>
        <row r="36">
          <cell r="C36">
            <v>37347</v>
          </cell>
        </row>
        <row r="37">
          <cell r="C37">
            <v>37377</v>
          </cell>
        </row>
        <row r="38">
          <cell r="C38">
            <v>37408</v>
          </cell>
        </row>
        <row r="39">
          <cell r="C39">
            <v>37438</v>
          </cell>
        </row>
        <row r="40">
          <cell r="C40">
            <v>37469</v>
          </cell>
        </row>
        <row r="41">
          <cell r="C41">
            <v>37500</v>
          </cell>
        </row>
        <row r="42">
          <cell r="C42">
            <v>37530</v>
          </cell>
        </row>
        <row r="43">
          <cell r="C43">
            <v>37561</v>
          </cell>
        </row>
        <row r="44">
          <cell r="C44">
            <v>37591</v>
          </cell>
        </row>
        <row r="45">
          <cell r="C45">
            <v>37622</v>
          </cell>
        </row>
        <row r="46">
          <cell r="C46">
            <v>37653</v>
          </cell>
        </row>
        <row r="47">
          <cell r="C47">
            <v>37681</v>
          </cell>
        </row>
        <row r="48">
          <cell r="C48">
            <v>37712</v>
          </cell>
        </row>
        <row r="49">
          <cell r="C49">
            <v>37742</v>
          </cell>
        </row>
        <row r="50">
          <cell r="C50">
            <v>37773</v>
          </cell>
        </row>
        <row r="51">
          <cell r="C51">
            <v>37803</v>
          </cell>
        </row>
        <row r="52">
          <cell r="C52">
            <v>37834</v>
          </cell>
        </row>
        <row r="53">
          <cell r="C53">
            <v>37865</v>
          </cell>
        </row>
        <row r="54">
          <cell r="C54">
            <v>37895</v>
          </cell>
        </row>
        <row r="55">
          <cell r="C55">
            <v>37926</v>
          </cell>
        </row>
        <row r="56">
          <cell r="C56">
            <v>37956</v>
          </cell>
        </row>
        <row r="57">
          <cell r="C57">
            <v>37987</v>
          </cell>
        </row>
        <row r="58">
          <cell r="C58">
            <v>38018</v>
          </cell>
        </row>
        <row r="59">
          <cell r="C59">
            <v>38047</v>
          </cell>
        </row>
        <row r="60">
          <cell r="C60">
            <v>38078</v>
          </cell>
        </row>
        <row r="61">
          <cell r="C61">
            <v>38108</v>
          </cell>
        </row>
        <row r="62">
          <cell r="C62">
            <v>38139</v>
          </cell>
        </row>
        <row r="63">
          <cell r="C63">
            <v>38169</v>
          </cell>
        </row>
        <row r="64">
          <cell r="C64">
            <v>38200</v>
          </cell>
        </row>
        <row r="65">
          <cell r="C65">
            <v>38231</v>
          </cell>
        </row>
        <row r="66">
          <cell r="C66">
            <v>38261</v>
          </cell>
        </row>
        <row r="67">
          <cell r="C67">
            <v>38292</v>
          </cell>
        </row>
        <row r="68">
          <cell r="C68">
            <v>38322</v>
          </cell>
        </row>
        <row r="69">
          <cell r="C69">
            <v>38353</v>
          </cell>
        </row>
        <row r="70">
          <cell r="C70">
            <v>38384</v>
          </cell>
        </row>
        <row r="71">
          <cell r="C71">
            <v>38412</v>
          </cell>
        </row>
        <row r="72">
          <cell r="C72">
            <v>38443</v>
          </cell>
        </row>
        <row r="73">
          <cell r="C73">
            <v>38473</v>
          </cell>
        </row>
        <row r="74">
          <cell r="C74">
            <v>38504</v>
          </cell>
        </row>
        <row r="75">
          <cell r="C75">
            <v>38534</v>
          </cell>
        </row>
        <row r="76">
          <cell r="C76">
            <v>38565</v>
          </cell>
        </row>
        <row r="77">
          <cell r="C77">
            <v>38596</v>
          </cell>
        </row>
        <row r="78">
          <cell r="C78">
            <v>38626</v>
          </cell>
        </row>
        <row r="79">
          <cell r="C79">
            <v>38657</v>
          </cell>
        </row>
        <row r="80">
          <cell r="C80">
            <v>38687</v>
          </cell>
        </row>
        <row r="81">
          <cell r="C81">
            <v>38718</v>
          </cell>
        </row>
        <row r="82">
          <cell r="C82">
            <v>38749</v>
          </cell>
        </row>
        <row r="83">
          <cell r="C83">
            <v>38777</v>
          </cell>
        </row>
        <row r="84">
          <cell r="C84">
            <v>38808</v>
          </cell>
        </row>
        <row r="85">
          <cell r="C85">
            <v>38838</v>
          </cell>
        </row>
        <row r="86">
          <cell r="C86">
            <v>38869</v>
          </cell>
        </row>
        <row r="87">
          <cell r="C87">
            <v>38899</v>
          </cell>
        </row>
        <row r="88">
          <cell r="C88">
            <v>38930</v>
          </cell>
        </row>
        <row r="89">
          <cell r="C89">
            <v>38961</v>
          </cell>
        </row>
        <row r="90">
          <cell r="C90">
            <v>38991</v>
          </cell>
        </row>
        <row r="91">
          <cell r="C91">
            <v>39022</v>
          </cell>
        </row>
        <row r="92">
          <cell r="C92">
            <v>39052</v>
          </cell>
        </row>
        <row r="93">
          <cell r="C93">
            <v>39083</v>
          </cell>
        </row>
        <row r="94">
          <cell r="C94">
            <v>39114</v>
          </cell>
        </row>
        <row r="95">
          <cell r="C95">
            <v>39142</v>
          </cell>
        </row>
        <row r="96">
          <cell r="C96">
            <v>39173</v>
          </cell>
        </row>
        <row r="97">
          <cell r="C97">
            <v>39203</v>
          </cell>
        </row>
        <row r="98">
          <cell r="C98">
            <v>39234</v>
          </cell>
        </row>
        <row r="99">
          <cell r="C99">
            <v>39264</v>
          </cell>
        </row>
        <row r="100">
          <cell r="C100">
            <v>39295</v>
          </cell>
        </row>
        <row r="101">
          <cell r="C101">
            <v>39326</v>
          </cell>
        </row>
        <row r="102">
          <cell r="C102">
            <v>39356</v>
          </cell>
        </row>
        <row r="103">
          <cell r="C103">
            <v>39387</v>
          </cell>
        </row>
        <row r="104">
          <cell r="C104">
            <v>39417</v>
          </cell>
        </row>
        <row r="105">
          <cell r="C105">
            <v>39448</v>
          </cell>
        </row>
        <row r="106">
          <cell r="C106">
            <v>39479</v>
          </cell>
        </row>
        <row r="107">
          <cell r="C107">
            <v>39508</v>
          </cell>
        </row>
        <row r="108">
          <cell r="C108">
            <v>39539</v>
          </cell>
        </row>
        <row r="109">
          <cell r="C109">
            <v>39569</v>
          </cell>
        </row>
        <row r="110">
          <cell r="C110">
            <v>39600</v>
          </cell>
        </row>
        <row r="111">
          <cell r="C111">
            <v>39630</v>
          </cell>
        </row>
        <row r="112">
          <cell r="C112">
            <v>39661</v>
          </cell>
        </row>
        <row r="113">
          <cell r="C113">
            <v>39692</v>
          </cell>
        </row>
        <row r="114">
          <cell r="C114">
            <v>39722</v>
          </cell>
        </row>
        <row r="115">
          <cell r="C115">
            <v>39753</v>
          </cell>
        </row>
        <row r="116">
          <cell r="C116">
            <v>39783</v>
          </cell>
        </row>
        <row r="117">
          <cell r="C117">
            <v>39814</v>
          </cell>
        </row>
        <row r="118">
          <cell r="C118">
            <v>39845</v>
          </cell>
        </row>
        <row r="119">
          <cell r="C119">
            <v>39873</v>
          </cell>
        </row>
        <row r="120">
          <cell r="C120">
            <v>39904</v>
          </cell>
        </row>
        <row r="121">
          <cell r="C121">
            <v>39934</v>
          </cell>
        </row>
        <row r="122">
          <cell r="C122">
            <v>39965</v>
          </cell>
        </row>
        <row r="123">
          <cell r="C123">
            <v>39995</v>
          </cell>
        </row>
        <row r="124">
          <cell r="C124">
            <v>40026</v>
          </cell>
        </row>
        <row r="125">
          <cell r="C125">
            <v>40057</v>
          </cell>
        </row>
        <row r="126">
          <cell r="C126">
            <v>40087</v>
          </cell>
        </row>
        <row r="127">
          <cell r="C127">
            <v>40118</v>
          </cell>
        </row>
        <row r="128">
          <cell r="C128">
            <v>40148</v>
          </cell>
        </row>
        <row r="129">
          <cell r="C129">
            <v>40179</v>
          </cell>
        </row>
        <row r="130">
          <cell r="C130">
            <v>40210</v>
          </cell>
        </row>
        <row r="131">
          <cell r="C131">
            <v>40238</v>
          </cell>
        </row>
        <row r="132">
          <cell r="C132">
            <v>40269</v>
          </cell>
        </row>
        <row r="133">
          <cell r="C133">
            <v>40299</v>
          </cell>
        </row>
        <row r="134">
          <cell r="C134">
            <v>40330</v>
          </cell>
        </row>
        <row r="135">
          <cell r="C135">
            <v>40360</v>
          </cell>
        </row>
        <row r="136">
          <cell r="C136">
            <v>40391</v>
          </cell>
        </row>
        <row r="137">
          <cell r="C137">
            <v>40422</v>
          </cell>
        </row>
        <row r="138">
          <cell r="C138">
            <v>40452</v>
          </cell>
        </row>
        <row r="139">
          <cell r="C139">
            <v>40483</v>
          </cell>
        </row>
        <row r="140">
          <cell r="C140">
            <v>40513</v>
          </cell>
        </row>
        <row r="141">
          <cell r="C141">
            <v>40544</v>
          </cell>
        </row>
        <row r="142">
          <cell r="C142">
            <v>40575</v>
          </cell>
        </row>
        <row r="143">
          <cell r="C143">
            <v>40603</v>
          </cell>
        </row>
        <row r="144">
          <cell r="C144">
            <v>40634</v>
          </cell>
        </row>
        <row r="145">
          <cell r="C145">
            <v>40664</v>
          </cell>
        </row>
        <row r="146">
          <cell r="C146">
            <v>40695</v>
          </cell>
        </row>
        <row r="147">
          <cell r="C147">
            <v>40725</v>
          </cell>
        </row>
        <row r="148">
          <cell r="C148">
            <v>40756</v>
          </cell>
        </row>
        <row r="149">
          <cell r="C149">
            <v>40787</v>
          </cell>
        </row>
        <row r="150">
          <cell r="C150">
            <v>40817</v>
          </cell>
        </row>
        <row r="151">
          <cell r="C151">
            <v>40848</v>
          </cell>
        </row>
        <row r="152">
          <cell r="C152">
            <v>40878</v>
          </cell>
        </row>
        <row r="153">
          <cell r="C153">
            <v>40909</v>
          </cell>
        </row>
        <row r="154">
          <cell r="C154">
            <v>40940</v>
          </cell>
        </row>
        <row r="155">
          <cell r="C155">
            <v>40969</v>
          </cell>
        </row>
        <row r="156">
          <cell r="C156">
            <v>41000</v>
          </cell>
        </row>
        <row r="157">
          <cell r="C157">
            <v>41030</v>
          </cell>
        </row>
        <row r="158">
          <cell r="C158">
            <v>41061</v>
          </cell>
        </row>
        <row r="159">
          <cell r="C159">
            <v>41091</v>
          </cell>
        </row>
        <row r="160">
          <cell r="C160">
            <v>41122</v>
          </cell>
        </row>
        <row r="161">
          <cell r="C161">
            <v>41153</v>
          </cell>
        </row>
        <row r="162">
          <cell r="C162">
            <v>41183</v>
          </cell>
        </row>
        <row r="163">
          <cell r="C163">
            <v>41214</v>
          </cell>
        </row>
        <row r="164">
          <cell r="C164">
            <v>41244</v>
          </cell>
        </row>
        <row r="165">
          <cell r="C165">
            <v>41275</v>
          </cell>
        </row>
        <row r="166">
          <cell r="C166">
            <v>41306</v>
          </cell>
        </row>
        <row r="167">
          <cell r="C167">
            <v>41334</v>
          </cell>
        </row>
        <row r="168">
          <cell r="C168">
            <v>41365</v>
          </cell>
        </row>
        <row r="169">
          <cell r="C169">
            <v>41395</v>
          </cell>
        </row>
        <row r="170">
          <cell r="C170">
            <v>41426</v>
          </cell>
        </row>
        <row r="171">
          <cell r="C171">
            <v>41456</v>
          </cell>
        </row>
        <row r="172">
          <cell r="C172">
            <v>41487</v>
          </cell>
        </row>
        <row r="173">
          <cell r="C173">
            <v>41518</v>
          </cell>
        </row>
        <row r="174">
          <cell r="C174">
            <v>41548</v>
          </cell>
        </row>
        <row r="175">
          <cell r="C175">
            <v>41579</v>
          </cell>
        </row>
        <row r="176">
          <cell r="C176">
            <v>41609</v>
          </cell>
        </row>
        <row r="177">
          <cell r="C177">
            <v>41640</v>
          </cell>
        </row>
        <row r="178">
          <cell r="C178">
            <v>41671</v>
          </cell>
        </row>
        <row r="179">
          <cell r="C179">
            <v>41699</v>
          </cell>
        </row>
        <row r="180">
          <cell r="C180">
            <v>41730</v>
          </cell>
        </row>
        <row r="181">
          <cell r="C181">
            <v>41760</v>
          </cell>
        </row>
        <row r="182">
          <cell r="C182">
            <v>41791</v>
          </cell>
        </row>
        <row r="183">
          <cell r="C183">
            <v>41821</v>
          </cell>
        </row>
        <row r="184">
          <cell r="C184">
            <v>41852</v>
          </cell>
        </row>
        <row r="185">
          <cell r="C185">
            <v>41883</v>
          </cell>
        </row>
        <row r="186">
          <cell r="C186">
            <v>41913</v>
          </cell>
        </row>
        <row r="187">
          <cell r="C187">
            <v>41944</v>
          </cell>
        </row>
        <row r="188">
          <cell r="C188">
            <v>41974</v>
          </cell>
        </row>
        <row r="189">
          <cell r="C189">
            <v>42005</v>
          </cell>
        </row>
        <row r="190">
          <cell r="C190">
            <v>42036</v>
          </cell>
        </row>
        <row r="191">
          <cell r="C191">
            <v>42064</v>
          </cell>
        </row>
        <row r="192">
          <cell r="C192">
            <v>42095</v>
          </cell>
        </row>
        <row r="193">
          <cell r="C193">
            <v>42125</v>
          </cell>
        </row>
        <row r="194">
          <cell r="C194">
            <v>42156</v>
          </cell>
        </row>
        <row r="195">
          <cell r="C195">
            <v>42186</v>
          </cell>
        </row>
        <row r="196">
          <cell r="C196">
            <v>42217</v>
          </cell>
        </row>
        <row r="197">
          <cell r="C197">
            <v>42248</v>
          </cell>
        </row>
        <row r="198">
          <cell r="C198">
            <v>42278</v>
          </cell>
        </row>
        <row r="199">
          <cell r="C199">
            <v>42309</v>
          </cell>
        </row>
        <row r="200">
          <cell r="C200">
            <v>42339</v>
          </cell>
        </row>
        <row r="201">
          <cell r="C201">
            <v>42370</v>
          </cell>
        </row>
        <row r="202">
          <cell r="C202">
            <v>42401</v>
          </cell>
        </row>
        <row r="203">
          <cell r="C203">
            <v>42430</v>
          </cell>
        </row>
        <row r="204">
          <cell r="C204">
            <v>42461</v>
          </cell>
        </row>
        <row r="205">
          <cell r="C205">
            <v>42491</v>
          </cell>
        </row>
        <row r="206">
          <cell r="C206">
            <v>42522</v>
          </cell>
        </row>
        <row r="207">
          <cell r="C207">
            <v>42552</v>
          </cell>
        </row>
        <row r="208">
          <cell r="C208">
            <v>42583</v>
          </cell>
        </row>
        <row r="209">
          <cell r="C209">
            <v>42614</v>
          </cell>
        </row>
        <row r="210">
          <cell r="C210">
            <v>42644</v>
          </cell>
        </row>
        <row r="211">
          <cell r="C211">
            <v>42675</v>
          </cell>
        </row>
        <row r="212">
          <cell r="C212">
            <v>42705</v>
          </cell>
        </row>
        <row r="213">
          <cell r="C213">
            <v>42736</v>
          </cell>
        </row>
        <row r="214">
          <cell r="C214">
            <v>42767</v>
          </cell>
        </row>
        <row r="215">
          <cell r="C215">
            <v>42795</v>
          </cell>
        </row>
        <row r="216">
          <cell r="C216">
            <v>42826</v>
          </cell>
        </row>
        <row r="217">
          <cell r="C217">
            <v>42856</v>
          </cell>
        </row>
        <row r="218">
          <cell r="C218">
            <v>42887</v>
          </cell>
        </row>
        <row r="219">
          <cell r="C219">
            <v>42917</v>
          </cell>
        </row>
        <row r="220">
          <cell r="C220">
            <v>42948</v>
          </cell>
        </row>
        <row r="221">
          <cell r="C221">
            <v>42979</v>
          </cell>
        </row>
        <row r="222">
          <cell r="C222">
            <v>43009</v>
          </cell>
        </row>
        <row r="223">
          <cell r="C223">
            <v>43040</v>
          </cell>
        </row>
        <row r="224">
          <cell r="C224">
            <v>43070</v>
          </cell>
        </row>
        <row r="225">
          <cell r="C225">
            <v>43101</v>
          </cell>
        </row>
        <row r="226">
          <cell r="C226">
            <v>43132</v>
          </cell>
        </row>
        <row r="227">
          <cell r="C227">
            <v>43160</v>
          </cell>
        </row>
        <row r="228">
          <cell r="C228">
            <v>43191</v>
          </cell>
        </row>
        <row r="229">
          <cell r="C229">
            <v>43221</v>
          </cell>
        </row>
        <row r="230">
          <cell r="C230">
            <v>43252</v>
          </cell>
        </row>
        <row r="231">
          <cell r="C231">
            <v>43282</v>
          </cell>
        </row>
        <row r="232">
          <cell r="C232">
            <v>43313</v>
          </cell>
        </row>
        <row r="233">
          <cell r="C233">
            <v>43344</v>
          </cell>
        </row>
        <row r="234">
          <cell r="C234">
            <v>43374</v>
          </cell>
        </row>
        <row r="235">
          <cell r="C235">
            <v>43405</v>
          </cell>
        </row>
        <row r="236">
          <cell r="C236">
            <v>43435</v>
          </cell>
        </row>
        <row r="237">
          <cell r="C237">
            <v>43466</v>
          </cell>
        </row>
        <row r="238">
          <cell r="C238">
            <v>43497</v>
          </cell>
        </row>
        <row r="239">
          <cell r="C239">
            <v>43525</v>
          </cell>
        </row>
        <row r="240">
          <cell r="C240">
            <v>43556</v>
          </cell>
        </row>
        <row r="241">
          <cell r="C241">
            <v>43586</v>
          </cell>
        </row>
        <row r="242">
          <cell r="C242">
            <v>43617</v>
          </cell>
        </row>
        <row r="243">
          <cell r="C243">
            <v>43647</v>
          </cell>
        </row>
        <row r="244">
          <cell r="C244">
            <v>43678</v>
          </cell>
        </row>
        <row r="245">
          <cell r="C245">
            <v>43709</v>
          </cell>
        </row>
        <row r="246">
          <cell r="C246">
            <v>43739</v>
          </cell>
        </row>
        <row r="247">
          <cell r="C247">
            <v>43770</v>
          </cell>
        </row>
        <row r="248">
          <cell r="C248">
            <v>43800</v>
          </cell>
        </row>
        <row r="249">
          <cell r="C249">
            <v>43831</v>
          </cell>
        </row>
        <row r="250">
          <cell r="C250">
            <v>43862</v>
          </cell>
        </row>
        <row r="251">
          <cell r="C251">
            <v>43891</v>
          </cell>
        </row>
        <row r="252">
          <cell r="C252">
            <v>43922</v>
          </cell>
        </row>
        <row r="253">
          <cell r="C253">
            <v>43952</v>
          </cell>
        </row>
        <row r="254">
          <cell r="C254">
            <v>43983</v>
          </cell>
        </row>
        <row r="255">
          <cell r="C255">
            <v>44013</v>
          </cell>
        </row>
        <row r="256">
          <cell r="C256">
            <v>44044</v>
          </cell>
        </row>
        <row r="257">
          <cell r="C257">
            <v>44075</v>
          </cell>
        </row>
        <row r="258">
          <cell r="C258">
            <v>44105</v>
          </cell>
        </row>
        <row r="259">
          <cell r="C259">
            <v>44136</v>
          </cell>
        </row>
        <row r="260">
          <cell r="C260">
            <v>44166</v>
          </cell>
        </row>
        <row r="261">
          <cell r="C261">
            <v>44197</v>
          </cell>
        </row>
        <row r="262">
          <cell r="C262">
            <v>44228</v>
          </cell>
        </row>
        <row r="263">
          <cell r="C263">
            <v>44256</v>
          </cell>
        </row>
        <row r="264">
          <cell r="C264">
            <v>44287</v>
          </cell>
        </row>
        <row r="265">
          <cell r="C265">
            <v>44317</v>
          </cell>
        </row>
        <row r="266">
          <cell r="C266">
            <v>44348</v>
          </cell>
        </row>
        <row r="267">
          <cell r="C267">
            <v>44378</v>
          </cell>
        </row>
        <row r="268">
          <cell r="C268">
            <v>44409</v>
          </cell>
        </row>
        <row r="269">
          <cell r="C269">
            <v>44440</v>
          </cell>
        </row>
        <row r="270">
          <cell r="C270">
            <v>44470</v>
          </cell>
        </row>
        <row r="271">
          <cell r="C271">
            <v>44501</v>
          </cell>
        </row>
        <row r="272">
          <cell r="C272">
            <v>44531</v>
          </cell>
        </row>
        <row r="273">
          <cell r="C273">
            <v>44562</v>
          </cell>
        </row>
        <row r="274">
          <cell r="C274">
            <v>44593</v>
          </cell>
        </row>
        <row r="275">
          <cell r="C275">
            <v>44621</v>
          </cell>
        </row>
        <row r="276">
          <cell r="C276">
            <v>44652</v>
          </cell>
        </row>
        <row r="277">
          <cell r="C277">
            <v>44682</v>
          </cell>
        </row>
        <row r="278">
          <cell r="C278">
            <v>44713</v>
          </cell>
        </row>
        <row r="279">
          <cell r="C279">
            <v>44743</v>
          </cell>
        </row>
        <row r="280">
          <cell r="C280">
            <v>44774</v>
          </cell>
        </row>
        <row r="281">
          <cell r="C281">
            <v>44805</v>
          </cell>
        </row>
        <row r="282">
          <cell r="C282">
            <v>44835</v>
          </cell>
        </row>
        <row r="283">
          <cell r="C283">
            <v>44866</v>
          </cell>
        </row>
        <row r="284">
          <cell r="C284">
            <v>44896</v>
          </cell>
        </row>
        <row r="285">
          <cell r="C285">
            <v>44927</v>
          </cell>
        </row>
        <row r="286">
          <cell r="C286">
            <v>44958</v>
          </cell>
        </row>
        <row r="287">
          <cell r="C287">
            <v>44986</v>
          </cell>
        </row>
        <row r="288">
          <cell r="C288">
            <v>45017</v>
          </cell>
        </row>
        <row r="289">
          <cell r="C289">
            <v>45047</v>
          </cell>
        </row>
        <row r="290">
          <cell r="C290">
            <v>45078</v>
          </cell>
        </row>
        <row r="291">
          <cell r="C291">
            <v>45108</v>
          </cell>
        </row>
        <row r="292">
          <cell r="C292">
            <v>45139</v>
          </cell>
        </row>
        <row r="293">
          <cell r="C293">
            <v>45170</v>
          </cell>
        </row>
        <row r="294">
          <cell r="C294">
            <v>45200</v>
          </cell>
        </row>
        <row r="295">
          <cell r="C295">
            <v>45231</v>
          </cell>
        </row>
        <row r="296">
          <cell r="C296">
            <v>45261</v>
          </cell>
        </row>
        <row r="297">
          <cell r="C297">
            <v>45292</v>
          </cell>
        </row>
        <row r="298">
          <cell r="C298">
            <v>45323</v>
          </cell>
        </row>
        <row r="299">
          <cell r="C299">
            <v>45352</v>
          </cell>
        </row>
        <row r="300">
          <cell r="C300">
            <v>45383</v>
          </cell>
        </row>
        <row r="301">
          <cell r="C301">
            <v>45413</v>
          </cell>
        </row>
        <row r="302">
          <cell r="C302">
            <v>45444</v>
          </cell>
        </row>
        <row r="303">
          <cell r="C303">
            <v>45474</v>
          </cell>
        </row>
        <row r="304">
          <cell r="C304">
            <v>45505</v>
          </cell>
        </row>
        <row r="305">
          <cell r="C305">
            <v>45536</v>
          </cell>
        </row>
        <row r="306">
          <cell r="C306">
            <v>45566</v>
          </cell>
        </row>
        <row r="307">
          <cell r="C307">
            <v>45597</v>
          </cell>
        </row>
        <row r="308">
          <cell r="C308">
            <v>45627</v>
          </cell>
        </row>
        <row r="309">
          <cell r="C309">
            <v>45658</v>
          </cell>
        </row>
        <row r="310">
          <cell r="C310">
            <v>45689</v>
          </cell>
        </row>
        <row r="311">
          <cell r="C311">
            <v>45717</v>
          </cell>
        </row>
        <row r="312">
          <cell r="C312">
            <v>45748</v>
          </cell>
        </row>
        <row r="313">
          <cell r="C313">
            <v>45778</v>
          </cell>
        </row>
        <row r="314">
          <cell r="C314">
            <v>45809</v>
          </cell>
        </row>
        <row r="315">
          <cell r="C315">
            <v>45839</v>
          </cell>
        </row>
        <row r="316">
          <cell r="C316">
            <v>45870</v>
          </cell>
        </row>
        <row r="317">
          <cell r="C317">
            <v>45901</v>
          </cell>
        </row>
        <row r="318">
          <cell r="C318">
            <v>45931</v>
          </cell>
        </row>
        <row r="319">
          <cell r="C319">
            <v>45962</v>
          </cell>
        </row>
        <row r="320">
          <cell r="C320">
            <v>45992</v>
          </cell>
        </row>
        <row r="321">
          <cell r="C321">
            <v>46023</v>
          </cell>
        </row>
        <row r="322">
          <cell r="C322">
            <v>46054</v>
          </cell>
        </row>
        <row r="323">
          <cell r="C323">
            <v>46082</v>
          </cell>
        </row>
        <row r="324">
          <cell r="C324">
            <v>46113</v>
          </cell>
        </row>
        <row r="325">
          <cell r="C325">
            <v>46143</v>
          </cell>
        </row>
        <row r="326">
          <cell r="C326">
            <v>46174</v>
          </cell>
        </row>
        <row r="327">
          <cell r="C327">
            <v>46204</v>
          </cell>
        </row>
        <row r="328">
          <cell r="C328">
            <v>46235</v>
          </cell>
        </row>
        <row r="329">
          <cell r="C329">
            <v>46266</v>
          </cell>
        </row>
        <row r="330">
          <cell r="C330">
            <v>46296</v>
          </cell>
        </row>
        <row r="331">
          <cell r="C331">
            <v>46327</v>
          </cell>
        </row>
        <row r="332">
          <cell r="C332">
            <v>46357</v>
          </cell>
        </row>
        <row r="333">
          <cell r="C333">
            <v>46388</v>
          </cell>
        </row>
        <row r="334">
          <cell r="C334">
            <v>46419</v>
          </cell>
        </row>
        <row r="335">
          <cell r="C335">
            <v>46447</v>
          </cell>
        </row>
        <row r="336">
          <cell r="C336">
            <v>46478</v>
          </cell>
        </row>
        <row r="337">
          <cell r="C337">
            <v>46508</v>
          </cell>
        </row>
        <row r="338">
          <cell r="C338">
            <v>46539</v>
          </cell>
        </row>
        <row r="339">
          <cell r="C339">
            <v>46569</v>
          </cell>
        </row>
        <row r="340">
          <cell r="C340">
            <v>46600</v>
          </cell>
        </row>
        <row r="341">
          <cell r="C341">
            <v>46631</v>
          </cell>
        </row>
        <row r="342">
          <cell r="C342">
            <v>46661</v>
          </cell>
        </row>
        <row r="343">
          <cell r="C343">
            <v>46692</v>
          </cell>
        </row>
        <row r="344">
          <cell r="C344">
            <v>46722</v>
          </cell>
        </row>
        <row r="345">
          <cell r="C345">
            <v>46753</v>
          </cell>
        </row>
        <row r="346">
          <cell r="C346">
            <v>46784</v>
          </cell>
        </row>
        <row r="347">
          <cell r="C347">
            <v>46813</v>
          </cell>
        </row>
        <row r="348">
          <cell r="C348">
            <v>46844</v>
          </cell>
        </row>
        <row r="349">
          <cell r="C349">
            <v>46874</v>
          </cell>
        </row>
        <row r="350">
          <cell r="C350">
            <v>46905</v>
          </cell>
        </row>
        <row r="351">
          <cell r="C351">
            <v>46935</v>
          </cell>
        </row>
        <row r="352">
          <cell r="C352">
            <v>46966</v>
          </cell>
        </row>
        <row r="353">
          <cell r="C353">
            <v>46997</v>
          </cell>
        </row>
        <row r="354">
          <cell r="C354">
            <v>47027</v>
          </cell>
        </row>
        <row r="355">
          <cell r="C355">
            <v>47058</v>
          </cell>
        </row>
        <row r="356">
          <cell r="C356">
            <v>47088</v>
          </cell>
        </row>
        <row r="357">
          <cell r="C357">
            <v>47119</v>
          </cell>
        </row>
        <row r="358">
          <cell r="C358">
            <v>47150</v>
          </cell>
        </row>
        <row r="359">
          <cell r="C359">
            <v>47178</v>
          </cell>
        </row>
        <row r="360">
          <cell r="C360">
            <v>47209</v>
          </cell>
        </row>
        <row r="361">
          <cell r="C361">
            <v>47239</v>
          </cell>
        </row>
        <row r="362">
          <cell r="C362">
            <v>47270</v>
          </cell>
        </row>
        <row r="363">
          <cell r="C363">
            <v>47300</v>
          </cell>
        </row>
        <row r="364">
          <cell r="C364">
            <v>47331</v>
          </cell>
        </row>
        <row r="365">
          <cell r="C365">
            <v>47362</v>
          </cell>
        </row>
        <row r="366">
          <cell r="C366">
            <v>47392</v>
          </cell>
        </row>
        <row r="367">
          <cell r="C367">
            <v>47423</v>
          </cell>
        </row>
        <row r="368">
          <cell r="C368">
            <v>47453</v>
          </cell>
        </row>
        <row r="369">
          <cell r="C369">
            <v>47484</v>
          </cell>
        </row>
        <row r="370">
          <cell r="C370">
            <v>47515</v>
          </cell>
        </row>
        <row r="371">
          <cell r="C371">
            <v>47543</v>
          </cell>
        </row>
        <row r="372">
          <cell r="C372">
            <v>47574</v>
          </cell>
        </row>
        <row r="373">
          <cell r="C373">
            <v>47604</v>
          </cell>
        </row>
        <row r="374">
          <cell r="C374">
            <v>47635</v>
          </cell>
        </row>
        <row r="375">
          <cell r="C375">
            <v>47665</v>
          </cell>
        </row>
        <row r="376">
          <cell r="C376">
            <v>47696</v>
          </cell>
        </row>
        <row r="377">
          <cell r="C377">
            <v>47727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Gas Flow"/>
      <sheetName val="Electric Rate"/>
      <sheetName val="ECS CF"/>
      <sheetName val="Electric CP"/>
    </sheetNames>
    <sheetDataSet>
      <sheetData sheetId="0" refreshError="1">
        <row r="5">
          <cell r="B5">
            <v>4000</v>
          </cell>
          <cell r="E5">
            <v>10482310624286.049</v>
          </cell>
        </row>
        <row r="6">
          <cell r="B6">
            <v>14614.635700518495</v>
          </cell>
        </row>
        <row r="11">
          <cell r="B11">
            <v>2.3285999999999998</v>
          </cell>
        </row>
        <row r="18">
          <cell r="E18">
            <v>0.16666666666666663</v>
          </cell>
        </row>
        <row r="19">
          <cell r="E19">
            <v>0.16666666666666666</v>
          </cell>
        </row>
        <row r="28">
          <cell r="B28">
            <v>0.98</v>
          </cell>
        </row>
        <row r="29">
          <cell r="B29">
            <v>0.9</v>
          </cell>
        </row>
        <row r="33">
          <cell r="B33">
            <v>365.25</v>
          </cell>
        </row>
        <row r="34">
          <cell r="B34">
            <v>30.437999999999999</v>
          </cell>
        </row>
        <row r="35">
          <cell r="B35">
            <v>8766</v>
          </cell>
        </row>
        <row r="38">
          <cell r="B38">
            <v>4.3482142857142856</v>
          </cell>
        </row>
        <row r="40">
          <cell r="B40">
            <v>0.78526315789473689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_x0000__x0000_"/>
      <sheetName val="Summary"/>
      <sheetName val="Basis-Quote (Sonat)"/>
      <sheetName val="Index-Quote (Sonat)"/>
      <sheetName val="SONAT-5YR"/>
      <sheetName val="SONAT-10YR "/>
      <sheetName val="SONAT-20Y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List"/>
      <sheetName val="Module1"/>
    </sheetNames>
    <sheetDataSet>
      <sheetData sheetId="0">
        <row r="5">
          <cell r="B5">
            <v>1</v>
          </cell>
          <cell r="C5" t="str">
            <v>GCHO</v>
          </cell>
          <cell r="D5" t="str">
            <v>#2 Oil Gulf Coast</v>
          </cell>
          <cell r="F5">
            <v>1</v>
          </cell>
          <cell r="G5" t="str">
            <v>NG_OMICRON_9</v>
          </cell>
          <cell r="H5" t="str">
            <v>Omi Vol - Alberta/Sumas</v>
          </cell>
        </row>
        <row r="6">
          <cell r="B6">
            <v>2</v>
          </cell>
          <cell r="C6" t="str">
            <v>NXHO</v>
          </cell>
          <cell r="D6" t="str">
            <v>#2 Oil New York</v>
          </cell>
          <cell r="F6">
            <v>2</v>
          </cell>
          <cell r="G6" t="str">
            <v>NG_OMICRON_7</v>
          </cell>
          <cell r="H6" t="str">
            <v>Omi Vol - Appalachia</v>
          </cell>
        </row>
        <row r="7">
          <cell r="B7">
            <v>3</v>
          </cell>
          <cell r="C7" t="str">
            <v>61GC</v>
          </cell>
          <cell r="D7" t="str">
            <v>#6 Oil 1%S Gulf coast</v>
          </cell>
          <cell r="F7">
            <v>3</v>
          </cell>
          <cell r="G7" t="str">
            <v>NG_OMICRON_11</v>
          </cell>
          <cell r="H7" t="str">
            <v>Omi Vol - Chicago</v>
          </cell>
        </row>
        <row r="8">
          <cell r="B8">
            <v>4</v>
          </cell>
          <cell r="C8" t="str">
            <v>61NY</v>
          </cell>
          <cell r="D8" t="str">
            <v>#6 Oil 1%S New York</v>
          </cell>
          <cell r="F8">
            <v>4</v>
          </cell>
          <cell r="G8" t="str">
            <v>NG_OMICRON_12</v>
          </cell>
          <cell r="H8" t="str">
            <v>Omi Vol - FGT</v>
          </cell>
        </row>
        <row r="9">
          <cell r="B9">
            <v>5</v>
          </cell>
          <cell r="C9" t="str">
            <v>62NY</v>
          </cell>
          <cell r="D9" t="str">
            <v>#6 Oil 2%S New York</v>
          </cell>
          <cell r="F9">
            <v>5</v>
          </cell>
          <cell r="G9" t="str">
            <v>NG_OMICRON_2</v>
          </cell>
          <cell r="H9" t="str">
            <v>Omi Vol - HSC/Katy/ETX</v>
          </cell>
        </row>
        <row r="10">
          <cell r="B10">
            <v>6</v>
          </cell>
          <cell r="C10" t="str">
            <v>63GC</v>
          </cell>
          <cell r="D10" t="str">
            <v>#6 Oil 3%S Gulf coast</v>
          </cell>
          <cell r="F10">
            <v>6</v>
          </cell>
          <cell r="G10" t="str">
            <v>NG_OMICRON_1</v>
          </cell>
          <cell r="H10" t="str">
            <v>Omi Vol - LA/Offshore South</v>
          </cell>
        </row>
        <row r="11">
          <cell r="B11">
            <v>7</v>
          </cell>
          <cell r="C11" t="str">
            <v>CGPR-AECO/BASIS</v>
          </cell>
          <cell r="D11" t="str">
            <v>Alberta Aeco Basis</v>
          </cell>
          <cell r="F11">
            <v>7</v>
          </cell>
          <cell r="G11" t="str">
            <v>NG_OMICRON_6</v>
          </cell>
          <cell r="H11" t="str">
            <v>Omi Vol - NE Market Area</v>
          </cell>
        </row>
        <row r="12">
          <cell r="B12">
            <v>8</v>
          </cell>
          <cell r="C12" t="str">
            <v>CAD/USD</v>
          </cell>
          <cell r="D12" t="str">
            <v>Canada/US Dollar</v>
          </cell>
          <cell r="F12">
            <v>8</v>
          </cell>
          <cell r="G12" t="str">
            <v>NG_OMICRON_5</v>
          </cell>
          <cell r="H12" t="str">
            <v>Omi Vol - NNG Demrc/Vent</v>
          </cell>
        </row>
        <row r="13">
          <cell r="B13">
            <v>9</v>
          </cell>
          <cell r="C13" t="str">
            <v>CGPR-CHIPPAWA</v>
          </cell>
          <cell r="D13" t="str">
            <v>CGPR-Chippawa</v>
          </cell>
          <cell r="F13">
            <v>9</v>
          </cell>
          <cell r="G13" t="str">
            <v>NG_OMICRON_3</v>
          </cell>
          <cell r="H13" t="str">
            <v>Omi Vol - OK/Mid Continent</v>
          </cell>
        </row>
        <row r="14">
          <cell r="B14">
            <v>10</v>
          </cell>
          <cell r="C14" t="str">
            <v>CGPR-CORNWALL</v>
          </cell>
          <cell r="D14" t="str">
            <v>CGPR-Cornwall</v>
          </cell>
          <cell r="F14">
            <v>10</v>
          </cell>
          <cell r="G14" t="str">
            <v>NG_OMICRON_4</v>
          </cell>
          <cell r="H14" t="str">
            <v>Omi Vol - Permian/San Juan</v>
          </cell>
        </row>
        <row r="15">
          <cell r="B15">
            <v>11</v>
          </cell>
          <cell r="C15" t="str">
            <v>CGPR-DAWN</v>
          </cell>
          <cell r="D15" t="str">
            <v>CGPR-Dawn</v>
          </cell>
          <cell r="F15">
            <v>11</v>
          </cell>
          <cell r="G15" t="str">
            <v>NG_OMICRON_8</v>
          </cell>
          <cell r="H15" t="str">
            <v>Omi Vol - Rocky Mountains</v>
          </cell>
        </row>
        <row r="16">
          <cell r="B16">
            <v>12</v>
          </cell>
          <cell r="C16" t="str">
            <v>CGPR-EMPRESS-US</v>
          </cell>
          <cell r="D16" t="str">
            <v>CGPR-Empress</v>
          </cell>
          <cell r="F16">
            <v>12</v>
          </cell>
          <cell r="G16" t="str">
            <v>NG_OMICRON_10</v>
          </cell>
          <cell r="H16" t="str">
            <v>Omi Vol - Sithe (ANR/LA)</v>
          </cell>
        </row>
        <row r="17">
          <cell r="B17">
            <v>13</v>
          </cell>
          <cell r="C17" t="str">
            <v>CGPR-NIAGARA</v>
          </cell>
          <cell r="D17" t="str">
            <v>CGPR-Niagara</v>
          </cell>
          <cell r="F17">
            <v>13</v>
          </cell>
          <cell r="G17" t="str">
            <v>NG_OMICRON_13</v>
          </cell>
          <cell r="H17" t="str">
            <v>Omi Vol - Transco Zn 6</v>
          </cell>
        </row>
        <row r="18">
          <cell r="B18">
            <v>14</v>
          </cell>
          <cell r="C18" t="str">
            <v>CGPR-OJIBWAY</v>
          </cell>
          <cell r="D18" t="str">
            <v>CGPR-Ojibway</v>
          </cell>
          <cell r="F18">
            <v>14</v>
          </cell>
        </row>
        <row r="19">
          <cell r="B19">
            <v>15</v>
          </cell>
          <cell r="C19" t="str">
            <v>CGPR-STCLAIR</v>
          </cell>
          <cell r="D19" t="str">
            <v>CGPR-St. Clair</v>
          </cell>
          <cell r="F19">
            <v>15</v>
          </cell>
        </row>
        <row r="20">
          <cell r="B20">
            <v>16</v>
          </cell>
          <cell r="C20" t="str">
            <v>NAT/FUEL/LEIDY</v>
          </cell>
          <cell r="D20" t="str">
            <v>CNG LEIDY</v>
          </cell>
          <cell r="F20">
            <v>16</v>
          </cell>
        </row>
        <row r="21">
          <cell r="B21">
            <v>17</v>
          </cell>
          <cell r="C21" t="str">
            <v>C2CN</v>
          </cell>
          <cell r="D21" t="str">
            <v>Conway Ethane</v>
          </cell>
          <cell r="F21">
            <v>17</v>
          </cell>
        </row>
        <row r="22">
          <cell r="B22">
            <v>18</v>
          </cell>
          <cell r="C22" t="str">
            <v>IBCN</v>
          </cell>
          <cell r="D22" t="str">
            <v>Conway Iso-Butane</v>
          </cell>
          <cell r="F22">
            <v>18</v>
          </cell>
        </row>
        <row r="23">
          <cell r="B23">
            <v>19</v>
          </cell>
          <cell r="C23" t="str">
            <v>C5CN</v>
          </cell>
          <cell r="D23" t="str">
            <v>Conway Nat Gasoline</v>
          </cell>
          <cell r="F23">
            <v>19</v>
          </cell>
        </row>
        <row r="24">
          <cell r="B24">
            <v>20</v>
          </cell>
          <cell r="C24" t="str">
            <v>NBCN</v>
          </cell>
          <cell r="D24" t="str">
            <v>Conway N-Butane</v>
          </cell>
          <cell r="F24">
            <v>20</v>
          </cell>
        </row>
        <row r="25">
          <cell r="B25">
            <v>21</v>
          </cell>
          <cell r="C25" t="str">
            <v>C3CN</v>
          </cell>
          <cell r="D25" t="str">
            <v>Conway Propane</v>
          </cell>
        </row>
        <row r="26">
          <cell r="B26">
            <v>22</v>
          </cell>
          <cell r="C26" t="str">
            <v>DJ/BASIN/CIG</v>
          </cell>
          <cell r="D26" t="str">
            <v xml:space="preserve">DJ BASIN </v>
          </cell>
        </row>
        <row r="27">
          <cell r="B27">
            <v>23</v>
          </cell>
          <cell r="C27" t="str">
            <v>IF-FGT/MKTAREA</v>
          </cell>
          <cell r="D27" t="str">
            <v>FGT City Gate</v>
          </cell>
        </row>
        <row r="28">
          <cell r="B28">
            <v>24</v>
          </cell>
          <cell r="C28" t="str">
            <v>IF-FGT/MKTAREA</v>
          </cell>
          <cell r="D28" t="str">
            <v>FGT Market Area Transport Cost</v>
          </cell>
        </row>
        <row r="29">
          <cell r="B29">
            <v>25</v>
          </cell>
          <cell r="C29" t="str">
            <v>IF-AGUA DULCE</v>
          </cell>
          <cell r="D29" t="str">
            <v>IF Agua Dulce</v>
          </cell>
        </row>
        <row r="30">
          <cell r="B30">
            <v>26</v>
          </cell>
          <cell r="C30" t="str">
            <v>IF-ANR/LA</v>
          </cell>
          <cell r="D30" t="str">
            <v>IF ANR Louisiana</v>
          </cell>
        </row>
        <row r="31">
          <cell r="B31">
            <v>27</v>
          </cell>
          <cell r="C31" t="str">
            <v>IF-ANR/LA_ONSHO</v>
          </cell>
          <cell r="D31" t="str">
            <v>IF ANR Onshore</v>
          </cell>
        </row>
        <row r="32">
          <cell r="B32">
            <v>28</v>
          </cell>
          <cell r="C32" t="str">
            <v>IF-ANR/OK</v>
          </cell>
          <cell r="D32" t="str">
            <v>IF ANR Oklahoma</v>
          </cell>
        </row>
        <row r="33">
          <cell r="B33">
            <v>29</v>
          </cell>
          <cell r="C33" t="str">
            <v>IF-ARKLA/ARK-OK</v>
          </cell>
          <cell r="D33" t="str">
            <v>IF Arkla/Ark,OK-50%</v>
          </cell>
        </row>
        <row r="34">
          <cell r="B34">
            <v>30</v>
          </cell>
          <cell r="C34" t="str">
            <v>IF-CARTHAGE</v>
          </cell>
          <cell r="D34" t="str">
            <v>IF Carthage</v>
          </cell>
        </row>
        <row r="35">
          <cell r="B35">
            <v>31</v>
          </cell>
          <cell r="C35" t="str">
            <v>IF-CIG/RKYMTN</v>
          </cell>
          <cell r="D35" t="str">
            <v>IF CIG Rocky Mountains</v>
          </cell>
        </row>
        <row r="36">
          <cell r="B36">
            <v>32</v>
          </cell>
          <cell r="C36" t="str">
            <v>IF-CIG/WINDRVR</v>
          </cell>
          <cell r="D36" t="str">
            <v>IF CIG Wind River</v>
          </cell>
        </row>
        <row r="37">
          <cell r="B37">
            <v>33</v>
          </cell>
          <cell r="C37" t="str">
            <v>IF-CNG/APPALACH</v>
          </cell>
          <cell r="D37" t="str">
            <v>IF CNG Appalachia</v>
          </cell>
        </row>
        <row r="38">
          <cell r="B38">
            <v>34</v>
          </cell>
          <cell r="C38" t="str">
            <v>IF-CGT/APPALAC</v>
          </cell>
          <cell r="D38" t="str">
            <v>IF Columbia Gas Appalachia</v>
          </cell>
        </row>
        <row r="39">
          <cell r="B39">
            <v>35</v>
          </cell>
          <cell r="C39" t="str">
            <v>IF-CGT/CITYGATE</v>
          </cell>
          <cell r="D39" t="str">
            <v>IF Columbia Gas City Gate</v>
          </cell>
        </row>
        <row r="40">
          <cell r="B40">
            <v>36</v>
          </cell>
          <cell r="C40" t="str">
            <v>IF-COLGULF/LA</v>
          </cell>
          <cell r="D40" t="str">
            <v>IF Columbia Gulf Louisiana</v>
          </cell>
        </row>
        <row r="41">
          <cell r="B41">
            <v>37</v>
          </cell>
          <cell r="C41" t="str">
            <v>IF-COLGUL/RAYNE</v>
          </cell>
          <cell r="D41" t="str">
            <v>IF Columbia Gulf Rayne</v>
          </cell>
        </row>
        <row r="42">
          <cell r="B42">
            <v>38</v>
          </cell>
          <cell r="C42" t="str">
            <v>IF/ELPO/ANADARK</v>
          </cell>
          <cell r="D42" t="str">
            <v>IF EL Paso Anadarko</v>
          </cell>
        </row>
        <row r="43">
          <cell r="B43">
            <v>39</v>
          </cell>
          <cell r="C43" t="str">
            <v>IF-ELPO/PERMIAN</v>
          </cell>
          <cell r="D43" t="str">
            <v>IF EL Paso Permian</v>
          </cell>
        </row>
        <row r="44">
          <cell r="B44">
            <v>40</v>
          </cell>
          <cell r="C44" t="str">
            <v>IF-ELPO/SJ</v>
          </cell>
          <cell r="D44" t="str">
            <v>IF EL Paso San Juan</v>
          </cell>
        </row>
        <row r="45">
          <cell r="B45">
            <v>41</v>
          </cell>
          <cell r="C45" t="str">
            <v>IF-FGT/Z1</v>
          </cell>
          <cell r="D45" t="str">
            <v>IF FGT Zone 1</v>
          </cell>
        </row>
        <row r="46">
          <cell r="B46">
            <v>42</v>
          </cell>
          <cell r="C46" t="str">
            <v>IF-FGT/Z2</v>
          </cell>
          <cell r="D46" t="str">
            <v>IF FGT Zone 2</v>
          </cell>
        </row>
        <row r="47">
          <cell r="B47">
            <v>43</v>
          </cell>
          <cell r="C47" t="str">
            <v>IF-FGT/Z3</v>
          </cell>
          <cell r="D47" t="str">
            <v>IF FGT Zone 3</v>
          </cell>
        </row>
        <row r="48">
          <cell r="B48">
            <v>44</v>
          </cell>
          <cell r="C48" t="str">
            <v>IF-HEHUB</v>
          </cell>
          <cell r="D48" t="str">
            <v>IF Henry Hub</v>
          </cell>
        </row>
        <row r="49">
          <cell r="B49">
            <v>45</v>
          </cell>
          <cell r="C49" t="str">
            <v>IF-HPL/SHPCHAN</v>
          </cell>
          <cell r="D49" t="str">
            <v>IF HPL Ship Channel</v>
          </cell>
        </row>
        <row r="50">
          <cell r="B50">
            <v>46</v>
          </cell>
          <cell r="C50" t="str">
            <v>IF-KATY</v>
          </cell>
          <cell r="D50" t="str">
            <v>IF KATY Hub East Texas</v>
          </cell>
        </row>
        <row r="51">
          <cell r="B51">
            <v>47</v>
          </cell>
          <cell r="C51" t="str">
            <v>IF-KERN/RIVER</v>
          </cell>
          <cell r="D51" t="str">
            <v>IF Kern River Wyoming</v>
          </cell>
        </row>
        <row r="52">
          <cell r="B52">
            <v>48</v>
          </cell>
          <cell r="C52" t="str">
            <v>IF-KOCH/LA</v>
          </cell>
          <cell r="D52" t="str">
            <v>IF Koch Louisiana</v>
          </cell>
        </row>
        <row r="53">
          <cell r="B53">
            <v>49</v>
          </cell>
          <cell r="C53" t="str">
            <v>IF-KOCH/TX</v>
          </cell>
          <cell r="D53" t="str">
            <v>IF Koch Texas</v>
          </cell>
        </row>
        <row r="54">
          <cell r="B54">
            <v>50</v>
          </cell>
          <cell r="C54" t="str">
            <v>IF-NGPL/HARPER</v>
          </cell>
          <cell r="D54" t="str">
            <v>IF NGPL Harper</v>
          </cell>
        </row>
        <row r="55">
          <cell r="B55">
            <v>51</v>
          </cell>
          <cell r="C55" t="str">
            <v>IF-NGPL/LA</v>
          </cell>
          <cell r="D55" t="str">
            <v>IF NGPL Louisiana</v>
          </cell>
        </row>
        <row r="56">
          <cell r="B56">
            <v>52</v>
          </cell>
          <cell r="C56" t="str">
            <v>IF-NGPL/MIDCON</v>
          </cell>
          <cell r="D56" t="str">
            <v>IF NGPL Mid Continent</v>
          </cell>
        </row>
        <row r="57">
          <cell r="B57">
            <v>53</v>
          </cell>
          <cell r="C57" t="str">
            <v>IF-NGPL/OK-NW</v>
          </cell>
          <cell r="D57" t="str">
            <v>IF NGPL OK NW ( GAGE)</v>
          </cell>
        </row>
        <row r="58">
          <cell r="B58">
            <v>54</v>
          </cell>
          <cell r="C58" t="str">
            <v>IF-NGPL/TX</v>
          </cell>
          <cell r="D58" t="str">
            <v>IF NGPL South Texas</v>
          </cell>
        </row>
        <row r="59">
          <cell r="B59">
            <v>55</v>
          </cell>
          <cell r="C59" t="str">
            <v>IF-NGPLTXOK</v>
          </cell>
          <cell r="D59" t="str">
            <v>IF NGPL TX-OK</v>
          </cell>
        </row>
        <row r="60">
          <cell r="B60">
            <v>56</v>
          </cell>
          <cell r="C60" t="str">
            <v>IF-NNG/DEMARCAT</v>
          </cell>
          <cell r="D60" t="str">
            <v>IF NNG Demarcation</v>
          </cell>
        </row>
        <row r="61">
          <cell r="B61">
            <v>57</v>
          </cell>
          <cell r="C61" t="str">
            <v>IF-NNG/TOK</v>
          </cell>
          <cell r="D61" t="str">
            <v>IF NNG TX-OK-KS</v>
          </cell>
        </row>
        <row r="62">
          <cell r="B62">
            <v>58</v>
          </cell>
          <cell r="C62" t="str">
            <v>IF-NNG/VENT</v>
          </cell>
          <cell r="D62" t="str">
            <v>IF NNG Ventura</v>
          </cell>
        </row>
        <row r="63">
          <cell r="B63">
            <v>59</v>
          </cell>
          <cell r="C63" t="str">
            <v>IF-NORAM/EAST</v>
          </cell>
          <cell r="D63" t="str">
            <v>IF NorAm East</v>
          </cell>
        </row>
        <row r="64">
          <cell r="B64">
            <v>60</v>
          </cell>
          <cell r="C64" t="str">
            <v>IF-NORAM/WEST</v>
          </cell>
          <cell r="D64" t="str">
            <v>IF NorAm West</v>
          </cell>
        </row>
        <row r="65">
          <cell r="B65">
            <v>61</v>
          </cell>
          <cell r="C65" t="str">
            <v>IF-NTHWST/CANBR</v>
          </cell>
          <cell r="D65" t="str">
            <v>IF NWPL Canadian Border</v>
          </cell>
        </row>
        <row r="66">
          <cell r="B66">
            <v>62</v>
          </cell>
          <cell r="C66" t="str">
            <v>IF-NWPL_ROCKY_M</v>
          </cell>
          <cell r="D66" t="str">
            <v>IF NWPL Rocky Mountains</v>
          </cell>
        </row>
        <row r="67">
          <cell r="B67">
            <v>63</v>
          </cell>
          <cell r="C67" t="str">
            <v>IF-ONG/OKLAHOMA</v>
          </cell>
          <cell r="D67" t="str">
            <v>IF ONG Oklahoma</v>
          </cell>
        </row>
        <row r="68">
          <cell r="B68">
            <v>64</v>
          </cell>
          <cell r="C68" t="str">
            <v>IF-PAN/TX/OK</v>
          </cell>
          <cell r="D68" t="str">
            <v>IF PEPL TX-OK</v>
          </cell>
        </row>
        <row r="69">
          <cell r="B69">
            <v>65</v>
          </cell>
          <cell r="C69" t="str">
            <v>IF-QUESTAR</v>
          </cell>
          <cell r="D69" t="str">
            <v>IF Questar Rocky Mountains</v>
          </cell>
        </row>
        <row r="70">
          <cell r="B70">
            <v>66</v>
          </cell>
          <cell r="C70" t="str">
            <v>IF-SONAT/LA</v>
          </cell>
          <cell r="D70" t="str">
            <v>IF Sonat Louisiana</v>
          </cell>
        </row>
        <row r="71">
          <cell r="B71">
            <v>67</v>
          </cell>
          <cell r="C71" t="str">
            <v>IF-TENN/LA</v>
          </cell>
          <cell r="D71" t="str">
            <v>IF Tenn LA Zone 1 (500 Line)</v>
          </cell>
        </row>
        <row r="72">
          <cell r="B72">
            <v>68</v>
          </cell>
          <cell r="C72" t="str">
            <v>IF-TENN/LA_OFF</v>
          </cell>
          <cell r="D72" t="str">
            <v>IF Tenn LA Zone 1 (800 Line)</v>
          </cell>
        </row>
        <row r="73">
          <cell r="B73">
            <v>69</v>
          </cell>
          <cell r="C73" t="str">
            <v>IF-TENN/TX</v>
          </cell>
          <cell r="D73" t="str">
            <v>IF Tenn TX Zone 0 (100 Line)</v>
          </cell>
        </row>
        <row r="74">
          <cell r="B74">
            <v>70</v>
          </cell>
          <cell r="C74" t="str">
            <v>IF-TETCO/ELA</v>
          </cell>
          <cell r="D74" t="str">
            <v>IF TETCO East Louisiana</v>
          </cell>
        </row>
        <row r="75">
          <cell r="B75">
            <v>71</v>
          </cell>
          <cell r="C75" t="str">
            <v>IF-TETCO/ETX</v>
          </cell>
          <cell r="D75" t="str">
            <v>IF TETCO East Texas</v>
          </cell>
        </row>
        <row r="76">
          <cell r="B76">
            <v>72</v>
          </cell>
          <cell r="C76" t="str">
            <v>IF-TETCO/STX</v>
          </cell>
          <cell r="D76" t="str">
            <v>IF TETCO South Texas</v>
          </cell>
        </row>
        <row r="77">
          <cell r="B77">
            <v>73</v>
          </cell>
          <cell r="C77" t="str">
            <v>IF-TETCO/WLA</v>
          </cell>
          <cell r="D77" t="str">
            <v>IF TETCO West Louisiana</v>
          </cell>
        </row>
        <row r="78">
          <cell r="B78">
            <v>74</v>
          </cell>
          <cell r="C78" t="str">
            <v>IF-TETCO/M1</v>
          </cell>
          <cell r="D78" t="str">
            <v>IF TETCO Zone M1</v>
          </cell>
        </row>
        <row r="79">
          <cell r="B79">
            <v>75</v>
          </cell>
          <cell r="C79" t="str">
            <v>IF-TETCO/M3</v>
          </cell>
          <cell r="D79" t="str">
            <v>IF TETCO Zone M3 (Market)</v>
          </cell>
        </row>
        <row r="80">
          <cell r="B80">
            <v>76</v>
          </cell>
          <cell r="C80" t="str">
            <v>IF-TGT/ZSL</v>
          </cell>
          <cell r="D80" t="str">
            <v>IF TGT South Louisiana</v>
          </cell>
        </row>
        <row r="81">
          <cell r="B81">
            <v>77</v>
          </cell>
          <cell r="C81" t="str">
            <v>IF-TGT/Z1</v>
          </cell>
          <cell r="D81" t="str">
            <v>IF TGT Zone 1</v>
          </cell>
        </row>
        <row r="82">
          <cell r="B82">
            <v>78</v>
          </cell>
          <cell r="C82" t="str">
            <v>IF-TRANSCO/Z4</v>
          </cell>
          <cell r="D82" t="str">
            <v>IF Transco Miss/Ala  (85)</v>
          </cell>
        </row>
        <row r="83">
          <cell r="B83">
            <v>79</v>
          </cell>
          <cell r="C83" t="str">
            <v>IF-TRANSCO/Z1</v>
          </cell>
          <cell r="D83" t="str">
            <v>IF Transco Zone 1  (30)</v>
          </cell>
        </row>
        <row r="84">
          <cell r="B84">
            <v>80</v>
          </cell>
          <cell r="C84" t="str">
            <v>IF-TRANSCO/Z2</v>
          </cell>
          <cell r="D84" t="str">
            <v>IF Transco Zone 2  (45)</v>
          </cell>
        </row>
        <row r="85">
          <cell r="B85">
            <v>81</v>
          </cell>
          <cell r="C85" t="str">
            <v>IF-TRANSCO/Z3</v>
          </cell>
          <cell r="D85" t="str">
            <v>IF Transco Zone 3  (50,62,65)</v>
          </cell>
        </row>
        <row r="86">
          <cell r="B86">
            <v>82</v>
          </cell>
          <cell r="C86" t="str">
            <v>IF-TRANSCO/Z6</v>
          </cell>
          <cell r="D86" t="str">
            <v>IF Transco Zone 6 (Market)</v>
          </cell>
        </row>
        <row r="87">
          <cell r="B87">
            <v>83</v>
          </cell>
          <cell r="C87" t="str">
            <v>IF-TRUNKL/LA</v>
          </cell>
          <cell r="D87" t="str">
            <v>IF Trunkline Louisiana</v>
          </cell>
        </row>
        <row r="88">
          <cell r="B88">
            <v>84</v>
          </cell>
          <cell r="C88" t="str">
            <v>IF-TRUNKL/TX</v>
          </cell>
          <cell r="D88" t="str">
            <v>IF Trunkline Texas</v>
          </cell>
        </row>
        <row r="89">
          <cell r="B89">
            <v>85</v>
          </cell>
          <cell r="C89" t="str">
            <v>IF-TW/PERMIAN</v>
          </cell>
          <cell r="D89" t="str">
            <v>IF TW Permian</v>
          </cell>
        </row>
        <row r="90">
          <cell r="B90">
            <v>86</v>
          </cell>
          <cell r="C90" t="str">
            <v>IF-VALERO/TX</v>
          </cell>
          <cell r="D90" t="str">
            <v>IF Valero Texas</v>
          </cell>
        </row>
        <row r="91">
          <cell r="B91">
            <v>87</v>
          </cell>
          <cell r="C91" t="str">
            <v>IF-WNG/TOK</v>
          </cell>
          <cell r="D91" t="str">
            <v>IF Williams TX-OK-KS</v>
          </cell>
        </row>
        <row r="92">
          <cell r="B92">
            <v>88</v>
          </cell>
          <cell r="C92" t="str">
            <v>IF-CNG/NORTH</v>
          </cell>
          <cell r="D92" t="str">
            <v>IF-CNG/NORTH</v>
          </cell>
        </row>
        <row r="93">
          <cell r="B93">
            <v>89</v>
          </cell>
          <cell r="C93" t="str">
            <v>IF-CNG/N_CITYGA</v>
          </cell>
          <cell r="D93" t="str">
            <v>IF-CNG/NORTH CITYGATE</v>
          </cell>
        </row>
        <row r="94">
          <cell r="B94">
            <v>90</v>
          </cell>
          <cell r="C94" t="str">
            <v>IF-TENN/Z5</v>
          </cell>
          <cell r="D94" t="str">
            <v>IF-TENN/Z5</v>
          </cell>
        </row>
        <row r="95">
          <cell r="B95">
            <v>91</v>
          </cell>
          <cell r="C95" t="str">
            <v>IF-TENN/Z6</v>
          </cell>
          <cell r="D95" t="str">
            <v>IF-TENN/Z6</v>
          </cell>
        </row>
        <row r="96">
          <cell r="B96">
            <v>92</v>
          </cell>
          <cell r="C96" t="str">
            <v>IF-TRANSCO/Z5</v>
          </cell>
          <cell r="D96" t="str">
            <v>IF-TRANSCO/Z5</v>
          </cell>
        </row>
        <row r="97">
          <cell r="B97">
            <v>93</v>
          </cell>
          <cell r="C97" t="str">
            <v>KERO-NYPHY</v>
          </cell>
          <cell r="D97" t="str">
            <v>KERO-NYPHY</v>
          </cell>
        </row>
        <row r="98">
          <cell r="B98">
            <v>94</v>
          </cell>
          <cell r="C98" t="str">
            <v>INT</v>
          </cell>
          <cell r="D98" t="str">
            <v>Libor AA Interest Rate</v>
          </cell>
        </row>
        <row r="99">
          <cell r="B99">
            <v>95</v>
          </cell>
          <cell r="C99" t="str">
            <v>C2GC</v>
          </cell>
          <cell r="D99" t="str">
            <v>MB Ethane</v>
          </cell>
        </row>
        <row r="100">
          <cell r="B100">
            <v>96</v>
          </cell>
          <cell r="C100" t="str">
            <v>EPMX</v>
          </cell>
          <cell r="D100" t="str">
            <v>MB Ethane/Propane Mix</v>
          </cell>
        </row>
        <row r="101">
          <cell r="B101">
            <v>97</v>
          </cell>
          <cell r="C101" t="str">
            <v>IBXT</v>
          </cell>
          <cell r="D101" t="str">
            <v>MB NTET Iso-Butane</v>
          </cell>
        </row>
        <row r="102">
          <cell r="B102">
            <v>98</v>
          </cell>
          <cell r="C102" t="str">
            <v>C5XT</v>
          </cell>
          <cell r="D102" t="str">
            <v>MB NTET Nat Gasoline</v>
          </cell>
        </row>
        <row r="103">
          <cell r="B103">
            <v>99</v>
          </cell>
          <cell r="C103" t="str">
            <v>NBXT</v>
          </cell>
          <cell r="D103" t="str">
            <v>MB NTET N-Butane</v>
          </cell>
        </row>
        <row r="104">
          <cell r="B104">
            <v>100</v>
          </cell>
          <cell r="C104" t="str">
            <v>C3XT</v>
          </cell>
          <cell r="D104" t="str">
            <v>MB NTET Propane</v>
          </cell>
        </row>
        <row r="105">
          <cell r="B105">
            <v>101</v>
          </cell>
          <cell r="C105" t="str">
            <v>IC4</v>
          </cell>
          <cell r="D105" t="str">
            <v>MB TET Iso-Butane</v>
          </cell>
        </row>
        <row r="106">
          <cell r="B106">
            <v>102</v>
          </cell>
          <cell r="C106" t="str">
            <v>C5+</v>
          </cell>
          <cell r="D106" t="str">
            <v>MB TET Nat Gasoline</v>
          </cell>
        </row>
        <row r="107">
          <cell r="B107">
            <v>103</v>
          </cell>
          <cell r="C107" t="str">
            <v>NC4</v>
          </cell>
          <cell r="D107" t="str">
            <v>MB TET N-Butane</v>
          </cell>
        </row>
        <row r="108">
          <cell r="B108">
            <v>104</v>
          </cell>
          <cell r="C108" t="str">
            <v>C3GC</v>
          </cell>
          <cell r="D108" t="str">
            <v>MB TET Propane</v>
          </cell>
        </row>
        <row r="109">
          <cell r="B109">
            <v>105</v>
          </cell>
          <cell r="C109" t="str">
            <v>GD-LOW_IROQUOIS</v>
          </cell>
          <cell r="D109" t="str">
            <v>GD Low Iroquois</v>
          </cell>
        </row>
        <row r="110">
          <cell r="B110">
            <v>106</v>
          </cell>
          <cell r="C110" t="str">
            <v>MEOH</v>
          </cell>
          <cell r="D110" t="str">
            <v>Methanol Gulf Coast</v>
          </cell>
        </row>
        <row r="111">
          <cell r="B111">
            <v>107</v>
          </cell>
          <cell r="C111" t="str">
            <v>MICH/CONS</v>
          </cell>
          <cell r="D111" t="str">
            <v>MichCon Consumers</v>
          </cell>
        </row>
        <row r="112">
          <cell r="B112">
            <v>108</v>
          </cell>
          <cell r="C112" t="str">
            <v>ML7/CG</v>
          </cell>
          <cell r="D112" t="str">
            <v>ML7 CITYGATE (CRYSTAL FALLS)</v>
          </cell>
        </row>
        <row r="113">
          <cell r="B113">
            <v>109</v>
          </cell>
          <cell r="C113" t="str">
            <v>MTBE</v>
          </cell>
          <cell r="D113" t="str">
            <v>MTBE Gulf coast</v>
          </cell>
        </row>
        <row r="114">
          <cell r="B114">
            <v>110</v>
          </cell>
          <cell r="C114" t="str">
            <v>NGI/CHI. GATE</v>
          </cell>
          <cell r="D114" t="str">
            <v>NGI Chicago City Gate</v>
          </cell>
        </row>
        <row r="115">
          <cell r="B115">
            <v>111</v>
          </cell>
          <cell r="C115" t="str">
            <v>NGI-MALIN</v>
          </cell>
          <cell r="D115" t="str">
            <v>NGI Malin (North Cal Border)</v>
          </cell>
        </row>
        <row r="116">
          <cell r="B116">
            <v>112</v>
          </cell>
          <cell r="C116" t="str">
            <v>NGI-MICH_CG</v>
          </cell>
          <cell r="D116" t="str">
            <v>NGI Michigan ConsoIidated</v>
          </cell>
        </row>
        <row r="117">
          <cell r="B117">
            <v>113</v>
          </cell>
          <cell r="C117" t="str">
            <v>NGI-PGE/CG</v>
          </cell>
          <cell r="D117" t="str">
            <v>NGI PGE City Gate</v>
          </cell>
        </row>
        <row r="118">
          <cell r="B118">
            <v>114</v>
          </cell>
          <cell r="C118" t="str">
            <v>NGI-SOCAL</v>
          </cell>
          <cell r="D118" t="str">
            <v>NGI Socal (South Cal Border)</v>
          </cell>
        </row>
        <row r="119">
          <cell r="B119">
            <v>115</v>
          </cell>
          <cell r="C119" t="str">
            <v>NGW-ALGO/CITY</v>
          </cell>
          <cell r="D119" t="str">
            <v>NGW Algonquin City Gate</v>
          </cell>
        </row>
        <row r="120">
          <cell r="B120">
            <v>116</v>
          </cell>
          <cell r="C120" t="str">
            <v>NGW-ALGONQUIN</v>
          </cell>
          <cell r="D120" t="str">
            <v xml:space="preserve">NGW Algonquin </v>
          </cell>
        </row>
        <row r="121">
          <cell r="B121">
            <v>117</v>
          </cell>
          <cell r="C121" t="str">
            <v>NGW-IROQ/WADD</v>
          </cell>
          <cell r="D121" t="str">
            <v>NGW Iroquois/Waddington</v>
          </cell>
        </row>
        <row r="122">
          <cell r="B122">
            <v>118</v>
          </cell>
          <cell r="C122" t="str">
            <v>NG</v>
          </cell>
          <cell r="D122" t="str">
            <v>Nymex Natural Gas</v>
          </cell>
        </row>
        <row r="123">
          <cell r="B123">
            <v>119</v>
          </cell>
          <cell r="C123" t="str">
            <v>HU</v>
          </cell>
          <cell r="D123" t="str">
            <v>Unleaded Gasoline</v>
          </cell>
        </row>
        <row r="124">
          <cell r="B124">
            <v>120</v>
          </cell>
          <cell r="C124" t="str">
            <v>WAHA KCBT</v>
          </cell>
          <cell r="D124" t="str">
            <v>Waha Hub West Texas</v>
          </cell>
        </row>
        <row r="125">
          <cell r="B125">
            <v>121</v>
          </cell>
          <cell r="C125" t="str">
            <v>WTI</v>
          </cell>
          <cell r="D125" t="str">
            <v>WTI Crude Oil</v>
          </cell>
        </row>
        <row r="126">
          <cell r="B126">
            <v>122</v>
          </cell>
          <cell r="D126" t="str">
            <v>Open</v>
          </cell>
        </row>
        <row r="127">
          <cell r="B127">
            <v>123</v>
          </cell>
          <cell r="D127" t="str">
            <v>Open</v>
          </cell>
        </row>
        <row r="128">
          <cell r="B128">
            <v>124</v>
          </cell>
          <cell r="D128" t="str">
            <v>Open</v>
          </cell>
        </row>
        <row r="129">
          <cell r="B129">
            <v>125</v>
          </cell>
          <cell r="D129" t="str">
            <v>Open</v>
          </cell>
        </row>
        <row r="130">
          <cell r="B130">
            <v>126</v>
          </cell>
          <cell r="D130" t="str">
            <v>Open</v>
          </cell>
        </row>
        <row r="131">
          <cell r="B131">
            <v>127</v>
          </cell>
          <cell r="D131" t="str">
            <v>Open</v>
          </cell>
        </row>
        <row r="132">
          <cell r="B132">
            <v>128</v>
          </cell>
          <cell r="D132" t="str">
            <v>Open</v>
          </cell>
        </row>
        <row r="133">
          <cell r="B133">
            <v>129</v>
          </cell>
          <cell r="D133" t="str">
            <v>Open</v>
          </cell>
        </row>
        <row r="134">
          <cell r="B134">
            <v>130</v>
          </cell>
          <cell r="D134" t="str">
            <v>Open</v>
          </cell>
        </row>
        <row r="135">
          <cell r="B135">
            <v>131</v>
          </cell>
          <cell r="D135" t="str">
            <v>Open</v>
          </cell>
        </row>
        <row r="136">
          <cell r="B136">
            <v>132</v>
          </cell>
          <cell r="D136" t="str">
            <v>Open</v>
          </cell>
        </row>
        <row r="137">
          <cell r="B137">
            <v>133</v>
          </cell>
          <cell r="D137" t="str">
            <v>Open</v>
          </cell>
        </row>
        <row r="138">
          <cell r="B138">
            <v>134</v>
          </cell>
          <cell r="D138" t="str">
            <v>Open</v>
          </cell>
        </row>
        <row r="139">
          <cell r="B139">
            <v>135</v>
          </cell>
          <cell r="D139" t="str">
            <v>Open</v>
          </cell>
        </row>
        <row r="140">
          <cell r="B140">
            <v>136</v>
          </cell>
          <cell r="D140" t="str">
            <v>Open</v>
          </cell>
        </row>
        <row r="141">
          <cell r="B141">
            <v>137</v>
          </cell>
          <cell r="D141" t="str">
            <v>Open</v>
          </cell>
        </row>
        <row r="142">
          <cell r="B142">
            <v>138</v>
          </cell>
          <cell r="D142" t="str">
            <v>Open</v>
          </cell>
        </row>
        <row r="143">
          <cell r="B143">
            <v>139</v>
          </cell>
          <cell r="D143" t="str">
            <v>Open</v>
          </cell>
        </row>
        <row r="144">
          <cell r="B144">
            <v>140</v>
          </cell>
          <cell r="D144" t="str">
            <v>Open</v>
          </cell>
        </row>
        <row r="145">
          <cell r="B145">
            <v>141</v>
          </cell>
          <cell r="D145" t="str">
            <v>Open</v>
          </cell>
        </row>
        <row r="146">
          <cell r="B146">
            <v>142</v>
          </cell>
          <cell r="D146" t="str">
            <v>Open</v>
          </cell>
        </row>
        <row r="147">
          <cell r="B147">
            <v>143</v>
          </cell>
          <cell r="D147" t="str">
            <v>Open</v>
          </cell>
        </row>
        <row r="148">
          <cell r="B148">
            <v>144</v>
          </cell>
          <cell r="D148" t="str">
            <v>Open</v>
          </cell>
        </row>
        <row r="149">
          <cell r="B149">
            <v>145</v>
          </cell>
        </row>
        <row r="150">
          <cell r="B150">
            <v>146</v>
          </cell>
        </row>
        <row r="151">
          <cell r="B151">
            <v>147</v>
          </cell>
        </row>
        <row r="152">
          <cell r="B152">
            <v>148</v>
          </cell>
        </row>
        <row r="153">
          <cell r="B153">
            <v>149</v>
          </cell>
        </row>
        <row r="154">
          <cell r="B154">
            <v>150</v>
          </cell>
        </row>
        <row r="155">
          <cell r="B155">
            <v>151</v>
          </cell>
        </row>
        <row r="156">
          <cell r="B156">
            <v>152</v>
          </cell>
        </row>
        <row r="157">
          <cell r="B157">
            <v>153</v>
          </cell>
        </row>
        <row r="158">
          <cell r="B158">
            <v>154</v>
          </cell>
        </row>
        <row r="159">
          <cell r="B159">
            <v>155</v>
          </cell>
        </row>
        <row r="160">
          <cell r="B160">
            <v>156</v>
          </cell>
        </row>
        <row r="161">
          <cell r="B161">
            <v>157</v>
          </cell>
        </row>
        <row r="162">
          <cell r="B162">
            <v>158</v>
          </cell>
        </row>
        <row r="163">
          <cell r="B163">
            <v>159</v>
          </cell>
        </row>
        <row r="164">
          <cell r="B164">
            <v>160</v>
          </cell>
        </row>
        <row r="165">
          <cell r="B165">
            <v>161</v>
          </cell>
        </row>
        <row r="166">
          <cell r="B166">
            <v>162</v>
          </cell>
        </row>
        <row r="167">
          <cell r="B167">
            <v>163</v>
          </cell>
        </row>
        <row r="168">
          <cell r="B168">
            <v>164</v>
          </cell>
        </row>
        <row r="169">
          <cell r="B169">
            <v>165</v>
          </cell>
        </row>
        <row r="170">
          <cell r="B170">
            <v>166</v>
          </cell>
        </row>
        <row r="171">
          <cell r="B171">
            <v>167</v>
          </cell>
        </row>
        <row r="172">
          <cell r="B172">
            <v>168</v>
          </cell>
        </row>
        <row r="173">
          <cell r="B173">
            <v>169</v>
          </cell>
        </row>
        <row r="174">
          <cell r="B174">
            <v>170</v>
          </cell>
        </row>
        <row r="175">
          <cell r="B175">
            <v>171</v>
          </cell>
        </row>
        <row r="176">
          <cell r="B176">
            <v>172</v>
          </cell>
        </row>
        <row r="177">
          <cell r="B177">
            <v>173</v>
          </cell>
        </row>
        <row r="178">
          <cell r="B178">
            <v>174</v>
          </cell>
        </row>
        <row r="179">
          <cell r="B179">
            <v>175</v>
          </cell>
        </row>
        <row r="180">
          <cell r="B180">
            <v>176</v>
          </cell>
        </row>
        <row r="181">
          <cell r="B181">
            <v>177</v>
          </cell>
        </row>
        <row r="182">
          <cell r="B182">
            <v>178</v>
          </cell>
        </row>
        <row r="183">
          <cell r="B183">
            <v>179</v>
          </cell>
        </row>
        <row r="184">
          <cell r="B184">
            <v>180</v>
          </cell>
        </row>
        <row r="185">
          <cell r="B185">
            <v>181</v>
          </cell>
        </row>
        <row r="186">
          <cell r="B186">
            <v>182</v>
          </cell>
        </row>
        <row r="187">
          <cell r="B187">
            <v>183</v>
          </cell>
        </row>
        <row r="188">
          <cell r="B188">
            <v>184</v>
          </cell>
        </row>
        <row r="189">
          <cell r="B189">
            <v>185</v>
          </cell>
        </row>
        <row r="190">
          <cell r="B190">
            <v>186</v>
          </cell>
        </row>
        <row r="191">
          <cell r="B191">
            <v>187</v>
          </cell>
        </row>
        <row r="192">
          <cell r="B192">
            <v>188</v>
          </cell>
        </row>
        <row r="193">
          <cell r="B193">
            <v>189</v>
          </cell>
        </row>
        <row r="194">
          <cell r="B194">
            <v>190</v>
          </cell>
        </row>
        <row r="195">
          <cell r="B195">
            <v>191</v>
          </cell>
        </row>
        <row r="196">
          <cell r="B196">
            <v>192</v>
          </cell>
        </row>
        <row r="197">
          <cell r="B197">
            <v>193</v>
          </cell>
        </row>
        <row r="198">
          <cell r="B198">
            <v>194</v>
          </cell>
        </row>
        <row r="199">
          <cell r="B199">
            <v>195</v>
          </cell>
        </row>
        <row r="200">
          <cell r="B200">
            <v>196</v>
          </cell>
        </row>
        <row r="201">
          <cell r="B201">
            <v>197</v>
          </cell>
        </row>
        <row r="202">
          <cell r="B202">
            <v>198</v>
          </cell>
        </row>
        <row r="203">
          <cell r="B203">
            <v>199</v>
          </cell>
        </row>
        <row r="204">
          <cell r="B204">
            <v>200</v>
          </cell>
        </row>
        <row r="205">
          <cell r="B205">
            <v>201</v>
          </cell>
        </row>
        <row r="206">
          <cell r="B206">
            <v>202</v>
          </cell>
        </row>
        <row r="207">
          <cell r="B207">
            <v>203</v>
          </cell>
        </row>
        <row r="208">
          <cell r="B208">
            <v>204</v>
          </cell>
        </row>
        <row r="209">
          <cell r="B209">
            <v>205</v>
          </cell>
        </row>
        <row r="210">
          <cell r="B210">
            <v>206</v>
          </cell>
        </row>
        <row r="211">
          <cell r="B211">
            <v>207</v>
          </cell>
        </row>
        <row r="212">
          <cell r="B212">
            <v>208</v>
          </cell>
        </row>
        <row r="213">
          <cell r="B213">
            <v>209</v>
          </cell>
        </row>
        <row r="214">
          <cell r="B214">
            <v>210</v>
          </cell>
        </row>
        <row r="215">
          <cell r="B215">
            <v>211</v>
          </cell>
        </row>
        <row r="216">
          <cell r="B216">
            <v>212</v>
          </cell>
        </row>
        <row r="217">
          <cell r="B217">
            <v>213</v>
          </cell>
        </row>
        <row r="218">
          <cell r="B218">
            <v>214</v>
          </cell>
        </row>
        <row r="219">
          <cell r="B219">
            <v>215</v>
          </cell>
        </row>
        <row r="220">
          <cell r="B220">
            <v>216</v>
          </cell>
        </row>
        <row r="221">
          <cell r="B221">
            <v>217</v>
          </cell>
        </row>
        <row r="222">
          <cell r="B222">
            <v>218</v>
          </cell>
        </row>
        <row r="223">
          <cell r="B223">
            <v>219</v>
          </cell>
        </row>
        <row r="224">
          <cell r="B224">
            <v>220</v>
          </cell>
        </row>
        <row r="225">
          <cell r="B225">
            <v>221</v>
          </cell>
        </row>
        <row r="226">
          <cell r="B226">
            <v>222</v>
          </cell>
        </row>
        <row r="227">
          <cell r="B227">
            <v>223</v>
          </cell>
        </row>
        <row r="228">
          <cell r="B228">
            <v>224</v>
          </cell>
        </row>
        <row r="229">
          <cell r="B229">
            <v>225</v>
          </cell>
        </row>
        <row r="230">
          <cell r="B230">
            <v>226</v>
          </cell>
        </row>
        <row r="231">
          <cell r="B231">
            <v>227</v>
          </cell>
        </row>
        <row r="232">
          <cell r="B232">
            <v>228</v>
          </cell>
        </row>
        <row r="233">
          <cell r="B233">
            <v>229</v>
          </cell>
        </row>
        <row r="234">
          <cell r="B234">
            <v>230</v>
          </cell>
        </row>
        <row r="235">
          <cell r="B235">
            <v>231</v>
          </cell>
        </row>
        <row r="236">
          <cell r="B236">
            <v>232</v>
          </cell>
        </row>
        <row r="237">
          <cell r="B237">
            <v>233</v>
          </cell>
        </row>
        <row r="238">
          <cell r="B238">
            <v>234</v>
          </cell>
        </row>
        <row r="239">
          <cell r="B239">
            <v>235</v>
          </cell>
        </row>
        <row r="240">
          <cell r="B240">
            <v>236</v>
          </cell>
        </row>
        <row r="241">
          <cell r="B241">
            <v>237</v>
          </cell>
        </row>
        <row r="242">
          <cell r="B242">
            <v>238</v>
          </cell>
        </row>
        <row r="243">
          <cell r="B243">
            <v>239</v>
          </cell>
        </row>
        <row r="244">
          <cell r="B244">
            <v>240</v>
          </cell>
        </row>
        <row r="245">
          <cell r="B245">
            <v>241</v>
          </cell>
        </row>
        <row r="246">
          <cell r="B246">
            <v>242</v>
          </cell>
        </row>
        <row r="247">
          <cell r="B247">
            <v>243</v>
          </cell>
        </row>
        <row r="248">
          <cell r="B248">
            <v>244</v>
          </cell>
        </row>
        <row r="249">
          <cell r="B249">
            <v>245</v>
          </cell>
        </row>
        <row r="250">
          <cell r="B250">
            <v>246</v>
          </cell>
        </row>
        <row r="251">
          <cell r="B251">
            <v>247</v>
          </cell>
        </row>
        <row r="252">
          <cell r="B252">
            <v>248</v>
          </cell>
        </row>
        <row r="253">
          <cell r="B253">
            <v>249</v>
          </cell>
        </row>
        <row r="254">
          <cell r="B254">
            <v>250</v>
          </cell>
        </row>
        <row r="255">
          <cell r="B255">
            <v>251</v>
          </cell>
        </row>
        <row r="256">
          <cell r="B256">
            <v>252</v>
          </cell>
        </row>
        <row r="257">
          <cell r="B257">
            <v>253</v>
          </cell>
        </row>
        <row r="258">
          <cell r="B258">
            <v>254</v>
          </cell>
        </row>
        <row r="259">
          <cell r="B259">
            <v>255</v>
          </cell>
        </row>
        <row r="260">
          <cell r="B260">
            <v>256</v>
          </cell>
        </row>
        <row r="261">
          <cell r="B261">
            <v>257</v>
          </cell>
        </row>
        <row r="262">
          <cell r="B262">
            <v>258</v>
          </cell>
        </row>
        <row r="263">
          <cell r="B263">
            <v>259</v>
          </cell>
        </row>
        <row r="264">
          <cell r="B264">
            <v>260</v>
          </cell>
        </row>
        <row r="265">
          <cell r="B265">
            <v>261</v>
          </cell>
        </row>
        <row r="266">
          <cell r="B266">
            <v>262</v>
          </cell>
        </row>
        <row r="267">
          <cell r="B267">
            <v>263</v>
          </cell>
        </row>
        <row r="268">
          <cell r="B268">
            <v>264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mpress"/>
      <sheetName val="Model Operations"/>
      <sheetName val="Sithe Sheet"/>
      <sheetName val="Value Summary"/>
      <sheetName val="Curves"/>
      <sheetName val="From Storage"/>
      <sheetName val="From Load"/>
      <sheetName val="ContractTbl"/>
      <sheetName val="Demand summary (2)"/>
      <sheetName val="Demand summary"/>
      <sheetName val="Demand"/>
      <sheetName val="Monthly Vols"/>
      <sheetName val="Expenses"/>
      <sheetName val="Calc Excess"/>
      <sheetName val="In the $ Vols"/>
      <sheetName val="Summary of Stranded"/>
      <sheetName val="Path1"/>
      <sheetName val="Path2"/>
      <sheetName val="Path3"/>
      <sheetName val="Path4"/>
      <sheetName val="Path5"/>
      <sheetName val="Path6"/>
      <sheetName val="Path7"/>
      <sheetName val="Path8"/>
      <sheetName val="Path9"/>
      <sheetName val="Path10"/>
      <sheetName val="Path11"/>
      <sheetName val="Path12"/>
      <sheetName val="Path13"/>
      <sheetName val="Path14"/>
      <sheetName val="Path15"/>
      <sheetName val="Path16"/>
      <sheetName val="Path17"/>
      <sheetName val="Path18"/>
      <sheetName val="Path19"/>
      <sheetName val="Path20"/>
      <sheetName val="Path21"/>
      <sheetName val="Path22"/>
      <sheetName val="Path23"/>
      <sheetName val="Path24"/>
      <sheetName val="Path25"/>
      <sheetName val="Path26"/>
      <sheetName val="Path27"/>
      <sheetName val="Path28"/>
      <sheetName val="Path29"/>
      <sheetName val="Path30"/>
      <sheetName val="Path31"/>
      <sheetName val="Path32"/>
      <sheetName val="Path33"/>
      <sheetName val="Path34"/>
      <sheetName val="Path35"/>
      <sheetName val="Path36"/>
      <sheetName val="Path37"/>
      <sheetName val="Path38"/>
      <sheetName val="Path39"/>
      <sheetName val="Path40"/>
      <sheetName val="Path41"/>
      <sheetName val="Path42"/>
      <sheetName val="Path43"/>
      <sheetName val="Path44"/>
      <sheetName val="Path45"/>
      <sheetName val="Path46"/>
      <sheetName val="Path47"/>
      <sheetName val="Path48"/>
      <sheetName val="Path49"/>
      <sheetName val="Path50"/>
      <sheetName val="Path51"/>
      <sheetName val="Path52"/>
      <sheetName val="Path53"/>
      <sheetName val="Path5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2">
          <cell r="C12">
            <v>40000</v>
          </cell>
          <cell r="D12">
            <v>80000</v>
          </cell>
          <cell r="E12">
            <v>36050</v>
          </cell>
          <cell r="F12">
            <v>119740</v>
          </cell>
          <cell r="G12">
            <v>124142</v>
          </cell>
          <cell r="I12">
            <v>28400</v>
          </cell>
          <cell r="L12">
            <v>39326</v>
          </cell>
        </row>
        <row r="20">
          <cell r="C20">
            <v>1.6E-2</v>
          </cell>
          <cell r="D20">
            <v>1.4E-2</v>
          </cell>
          <cell r="E20">
            <v>3.95E-2</v>
          </cell>
          <cell r="F20">
            <v>1.06E-2</v>
          </cell>
          <cell r="G20">
            <v>3.6970217296000006E-3</v>
          </cell>
          <cell r="I20">
            <v>3.4114391715199997E-2</v>
          </cell>
        </row>
        <row r="24">
          <cell r="C24">
            <v>2.2000000000000001E-3</v>
          </cell>
          <cell r="D24">
            <v>2.2000000000000001E-3</v>
          </cell>
          <cell r="E24">
            <v>2.2000000000000001E-3</v>
          </cell>
        </row>
        <row r="25">
          <cell r="F25" t="str">
            <v>N</v>
          </cell>
          <cell r="G25" t="str">
            <v>N</v>
          </cell>
          <cell r="H25" t="str">
            <v>N</v>
          </cell>
          <cell r="I25" t="str">
            <v>N</v>
          </cell>
        </row>
        <row r="26">
          <cell r="C26">
            <v>4.6100000000000002E-2</v>
          </cell>
          <cell r="D26">
            <v>4.9700000000000001E-2</v>
          </cell>
          <cell r="E26">
            <v>4.5699999999999998E-2</v>
          </cell>
          <cell r="F26">
            <v>8.0000000000000002E-3</v>
          </cell>
          <cell r="G26">
            <v>1.055056E-2</v>
          </cell>
          <cell r="I26">
            <v>7.3853920000000003E-2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calation sheet"/>
      <sheetName val="Model Operations"/>
      <sheetName val="Value Summary"/>
      <sheetName val="Curves"/>
      <sheetName val="From Storage"/>
      <sheetName val="From Load"/>
      <sheetName val="ScratchPad"/>
      <sheetName val="ContractTbl"/>
      <sheetName val="Demand"/>
      <sheetName val="Monthly Vols"/>
      <sheetName val="Expenses"/>
      <sheetName val="Hedging Cost"/>
      <sheetName val="Pvalue"/>
      <sheetName val="Summary"/>
      <sheetName val="SummaryBreak"/>
      <sheetName val="In the $ Summary"/>
      <sheetName val="For Fletch"/>
      <sheetName val="Bid-Offer New"/>
      <sheetName val="Desk Bids-Offers"/>
      <sheetName val="In th Money Volumes"/>
      <sheetName val="Calc Excess"/>
      <sheetName val="In the $ Vols"/>
      <sheetName val="Summary of Stranded"/>
      <sheetName val="Path1"/>
      <sheetName val="Path2"/>
      <sheetName val="Path3"/>
      <sheetName val="Path4"/>
      <sheetName val="Path5"/>
      <sheetName val="Path6"/>
      <sheetName val="Path7"/>
      <sheetName val="Path8"/>
      <sheetName val="Path9"/>
      <sheetName val="Path10"/>
      <sheetName val="Path11"/>
      <sheetName val="Path12"/>
      <sheetName val="Path13"/>
      <sheetName val="Path14"/>
      <sheetName val="Path15"/>
      <sheetName val="Path16"/>
      <sheetName val="Path17"/>
      <sheetName val="Path18"/>
      <sheetName val="Path19"/>
      <sheetName val="Path20"/>
      <sheetName val="Path21"/>
      <sheetName val="Path22"/>
      <sheetName val="Path23"/>
      <sheetName val="Path24"/>
      <sheetName val="Path25"/>
      <sheetName val="Path26"/>
      <sheetName val="Path27"/>
      <sheetName val="Path28"/>
      <sheetName val="Path29"/>
      <sheetName val="Path30"/>
      <sheetName val="Path31"/>
      <sheetName val="Path32"/>
      <sheetName val="Path33"/>
      <sheetName val="Path34"/>
      <sheetName val="Path35"/>
      <sheetName val="Path36"/>
      <sheetName val="Path37"/>
      <sheetName val="Path38"/>
      <sheetName val="Path39"/>
      <sheetName val="Path40"/>
      <sheetName val="Path41"/>
      <sheetName val="Path42"/>
      <sheetName val="Path43"/>
      <sheetName val="Path44"/>
      <sheetName val="Path45"/>
      <sheetName val="Path46"/>
      <sheetName val="Path47"/>
      <sheetName val="Path48"/>
      <sheetName val="Path49"/>
      <sheetName val="Path50"/>
      <sheetName val="Path51"/>
      <sheetName val="Path52"/>
      <sheetName val="Path53"/>
      <sheetName val="Path54"/>
    </sheetNames>
    <sheetDataSet>
      <sheetData sheetId="0">
        <row r="20">
          <cell r="X20">
            <v>3.4114391715199997E-2</v>
          </cell>
        </row>
        <row r="21">
          <cell r="X21">
            <v>3.4114391715199997E-2</v>
          </cell>
        </row>
        <row r="22">
          <cell r="X22">
            <v>3.4114391715199997E-2</v>
          </cell>
        </row>
        <row r="23">
          <cell r="X23">
            <v>3.4114391715199997E-2</v>
          </cell>
        </row>
        <row r="24">
          <cell r="X24">
            <v>3.4114391715199997E-2</v>
          </cell>
        </row>
        <row r="25">
          <cell r="X25">
            <v>3.4114391715199997E-2</v>
          </cell>
        </row>
        <row r="26">
          <cell r="X26">
            <v>3.4114391715199997E-2</v>
          </cell>
        </row>
        <row r="27">
          <cell r="X27">
            <v>3.5888340084390402E-2</v>
          </cell>
        </row>
        <row r="28">
          <cell r="X28">
            <v>3.5888340084390402E-2</v>
          </cell>
        </row>
        <row r="29">
          <cell r="X29">
            <v>3.5888340084390402E-2</v>
          </cell>
        </row>
        <row r="30">
          <cell r="X30">
            <v>3.5888340084390402E-2</v>
          </cell>
        </row>
        <row r="31">
          <cell r="X31">
            <v>3.5888340084390402E-2</v>
          </cell>
        </row>
        <row r="32">
          <cell r="X32">
            <v>3.5888340084390402E-2</v>
          </cell>
        </row>
        <row r="33">
          <cell r="X33">
            <v>3.5888340084390402E-2</v>
          </cell>
        </row>
        <row r="34">
          <cell r="X34">
            <v>3.5888340084390402E-2</v>
          </cell>
        </row>
        <row r="35">
          <cell r="X35">
            <v>3.5888340084390402E-2</v>
          </cell>
        </row>
        <row r="36">
          <cell r="X36">
            <v>3.5888340084390402E-2</v>
          </cell>
        </row>
        <row r="37">
          <cell r="X37">
            <v>3.5888340084390402E-2</v>
          </cell>
        </row>
        <row r="38">
          <cell r="X38">
            <v>3.5888340084390402E-2</v>
          </cell>
        </row>
        <row r="39">
          <cell r="X39">
            <v>4.6654842109707523E-2</v>
          </cell>
        </row>
        <row r="40">
          <cell r="X40">
            <v>4.6654842109707523E-2</v>
          </cell>
        </row>
        <row r="41">
          <cell r="X41">
            <v>4.6654842109707523E-2</v>
          </cell>
        </row>
        <row r="42">
          <cell r="X42">
            <v>4.6654842109707523E-2</v>
          </cell>
        </row>
        <row r="43">
          <cell r="X43">
            <v>4.6654842109707523E-2</v>
          </cell>
        </row>
        <row r="44">
          <cell r="X44">
            <v>4.6654842109707523E-2</v>
          </cell>
        </row>
        <row r="45">
          <cell r="X45">
            <v>4.6654842109707523E-2</v>
          </cell>
        </row>
        <row r="46">
          <cell r="X46">
            <v>4.6654842109707523E-2</v>
          </cell>
        </row>
        <row r="47">
          <cell r="X47">
            <v>4.6654842109707523E-2</v>
          </cell>
        </row>
        <row r="48">
          <cell r="X48">
            <v>4.6654842109707523E-2</v>
          </cell>
        </row>
        <row r="49">
          <cell r="X49">
            <v>4.6654842109707523E-2</v>
          </cell>
        </row>
        <row r="50">
          <cell r="X50">
            <v>4.6654842109707523E-2</v>
          </cell>
        </row>
        <row r="51">
          <cell r="X51">
            <v>4.7587938951901672E-2</v>
          </cell>
        </row>
        <row r="52">
          <cell r="X52">
            <v>4.7587938951901672E-2</v>
          </cell>
        </row>
        <row r="53">
          <cell r="X53">
            <v>4.7587938951901672E-2</v>
          </cell>
        </row>
        <row r="54">
          <cell r="X54">
            <v>4.7587938951901672E-2</v>
          </cell>
        </row>
        <row r="55">
          <cell r="X55">
            <v>4.7587938951901672E-2</v>
          </cell>
        </row>
        <row r="56">
          <cell r="X56">
            <v>4.7587938951901672E-2</v>
          </cell>
        </row>
        <row r="57">
          <cell r="X57">
            <v>4.7587938951901672E-2</v>
          </cell>
        </row>
        <row r="58">
          <cell r="X58">
            <v>4.7587938951901672E-2</v>
          </cell>
        </row>
        <row r="59">
          <cell r="X59">
            <v>4.7587938951901672E-2</v>
          </cell>
        </row>
        <row r="60">
          <cell r="X60">
            <v>4.7587938951901672E-2</v>
          </cell>
        </row>
        <row r="61">
          <cell r="X61">
            <v>4.7587938951901672E-2</v>
          </cell>
        </row>
        <row r="62">
          <cell r="X62">
            <v>4.7587938951901672E-2</v>
          </cell>
        </row>
        <row r="63">
          <cell r="X63">
            <v>4.8539697730939704E-2</v>
          </cell>
        </row>
        <row r="64">
          <cell r="X64">
            <v>4.8539697730939704E-2</v>
          </cell>
        </row>
        <row r="65">
          <cell r="X65">
            <v>4.8539697730939704E-2</v>
          </cell>
        </row>
        <row r="66">
          <cell r="X66">
            <v>4.8539697730939704E-2</v>
          </cell>
        </row>
        <row r="67">
          <cell r="X67">
            <v>4.8539697730939704E-2</v>
          </cell>
        </row>
        <row r="68">
          <cell r="X68">
            <v>4.8539697730939704E-2</v>
          </cell>
        </row>
        <row r="69">
          <cell r="X69">
            <v>4.8539697730939704E-2</v>
          </cell>
        </row>
        <row r="70">
          <cell r="X70">
            <v>4.8539697730939704E-2</v>
          </cell>
        </row>
        <row r="71">
          <cell r="X71">
            <v>4.8539697730939704E-2</v>
          </cell>
        </row>
        <row r="72">
          <cell r="X72">
            <v>4.8539697730939704E-2</v>
          </cell>
        </row>
        <row r="73">
          <cell r="X73">
            <v>4.8539697730939704E-2</v>
          </cell>
        </row>
        <row r="74">
          <cell r="X74">
            <v>4.8539697730939704E-2</v>
          </cell>
        </row>
        <row r="75">
          <cell r="X75">
            <v>4.9510491685558503E-2</v>
          </cell>
        </row>
        <row r="76">
          <cell r="X76">
            <v>4.9510491685558503E-2</v>
          </cell>
        </row>
        <row r="77">
          <cell r="X77">
            <v>4.9510491685558503E-2</v>
          </cell>
        </row>
        <row r="78">
          <cell r="X78">
            <v>4.9510491685558503E-2</v>
          </cell>
        </row>
        <row r="79">
          <cell r="X79">
            <v>4.9510491685558503E-2</v>
          </cell>
        </row>
        <row r="80">
          <cell r="X80">
            <v>4.9510491685558503E-2</v>
          </cell>
        </row>
        <row r="81">
          <cell r="X81">
            <v>4.9510491685558503E-2</v>
          </cell>
        </row>
        <row r="82">
          <cell r="X82">
            <v>4.9510491685558503E-2</v>
          </cell>
        </row>
        <row r="83">
          <cell r="X83">
            <v>4.9510491685558503E-2</v>
          </cell>
        </row>
        <row r="84">
          <cell r="X84">
            <v>4.9510491685558503E-2</v>
          </cell>
        </row>
        <row r="85">
          <cell r="X85">
            <v>4.9510491685558503E-2</v>
          </cell>
        </row>
        <row r="86">
          <cell r="X86">
            <v>4.9510491685558503E-2</v>
          </cell>
        </row>
        <row r="87">
          <cell r="X87">
            <v>5.0500701519269671E-2</v>
          </cell>
        </row>
        <row r="88">
          <cell r="X88">
            <v>5.0500701519269671E-2</v>
          </cell>
        </row>
        <row r="89">
          <cell r="X89">
            <v>5.0500701519269671E-2</v>
          </cell>
        </row>
        <row r="90">
          <cell r="X90">
            <v>5.0500701519269671E-2</v>
          </cell>
        </row>
        <row r="91">
          <cell r="X91">
            <v>5.0500701519269671E-2</v>
          </cell>
        </row>
        <row r="92">
          <cell r="X92">
            <v>5.0500701519269671E-2</v>
          </cell>
        </row>
        <row r="93">
          <cell r="X93">
            <v>5.0500701519269671E-2</v>
          </cell>
        </row>
        <row r="94">
          <cell r="X94">
            <v>5.0500701519269671E-2</v>
          </cell>
        </row>
        <row r="95">
          <cell r="X95">
            <v>5.0500701519269671E-2</v>
          </cell>
        </row>
        <row r="96">
          <cell r="X96">
            <v>5.0500701519269671E-2</v>
          </cell>
        </row>
        <row r="97">
          <cell r="X97">
            <v>5.0500701519269671E-2</v>
          </cell>
        </row>
        <row r="98">
          <cell r="X98">
            <v>5.0500701519269671E-2</v>
          </cell>
        </row>
        <row r="99">
          <cell r="X99">
            <v>5.1510715549655063E-2</v>
          </cell>
        </row>
        <row r="100">
          <cell r="X100">
            <v>5.1510715549655063E-2</v>
          </cell>
        </row>
        <row r="101">
          <cell r="X101">
            <v>5.1510715549655063E-2</v>
          </cell>
        </row>
        <row r="102">
          <cell r="X102">
            <v>5.1510715549655063E-2</v>
          </cell>
        </row>
        <row r="103">
          <cell r="X103">
            <v>5.1510715549655063E-2</v>
          </cell>
        </row>
        <row r="104">
          <cell r="X104">
            <v>5.1510715549655063E-2</v>
          </cell>
        </row>
        <row r="105">
          <cell r="X105">
            <v>5.1510715549655063E-2</v>
          </cell>
        </row>
        <row r="106">
          <cell r="X106">
            <v>5.1510715549655063E-2</v>
          </cell>
        </row>
        <row r="107">
          <cell r="X107">
            <v>5.1510715549655063E-2</v>
          </cell>
        </row>
        <row r="108">
          <cell r="X108">
            <v>5.1510715549655063E-2</v>
          </cell>
        </row>
        <row r="109">
          <cell r="X109">
            <v>5.1510715549655063E-2</v>
          </cell>
        </row>
        <row r="110">
          <cell r="X110">
            <v>5.1510715549655063E-2</v>
          </cell>
        </row>
        <row r="111">
          <cell r="X111">
            <v>5.2540929860648164E-2</v>
          </cell>
        </row>
        <row r="112">
          <cell r="X112">
            <v>5.2540929860648164E-2</v>
          </cell>
        </row>
        <row r="113">
          <cell r="X113">
            <v>5.2540929860648164E-2</v>
          </cell>
        </row>
        <row r="114">
          <cell r="X114">
            <v>5.2540929860648164E-2</v>
          </cell>
        </row>
        <row r="115">
          <cell r="X115">
            <v>5.2540929860648164E-2</v>
          </cell>
        </row>
        <row r="116">
          <cell r="X116">
            <v>5.2540929860648164E-2</v>
          </cell>
        </row>
        <row r="117">
          <cell r="X117">
            <v>5.2540929860648164E-2</v>
          </cell>
        </row>
        <row r="118">
          <cell r="X118">
            <v>5.2540929860648164E-2</v>
          </cell>
        </row>
        <row r="119">
          <cell r="X119">
            <v>5.2540929860648164E-2</v>
          </cell>
        </row>
        <row r="120">
          <cell r="X120">
            <v>5.2540929860648164E-2</v>
          </cell>
        </row>
        <row r="121">
          <cell r="X121">
            <v>5.2540929860648164E-2</v>
          </cell>
        </row>
        <row r="122">
          <cell r="X122">
            <v>5.2540929860648164E-2</v>
          </cell>
        </row>
        <row r="123">
          <cell r="X123">
            <v>5.3591748457861126E-2</v>
          </cell>
        </row>
        <row r="124">
          <cell r="X124">
            <v>5.3591748457861126E-2</v>
          </cell>
        </row>
        <row r="125">
          <cell r="X125">
            <v>5.3591748457861126E-2</v>
          </cell>
        </row>
        <row r="126">
          <cell r="X126">
            <v>5.3591748457861126E-2</v>
          </cell>
        </row>
        <row r="127">
          <cell r="X127">
            <v>5.3591748457861126E-2</v>
          </cell>
        </row>
        <row r="128">
          <cell r="X128">
            <v>5.3591748457861126E-2</v>
          </cell>
        </row>
        <row r="129">
          <cell r="X129">
            <v>5.3591748457861126E-2</v>
          </cell>
        </row>
        <row r="130">
          <cell r="X130">
            <v>5.3591748457861126E-2</v>
          </cell>
        </row>
        <row r="131">
          <cell r="X131">
            <v>5.3591748457861126E-2</v>
          </cell>
        </row>
        <row r="132">
          <cell r="X132">
            <v>5.3591748457861126E-2</v>
          </cell>
        </row>
        <row r="133">
          <cell r="X133">
            <v>5.3591748457861126E-2</v>
          </cell>
        </row>
        <row r="134">
          <cell r="X134">
            <v>5.3591748457861126E-2</v>
          </cell>
        </row>
        <row r="135">
          <cell r="X135">
            <v>5.4663583427018346E-2</v>
          </cell>
        </row>
        <row r="136">
          <cell r="X136">
            <v>5.4663583427018346E-2</v>
          </cell>
        </row>
        <row r="137">
          <cell r="X137">
            <v>5.4663583427018346E-2</v>
          </cell>
        </row>
        <row r="138">
          <cell r="X138">
            <v>5.4663583427018346E-2</v>
          </cell>
        </row>
        <row r="139">
          <cell r="X139">
            <v>5.4663583427018346E-2</v>
          </cell>
        </row>
        <row r="140">
          <cell r="X140">
            <v>5.4663583427018346E-2</v>
          </cell>
        </row>
        <row r="141">
          <cell r="X141">
            <v>5.4663583427018346E-2</v>
          </cell>
        </row>
        <row r="142">
          <cell r="X142">
            <v>5.4663583427018346E-2</v>
          </cell>
        </row>
        <row r="143">
          <cell r="X143">
            <v>5.4663583427018346E-2</v>
          </cell>
        </row>
        <row r="144">
          <cell r="X144">
            <v>5.4663583427018346E-2</v>
          </cell>
        </row>
        <row r="145">
          <cell r="X145">
            <v>5.4663583427018346E-2</v>
          </cell>
        </row>
        <row r="146">
          <cell r="X146">
            <v>5.4663583427018346E-2</v>
          </cell>
        </row>
        <row r="147">
          <cell r="X147">
            <v>5.5756855095558715E-2</v>
          </cell>
        </row>
        <row r="148">
          <cell r="X148">
            <v>5.5756855095558715E-2</v>
          </cell>
        </row>
        <row r="149">
          <cell r="X149">
            <v>5.5756855095558715E-2</v>
          </cell>
        </row>
        <row r="150">
          <cell r="X150">
            <v>5.5756855095558715E-2</v>
          </cell>
        </row>
        <row r="151">
          <cell r="X151">
            <v>5.5756855095558715E-2</v>
          </cell>
        </row>
        <row r="152">
          <cell r="X152">
            <v>5.5756855095558715E-2</v>
          </cell>
        </row>
        <row r="153">
          <cell r="X153">
            <v>5.5756855095558715E-2</v>
          </cell>
        </row>
        <row r="154">
          <cell r="X154">
            <v>5.5756855095558715E-2</v>
          </cell>
        </row>
        <row r="155">
          <cell r="X155">
            <v>5.5756855095558715E-2</v>
          </cell>
        </row>
        <row r="156">
          <cell r="X156">
            <v>5.5756855095558715E-2</v>
          </cell>
        </row>
        <row r="157">
          <cell r="X157">
            <v>5.5756855095558715E-2</v>
          </cell>
        </row>
        <row r="158">
          <cell r="X158">
            <v>5.5756855095558715E-2</v>
          </cell>
        </row>
        <row r="159">
          <cell r="X159">
            <v>5.6871992197469891E-2</v>
          </cell>
        </row>
        <row r="160">
          <cell r="X160">
            <v>5.6871992197469891E-2</v>
          </cell>
        </row>
        <row r="161">
          <cell r="X161">
            <v>5.6871992197469891E-2</v>
          </cell>
        </row>
        <row r="162">
          <cell r="X162">
            <v>5.6871992197469891E-2</v>
          </cell>
        </row>
        <row r="163">
          <cell r="X163">
            <v>5.6871992197469891E-2</v>
          </cell>
        </row>
        <row r="164">
          <cell r="X164">
            <v>5.6871992197469891E-2</v>
          </cell>
        </row>
        <row r="165">
          <cell r="X165">
            <v>5.6871992197469891E-2</v>
          </cell>
        </row>
        <row r="166">
          <cell r="X166">
            <v>5.6871992197469891E-2</v>
          </cell>
        </row>
        <row r="167">
          <cell r="X167">
            <v>5.6871992197469891E-2</v>
          </cell>
        </row>
        <row r="168">
          <cell r="X168">
            <v>5.6871992197469891E-2</v>
          </cell>
        </row>
        <row r="169">
          <cell r="X169">
            <v>5.6871992197469891E-2</v>
          </cell>
        </row>
        <row r="170">
          <cell r="X170">
            <v>5.6871992197469891E-2</v>
          </cell>
        </row>
        <row r="171">
          <cell r="X171">
            <v>5.8009432041419291E-2</v>
          </cell>
        </row>
        <row r="172">
          <cell r="X172">
            <v>5.8009432041419291E-2</v>
          </cell>
        </row>
        <row r="173">
          <cell r="X173">
            <v>5.8009432041419291E-2</v>
          </cell>
        </row>
        <row r="174">
          <cell r="X174">
            <v>5.8009432041419291E-2</v>
          </cell>
        </row>
        <row r="175">
          <cell r="X175">
            <v>5.8009432041419291E-2</v>
          </cell>
        </row>
        <row r="176">
          <cell r="X176">
            <v>5.8009432041419291E-2</v>
          </cell>
        </row>
        <row r="177">
          <cell r="X177">
            <v>5.8009432041419291E-2</v>
          </cell>
        </row>
        <row r="178">
          <cell r="X178">
            <v>5.8009432041419291E-2</v>
          </cell>
        </row>
        <row r="179">
          <cell r="X179">
            <v>5.8009432041419291E-2</v>
          </cell>
        </row>
        <row r="180">
          <cell r="X180">
            <v>5.8009432041419291E-2</v>
          </cell>
        </row>
        <row r="181">
          <cell r="X181">
            <v>5.8009432041419291E-2</v>
          </cell>
        </row>
        <row r="182">
          <cell r="X182">
            <v>5.8009432041419291E-2</v>
          </cell>
        </row>
      </sheetData>
      <sheetData sheetId="1">
        <row r="62">
          <cell r="C62">
            <v>1.1522266576E-3</v>
          </cell>
          <cell r="E62">
            <v>3.6970217296000006E-3</v>
          </cell>
        </row>
        <row r="63">
          <cell r="C63">
            <v>1.1522266576E-3</v>
          </cell>
          <cell r="E63">
            <v>3.6970217296000006E-3</v>
          </cell>
        </row>
        <row r="64">
          <cell r="C64">
            <v>1.1522266576E-3</v>
          </cell>
          <cell r="E64">
            <v>3.6970217296000006E-3</v>
          </cell>
        </row>
        <row r="65">
          <cell r="C65">
            <v>1.1522266576E-3</v>
          </cell>
          <cell r="E65">
            <v>3.6970217296000006E-3</v>
          </cell>
        </row>
        <row r="66">
          <cell r="C66">
            <v>1.1522266576E-3</v>
          </cell>
          <cell r="E66">
            <v>3.6970217296000006E-3</v>
          </cell>
        </row>
        <row r="67">
          <cell r="C67">
            <v>1.1522266576E-3</v>
          </cell>
          <cell r="E67">
            <v>3.6970217296000006E-3</v>
          </cell>
        </row>
        <row r="68">
          <cell r="C68">
            <v>1.1522266576E-3</v>
          </cell>
          <cell r="E68">
            <v>3.6970217296000006E-3</v>
          </cell>
        </row>
        <row r="69">
          <cell r="C69">
            <v>1.2121424437952001E-3</v>
          </cell>
          <cell r="E69">
            <v>3.8892668595392008E-3</v>
          </cell>
        </row>
        <row r="70">
          <cell r="C70">
            <v>1.2121424437952001E-3</v>
          </cell>
          <cell r="E70">
            <v>3.8892668595392008E-3</v>
          </cell>
        </row>
        <row r="71">
          <cell r="C71">
            <v>1.2121424437952001E-3</v>
          </cell>
          <cell r="E71">
            <v>3.8892668595392008E-3</v>
          </cell>
        </row>
        <row r="72">
          <cell r="C72">
            <v>1.2121424437952001E-3</v>
          </cell>
          <cell r="E72">
            <v>3.8892668595392008E-3</v>
          </cell>
        </row>
        <row r="73">
          <cell r="C73">
            <v>1.2121424437952001E-3</v>
          </cell>
          <cell r="E73">
            <v>3.8892668595392008E-3</v>
          </cell>
        </row>
        <row r="74">
          <cell r="C74">
            <v>1.2121424437952001E-3</v>
          </cell>
          <cell r="E74">
            <v>3.8892668595392008E-3</v>
          </cell>
        </row>
        <row r="75">
          <cell r="C75">
            <v>1.2121424437952001E-3</v>
          </cell>
          <cell r="E75">
            <v>3.8892668595392008E-3</v>
          </cell>
        </row>
        <row r="76">
          <cell r="C76">
            <v>1.2121424437952001E-3</v>
          </cell>
          <cell r="E76">
            <v>3.8892668595392008E-3</v>
          </cell>
        </row>
        <row r="77">
          <cell r="C77">
            <v>1.2121424437952001E-3</v>
          </cell>
          <cell r="E77">
            <v>3.8892668595392008E-3</v>
          </cell>
        </row>
        <row r="78">
          <cell r="C78">
            <v>1.2121424437952001E-3</v>
          </cell>
          <cell r="E78">
            <v>3.8892668595392008E-3</v>
          </cell>
        </row>
        <row r="79">
          <cell r="C79">
            <v>1.2121424437952001E-3</v>
          </cell>
          <cell r="E79">
            <v>3.8892668595392008E-3</v>
          </cell>
        </row>
        <row r="80">
          <cell r="C80">
            <v>1.2121424437952001E-3</v>
          </cell>
          <cell r="E80">
            <v>3.8892668595392008E-3</v>
          </cell>
        </row>
        <row r="81">
          <cell r="C81">
            <v>1.5757851769337601E-3</v>
          </cell>
          <cell r="E81">
            <v>5.0560469174009614E-3</v>
          </cell>
        </row>
        <row r="82">
          <cell r="C82">
            <v>1.5757851769337601E-3</v>
          </cell>
          <cell r="E82">
            <v>5.0560469174009614E-3</v>
          </cell>
        </row>
        <row r="83">
          <cell r="C83">
            <v>1.5757851769337601E-3</v>
          </cell>
          <cell r="E83">
            <v>5.0560469174009614E-3</v>
          </cell>
        </row>
        <row r="84">
          <cell r="C84">
            <v>1.5757851769337601E-3</v>
          </cell>
          <cell r="E84">
            <v>5.0560469174009614E-3</v>
          </cell>
        </row>
        <row r="85">
          <cell r="C85">
            <v>1.5757851769337601E-3</v>
          </cell>
          <cell r="E85">
            <v>5.0560469174009614E-3</v>
          </cell>
        </row>
        <row r="86">
          <cell r="C86">
            <v>1.5757851769337601E-3</v>
          </cell>
          <cell r="E86">
            <v>5.0560469174009614E-3</v>
          </cell>
        </row>
        <row r="87">
          <cell r="C87">
            <v>1.5757851769337601E-3</v>
          </cell>
          <cell r="E87">
            <v>5.0560469174009614E-3</v>
          </cell>
        </row>
        <row r="88">
          <cell r="C88">
            <v>1.5757851769337601E-3</v>
          </cell>
          <cell r="E88">
            <v>5.0560469174009614E-3</v>
          </cell>
        </row>
        <row r="89">
          <cell r="C89">
            <v>1.5757851769337601E-3</v>
          </cell>
          <cell r="E89">
            <v>5.0560469174009614E-3</v>
          </cell>
        </row>
        <row r="90">
          <cell r="C90">
            <v>1.5757851769337601E-3</v>
          </cell>
          <cell r="E90">
            <v>5.0560469174009614E-3</v>
          </cell>
        </row>
        <row r="91">
          <cell r="C91">
            <v>1.5757851769337601E-3</v>
          </cell>
          <cell r="E91">
            <v>5.0560469174009614E-3</v>
          </cell>
        </row>
        <row r="92">
          <cell r="C92">
            <v>1.5757851769337601E-3</v>
          </cell>
          <cell r="E92">
            <v>5.0560469174009614E-3</v>
          </cell>
        </row>
        <row r="93">
          <cell r="C93">
            <v>1.6545744357804482E-3</v>
          </cell>
          <cell r="E93">
            <v>5.3088492632710101E-3</v>
          </cell>
        </row>
        <row r="94">
          <cell r="C94">
            <v>1.6545744357804482E-3</v>
          </cell>
          <cell r="E94">
            <v>5.3088492632710101E-3</v>
          </cell>
        </row>
        <row r="95">
          <cell r="C95">
            <v>1.6545744357804482E-3</v>
          </cell>
          <cell r="E95">
            <v>5.3088492632710101E-3</v>
          </cell>
        </row>
        <row r="96">
          <cell r="C96">
            <v>1.6545744357804482E-3</v>
          </cell>
          <cell r="E96">
            <v>5.3088492632710101E-3</v>
          </cell>
        </row>
        <row r="97">
          <cell r="C97">
            <v>1.6545744357804482E-3</v>
          </cell>
          <cell r="E97">
            <v>5.3088492632710101E-3</v>
          </cell>
        </row>
        <row r="98">
          <cell r="C98">
            <v>1.6545744357804482E-3</v>
          </cell>
          <cell r="E98">
            <v>5.3088492632710101E-3</v>
          </cell>
        </row>
        <row r="99">
          <cell r="C99">
            <v>1.6545744357804482E-3</v>
          </cell>
          <cell r="E99">
            <v>5.3088492632710101E-3</v>
          </cell>
        </row>
        <row r="100">
          <cell r="C100">
            <v>1.6545744357804482E-3</v>
          </cell>
          <cell r="E100">
            <v>5.3088492632710101E-3</v>
          </cell>
        </row>
        <row r="101">
          <cell r="C101">
            <v>1.6545744357804482E-3</v>
          </cell>
          <cell r="E101">
            <v>5.3088492632710101E-3</v>
          </cell>
        </row>
        <row r="102">
          <cell r="C102">
            <v>1.6545744357804482E-3</v>
          </cell>
          <cell r="E102">
            <v>5.3088492632710101E-3</v>
          </cell>
        </row>
        <row r="103">
          <cell r="C103">
            <v>1.6545744357804482E-3</v>
          </cell>
          <cell r="E103">
            <v>5.3088492632710101E-3</v>
          </cell>
        </row>
        <row r="104">
          <cell r="C104">
            <v>1.6545744357804482E-3</v>
          </cell>
          <cell r="E104">
            <v>5.3088492632710101E-3</v>
          </cell>
        </row>
        <row r="105">
          <cell r="C105">
            <v>1.7373031575694706E-3</v>
          </cell>
          <cell r="E105">
            <v>5.5742917264345604E-3</v>
          </cell>
        </row>
        <row r="106">
          <cell r="C106">
            <v>1.7373031575694706E-3</v>
          </cell>
          <cell r="E106">
            <v>5.5742917264345604E-3</v>
          </cell>
        </row>
        <row r="107">
          <cell r="C107">
            <v>1.7373031575694706E-3</v>
          </cell>
          <cell r="E107">
            <v>5.5742917264345604E-3</v>
          </cell>
        </row>
        <row r="108">
          <cell r="C108">
            <v>1.7373031575694706E-3</v>
          </cell>
          <cell r="E108">
            <v>5.5742917264345604E-3</v>
          </cell>
        </row>
        <row r="109">
          <cell r="C109">
            <v>1.7373031575694706E-3</v>
          </cell>
          <cell r="E109">
            <v>5.5742917264345604E-3</v>
          </cell>
        </row>
        <row r="110">
          <cell r="C110">
            <v>1.7373031575694706E-3</v>
          </cell>
          <cell r="E110">
            <v>5.5742917264345604E-3</v>
          </cell>
        </row>
        <row r="111">
          <cell r="C111">
            <v>1.7373031575694706E-3</v>
          </cell>
          <cell r="E111">
            <v>5.5742917264345604E-3</v>
          </cell>
        </row>
        <row r="112">
          <cell r="C112">
            <v>1.7373031575694706E-3</v>
          </cell>
          <cell r="E112">
            <v>5.5742917264345604E-3</v>
          </cell>
        </row>
        <row r="113">
          <cell r="C113">
            <v>1.7373031575694706E-3</v>
          </cell>
          <cell r="E113">
            <v>5.5742917264345604E-3</v>
          </cell>
        </row>
        <row r="114">
          <cell r="C114">
            <v>1.7373031575694706E-3</v>
          </cell>
          <cell r="E114">
            <v>5.5742917264345604E-3</v>
          </cell>
        </row>
        <row r="115">
          <cell r="C115">
            <v>1.7373031575694706E-3</v>
          </cell>
          <cell r="E115">
            <v>5.5742917264345604E-3</v>
          </cell>
        </row>
        <row r="116">
          <cell r="C116">
            <v>1.7373031575694706E-3</v>
          </cell>
          <cell r="E116">
            <v>5.5742917264345604E-3</v>
          </cell>
        </row>
        <row r="117">
          <cell r="C117">
            <v>1.8241683154479442E-3</v>
          </cell>
          <cell r="E117">
            <v>5.8530063127562888E-3</v>
          </cell>
        </row>
        <row r="118">
          <cell r="C118">
            <v>1.8241683154479442E-3</v>
          </cell>
          <cell r="E118">
            <v>5.8530063127562888E-3</v>
          </cell>
        </row>
        <row r="119">
          <cell r="C119">
            <v>1.8241683154479442E-3</v>
          </cell>
          <cell r="E119">
            <v>5.8530063127562888E-3</v>
          </cell>
        </row>
        <row r="120">
          <cell r="C120">
            <v>1.8241683154479442E-3</v>
          </cell>
          <cell r="E120">
            <v>5.8530063127562888E-3</v>
          </cell>
        </row>
        <row r="121">
          <cell r="C121">
            <v>1.8241683154479442E-3</v>
          </cell>
          <cell r="E121">
            <v>5.8530063127562888E-3</v>
          </cell>
        </row>
        <row r="122">
          <cell r="C122">
            <v>1.8241683154479442E-3</v>
          </cell>
          <cell r="E122">
            <v>5.8530063127562888E-3</v>
          </cell>
        </row>
        <row r="123">
          <cell r="C123">
            <v>1.8241683154479442E-3</v>
          </cell>
          <cell r="E123">
            <v>5.8530063127562888E-3</v>
          </cell>
        </row>
        <row r="124">
          <cell r="C124">
            <v>1.8241683154479442E-3</v>
          </cell>
          <cell r="E124">
            <v>5.8530063127562888E-3</v>
          </cell>
        </row>
        <row r="125">
          <cell r="C125">
            <v>1.8241683154479442E-3</v>
          </cell>
          <cell r="E125">
            <v>5.8530063127562888E-3</v>
          </cell>
        </row>
        <row r="126">
          <cell r="C126">
            <v>1.8241683154479442E-3</v>
          </cell>
          <cell r="E126">
            <v>5.8530063127562888E-3</v>
          </cell>
        </row>
        <row r="127">
          <cell r="C127">
            <v>1.8241683154479442E-3</v>
          </cell>
          <cell r="E127">
            <v>5.8530063127562888E-3</v>
          </cell>
        </row>
        <row r="128">
          <cell r="C128">
            <v>1.8241683154479442E-3</v>
          </cell>
          <cell r="E128">
            <v>5.8530063127562888E-3</v>
          </cell>
        </row>
        <row r="129">
          <cell r="C129">
            <v>1.9153767312203415E-3</v>
          </cell>
          <cell r="E129">
            <v>6.1456566283941035E-3</v>
          </cell>
        </row>
        <row r="130">
          <cell r="C130">
            <v>1.9153767312203415E-3</v>
          </cell>
          <cell r="E130">
            <v>6.1456566283941035E-3</v>
          </cell>
        </row>
        <row r="131">
          <cell r="C131">
            <v>1.9153767312203415E-3</v>
          </cell>
          <cell r="E131">
            <v>6.1456566283941035E-3</v>
          </cell>
        </row>
        <row r="132">
          <cell r="C132">
            <v>1.9153767312203415E-3</v>
          </cell>
          <cell r="E132">
            <v>6.1456566283941035E-3</v>
          </cell>
        </row>
        <row r="133">
          <cell r="C133">
            <v>1.9153767312203415E-3</v>
          </cell>
          <cell r="E133">
            <v>6.1456566283941035E-3</v>
          </cell>
        </row>
        <row r="134">
          <cell r="C134">
            <v>1.9153767312203415E-3</v>
          </cell>
          <cell r="E134">
            <v>6.1456566283941035E-3</v>
          </cell>
        </row>
        <row r="135">
          <cell r="C135">
            <v>1.9153767312203415E-3</v>
          </cell>
          <cell r="E135">
            <v>6.1456566283941035E-3</v>
          </cell>
        </row>
        <row r="136">
          <cell r="C136">
            <v>1.9153767312203415E-3</v>
          </cell>
          <cell r="E136">
            <v>6.1456566283941035E-3</v>
          </cell>
        </row>
        <row r="137">
          <cell r="C137">
            <v>1.9153767312203415E-3</v>
          </cell>
          <cell r="E137">
            <v>6.1456566283941035E-3</v>
          </cell>
        </row>
        <row r="138">
          <cell r="C138">
            <v>1.9153767312203415E-3</v>
          </cell>
          <cell r="E138">
            <v>6.1456566283941035E-3</v>
          </cell>
        </row>
        <row r="139">
          <cell r="C139">
            <v>1.9153767312203415E-3</v>
          </cell>
          <cell r="E139">
            <v>6.1456566283941035E-3</v>
          </cell>
        </row>
        <row r="140">
          <cell r="C140">
            <v>1.9153767312203415E-3</v>
          </cell>
          <cell r="E140">
            <v>6.1456566283941035E-3</v>
          </cell>
        </row>
        <row r="141">
          <cell r="C141">
            <v>2.0111455677813586E-3</v>
          </cell>
          <cell r="E141">
            <v>6.452939459813809E-3</v>
          </cell>
        </row>
        <row r="142">
          <cell r="C142">
            <v>2.0111455677813586E-3</v>
          </cell>
          <cell r="E142">
            <v>6.452939459813809E-3</v>
          </cell>
        </row>
        <row r="143">
          <cell r="C143">
            <v>2.0111455677813586E-3</v>
          </cell>
          <cell r="E143">
            <v>6.452939459813809E-3</v>
          </cell>
        </row>
        <row r="144">
          <cell r="C144">
            <v>2.0111455677813586E-3</v>
          </cell>
          <cell r="E144">
            <v>6.452939459813809E-3</v>
          </cell>
        </row>
        <row r="145">
          <cell r="C145">
            <v>2.0111455677813586E-3</v>
          </cell>
          <cell r="E145">
            <v>6.452939459813809E-3</v>
          </cell>
        </row>
        <row r="146">
          <cell r="C146">
            <v>2.0111455677813586E-3</v>
          </cell>
          <cell r="E146">
            <v>6.452939459813809E-3</v>
          </cell>
        </row>
        <row r="147">
          <cell r="C147">
            <v>2.0111455677813586E-3</v>
          </cell>
          <cell r="E147">
            <v>6.452939459813809E-3</v>
          </cell>
        </row>
        <row r="148">
          <cell r="C148">
            <v>2.0111455677813586E-3</v>
          </cell>
          <cell r="E148">
            <v>6.452939459813809E-3</v>
          </cell>
        </row>
        <row r="149">
          <cell r="C149">
            <v>2.0111455677813586E-3</v>
          </cell>
          <cell r="E149">
            <v>6.452939459813809E-3</v>
          </cell>
        </row>
        <row r="150">
          <cell r="C150">
            <v>2.0111455677813586E-3</v>
          </cell>
          <cell r="E150">
            <v>6.452939459813809E-3</v>
          </cell>
        </row>
        <row r="151">
          <cell r="C151">
            <v>2.0111455677813586E-3</v>
          </cell>
          <cell r="E151">
            <v>6.452939459813809E-3</v>
          </cell>
        </row>
        <row r="152">
          <cell r="C152">
            <v>2.0111455677813586E-3</v>
          </cell>
          <cell r="E152">
            <v>6.452939459813809E-3</v>
          </cell>
        </row>
        <row r="153">
          <cell r="C153">
            <v>2.1117028461704267E-3</v>
          </cell>
          <cell r="E153">
            <v>6.7755864328044998E-3</v>
          </cell>
        </row>
        <row r="154">
          <cell r="C154">
            <v>2.1117028461704267E-3</v>
          </cell>
          <cell r="E154">
            <v>6.7755864328044998E-3</v>
          </cell>
        </row>
        <row r="155">
          <cell r="C155">
            <v>2.1117028461704267E-3</v>
          </cell>
          <cell r="E155">
            <v>6.7755864328044998E-3</v>
          </cell>
        </row>
        <row r="156">
          <cell r="C156">
            <v>2.1117028461704267E-3</v>
          </cell>
          <cell r="E156">
            <v>6.7755864328044998E-3</v>
          </cell>
        </row>
        <row r="157">
          <cell r="C157">
            <v>2.1117028461704267E-3</v>
          </cell>
          <cell r="E157">
            <v>6.7755864328044998E-3</v>
          </cell>
        </row>
        <row r="158">
          <cell r="C158">
            <v>2.1117028461704267E-3</v>
          </cell>
          <cell r="E158">
            <v>6.7755864328044998E-3</v>
          </cell>
        </row>
        <row r="159">
          <cell r="C159">
            <v>2.1117028461704267E-3</v>
          </cell>
          <cell r="E159">
            <v>6.7755864328044998E-3</v>
          </cell>
        </row>
        <row r="160">
          <cell r="C160">
            <v>2.1117028461704267E-3</v>
          </cell>
          <cell r="E160">
            <v>6.7755864328044998E-3</v>
          </cell>
        </row>
        <row r="161">
          <cell r="C161">
            <v>2.1117028461704267E-3</v>
          </cell>
          <cell r="E161">
            <v>6.7755864328044998E-3</v>
          </cell>
        </row>
        <row r="162">
          <cell r="C162">
            <v>2.1117028461704267E-3</v>
          </cell>
          <cell r="E162">
            <v>6.7755864328044998E-3</v>
          </cell>
        </row>
        <row r="163">
          <cell r="C163">
            <v>2.1117028461704267E-3</v>
          </cell>
          <cell r="E163">
            <v>6.7755864328044998E-3</v>
          </cell>
        </row>
        <row r="164">
          <cell r="C164">
            <v>2.1117028461704267E-3</v>
          </cell>
          <cell r="E164">
            <v>6.7755864328044998E-3</v>
          </cell>
        </row>
        <row r="165">
          <cell r="C165">
            <v>2.2172879884789481E-3</v>
          </cell>
          <cell r="E165">
            <v>7.1143657544447247E-3</v>
          </cell>
        </row>
        <row r="166">
          <cell r="C166">
            <v>2.2172879884789481E-3</v>
          </cell>
          <cell r="E166">
            <v>7.1143657544447247E-3</v>
          </cell>
        </row>
        <row r="167">
          <cell r="C167">
            <v>2.2172879884789481E-3</v>
          </cell>
          <cell r="E167">
            <v>7.1143657544447247E-3</v>
          </cell>
        </row>
        <row r="168">
          <cell r="C168">
            <v>2.2172879884789481E-3</v>
          </cell>
          <cell r="E168">
            <v>7.1143657544447247E-3</v>
          </cell>
        </row>
        <row r="169">
          <cell r="C169">
            <v>2.2172879884789481E-3</v>
          </cell>
          <cell r="E169">
            <v>7.1143657544447247E-3</v>
          </cell>
        </row>
        <row r="170">
          <cell r="C170">
            <v>2.2172879884789481E-3</v>
          </cell>
          <cell r="E170">
            <v>7.1143657544447247E-3</v>
          </cell>
        </row>
        <row r="171">
          <cell r="C171">
            <v>2.2172879884789481E-3</v>
          </cell>
          <cell r="E171">
            <v>7.1143657544447247E-3</v>
          </cell>
        </row>
        <row r="172">
          <cell r="C172">
            <v>2.2172879884789481E-3</v>
          </cell>
          <cell r="E172">
            <v>7.1143657544447247E-3</v>
          </cell>
        </row>
        <row r="173">
          <cell r="C173">
            <v>2.2172879884789481E-3</v>
          </cell>
          <cell r="E173">
            <v>7.1143657544447247E-3</v>
          </cell>
        </row>
        <row r="174">
          <cell r="C174">
            <v>2.2172879884789481E-3</v>
          </cell>
          <cell r="E174">
            <v>7.1143657544447247E-3</v>
          </cell>
        </row>
        <row r="175">
          <cell r="C175">
            <v>2.2172879884789481E-3</v>
          </cell>
          <cell r="E175">
            <v>7.1143657544447247E-3</v>
          </cell>
        </row>
        <row r="176">
          <cell r="C176">
            <v>2.2172879884789481E-3</v>
          </cell>
          <cell r="E176">
            <v>7.1143657544447247E-3</v>
          </cell>
        </row>
        <row r="177">
          <cell r="C177">
            <v>2.3281523879028956E-3</v>
          </cell>
          <cell r="E177">
            <v>7.470084042166961E-3</v>
          </cell>
        </row>
        <row r="178">
          <cell r="C178">
            <v>2.3281523879028956E-3</v>
          </cell>
          <cell r="E178">
            <v>7.470084042166961E-3</v>
          </cell>
        </row>
        <row r="179">
          <cell r="C179">
            <v>2.3281523879028956E-3</v>
          </cell>
          <cell r="E179">
            <v>7.470084042166961E-3</v>
          </cell>
        </row>
        <row r="180">
          <cell r="C180">
            <v>2.3281523879028956E-3</v>
          </cell>
          <cell r="E180">
            <v>7.470084042166961E-3</v>
          </cell>
        </row>
        <row r="181">
          <cell r="C181">
            <v>2.3281523879028956E-3</v>
          </cell>
          <cell r="E181">
            <v>7.470084042166961E-3</v>
          </cell>
        </row>
        <row r="182">
          <cell r="C182">
            <v>2.3281523879028956E-3</v>
          </cell>
          <cell r="E182">
            <v>7.470084042166961E-3</v>
          </cell>
        </row>
        <row r="183">
          <cell r="C183">
            <v>2.3281523879028956E-3</v>
          </cell>
          <cell r="E183">
            <v>7.470084042166961E-3</v>
          </cell>
        </row>
        <row r="184">
          <cell r="C184">
            <v>2.3281523879028956E-3</v>
          </cell>
          <cell r="E184">
            <v>7.470084042166961E-3</v>
          </cell>
        </row>
        <row r="185">
          <cell r="C185">
            <v>2.3281523879028956E-3</v>
          </cell>
          <cell r="E185">
            <v>7.470084042166961E-3</v>
          </cell>
        </row>
        <row r="186">
          <cell r="C186">
            <v>2.3281523879028956E-3</v>
          </cell>
          <cell r="E186">
            <v>7.470084042166961E-3</v>
          </cell>
        </row>
        <row r="187">
          <cell r="C187">
            <v>2.3281523879028956E-3</v>
          </cell>
          <cell r="E187">
            <v>7.470084042166961E-3</v>
          </cell>
        </row>
        <row r="188">
          <cell r="C188">
            <v>2.3281523879028956E-3</v>
          </cell>
          <cell r="E188">
            <v>7.470084042166961E-3</v>
          </cell>
        </row>
        <row r="189">
          <cell r="C189">
            <v>2.4445600072980403E-3</v>
          </cell>
          <cell r="E189">
            <v>7.8435882442753086E-3</v>
          </cell>
        </row>
        <row r="190">
          <cell r="C190">
            <v>2.4445600072980403E-3</v>
          </cell>
          <cell r="E190">
            <v>7.8435882442753086E-3</v>
          </cell>
        </row>
        <row r="191">
          <cell r="C191">
            <v>2.4445600072980403E-3</v>
          </cell>
          <cell r="E191">
            <v>7.8435882442753086E-3</v>
          </cell>
        </row>
        <row r="192">
          <cell r="C192">
            <v>2.4445600072980403E-3</v>
          </cell>
          <cell r="E192">
            <v>7.8435882442753086E-3</v>
          </cell>
        </row>
        <row r="193">
          <cell r="C193">
            <v>2.4445600072980403E-3</v>
          </cell>
          <cell r="E193">
            <v>7.8435882442753086E-3</v>
          </cell>
        </row>
        <row r="194">
          <cell r="C194">
            <v>2.4445600072980403E-3</v>
          </cell>
          <cell r="E194">
            <v>7.8435882442753086E-3</v>
          </cell>
        </row>
        <row r="195">
          <cell r="C195">
            <v>2.4445600072980403E-3</v>
          </cell>
          <cell r="E195">
            <v>7.8435882442753086E-3</v>
          </cell>
        </row>
        <row r="196">
          <cell r="C196">
            <v>2.4445600072980403E-3</v>
          </cell>
          <cell r="E196">
            <v>7.8435882442753086E-3</v>
          </cell>
        </row>
        <row r="197">
          <cell r="C197">
            <v>2.4445600072980403E-3</v>
          </cell>
          <cell r="E197">
            <v>7.8435882442753086E-3</v>
          </cell>
        </row>
        <row r="198">
          <cell r="C198">
            <v>2.4445600072980403E-3</v>
          </cell>
          <cell r="E198">
            <v>7.8435882442753086E-3</v>
          </cell>
        </row>
        <row r="199">
          <cell r="C199">
            <v>2.4445600072980403E-3</v>
          </cell>
          <cell r="E199">
            <v>7.8435882442753086E-3</v>
          </cell>
        </row>
        <row r="200">
          <cell r="C200">
            <v>2.4445600072980403E-3</v>
          </cell>
          <cell r="E200">
            <v>7.8435882442753086E-3</v>
          </cell>
        </row>
        <row r="201">
          <cell r="C201">
            <v>2.5667880076629423E-3</v>
          </cell>
          <cell r="E201">
            <v>8.2357676564890746E-3</v>
          </cell>
        </row>
        <row r="202">
          <cell r="C202">
            <v>2.5667880076629423E-3</v>
          </cell>
          <cell r="E202">
            <v>8.2357676564890746E-3</v>
          </cell>
        </row>
        <row r="203">
          <cell r="C203">
            <v>2.5667880076629423E-3</v>
          </cell>
          <cell r="E203">
            <v>8.2357676564890746E-3</v>
          </cell>
        </row>
        <row r="204">
          <cell r="C204">
            <v>2.5667880076629423E-3</v>
          </cell>
          <cell r="E204">
            <v>8.2357676564890746E-3</v>
          </cell>
        </row>
        <row r="205">
          <cell r="C205">
            <v>2.5667880076629423E-3</v>
          </cell>
          <cell r="E205">
            <v>8.2357676564890746E-3</v>
          </cell>
        </row>
        <row r="206">
          <cell r="C206">
            <v>2.5667880076629423E-3</v>
          </cell>
          <cell r="E206">
            <v>8.2357676564890746E-3</v>
          </cell>
        </row>
        <row r="207">
          <cell r="C207">
            <v>2.5667880076629423E-3</v>
          </cell>
          <cell r="E207">
            <v>8.2357676564890746E-3</v>
          </cell>
        </row>
        <row r="208">
          <cell r="C208">
            <v>2.5667880076629423E-3</v>
          </cell>
          <cell r="E208">
            <v>8.2357676564890746E-3</v>
          </cell>
        </row>
        <row r="209">
          <cell r="C209">
            <v>2.5667880076629423E-3</v>
          </cell>
          <cell r="E209">
            <v>8.2357676564890746E-3</v>
          </cell>
        </row>
        <row r="210">
          <cell r="C210">
            <v>2.5667880076629423E-3</v>
          </cell>
          <cell r="E210">
            <v>8.2357676564890746E-3</v>
          </cell>
        </row>
        <row r="211">
          <cell r="C211">
            <v>2.5667880076629423E-3</v>
          </cell>
          <cell r="E211">
            <v>8.2357676564890746E-3</v>
          </cell>
        </row>
        <row r="212">
          <cell r="C212">
            <v>2.5667880076629423E-3</v>
          </cell>
          <cell r="E212">
            <v>8.2357676564890746E-3</v>
          </cell>
        </row>
        <row r="213">
          <cell r="C213">
            <v>2.6951274080460894E-3</v>
          </cell>
          <cell r="E213">
            <v>8.6475560393135288E-3</v>
          </cell>
        </row>
        <row r="214">
          <cell r="C214">
            <v>2.6951274080460894E-3</v>
          </cell>
          <cell r="E214">
            <v>8.6475560393135288E-3</v>
          </cell>
        </row>
        <row r="215">
          <cell r="C215">
            <v>2.6951274080460894E-3</v>
          </cell>
          <cell r="E215">
            <v>8.6475560393135288E-3</v>
          </cell>
        </row>
        <row r="216">
          <cell r="C216">
            <v>2.6951274080460894E-3</v>
          </cell>
          <cell r="E216">
            <v>8.6475560393135288E-3</v>
          </cell>
        </row>
        <row r="217">
          <cell r="C217">
            <v>2.6951274080460894E-3</v>
          </cell>
          <cell r="E217">
            <v>8.6475560393135288E-3</v>
          </cell>
        </row>
        <row r="218">
          <cell r="C218">
            <v>2.6951274080460894E-3</v>
          </cell>
          <cell r="E218">
            <v>8.6475560393135288E-3</v>
          </cell>
        </row>
        <row r="219">
          <cell r="C219">
            <v>2.6951274080460894E-3</v>
          </cell>
          <cell r="E219">
            <v>8.6475560393135288E-3</v>
          </cell>
        </row>
        <row r="220">
          <cell r="C220">
            <v>2.6951274080460894E-3</v>
          </cell>
          <cell r="E220">
            <v>8.6475560393135288E-3</v>
          </cell>
        </row>
        <row r="221">
          <cell r="C221">
            <v>2.6951274080460894E-3</v>
          </cell>
          <cell r="E221">
            <v>8.6475560393135288E-3</v>
          </cell>
        </row>
        <row r="222">
          <cell r="C222">
            <v>2.6951274080460894E-3</v>
          </cell>
          <cell r="E222">
            <v>8.6475560393135288E-3</v>
          </cell>
        </row>
        <row r="223">
          <cell r="C223">
            <v>2.6951274080460894E-3</v>
          </cell>
          <cell r="E223">
            <v>8.6475560393135288E-3</v>
          </cell>
        </row>
        <row r="224">
          <cell r="C224">
            <v>2.6951274080460894E-3</v>
          </cell>
          <cell r="E224">
            <v>8.6475560393135288E-3</v>
          </cell>
        </row>
      </sheetData>
      <sheetData sheetId="2"/>
      <sheetData sheetId="3"/>
      <sheetData sheetId="4"/>
      <sheetData sheetId="5"/>
      <sheetData sheetId="6"/>
      <sheetData sheetId="7">
        <row r="20">
          <cell r="X20">
            <v>3.4114391715199997E-2</v>
          </cell>
          <cell r="AO20">
            <v>3.6970217296000006E-3</v>
          </cell>
        </row>
      </sheetData>
      <sheetData sheetId="8"/>
      <sheetData sheetId="9"/>
      <sheetData sheetId="10"/>
      <sheetData sheetId="11"/>
      <sheetData sheetId="12" refreshError="1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8">
          <cell r="AA8">
            <v>0.12199999999999993</v>
          </cell>
        </row>
        <row r="9">
          <cell r="AA9">
            <v>0.12199999999999993</v>
          </cell>
        </row>
        <row r="10">
          <cell r="AA10">
            <v>0.12199999999999993</v>
          </cell>
        </row>
        <row r="11">
          <cell r="AA11">
            <v>0.12199999999999993</v>
          </cell>
        </row>
        <row r="12">
          <cell r="AA12">
            <v>0.12199999999999993</v>
          </cell>
        </row>
        <row r="13">
          <cell r="AA13">
            <v>0.17107142857142854</v>
          </cell>
        </row>
        <row r="14">
          <cell r="AA14">
            <v>0.17607142857142855</v>
          </cell>
        </row>
        <row r="15">
          <cell r="AA15">
            <v>0.17607142857142855</v>
          </cell>
        </row>
        <row r="16">
          <cell r="AA16">
            <v>0.17607142857142855</v>
          </cell>
        </row>
        <row r="17">
          <cell r="AA17">
            <v>0.17607142857142855</v>
          </cell>
        </row>
        <row r="18">
          <cell r="AA18">
            <v>0.13199999999999995</v>
          </cell>
        </row>
        <row r="19">
          <cell r="AA19">
            <v>0.13199999999999995</v>
          </cell>
        </row>
        <row r="20">
          <cell r="AA20">
            <v>0.13199999999999995</v>
          </cell>
        </row>
        <row r="21">
          <cell r="AA21">
            <v>0.13199999999999995</v>
          </cell>
        </row>
        <row r="22">
          <cell r="AA22">
            <v>0.13199999999999995</v>
          </cell>
        </row>
        <row r="23">
          <cell r="AA23">
            <v>0.13199999999999995</v>
          </cell>
        </row>
        <row r="24">
          <cell r="AA24">
            <v>0.13199999999999995</v>
          </cell>
        </row>
        <row r="25">
          <cell r="AA25">
            <v>0.18357142857142855</v>
          </cell>
        </row>
        <row r="26">
          <cell r="AA26">
            <v>0.18857142857142856</v>
          </cell>
        </row>
        <row r="27">
          <cell r="AA27">
            <v>0.18857142857142856</v>
          </cell>
        </row>
        <row r="28">
          <cell r="AA28">
            <v>0.18857142857142856</v>
          </cell>
        </row>
        <row r="29">
          <cell r="AA29">
            <v>0.18857142857142856</v>
          </cell>
        </row>
        <row r="30">
          <cell r="AA30">
            <v>0.14949999999999994</v>
          </cell>
        </row>
        <row r="31">
          <cell r="AA31">
            <v>0.14949999999999994</v>
          </cell>
        </row>
        <row r="32">
          <cell r="AA32">
            <v>0.14949999999999994</v>
          </cell>
        </row>
        <row r="33">
          <cell r="AA33">
            <v>0.14949999999999994</v>
          </cell>
        </row>
        <row r="34">
          <cell r="AA34">
            <v>0.14949999999999994</v>
          </cell>
        </row>
        <row r="35">
          <cell r="AA35">
            <v>0.14949999999999994</v>
          </cell>
        </row>
        <row r="36">
          <cell r="AA36">
            <v>0.14949999999999994</v>
          </cell>
        </row>
        <row r="37">
          <cell r="AA37">
            <v>0.19357142857142856</v>
          </cell>
        </row>
        <row r="38">
          <cell r="AA38">
            <v>0.19857142857142857</v>
          </cell>
        </row>
        <row r="39">
          <cell r="AA39">
            <v>0.19857142857142857</v>
          </cell>
        </row>
        <row r="40">
          <cell r="AA40">
            <v>0.19857142857142857</v>
          </cell>
        </row>
        <row r="41">
          <cell r="AA41">
            <v>0.19857142857142857</v>
          </cell>
        </row>
        <row r="42">
          <cell r="AA42">
            <v>0.14949999999999994</v>
          </cell>
        </row>
        <row r="43">
          <cell r="AA43">
            <v>0.14949999999999994</v>
          </cell>
        </row>
        <row r="44">
          <cell r="AA44">
            <v>0.14949999999999994</v>
          </cell>
        </row>
        <row r="45">
          <cell r="AA45">
            <v>0.14949999999999994</v>
          </cell>
        </row>
        <row r="46">
          <cell r="AA46">
            <v>0.14949999999999994</v>
          </cell>
        </row>
        <row r="47">
          <cell r="AA47">
            <v>0.14949999999999994</v>
          </cell>
        </row>
        <row r="48">
          <cell r="AA48">
            <v>0.14949999999999994</v>
          </cell>
        </row>
        <row r="49">
          <cell r="AA49">
            <v>0.20107142857142857</v>
          </cell>
        </row>
        <row r="50">
          <cell r="AA50">
            <v>0.20607142857142857</v>
          </cell>
        </row>
        <row r="51">
          <cell r="AA51">
            <v>0.20607142857142857</v>
          </cell>
        </row>
        <row r="52">
          <cell r="AA52">
            <v>0.20607142857142857</v>
          </cell>
        </row>
        <row r="53">
          <cell r="AA53">
            <v>0.20607142857142857</v>
          </cell>
        </row>
        <row r="54">
          <cell r="AA54">
            <v>0.15199999999999994</v>
          </cell>
        </row>
        <row r="55">
          <cell r="AA55">
            <v>0.15199999999999994</v>
          </cell>
        </row>
        <row r="56">
          <cell r="AA56">
            <v>0.15199999999999994</v>
          </cell>
        </row>
        <row r="57">
          <cell r="AA57">
            <v>0.15199999999999994</v>
          </cell>
        </row>
        <row r="58">
          <cell r="AA58">
            <v>0.15199999999999994</v>
          </cell>
        </row>
        <row r="59">
          <cell r="AA59">
            <v>0.15199999999999994</v>
          </cell>
        </row>
        <row r="60">
          <cell r="AA60">
            <v>0.15199999999999994</v>
          </cell>
        </row>
        <row r="61">
          <cell r="AA61">
            <v>0.19357142857142856</v>
          </cell>
        </row>
        <row r="62">
          <cell r="AA62">
            <v>0.19857142857142857</v>
          </cell>
        </row>
        <row r="63">
          <cell r="AA63">
            <v>0.19857142857142857</v>
          </cell>
        </row>
        <row r="64">
          <cell r="AA64">
            <v>0.19857142857142857</v>
          </cell>
        </row>
        <row r="65">
          <cell r="AA65">
            <v>0.19857142857142857</v>
          </cell>
        </row>
        <row r="66">
          <cell r="AA66">
            <v>0.14949999999999994</v>
          </cell>
        </row>
        <row r="67">
          <cell r="AA67">
            <v>0.14949999999999994</v>
          </cell>
        </row>
        <row r="68">
          <cell r="AA68">
            <v>0.14949999999999994</v>
          </cell>
        </row>
        <row r="69">
          <cell r="AA69">
            <v>0.14949999999999994</v>
          </cell>
        </row>
        <row r="70">
          <cell r="AA70">
            <v>0.14949999999999994</v>
          </cell>
        </row>
        <row r="71">
          <cell r="AA71">
            <v>0.14949999999999994</v>
          </cell>
        </row>
        <row r="72">
          <cell r="AA72">
            <v>0.14949999999999994</v>
          </cell>
        </row>
        <row r="73">
          <cell r="AA73">
            <v>0.19607142857142856</v>
          </cell>
        </row>
        <row r="74">
          <cell r="AA74">
            <v>0.20107142857142857</v>
          </cell>
        </row>
        <row r="75">
          <cell r="AA75">
            <v>0.20107142857142857</v>
          </cell>
        </row>
        <row r="76">
          <cell r="AA76">
            <v>0.20107142857142857</v>
          </cell>
        </row>
        <row r="77">
          <cell r="AA77">
            <v>0.20107142857142857</v>
          </cell>
        </row>
        <row r="78">
          <cell r="AA78">
            <v>0.15199999999999994</v>
          </cell>
        </row>
        <row r="79">
          <cell r="AA79">
            <v>0.15199999999999994</v>
          </cell>
        </row>
        <row r="80">
          <cell r="AA80">
            <v>0.15199999999999994</v>
          </cell>
        </row>
        <row r="81">
          <cell r="AA81">
            <v>0.15199999999999994</v>
          </cell>
        </row>
        <row r="82">
          <cell r="AA82">
            <v>0.15199999999999994</v>
          </cell>
        </row>
        <row r="83">
          <cell r="AA83">
            <v>0.15199999999999994</v>
          </cell>
        </row>
        <row r="84">
          <cell r="AA84">
            <v>0.15199999999999994</v>
          </cell>
        </row>
        <row r="85">
          <cell r="AA85">
            <v>0.19857142857142857</v>
          </cell>
        </row>
        <row r="86">
          <cell r="AA86">
            <v>0.20357142857142857</v>
          </cell>
        </row>
        <row r="87">
          <cell r="AA87">
            <v>0.20357142857142857</v>
          </cell>
        </row>
        <row r="88">
          <cell r="AA88">
            <v>0.20357142857142857</v>
          </cell>
        </row>
        <row r="89">
          <cell r="AA89">
            <v>0.20357142857142857</v>
          </cell>
        </row>
        <row r="90">
          <cell r="AA90">
            <v>0.15449999999999994</v>
          </cell>
        </row>
        <row r="91">
          <cell r="AA91">
            <v>0.15449999999999994</v>
          </cell>
        </row>
        <row r="92">
          <cell r="AA92">
            <v>0.15449999999999994</v>
          </cell>
        </row>
        <row r="93">
          <cell r="AA93">
            <v>0.15449999999999994</v>
          </cell>
        </row>
        <row r="94">
          <cell r="AA94">
            <v>0.15449999999999994</v>
          </cell>
        </row>
        <row r="95">
          <cell r="AA95">
            <v>0.15449999999999994</v>
          </cell>
        </row>
        <row r="96">
          <cell r="AA96">
            <v>0.15449999999999994</v>
          </cell>
        </row>
        <row r="97">
          <cell r="AA97">
            <v>0.20107142857142857</v>
          </cell>
        </row>
        <row r="98">
          <cell r="AA98">
            <v>0.20607142857142857</v>
          </cell>
        </row>
        <row r="99">
          <cell r="AA99">
            <v>0.20607142857142857</v>
          </cell>
        </row>
        <row r="100">
          <cell r="AA100">
            <v>0.20607142857142857</v>
          </cell>
        </row>
        <row r="101">
          <cell r="AA101">
            <v>0.20607142857142857</v>
          </cell>
        </row>
        <row r="102">
          <cell r="AA102">
            <v>0.15699999999999992</v>
          </cell>
        </row>
        <row r="103">
          <cell r="AA103">
            <v>0.15699999999999992</v>
          </cell>
        </row>
        <row r="104">
          <cell r="AA104">
            <v>0.15699999999999992</v>
          </cell>
        </row>
        <row r="105">
          <cell r="AA105">
            <v>0.15699999999999992</v>
          </cell>
        </row>
        <row r="106">
          <cell r="AA106">
            <v>0.15699999999999992</v>
          </cell>
        </row>
        <row r="107">
          <cell r="AA107">
            <v>0.15699999999999992</v>
          </cell>
        </row>
        <row r="108">
          <cell r="AA108">
            <v>0.15699999999999992</v>
          </cell>
        </row>
        <row r="109">
          <cell r="AA109">
            <v>0.20407142857142857</v>
          </cell>
        </row>
        <row r="110">
          <cell r="AA110">
            <v>0.20907142857142855</v>
          </cell>
        </row>
        <row r="111">
          <cell r="AA111">
            <v>0.20907142857142855</v>
          </cell>
        </row>
        <row r="112">
          <cell r="AA112">
            <v>0.20907142857142855</v>
          </cell>
        </row>
        <row r="113">
          <cell r="AA113">
            <v>0.20907142857142855</v>
          </cell>
        </row>
        <row r="114">
          <cell r="AA114">
            <v>0.15999999999999992</v>
          </cell>
        </row>
        <row r="115">
          <cell r="AA115">
            <v>0.15999999999999992</v>
          </cell>
        </row>
        <row r="116">
          <cell r="AA116">
            <v>0.15999999999999992</v>
          </cell>
        </row>
        <row r="117">
          <cell r="AA117">
            <v>0.15999999999999992</v>
          </cell>
        </row>
        <row r="118">
          <cell r="AA118">
            <v>0.15999999999999992</v>
          </cell>
        </row>
        <row r="119">
          <cell r="AA119">
            <v>0.15999999999999992</v>
          </cell>
        </row>
        <row r="120">
          <cell r="AA120">
            <v>0.15999999999999992</v>
          </cell>
        </row>
        <row r="121">
          <cell r="AA121">
            <v>0.20707142857142857</v>
          </cell>
        </row>
        <row r="122">
          <cell r="AA122">
            <v>0.21207142857142855</v>
          </cell>
        </row>
        <row r="123">
          <cell r="AA123">
            <v>0.21207142857142855</v>
          </cell>
        </row>
        <row r="124">
          <cell r="AA124">
            <v>0.21207142857142855</v>
          </cell>
        </row>
        <row r="125">
          <cell r="AA125">
            <v>0.21207142857142855</v>
          </cell>
        </row>
        <row r="126">
          <cell r="AA126">
            <v>0.16299999999999992</v>
          </cell>
        </row>
        <row r="127">
          <cell r="AA127">
            <v>0.16299999999999992</v>
          </cell>
        </row>
        <row r="128">
          <cell r="AA128">
            <v>0.16299999999999992</v>
          </cell>
        </row>
        <row r="129">
          <cell r="AA129">
            <v>0.16299999999999992</v>
          </cell>
        </row>
        <row r="130">
          <cell r="AA130">
            <v>0.16299999999999992</v>
          </cell>
        </row>
        <row r="131">
          <cell r="AA131">
            <v>0.16299999999999992</v>
          </cell>
        </row>
        <row r="132">
          <cell r="AA132">
            <v>0.16299999999999992</v>
          </cell>
        </row>
        <row r="133">
          <cell r="AA133">
            <v>0.21007142857142855</v>
          </cell>
        </row>
        <row r="134">
          <cell r="AA134">
            <v>0.21507142857142855</v>
          </cell>
        </row>
        <row r="135">
          <cell r="AA135">
            <v>0.21507142857142855</v>
          </cell>
        </row>
        <row r="136">
          <cell r="AA136">
            <v>0.21507142857142855</v>
          </cell>
        </row>
        <row r="137">
          <cell r="AA137">
            <v>0.21507142857142855</v>
          </cell>
        </row>
        <row r="138">
          <cell r="AA138">
            <v>0.16599999999999993</v>
          </cell>
        </row>
        <row r="139">
          <cell r="AA139">
            <v>0.16599999999999993</v>
          </cell>
        </row>
        <row r="140">
          <cell r="AA140">
            <v>0.16599999999999993</v>
          </cell>
        </row>
        <row r="141">
          <cell r="AA141">
            <v>0.16599999999999993</v>
          </cell>
        </row>
        <row r="142">
          <cell r="AA142">
            <v>0.16599999999999993</v>
          </cell>
        </row>
        <row r="143">
          <cell r="AA143">
            <v>0.16599999999999993</v>
          </cell>
        </row>
        <row r="144">
          <cell r="AA144">
            <v>0.16599999999999993</v>
          </cell>
        </row>
        <row r="145">
          <cell r="AA145">
            <v>0.21307142857142855</v>
          </cell>
        </row>
        <row r="146">
          <cell r="AA146">
            <v>0.21807142857142855</v>
          </cell>
        </row>
        <row r="147">
          <cell r="AA147">
            <v>0.21807142857142855</v>
          </cell>
        </row>
        <row r="148">
          <cell r="AA148">
            <v>0.21807142857142855</v>
          </cell>
        </row>
        <row r="149">
          <cell r="AA149">
            <v>0.21807142857142855</v>
          </cell>
        </row>
        <row r="150">
          <cell r="AA150">
            <v>0.16899999999999993</v>
          </cell>
        </row>
        <row r="151">
          <cell r="AA151">
            <v>0.16899999999999993</v>
          </cell>
        </row>
        <row r="152">
          <cell r="AA152">
            <v>0.16899999999999993</v>
          </cell>
        </row>
        <row r="153">
          <cell r="AA153">
            <v>0.16899999999999993</v>
          </cell>
        </row>
        <row r="154">
          <cell r="AA154">
            <v>0.16899999999999993</v>
          </cell>
        </row>
        <row r="155">
          <cell r="AA155">
            <v>0.16899999999999993</v>
          </cell>
        </row>
        <row r="156">
          <cell r="AA156">
            <v>0.16899999999999993</v>
          </cell>
        </row>
        <row r="157">
          <cell r="AA157">
            <v>0.21607142857142855</v>
          </cell>
        </row>
        <row r="158">
          <cell r="AA158">
            <v>0.22107142857142856</v>
          </cell>
        </row>
        <row r="159">
          <cell r="AA159">
            <v>0.22107142857142856</v>
          </cell>
        </row>
        <row r="160">
          <cell r="AA160">
            <v>0.22107142857142856</v>
          </cell>
        </row>
        <row r="161">
          <cell r="AA161">
            <v>0.22107142857142856</v>
          </cell>
        </row>
        <row r="162">
          <cell r="AA162">
            <v>0.17199999999999993</v>
          </cell>
        </row>
        <row r="163">
          <cell r="AA163">
            <v>0.17199999999999993</v>
          </cell>
        </row>
        <row r="164">
          <cell r="AA164">
            <v>0.17199999999999993</v>
          </cell>
        </row>
        <row r="165">
          <cell r="AA165">
            <v>0.17199999999999993</v>
          </cell>
        </row>
        <row r="166">
          <cell r="AA166">
            <v>0.17199999999999993</v>
          </cell>
        </row>
        <row r="167">
          <cell r="AA167">
            <v>0.17199999999999993</v>
          </cell>
        </row>
        <row r="168">
          <cell r="AA168">
            <v>0.17199999999999993</v>
          </cell>
        </row>
        <row r="169">
          <cell r="AA169">
            <v>0.21907142857142856</v>
          </cell>
        </row>
        <row r="170">
          <cell r="AA170">
            <v>0.22407142857142856</v>
          </cell>
        </row>
        <row r="171">
          <cell r="AA171">
            <v>0.22607142857142856</v>
          </cell>
        </row>
        <row r="172">
          <cell r="AA172">
            <v>0.22607142857142856</v>
          </cell>
        </row>
        <row r="173">
          <cell r="AA173">
            <v>0.22607142857142856</v>
          </cell>
        </row>
        <row r="174">
          <cell r="AA174">
            <v>0.17699999999999994</v>
          </cell>
        </row>
        <row r="175">
          <cell r="AA175">
            <v>0.17699999999999994</v>
          </cell>
        </row>
        <row r="176">
          <cell r="AA176">
            <v>0.17699999999999994</v>
          </cell>
        </row>
        <row r="177">
          <cell r="AA177">
            <v>0.17699999999999994</v>
          </cell>
        </row>
        <row r="178">
          <cell r="AA178">
            <v>0.17699999999999994</v>
          </cell>
        </row>
        <row r="179">
          <cell r="AA179">
            <v>0.20699999999999993</v>
          </cell>
        </row>
        <row r="180">
          <cell r="AA180">
            <v>0.20699999999999993</v>
          </cell>
        </row>
        <row r="181">
          <cell r="AA181">
            <v>0.25357142857142856</v>
          </cell>
        </row>
        <row r="182">
          <cell r="AA182">
            <v>0.25357142857142856</v>
          </cell>
        </row>
        <row r="183">
          <cell r="AA183">
            <v>0.25357142857142856</v>
          </cell>
        </row>
        <row r="184">
          <cell r="AA184">
            <v>0.25357142857142856</v>
          </cell>
        </row>
        <row r="185">
          <cell r="AA185">
            <v>0.25357142857142856</v>
          </cell>
        </row>
        <row r="186">
          <cell r="AA186">
            <v>0.20699999999999993</v>
          </cell>
        </row>
        <row r="187">
          <cell r="AA187">
            <v>0.20699999999999993</v>
          </cell>
        </row>
        <row r="193">
          <cell r="AA193">
            <v>0.20699999999999993</v>
          </cell>
        </row>
        <row r="194">
          <cell r="Y194">
            <v>1.055056</v>
          </cell>
          <cell r="AA194">
            <v>0.25357142857142856</v>
          </cell>
        </row>
        <row r="195">
          <cell r="AA195">
            <v>25</v>
          </cell>
        </row>
        <row r="196">
          <cell r="AA196">
            <v>25</v>
          </cell>
        </row>
        <row r="198">
          <cell r="AA198" t="str">
            <v>Fake Chippawa</v>
          </cell>
        </row>
        <row r="199">
          <cell r="AA199">
            <v>0.12199999999999993</v>
          </cell>
        </row>
        <row r="200">
          <cell r="AA200">
            <v>0.12199999999999993</v>
          </cell>
        </row>
        <row r="201">
          <cell r="AA201">
            <v>0.12199999999999993</v>
          </cell>
        </row>
        <row r="202">
          <cell r="AA202">
            <v>0.12199999999999993</v>
          </cell>
        </row>
        <row r="203">
          <cell r="AA203">
            <v>0.12199999999999993</v>
          </cell>
        </row>
        <row r="204">
          <cell r="AA204">
            <v>0.17107142857142854</v>
          </cell>
        </row>
        <row r="205">
          <cell r="AA205">
            <v>0.17607142857142855</v>
          </cell>
        </row>
        <row r="206">
          <cell r="AA206">
            <v>0.17607142857142855</v>
          </cell>
        </row>
        <row r="207">
          <cell r="AA207">
            <v>0.17607142857142855</v>
          </cell>
        </row>
        <row r="208">
          <cell r="AA208">
            <v>0.17607142857142855</v>
          </cell>
        </row>
        <row r="209">
          <cell r="AA209">
            <v>0.13199999999999995</v>
          </cell>
        </row>
        <row r="210">
          <cell r="AA210">
            <v>0.13199999999999995</v>
          </cell>
        </row>
        <row r="211">
          <cell r="AA211">
            <v>0.13199999999999995</v>
          </cell>
        </row>
        <row r="212">
          <cell r="AA212">
            <v>0.13199999999999995</v>
          </cell>
        </row>
        <row r="213">
          <cell r="AA213">
            <v>0.13199999999999995</v>
          </cell>
        </row>
        <row r="214">
          <cell r="AA214">
            <v>0.13199999999999995</v>
          </cell>
        </row>
        <row r="215">
          <cell r="AA215">
            <v>0.13199999999999995</v>
          </cell>
        </row>
        <row r="216">
          <cell r="AA216">
            <v>0.18357142857142855</v>
          </cell>
        </row>
        <row r="217">
          <cell r="AA217">
            <v>0.18857142857142856</v>
          </cell>
        </row>
        <row r="218">
          <cell r="AA218">
            <v>0.18857142857142856</v>
          </cell>
        </row>
        <row r="219">
          <cell r="AA219">
            <v>0.18857142857142856</v>
          </cell>
        </row>
        <row r="220">
          <cell r="AA220">
            <v>0.18857142857142856</v>
          </cell>
        </row>
        <row r="221">
          <cell r="AA221">
            <v>0.14949999999999994</v>
          </cell>
        </row>
        <row r="222">
          <cell r="AA222">
            <v>0.14949999999999994</v>
          </cell>
        </row>
        <row r="223">
          <cell r="AA223">
            <v>0.14949999999999994</v>
          </cell>
        </row>
        <row r="224">
          <cell r="AA224">
            <v>0.14949999999999994</v>
          </cell>
        </row>
        <row r="225">
          <cell r="AA225">
            <v>0.14949999999999994</v>
          </cell>
        </row>
        <row r="226">
          <cell r="AA226">
            <v>0.14949999999999994</v>
          </cell>
        </row>
        <row r="227">
          <cell r="AA227">
            <v>0.14949999999999994</v>
          </cell>
        </row>
        <row r="228">
          <cell r="AA228">
            <v>0.19357142857142856</v>
          </cell>
        </row>
        <row r="229">
          <cell r="AA229">
            <v>0.19857142857142857</v>
          </cell>
        </row>
        <row r="230">
          <cell r="AA230">
            <v>0.19857142857142857</v>
          </cell>
        </row>
        <row r="231">
          <cell r="AA231">
            <v>0.19857142857142857</v>
          </cell>
        </row>
        <row r="232">
          <cell r="AA232">
            <v>0.19857142857142857</v>
          </cell>
        </row>
        <row r="233">
          <cell r="AA233">
            <v>0.14949999999999994</v>
          </cell>
        </row>
        <row r="234">
          <cell r="AA234">
            <v>0.14949999999999994</v>
          </cell>
        </row>
        <row r="235">
          <cell r="AA235">
            <v>0.14949999999999994</v>
          </cell>
        </row>
        <row r="236">
          <cell r="AA236">
            <v>0.14949999999999994</v>
          </cell>
        </row>
        <row r="237">
          <cell r="AA237">
            <v>0.14949999999999994</v>
          </cell>
        </row>
        <row r="238">
          <cell r="AA238">
            <v>0.14949999999999994</v>
          </cell>
        </row>
        <row r="239">
          <cell r="AA239">
            <v>0.14949999999999994</v>
          </cell>
        </row>
        <row r="240">
          <cell r="AA240">
            <v>0.20107142857142857</v>
          </cell>
        </row>
        <row r="241">
          <cell r="AA241">
            <v>0.20607142857142857</v>
          </cell>
        </row>
        <row r="242">
          <cell r="AA242">
            <v>0.20607142857142857</v>
          </cell>
        </row>
        <row r="243">
          <cell r="AA243">
            <v>0.20607142857142857</v>
          </cell>
        </row>
        <row r="244">
          <cell r="AA244">
            <v>0.20607142857142857</v>
          </cell>
        </row>
        <row r="245">
          <cell r="AA245">
            <v>0.15199999999999994</v>
          </cell>
        </row>
        <row r="246">
          <cell r="AA246">
            <v>0.15199999999999994</v>
          </cell>
        </row>
        <row r="247">
          <cell r="AA247">
            <v>0.15199999999999994</v>
          </cell>
        </row>
        <row r="248">
          <cell r="AA248">
            <v>0.15199999999999994</v>
          </cell>
        </row>
        <row r="249">
          <cell r="AA249">
            <v>0.15199999999999994</v>
          </cell>
        </row>
        <row r="250">
          <cell r="AA250">
            <v>0.15199999999999994</v>
          </cell>
        </row>
        <row r="251">
          <cell r="AA251">
            <v>0.15199999999999994</v>
          </cell>
        </row>
        <row r="252">
          <cell r="AA252">
            <v>0.19357142857142856</v>
          </cell>
        </row>
        <row r="253">
          <cell r="AA253">
            <v>0.19857142857142857</v>
          </cell>
        </row>
        <row r="254">
          <cell r="AA254">
            <v>0.19857142857142857</v>
          </cell>
        </row>
        <row r="255">
          <cell r="AA255">
            <v>0.19857142857142857</v>
          </cell>
        </row>
        <row r="256">
          <cell r="AA256">
            <v>0.19857142857142857</v>
          </cell>
        </row>
        <row r="257">
          <cell r="AA257">
            <v>0.14949999999999994</v>
          </cell>
        </row>
        <row r="258">
          <cell r="AA258">
            <v>0.14949999999999994</v>
          </cell>
        </row>
        <row r="259">
          <cell r="AA259">
            <v>0.14949999999999994</v>
          </cell>
        </row>
        <row r="260">
          <cell r="AA260">
            <v>0.14949999999999994</v>
          </cell>
        </row>
        <row r="261">
          <cell r="AA261">
            <v>0.14949999999999994</v>
          </cell>
        </row>
        <row r="262">
          <cell r="AA262">
            <v>0.14949999999999994</v>
          </cell>
        </row>
        <row r="263">
          <cell r="AA263">
            <v>0.14949999999999994</v>
          </cell>
        </row>
        <row r="264">
          <cell r="AA264">
            <v>0.19607142857142856</v>
          </cell>
        </row>
        <row r="265">
          <cell r="AA265">
            <v>0.20107142857142857</v>
          </cell>
        </row>
        <row r="266">
          <cell r="AA266">
            <v>0.20107142857142857</v>
          </cell>
        </row>
        <row r="267">
          <cell r="AA267">
            <v>0.20107142857142857</v>
          </cell>
        </row>
        <row r="268">
          <cell r="AA268">
            <v>0.20107142857142857</v>
          </cell>
        </row>
        <row r="269">
          <cell r="AA269">
            <v>0.15199999999999994</v>
          </cell>
        </row>
        <row r="270">
          <cell r="AA270">
            <v>0.15199999999999994</v>
          </cell>
        </row>
        <row r="271">
          <cell r="AA271">
            <v>0.15199999999999994</v>
          </cell>
        </row>
        <row r="272">
          <cell r="AA272">
            <v>0.15199999999999994</v>
          </cell>
        </row>
        <row r="273">
          <cell r="AA273">
            <v>0.15199999999999994</v>
          </cell>
        </row>
        <row r="274">
          <cell r="AA274">
            <v>0.15199999999999994</v>
          </cell>
        </row>
        <row r="275">
          <cell r="AA275">
            <v>0.15199999999999994</v>
          </cell>
        </row>
        <row r="276">
          <cell r="AA276">
            <v>0.19857142857142857</v>
          </cell>
        </row>
        <row r="277">
          <cell r="AA277">
            <v>0.20357142857142857</v>
          </cell>
        </row>
        <row r="278">
          <cell r="AA278">
            <v>0.20357142857142857</v>
          </cell>
        </row>
        <row r="279">
          <cell r="AA279">
            <v>0.20357142857142857</v>
          </cell>
        </row>
        <row r="280">
          <cell r="AA280">
            <v>0.20357142857142857</v>
          </cell>
        </row>
        <row r="281">
          <cell r="AA281">
            <v>0.15449999999999994</v>
          </cell>
        </row>
        <row r="282">
          <cell r="AA282">
            <v>0.15449999999999994</v>
          </cell>
        </row>
        <row r="283">
          <cell r="AA283">
            <v>0.15449999999999994</v>
          </cell>
        </row>
        <row r="284">
          <cell r="AA284">
            <v>0.15449999999999994</v>
          </cell>
        </row>
        <row r="285">
          <cell r="AA285">
            <v>0.15449999999999994</v>
          </cell>
        </row>
        <row r="286">
          <cell r="AA286">
            <v>0.15449999999999994</v>
          </cell>
        </row>
        <row r="287">
          <cell r="AA287">
            <v>0.15449999999999994</v>
          </cell>
        </row>
        <row r="288">
          <cell r="AA288">
            <v>0.20107142857142857</v>
          </cell>
        </row>
        <row r="289">
          <cell r="AA289">
            <v>0.20607142857142857</v>
          </cell>
        </row>
        <row r="290">
          <cell r="AA290">
            <v>0.20607142857142857</v>
          </cell>
        </row>
        <row r="291">
          <cell r="AA291">
            <v>0.20607142857142857</v>
          </cell>
        </row>
        <row r="292">
          <cell r="AA292">
            <v>0.20607142857142857</v>
          </cell>
        </row>
        <row r="293">
          <cell r="AA293">
            <v>0.15699999999999992</v>
          </cell>
        </row>
        <row r="294">
          <cell r="AA294">
            <v>0.15699999999999992</v>
          </cell>
        </row>
        <row r="295">
          <cell r="AA295">
            <v>0.15699999999999992</v>
          </cell>
        </row>
        <row r="296">
          <cell r="AA296">
            <v>0.15699999999999992</v>
          </cell>
        </row>
        <row r="297">
          <cell r="AA297">
            <v>0.15699999999999992</v>
          </cell>
        </row>
        <row r="298">
          <cell r="AA298">
            <v>0.15699999999999992</v>
          </cell>
        </row>
        <row r="299">
          <cell r="AA299">
            <v>0.15699999999999992</v>
          </cell>
        </row>
        <row r="300">
          <cell r="AA300">
            <v>0.20407142857142857</v>
          </cell>
        </row>
        <row r="301">
          <cell r="AA301">
            <v>0.20907142857142855</v>
          </cell>
        </row>
        <row r="302">
          <cell r="AA302">
            <v>0.20907142857142855</v>
          </cell>
        </row>
        <row r="303">
          <cell r="AA303">
            <v>0.20907142857142855</v>
          </cell>
        </row>
        <row r="304">
          <cell r="AA304">
            <v>0.20907142857142855</v>
          </cell>
        </row>
        <row r="305">
          <cell r="AA305">
            <v>0.15999999999999992</v>
          </cell>
        </row>
        <row r="306">
          <cell r="AA306">
            <v>0.15999999999999992</v>
          </cell>
        </row>
        <row r="307">
          <cell r="AA307">
            <v>0.15999999999999992</v>
          </cell>
        </row>
        <row r="308">
          <cell r="AA308">
            <v>0.15999999999999992</v>
          </cell>
        </row>
        <row r="309">
          <cell r="AA309">
            <v>0.15999999999999992</v>
          </cell>
        </row>
        <row r="310">
          <cell r="AA310">
            <v>0.15999999999999992</v>
          </cell>
        </row>
        <row r="311">
          <cell r="AA311">
            <v>0.15999999999999992</v>
          </cell>
        </row>
        <row r="312">
          <cell r="AA312">
            <v>0.20707142857142857</v>
          </cell>
        </row>
        <row r="313">
          <cell r="AA313">
            <v>0.21207142857142855</v>
          </cell>
        </row>
        <row r="314">
          <cell r="AA314">
            <v>0.21207142857142855</v>
          </cell>
        </row>
        <row r="315">
          <cell r="AA315">
            <v>0.21207142857142855</v>
          </cell>
        </row>
        <row r="316">
          <cell r="AA316">
            <v>0.21207142857142855</v>
          </cell>
        </row>
        <row r="317">
          <cell r="AA317">
            <v>0.16299999999999992</v>
          </cell>
        </row>
        <row r="318">
          <cell r="AA318">
            <v>0.16299999999999992</v>
          </cell>
        </row>
        <row r="319">
          <cell r="AA319">
            <v>0.16299999999999992</v>
          </cell>
        </row>
        <row r="320">
          <cell r="AA320">
            <v>0.16299999999999992</v>
          </cell>
        </row>
        <row r="321">
          <cell r="AA321">
            <v>0.16299999999999992</v>
          </cell>
        </row>
        <row r="322">
          <cell r="AA322">
            <v>0.16299999999999992</v>
          </cell>
        </row>
        <row r="323">
          <cell r="AA323">
            <v>0.16299999999999992</v>
          </cell>
        </row>
        <row r="324">
          <cell r="AA324">
            <v>0.21007142857142855</v>
          </cell>
        </row>
        <row r="325">
          <cell r="AA325">
            <v>0.21507142857142855</v>
          </cell>
        </row>
        <row r="326">
          <cell r="AA326">
            <v>0.21507142857142855</v>
          </cell>
        </row>
        <row r="327">
          <cell r="AA327">
            <v>0.21507142857142855</v>
          </cell>
        </row>
        <row r="328">
          <cell r="AA328">
            <v>0.21507142857142855</v>
          </cell>
        </row>
        <row r="329">
          <cell r="AA329">
            <v>0.16599999999999993</v>
          </cell>
        </row>
        <row r="330">
          <cell r="AA330">
            <v>0.16599999999999993</v>
          </cell>
        </row>
        <row r="331">
          <cell r="AA331">
            <v>0.16599999999999993</v>
          </cell>
        </row>
        <row r="332">
          <cell r="AA332">
            <v>0.16599999999999993</v>
          </cell>
        </row>
        <row r="333">
          <cell r="AA333">
            <v>0.16599999999999993</v>
          </cell>
        </row>
        <row r="334">
          <cell r="AA334">
            <v>0.16599999999999993</v>
          </cell>
        </row>
        <row r="335">
          <cell r="AA335">
            <v>0.16599999999999993</v>
          </cell>
        </row>
        <row r="336">
          <cell r="AA336">
            <v>0.21307142857142855</v>
          </cell>
        </row>
        <row r="337">
          <cell r="AA337">
            <v>0.21807142857142855</v>
          </cell>
        </row>
        <row r="338">
          <cell r="AA338">
            <v>0.21807142857142855</v>
          </cell>
        </row>
        <row r="339">
          <cell r="AA339">
            <v>0.21807142857142855</v>
          </cell>
        </row>
        <row r="340">
          <cell r="AA340">
            <v>0.21807142857142855</v>
          </cell>
        </row>
        <row r="341">
          <cell r="AA341">
            <v>0.16899999999999993</v>
          </cell>
        </row>
        <row r="342">
          <cell r="AA342">
            <v>0.16899999999999993</v>
          </cell>
        </row>
        <row r="343">
          <cell r="AA343">
            <v>0.16899999999999993</v>
          </cell>
        </row>
        <row r="344">
          <cell r="AA344">
            <v>0.16899999999999993</v>
          </cell>
        </row>
        <row r="345">
          <cell r="AA345">
            <v>0.16899999999999993</v>
          </cell>
        </row>
        <row r="346">
          <cell r="AA346">
            <v>0.16899999999999993</v>
          </cell>
        </row>
        <row r="347">
          <cell r="AA347">
            <v>0.16899999999999993</v>
          </cell>
        </row>
        <row r="348">
          <cell r="AA348">
            <v>0.21607142857142855</v>
          </cell>
        </row>
        <row r="349">
          <cell r="AA349">
            <v>0.22107142857142856</v>
          </cell>
        </row>
        <row r="350">
          <cell r="AA350">
            <v>0.22107142857142856</v>
          </cell>
        </row>
        <row r="351">
          <cell r="AA351">
            <v>0.22107142857142856</v>
          </cell>
        </row>
        <row r="352">
          <cell r="AA352">
            <v>0.22107142857142856</v>
          </cell>
        </row>
        <row r="353">
          <cell r="AA353">
            <v>0.17199999999999993</v>
          </cell>
        </row>
        <row r="354">
          <cell r="AA354">
            <v>0.17199999999999993</v>
          </cell>
        </row>
        <row r="355">
          <cell r="AA355">
            <v>0.17199999999999993</v>
          </cell>
        </row>
        <row r="356">
          <cell r="AA356">
            <v>0.17199999999999993</v>
          </cell>
        </row>
        <row r="357">
          <cell r="AA357">
            <v>0.17199999999999993</v>
          </cell>
        </row>
        <row r="358">
          <cell r="AA358">
            <v>0.17199999999999993</v>
          </cell>
        </row>
        <row r="359">
          <cell r="AA359">
            <v>0.17199999999999993</v>
          </cell>
        </row>
        <row r="360">
          <cell r="AA360">
            <v>0.21907142857142856</v>
          </cell>
        </row>
        <row r="361">
          <cell r="AA361">
            <v>0.22407142857142856</v>
          </cell>
        </row>
        <row r="362">
          <cell r="AA362">
            <v>0.22607142857142856</v>
          </cell>
        </row>
        <row r="363">
          <cell r="AA363">
            <v>0.22607142857142856</v>
          </cell>
        </row>
        <row r="364">
          <cell r="AA364">
            <v>0.22607142857142856</v>
          </cell>
        </row>
        <row r="365">
          <cell r="AA365">
            <v>0.17699999999999994</v>
          </cell>
        </row>
        <row r="366">
          <cell r="AA366">
            <v>0.17699999999999994</v>
          </cell>
        </row>
        <row r="367">
          <cell r="AA367">
            <v>0.17699999999999994</v>
          </cell>
        </row>
        <row r="368">
          <cell r="AA368">
            <v>0.17699999999999994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5">
          <cell r="C5" t="str">
            <v>ANR SE</v>
          </cell>
          <cell r="D5" t="str">
            <v>ANR SW</v>
          </cell>
          <cell r="E5" t="str">
            <v>ANR C/G AREA</v>
          </cell>
          <cell r="F5" t="str">
            <v>PEPL</v>
          </cell>
          <cell r="G5" t="str">
            <v>Great Lakes</v>
          </cell>
          <cell r="H5" t="str">
            <v>TCPL</v>
          </cell>
          <cell r="I5" t="str">
            <v>Union</v>
          </cell>
        </row>
        <row r="6">
          <cell r="B6">
            <v>37257</v>
          </cell>
          <cell r="C6">
            <v>1</v>
          </cell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1.052</v>
          </cell>
          <cell r="I6">
            <v>1</v>
          </cell>
        </row>
        <row r="7">
          <cell r="B7">
            <v>37622</v>
          </cell>
          <cell r="C7">
            <v>1.03</v>
          </cell>
          <cell r="D7">
            <v>1.03</v>
          </cell>
          <cell r="E7">
            <v>1.03</v>
          </cell>
          <cell r="F7">
            <v>1</v>
          </cell>
          <cell r="G7">
            <v>1</v>
          </cell>
          <cell r="H7">
            <v>1.3</v>
          </cell>
          <cell r="I7">
            <v>1</v>
          </cell>
        </row>
        <row r="8">
          <cell r="B8">
            <v>37987</v>
          </cell>
          <cell r="C8">
            <v>1.2</v>
          </cell>
          <cell r="D8">
            <v>1.2</v>
          </cell>
          <cell r="E8">
            <v>1.2</v>
          </cell>
          <cell r="F8">
            <v>1</v>
          </cell>
          <cell r="G8">
            <v>1</v>
          </cell>
          <cell r="H8">
            <v>1.02</v>
          </cell>
          <cell r="I8">
            <v>1</v>
          </cell>
        </row>
        <row r="9">
          <cell r="B9">
            <v>38353</v>
          </cell>
          <cell r="C9">
            <v>1</v>
          </cell>
          <cell r="D9">
            <v>1</v>
          </cell>
          <cell r="E9">
            <v>1</v>
          </cell>
          <cell r="F9">
            <v>1</v>
          </cell>
          <cell r="G9">
            <v>1.03</v>
          </cell>
          <cell r="H9">
            <v>1.02</v>
          </cell>
          <cell r="I9">
            <v>1</v>
          </cell>
        </row>
        <row r="10">
          <cell r="B10">
            <v>38718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  <cell r="G10">
            <v>1.2</v>
          </cell>
          <cell r="H10">
            <v>1.02</v>
          </cell>
          <cell r="I10">
            <v>1</v>
          </cell>
        </row>
        <row r="11">
          <cell r="B11">
            <v>39083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  <cell r="G11">
            <v>1</v>
          </cell>
          <cell r="H11">
            <v>1.02</v>
          </cell>
          <cell r="I11">
            <v>1</v>
          </cell>
        </row>
        <row r="12">
          <cell r="B12">
            <v>39448</v>
          </cell>
          <cell r="C12">
            <v>1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1.02</v>
          </cell>
          <cell r="I12">
            <v>1</v>
          </cell>
        </row>
        <row r="13">
          <cell r="B13">
            <v>39814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1.02</v>
          </cell>
          <cell r="I13">
            <v>1</v>
          </cell>
        </row>
        <row r="14">
          <cell r="B14">
            <v>40179</v>
          </cell>
          <cell r="C14">
            <v>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1.02</v>
          </cell>
          <cell r="I14">
            <v>1</v>
          </cell>
        </row>
        <row r="15">
          <cell r="B15">
            <v>40544</v>
          </cell>
          <cell r="C15">
            <v>1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1.02</v>
          </cell>
          <cell r="I15">
            <v>1</v>
          </cell>
        </row>
        <row r="16">
          <cell r="B16">
            <v>40909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  <cell r="G16">
            <v>1</v>
          </cell>
          <cell r="H16">
            <v>1.02</v>
          </cell>
          <cell r="I16">
            <v>1</v>
          </cell>
        </row>
        <row r="17">
          <cell r="B17">
            <v>41275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1.02</v>
          </cell>
          <cell r="I17">
            <v>1</v>
          </cell>
        </row>
        <row r="18">
          <cell r="B18">
            <v>41640</v>
          </cell>
          <cell r="C18">
            <v>1</v>
          </cell>
          <cell r="D18">
            <v>1</v>
          </cell>
          <cell r="E18">
            <v>1</v>
          </cell>
          <cell r="F18">
            <v>1</v>
          </cell>
          <cell r="G18">
            <v>1</v>
          </cell>
          <cell r="H18">
            <v>1.02</v>
          </cell>
          <cell r="I18">
            <v>1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omments" Target="../comments2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zoomScaleNormal="32" zoomScaleSheetLayoutView="68" workbookViewId="0"/>
  </sheetViews>
  <sheetFormatPr defaultRowHeight="12.75"/>
  <sheetData/>
  <phoneticPr fontId="13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55"/>
  <sheetViews>
    <sheetView showGridLines="0" zoomScale="80" workbookViewId="0">
      <selection activeCell="E16" sqref="E16"/>
    </sheetView>
  </sheetViews>
  <sheetFormatPr defaultRowHeight="12.75"/>
  <cols>
    <col min="6" max="6" width="10.5703125" customWidth="1"/>
    <col min="7" max="7" width="11.140625" customWidth="1"/>
    <col min="9" max="9" width="11" customWidth="1"/>
    <col min="10" max="10" width="11.28515625" customWidth="1"/>
  </cols>
  <sheetData>
    <row r="1" spans="2:9">
      <c r="B1" t="s">
        <v>247</v>
      </c>
    </row>
    <row r="3" spans="2:9" ht="25.5">
      <c r="B3" s="258"/>
      <c r="C3" s="259" t="str">
        <f>[11]Sheet1!C5</f>
        <v>ANR SE</v>
      </c>
      <c r="D3" s="259" t="str">
        <f>[11]Sheet1!D5</f>
        <v>ANR SW</v>
      </c>
      <c r="E3" s="259" t="str">
        <f>[11]Sheet1!E5</f>
        <v>ANR C/G AREA</v>
      </c>
      <c r="F3" s="259" t="str">
        <f>[11]Sheet1!F5</f>
        <v>PEPL</v>
      </c>
      <c r="G3" s="259" t="str">
        <f>[11]Sheet1!G5</f>
        <v>Great Lakes</v>
      </c>
      <c r="H3" s="259" t="str">
        <f>[11]Sheet1!H5</f>
        <v>TCPL</v>
      </c>
      <c r="I3" s="260" t="str">
        <f>[11]Sheet1!I5</f>
        <v>Union</v>
      </c>
    </row>
    <row r="4" spans="2:9">
      <c r="B4" s="261">
        <f>[11]Sheet1!B6</f>
        <v>37257</v>
      </c>
      <c r="C4" s="262">
        <f>[11]Sheet1!C6</f>
        <v>1</v>
      </c>
      <c r="D4" s="262">
        <f>[11]Sheet1!D6</f>
        <v>1</v>
      </c>
      <c r="E4" s="262">
        <f>[11]Sheet1!E6</f>
        <v>1</v>
      </c>
      <c r="F4" s="262">
        <f>[11]Sheet1!F6</f>
        <v>1</v>
      </c>
      <c r="G4" s="262">
        <f>[11]Sheet1!G6</f>
        <v>1</v>
      </c>
      <c r="H4" s="262">
        <f>[11]Sheet1!H6</f>
        <v>1.052</v>
      </c>
      <c r="I4" s="263">
        <f>[11]Sheet1!I6</f>
        <v>1</v>
      </c>
    </row>
    <row r="5" spans="2:9">
      <c r="B5" s="264">
        <f>[11]Sheet1!B7</f>
        <v>37622</v>
      </c>
      <c r="C5" s="265">
        <f>[11]Sheet1!C7</f>
        <v>1.03</v>
      </c>
      <c r="D5" s="265">
        <f>[11]Sheet1!D7</f>
        <v>1.03</v>
      </c>
      <c r="E5" s="265">
        <f>[11]Sheet1!E7</f>
        <v>1.03</v>
      </c>
      <c r="F5" s="265">
        <f>[11]Sheet1!F7</f>
        <v>1</v>
      </c>
      <c r="G5" s="265">
        <f>[11]Sheet1!G7</f>
        <v>1</v>
      </c>
      <c r="H5" s="265">
        <f>[11]Sheet1!H7</f>
        <v>1.3</v>
      </c>
      <c r="I5" s="266">
        <f>[11]Sheet1!I7</f>
        <v>1</v>
      </c>
    </row>
    <row r="6" spans="2:9">
      <c r="B6" s="264">
        <f>[11]Sheet1!B8</f>
        <v>37987</v>
      </c>
      <c r="C6" s="265">
        <f>[11]Sheet1!C8</f>
        <v>1.2</v>
      </c>
      <c r="D6" s="265">
        <f>[11]Sheet1!D8</f>
        <v>1.2</v>
      </c>
      <c r="E6" s="265">
        <f>[11]Sheet1!E8</f>
        <v>1.2</v>
      </c>
      <c r="F6" s="265">
        <f>[11]Sheet1!F8</f>
        <v>1</v>
      </c>
      <c r="G6" s="265">
        <f>[11]Sheet1!G8</f>
        <v>1</v>
      </c>
      <c r="H6" s="265">
        <f>[11]Sheet1!H8</f>
        <v>1.02</v>
      </c>
      <c r="I6" s="266">
        <f>[11]Sheet1!I8</f>
        <v>1</v>
      </c>
    </row>
    <row r="7" spans="2:9">
      <c r="B7" s="264">
        <f>[11]Sheet1!B9</f>
        <v>38353</v>
      </c>
      <c r="C7" s="265">
        <f>[11]Sheet1!C9</f>
        <v>1</v>
      </c>
      <c r="D7" s="265">
        <f>[11]Sheet1!D9</f>
        <v>1</v>
      </c>
      <c r="E7" s="265">
        <f>[11]Sheet1!E9</f>
        <v>1</v>
      </c>
      <c r="F7" s="265">
        <f>[11]Sheet1!F9</f>
        <v>1</v>
      </c>
      <c r="G7" s="265">
        <f>[11]Sheet1!G9</f>
        <v>1.03</v>
      </c>
      <c r="H7" s="265">
        <f>[11]Sheet1!H9</f>
        <v>1.02</v>
      </c>
      <c r="I7" s="266">
        <f>[11]Sheet1!I9</f>
        <v>1</v>
      </c>
    </row>
    <row r="8" spans="2:9">
      <c r="B8" s="264">
        <f>[11]Sheet1!B10</f>
        <v>38718</v>
      </c>
      <c r="C8" s="265">
        <f>[11]Sheet1!C10</f>
        <v>1</v>
      </c>
      <c r="D8" s="265">
        <f>[11]Sheet1!D10</f>
        <v>1</v>
      </c>
      <c r="E8" s="265">
        <f>[11]Sheet1!E10</f>
        <v>1</v>
      </c>
      <c r="F8" s="265">
        <f>[11]Sheet1!F10</f>
        <v>1</v>
      </c>
      <c r="G8" s="265">
        <f>[11]Sheet1!G10</f>
        <v>1.2</v>
      </c>
      <c r="H8" s="265">
        <f>[11]Sheet1!H10</f>
        <v>1.02</v>
      </c>
      <c r="I8" s="266">
        <f>[11]Sheet1!I10</f>
        <v>1</v>
      </c>
    </row>
    <row r="9" spans="2:9">
      <c r="B9" s="264">
        <f>[11]Sheet1!B11</f>
        <v>39083</v>
      </c>
      <c r="C9" s="265">
        <f>[11]Sheet1!C11</f>
        <v>1</v>
      </c>
      <c r="D9" s="265">
        <f>[11]Sheet1!D11</f>
        <v>1</v>
      </c>
      <c r="E9" s="265">
        <f>[11]Sheet1!E11</f>
        <v>1</v>
      </c>
      <c r="F9" s="265">
        <f>[11]Sheet1!F11</f>
        <v>1</v>
      </c>
      <c r="G9" s="265">
        <f>[11]Sheet1!G11</f>
        <v>1</v>
      </c>
      <c r="H9" s="265">
        <f>[11]Sheet1!H11</f>
        <v>1.02</v>
      </c>
      <c r="I9" s="266">
        <f>[11]Sheet1!I11</f>
        <v>1</v>
      </c>
    </row>
    <row r="10" spans="2:9">
      <c r="B10" s="264">
        <f>[11]Sheet1!B12</f>
        <v>39448</v>
      </c>
      <c r="C10" s="265">
        <f>[11]Sheet1!C12</f>
        <v>1</v>
      </c>
      <c r="D10" s="265">
        <f>[11]Sheet1!D12</f>
        <v>1</v>
      </c>
      <c r="E10" s="265">
        <f>[11]Sheet1!E12</f>
        <v>1</v>
      </c>
      <c r="F10" s="265">
        <f>[11]Sheet1!F12</f>
        <v>1</v>
      </c>
      <c r="G10" s="265">
        <f>[11]Sheet1!G12</f>
        <v>1</v>
      </c>
      <c r="H10" s="265">
        <f>[11]Sheet1!H12</f>
        <v>1.02</v>
      </c>
      <c r="I10" s="266">
        <f>[11]Sheet1!I12</f>
        <v>1</v>
      </c>
    </row>
    <row r="11" spans="2:9">
      <c r="B11" s="264">
        <f>[11]Sheet1!B13</f>
        <v>39814</v>
      </c>
      <c r="C11" s="265">
        <f>[11]Sheet1!C13</f>
        <v>1</v>
      </c>
      <c r="D11" s="265">
        <f>[11]Sheet1!D13</f>
        <v>1</v>
      </c>
      <c r="E11" s="265">
        <f>[11]Sheet1!E13</f>
        <v>1</v>
      </c>
      <c r="F11" s="265">
        <f>[11]Sheet1!F13</f>
        <v>1</v>
      </c>
      <c r="G11" s="265">
        <f>[11]Sheet1!G13</f>
        <v>1</v>
      </c>
      <c r="H11" s="265">
        <f>[11]Sheet1!H13</f>
        <v>1.02</v>
      </c>
      <c r="I11" s="266">
        <f>[11]Sheet1!I13</f>
        <v>1</v>
      </c>
    </row>
    <row r="12" spans="2:9">
      <c r="B12" s="264">
        <f>[11]Sheet1!B14</f>
        <v>40179</v>
      </c>
      <c r="C12" s="265">
        <f>[11]Sheet1!C14</f>
        <v>1</v>
      </c>
      <c r="D12" s="265">
        <f>[11]Sheet1!D14</f>
        <v>1</v>
      </c>
      <c r="E12" s="265">
        <f>[11]Sheet1!E14</f>
        <v>1</v>
      </c>
      <c r="F12" s="265">
        <f>[11]Sheet1!F14</f>
        <v>1</v>
      </c>
      <c r="G12" s="265">
        <f>[11]Sheet1!G14</f>
        <v>1</v>
      </c>
      <c r="H12" s="265">
        <f>[11]Sheet1!H14</f>
        <v>1.02</v>
      </c>
      <c r="I12" s="266">
        <f>[11]Sheet1!I14</f>
        <v>1</v>
      </c>
    </row>
    <row r="13" spans="2:9">
      <c r="B13" s="264">
        <f>[11]Sheet1!B15</f>
        <v>40544</v>
      </c>
      <c r="C13" s="265">
        <f>[11]Sheet1!C15</f>
        <v>1</v>
      </c>
      <c r="D13" s="265">
        <f>[11]Sheet1!D15</f>
        <v>1</v>
      </c>
      <c r="E13" s="265">
        <f>[11]Sheet1!E15</f>
        <v>1</v>
      </c>
      <c r="F13" s="265">
        <f>[11]Sheet1!F15</f>
        <v>1</v>
      </c>
      <c r="G13" s="265">
        <f>[11]Sheet1!G15</f>
        <v>1</v>
      </c>
      <c r="H13" s="265">
        <f>[11]Sheet1!H15</f>
        <v>1.02</v>
      </c>
      <c r="I13" s="266">
        <f>[11]Sheet1!I15</f>
        <v>1</v>
      </c>
    </row>
    <row r="14" spans="2:9">
      <c r="B14" s="264">
        <f>[11]Sheet1!B16</f>
        <v>40909</v>
      </c>
      <c r="C14" s="265">
        <f>[11]Sheet1!C16</f>
        <v>1</v>
      </c>
      <c r="D14" s="265">
        <f>[11]Sheet1!D16</f>
        <v>1</v>
      </c>
      <c r="E14" s="265">
        <f>[11]Sheet1!E16</f>
        <v>1</v>
      </c>
      <c r="F14" s="265">
        <f>[11]Sheet1!F16</f>
        <v>1</v>
      </c>
      <c r="G14" s="265">
        <f>[11]Sheet1!G16</f>
        <v>1</v>
      </c>
      <c r="H14" s="265">
        <f>[11]Sheet1!H16</f>
        <v>1.02</v>
      </c>
      <c r="I14" s="266">
        <f>[11]Sheet1!I16</f>
        <v>1</v>
      </c>
    </row>
    <row r="15" spans="2:9">
      <c r="B15" s="264">
        <f>[11]Sheet1!B17</f>
        <v>41275</v>
      </c>
      <c r="C15" s="265">
        <f>[11]Sheet1!C17</f>
        <v>1</v>
      </c>
      <c r="D15" s="265">
        <f>[11]Sheet1!D17</f>
        <v>1</v>
      </c>
      <c r="E15" s="265">
        <f>[11]Sheet1!E17</f>
        <v>1</v>
      </c>
      <c r="F15" s="265">
        <f>[11]Sheet1!F17</f>
        <v>1</v>
      </c>
      <c r="G15" s="265">
        <f>[11]Sheet1!G17</f>
        <v>1</v>
      </c>
      <c r="H15" s="265">
        <f>[11]Sheet1!H17</f>
        <v>1.02</v>
      </c>
      <c r="I15" s="266">
        <f>[11]Sheet1!I17</f>
        <v>1</v>
      </c>
    </row>
    <row r="16" spans="2:9">
      <c r="B16" s="267">
        <f>[11]Sheet1!B18</f>
        <v>41640</v>
      </c>
      <c r="C16" s="268">
        <f>[11]Sheet1!C18</f>
        <v>1</v>
      </c>
      <c r="D16" s="268">
        <f>[11]Sheet1!D18</f>
        <v>1</v>
      </c>
      <c r="E16" s="268">
        <f>[11]Sheet1!E18</f>
        <v>1</v>
      </c>
      <c r="F16" s="268">
        <f>[11]Sheet1!F18</f>
        <v>1</v>
      </c>
      <c r="G16" s="268">
        <f>[11]Sheet1!G18</f>
        <v>1</v>
      </c>
      <c r="H16" s="268">
        <f>[11]Sheet1!H18</f>
        <v>1.02</v>
      </c>
      <c r="I16" s="269">
        <f>[11]Sheet1!I18</f>
        <v>1</v>
      </c>
    </row>
    <row r="19" spans="2:10">
      <c r="B19" t="s">
        <v>248</v>
      </c>
    </row>
    <row r="21" spans="2:10" s="270" customFormat="1" ht="37.5" customHeight="1">
      <c r="C21" s="270" t="s">
        <v>219</v>
      </c>
      <c r="D21" s="270" t="s">
        <v>208</v>
      </c>
      <c r="E21" s="270" t="s">
        <v>220</v>
      </c>
      <c r="F21" s="270" t="s">
        <v>221</v>
      </c>
      <c r="G21" s="270" t="s">
        <v>222</v>
      </c>
      <c r="H21" s="270" t="s">
        <v>214</v>
      </c>
      <c r="I21" s="270" t="s">
        <v>213</v>
      </c>
      <c r="J21" s="270" t="s">
        <v>223</v>
      </c>
    </row>
    <row r="22" spans="2:10">
      <c r="C22" s="273" t="s">
        <v>227</v>
      </c>
      <c r="D22" s="273" t="s">
        <v>228</v>
      </c>
      <c r="E22" s="273" t="s">
        <v>229</v>
      </c>
      <c r="F22" s="273" t="s">
        <v>230</v>
      </c>
      <c r="G22" s="273" t="s">
        <v>232</v>
      </c>
      <c r="H22" s="273" t="s">
        <v>231</v>
      </c>
      <c r="I22" s="273" t="s">
        <v>232</v>
      </c>
      <c r="J22" s="273" t="s">
        <v>232</v>
      </c>
    </row>
    <row r="23" spans="2:10">
      <c r="B23" s="222">
        <f>Summary!E7</f>
        <v>37043</v>
      </c>
      <c r="C23" s="275">
        <f>Summary!S7</f>
        <v>1.8200000000000001E-2</v>
      </c>
      <c r="D23" s="275">
        <f>Summary!S8</f>
        <v>1.6199999999999999E-2</v>
      </c>
      <c r="E23" s="275">
        <f>Summary!S9</f>
        <v>7.0699999999999999E-2</v>
      </c>
      <c r="F23" s="275">
        <f>Summary!S10</f>
        <v>1.2800000000000001E-2</v>
      </c>
      <c r="G23" s="275">
        <f>Summary!S11</f>
        <v>3.6970217296000006E-3</v>
      </c>
      <c r="H23" s="275">
        <f>Summary!S12</f>
        <v>2.9000000000000001E-2</v>
      </c>
      <c r="I23" s="276">
        <f>[9]ContractTbl!$X$20</f>
        <v>3.4114391715199997E-2</v>
      </c>
      <c r="J23" s="277">
        <f>[9]ContractTbl!$AO$20</f>
        <v>3.6970217296000006E-3</v>
      </c>
    </row>
    <row r="24" spans="2:10">
      <c r="B24" s="222">
        <f t="shared" ref="B24:B55" si="0">EDATE(B23,1)</f>
        <v>37073</v>
      </c>
      <c r="C24" s="275">
        <f t="shared" ref="C24:C29" si="1">C23</f>
        <v>1.8200000000000001E-2</v>
      </c>
      <c r="D24" s="275">
        <f t="shared" ref="D24:J24" si="2">D23</f>
        <v>1.6199999999999999E-2</v>
      </c>
      <c r="E24" s="275">
        <f t="shared" si="2"/>
        <v>7.0699999999999999E-2</v>
      </c>
      <c r="F24" s="275">
        <f t="shared" si="2"/>
        <v>1.2800000000000001E-2</v>
      </c>
      <c r="G24" s="275">
        <f t="shared" si="2"/>
        <v>3.6970217296000006E-3</v>
      </c>
      <c r="H24" s="275">
        <f t="shared" si="2"/>
        <v>2.9000000000000001E-2</v>
      </c>
      <c r="I24" s="275">
        <f t="shared" si="2"/>
        <v>3.4114391715199997E-2</v>
      </c>
      <c r="J24" s="275">
        <f t="shared" si="2"/>
        <v>3.6970217296000006E-3</v>
      </c>
    </row>
    <row r="25" spans="2:10">
      <c r="B25" s="222">
        <f t="shared" si="0"/>
        <v>37104</v>
      </c>
      <c r="C25" s="275">
        <f t="shared" si="1"/>
        <v>1.8200000000000001E-2</v>
      </c>
      <c r="D25" s="275">
        <f t="shared" ref="D25:J29" si="3">D24</f>
        <v>1.6199999999999999E-2</v>
      </c>
      <c r="E25" s="275">
        <f t="shared" si="3"/>
        <v>7.0699999999999999E-2</v>
      </c>
      <c r="F25" s="275">
        <f t="shared" si="3"/>
        <v>1.2800000000000001E-2</v>
      </c>
      <c r="G25" s="275">
        <f t="shared" si="3"/>
        <v>3.6970217296000006E-3</v>
      </c>
      <c r="H25" s="275">
        <f t="shared" si="3"/>
        <v>2.9000000000000001E-2</v>
      </c>
      <c r="I25" s="275">
        <f t="shared" si="3"/>
        <v>3.4114391715199997E-2</v>
      </c>
      <c r="J25" s="275">
        <f t="shared" si="3"/>
        <v>3.6970217296000006E-3</v>
      </c>
    </row>
    <row r="26" spans="2:10">
      <c r="B26" s="222">
        <f t="shared" si="0"/>
        <v>37135</v>
      </c>
      <c r="C26" s="275">
        <f t="shared" si="1"/>
        <v>1.8200000000000001E-2</v>
      </c>
      <c r="D26" s="275">
        <f t="shared" si="3"/>
        <v>1.6199999999999999E-2</v>
      </c>
      <c r="E26" s="275">
        <f t="shared" si="3"/>
        <v>7.0699999999999999E-2</v>
      </c>
      <c r="F26" s="275">
        <f t="shared" si="3"/>
        <v>1.2800000000000001E-2</v>
      </c>
      <c r="G26" s="275">
        <f t="shared" si="3"/>
        <v>3.6970217296000006E-3</v>
      </c>
      <c r="H26" s="275">
        <f t="shared" si="3"/>
        <v>2.9000000000000001E-2</v>
      </c>
      <c r="I26" s="275">
        <f t="shared" si="3"/>
        <v>3.4114391715199997E-2</v>
      </c>
      <c r="J26" s="275">
        <f t="shared" si="3"/>
        <v>3.6970217296000006E-3</v>
      </c>
    </row>
    <row r="27" spans="2:10">
      <c r="B27" s="222">
        <f t="shared" si="0"/>
        <v>37165</v>
      </c>
      <c r="C27" s="275">
        <f t="shared" si="1"/>
        <v>1.8200000000000001E-2</v>
      </c>
      <c r="D27" s="275">
        <f t="shared" si="3"/>
        <v>1.6199999999999999E-2</v>
      </c>
      <c r="E27" s="275">
        <f t="shared" si="3"/>
        <v>7.0699999999999999E-2</v>
      </c>
      <c r="F27" s="275">
        <f t="shared" si="3"/>
        <v>1.2800000000000001E-2</v>
      </c>
      <c r="G27" s="275">
        <f t="shared" si="3"/>
        <v>3.6970217296000006E-3</v>
      </c>
      <c r="H27" s="275">
        <f t="shared" si="3"/>
        <v>2.9000000000000001E-2</v>
      </c>
      <c r="I27" s="275">
        <f t="shared" si="3"/>
        <v>3.4114391715199997E-2</v>
      </c>
      <c r="J27" s="275">
        <f t="shared" si="3"/>
        <v>3.6970217296000006E-3</v>
      </c>
    </row>
    <row r="28" spans="2:10">
      <c r="B28" s="222">
        <f t="shared" si="0"/>
        <v>37196</v>
      </c>
      <c r="C28" s="275">
        <f t="shared" si="1"/>
        <v>1.8200000000000001E-2</v>
      </c>
      <c r="D28" s="275">
        <f t="shared" si="3"/>
        <v>1.6199999999999999E-2</v>
      </c>
      <c r="E28" s="275">
        <f t="shared" si="3"/>
        <v>7.0699999999999999E-2</v>
      </c>
      <c r="F28" s="275">
        <f t="shared" si="3"/>
        <v>1.2800000000000001E-2</v>
      </c>
      <c r="G28" s="275">
        <f t="shared" si="3"/>
        <v>3.6970217296000006E-3</v>
      </c>
      <c r="H28" s="275">
        <f t="shared" si="3"/>
        <v>2.9000000000000001E-2</v>
      </c>
      <c r="I28" s="275">
        <f t="shared" si="3"/>
        <v>3.4114391715199997E-2</v>
      </c>
      <c r="J28" s="275">
        <f t="shared" si="3"/>
        <v>3.6970217296000006E-3</v>
      </c>
    </row>
    <row r="29" spans="2:10">
      <c r="B29" s="222">
        <f t="shared" si="0"/>
        <v>37226</v>
      </c>
      <c r="C29" s="275">
        <f t="shared" si="1"/>
        <v>1.8200000000000001E-2</v>
      </c>
      <c r="D29" s="275">
        <f t="shared" si="3"/>
        <v>1.6199999999999999E-2</v>
      </c>
      <c r="E29" s="275">
        <f t="shared" si="3"/>
        <v>7.0699999999999999E-2</v>
      </c>
      <c r="F29" s="275">
        <f t="shared" si="3"/>
        <v>1.2800000000000001E-2</v>
      </c>
      <c r="G29" s="275">
        <f t="shared" si="3"/>
        <v>3.6970217296000006E-3</v>
      </c>
      <c r="H29" s="275">
        <f t="shared" si="3"/>
        <v>2.9000000000000001E-2</v>
      </c>
      <c r="I29" s="275">
        <f t="shared" si="3"/>
        <v>3.4114391715199997E-2</v>
      </c>
      <c r="J29" s="275">
        <f t="shared" si="3"/>
        <v>3.6970217296000006E-3</v>
      </c>
    </row>
    <row r="30" spans="2:10">
      <c r="B30" s="222">
        <f t="shared" si="0"/>
        <v>37257</v>
      </c>
      <c r="C30" s="278">
        <f>C29*C199</f>
        <v>1.8200000000000001E-2</v>
      </c>
      <c r="D30" s="278">
        <f t="shared" ref="D30:J30" si="4">D29*D199</f>
        <v>1.6199999999999999E-2</v>
      </c>
      <c r="E30" s="278">
        <f t="shared" si="4"/>
        <v>7.0699999999999999E-2</v>
      </c>
      <c r="F30" s="278">
        <f t="shared" si="4"/>
        <v>1.2800000000000001E-2</v>
      </c>
      <c r="G30" s="278">
        <f t="shared" si="4"/>
        <v>3.8892668595392008E-3</v>
      </c>
      <c r="H30" s="278">
        <f t="shared" si="4"/>
        <v>2.9000000000000001E-2</v>
      </c>
      <c r="I30" s="278">
        <f t="shared" si="4"/>
        <v>3.5888340084390402E-2</v>
      </c>
      <c r="J30" s="278">
        <f t="shared" si="4"/>
        <v>3.8892668595392008E-3</v>
      </c>
    </row>
    <row r="31" spans="2:10">
      <c r="B31" s="222">
        <f t="shared" si="0"/>
        <v>37288</v>
      </c>
      <c r="C31" s="275">
        <f t="shared" ref="C31:J31" si="5">C30</f>
        <v>1.8200000000000001E-2</v>
      </c>
      <c r="D31" s="275">
        <f t="shared" si="5"/>
        <v>1.6199999999999999E-2</v>
      </c>
      <c r="E31" s="275">
        <f t="shared" si="5"/>
        <v>7.0699999999999999E-2</v>
      </c>
      <c r="F31" s="275">
        <f t="shared" si="5"/>
        <v>1.2800000000000001E-2</v>
      </c>
      <c r="G31" s="275">
        <f t="shared" si="5"/>
        <v>3.8892668595392008E-3</v>
      </c>
      <c r="H31" s="275">
        <f t="shared" si="5"/>
        <v>2.9000000000000001E-2</v>
      </c>
      <c r="I31" s="275">
        <f t="shared" si="5"/>
        <v>3.5888340084390402E-2</v>
      </c>
      <c r="J31" s="275">
        <f t="shared" si="5"/>
        <v>3.8892668595392008E-3</v>
      </c>
    </row>
    <row r="32" spans="2:10">
      <c r="B32" s="222">
        <f t="shared" si="0"/>
        <v>37316</v>
      </c>
      <c r="C32" s="275">
        <f t="shared" ref="C32:C41" si="6">C31</f>
        <v>1.8200000000000001E-2</v>
      </c>
      <c r="D32" s="275">
        <f t="shared" ref="D32:D41" si="7">D31</f>
        <v>1.6199999999999999E-2</v>
      </c>
      <c r="E32" s="275">
        <f t="shared" ref="E32:E41" si="8">E31</f>
        <v>7.0699999999999999E-2</v>
      </c>
      <c r="F32" s="275">
        <f t="shared" ref="F32:F41" si="9">F31</f>
        <v>1.2800000000000001E-2</v>
      </c>
      <c r="G32" s="275">
        <f t="shared" ref="G32:G41" si="10">G31</f>
        <v>3.8892668595392008E-3</v>
      </c>
      <c r="H32" s="275">
        <f t="shared" ref="H32:H41" si="11">H31</f>
        <v>2.9000000000000001E-2</v>
      </c>
      <c r="I32" s="275">
        <f t="shared" ref="I32:I41" si="12">I31</f>
        <v>3.5888340084390402E-2</v>
      </c>
      <c r="J32" s="275">
        <f t="shared" ref="J32:J41" si="13">J31</f>
        <v>3.8892668595392008E-3</v>
      </c>
    </row>
    <row r="33" spans="2:10">
      <c r="B33" s="222">
        <f t="shared" si="0"/>
        <v>37347</v>
      </c>
      <c r="C33" s="275">
        <f t="shared" si="6"/>
        <v>1.8200000000000001E-2</v>
      </c>
      <c r="D33" s="275">
        <f t="shared" si="7"/>
        <v>1.6199999999999999E-2</v>
      </c>
      <c r="E33" s="275">
        <f t="shared" si="8"/>
        <v>7.0699999999999999E-2</v>
      </c>
      <c r="F33" s="275">
        <f t="shared" si="9"/>
        <v>1.2800000000000001E-2</v>
      </c>
      <c r="G33" s="275">
        <f t="shared" si="10"/>
        <v>3.8892668595392008E-3</v>
      </c>
      <c r="H33" s="275">
        <f t="shared" si="11"/>
        <v>2.9000000000000001E-2</v>
      </c>
      <c r="I33" s="275">
        <f t="shared" si="12"/>
        <v>3.5888340084390402E-2</v>
      </c>
      <c r="J33" s="275">
        <f t="shared" si="13"/>
        <v>3.8892668595392008E-3</v>
      </c>
    </row>
    <row r="34" spans="2:10">
      <c r="B34" s="222">
        <f t="shared" si="0"/>
        <v>37377</v>
      </c>
      <c r="C34" s="275">
        <f t="shared" si="6"/>
        <v>1.8200000000000001E-2</v>
      </c>
      <c r="D34" s="275">
        <f t="shared" si="7"/>
        <v>1.6199999999999999E-2</v>
      </c>
      <c r="E34" s="275">
        <f t="shared" si="8"/>
        <v>7.0699999999999999E-2</v>
      </c>
      <c r="F34" s="275">
        <f t="shared" si="9"/>
        <v>1.2800000000000001E-2</v>
      </c>
      <c r="G34" s="275">
        <f t="shared" si="10"/>
        <v>3.8892668595392008E-3</v>
      </c>
      <c r="H34" s="275">
        <f t="shared" si="11"/>
        <v>2.9000000000000001E-2</v>
      </c>
      <c r="I34" s="275">
        <f t="shared" si="12"/>
        <v>3.5888340084390402E-2</v>
      </c>
      <c r="J34" s="275">
        <f t="shared" si="13"/>
        <v>3.8892668595392008E-3</v>
      </c>
    </row>
    <row r="35" spans="2:10">
      <c r="B35" s="222">
        <f t="shared" si="0"/>
        <v>37408</v>
      </c>
      <c r="C35" s="275">
        <f t="shared" si="6"/>
        <v>1.8200000000000001E-2</v>
      </c>
      <c r="D35" s="275">
        <f t="shared" si="7"/>
        <v>1.6199999999999999E-2</v>
      </c>
      <c r="E35" s="275">
        <f t="shared" si="8"/>
        <v>7.0699999999999999E-2</v>
      </c>
      <c r="F35" s="275">
        <f t="shared" si="9"/>
        <v>1.2800000000000001E-2</v>
      </c>
      <c r="G35" s="275">
        <f t="shared" si="10"/>
        <v>3.8892668595392008E-3</v>
      </c>
      <c r="H35" s="275">
        <f t="shared" si="11"/>
        <v>2.9000000000000001E-2</v>
      </c>
      <c r="I35" s="275">
        <f t="shared" si="12"/>
        <v>3.5888340084390402E-2</v>
      </c>
      <c r="J35" s="275">
        <f t="shared" si="13"/>
        <v>3.8892668595392008E-3</v>
      </c>
    </row>
    <row r="36" spans="2:10">
      <c r="B36" s="222">
        <f t="shared" si="0"/>
        <v>37438</v>
      </c>
      <c r="C36" s="275">
        <f t="shared" si="6"/>
        <v>1.8200000000000001E-2</v>
      </c>
      <c r="D36" s="275">
        <f t="shared" si="7"/>
        <v>1.6199999999999999E-2</v>
      </c>
      <c r="E36" s="275">
        <f t="shared" si="8"/>
        <v>7.0699999999999999E-2</v>
      </c>
      <c r="F36" s="275">
        <f t="shared" si="9"/>
        <v>1.2800000000000001E-2</v>
      </c>
      <c r="G36" s="275">
        <f t="shared" si="10"/>
        <v>3.8892668595392008E-3</v>
      </c>
      <c r="H36" s="275">
        <f t="shared" si="11"/>
        <v>2.9000000000000001E-2</v>
      </c>
      <c r="I36" s="275">
        <f t="shared" si="12"/>
        <v>3.5888340084390402E-2</v>
      </c>
      <c r="J36" s="275">
        <f t="shared" si="13"/>
        <v>3.8892668595392008E-3</v>
      </c>
    </row>
    <row r="37" spans="2:10">
      <c r="B37" s="222">
        <f t="shared" si="0"/>
        <v>37469</v>
      </c>
      <c r="C37" s="275">
        <f t="shared" si="6"/>
        <v>1.8200000000000001E-2</v>
      </c>
      <c r="D37" s="275">
        <f t="shared" si="7"/>
        <v>1.6199999999999999E-2</v>
      </c>
      <c r="E37" s="275">
        <f t="shared" si="8"/>
        <v>7.0699999999999999E-2</v>
      </c>
      <c r="F37" s="275">
        <f t="shared" si="9"/>
        <v>1.2800000000000001E-2</v>
      </c>
      <c r="G37" s="275">
        <f t="shared" si="10"/>
        <v>3.8892668595392008E-3</v>
      </c>
      <c r="H37" s="275">
        <f t="shared" si="11"/>
        <v>2.9000000000000001E-2</v>
      </c>
      <c r="I37" s="275">
        <f t="shared" si="12"/>
        <v>3.5888340084390402E-2</v>
      </c>
      <c r="J37" s="275">
        <f t="shared" si="13"/>
        <v>3.8892668595392008E-3</v>
      </c>
    </row>
    <row r="38" spans="2:10">
      <c r="B38" s="222">
        <f t="shared" si="0"/>
        <v>37500</v>
      </c>
      <c r="C38" s="275">
        <f t="shared" si="6"/>
        <v>1.8200000000000001E-2</v>
      </c>
      <c r="D38" s="275">
        <f t="shared" si="7"/>
        <v>1.6199999999999999E-2</v>
      </c>
      <c r="E38" s="275">
        <f t="shared" si="8"/>
        <v>7.0699999999999999E-2</v>
      </c>
      <c r="F38" s="275">
        <f t="shared" si="9"/>
        <v>1.2800000000000001E-2</v>
      </c>
      <c r="G38" s="275">
        <f t="shared" si="10"/>
        <v>3.8892668595392008E-3</v>
      </c>
      <c r="H38" s="275">
        <f t="shared" si="11"/>
        <v>2.9000000000000001E-2</v>
      </c>
      <c r="I38" s="275">
        <f t="shared" si="12"/>
        <v>3.5888340084390402E-2</v>
      </c>
      <c r="J38" s="275">
        <f t="shared" si="13"/>
        <v>3.8892668595392008E-3</v>
      </c>
    </row>
    <row r="39" spans="2:10">
      <c r="B39" s="222">
        <f t="shared" si="0"/>
        <v>37530</v>
      </c>
      <c r="C39" s="275">
        <f t="shared" si="6"/>
        <v>1.8200000000000001E-2</v>
      </c>
      <c r="D39" s="275">
        <f t="shared" si="7"/>
        <v>1.6199999999999999E-2</v>
      </c>
      <c r="E39" s="275">
        <f t="shared" si="8"/>
        <v>7.0699999999999999E-2</v>
      </c>
      <c r="F39" s="275">
        <f t="shared" si="9"/>
        <v>1.2800000000000001E-2</v>
      </c>
      <c r="G39" s="275">
        <f t="shared" si="10"/>
        <v>3.8892668595392008E-3</v>
      </c>
      <c r="H39" s="275">
        <f t="shared" si="11"/>
        <v>2.9000000000000001E-2</v>
      </c>
      <c r="I39" s="275">
        <f t="shared" si="12"/>
        <v>3.5888340084390402E-2</v>
      </c>
      <c r="J39" s="275">
        <f t="shared" si="13"/>
        <v>3.8892668595392008E-3</v>
      </c>
    </row>
    <row r="40" spans="2:10">
      <c r="B40" s="222">
        <f t="shared" si="0"/>
        <v>37561</v>
      </c>
      <c r="C40" s="275">
        <f t="shared" si="6"/>
        <v>1.8200000000000001E-2</v>
      </c>
      <c r="D40" s="275">
        <f t="shared" si="7"/>
        <v>1.6199999999999999E-2</v>
      </c>
      <c r="E40" s="275">
        <f t="shared" si="8"/>
        <v>7.0699999999999999E-2</v>
      </c>
      <c r="F40" s="275">
        <f t="shared" si="9"/>
        <v>1.2800000000000001E-2</v>
      </c>
      <c r="G40" s="275">
        <f t="shared" si="10"/>
        <v>3.8892668595392008E-3</v>
      </c>
      <c r="H40" s="275">
        <f t="shared" si="11"/>
        <v>2.9000000000000001E-2</v>
      </c>
      <c r="I40" s="275">
        <f t="shared" si="12"/>
        <v>3.5888340084390402E-2</v>
      </c>
      <c r="J40" s="275">
        <f t="shared" si="13"/>
        <v>3.8892668595392008E-3</v>
      </c>
    </row>
    <row r="41" spans="2:10">
      <c r="B41" s="222">
        <f t="shared" si="0"/>
        <v>37591</v>
      </c>
      <c r="C41" s="275">
        <f t="shared" si="6"/>
        <v>1.8200000000000001E-2</v>
      </c>
      <c r="D41" s="275">
        <f t="shared" si="7"/>
        <v>1.6199999999999999E-2</v>
      </c>
      <c r="E41" s="275">
        <f t="shared" si="8"/>
        <v>7.0699999999999999E-2</v>
      </c>
      <c r="F41" s="275">
        <f t="shared" si="9"/>
        <v>1.2800000000000001E-2</v>
      </c>
      <c r="G41" s="275">
        <f t="shared" si="10"/>
        <v>3.8892668595392008E-3</v>
      </c>
      <c r="H41" s="275">
        <f t="shared" si="11"/>
        <v>2.9000000000000001E-2</v>
      </c>
      <c r="I41" s="275">
        <f t="shared" si="12"/>
        <v>3.5888340084390402E-2</v>
      </c>
      <c r="J41" s="275">
        <f t="shared" si="13"/>
        <v>3.8892668595392008E-3</v>
      </c>
    </row>
    <row r="42" spans="2:10">
      <c r="B42" s="222">
        <f t="shared" si="0"/>
        <v>37622</v>
      </c>
      <c r="C42" s="278">
        <f t="shared" ref="C42:J42" si="14">C41*C211</f>
        <v>1.8746000000000002E-2</v>
      </c>
      <c r="D42" s="278">
        <f t="shared" si="14"/>
        <v>1.6685999999999999E-2</v>
      </c>
      <c r="E42" s="278">
        <f t="shared" si="14"/>
        <v>7.0699999999999999E-2</v>
      </c>
      <c r="F42" s="278">
        <f t="shared" si="14"/>
        <v>1.2800000000000001E-2</v>
      </c>
      <c r="G42" s="278">
        <f t="shared" si="14"/>
        <v>5.0560469174009614E-3</v>
      </c>
      <c r="H42" s="278">
        <f t="shared" si="14"/>
        <v>2.9000000000000001E-2</v>
      </c>
      <c r="I42" s="278">
        <f t="shared" si="14"/>
        <v>4.6654842109707523E-2</v>
      </c>
      <c r="J42" s="278">
        <f t="shared" si="14"/>
        <v>5.0560469174009614E-3</v>
      </c>
    </row>
    <row r="43" spans="2:10">
      <c r="B43" s="222">
        <f t="shared" si="0"/>
        <v>37653</v>
      </c>
      <c r="C43" s="275">
        <f t="shared" ref="C43:C53" si="15">C42</f>
        <v>1.8746000000000002E-2</v>
      </c>
      <c r="D43" s="275">
        <f t="shared" ref="D43:D53" si="16">D42</f>
        <v>1.6685999999999999E-2</v>
      </c>
      <c r="E43" s="275">
        <f t="shared" ref="E43:E53" si="17">E42</f>
        <v>7.0699999999999999E-2</v>
      </c>
      <c r="F43" s="275">
        <f t="shared" ref="F43:F53" si="18">F42</f>
        <v>1.2800000000000001E-2</v>
      </c>
      <c r="G43" s="275">
        <f t="shared" ref="G43:G53" si="19">G42</f>
        <v>5.0560469174009614E-3</v>
      </c>
      <c r="H43" s="275">
        <f t="shared" ref="H43:H53" si="20">H42</f>
        <v>2.9000000000000001E-2</v>
      </c>
      <c r="I43" s="275">
        <f t="shared" ref="I43:I53" si="21">I42</f>
        <v>4.6654842109707523E-2</v>
      </c>
      <c r="J43" s="275">
        <f t="shared" ref="J43:J53" si="22">J42</f>
        <v>5.0560469174009614E-3</v>
      </c>
    </row>
    <row r="44" spans="2:10">
      <c r="B44" s="222">
        <f t="shared" si="0"/>
        <v>37681</v>
      </c>
      <c r="C44" s="275">
        <f t="shared" si="15"/>
        <v>1.8746000000000002E-2</v>
      </c>
      <c r="D44" s="275">
        <f t="shared" si="16"/>
        <v>1.6685999999999999E-2</v>
      </c>
      <c r="E44" s="275">
        <f t="shared" si="17"/>
        <v>7.0699999999999999E-2</v>
      </c>
      <c r="F44" s="275">
        <f t="shared" si="18"/>
        <v>1.2800000000000001E-2</v>
      </c>
      <c r="G44" s="275">
        <f t="shared" si="19"/>
        <v>5.0560469174009614E-3</v>
      </c>
      <c r="H44" s="275">
        <f t="shared" si="20"/>
        <v>2.9000000000000001E-2</v>
      </c>
      <c r="I44" s="275">
        <f t="shared" si="21"/>
        <v>4.6654842109707523E-2</v>
      </c>
      <c r="J44" s="275">
        <f t="shared" si="22"/>
        <v>5.0560469174009614E-3</v>
      </c>
    </row>
    <row r="45" spans="2:10">
      <c r="B45" s="222">
        <f t="shared" si="0"/>
        <v>37712</v>
      </c>
      <c r="C45" s="275">
        <f t="shared" si="15"/>
        <v>1.8746000000000002E-2</v>
      </c>
      <c r="D45" s="275">
        <f t="shared" si="16"/>
        <v>1.6685999999999999E-2</v>
      </c>
      <c r="E45" s="275">
        <f t="shared" si="17"/>
        <v>7.0699999999999999E-2</v>
      </c>
      <c r="F45" s="275">
        <f t="shared" si="18"/>
        <v>1.2800000000000001E-2</v>
      </c>
      <c r="G45" s="275">
        <f t="shared" si="19"/>
        <v>5.0560469174009614E-3</v>
      </c>
      <c r="H45" s="275">
        <f t="shared" si="20"/>
        <v>2.9000000000000001E-2</v>
      </c>
      <c r="I45" s="275">
        <f t="shared" si="21"/>
        <v>4.6654842109707523E-2</v>
      </c>
      <c r="J45" s="275">
        <f t="shared" si="22"/>
        <v>5.0560469174009614E-3</v>
      </c>
    </row>
    <row r="46" spans="2:10">
      <c r="B46" s="222">
        <f t="shared" si="0"/>
        <v>37742</v>
      </c>
      <c r="C46" s="275">
        <f t="shared" si="15"/>
        <v>1.8746000000000002E-2</v>
      </c>
      <c r="D46" s="275">
        <f t="shared" si="16"/>
        <v>1.6685999999999999E-2</v>
      </c>
      <c r="E46" s="275">
        <f t="shared" si="17"/>
        <v>7.0699999999999999E-2</v>
      </c>
      <c r="F46" s="275">
        <f t="shared" si="18"/>
        <v>1.2800000000000001E-2</v>
      </c>
      <c r="G46" s="275">
        <f t="shared" si="19"/>
        <v>5.0560469174009614E-3</v>
      </c>
      <c r="H46" s="275">
        <f t="shared" si="20"/>
        <v>2.9000000000000001E-2</v>
      </c>
      <c r="I46" s="275">
        <f t="shared" si="21"/>
        <v>4.6654842109707523E-2</v>
      </c>
      <c r="J46" s="275">
        <f t="shared" si="22"/>
        <v>5.0560469174009614E-3</v>
      </c>
    </row>
    <row r="47" spans="2:10">
      <c r="B47" s="222">
        <f t="shared" si="0"/>
        <v>37773</v>
      </c>
      <c r="C47" s="275">
        <f t="shared" si="15"/>
        <v>1.8746000000000002E-2</v>
      </c>
      <c r="D47" s="275">
        <f t="shared" si="16"/>
        <v>1.6685999999999999E-2</v>
      </c>
      <c r="E47" s="275">
        <f t="shared" si="17"/>
        <v>7.0699999999999999E-2</v>
      </c>
      <c r="F47" s="275">
        <f t="shared" si="18"/>
        <v>1.2800000000000001E-2</v>
      </c>
      <c r="G47" s="275">
        <f t="shared" si="19"/>
        <v>5.0560469174009614E-3</v>
      </c>
      <c r="H47" s="275">
        <f t="shared" si="20"/>
        <v>2.9000000000000001E-2</v>
      </c>
      <c r="I47" s="275">
        <f t="shared" si="21"/>
        <v>4.6654842109707523E-2</v>
      </c>
      <c r="J47" s="275">
        <f t="shared" si="22"/>
        <v>5.0560469174009614E-3</v>
      </c>
    </row>
    <row r="48" spans="2:10">
      <c r="B48" s="222">
        <f t="shared" si="0"/>
        <v>37803</v>
      </c>
      <c r="C48" s="275">
        <f t="shared" si="15"/>
        <v>1.8746000000000002E-2</v>
      </c>
      <c r="D48" s="275">
        <f t="shared" si="16"/>
        <v>1.6685999999999999E-2</v>
      </c>
      <c r="E48" s="275">
        <f t="shared" si="17"/>
        <v>7.0699999999999999E-2</v>
      </c>
      <c r="F48" s="275">
        <f t="shared" si="18"/>
        <v>1.2800000000000001E-2</v>
      </c>
      <c r="G48" s="275">
        <f t="shared" si="19"/>
        <v>5.0560469174009614E-3</v>
      </c>
      <c r="H48" s="275">
        <f t="shared" si="20"/>
        <v>2.9000000000000001E-2</v>
      </c>
      <c r="I48" s="275">
        <f t="shared" si="21"/>
        <v>4.6654842109707523E-2</v>
      </c>
      <c r="J48" s="275">
        <f t="shared" si="22"/>
        <v>5.0560469174009614E-3</v>
      </c>
    </row>
    <row r="49" spans="2:10">
      <c r="B49" s="222">
        <f t="shared" si="0"/>
        <v>37834</v>
      </c>
      <c r="C49" s="275">
        <f t="shared" si="15"/>
        <v>1.8746000000000002E-2</v>
      </c>
      <c r="D49" s="275">
        <f t="shared" si="16"/>
        <v>1.6685999999999999E-2</v>
      </c>
      <c r="E49" s="275">
        <f t="shared" si="17"/>
        <v>7.0699999999999999E-2</v>
      </c>
      <c r="F49" s="275">
        <f t="shared" si="18"/>
        <v>1.2800000000000001E-2</v>
      </c>
      <c r="G49" s="275">
        <f t="shared" si="19"/>
        <v>5.0560469174009614E-3</v>
      </c>
      <c r="H49" s="275">
        <f t="shared" si="20"/>
        <v>2.9000000000000001E-2</v>
      </c>
      <c r="I49" s="275">
        <f t="shared" si="21"/>
        <v>4.6654842109707523E-2</v>
      </c>
      <c r="J49" s="275">
        <f t="shared" si="22"/>
        <v>5.0560469174009614E-3</v>
      </c>
    </row>
    <row r="50" spans="2:10">
      <c r="B50" s="222">
        <f t="shared" si="0"/>
        <v>37865</v>
      </c>
      <c r="C50" s="275">
        <f t="shared" si="15"/>
        <v>1.8746000000000002E-2</v>
      </c>
      <c r="D50" s="275">
        <f t="shared" si="16"/>
        <v>1.6685999999999999E-2</v>
      </c>
      <c r="E50" s="275">
        <f t="shared" si="17"/>
        <v>7.0699999999999999E-2</v>
      </c>
      <c r="F50" s="275">
        <f t="shared" si="18"/>
        <v>1.2800000000000001E-2</v>
      </c>
      <c r="G50" s="275">
        <f t="shared" si="19"/>
        <v>5.0560469174009614E-3</v>
      </c>
      <c r="H50" s="275">
        <f t="shared" si="20"/>
        <v>2.9000000000000001E-2</v>
      </c>
      <c r="I50" s="275">
        <f t="shared" si="21"/>
        <v>4.6654842109707523E-2</v>
      </c>
      <c r="J50" s="275">
        <f t="shared" si="22"/>
        <v>5.0560469174009614E-3</v>
      </c>
    </row>
    <row r="51" spans="2:10">
      <c r="B51" s="222">
        <f t="shared" si="0"/>
        <v>37895</v>
      </c>
      <c r="C51" s="275">
        <f t="shared" si="15"/>
        <v>1.8746000000000002E-2</v>
      </c>
      <c r="D51" s="275">
        <f t="shared" si="16"/>
        <v>1.6685999999999999E-2</v>
      </c>
      <c r="E51" s="275">
        <f t="shared" si="17"/>
        <v>7.0699999999999999E-2</v>
      </c>
      <c r="F51" s="275">
        <f t="shared" si="18"/>
        <v>1.2800000000000001E-2</v>
      </c>
      <c r="G51" s="275">
        <f t="shared" si="19"/>
        <v>5.0560469174009614E-3</v>
      </c>
      <c r="H51" s="275">
        <f t="shared" si="20"/>
        <v>2.9000000000000001E-2</v>
      </c>
      <c r="I51" s="275">
        <f t="shared" si="21"/>
        <v>4.6654842109707523E-2</v>
      </c>
      <c r="J51" s="275">
        <f t="shared" si="22"/>
        <v>5.0560469174009614E-3</v>
      </c>
    </row>
    <row r="52" spans="2:10">
      <c r="B52" s="222">
        <f t="shared" si="0"/>
        <v>37926</v>
      </c>
      <c r="C52" s="275">
        <f t="shared" si="15"/>
        <v>1.8746000000000002E-2</v>
      </c>
      <c r="D52" s="275">
        <f t="shared" si="16"/>
        <v>1.6685999999999999E-2</v>
      </c>
      <c r="E52" s="275">
        <f t="shared" si="17"/>
        <v>7.0699999999999999E-2</v>
      </c>
      <c r="F52" s="275">
        <f t="shared" si="18"/>
        <v>1.2800000000000001E-2</v>
      </c>
      <c r="G52" s="275">
        <f t="shared" si="19"/>
        <v>5.0560469174009614E-3</v>
      </c>
      <c r="H52" s="275">
        <f t="shared" si="20"/>
        <v>2.9000000000000001E-2</v>
      </c>
      <c r="I52" s="275">
        <f t="shared" si="21"/>
        <v>4.6654842109707523E-2</v>
      </c>
      <c r="J52" s="275">
        <f t="shared" si="22"/>
        <v>5.0560469174009614E-3</v>
      </c>
    </row>
    <row r="53" spans="2:10">
      <c r="B53" s="222">
        <f t="shared" si="0"/>
        <v>37956</v>
      </c>
      <c r="C53" s="275">
        <f t="shared" si="15"/>
        <v>1.8746000000000002E-2</v>
      </c>
      <c r="D53" s="275">
        <f t="shared" si="16"/>
        <v>1.6685999999999999E-2</v>
      </c>
      <c r="E53" s="275">
        <f t="shared" si="17"/>
        <v>7.0699999999999999E-2</v>
      </c>
      <c r="F53" s="275">
        <f t="shared" si="18"/>
        <v>1.2800000000000001E-2</v>
      </c>
      <c r="G53" s="275">
        <f t="shared" si="19"/>
        <v>5.0560469174009614E-3</v>
      </c>
      <c r="H53" s="275">
        <f t="shared" si="20"/>
        <v>2.9000000000000001E-2</v>
      </c>
      <c r="I53" s="275">
        <f t="shared" si="21"/>
        <v>4.6654842109707523E-2</v>
      </c>
      <c r="J53" s="275">
        <f t="shared" si="22"/>
        <v>5.0560469174009614E-3</v>
      </c>
    </row>
    <row r="54" spans="2:10">
      <c r="B54" s="222">
        <f t="shared" si="0"/>
        <v>37987</v>
      </c>
      <c r="C54" s="278">
        <f t="shared" ref="C54:J54" si="23">C53*C223</f>
        <v>2.2495200000000003E-2</v>
      </c>
      <c r="D54" s="278">
        <f t="shared" si="23"/>
        <v>2.0023199999999998E-2</v>
      </c>
      <c r="E54" s="278">
        <f t="shared" si="23"/>
        <v>7.0699999999999999E-2</v>
      </c>
      <c r="F54" s="278">
        <f t="shared" si="23"/>
        <v>1.2800000000000001E-2</v>
      </c>
      <c r="G54" s="278">
        <f t="shared" si="23"/>
        <v>5.1571678557489811E-3</v>
      </c>
      <c r="H54" s="278">
        <f t="shared" si="23"/>
        <v>2.9000000000000001E-2</v>
      </c>
      <c r="I54" s="278">
        <f t="shared" si="23"/>
        <v>4.7587938951901672E-2</v>
      </c>
      <c r="J54" s="278">
        <f t="shared" si="23"/>
        <v>5.1571678557489811E-3</v>
      </c>
    </row>
    <row r="55" spans="2:10">
      <c r="B55" s="222">
        <f t="shared" si="0"/>
        <v>38018</v>
      </c>
      <c r="C55" s="275">
        <f t="shared" ref="C55:C65" si="24">C54</f>
        <v>2.2495200000000003E-2</v>
      </c>
      <c r="D55" s="275">
        <f t="shared" ref="D55:D65" si="25">D54</f>
        <v>2.0023199999999998E-2</v>
      </c>
      <c r="E55" s="275">
        <f t="shared" ref="E55:E65" si="26">E54</f>
        <v>7.0699999999999999E-2</v>
      </c>
      <c r="F55" s="275">
        <f t="shared" ref="F55:F65" si="27">F54</f>
        <v>1.2800000000000001E-2</v>
      </c>
      <c r="G55" s="275">
        <f t="shared" ref="G55:G65" si="28">G54</f>
        <v>5.1571678557489811E-3</v>
      </c>
      <c r="H55" s="275">
        <f t="shared" ref="H55:H65" si="29">H54</f>
        <v>2.9000000000000001E-2</v>
      </c>
      <c r="I55" s="275">
        <f t="shared" ref="I55:I65" si="30">I54</f>
        <v>4.7587938951901672E-2</v>
      </c>
      <c r="J55" s="275">
        <f t="shared" ref="J55:J65" si="31">J54</f>
        <v>5.1571678557489811E-3</v>
      </c>
    </row>
    <row r="56" spans="2:10">
      <c r="B56" s="222">
        <f t="shared" ref="B56:B87" si="32">EDATE(B55,1)</f>
        <v>38047</v>
      </c>
      <c r="C56" s="275">
        <f t="shared" si="24"/>
        <v>2.2495200000000003E-2</v>
      </c>
      <c r="D56" s="275">
        <f t="shared" si="25"/>
        <v>2.0023199999999998E-2</v>
      </c>
      <c r="E56" s="275">
        <f t="shared" si="26"/>
        <v>7.0699999999999999E-2</v>
      </c>
      <c r="F56" s="275">
        <f t="shared" si="27"/>
        <v>1.2800000000000001E-2</v>
      </c>
      <c r="G56" s="275">
        <f t="shared" si="28"/>
        <v>5.1571678557489811E-3</v>
      </c>
      <c r="H56" s="275">
        <f t="shared" si="29"/>
        <v>2.9000000000000001E-2</v>
      </c>
      <c r="I56" s="275">
        <f t="shared" si="30"/>
        <v>4.7587938951901672E-2</v>
      </c>
      <c r="J56" s="275">
        <f t="shared" si="31"/>
        <v>5.1571678557489811E-3</v>
      </c>
    </row>
    <row r="57" spans="2:10">
      <c r="B57" s="222">
        <f t="shared" si="32"/>
        <v>38078</v>
      </c>
      <c r="C57" s="275">
        <f t="shared" si="24"/>
        <v>2.2495200000000003E-2</v>
      </c>
      <c r="D57" s="275">
        <f t="shared" si="25"/>
        <v>2.0023199999999998E-2</v>
      </c>
      <c r="E57" s="275">
        <f t="shared" si="26"/>
        <v>7.0699999999999999E-2</v>
      </c>
      <c r="F57" s="275">
        <f t="shared" si="27"/>
        <v>1.2800000000000001E-2</v>
      </c>
      <c r="G57" s="275">
        <f t="shared" si="28"/>
        <v>5.1571678557489811E-3</v>
      </c>
      <c r="H57" s="275">
        <f t="shared" si="29"/>
        <v>2.9000000000000001E-2</v>
      </c>
      <c r="I57" s="275">
        <f t="shared" si="30"/>
        <v>4.7587938951901672E-2</v>
      </c>
      <c r="J57" s="275">
        <f t="shared" si="31"/>
        <v>5.1571678557489811E-3</v>
      </c>
    </row>
    <row r="58" spans="2:10">
      <c r="B58" s="222">
        <f t="shared" si="32"/>
        <v>38108</v>
      </c>
      <c r="C58" s="275">
        <f t="shared" si="24"/>
        <v>2.2495200000000003E-2</v>
      </c>
      <c r="D58" s="275">
        <f t="shared" si="25"/>
        <v>2.0023199999999998E-2</v>
      </c>
      <c r="E58" s="275">
        <f t="shared" si="26"/>
        <v>7.0699999999999999E-2</v>
      </c>
      <c r="F58" s="275">
        <f t="shared" si="27"/>
        <v>1.2800000000000001E-2</v>
      </c>
      <c r="G58" s="275">
        <f t="shared" si="28"/>
        <v>5.1571678557489811E-3</v>
      </c>
      <c r="H58" s="275">
        <f t="shared" si="29"/>
        <v>2.9000000000000001E-2</v>
      </c>
      <c r="I58" s="275">
        <f t="shared" si="30"/>
        <v>4.7587938951901672E-2</v>
      </c>
      <c r="J58" s="275">
        <f t="shared" si="31"/>
        <v>5.1571678557489811E-3</v>
      </c>
    </row>
    <row r="59" spans="2:10">
      <c r="B59" s="222">
        <f t="shared" si="32"/>
        <v>38139</v>
      </c>
      <c r="C59" s="275">
        <f t="shared" si="24"/>
        <v>2.2495200000000003E-2</v>
      </c>
      <c r="D59" s="275">
        <f t="shared" si="25"/>
        <v>2.0023199999999998E-2</v>
      </c>
      <c r="E59" s="275">
        <f t="shared" si="26"/>
        <v>7.0699999999999999E-2</v>
      </c>
      <c r="F59" s="275">
        <f t="shared" si="27"/>
        <v>1.2800000000000001E-2</v>
      </c>
      <c r="G59" s="275">
        <f t="shared" si="28"/>
        <v>5.1571678557489811E-3</v>
      </c>
      <c r="H59" s="275">
        <f t="shared" si="29"/>
        <v>2.9000000000000001E-2</v>
      </c>
      <c r="I59" s="275">
        <f t="shared" si="30"/>
        <v>4.7587938951901672E-2</v>
      </c>
      <c r="J59" s="275">
        <f t="shared" si="31"/>
        <v>5.1571678557489811E-3</v>
      </c>
    </row>
    <row r="60" spans="2:10">
      <c r="B60" s="222">
        <f t="shared" si="32"/>
        <v>38169</v>
      </c>
      <c r="C60" s="275">
        <f t="shared" si="24"/>
        <v>2.2495200000000003E-2</v>
      </c>
      <c r="D60" s="275">
        <f t="shared" si="25"/>
        <v>2.0023199999999998E-2</v>
      </c>
      <c r="E60" s="275">
        <f t="shared" si="26"/>
        <v>7.0699999999999999E-2</v>
      </c>
      <c r="F60" s="275">
        <f t="shared" si="27"/>
        <v>1.2800000000000001E-2</v>
      </c>
      <c r="G60" s="275">
        <f t="shared" si="28"/>
        <v>5.1571678557489811E-3</v>
      </c>
      <c r="H60" s="275">
        <f t="shared" si="29"/>
        <v>2.9000000000000001E-2</v>
      </c>
      <c r="I60" s="275">
        <f t="shared" si="30"/>
        <v>4.7587938951901672E-2</v>
      </c>
      <c r="J60" s="275">
        <f t="shared" si="31"/>
        <v>5.1571678557489811E-3</v>
      </c>
    </row>
    <row r="61" spans="2:10">
      <c r="B61" s="222">
        <f t="shared" si="32"/>
        <v>38200</v>
      </c>
      <c r="C61" s="275">
        <f t="shared" si="24"/>
        <v>2.2495200000000003E-2</v>
      </c>
      <c r="D61" s="275">
        <f t="shared" si="25"/>
        <v>2.0023199999999998E-2</v>
      </c>
      <c r="E61" s="275">
        <f t="shared" si="26"/>
        <v>7.0699999999999999E-2</v>
      </c>
      <c r="F61" s="275">
        <f t="shared" si="27"/>
        <v>1.2800000000000001E-2</v>
      </c>
      <c r="G61" s="275">
        <f t="shared" si="28"/>
        <v>5.1571678557489811E-3</v>
      </c>
      <c r="H61" s="275">
        <f t="shared" si="29"/>
        <v>2.9000000000000001E-2</v>
      </c>
      <c r="I61" s="275">
        <f t="shared" si="30"/>
        <v>4.7587938951901672E-2</v>
      </c>
      <c r="J61" s="275">
        <f t="shared" si="31"/>
        <v>5.1571678557489811E-3</v>
      </c>
    </row>
    <row r="62" spans="2:10">
      <c r="B62" s="222">
        <f t="shared" si="32"/>
        <v>38231</v>
      </c>
      <c r="C62" s="275">
        <f t="shared" si="24"/>
        <v>2.2495200000000003E-2</v>
      </c>
      <c r="D62" s="275">
        <f t="shared" si="25"/>
        <v>2.0023199999999998E-2</v>
      </c>
      <c r="E62" s="275">
        <f t="shared" si="26"/>
        <v>7.0699999999999999E-2</v>
      </c>
      <c r="F62" s="275">
        <f t="shared" si="27"/>
        <v>1.2800000000000001E-2</v>
      </c>
      <c r="G62" s="275">
        <f t="shared" si="28"/>
        <v>5.1571678557489811E-3</v>
      </c>
      <c r="H62" s="275">
        <f t="shared" si="29"/>
        <v>2.9000000000000001E-2</v>
      </c>
      <c r="I62" s="275">
        <f t="shared" si="30"/>
        <v>4.7587938951901672E-2</v>
      </c>
      <c r="J62" s="275">
        <f t="shared" si="31"/>
        <v>5.1571678557489811E-3</v>
      </c>
    </row>
    <row r="63" spans="2:10">
      <c r="B63" s="222">
        <f t="shared" si="32"/>
        <v>38261</v>
      </c>
      <c r="C63" s="275">
        <f t="shared" si="24"/>
        <v>2.2495200000000003E-2</v>
      </c>
      <c r="D63" s="275">
        <f t="shared" si="25"/>
        <v>2.0023199999999998E-2</v>
      </c>
      <c r="E63" s="275">
        <f t="shared" si="26"/>
        <v>7.0699999999999999E-2</v>
      </c>
      <c r="F63" s="275">
        <f t="shared" si="27"/>
        <v>1.2800000000000001E-2</v>
      </c>
      <c r="G63" s="275">
        <f t="shared" si="28"/>
        <v>5.1571678557489811E-3</v>
      </c>
      <c r="H63" s="275">
        <f t="shared" si="29"/>
        <v>2.9000000000000001E-2</v>
      </c>
      <c r="I63" s="275">
        <f t="shared" si="30"/>
        <v>4.7587938951901672E-2</v>
      </c>
      <c r="J63" s="275">
        <f t="shared" si="31"/>
        <v>5.1571678557489811E-3</v>
      </c>
    </row>
    <row r="64" spans="2:10">
      <c r="B64" s="222">
        <f t="shared" si="32"/>
        <v>38292</v>
      </c>
      <c r="C64" s="275">
        <f t="shared" si="24"/>
        <v>2.2495200000000003E-2</v>
      </c>
      <c r="D64" s="275">
        <f t="shared" si="25"/>
        <v>2.0023199999999998E-2</v>
      </c>
      <c r="E64" s="275">
        <f t="shared" si="26"/>
        <v>7.0699999999999999E-2</v>
      </c>
      <c r="F64" s="275">
        <f t="shared" si="27"/>
        <v>1.2800000000000001E-2</v>
      </c>
      <c r="G64" s="275">
        <f t="shared" si="28"/>
        <v>5.1571678557489811E-3</v>
      </c>
      <c r="H64" s="275">
        <f t="shared" si="29"/>
        <v>2.9000000000000001E-2</v>
      </c>
      <c r="I64" s="275">
        <f t="shared" si="30"/>
        <v>4.7587938951901672E-2</v>
      </c>
      <c r="J64" s="275">
        <f t="shared" si="31"/>
        <v>5.1571678557489811E-3</v>
      </c>
    </row>
    <row r="65" spans="2:10">
      <c r="B65" s="222">
        <f t="shared" si="32"/>
        <v>38322</v>
      </c>
      <c r="C65" s="275">
        <f t="shared" si="24"/>
        <v>2.2495200000000003E-2</v>
      </c>
      <c r="D65" s="275">
        <f t="shared" si="25"/>
        <v>2.0023199999999998E-2</v>
      </c>
      <c r="E65" s="275">
        <f t="shared" si="26"/>
        <v>7.0699999999999999E-2</v>
      </c>
      <c r="F65" s="275">
        <f t="shared" si="27"/>
        <v>1.2800000000000001E-2</v>
      </c>
      <c r="G65" s="275">
        <f t="shared" si="28"/>
        <v>5.1571678557489811E-3</v>
      </c>
      <c r="H65" s="275">
        <f t="shared" si="29"/>
        <v>2.9000000000000001E-2</v>
      </c>
      <c r="I65" s="275">
        <f t="shared" si="30"/>
        <v>4.7587938951901672E-2</v>
      </c>
      <c r="J65" s="275">
        <f t="shared" si="31"/>
        <v>5.1571678557489811E-3</v>
      </c>
    </row>
    <row r="66" spans="2:10">
      <c r="B66" s="222">
        <f t="shared" si="32"/>
        <v>38353</v>
      </c>
      <c r="C66" s="278">
        <f t="shared" ref="C66:J66" si="33">C65*C235</f>
        <v>2.2495200000000003E-2</v>
      </c>
      <c r="D66" s="278">
        <f t="shared" si="33"/>
        <v>2.0023199999999998E-2</v>
      </c>
      <c r="E66" s="278">
        <f t="shared" si="33"/>
        <v>7.0699999999999999E-2</v>
      </c>
      <c r="F66" s="278">
        <f t="shared" si="33"/>
        <v>1.3184000000000001E-2</v>
      </c>
      <c r="G66" s="278">
        <f t="shared" si="33"/>
        <v>5.260311212863961E-3</v>
      </c>
      <c r="H66" s="278">
        <f t="shared" si="33"/>
        <v>2.9000000000000001E-2</v>
      </c>
      <c r="I66" s="278">
        <f t="shared" si="33"/>
        <v>4.8539697730939704E-2</v>
      </c>
      <c r="J66" s="278">
        <f t="shared" si="33"/>
        <v>5.260311212863961E-3</v>
      </c>
    </row>
    <row r="67" spans="2:10">
      <c r="B67" s="222">
        <f t="shared" si="32"/>
        <v>38384</v>
      </c>
      <c r="C67" s="275">
        <f t="shared" ref="C67:C77" si="34">C66</f>
        <v>2.2495200000000003E-2</v>
      </c>
      <c r="D67" s="275">
        <f t="shared" ref="D67:D77" si="35">D66</f>
        <v>2.0023199999999998E-2</v>
      </c>
      <c r="E67" s="275">
        <f t="shared" ref="E67:E77" si="36">E66</f>
        <v>7.0699999999999999E-2</v>
      </c>
      <c r="F67" s="275">
        <f t="shared" ref="F67:F77" si="37">F66</f>
        <v>1.3184000000000001E-2</v>
      </c>
      <c r="G67" s="275">
        <f t="shared" ref="G67:G77" si="38">G66</f>
        <v>5.260311212863961E-3</v>
      </c>
      <c r="H67" s="275">
        <f t="shared" ref="H67:H77" si="39">H66</f>
        <v>2.9000000000000001E-2</v>
      </c>
      <c r="I67" s="275">
        <f t="shared" ref="I67:I77" si="40">I66</f>
        <v>4.8539697730939704E-2</v>
      </c>
      <c r="J67" s="275">
        <f t="shared" ref="J67:J77" si="41">J66</f>
        <v>5.260311212863961E-3</v>
      </c>
    </row>
    <row r="68" spans="2:10">
      <c r="B68" s="222">
        <f t="shared" si="32"/>
        <v>38412</v>
      </c>
      <c r="C68" s="275">
        <f t="shared" si="34"/>
        <v>2.2495200000000003E-2</v>
      </c>
      <c r="D68" s="275">
        <f t="shared" si="35"/>
        <v>2.0023199999999998E-2</v>
      </c>
      <c r="E68" s="275">
        <f t="shared" si="36"/>
        <v>7.0699999999999999E-2</v>
      </c>
      <c r="F68" s="275">
        <f t="shared" si="37"/>
        <v>1.3184000000000001E-2</v>
      </c>
      <c r="G68" s="275">
        <f t="shared" si="38"/>
        <v>5.260311212863961E-3</v>
      </c>
      <c r="H68" s="275">
        <f t="shared" si="39"/>
        <v>2.9000000000000001E-2</v>
      </c>
      <c r="I68" s="275">
        <f t="shared" si="40"/>
        <v>4.8539697730939704E-2</v>
      </c>
      <c r="J68" s="275">
        <f t="shared" si="41"/>
        <v>5.260311212863961E-3</v>
      </c>
    </row>
    <row r="69" spans="2:10">
      <c r="B69" s="222">
        <f t="shared" si="32"/>
        <v>38443</v>
      </c>
      <c r="C69" s="275">
        <f t="shared" si="34"/>
        <v>2.2495200000000003E-2</v>
      </c>
      <c r="D69" s="275">
        <f t="shared" si="35"/>
        <v>2.0023199999999998E-2</v>
      </c>
      <c r="E69" s="275">
        <f t="shared" si="36"/>
        <v>7.0699999999999999E-2</v>
      </c>
      <c r="F69" s="275">
        <f t="shared" si="37"/>
        <v>1.3184000000000001E-2</v>
      </c>
      <c r="G69" s="275">
        <f t="shared" si="38"/>
        <v>5.260311212863961E-3</v>
      </c>
      <c r="H69" s="275">
        <f t="shared" si="39"/>
        <v>2.9000000000000001E-2</v>
      </c>
      <c r="I69" s="275">
        <f t="shared" si="40"/>
        <v>4.8539697730939704E-2</v>
      </c>
      <c r="J69" s="275">
        <f t="shared" si="41"/>
        <v>5.260311212863961E-3</v>
      </c>
    </row>
    <row r="70" spans="2:10">
      <c r="B70" s="222">
        <f t="shared" si="32"/>
        <v>38473</v>
      </c>
      <c r="C70" s="275">
        <f t="shared" si="34"/>
        <v>2.2495200000000003E-2</v>
      </c>
      <c r="D70" s="275">
        <f t="shared" si="35"/>
        <v>2.0023199999999998E-2</v>
      </c>
      <c r="E70" s="275">
        <f t="shared" si="36"/>
        <v>7.0699999999999999E-2</v>
      </c>
      <c r="F70" s="275">
        <f t="shared" si="37"/>
        <v>1.3184000000000001E-2</v>
      </c>
      <c r="G70" s="275">
        <f t="shared" si="38"/>
        <v>5.260311212863961E-3</v>
      </c>
      <c r="H70" s="275">
        <f t="shared" si="39"/>
        <v>2.9000000000000001E-2</v>
      </c>
      <c r="I70" s="275">
        <f t="shared" si="40"/>
        <v>4.8539697730939704E-2</v>
      </c>
      <c r="J70" s="275">
        <f t="shared" si="41"/>
        <v>5.260311212863961E-3</v>
      </c>
    </row>
    <row r="71" spans="2:10">
      <c r="B71" s="222">
        <f t="shared" si="32"/>
        <v>38504</v>
      </c>
      <c r="C71" s="275">
        <f t="shared" si="34"/>
        <v>2.2495200000000003E-2</v>
      </c>
      <c r="D71" s="275">
        <f t="shared" si="35"/>
        <v>2.0023199999999998E-2</v>
      </c>
      <c r="E71" s="275">
        <f t="shared" si="36"/>
        <v>7.0699999999999999E-2</v>
      </c>
      <c r="F71" s="275">
        <f t="shared" si="37"/>
        <v>1.3184000000000001E-2</v>
      </c>
      <c r="G71" s="275">
        <f t="shared" si="38"/>
        <v>5.260311212863961E-3</v>
      </c>
      <c r="H71" s="275">
        <f t="shared" si="39"/>
        <v>2.9000000000000001E-2</v>
      </c>
      <c r="I71" s="275">
        <f t="shared" si="40"/>
        <v>4.8539697730939704E-2</v>
      </c>
      <c r="J71" s="275">
        <f t="shared" si="41"/>
        <v>5.260311212863961E-3</v>
      </c>
    </row>
    <row r="72" spans="2:10">
      <c r="B72" s="222">
        <f t="shared" si="32"/>
        <v>38534</v>
      </c>
      <c r="C72" s="275">
        <f t="shared" si="34"/>
        <v>2.2495200000000003E-2</v>
      </c>
      <c r="D72" s="275">
        <f t="shared" si="35"/>
        <v>2.0023199999999998E-2</v>
      </c>
      <c r="E72" s="275">
        <f t="shared" si="36"/>
        <v>7.0699999999999999E-2</v>
      </c>
      <c r="F72" s="275">
        <f t="shared" si="37"/>
        <v>1.3184000000000001E-2</v>
      </c>
      <c r="G72" s="275">
        <f t="shared" si="38"/>
        <v>5.260311212863961E-3</v>
      </c>
      <c r="H72" s="275">
        <f t="shared" si="39"/>
        <v>2.9000000000000001E-2</v>
      </c>
      <c r="I72" s="275">
        <f t="shared" si="40"/>
        <v>4.8539697730939704E-2</v>
      </c>
      <c r="J72" s="275">
        <f t="shared" si="41"/>
        <v>5.260311212863961E-3</v>
      </c>
    </row>
    <row r="73" spans="2:10">
      <c r="B73" s="222">
        <f t="shared" si="32"/>
        <v>38565</v>
      </c>
      <c r="C73" s="275">
        <f t="shared" si="34"/>
        <v>2.2495200000000003E-2</v>
      </c>
      <c r="D73" s="275">
        <f t="shared" si="35"/>
        <v>2.0023199999999998E-2</v>
      </c>
      <c r="E73" s="275">
        <f t="shared" si="36"/>
        <v>7.0699999999999999E-2</v>
      </c>
      <c r="F73" s="275">
        <f t="shared" si="37"/>
        <v>1.3184000000000001E-2</v>
      </c>
      <c r="G73" s="275">
        <f t="shared" si="38"/>
        <v>5.260311212863961E-3</v>
      </c>
      <c r="H73" s="275">
        <f t="shared" si="39"/>
        <v>2.9000000000000001E-2</v>
      </c>
      <c r="I73" s="275">
        <f t="shared" si="40"/>
        <v>4.8539697730939704E-2</v>
      </c>
      <c r="J73" s="275">
        <f t="shared" si="41"/>
        <v>5.260311212863961E-3</v>
      </c>
    </row>
    <row r="74" spans="2:10">
      <c r="B74" s="222">
        <f t="shared" si="32"/>
        <v>38596</v>
      </c>
      <c r="C74" s="275">
        <f t="shared" si="34"/>
        <v>2.2495200000000003E-2</v>
      </c>
      <c r="D74" s="275">
        <f t="shared" si="35"/>
        <v>2.0023199999999998E-2</v>
      </c>
      <c r="E74" s="275">
        <f t="shared" si="36"/>
        <v>7.0699999999999999E-2</v>
      </c>
      <c r="F74" s="275">
        <f t="shared" si="37"/>
        <v>1.3184000000000001E-2</v>
      </c>
      <c r="G74" s="275">
        <f t="shared" si="38"/>
        <v>5.260311212863961E-3</v>
      </c>
      <c r="H74" s="275">
        <f t="shared" si="39"/>
        <v>2.9000000000000001E-2</v>
      </c>
      <c r="I74" s="275">
        <f t="shared" si="40"/>
        <v>4.8539697730939704E-2</v>
      </c>
      <c r="J74" s="275">
        <f t="shared" si="41"/>
        <v>5.260311212863961E-3</v>
      </c>
    </row>
    <row r="75" spans="2:10">
      <c r="B75" s="222">
        <f t="shared" si="32"/>
        <v>38626</v>
      </c>
      <c r="C75" s="275">
        <f t="shared" si="34"/>
        <v>2.2495200000000003E-2</v>
      </c>
      <c r="D75" s="275">
        <f t="shared" si="35"/>
        <v>2.0023199999999998E-2</v>
      </c>
      <c r="E75" s="275">
        <f t="shared" si="36"/>
        <v>7.0699999999999999E-2</v>
      </c>
      <c r="F75" s="275">
        <f t="shared" si="37"/>
        <v>1.3184000000000001E-2</v>
      </c>
      <c r="G75" s="275">
        <f t="shared" si="38"/>
        <v>5.260311212863961E-3</v>
      </c>
      <c r="H75" s="275">
        <f t="shared" si="39"/>
        <v>2.9000000000000001E-2</v>
      </c>
      <c r="I75" s="275">
        <f t="shared" si="40"/>
        <v>4.8539697730939704E-2</v>
      </c>
      <c r="J75" s="275">
        <f t="shared" si="41"/>
        <v>5.260311212863961E-3</v>
      </c>
    </row>
    <row r="76" spans="2:10">
      <c r="B76" s="222">
        <f t="shared" si="32"/>
        <v>38657</v>
      </c>
      <c r="C76" s="275">
        <f t="shared" si="34"/>
        <v>2.2495200000000003E-2</v>
      </c>
      <c r="D76" s="275">
        <f t="shared" si="35"/>
        <v>2.0023199999999998E-2</v>
      </c>
      <c r="E76" s="275">
        <f t="shared" si="36"/>
        <v>7.0699999999999999E-2</v>
      </c>
      <c r="F76" s="275">
        <f t="shared" si="37"/>
        <v>1.3184000000000001E-2</v>
      </c>
      <c r="G76" s="275">
        <f t="shared" si="38"/>
        <v>5.260311212863961E-3</v>
      </c>
      <c r="H76" s="275">
        <f t="shared" si="39"/>
        <v>2.9000000000000001E-2</v>
      </c>
      <c r="I76" s="275">
        <f t="shared" si="40"/>
        <v>4.8539697730939704E-2</v>
      </c>
      <c r="J76" s="275">
        <f t="shared" si="41"/>
        <v>5.260311212863961E-3</v>
      </c>
    </row>
    <row r="77" spans="2:10">
      <c r="B77" s="222">
        <f t="shared" si="32"/>
        <v>38687</v>
      </c>
      <c r="C77" s="275">
        <f t="shared" si="34"/>
        <v>2.2495200000000003E-2</v>
      </c>
      <c r="D77" s="275">
        <f t="shared" si="35"/>
        <v>2.0023199999999998E-2</v>
      </c>
      <c r="E77" s="275">
        <f t="shared" si="36"/>
        <v>7.0699999999999999E-2</v>
      </c>
      <c r="F77" s="275">
        <f t="shared" si="37"/>
        <v>1.3184000000000001E-2</v>
      </c>
      <c r="G77" s="275">
        <f t="shared" si="38"/>
        <v>5.260311212863961E-3</v>
      </c>
      <c r="H77" s="275">
        <f t="shared" si="39"/>
        <v>2.9000000000000001E-2</v>
      </c>
      <c r="I77" s="275">
        <f t="shared" si="40"/>
        <v>4.8539697730939704E-2</v>
      </c>
      <c r="J77" s="275">
        <f t="shared" si="41"/>
        <v>5.260311212863961E-3</v>
      </c>
    </row>
    <row r="78" spans="2:10">
      <c r="B78" s="222">
        <f t="shared" si="32"/>
        <v>38718</v>
      </c>
      <c r="C78" s="278">
        <f t="shared" ref="C78:J78" si="42">C77*C247</f>
        <v>2.2495200000000003E-2</v>
      </c>
      <c r="D78" s="278">
        <f t="shared" si="42"/>
        <v>2.0023199999999998E-2</v>
      </c>
      <c r="E78" s="278">
        <f t="shared" si="42"/>
        <v>7.0699999999999999E-2</v>
      </c>
      <c r="F78" s="278">
        <f t="shared" si="42"/>
        <v>1.5820799999999999E-2</v>
      </c>
      <c r="G78" s="278">
        <f t="shared" si="42"/>
        <v>5.3655174371212404E-3</v>
      </c>
      <c r="H78" s="278">
        <f t="shared" si="42"/>
        <v>2.9000000000000001E-2</v>
      </c>
      <c r="I78" s="278">
        <f t="shared" si="42"/>
        <v>4.9510491685558503E-2</v>
      </c>
      <c r="J78" s="278">
        <f t="shared" si="42"/>
        <v>5.3655174371212404E-3</v>
      </c>
    </row>
    <row r="79" spans="2:10">
      <c r="B79" s="222">
        <f t="shared" si="32"/>
        <v>38749</v>
      </c>
      <c r="C79" s="275">
        <f t="shared" ref="C79:C89" si="43">C78</f>
        <v>2.2495200000000003E-2</v>
      </c>
      <c r="D79" s="275">
        <f t="shared" ref="D79:D89" si="44">D78</f>
        <v>2.0023199999999998E-2</v>
      </c>
      <c r="E79" s="275">
        <f t="shared" ref="E79:E89" si="45">E78</f>
        <v>7.0699999999999999E-2</v>
      </c>
      <c r="F79" s="275">
        <f t="shared" ref="F79:F89" si="46">F78</f>
        <v>1.5820799999999999E-2</v>
      </c>
      <c r="G79" s="275">
        <f t="shared" ref="G79:G89" si="47">G78</f>
        <v>5.3655174371212404E-3</v>
      </c>
      <c r="H79" s="275">
        <f t="shared" ref="H79:H89" si="48">H78</f>
        <v>2.9000000000000001E-2</v>
      </c>
      <c r="I79" s="275">
        <f t="shared" ref="I79:I89" si="49">I78</f>
        <v>4.9510491685558503E-2</v>
      </c>
      <c r="J79" s="275">
        <f t="shared" ref="J79:J89" si="50">J78</f>
        <v>5.3655174371212404E-3</v>
      </c>
    </row>
    <row r="80" spans="2:10">
      <c r="B80" s="222">
        <f t="shared" si="32"/>
        <v>38777</v>
      </c>
      <c r="C80" s="275">
        <f t="shared" si="43"/>
        <v>2.2495200000000003E-2</v>
      </c>
      <c r="D80" s="275">
        <f t="shared" si="44"/>
        <v>2.0023199999999998E-2</v>
      </c>
      <c r="E80" s="275">
        <f t="shared" si="45"/>
        <v>7.0699999999999999E-2</v>
      </c>
      <c r="F80" s="275">
        <f t="shared" si="46"/>
        <v>1.5820799999999999E-2</v>
      </c>
      <c r="G80" s="275">
        <f t="shared" si="47"/>
        <v>5.3655174371212404E-3</v>
      </c>
      <c r="H80" s="275">
        <f t="shared" si="48"/>
        <v>2.9000000000000001E-2</v>
      </c>
      <c r="I80" s="275">
        <f t="shared" si="49"/>
        <v>4.9510491685558503E-2</v>
      </c>
      <c r="J80" s="275">
        <f t="shared" si="50"/>
        <v>5.3655174371212404E-3</v>
      </c>
    </row>
    <row r="81" spans="2:10">
      <c r="B81" s="222">
        <f t="shared" si="32"/>
        <v>38808</v>
      </c>
      <c r="C81" s="275">
        <f t="shared" si="43"/>
        <v>2.2495200000000003E-2</v>
      </c>
      <c r="D81" s="275">
        <f t="shared" si="44"/>
        <v>2.0023199999999998E-2</v>
      </c>
      <c r="E81" s="275">
        <f t="shared" si="45"/>
        <v>7.0699999999999999E-2</v>
      </c>
      <c r="F81" s="275">
        <f t="shared" si="46"/>
        <v>1.5820799999999999E-2</v>
      </c>
      <c r="G81" s="275">
        <f t="shared" si="47"/>
        <v>5.3655174371212404E-3</v>
      </c>
      <c r="H81" s="275">
        <f t="shared" si="48"/>
        <v>2.9000000000000001E-2</v>
      </c>
      <c r="I81" s="275">
        <f t="shared" si="49"/>
        <v>4.9510491685558503E-2</v>
      </c>
      <c r="J81" s="275">
        <f t="shared" si="50"/>
        <v>5.3655174371212404E-3</v>
      </c>
    </row>
    <row r="82" spans="2:10">
      <c r="B82" s="222">
        <f t="shared" si="32"/>
        <v>38838</v>
      </c>
      <c r="C82" s="275">
        <f t="shared" si="43"/>
        <v>2.2495200000000003E-2</v>
      </c>
      <c r="D82" s="275">
        <f t="shared" si="44"/>
        <v>2.0023199999999998E-2</v>
      </c>
      <c r="E82" s="275">
        <f t="shared" si="45"/>
        <v>7.0699999999999999E-2</v>
      </c>
      <c r="F82" s="275">
        <f t="shared" si="46"/>
        <v>1.5820799999999999E-2</v>
      </c>
      <c r="G82" s="275">
        <f t="shared" si="47"/>
        <v>5.3655174371212404E-3</v>
      </c>
      <c r="H82" s="275">
        <f t="shared" si="48"/>
        <v>2.9000000000000001E-2</v>
      </c>
      <c r="I82" s="275">
        <f t="shared" si="49"/>
        <v>4.9510491685558503E-2</v>
      </c>
      <c r="J82" s="275">
        <f t="shared" si="50"/>
        <v>5.3655174371212404E-3</v>
      </c>
    </row>
    <row r="83" spans="2:10">
      <c r="B83" s="222">
        <f t="shared" si="32"/>
        <v>38869</v>
      </c>
      <c r="C83" s="275">
        <f t="shared" si="43"/>
        <v>2.2495200000000003E-2</v>
      </c>
      <c r="D83" s="275">
        <f t="shared" si="44"/>
        <v>2.0023199999999998E-2</v>
      </c>
      <c r="E83" s="275">
        <f t="shared" si="45"/>
        <v>7.0699999999999999E-2</v>
      </c>
      <c r="F83" s="275">
        <f t="shared" si="46"/>
        <v>1.5820799999999999E-2</v>
      </c>
      <c r="G83" s="275">
        <f t="shared" si="47"/>
        <v>5.3655174371212404E-3</v>
      </c>
      <c r="H83" s="275">
        <f t="shared" si="48"/>
        <v>2.9000000000000001E-2</v>
      </c>
      <c r="I83" s="275">
        <f t="shared" si="49"/>
        <v>4.9510491685558503E-2</v>
      </c>
      <c r="J83" s="275">
        <f t="shared" si="50"/>
        <v>5.3655174371212404E-3</v>
      </c>
    </row>
    <row r="84" spans="2:10">
      <c r="B84" s="222">
        <f t="shared" si="32"/>
        <v>38899</v>
      </c>
      <c r="C84" s="275">
        <f t="shared" si="43"/>
        <v>2.2495200000000003E-2</v>
      </c>
      <c r="D84" s="275">
        <f t="shared" si="44"/>
        <v>2.0023199999999998E-2</v>
      </c>
      <c r="E84" s="275">
        <f t="shared" si="45"/>
        <v>7.0699999999999999E-2</v>
      </c>
      <c r="F84" s="275">
        <f t="shared" si="46"/>
        <v>1.5820799999999999E-2</v>
      </c>
      <c r="G84" s="275">
        <f t="shared" si="47"/>
        <v>5.3655174371212404E-3</v>
      </c>
      <c r="H84" s="275">
        <f t="shared" si="48"/>
        <v>2.9000000000000001E-2</v>
      </c>
      <c r="I84" s="275">
        <f t="shared" si="49"/>
        <v>4.9510491685558503E-2</v>
      </c>
      <c r="J84" s="275">
        <f t="shared" si="50"/>
        <v>5.3655174371212404E-3</v>
      </c>
    </row>
    <row r="85" spans="2:10">
      <c r="B85" s="222">
        <f t="shared" si="32"/>
        <v>38930</v>
      </c>
      <c r="C85" s="275">
        <f t="shared" si="43"/>
        <v>2.2495200000000003E-2</v>
      </c>
      <c r="D85" s="275">
        <f t="shared" si="44"/>
        <v>2.0023199999999998E-2</v>
      </c>
      <c r="E85" s="275">
        <f t="shared" si="45"/>
        <v>7.0699999999999999E-2</v>
      </c>
      <c r="F85" s="275">
        <f t="shared" si="46"/>
        <v>1.5820799999999999E-2</v>
      </c>
      <c r="G85" s="275">
        <f t="shared" si="47"/>
        <v>5.3655174371212404E-3</v>
      </c>
      <c r="H85" s="275">
        <f t="shared" si="48"/>
        <v>2.9000000000000001E-2</v>
      </c>
      <c r="I85" s="275">
        <f t="shared" si="49"/>
        <v>4.9510491685558503E-2</v>
      </c>
      <c r="J85" s="275">
        <f t="shared" si="50"/>
        <v>5.3655174371212404E-3</v>
      </c>
    </row>
    <row r="86" spans="2:10">
      <c r="B86" s="222">
        <f t="shared" si="32"/>
        <v>38961</v>
      </c>
      <c r="C86" s="275">
        <f t="shared" si="43"/>
        <v>2.2495200000000003E-2</v>
      </c>
      <c r="D86" s="275">
        <f t="shared" si="44"/>
        <v>2.0023199999999998E-2</v>
      </c>
      <c r="E86" s="275">
        <f t="shared" si="45"/>
        <v>7.0699999999999999E-2</v>
      </c>
      <c r="F86" s="275">
        <f t="shared" si="46"/>
        <v>1.5820799999999999E-2</v>
      </c>
      <c r="G86" s="275">
        <f t="shared" si="47"/>
        <v>5.3655174371212404E-3</v>
      </c>
      <c r="H86" s="275">
        <f t="shared" si="48"/>
        <v>2.9000000000000001E-2</v>
      </c>
      <c r="I86" s="275">
        <f t="shared" si="49"/>
        <v>4.9510491685558503E-2</v>
      </c>
      <c r="J86" s="275">
        <f t="shared" si="50"/>
        <v>5.3655174371212404E-3</v>
      </c>
    </row>
    <row r="87" spans="2:10">
      <c r="B87" s="222">
        <f t="shared" si="32"/>
        <v>38991</v>
      </c>
      <c r="C87" s="275">
        <f t="shared" si="43"/>
        <v>2.2495200000000003E-2</v>
      </c>
      <c r="D87" s="275">
        <f t="shared" si="44"/>
        <v>2.0023199999999998E-2</v>
      </c>
      <c r="E87" s="275">
        <f t="shared" si="45"/>
        <v>7.0699999999999999E-2</v>
      </c>
      <c r="F87" s="275">
        <f t="shared" si="46"/>
        <v>1.5820799999999999E-2</v>
      </c>
      <c r="G87" s="275">
        <f t="shared" si="47"/>
        <v>5.3655174371212404E-3</v>
      </c>
      <c r="H87" s="275">
        <f t="shared" si="48"/>
        <v>2.9000000000000001E-2</v>
      </c>
      <c r="I87" s="275">
        <f t="shared" si="49"/>
        <v>4.9510491685558503E-2</v>
      </c>
      <c r="J87" s="275">
        <f t="shared" si="50"/>
        <v>5.3655174371212404E-3</v>
      </c>
    </row>
    <row r="88" spans="2:10">
      <c r="B88" s="222">
        <f t="shared" ref="B88:B119" si="51">EDATE(B87,1)</f>
        <v>39022</v>
      </c>
      <c r="C88" s="275">
        <f t="shared" si="43"/>
        <v>2.2495200000000003E-2</v>
      </c>
      <c r="D88" s="275">
        <f t="shared" si="44"/>
        <v>2.0023199999999998E-2</v>
      </c>
      <c r="E88" s="275">
        <f t="shared" si="45"/>
        <v>7.0699999999999999E-2</v>
      </c>
      <c r="F88" s="275">
        <f t="shared" si="46"/>
        <v>1.5820799999999999E-2</v>
      </c>
      <c r="G88" s="275">
        <f t="shared" si="47"/>
        <v>5.3655174371212404E-3</v>
      </c>
      <c r="H88" s="275">
        <f t="shared" si="48"/>
        <v>2.9000000000000001E-2</v>
      </c>
      <c r="I88" s="275">
        <f t="shared" si="49"/>
        <v>4.9510491685558503E-2</v>
      </c>
      <c r="J88" s="275">
        <f t="shared" si="50"/>
        <v>5.3655174371212404E-3</v>
      </c>
    </row>
    <row r="89" spans="2:10">
      <c r="B89" s="222">
        <f t="shared" si="51"/>
        <v>39052</v>
      </c>
      <c r="C89" s="275">
        <f t="shared" si="43"/>
        <v>2.2495200000000003E-2</v>
      </c>
      <c r="D89" s="275">
        <f t="shared" si="44"/>
        <v>2.0023199999999998E-2</v>
      </c>
      <c r="E89" s="275">
        <f t="shared" si="45"/>
        <v>7.0699999999999999E-2</v>
      </c>
      <c r="F89" s="275">
        <f t="shared" si="46"/>
        <v>1.5820799999999999E-2</v>
      </c>
      <c r="G89" s="275">
        <f t="shared" si="47"/>
        <v>5.3655174371212404E-3</v>
      </c>
      <c r="H89" s="275">
        <f t="shared" si="48"/>
        <v>2.9000000000000001E-2</v>
      </c>
      <c r="I89" s="275">
        <f t="shared" si="49"/>
        <v>4.9510491685558503E-2</v>
      </c>
      <c r="J89" s="275">
        <f t="shared" si="50"/>
        <v>5.3655174371212404E-3</v>
      </c>
    </row>
    <row r="90" spans="2:10">
      <c r="B90" s="222">
        <f t="shared" si="51"/>
        <v>39083</v>
      </c>
      <c r="C90" s="278">
        <f t="shared" ref="C90:J90" si="52">C89*C259</f>
        <v>2.2495200000000003E-2</v>
      </c>
      <c r="D90" s="278">
        <f t="shared" si="52"/>
        <v>2.0023199999999998E-2</v>
      </c>
      <c r="E90" s="278">
        <f t="shared" si="52"/>
        <v>7.0699999999999999E-2</v>
      </c>
      <c r="F90" s="278">
        <f t="shared" si="52"/>
        <v>1.5820799999999999E-2</v>
      </c>
      <c r="G90" s="278">
        <f t="shared" si="52"/>
        <v>5.4728277858636654E-3</v>
      </c>
      <c r="H90" s="278">
        <f t="shared" si="52"/>
        <v>2.9000000000000001E-2</v>
      </c>
      <c r="I90" s="278">
        <f t="shared" si="52"/>
        <v>5.0500701519269671E-2</v>
      </c>
      <c r="J90" s="278">
        <f t="shared" si="52"/>
        <v>5.4728277858636654E-3</v>
      </c>
    </row>
    <row r="91" spans="2:10">
      <c r="B91" s="222">
        <f t="shared" si="51"/>
        <v>39114</v>
      </c>
      <c r="C91" s="275">
        <f t="shared" ref="C91:C101" si="53">C90</f>
        <v>2.2495200000000003E-2</v>
      </c>
      <c r="D91" s="275">
        <f t="shared" ref="D91:D101" si="54">D90</f>
        <v>2.0023199999999998E-2</v>
      </c>
      <c r="E91" s="275">
        <f t="shared" ref="E91:E101" si="55">E90</f>
        <v>7.0699999999999999E-2</v>
      </c>
      <c r="F91" s="275">
        <f t="shared" ref="F91:F101" si="56">F90</f>
        <v>1.5820799999999999E-2</v>
      </c>
      <c r="G91" s="275">
        <f t="shared" ref="G91:G101" si="57">G90</f>
        <v>5.4728277858636654E-3</v>
      </c>
      <c r="H91" s="275">
        <f t="shared" ref="H91:H101" si="58">H90</f>
        <v>2.9000000000000001E-2</v>
      </c>
      <c r="I91" s="275">
        <f t="shared" ref="I91:I101" si="59">I90</f>
        <v>5.0500701519269671E-2</v>
      </c>
      <c r="J91" s="275">
        <f t="shared" ref="J91:J101" si="60">J90</f>
        <v>5.4728277858636654E-3</v>
      </c>
    </row>
    <row r="92" spans="2:10">
      <c r="B92" s="222">
        <f t="shared" si="51"/>
        <v>39142</v>
      </c>
      <c r="C92" s="275">
        <f t="shared" si="53"/>
        <v>2.2495200000000003E-2</v>
      </c>
      <c r="D92" s="275">
        <f t="shared" si="54"/>
        <v>2.0023199999999998E-2</v>
      </c>
      <c r="E92" s="275">
        <f t="shared" si="55"/>
        <v>7.0699999999999999E-2</v>
      </c>
      <c r="F92" s="275">
        <f t="shared" si="56"/>
        <v>1.5820799999999999E-2</v>
      </c>
      <c r="G92" s="275">
        <f t="shared" si="57"/>
        <v>5.4728277858636654E-3</v>
      </c>
      <c r="H92" s="275">
        <f t="shared" si="58"/>
        <v>2.9000000000000001E-2</v>
      </c>
      <c r="I92" s="275">
        <f t="shared" si="59"/>
        <v>5.0500701519269671E-2</v>
      </c>
      <c r="J92" s="275">
        <f t="shared" si="60"/>
        <v>5.4728277858636654E-3</v>
      </c>
    </row>
    <row r="93" spans="2:10">
      <c r="B93" s="222">
        <f t="shared" si="51"/>
        <v>39173</v>
      </c>
      <c r="C93" s="275">
        <f t="shared" si="53"/>
        <v>2.2495200000000003E-2</v>
      </c>
      <c r="D93" s="275">
        <f t="shared" si="54"/>
        <v>2.0023199999999998E-2</v>
      </c>
      <c r="E93" s="275">
        <f t="shared" si="55"/>
        <v>7.0699999999999999E-2</v>
      </c>
      <c r="F93" s="275">
        <f t="shared" si="56"/>
        <v>1.5820799999999999E-2</v>
      </c>
      <c r="G93" s="275">
        <f t="shared" si="57"/>
        <v>5.4728277858636654E-3</v>
      </c>
      <c r="H93" s="275">
        <f t="shared" si="58"/>
        <v>2.9000000000000001E-2</v>
      </c>
      <c r="I93" s="275">
        <f t="shared" si="59"/>
        <v>5.0500701519269671E-2</v>
      </c>
      <c r="J93" s="275">
        <f t="shared" si="60"/>
        <v>5.4728277858636654E-3</v>
      </c>
    </row>
    <row r="94" spans="2:10">
      <c r="B94" s="222">
        <f t="shared" si="51"/>
        <v>39203</v>
      </c>
      <c r="C94" s="275">
        <f t="shared" si="53"/>
        <v>2.2495200000000003E-2</v>
      </c>
      <c r="D94" s="275">
        <f t="shared" si="54"/>
        <v>2.0023199999999998E-2</v>
      </c>
      <c r="E94" s="275">
        <f t="shared" si="55"/>
        <v>7.0699999999999999E-2</v>
      </c>
      <c r="F94" s="275">
        <f t="shared" si="56"/>
        <v>1.5820799999999999E-2</v>
      </c>
      <c r="G94" s="275">
        <f t="shared" si="57"/>
        <v>5.4728277858636654E-3</v>
      </c>
      <c r="H94" s="275">
        <f t="shared" si="58"/>
        <v>2.9000000000000001E-2</v>
      </c>
      <c r="I94" s="275">
        <f t="shared" si="59"/>
        <v>5.0500701519269671E-2</v>
      </c>
      <c r="J94" s="275">
        <f t="shared" si="60"/>
        <v>5.4728277858636654E-3</v>
      </c>
    </row>
    <row r="95" spans="2:10">
      <c r="B95" s="222">
        <f t="shared" si="51"/>
        <v>39234</v>
      </c>
      <c r="C95" s="275">
        <f t="shared" si="53"/>
        <v>2.2495200000000003E-2</v>
      </c>
      <c r="D95" s="275">
        <f t="shared" si="54"/>
        <v>2.0023199999999998E-2</v>
      </c>
      <c r="E95" s="275">
        <f t="shared" si="55"/>
        <v>7.0699999999999999E-2</v>
      </c>
      <c r="F95" s="275">
        <f t="shared" si="56"/>
        <v>1.5820799999999999E-2</v>
      </c>
      <c r="G95" s="275">
        <f t="shared" si="57"/>
        <v>5.4728277858636654E-3</v>
      </c>
      <c r="H95" s="275">
        <f t="shared" si="58"/>
        <v>2.9000000000000001E-2</v>
      </c>
      <c r="I95" s="275">
        <f t="shared" si="59"/>
        <v>5.0500701519269671E-2</v>
      </c>
      <c r="J95" s="275">
        <f t="shared" si="60"/>
        <v>5.4728277858636654E-3</v>
      </c>
    </row>
    <row r="96" spans="2:10">
      <c r="B96" s="222">
        <f t="shared" si="51"/>
        <v>39264</v>
      </c>
      <c r="C96" s="275">
        <f t="shared" si="53"/>
        <v>2.2495200000000003E-2</v>
      </c>
      <c r="D96" s="275">
        <f t="shared" si="54"/>
        <v>2.0023199999999998E-2</v>
      </c>
      <c r="E96" s="275">
        <f t="shared" si="55"/>
        <v>7.0699999999999999E-2</v>
      </c>
      <c r="F96" s="275">
        <f t="shared" si="56"/>
        <v>1.5820799999999999E-2</v>
      </c>
      <c r="G96" s="275">
        <f t="shared" si="57"/>
        <v>5.4728277858636654E-3</v>
      </c>
      <c r="H96" s="275">
        <f t="shared" si="58"/>
        <v>2.9000000000000001E-2</v>
      </c>
      <c r="I96" s="275">
        <f t="shared" si="59"/>
        <v>5.0500701519269671E-2</v>
      </c>
      <c r="J96" s="275">
        <f t="shared" si="60"/>
        <v>5.4728277858636654E-3</v>
      </c>
    </row>
    <row r="97" spans="2:10">
      <c r="B97" s="222">
        <f t="shared" si="51"/>
        <v>39295</v>
      </c>
      <c r="C97" s="275">
        <f t="shared" si="53"/>
        <v>2.2495200000000003E-2</v>
      </c>
      <c r="D97" s="275">
        <f t="shared" si="54"/>
        <v>2.0023199999999998E-2</v>
      </c>
      <c r="E97" s="275">
        <f t="shared" si="55"/>
        <v>7.0699999999999999E-2</v>
      </c>
      <c r="F97" s="275">
        <f t="shared" si="56"/>
        <v>1.5820799999999999E-2</v>
      </c>
      <c r="G97" s="275">
        <f t="shared" si="57"/>
        <v>5.4728277858636654E-3</v>
      </c>
      <c r="H97" s="275">
        <f t="shared" si="58"/>
        <v>2.9000000000000001E-2</v>
      </c>
      <c r="I97" s="275">
        <f t="shared" si="59"/>
        <v>5.0500701519269671E-2</v>
      </c>
      <c r="J97" s="275">
        <f t="shared" si="60"/>
        <v>5.4728277858636654E-3</v>
      </c>
    </row>
    <row r="98" spans="2:10">
      <c r="B98" s="222">
        <f t="shared" si="51"/>
        <v>39326</v>
      </c>
      <c r="C98" s="275">
        <f t="shared" si="53"/>
        <v>2.2495200000000003E-2</v>
      </c>
      <c r="D98" s="275">
        <f t="shared" si="54"/>
        <v>2.0023199999999998E-2</v>
      </c>
      <c r="E98" s="275">
        <f t="shared" si="55"/>
        <v>7.0699999999999999E-2</v>
      </c>
      <c r="F98" s="275">
        <f t="shared" si="56"/>
        <v>1.5820799999999999E-2</v>
      </c>
      <c r="G98" s="275">
        <f t="shared" si="57"/>
        <v>5.4728277858636654E-3</v>
      </c>
      <c r="H98" s="275">
        <f t="shared" si="58"/>
        <v>2.9000000000000001E-2</v>
      </c>
      <c r="I98" s="275">
        <f t="shared" si="59"/>
        <v>5.0500701519269671E-2</v>
      </c>
      <c r="J98" s="275">
        <f t="shared" si="60"/>
        <v>5.4728277858636654E-3</v>
      </c>
    </row>
    <row r="99" spans="2:10">
      <c r="B99" s="222">
        <f t="shared" si="51"/>
        <v>39356</v>
      </c>
      <c r="C99" s="275">
        <f t="shared" si="53"/>
        <v>2.2495200000000003E-2</v>
      </c>
      <c r="D99" s="275">
        <f t="shared" si="54"/>
        <v>2.0023199999999998E-2</v>
      </c>
      <c r="E99" s="275">
        <f t="shared" si="55"/>
        <v>7.0699999999999999E-2</v>
      </c>
      <c r="F99" s="275">
        <f t="shared" si="56"/>
        <v>1.5820799999999999E-2</v>
      </c>
      <c r="G99" s="275">
        <f t="shared" si="57"/>
        <v>5.4728277858636654E-3</v>
      </c>
      <c r="H99" s="275">
        <f t="shared" si="58"/>
        <v>2.9000000000000001E-2</v>
      </c>
      <c r="I99" s="275">
        <f t="shared" si="59"/>
        <v>5.0500701519269671E-2</v>
      </c>
      <c r="J99" s="275">
        <f t="shared" si="60"/>
        <v>5.4728277858636654E-3</v>
      </c>
    </row>
    <row r="100" spans="2:10">
      <c r="B100" s="222">
        <f t="shared" si="51"/>
        <v>39387</v>
      </c>
      <c r="C100" s="275">
        <f t="shared" si="53"/>
        <v>2.2495200000000003E-2</v>
      </c>
      <c r="D100" s="275">
        <f t="shared" si="54"/>
        <v>2.0023199999999998E-2</v>
      </c>
      <c r="E100" s="275">
        <f t="shared" si="55"/>
        <v>7.0699999999999999E-2</v>
      </c>
      <c r="F100" s="275">
        <f t="shared" si="56"/>
        <v>1.5820799999999999E-2</v>
      </c>
      <c r="G100" s="275">
        <f t="shared" si="57"/>
        <v>5.4728277858636654E-3</v>
      </c>
      <c r="H100" s="275">
        <f t="shared" si="58"/>
        <v>2.9000000000000001E-2</v>
      </c>
      <c r="I100" s="275">
        <f t="shared" si="59"/>
        <v>5.0500701519269671E-2</v>
      </c>
      <c r="J100" s="275">
        <f t="shared" si="60"/>
        <v>5.4728277858636654E-3</v>
      </c>
    </row>
    <row r="101" spans="2:10">
      <c r="B101" s="222">
        <f t="shared" si="51"/>
        <v>39417</v>
      </c>
      <c r="C101" s="275">
        <f t="shared" si="53"/>
        <v>2.2495200000000003E-2</v>
      </c>
      <c r="D101" s="275">
        <f t="shared" si="54"/>
        <v>2.0023199999999998E-2</v>
      </c>
      <c r="E101" s="275">
        <f t="shared" si="55"/>
        <v>7.0699999999999999E-2</v>
      </c>
      <c r="F101" s="275">
        <f t="shared" si="56"/>
        <v>1.5820799999999999E-2</v>
      </c>
      <c r="G101" s="275">
        <f t="shared" si="57"/>
        <v>5.4728277858636654E-3</v>
      </c>
      <c r="H101" s="275">
        <f t="shared" si="58"/>
        <v>2.9000000000000001E-2</v>
      </c>
      <c r="I101" s="275">
        <f t="shared" si="59"/>
        <v>5.0500701519269671E-2</v>
      </c>
      <c r="J101" s="275">
        <f t="shared" si="60"/>
        <v>5.4728277858636654E-3</v>
      </c>
    </row>
    <row r="102" spans="2:10">
      <c r="B102" s="222">
        <f t="shared" si="51"/>
        <v>39448</v>
      </c>
      <c r="C102" s="278">
        <f t="shared" ref="C102:J102" si="61">C101*C271</f>
        <v>2.2495200000000003E-2</v>
      </c>
      <c r="D102" s="278">
        <f t="shared" si="61"/>
        <v>2.0023199999999998E-2</v>
      </c>
      <c r="E102" s="278">
        <f t="shared" si="61"/>
        <v>7.0699999999999999E-2</v>
      </c>
      <c r="F102" s="278">
        <f t="shared" si="61"/>
        <v>1.5820799999999999E-2</v>
      </c>
      <c r="G102" s="278">
        <f t="shared" si="61"/>
        <v>5.5822843415809387E-3</v>
      </c>
      <c r="H102" s="278">
        <f t="shared" si="61"/>
        <v>2.9000000000000001E-2</v>
      </c>
      <c r="I102" s="278">
        <f t="shared" si="61"/>
        <v>5.1510715549655063E-2</v>
      </c>
      <c r="J102" s="278">
        <f t="shared" si="61"/>
        <v>5.5822843415809387E-3</v>
      </c>
    </row>
    <row r="103" spans="2:10">
      <c r="B103" s="222">
        <f t="shared" si="51"/>
        <v>39479</v>
      </c>
      <c r="C103" s="275">
        <f t="shared" ref="C103:C113" si="62">C102</f>
        <v>2.2495200000000003E-2</v>
      </c>
      <c r="D103" s="275">
        <f t="shared" ref="D103:D113" si="63">D102</f>
        <v>2.0023199999999998E-2</v>
      </c>
      <c r="E103" s="275">
        <f t="shared" ref="E103:E113" si="64">E102</f>
        <v>7.0699999999999999E-2</v>
      </c>
      <c r="F103" s="275">
        <f t="shared" ref="F103:F113" si="65">F102</f>
        <v>1.5820799999999999E-2</v>
      </c>
      <c r="G103" s="275">
        <f t="shared" ref="G103:G113" si="66">G102</f>
        <v>5.5822843415809387E-3</v>
      </c>
      <c r="H103" s="275">
        <f t="shared" ref="H103:H113" si="67">H102</f>
        <v>2.9000000000000001E-2</v>
      </c>
      <c r="I103" s="275">
        <f t="shared" ref="I103:I113" si="68">I102</f>
        <v>5.1510715549655063E-2</v>
      </c>
      <c r="J103" s="275">
        <f t="shared" ref="J103:J113" si="69">J102</f>
        <v>5.5822843415809387E-3</v>
      </c>
    </row>
    <row r="104" spans="2:10">
      <c r="B104" s="222">
        <f t="shared" si="51"/>
        <v>39508</v>
      </c>
      <c r="C104" s="275">
        <f t="shared" si="62"/>
        <v>2.2495200000000003E-2</v>
      </c>
      <c r="D104" s="275">
        <f t="shared" si="63"/>
        <v>2.0023199999999998E-2</v>
      </c>
      <c r="E104" s="275">
        <f t="shared" si="64"/>
        <v>7.0699999999999999E-2</v>
      </c>
      <c r="F104" s="275">
        <f t="shared" si="65"/>
        <v>1.5820799999999999E-2</v>
      </c>
      <c r="G104" s="275">
        <f t="shared" si="66"/>
        <v>5.5822843415809387E-3</v>
      </c>
      <c r="H104" s="275">
        <f t="shared" si="67"/>
        <v>2.9000000000000001E-2</v>
      </c>
      <c r="I104" s="275">
        <f t="shared" si="68"/>
        <v>5.1510715549655063E-2</v>
      </c>
      <c r="J104" s="275">
        <f t="shared" si="69"/>
        <v>5.5822843415809387E-3</v>
      </c>
    </row>
    <row r="105" spans="2:10">
      <c r="B105" s="222">
        <f t="shared" si="51"/>
        <v>39539</v>
      </c>
      <c r="C105" s="275">
        <f t="shared" si="62"/>
        <v>2.2495200000000003E-2</v>
      </c>
      <c r="D105" s="275">
        <f t="shared" si="63"/>
        <v>2.0023199999999998E-2</v>
      </c>
      <c r="E105" s="275">
        <f t="shared" si="64"/>
        <v>7.0699999999999999E-2</v>
      </c>
      <c r="F105" s="275">
        <f t="shared" si="65"/>
        <v>1.5820799999999999E-2</v>
      </c>
      <c r="G105" s="275">
        <f t="shared" si="66"/>
        <v>5.5822843415809387E-3</v>
      </c>
      <c r="H105" s="275">
        <f t="shared" si="67"/>
        <v>2.9000000000000001E-2</v>
      </c>
      <c r="I105" s="275">
        <f t="shared" si="68"/>
        <v>5.1510715549655063E-2</v>
      </c>
      <c r="J105" s="275">
        <f t="shared" si="69"/>
        <v>5.5822843415809387E-3</v>
      </c>
    </row>
    <row r="106" spans="2:10">
      <c r="B106" s="222">
        <f t="shared" si="51"/>
        <v>39569</v>
      </c>
      <c r="C106" s="275">
        <f t="shared" si="62"/>
        <v>2.2495200000000003E-2</v>
      </c>
      <c r="D106" s="275">
        <f t="shared" si="63"/>
        <v>2.0023199999999998E-2</v>
      </c>
      <c r="E106" s="275">
        <f t="shared" si="64"/>
        <v>7.0699999999999999E-2</v>
      </c>
      <c r="F106" s="275">
        <f t="shared" si="65"/>
        <v>1.5820799999999999E-2</v>
      </c>
      <c r="G106" s="275">
        <f t="shared" si="66"/>
        <v>5.5822843415809387E-3</v>
      </c>
      <c r="H106" s="275">
        <f t="shared" si="67"/>
        <v>2.9000000000000001E-2</v>
      </c>
      <c r="I106" s="275">
        <f t="shared" si="68"/>
        <v>5.1510715549655063E-2</v>
      </c>
      <c r="J106" s="275">
        <f t="shared" si="69"/>
        <v>5.5822843415809387E-3</v>
      </c>
    </row>
    <row r="107" spans="2:10">
      <c r="B107" s="222">
        <f t="shared" si="51"/>
        <v>39600</v>
      </c>
      <c r="C107" s="275">
        <f t="shared" si="62"/>
        <v>2.2495200000000003E-2</v>
      </c>
      <c r="D107" s="275">
        <f t="shared" si="63"/>
        <v>2.0023199999999998E-2</v>
      </c>
      <c r="E107" s="275">
        <f t="shared" si="64"/>
        <v>7.0699999999999999E-2</v>
      </c>
      <c r="F107" s="275">
        <f t="shared" si="65"/>
        <v>1.5820799999999999E-2</v>
      </c>
      <c r="G107" s="275">
        <f t="shared" si="66"/>
        <v>5.5822843415809387E-3</v>
      </c>
      <c r="H107" s="275">
        <f t="shared" si="67"/>
        <v>2.9000000000000001E-2</v>
      </c>
      <c r="I107" s="275">
        <f t="shared" si="68"/>
        <v>5.1510715549655063E-2</v>
      </c>
      <c r="J107" s="275">
        <f t="shared" si="69"/>
        <v>5.5822843415809387E-3</v>
      </c>
    </row>
    <row r="108" spans="2:10">
      <c r="B108" s="222">
        <f t="shared" si="51"/>
        <v>39630</v>
      </c>
      <c r="C108" s="275">
        <f t="shared" si="62"/>
        <v>2.2495200000000003E-2</v>
      </c>
      <c r="D108" s="275">
        <f t="shared" si="63"/>
        <v>2.0023199999999998E-2</v>
      </c>
      <c r="E108" s="275">
        <f t="shared" si="64"/>
        <v>7.0699999999999999E-2</v>
      </c>
      <c r="F108" s="275">
        <f t="shared" si="65"/>
        <v>1.5820799999999999E-2</v>
      </c>
      <c r="G108" s="275">
        <f t="shared" si="66"/>
        <v>5.5822843415809387E-3</v>
      </c>
      <c r="H108" s="275">
        <f t="shared" si="67"/>
        <v>2.9000000000000001E-2</v>
      </c>
      <c r="I108" s="275">
        <f t="shared" si="68"/>
        <v>5.1510715549655063E-2</v>
      </c>
      <c r="J108" s="275">
        <f t="shared" si="69"/>
        <v>5.5822843415809387E-3</v>
      </c>
    </row>
    <row r="109" spans="2:10">
      <c r="B109" s="222">
        <f t="shared" si="51"/>
        <v>39661</v>
      </c>
      <c r="C109" s="275">
        <f t="shared" si="62"/>
        <v>2.2495200000000003E-2</v>
      </c>
      <c r="D109" s="275">
        <f t="shared" si="63"/>
        <v>2.0023199999999998E-2</v>
      </c>
      <c r="E109" s="275">
        <f t="shared" si="64"/>
        <v>7.0699999999999999E-2</v>
      </c>
      <c r="F109" s="275">
        <f t="shared" si="65"/>
        <v>1.5820799999999999E-2</v>
      </c>
      <c r="G109" s="275">
        <f t="shared" si="66"/>
        <v>5.5822843415809387E-3</v>
      </c>
      <c r="H109" s="275">
        <f t="shared" si="67"/>
        <v>2.9000000000000001E-2</v>
      </c>
      <c r="I109" s="275">
        <f t="shared" si="68"/>
        <v>5.1510715549655063E-2</v>
      </c>
      <c r="J109" s="275">
        <f t="shared" si="69"/>
        <v>5.5822843415809387E-3</v>
      </c>
    </row>
    <row r="110" spans="2:10">
      <c r="B110" s="222">
        <f t="shared" si="51"/>
        <v>39692</v>
      </c>
      <c r="C110" s="275">
        <f t="shared" si="62"/>
        <v>2.2495200000000003E-2</v>
      </c>
      <c r="D110" s="275">
        <f t="shared" si="63"/>
        <v>2.0023199999999998E-2</v>
      </c>
      <c r="E110" s="275">
        <f t="shared" si="64"/>
        <v>7.0699999999999999E-2</v>
      </c>
      <c r="F110" s="275">
        <f t="shared" si="65"/>
        <v>1.5820799999999999E-2</v>
      </c>
      <c r="G110" s="275">
        <f t="shared" si="66"/>
        <v>5.5822843415809387E-3</v>
      </c>
      <c r="H110" s="275">
        <f t="shared" si="67"/>
        <v>2.9000000000000001E-2</v>
      </c>
      <c r="I110" s="275">
        <f t="shared" si="68"/>
        <v>5.1510715549655063E-2</v>
      </c>
      <c r="J110" s="275">
        <f t="shared" si="69"/>
        <v>5.5822843415809387E-3</v>
      </c>
    </row>
    <row r="111" spans="2:10">
      <c r="B111" s="222">
        <f t="shared" si="51"/>
        <v>39722</v>
      </c>
      <c r="C111" s="275">
        <f t="shared" si="62"/>
        <v>2.2495200000000003E-2</v>
      </c>
      <c r="D111" s="275">
        <f t="shared" si="63"/>
        <v>2.0023199999999998E-2</v>
      </c>
      <c r="E111" s="275">
        <f t="shared" si="64"/>
        <v>7.0699999999999999E-2</v>
      </c>
      <c r="F111" s="275">
        <f t="shared" si="65"/>
        <v>1.5820799999999999E-2</v>
      </c>
      <c r="G111" s="275">
        <f t="shared" si="66"/>
        <v>5.5822843415809387E-3</v>
      </c>
      <c r="H111" s="275">
        <f t="shared" si="67"/>
        <v>2.9000000000000001E-2</v>
      </c>
      <c r="I111" s="275">
        <f t="shared" si="68"/>
        <v>5.1510715549655063E-2</v>
      </c>
      <c r="J111" s="275">
        <f t="shared" si="69"/>
        <v>5.5822843415809387E-3</v>
      </c>
    </row>
    <row r="112" spans="2:10">
      <c r="B112" s="222">
        <f t="shared" si="51"/>
        <v>39753</v>
      </c>
      <c r="C112" s="275">
        <f t="shared" si="62"/>
        <v>2.2495200000000003E-2</v>
      </c>
      <c r="D112" s="275">
        <f t="shared" si="63"/>
        <v>2.0023199999999998E-2</v>
      </c>
      <c r="E112" s="275">
        <f t="shared" si="64"/>
        <v>7.0699999999999999E-2</v>
      </c>
      <c r="F112" s="275">
        <f t="shared" si="65"/>
        <v>1.5820799999999999E-2</v>
      </c>
      <c r="G112" s="275">
        <f t="shared" si="66"/>
        <v>5.5822843415809387E-3</v>
      </c>
      <c r="H112" s="275">
        <f t="shared" si="67"/>
        <v>2.9000000000000001E-2</v>
      </c>
      <c r="I112" s="275">
        <f t="shared" si="68"/>
        <v>5.1510715549655063E-2</v>
      </c>
      <c r="J112" s="275">
        <f t="shared" si="69"/>
        <v>5.5822843415809387E-3</v>
      </c>
    </row>
    <row r="113" spans="2:10">
      <c r="B113" s="222">
        <f t="shared" si="51"/>
        <v>39783</v>
      </c>
      <c r="C113" s="275">
        <f t="shared" si="62"/>
        <v>2.2495200000000003E-2</v>
      </c>
      <c r="D113" s="275">
        <f t="shared" si="63"/>
        <v>2.0023199999999998E-2</v>
      </c>
      <c r="E113" s="275">
        <f t="shared" si="64"/>
        <v>7.0699999999999999E-2</v>
      </c>
      <c r="F113" s="275">
        <f t="shared" si="65"/>
        <v>1.5820799999999999E-2</v>
      </c>
      <c r="G113" s="275">
        <f t="shared" si="66"/>
        <v>5.5822843415809387E-3</v>
      </c>
      <c r="H113" s="275">
        <f t="shared" si="67"/>
        <v>2.9000000000000001E-2</v>
      </c>
      <c r="I113" s="275">
        <f t="shared" si="68"/>
        <v>5.1510715549655063E-2</v>
      </c>
      <c r="J113" s="275">
        <f t="shared" si="69"/>
        <v>5.5822843415809387E-3</v>
      </c>
    </row>
    <row r="114" spans="2:10">
      <c r="B114" s="222">
        <f t="shared" si="51"/>
        <v>39814</v>
      </c>
      <c r="C114" s="278">
        <f t="shared" ref="C114:J114" si="70">C113*C283</f>
        <v>2.2495200000000003E-2</v>
      </c>
      <c r="D114" s="278">
        <f t="shared" si="70"/>
        <v>2.0023199999999998E-2</v>
      </c>
      <c r="E114" s="278">
        <f t="shared" si="70"/>
        <v>7.0699999999999999E-2</v>
      </c>
      <c r="F114" s="278">
        <f t="shared" si="70"/>
        <v>1.5820799999999999E-2</v>
      </c>
      <c r="G114" s="278">
        <f t="shared" si="70"/>
        <v>5.6939300284125577E-3</v>
      </c>
      <c r="H114" s="278">
        <f t="shared" si="70"/>
        <v>2.9000000000000001E-2</v>
      </c>
      <c r="I114" s="278">
        <f t="shared" si="70"/>
        <v>5.2540929860648164E-2</v>
      </c>
      <c r="J114" s="278">
        <f t="shared" si="70"/>
        <v>5.6939300284125577E-3</v>
      </c>
    </row>
    <row r="115" spans="2:10">
      <c r="B115" s="222">
        <f t="shared" si="51"/>
        <v>39845</v>
      </c>
      <c r="C115" s="275">
        <f t="shared" ref="C115:C125" si="71">C114</f>
        <v>2.2495200000000003E-2</v>
      </c>
      <c r="D115" s="275">
        <f t="shared" ref="D115:D125" si="72">D114</f>
        <v>2.0023199999999998E-2</v>
      </c>
      <c r="E115" s="275">
        <f t="shared" ref="E115:E125" si="73">E114</f>
        <v>7.0699999999999999E-2</v>
      </c>
      <c r="F115" s="275">
        <f t="shared" ref="F115:F125" si="74">F114</f>
        <v>1.5820799999999999E-2</v>
      </c>
      <c r="G115" s="275">
        <f t="shared" ref="G115:G125" si="75">G114</f>
        <v>5.6939300284125577E-3</v>
      </c>
      <c r="H115" s="275">
        <f t="shared" ref="H115:H125" si="76">H114</f>
        <v>2.9000000000000001E-2</v>
      </c>
      <c r="I115" s="275">
        <f t="shared" ref="I115:I125" si="77">I114</f>
        <v>5.2540929860648164E-2</v>
      </c>
      <c r="J115" s="275">
        <f t="shared" ref="J115:J125" si="78">J114</f>
        <v>5.6939300284125577E-3</v>
      </c>
    </row>
    <row r="116" spans="2:10">
      <c r="B116" s="222">
        <f t="shared" si="51"/>
        <v>39873</v>
      </c>
      <c r="C116" s="275">
        <f t="shared" si="71"/>
        <v>2.2495200000000003E-2</v>
      </c>
      <c r="D116" s="275">
        <f t="shared" si="72"/>
        <v>2.0023199999999998E-2</v>
      </c>
      <c r="E116" s="275">
        <f t="shared" si="73"/>
        <v>7.0699999999999999E-2</v>
      </c>
      <c r="F116" s="275">
        <f t="shared" si="74"/>
        <v>1.5820799999999999E-2</v>
      </c>
      <c r="G116" s="275">
        <f t="shared" si="75"/>
        <v>5.6939300284125577E-3</v>
      </c>
      <c r="H116" s="275">
        <f t="shared" si="76"/>
        <v>2.9000000000000001E-2</v>
      </c>
      <c r="I116" s="275">
        <f t="shared" si="77"/>
        <v>5.2540929860648164E-2</v>
      </c>
      <c r="J116" s="275">
        <f t="shared" si="78"/>
        <v>5.6939300284125577E-3</v>
      </c>
    </row>
    <row r="117" spans="2:10">
      <c r="B117" s="222">
        <f t="shared" si="51"/>
        <v>39904</v>
      </c>
      <c r="C117" s="275">
        <f t="shared" si="71"/>
        <v>2.2495200000000003E-2</v>
      </c>
      <c r="D117" s="275">
        <f t="shared" si="72"/>
        <v>2.0023199999999998E-2</v>
      </c>
      <c r="E117" s="275">
        <f t="shared" si="73"/>
        <v>7.0699999999999999E-2</v>
      </c>
      <c r="F117" s="275">
        <f t="shared" si="74"/>
        <v>1.5820799999999999E-2</v>
      </c>
      <c r="G117" s="275">
        <f t="shared" si="75"/>
        <v>5.6939300284125577E-3</v>
      </c>
      <c r="H117" s="275">
        <f t="shared" si="76"/>
        <v>2.9000000000000001E-2</v>
      </c>
      <c r="I117" s="275">
        <f t="shared" si="77"/>
        <v>5.2540929860648164E-2</v>
      </c>
      <c r="J117" s="275">
        <f t="shared" si="78"/>
        <v>5.6939300284125577E-3</v>
      </c>
    </row>
    <row r="118" spans="2:10">
      <c r="B118" s="222">
        <f t="shared" si="51"/>
        <v>39934</v>
      </c>
      <c r="C118" s="275">
        <f t="shared" si="71"/>
        <v>2.2495200000000003E-2</v>
      </c>
      <c r="D118" s="275">
        <f t="shared" si="72"/>
        <v>2.0023199999999998E-2</v>
      </c>
      <c r="E118" s="275">
        <f t="shared" si="73"/>
        <v>7.0699999999999999E-2</v>
      </c>
      <c r="F118" s="275">
        <f t="shared" si="74"/>
        <v>1.5820799999999999E-2</v>
      </c>
      <c r="G118" s="275">
        <f t="shared" si="75"/>
        <v>5.6939300284125577E-3</v>
      </c>
      <c r="H118" s="275">
        <f t="shared" si="76"/>
        <v>2.9000000000000001E-2</v>
      </c>
      <c r="I118" s="275">
        <f t="shared" si="77"/>
        <v>5.2540929860648164E-2</v>
      </c>
      <c r="J118" s="275">
        <f t="shared" si="78"/>
        <v>5.6939300284125577E-3</v>
      </c>
    </row>
    <row r="119" spans="2:10">
      <c r="B119" s="222">
        <f t="shared" si="51"/>
        <v>39965</v>
      </c>
      <c r="C119" s="275">
        <f t="shared" si="71"/>
        <v>2.2495200000000003E-2</v>
      </c>
      <c r="D119" s="275">
        <f t="shared" si="72"/>
        <v>2.0023199999999998E-2</v>
      </c>
      <c r="E119" s="275">
        <f t="shared" si="73"/>
        <v>7.0699999999999999E-2</v>
      </c>
      <c r="F119" s="275">
        <f t="shared" si="74"/>
        <v>1.5820799999999999E-2</v>
      </c>
      <c r="G119" s="275">
        <f t="shared" si="75"/>
        <v>5.6939300284125577E-3</v>
      </c>
      <c r="H119" s="275">
        <f t="shared" si="76"/>
        <v>2.9000000000000001E-2</v>
      </c>
      <c r="I119" s="275">
        <f t="shared" si="77"/>
        <v>5.2540929860648164E-2</v>
      </c>
      <c r="J119" s="275">
        <f t="shared" si="78"/>
        <v>5.6939300284125577E-3</v>
      </c>
    </row>
    <row r="120" spans="2:10">
      <c r="B120" s="222">
        <f t="shared" ref="B120:B151" si="79">EDATE(B119,1)</f>
        <v>39995</v>
      </c>
      <c r="C120" s="275">
        <f t="shared" si="71"/>
        <v>2.2495200000000003E-2</v>
      </c>
      <c r="D120" s="275">
        <f t="shared" si="72"/>
        <v>2.0023199999999998E-2</v>
      </c>
      <c r="E120" s="275">
        <f t="shared" si="73"/>
        <v>7.0699999999999999E-2</v>
      </c>
      <c r="F120" s="275">
        <f t="shared" si="74"/>
        <v>1.5820799999999999E-2</v>
      </c>
      <c r="G120" s="275">
        <f t="shared" si="75"/>
        <v>5.6939300284125577E-3</v>
      </c>
      <c r="H120" s="275">
        <f t="shared" si="76"/>
        <v>2.9000000000000001E-2</v>
      </c>
      <c r="I120" s="275">
        <f t="shared" si="77"/>
        <v>5.2540929860648164E-2</v>
      </c>
      <c r="J120" s="275">
        <f t="shared" si="78"/>
        <v>5.6939300284125577E-3</v>
      </c>
    </row>
    <row r="121" spans="2:10">
      <c r="B121" s="222">
        <f t="shared" si="79"/>
        <v>40026</v>
      </c>
      <c r="C121" s="275">
        <f t="shared" si="71"/>
        <v>2.2495200000000003E-2</v>
      </c>
      <c r="D121" s="275">
        <f t="shared" si="72"/>
        <v>2.0023199999999998E-2</v>
      </c>
      <c r="E121" s="275">
        <f t="shared" si="73"/>
        <v>7.0699999999999999E-2</v>
      </c>
      <c r="F121" s="275">
        <f t="shared" si="74"/>
        <v>1.5820799999999999E-2</v>
      </c>
      <c r="G121" s="275">
        <f t="shared" si="75"/>
        <v>5.6939300284125577E-3</v>
      </c>
      <c r="H121" s="275">
        <f t="shared" si="76"/>
        <v>2.9000000000000001E-2</v>
      </c>
      <c r="I121" s="275">
        <f t="shared" si="77"/>
        <v>5.2540929860648164E-2</v>
      </c>
      <c r="J121" s="275">
        <f t="shared" si="78"/>
        <v>5.6939300284125577E-3</v>
      </c>
    </row>
    <row r="122" spans="2:10">
      <c r="B122" s="222">
        <f t="shared" si="79"/>
        <v>40057</v>
      </c>
      <c r="C122" s="275">
        <f t="shared" si="71"/>
        <v>2.2495200000000003E-2</v>
      </c>
      <c r="D122" s="275">
        <f t="shared" si="72"/>
        <v>2.0023199999999998E-2</v>
      </c>
      <c r="E122" s="275">
        <f t="shared" si="73"/>
        <v>7.0699999999999999E-2</v>
      </c>
      <c r="F122" s="275">
        <f t="shared" si="74"/>
        <v>1.5820799999999999E-2</v>
      </c>
      <c r="G122" s="275">
        <f t="shared" si="75"/>
        <v>5.6939300284125577E-3</v>
      </c>
      <c r="H122" s="275">
        <f t="shared" si="76"/>
        <v>2.9000000000000001E-2</v>
      </c>
      <c r="I122" s="275">
        <f t="shared" si="77"/>
        <v>5.2540929860648164E-2</v>
      </c>
      <c r="J122" s="275">
        <f t="shared" si="78"/>
        <v>5.6939300284125577E-3</v>
      </c>
    </row>
    <row r="123" spans="2:10">
      <c r="B123" s="222">
        <f t="shared" si="79"/>
        <v>40087</v>
      </c>
      <c r="C123" s="275">
        <f t="shared" si="71"/>
        <v>2.2495200000000003E-2</v>
      </c>
      <c r="D123" s="275">
        <f t="shared" si="72"/>
        <v>2.0023199999999998E-2</v>
      </c>
      <c r="E123" s="275">
        <f t="shared" si="73"/>
        <v>7.0699999999999999E-2</v>
      </c>
      <c r="F123" s="275">
        <f t="shared" si="74"/>
        <v>1.5820799999999999E-2</v>
      </c>
      <c r="G123" s="275">
        <f t="shared" si="75"/>
        <v>5.6939300284125577E-3</v>
      </c>
      <c r="H123" s="275">
        <f t="shared" si="76"/>
        <v>2.9000000000000001E-2</v>
      </c>
      <c r="I123" s="275">
        <f t="shared" si="77"/>
        <v>5.2540929860648164E-2</v>
      </c>
      <c r="J123" s="275">
        <f t="shared" si="78"/>
        <v>5.6939300284125577E-3</v>
      </c>
    </row>
    <row r="124" spans="2:10">
      <c r="B124" s="222">
        <f t="shared" si="79"/>
        <v>40118</v>
      </c>
      <c r="C124" s="275">
        <f t="shared" si="71"/>
        <v>2.2495200000000003E-2</v>
      </c>
      <c r="D124" s="275">
        <f t="shared" si="72"/>
        <v>2.0023199999999998E-2</v>
      </c>
      <c r="E124" s="275">
        <f t="shared" si="73"/>
        <v>7.0699999999999999E-2</v>
      </c>
      <c r="F124" s="275">
        <f t="shared" si="74"/>
        <v>1.5820799999999999E-2</v>
      </c>
      <c r="G124" s="275">
        <f t="shared" si="75"/>
        <v>5.6939300284125577E-3</v>
      </c>
      <c r="H124" s="275">
        <f t="shared" si="76"/>
        <v>2.9000000000000001E-2</v>
      </c>
      <c r="I124" s="275">
        <f t="shared" si="77"/>
        <v>5.2540929860648164E-2</v>
      </c>
      <c r="J124" s="275">
        <f t="shared" si="78"/>
        <v>5.6939300284125577E-3</v>
      </c>
    </row>
    <row r="125" spans="2:10">
      <c r="B125" s="222">
        <f t="shared" si="79"/>
        <v>40148</v>
      </c>
      <c r="C125" s="275">
        <f t="shared" si="71"/>
        <v>2.2495200000000003E-2</v>
      </c>
      <c r="D125" s="275">
        <f t="shared" si="72"/>
        <v>2.0023199999999998E-2</v>
      </c>
      <c r="E125" s="275">
        <f t="shared" si="73"/>
        <v>7.0699999999999999E-2</v>
      </c>
      <c r="F125" s="275">
        <f t="shared" si="74"/>
        <v>1.5820799999999999E-2</v>
      </c>
      <c r="G125" s="275">
        <f t="shared" si="75"/>
        <v>5.6939300284125577E-3</v>
      </c>
      <c r="H125" s="275">
        <f t="shared" si="76"/>
        <v>2.9000000000000001E-2</v>
      </c>
      <c r="I125" s="275">
        <f t="shared" si="77"/>
        <v>5.2540929860648164E-2</v>
      </c>
      <c r="J125" s="275">
        <f t="shared" si="78"/>
        <v>5.6939300284125577E-3</v>
      </c>
    </row>
    <row r="126" spans="2:10">
      <c r="B126" s="222">
        <f t="shared" si="79"/>
        <v>40179</v>
      </c>
      <c r="C126" s="278">
        <f t="shared" ref="C126:J126" si="80">C125*C295</f>
        <v>2.2495200000000003E-2</v>
      </c>
      <c r="D126" s="278">
        <f t="shared" si="80"/>
        <v>2.0023199999999998E-2</v>
      </c>
      <c r="E126" s="278">
        <f t="shared" si="80"/>
        <v>7.0699999999999999E-2</v>
      </c>
      <c r="F126" s="278">
        <f t="shared" si="80"/>
        <v>1.5820799999999999E-2</v>
      </c>
      <c r="G126" s="278">
        <f t="shared" si="80"/>
        <v>5.8078086289808087E-3</v>
      </c>
      <c r="H126" s="278">
        <f t="shared" si="80"/>
        <v>2.9000000000000001E-2</v>
      </c>
      <c r="I126" s="278">
        <f t="shared" si="80"/>
        <v>5.3591748457861126E-2</v>
      </c>
      <c r="J126" s="278">
        <f t="shared" si="80"/>
        <v>5.8078086289808087E-3</v>
      </c>
    </row>
    <row r="127" spans="2:10">
      <c r="B127" s="222">
        <f t="shared" si="79"/>
        <v>40210</v>
      </c>
      <c r="C127" s="275">
        <f t="shared" ref="C127:C137" si="81">C126</f>
        <v>2.2495200000000003E-2</v>
      </c>
      <c r="D127" s="275">
        <f t="shared" ref="D127:D137" si="82">D126</f>
        <v>2.0023199999999998E-2</v>
      </c>
      <c r="E127" s="275">
        <f t="shared" ref="E127:E137" si="83">E126</f>
        <v>7.0699999999999999E-2</v>
      </c>
      <c r="F127" s="275">
        <f t="shared" ref="F127:F137" si="84">F126</f>
        <v>1.5820799999999999E-2</v>
      </c>
      <c r="G127" s="275">
        <f t="shared" ref="G127:G137" si="85">G126</f>
        <v>5.8078086289808087E-3</v>
      </c>
      <c r="H127" s="275">
        <f t="shared" ref="H127:H137" si="86">H126</f>
        <v>2.9000000000000001E-2</v>
      </c>
      <c r="I127" s="275">
        <f t="shared" ref="I127:I137" si="87">I126</f>
        <v>5.3591748457861126E-2</v>
      </c>
      <c r="J127" s="275">
        <f t="shared" ref="J127:J137" si="88">J126</f>
        <v>5.8078086289808087E-3</v>
      </c>
    </row>
    <row r="128" spans="2:10">
      <c r="B128" s="222">
        <f t="shared" si="79"/>
        <v>40238</v>
      </c>
      <c r="C128" s="275">
        <f t="shared" si="81"/>
        <v>2.2495200000000003E-2</v>
      </c>
      <c r="D128" s="275">
        <f t="shared" si="82"/>
        <v>2.0023199999999998E-2</v>
      </c>
      <c r="E128" s="275">
        <f t="shared" si="83"/>
        <v>7.0699999999999999E-2</v>
      </c>
      <c r="F128" s="275">
        <f t="shared" si="84"/>
        <v>1.5820799999999999E-2</v>
      </c>
      <c r="G128" s="275">
        <f t="shared" si="85"/>
        <v>5.8078086289808087E-3</v>
      </c>
      <c r="H128" s="275">
        <f t="shared" si="86"/>
        <v>2.9000000000000001E-2</v>
      </c>
      <c r="I128" s="275">
        <f t="shared" si="87"/>
        <v>5.3591748457861126E-2</v>
      </c>
      <c r="J128" s="275">
        <f t="shared" si="88"/>
        <v>5.8078086289808087E-3</v>
      </c>
    </row>
    <row r="129" spans="2:10">
      <c r="B129" s="222">
        <f t="shared" si="79"/>
        <v>40269</v>
      </c>
      <c r="C129" s="275">
        <f t="shared" si="81"/>
        <v>2.2495200000000003E-2</v>
      </c>
      <c r="D129" s="275">
        <f t="shared" si="82"/>
        <v>2.0023199999999998E-2</v>
      </c>
      <c r="E129" s="275">
        <f t="shared" si="83"/>
        <v>7.0699999999999999E-2</v>
      </c>
      <c r="F129" s="275">
        <f t="shared" si="84"/>
        <v>1.5820799999999999E-2</v>
      </c>
      <c r="G129" s="275">
        <f t="shared" si="85"/>
        <v>5.8078086289808087E-3</v>
      </c>
      <c r="H129" s="275">
        <f t="shared" si="86"/>
        <v>2.9000000000000001E-2</v>
      </c>
      <c r="I129" s="275">
        <f t="shared" si="87"/>
        <v>5.3591748457861126E-2</v>
      </c>
      <c r="J129" s="275">
        <f t="shared" si="88"/>
        <v>5.8078086289808087E-3</v>
      </c>
    </row>
    <row r="130" spans="2:10">
      <c r="B130" s="222">
        <f t="shared" si="79"/>
        <v>40299</v>
      </c>
      <c r="C130" s="275">
        <f t="shared" si="81"/>
        <v>2.2495200000000003E-2</v>
      </c>
      <c r="D130" s="275">
        <f t="shared" si="82"/>
        <v>2.0023199999999998E-2</v>
      </c>
      <c r="E130" s="275">
        <f t="shared" si="83"/>
        <v>7.0699999999999999E-2</v>
      </c>
      <c r="F130" s="275">
        <f t="shared" si="84"/>
        <v>1.5820799999999999E-2</v>
      </c>
      <c r="G130" s="275">
        <f t="shared" si="85"/>
        <v>5.8078086289808087E-3</v>
      </c>
      <c r="H130" s="275">
        <f t="shared" si="86"/>
        <v>2.9000000000000001E-2</v>
      </c>
      <c r="I130" s="275">
        <f t="shared" si="87"/>
        <v>5.3591748457861126E-2</v>
      </c>
      <c r="J130" s="275">
        <f t="shared" si="88"/>
        <v>5.8078086289808087E-3</v>
      </c>
    </row>
    <row r="131" spans="2:10">
      <c r="B131" s="222">
        <f t="shared" si="79"/>
        <v>40330</v>
      </c>
      <c r="C131" s="275">
        <f t="shared" si="81"/>
        <v>2.2495200000000003E-2</v>
      </c>
      <c r="D131" s="275">
        <f t="shared" si="82"/>
        <v>2.0023199999999998E-2</v>
      </c>
      <c r="E131" s="275">
        <f t="shared" si="83"/>
        <v>7.0699999999999999E-2</v>
      </c>
      <c r="F131" s="275">
        <f t="shared" si="84"/>
        <v>1.5820799999999999E-2</v>
      </c>
      <c r="G131" s="275">
        <f t="shared" si="85"/>
        <v>5.8078086289808087E-3</v>
      </c>
      <c r="H131" s="275">
        <f t="shared" si="86"/>
        <v>2.9000000000000001E-2</v>
      </c>
      <c r="I131" s="275">
        <f t="shared" si="87"/>
        <v>5.3591748457861126E-2</v>
      </c>
      <c r="J131" s="275">
        <f t="shared" si="88"/>
        <v>5.8078086289808087E-3</v>
      </c>
    </row>
    <row r="132" spans="2:10">
      <c r="B132" s="222">
        <f t="shared" si="79"/>
        <v>40360</v>
      </c>
      <c r="C132" s="275">
        <f t="shared" si="81"/>
        <v>2.2495200000000003E-2</v>
      </c>
      <c r="D132" s="275">
        <f t="shared" si="82"/>
        <v>2.0023199999999998E-2</v>
      </c>
      <c r="E132" s="275">
        <f t="shared" si="83"/>
        <v>7.0699999999999999E-2</v>
      </c>
      <c r="F132" s="275">
        <f t="shared" si="84"/>
        <v>1.5820799999999999E-2</v>
      </c>
      <c r="G132" s="275">
        <f t="shared" si="85"/>
        <v>5.8078086289808087E-3</v>
      </c>
      <c r="H132" s="275">
        <f t="shared" si="86"/>
        <v>2.9000000000000001E-2</v>
      </c>
      <c r="I132" s="275">
        <f t="shared" si="87"/>
        <v>5.3591748457861126E-2</v>
      </c>
      <c r="J132" s="275">
        <f t="shared" si="88"/>
        <v>5.8078086289808087E-3</v>
      </c>
    </row>
    <row r="133" spans="2:10">
      <c r="B133" s="222">
        <f t="shared" si="79"/>
        <v>40391</v>
      </c>
      <c r="C133" s="275">
        <f t="shared" si="81"/>
        <v>2.2495200000000003E-2</v>
      </c>
      <c r="D133" s="275">
        <f t="shared" si="82"/>
        <v>2.0023199999999998E-2</v>
      </c>
      <c r="E133" s="275">
        <f t="shared" si="83"/>
        <v>7.0699999999999999E-2</v>
      </c>
      <c r="F133" s="275">
        <f t="shared" si="84"/>
        <v>1.5820799999999999E-2</v>
      </c>
      <c r="G133" s="275">
        <f t="shared" si="85"/>
        <v>5.8078086289808087E-3</v>
      </c>
      <c r="H133" s="275">
        <f t="shared" si="86"/>
        <v>2.9000000000000001E-2</v>
      </c>
      <c r="I133" s="275">
        <f t="shared" si="87"/>
        <v>5.3591748457861126E-2</v>
      </c>
      <c r="J133" s="275">
        <f t="shared" si="88"/>
        <v>5.8078086289808087E-3</v>
      </c>
    </row>
    <row r="134" spans="2:10">
      <c r="B134" s="222">
        <f t="shared" si="79"/>
        <v>40422</v>
      </c>
      <c r="C134" s="275">
        <f t="shared" si="81"/>
        <v>2.2495200000000003E-2</v>
      </c>
      <c r="D134" s="275">
        <f t="shared" si="82"/>
        <v>2.0023199999999998E-2</v>
      </c>
      <c r="E134" s="275">
        <f t="shared" si="83"/>
        <v>7.0699999999999999E-2</v>
      </c>
      <c r="F134" s="275">
        <f t="shared" si="84"/>
        <v>1.5820799999999999E-2</v>
      </c>
      <c r="G134" s="275">
        <f t="shared" si="85"/>
        <v>5.8078086289808087E-3</v>
      </c>
      <c r="H134" s="275">
        <f t="shared" si="86"/>
        <v>2.9000000000000001E-2</v>
      </c>
      <c r="I134" s="275">
        <f t="shared" si="87"/>
        <v>5.3591748457861126E-2</v>
      </c>
      <c r="J134" s="275">
        <f t="shared" si="88"/>
        <v>5.8078086289808087E-3</v>
      </c>
    </row>
    <row r="135" spans="2:10">
      <c r="B135" s="222">
        <f t="shared" si="79"/>
        <v>40452</v>
      </c>
      <c r="C135" s="275">
        <f t="shared" si="81"/>
        <v>2.2495200000000003E-2</v>
      </c>
      <c r="D135" s="275">
        <f t="shared" si="82"/>
        <v>2.0023199999999998E-2</v>
      </c>
      <c r="E135" s="275">
        <f t="shared" si="83"/>
        <v>7.0699999999999999E-2</v>
      </c>
      <c r="F135" s="275">
        <f t="shared" si="84"/>
        <v>1.5820799999999999E-2</v>
      </c>
      <c r="G135" s="275">
        <f t="shared" si="85"/>
        <v>5.8078086289808087E-3</v>
      </c>
      <c r="H135" s="275">
        <f t="shared" si="86"/>
        <v>2.9000000000000001E-2</v>
      </c>
      <c r="I135" s="275">
        <f t="shared" si="87"/>
        <v>5.3591748457861126E-2</v>
      </c>
      <c r="J135" s="275">
        <f t="shared" si="88"/>
        <v>5.8078086289808087E-3</v>
      </c>
    </row>
    <row r="136" spans="2:10">
      <c r="B136" s="222">
        <f t="shared" si="79"/>
        <v>40483</v>
      </c>
      <c r="C136" s="275">
        <f t="shared" si="81"/>
        <v>2.2495200000000003E-2</v>
      </c>
      <c r="D136" s="275">
        <f t="shared" si="82"/>
        <v>2.0023199999999998E-2</v>
      </c>
      <c r="E136" s="275">
        <f t="shared" si="83"/>
        <v>7.0699999999999999E-2</v>
      </c>
      <c r="F136" s="275">
        <f t="shared" si="84"/>
        <v>1.5820799999999999E-2</v>
      </c>
      <c r="G136" s="275">
        <f t="shared" si="85"/>
        <v>5.8078086289808087E-3</v>
      </c>
      <c r="H136" s="275">
        <f t="shared" si="86"/>
        <v>2.9000000000000001E-2</v>
      </c>
      <c r="I136" s="275">
        <f t="shared" si="87"/>
        <v>5.3591748457861126E-2</v>
      </c>
      <c r="J136" s="275">
        <f t="shared" si="88"/>
        <v>5.8078086289808087E-3</v>
      </c>
    </row>
    <row r="137" spans="2:10">
      <c r="B137" s="222">
        <f t="shared" si="79"/>
        <v>40513</v>
      </c>
      <c r="C137" s="275">
        <f t="shared" si="81"/>
        <v>2.2495200000000003E-2</v>
      </c>
      <c r="D137" s="275">
        <f t="shared" si="82"/>
        <v>2.0023199999999998E-2</v>
      </c>
      <c r="E137" s="275">
        <f t="shared" si="83"/>
        <v>7.0699999999999999E-2</v>
      </c>
      <c r="F137" s="275">
        <f t="shared" si="84"/>
        <v>1.5820799999999999E-2</v>
      </c>
      <c r="G137" s="275">
        <f t="shared" si="85"/>
        <v>5.8078086289808087E-3</v>
      </c>
      <c r="H137" s="275">
        <f t="shared" si="86"/>
        <v>2.9000000000000001E-2</v>
      </c>
      <c r="I137" s="275">
        <f t="shared" si="87"/>
        <v>5.3591748457861126E-2</v>
      </c>
      <c r="J137" s="275">
        <f t="shared" si="88"/>
        <v>5.8078086289808087E-3</v>
      </c>
    </row>
    <row r="138" spans="2:10">
      <c r="B138" s="222">
        <f t="shared" si="79"/>
        <v>40544</v>
      </c>
      <c r="C138" s="278">
        <f t="shared" ref="C138:J138" si="89">C137*C307</f>
        <v>2.2495200000000003E-2</v>
      </c>
      <c r="D138" s="278">
        <f t="shared" si="89"/>
        <v>2.0023199999999998E-2</v>
      </c>
      <c r="E138" s="278">
        <f t="shared" si="89"/>
        <v>7.0699999999999999E-2</v>
      </c>
      <c r="F138" s="278">
        <f t="shared" si="89"/>
        <v>1.5820799999999999E-2</v>
      </c>
      <c r="G138" s="278">
        <f t="shared" si="89"/>
        <v>5.9239648015604251E-3</v>
      </c>
      <c r="H138" s="278">
        <f t="shared" si="89"/>
        <v>2.9000000000000001E-2</v>
      </c>
      <c r="I138" s="278">
        <f t="shared" si="89"/>
        <v>5.4663583427018346E-2</v>
      </c>
      <c r="J138" s="278">
        <f t="shared" si="89"/>
        <v>5.9239648015604251E-3</v>
      </c>
    </row>
    <row r="139" spans="2:10">
      <c r="B139" s="222">
        <f t="shared" si="79"/>
        <v>40575</v>
      </c>
      <c r="C139" s="275">
        <f t="shared" ref="C139:C149" si="90">C138</f>
        <v>2.2495200000000003E-2</v>
      </c>
      <c r="D139" s="275">
        <f t="shared" ref="D139:D149" si="91">D138</f>
        <v>2.0023199999999998E-2</v>
      </c>
      <c r="E139" s="275">
        <f t="shared" ref="E139:E149" si="92">E138</f>
        <v>7.0699999999999999E-2</v>
      </c>
      <c r="F139" s="275">
        <f t="shared" ref="F139:F149" si="93">F138</f>
        <v>1.5820799999999999E-2</v>
      </c>
      <c r="G139" s="275">
        <f t="shared" ref="G139:G149" si="94">G138</f>
        <v>5.9239648015604251E-3</v>
      </c>
      <c r="H139" s="275">
        <f t="shared" ref="H139:H149" si="95">H138</f>
        <v>2.9000000000000001E-2</v>
      </c>
      <c r="I139" s="275">
        <f t="shared" ref="I139:I149" si="96">I138</f>
        <v>5.4663583427018346E-2</v>
      </c>
      <c r="J139" s="275">
        <f t="shared" ref="J139:J149" si="97">J138</f>
        <v>5.9239648015604251E-3</v>
      </c>
    </row>
    <row r="140" spans="2:10">
      <c r="B140" s="222">
        <f t="shared" si="79"/>
        <v>40603</v>
      </c>
      <c r="C140" s="275">
        <f t="shared" si="90"/>
        <v>2.2495200000000003E-2</v>
      </c>
      <c r="D140" s="275">
        <f t="shared" si="91"/>
        <v>2.0023199999999998E-2</v>
      </c>
      <c r="E140" s="275">
        <f t="shared" si="92"/>
        <v>7.0699999999999999E-2</v>
      </c>
      <c r="F140" s="275">
        <f t="shared" si="93"/>
        <v>1.5820799999999999E-2</v>
      </c>
      <c r="G140" s="275">
        <f t="shared" si="94"/>
        <v>5.9239648015604251E-3</v>
      </c>
      <c r="H140" s="275">
        <f t="shared" si="95"/>
        <v>2.9000000000000001E-2</v>
      </c>
      <c r="I140" s="275">
        <f t="shared" si="96"/>
        <v>5.4663583427018346E-2</v>
      </c>
      <c r="J140" s="275">
        <f t="shared" si="97"/>
        <v>5.9239648015604251E-3</v>
      </c>
    </row>
    <row r="141" spans="2:10">
      <c r="B141" s="222">
        <f t="shared" si="79"/>
        <v>40634</v>
      </c>
      <c r="C141" s="275">
        <f t="shared" si="90"/>
        <v>2.2495200000000003E-2</v>
      </c>
      <c r="D141" s="275">
        <f t="shared" si="91"/>
        <v>2.0023199999999998E-2</v>
      </c>
      <c r="E141" s="275">
        <f t="shared" si="92"/>
        <v>7.0699999999999999E-2</v>
      </c>
      <c r="F141" s="275">
        <f t="shared" si="93"/>
        <v>1.5820799999999999E-2</v>
      </c>
      <c r="G141" s="275">
        <f t="shared" si="94"/>
        <v>5.9239648015604251E-3</v>
      </c>
      <c r="H141" s="275">
        <f t="shared" si="95"/>
        <v>2.9000000000000001E-2</v>
      </c>
      <c r="I141" s="275">
        <f t="shared" si="96"/>
        <v>5.4663583427018346E-2</v>
      </c>
      <c r="J141" s="275">
        <f t="shared" si="97"/>
        <v>5.9239648015604251E-3</v>
      </c>
    </row>
    <row r="142" spans="2:10">
      <c r="B142" s="222">
        <f t="shared" si="79"/>
        <v>40664</v>
      </c>
      <c r="C142" s="275">
        <f t="shared" si="90"/>
        <v>2.2495200000000003E-2</v>
      </c>
      <c r="D142" s="275">
        <f t="shared" si="91"/>
        <v>2.0023199999999998E-2</v>
      </c>
      <c r="E142" s="275">
        <f t="shared" si="92"/>
        <v>7.0699999999999999E-2</v>
      </c>
      <c r="F142" s="275">
        <f t="shared" si="93"/>
        <v>1.5820799999999999E-2</v>
      </c>
      <c r="G142" s="275">
        <f t="shared" si="94"/>
        <v>5.9239648015604251E-3</v>
      </c>
      <c r="H142" s="275">
        <f t="shared" si="95"/>
        <v>2.9000000000000001E-2</v>
      </c>
      <c r="I142" s="275">
        <f t="shared" si="96"/>
        <v>5.4663583427018346E-2</v>
      </c>
      <c r="J142" s="275">
        <f t="shared" si="97"/>
        <v>5.9239648015604251E-3</v>
      </c>
    </row>
    <row r="143" spans="2:10">
      <c r="B143" s="222">
        <f t="shared" si="79"/>
        <v>40695</v>
      </c>
      <c r="C143" s="275">
        <f t="shared" si="90"/>
        <v>2.2495200000000003E-2</v>
      </c>
      <c r="D143" s="275">
        <f t="shared" si="91"/>
        <v>2.0023199999999998E-2</v>
      </c>
      <c r="E143" s="275">
        <f t="shared" si="92"/>
        <v>7.0699999999999999E-2</v>
      </c>
      <c r="F143" s="275">
        <f t="shared" si="93"/>
        <v>1.5820799999999999E-2</v>
      </c>
      <c r="G143" s="275">
        <f t="shared" si="94"/>
        <v>5.9239648015604251E-3</v>
      </c>
      <c r="H143" s="275">
        <f t="shared" si="95"/>
        <v>2.9000000000000001E-2</v>
      </c>
      <c r="I143" s="275">
        <f t="shared" si="96"/>
        <v>5.4663583427018346E-2</v>
      </c>
      <c r="J143" s="275">
        <f t="shared" si="97"/>
        <v>5.9239648015604251E-3</v>
      </c>
    </row>
    <row r="144" spans="2:10">
      <c r="B144" s="222">
        <f t="shared" si="79"/>
        <v>40725</v>
      </c>
      <c r="C144" s="275">
        <f t="shared" si="90"/>
        <v>2.2495200000000003E-2</v>
      </c>
      <c r="D144" s="275">
        <f t="shared" si="91"/>
        <v>2.0023199999999998E-2</v>
      </c>
      <c r="E144" s="275">
        <f t="shared" si="92"/>
        <v>7.0699999999999999E-2</v>
      </c>
      <c r="F144" s="275">
        <f t="shared" si="93"/>
        <v>1.5820799999999999E-2</v>
      </c>
      <c r="G144" s="275">
        <f t="shared" si="94"/>
        <v>5.9239648015604251E-3</v>
      </c>
      <c r="H144" s="275">
        <f t="shared" si="95"/>
        <v>2.9000000000000001E-2</v>
      </c>
      <c r="I144" s="275">
        <f t="shared" si="96"/>
        <v>5.4663583427018346E-2</v>
      </c>
      <c r="J144" s="275">
        <f t="shared" si="97"/>
        <v>5.9239648015604251E-3</v>
      </c>
    </row>
    <row r="145" spans="2:10">
      <c r="B145" s="222">
        <f t="shared" si="79"/>
        <v>40756</v>
      </c>
      <c r="C145" s="275">
        <f t="shared" si="90"/>
        <v>2.2495200000000003E-2</v>
      </c>
      <c r="D145" s="275">
        <f t="shared" si="91"/>
        <v>2.0023199999999998E-2</v>
      </c>
      <c r="E145" s="275">
        <f t="shared" si="92"/>
        <v>7.0699999999999999E-2</v>
      </c>
      <c r="F145" s="275">
        <f t="shared" si="93"/>
        <v>1.5820799999999999E-2</v>
      </c>
      <c r="G145" s="275">
        <f t="shared" si="94"/>
        <v>5.9239648015604251E-3</v>
      </c>
      <c r="H145" s="275">
        <f t="shared" si="95"/>
        <v>2.9000000000000001E-2</v>
      </c>
      <c r="I145" s="275">
        <f t="shared" si="96"/>
        <v>5.4663583427018346E-2</v>
      </c>
      <c r="J145" s="275">
        <f t="shared" si="97"/>
        <v>5.9239648015604251E-3</v>
      </c>
    </row>
    <row r="146" spans="2:10">
      <c r="B146" s="222">
        <f t="shared" si="79"/>
        <v>40787</v>
      </c>
      <c r="C146" s="275">
        <f t="shared" si="90"/>
        <v>2.2495200000000003E-2</v>
      </c>
      <c r="D146" s="275">
        <f t="shared" si="91"/>
        <v>2.0023199999999998E-2</v>
      </c>
      <c r="E146" s="275">
        <f t="shared" si="92"/>
        <v>7.0699999999999999E-2</v>
      </c>
      <c r="F146" s="275">
        <f t="shared" si="93"/>
        <v>1.5820799999999999E-2</v>
      </c>
      <c r="G146" s="275">
        <f t="shared" si="94"/>
        <v>5.9239648015604251E-3</v>
      </c>
      <c r="H146" s="275">
        <f t="shared" si="95"/>
        <v>2.9000000000000001E-2</v>
      </c>
      <c r="I146" s="275">
        <f t="shared" si="96"/>
        <v>5.4663583427018346E-2</v>
      </c>
      <c r="J146" s="275">
        <f t="shared" si="97"/>
        <v>5.9239648015604251E-3</v>
      </c>
    </row>
    <row r="147" spans="2:10">
      <c r="B147" s="222">
        <f t="shared" si="79"/>
        <v>40817</v>
      </c>
      <c r="C147" s="275">
        <f t="shared" si="90"/>
        <v>2.2495200000000003E-2</v>
      </c>
      <c r="D147" s="275">
        <f t="shared" si="91"/>
        <v>2.0023199999999998E-2</v>
      </c>
      <c r="E147" s="275">
        <f t="shared" si="92"/>
        <v>7.0699999999999999E-2</v>
      </c>
      <c r="F147" s="275">
        <f t="shared" si="93"/>
        <v>1.5820799999999999E-2</v>
      </c>
      <c r="G147" s="275">
        <f t="shared" si="94"/>
        <v>5.9239648015604251E-3</v>
      </c>
      <c r="H147" s="275">
        <f t="shared" si="95"/>
        <v>2.9000000000000001E-2</v>
      </c>
      <c r="I147" s="275">
        <f t="shared" si="96"/>
        <v>5.4663583427018346E-2</v>
      </c>
      <c r="J147" s="275">
        <f t="shared" si="97"/>
        <v>5.9239648015604251E-3</v>
      </c>
    </row>
    <row r="148" spans="2:10">
      <c r="B148" s="222">
        <f t="shared" si="79"/>
        <v>40848</v>
      </c>
      <c r="C148" s="275">
        <f t="shared" si="90"/>
        <v>2.2495200000000003E-2</v>
      </c>
      <c r="D148" s="275">
        <f t="shared" si="91"/>
        <v>2.0023199999999998E-2</v>
      </c>
      <c r="E148" s="275">
        <f t="shared" si="92"/>
        <v>7.0699999999999999E-2</v>
      </c>
      <c r="F148" s="275">
        <f t="shared" si="93"/>
        <v>1.5820799999999999E-2</v>
      </c>
      <c r="G148" s="275">
        <f t="shared" si="94"/>
        <v>5.9239648015604251E-3</v>
      </c>
      <c r="H148" s="275">
        <f t="shared" si="95"/>
        <v>2.9000000000000001E-2</v>
      </c>
      <c r="I148" s="275">
        <f t="shared" si="96"/>
        <v>5.4663583427018346E-2</v>
      </c>
      <c r="J148" s="275">
        <f t="shared" si="97"/>
        <v>5.9239648015604251E-3</v>
      </c>
    </row>
    <row r="149" spans="2:10">
      <c r="B149" s="222">
        <f t="shared" si="79"/>
        <v>40878</v>
      </c>
      <c r="C149" s="275">
        <f t="shared" si="90"/>
        <v>2.2495200000000003E-2</v>
      </c>
      <c r="D149" s="275">
        <f t="shared" si="91"/>
        <v>2.0023199999999998E-2</v>
      </c>
      <c r="E149" s="275">
        <f t="shared" si="92"/>
        <v>7.0699999999999999E-2</v>
      </c>
      <c r="F149" s="275">
        <f t="shared" si="93"/>
        <v>1.5820799999999999E-2</v>
      </c>
      <c r="G149" s="275">
        <f t="shared" si="94"/>
        <v>5.9239648015604251E-3</v>
      </c>
      <c r="H149" s="275">
        <f t="shared" si="95"/>
        <v>2.9000000000000001E-2</v>
      </c>
      <c r="I149" s="275">
        <f t="shared" si="96"/>
        <v>5.4663583427018346E-2</v>
      </c>
      <c r="J149" s="275">
        <f t="shared" si="97"/>
        <v>5.9239648015604251E-3</v>
      </c>
    </row>
    <row r="150" spans="2:10">
      <c r="B150" s="222">
        <f t="shared" si="79"/>
        <v>40909</v>
      </c>
      <c r="C150" s="278">
        <f t="shared" ref="C150:J150" si="98">C149*C319</f>
        <v>2.2495200000000003E-2</v>
      </c>
      <c r="D150" s="278">
        <f t="shared" si="98"/>
        <v>2.0023199999999998E-2</v>
      </c>
      <c r="E150" s="278">
        <f t="shared" si="98"/>
        <v>7.0699999999999999E-2</v>
      </c>
      <c r="F150" s="278">
        <f t="shared" si="98"/>
        <v>1.5820799999999999E-2</v>
      </c>
      <c r="G150" s="278">
        <f t="shared" si="98"/>
        <v>6.0424440975916337E-3</v>
      </c>
      <c r="H150" s="278">
        <f t="shared" si="98"/>
        <v>2.9000000000000001E-2</v>
      </c>
      <c r="I150" s="278">
        <f t="shared" si="98"/>
        <v>5.5756855095558715E-2</v>
      </c>
      <c r="J150" s="278">
        <f t="shared" si="98"/>
        <v>6.0424440975916337E-3</v>
      </c>
    </row>
    <row r="151" spans="2:10">
      <c r="B151" s="222">
        <f t="shared" si="79"/>
        <v>40940</v>
      </c>
      <c r="C151" s="275">
        <f t="shared" ref="C151:C161" si="99">C150</f>
        <v>2.2495200000000003E-2</v>
      </c>
      <c r="D151" s="275">
        <f t="shared" ref="D151:D161" si="100">D150</f>
        <v>2.0023199999999998E-2</v>
      </c>
      <c r="E151" s="275">
        <f t="shared" ref="E151:E161" si="101">E150</f>
        <v>7.0699999999999999E-2</v>
      </c>
      <c r="F151" s="275">
        <f t="shared" ref="F151:F161" si="102">F150</f>
        <v>1.5820799999999999E-2</v>
      </c>
      <c r="G151" s="275">
        <f t="shared" ref="G151:G161" si="103">G150</f>
        <v>6.0424440975916337E-3</v>
      </c>
      <c r="H151" s="275">
        <f t="shared" ref="H151:H161" si="104">H150</f>
        <v>2.9000000000000001E-2</v>
      </c>
      <c r="I151" s="275">
        <f t="shared" ref="I151:I161" si="105">I150</f>
        <v>5.5756855095558715E-2</v>
      </c>
      <c r="J151" s="275">
        <f t="shared" ref="J151:J161" si="106">J150</f>
        <v>6.0424440975916337E-3</v>
      </c>
    </row>
    <row r="152" spans="2:10">
      <c r="B152" s="222">
        <f t="shared" ref="B152:B186" si="107">EDATE(B151,1)</f>
        <v>40969</v>
      </c>
      <c r="C152" s="275">
        <f t="shared" si="99"/>
        <v>2.2495200000000003E-2</v>
      </c>
      <c r="D152" s="275">
        <f t="shared" si="100"/>
        <v>2.0023199999999998E-2</v>
      </c>
      <c r="E152" s="275">
        <f t="shared" si="101"/>
        <v>7.0699999999999999E-2</v>
      </c>
      <c r="F152" s="275">
        <f t="shared" si="102"/>
        <v>1.5820799999999999E-2</v>
      </c>
      <c r="G152" s="275">
        <f t="shared" si="103"/>
        <v>6.0424440975916337E-3</v>
      </c>
      <c r="H152" s="275">
        <f t="shared" si="104"/>
        <v>2.9000000000000001E-2</v>
      </c>
      <c r="I152" s="275">
        <f t="shared" si="105"/>
        <v>5.5756855095558715E-2</v>
      </c>
      <c r="J152" s="275">
        <f t="shared" si="106"/>
        <v>6.0424440975916337E-3</v>
      </c>
    </row>
    <row r="153" spans="2:10">
      <c r="B153" s="222">
        <f t="shared" si="107"/>
        <v>41000</v>
      </c>
      <c r="C153" s="275">
        <f t="shared" si="99"/>
        <v>2.2495200000000003E-2</v>
      </c>
      <c r="D153" s="275">
        <f t="shared" si="100"/>
        <v>2.0023199999999998E-2</v>
      </c>
      <c r="E153" s="275">
        <f t="shared" si="101"/>
        <v>7.0699999999999999E-2</v>
      </c>
      <c r="F153" s="275">
        <f t="shared" si="102"/>
        <v>1.5820799999999999E-2</v>
      </c>
      <c r="G153" s="275">
        <f t="shared" si="103"/>
        <v>6.0424440975916337E-3</v>
      </c>
      <c r="H153" s="275">
        <f t="shared" si="104"/>
        <v>2.9000000000000001E-2</v>
      </c>
      <c r="I153" s="275">
        <f t="shared" si="105"/>
        <v>5.5756855095558715E-2</v>
      </c>
      <c r="J153" s="275">
        <f t="shared" si="106"/>
        <v>6.0424440975916337E-3</v>
      </c>
    </row>
    <row r="154" spans="2:10">
      <c r="B154" s="222">
        <f t="shared" si="107"/>
        <v>41030</v>
      </c>
      <c r="C154" s="275">
        <f t="shared" si="99"/>
        <v>2.2495200000000003E-2</v>
      </c>
      <c r="D154" s="275">
        <f t="shared" si="100"/>
        <v>2.0023199999999998E-2</v>
      </c>
      <c r="E154" s="275">
        <f t="shared" si="101"/>
        <v>7.0699999999999999E-2</v>
      </c>
      <c r="F154" s="275">
        <f t="shared" si="102"/>
        <v>1.5820799999999999E-2</v>
      </c>
      <c r="G154" s="275">
        <f t="shared" si="103"/>
        <v>6.0424440975916337E-3</v>
      </c>
      <c r="H154" s="275">
        <f t="shared" si="104"/>
        <v>2.9000000000000001E-2</v>
      </c>
      <c r="I154" s="275">
        <f t="shared" si="105"/>
        <v>5.5756855095558715E-2</v>
      </c>
      <c r="J154" s="275">
        <f t="shared" si="106"/>
        <v>6.0424440975916337E-3</v>
      </c>
    </row>
    <row r="155" spans="2:10">
      <c r="B155" s="222">
        <f t="shared" si="107"/>
        <v>41061</v>
      </c>
      <c r="C155" s="275">
        <f t="shared" si="99"/>
        <v>2.2495200000000003E-2</v>
      </c>
      <c r="D155" s="275">
        <f t="shared" si="100"/>
        <v>2.0023199999999998E-2</v>
      </c>
      <c r="E155" s="275">
        <f t="shared" si="101"/>
        <v>7.0699999999999999E-2</v>
      </c>
      <c r="F155" s="275">
        <f t="shared" si="102"/>
        <v>1.5820799999999999E-2</v>
      </c>
      <c r="G155" s="275">
        <f t="shared" si="103"/>
        <v>6.0424440975916337E-3</v>
      </c>
      <c r="H155" s="275">
        <f t="shared" si="104"/>
        <v>2.9000000000000001E-2</v>
      </c>
      <c r="I155" s="275">
        <f t="shared" si="105"/>
        <v>5.5756855095558715E-2</v>
      </c>
      <c r="J155" s="275">
        <f t="shared" si="106"/>
        <v>6.0424440975916337E-3</v>
      </c>
    </row>
    <row r="156" spans="2:10">
      <c r="B156" s="222">
        <f t="shared" si="107"/>
        <v>41091</v>
      </c>
      <c r="C156" s="275">
        <f t="shared" si="99"/>
        <v>2.2495200000000003E-2</v>
      </c>
      <c r="D156" s="275">
        <f t="shared" si="100"/>
        <v>2.0023199999999998E-2</v>
      </c>
      <c r="E156" s="275">
        <f t="shared" si="101"/>
        <v>7.0699999999999999E-2</v>
      </c>
      <c r="F156" s="275">
        <f t="shared" si="102"/>
        <v>1.5820799999999999E-2</v>
      </c>
      <c r="G156" s="275">
        <f t="shared" si="103"/>
        <v>6.0424440975916337E-3</v>
      </c>
      <c r="H156" s="275">
        <f t="shared" si="104"/>
        <v>2.9000000000000001E-2</v>
      </c>
      <c r="I156" s="275">
        <f t="shared" si="105"/>
        <v>5.5756855095558715E-2</v>
      </c>
      <c r="J156" s="275">
        <f t="shared" si="106"/>
        <v>6.0424440975916337E-3</v>
      </c>
    </row>
    <row r="157" spans="2:10">
      <c r="B157" s="222">
        <f t="shared" si="107"/>
        <v>41122</v>
      </c>
      <c r="C157" s="275">
        <f t="shared" si="99"/>
        <v>2.2495200000000003E-2</v>
      </c>
      <c r="D157" s="275">
        <f t="shared" si="100"/>
        <v>2.0023199999999998E-2</v>
      </c>
      <c r="E157" s="275">
        <f t="shared" si="101"/>
        <v>7.0699999999999999E-2</v>
      </c>
      <c r="F157" s="275">
        <f t="shared" si="102"/>
        <v>1.5820799999999999E-2</v>
      </c>
      <c r="G157" s="275">
        <f t="shared" si="103"/>
        <v>6.0424440975916337E-3</v>
      </c>
      <c r="H157" s="275">
        <f t="shared" si="104"/>
        <v>2.9000000000000001E-2</v>
      </c>
      <c r="I157" s="275">
        <f t="shared" si="105"/>
        <v>5.5756855095558715E-2</v>
      </c>
      <c r="J157" s="275">
        <f t="shared" si="106"/>
        <v>6.0424440975916337E-3</v>
      </c>
    </row>
    <row r="158" spans="2:10">
      <c r="B158" s="222">
        <f t="shared" si="107"/>
        <v>41153</v>
      </c>
      <c r="C158" s="275">
        <f t="shared" si="99"/>
        <v>2.2495200000000003E-2</v>
      </c>
      <c r="D158" s="275">
        <f t="shared" si="100"/>
        <v>2.0023199999999998E-2</v>
      </c>
      <c r="E158" s="275">
        <f t="shared" si="101"/>
        <v>7.0699999999999999E-2</v>
      </c>
      <c r="F158" s="275">
        <f t="shared" si="102"/>
        <v>1.5820799999999999E-2</v>
      </c>
      <c r="G158" s="275">
        <f t="shared" si="103"/>
        <v>6.0424440975916337E-3</v>
      </c>
      <c r="H158" s="275">
        <f t="shared" si="104"/>
        <v>2.9000000000000001E-2</v>
      </c>
      <c r="I158" s="275">
        <f t="shared" si="105"/>
        <v>5.5756855095558715E-2</v>
      </c>
      <c r="J158" s="275">
        <f t="shared" si="106"/>
        <v>6.0424440975916337E-3</v>
      </c>
    </row>
    <row r="159" spans="2:10">
      <c r="B159" s="222">
        <f t="shared" si="107"/>
        <v>41183</v>
      </c>
      <c r="C159" s="275">
        <f t="shared" si="99"/>
        <v>2.2495200000000003E-2</v>
      </c>
      <c r="D159" s="275">
        <f t="shared" si="100"/>
        <v>2.0023199999999998E-2</v>
      </c>
      <c r="E159" s="275">
        <f t="shared" si="101"/>
        <v>7.0699999999999999E-2</v>
      </c>
      <c r="F159" s="275">
        <f t="shared" si="102"/>
        <v>1.5820799999999999E-2</v>
      </c>
      <c r="G159" s="275">
        <f t="shared" si="103"/>
        <v>6.0424440975916337E-3</v>
      </c>
      <c r="H159" s="275">
        <f t="shared" si="104"/>
        <v>2.9000000000000001E-2</v>
      </c>
      <c r="I159" s="275">
        <f t="shared" si="105"/>
        <v>5.5756855095558715E-2</v>
      </c>
      <c r="J159" s="275">
        <f t="shared" si="106"/>
        <v>6.0424440975916337E-3</v>
      </c>
    </row>
    <row r="160" spans="2:10">
      <c r="B160" s="222">
        <f t="shared" si="107"/>
        <v>41214</v>
      </c>
      <c r="C160" s="275">
        <f t="shared" si="99"/>
        <v>2.2495200000000003E-2</v>
      </c>
      <c r="D160" s="275">
        <f t="shared" si="100"/>
        <v>2.0023199999999998E-2</v>
      </c>
      <c r="E160" s="275">
        <f t="shared" si="101"/>
        <v>7.0699999999999999E-2</v>
      </c>
      <c r="F160" s="275">
        <f t="shared" si="102"/>
        <v>1.5820799999999999E-2</v>
      </c>
      <c r="G160" s="275">
        <f t="shared" si="103"/>
        <v>6.0424440975916337E-3</v>
      </c>
      <c r="H160" s="275">
        <f t="shared" si="104"/>
        <v>2.9000000000000001E-2</v>
      </c>
      <c r="I160" s="275">
        <f t="shared" si="105"/>
        <v>5.5756855095558715E-2</v>
      </c>
      <c r="J160" s="275">
        <f t="shared" si="106"/>
        <v>6.0424440975916337E-3</v>
      </c>
    </row>
    <row r="161" spans="2:10">
      <c r="B161" s="222">
        <f t="shared" si="107"/>
        <v>41244</v>
      </c>
      <c r="C161" s="275">
        <f t="shared" si="99"/>
        <v>2.2495200000000003E-2</v>
      </c>
      <c r="D161" s="275">
        <f t="shared" si="100"/>
        <v>2.0023199999999998E-2</v>
      </c>
      <c r="E161" s="275">
        <f t="shared" si="101"/>
        <v>7.0699999999999999E-2</v>
      </c>
      <c r="F161" s="275">
        <f t="shared" si="102"/>
        <v>1.5820799999999999E-2</v>
      </c>
      <c r="G161" s="275">
        <f t="shared" si="103"/>
        <v>6.0424440975916337E-3</v>
      </c>
      <c r="H161" s="275">
        <f t="shared" si="104"/>
        <v>2.9000000000000001E-2</v>
      </c>
      <c r="I161" s="275">
        <f t="shared" si="105"/>
        <v>5.5756855095558715E-2</v>
      </c>
      <c r="J161" s="275">
        <f t="shared" si="106"/>
        <v>6.0424440975916337E-3</v>
      </c>
    </row>
    <row r="162" spans="2:10">
      <c r="B162" s="222">
        <f t="shared" si="107"/>
        <v>41275</v>
      </c>
      <c r="C162" s="278">
        <f t="shared" ref="C162:J162" si="108">C161*C331</f>
        <v>2.2495200000000003E-2</v>
      </c>
      <c r="D162" s="278">
        <f t="shared" si="108"/>
        <v>2.0023199999999998E-2</v>
      </c>
      <c r="E162" s="278">
        <f t="shared" si="108"/>
        <v>7.0699999999999999E-2</v>
      </c>
      <c r="F162" s="278">
        <f t="shared" si="108"/>
        <v>1.5820799999999999E-2</v>
      </c>
      <c r="G162" s="278">
        <f t="shared" si="108"/>
        <v>6.1632929795434662E-3</v>
      </c>
      <c r="H162" s="278">
        <f t="shared" si="108"/>
        <v>2.9000000000000001E-2</v>
      </c>
      <c r="I162" s="278">
        <f t="shared" si="108"/>
        <v>5.6871992197469891E-2</v>
      </c>
      <c r="J162" s="278">
        <f t="shared" si="108"/>
        <v>6.1632929795434662E-3</v>
      </c>
    </row>
    <row r="163" spans="2:10">
      <c r="B163" s="222">
        <f t="shared" si="107"/>
        <v>41306</v>
      </c>
      <c r="C163" s="275">
        <f t="shared" ref="C163:C173" si="109">C162</f>
        <v>2.2495200000000003E-2</v>
      </c>
      <c r="D163" s="275">
        <f t="shared" ref="D163:D173" si="110">D162</f>
        <v>2.0023199999999998E-2</v>
      </c>
      <c r="E163" s="275">
        <f t="shared" ref="E163:E173" si="111">E162</f>
        <v>7.0699999999999999E-2</v>
      </c>
      <c r="F163" s="275">
        <f t="shared" ref="F163:F173" si="112">F162</f>
        <v>1.5820799999999999E-2</v>
      </c>
      <c r="G163" s="275">
        <f t="shared" ref="G163:G173" si="113">G162</f>
        <v>6.1632929795434662E-3</v>
      </c>
      <c r="H163" s="275">
        <f t="shared" ref="H163:H173" si="114">H162</f>
        <v>2.9000000000000001E-2</v>
      </c>
      <c r="I163" s="275">
        <f t="shared" ref="I163:I173" si="115">I162</f>
        <v>5.6871992197469891E-2</v>
      </c>
      <c r="J163" s="275">
        <f t="shared" ref="J163:J173" si="116">J162</f>
        <v>6.1632929795434662E-3</v>
      </c>
    </row>
    <row r="164" spans="2:10">
      <c r="B164" s="222">
        <f t="shared" si="107"/>
        <v>41334</v>
      </c>
      <c r="C164" s="275">
        <f t="shared" si="109"/>
        <v>2.2495200000000003E-2</v>
      </c>
      <c r="D164" s="275">
        <f t="shared" si="110"/>
        <v>2.0023199999999998E-2</v>
      </c>
      <c r="E164" s="275">
        <f t="shared" si="111"/>
        <v>7.0699999999999999E-2</v>
      </c>
      <c r="F164" s="275">
        <f t="shared" si="112"/>
        <v>1.5820799999999999E-2</v>
      </c>
      <c r="G164" s="275">
        <f t="shared" si="113"/>
        <v>6.1632929795434662E-3</v>
      </c>
      <c r="H164" s="275">
        <f t="shared" si="114"/>
        <v>2.9000000000000001E-2</v>
      </c>
      <c r="I164" s="275">
        <f t="shared" si="115"/>
        <v>5.6871992197469891E-2</v>
      </c>
      <c r="J164" s="275">
        <f t="shared" si="116"/>
        <v>6.1632929795434662E-3</v>
      </c>
    </row>
    <row r="165" spans="2:10">
      <c r="B165" s="222">
        <f t="shared" si="107"/>
        <v>41365</v>
      </c>
      <c r="C165" s="275">
        <f t="shared" si="109"/>
        <v>2.2495200000000003E-2</v>
      </c>
      <c r="D165" s="275">
        <f t="shared" si="110"/>
        <v>2.0023199999999998E-2</v>
      </c>
      <c r="E165" s="275">
        <f t="shared" si="111"/>
        <v>7.0699999999999999E-2</v>
      </c>
      <c r="F165" s="275">
        <f t="shared" si="112"/>
        <v>1.5820799999999999E-2</v>
      </c>
      <c r="G165" s="275">
        <f t="shared" si="113"/>
        <v>6.1632929795434662E-3</v>
      </c>
      <c r="H165" s="275">
        <f t="shared" si="114"/>
        <v>2.9000000000000001E-2</v>
      </c>
      <c r="I165" s="275">
        <f t="shared" si="115"/>
        <v>5.6871992197469891E-2</v>
      </c>
      <c r="J165" s="275">
        <f t="shared" si="116"/>
        <v>6.1632929795434662E-3</v>
      </c>
    </row>
    <row r="166" spans="2:10">
      <c r="B166" s="222">
        <f t="shared" si="107"/>
        <v>41395</v>
      </c>
      <c r="C166" s="275">
        <f t="shared" si="109"/>
        <v>2.2495200000000003E-2</v>
      </c>
      <c r="D166" s="275">
        <f t="shared" si="110"/>
        <v>2.0023199999999998E-2</v>
      </c>
      <c r="E166" s="275">
        <f t="shared" si="111"/>
        <v>7.0699999999999999E-2</v>
      </c>
      <c r="F166" s="275">
        <f t="shared" si="112"/>
        <v>1.5820799999999999E-2</v>
      </c>
      <c r="G166" s="275">
        <f t="shared" si="113"/>
        <v>6.1632929795434662E-3</v>
      </c>
      <c r="H166" s="275">
        <f t="shared" si="114"/>
        <v>2.9000000000000001E-2</v>
      </c>
      <c r="I166" s="275">
        <f t="shared" si="115"/>
        <v>5.6871992197469891E-2</v>
      </c>
      <c r="J166" s="275">
        <f t="shared" si="116"/>
        <v>6.1632929795434662E-3</v>
      </c>
    </row>
    <row r="167" spans="2:10">
      <c r="B167" s="222">
        <f t="shared" si="107"/>
        <v>41426</v>
      </c>
      <c r="C167" s="275">
        <f t="shared" si="109"/>
        <v>2.2495200000000003E-2</v>
      </c>
      <c r="D167" s="275">
        <f t="shared" si="110"/>
        <v>2.0023199999999998E-2</v>
      </c>
      <c r="E167" s="275">
        <f t="shared" si="111"/>
        <v>7.0699999999999999E-2</v>
      </c>
      <c r="F167" s="275">
        <f t="shared" si="112"/>
        <v>1.5820799999999999E-2</v>
      </c>
      <c r="G167" s="275">
        <f t="shared" si="113"/>
        <v>6.1632929795434662E-3</v>
      </c>
      <c r="H167" s="275">
        <f t="shared" si="114"/>
        <v>2.9000000000000001E-2</v>
      </c>
      <c r="I167" s="275">
        <f t="shared" si="115"/>
        <v>5.6871992197469891E-2</v>
      </c>
      <c r="J167" s="275">
        <f t="shared" si="116"/>
        <v>6.1632929795434662E-3</v>
      </c>
    </row>
    <row r="168" spans="2:10">
      <c r="B168" s="222">
        <f t="shared" si="107"/>
        <v>41456</v>
      </c>
      <c r="C168" s="275">
        <f t="shared" si="109"/>
        <v>2.2495200000000003E-2</v>
      </c>
      <c r="D168" s="275">
        <f t="shared" si="110"/>
        <v>2.0023199999999998E-2</v>
      </c>
      <c r="E168" s="275">
        <f t="shared" si="111"/>
        <v>7.0699999999999999E-2</v>
      </c>
      <c r="F168" s="275">
        <f t="shared" si="112"/>
        <v>1.5820799999999999E-2</v>
      </c>
      <c r="G168" s="275">
        <f t="shared" si="113"/>
        <v>6.1632929795434662E-3</v>
      </c>
      <c r="H168" s="275">
        <f t="shared" si="114"/>
        <v>2.9000000000000001E-2</v>
      </c>
      <c r="I168" s="275">
        <f t="shared" si="115"/>
        <v>5.6871992197469891E-2</v>
      </c>
      <c r="J168" s="275">
        <f t="shared" si="116"/>
        <v>6.1632929795434662E-3</v>
      </c>
    </row>
    <row r="169" spans="2:10">
      <c r="B169" s="222">
        <f t="shared" si="107"/>
        <v>41487</v>
      </c>
      <c r="C169" s="275">
        <f t="shared" si="109"/>
        <v>2.2495200000000003E-2</v>
      </c>
      <c r="D169" s="275">
        <f t="shared" si="110"/>
        <v>2.0023199999999998E-2</v>
      </c>
      <c r="E169" s="275">
        <f t="shared" si="111"/>
        <v>7.0699999999999999E-2</v>
      </c>
      <c r="F169" s="275">
        <f t="shared" si="112"/>
        <v>1.5820799999999999E-2</v>
      </c>
      <c r="G169" s="275">
        <f t="shared" si="113"/>
        <v>6.1632929795434662E-3</v>
      </c>
      <c r="H169" s="275">
        <f t="shared" si="114"/>
        <v>2.9000000000000001E-2</v>
      </c>
      <c r="I169" s="275">
        <f t="shared" si="115"/>
        <v>5.6871992197469891E-2</v>
      </c>
      <c r="J169" s="275">
        <f t="shared" si="116"/>
        <v>6.1632929795434662E-3</v>
      </c>
    </row>
    <row r="170" spans="2:10">
      <c r="B170" s="222">
        <f t="shared" si="107"/>
        <v>41518</v>
      </c>
      <c r="C170" s="275">
        <f t="shared" si="109"/>
        <v>2.2495200000000003E-2</v>
      </c>
      <c r="D170" s="275">
        <f t="shared" si="110"/>
        <v>2.0023199999999998E-2</v>
      </c>
      <c r="E170" s="275">
        <f t="shared" si="111"/>
        <v>7.0699999999999999E-2</v>
      </c>
      <c r="F170" s="275">
        <f t="shared" si="112"/>
        <v>1.5820799999999999E-2</v>
      </c>
      <c r="G170" s="275">
        <f t="shared" si="113"/>
        <v>6.1632929795434662E-3</v>
      </c>
      <c r="H170" s="275">
        <f t="shared" si="114"/>
        <v>2.9000000000000001E-2</v>
      </c>
      <c r="I170" s="275">
        <f t="shared" si="115"/>
        <v>5.6871992197469891E-2</v>
      </c>
      <c r="J170" s="275">
        <f t="shared" si="116"/>
        <v>6.1632929795434662E-3</v>
      </c>
    </row>
    <row r="171" spans="2:10">
      <c r="B171" s="222">
        <f t="shared" si="107"/>
        <v>41548</v>
      </c>
      <c r="C171" s="275">
        <f t="shared" si="109"/>
        <v>2.2495200000000003E-2</v>
      </c>
      <c r="D171" s="275">
        <f t="shared" si="110"/>
        <v>2.0023199999999998E-2</v>
      </c>
      <c r="E171" s="275">
        <f t="shared" si="111"/>
        <v>7.0699999999999999E-2</v>
      </c>
      <c r="F171" s="275">
        <f t="shared" si="112"/>
        <v>1.5820799999999999E-2</v>
      </c>
      <c r="G171" s="275">
        <f t="shared" si="113"/>
        <v>6.1632929795434662E-3</v>
      </c>
      <c r="H171" s="275">
        <f t="shared" si="114"/>
        <v>2.9000000000000001E-2</v>
      </c>
      <c r="I171" s="275">
        <f t="shared" si="115"/>
        <v>5.6871992197469891E-2</v>
      </c>
      <c r="J171" s="275">
        <f t="shared" si="116"/>
        <v>6.1632929795434662E-3</v>
      </c>
    </row>
    <row r="172" spans="2:10">
      <c r="B172" s="222">
        <f t="shared" si="107"/>
        <v>41579</v>
      </c>
      <c r="C172" s="275">
        <f t="shared" si="109"/>
        <v>2.2495200000000003E-2</v>
      </c>
      <c r="D172" s="275">
        <f t="shared" si="110"/>
        <v>2.0023199999999998E-2</v>
      </c>
      <c r="E172" s="275">
        <f t="shared" si="111"/>
        <v>7.0699999999999999E-2</v>
      </c>
      <c r="F172" s="275">
        <f t="shared" si="112"/>
        <v>1.5820799999999999E-2</v>
      </c>
      <c r="G172" s="275">
        <f t="shared" si="113"/>
        <v>6.1632929795434662E-3</v>
      </c>
      <c r="H172" s="275">
        <f t="shared" si="114"/>
        <v>2.9000000000000001E-2</v>
      </c>
      <c r="I172" s="275">
        <f t="shared" si="115"/>
        <v>5.6871992197469891E-2</v>
      </c>
      <c r="J172" s="275">
        <f t="shared" si="116"/>
        <v>6.1632929795434662E-3</v>
      </c>
    </row>
    <row r="173" spans="2:10">
      <c r="B173" s="222">
        <f t="shared" si="107"/>
        <v>41609</v>
      </c>
      <c r="C173" s="275">
        <f t="shared" si="109"/>
        <v>2.2495200000000003E-2</v>
      </c>
      <c r="D173" s="275">
        <f t="shared" si="110"/>
        <v>2.0023199999999998E-2</v>
      </c>
      <c r="E173" s="275">
        <f t="shared" si="111"/>
        <v>7.0699999999999999E-2</v>
      </c>
      <c r="F173" s="275">
        <f t="shared" si="112"/>
        <v>1.5820799999999999E-2</v>
      </c>
      <c r="G173" s="275">
        <f t="shared" si="113"/>
        <v>6.1632929795434662E-3</v>
      </c>
      <c r="H173" s="275">
        <f t="shared" si="114"/>
        <v>2.9000000000000001E-2</v>
      </c>
      <c r="I173" s="275">
        <f t="shared" si="115"/>
        <v>5.6871992197469891E-2</v>
      </c>
      <c r="J173" s="275">
        <f t="shared" si="116"/>
        <v>6.1632929795434662E-3</v>
      </c>
    </row>
    <row r="174" spans="2:10">
      <c r="B174" s="222">
        <f t="shared" si="107"/>
        <v>41640</v>
      </c>
      <c r="C174" s="278">
        <f t="shared" ref="C174:J174" si="117">C173*C343</f>
        <v>2.2495200000000003E-2</v>
      </c>
      <c r="D174" s="278">
        <f t="shared" si="117"/>
        <v>2.0023199999999998E-2</v>
      </c>
      <c r="E174" s="278">
        <f t="shared" si="117"/>
        <v>7.0699999999999999E-2</v>
      </c>
      <c r="F174" s="278">
        <f t="shared" si="117"/>
        <v>1.5820799999999999E-2</v>
      </c>
      <c r="G174" s="278">
        <f t="shared" si="117"/>
        <v>6.2865588391343361E-3</v>
      </c>
      <c r="H174" s="278">
        <f t="shared" si="117"/>
        <v>2.9000000000000001E-2</v>
      </c>
      <c r="I174" s="278">
        <f t="shared" si="117"/>
        <v>5.8009432041419291E-2</v>
      </c>
      <c r="J174" s="278">
        <f t="shared" si="117"/>
        <v>6.2865588391343361E-3</v>
      </c>
    </row>
    <row r="175" spans="2:10">
      <c r="B175" s="222">
        <f t="shared" si="107"/>
        <v>41671</v>
      </c>
      <c r="C175" s="275">
        <f t="shared" ref="C175:C185" si="118">C174</f>
        <v>2.2495200000000003E-2</v>
      </c>
      <c r="D175" s="275">
        <f t="shared" ref="D175:D185" si="119">D174</f>
        <v>2.0023199999999998E-2</v>
      </c>
      <c r="E175" s="275">
        <f t="shared" ref="E175:E185" si="120">E174</f>
        <v>7.0699999999999999E-2</v>
      </c>
      <c r="F175" s="275">
        <f t="shared" ref="F175:F185" si="121">F174</f>
        <v>1.5820799999999999E-2</v>
      </c>
      <c r="G175" s="275">
        <f t="shared" ref="G175:G185" si="122">G174</f>
        <v>6.2865588391343361E-3</v>
      </c>
      <c r="H175" s="275">
        <f t="shared" ref="H175:H185" si="123">H174</f>
        <v>2.9000000000000001E-2</v>
      </c>
      <c r="I175" s="275">
        <f t="shared" ref="I175:I185" si="124">I174</f>
        <v>5.8009432041419291E-2</v>
      </c>
      <c r="J175" s="275">
        <f t="shared" ref="J175:J185" si="125">J174</f>
        <v>6.2865588391343361E-3</v>
      </c>
    </row>
    <row r="176" spans="2:10">
      <c r="B176" s="222">
        <f t="shared" si="107"/>
        <v>41699</v>
      </c>
      <c r="C176" s="275">
        <f t="shared" si="118"/>
        <v>2.2495200000000003E-2</v>
      </c>
      <c r="D176" s="275">
        <f t="shared" si="119"/>
        <v>2.0023199999999998E-2</v>
      </c>
      <c r="E176" s="275">
        <f t="shared" si="120"/>
        <v>7.0699999999999999E-2</v>
      </c>
      <c r="F176" s="275">
        <f t="shared" si="121"/>
        <v>1.5820799999999999E-2</v>
      </c>
      <c r="G176" s="275">
        <f t="shared" si="122"/>
        <v>6.2865588391343361E-3</v>
      </c>
      <c r="H176" s="275">
        <f t="shared" si="123"/>
        <v>2.9000000000000001E-2</v>
      </c>
      <c r="I176" s="275">
        <f t="shared" si="124"/>
        <v>5.8009432041419291E-2</v>
      </c>
      <c r="J176" s="275">
        <f t="shared" si="125"/>
        <v>6.2865588391343361E-3</v>
      </c>
    </row>
    <row r="177" spans="2:10">
      <c r="B177" s="222">
        <f t="shared" si="107"/>
        <v>41730</v>
      </c>
      <c r="C177" s="275">
        <f t="shared" si="118"/>
        <v>2.2495200000000003E-2</v>
      </c>
      <c r="D177" s="275">
        <f t="shared" si="119"/>
        <v>2.0023199999999998E-2</v>
      </c>
      <c r="E177" s="275">
        <f t="shared" si="120"/>
        <v>7.0699999999999999E-2</v>
      </c>
      <c r="F177" s="275">
        <f t="shared" si="121"/>
        <v>1.5820799999999999E-2</v>
      </c>
      <c r="G177" s="275">
        <f t="shared" si="122"/>
        <v>6.2865588391343361E-3</v>
      </c>
      <c r="H177" s="275">
        <f t="shared" si="123"/>
        <v>2.9000000000000001E-2</v>
      </c>
      <c r="I177" s="275">
        <f t="shared" si="124"/>
        <v>5.8009432041419291E-2</v>
      </c>
      <c r="J177" s="275">
        <f t="shared" si="125"/>
        <v>6.2865588391343361E-3</v>
      </c>
    </row>
    <row r="178" spans="2:10">
      <c r="B178" s="222">
        <f t="shared" si="107"/>
        <v>41760</v>
      </c>
      <c r="C178" s="275">
        <f t="shared" si="118"/>
        <v>2.2495200000000003E-2</v>
      </c>
      <c r="D178" s="275">
        <f t="shared" si="119"/>
        <v>2.0023199999999998E-2</v>
      </c>
      <c r="E178" s="275">
        <f t="shared" si="120"/>
        <v>7.0699999999999999E-2</v>
      </c>
      <c r="F178" s="275">
        <f t="shared" si="121"/>
        <v>1.5820799999999999E-2</v>
      </c>
      <c r="G178" s="275">
        <f t="shared" si="122"/>
        <v>6.2865588391343361E-3</v>
      </c>
      <c r="H178" s="275">
        <f t="shared" si="123"/>
        <v>2.9000000000000001E-2</v>
      </c>
      <c r="I178" s="275">
        <f t="shared" si="124"/>
        <v>5.8009432041419291E-2</v>
      </c>
      <c r="J178" s="275">
        <f t="shared" si="125"/>
        <v>6.2865588391343361E-3</v>
      </c>
    </row>
    <row r="179" spans="2:10">
      <c r="B179" s="222">
        <f t="shared" si="107"/>
        <v>41791</v>
      </c>
      <c r="C179" s="275">
        <f t="shared" si="118"/>
        <v>2.2495200000000003E-2</v>
      </c>
      <c r="D179" s="275">
        <f t="shared" si="119"/>
        <v>2.0023199999999998E-2</v>
      </c>
      <c r="E179" s="275">
        <f t="shared" si="120"/>
        <v>7.0699999999999999E-2</v>
      </c>
      <c r="F179" s="275">
        <f t="shared" si="121"/>
        <v>1.5820799999999999E-2</v>
      </c>
      <c r="G179" s="275">
        <f t="shared" si="122"/>
        <v>6.2865588391343361E-3</v>
      </c>
      <c r="H179" s="275">
        <f t="shared" si="123"/>
        <v>2.9000000000000001E-2</v>
      </c>
      <c r="I179" s="275">
        <f t="shared" si="124"/>
        <v>5.8009432041419291E-2</v>
      </c>
      <c r="J179" s="275">
        <f t="shared" si="125"/>
        <v>6.2865588391343361E-3</v>
      </c>
    </row>
    <row r="180" spans="2:10">
      <c r="B180" s="222">
        <f t="shared" si="107"/>
        <v>41821</v>
      </c>
      <c r="C180" s="275">
        <f t="shared" si="118"/>
        <v>2.2495200000000003E-2</v>
      </c>
      <c r="D180" s="275">
        <f t="shared" si="119"/>
        <v>2.0023199999999998E-2</v>
      </c>
      <c r="E180" s="275">
        <f t="shared" si="120"/>
        <v>7.0699999999999999E-2</v>
      </c>
      <c r="F180" s="275">
        <f t="shared" si="121"/>
        <v>1.5820799999999999E-2</v>
      </c>
      <c r="G180" s="275">
        <f t="shared" si="122"/>
        <v>6.2865588391343361E-3</v>
      </c>
      <c r="H180" s="275">
        <f t="shared" si="123"/>
        <v>2.9000000000000001E-2</v>
      </c>
      <c r="I180" s="275">
        <f t="shared" si="124"/>
        <v>5.8009432041419291E-2</v>
      </c>
      <c r="J180" s="275">
        <f t="shared" si="125"/>
        <v>6.2865588391343361E-3</v>
      </c>
    </row>
    <row r="181" spans="2:10">
      <c r="B181" s="222">
        <f t="shared" si="107"/>
        <v>41852</v>
      </c>
      <c r="C181" s="275">
        <f t="shared" si="118"/>
        <v>2.2495200000000003E-2</v>
      </c>
      <c r="D181" s="275">
        <f t="shared" si="119"/>
        <v>2.0023199999999998E-2</v>
      </c>
      <c r="E181" s="275">
        <f t="shared" si="120"/>
        <v>7.0699999999999999E-2</v>
      </c>
      <c r="F181" s="275">
        <f t="shared" si="121"/>
        <v>1.5820799999999999E-2</v>
      </c>
      <c r="G181" s="275">
        <f t="shared" si="122"/>
        <v>6.2865588391343361E-3</v>
      </c>
      <c r="H181" s="275">
        <f t="shared" si="123"/>
        <v>2.9000000000000001E-2</v>
      </c>
      <c r="I181" s="275">
        <f t="shared" si="124"/>
        <v>5.8009432041419291E-2</v>
      </c>
      <c r="J181" s="275">
        <f t="shared" si="125"/>
        <v>6.2865588391343361E-3</v>
      </c>
    </row>
    <row r="182" spans="2:10">
      <c r="B182" s="222">
        <f t="shared" si="107"/>
        <v>41883</v>
      </c>
      <c r="C182" s="275">
        <f t="shared" si="118"/>
        <v>2.2495200000000003E-2</v>
      </c>
      <c r="D182" s="275">
        <f t="shared" si="119"/>
        <v>2.0023199999999998E-2</v>
      </c>
      <c r="E182" s="275">
        <f t="shared" si="120"/>
        <v>7.0699999999999999E-2</v>
      </c>
      <c r="F182" s="275">
        <f t="shared" si="121"/>
        <v>1.5820799999999999E-2</v>
      </c>
      <c r="G182" s="275">
        <f t="shared" si="122"/>
        <v>6.2865588391343361E-3</v>
      </c>
      <c r="H182" s="275">
        <f t="shared" si="123"/>
        <v>2.9000000000000001E-2</v>
      </c>
      <c r="I182" s="275">
        <f t="shared" si="124"/>
        <v>5.8009432041419291E-2</v>
      </c>
      <c r="J182" s="275">
        <f t="shared" si="125"/>
        <v>6.2865588391343361E-3</v>
      </c>
    </row>
    <row r="183" spans="2:10">
      <c r="B183" s="222">
        <f t="shared" si="107"/>
        <v>41913</v>
      </c>
      <c r="C183" s="275">
        <f t="shared" si="118"/>
        <v>2.2495200000000003E-2</v>
      </c>
      <c r="D183" s="275">
        <f t="shared" si="119"/>
        <v>2.0023199999999998E-2</v>
      </c>
      <c r="E183" s="275">
        <f t="shared" si="120"/>
        <v>7.0699999999999999E-2</v>
      </c>
      <c r="F183" s="275">
        <f t="shared" si="121"/>
        <v>1.5820799999999999E-2</v>
      </c>
      <c r="G183" s="275">
        <f t="shared" si="122"/>
        <v>6.2865588391343361E-3</v>
      </c>
      <c r="H183" s="275">
        <f t="shared" si="123"/>
        <v>2.9000000000000001E-2</v>
      </c>
      <c r="I183" s="275">
        <f t="shared" si="124"/>
        <v>5.8009432041419291E-2</v>
      </c>
      <c r="J183" s="275">
        <f t="shared" si="125"/>
        <v>6.2865588391343361E-3</v>
      </c>
    </row>
    <row r="184" spans="2:10">
      <c r="B184" s="222">
        <f t="shared" si="107"/>
        <v>41944</v>
      </c>
      <c r="C184" s="275">
        <f t="shared" si="118"/>
        <v>2.2495200000000003E-2</v>
      </c>
      <c r="D184" s="275">
        <f t="shared" si="119"/>
        <v>2.0023199999999998E-2</v>
      </c>
      <c r="E184" s="275">
        <f t="shared" si="120"/>
        <v>7.0699999999999999E-2</v>
      </c>
      <c r="F184" s="275">
        <f t="shared" si="121"/>
        <v>1.5820799999999999E-2</v>
      </c>
      <c r="G184" s="275">
        <f t="shared" si="122"/>
        <v>6.2865588391343361E-3</v>
      </c>
      <c r="H184" s="275">
        <f t="shared" si="123"/>
        <v>2.9000000000000001E-2</v>
      </c>
      <c r="I184" s="275">
        <f t="shared" si="124"/>
        <v>5.8009432041419291E-2</v>
      </c>
      <c r="J184" s="275">
        <f t="shared" si="125"/>
        <v>6.2865588391343361E-3</v>
      </c>
    </row>
    <row r="185" spans="2:10">
      <c r="B185" s="222">
        <f t="shared" si="107"/>
        <v>41974</v>
      </c>
      <c r="C185" s="275">
        <f t="shared" si="118"/>
        <v>2.2495200000000003E-2</v>
      </c>
      <c r="D185" s="275">
        <f t="shared" si="119"/>
        <v>2.0023199999999998E-2</v>
      </c>
      <c r="E185" s="275">
        <f t="shared" si="120"/>
        <v>7.0699999999999999E-2</v>
      </c>
      <c r="F185" s="275">
        <f t="shared" si="121"/>
        <v>1.5820799999999999E-2</v>
      </c>
      <c r="G185" s="275">
        <f t="shared" si="122"/>
        <v>6.2865588391343361E-3</v>
      </c>
      <c r="H185" s="275">
        <f t="shared" si="123"/>
        <v>2.9000000000000001E-2</v>
      </c>
      <c r="I185" s="275">
        <f t="shared" si="124"/>
        <v>5.8009432041419291E-2</v>
      </c>
      <c r="J185" s="275">
        <f t="shared" si="125"/>
        <v>6.2865588391343361E-3</v>
      </c>
    </row>
    <row r="186" spans="2:10">
      <c r="B186" s="222">
        <f t="shared" si="107"/>
        <v>42005</v>
      </c>
    </row>
    <row r="187" spans="2:10">
      <c r="B187" s="222"/>
    </row>
    <row r="188" spans="2:10">
      <c r="B188" s="222"/>
    </row>
    <row r="189" spans="2:10">
      <c r="B189" s="222"/>
    </row>
    <row r="190" spans="2:10" ht="25.5">
      <c r="B190" s="270"/>
      <c r="C190" s="270" t="s">
        <v>219</v>
      </c>
      <c r="D190" s="270" t="s">
        <v>208</v>
      </c>
      <c r="E190" s="270" t="s">
        <v>220</v>
      </c>
      <c r="F190" s="270" t="s">
        <v>221</v>
      </c>
      <c r="G190" s="270" t="s">
        <v>222</v>
      </c>
      <c r="H190" s="270" t="s">
        <v>214</v>
      </c>
      <c r="I190" s="270" t="s">
        <v>213</v>
      </c>
      <c r="J190" s="270" t="s">
        <v>223</v>
      </c>
    </row>
    <row r="191" spans="2:10">
      <c r="C191" s="273" t="s">
        <v>227</v>
      </c>
      <c r="D191" s="273" t="s">
        <v>228</v>
      </c>
      <c r="E191" s="273" t="s">
        <v>229</v>
      </c>
      <c r="F191" s="273" t="s">
        <v>230</v>
      </c>
      <c r="G191" s="273" t="s">
        <v>232</v>
      </c>
      <c r="H191" s="273" t="s">
        <v>231</v>
      </c>
      <c r="I191" s="273" t="s">
        <v>232</v>
      </c>
      <c r="J191" s="273" t="s">
        <v>232</v>
      </c>
    </row>
    <row r="192" spans="2:10">
      <c r="B192" s="222">
        <f>B23</f>
        <v>37043</v>
      </c>
    </row>
    <row r="193" spans="2:10">
      <c r="B193" s="222">
        <f t="shared" ref="B193:B256" si="126">B24</f>
        <v>37073</v>
      </c>
    </row>
    <row r="194" spans="2:10">
      <c r="B194" s="222">
        <f t="shared" si="126"/>
        <v>37104</v>
      </c>
    </row>
    <row r="195" spans="2:10">
      <c r="B195" s="222">
        <f t="shared" si="126"/>
        <v>37135</v>
      </c>
    </row>
    <row r="196" spans="2:10">
      <c r="B196" s="222">
        <f t="shared" si="126"/>
        <v>37165</v>
      </c>
    </row>
    <row r="197" spans="2:10">
      <c r="B197" s="222">
        <f t="shared" si="126"/>
        <v>37196</v>
      </c>
    </row>
    <row r="198" spans="2:10">
      <c r="B198" s="222">
        <f t="shared" si="126"/>
        <v>37226</v>
      </c>
    </row>
    <row r="199" spans="2:10">
      <c r="B199" s="222">
        <f t="shared" si="126"/>
        <v>37257</v>
      </c>
      <c r="C199" s="274">
        <f>VLOOKUP($B199,$B$4:$I$16,MATCH(C$191,$B$3:$I$3,0))</f>
        <v>1</v>
      </c>
      <c r="D199" s="274">
        <f t="shared" ref="D199:J199" si="127">VLOOKUP($B199,$B$4:$I$16,MATCH(D$191,$B$3:$I$3,0))</f>
        <v>1</v>
      </c>
      <c r="E199" s="274">
        <f t="shared" si="127"/>
        <v>1</v>
      </c>
      <c r="F199" s="274">
        <f t="shared" si="127"/>
        <v>1</v>
      </c>
      <c r="G199" s="274">
        <f t="shared" si="127"/>
        <v>1.052</v>
      </c>
      <c r="H199" s="274">
        <f t="shared" si="127"/>
        <v>1</v>
      </c>
      <c r="I199" s="274">
        <f t="shared" si="127"/>
        <v>1.052</v>
      </c>
      <c r="J199" s="274">
        <f t="shared" si="127"/>
        <v>1.052</v>
      </c>
    </row>
    <row r="200" spans="2:10">
      <c r="B200" s="222">
        <f t="shared" si="126"/>
        <v>37288</v>
      </c>
    </row>
    <row r="201" spans="2:10">
      <c r="B201" s="222">
        <f t="shared" si="126"/>
        <v>37316</v>
      </c>
    </row>
    <row r="202" spans="2:10">
      <c r="B202" s="222">
        <f t="shared" si="126"/>
        <v>37347</v>
      </c>
    </row>
    <row r="203" spans="2:10">
      <c r="B203" s="222">
        <f t="shared" si="126"/>
        <v>37377</v>
      </c>
    </row>
    <row r="204" spans="2:10">
      <c r="B204" s="222">
        <f t="shared" si="126"/>
        <v>37408</v>
      </c>
    </row>
    <row r="205" spans="2:10">
      <c r="B205" s="222">
        <f t="shared" si="126"/>
        <v>37438</v>
      </c>
    </row>
    <row r="206" spans="2:10">
      <c r="B206" s="222">
        <f t="shared" si="126"/>
        <v>37469</v>
      </c>
    </row>
    <row r="207" spans="2:10">
      <c r="B207" s="222">
        <f t="shared" si="126"/>
        <v>37500</v>
      </c>
    </row>
    <row r="208" spans="2:10">
      <c r="B208" s="222">
        <f t="shared" si="126"/>
        <v>37530</v>
      </c>
    </row>
    <row r="209" spans="2:10">
      <c r="B209" s="222">
        <f t="shared" si="126"/>
        <v>37561</v>
      </c>
    </row>
    <row r="210" spans="2:10">
      <c r="B210" s="222">
        <f t="shared" si="126"/>
        <v>37591</v>
      </c>
    </row>
    <row r="211" spans="2:10">
      <c r="B211" s="222">
        <f t="shared" si="126"/>
        <v>37622</v>
      </c>
      <c r="C211" s="274">
        <f>VLOOKUP($B211,$B$4:$I$16,MATCH(C$191,$B$3:$I$3,0))</f>
        <v>1.03</v>
      </c>
      <c r="D211" s="274">
        <f t="shared" ref="D211:J211" si="128">VLOOKUP($B211,$B$4:$I$16,MATCH(D$191,$B$3:$I$3,0))</f>
        <v>1.03</v>
      </c>
      <c r="E211" s="274">
        <f t="shared" si="128"/>
        <v>1</v>
      </c>
      <c r="F211" s="274">
        <f t="shared" si="128"/>
        <v>1</v>
      </c>
      <c r="G211" s="274">
        <f t="shared" si="128"/>
        <v>1.3</v>
      </c>
      <c r="H211" s="274">
        <f t="shared" si="128"/>
        <v>1</v>
      </c>
      <c r="I211" s="274">
        <f t="shared" si="128"/>
        <v>1.3</v>
      </c>
      <c r="J211" s="274">
        <f t="shared" si="128"/>
        <v>1.3</v>
      </c>
    </row>
    <row r="212" spans="2:10">
      <c r="B212" s="222">
        <f t="shared" si="126"/>
        <v>37653</v>
      </c>
    </row>
    <row r="213" spans="2:10">
      <c r="B213" s="222">
        <f t="shared" si="126"/>
        <v>37681</v>
      </c>
    </row>
    <row r="214" spans="2:10">
      <c r="B214" s="222">
        <f t="shared" si="126"/>
        <v>37712</v>
      </c>
    </row>
    <row r="215" spans="2:10">
      <c r="B215" s="222">
        <f t="shared" si="126"/>
        <v>37742</v>
      </c>
    </row>
    <row r="216" spans="2:10">
      <c r="B216" s="222">
        <f t="shared" si="126"/>
        <v>37773</v>
      </c>
    </row>
    <row r="217" spans="2:10">
      <c r="B217" s="222">
        <f t="shared" si="126"/>
        <v>37803</v>
      </c>
    </row>
    <row r="218" spans="2:10">
      <c r="B218" s="222">
        <f t="shared" si="126"/>
        <v>37834</v>
      </c>
    </row>
    <row r="219" spans="2:10">
      <c r="B219" s="222">
        <f t="shared" si="126"/>
        <v>37865</v>
      </c>
    </row>
    <row r="220" spans="2:10">
      <c r="B220" s="222">
        <f t="shared" si="126"/>
        <v>37895</v>
      </c>
    </row>
    <row r="221" spans="2:10">
      <c r="B221" s="222">
        <f t="shared" si="126"/>
        <v>37926</v>
      </c>
    </row>
    <row r="222" spans="2:10">
      <c r="B222" s="222">
        <f t="shared" si="126"/>
        <v>37956</v>
      </c>
    </row>
    <row r="223" spans="2:10">
      <c r="B223" s="222">
        <f t="shared" si="126"/>
        <v>37987</v>
      </c>
      <c r="C223" s="274">
        <f>VLOOKUP($B223,$B$4:$I$16,MATCH(C$191,$B$3:$I$3,0))</f>
        <v>1.2</v>
      </c>
      <c r="D223" s="274">
        <f t="shared" ref="D223:J223" si="129">VLOOKUP($B223,$B$4:$I$16,MATCH(D$191,$B$3:$I$3,0))</f>
        <v>1.2</v>
      </c>
      <c r="E223" s="274">
        <f t="shared" si="129"/>
        <v>1</v>
      </c>
      <c r="F223" s="274">
        <f t="shared" si="129"/>
        <v>1</v>
      </c>
      <c r="G223" s="274">
        <f t="shared" si="129"/>
        <v>1.02</v>
      </c>
      <c r="H223" s="274">
        <f t="shared" si="129"/>
        <v>1</v>
      </c>
      <c r="I223" s="274">
        <f t="shared" si="129"/>
        <v>1.02</v>
      </c>
      <c r="J223" s="274">
        <f t="shared" si="129"/>
        <v>1.02</v>
      </c>
    </row>
    <row r="224" spans="2:10">
      <c r="B224" s="222">
        <f t="shared" si="126"/>
        <v>38018</v>
      </c>
    </row>
    <row r="225" spans="2:10">
      <c r="B225" s="222">
        <f t="shared" si="126"/>
        <v>38047</v>
      </c>
    </row>
    <row r="226" spans="2:10">
      <c r="B226" s="222">
        <f t="shared" si="126"/>
        <v>38078</v>
      </c>
    </row>
    <row r="227" spans="2:10">
      <c r="B227" s="222">
        <f t="shared" si="126"/>
        <v>38108</v>
      </c>
    </row>
    <row r="228" spans="2:10">
      <c r="B228" s="222">
        <f t="shared" si="126"/>
        <v>38139</v>
      </c>
    </row>
    <row r="229" spans="2:10">
      <c r="B229" s="222">
        <f t="shared" si="126"/>
        <v>38169</v>
      </c>
    </row>
    <row r="230" spans="2:10">
      <c r="B230" s="222">
        <f t="shared" si="126"/>
        <v>38200</v>
      </c>
    </row>
    <row r="231" spans="2:10">
      <c r="B231" s="222">
        <f t="shared" si="126"/>
        <v>38231</v>
      </c>
    </row>
    <row r="232" spans="2:10">
      <c r="B232" s="222">
        <f t="shared" si="126"/>
        <v>38261</v>
      </c>
    </row>
    <row r="233" spans="2:10">
      <c r="B233" s="222">
        <f t="shared" si="126"/>
        <v>38292</v>
      </c>
    </row>
    <row r="234" spans="2:10">
      <c r="B234" s="222">
        <f t="shared" si="126"/>
        <v>38322</v>
      </c>
    </row>
    <row r="235" spans="2:10">
      <c r="B235" s="222">
        <f t="shared" si="126"/>
        <v>38353</v>
      </c>
      <c r="C235" s="274">
        <f>VLOOKUP($B235,$B$4:$I$16,MATCH(C$191,$B$3:$I$3,0))</f>
        <v>1</v>
      </c>
      <c r="D235" s="274">
        <f t="shared" ref="D235:J235" si="130">VLOOKUP($B235,$B$4:$I$16,MATCH(D$191,$B$3:$I$3,0))</f>
        <v>1</v>
      </c>
      <c r="E235" s="274">
        <f t="shared" si="130"/>
        <v>1</v>
      </c>
      <c r="F235" s="274">
        <f t="shared" si="130"/>
        <v>1.03</v>
      </c>
      <c r="G235" s="274">
        <f t="shared" si="130"/>
        <v>1.02</v>
      </c>
      <c r="H235" s="274">
        <f t="shared" si="130"/>
        <v>1</v>
      </c>
      <c r="I235" s="274">
        <f t="shared" si="130"/>
        <v>1.02</v>
      </c>
      <c r="J235" s="274">
        <f t="shared" si="130"/>
        <v>1.02</v>
      </c>
    </row>
    <row r="236" spans="2:10">
      <c r="B236" s="222">
        <f t="shared" si="126"/>
        <v>38384</v>
      </c>
    </row>
    <row r="237" spans="2:10">
      <c r="B237" s="222">
        <f t="shared" si="126"/>
        <v>38412</v>
      </c>
    </row>
    <row r="238" spans="2:10">
      <c r="B238" s="222">
        <f t="shared" si="126"/>
        <v>38443</v>
      </c>
    </row>
    <row r="239" spans="2:10">
      <c r="B239" s="222">
        <f t="shared" si="126"/>
        <v>38473</v>
      </c>
    </row>
    <row r="240" spans="2:10">
      <c r="B240" s="222">
        <f t="shared" si="126"/>
        <v>38504</v>
      </c>
    </row>
    <row r="241" spans="2:10">
      <c r="B241" s="222">
        <f t="shared" si="126"/>
        <v>38534</v>
      </c>
    </row>
    <row r="242" spans="2:10">
      <c r="B242" s="222">
        <f t="shared" si="126"/>
        <v>38565</v>
      </c>
    </row>
    <row r="243" spans="2:10">
      <c r="B243" s="222">
        <f t="shared" si="126"/>
        <v>38596</v>
      </c>
    </row>
    <row r="244" spans="2:10">
      <c r="B244" s="222">
        <f t="shared" si="126"/>
        <v>38626</v>
      </c>
    </row>
    <row r="245" spans="2:10">
      <c r="B245" s="222">
        <f t="shared" si="126"/>
        <v>38657</v>
      </c>
    </row>
    <row r="246" spans="2:10">
      <c r="B246" s="222">
        <f t="shared" si="126"/>
        <v>38687</v>
      </c>
    </row>
    <row r="247" spans="2:10">
      <c r="B247" s="222">
        <f t="shared" si="126"/>
        <v>38718</v>
      </c>
      <c r="C247" s="274">
        <f>VLOOKUP($B247,$B$4:$I$16,MATCH(C$191,$B$3:$I$3,0))</f>
        <v>1</v>
      </c>
      <c r="D247" s="274">
        <f t="shared" ref="D247:J247" si="131">VLOOKUP($B247,$B$4:$I$16,MATCH(D$191,$B$3:$I$3,0))</f>
        <v>1</v>
      </c>
      <c r="E247" s="274">
        <f t="shared" si="131"/>
        <v>1</v>
      </c>
      <c r="F247" s="274">
        <f t="shared" si="131"/>
        <v>1.2</v>
      </c>
      <c r="G247" s="274">
        <f t="shared" si="131"/>
        <v>1.02</v>
      </c>
      <c r="H247" s="274">
        <f t="shared" si="131"/>
        <v>1</v>
      </c>
      <c r="I247" s="274">
        <f t="shared" si="131"/>
        <v>1.02</v>
      </c>
      <c r="J247" s="274">
        <f t="shared" si="131"/>
        <v>1.02</v>
      </c>
    </row>
    <row r="248" spans="2:10">
      <c r="B248" s="222">
        <f t="shared" si="126"/>
        <v>38749</v>
      </c>
    </row>
    <row r="249" spans="2:10">
      <c r="B249" s="222">
        <f t="shared" si="126"/>
        <v>38777</v>
      </c>
    </row>
    <row r="250" spans="2:10">
      <c r="B250" s="222">
        <f t="shared" si="126"/>
        <v>38808</v>
      </c>
    </row>
    <row r="251" spans="2:10">
      <c r="B251" s="222">
        <f t="shared" si="126"/>
        <v>38838</v>
      </c>
    </row>
    <row r="252" spans="2:10">
      <c r="B252" s="222">
        <f t="shared" si="126"/>
        <v>38869</v>
      </c>
    </row>
    <row r="253" spans="2:10">
      <c r="B253" s="222">
        <f t="shared" si="126"/>
        <v>38899</v>
      </c>
    </row>
    <row r="254" spans="2:10">
      <c r="B254" s="222">
        <f t="shared" si="126"/>
        <v>38930</v>
      </c>
    </row>
    <row r="255" spans="2:10">
      <c r="B255" s="222">
        <f t="shared" si="126"/>
        <v>38961</v>
      </c>
    </row>
    <row r="256" spans="2:10">
      <c r="B256" s="222">
        <f t="shared" si="126"/>
        <v>38991</v>
      </c>
    </row>
    <row r="257" spans="2:10">
      <c r="B257" s="222">
        <f t="shared" ref="B257:B320" si="132">B88</f>
        <v>39022</v>
      </c>
    </row>
    <row r="258" spans="2:10">
      <c r="B258" s="222">
        <f t="shared" si="132"/>
        <v>39052</v>
      </c>
    </row>
    <row r="259" spans="2:10">
      <c r="B259" s="222">
        <f t="shared" si="132"/>
        <v>39083</v>
      </c>
      <c r="C259" s="274">
        <f>VLOOKUP($B259,$B$4:$I$16,MATCH(C$191,$B$3:$I$3,0))</f>
        <v>1</v>
      </c>
      <c r="D259" s="274">
        <f t="shared" ref="D259:J259" si="133">VLOOKUP($B259,$B$4:$I$16,MATCH(D$191,$B$3:$I$3,0))</f>
        <v>1</v>
      </c>
      <c r="E259" s="274">
        <f t="shared" si="133"/>
        <v>1</v>
      </c>
      <c r="F259" s="274">
        <f t="shared" si="133"/>
        <v>1</v>
      </c>
      <c r="G259" s="274">
        <f t="shared" si="133"/>
        <v>1.02</v>
      </c>
      <c r="H259" s="274">
        <f t="shared" si="133"/>
        <v>1</v>
      </c>
      <c r="I259" s="274">
        <f t="shared" si="133"/>
        <v>1.02</v>
      </c>
      <c r="J259" s="274">
        <f t="shared" si="133"/>
        <v>1.02</v>
      </c>
    </row>
    <row r="260" spans="2:10">
      <c r="B260" s="222">
        <f t="shared" si="132"/>
        <v>39114</v>
      </c>
    </row>
    <row r="261" spans="2:10">
      <c r="B261" s="222">
        <f t="shared" si="132"/>
        <v>39142</v>
      </c>
    </row>
    <row r="262" spans="2:10">
      <c r="B262" s="222">
        <f t="shared" si="132"/>
        <v>39173</v>
      </c>
    </row>
    <row r="263" spans="2:10">
      <c r="B263" s="222">
        <f t="shared" si="132"/>
        <v>39203</v>
      </c>
    </row>
    <row r="264" spans="2:10">
      <c r="B264" s="222">
        <f t="shared" si="132"/>
        <v>39234</v>
      </c>
    </row>
    <row r="265" spans="2:10">
      <c r="B265" s="222">
        <f t="shared" si="132"/>
        <v>39264</v>
      </c>
    </row>
    <row r="266" spans="2:10">
      <c r="B266" s="222">
        <f t="shared" si="132"/>
        <v>39295</v>
      </c>
    </row>
    <row r="267" spans="2:10">
      <c r="B267" s="222">
        <f t="shared" si="132"/>
        <v>39326</v>
      </c>
    </row>
    <row r="268" spans="2:10">
      <c r="B268" s="222">
        <f t="shared" si="132"/>
        <v>39356</v>
      </c>
    </row>
    <row r="269" spans="2:10">
      <c r="B269" s="222">
        <f t="shared" si="132"/>
        <v>39387</v>
      </c>
    </row>
    <row r="270" spans="2:10">
      <c r="B270" s="222">
        <f t="shared" si="132"/>
        <v>39417</v>
      </c>
    </row>
    <row r="271" spans="2:10">
      <c r="B271" s="222">
        <f t="shared" si="132"/>
        <v>39448</v>
      </c>
      <c r="C271" s="274">
        <f>VLOOKUP($B271,$B$4:$I$16,MATCH(C$191,$B$3:$I$3,0))</f>
        <v>1</v>
      </c>
      <c r="D271" s="274">
        <f t="shared" ref="D271:J271" si="134">VLOOKUP($B271,$B$4:$I$16,MATCH(D$191,$B$3:$I$3,0))</f>
        <v>1</v>
      </c>
      <c r="E271" s="274">
        <f t="shared" si="134"/>
        <v>1</v>
      </c>
      <c r="F271" s="274">
        <f t="shared" si="134"/>
        <v>1</v>
      </c>
      <c r="G271" s="274">
        <f t="shared" si="134"/>
        <v>1.02</v>
      </c>
      <c r="H271" s="274">
        <f t="shared" si="134"/>
        <v>1</v>
      </c>
      <c r="I271" s="274">
        <f t="shared" si="134"/>
        <v>1.02</v>
      </c>
      <c r="J271" s="274">
        <f t="shared" si="134"/>
        <v>1.02</v>
      </c>
    </row>
    <row r="272" spans="2:10">
      <c r="B272" s="222">
        <f t="shared" si="132"/>
        <v>39479</v>
      </c>
    </row>
    <row r="273" spans="2:10">
      <c r="B273" s="222">
        <f t="shared" si="132"/>
        <v>39508</v>
      </c>
    </row>
    <row r="274" spans="2:10">
      <c r="B274" s="222">
        <f t="shared" si="132"/>
        <v>39539</v>
      </c>
    </row>
    <row r="275" spans="2:10">
      <c r="B275" s="222">
        <f t="shared" si="132"/>
        <v>39569</v>
      </c>
    </row>
    <row r="276" spans="2:10">
      <c r="B276" s="222">
        <f t="shared" si="132"/>
        <v>39600</v>
      </c>
    </row>
    <row r="277" spans="2:10">
      <c r="B277" s="222">
        <f t="shared" si="132"/>
        <v>39630</v>
      </c>
    </row>
    <row r="278" spans="2:10">
      <c r="B278" s="222">
        <f t="shared" si="132"/>
        <v>39661</v>
      </c>
    </row>
    <row r="279" spans="2:10">
      <c r="B279" s="222">
        <f t="shared" si="132"/>
        <v>39692</v>
      </c>
    </row>
    <row r="280" spans="2:10">
      <c r="B280" s="222">
        <f t="shared" si="132"/>
        <v>39722</v>
      </c>
    </row>
    <row r="281" spans="2:10">
      <c r="B281" s="222">
        <f t="shared" si="132"/>
        <v>39753</v>
      </c>
    </row>
    <row r="282" spans="2:10">
      <c r="B282" s="222">
        <f t="shared" si="132"/>
        <v>39783</v>
      </c>
    </row>
    <row r="283" spans="2:10">
      <c r="B283" s="222">
        <f t="shared" si="132"/>
        <v>39814</v>
      </c>
      <c r="C283" s="274">
        <f>VLOOKUP($B283,$B$4:$I$16,MATCH(C$191,$B$3:$I$3,0))</f>
        <v>1</v>
      </c>
      <c r="D283" s="274">
        <f t="shared" ref="D283:J283" si="135">VLOOKUP($B283,$B$4:$I$16,MATCH(D$191,$B$3:$I$3,0))</f>
        <v>1</v>
      </c>
      <c r="E283" s="274">
        <f t="shared" si="135"/>
        <v>1</v>
      </c>
      <c r="F283" s="274">
        <f t="shared" si="135"/>
        <v>1</v>
      </c>
      <c r="G283" s="274">
        <f t="shared" si="135"/>
        <v>1.02</v>
      </c>
      <c r="H283" s="274">
        <f t="shared" si="135"/>
        <v>1</v>
      </c>
      <c r="I283" s="274">
        <f t="shared" si="135"/>
        <v>1.02</v>
      </c>
      <c r="J283" s="274">
        <f t="shared" si="135"/>
        <v>1.02</v>
      </c>
    </row>
    <row r="284" spans="2:10">
      <c r="B284" s="222">
        <f t="shared" si="132"/>
        <v>39845</v>
      </c>
    </row>
    <row r="285" spans="2:10">
      <c r="B285" s="222">
        <f t="shared" si="132"/>
        <v>39873</v>
      </c>
    </row>
    <row r="286" spans="2:10">
      <c r="B286" s="222">
        <f t="shared" si="132"/>
        <v>39904</v>
      </c>
    </row>
    <row r="287" spans="2:10">
      <c r="B287" s="222">
        <f t="shared" si="132"/>
        <v>39934</v>
      </c>
    </row>
    <row r="288" spans="2:10">
      <c r="B288" s="222">
        <f t="shared" si="132"/>
        <v>39965</v>
      </c>
    </row>
    <row r="289" spans="2:10">
      <c r="B289" s="222">
        <f t="shared" si="132"/>
        <v>39995</v>
      </c>
    </row>
    <row r="290" spans="2:10">
      <c r="B290" s="222">
        <f t="shared" si="132"/>
        <v>40026</v>
      </c>
    </row>
    <row r="291" spans="2:10">
      <c r="B291" s="222">
        <f t="shared" si="132"/>
        <v>40057</v>
      </c>
    </row>
    <row r="292" spans="2:10">
      <c r="B292" s="222">
        <f t="shared" si="132"/>
        <v>40087</v>
      </c>
    </row>
    <row r="293" spans="2:10">
      <c r="B293" s="222">
        <f t="shared" si="132"/>
        <v>40118</v>
      </c>
    </row>
    <row r="294" spans="2:10">
      <c r="B294" s="222">
        <f t="shared" si="132"/>
        <v>40148</v>
      </c>
    </row>
    <row r="295" spans="2:10">
      <c r="B295" s="222">
        <f t="shared" si="132"/>
        <v>40179</v>
      </c>
      <c r="C295" s="274">
        <f>VLOOKUP($B295,$B$4:$I$16,MATCH(C$191,$B$3:$I$3,0))</f>
        <v>1</v>
      </c>
      <c r="D295" s="274">
        <f t="shared" ref="D295:J295" si="136">VLOOKUP($B295,$B$4:$I$16,MATCH(D$191,$B$3:$I$3,0))</f>
        <v>1</v>
      </c>
      <c r="E295" s="274">
        <f t="shared" si="136"/>
        <v>1</v>
      </c>
      <c r="F295" s="274">
        <f t="shared" si="136"/>
        <v>1</v>
      </c>
      <c r="G295" s="274">
        <f t="shared" si="136"/>
        <v>1.02</v>
      </c>
      <c r="H295" s="274">
        <f t="shared" si="136"/>
        <v>1</v>
      </c>
      <c r="I295" s="274">
        <f t="shared" si="136"/>
        <v>1.02</v>
      </c>
      <c r="J295" s="274">
        <f t="shared" si="136"/>
        <v>1.02</v>
      </c>
    </row>
    <row r="296" spans="2:10">
      <c r="B296" s="222">
        <f t="shared" si="132"/>
        <v>40210</v>
      </c>
    </row>
    <row r="297" spans="2:10">
      <c r="B297" s="222">
        <f t="shared" si="132"/>
        <v>40238</v>
      </c>
    </row>
    <row r="298" spans="2:10">
      <c r="B298" s="222">
        <f t="shared" si="132"/>
        <v>40269</v>
      </c>
    </row>
    <row r="299" spans="2:10">
      <c r="B299" s="222">
        <f t="shared" si="132"/>
        <v>40299</v>
      </c>
    </row>
    <row r="300" spans="2:10">
      <c r="B300" s="222">
        <f t="shared" si="132"/>
        <v>40330</v>
      </c>
    </row>
    <row r="301" spans="2:10">
      <c r="B301" s="222">
        <f t="shared" si="132"/>
        <v>40360</v>
      </c>
    </row>
    <row r="302" spans="2:10">
      <c r="B302" s="222">
        <f t="shared" si="132"/>
        <v>40391</v>
      </c>
    </row>
    <row r="303" spans="2:10">
      <c r="B303" s="222">
        <f t="shared" si="132"/>
        <v>40422</v>
      </c>
    </row>
    <row r="304" spans="2:10">
      <c r="B304" s="222">
        <f t="shared" si="132"/>
        <v>40452</v>
      </c>
    </row>
    <row r="305" spans="2:10">
      <c r="B305" s="222">
        <f t="shared" si="132"/>
        <v>40483</v>
      </c>
    </row>
    <row r="306" spans="2:10">
      <c r="B306" s="222">
        <f t="shared" si="132"/>
        <v>40513</v>
      </c>
    </row>
    <row r="307" spans="2:10">
      <c r="B307" s="222">
        <f t="shared" si="132"/>
        <v>40544</v>
      </c>
      <c r="C307" s="274">
        <f>VLOOKUP($B307,$B$4:$I$16,MATCH(C$191,$B$3:$I$3,0))</f>
        <v>1</v>
      </c>
      <c r="D307" s="274">
        <f t="shared" ref="D307:J307" si="137">VLOOKUP($B307,$B$4:$I$16,MATCH(D$191,$B$3:$I$3,0))</f>
        <v>1</v>
      </c>
      <c r="E307" s="274">
        <f t="shared" si="137"/>
        <v>1</v>
      </c>
      <c r="F307" s="274">
        <f t="shared" si="137"/>
        <v>1</v>
      </c>
      <c r="G307" s="274">
        <f t="shared" si="137"/>
        <v>1.02</v>
      </c>
      <c r="H307" s="274">
        <f t="shared" si="137"/>
        <v>1</v>
      </c>
      <c r="I307" s="274">
        <f t="shared" si="137"/>
        <v>1.02</v>
      </c>
      <c r="J307" s="274">
        <f t="shared" si="137"/>
        <v>1.02</v>
      </c>
    </row>
    <row r="308" spans="2:10">
      <c r="B308" s="222">
        <f t="shared" si="132"/>
        <v>40575</v>
      </c>
    </row>
    <row r="309" spans="2:10">
      <c r="B309" s="222">
        <f t="shared" si="132"/>
        <v>40603</v>
      </c>
    </row>
    <row r="310" spans="2:10">
      <c r="B310" s="222">
        <f t="shared" si="132"/>
        <v>40634</v>
      </c>
    </row>
    <row r="311" spans="2:10">
      <c r="B311" s="222">
        <f t="shared" si="132"/>
        <v>40664</v>
      </c>
    </row>
    <row r="312" spans="2:10">
      <c r="B312" s="222">
        <f t="shared" si="132"/>
        <v>40695</v>
      </c>
    </row>
    <row r="313" spans="2:10">
      <c r="B313" s="222">
        <f t="shared" si="132"/>
        <v>40725</v>
      </c>
    </row>
    <row r="314" spans="2:10">
      <c r="B314" s="222">
        <f t="shared" si="132"/>
        <v>40756</v>
      </c>
    </row>
    <row r="315" spans="2:10">
      <c r="B315" s="222">
        <f t="shared" si="132"/>
        <v>40787</v>
      </c>
    </row>
    <row r="316" spans="2:10">
      <c r="B316" s="222">
        <f t="shared" si="132"/>
        <v>40817</v>
      </c>
    </row>
    <row r="317" spans="2:10">
      <c r="B317" s="222">
        <f t="shared" si="132"/>
        <v>40848</v>
      </c>
    </row>
    <row r="318" spans="2:10">
      <c r="B318" s="222">
        <f t="shared" si="132"/>
        <v>40878</v>
      </c>
    </row>
    <row r="319" spans="2:10">
      <c r="B319" s="222">
        <f t="shared" si="132"/>
        <v>40909</v>
      </c>
      <c r="C319" s="274">
        <f>VLOOKUP($B319,$B$4:$I$16,MATCH(C$191,$B$3:$I$3,0))</f>
        <v>1</v>
      </c>
      <c r="D319" s="274">
        <f t="shared" ref="D319:J319" si="138">VLOOKUP($B319,$B$4:$I$16,MATCH(D$191,$B$3:$I$3,0))</f>
        <v>1</v>
      </c>
      <c r="E319" s="274">
        <f t="shared" si="138"/>
        <v>1</v>
      </c>
      <c r="F319" s="274">
        <f t="shared" si="138"/>
        <v>1</v>
      </c>
      <c r="G319" s="274">
        <f t="shared" si="138"/>
        <v>1.02</v>
      </c>
      <c r="H319" s="274">
        <f t="shared" si="138"/>
        <v>1</v>
      </c>
      <c r="I319" s="274">
        <f t="shared" si="138"/>
        <v>1.02</v>
      </c>
      <c r="J319" s="274">
        <f t="shared" si="138"/>
        <v>1.02</v>
      </c>
    </row>
    <row r="320" spans="2:10">
      <c r="B320" s="222">
        <f t="shared" si="132"/>
        <v>40940</v>
      </c>
    </row>
    <row r="321" spans="2:10">
      <c r="B321" s="222">
        <f t="shared" ref="B321:B327" si="139">B152</f>
        <v>40969</v>
      </c>
    </row>
    <row r="322" spans="2:10">
      <c r="B322" s="222">
        <f t="shared" si="139"/>
        <v>41000</v>
      </c>
    </row>
    <row r="323" spans="2:10">
      <c r="B323" s="222">
        <f t="shared" si="139"/>
        <v>41030</v>
      </c>
    </row>
    <row r="324" spans="2:10">
      <c r="B324" s="222">
        <f t="shared" si="139"/>
        <v>41061</v>
      </c>
    </row>
    <row r="325" spans="2:10">
      <c r="B325" s="222">
        <f t="shared" si="139"/>
        <v>41091</v>
      </c>
    </row>
    <row r="326" spans="2:10">
      <c r="B326" s="222">
        <f t="shared" si="139"/>
        <v>41122</v>
      </c>
    </row>
    <row r="327" spans="2:10">
      <c r="B327" s="222">
        <f t="shared" si="139"/>
        <v>41153</v>
      </c>
    </row>
    <row r="328" spans="2:10">
      <c r="B328" s="222">
        <f>B159</f>
        <v>41183</v>
      </c>
    </row>
    <row r="329" spans="2:10">
      <c r="B329" s="222">
        <f t="shared" ref="B329:B353" si="140">B160</f>
        <v>41214</v>
      </c>
    </row>
    <row r="330" spans="2:10">
      <c r="B330" s="222">
        <f t="shared" si="140"/>
        <v>41244</v>
      </c>
    </row>
    <row r="331" spans="2:10">
      <c r="B331" s="222">
        <f t="shared" si="140"/>
        <v>41275</v>
      </c>
      <c r="C331" s="274">
        <f>VLOOKUP($B331,$B$4:$I$16,MATCH(C$191,$B$3:$I$3,0))</f>
        <v>1</v>
      </c>
      <c r="D331" s="274">
        <f t="shared" ref="D331:J331" si="141">VLOOKUP($B331,$B$4:$I$16,MATCH(D$191,$B$3:$I$3,0))</f>
        <v>1</v>
      </c>
      <c r="E331" s="274">
        <f t="shared" si="141"/>
        <v>1</v>
      </c>
      <c r="F331" s="274">
        <f t="shared" si="141"/>
        <v>1</v>
      </c>
      <c r="G331" s="274">
        <f t="shared" si="141"/>
        <v>1.02</v>
      </c>
      <c r="H331" s="274">
        <f t="shared" si="141"/>
        <v>1</v>
      </c>
      <c r="I331" s="274">
        <f t="shared" si="141"/>
        <v>1.02</v>
      </c>
      <c r="J331" s="274">
        <f t="shared" si="141"/>
        <v>1.02</v>
      </c>
    </row>
    <row r="332" spans="2:10">
      <c r="B332" s="222">
        <f t="shared" si="140"/>
        <v>41306</v>
      </c>
    </row>
    <row r="333" spans="2:10">
      <c r="B333" s="222">
        <f t="shared" si="140"/>
        <v>41334</v>
      </c>
    </row>
    <row r="334" spans="2:10">
      <c r="B334" s="222">
        <f t="shared" si="140"/>
        <v>41365</v>
      </c>
    </row>
    <row r="335" spans="2:10">
      <c r="B335" s="222">
        <f t="shared" si="140"/>
        <v>41395</v>
      </c>
    </row>
    <row r="336" spans="2:10">
      <c r="B336" s="222">
        <f t="shared" si="140"/>
        <v>41426</v>
      </c>
    </row>
    <row r="337" spans="2:10">
      <c r="B337" s="222">
        <f t="shared" si="140"/>
        <v>41456</v>
      </c>
    </row>
    <row r="338" spans="2:10">
      <c r="B338" s="222">
        <f t="shared" si="140"/>
        <v>41487</v>
      </c>
    </row>
    <row r="339" spans="2:10">
      <c r="B339" s="222">
        <f t="shared" si="140"/>
        <v>41518</v>
      </c>
    </row>
    <row r="340" spans="2:10">
      <c r="B340" s="222">
        <f t="shared" si="140"/>
        <v>41548</v>
      </c>
    </row>
    <row r="341" spans="2:10">
      <c r="B341" s="222">
        <f t="shared" si="140"/>
        <v>41579</v>
      </c>
    </row>
    <row r="342" spans="2:10">
      <c r="B342" s="222">
        <f t="shared" si="140"/>
        <v>41609</v>
      </c>
    </row>
    <row r="343" spans="2:10">
      <c r="B343" s="222">
        <f t="shared" si="140"/>
        <v>41640</v>
      </c>
      <c r="C343" s="274">
        <f>VLOOKUP($B343,$B$4:$I$16,MATCH(C$191,$B$3:$I$3,0))</f>
        <v>1</v>
      </c>
      <c r="D343" s="274">
        <f t="shared" ref="D343:J343" si="142">VLOOKUP($B343,$B$4:$I$16,MATCH(D$191,$B$3:$I$3,0))</f>
        <v>1</v>
      </c>
      <c r="E343" s="274">
        <f t="shared" si="142"/>
        <v>1</v>
      </c>
      <c r="F343" s="274">
        <f t="shared" si="142"/>
        <v>1</v>
      </c>
      <c r="G343" s="274">
        <f t="shared" si="142"/>
        <v>1.02</v>
      </c>
      <c r="H343" s="274">
        <f t="shared" si="142"/>
        <v>1</v>
      </c>
      <c r="I343" s="274">
        <f t="shared" si="142"/>
        <v>1.02</v>
      </c>
      <c r="J343" s="274">
        <f t="shared" si="142"/>
        <v>1.02</v>
      </c>
    </row>
    <row r="344" spans="2:10">
      <c r="B344" s="222">
        <f t="shared" si="140"/>
        <v>41671</v>
      </c>
    </row>
    <row r="345" spans="2:10">
      <c r="B345" s="222">
        <f t="shared" si="140"/>
        <v>41699</v>
      </c>
    </row>
    <row r="346" spans="2:10">
      <c r="B346" s="222">
        <f t="shared" si="140"/>
        <v>41730</v>
      </c>
    </row>
    <row r="347" spans="2:10">
      <c r="B347" s="222">
        <f t="shared" si="140"/>
        <v>41760</v>
      </c>
    </row>
    <row r="348" spans="2:10">
      <c r="B348" s="222">
        <f t="shared" si="140"/>
        <v>41791</v>
      </c>
    </row>
    <row r="349" spans="2:10">
      <c r="B349" s="222">
        <f t="shared" si="140"/>
        <v>41821</v>
      </c>
    </row>
    <row r="350" spans="2:10">
      <c r="B350" s="222">
        <f t="shared" si="140"/>
        <v>41852</v>
      </c>
    </row>
    <row r="351" spans="2:10">
      <c r="B351" s="222">
        <f t="shared" si="140"/>
        <v>41883</v>
      </c>
    </row>
    <row r="352" spans="2:10">
      <c r="B352" s="222">
        <f t="shared" si="140"/>
        <v>41913</v>
      </c>
    </row>
    <row r="353" spans="2:2">
      <c r="B353" s="222">
        <f t="shared" si="140"/>
        <v>41944</v>
      </c>
    </row>
    <row r="354" spans="2:2">
      <c r="B354" s="222">
        <f>B185</f>
        <v>41974</v>
      </c>
    </row>
    <row r="355" spans="2:2">
      <c r="B355" s="222">
        <f>B186</f>
        <v>42005</v>
      </c>
    </row>
  </sheetData>
  <phoneticPr fontId="13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pageSetUpPr fitToPage="1"/>
  </sheetPr>
  <dimension ref="A1:IT171"/>
  <sheetViews>
    <sheetView showGridLines="0" tabSelected="1" zoomScale="80" workbookViewId="0">
      <pane xSplit="2" topLeftCell="C1" activePane="topRight" state="frozen"/>
      <selection pane="topRight" activeCell="O26" sqref="O26"/>
    </sheetView>
  </sheetViews>
  <sheetFormatPr defaultRowHeight="12.75"/>
  <cols>
    <col min="1" max="1" width="5.85546875" customWidth="1"/>
    <col min="2" max="2" width="21" bestFit="1" customWidth="1"/>
    <col min="3" max="4" width="9.85546875" bestFit="1" customWidth="1"/>
    <col min="5" max="5" width="7.28515625" bestFit="1" customWidth="1"/>
    <col min="6" max="6" width="7.42578125" bestFit="1" customWidth="1"/>
    <col min="7" max="7" width="14.7109375" customWidth="1"/>
    <col min="8" max="8" width="18" customWidth="1"/>
    <col min="9" max="9" width="17.140625" bestFit="1" customWidth="1"/>
    <col min="10" max="10" width="16" bestFit="1" customWidth="1"/>
    <col min="11" max="11" width="15.7109375" bestFit="1" customWidth="1"/>
    <col min="12" max="12" width="16.28515625" customWidth="1"/>
    <col min="13" max="14" width="10.5703125" bestFit="1" customWidth="1"/>
    <col min="16" max="16" width="11" customWidth="1"/>
    <col min="17" max="17" width="12.85546875" bestFit="1" customWidth="1"/>
    <col min="18" max="18" width="9.28515625" bestFit="1" customWidth="1"/>
    <col min="19" max="19" width="15.28515625" bestFit="1" customWidth="1"/>
    <col min="20" max="20" width="13.42578125" bestFit="1" customWidth="1"/>
    <col min="21" max="21" width="12.7109375" bestFit="1" customWidth="1"/>
    <col min="22" max="22" width="15.85546875" bestFit="1" customWidth="1"/>
    <col min="23" max="23" width="15" bestFit="1" customWidth="1"/>
    <col min="24" max="24" width="12.42578125" bestFit="1" customWidth="1"/>
    <col min="25" max="25" width="15.85546875" bestFit="1" customWidth="1"/>
    <col min="26" max="27" width="12.140625" bestFit="1" customWidth="1"/>
    <col min="28" max="28" width="15.140625" bestFit="1" customWidth="1"/>
    <col min="29" max="29" width="13.85546875" bestFit="1" customWidth="1"/>
    <col min="30" max="30" width="12.42578125" customWidth="1"/>
    <col min="31" max="31" width="13" bestFit="1" customWidth="1"/>
    <col min="37" max="37" width="9.140625" style="1"/>
  </cols>
  <sheetData>
    <row r="1" spans="1:254" ht="15">
      <c r="A1" s="73"/>
      <c r="B1" s="187" t="s">
        <v>224</v>
      </c>
      <c r="C1" s="74"/>
      <c r="D1" s="74"/>
      <c r="E1" s="74"/>
      <c r="F1" s="74"/>
      <c r="G1" s="74"/>
      <c r="H1" s="74" t="s">
        <v>234</v>
      </c>
      <c r="I1" s="74"/>
      <c r="J1" s="74"/>
      <c r="K1" s="74"/>
    </row>
    <row r="2" spans="1:254">
      <c r="A2" s="73"/>
      <c r="B2" s="73"/>
      <c r="C2" s="75"/>
      <c r="D2" s="75"/>
      <c r="E2" s="73"/>
      <c r="F2" s="75"/>
      <c r="G2" s="73"/>
      <c r="H2" s="291">
        <v>2</v>
      </c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</row>
    <row r="3" spans="1:254">
      <c r="A3" s="73"/>
      <c r="B3" s="167" t="s">
        <v>140</v>
      </c>
      <c r="C3" s="75"/>
      <c r="D3" s="75"/>
      <c r="E3" s="73"/>
      <c r="F3" s="75"/>
      <c r="G3" s="73"/>
      <c r="H3" s="73"/>
      <c r="I3" s="73"/>
      <c r="J3" s="73"/>
      <c r="K3" s="73"/>
      <c r="L3" s="73"/>
      <c r="M3" s="194"/>
      <c r="N3" s="194"/>
      <c r="O3" s="194"/>
      <c r="P3" s="73"/>
      <c r="Q3" s="73"/>
      <c r="R3" s="73"/>
      <c r="S3" s="73"/>
      <c r="T3" s="73"/>
      <c r="U3" s="73"/>
      <c r="V3" s="73"/>
      <c r="W3" s="73"/>
      <c r="X3" s="73"/>
      <c r="Y3" s="73"/>
    </row>
    <row r="4" spans="1:254"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194"/>
      <c r="N4" s="193"/>
      <c r="O4" s="194"/>
      <c r="P4" s="73"/>
      <c r="Q4" s="73"/>
      <c r="R4" s="329" t="s">
        <v>144</v>
      </c>
      <c r="S4" s="330"/>
      <c r="T4" s="330"/>
      <c r="U4" s="331"/>
      <c r="V4" s="329" t="s">
        <v>146</v>
      </c>
      <c r="W4" s="330"/>
      <c r="X4" s="331"/>
      <c r="Y4" s="329" t="s">
        <v>145</v>
      </c>
      <c r="Z4" s="330"/>
      <c r="AA4" s="331"/>
      <c r="AI4" s="220" t="s">
        <v>186</v>
      </c>
    </row>
    <row r="5" spans="1:254" s="1" customFormat="1">
      <c r="A5" s="73"/>
      <c r="B5" s="245"/>
      <c r="C5" s="178" t="s">
        <v>152</v>
      </c>
      <c r="D5" s="178" t="s">
        <v>153</v>
      </c>
      <c r="E5" s="179" t="s">
        <v>76</v>
      </c>
      <c r="F5" s="180" t="s">
        <v>77</v>
      </c>
      <c r="G5" s="179" t="s">
        <v>106</v>
      </c>
      <c r="H5" s="179" t="s">
        <v>132</v>
      </c>
      <c r="I5" s="179" t="s">
        <v>121</v>
      </c>
      <c r="J5" s="179" t="s">
        <v>121</v>
      </c>
      <c r="K5" s="179" t="s">
        <v>198</v>
      </c>
      <c r="L5" s="179" t="s">
        <v>198</v>
      </c>
      <c r="M5" s="179" t="s">
        <v>194</v>
      </c>
      <c r="N5" s="179" t="s">
        <v>1</v>
      </c>
      <c r="O5" s="179" t="s">
        <v>137</v>
      </c>
      <c r="P5" s="179" t="s">
        <v>138</v>
      </c>
      <c r="Q5" s="179" t="s">
        <v>241</v>
      </c>
      <c r="R5" s="179"/>
      <c r="S5" s="179" t="s">
        <v>242</v>
      </c>
      <c r="T5" s="179" t="s">
        <v>238</v>
      </c>
      <c r="U5" s="179" t="s">
        <v>238</v>
      </c>
      <c r="V5" s="179" t="s">
        <v>237</v>
      </c>
      <c r="W5" s="179" t="s">
        <v>238</v>
      </c>
      <c r="X5" s="179" t="s">
        <v>238</v>
      </c>
      <c r="Y5" s="179" t="s">
        <v>237</v>
      </c>
      <c r="Z5" s="179" t="s">
        <v>238</v>
      </c>
      <c r="AA5" s="179" t="s">
        <v>238</v>
      </c>
      <c r="AB5" s="181"/>
      <c r="AC5" s="181"/>
      <c r="AD5" s="181"/>
      <c r="AE5" s="73"/>
      <c r="AF5" s="244" t="s">
        <v>178</v>
      </c>
      <c r="AK5" s="249" t="s">
        <v>206</v>
      </c>
      <c r="AL5" s="1" t="s">
        <v>216</v>
      </c>
    </row>
    <row r="6" spans="1:254" s="1" customFormat="1">
      <c r="A6" s="73"/>
      <c r="B6" s="246" t="s">
        <v>162</v>
      </c>
      <c r="C6" s="182" t="s">
        <v>151</v>
      </c>
      <c r="D6" s="182" t="s">
        <v>151</v>
      </c>
      <c r="E6" s="183" t="s">
        <v>8</v>
      </c>
      <c r="F6" s="183" t="s">
        <v>8</v>
      </c>
      <c r="G6" s="183" t="s">
        <v>128</v>
      </c>
      <c r="H6" s="183" t="s">
        <v>128</v>
      </c>
      <c r="I6" s="183" t="s">
        <v>199</v>
      </c>
      <c r="J6" s="183" t="s">
        <v>200</v>
      </c>
      <c r="K6" s="183" t="s">
        <v>199</v>
      </c>
      <c r="L6" s="183" t="s">
        <v>200</v>
      </c>
      <c r="M6" s="183" t="s">
        <v>86</v>
      </c>
      <c r="N6" s="183" t="s">
        <v>86</v>
      </c>
      <c r="O6" s="183" t="s">
        <v>201</v>
      </c>
      <c r="P6" s="183" t="s">
        <v>139</v>
      </c>
      <c r="Q6" s="183" t="s">
        <v>141</v>
      </c>
      <c r="R6" s="183" t="s">
        <v>178</v>
      </c>
      <c r="S6" s="183" t="s">
        <v>80</v>
      </c>
      <c r="T6" s="183" t="s">
        <v>235</v>
      </c>
      <c r="U6" s="183" t="s">
        <v>236</v>
      </c>
      <c r="V6" s="183" t="s">
        <v>80</v>
      </c>
      <c r="W6" s="183" t="s">
        <v>235</v>
      </c>
      <c r="X6" s="183" t="s">
        <v>236</v>
      </c>
      <c r="Y6" s="183" t="s">
        <v>80</v>
      </c>
      <c r="Z6" s="183" t="s">
        <v>235</v>
      </c>
      <c r="AA6" s="183" t="s">
        <v>236</v>
      </c>
      <c r="AB6" s="181"/>
      <c r="AC6" s="181"/>
      <c r="AD6" s="212">
        <v>36892</v>
      </c>
      <c r="AE6" s="212">
        <v>37256</v>
      </c>
      <c r="AF6" s="213">
        <f>0.007</f>
        <v>7.0000000000000001E-3</v>
      </c>
      <c r="AI6" s="221" t="s">
        <v>187</v>
      </c>
      <c r="AJ6"/>
      <c r="AK6" s="220" t="s">
        <v>188</v>
      </c>
      <c r="AL6" s="220" t="s">
        <v>189</v>
      </c>
      <c r="AM6" s="1" t="s">
        <v>233</v>
      </c>
    </row>
    <row r="7" spans="1:254" s="193" customFormat="1" ht="12.75" customHeight="1">
      <c r="A7" s="188">
        <v>1</v>
      </c>
      <c r="B7" s="247" t="s">
        <v>207</v>
      </c>
      <c r="C7" s="200">
        <f>today</f>
        <v>37025</v>
      </c>
      <c r="D7" s="200">
        <f ca="1">TODAY()</f>
        <v>37026</v>
      </c>
      <c r="E7" s="191">
        <v>37043</v>
      </c>
      <c r="F7" s="191">
        <v>42004</v>
      </c>
      <c r="G7" s="191" t="s">
        <v>159</v>
      </c>
      <c r="H7" s="191" t="s">
        <v>156</v>
      </c>
      <c r="I7" s="242" t="s">
        <v>160</v>
      </c>
      <c r="J7" s="242" t="s">
        <v>157</v>
      </c>
      <c r="K7" s="242" t="s">
        <v>159</v>
      </c>
      <c r="L7" s="243" t="s">
        <v>158</v>
      </c>
      <c r="M7" s="279">
        <v>1</v>
      </c>
      <c r="N7" s="279">
        <v>0.99990000000000001</v>
      </c>
      <c r="O7" s="280">
        <f>[8]ContractTbl!$C$12</f>
        <v>40000</v>
      </c>
      <c r="P7" s="281">
        <v>0</v>
      </c>
      <c r="Q7" s="282"/>
      <c r="R7" s="248" t="s">
        <v>180</v>
      </c>
      <c r="S7" s="282">
        <f>[8]ContractTbl!$C$20+[8]ContractTbl!$C$24</f>
        <v>1.8200000000000001E-2</v>
      </c>
      <c r="T7" s="283">
        <f>[8]ContractTbl!$C$26</f>
        <v>4.6100000000000002E-2</v>
      </c>
      <c r="U7" s="284">
        <f t="shared" ref="U7:U13" si="0">T7</f>
        <v>4.6100000000000002E-2</v>
      </c>
      <c r="V7" s="195"/>
      <c r="W7" s="285"/>
      <c r="X7" s="285"/>
      <c r="Y7" s="195"/>
      <c r="Z7" s="285"/>
      <c r="AA7" s="285"/>
      <c r="AB7" s="168"/>
      <c r="AC7" s="159"/>
      <c r="AD7" s="212">
        <v>37257</v>
      </c>
      <c r="AE7" s="212">
        <v>37621</v>
      </c>
      <c r="AF7" s="213">
        <f>0.005</f>
        <v>5.0000000000000001E-3</v>
      </c>
      <c r="AI7"/>
      <c r="AJ7" s="222">
        <v>37043</v>
      </c>
      <c r="AK7" s="225">
        <f>'[9]Model Operations'!C62</f>
        <v>1.1522266576E-3</v>
      </c>
      <c r="AL7" s="225">
        <f>'[9]Model Operations'!E62</f>
        <v>3.6970217296000006E-3</v>
      </c>
      <c r="AM7" s="225">
        <f>'[9]Escalation sheet'!X20</f>
        <v>3.4114391715199997E-2</v>
      </c>
    </row>
    <row r="8" spans="1:254" s="193" customFormat="1" ht="12.75" customHeight="1">
      <c r="A8" s="188">
        <v>2</v>
      </c>
      <c r="B8" s="247" t="s">
        <v>208</v>
      </c>
      <c r="C8" s="189">
        <f t="shared" ref="C8:F14" si="1">C7</f>
        <v>37025</v>
      </c>
      <c r="D8" s="189">
        <f t="shared" ca="1" si="1"/>
        <v>37026</v>
      </c>
      <c r="E8" s="190">
        <f t="shared" si="1"/>
        <v>37043</v>
      </c>
      <c r="F8" s="191">
        <v>42004</v>
      </c>
      <c r="G8" s="191" t="s">
        <v>169</v>
      </c>
      <c r="H8" s="191" t="s">
        <v>156</v>
      </c>
      <c r="I8" s="242" t="s">
        <v>143</v>
      </c>
      <c r="J8" s="242" t="s">
        <v>157</v>
      </c>
      <c r="K8" s="242" t="s">
        <v>50</v>
      </c>
      <c r="L8" s="243" t="s">
        <v>158</v>
      </c>
      <c r="M8" s="279">
        <f>M7</f>
        <v>1</v>
      </c>
      <c r="N8" s="279">
        <f>N7</f>
        <v>0.99990000000000001</v>
      </c>
      <c r="O8" s="280">
        <f>[8]ContractTbl!$D$12</f>
        <v>80000</v>
      </c>
      <c r="P8" s="281">
        <v>0</v>
      </c>
      <c r="Q8" s="282"/>
      <c r="R8" s="248" t="s">
        <v>180</v>
      </c>
      <c r="S8" s="282">
        <f>[8]ContractTbl!$D$20+[8]ContractTbl!$D$24</f>
        <v>1.6199999999999999E-2</v>
      </c>
      <c r="T8" s="283">
        <f>[8]ContractTbl!$D$26</f>
        <v>4.9700000000000001E-2</v>
      </c>
      <c r="U8" s="284">
        <f t="shared" si="0"/>
        <v>4.9700000000000001E-2</v>
      </c>
      <c r="V8" s="195"/>
      <c r="W8" s="285"/>
      <c r="X8" s="285"/>
      <c r="Y8" s="195"/>
      <c r="Z8" s="285"/>
      <c r="AA8" s="285"/>
      <c r="AB8" s="156"/>
      <c r="AC8" s="159"/>
      <c r="AD8" s="212">
        <v>37622</v>
      </c>
      <c r="AE8" s="212">
        <v>37986</v>
      </c>
      <c r="AF8" s="213">
        <f>0.004</f>
        <v>4.0000000000000001E-3</v>
      </c>
      <c r="AI8"/>
      <c r="AJ8" s="222">
        <v>37073</v>
      </c>
      <c r="AK8" s="225">
        <f>'[9]Model Operations'!C63</f>
        <v>1.1522266576E-3</v>
      </c>
      <c r="AL8" s="225">
        <f>'[9]Model Operations'!E63</f>
        <v>3.6970217296000006E-3</v>
      </c>
      <c r="AM8" s="225">
        <f>'[9]Escalation sheet'!X21</f>
        <v>3.4114391715199997E-2</v>
      </c>
    </row>
    <row r="9" spans="1:254" s="193" customFormat="1" ht="12.75" customHeight="1">
      <c r="A9" s="251">
        <v>3</v>
      </c>
      <c r="B9" s="247" t="s">
        <v>250</v>
      </c>
      <c r="C9" s="189">
        <f t="shared" si="1"/>
        <v>37025</v>
      </c>
      <c r="D9" s="189">
        <f t="shared" ca="1" si="1"/>
        <v>37026</v>
      </c>
      <c r="E9" s="190">
        <f t="shared" si="1"/>
        <v>37043</v>
      </c>
      <c r="F9" s="191">
        <v>42035</v>
      </c>
      <c r="G9" s="191" t="s">
        <v>163</v>
      </c>
      <c r="H9" s="191" t="s">
        <v>166</v>
      </c>
      <c r="I9" s="242" t="s">
        <v>160</v>
      </c>
      <c r="J9" s="242" t="s">
        <v>157</v>
      </c>
      <c r="K9" s="242" t="s">
        <v>163</v>
      </c>
      <c r="L9" s="243" t="s">
        <v>166</v>
      </c>
      <c r="M9" s="279">
        <f t="shared" ref="M9:N14" si="2">M8</f>
        <v>1</v>
      </c>
      <c r="N9" s="279">
        <f t="shared" si="2"/>
        <v>0.99990000000000001</v>
      </c>
      <c r="O9" s="280">
        <f>[8]ContractTbl!$E$12</f>
        <v>36050</v>
      </c>
      <c r="P9" s="281">
        <v>0</v>
      </c>
      <c r="Q9" s="282"/>
      <c r="R9" s="248" t="s">
        <v>180</v>
      </c>
      <c r="S9" s="282">
        <f>[8]ContractTbl!$E$20+[8]ContractTbl!$E$24+S12</f>
        <v>7.0699999999999999E-2</v>
      </c>
      <c r="T9" s="286">
        <v>4.5699999999999998E-2</v>
      </c>
      <c r="U9" s="283">
        <f>[8]ContractTbl!$E$26</f>
        <v>4.5699999999999998E-2</v>
      </c>
      <c r="V9" s="248"/>
      <c r="W9" s="286"/>
      <c r="X9" s="284"/>
      <c r="Y9" s="195"/>
      <c r="Z9" s="285"/>
      <c r="AA9" s="285"/>
      <c r="AB9" s="168"/>
      <c r="AC9" s="159"/>
      <c r="AD9" s="212">
        <v>37987</v>
      </c>
      <c r="AE9" s="212">
        <v>38352</v>
      </c>
      <c r="AF9" s="213">
        <f>0</f>
        <v>0</v>
      </c>
      <c r="AI9"/>
      <c r="AJ9" s="222">
        <v>37104</v>
      </c>
      <c r="AK9" s="225">
        <f>'[9]Model Operations'!C64</f>
        <v>1.1522266576E-3</v>
      </c>
      <c r="AL9" s="225">
        <f>'[9]Model Operations'!E64</f>
        <v>3.6970217296000006E-3</v>
      </c>
      <c r="AM9" s="225">
        <f>'[9]Escalation sheet'!X22</f>
        <v>3.4114391715199997E-2</v>
      </c>
    </row>
    <row r="10" spans="1:254" s="193" customFormat="1" ht="12.75" customHeight="1">
      <c r="A10" s="188">
        <v>4</v>
      </c>
      <c r="B10" s="247" t="s">
        <v>210</v>
      </c>
      <c r="C10" s="189">
        <f t="shared" si="1"/>
        <v>37025</v>
      </c>
      <c r="D10" s="189">
        <f t="shared" ca="1" si="1"/>
        <v>37026</v>
      </c>
      <c r="E10" s="190">
        <f t="shared" si="1"/>
        <v>37043</v>
      </c>
      <c r="F10" s="191">
        <v>42094</v>
      </c>
      <c r="G10" s="191" t="s">
        <v>156</v>
      </c>
      <c r="H10" s="191" t="s">
        <v>212</v>
      </c>
      <c r="I10" s="242" t="s">
        <v>157</v>
      </c>
      <c r="J10" s="242" t="s">
        <v>157</v>
      </c>
      <c r="K10" s="243" t="s">
        <v>166</v>
      </c>
      <c r="L10" s="243" t="s">
        <v>166</v>
      </c>
      <c r="M10" s="279">
        <f t="shared" si="2"/>
        <v>1</v>
      </c>
      <c r="N10" s="279">
        <f t="shared" si="2"/>
        <v>0.99990000000000001</v>
      </c>
      <c r="O10" s="280">
        <f>[8]ContractTbl!$F$12</f>
        <v>119740</v>
      </c>
      <c r="P10" s="281">
        <v>0</v>
      </c>
      <c r="Q10" s="282"/>
      <c r="R10" s="248" t="str">
        <f>[8]ContractTbl!$F$25</f>
        <v>N</v>
      </c>
      <c r="S10" s="282">
        <f>[8]ContractTbl!$F$20+0.0022</f>
        <v>1.2800000000000001E-2</v>
      </c>
      <c r="T10" s="283">
        <f>[8]ContractTbl!$F$26</f>
        <v>8.0000000000000002E-3</v>
      </c>
      <c r="U10" s="284">
        <f t="shared" si="0"/>
        <v>8.0000000000000002E-3</v>
      </c>
      <c r="V10" s="248"/>
      <c r="W10" s="286"/>
      <c r="X10" s="284"/>
      <c r="Y10" s="195"/>
      <c r="Z10" s="285"/>
      <c r="AA10" s="285"/>
      <c r="AB10" s="168"/>
      <c r="AC10" s="159"/>
      <c r="AD10" s="169"/>
      <c r="AE10" s="201"/>
      <c r="AF10" s="202"/>
      <c r="AG10" s="202"/>
      <c r="AH10" s="202"/>
      <c r="AI10"/>
      <c r="AJ10" s="222">
        <v>37135</v>
      </c>
      <c r="AK10" s="225">
        <f>'[9]Model Operations'!C65</f>
        <v>1.1522266576E-3</v>
      </c>
      <c r="AL10" s="225">
        <f>'[9]Model Operations'!E65</f>
        <v>3.6970217296000006E-3</v>
      </c>
      <c r="AM10" s="225">
        <f>'[9]Escalation sheet'!X23</f>
        <v>3.4114391715199997E-2</v>
      </c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  <c r="DO10" s="202"/>
      <c r="DP10" s="202"/>
      <c r="DQ10" s="202"/>
      <c r="DR10" s="202"/>
      <c r="DS10" s="202"/>
      <c r="DT10" s="202"/>
      <c r="DU10" s="202"/>
      <c r="DV10" s="202"/>
      <c r="DW10" s="202"/>
      <c r="DX10" s="202"/>
      <c r="DY10" s="202"/>
      <c r="DZ10" s="202"/>
      <c r="EA10" s="202"/>
      <c r="EB10" s="202"/>
      <c r="EC10" s="202"/>
      <c r="ED10" s="202"/>
      <c r="EE10" s="202"/>
      <c r="EF10" s="202"/>
      <c r="EG10" s="202"/>
      <c r="EH10" s="202"/>
      <c r="EI10" s="202"/>
      <c r="EJ10" s="202"/>
      <c r="EK10" s="202"/>
      <c r="EL10" s="202"/>
      <c r="EM10" s="202"/>
      <c r="EN10" s="202"/>
      <c r="EO10" s="202"/>
      <c r="EP10" s="202"/>
      <c r="EQ10" s="202"/>
      <c r="ER10" s="202"/>
      <c r="ES10" s="202"/>
      <c r="ET10" s="202"/>
      <c r="EU10" s="202"/>
      <c r="EV10" s="202"/>
      <c r="EW10" s="202"/>
      <c r="EX10" s="202"/>
      <c r="EY10" s="202"/>
      <c r="EZ10" s="202"/>
      <c r="FA10" s="202"/>
      <c r="FB10" s="202"/>
      <c r="FC10" s="202"/>
      <c r="FD10" s="202"/>
      <c r="FE10" s="202"/>
      <c r="FF10" s="202"/>
      <c r="FG10" s="202"/>
      <c r="FH10" s="202"/>
      <c r="FI10" s="202"/>
      <c r="FJ10" s="202"/>
      <c r="FK10" s="202"/>
      <c r="FL10" s="202"/>
      <c r="FM10" s="202"/>
      <c r="FN10" s="202"/>
      <c r="FO10" s="202"/>
      <c r="FP10" s="202"/>
      <c r="FQ10" s="202"/>
      <c r="FR10" s="202"/>
      <c r="FS10" s="202"/>
      <c r="FT10" s="202"/>
      <c r="FU10" s="202"/>
      <c r="FV10" s="202"/>
      <c r="FW10" s="202"/>
      <c r="FX10" s="202"/>
      <c r="FY10" s="202"/>
      <c r="FZ10" s="202"/>
      <c r="GA10" s="202"/>
      <c r="GB10" s="202"/>
      <c r="GC10" s="202"/>
      <c r="GD10" s="202"/>
      <c r="GE10" s="202"/>
      <c r="GF10" s="202"/>
      <c r="GG10" s="202"/>
      <c r="GH10" s="202"/>
      <c r="GI10" s="202"/>
      <c r="GJ10" s="202"/>
      <c r="GK10" s="202"/>
      <c r="GL10" s="202"/>
      <c r="GM10" s="202"/>
      <c r="GN10" s="202"/>
      <c r="GO10" s="202"/>
      <c r="GP10" s="202"/>
      <c r="GQ10" s="202"/>
      <c r="GR10" s="202"/>
      <c r="GS10" s="202"/>
      <c r="GT10" s="202"/>
      <c r="GU10" s="202"/>
      <c r="GV10" s="202"/>
      <c r="GW10" s="202"/>
      <c r="GX10" s="202"/>
      <c r="GY10" s="202"/>
      <c r="GZ10" s="202"/>
      <c r="HA10" s="202"/>
      <c r="HB10" s="202"/>
      <c r="HC10" s="202"/>
      <c r="HD10" s="202"/>
      <c r="HE10" s="202"/>
      <c r="HF10" s="202"/>
      <c r="HG10" s="202"/>
      <c r="HH10" s="202"/>
      <c r="HI10" s="202"/>
      <c r="HJ10" s="202"/>
      <c r="HK10" s="202"/>
      <c r="HL10" s="202"/>
      <c r="HM10" s="202"/>
      <c r="HN10" s="202"/>
      <c r="HO10" s="202"/>
      <c r="HP10" s="202"/>
      <c r="HQ10" s="202"/>
      <c r="HR10" s="202"/>
      <c r="HS10" s="202"/>
      <c r="HT10" s="202"/>
      <c r="HU10" s="202"/>
      <c r="HV10" s="202"/>
      <c r="HW10" s="202"/>
      <c r="HX10" s="202"/>
      <c r="HY10" s="202"/>
      <c r="HZ10" s="202"/>
      <c r="IA10" s="202"/>
      <c r="IB10" s="202"/>
      <c r="IC10" s="202"/>
      <c r="ID10" s="202"/>
      <c r="IE10" s="202"/>
      <c r="IF10" s="202"/>
      <c r="IG10" s="202"/>
      <c r="IH10" s="202"/>
      <c r="II10" s="202"/>
      <c r="IJ10" s="202"/>
      <c r="IK10" s="202"/>
      <c r="IL10" s="202"/>
      <c r="IM10" s="202"/>
      <c r="IN10" s="202"/>
      <c r="IO10" s="202"/>
      <c r="IP10" s="202"/>
      <c r="IQ10" s="202"/>
      <c r="IR10" s="202"/>
      <c r="IS10" s="202"/>
      <c r="IT10" s="202"/>
    </row>
    <row r="11" spans="1:254" s="193" customFormat="1" ht="12.75" customHeight="1">
      <c r="A11" s="188">
        <v>5</v>
      </c>
      <c r="B11" s="272" t="s">
        <v>211</v>
      </c>
      <c r="C11" s="189">
        <f t="shared" si="1"/>
        <v>37025</v>
      </c>
      <c r="D11" s="189">
        <f t="shared" ca="1" si="1"/>
        <v>37026</v>
      </c>
      <c r="E11" s="190">
        <f t="shared" si="1"/>
        <v>37043</v>
      </c>
      <c r="F11" s="191">
        <v>42094</v>
      </c>
      <c r="G11" s="191" t="s">
        <v>212</v>
      </c>
      <c r="H11" s="191" t="s">
        <v>164</v>
      </c>
      <c r="I11" s="242" t="s">
        <v>157</v>
      </c>
      <c r="J11" s="242" t="s">
        <v>157</v>
      </c>
      <c r="K11" s="243" t="s">
        <v>166</v>
      </c>
      <c r="L11" s="243" t="s">
        <v>166</v>
      </c>
      <c r="M11" s="279">
        <f t="shared" si="2"/>
        <v>1</v>
      </c>
      <c r="N11" s="279">
        <f t="shared" si="2"/>
        <v>0.99990000000000001</v>
      </c>
      <c r="O11" s="280">
        <f>[8]ContractTbl!$G$12</f>
        <v>124142</v>
      </c>
      <c r="P11" s="281">
        <v>0</v>
      </c>
      <c r="Q11" s="282"/>
      <c r="R11" s="248" t="str">
        <f>[8]ContractTbl!$G$25</f>
        <v>N</v>
      </c>
      <c r="S11" s="282">
        <f>[8]ContractTbl!$G$20</f>
        <v>3.6970217296000006E-3</v>
      </c>
      <c r="T11" s="283">
        <f>[8]ContractTbl!$G$26</f>
        <v>1.055056E-2</v>
      </c>
      <c r="U11" s="285">
        <f t="shared" si="0"/>
        <v>1.055056E-2</v>
      </c>
      <c r="V11" s="248"/>
      <c r="W11" s="286"/>
      <c r="X11" s="284"/>
      <c r="Y11" s="195"/>
      <c r="Z11" s="285"/>
      <c r="AA11" s="285"/>
      <c r="AB11" s="168"/>
      <c r="AC11" s="159"/>
      <c r="AD11" s="169"/>
      <c r="AE11" s="201"/>
      <c r="AF11" s="202"/>
      <c r="AG11" s="202"/>
      <c r="AH11" s="202"/>
      <c r="AI11"/>
      <c r="AJ11" s="222">
        <v>37165</v>
      </c>
      <c r="AK11" s="225">
        <f>'[9]Model Operations'!C66</f>
        <v>1.1522266576E-3</v>
      </c>
      <c r="AL11" s="225">
        <f>'[9]Model Operations'!E66</f>
        <v>3.6970217296000006E-3</v>
      </c>
      <c r="AM11" s="225">
        <f>'[9]Escalation sheet'!X24</f>
        <v>3.4114391715199997E-2</v>
      </c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  <c r="DO11" s="202"/>
      <c r="DP11" s="202"/>
      <c r="DQ11" s="202"/>
      <c r="DR11" s="202"/>
      <c r="DS11" s="202"/>
      <c r="DT11" s="202"/>
      <c r="DU11" s="202"/>
      <c r="DV11" s="202"/>
      <c r="DW11" s="202"/>
      <c r="DX11" s="202"/>
      <c r="DY11" s="202"/>
      <c r="DZ11" s="202"/>
      <c r="EA11" s="202"/>
      <c r="EB11" s="202"/>
      <c r="EC11" s="202"/>
      <c r="ED11" s="202"/>
      <c r="EE11" s="202"/>
      <c r="EF11" s="202"/>
      <c r="EG11" s="202"/>
      <c r="EH11" s="202"/>
      <c r="EI11" s="202"/>
      <c r="EJ11" s="202"/>
      <c r="EK11" s="202"/>
      <c r="EL11" s="202"/>
      <c r="EM11" s="202"/>
      <c r="EN11" s="202"/>
      <c r="EO11" s="202"/>
      <c r="EP11" s="202"/>
      <c r="EQ11" s="202"/>
      <c r="ER11" s="202"/>
      <c r="ES11" s="202"/>
      <c r="ET11" s="202"/>
      <c r="EU11" s="202"/>
      <c r="EV11" s="202"/>
      <c r="EW11" s="202"/>
      <c r="EX11" s="202"/>
      <c r="EY11" s="202"/>
      <c r="EZ11" s="202"/>
      <c r="FA11" s="202"/>
      <c r="FB11" s="202"/>
      <c r="FC11" s="202"/>
      <c r="FD11" s="202"/>
      <c r="FE11" s="202"/>
      <c r="FF11" s="202"/>
      <c r="FG11" s="202"/>
      <c r="FH11" s="202"/>
      <c r="FI11" s="202"/>
      <c r="FJ11" s="202"/>
      <c r="FK11" s="202"/>
      <c r="FL11" s="202"/>
      <c r="FM11" s="202"/>
      <c r="FN11" s="202"/>
      <c r="FO11" s="202"/>
      <c r="FP11" s="202"/>
      <c r="FQ11" s="202"/>
      <c r="FR11" s="202"/>
      <c r="FS11" s="202"/>
      <c r="FT11" s="202"/>
      <c r="FU11" s="202"/>
      <c r="FV11" s="202"/>
      <c r="FW11" s="202"/>
      <c r="FX11" s="202"/>
      <c r="FY11" s="202"/>
      <c r="FZ11" s="202"/>
      <c r="GA11" s="202"/>
      <c r="GB11" s="202"/>
      <c r="GC11" s="202"/>
      <c r="GD11" s="202"/>
      <c r="GE11" s="202"/>
      <c r="GF11" s="202"/>
      <c r="GG11" s="202"/>
      <c r="GH11" s="202"/>
      <c r="GI11" s="202"/>
      <c r="GJ11" s="202"/>
      <c r="GK11" s="202"/>
      <c r="GL11" s="202"/>
      <c r="GM11" s="202"/>
      <c r="GN11" s="202"/>
      <c r="GO11" s="202"/>
      <c r="GP11" s="202"/>
      <c r="GQ11" s="202"/>
      <c r="GR11" s="202"/>
      <c r="GS11" s="202"/>
      <c r="GT11" s="202"/>
      <c r="GU11" s="202"/>
      <c r="GV11" s="202"/>
      <c r="GW11" s="202"/>
      <c r="GX11" s="202"/>
      <c r="GY11" s="202"/>
      <c r="GZ11" s="202"/>
      <c r="HA11" s="202"/>
      <c r="HB11" s="202"/>
      <c r="HC11" s="202"/>
      <c r="HD11" s="202"/>
      <c r="HE11" s="202"/>
      <c r="HF11" s="202"/>
      <c r="HG11" s="202"/>
      <c r="HH11" s="202"/>
      <c r="HI11" s="202"/>
      <c r="HJ11" s="202"/>
      <c r="HK11" s="202"/>
      <c r="HL11" s="202"/>
      <c r="HM11" s="202"/>
      <c r="HN11" s="202"/>
      <c r="HO11" s="202"/>
      <c r="HP11" s="202"/>
      <c r="HQ11" s="202"/>
      <c r="HR11" s="202"/>
      <c r="HS11" s="202"/>
      <c r="HT11" s="202"/>
      <c r="HU11" s="202"/>
      <c r="HV11" s="202"/>
      <c r="HW11" s="202"/>
      <c r="HX11" s="202"/>
      <c r="HY11" s="202"/>
      <c r="HZ11" s="202"/>
      <c r="IA11" s="202"/>
      <c r="IB11" s="202"/>
      <c r="IC11" s="202"/>
      <c r="ID11" s="202"/>
      <c r="IE11" s="202"/>
      <c r="IF11" s="202"/>
      <c r="IG11" s="202"/>
      <c r="IH11" s="202"/>
      <c r="II11" s="202"/>
      <c r="IJ11" s="202"/>
      <c r="IK11" s="202"/>
      <c r="IL11" s="202"/>
      <c r="IM11" s="202"/>
      <c r="IN11" s="202"/>
      <c r="IO11" s="202"/>
      <c r="IP11" s="202"/>
      <c r="IQ11" s="202"/>
      <c r="IR11" s="202"/>
      <c r="IS11" s="202"/>
      <c r="IT11" s="202"/>
    </row>
    <row r="12" spans="1:254" s="202" customFormat="1" ht="12.75" hidden="1" customHeight="1">
      <c r="A12" s="251">
        <v>6</v>
      </c>
      <c r="B12" s="197" t="s">
        <v>214</v>
      </c>
      <c r="C12" s="189">
        <f t="shared" si="1"/>
        <v>37025</v>
      </c>
      <c r="D12" s="189">
        <f t="shared" ca="1" si="1"/>
        <v>37026</v>
      </c>
      <c r="E12" s="190">
        <f t="shared" si="1"/>
        <v>37043</v>
      </c>
      <c r="F12" s="190">
        <f t="shared" si="1"/>
        <v>42094</v>
      </c>
      <c r="G12" s="190" t="s">
        <v>225</v>
      </c>
      <c r="H12" s="190" t="s">
        <v>166</v>
      </c>
      <c r="I12" s="195" t="s">
        <v>157</v>
      </c>
      <c r="J12" s="195" t="s">
        <v>157</v>
      </c>
      <c r="K12" s="190" t="s">
        <v>166</v>
      </c>
      <c r="L12" s="190" t="s">
        <v>166</v>
      </c>
      <c r="M12" s="285">
        <f t="shared" si="2"/>
        <v>1</v>
      </c>
      <c r="N12" s="285">
        <f t="shared" si="2"/>
        <v>0.99990000000000001</v>
      </c>
      <c r="O12" s="290">
        <v>36522</v>
      </c>
      <c r="P12" s="281">
        <v>0</v>
      </c>
      <c r="Q12" s="195"/>
      <c r="R12" s="195" t="str">
        <f>[8]ContractTbl!$H$25</f>
        <v>N</v>
      </c>
      <c r="S12" s="195">
        <v>2.9000000000000001E-2</v>
      </c>
      <c r="T12" s="284">
        <v>0</v>
      </c>
      <c r="U12" s="284">
        <f>T12</f>
        <v>0</v>
      </c>
      <c r="V12" s="195"/>
      <c r="W12" s="195"/>
      <c r="X12" s="195"/>
      <c r="Y12" s="195"/>
      <c r="Z12" s="285"/>
      <c r="AA12" s="285"/>
      <c r="AB12" s="168"/>
      <c r="AC12" s="159"/>
      <c r="AD12" s="169"/>
      <c r="AE12" s="194"/>
      <c r="AF12" s="193"/>
      <c r="AG12" s="193"/>
      <c r="AH12" s="193"/>
      <c r="AI12"/>
      <c r="AJ12" s="222">
        <v>37196</v>
      </c>
      <c r="AK12" s="225">
        <f>'[9]Model Operations'!C67</f>
        <v>1.1522266576E-3</v>
      </c>
      <c r="AL12" s="225">
        <f>'[9]Model Operations'!E67</f>
        <v>3.6970217296000006E-3</v>
      </c>
      <c r="AM12" s="225">
        <f>'[9]Escalation sheet'!X25</f>
        <v>3.4114391715199997E-2</v>
      </c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3"/>
      <c r="BB12" s="193"/>
      <c r="BC12" s="193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3"/>
      <c r="BS12" s="193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3"/>
      <c r="CJ12" s="193"/>
      <c r="CK12" s="193"/>
      <c r="CL12" s="193"/>
      <c r="CM12" s="193"/>
      <c r="CN12" s="193"/>
      <c r="CO12" s="193"/>
      <c r="CP12" s="193"/>
      <c r="CQ12" s="193"/>
      <c r="CR12" s="193"/>
      <c r="CS12" s="193"/>
      <c r="CT12" s="193"/>
      <c r="CU12" s="193"/>
      <c r="CV12" s="193"/>
      <c r="CW12" s="193"/>
      <c r="CX12" s="193"/>
      <c r="CY12" s="193"/>
      <c r="CZ12" s="193"/>
      <c r="DA12" s="193"/>
      <c r="DB12" s="193"/>
      <c r="DC12" s="193"/>
      <c r="DD12" s="193"/>
      <c r="DE12" s="193"/>
      <c r="DF12" s="193"/>
      <c r="DG12" s="193"/>
      <c r="DH12" s="193"/>
      <c r="DI12" s="193"/>
      <c r="DJ12" s="193"/>
      <c r="DK12" s="193"/>
      <c r="DL12" s="193"/>
      <c r="DM12" s="193"/>
      <c r="DN12" s="193"/>
      <c r="DO12" s="193"/>
      <c r="DP12" s="193"/>
      <c r="DQ12" s="193"/>
      <c r="DR12" s="193"/>
      <c r="DS12" s="193"/>
      <c r="DT12" s="193"/>
      <c r="DU12" s="193"/>
      <c r="DV12" s="193"/>
      <c r="DW12" s="193"/>
      <c r="DX12" s="193"/>
      <c r="DY12" s="193"/>
      <c r="DZ12" s="193"/>
      <c r="EA12" s="193"/>
      <c r="EB12" s="193"/>
      <c r="EC12" s="193"/>
      <c r="ED12" s="193"/>
      <c r="EE12" s="193"/>
      <c r="EF12" s="193"/>
      <c r="EG12" s="193"/>
      <c r="EH12" s="193"/>
      <c r="EI12" s="193"/>
      <c r="EJ12" s="193"/>
      <c r="EK12" s="193"/>
      <c r="EL12" s="193"/>
      <c r="EM12" s="193"/>
      <c r="EN12" s="193"/>
      <c r="EO12" s="193"/>
      <c r="EP12" s="193"/>
      <c r="EQ12" s="193"/>
      <c r="ER12" s="193"/>
      <c r="ES12" s="193"/>
      <c r="ET12" s="193"/>
      <c r="EU12" s="193"/>
      <c r="EV12" s="193"/>
      <c r="EW12" s="193"/>
      <c r="EX12" s="193"/>
      <c r="EY12" s="193"/>
      <c r="EZ12" s="193"/>
      <c r="FA12" s="193"/>
      <c r="FB12" s="193"/>
      <c r="FC12" s="193"/>
      <c r="FD12" s="193"/>
      <c r="FE12" s="193"/>
      <c r="FF12" s="193"/>
      <c r="FG12" s="193"/>
      <c r="FH12" s="193"/>
      <c r="FI12" s="193"/>
      <c r="FJ12" s="193"/>
      <c r="FK12" s="193"/>
      <c r="FL12" s="193"/>
      <c r="FM12" s="193"/>
      <c r="FN12" s="193"/>
      <c r="FO12" s="193"/>
      <c r="FP12" s="193"/>
      <c r="FQ12" s="193"/>
      <c r="FR12" s="193"/>
      <c r="FS12" s="193"/>
      <c r="FT12" s="193"/>
      <c r="FU12" s="193"/>
      <c r="FV12" s="193"/>
      <c r="FW12" s="193"/>
      <c r="FX12" s="193"/>
      <c r="FY12" s="193"/>
      <c r="FZ12" s="193"/>
      <c r="GA12" s="193"/>
      <c r="GB12" s="193"/>
      <c r="GC12" s="193"/>
      <c r="GD12" s="193"/>
      <c r="GE12" s="193"/>
      <c r="GF12" s="193"/>
      <c r="GG12" s="193"/>
      <c r="GH12" s="193"/>
      <c r="GI12" s="193"/>
      <c r="GJ12" s="193"/>
      <c r="GK12" s="193"/>
      <c r="GL12" s="193"/>
      <c r="GM12" s="193"/>
      <c r="GN12" s="193"/>
      <c r="GO12" s="193"/>
      <c r="GP12" s="193"/>
      <c r="GQ12" s="193"/>
      <c r="GR12" s="193"/>
      <c r="GS12" s="193"/>
      <c r="GT12" s="193"/>
      <c r="GU12" s="193"/>
      <c r="GV12" s="193"/>
      <c r="GW12" s="193"/>
      <c r="GX12" s="193"/>
      <c r="GY12" s="193"/>
      <c r="GZ12" s="193"/>
      <c r="HA12" s="193"/>
      <c r="HB12" s="193"/>
      <c r="HC12" s="193"/>
      <c r="HD12" s="193"/>
      <c r="HE12" s="193"/>
      <c r="HF12" s="193"/>
      <c r="HG12" s="193"/>
      <c r="HH12" s="193"/>
      <c r="HI12" s="193"/>
      <c r="HJ12" s="193"/>
      <c r="HK12" s="193"/>
      <c r="HL12" s="193"/>
      <c r="HM12" s="193"/>
      <c r="HN12" s="193"/>
      <c r="HO12" s="193"/>
      <c r="HP12" s="193"/>
      <c r="HQ12" s="193"/>
      <c r="HR12" s="193"/>
      <c r="HS12" s="193"/>
      <c r="HT12" s="193"/>
      <c r="HU12" s="193"/>
      <c r="HV12" s="193"/>
      <c r="HW12" s="193"/>
      <c r="HX12" s="193"/>
      <c r="HY12" s="193"/>
      <c r="HZ12" s="193"/>
      <c r="IA12" s="193"/>
      <c r="IB12" s="193"/>
      <c r="IC12" s="193"/>
      <c r="ID12" s="193"/>
      <c r="IE12" s="193"/>
      <c r="IF12" s="193"/>
      <c r="IG12" s="193"/>
      <c r="IH12" s="193"/>
      <c r="II12" s="193"/>
      <c r="IJ12" s="193"/>
      <c r="IK12" s="193"/>
      <c r="IL12" s="193"/>
      <c r="IM12" s="193"/>
      <c r="IN12" s="193"/>
      <c r="IO12" s="193"/>
      <c r="IP12" s="193"/>
      <c r="IQ12" s="193"/>
      <c r="IR12" s="193"/>
      <c r="IS12" s="193"/>
      <c r="IT12" s="193"/>
    </row>
    <row r="13" spans="1:254" s="193" customFormat="1" ht="12.75" customHeight="1" thickBot="1">
      <c r="A13" s="188">
        <v>6</v>
      </c>
      <c r="B13" s="247" t="s">
        <v>213</v>
      </c>
      <c r="C13" s="189">
        <f t="shared" si="1"/>
        <v>37025</v>
      </c>
      <c r="D13" s="189">
        <f t="shared" ca="1" si="1"/>
        <v>37026</v>
      </c>
      <c r="E13" s="190">
        <f t="shared" si="1"/>
        <v>37043</v>
      </c>
      <c r="F13" s="191">
        <v>42094</v>
      </c>
      <c r="G13" s="191" t="s">
        <v>185</v>
      </c>
      <c r="H13" s="191" t="s">
        <v>164</v>
      </c>
      <c r="I13" s="242" t="s">
        <v>167</v>
      </c>
      <c r="J13" s="242" t="s">
        <v>157</v>
      </c>
      <c r="K13" s="243" t="s">
        <v>166</v>
      </c>
      <c r="L13" s="243" t="s">
        <v>166</v>
      </c>
      <c r="M13" s="279">
        <f t="shared" si="2"/>
        <v>1</v>
      </c>
      <c r="N13" s="279">
        <f t="shared" si="2"/>
        <v>0.99990000000000001</v>
      </c>
      <c r="O13" s="280">
        <f>[8]ContractTbl!$I$12</f>
        <v>28400</v>
      </c>
      <c r="P13" s="281">
        <v>0</v>
      </c>
      <c r="Q13" s="204"/>
      <c r="R13" s="248" t="str">
        <f>[8]ContractTbl!$I$25</f>
        <v>N</v>
      </c>
      <c r="S13" s="282">
        <f>[8]ContractTbl!$I$20</f>
        <v>3.4114391715199997E-2</v>
      </c>
      <c r="T13" s="283">
        <f>[8]ContractTbl!$I$26</f>
        <v>7.3853920000000003E-2</v>
      </c>
      <c r="U13" s="284">
        <f t="shared" si="0"/>
        <v>7.3853920000000003E-2</v>
      </c>
      <c r="V13" s="195"/>
      <c r="W13" s="285"/>
      <c r="X13" s="285"/>
      <c r="Y13" s="195"/>
      <c r="Z13" s="285"/>
      <c r="AA13" s="285"/>
      <c r="AB13" s="156"/>
      <c r="AC13" s="156"/>
      <c r="AD13" s="159"/>
      <c r="AE13" s="160"/>
      <c r="AI13"/>
      <c r="AJ13" s="223">
        <v>37226</v>
      </c>
      <c r="AK13" s="225">
        <f>'[9]Model Operations'!C68</f>
        <v>1.1522266576E-3</v>
      </c>
      <c r="AL13" s="225">
        <f>'[9]Model Operations'!E68</f>
        <v>3.6970217296000006E-3</v>
      </c>
      <c r="AM13" s="225">
        <f>'[9]Escalation sheet'!X26</f>
        <v>3.4114391715199997E-2</v>
      </c>
    </row>
    <row r="14" spans="1:254" s="193" customFormat="1" ht="12.75" customHeight="1">
      <c r="A14" s="188">
        <v>7</v>
      </c>
      <c r="B14" s="272" t="s">
        <v>215</v>
      </c>
      <c r="C14" s="189">
        <f t="shared" si="1"/>
        <v>37025</v>
      </c>
      <c r="D14" s="189">
        <f t="shared" ca="1" si="1"/>
        <v>37026</v>
      </c>
      <c r="E14" s="190">
        <f t="shared" si="1"/>
        <v>37043</v>
      </c>
      <c r="F14" s="191">
        <v>42094</v>
      </c>
      <c r="G14" s="191" t="s">
        <v>166</v>
      </c>
      <c r="H14" s="191" t="s">
        <v>164</v>
      </c>
      <c r="I14" s="242" t="s">
        <v>157</v>
      </c>
      <c r="J14" s="242" t="s">
        <v>157</v>
      </c>
      <c r="K14" s="243" t="s">
        <v>166</v>
      </c>
      <c r="L14" s="243" t="s">
        <v>166</v>
      </c>
      <c r="M14" s="279">
        <f t="shared" si="2"/>
        <v>1</v>
      </c>
      <c r="N14" s="279">
        <f t="shared" si="2"/>
        <v>0.99990000000000001</v>
      </c>
      <c r="O14" s="280">
        <f>[8]ContractTbl!$L$12</f>
        <v>39326</v>
      </c>
      <c r="P14" s="281">
        <v>0</v>
      </c>
      <c r="Q14" s="204"/>
      <c r="R14" s="248" t="s">
        <v>179</v>
      </c>
      <c r="S14" s="282">
        <f>'Escalating commodity'!J23</f>
        <v>3.6970217296000006E-3</v>
      </c>
      <c r="T14" s="286">
        <v>1.0551E-2</v>
      </c>
      <c r="U14" s="284">
        <f>T14</f>
        <v>1.0551E-2</v>
      </c>
      <c r="V14" s="195"/>
      <c r="W14" s="285"/>
      <c r="X14" s="285"/>
      <c r="Y14" s="195"/>
      <c r="Z14" s="285"/>
      <c r="AA14" s="285"/>
      <c r="AB14" s="156"/>
      <c r="AC14" s="156"/>
      <c r="AD14" s="240"/>
      <c r="AE14" s="241"/>
      <c r="AI14" s="86">
        <v>1.052</v>
      </c>
      <c r="AJ14" s="222">
        <v>37257</v>
      </c>
      <c r="AK14" s="225">
        <f>'[9]Model Operations'!C69</f>
        <v>1.2121424437952001E-3</v>
      </c>
      <c r="AL14" s="225">
        <f>'[9]Model Operations'!E69</f>
        <v>3.8892668595392008E-3</v>
      </c>
      <c r="AM14" s="225">
        <f>'[9]Escalation sheet'!X27</f>
        <v>3.5888340084390402E-2</v>
      </c>
    </row>
    <row r="15" spans="1:254" s="193" customFormat="1" ht="12.75" customHeight="1">
      <c r="A15" s="188" t="s">
        <v>81</v>
      </c>
      <c r="B15" s="247" t="s">
        <v>81</v>
      </c>
      <c r="C15" s="189" t="s">
        <v>81</v>
      </c>
      <c r="D15" s="189" t="s">
        <v>81</v>
      </c>
      <c r="E15" s="190" t="s">
        <v>81</v>
      </c>
      <c r="F15" s="190" t="s">
        <v>81</v>
      </c>
      <c r="G15" s="191"/>
      <c r="H15" s="191"/>
      <c r="I15" s="248"/>
      <c r="J15" s="248"/>
      <c r="K15" s="248"/>
      <c r="L15" s="191"/>
      <c r="M15" s="279"/>
      <c r="N15" s="279"/>
      <c r="O15" s="287"/>
      <c r="P15" s="281"/>
      <c r="Q15" s="196"/>
      <c r="R15" s="248"/>
      <c r="S15" s="282"/>
      <c r="T15" s="288"/>
      <c r="U15" s="285"/>
      <c r="V15" s="282"/>
      <c r="W15" s="285"/>
      <c r="X15" s="285"/>
      <c r="Y15" s="195"/>
      <c r="Z15" s="285"/>
      <c r="AA15" s="285"/>
      <c r="AB15" s="156"/>
      <c r="AC15" s="156"/>
      <c r="AD15" s="240"/>
      <c r="AE15" s="241"/>
      <c r="AI15" s="86"/>
      <c r="AJ15" s="222">
        <v>37288</v>
      </c>
      <c r="AK15" s="225">
        <f>'[9]Model Operations'!C70</f>
        <v>1.2121424437952001E-3</v>
      </c>
      <c r="AL15" s="225">
        <f>'[9]Model Operations'!E70</f>
        <v>3.8892668595392008E-3</v>
      </c>
      <c r="AM15" s="225">
        <f>'[9]Escalation sheet'!X28</f>
        <v>3.5888340084390402E-2</v>
      </c>
    </row>
    <row r="16" spans="1:254" s="193" customFormat="1" ht="12.75" customHeight="1">
      <c r="A16" s="194"/>
      <c r="B16" s="197"/>
      <c r="C16" s="189"/>
      <c r="D16" s="189"/>
      <c r="E16" s="190"/>
      <c r="F16" s="190"/>
      <c r="G16" s="190"/>
      <c r="H16" s="191"/>
      <c r="I16" s="195"/>
      <c r="J16" s="195"/>
      <c r="K16" s="195"/>
      <c r="L16" s="195"/>
      <c r="M16" s="289"/>
      <c r="N16" s="289"/>
      <c r="O16" s="290"/>
      <c r="P16" s="281"/>
      <c r="Q16" s="192"/>
      <c r="R16" s="192"/>
      <c r="S16" s="195"/>
      <c r="T16" s="285"/>
      <c r="U16" s="285"/>
      <c r="V16" s="195"/>
      <c r="W16" s="285"/>
      <c r="X16" s="285"/>
      <c r="Y16" s="195"/>
      <c r="Z16" s="285"/>
      <c r="AA16" s="285"/>
      <c r="AB16" s="156"/>
      <c r="AC16" s="156"/>
      <c r="AD16" s="168"/>
      <c r="AE16" s="81"/>
      <c r="AI16" s="86"/>
      <c r="AJ16" s="222">
        <v>37316</v>
      </c>
      <c r="AK16" s="225">
        <f>'[9]Model Operations'!C71</f>
        <v>1.2121424437952001E-3</v>
      </c>
      <c r="AL16" s="225">
        <f>'[9]Model Operations'!E71</f>
        <v>3.8892668595392008E-3</v>
      </c>
      <c r="AM16" s="225">
        <f>'[9]Escalation sheet'!X29</f>
        <v>3.5888340084390402E-2</v>
      </c>
    </row>
    <row r="17" spans="1:39" s="193" customFormat="1" ht="12.75" customHeight="1">
      <c r="A17" s="194"/>
      <c r="B17" s="197"/>
      <c r="C17" s="189"/>
      <c r="D17" s="189"/>
      <c r="E17" s="190" t="s">
        <v>81</v>
      </c>
      <c r="F17" s="190"/>
      <c r="G17" s="190"/>
      <c r="H17" s="190"/>
      <c r="I17" s="195"/>
      <c r="J17" s="195"/>
      <c r="K17" s="195"/>
      <c r="L17" s="195"/>
      <c r="M17" s="289"/>
      <c r="N17" s="289"/>
      <c r="O17" s="290"/>
      <c r="P17" s="281"/>
      <c r="Q17" s="192"/>
      <c r="R17" s="192"/>
      <c r="S17" s="195"/>
      <c r="T17" s="285"/>
      <c r="U17" s="285"/>
      <c r="V17" s="195"/>
      <c r="W17" s="285"/>
      <c r="X17" s="285"/>
      <c r="Y17" s="195"/>
      <c r="Z17" s="285"/>
      <c r="AA17" s="285"/>
      <c r="AB17" s="156"/>
      <c r="AC17" s="156"/>
      <c r="AD17" s="168"/>
      <c r="AE17" s="81"/>
      <c r="AI17" s="86"/>
      <c r="AJ17" s="222">
        <v>37347</v>
      </c>
      <c r="AK17" s="225">
        <f>'[9]Model Operations'!C72</f>
        <v>1.2121424437952001E-3</v>
      </c>
      <c r="AL17" s="225">
        <f>'[9]Model Operations'!E72</f>
        <v>3.8892668595392008E-3</v>
      </c>
      <c r="AM17" s="225">
        <f>'[9]Escalation sheet'!X30</f>
        <v>3.5888340084390402E-2</v>
      </c>
    </row>
    <row r="18" spans="1:39" s="193" customFormat="1" ht="12.75" customHeight="1">
      <c r="A18" s="194"/>
      <c r="B18" s="197"/>
      <c r="C18" s="189"/>
      <c r="D18" s="189"/>
      <c r="E18" s="190"/>
      <c r="F18" s="190"/>
      <c r="G18" s="190"/>
      <c r="H18" s="190"/>
      <c r="I18" s="195"/>
      <c r="J18" s="195"/>
      <c r="K18" s="195"/>
      <c r="L18" s="195"/>
      <c r="M18" s="289"/>
      <c r="N18" s="289"/>
      <c r="O18" s="290"/>
      <c r="P18" s="281"/>
      <c r="Q18" s="197"/>
      <c r="R18" s="197"/>
      <c r="S18" s="195"/>
      <c r="T18" s="285"/>
      <c r="U18" s="285"/>
      <c r="V18" s="195"/>
      <c r="W18" s="285"/>
      <c r="X18" s="285"/>
      <c r="Y18" s="195"/>
      <c r="Z18" s="285"/>
      <c r="AA18" s="285"/>
      <c r="AB18" s="156"/>
      <c r="AC18" s="156"/>
      <c r="AD18" s="159"/>
      <c r="AI18" s="86"/>
      <c r="AJ18" s="222">
        <v>37377</v>
      </c>
      <c r="AK18" s="225">
        <f>'[9]Model Operations'!C73</f>
        <v>1.2121424437952001E-3</v>
      </c>
      <c r="AL18" s="225">
        <f>'[9]Model Operations'!E73</f>
        <v>3.8892668595392008E-3</v>
      </c>
      <c r="AM18" s="225">
        <f>'[9]Escalation sheet'!X31</f>
        <v>3.5888340084390402E-2</v>
      </c>
    </row>
    <row r="19" spans="1:39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194"/>
      <c r="N19" s="194"/>
      <c r="O19" s="194"/>
      <c r="P19" s="73"/>
      <c r="Q19" s="73"/>
      <c r="R19" s="73"/>
      <c r="S19" s="73"/>
      <c r="T19" s="73"/>
      <c r="U19" s="73"/>
      <c r="V19" s="73"/>
      <c r="W19" s="73"/>
      <c r="X19" s="73"/>
      <c r="Y19" s="73"/>
      <c r="AI19" s="86"/>
      <c r="AJ19" s="222">
        <v>37408</v>
      </c>
      <c r="AK19" s="225">
        <f>'[9]Model Operations'!C74</f>
        <v>1.2121424437952001E-3</v>
      </c>
      <c r="AL19" s="225">
        <f>'[9]Model Operations'!E74</f>
        <v>3.8892668595392008E-3</v>
      </c>
      <c r="AM19" s="225">
        <f>'[9]Escalation sheet'!X32</f>
        <v>3.5888340084390402E-2</v>
      </c>
    </row>
    <row r="20" spans="1:39">
      <c r="A20" s="73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194"/>
      <c r="N20" s="194"/>
      <c r="O20" s="194"/>
      <c r="P20" s="73"/>
      <c r="Q20" s="73"/>
      <c r="R20" s="73"/>
      <c r="S20" s="73"/>
      <c r="T20" s="73"/>
      <c r="U20" s="73"/>
      <c r="V20" s="73"/>
      <c r="W20" s="73"/>
      <c r="X20" s="73"/>
      <c r="Y20" s="73"/>
      <c r="AI20" s="86"/>
      <c r="AJ20" s="222">
        <v>37438</v>
      </c>
      <c r="AK20" s="225">
        <f>'[9]Model Operations'!C75</f>
        <v>1.2121424437952001E-3</v>
      </c>
      <c r="AL20" s="225">
        <f>'[9]Model Operations'!E75</f>
        <v>3.8892668595392008E-3</v>
      </c>
      <c r="AM20" s="225">
        <f>'[9]Escalation sheet'!X33</f>
        <v>3.5888340084390402E-2</v>
      </c>
    </row>
    <row r="21" spans="1:39">
      <c r="A21" s="73"/>
      <c r="B21" s="156"/>
      <c r="C21" s="156"/>
      <c r="D21" s="156"/>
      <c r="E21" s="157"/>
      <c r="F21" s="156"/>
      <c r="G21" s="156"/>
      <c r="H21" s="73"/>
      <c r="I21" s="164"/>
      <c r="J21" s="164"/>
      <c r="K21" s="164"/>
      <c r="L21" s="164"/>
      <c r="M21" s="164"/>
      <c r="N21" s="164"/>
      <c r="O21" s="164"/>
      <c r="P21" s="164"/>
      <c r="Q21" s="164"/>
      <c r="R21" s="164"/>
      <c r="S21" s="164"/>
      <c r="T21" s="164"/>
      <c r="U21" s="165"/>
      <c r="V21" s="165"/>
      <c r="W21" s="165"/>
      <c r="X21" s="165"/>
      <c r="Y21" s="73"/>
      <c r="AI21" s="86"/>
      <c r="AJ21" s="222">
        <v>37469</v>
      </c>
      <c r="AK21" s="225">
        <f>'[9]Model Operations'!C76</f>
        <v>1.2121424437952001E-3</v>
      </c>
      <c r="AL21" s="225">
        <f>'[9]Model Operations'!E76</f>
        <v>3.8892668595392008E-3</v>
      </c>
      <c r="AM21" s="225">
        <f>'[9]Escalation sheet'!X34</f>
        <v>3.5888340084390402E-2</v>
      </c>
    </row>
    <row r="22" spans="1:39">
      <c r="A22" s="73"/>
      <c r="B22" s="170" t="s">
        <v>142</v>
      </c>
      <c r="C22" s="156"/>
      <c r="D22" s="156"/>
      <c r="E22" s="156"/>
      <c r="F22" s="156"/>
      <c r="G22" s="156"/>
      <c r="H22" s="73"/>
      <c r="I22" s="164"/>
      <c r="J22" s="164"/>
      <c r="K22" s="164"/>
      <c r="L22" s="164"/>
      <c r="M22" s="164"/>
      <c r="N22" s="164"/>
      <c r="O22" s="164"/>
      <c r="P22" s="164"/>
      <c r="Q22" s="164"/>
      <c r="R22" s="164"/>
      <c r="S22" s="164"/>
      <c r="T22" s="164"/>
      <c r="U22" s="165"/>
      <c r="V22" s="165"/>
      <c r="W22" s="166"/>
      <c r="X22" s="166"/>
      <c r="Y22" s="73"/>
      <c r="AI22" s="86"/>
      <c r="AJ22" s="222">
        <v>37500</v>
      </c>
      <c r="AK22" s="225">
        <f>'[9]Model Operations'!C77</f>
        <v>1.2121424437952001E-3</v>
      </c>
      <c r="AL22" s="225">
        <f>'[9]Model Operations'!E77</f>
        <v>3.8892668595392008E-3</v>
      </c>
      <c r="AM22" s="225">
        <f>'[9]Escalation sheet'!X35</f>
        <v>3.5888340084390402E-2</v>
      </c>
    </row>
    <row r="23" spans="1:39">
      <c r="A23" s="73"/>
      <c r="B23" s="156"/>
      <c r="C23" s="156"/>
      <c r="D23" s="156"/>
      <c r="E23" s="156"/>
      <c r="F23" s="156"/>
      <c r="G23" s="156"/>
      <c r="H23" s="73"/>
      <c r="I23" s="161"/>
      <c r="J23" s="161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2"/>
      <c r="V23" s="162"/>
      <c r="W23" s="163"/>
      <c r="X23" s="163"/>
      <c r="Y23" s="73"/>
      <c r="AI23" s="86"/>
      <c r="AJ23" s="222">
        <v>37530</v>
      </c>
      <c r="AK23" s="225">
        <f>'[9]Model Operations'!C78</f>
        <v>1.2121424437952001E-3</v>
      </c>
      <c r="AL23" s="225">
        <f>'[9]Model Operations'!E78</f>
        <v>3.8892668595392008E-3</v>
      </c>
      <c r="AM23" s="225">
        <f>'[9]Escalation sheet'!X36</f>
        <v>3.5888340084390402E-2</v>
      </c>
    </row>
    <row r="24" spans="1:39" s="1" customFormat="1">
      <c r="A24" s="73"/>
      <c r="B24" s="245"/>
      <c r="C24" s="177" t="s">
        <v>152</v>
      </c>
      <c r="D24" s="178" t="s">
        <v>153</v>
      </c>
      <c r="E24" s="179" t="s">
        <v>76</v>
      </c>
      <c r="F24" s="180" t="s">
        <v>77</v>
      </c>
      <c r="G24" s="180"/>
      <c r="H24" s="179" t="s">
        <v>106</v>
      </c>
      <c r="I24" s="179" t="s">
        <v>132</v>
      </c>
      <c r="J24" s="179" t="s">
        <v>149</v>
      </c>
      <c r="K24" s="179" t="s">
        <v>84</v>
      </c>
      <c r="L24" s="179" t="s">
        <v>147</v>
      </c>
      <c r="M24" s="179" t="s">
        <v>82</v>
      </c>
      <c r="N24" s="179" t="s">
        <v>136</v>
      </c>
      <c r="O24" s="179" t="s">
        <v>79</v>
      </c>
      <c r="P24" s="179" t="s">
        <v>129</v>
      </c>
      <c r="Q24" s="179" t="s">
        <v>131</v>
      </c>
      <c r="R24" s="179" t="s">
        <v>133</v>
      </c>
      <c r="S24" s="179" t="s">
        <v>135</v>
      </c>
      <c r="T24" s="179" t="s">
        <v>9</v>
      </c>
      <c r="U24" s="179" t="s">
        <v>2</v>
      </c>
      <c r="V24" s="181"/>
      <c r="W24" s="179" t="s">
        <v>177</v>
      </c>
      <c r="X24" s="179" t="s">
        <v>177</v>
      </c>
      <c r="Y24" s="179" t="s">
        <v>96</v>
      </c>
      <c r="Z24" s="179" t="s">
        <v>36</v>
      </c>
      <c r="AC24" s="73"/>
      <c r="AI24" s="86"/>
      <c r="AJ24" s="222">
        <v>37561</v>
      </c>
      <c r="AK24" s="225">
        <f>'[9]Model Operations'!C79</f>
        <v>1.2121424437952001E-3</v>
      </c>
      <c r="AL24" s="225">
        <f>'[9]Model Operations'!E79</f>
        <v>3.8892668595392008E-3</v>
      </c>
      <c r="AM24" s="225">
        <f>'[9]Escalation sheet'!X37</f>
        <v>3.5888340084390402E-2</v>
      </c>
    </row>
    <row r="25" spans="1:39" s="1" customFormat="1" ht="13.5" thickBot="1">
      <c r="A25" s="73"/>
      <c r="B25" s="246" t="s">
        <v>162</v>
      </c>
      <c r="C25" s="184" t="s">
        <v>151</v>
      </c>
      <c r="D25" s="182" t="s">
        <v>151</v>
      </c>
      <c r="E25" s="183" t="s">
        <v>8</v>
      </c>
      <c r="F25" s="183" t="s">
        <v>8</v>
      </c>
      <c r="G25" s="183" t="s">
        <v>10</v>
      </c>
      <c r="H25" s="183" t="s">
        <v>128</v>
      </c>
      <c r="I25" s="183" t="s">
        <v>128</v>
      </c>
      <c r="J25" s="183" t="s">
        <v>150</v>
      </c>
      <c r="K25" s="183" t="s">
        <v>148</v>
      </c>
      <c r="L25" s="183" t="s">
        <v>87</v>
      </c>
      <c r="M25" s="183" t="s">
        <v>91</v>
      </c>
      <c r="N25" s="183" t="s">
        <v>91</v>
      </c>
      <c r="O25" s="183" t="s">
        <v>80</v>
      </c>
      <c r="P25" s="183" t="s">
        <v>239</v>
      </c>
      <c r="Q25" s="183" t="s">
        <v>130</v>
      </c>
      <c r="R25" s="183" t="s">
        <v>240</v>
      </c>
      <c r="S25" s="183" t="s">
        <v>134</v>
      </c>
      <c r="T25" s="183" t="s">
        <v>201</v>
      </c>
      <c r="U25" s="183" t="s">
        <v>201</v>
      </c>
      <c r="V25" s="181"/>
      <c r="W25" s="183" t="s">
        <v>190</v>
      </c>
      <c r="X25" s="183" t="s">
        <v>202</v>
      </c>
      <c r="Y25" s="183" t="s">
        <v>203</v>
      </c>
      <c r="Z25" s="183" t="s">
        <v>203</v>
      </c>
      <c r="AC25" s="73"/>
      <c r="AI25" s="86"/>
      <c r="AJ25" s="223">
        <v>37591</v>
      </c>
      <c r="AK25" s="225">
        <f>'[9]Model Operations'!C80</f>
        <v>1.2121424437952001E-3</v>
      </c>
      <c r="AL25" s="225">
        <f>'[9]Model Operations'!E80</f>
        <v>3.8892668595392008E-3</v>
      </c>
      <c r="AM25" s="225">
        <f>'[9]Escalation sheet'!X38</f>
        <v>3.5888340084390402E-2</v>
      </c>
    </row>
    <row r="26" spans="1:39" ht="12.75" customHeight="1">
      <c r="A26" s="188">
        <f t="shared" ref="A26:A31" si="3">A7</f>
        <v>1</v>
      </c>
      <c r="B26" s="76" t="str">
        <f t="shared" ref="B26:F30" si="4">B7</f>
        <v xml:space="preserve">ANR OK vs ML7 </v>
      </c>
      <c r="C26" s="176">
        <f>C7</f>
        <v>37025</v>
      </c>
      <c r="D26" s="176">
        <f ca="1">D7</f>
        <v>37026</v>
      </c>
      <c r="E26" s="77">
        <f t="shared" si="4"/>
        <v>37043</v>
      </c>
      <c r="F26" s="77">
        <f t="shared" si="4"/>
        <v>42004</v>
      </c>
      <c r="G26" s="77" t="str">
        <f>'ANR OK vs ML7'!E3</f>
        <v>13 Y - 7 M</v>
      </c>
      <c r="H26" s="77" t="str">
        <f t="shared" ref="H26:I32" si="5">G7</f>
        <v>IF-ANR/OK</v>
      </c>
      <c r="I26" s="77" t="str">
        <f t="shared" si="5"/>
        <v>ML7/CG</v>
      </c>
      <c r="J26" s="80">
        <f t="shared" ref="J26:J32" si="6">O7</f>
        <v>40000</v>
      </c>
      <c r="K26" s="78">
        <f ca="1">'ANR OK vs ML7'!AH8</f>
        <v>2.2811267853899028E-2</v>
      </c>
      <c r="L26" s="78">
        <f ca="1">'ANR OK vs ML7'!V8</f>
        <v>0.20452207892703744</v>
      </c>
      <c r="M26" s="78">
        <f ca="1">'ANR OK vs ML7'!AM8</f>
        <v>0.14231534375180202</v>
      </c>
      <c r="N26" s="78">
        <f ca="1">'ANR OK vs ML7'!AN8</f>
        <v>1.0098483512036389E-2</v>
      </c>
      <c r="O26" s="78">
        <f ca="1">'ANR OK vs ML7'!AL8</f>
        <v>0.15750419879514063</v>
      </c>
      <c r="P26" s="78">
        <f ca="1">'ANR OK vs ML7'!S8</f>
        <v>-0.11299497973084378</v>
      </c>
      <c r="Q26" s="78">
        <f ca="1">'ANR OK vs ML7'!U8</f>
        <v>-1.8779322047092642E-3</v>
      </c>
      <c r="R26" s="78">
        <f ca="1">'ANR OK vs ML7'!K8</f>
        <v>0.25463336457572333</v>
      </c>
      <c r="S26" s="78">
        <f ca="1">'ANR OK vs ML7'!M8</f>
        <v>0</v>
      </c>
      <c r="T26" s="80">
        <f>'ANR OK vs ML7'!E8</f>
        <v>198480000</v>
      </c>
      <c r="U26" s="210">
        <f ca="1">'ANR OK vs ML7'!F8</f>
        <v>109899631.8676282</v>
      </c>
      <c r="V26" s="312"/>
      <c r="W26" s="292">
        <f>'ANR OK vs ML7'!AX8</f>
        <v>29257086.369390525</v>
      </c>
      <c r="X26" s="293">
        <f t="shared" ref="X26:X33" ca="1" si="7">M26*U26</f>
        <v>15640403.887438003</v>
      </c>
      <c r="Y26" s="294">
        <f t="shared" ref="Y26:Y33" ca="1" si="8">N26*U26</f>
        <v>1109819.6203941123</v>
      </c>
      <c r="Z26" s="295">
        <f ca="1">X26+Y26</f>
        <v>16750223.507832116</v>
      </c>
      <c r="AA26" s="325">
        <f ca="1">X26/$X$39</f>
        <v>0.1743679836144012</v>
      </c>
      <c r="AC26" s="73"/>
      <c r="AI26" s="86">
        <v>1.3</v>
      </c>
      <c r="AJ26" s="222">
        <v>37622</v>
      </c>
      <c r="AK26" s="225">
        <f>'[9]Model Operations'!C81</f>
        <v>1.5757851769337601E-3</v>
      </c>
      <c r="AL26" s="225">
        <f>'[9]Model Operations'!E81</f>
        <v>5.0560469174009614E-3</v>
      </c>
      <c r="AM26" s="225">
        <f>'[9]Escalation sheet'!X39</f>
        <v>4.6654842109707523E-2</v>
      </c>
    </row>
    <row r="27" spans="1:39" ht="12.75" customHeight="1">
      <c r="A27" s="188">
        <f t="shared" si="3"/>
        <v>2</v>
      </c>
      <c r="B27" s="76" t="str">
        <f t="shared" si="4"/>
        <v>ANR LA vs ML7</v>
      </c>
      <c r="C27" s="176">
        <f t="shared" si="4"/>
        <v>37025</v>
      </c>
      <c r="D27" s="176">
        <f t="shared" ca="1" si="4"/>
        <v>37026</v>
      </c>
      <c r="E27" s="77">
        <f t="shared" si="4"/>
        <v>37043</v>
      </c>
      <c r="F27" s="77">
        <f t="shared" si="4"/>
        <v>42004</v>
      </c>
      <c r="G27" s="77" t="str">
        <f>'ANR LA vs ML7'!E3</f>
        <v>13 Y - 7 M</v>
      </c>
      <c r="H27" s="77" t="str">
        <f t="shared" si="5"/>
        <v>IF-ANR/LA</v>
      </c>
      <c r="I27" s="77" t="str">
        <f t="shared" si="5"/>
        <v>ML7/CG</v>
      </c>
      <c r="J27" s="80">
        <f t="shared" si="6"/>
        <v>80000</v>
      </c>
      <c r="K27" s="78">
        <f ca="1">'ANR LA vs ML7'!AH8</f>
        <v>2.0476035617012087E-2</v>
      </c>
      <c r="L27" s="78">
        <f ca="1">'ANR LA vs ML7'!V8</f>
        <v>0.22442109437890423</v>
      </c>
      <c r="M27" s="78">
        <f ca="1">'ANR LA vs ML7'!AM8</f>
        <v>6.6851451181854579E-2</v>
      </c>
      <c r="N27" s="78">
        <f ca="1">'ANR LA vs ML7'!AN8</f>
        <v>2.2070413039860143E-2</v>
      </c>
      <c r="O27" s="78">
        <f ca="1">'ANR LA vs ML7'!AL8</f>
        <v>8.3289597465398241E-2</v>
      </c>
      <c r="P27" s="78">
        <f ca="1">'ANR LA vs ML7'!S8</f>
        <v>-5.75023815916842E-2</v>
      </c>
      <c r="Q27" s="78">
        <f ca="1">'ANR LA vs ML7'!U8</f>
        <v>1.7578193468450218E-3</v>
      </c>
      <c r="R27" s="78">
        <f ca="1">'ANR LA vs ML7'!K8</f>
        <v>0.25463336457572333</v>
      </c>
      <c r="S27" s="78">
        <f ca="1">'ANR LA vs ML7'!M8</f>
        <v>0</v>
      </c>
      <c r="T27" s="80">
        <f>'ANR LA vs ML7'!E8</f>
        <v>396960000</v>
      </c>
      <c r="U27" s="210">
        <f ca="1">'ANR LA vs ML7'!F8</f>
        <v>219799263.7352564</v>
      </c>
      <c r="V27" s="312"/>
      <c r="W27" s="292">
        <f>'ANR LA vs ML7'!AX8</f>
        <v>24301567.449561622</v>
      </c>
      <c r="X27" s="296">
        <f t="shared" ca="1" si="7"/>
        <v>14693899.749405073</v>
      </c>
      <c r="Y27" s="297">
        <f t="shared" ca="1" si="8"/>
        <v>4851060.5364942616</v>
      </c>
      <c r="Z27" s="298">
        <f t="shared" ref="Z27:Z33" ca="1" si="9">X27+Y27</f>
        <v>19544960.285899334</v>
      </c>
      <c r="AA27" s="325">
        <f t="shared" ref="AA27:AA33" ca="1" si="10">X27/$X$39</f>
        <v>0.16381582529296265</v>
      </c>
      <c r="AC27" s="73"/>
      <c r="AI27" s="86"/>
      <c r="AJ27" s="222">
        <v>37653</v>
      </c>
      <c r="AK27" s="225">
        <f>'[9]Model Operations'!C82</f>
        <v>1.5757851769337601E-3</v>
      </c>
      <c r="AL27" s="225">
        <f>'[9]Model Operations'!E82</f>
        <v>5.0560469174009614E-3</v>
      </c>
      <c r="AM27" s="225">
        <f>'[9]Escalation sheet'!X40</f>
        <v>4.6654842109707523E-2</v>
      </c>
    </row>
    <row r="28" spans="1:39" ht="12.75" customHeight="1">
      <c r="A28" s="251">
        <f t="shared" si="3"/>
        <v>3</v>
      </c>
      <c r="B28" s="76" t="str">
        <f t="shared" si="4"/>
        <v>PEPL TxOk vs Dawn</v>
      </c>
      <c r="C28" s="176">
        <f t="shared" si="4"/>
        <v>37025</v>
      </c>
      <c r="D28" s="176">
        <f t="shared" ca="1" si="4"/>
        <v>37026</v>
      </c>
      <c r="E28" s="77">
        <f t="shared" si="4"/>
        <v>37043</v>
      </c>
      <c r="F28" s="77">
        <f t="shared" si="4"/>
        <v>42035</v>
      </c>
      <c r="G28" s="77" t="str">
        <f>'PEPL vs Dawn'!E3</f>
        <v>13 Y - 8 M</v>
      </c>
      <c r="H28" s="77" t="str">
        <f t="shared" si="5"/>
        <v>IF-PAN/TX/OK</v>
      </c>
      <c r="I28" s="77" t="str">
        <f t="shared" si="5"/>
        <v>CGPR-DAWN</v>
      </c>
      <c r="J28" s="80">
        <f t="shared" si="6"/>
        <v>36050</v>
      </c>
      <c r="K28" s="78">
        <f ca="1">'PEPL vs Dawn'!AH8</f>
        <v>7.2045703880910111E-2</v>
      </c>
      <c r="L28" s="78">
        <f ca="1">'PEPL vs Dawn'!V8</f>
        <v>0.20276001437758132</v>
      </c>
      <c r="M28" s="78">
        <f ca="1">'PEPL vs Dawn'!AM8</f>
        <v>6.8886959235676407E-2</v>
      </c>
      <c r="N28" s="78">
        <f ca="1">'PEPL vs Dawn'!AN8</f>
        <v>1.9433096555850952E-2</v>
      </c>
      <c r="O28" s="78">
        <f ca="1">'PEPL vs Dawn'!AL8</f>
        <v>9.2343759580071585E-2</v>
      </c>
      <c r="P28" s="78">
        <f ca="1">'PEPL vs Dawn'!S8</f>
        <v>-0.11306787374586232</v>
      </c>
      <c r="Q28" s="78">
        <f ca="1">'PEPL vs Dawn'!U8</f>
        <v>-1.8425994378309656E-3</v>
      </c>
      <c r="R28" s="78">
        <f ca="1">'PEPL vs Dawn'!K8</f>
        <v>0.22856193698199523</v>
      </c>
      <c r="S28" s="78">
        <f ca="1">'PEPL vs Dawn'!M8</f>
        <v>0</v>
      </c>
      <c r="T28" s="80">
        <f>'PEPL vs Dawn'!E8</f>
        <v>179997650</v>
      </c>
      <c r="U28" s="210">
        <f ca="1">'PEPL vs Dawn'!F8</f>
        <v>99342553.180863082</v>
      </c>
      <c r="V28" s="312"/>
      <c r="W28" s="292">
        <f>'PEPL vs Dawn'!AX8</f>
        <v>13123748.004301606</v>
      </c>
      <c r="X28" s="296">
        <f t="shared" ca="1" si="7"/>
        <v>6843406.4113381309</v>
      </c>
      <c r="Y28" s="297">
        <f t="shared" ca="1" si="8"/>
        <v>1930533.4280684704</v>
      </c>
      <c r="Z28" s="298">
        <f t="shared" ca="1" si="9"/>
        <v>8773939.8394066021</v>
      </c>
      <c r="AA28" s="325">
        <f t="shared" ca="1" si="10"/>
        <v>7.6294128053643301E-2</v>
      </c>
      <c r="AC28" s="73"/>
      <c r="AI28" s="86"/>
      <c r="AJ28" s="222">
        <v>37681</v>
      </c>
      <c r="AK28" s="225">
        <f>'[9]Model Operations'!C83</f>
        <v>1.5757851769337601E-3</v>
      </c>
      <c r="AL28" s="225">
        <f>'[9]Model Operations'!E83</f>
        <v>5.0560469174009614E-3</v>
      </c>
      <c r="AM28" s="225">
        <f>'[9]Escalation sheet'!X41</f>
        <v>4.6654842109707523E-2</v>
      </c>
    </row>
    <row r="29" spans="1:39" ht="12.75" customHeight="1">
      <c r="A29" s="188">
        <f t="shared" si="3"/>
        <v>4</v>
      </c>
      <c r="B29" s="76" t="str">
        <f t="shared" si="4"/>
        <v>ML-7 vs St.Clair</v>
      </c>
      <c r="C29" s="176">
        <f t="shared" si="4"/>
        <v>37025</v>
      </c>
      <c r="D29" s="176">
        <f t="shared" ca="1" si="4"/>
        <v>37026</v>
      </c>
      <c r="E29" s="77">
        <f t="shared" si="4"/>
        <v>37043</v>
      </c>
      <c r="F29" s="77">
        <f t="shared" si="4"/>
        <v>42094</v>
      </c>
      <c r="G29" s="77" t="str">
        <f>'ML7 vs St. Clair'!E3</f>
        <v>13 Y - 10 M</v>
      </c>
      <c r="H29" s="77" t="str">
        <f t="shared" si="5"/>
        <v>ML7/CG</v>
      </c>
      <c r="I29" s="77" t="str">
        <f t="shared" si="5"/>
        <v>CGPR-ST.CLAIR</v>
      </c>
      <c r="J29" s="80">
        <f t="shared" si="6"/>
        <v>119740</v>
      </c>
      <c r="K29" s="78">
        <f ca="1">'ML7 vs St. Clair'!AH8</f>
        <v>1.4248576347145603E-2</v>
      </c>
      <c r="L29" s="78">
        <f ca="1">'ML7 vs St. Clair'!V8</f>
        <v>3.7137273218018123E-2</v>
      </c>
      <c r="M29" s="78">
        <f ca="1">'ML7 vs St. Clair'!AM8</f>
        <v>1.0944149245861144E-3</v>
      </c>
      <c r="N29" s="78">
        <f ca="1">'ML7 vs St. Clair'!AN8</f>
        <v>1.4070478879293286E-3</v>
      </c>
      <c r="O29" s="78">
        <f ca="1">'ML7 vs St. Clair'!AL8</f>
        <v>5.2370441027787913E-3</v>
      </c>
      <c r="P29" s="78">
        <f ca="1">'ML7 vs St. Clair'!S8</f>
        <v>0.25331592390191293</v>
      </c>
      <c r="Q29" s="78">
        <f ca="1">'ML7 vs St. Clair'!U8</f>
        <v>0</v>
      </c>
      <c r="R29" s="78">
        <f ca="1">'ML7 vs St. Clair'!K8</f>
        <v>0.22221039148193006</v>
      </c>
      <c r="S29" s="78">
        <f ca="1">'ML7 vs St. Clair'!M8</f>
        <v>0</v>
      </c>
      <c r="T29" s="80">
        <f>'ML7 vs St. Clair'!E8</f>
        <v>604926480</v>
      </c>
      <c r="U29" s="210">
        <f ca="1">'ML7 vs St. Clair'!F8</f>
        <v>331811505.64994156</v>
      </c>
      <c r="V29" s="312"/>
      <c r="W29" s="292">
        <f>'ML7 vs St. Clair'!AX8</f>
        <v>2316866.128662209</v>
      </c>
      <c r="X29" s="296">
        <f t="shared" ca="1" si="7"/>
        <v>363139.4639326859</v>
      </c>
      <c r="Y29" s="297">
        <f t="shared" ca="1" si="8"/>
        <v>466874.67821540078</v>
      </c>
      <c r="Z29" s="298">
        <f t="shared" ca="1" si="9"/>
        <v>830014.14214808668</v>
      </c>
      <c r="AA29" s="325">
        <f t="shared" ca="1" si="10"/>
        <v>4.0484821589303098E-3</v>
      </c>
      <c r="AC29" s="73"/>
      <c r="AI29" s="86"/>
      <c r="AJ29" s="222">
        <v>37712</v>
      </c>
      <c r="AK29" s="225">
        <f>'[9]Model Operations'!C84</f>
        <v>1.5757851769337601E-3</v>
      </c>
      <c r="AL29" s="225">
        <f>'[9]Model Operations'!E84</f>
        <v>5.0560469174009614E-3</v>
      </c>
      <c r="AM29" s="225">
        <f>'[9]Escalation sheet'!X42</f>
        <v>4.6654842109707523E-2</v>
      </c>
    </row>
    <row r="30" spans="1:39" ht="12.75" customHeight="1">
      <c r="A30" s="188">
        <f t="shared" si="3"/>
        <v>5</v>
      </c>
      <c r="B30" s="76" t="str">
        <f t="shared" si="4"/>
        <v>St.Clair vs Chippawa</v>
      </c>
      <c r="C30" s="176">
        <f t="shared" si="4"/>
        <v>37025</v>
      </c>
      <c r="D30" s="176">
        <f t="shared" ca="1" si="4"/>
        <v>37026</v>
      </c>
      <c r="E30" s="77">
        <f t="shared" si="4"/>
        <v>37043</v>
      </c>
      <c r="F30" s="77">
        <f t="shared" si="4"/>
        <v>42094</v>
      </c>
      <c r="G30" s="77" t="str">
        <f>'St.Clair vs Chippawa'!E3</f>
        <v>13 Y - 10 M</v>
      </c>
      <c r="H30" s="77" t="str">
        <f t="shared" si="5"/>
        <v>CGPR-ST.CLAIR</v>
      </c>
      <c r="I30" s="77" t="str">
        <f t="shared" si="5"/>
        <v>CGPR-CHIPPAWA</v>
      </c>
      <c r="J30" s="80">
        <f t="shared" si="6"/>
        <v>124142</v>
      </c>
      <c r="K30" s="78">
        <f ca="1">'St.Clair vs Chippawa'!AH8</f>
        <v>5.1465541625867316E-3</v>
      </c>
      <c r="L30" s="78">
        <f ca="1">'St.Clair vs Chippawa'!V8</f>
        <v>4.8771950237229439E-2</v>
      </c>
      <c r="M30" s="78">
        <f ca="1">'St.Clair vs Chippawa'!AM8</f>
        <v>5.8338691364847733E-2</v>
      </c>
      <c r="N30" s="78">
        <f ca="1">'St.Clair vs Chippawa'!AN8</f>
        <v>2.8642762119090509E-3</v>
      </c>
      <c r="O30" s="78">
        <f ca="1">'St.Clair vs Chippawa'!AL8</f>
        <v>5.7596044671426018E-2</v>
      </c>
      <c r="P30" s="78">
        <f ca="1">'St.Clair vs Chippawa'!S8</f>
        <v>0.22221039148192953</v>
      </c>
      <c r="Q30" s="78">
        <f ca="1">'St.Clair vs Chippawa'!U8</f>
        <v>0</v>
      </c>
      <c r="R30" s="78">
        <f ca="1">'ML7 vs St. Clair'!K8</f>
        <v>0.22221039148193006</v>
      </c>
      <c r="S30" s="78">
        <f ca="1">'St.Clair vs Chippawa'!M8</f>
        <v>0</v>
      </c>
      <c r="T30" s="80">
        <f>'St.Clair vs Chippawa'!E8</f>
        <v>627165384</v>
      </c>
      <c r="U30" s="210">
        <f ca="1">'St.Clair vs Chippawa'!F8</f>
        <v>344009887.54296881</v>
      </c>
      <c r="V30" s="312"/>
      <c r="W30" s="292">
        <f>'St.Clair vs Chippawa'!AX8</f>
        <v>34325870.582912058</v>
      </c>
      <c r="X30" s="296">
        <f t="shared" ca="1" si="7"/>
        <v>20069086.655825235</v>
      </c>
      <c r="Y30" s="297">
        <f t="shared" ca="1" si="8"/>
        <v>985339.33755083324</v>
      </c>
      <c r="Z30" s="298">
        <f t="shared" ca="1" si="9"/>
        <v>21054425.993376069</v>
      </c>
      <c r="AA30" s="325">
        <f t="shared" ca="1" si="10"/>
        <v>0.22374141987276758</v>
      </c>
      <c r="AC30" s="73"/>
      <c r="AI30" s="86"/>
      <c r="AJ30" s="222">
        <v>37742</v>
      </c>
      <c r="AK30" s="225">
        <f>'[9]Model Operations'!C85</f>
        <v>1.5757851769337601E-3</v>
      </c>
      <c r="AL30" s="225">
        <f>'[9]Model Operations'!E85</f>
        <v>5.0560469174009614E-3</v>
      </c>
      <c r="AM30" s="225">
        <f>'[9]Escalation sheet'!X43</f>
        <v>4.6654842109707523E-2</v>
      </c>
    </row>
    <row r="31" spans="1:39" ht="12.75" hidden="1" customHeight="1">
      <c r="A31" s="251">
        <f t="shared" si="3"/>
        <v>6</v>
      </c>
      <c r="B31" s="76" t="str">
        <f t="shared" ref="B31:F34" si="11">B12</f>
        <v>Ojibway vs Dawn</v>
      </c>
      <c r="C31" s="176">
        <f t="shared" si="11"/>
        <v>37025</v>
      </c>
      <c r="D31" s="176">
        <f t="shared" ca="1" si="11"/>
        <v>37026</v>
      </c>
      <c r="E31" s="77">
        <f t="shared" si="11"/>
        <v>37043</v>
      </c>
      <c r="F31" s="77">
        <f t="shared" si="11"/>
        <v>42094</v>
      </c>
      <c r="G31" s="77" t="str">
        <f>G30</f>
        <v>13 Y - 10 M</v>
      </c>
      <c r="H31" s="77" t="str">
        <f t="shared" si="5"/>
        <v>CGPR-Ojibway</v>
      </c>
      <c r="I31" s="77" t="str">
        <f t="shared" si="5"/>
        <v>CGPR-DAWN</v>
      </c>
      <c r="J31" s="80">
        <f t="shared" si="6"/>
        <v>36522</v>
      </c>
      <c r="K31" s="78">
        <f ca="1">'Ojibway vs Dawn'!AH8</f>
        <v>2.8752926675007489E-2</v>
      </c>
      <c r="L31" s="78">
        <f ca="1">'Ojibway vs Dawn'!V8</f>
        <v>0</v>
      </c>
      <c r="M31" s="78">
        <f ca="1">'Ojibway vs Dawn'!AM8</f>
        <v>0</v>
      </c>
      <c r="N31" s="78">
        <f ca="1">'Ojibway vs Dawn'!AN8</f>
        <v>3.3132301277174099E-3</v>
      </c>
      <c r="O31" s="78">
        <f ca="1">'Ojibway vs Dawn'!AL8</f>
        <v>3.3132301277174099E-3</v>
      </c>
      <c r="P31" s="78">
        <f ca="1">'Ojibway vs Dawn'!S8</f>
        <v>0.22221039148192989</v>
      </c>
      <c r="Q31" s="78">
        <f ca="1">'Ojibway vs Dawn'!U8</f>
        <v>0</v>
      </c>
      <c r="R31" s="78">
        <f ca="1">'Ojibway vs Dawn'!K8</f>
        <v>0.22882020958169078</v>
      </c>
      <c r="S31" s="78">
        <f ca="1">'Ojibway vs Dawn'!M8</f>
        <v>0</v>
      </c>
      <c r="T31" s="80">
        <f>'Ojibway vs Dawn'!E8</f>
        <v>184509144</v>
      </c>
      <c r="U31" s="210">
        <f ca="1">'Ojibway vs Dawn'!F8</f>
        <v>101206111.65314154</v>
      </c>
      <c r="V31" s="312"/>
      <c r="W31" s="292">
        <f>'Ojibway vs Dawn'!AX8</f>
        <v>0</v>
      </c>
      <c r="X31" s="296">
        <f t="shared" ca="1" si="7"/>
        <v>0</v>
      </c>
      <c r="Y31" s="297">
        <f t="shared" ca="1" si="8"/>
        <v>335319.13823832059</v>
      </c>
      <c r="Z31" s="298">
        <f t="shared" ca="1" si="9"/>
        <v>335319.13823832059</v>
      </c>
      <c r="AA31" s="325">
        <f t="shared" ca="1" si="10"/>
        <v>0</v>
      </c>
      <c r="AC31" s="73"/>
      <c r="AI31" s="86"/>
      <c r="AJ31" s="222">
        <v>37773</v>
      </c>
      <c r="AK31" s="225">
        <f>'[9]Model Operations'!C86</f>
        <v>1.5757851769337601E-3</v>
      </c>
      <c r="AL31" s="225">
        <f>'[9]Model Operations'!E86</f>
        <v>5.0560469174009614E-3</v>
      </c>
      <c r="AM31" s="225">
        <f>'[9]Escalation sheet'!X44</f>
        <v>4.6654842109707523E-2</v>
      </c>
    </row>
    <row r="32" spans="1:39" s="193" customFormat="1" ht="12.75" customHeight="1">
      <c r="A32" s="188">
        <v>6</v>
      </c>
      <c r="B32" s="197" t="str">
        <f t="shared" si="11"/>
        <v>Empress vs Chippawa</v>
      </c>
      <c r="C32" s="189">
        <f t="shared" si="11"/>
        <v>37025</v>
      </c>
      <c r="D32" s="176">
        <f t="shared" ca="1" si="11"/>
        <v>37026</v>
      </c>
      <c r="E32" s="190">
        <f t="shared" si="11"/>
        <v>37043</v>
      </c>
      <c r="F32" s="190">
        <f t="shared" si="11"/>
        <v>42094</v>
      </c>
      <c r="G32" s="77" t="str">
        <f>'Empress vs Chippewa'!E3</f>
        <v>13 Y - 10 M</v>
      </c>
      <c r="H32" s="190" t="str">
        <f t="shared" si="5"/>
        <v>US Empress</v>
      </c>
      <c r="I32" s="190" t="str">
        <f t="shared" si="5"/>
        <v>CGPR-CHIPPAWA</v>
      </c>
      <c r="J32" s="198">
        <f t="shared" si="6"/>
        <v>28400</v>
      </c>
      <c r="K32" s="195">
        <f ca="1">'Empress vs Chippewa'!AH8</f>
        <v>4.7490000743104312E-2</v>
      </c>
      <c r="L32" s="195">
        <f ca="1">'Empress vs Chippewa'!V8</f>
        <v>0.31319691508405478</v>
      </c>
      <c r="M32" s="195">
        <f ca="1">'Empress vs Chippewa'!AM8</f>
        <v>0.3558724721618583</v>
      </c>
      <c r="N32" s="195">
        <f ca="1">'Empress vs Chippewa'!AN8</f>
        <v>1.9490594418884813E-3</v>
      </c>
      <c r="O32" s="195">
        <f ca="1">'Empress vs Chippewa'!AL8</f>
        <v>0.41297323622675208</v>
      </c>
      <c r="P32" s="195">
        <f ca="1">'Empress vs Chippewa'!S8</f>
        <v>-0.38738210971095033</v>
      </c>
      <c r="Q32" s="195">
        <f ca="1">'Empress vs Chippewa'!U8</f>
        <v>0</v>
      </c>
      <c r="R32" s="195">
        <f ca="1">'Empress vs Chippewa'!K8</f>
        <v>0.33489836343295715</v>
      </c>
      <c r="S32" s="195">
        <f ca="1">'Empress vs Chippewa'!M8</f>
        <v>0</v>
      </c>
      <c r="T32" s="198">
        <f>'Empress vs Chippewa'!E8</f>
        <v>143476800</v>
      </c>
      <c r="U32" s="211">
        <f ca="1">'Empress vs Chippewa'!F8</f>
        <v>78699238.019528568</v>
      </c>
      <c r="V32" s="312"/>
      <c r="W32" s="299">
        <f>'Empress vs Chippewa'!AX8</f>
        <v>58972433.607726492</v>
      </c>
      <c r="X32" s="296">
        <f t="shared" ca="1" si="7"/>
        <v>28006892.391264141</v>
      </c>
      <c r="Y32" s="297">
        <f t="shared" ca="1" si="8"/>
        <v>153389.49293139108</v>
      </c>
      <c r="Z32" s="298">
        <f t="shared" ca="1" si="9"/>
        <v>28160281.884195533</v>
      </c>
      <c r="AA32" s="325">
        <f t="shared" ca="1" si="10"/>
        <v>0.31223652462661516</v>
      </c>
      <c r="AC32" s="194"/>
      <c r="AI32" s="86"/>
      <c r="AJ32" s="222">
        <v>37803</v>
      </c>
      <c r="AK32" s="225">
        <f>'[9]Model Operations'!C87</f>
        <v>1.5757851769337601E-3</v>
      </c>
      <c r="AL32" s="225">
        <f>'[9]Model Operations'!E87</f>
        <v>5.0560469174009614E-3</v>
      </c>
      <c r="AM32" s="225">
        <f>'[9]Escalation sheet'!X45</f>
        <v>4.6654842109707523E-2</v>
      </c>
    </row>
    <row r="33" spans="1:39" s="193" customFormat="1" ht="12.75" customHeight="1">
      <c r="A33" s="251">
        <v>7</v>
      </c>
      <c r="B33" s="197" t="str">
        <f t="shared" si="11"/>
        <v>Dawn to Chippawa</v>
      </c>
      <c r="C33" s="189">
        <f t="shared" si="11"/>
        <v>37025</v>
      </c>
      <c r="D33" s="176">
        <f t="shared" ca="1" si="11"/>
        <v>37026</v>
      </c>
      <c r="E33" s="190">
        <f t="shared" si="11"/>
        <v>37043</v>
      </c>
      <c r="F33" s="190">
        <f t="shared" si="11"/>
        <v>42094</v>
      </c>
      <c r="G33" s="77" t="str">
        <f>'Dawn vs Chippewa'!E3</f>
        <v>13 Y - 10 M</v>
      </c>
      <c r="H33" s="190" t="str">
        <f>G14</f>
        <v>CGPR-DAWN</v>
      </c>
      <c r="I33" s="190" t="str">
        <f>H14</f>
        <v>CGPR-CHIPPAWA</v>
      </c>
      <c r="J33" s="198">
        <f>O14</f>
        <v>39326</v>
      </c>
      <c r="K33" s="195">
        <f ca="1">'Dawn vs Chippewa'!AH8</f>
        <v>5.1465541625867342E-3</v>
      </c>
      <c r="L33" s="195">
        <f ca="1">'Dawn vs Chippewa'!V8</f>
        <v>4.8844489775519161E-2</v>
      </c>
      <c r="M33" s="195">
        <f ca="1">'Dawn vs Chippewa'!AM8</f>
        <v>5.1853781714778238E-2</v>
      </c>
      <c r="N33" s="195">
        <f ca="1">'Dawn vs Chippewa'!AN8</f>
        <v>3.5576602788439014E-2</v>
      </c>
      <c r="O33" s="195">
        <f ca="1">'Dawn vs Chippewa'!AL8</f>
        <v>8.5209868935240532E-2</v>
      </c>
      <c r="P33" s="195">
        <f ca="1">'Dawn vs Chippewa'!S8</f>
        <v>0.22882020958169066</v>
      </c>
      <c r="Q33" s="195">
        <f ca="1">'Dawn vs Chippewa'!U8</f>
        <v>0</v>
      </c>
      <c r="R33" s="195">
        <f ca="1">'Dawn vs Chippewa'!K8</f>
        <v>0.33489836343295715</v>
      </c>
      <c r="S33" s="195">
        <f ca="1">'Dawn vs Chippewa'!M8</f>
        <v>0</v>
      </c>
      <c r="T33" s="198">
        <f>'Dawn vs Chippewa'!E8</f>
        <v>143476800</v>
      </c>
      <c r="U33" s="198">
        <f ca="1">'Dawn vs Chippewa'!F8</f>
        <v>78699238.019528568</v>
      </c>
      <c r="V33" s="312"/>
      <c r="W33" s="300">
        <f>'Dawn vs Chippewa'!AX8</f>
        <v>7121222.200291412</v>
      </c>
      <c r="X33" s="296">
        <f t="shared" ca="1" si="7"/>
        <v>4080853.1093840105</v>
      </c>
      <c r="Y33" s="297">
        <f t="shared" ca="1" si="8"/>
        <v>2799851.5307735857</v>
      </c>
      <c r="Z33" s="298">
        <f t="shared" ca="1" si="9"/>
        <v>6880704.6401575962</v>
      </c>
      <c r="AA33" s="325">
        <f t="shared" ca="1" si="10"/>
        <v>4.5495636380679751E-2</v>
      </c>
      <c r="AC33" s="194"/>
      <c r="AI33" s="86"/>
      <c r="AJ33" s="222">
        <v>37834</v>
      </c>
      <c r="AK33" s="225">
        <f>'[9]Model Operations'!C88</f>
        <v>1.5757851769337601E-3</v>
      </c>
      <c r="AL33" s="225">
        <f>'[9]Model Operations'!E88</f>
        <v>5.0560469174009614E-3</v>
      </c>
      <c r="AM33" s="225">
        <f>'[9]Escalation sheet'!X46</f>
        <v>4.6654842109707523E-2</v>
      </c>
    </row>
    <row r="34" spans="1:39" s="193" customFormat="1" ht="12.75" customHeight="1">
      <c r="A34" s="188"/>
      <c r="B34" s="197" t="str">
        <f t="shared" si="11"/>
        <v xml:space="preserve"> </v>
      </c>
      <c r="C34" s="189"/>
      <c r="D34" s="176"/>
      <c r="E34" s="190"/>
      <c r="F34" s="190"/>
      <c r="G34" s="77"/>
      <c r="H34" s="190"/>
      <c r="I34" s="190"/>
      <c r="J34" s="198"/>
      <c r="K34" s="195"/>
      <c r="L34" s="195"/>
      <c r="M34" s="195"/>
      <c r="N34" s="195"/>
      <c r="O34" s="195"/>
      <c r="P34" s="195"/>
      <c r="Q34" s="195"/>
      <c r="R34" s="195"/>
      <c r="S34" s="195"/>
      <c r="T34" s="198"/>
      <c r="U34" s="211"/>
      <c r="V34" s="312"/>
      <c r="W34" s="299"/>
      <c r="X34" s="296"/>
      <c r="Y34" s="297"/>
      <c r="Z34" s="298"/>
      <c r="AA34" s="325"/>
      <c r="AC34" s="194"/>
      <c r="AI34" s="86"/>
      <c r="AJ34" s="222">
        <v>37865</v>
      </c>
      <c r="AK34" s="225">
        <f>'[9]Model Operations'!C89</f>
        <v>1.5757851769337601E-3</v>
      </c>
      <c r="AL34" s="225">
        <f>'[9]Model Operations'!E89</f>
        <v>5.0560469174009614E-3</v>
      </c>
      <c r="AM34" s="225">
        <f>'[9]Escalation sheet'!X47</f>
        <v>4.6654842109707523E-2</v>
      </c>
    </row>
    <row r="35" spans="1:39" s="193" customFormat="1" ht="12.75" customHeight="1">
      <c r="A35" s="194"/>
      <c r="B35" s="197"/>
      <c r="C35" s="189"/>
      <c r="D35" s="189"/>
      <c r="E35" s="190"/>
      <c r="F35" s="190"/>
      <c r="G35" s="190"/>
      <c r="H35" s="190"/>
      <c r="I35" s="190"/>
      <c r="J35" s="190"/>
      <c r="K35" s="190"/>
      <c r="L35" s="190"/>
      <c r="M35" s="195"/>
      <c r="N35" s="195"/>
      <c r="O35" s="195"/>
      <c r="P35" s="190"/>
      <c r="Q35" s="195"/>
      <c r="R35" s="195"/>
      <c r="S35" s="195"/>
      <c r="T35" s="198"/>
      <c r="U35" s="199"/>
      <c r="V35" s="168"/>
      <c r="W35" s="299"/>
      <c r="X35" s="301"/>
      <c r="Y35" s="302"/>
      <c r="Z35" s="303"/>
      <c r="AA35" s="325"/>
      <c r="AC35" s="194"/>
      <c r="AI35" s="86"/>
      <c r="AJ35" s="222">
        <v>37895</v>
      </c>
      <c r="AK35" s="225">
        <f>'[9]Model Operations'!C90</f>
        <v>1.5757851769337601E-3</v>
      </c>
      <c r="AL35" s="225">
        <f>'[9]Model Operations'!E90</f>
        <v>5.0560469174009614E-3</v>
      </c>
      <c r="AM35" s="225">
        <f>'[9]Escalation sheet'!X48</f>
        <v>4.6654842109707523E-2</v>
      </c>
    </row>
    <row r="36" spans="1:39" s="193" customFormat="1" ht="12.75" customHeight="1">
      <c r="A36" s="194"/>
      <c r="B36" s="197"/>
      <c r="C36" s="189"/>
      <c r="D36" s="189"/>
      <c r="E36" s="190"/>
      <c r="F36" s="190"/>
      <c r="G36" s="190"/>
      <c r="H36" s="190"/>
      <c r="I36" s="190"/>
      <c r="J36" s="190"/>
      <c r="K36" s="190"/>
      <c r="L36" s="190"/>
      <c r="M36" s="195"/>
      <c r="N36" s="195"/>
      <c r="O36" s="195"/>
      <c r="P36" s="190"/>
      <c r="Q36" s="195"/>
      <c r="R36" s="195"/>
      <c r="S36" s="195"/>
      <c r="T36" s="198"/>
      <c r="U36" s="199"/>
      <c r="V36" s="168"/>
      <c r="W36" s="299"/>
      <c r="X36" s="301"/>
      <c r="Y36" s="302"/>
      <c r="Z36" s="303"/>
      <c r="AA36" s="325"/>
      <c r="AC36" s="194"/>
      <c r="AI36" s="86"/>
      <c r="AJ36" s="222">
        <v>37926</v>
      </c>
      <c r="AK36" s="225">
        <f>'[9]Model Operations'!C91</f>
        <v>1.5757851769337601E-3</v>
      </c>
      <c r="AL36" s="225">
        <f>'[9]Model Operations'!E91</f>
        <v>5.0560469174009614E-3</v>
      </c>
      <c r="AM36" s="225">
        <f>'[9]Escalation sheet'!X49</f>
        <v>4.6654842109707523E-2</v>
      </c>
    </row>
    <row r="37" spans="1:39" s="193" customFormat="1" ht="12.75" customHeight="1" thickBot="1">
      <c r="A37" s="194"/>
      <c r="B37" s="197"/>
      <c r="C37" s="189"/>
      <c r="D37" s="189"/>
      <c r="E37" s="197"/>
      <c r="F37" s="197"/>
      <c r="G37" s="197"/>
      <c r="H37" s="197"/>
      <c r="I37" s="197"/>
      <c r="J37" s="197"/>
      <c r="K37" s="197"/>
      <c r="L37" s="197"/>
      <c r="M37" s="195"/>
      <c r="N37" s="195"/>
      <c r="O37" s="195"/>
      <c r="P37" s="197"/>
      <c r="Q37" s="195"/>
      <c r="R37" s="195"/>
      <c r="S37" s="195"/>
      <c r="T37" s="198"/>
      <c r="U37" s="199"/>
      <c r="V37" s="168"/>
      <c r="W37" s="299"/>
      <c r="X37" s="304"/>
      <c r="Y37" s="305"/>
      <c r="Z37" s="306"/>
      <c r="AA37" s="325"/>
      <c r="AC37" s="194"/>
      <c r="AI37" s="86"/>
      <c r="AJ37" s="223">
        <v>37956</v>
      </c>
      <c r="AK37" s="225">
        <f>'[9]Model Operations'!C92</f>
        <v>1.5757851769337601E-3</v>
      </c>
      <c r="AL37" s="225">
        <f>'[9]Model Operations'!E92</f>
        <v>5.0560469174009614E-3</v>
      </c>
      <c r="AM37" s="225">
        <f>'[9]Escalation sheet'!X50</f>
        <v>4.6654842109707523E-2</v>
      </c>
    </row>
    <row r="38" spans="1:39">
      <c r="A38" s="73"/>
      <c r="B38" s="158"/>
      <c r="C38" s="158"/>
      <c r="D38" s="158"/>
      <c r="E38" s="158"/>
      <c r="F38" s="158"/>
      <c r="G38" s="158"/>
      <c r="H38" s="73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9"/>
      <c r="V38" s="79"/>
      <c r="W38" s="79"/>
      <c r="X38" s="307"/>
      <c r="Y38" s="308"/>
      <c r="Z38" s="309"/>
      <c r="AA38" s="326"/>
      <c r="AI38" s="86">
        <v>1.05</v>
      </c>
      <c r="AJ38" s="222">
        <v>37987</v>
      </c>
      <c r="AK38" s="225">
        <f>'[9]Model Operations'!C93</f>
        <v>1.6545744357804482E-3</v>
      </c>
      <c r="AL38" s="225">
        <f>'[9]Model Operations'!E93</f>
        <v>5.3088492632710101E-3</v>
      </c>
      <c r="AM38" s="225">
        <f>'[9]Escalation sheet'!X51</f>
        <v>4.7587938951901672E-2</v>
      </c>
    </row>
    <row r="39" spans="1:39">
      <c r="A39" s="73"/>
      <c r="X39" s="310">
        <f ca="1">SUM(X26:X37)</f>
        <v>89697681.668587282</v>
      </c>
      <c r="Y39" s="311">
        <f ca="1">SUM(Y26:Y37)</f>
        <v>12632187.762666374</v>
      </c>
      <c r="AA39" s="325">
        <f ca="1">SUM(AA26:AA37)</f>
        <v>1</v>
      </c>
      <c r="AJ39" s="222">
        <v>38018</v>
      </c>
      <c r="AK39" s="225">
        <f>'[9]Model Operations'!C94</f>
        <v>1.6545744357804482E-3</v>
      </c>
      <c r="AL39" s="225">
        <f>'[9]Model Operations'!E94</f>
        <v>5.3088492632710101E-3</v>
      </c>
      <c r="AM39" s="225">
        <f>'[9]Escalation sheet'!X52</f>
        <v>4.7587938951901672E-2</v>
      </c>
    </row>
    <row r="40" spans="1:39">
      <c r="AJ40" s="222">
        <v>38047</v>
      </c>
      <c r="AK40" s="225">
        <f>'[9]Model Operations'!C95</f>
        <v>1.6545744357804482E-3</v>
      </c>
      <c r="AL40" s="225">
        <f>'[9]Model Operations'!E95</f>
        <v>5.3088492632710101E-3</v>
      </c>
      <c r="AM40" s="225">
        <f>'[9]Escalation sheet'!X53</f>
        <v>4.7587938951901672E-2</v>
      </c>
    </row>
    <row r="41" spans="1:39">
      <c r="AJ41" s="222">
        <v>38078</v>
      </c>
      <c r="AK41" s="225">
        <f>'[9]Model Operations'!C96</f>
        <v>1.6545744357804482E-3</v>
      </c>
      <c r="AL41" s="225">
        <f>'[9]Model Operations'!E96</f>
        <v>5.3088492632710101E-3</v>
      </c>
      <c r="AM41" s="225">
        <f>'[9]Escalation sheet'!X54</f>
        <v>4.7587938951901672E-2</v>
      </c>
    </row>
    <row r="42" spans="1:39">
      <c r="AJ42" s="222">
        <v>38108</v>
      </c>
      <c r="AK42" s="225">
        <f>'[9]Model Operations'!C97</f>
        <v>1.6545744357804482E-3</v>
      </c>
      <c r="AL42" s="225">
        <f>'[9]Model Operations'!E97</f>
        <v>5.3088492632710101E-3</v>
      </c>
      <c r="AM42" s="225">
        <f>'[9]Escalation sheet'!X55</f>
        <v>4.7587938951901672E-2</v>
      </c>
    </row>
    <row r="43" spans="1:39" ht="15">
      <c r="X43" s="187" t="s">
        <v>224</v>
      </c>
      <c r="AJ43" s="222">
        <v>38139</v>
      </c>
      <c r="AK43" s="225">
        <f>'[9]Model Operations'!C98</f>
        <v>1.6545744357804482E-3</v>
      </c>
      <c r="AL43" s="225">
        <f>'[9]Model Operations'!E98</f>
        <v>5.3088492632710101E-3</v>
      </c>
      <c r="AM43" s="225">
        <f>'[9]Escalation sheet'!X56</f>
        <v>4.7587938951901672E-2</v>
      </c>
    </row>
    <row r="44" spans="1:39">
      <c r="X44" s="74" t="s">
        <v>246</v>
      </c>
      <c r="AJ44" s="222"/>
      <c r="AK44" s="225"/>
      <c r="AL44" s="225"/>
      <c r="AM44" s="225"/>
    </row>
    <row r="45" spans="1:39">
      <c r="X45" s="313"/>
      <c r="Y45" s="314" t="s">
        <v>243</v>
      </c>
      <c r="Z45" s="315">
        <f ca="1">AA26+AA27</f>
        <v>0.33818380890736388</v>
      </c>
      <c r="AA45" s="323">
        <f ca="1">Z45*$AA$50</f>
        <v>30334303.636843078</v>
      </c>
      <c r="AJ45" s="222">
        <v>38169</v>
      </c>
      <c r="AK45" s="225">
        <f>'[9]Model Operations'!C99</f>
        <v>1.6545744357804482E-3</v>
      </c>
      <c r="AL45" s="225">
        <f>'[9]Model Operations'!E99</f>
        <v>5.3088492632710101E-3</v>
      </c>
      <c r="AM45" s="225">
        <f>'[9]Escalation sheet'!X57</f>
        <v>4.7587938951901672E-2</v>
      </c>
    </row>
    <row r="46" spans="1:39">
      <c r="X46" s="316"/>
      <c r="Y46" s="317" t="s">
        <v>229</v>
      </c>
      <c r="Z46" s="318">
        <f ca="1">AA28</f>
        <v>7.6294128053643301E-2</v>
      </c>
      <c r="AA46" s="323">
        <f ca="1">Z46*$AA$50</f>
        <v>6843406.4113381319</v>
      </c>
      <c r="AJ46" s="222">
        <v>38200</v>
      </c>
      <c r="AK46" s="225">
        <f>'[9]Model Operations'!C100</f>
        <v>1.6545744357804482E-3</v>
      </c>
      <c r="AL46" s="225">
        <f>'[9]Model Operations'!E100</f>
        <v>5.3088492632710101E-3</v>
      </c>
      <c r="AM46" s="225">
        <f>'[9]Escalation sheet'!X58</f>
        <v>4.7587938951901672E-2</v>
      </c>
    </row>
    <row r="47" spans="1:39">
      <c r="X47" s="316"/>
      <c r="Y47" s="317" t="s">
        <v>244</v>
      </c>
      <c r="Z47" s="318">
        <f ca="1">AA29</f>
        <v>4.0484821589303098E-3</v>
      </c>
      <c r="AA47" s="323">
        <f ca="1">Z47*$AA$50</f>
        <v>363139.4639326859</v>
      </c>
      <c r="AJ47" s="222">
        <v>38231</v>
      </c>
      <c r="AK47" s="225">
        <f>'[9]Model Operations'!C101</f>
        <v>1.6545744357804482E-3</v>
      </c>
      <c r="AL47" s="225">
        <f>'[9]Model Operations'!E101</f>
        <v>5.3088492632710101E-3</v>
      </c>
      <c r="AM47" s="225">
        <f>'[9]Escalation sheet'!X59</f>
        <v>4.7587938951901672E-2</v>
      </c>
    </row>
    <row r="48" spans="1:39">
      <c r="X48" s="316"/>
      <c r="Y48" s="317" t="s">
        <v>231</v>
      </c>
      <c r="Z48" s="318">
        <f ca="1">AA30+AA31+AA33</f>
        <v>0.26923705625344735</v>
      </c>
      <c r="AA48" s="323">
        <f ca="1">Z48*$AA$50</f>
        <v>24149939.765209246</v>
      </c>
      <c r="AJ48" s="222">
        <v>38261</v>
      </c>
      <c r="AK48" s="225">
        <f>'[9]Model Operations'!C102</f>
        <v>1.6545744357804482E-3</v>
      </c>
      <c r="AL48" s="225">
        <f>'[9]Model Operations'!E102</f>
        <v>5.3088492632710101E-3</v>
      </c>
      <c r="AM48" s="225">
        <f>'[9]Escalation sheet'!X60</f>
        <v>4.7587938951901672E-2</v>
      </c>
    </row>
    <row r="49" spans="24:39" ht="15">
      <c r="X49" s="316"/>
      <c r="Y49" s="317" t="s">
        <v>232</v>
      </c>
      <c r="Z49" s="319">
        <f ca="1">AA32</f>
        <v>0.31223652462661516</v>
      </c>
      <c r="AA49" s="324">
        <f ca="1">Z49*$AA$50</f>
        <v>28006892.391264141</v>
      </c>
      <c r="AJ49" s="222">
        <v>38292</v>
      </c>
      <c r="AK49" s="225">
        <f>'[9]Model Operations'!C103</f>
        <v>1.6545744357804482E-3</v>
      </c>
      <c r="AL49" s="225">
        <f>'[9]Model Operations'!E103</f>
        <v>5.3088492632710101E-3</v>
      </c>
      <c r="AM49" s="225">
        <f>'[9]Escalation sheet'!X61</f>
        <v>4.7587938951901672E-2</v>
      </c>
    </row>
    <row r="50" spans="24:39" ht="13.5" thickBot="1">
      <c r="X50" s="320"/>
      <c r="Y50" s="321" t="s">
        <v>245</v>
      </c>
      <c r="Z50" s="322">
        <f ca="1">SUM(Z45:Z49)</f>
        <v>1</v>
      </c>
      <c r="AA50" s="309">
        <f ca="1">X39</f>
        <v>89697681.668587282</v>
      </c>
      <c r="AJ50" s="223">
        <v>38322</v>
      </c>
      <c r="AK50" s="225">
        <f>'[9]Model Operations'!C104</f>
        <v>1.6545744357804482E-3</v>
      </c>
      <c r="AL50" s="225">
        <f>'[9]Model Operations'!E104</f>
        <v>5.3088492632710101E-3</v>
      </c>
      <c r="AM50" s="225">
        <f>'[9]Escalation sheet'!X62</f>
        <v>4.7587938951901672E-2</v>
      </c>
    </row>
    <row r="51" spans="24:39">
      <c r="AI51">
        <f>AI38</f>
        <v>1.05</v>
      </c>
      <c r="AJ51" s="224">
        <v>38353</v>
      </c>
      <c r="AK51" s="225">
        <f>'[9]Model Operations'!C105</f>
        <v>1.7373031575694706E-3</v>
      </c>
      <c r="AL51" s="225">
        <f>'[9]Model Operations'!E105</f>
        <v>5.5742917264345604E-3</v>
      </c>
      <c r="AM51" s="225">
        <f>'[9]Escalation sheet'!X63</f>
        <v>4.8539697730939704E-2</v>
      </c>
    </row>
    <row r="52" spans="24:39">
      <c r="AJ52" s="222">
        <v>38384</v>
      </c>
      <c r="AK52" s="225">
        <f>'[9]Model Operations'!C106</f>
        <v>1.7373031575694706E-3</v>
      </c>
      <c r="AL52" s="225">
        <f>'[9]Model Operations'!E106</f>
        <v>5.5742917264345604E-3</v>
      </c>
      <c r="AM52" s="225">
        <f>'[9]Escalation sheet'!X64</f>
        <v>4.8539697730939704E-2</v>
      </c>
    </row>
    <row r="53" spans="24:39">
      <c r="AJ53" s="222">
        <v>38412</v>
      </c>
      <c r="AK53" s="225">
        <f>'[9]Model Operations'!C107</f>
        <v>1.7373031575694706E-3</v>
      </c>
      <c r="AL53" s="225">
        <f>'[9]Model Operations'!E107</f>
        <v>5.5742917264345604E-3</v>
      </c>
      <c r="AM53" s="225">
        <f>'[9]Escalation sheet'!X65</f>
        <v>4.8539697730939704E-2</v>
      </c>
    </row>
    <row r="54" spans="24:39">
      <c r="AJ54" s="222">
        <v>38443</v>
      </c>
      <c r="AK54" s="225">
        <f>'[9]Model Operations'!C108</f>
        <v>1.7373031575694706E-3</v>
      </c>
      <c r="AL54" s="225">
        <f>'[9]Model Operations'!E108</f>
        <v>5.5742917264345604E-3</v>
      </c>
      <c r="AM54" s="225">
        <f>'[9]Escalation sheet'!X66</f>
        <v>4.8539697730939704E-2</v>
      </c>
    </row>
    <row r="55" spans="24:39">
      <c r="AJ55" s="222">
        <v>38473</v>
      </c>
      <c r="AK55" s="225">
        <f>'[9]Model Operations'!C109</f>
        <v>1.7373031575694706E-3</v>
      </c>
      <c r="AL55" s="225">
        <f>'[9]Model Operations'!E109</f>
        <v>5.5742917264345604E-3</v>
      </c>
      <c r="AM55" s="225">
        <f>'[9]Escalation sheet'!X67</f>
        <v>4.8539697730939704E-2</v>
      </c>
    </row>
    <row r="56" spans="24:39">
      <c r="AJ56" s="222">
        <v>38504</v>
      </c>
      <c r="AK56" s="225">
        <f>'[9]Model Operations'!C110</f>
        <v>1.7373031575694706E-3</v>
      </c>
      <c r="AL56" s="225">
        <f>'[9]Model Operations'!E110</f>
        <v>5.5742917264345604E-3</v>
      </c>
      <c r="AM56" s="225">
        <f>'[9]Escalation sheet'!X68</f>
        <v>4.8539697730939704E-2</v>
      </c>
    </row>
    <row r="57" spans="24:39">
      <c r="AJ57" s="222">
        <v>38534</v>
      </c>
      <c r="AK57" s="225">
        <f>'[9]Model Operations'!C111</f>
        <v>1.7373031575694706E-3</v>
      </c>
      <c r="AL57" s="225">
        <f>'[9]Model Operations'!E111</f>
        <v>5.5742917264345604E-3</v>
      </c>
      <c r="AM57" s="225">
        <f>'[9]Escalation sheet'!X69</f>
        <v>4.8539697730939704E-2</v>
      </c>
    </row>
    <row r="58" spans="24:39">
      <c r="AJ58" s="222">
        <v>38565</v>
      </c>
      <c r="AK58" s="225">
        <f>'[9]Model Operations'!C112</f>
        <v>1.7373031575694706E-3</v>
      </c>
      <c r="AL58" s="225">
        <f>'[9]Model Operations'!E112</f>
        <v>5.5742917264345604E-3</v>
      </c>
      <c r="AM58" s="225">
        <f>'[9]Escalation sheet'!X70</f>
        <v>4.8539697730939704E-2</v>
      </c>
    </row>
    <row r="59" spans="24:39">
      <c r="AJ59" s="222">
        <v>38596</v>
      </c>
      <c r="AK59" s="225">
        <f>'[9]Model Operations'!C113</f>
        <v>1.7373031575694706E-3</v>
      </c>
      <c r="AL59" s="225">
        <f>'[9]Model Operations'!E113</f>
        <v>5.5742917264345604E-3</v>
      </c>
      <c r="AM59" s="225">
        <f>'[9]Escalation sheet'!X71</f>
        <v>4.8539697730939704E-2</v>
      </c>
    </row>
    <row r="60" spans="24:39">
      <c r="AJ60" s="222">
        <v>38626</v>
      </c>
      <c r="AK60" s="225">
        <f>'[9]Model Operations'!C114</f>
        <v>1.7373031575694706E-3</v>
      </c>
      <c r="AL60" s="225">
        <f>'[9]Model Operations'!E114</f>
        <v>5.5742917264345604E-3</v>
      </c>
      <c r="AM60" s="225">
        <f>'[9]Escalation sheet'!X72</f>
        <v>4.8539697730939704E-2</v>
      </c>
    </row>
    <row r="61" spans="24:39">
      <c r="AJ61" s="222">
        <v>38657</v>
      </c>
      <c r="AK61" s="225">
        <f>'[9]Model Operations'!C115</f>
        <v>1.7373031575694706E-3</v>
      </c>
      <c r="AL61" s="225">
        <f>'[9]Model Operations'!E115</f>
        <v>5.5742917264345604E-3</v>
      </c>
      <c r="AM61" s="225">
        <f>'[9]Escalation sheet'!X73</f>
        <v>4.8539697730939704E-2</v>
      </c>
    </row>
    <row r="62" spans="24:39" ht="13.5" thickBot="1">
      <c r="AJ62" s="223">
        <v>38687</v>
      </c>
      <c r="AK62" s="225">
        <f>'[9]Model Operations'!C116</f>
        <v>1.7373031575694706E-3</v>
      </c>
      <c r="AL62" s="225">
        <f>'[9]Model Operations'!E116</f>
        <v>5.5742917264345604E-3</v>
      </c>
      <c r="AM62" s="225">
        <f>'[9]Escalation sheet'!X74</f>
        <v>4.8539697730939704E-2</v>
      </c>
    </row>
    <row r="63" spans="24:39">
      <c r="AI63">
        <f>AI51</f>
        <v>1.05</v>
      </c>
      <c r="AJ63" s="222">
        <v>38718</v>
      </c>
      <c r="AK63" s="225">
        <f>'[9]Model Operations'!C117</f>
        <v>1.8241683154479442E-3</v>
      </c>
      <c r="AL63" s="225">
        <f>'[9]Model Operations'!E117</f>
        <v>5.8530063127562888E-3</v>
      </c>
      <c r="AM63" s="225">
        <f>'[9]Escalation sheet'!X75</f>
        <v>4.9510491685558503E-2</v>
      </c>
    </row>
    <row r="64" spans="24:39">
      <c r="AJ64" s="222">
        <v>38749</v>
      </c>
      <c r="AK64" s="225">
        <f>'[9]Model Operations'!C118</f>
        <v>1.8241683154479442E-3</v>
      </c>
      <c r="AL64" s="225">
        <f>'[9]Model Operations'!E118</f>
        <v>5.8530063127562888E-3</v>
      </c>
      <c r="AM64" s="225">
        <f>'[9]Escalation sheet'!X76</f>
        <v>4.9510491685558503E-2</v>
      </c>
    </row>
    <row r="65" spans="35:39">
      <c r="AJ65" s="222">
        <v>38777</v>
      </c>
      <c r="AK65" s="225">
        <f>'[9]Model Operations'!C119</f>
        <v>1.8241683154479442E-3</v>
      </c>
      <c r="AL65" s="225">
        <f>'[9]Model Operations'!E119</f>
        <v>5.8530063127562888E-3</v>
      </c>
      <c r="AM65" s="225">
        <f>'[9]Escalation sheet'!X77</f>
        <v>4.9510491685558503E-2</v>
      </c>
    </row>
    <row r="66" spans="35:39">
      <c r="AJ66" s="222">
        <v>38808</v>
      </c>
      <c r="AK66" s="225">
        <f>'[9]Model Operations'!C120</f>
        <v>1.8241683154479442E-3</v>
      </c>
      <c r="AL66" s="225">
        <f>'[9]Model Operations'!E120</f>
        <v>5.8530063127562888E-3</v>
      </c>
      <c r="AM66" s="225">
        <f>'[9]Escalation sheet'!X78</f>
        <v>4.9510491685558503E-2</v>
      </c>
    </row>
    <row r="67" spans="35:39">
      <c r="AJ67" s="222">
        <v>38838</v>
      </c>
      <c r="AK67" s="225">
        <f>'[9]Model Operations'!C121</f>
        <v>1.8241683154479442E-3</v>
      </c>
      <c r="AL67" s="225">
        <f>'[9]Model Operations'!E121</f>
        <v>5.8530063127562888E-3</v>
      </c>
      <c r="AM67" s="225">
        <f>'[9]Escalation sheet'!X79</f>
        <v>4.9510491685558503E-2</v>
      </c>
    </row>
    <row r="68" spans="35:39">
      <c r="AJ68" s="222">
        <v>38869</v>
      </c>
      <c r="AK68" s="225">
        <f>'[9]Model Operations'!C122</f>
        <v>1.8241683154479442E-3</v>
      </c>
      <c r="AL68" s="225">
        <f>'[9]Model Operations'!E122</f>
        <v>5.8530063127562888E-3</v>
      </c>
      <c r="AM68" s="225">
        <f>'[9]Escalation sheet'!X80</f>
        <v>4.9510491685558503E-2</v>
      </c>
    </row>
    <row r="69" spans="35:39">
      <c r="AJ69" s="222">
        <v>38899</v>
      </c>
      <c r="AK69" s="225">
        <f>'[9]Model Operations'!C123</f>
        <v>1.8241683154479442E-3</v>
      </c>
      <c r="AL69" s="225">
        <f>'[9]Model Operations'!E123</f>
        <v>5.8530063127562888E-3</v>
      </c>
      <c r="AM69" s="225">
        <f>'[9]Escalation sheet'!X81</f>
        <v>4.9510491685558503E-2</v>
      </c>
    </row>
    <row r="70" spans="35:39">
      <c r="AJ70" s="222">
        <v>38930</v>
      </c>
      <c r="AK70" s="225">
        <f>'[9]Model Operations'!C124</f>
        <v>1.8241683154479442E-3</v>
      </c>
      <c r="AL70" s="225">
        <f>'[9]Model Operations'!E124</f>
        <v>5.8530063127562888E-3</v>
      </c>
      <c r="AM70" s="225">
        <f>'[9]Escalation sheet'!X82</f>
        <v>4.9510491685558503E-2</v>
      </c>
    </row>
    <row r="71" spans="35:39">
      <c r="AJ71" s="222">
        <v>38961</v>
      </c>
      <c r="AK71" s="225">
        <f>'[9]Model Operations'!C125</f>
        <v>1.8241683154479442E-3</v>
      </c>
      <c r="AL71" s="225">
        <f>'[9]Model Operations'!E125</f>
        <v>5.8530063127562888E-3</v>
      </c>
      <c r="AM71" s="225">
        <f>'[9]Escalation sheet'!X83</f>
        <v>4.9510491685558503E-2</v>
      </c>
    </row>
    <row r="72" spans="35:39">
      <c r="AJ72" s="222">
        <v>38991</v>
      </c>
      <c r="AK72" s="225">
        <f>'[9]Model Operations'!C126</f>
        <v>1.8241683154479442E-3</v>
      </c>
      <c r="AL72" s="225">
        <f>'[9]Model Operations'!E126</f>
        <v>5.8530063127562888E-3</v>
      </c>
      <c r="AM72" s="225">
        <f>'[9]Escalation sheet'!X84</f>
        <v>4.9510491685558503E-2</v>
      </c>
    </row>
    <row r="73" spans="35:39">
      <c r="AJ73" s="222">
        <v>39022</v>
      </c>
      <c r="AK73" s="225">
        <f>'[9]Model Operations'!C127</f>
        <v>1.8241683154479442E-3</v>
      </c>
      <c r="AL73" s="225">
        <f>'[9]Model Operations'!E127</f>
        <v>5.8530063127562888E-3</v>
      </c>
      <c r="AM73" s="225">
        <f>'[9]Escalation sheet'!X85</f>
        <v>4.9510491685558503E-2</v>
      </c>
    </row>
    <row r="74" spans="35:39" ht="13.5" thickBot="1">
      <c r="AJ74" s="223">
        <v>39052</v>
      </c>
      <c r="AK74" s="225">
        <f>'[9]Model Operations'!C128</f>
        <v>1.8241683154479442E-3</v>
      </c>
      <c r="AL74" s="225">
        <f>'[9]Model Operations'!E128</f>
        <v>5.8530063127562888E-3</v>
      </c>
      <c r="AM74" s="225">
        <f>'[9]Escalation sheet'!X86</f>
        <v>4.9510491685558503E-2</v>
      </c>
    </row>
    <row r="75" spans="35:39">
      <c r="AI75">
        <f>AI63</f>
        <v>1.05</v>
      </c>
      <c r="AJ75" s="222">
        <v>39083</v>
      </c>
      <c r="AK75" s="225">
        <f>'[9]Model Operations'!C129</f>
        <v>1.9153767312203415E-3</v>
      </c>
      <c r="AL75" s="225">
        <f>'[9]Model Operations'!E129</f>
        <v>6.1456566283941035E-3</v>
      </c>
      <c r="AM75" s="225">
        <f>'[9]Escalation sheet'!X87</f>
        <v>5.0500701519269671E-2</v>
      </c>
    </row>
    <row r="76" spans="35:39">
      <c r="AJ76" s="222">
        <v>39114</v>
      </c>
      <c r="AK76" s="225">
        <f>'[9]Model Operations'!C130</f>
        <v>1.9153767312203415E-3</v>
      </c>
      <c r="AL76" s="225">
        <f>'[9]Model Operations'!E130</f>
        <v>6.1456566283941035E-3</v>
      </c>
      <c r="AM76" s="225">
        <f>'[9]Escalation sheet'!X88</f>
        <v>5.0500701519269671E-2</v>
      </c>
    </row>
    <row r="77" spans="35:39">
      <c r="AJ77" s="222">
        <v>39142</v>
      </c>
      <c r="AK77" s="225">
        <f>'[9]Model Operations'!C131</f>
        <v>1.9153767312203415E-3</v>
      </c>
      <c r="AL77" s="225">
        <f>'[9]Model Operations'!E131</f>
        <v>6.1456566283941035E-3</v>
      </c>
      <c r="AM77" s="225">
        <f>'[9]Escalation sheet'!X89</f>
        <v>5.0500701519269671E-2</v>
      </c>
    </row>
    <row r="78" spans="35:39">
      <c r="AJ78" s="222">
        <v>39173</v>
      </c>
      <c r="AK78" s="225">
        <f>'[9]Model Operations'!C132</f>
        <v>1.9153767312203415E-3</v>
      </c>
      <c r="AL78" s="225">
        <f>'[9]Model Operations'!E132</f>
        <v>6.1456566283941035E-3</v>
      </c>
      <c r="AM78" s="225">
        <f>'[9]Escalation sheet'!X90</f>
        <v>5.0500701519269671E-2</v>
      </c>
    </row>
    <row r="79" spans="35:39">
      <c r="AJ79" s="222">
        <v>39203</v>
      </c>
      <c r="AK79" s="225">
        <f>'[9]Model Operations'!C133</f>
        <v>1.9153767312203415E-3</v>
      </c>
      <c r="AL79" s="225">
        <f>'[9]Model Operations'!E133</f>
        <v>6.1456566283941035E-3</v>
      </c>
      <c r="AM79" s="225">
        <f>'[9]Escalation sheet'!X91</f>
        <v>5.0500701519269671E-2</v>
      </c>
    </row>
    <row r="80" spans="35:39">
      <c r="AJ80" s="222">
        <v>39234</v>
      </c>
      <c r="AK80" s="225">
        <f>'[9]Model Operations'!C134</f>
        <v>1.9153767312203415E-3</v>
      </c>
      <c r="AL80" s="225">
        <f>'[9]Model Operations'!E134</f>
        <v>6.1456566283941035E-3</v>
      </c>
      <c r="AM80" s="225">
        <f>'[9]Escalation sheet'!X92</f>
        <v>5.0500701519269671E-2</v>
      </c>
    </row>
    <row r="81" spans="35:39">
      <c r="AJ81" s="222">
        <v>39264</v>
      </c>
      <c r="AK81" s="225">
        <f>'[9]Model Operations'!C135</f>
        <v>1.9153767312203415E-3</v>
      </c>
      <c r="AL81" s="225">
        <f>'[9]Model Operations'!E135</f>
        <v>6.1456566283941035E-3</v>
      </c>
      <c r="AM81" s="225">
        <f>'[9]Escalation sheet'!X93</f>
        <v>5.0500701519269671E-2</v>
      </c>
    </row>
    <row r="82" spans="35:39">
      <c r="AJ82" s="222">
        <v>39295</v>
      </c>
      <c r="AK82" s="225">
        <f>'[9]Model Operations'!C136</f>
        <v>1.9153767312203415E-3</v>
      </c>
      <c r="AL82" s="225">
        <f>'[9]Model Operations'!E136</f>
        <v>6.1456566283941035E-3</v>
      </c>
      <c r="AM82" s="225">
        <f>'[9]Escalation sheet'!X94</f>
        <v>5.0500701519269671E-2</v>
      </c>
    </row>
    <row r="83" spans="35:39">
      <c r="AJ83" s="222">
        <v>39326</v>
      </c>
      <c r="AK83" s="225">
        <f>'[9]Model Operations'!C137</f>
        <v>1.9153767312203415E-3</v>
      </c>
      <c r="AL83" s="225">
        <f>'[9]Model Operations'!E137</f>
        <v>6.1456566283941035E-3</v>
      </c>
      <c r="AM83" s="225">
        <f>'[9]Escalation sheet'!X95</f>
        <v>5.0500701519269671E-2</v>
      </c>
    </row>
    <row r="84" spans="35:39">
      <c r="AJ84" s="222">
        <v>39356</v>
      </c>
      <c r="AK84" s="225">
        <f>'[9]Model Operations'!C138</f>
        <v>1.9153767312203415E-3</v>
      </c>
      <c r="AL84" s="225">
        <f>'[9]Model Operations'!E138</f>
        <v>6.1456566283941035E-3</v>
      </c>
      <c r="AM84" s="225">
        <f>'[9]Escalation sheet'!X96</f>
        <v>5.0500701519269671E-2</v>
      </c>
    </row>
    <row r="85" spans="35:39">
      <c r="AJ85" s="222">
        <v>39387</v>
      </c>
      <c r="AK85" s="225">
        <f>'[9]Model Operations'!C139</f>
        <v>1.9153767312203415E-3</v>
      </c>
      <c r="AL85" s="225">
        <f>'[9]Model Operations'!E139</f>
        <v>6.1456566283941035E-3</v>
      </c>
      <c r="AM85" s="225">
        <f>'[9]Escalation sheet'!X97</f>
        <v>5.0500701519269671E-2</v>
      </c>
    </row>
    <row r="86" spans="35:39" ht="13.5" thickBot="1">
      <c r="AJ86" s="223">
        <v>39417</v>
      </c>
      <c r="AK86" s="225">
        <f>'[9]Model Operations'!C140</f>
        <v>1.9153767312203415E-3</v>
      </c>
      <c r="AL86" s="225">
        <f>'[9]Model Operations'!E140</f>
        <v>6.1456566283941035E-3</v>
      </c>
      <c r="AM86" s="225">
        <f>'[9]Escalation sheet'!X98</f>
        <v>5.0500701519269671E-2</v>
      </c>
    </row>
    <row r="87" spans="35:39">
      <c r="AI87">
        <f>AI75</f>
        <v>1.05</v>
      </c>
      <c r="AJ87" s="222">
        <v>39448</v>
      </c>
      <c r="AK87" s="225">
        <f>'[9]Model Operations'!C141</f>
        <v>2.0111455677813586E-3</v>
      </c>
      <c r="AL87" s="225">
        <f>'[9]Model Operations'!E141</f>
        <v>6.452939459813809E-3</v>
      </c>
      <c r="AM87" s="225">
        <f>'[9]Escalation sheet'!X99</f>
        <v>5.1510715549655063E-2</v>
      </c>
    </row>
    <row r="88" spans="35:39">
      <c r="AJ88" s="222">
        <v>39479</v>
      </c>
      <c r="AK88" s="225">
        <f>'[9]Model Operations'!C142</f>
        <v>2.0111455677813586E-3</v>
      </c>
      <c r="AL88" s="225">
        <f>'[9]Model Operations'!E142</f>
        <v>6.452939459813809E-3</v>
      </c>
      <c r="AM88" s="225">
        <f>'[9]Escalation sheet'!X100</f>
        <v>5.1510715549655063E-2</v>
      </c>
    </row>
    <row r="89" spans="35:39">
      <c r="AJ89" s="222">
        <v>39508</v>
      </c>
      <c r="AK89" s="225">
        <f>'[9]Model Operations'!C143</f>
        <v>2.0111455677813586E-3</v>
      </c>
      <c r="AL89" s="225">
        <f>'[9]Model Operations'!E143</f>
        <v>6.452939459813809E-3</v>
      </c>
      <c r="AM89" s="225">
        <f>'[9]Escalation sheet'!X101</f>
        <v>5.1510715549655063E-2</v>
      </c>
    </row>
    <row r="90" spans="35:39">
      <c r="AJ90" s="222">
        <v>39539</v>
      </c>
      <c r="AK90" s="225">
        <f>'[9]Model Operations'!C144</f>
        <v>2.0111455677813586E-3</v>
      </c>
      <c r="AL90" s="225">
        <f>'[9]Model Operations'!E144</f>
        <v>6.452939459813809E-3</v>
      </c>
      <c r="AM90" s="225">
        <f>'[9]Escalation sheet'!X102</f>
        <v>5.1510715549655063E-2</v>
      </c>
    </row>
    <row r="91" spans="35:39">
      <c r="AJ91" s="222">
        <v>39569</v>
      </c>
      <c r="AK91" s="225">
        <f>'[9]Model Operations'!C145</f>
        <v>2.0111455677813586E-3</v>
      </c>
      <c r="AL91" s="225">
        <f>'[9]Model Operations'!E145</f>
        <v>6.452939459813809E-3</v>
      </c>
      <c r="AM91" s="225">
        <f>'[9]Escalation sheet'!X103</f>
        <v>5.1510715549655063E-2</v>
      </c>
    </row>
    <row r="92" spans="35:39">
      <c r="AJ92" s="222">
        <v>39600</v>
      </c>
      <c r="AK92" s="225">
        <f>'[9]Model Operations'!C146</f>
        <v>2.0111455677813586E-3</v>
      </c>
      <c r="AL92" s="225">
        <f>'[9]Model Operations'!E146</f>
        <v>6.452939459813809E-3</v>
      </c>
      <c r="AM92" s="225">
        <f>'[9]Escalation sheet'!X104</f>
        <v>5.1510715549655063E-2</v>
      </c>
    </row>
    <row r="93" spans="35:39">
      <c r="AJ93" s="222">
        <v>39630</v>
      </c>
      <c r="AK93" s="225">
        <f>'[9]Model Operations'!C147</f>
        <v>2.0111455677813586E-3</v>
      </c>
      <c r="AL93" s="225">
        <f>'[9]Model Operations'!E147</f>
        <v>6.452939459813809E-3</v>
      </c>
      <c r="AM93" s="225">
        <f>'[9]Escalation sheet'!X105</f>
        <v>5.1510715549655063E-2</v>
      </c>
    </row>
    <row r="94" spans="35:39">
      <c r="AJ94" s="222">
        <v>39661</v>
      </c>
      <c r="AK94" s="225">
        <f>'[9]Model Operations'!C148</f>
        <v>2.0111455677813586E-3</v>
      </c>
      <c r="AL94" s="225">
        <f>'[9]Model Operations'!E148</f>
        <v>6.452939459813809E-3</v>
      </c>
      <c r="AM94" s="225">
        <f>'[9]Escalation sheet'!X106</f>
        <v>5.1510715549655063E-2</v>
      </c>
    </row>
    <row r="95" spans="35:39">
      <c r="AJ95" s="222">
        <v>39692</v>
      </c>
      <c r="AK95" s="225">
        <f>'[9]Model Operations'!C149</f>
        <v>2.0111455677813586E-3</v>
      </c>
      <c r="AL95" s="225">
        <f>'[9]Model Operations'!E149</f>
        <v>6.452939459813809E-3</v>
      </c>
      <c r="AM95" s="225">
        <f>'[9]Escalation sheet'!X107</f>
        <v>5.1510715549655063E-2</v>
      </c>
    </row>
    <row r="96" spans="35:39">
      <c r="AJ96" s="222">
        <v>39722</v>
      </c>
      <c r="AK96" s="225">
        <f>'[9]Model Operations'!C150</f>
        <v>2.0111455677813586E-3</v>
      </c>
      <c r="AL96" s="225">
        <f>'[9]Model Operations'!E150</f>
        <v>6.452939459813809E-3</v>
      </c>
      <c r="AM96" s="225">
        <f>'[9]Escalation sheet'!X108</f>
        <v>5.1510715549655063E-2</v>
      </c>
    </row>
    <row r="97" spans="35:39">
      <c r="AJ97" s="222">
        <v>39753</v>
      </c>
      <c r="AK97" s="225">
        <f>'[9]Model Operations'!C151</f>
        <v>2.0111455677813586E-3</v>
      </c>
      <c r="AL97" s="225">
        <f>'[9]Model Operations'!E151</f>
        <v>6.452939459813809E-3</v>
      </c>
      <c r="AM97" s="225">
        <f>'[9]Escalation sheet'!X109</f>
        <v>5.1510715549655063E-2</v>
      </c>
    </row>
    <row r="98" spans="35:39" ht="13.5" thickBot="1">
      <c r="AJ98" s="223">
        <v>39783</v>
      </c>
      <c r="AK98" s="225">
        <f>'[9]Model Operations'!C152</f>
        <v>2.0111455677813586E-3</v>
      </c>
      <c r="AL98" s="225">
        <f>'[9]Model Operations'!E152</f>
        <v>6.452939459813809E-3</v>
      </c>
      <c r="AM98" s="225">
        <f>'[9]Escalation sheet'!X110</f>
        <v>5.1510715549655063E-2</v>
      </c>
    </row>
    <row r="99" spans="35:39">
      <c r="AI99">
        <f>AI87</f>
        <v>1.05</v>
      </c>
      <c r="AJ99" s="222">
        <v>39814</v>
      </c>
      <c r="AK99" s="225">
        <f>'[9]Model Operations'!C153</f>
        <v>2.1117028461704267E-3</v>
      </c>
      <c r="AL99" s="225">
        <f>'[9]Model Operations'!E153</f>
        <v>6.7755864328044998E-3</v>
      </c>
      <c r="AM99" s="225">
        <f>'[9]Escalation sheet'!X111</f>
        <v>5.2540929860648164E-2</v>
      </c>
    </row>
    <row r="100" spans="35:39">
      <c r="AJ100" s="222">
        <v>39845</v>
      </c>
      <c r="AK100" s="225">
        <f>'[9]Model Operations'!C154</f>
        <v>2.1117028461704267E-3</v>
      </c>
      <c r="AL100" s="225">
        <f>'[9]Model Operations'!E154</f>
        <v>6.7755864328044998E-3</v>
      </c>
      <c r="AM100" s="225">
        <f>'[9]Escalation sheet'!X112</f>
        <v>5.2540929860648164E-2</v>
      </c>
    </row>
    <row r="101" spans="35:39">
      <c r="AJ101" s="222">
        <v>39873</v>
      </c>
      <c r="AK101" s="225">
        <f>'[9]Model Operations'!C155</f>
        <v>2.1117028461704267E-3</v>
      </c>
      <c r="AL101" s="225">
        <f>'[9]Model Operations'!E155</f>
        <v>6.7755864328044998E-3</v>
      </c>
      <c r="AM101" s="225">
        <f>'[9]Escalation sheet'!X113</f>
        <v>5.2540929860648164E-2</v>
      </c>
    </row>
    <row r="102" spans="35:39">
      <c r="AJ102" s="222">
        <v>39904</v>
      </c>
      <c r="AK102" s="225">
        <f>'[9]Model Operations'!C156</f>
        <v>2.1117028461704267E-3</v>
      </c>
      <c r="AL102" s="225">
        <f>'[9]Model Operations'!E156</f>
        <v>6.7755864328044998E-3</v>
      </c>
      <c r="AM102" s="225">
        <f>'[9]Escalation sheet'!X114</f>
        <v>5.2540929860648164E-2</v>
      </c>
    </row>
    <row r="103" spans="35:39">
      <c r="AJ103" s="222">
        <v>39934</v>
      </c>
      <c r="AK103" s="225">
        <f>'[9]Model Operations'!C157</f>
        <v>2.1117028461704267E-3</v>
      </c>
      <c r="AL103" s="225">
        <f>'[9]Model Operations'!E157</f>
        <v>6.7755864328044998E-3</v>
      </c>
      <c r="AM103" s="225">
        <f>'[9]Escalation sheet'!X115</f>
        <v>5.2540929860648164E-2</v>
      </c>
    </row>
    <row r="104" spans="35:39">
      <c r="AJ104" s="222">
        <v>39965</v>
      </c>
      <c r="AK104" s="225">
        <f>'[9]Model Operations'!C158</f>
        <v>2.1117028461704267E-3</v>
      </c>
      <c r="AL104" s="225">
        <f>'[9]Model Operations'!E158</f>
        <v>6.7755864328044998E-3</v>
      </c>
      <c r="AM104" s="225">
        <f>'[9]Escalation sheet'!X116</f>
        <v>5.2540929860648164E-2</v>
      </c>
    </row>
    <row r="105" spans="35:39">
      <c r="AJ105" s="222">
        <v>39995</v>
      </c>
      <c r="AK105" s="225">
        <f>'[9]Model Operations'!C159</f>
        <v>2.1117028461704267E-3</v>
      </c>
      <c r="AL105" s="225">
        <f>'[9]Model Operations'!E159</f>
        <v>6.7755864328044998E-3</v>
      </c>
      <c r="AM105" s="225">
        <f>'[9]Escalation sheet'!X117</f>
        <v>5.2540929860648164E-2</v>
      </c>
    </row>
    <row r="106" spans="35:39">
      <c r="AJ106" s="222">
        <v>40026</v>
      </c>
      <c r="AK106" s="225">
        <f>'[9]Model Operations'!C160</f>
        <v>2.1117028461704267E-3</v>
      </c>
      <c r="AL106" s="225">
        <f>'[9]Model Operations'!E160</f>
        <v>6.7755864328044998E-3</v>
      </c>
      <c r="AM106" s="225">
        <f>'[9]Escalation sheet'!X118</f>
        <v>5.2540929860648164E-2</v>
      </c>
    </row>
    <row r="107" spans="35:39">
      <c r="AJ107" s="222">
        <v>40057</v>
      </c>
      <c r="AK107" s="225">
        <f>'[9]Model Operations'!C161</f>
        <v>2.1117028461704267E-3</v>
      </c>
      <c r="AL107" s="225">
        <f>'[9]Model Operations'!E161</f>
        <v>6.7755864328044998E-3</v>
      </c>
      <c r="AM107" s="225">
        <f>'[9]Escalation sheet'!X119</f>
        <v>5.2540929860648164E-2</v>
      </c>
    </row>
    <row r="108" spans="35:39">
      <c r="AJ108" s="222">
        <v>40087</v>
      </c>
      <c r="AK108" s="225">
        <f>'[9]Model Operations'!C162</f>
        <v>2.1117028461704267E-3</v>
      </c>
      <c r="AL108" s="225">
        <f>'[9]Model Operations'!E162</f>
        <v>6.7755864328044998E-3</v>
      </c>
      <c r="AM108" s="225">
        <f>'[9]Escalation sheet'!X120</f>
        <v>5.2540929860648164E-2</v>
      </c>
    </row>
    <row r="109" spans="35:39">
      <c r="AJ109" s="222">
        <v>40118</v>
      </c>
      <c r="AK109" s="225">
        <f>'[9]Model Operations'!C163</f>
        <v>2.1117028461704267E-3</v>
      </c>
      <c r="AL109" s="225">
        <f>'[9]Model Operations'!E163</f>
        <v>6.7755864328044998E-3</v>
      </c>
      <c r="AM109" s="225">
        <f>'[9]Escalation sheet'!X121</f>
        <v>5.2540929860648164E-2</v>
      </c>
    </row>
    <row r="110" spans="35:39" ht="13.5" thickBot="1">
      <c r="AJ110" s="223">
        <v>40148</v>
      </c>
      <c r="AK110" s="225">
        <f>'[9]Model Operations'!C164</f>
        <v>2.1117028461704267E-3</v>
      </c>
      <c r="AL110" s="225">
        <f>'[9]Model Operations'!E164</f>
        <v>6.7755864328044998E-3</v>
      </c>
      <c r="AM110" s="225">
        <f>'[9]Escalation sheet'!X122</f>
        <v>5.2540929860648164E-2</v>
      </c>
    </row>
    <row r="111" spans="35:39">
      <c r="AI111">
        <f>AI99</f>
        <v>1.05</v>
      </c>
      <c r="AJ111" s="222">
        <v>40179</v>
      </c>
      <c r="AK111" s="225">
        <f>'[9]Model Operations'!C165</f>
        <v>2.2172879884789481E-3</v>
      </c>
      <c r="AL111" s="225">
        <f>'[9]Model Operations'!E165</f>
        <v>7.1143657544447247E-3</v>
      </c>
      <c r="AM111" s="225">
        <f>'[9]Escalation sheet'!X123</f>
        <v>5.3591748457861126E-2</v>
      </c>
    </row>
    <row r="112" spans="35:39">
      <c r="AJ112" s="222">
        <v>40210</v>
      </c>
      <c r="AK112" s="225">
        <f>'[9]Model Operations'!C166</f>
        <v>2.2172879884789481E-3</v>
      </c>
      <c r="AL112" s="225">
        <f>'[9]Model Operations'!E166</f>
        <v>7.1143657544447247E-3</v>
      </c>
      <c r="AM112" s="225">
        <f>'[9]Escalation sheet'!X124</f>
        <v>5.3591748457861126E-2</v>
      </c>
    </row>
    <row r="113" spans="35:39">
      <c r="AJ113" s="222">
        <v>40238</v>
      </c>
      <c r="AK113" s="225">
        <f>'[9]Model Operations'!C167</f>
        <v>2.2172879884789481E-3</v>
      </c>
      <c r="AL113" s="225">
        <f>'[9]Model Operations'!E167</f>
        <v>7.1143657544447247E-3</v>
      </c>
      <c r="AM113" s="225">
        <f>'[9]Escalation sheet'!X125</f>
        <v>5.3591748457861126E-2</v>
      </c>
    </row>
    <row r="114" spans="35:39">
      <c r="AJ114" s="222">
        <v>40269</v>
      </c>
      <c r="AK114" s="225">
        <f>'[9]Model Operations'!C168</f>
        <v>2.2172879884789481E-3</v>
      </c>
      <c r="AL114" s="225">
        <f>'[9]Model Operations'!E168</f>
        <v>7.1143657544447247E-3</v>
      </c>
      <c r="AM114" s="225">
        <f>'[9]Escalation sheet'!X126</f>
        <v>5.3591748457861126E-2</v>
      </c>
    </row>
    <row r="115" spans="35:39">
      <c r="AJ115" s="222">
        <v>40299</v>
      </c>
      <c r="AK115" s="225">
        <f>'[9]Model Operations'!C169</f>
        <v>2.2172879884789481E-3</v>
      </c>
      <c r="AL115" s="225">
        <f>'[9]Model Operations'!E169</f>
        <v>7.1143657544447247E-3</v>
      </c>
      <c r="AM115" s="225">
        <f>'[9]Escalation sheet'!X127</f>
        <v>5.3591748457861126E-2</v>
      </c>
    </row>
    <row r="116" spans="35:39">
      <c r="AJ116" s="222">
        <v>40330</v>
      </c>
      <c r="AK116" s="225">
        <f>'[9]Model Operations'!C170</f>
        <v>2.2172879884789481E-3</v>
      </c>
      <c r="AL116" s="225">
        <f>'[9]Model Operations'!E170</f>
        <v>7.1143657544447247E-3</v>
      </c>
      <c r="AM116" s="225">
        <f>'[9]Escalation sheet'!X128</f>
        <v>5.3591748457861126E-2</v>
      </c>
    </row>
    <row r="117" spans="35:39">
      <c r="AJ117" s="222">
        <v>40360</v>
      </c>
      <c r="AK117" s="225">
        <f>'[9]Model Operations'!C171</f>
        <v>2.2172879884789481E-3</v>
      </c>
      <c r="AL117" s="225">
        <f>'[9]Model Operations'!E171</f>
        <v>7.1143657544447247E-3</v>
      </c>
      <c r="AM117" s="225">
        <f>'[9]Escalation sheet'!X129</f>
        <v>5.3591748457861126E-2</v>
      </c>
    </row>
    <row r="118" spans="35:39">
      <c r="AJ118" s="222">
        <v>40391</v>
      </c>
      <c r="AK118" s="225">
        <f>'[9]Model Operations'!C172</f>
        <v>2.2172879884789481E-3</v>
      </c>
      <c r="AL118" s="225">
        <f>'[9]Model Operations'!E172</f>
        <v>7.1143657544447247E-3</v>
      </c>
      <c r="AM118" s="225">
        <f>'[9]Escalation sheet'!X130</f>
        <v>5.3591748457861126E-2</v>
      </c>
    </row>
    <row r="119" spans="35:39">
      <c r="AJ119" s="222">
        <v>40422</v>
      </c>
      <c r="AK119" s="225">
        <f>'[9]Model Operations'!C173</f>
        <v>2.2172879884789481E-3</v>
      </c>
      <c r="AL119" s="225">
        <f>'[9]Model Operations'!E173</f>
        <v>7.1143657544447247E-3</v>
      </c>
      <c r="AM119" s="225">
        <f>'[9]Escalation sheet'!X131</f>
        <v>5.3591748457861126E-2</v>
      </c>
    </row>
    <row r="120" spans="35:39">
      <c r="AJ120" s="222">
        <v>40452</v>
      </c>
      <c r="AK120" s="225">
        <f>'[9]Model Operations'!C174</f>
        <v>2.2172879884789481E-3</v>
      </c>
      <c r="AL120" s="225">
        <f>'[9]Model Operations'!E174</f>
        <v>7.1143657544447247E-3</v>
      </c>
      <c r="AM120" s="225">
        <f>'[9]Escalation sheet'!X132</f>
        <v>5.3591748457861126E-2</v>
      </c>
    </row>
    <row r="121" spans="35:39">
      <c r="AJ121" s="222">
        <v>40483</v>
      </c>
      <c r="AK121" s="225">
        <f>'[9]Model Operations'!C175</f>
        <v>2.2172879884789481E-3</v>
      </c>
      <c r="AL121" s="225">
        <f>'[9]Model Operations'!E175</f>
        <v>7.1143657544447247E-3</v>
      </c>
      <c r="AM121" s="225">
        <f>'[9]Escalation sheet'!X133</f>
        <v>5.3591748457861126E-2</v>
      </c>
    </row>
    <row r="122" spans="35:39" ht="13.5" thickBot="1">
      <c r="AJ122" s="223">
        <v>40513</v>
      </c>
      <c r="AK122" s="225">
        <f>'[9]Model Operations'!C176</f>
        <v>2.2172879884789481E-3</v>
      </c>
      <c r="AL122" s="225">
        <f>'[9]Model Operations'!E176</f>
        <v>7.1143657544447247E-3</v>
      </c>
      <c r="AM122" s="225">
        <f>'[9]Escalation sheet'!X134</f>
        <v>5.3591748457861126E-2</v>
      </c>
    </row>
    <row r="123" spans="35:39">
      <c r="AI123">
        <f>AI111</f>
        <v>1.05</v>
      </c>
      <c r="AJ123" s="222">
        <v>40544</v>
      </c>
      <c r="AK123" s="225">
        <f>'[9]Model Operations'!C177</f>
        <v>2.3281523879028956E-3</v>
      </c>
      <c r="AL123" s="225">
        <f>'[9]Model Operations'!E177</f>
        <v>7.470084042166961E-3</v>
      </c>
      <c r="AM123" s="225">
        <f>'[9]Escalation sheet'!X135</f>
        <v>5.4663583427018346E-2</v>
      </c>
    </row>
    <row r="124" spans="35:39">
      <c r="AJ124" s="222">
        <v>40575</v>
      </c>
      <c r="AK124" s="225">
        <f>'[9]Model Operations'!C178</f>
        <v>2.3281523879028956E-3</v>
      </c>
      <c r="AL124" s="225">
        <f>'[9]Model Operations'!E178</f>
        <v>7.470084042166961E-3</v>
      </c>
      <c r="AM124" s="225">
        <f>'[9]Escalation sheet'!X136</f>
        <v>5.4663583427018346E-2</v>
      </c>
    </row>
    <row r="125" spans="35:39">
      <c r="AJ125" s="222">
        <v>40603</v>
      </c>
      <c r="AK125" s="225">
        <f>'[9]Model Operations'!C179</f>
        <v>2.3281523879028956E-3</v>
      </c>
      <c r="AL125" s="225">
        <f>'[9]Model Operations'!E179</f>
        <v>7.470084042166961E-3</v>
      </c>
      <c r="AM125" s="225">
        <f>'[9]Escalation sheet'!X137</f>
        <v>5.4663583427018346E-2</v>
      </c>
    </row>
    <row r="126" spans="35:39">
      <c r="AJ126" s="222">
        <v>40634</v>
      </c>
      <c r="AK126" s="225">
        <f>'[9]Model Operations'!C180</f>
        <v>2.3281523879028956E-3</v>
      </c>
      <c r="AL126" s="225">
        <f>'[9]Model Operations'!E180</f>
        <v>7.470084042166961E-3</v>
      </c>
      <c r="AM126" s="225">
        <f>'[9]Escalation sheet'!X138</f>
        <v>5.4663583427018346E-2</v>
      </c>
    </row>
    <row r="127" spans="35:39">
      <c r="AJ127" s="222">
        <v>40664</v>
      </c>
      <c r="AK127" s="225">
        <f>'[9]Model Operations'!C181</f>
        <v>2.3281523879028956E-3</v>
      </c>
      <c r="AL127" s="225">
        <f>'[9]Model Operations'!E181</f>
        <v>7.470084042166961E-3</v>
      </c>
      <c r="AM127" s="225">
        <f>'[9]Escalation sheet'!X139</f>
        <v>5.4663583427018346E-2</v>
      </c>
    </row>
    <row r="128" spans="35:39">
      <c r="AJ128" s="222">
        <v>40695</v>
      </c>
      <c r="AK128" s="225">
        <f>'[9]Model Operations'!C182</f>
        <v>2.3281523879028956E-3</v>
      </c>
      <c r="AL128" s="225">
        <f>'[9]Model Operations'!E182</f>
        <v>7.470084042166961E-3</v>
      </c>
      <c r="AM128" s="225">
        <f>'[9]Escalation sheet'!X140</f>
        <v>5.4663583427018346E-2</v>
      </c>
    </row>
    <row r="129" spans="35:39">
      <c r="AJ129" s="222">
        <v>40725</v>
      </c>
      <c r="AK129" s="225">
        <f>'[9]Model Operations'!C183</f>
        <v>2.3281523879028956E-3</v>
      </c>
      <c r="AL129" s="225">
        <f>'[9]Model Operations'!E183</f>
        <v>7.470084042166961E-3</v>
      </c>
      <c r="AM129" s="225">
        <f>'[9]Escalation sheet'!X141</f>
        <v>5.4663583427018346E-2</v>
      </c>
    </row>
    <row r="130" spans="35:39">
      <c r="AJ130" s="222">
        <v>40756</v>
      </c>
      <c r="AK130" s="225">
        <f>'[9]Model Operations'!C184</f>
        <v>2.3281523879028956E-3</v>
      </c>
      <c r="AL130" s="225">
        <f>'[9]Model Operations'!E184</f>
        <v>7.470084042166961E-3</v>
      </c>
      <c r="AM130" s="225">
        <f>'[9]Escalation sheet'!X142</f>
        <v>5.4663583427018346E-2</v>
      </c>
    </row>
    <row r="131" spans="35:39">
      <c r="AJ131" s="222">
        <v>40787</v>
      </c>
      <c r="AK131" s="225">
        <f>'[9]Model Operations'!C185</f>
        <v>2.3281523879028956E-3</v>
      </c>
      <c r="AL131" s="225">
        <f>'[9]Model Operations'!E185</f>
        <v>7.470084042166961E-3</v>
      </c>
      <c r="AM131" s="225">
        <f>'[9]Escalation sheet'!X143</f>
        <v>5.4663583427018346E-2</v>
      </c>
    </row>
    <row r="132" spans="35:39">
      <c r="AJ132" s="222">
        <v>40817</v>
      </c>
      <c r="AK132" s="225">
        <f>'[9]Model Operations'!C186</f>
        <v>2.3281523879028956E-3</v>
      </c>
      <c r="AL132" s="225">
        <f>'[9]Model Operations'!E186</f>
        <v>7.470084042166961E-3</v>
      </c>
      <c r="AM132" s="225">
        <f>'[9]Escalation sheet'!X144</f>
        <v>5.4663583427018346E-2</v>
      </c>
    </row>
    <row r="133" spans="35:39">
      <c r="AJ133" s="222">
        <v>40848</v>
      </c>
      <c r="AK133" s="225">
        <f>'[9]Model Operations'!C187</f>
        <v>2.3281523879028956E-3</v>
      </c>
      <c r="AL133" s="225">
        <f>'[9]Model Operations'!E187</f>
        <v>7.470084042166961E-3</v>
      </c>
      <c r="AM133" s="225">
        <f>'[9]Escalation sheet'!X145</f>
        <v>5.4663583427018346E-2</v>
      </c>
    </row>
    <row r="134" spans="35:39" ht="13.5" thickBot="1">
      <c r="AJ134" s="223">
        <v>40878</v>
      </c>
      <c r="AK134" s="225">
        <f>'[9]Model Operations'!C188</f>
        <v>2.3281523879028956E-3</v>
      </c>
      <c r="AL134" s="225">
        <f>'[9]Model Operations'!E188</f>
        <v>7.470084042166961E-3</v>
      </c>
      <c r="AM134" s="225">
        <f>'[9]Escalation sheet'!X146</f>
        <v>5.4663583427018346E-2</v>
      </c>
    </row>
    <row r="135" spans="35:39">
      <c r="AI135">
        <f>AI123</f>
        <v>1.05</v>
      </c>
      <c r="AJ135" s="222">
        <v>40909</v>
      </c>
      <c r="AK135" s="225">
        <f>'[9]Model Operations'!C189</f>
        <v>2.4445600072980403E-3</v>
      </c>
      <c r="AL135" s="225">
        <f>'[9]Model Operations'!E189</f>
        <v>7.8435882442753086E-3</v>
      </c>
      <c r="AM135" s="225">
        <f>'[9]Escalation sheet'!X147</f>
        <v>5.5756855095558715E-2</v>
      </c>
    </row>
    <row r="136" spans="35:39">
      <c r="AJ136" s="222">
        <v>40940</v>
      </c>
      <c r="AK136" s="225">
        <f>'[9]Model Operations'!C190</f>
        <v>2.4445600072980403E-3</v>
      </c>
      <c r="AL136" s="225">
        <f>'[9]Model Operations'!E190</f>
        <v>7.8435882442753086E-3</v>
      </c>
      <c r="AM136" s="225">
        <f>'[9]Escalation sheet'!X148</f>
        <v>5.5756855095558715E-2</v>
      </c>
    </row>
    <row r="137" spans="35:39">
      <c r="AJ137" s="222">
        <v>40969</v>
      </c>
      <c r="AK137" s="225">
        <f>'[9]Model Operations'!C191</f>
        <v>2.4445600072980403E-3</v>
      </c>
      <c r="AL137" s="225">
        <f>'[9]Model Operations'!E191</f>
        <v>7.8435882442753086E-3</v>
      </c>
      <c r="AM137" s="225">
        <f>'[9]Escalation sheet'!X149</f>
        <v>5.5756855095558715E-2</v>
      </c>
    </row>
    <row r="138" spans="35:39">
      <c r="AJ138" s="222">
        <v>41000</v>
      </c>
      <c r="AK138" s="225">
        <f>'[9]Model Operations'!C192</f>
        <v>2.4445600072980403E-3</v>
      </c>
      <c r="AL138" s="225">
        <f>'[9]Model Operations'!E192</f>
        <v>7.8435882442753086E-3</v>
      </c>
      <c r="AM138" s="225">
        <f>'[9]Escalation sheet'!X150</f>
        <v>5.5756855095558715E-2</v>
      </c>
    </row>
    <row r="139" spans="35:39">
      <c r="AJ139" s="222">
        <v>41030</v>
      </c>
      <c r="AK139" s="225">
        <f>'[9]Model Operations'!C193</f>
        <v>2.4445600072980403E-3</v>
      </c>
      <c r="AL139" s="225">
        <f>'[9]Model Operations'!E193</f>
        <v>7.8435882442753086E-3</v>
      </c>
      <c r="AM139" s="225">
        <f>'[9]Escalation sheet'!X151</f>
        <v>5.5756855095558715E-2</v>
      </c>
    </row>
    <row r="140" spans="35:39">
      <c r="AJ140" s="222">
        <v>41061</v>
      </c>
      <c r="AK140" s="225">
        <f>'[9]Model Operations'!C194</f>
        <v>2.4445600072980403E-3</v>
      </c>
      <c r="AL140" s="225">
        <f>'[9]Model Operations'!E194</f>
        <v>7.8435882442753086E-3</v>
      </c>
      <c r="AM140" s="225">
        <f>'[9]Escalation sheet'!X152</f>
        <v>5.5756855095558715E-2</v>
      </c>
    </row>
    <row r="141" spans="35:39">
      <c r="AJ141" s="222">
        <v>41091</v>
      </c>
      <c r="AK141" s="225">
        <f>'[9]Model Operations'!C195</f>
        <v>2.4445600072980403E-3</v>
      </c>
      <c r="AL141" s="225">
        <f>'[9]Model Operations'!E195</f>
        <v>7.8435882442753086E-3</v>
      </c>
      <c r="AM141" s="225">
        <f>'[9]Escalation sheet'!X153</f>
        <v>5.5756855095558715E-2</v>
      </c>
    </row>
    <row r="142" spans="35:39">
      <c r="AJ142" s="222">
        <v>41122</v>
      </c>
      <c r="AK142" s="225">
        <f>'[9]Model Operations'!C196</f>
        <v>2.4445600072980403E-3</v>
      </c>
      <c r="AL142" s="225">
        <f>'[9]Model Operations'!E196</f>
        <v>7.8435882442753086E-3</v>
      </c>
      <c r="AM142" s="225">
        <f>'[9]Escalation sheet'!X154</f>
        <v>5.5756855095558715E-2</v>
      </c>
    </row>
    <row r="143" spans="35:39">
      <c r="AJ143" s="222">
        <v>41153</v>
      </c>
      <c r="AK143" s="225">
        <f>'[9]Model Operations'!C197</f>
        <v>2.4445600072980403E-3</v>
      </c>
      <c r="AL143" s="225">
        <f>'[9]Model Operations'!E197</f>
        <v>7.8435882442753086E-3</v>
      </c>
      <c r="AM143" s="225">
        <f>'[9]Escalation sheet'!X155</f>
        <v>5.5756855095558715E-2</v>
      </c>
    </row>
    <row r="144" spans="35:39">
      <c r="AJ144" s="222">
        <v>41183</v>
      </c>
      <c r="AK144" s="225">
        <f>'[9]Model Operations'!C198</f>
        <v>2.4445600072980403E-3</v>
      </c>
      <c r="AL144" s="225">
        <f>'[9]Model Operations'!E198</f>
        <v>7.8435882442753086E-3</v>
      </c>
      <c r="AM144" s="225">
        <f>'[9]Escalation sheet'!X156</f>
        <v>5.5756855095558715E-2</v>
      </c>
    </row>
    <row r="145" spans="35:39">
      <c r="AJ145" s="222">
        <v>41214</v>
      </c>
      <c r="AK145" s="225">
        <f>'[9]Model Operations'!C199</f>
        <v>2.4445600072980403E-3</v>
      </c>
      <c r="AL145" s="225">
        <f>'[9]Model Operations'!E199</f>
        <v>7.8435882442753086E-3</v>
      </c>
      <c r="AM145" s="225">
        <f>'[9]Escalation sheet'!X157</f>
        <v>5.5756855095558715E-2</v>
      </c>
    </row>
    <row r="146" spans="35:39" ht="13.5" thickBot="1">
      <c r="AJ146" s="223">
        <v>41244</v>
      </c>
      <c r="AK146" s="225">
        <f>'[9]Model Operations'!C200</f>
        <v>2.4445600072980403E-3</v>
      </c>
      <c r="AL146" s="225">
        <f>'[9]Model Operations'!E200</f>
        <v>7.8435882442753086E-3</v>
      </c>
      <c r="AM146" s="225">
        <f>'[9]Escalation sheet'!X158</f>
        <v>5.5756855095558715E-2</v>
      </c>
    </row>
    <row r="147" spans="35:39">
      <c r="AI147">
        <f>AI135</f>
        <v>1.05</v>
      </c>
      <c r="AJ147" s="222">
        <v>41275</v>
      </c>
      <c r="AK147" s="225">
        <f>'[9]Model Operations'!C201</f>
        <v>2.5667880076629423E-3</v>
      </c>
      <c r="AL147" s="225">
        <f>'[9]Model Operations'!E201</f>
        <v>8.2357676564890746E-3</v>
      </c>
      <c r="AM147" s="225">
        <f>'[9]Escalation sheet'!X159</f>
        <v>5.6871992197469891E-2</v>
      </c>
    </row>
    <row r="148" spans="35:39">
      <c r="AJ148" s="222">
        <v>41306</v>
      </c>
      <c r="AK148" s="225">
        <f>'[9]Model Operations'!C202</f>
        <v>2.5667880076629423E-3</v>
      </c>
      <c r="AL148" s="225">
        <f>'[9]Model Operations'!E202</f>
        <v>8.2357676564890746E-3</v>
      </c>
      <c r="AM148" s="225">
        <f>'[9]Escalation sheet'!X160</f>
        <v>5.6871992197469891E-2</v>
      </c>
    </row>
    <row r="149" spans="35:39">
      <c r="AJ149" s="222">
        <v>41334</v>
      </c>
      <c r="AK149" s="225">
        <f>'[9]Model Operations'!C203</f>
        <v>2.5667880076629423E-3</v>
      </c>
      <c r="AL149" s="225">
        <f>'[9]Model Operations'!E203</f>
        <v>8.2357676564890746E-3</v>
      </c>
      <c r="AM149" s="225">
        <f>'[9]Escalation sheet'!X161</f>
        <v>5.6871992197469891E-2</v>
      </c>
    </row>
    <row r="150" spans="35:39">
      <c r="AJ150" s="222">
        <v>41365</v>
      </c>
      <c r="AK150" s="225">
        <f>'[9]Model Operations'!C204</f>
        <v>2.5667880076629423E-3</v>
      </c>
      <c r="AL150" s="225">
        <f>'[9]Model Operations'!E204</f>
        <v>8.2357676564890746E-3</v>
      </c>
      <c r="AM150" s="225">
        <f>'[9]Escalation sheet'!X162</f>
        <v>5.6871992197469891E-2</v>
      </c>
    </row>
    <row r="151" spans="35:39">
      <c r="AJ151" s="222">
        <v>41395</v>
      </c>
      <c r="AK151" s="225">
        <f>'[9]Model Operations'!C205</f>
        <v>2.5667880076629423E-3</v>
      </c>
      <c r="AL151" s="225">
        <f>'[9]Model Operations'!E205</f>
        <v>8.2357676564890746E-3</v>
      </c>
      <c r="AM151" s="225">
        <f>'[9]Escalation sheet'!X163</f>
        <v>5.6871992197469891E-2</v>
      </c>
    </row>
    <row r="152" spans="35:39">
      <c r="AJ152" s="222">
        <v>41426</v>
      </c>
      <c r="AK152" s="225">
        <f>'[9]Model Operations'!C206</f>
        <v>2.5667880076629423E-3</v>
      </c>
      <c r="AL152" s="225">
        <f>'[9]Model Operations'!E206</f>
        <v>8.2357676564890746E-3</v>
      </c>
      <c r="AM152" s="225">
        <f>'[9]Escalation sheet'!X164</f>
        <v>5.6871992197469891E-2</v>
      </c>
    </row>
    <row r="153" spans="35:39">
      <c r="AJ153" s="222">
        <v>41456</v>
      </c>
      <c r="AK153" s="225">
        <f>'[9]Model Operations'!C207</f>
        <v>2.5667880076629423E-3</v>
      </c>
      <c r="AL153" s="225">
        <f>'[9]Model Operations'!E207</f>
        <v>8.2357676564890746E-3</v>
      </c>
      <c r="AM153" s="225">
        <f>'[9]Escalation sheet'!X165</f>
        <v>5.6871992197469891E-2</v>
      </c>
    </row>
    <row r="154" spans="35:39">
      <c r="AJ154" s="222">
        <v>41487</v>
      </c>
      <c r="AK154" s="225">
        <f>'[9]Model Operations'!C208</f>
        <v>2.5667880076629423E-3</v>
      </c>
      <c r="AL154" s="225">
        <f>'[9]Model Operations'!E208</f>
        <v>8.2357676564890746E-3</v>
      </c>
      <c r="AM154" s="225">
        <f>'[9]Escalation sheet'!X166</f>
        <v>5.6871992197469891E-2</v>
      </c>
    </row>
    <row r="155" spans="35:39">
      <c r="AJ155" s="222">
        <v>41518</v>
      </c>
      <c r="AK155" s="225">
        <f>'[9]Model Operations'!C209</f>
        <v>2.5667880076629423E-3</v>
      </c>
      <c r="AL155" s="225">
        <f>'[9]Model Operations'!E209</f>
        <v>8.2357676564890746E-3</v>
      </c>
      <c r="AM155" s="225">
        <f>'[9]Escalation sheet'!X167</f>
        <v>5.6871992197469891E-2</v>
      </c>
    </row>
    <row r="156" spans="35:39">
      <c r="AJ156" s="222">
        <v>41548</v>
      </c>
      <c r="AK156" s="225">
        <f>'[9]Model Operations'!C210</f>
        <v>2.5667880076629423E-3</v>
      </c>
      <c r="AL156" s="225">
        <f>'[9]Model Operations'!E210</f>
        <v>8.2357676564890746E-3</v>
      </c>
      <c r="AM156" s="225">
        <f>'[9]Escalation sheet'!X168</f>
        <v>5.6871992197469891E-2</v>
      </c>
    </row>
    <row r="157" spans="35:39">
      <c r="AJ157" s="222">
        <v>41579</v>
      </c>
      <c r="AK157" s="225">
        <f>'[9]Model Operations'!C211</f>
        <v>2.5667880076629423E-3</v>
      </c>
      <c r="AL157" s="225">
        <f>'[9]Model Operations'!E211</f>
        <v>8.2357676564890746E-3</v>
      </c>
      <c r="AM157" s="225">
        <f>'[9]Escalation sheet'!X169</f>
        <v>5.6871992197469891E-2</v>
      </c>
    </row>
    <row r="158" spans="35:39" ht="13.5" thickBot="1">
      <c r="AJ158" s="223">
        <v>41609</v>
      </c>
      <c r="AK158" s="225">
        <f>'[9]Model Operations'!C212</f>
        <v>2.5667880076629423E-3</v>
      </c>
      <c r="AL158" s="225">
        <f>'[9]Model Operations'!E212</f>
        <v>8.2357676564890746E-3</v>
      </c>
      <c r="AM158" s="225">
        <f>'[9]Escalation sheet'!X170</f>
        <v>5.6871992197469891E-2</v>
      </c>
    </row>
    <row r="159" spans="35:39">
      <c r="AI159">
        <f>AI147</f>
        <v>1.05</v>
      </c>
      <c r="AJ159" s="222">
        <v>41640</v>
      </c>
      <c r="AK159" s="225">
        <f>'[9]Model Operations'!C213</f>
        <v>2.6951274080460894E-3</v>
      </c>
      <c r="AL159" s="225">
        <f>'[9]Model Operations'!E213</f>
        <v>8.6475560393135288E-3</v>
      </c>
      <c r="AM159" s="225">
        <f>'[9]Escalation sheet'!X171</f>
        <v>5.8009432041419291E-2</v>
      </c>
    </row>
    <row r="160" spans="35:39">
      <c r="AJ160" s="222">
        <v>41671</v>
      </c>
      <c r="AK160" s="225">
        <f>'[9]Model Operations'!C214</f>
        <v>2.6951274080460894E-3</v>
      </c>
      <c r="AL160" s="225">
        <f>'[9]Model Operations'!E214</f>
        <v>8.6475560393135288E-3</v>
      </c>
      <c r="AM160" s="225">
        <f>'[9]Escalation sheet'!X172</f>
        <v>5.8009432041419291E-2</v>
      </c>
    </row>
    <row r="161" spans="36:39">
      <c r="AJ161" s="222">
        <v>41699</v>
      </c>
      <c r="AK161" s="225">
        <f>'[9]Model Operations'!C215</f>
        <v>2.6951274080460894E-3</v>
      </c>
      <c r="AL161" s="225">
        <f>'[9]Model Operations'!E215</f>
        <v>8.6475560393135288E-3</v>
      </c>
      <c r="AM161" s="225">
        <f>'[9]Escalation sheet'!X173</f>
        <v>5.8009432041419291E-2</v>
      </c>
    </row>
    <row r="162" spans="36:39">
      <c r="AJ162" s="222">
        <v>41730</v>
      </c>
      <c r="AK162" s="225">
        <f>'[9]Model Operations'!C216</f>
        <v>2.6951274080460894E-3</v>
      </c>
      <c r="AL162" s="225">
        <f>'[9]Model Operations'!E216</f>
        <v>8.6475560393135288E-3</v>
      </c>
      <c r="AM162" s="225">
        <f>'[9]Escalation sheet'!X174</f>
        <v>5.8009432041419291E-2</v>
      </c>
    </row>
    <row r="163" spans="36:39">
      <c r="AJ163" s="222">
        <v>41760</v>
      </c>
      <c r="AK163" s="225">
        <f>'[9]Model Operations'!C217</f>
        <v>2.6951274080460894E-3</v>
      </c>
      <c r="AL163" s="225">
        <f>'[9]Model Operations'!E217</f>
        <v>8.6475560393135288E-3</v>
      </c>
      <c r="AM163" s="225">
        <f>'[9]Escalation sheet'!X175</f>
        <v>5.8009432041419291E-2</v>
      </c>
    </row>
    <row r="164" spans="36:39">
      <c r="AJ164" s="222">
        <v>41791</v>
      </c>
      <c r="AK164" s="225">
        <f>'[9]Model Operations'!C218</f>
        <v>2.6951274080460894E-3</v>
      </c>
      <c r="AL164" s="225">
        <f>'[9]Model Operations'!E218</f>
        <v>8.6475560393135288E-3</v>
      </c>
      <c r="AM164" s="225">
        <f>'[9]Escalation sheet'!X176</f>
        <v>5.8009432041419291E-2</v>
      </c>
    </row>
    <row r="165" spans="36:39">
      <c r="AJ165" s="222">
        <v>41821</v>
      </c>
      <c r="AK165" s="225">
        <f>'[9]Model Operations'!C219</f>
        <v>2.6951274080460894E-3</v>
      </c>
      <c r="AL165" s="225">
        <f>'[9]Model Operations'!E219</f>
        <v>8.6475560393135288E-3</v>
      </c>
      <c r="AM165" s="225">
        <f>'[9]Escalation sheet'!X177</f>
        <v>5.8009432041419291E-2</v>
      </c>
    </row>
    <row r="166" spans="36:39">
      <c r="AJ166" s="222">
        <v>41852</v>
      </c>
      <c r="AK166" s="225">
        <f>'[9]Model Operations'!C220</f>
        <v>2.6951274080460894E-3</v>
      </c>
      <c r="AL166" s="225">
        <f>'[9]Model Operations'!E220</f>
        <v>8.6475560393135288E-3</v>
      </c>
      <c r="AM166" s="225">
        <f>'[9]Escalation sheet'!X178</f>
        <v>5.8009432041419291E-2</v>
      </c>
    </row>
    <row r="167" spans="36:39">
      <c r="AJ167" s="222">
        <v>41883</v>
      </c>
      <c r="AK167" s="225">
        <f>'[9]Model Operations'!C221</f>
        <v>2.6951274080460894E-3</v>
      </c>
      <c r="AL167" s="225">
        <f>'[9]Model Operations'!E221</f>
        <v>8.6475560393135288E-3</v>
      </c>
      <c r="AM167" s="225">
        <f>'[9]Escalation sheet'!X179</f>
        <v>5.8009432041419291E-2</v>
      </c>
    </row>
    <row r="168" spans="36:39">
      <c r="AJ168" s="222">
        <v>41913</v>
      </c>
      <c r="AK168" s="225">
        <f>'[9]Model Operations'!C222</f>
        <v>2.6951274080460894E-3</v>
      </c>
      <c r="AL168" s="225">
        <f>'[9]Model Operations'!E222</f>
        <v>8.6475560393135288E-3</v>
      </c>
      <c r="AM168" s="225">
        <f>'[9]Escalation sheet'!X180</f>
        <v>5.8009432041419291E-2</v>
      </c>
    </row>
    <row r="169" spans="36:39">
      <c r="AJ169" s="222">
        <v>41944</v>
      </c>
      <c r="AK169" s="225">
        <f>'[9]Model Operations'!C223</f>
        <v>2.6951274080460894E-3</v>
      </c>
      <c r="AL169" s="225">
        <f>'[9]Model Operations'!E223</f>
        <v>8.6475560393135288E-3</v>
      </c>
      <c r="AM169" s="225">
        <f>'[9]Escalation sheet'!X181</f>
        <v>5.8009432041419291E-2</v>
      </c>
    </row>
    <row r="170" spans="36:39" ht="13.5" thickBot="1">
      <c r="AJ170" s="223">
        <v>41974</v>
      </c>
      <c r="AK170" s="225">
        <f>'[9]Model Operations'!C224</f>
        <v>2.6951274080460894E-3</v>
      </c>
      <c r="AL170" s="225">
        <f>'[9]Model Operations'!E224</f>
        <v>8.6475560393135288E-3</v>
      </c>
      <c r="AM170" s="225">
        <f>'[9]Escalation sheet'!X182</f>
        <v>5.8009432041419291E-2</v>
      </c>
    </row>
    <row r="171" spans="36:39">
      <c r="AJ171" s="222">
        <v>42005</v>
      </c>
    </row>
  </sheetData>
  <mergeCells count="3">
    <mergeCell ref="V4:X4"/>
    <mergeCell ref="Y4:AA4"/>
    <mergeCell ref="R4:U4"/>
  </mergeCells>
  <phoneticPr fontId="13" type="noConversion"/>
  <printOptions horizontalCentered="1"/>
  <pageMargins left="0.2" right="0.23" top="0.75" bottom="0.75" header="0.375" footer="0.375"/>
  <pageSetup paperSize="5" scale="51" orientation="landscape" r:id="rId1"/>
  <headerFooter alignWithMargins="0">
    <oddFooter>&amp;L&amp;F&amp;R&amp;D   &amp;T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H722"/>
  <sheetViews>
    <sheetView showGridLines="0" topLeftCell="AA1" zoomScale="80" workbookViewId="0">
      <selection activeCell="AL10" sqref="AL10"/>
    </sheetView>
  </sheetViews>
  <sheetFormatPr defaultRowHeight="12.75"/>
  <cols>
    <col min="1" max="1" width="14.140625" style="1" customWidth="1"/>
    <col min="2" max="2" width="14.5703125" style="1" customWidth="1"/>
    <col min="3" max="3" width="5.140625" style="1" customWidth="1"/>
    <col min="4" max="4" width="16.42578125" style="1" customWidth="1"/>
    <col min="5" max="5" width="14.85546875" style="1" bestFit="1" customWidth="1"/>
    <col min="6" max="6" width="13.85546875" style="1" bestFit="1" customWidth="1"/>
    <col min="7" max="7" width="10.7109375" style="1" customWidth="1"/>
    <col min="8" max="8" width="14.5703125" style="1" bestFit="1" customWidth="1"/>
    <col min="9" max="9" width="10" style="1" customWidth="1"/>
    <col min="10" max="10" width="20.140625" style="1" bestFit="1" customWidth="1"/>
    <col min="11" max="11" width="17.85546875" style="1" bestFit="1" customWidth="1"/>
    <col min="12" max="12" width="19.140625" style="1" bestFit="1" customWidth="1"/>
    <col min="13" max="13" width="15" style="1" bestFit="1" customWidth="1"/>
    <col min="14" max="14" width="1.42578125" style="1" customWidth="1"/>
    <col min="15" max="15" width="15" style="1" bestFit="1" customWidth="1"/>
    <col min="16" max="16" width="16.85546875" style="1" bestFit="1" customWidth="1"/>
    <col min="17" max="17" width="3" style="1" customWidth="1"/>
    <col min="18" max="18" width="20.140625" style="1" customWidth="1"/>
    <col min="19" max="19" width="17.85546875" style="1" customWidth="1"/>
    <col min="20" max="20" width="21.5703125" style="1" customWidth="1"/>
    <col min="21" max="21" width="15" style="1" customWidth="1"/>
    <col min="22" max="22" width="11.140625" style="1" customWidth="1"/>
    <col min="23" max="23" width="15" style="1" bestFit="1" customWidth="1"/>
    <col min="24" max="24" width="16.85546875" style="1" bestFit="1" customWidth="1"/>
    <col min="25" max="25" width="2" style="1" customWidth="1"/>
    <col min="26" max="26" width="19" style="3" customWidth="1"/>
    <col min="27" max="27" width="20.28515625" style="3" customWidth="1"/>
    <col min="28" max="28" width="15.28515625" style="3" customWidth="1"/>
    <col min="29" max="29" width="20.28515625" style="3" customWidth="1"/>
    <col min="30" max="31" width="15.7109375" style="3" customWidth="1"/>
    <col min="32" max="32" width="15.5703125" style="3" customWidth="1"/>
    <col min="33" max="33" width="11.85546875" style="3" customWidth="1"/>
    <col min="34" max="34" width="11.28515625" style="3" customWidth="1"/>
    <col min="35" max="35" width="13.42578125" style="3" customWidth="1"/>
    <col min="36" max="36" width="10.28515625" style="1" customWidth="1"/>
    <col min="37" max="37" width="10.7109375" style="1" customWidth="1"/>
    <col min="38" max="38" width="9.140625" style="1"/>
    <col min="39" max="39" width="9.5703125" style="1" bestFit="1" customWidth="1"/>
    <col min="40" max="40" width="9.140625" style="1"/>
    <col min="41" max="41" width="8.28515625" style="3" bestFit="1" customWidth="1"/>
    <col min="42" max="43" width="8.5703125" style="3" bestFit="1" customWidth="1"/>
    <col min="44" max="44" width="11.7109375" style="3" bestFit="1" customWidth="1"/>
    <col min="45" max="45" width="10.28515625" style="3" bestFit="1" customWidth="1"/>
    <col min="46" max="46" width="7.5703125" style="3" bestFit="1" customWidth="1"/>
    <col min="47" max="47" width="6.42578125" style="3" bestFit="1" customWidth="1"/>
    <col min="48" max="48" width="1.42578125" style="1" customWidth="1"/>
    <col min="49" max="49" width="14.28515625" style="4" customWidth="1"/>
    <col min="50" max="51" width="14.28515625" style="1" customWidth="1"/>
    <col min="52" max="52" width="9.140625" style="1"/>
    <col min="53" max="53" width="15.5703125" style="1" bestFit="1" customWidth="1"/>
    <col min="54" max="54" width="9.140625" style="1"/>
    <col min="55" max="55" width="13.28515625" style="1" customWidth="1"/>
    <col min="56" max="16384" width="9.140625" style="1"/>
  </cols>
  <sheetData>
    <row r="1" spans="1:55" ht="13.5" thickBot="1">
      <c r="A1" s="39" t="s">
        <v>62</v>
      </c>
      <c r="C1" s="40"/>
      <c r="D1" s="40" t="s">
        <v>15</v>
      </c>
      <c r="E1" s="57">
        <f ca="1">Summary!D7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Summary!J7</f>
        <v>NG_OMICRON_11</v>
      </c>
      <c r="AA1" s="24" t="str">
        <f>Summary!L7</f>
        <v>MICH/CONS</v>
      </c>
      <c r="AC1" s="24" t="str">
        <f>Summary!I7</f>
        <v>NG_OMICRON_3</v>
      </c>
      <c r="AD1" s="24" t="str">
        <f>Summary!K7</f>
        <v>IF-ANR/OK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5" thickBot="1">
      <c r="A3" s="61">
        <f>Summary!E7</f>
        <v>37043</v>
      </c>
      <c r="B3" s="62">
        <f>Summary!F7</f>
        <v>42004</v>
      </c>
      <c r="C3" s="12"/>
      <c r="D3" s="12">
        <f>Summary!C7</f>
        <v>37025</v>
      </c>
      <c r="E3" s="13" t="str">
        <f>CONCATENATE(INT(AT8/12)," Y - ",AT8-INT(AT8/12)*12," M")</f>
        <v>13 Y - 7 M</v>
      </c>
      <c r="F3" s="59">
        <v>2</v>
      </c>
      <c r="G3" s="59">
        <v>1</v>
      </c>
      <c r="H3" s="44">
        <v>1</v>
      </c>
      <c r="I3" s="60">
        <f>Summary!P7</f>
        <v>0</v>
      </c>
      <c r="J3" s="171" t="str">
        <f>Summary!H7</f>
        <v>ML7/CG</v>
      </c>
      <c r="K3" s="60" t="str">
        <f>J3</f>
        <v>ML7/CG</v>
      </c>
      <c r="R3" s="171" t="str">
        <f>Summary!G7</f>
        <v>IF-ANR/OK</v>
      </c>
      <c r="S3" s="60" t="str">
        <f>R3</f>
        <v>IF-ANR/OK</v>
      </c>
      <c r="Z3" s="3" t="s">
        <v>196</v>
      </c>
      <c r="AA3" s="3" t="s">
        <v>196</v>
      </c>
      <c r="AB3" s="3" t="s">
        <v>196</v>
      </c>
      <c r="AC3" s="3" t="s">
        <v>195</v>
      </c>
      <c r="AD3" s="3" t="s">
        <v>195</v>
      </c>
      <c r="AE3" s="3" t="s">
        <v>195</v>
      </c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ML7/CG-D</v>
      </c>
      <c r="K4" s="15" t="str">
        <f>J3</f>
        <v>ML7/CG</v>
      </c>
      <c r="L4" s="41" t="str">
        <f>CONCATENATE(K3,"-","I")</f>
        <v>ML7/CG-I</v>
      </c>
      <c r="M4" s="15" t="str">
        <f>K3</f>
        <v>ML7/CG</v>
      </c>
      <c r="O4" s="15" t="str">
        <f>K4</f>
        <v>ML7/CG</v>
      </c>
      <c r="P4" s="15" t="str">
        <f>J4</f>
        <v>ML7/CG-D</v>
      </c>
      <c r="Q4" s="14"/>
      <c r="R4" s="41" t="str">
        <f>CONCATENATE(R3,"-","D")</f>
        <v>IF-ANR/OK-D</v>
      </c>
      <c r="S4" s="15" t="str">
        <f>R3</f>
        <v>IF-ANR/OK</v>
      </c>
      <c r="T4" s="41" t="str">
        <f>CONCATENATE(S3,"-","I")</f>
        <v>IF-ANR/OK-I</v>
      </c>
      <c r="U4" s="15" t="str">
        <f>S3</f>
        <v>IF-ANR/OK</v>
      </c>
      <c r="V4" s="15" t="s">
        <v>111</v>
      </c>
      <c r="W4" s="15" t="str">
        <f>S4</f>
        <v>IF-ANR/OK</v>
      </c>
      <c r="X4" s="15" t="str">
        <f>R4</f>
        <v>IF-ANR/OK-D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MICH/CONS-P</v>
      </c>
      <c r="AB4" s="227" t="s">
        <v>92</v>
      </c>
      <c r="AC4" s="226" t="str">
        <f>IF(AC1="NG",CONCATENATE(AC1,"-","VO"),CONCATENATE(AC1,"-","P"))</f>
        <v>NG_OMICRON_3-P</v>
      </c>
      <c r="AD4" s="227" t="str">
        <f>IF(AD1="NG",CONCATENATE(AD1,"-","VO"),CONCATENATE(AD1,"-","P"))</f>
        <v>IF-ANR/OK-P</v>
      </c>
      <c r="AE4" s="228" t="s">
        <v>93</v>
      </c>
      <c r="AF4" s="15" t="str">
        <f>J3</f>
        <v>ML7/CG</v>
      </c>
      <c r="AG4" s="15" t="s">
        <v>81</v>
      </c>
      <c r="AH4" s="15" t="s">
        <v>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14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IF-ANR/OK</v>
      </c>
      <c r="AG5" s="14" t="s">
        <v>197</v>
      </c>
      <c r="AH5" s="14" t="s">
        <v>84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19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5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5" thickBot="1">
      <c r="A8" s="34" t="s">
        <v>31</v>
      </c>
      <c r="B8" s="25"/>
      <c r="C8" s="25"/>
      <c r="D8" s="25">
        <f>SUM(D10:D500)</f>
        <v>6520000</v>
      </c>
      <c r="E8" s="25">
        <f>SUM(E10:E500)</f>
        <v>198480000</v>
      </c>
      <c r="F8" s="25">
        <f ca="1">SUM(F10:F370)</f>
        <v>109899631.8676282</v>
      </c>
      <c r="G8" s="26">
        <f ca="1">SUMPRODUCT(G10:G499,$F$10:$F$499)/SUM($F$10:$F$499)</f>
        <v>4.346838445308677</v>
      </c>
      <c r="H8" s="26">
        <f ca="1">SUMPRODUCT(H10:H499,$F$10:$F$499)/SUM($F$10:$F$499)</f>
        <v>4.346838445308677</v>
      </c>
      <c r="I8" s="26"/>
      <c r="J8" s="26">
        <f ca="1">SUMPRODUCT(J10:J499,$F$10:$F$499)/SUM($F$10:$F$499)</f>
        <v>0.25463336457572333</v>
      </c>
      <c r="K8" s="26">
        <f ca="1">SUMPRODUCT(K10:K499,$F$10:$F$499)/SUM($F$10:$F$499)</f>
        <v>0.25463336457572333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t="shared" ref="O8:X8" ca="1" si="0">SUMPRODUCT(O10:O499,$F$10:$F$499)/SUM($F$10:$F$499)</f>
        <v>4.6014718098844014</v>
      </c>
      <c r="P8" s="26">
        <f t="shared" ca="1" si="0"/>
        <v>4.6014718098844014</v>
      </c>
      <c r="Q8" s="26"/>
      <c r="R8" s="26">
        <f t="shared" ca="1" si="0"/>
        <v>-0.11299497973084378</v>
      </c>
      <c r="S8" s="26">
        <f t="shared" ca="1" si="0"/>
        <v>-0.11299497973084378</v>
      </c>
      <c r="T8" s="26">
        <f t="shared" ca="1" si="0"/>
        <v>-1.8779322047092642E-3</v>
      </c>
      <c r="U8" s="26">
        <f t="shared" ca="1" si="0"/>
        <v>-1.8779322047092642E-3</v>
      </c>
      <c r="V8" s="207">
        <f ca="1">SUMPRODUCT(V10:V499,F10:F499)/F8</f>
        <v>0.20452207892703744</v>
      </c>
      <c r="W8" s="26">
        <f t="shared" ca="1" si="0"/>
        <v>4.4364876123001622</v>
      </c>
      <c r="X8" s="26">
        <f t="shared" ca="1" si="0"/>
        <v>4.4364876123001622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SUMPRODUCT(AH10:AH300,F10:F300)/F8</f>
        <v>2.2811267853899028E-2</v>
      </c>
      <c r="AI8" s="26"/>
      <c r="AJ8" s="26"/>
      <c r="AK8" s="26"/>
      <c r="AL8" s="26">
        <f ca="1">AW8/$E8</f>
        <v>0.15750419879514063</v>
      </c>
      <c r="AM8" s="26">
        <f ca="1">BC8/$F8</f>
        <v>0.14231534375180202</v>
      </c>
      <c r="AN8" s="26">
        <f ca="1">AY8/$E8</f>
        <v>1.0098483512036389E-2</v>
      </c>
      <c r="AR8" s="27"/>
      <c r="AS8" s="11"/>
      <c r="AT8" s="28">
        <f>SUM(AT10:AT500)</f>
        <v>163</v>
      </c>
      <c r="AU8" s="28">
        <f>SUM(AU10:AU500)</f>
        <v>4962</v>
      </c>
      <c r="AW8" s="29">
        <f ca="1">SUM(AW10:AW501)</f>
        <v>31261433.376859512</v>
      </c>
      <c r="AX8" s="29">
        <f>SUM(AX10:AX501)</f>
        <v>29257086.369390525</v>
      </c>
      <c r="AY8" s="29">
        <f ca="1">SUM(AY10:AY501)</f>
        <v>2004347.0074689824</v>
      </c>
      <c r="BA8" s="29">
        <f ca="1">SUM(BA10:BA501)</f>
        <v>0</v>
      </c>
      <c r="BC8" s="257">
        <f ca="1">SUM(BC10:BC501)</f>
        <v>15640403.887438003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V9" s="208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Summary!O7</f>
        <v>40000</v>
      </c>
      <c r="C10" s="68"/>
      <c r="D10" s="69">
        <f>IF(A11&lt;&gt;"",B10+C10,"")</f>
        <v>40000</v>
      </c>
      <c r="E10" s="70">
        <f t="shared" ref="E10:E73" si="1">IF(A11="","",IF(AND(AT10=1,$H$3=1),D10*AO10,IF($H$3=2,D10,"N/A")))</f>
        <v>1200000</v>
      </c>
      <c r="F10" s="70">
        <f t="shared" ref="F10:F73" ca="1" si="2">IF(A11="","",E10*AS10)</f>
        <v>1194562.2859254661</v>
      </c>
      <c r="G10" s="63">
        <f>IF($A11="","",VLOOKUP($A10,Table,MATCH(G$4,Curves,0)))</f>
        <v>4.3940000000000001</v>
      </c>
      <c r="H10" s="64">
        <f>IF(A11="","",G10)</f>
        <v>4.3940000000000001</v>
      </c>
      <c r="I10" s="43"/>
      <c r="J10" s="63">
        <f>IF($A11="","",VLOOKUP($A10,Table,MATCH(J$4,Curves,0)))</f>
        <v>0.22500000000000001</v>
      </c>
      <c r="K10" s="64">
        <f>IF(A11="","",J10)</f>
        <v>0.22500000000000001</v>
      </c>
      <c r="L10" s="63">
        <f>IF($A11="","",VLOOKUP($A10,Table,MATCH(L$4,Curves,0)))</f>
        <v>0</v>
      </c>
      <c r="M10" s="64">
        <f>IF(A11="","",L10)</f>
        <v>0</v>
      </c>
      <c r="N10" s="65"/>
      <c r="O10" s="63">
        <f>IF(A11="","",L10+J10+G10)</f>
        <v>4.6189999999999998</v>
      </c>
      <c r="P10" s="63">
        <f>IF(A11="","",M10+K10+H10)</f>
        <v>4.6189999999999998</v>
      </c>
      <c r="Q10" s="66"/>
      <c r="R10" s="63">
        <f>IF($A11="","",VLOOKUP($A10,Table,MATCH(R$4,Curves,0)))</f>
        <v>-0.1</v>
      </c>
      <c r="S10" s="64">
        <f>IF(A11="","",R10)</f>
        <v>-0.1</v>
      </c>
      <c r="T10" s="63">
        <f>IF($A11="","",VLOOKUP($A10,Table,MATCH(T$4,Curves,0)))</f>
        <v>-0.01</v>
      </c>
      <c r="U10" s="64">
        <f>IF(A11="","",T10)</f>
        <v>-0.01</v>
      </c>
      <c r="V10" s="219">
        <f>IF($A11="","",IF(AND(MONTH(A10)&gt;3,MONTH(A10)&lt;11),(T10+R10+G10)*Summary!$T$7/(1-Summary!$T$7),(T10+R10+G10)*Summary!$U$7/(1-Summary!$U$7)))</f>
        <v>0.20703679630988575</v>
      </c>
      <c r="W10" s="63">
        <f>IF($A11="","",(T10+R10+G10+V10))</f>
        <v>4.4910367963098858</v>
      </c>
      <c r="X10" s="63">
        <f>IF($A11="","",(U10+S10+H10+V10))</f>
        <v>4.4910367963098858</v>
      </c>
      <c r="Y10" s="43"/>
      <c r="Z10" s="38">
        <f>IF($A11="","",VLOOKUP($A10,Table,MATCH(Z$4,Curves,0)))</f>
        <v>0.53</v>
      </c>
      <c r="AA10" s="38">
        <f>IF($A11="","",VLOOKUP($A10,Table,MATCH(AA$4,Curves,0)))</f>
        <v>0.55600000000000005</v>
      </c>
      <c r="AB10" s="38">
        <f t="shared" ref="AB10:AB73" ca="1" si="3">SQRT((AA10^2*(A10-$D$3)+Z10^2*(DAY(EOMONTH(A10,0))/2))/AK10)</f>
        <v>0.75840188011680587</v>
      </c>
      <c r="AC10" s="38">
        <f>IF($A11="","",VLOOKUP($A10,Table,MATCH(AC$4,Curves,0)))</f>
        <v>0.38</v>
      </c>
      <c r="AD10" s="38">
        <f>IF($A11="","",VLOOKUP($A10,Table,MATCH(AD$4,Curves,0)))</f>
        <v>0.54</v>
      </c>
      <c r="AE10" s="38">
        <f t="shared" ref="AE10:AE73" ca="1" si="4">SQRT((AD10^2*(A10-$D$3)+AC10^2*(DAY(EOMONTH(A10,0))/2))/AK10)</f>
        <v>0.66042766892548721</v>
      </c>
      <c r="AF10" s="238">
        <f ca="1">((Summary!$N$7*(AA10*AD10)*(A10-$D$3))+(Summary!$M$7*Z10*AC10*(DAY(EOMONTH(A10,0))/2)))/(AK10*AB10*AE10)</f>
        <v>0.98942974930296279</v>
      </c>
      <c r="AG10" s="88">
        <f>IF($A11="","",Summary!$Q$7)</f>
        <v>0</v>
      </c>
      <c r="AH10" s="88">
        <f>IF($A11="","",IF(Summary!$R$7="Y",(VLOOKUP($A10,Summary!$AD$6:$AF$9,3)+'Escalating commodity'!C23),'Escalating commodity'!C23))</f>
        <v>2.52E-2</v>
      </c>
      <c r="AI10" s="88">
        <f>IF($A11="","",AH10)</f>
        <v>2.52E-2</v>
      </c>
      <c r="AJ10" s="236">
        <f t="shared" ref="AJ10:AJ73" si="5">A10+DAY(EOMONTH(A10,0))/2-1</f>
        <v>37057</v>
      </c>
      <c r="AK10" s="58">
        <f ca="1">IF($A11="","",$A10-$E$1)</f>
        <v>17</v>
      </c>
      <c r="AL10" s="26">
        <f ca="1">IF($A11="","",_xll.SPRDOPT(P10,X10,AI10,0,AB10,AE10,AF10,AK10,$AJ$2,0))</f>
        <v>0.12237381418323445</v>
      </c>
      <c r="AM10" s="209">
        <f t="shared" ref="AM10:AM73" si="6">IF($A11="","",MAX(0,O10-W10-AI10))</f>
        <v>0.10276320369011394</v>
      </c>
      <c r="AN10" s="89">
        <f ca="1">IF($A11="","",AL10-AM10)</f>
        <v>1.9610610493120517E-2</v>
      </c>
      <c r="AO10" s="3">
        <f>IF(A11="","",A11-A10)</f>
        <v>30</v>
      </c>
      <c r="AP10" s="33">
        <f>IF(A11="","",CHOOSE(F$3,A11+24,A10))</f>
        <v>37043</v>
      </c>
      <c r="AQ10" s="58">
        <f t="shared" ref="AQ10:AQ73" ca="1" si="7">IF(A11="","",AP10-$E$1)</f>
        <v>17</v>
      </c>
      <c r="AR10" s="38">
        <f>IF(Summary!$H$2=1,VLOOKUP('ANR OK vs ML7'!A10,Curves!$C$17:$AR$273,MATCH('ANR OK vs ML7'!$AR$4,Curves!$C$8:$AQ$8,0)),0.1)</f>
        <v>0.1</v>
      </c>
      <c r="AS10" s="35">
        <f t="shared" ref="AS10:AS73" ca="1" si="8">IF(A11="","",1/(1+CHOOSE(F$3,(AR11+($I$3/10000))/2,(AR10+($I$3/10000))/2))^(2*AQ10/365.25))</f>
        <v>0.99546857160455515</v>
      </c>
      <c r="AT10" s="3">
        <f>IF(A11="","",IF(AND(mthbeg&lt;=A10,mthend&gt;=A10),1,0))</f>
        <v>1</v>
      </c>
      <c r="AU10" s="3">
        <f t="shared" ref="AU10:AU73" si="9">IF(A11="","",AO10*AT10)</f>
        <v>30</v>
      </c>
      <c r="AW10" s="32">
        <f ca="1">IF($A11="","",AL10*$E10)</f>
        <v>146848.57701988134</v>
      </c>
      <c r="AX10" s="32">
        <f>IF($A11="","",AM10*$E10)</f>
        <v>123315.84442813673</v>
      </c>
      <c r="AY10" s="32">
        <f ca="1">IF($A11="","",AN10*$E10)</f>
        <v>23532.732591744621</v>
      </c>
      <c r="AZ10" s="42"/>
      <c r="BA10" s="32">
        <f ca="1">IF($A11="","",F10*Summary!$Q$7)</f>
        <v>0</v>
      </c>
      <c r="BC10" s="256">
        <f ca="1">IF(A11="","",AM10*F10)</f>
        <v>122757.0475090868</v>
      </c>
    </row>
    <row r="11" spans="1:55">
      <c r="A11" s="67">
        <f t="shared" ref="A11:A74" si="10">IF(A10&lt;mthend,EDATE(A10,1),"")</f>
        <v>37073</v>
      </c>
      <c r="B11" s="69">
        <f>IF(A11&lt;mthend,B10,"")</f>
        <v>40000</v>
      </c>
      <c r="C11" s="71"/>
      <c r="D11" s="69">
        <f>IF(A12&lt;&gt;"",B11+C11,"")</f>
        <v>40000</v>
      </c>
      <c r="E11" s="70">
        <f t="shared" si="1"/>
        <v>1240000</v>
      </c>
      <c r="F11" s="70">
        <f t="shared" ca="1" si="2"/>
        <v>1224527.2385775542</v>
      </c>
      <c r="G11" s="63">
        <f t="shared" ref="G11:G74" si="11">IF($A12="","",VLOOKUP($A11,Table,MATCH(G$4,Curves,0)))</f>
        <v>4.4649999999999999</v>
      </c>
      <c r="H11" s="64">
        <f t="shared" ref="H11:H74" si="12">IF(A12="","",G11)</f>
        <v>4.4649999999999999</v>
      </c>
      <c r="I11" s="43"/>
      <c r="J11" s="63">
        <f t="shared" ref="J11:J74" si="13">IF($A12="","",VLOOKUP($A11,Table,MATCH(J$4,Curves,0)))</f>
        <v>0.22500000000000001</v>
      </c>
      <c r="K11" s="64">
        <f t="shared" ref="K11:K74" si="14">IF(A12="","",J11)</f>
        <v>0.22500000000000001</v>
      </c>
      <c r="L11" s="63">
        <f t="shared" ref="L11:L74" si="15">IF($A12="","",VLOOKUP($A11,Table,MATCH(L$4,Curves,0)))</f>
        <v>0</v>
      </c>
      <c r="M11" s="64">
        <f t="shared" ref="M11:M74" si="16">IF(A12="","",L11)</f>
        <v>0</v>
      </c>
      <c r="N11" s="65"/>
      <c r="O11" s="63">
        <f t="shared" ref="O11:O74" si="17">IF(A12="","",L11+J11+G11)</f>
        <v>4.6899999999999995</v>
      </c>
      <c r="P11" s="63">
        <f t="shared" ref="P11:P74" si="18">IF(A12="","",M11+K11+H11)</f>
        <v>4.6899999999999995</v>
      </c>
      <c r="Q11" s="66"/>
      <c r="R11" s="63">
        <f t="shared" ref="R11:R74" si="19">IF($A12="","",VLOOKUP($A11,Table,MATCH(R$4,Curves,0)))</f>
        <v>-0.1</v>
      </c>
      <c r="S11" s="64">
        <f t="shared" ref="S11:S74" si="20">IF(A12="","",R11)</f>
        <v>-0.1</v>
      </c>
      <c r="T11" s="63">
        <f t="shared" ref="T11:T74" si="21">IF($A12="","",VLOOKUP($A11,Table,MATCH(T$4,Curves,0)))</f>
        <v>-0.01</v>
      </c>
      <c r="U11" s="64">
        <f t="shared" ref="U11:U74" si="22">IF(A12="","",T11)</f>
        <v>-0.01</v>
      </c>
      <c r="V11" s="207">
        <f>IF($A12="","",IF(AND(MONTH(A11)&gt;3,MONTH(A11)&lt;11),(T11+R11+G11)*Summary!$T$7/(1-Summary!$T$7),(T11+R11+G11)*Summary!$U$7/(1-Summary!$U$7)))</f>
        <v>0.21046807841492818</v>
      </c>
      <c r="W11" s="63">
        <f t="shared" ref="W11:W74" si="23">IF($A12="","",(T11+R11+G11+V11))</f>
        <v>4.565468078414928</v>
      </c>
      <c r="X11" s="63">
        <f t="shared" ref="X11:X74" si="24">IF($A12="","",(U11+S11+H11+V11))</f>
        <v>4.565468078414928</v>
      </c>
      <c r="Y11" s="43"/>
      <c r="Z11" s="38">
        <f t="shared" ref="Z11:AD74" si="25">IF($A12="","",VLOOKUP($A11,Table,MATCH(Z$4,Curves,0)))</f>
        <v>0.57999999999999996</v>
      </c>
      <c r="AA11" s="38">
        <f t="shared" si="25"/>
        <v>0.54100000000000004</v>
      </c>
      <c r="AB11" s="38">
        <f t="shared" ca="1" si="3"/>
        <v>0.64019425243519945</v>
      </c>
      <c r="AC11" s="38">
        <f t="shared" si="25"/>
        <v>0.38</v>
      </c>
      <c r="AD11" s="38">
        <f t="shared" si="25"/>
        <v>0.52500000000000002</v>
      </c>
      <c r="AE11" s="38">
        <f t="shared" ca="1" si="4"/>
        <v>0.57368165239780189</v>
      </c>
      <c r="AF11" s="238">
        <f ca="1">((Summary!$N$7*(AA11*AD11)*(A11-$D$3))+(Summary!$M$7*Z11*AC11*(DAY(EOMONTH(A11,0))/2)))/(AK11*AB11*AE11)</f>
        <v>0.98762888227333068</v>
      </c>
      <c r="AG11" s="88">
        <f>IF($A12="","",Summary!$Q$7)</f>
        <v>0</v>
      </c>
      <c r="AH11" s="88">
        <f>IF($A12="","",IF(Summary!$R$7="Y",(VLOOKUP($A11,Summary!$AD$6:$AF$9,3)+'Escalating commodity'!C24),'Escalating commodity'!C24))</f>
        <v>2.52E-2</v>
      </c>
      <c r="AI11" s="88">
        <f t="shared" ref="AI11:AI74" si="26">IF($A12="","",AH11)</f>
        <v>2.52E-2</v>
      </c>
      <c r="AJ11" s="236">
        <f t="shared" si="5"/>
        <v>37087.5</v>
      </c>
      <c r="AK11" s="58">
        <f t="shared" ref="AK11:AK74" ca="1" si="27">IF($A12="","",$A11-$E$1)</f>
        <v>47</v>
      </c>
      <c r="AL11" s="26">
        <f ca="1">IF($A12="","",_xll.SPRDOPT(P11,X11,AI11,0,AB11,AE11,AF11,AK11,$AJ$2,0))</f>
        <v>0.13776973243379911</v>
      </c>
      <c r="AM11" s="209">
        <f t="shared" si="6"/>
        <v>9.9331921585071536E-2</v>
      </c>
      <c r="AN11" s="89">
        <f t="shared" ref="AN11:AN74" ca="1" si="28">IF($A12="","",AL11-AM11)</f>
        <v>3.8437810848727577E-2</v>
      </c>
      <c r="AO11" s="3">
        <f t="shared" ref="AO11:AO74" si="29">IF(A12="","",A12-A11)</f>
        <v>31</v>
      </c>
      <c r="AP11" s="33">
        <f t="shared" ref="AP11:AP74" si="30">IF(A12="","",CHOOSE(F$3,A12+24,A11))</f>
        <v>37073</v>
      </c>
      <c r="AQ11" s="58">
        <f t="shared" ca="1" si="7"/>
        <v>47</v>
      </c>
      <c r="AR11" s="38">
        <f>IF(Summary!$H$2=1,VLOOKUP('ANR OK vs ML7'!A11,Curves!$C$17:$AR$273,MATCH('ANR OK vs ML7'!$AR$4,Curves!$C$8:$AQ$8,0)),0.1)</f>
        <v>0.1</v>
      </c>
      <c r="AS11" s="35">
        <f t="shared" ca="1" si="8"/>
        <v>0.98752196659480185</v>
      </c>
      <c r="AT11" s="3">
        <f t="shared" ref="AT11:AT74" si="31">IF(A12="","",IF(AND(mthbeg&lt;=A11,mthend&gt;=A11),1,0))</f>
        <v>1</v>
      </c>
      <c r="AU11" s="3">
        <f t="shared" si="9"/>
        <v>31</v>
      </c>
      <c r="AW11" s="32">
        <f t="shared" ref="AW11:AW74" ca="1" si="32">IF($A12="","",AL11*$E11)</f>
        <v>170834.46821791091</v>
      </c>
      <c r="AX11" s="32">
        <f t="shared" ref="AX11:AX74" si="33">IF($A12="","",AM11*$E11)</f>
        <v>123171.58276548871</v>
      </c>
      <c r="AY11" s="32">
        <f t="shared" ref="AY11:AY74" ca="1" si="34">IF($A12="","",AN11*$E11)</f>
        <v>47662.885452422197</v>
      </c>
      <c r="BA11" s="32">
        <f ca="1">IF($A12="","",F11*Summary!$Q$7)</f>
        <v>0</v>
      </c>
      <c r="BC11" s="256">
        <f t="shared" ref="BC11:BC74" ca="1" si="35">IF(A12="","",AM11*F11)</f>
        <v>121634.64364116981</v>
      </c>
    </row>
    <row r="12" spans="1:55">
      <c r="A12" s="67">
        <f t="shared" si="10"/>
        <v>37104</v>
      </c>
      <c r="B12" s="69">
        <f t="shared" ref="B12:B75" si="36">IF(A12&lt;mthend,B11,"")</f>
        <v>40000</v>
      </c>
      <c r="C12" s="71"/>
      <c r="D12" s="69">
        <f t="shared" ref="D12:D75" si="37">IF(A13&lt;&gt;"",B12+C12,"")</f>
        <v>40000</v>
      </c>
      <c r="E12" s="70">
        <f t="shared" si="1"/>
        <v>1240000</v>
      </c>
      <c r="F12" s="70">
        <f t="shared" ca="1" si="2"/>
        <v>1214427.6187029858</v>
      </c>
      <c r="G12" s="63">
        <f t="shared" si="11"/>
        <v>4.5280000000000005</v>
      </c>
      <c r="H12" s="64">
        <f t="shared" si="12"/>
        <v>4.5280000000000005</v>
      </c>
      <c r="I12" s="43"/>
      <c r="J12" s="63">
        <f t="shared" si="13"/>
        <v>0.22500000000000001</v>
      </c>
      <c r="K12" s="64">
        <f t="shared" si="14"/>
        <v>0.22500000000000001</v>
      </c>
      <c r="L12" s="63">
        <f t="shared" si="15"/>
        <v>0</v>
      </c>
      <c r="M12" s="64">
        <f t="shared" si="16"/>
        <v>0</v>
      </c>
      <c r="N12" s="65"/>
      <c r="O12" s="63">
        <f t="shared" si="17"/>
        <v>4.7530000000000001</v>
      </c>
      <c r="P12" s="63">
        <f t="shared" si="18"/>
        <v>4.7530000000000001</v>
      </c>
      <c r="Q12" s="66"/>
      <c r="R12" s="63">
        <f t="shared" si="19"/>
        <v>-0.1</v>
      </c>
      <c r="S12" s="64">
        <f t="shared" si="20"/>
        <v>-0.1</v>
      </c>
      <c r="T12" s="63">
        <f t="shared" si="21"/>
        <v>-0.01</v>
      </c>
      <c r="U12" s="64">
        <f t="shared" si="22"/>
        <v>-0.01</v>
      </c>
      <c r="V12" s="207">
        <f>IF($A13="","",IF(AND(MONTH(A12)&gt;3,MONTH(A12)&lt;11),(T12+R12+G12)*Summary!$T$7/(1-Summary!$T$7),(T12+R12+G12)*Summary!$U$7/(1-Summary!$U$7)))</f>
        <v>0.21351273718419123</v>
      </c>
      <c r="W12" s="63">
        <f t="shared" si="23"/>
        <v>4.6315127371841918</v>
      </c>
      <c r="X12" s="63">
        <f t="shared" si="24"/>
        <v>4.6315127371841918</v>
      </c>
      <c r="Y12" s="43"/>
      <c r="Z12" s="38">
        <f t="shared" si="25"/>
        <v>0.63</v>
      </c>
      <c r="AA12" s="38">
        <f t="shared" si="25"/>
        <v>0.54600000000000004</v>
      </c>
      <c r="AB12" s="38">
        <f t="shared" ca="1" si="3"/>
        <v>0.61709736172354024</v>
      </c>
      <c r="AC12" s="38">
        <f t="shared" si="25"/>
        <v>0.48</v>
      </c>
      <c r="AD12" s="38">
        <f t="shared" si="25"/>
        <v>0.53</v>
      </c>
      <c r="AE12" s="38">
        <f t="shared" ca="1" si="4"/>
        <v>0.57470505255817739</v>
      </c>
      <c r="AF12" s="238">
        <f ca="1">((Summary!$N$7*(AA12*AD12)*(A12-$D$3))+(Summary!$M$7*Z12*AC12*(DAY(EOMONTH(A12,0))/2)))/(AK12*AB12*AE12)</f>
        <v>0.99578182053271114</v>
      </c>
      <c r="AG12" s="88">
        <f>IF($A13="","",Summary!$Q$7)</f>
        <v>0</v>
      </c>
      <c r="AH12" s="88">
        <f>IF($A13="","",IF(Summary!$R$7="Y",(VLOOKUP($A12,Summary!$AD$6:$AF$9,3)+'Escalating commodity'!C25),'Escalating commodity'!C25))</f>
        <v>2.52E-2</v>
      </c>
      <c r="AI12" s="88">
        <f t="shared" si="26"/>
        <v>2.52E-2</v>
      </c>
      <c r="AJ12" s="236">
        <f t="shared" si="5"/>
        <v>37118.5</v>
      </c>
      <c r="AK12" s="58">
        <f t="shared" ca="1" si="27"/>
        <v>78</v>
      </c>
      <c r="AL12" s="26">
        <f ca="1">IF($A13="","",_xll.SPRDOPT(P12,X12,AI12,0,AB12,AE12,AF12,AK12,$AJ$2,0))</f>
        <v>0.12141810734032236</v>
      </c>
      <c r="AM12" s="209">
        <f t="shared" si="6"/>
        <v>9.628726281580835E-2</v>
      </c>
      <c r="AN12" s="89">
        <f t="shared" ca="1" si="28"/>
        <v>2.5130844524514015E-2</v>
      </c>
      <c r="AO12" s="3">
        <f t="shared" si="29"/>
        <v>31</v>
      </c>
      <c r="AP12" s="33">
        <f t="shared" si="30"/>
        <v>37104</v>
      </c>
      <c r="AQ12" s="58">
        <f t="shared" ca="1" si="7"/>
        <v>78</v>
      </c>
      <c r="AR12" s="38">
        <f>IF(Summary!$H$2=1,VLOOKUP('ANR OK vs ML7'!A12,Curves!$C$17:$AR$273,MATCH('ANR OK vs ML7'!$AR$4,Curves!$C$8:$AQ$8,0)),0.1)</f>
        <v>0.1</v>
      </c>
      <c r="AS12" s="35">
        <f t="shared" ca="1" si="8"/>
        <v>0.97937711185724663</v>
      </c>
      <c r="AT12" s="3">
        <f t="shared" si="31"/>
        <v>1</v>
      </c>
      <c r="AU12" s="3">
        <f t="shared" si="9"/>
        <v>31</v>
      </c>
      <c r="AW12" s="32">
        <f t="shared" ca="1" si="32"/>
        <v>150558.45310199974</v>
      </c>
      <c r="AX12" s="32">
        <f t="shared" si="33"/>
        <v>119396.20589160235</v>
      </c>
      <c r="AY12" s="32">
        <f t="shared" ca="1" si="34"/>
        <v>31162.247210397378</v>
      </c>
      <c r="BA12" s="32">
        <f ca="1">IF($A13="","",F12*Summary!$Q$7)</f>
        <v>0</v>
      </c>
      <c r="BC12" s="256">
        <f t="shared" ca="1" si="35"/>
        <v>116933.91129283069</v>
      </c>
    </row>
    <row r="13" spans="1:55">
      <c r="A13" s="67">
        <f t="shared" si="10"/>
        <v>37135</v>
      </c>
      <c r="B13" s="69">
        <f t="shared" si="36"/>
        <v>40000</v>
      </c>
      <c r="C13" s="71"/>
      <c r="D13" s="69">
        <f t="shared" si="37"/>
        <v>40000</v>
      </c>
      <c r="E13" s="70">
        <f t="shared" si="1"/>
        <v>1200000</v>
      </c>
      <c r="F13" s="70">
        <f t="shared" ca="1" si="2"/>
        <v>1165559.320816701</v>
      </c>
      <c r="G13" s="63">
        <f t="shared" si="11"/>
        <v>4.5430000000000001</v>
      </c>
      <c r="H13" s="64">
        <f t="shared" si="12"/>
        <v>4.5430000000000001</v>
      </c>
      <c r="I13" s="43"/>
      <c r="J13" s="63">
        <f t="shared" si="13"/>
        <v>0.22500000000000001</v>
      </c>
      <c r="K13" s="64">
        <f t="shared" si="14"/>
        <v>0.22500000000000001</v>
      </c>
      <c r="L13" s="63">
        <f t="shared" si="15"/>
        <v>0</v>
      </c>
      <c r="M13" s="64">
        <f t="shared" si="16"/>
        <v>0</v>
      </c>
      <c r="N13" s="65"/>
      <c r="O13" s="63">
        <f t="shared" si="17"/>
        <v>4.7679999999999998</v>
      </c>
      <c r="P13" s="63">
        <f t="shared" si="18"/>
        <v>4.7679999999999998</v>
      </c>
      <c r="Q13" s="66"/>
      <c r="R13" s="63">
        <f t="shared" si="19"/>
        <v>-0.1</v>
      </c>
      <c r="S13" s="64">
        <f t="shared" si="20"/>
        <v>-0.1</v>
      </c>
      <c r="T13" s="63">
        <f t="shared" si="21"/>
        <v>-0.01</v>
      </c>
      <c r="U13" s="64">
        <f t="shared" si="22"/>
        <v>-0.01</v>
      </c>
      <c r="V13" s="207">
        <f>IF($A14="","",IF(AND(MONTH(A13)&gt;3,MONTH(A13)&lt;11),(T13+R13+G13)*Summary!$T$7/(1-Summary!$T$7),(T13+R13+G13)*Summary!$U$7/(1-Summary!$U$7)))</f>
        <v>0.21423765593877764</v>
      </c>
      <c r="W13" s="63">
        <f t="shared" si="23"/>
        <v>4.6472376559387776</v>
      </c>
      <c r="X13" s="63">
        <f t="shared" si="24"/>
        <v>4.6472376559387776</v>
      </c>
      <c r="Y13" s="43"/>
      <c r="Z13" s="38">
        <f t="shared" si="25"/>
        <v>0.63</v>
      </c>
      <c r="AA13" s="38">
        <f t="shared" si="25"/>
        <v>0.55600000000000005</v>
      </c>
      <c r="AB13" s="38">
        <f t="shared" ca="1" si="3"/>
        <v>0.60546789852707228</v>
      </c>
      <c r="AC13" s="38">
        <f t="shared" si="25"/>
        <v>0.53</v>
      </c>
      <c r="AD13" s="38">
        <f t="shared" si="25"/>
        <v>0.54</v>
      </c>
      <c r="AE13" s="38">
        <f t="shared" ca="1" si="4"/>
        <v>0.57700190004934171</v>
      </c>
      <c r="AF13" s="238">
        <f ca="1">((Summary!$N$7*(AA13*AD13)*(A13-$D$3))+(Summary!$M$7*Z13*AC13*(DAY(EOMONTH(A13,0))/2)))/(AK13*AB13*AE13)</f>
        <v>0.99873369726188921</v>
      </c>
      <c r="AG13" s="88">
        <f>IF($A14="","",Summary!$Q$7)</f>
        <v>0</v>
      </c>
      <c r="AH13" s="88">
        <f>IF($A14="","",IF(Summary!$R$7="Y",(VLOOKUP($A13,Summary!$AD$6:$AF$9,3)+'Escalating commodity'!C26),'Escalating commodity'!C26))</f>
        <v>2.52E-2</v>
      </c>
      <c r="AI13" s="88">
        <f t="shared" si="26"/>
        <v>2.52E-2</v>
      </c>
      <c r="AJ13" s="236">
        <f t="shared" si="5"/>
        <v>37149</v>
      </c>
      <c r="AK13" s="58">
        <f t="shared" ca="1" si="27"/>
        <v>109</v>
      </c>
      <c r="AL13" s="26">
        <f ca="1">IF($A14="","",_xll.SPRDOPT(P13,X13,AI13,0,AB13,AE13,AF13,AK13,$AJ$2,0))</f>
        <v>0.1078744541049846</v>
      </c>
      <c r="AM13" s="209">
        <f t="shared" si="6"/>
        <v>9.5562344061222215E-2</v>
      </c>
      <c r="AN13" s="89">
        <f t="shared" ca="1" si="28"/>
        <v>1.2312110043762384E-2</v>
      </c>
      <c r="AO13" s="3">
        <f t="shared" si="29"/>
        <v>30</v>
      </c>
      <c r="AP13" s="33">
        <f t="shared" si="30"/>
        <v>37135</v>
      </c>
      <c r="AQ13" s="58">
        <f t="shared" ca="1" si="7"/>
        <v>109</v>
      </c>
      <c r="AR13" s="38">
        <f>IF(Summary!$H$2=1,VLOOKUP('ANR OK vs ML7'!A13,Curves!$C$17:$AR$273,MATCH('ANR OK vs ML7'!$AR$4,Curves!$C$8:$AQ$8,0)),0.1)</f>
        <v>0.1</v>
      </c>
      <c r="AS13" s="35">
        <f t="shared" ca="1" si="8"/>
        <v>0.9712994340139175</v>
      </c>
      <c r="AT13" s="3">
        <f t="shared" si="31"/>
        <v>1</v>
      </c>
      <c r="AU13" s="3">
        <f t="shared" si="9"/>
        <v>30</v>
      </c>
      <c r="AW13" s="32">
        <f t="shared" ca="1" si="32"/>
        <v>129449.34492598152</v>
      </c>
      <c r="AX13" s="32">
        <f t="shared" si="33"/>
        <v>114674.81287346665</v>
      </c>
      <c r="AY13" s="32">
        <f t="shared" ca="1" si="34"/>
        <v>14774.53205251486</v>
      </c>
      <c r="BA13" s="32">
        <f ca="1">IF($A14="","",F13*Summary!$Q$7)</f>
        <v>0</v>
      </c>
      <c r="BC13" s="256">
        <f t="shared" ca="1" si="35"/>
        <v>111383.58083965007</v>
      </c>
    </row>
    <row r="14" spans="1:55">
      <c r="A14" s="67">
        <f t="shared" si="10"/>
        <v>37165</v>
      </c>
      <c r="B14" s="69">
        <f t="shared" si="36"/>
        <v>40000</v>
      </c>
      <c r="C14" s="71"/>
      <c r="D14" s="69">
        <f t="shared" si="37"/>
        <v>40000</v>
      </c>
      <c r="E14" s="70">
        <f t="shared" si="1"/>
        <v>1240000</v>
      </c>
      <c r="F14" s="70">
        <f t="shared" ca="1" si="2"/>
        <v>1194796.749683304</v>
      </c>
      <c r="G14" s="63">
        <f t="shared" si="11"/>
        <v>4.5630000000000006</v>
      </c>
      <c r="H14" s="64">
        <f t="shared" si="12"/>
        <v>4.5630000000000006</v>
      </c>
      <c r="I14" s="43"/>
      <c r="J14" s="63">
        <f t="shared" si="13"/>
        <v>0.22500000000000001</v>
      </c>
      <c r="K14" s="64">
        <f t="shared" si="14"/>
        <v>0.22500000000000001</v>
      </c>
      <c r="L14" s="63">
        <f t="shared" si="15"/>
        <v>0</v>
      </c>
      <c r="M14" s="64">
        <f t="shared" si="16"/>
        <v>0</v>
      </c>
      <c r="N14" s="65"/>
      <c r="O14" s="63">
        <f t="shared" si="17"/>
        <v>4.7880000000000003</v>
      </c>
      <c r="P14" s="63">
        <f t="shared" si="18"/>
        <v>4.7880000000000003</v>
      </c>
      <c r="Q14" s="66"/>
      <c r="R14" s="63">
        <f t="shared" si="19"/>
        <v>-0.1</v>
      </c>
      <c r="S14" s="64">
        <f t="shared" si="20"/>
        <v>-0.1</v>
      </c>
      <c r="T14" s="63">
        <f t="shared" si="21"/>
        <v>-0.01</v>
      </c>
      <c r="U14" s="64">
        <f t="shared" si="22"/>
        <v>-0.01</v>
      </c>
      <c r="V14" s="207">
        <f>IF($A15="","",IF(AND(MONTH(A14)&gt;3,MONTH(A14)&lt;11),(T14+R14+G14)*Summary!$T$7/(1-Summary!$T$7),(T14+R14+G14)*Summary!$U$7/(1-Summary!$U$7)))</f>
        <v>0.21520421427822628</v>
      </c>
      <c r="W14" s="63">
        <f t="shared" si="23"/>
        <v>4.6682042142782265</v>
      </c>
      <c r="X14" s="63">
        <f t="shared" si="24"/>
        <v>4.6682042142782265</v>
      </c>
      <c r="Y14" s="43"/>
      <c r="Z14" s="38">
        <f t="shared" si="25"/>
        <v>0.68</v>
      </c>
      <c r="AA14" s="38">
        <f t="shared" si="25"/>
        <v>0.56700000000000006</v>
      </c>
      <c r="AB14" s="38">
        <f t="shared" ca="1" si="3"/>
        <v>0.61266994412297948</v>
      </c>
      <c r="AC14" s="38">
        <f t="shared" si="25"/>
        <v>0.53</v>
      </c>
      <c r="AD14" s="38">
        <f t="shared" si="25"/>
        <v>0.55000000000000004</v>
      </c>
      <c r="AE14" s="38">
        <f t="shared" ca="1" si="4"/>
        <v>0.57965475956621793</v>
      </c>
      <c r="AF14" s="238">
        <f ca="1">((Summary!$N$7*(AA14*AD14)*(A14-$D$3))+(Summary!$M$7*Z14*AC14*(DAY(EOMONTH(A14,0))/2)))/(AK14*AB14*AE14)</f>
        <v>0.99750393792989467</v>
      </c>
      <c r="AG14" s="88">
        <f>IF($A15="","",Summary!$Q$7)</f>
        <v>0</v>
      </c>
      <c r="AH14" s="88">
        <f>IF($A15="","",IF(Summary!$R$7="Y",(VLOOKUP($A14,Summary!$AD$6:$AF$9,3)+'Escalating commodity'!C27),'Escalating commodity'!C27))</f>
        <v>2.52E-2</v>
      </c>
      <c r="AI14" s="88">
        <f t="shared" si="26"/>
        <v>2.52E-2</v>
      </c>
      <c r="AJ14" s="236">
        <f t="shared" si="5"/>
        <v>37179.5</v>
      </c>
      <c r="AK14" s="58">
        <f t="shared" ca="1" si="27"/>
        <v>139</v>
      </c>
      <c r="AL14" s="26">
        <f ca="1">IF($A15="","",_xll.SPRDOPT(P14,X14,AI14,0,AB14,AE14,AF14,AK14,$AJ$2,0))</f>
        <v>0.12275031159866655</v>
      </c>
      <c r="AM14" s="209">
        <f t="shared" si="6"/>
        <v>9.459578572177374E-2</v>
      </c>
      <c r="AN14" s="89">
        <f t="shared" ca="1" si="28"/>
        <v>2.8154525876892808E-2</v>
      </c>
      <c r="AO14" s="3">
        <f t="shared" si="29"/>
        <v>31</v>
      </c>
      <c r="AP14" s="33">
        <f t="shared" si="30"/>
        <v>37165</v>
      </c>
      <c r="AQ14" s="58">
        <f t="shared" ca="1" si="7"/>
        <v>139</v>
      </c>
      <c r="AR14" s="38">
        <f>IF(Summary!$H$2=1,VLOOKUP('ANR OK vs ML7'!A14,Curves!$C$17:$AR$273,MATCH('ANR OK vs ML7'!$AR$4,Curves!$C$8:$AQ$8,0)),0.1)</f>
        <v>0.1</v>
      </c>
      <c r="AS14" s="35">
        <f t="shared" ca="1" si="8"/>
        <v>0.96354576587363217</v>
      </c>
      <c r="AT14" s="3">
        <f t="shared" si="31"/>
        <v>1</v>
      </c>
      <c r="AU14" s="3">
        <f t="shared" si="9"/>
        <v>31</v>
      </c>
      <c r="AW14" s="32">
        <f t="shared" ca="1" si="32"/>
        <v>152210.38638234651</v>
      </c>
      <c r="AX14" s="32">
        <f t="shared" si="33"/>
        <v>117298.77429499944</v>
      </c>
      <c r="AY14" s="32">
        <f t="shared" ca="1" si="34"/>
        <v>34911.612087347079</v>
      </c>
      <c r="BA14" s="32">
        <f ca="1">IF($A15="","",F14*Summary!$Q$7)</f>
        <v>0</v>
      </c>
      <c r="BC14" s="256">
        <f t="shared" ca="1" si="35"/>
        <v>113022.73731411356</v>
      </c>
    </row>
    <row r="15" spans="1:55">
      <c r="A15" s="67">
        <f t="shared" si="10"/>
        <v>37196</v>
      </c>
      <c r="B15" s="69">
        <f t="shared" si="36"/>
        <v>40000</v>
      </c>
      <c r="C15" s="71"/>
      <c r="D15" s="69">
        <f t="shared" si="37"/>
        <v>40000</v>
      </c>
      <c r="E15" s="70">
        <f t="shared" si="1"/>
        <v>1200000</v>
      </c>
      <c r="F15" s="70">
        <f t="shared" ca="1" si="2"/>
        <v>1146718.3936101384</v>
      </c>
      <c r="G15" s="63">
        <f t="shared" si="11"/>
        <v>4.7280000000000006</v>
      </c>
      <c r="H15" s="64">
        <f t="shared" si="12"/>
        <v>4.7280000000000006</v>
      </c>
      <c r="I15" s="43"/>
      <c r="J15" s="63">
        <f t="shared" si="13"/>
        <v>0.25</v>
      </c>
      <c r="K15" s="64">
        <f t="shared" si="14"/>
        <v>0.25</v>
      </c>
      <c r="L15" s="63">
        <f t="shared" si="15"/>
        <v>0</v>
      </c>
      <c r="M15" s="64">
        <f t="shared" si="16"/>
        <v>0</v>
      </c>
      <c r="N15" s="65"/>
      <c r="O15" s="63">
        <f t="shared" si="17"/>
        <v>4.9780000000000006</v>
      </c>
      <c r="P15" s="63">
        <f t="shared" si="18"/>
        <v>4.9780000000000006</v>
      </c>
      <c r="Q15" s="66"/>
      <c r="R15" s="63">
        <f t="shared" si="19"/>
        <v>-0.1</v>
      </c>
      <c r="S15" s="64">
        <f t="shared" si="20"/>
        <v>-0.1</v>
      </c>
      <c r="T15" s="63">
        <f t="shared" si="21"/>
        <v>0.01</v>
      </c>
      <c r="U15" s="64">
        <f t="shared" si="22"/>
        <v>0.01</v>
      </c>
      <c r="V15" s="207">
        <f>IF($A16="","",IF(AND(MONTH(A15)&gt;3,MONTH(A15)&lt;11),(T15+R15+G15)*Summary!$T$7/(1-Summary!$T$7),(T15+R15+G15)*Summary!$U$7/(1-Summary!$U$7)))</f>
        <v>0.22414487891812565</v>
      </c>
      <c r="W15" s="63">
        <f t="shared" si="23"/>
        <v>4.8621448789181265</v>
      </c>
      <c r="X15" s="63">
        <f t="shared" si="24"/>
        <v>4.8621448789181265</v>
      </c>
      <c r="Y15" s="43"/>
      <c r="Z15" s="38">
        <f t="shared" si="25"/>
        <v>1.05</v>
      </c>
      <c r="AA15" s="38">
        <f t="shared" si="25"/>
        <v>0.57700000000000007</v>
      </c>
      <c r="AB15" s="38">
        <f t="shared" ca="1" si="3"/>
        <v>0.65739395924138133</v>
      </c>
      <c r="AC15" s="38">
        <f t="shared" si="25"/>
        <v>1.05</v>
      </c>
      <c r="AD15" s="38">
        <f t="shared" si="25"/>
        <v>0.56000000000000005</v>
      </c>
      <c r="AE15" s="38">
        <f t="shared" ca="1" si="4"/>
        <v>0.64243608059250445</v>
      </c>
      <c r="AF15" s="238">
        <f ca="1">((Summary!$N$7*(AA15*AD15)*(A15-$D$3))+(Summary!$M$7*Z15*AC15*(DAY(EOMONTH(A15,0))/2)))/(AK15*AB15*AE15)</f>
        <v>0.99984376567724498</v>
      </c>
      <c r="AG15" s="88">
        <f>IF($A16="","",Summary!$Q$7)</f>
        <v>0</v>
      </c>
      <c r="AH15" s="88">
        <f>IF($A16="","",IF(Summary!$R$7="Y",(VLOOKUP($A15,Summary!$AD$6:$AF$9,3)+'Escalating commodity'!C28),'Escalating commodity'!C28))</f>
        <v>2.52E-2</v>
      </c>
      <c r="AI15" s="88">
        <f t="shared" si="26"/>
        <v>2.52E-2</v>
      </c>
      <c r="AJ15" s="236">
        <f t="shared" si="5"/>
        <v>37210</v>
      </c>
      <c r="AK15" s="58">
        <f t="shared" ca="1" si="27"/>
        <v>170</v>
      </c>
      <c r="AL15" s="26">
        <f ca="1">IF($A16="","",_xll.SPRDOPT(P15,X15,AI15,0,AB15,AE15,AF15,AK15,$AJ$2,0))</f>
        <v>9.4954686810439864E-2</v>
      </c>
      <c r="AM15" s="209">
        <f t="shared" si="6"/>
        <v>9.0655121081874124E-2</v>
      </c>
      <c r="AN15" s="89">
        <f t="shared" ca="1" si="28"/>
        <v>4.2995657285657407E-3</v>
      </c>
      <c r="AO15" s="3">
        <f t="shared" si="29"/>
        <v>30</v>
      </c>
      <c r="AP15" s="33">
        <f t="shared" si="30"/>
        <v>37196</v>
      </c>
      <c r="AQ15" s="58">
        <f t="shared" ca="1" si="7"/>
        <v>170</v>
      </c>
      <c r="AR15" s="38">
        <f>IF(Summary!$H$2=1,VLOOKUP('ANR OK vs ML7'!A15,Curves!$C$17:$AR$273,MATCH('ANR OK vs ML7'!$AR$4,Curves!$C$8:$AQ$8,0)),0.1)</f>
        <v>0.1</v>
      </c>
      <c r="AS15" s="35">
        <f t="shared" ca="1" si="8"/>
        <v>0.95559866134178195</v>
      </c>
      <c r="AT15" s="3">
        <f t="shared" si="31"/>
        <v>1</v>
      </c>
      <c r="AU15" s="3">
        <f t="shared" si="9"/>
        <v>30</v>
      </c>
      <c r="AW15" s="32">
        <f t="shared" ca="1" si="32"/>
        <v>113945.62417252784</v>
      </c>
      <c r="AX15" s="32">
        <f t="shared" si="33"/>
        <v>108786.14529824894</v>
      </c>
      <c r="AY15" s="32">
        <f t="shared" ca="1" si="34"/>
        <v>5159.4788742788887</v>
      </c>
      <c r="BA15" s="32">
        <f ca="1">IF($A16="","",F15*Summary!$Q$7)</f>
        <v>0</v>
      </c>
      <c r="BC15" s="256">
        <f t="shared" ca="1" si="35"/>
        <v>103955.89481953929</v>
      </c>
    </row>
    <row r="16" spans="1:55">
      <c r="A16" s="67">
        <f t="shared" si="10"/>
        <v>37226</v>
      </c>
      <c r="B16" s="69">
        <f t="shared" si="36"/>
        <v>40000</v>
      </c>
      <c r="C16" s="71"/>
      <c r="D16" s="69">
        <f t="shared" si="37"/>
        <v>40000</v>
      </c>
      <c r="E16" s="70">
        <f t="shared" si="1"/>
        <v>1240000</v>
      </c>
      <c r="F16" s="70">
        <f t="shared" ca="1" si="2"/>
        <v>1175483.2079481247</v>
      </c>
      <c r="G16" s="63">
        <f t="shared" si="11"/>
        <v>4.8849999999999998</v>
      </c>
      <c r="H16" s="64">
        <f t="shared" si="12"/>
        <v>4.8849999999999998</v>
      </c>
      <c r="I16" s="43"/>
      <c r="J16" s="63">
        <f t="shared" si="13"/>
        <v>0.26</v>
      </c>
      <c r="K16" s="64">
        <f t="shared" si="14"/>
        <v>0.26</v>
      </c>
      <c r="L16" s="63">
        <f t="shared" si="15"/>
        <v>0</v>
      </c>
      <c r="M16" s="64">
        <f t="shared" si="16"/>
        <v>0</v>
      </c>
      <c r="N16" s="65"/>
      <c r="O16" s="63">
        <f t="shared" si="17"/>
        <v>5.1449999999999996</v>
      </c>
      <c r="P16" s="63">
        <f t="shared" si="18"/>
        <v>5.1449999999999996</v>
      </c>
      <c r="Q16" s="66"/>
      <c r="R16" s="63">
        <f t="shared" si="19"/>
        <v>-0.10249999999999999</v>
      </c>
      <c r="S16" s="64">
        <f t="shared" si="20"/>
        <v>-0.10249999999999999</v>
      </c>
      <c r="T16" s="63">
        <f t="shared" si="21"/>
        <v>0.01</v>
      </c>
      <c r="U16" s="64">
        <f t="shared" si="22"/>
        <v>0.01</v>
      </c>
      <c r="V16" s="207">
        <f>IF($A17="","",IF(AND(MONTH(A16)&gt;3,MONTH(A16)&lt;11),(T16+R16+G16)*Summary!$T$7/(1-Summary!$T$7),(T16+R16+G16)*Summary!$U$7/(1-Summary!$U$7)))</f>
        <v>0.23161154209036589</v>
      </c>
      <c r="W16" s="63">
        <f t="shared" si="23"/>
        <v>5.024111542090365</v>
      </c>
      <c r="X16" s="63">
        <f t="shared" si="24"/>
        <v>5.024111542090365</v>
      </c>
      <c r="Y16" s="43"/>
      <c r="Z16" s="38">
        <f t="shared" si="25"/>
        <v>1.35</v>
      </c>
      <c r="AA16" s="38">
        <f t="shared" si="25"/>
        <v>0.58499999999999996</v>
      </c>
      <c r="AB16" s="38">
        <f t="shared" ca="1" si="3"/>
        <v>0.69654854461121374</v>
      </c>
      <c r="AC16" s="38">
        <f t="shared" si="25"/>
        <v>1.25</v>
      </c>
      <c r="AD16" s="38">
        <f t="shared" si="25"/>
        <v>0.56800000000000006</v>
      </c>
      <c r="AE16" s="38">
        <f t="shared" ca="1" si="4"/>
        <v>0.6673311546750984</v>
      </c>
      <c r="AF16" s="238">
        <f ca="1">((Summary!$N$7*(AA16*AD16)*(A16-$D$3))+(Summary!$M$7*Z16*AC16*(DAY(EOMONTH(A16,0))/2)))/(AK16*AB16*AE16)</f>
        <v>0.99970034391327767</v>
      </c>
      <c r="AG16" s="88">
        <f>IF($A17="","",Summary!$Q$7)</f>
        <v>0</v>
      </c>
      <c r="AH16" s="88">
        <f>IF($A17="","",IF(Summary!$R$7="Y",(VLOOKUP($A16,Summary!$AD$6:$AF$9,3)+'Escalating commodity'!C29),'Escalating commodity'!C29))</f>
        <v>2.52E-2</v>
      </c>
      <c r="AI16" s="88">
        <f t="shared" si="26"/>
        <v>2.52E-2</v>
      </c>
      <c r="AJ16" s="236">
        <f t="shared" si="5"/>
        <v>37240.5</v>
      </c>
      <c r="AK16" s="58">
        <f t="shared" ca="1" si="27"/>
        <v>200</v>
      </c>
      <c r="AL16" s="26">
        <f ca="1">IF($A17="","",_xll.SPRDOPT(P16,X16,AI16,0,AB16,AE16,AF16,AK16,$AJ$2,0))</f>
        <v>0.11583023570483041</v>
      </c>
      <c r="AM16" s="209">
        <f t="shared" si="6"/>
        <v>9.5688457909634539E-2</v>
      </c>
      <c r="AN16" s="89">
        <f t="shared" ca="1" si="28"/>
        <v>2.0141777795195867E-2</v>
      </c>
      <c r="AO16" s="3">
        <f t="shared" si="29"/>
        <v>31</v>
      </c>
      <c r="AP16" s="33">
        <f t="shared" si="30"/>
        <v>37226</v>
      </c>
      <c r="AQ16" s="58">
        <f t="shared" ca="1" si="7"/>
        <v>200</v>
      </c>
      <c r="AR16" s="38">
        <f>IF(Summary!$H$2=1,VLOOKUP('ANR OK vs ML7'!A16,Curves!$C$17:$AR$273,MATCH('ANR OK vs ML7'!$AR$4,Curves!$C$8:$AQ$8,0)),0.1)</f>
        <v>0.1</v>
      </c>
      <c r="AS16" s="35">
        <f t="shared" ca="1" si="8"/>
        <v>0.94797032899042311</v>
      </c>
      <c r="AT16" s="3">
        <f t="shared" si="31"/>
        <v>1</v>
      </c>
      <c r="AU16" s="3">
        <f t="shared" si="9"/>
        <v>31</v>
      </c>
      <c r="AW16" s="32">
        <f t="shared" ca="1" si="32"/>
        <v>143629.49227398972</v>
      </c>
      <c r="AX16" s="32">
        <f t="shared" si="33"/>
        <v>118653.68780794683</v>
      </c>
      <c r="AY16" s="32">
        <f t="shared" ca="1" si="34"/>
        <v>24975.804466042875</v>
      </c>
      <c r="BA16" s="32">
        <f ca="1">IF($A17="","",F16*Summary!$Q$7)</f>
        <v>0</v>
      </c>
      <c r="BC16" s="256">
        <f t="shared" ca="1" si="35"/>
        <v>112480.17546722632</v>
      </c>
    </row>
    <row r="17" spans="1:55">
      <c r="A17" s="67">
        <f t="shared" si="10"/>
        <v>37257</v>
      </c>
      <c r="B17" s="69">
        <f t="shared" si="36"/>
        <v>40000</v>
      </c>
      <c r="C17" s="71"/>
      <c r="D17" s="69">
        <f t="shared" si="37"/>
        <v>40000</v>
      </c>
      <c r="E17" s="70">
        <f t="shared" si="1"/>
        <v>1240000</v>
      </c>
      <c r="F17" s="70">
        <f t="shared" ca="1" si="2"/>
        <v>1165788.0919921864</v>
      </c>
      <c r="G17" s="63">
        <f t="shared" si="11"/>
        <v>4.9470000000000001</v>
      </c>
      <c r="H17" s="64">
        <f t="shared" si="12"/>
        <v>4.9470000000000001</v>
      </c>
      <c r="I17" s="43"/>
      <c r="J17" s="63">
        <f t="shared" si="13"/>
        <v>0.26</v>
      </c>
      <c r="K17" s="64">
        <f t="shared" si="14"/>
        <v>0.26</v>
      </c>
      <c r="L17" s="63">
        <f t="shared" si="15"/>
        <v>0</v>
      </c>
      <c r="M17" s="64">
        <f t="shared" si="16"/>
        <v>0</v>
      </c>
      <c r="N17" s="65"/>
      <c r="O17" s="63">
        <f t="shared" si="17"/>
        <v>5.2069999999999999</v>
      </c>
      <c r="P17" s="63">
        <f t="shared" si="18"/>
        <v>5.2069999999999999</v>
      </c>
      <c r="Q17" s="66"/>
      <c r="R17" s="63">
        <f t="shared" si="19"/>
        <v>-0.105</v>
      </c>
      <c r="S17" s="64">
        <f t="shared" si="20"/>
        <v>-0.105</v>
      </c>
      <c r="T17" s="63">
        <f t="shared" si="21"/>
        <v>0.01</v>
      </c>
      <c r="U17" s="64">
        <f t="shared" si="22"/>
        <v>0.01</v>
      </c>
      <c r="V17" s="207">
        <f>IF($A18="","",IF(AND(MONTH(A17)&gt;3,MONTH(A17)&lt;11),(T17+R17+G17)*Summary!$T$7/(1-Summary!$T$7),(T17+R17+G17)*Summary!$U$7/(1-Summary!$U$7)))</f>
        <v>0.23448705315022542</v>
      </c>
      <c r="W17" s="63">
        <f t="shared" si="23"/>
        <v>5.0864870531502255</v>
      </c>
      <c r="X17" s="63">
        <f t="shared" si="24"/>
        <v>5.0864870531502255</v>
      </c>
      <c r="Y17" s="43"/>
      <c r="Z17" s="38">
        <f t="shared" si="25"/>
        <v>1.35</v>
      </c>
      <c r="AA17" s="38">
        <f t="shared" si="25"/>
        <v>0.59200000000000008</v>
      </c>
      <c r="AB17" s="38">
        <f t="shared" ca="1" si="3"/>
        <v>0.68867272431258764</v>
      </c>
      <c r="AC17" s="38">
        <f t="shared" si="25"/>
        <v>1.25</v>
      </c>
      <c r="AD17" s="38">
        <f t="shared" si="25"/>
        <v>0.57499999999999996</v>
      </c>
      <c r="AE17" s="38">
        <f t="shared" ca="1" si="4"/>
        <v>0.66098362358635676</v>
      </c>
      <c r="AF17" s="238">
        <f ca="1">((Summary!$N$7*(AA17*AD17)*(A17-$D$3))+(Summary!$M$7*Z17*AC17*(DAY(EOMONTH(A17,0))/2)))/(AK17*AB17*AE17)</f>
        <v>0.99971118808399562</v>
      </c>
      <c r="AG17" s="88">
        <f>IF($A18="","",Summary!$Q$7)</f>
        <v>0</v>
      </c>
      <c r="AH17" s="88">
        <f>IF($A18="","",IF(Summary!$R$7="Y",(VLOOKUP($A17,Summary!$AD$6:$AF$9,3)+'Escalating commodity'!C30),'Escalating commodity'!C30))</f>
        <v>2.3200000000000002E-2</v>
      </c>
      <c r="AI17" s="88">
        <f t="shared" si="26"/>
        <v>2.3200000000000002E-2</v>
      </c>
      <c r="AJ17" s="236">
        <f t="shared" si="5"/>
        <v>37271.5</v>
      </c>
      <c r="AK17" s="58">
        <f t="shared" ca="1" si="27"/>
        <v>231</v>
      </c>
      <c r="AL17" s="26">
        <f ca="1">IF($A18="","",_xll.SPRDOPT(P17,X17,AI17,0,AB17,AE17,AF17,AK17,$AJ$2,0))</f>
        <v>0.11831864075780191</v>
      </c>
      <c r="AM17" s="209">
        <f t="shared" si="6"/>
        <v>9.7312946849774318E-2</v>
      </c>
      <c r="AN17" s="89">
        <f t="shared" ca="1" si="28"/>
        <v>2.100569390802759E-2</v>
      </c>
      <c r="AO17" s="3">
        <f t="shared" si="29"/>
        <v>31</v>
      </c>
      <c r="AP17" s="33">
        <f t="shared" si="30"/>
        <v>37257</v>
      </c>
      <c r="AQ17" s="58">
        <f t="shared" ca="1" si="7"/>
        <v>231</v>
      </c>
      <c r="AR17" s="38">
        <f>IF(Summary!$H$2=1,VLOOKUP('ANR OK vs ML7'!A17,Curves!$C$17:$AR$273,MATCH('ANR OK vs ML7'!$AR$4,Curves!$C$8:$AQ$8,0)),0.1)</f>
        <v>0.1</v>
      </c>
      <c r="AS17" s="35">
        <f t="shared" ca="1" si="8"/>
        <v>0.94015168709047281</v>
      </c>
      <c r="AT17" s="3">
        <f t="shared" si="31"/>
        <v>1</v>
      </c>
      <c r="AU17" s="3">
        <f t="shared" si="9"/>
        <v>31</v>
      </c>
      <c r="AW17" s="32">
        <f t="shared" ca="1" si="32"/>
        <v>146715.11453967437</v>
      </c>
      <c r="AX17" s="32">
        <f t="shared" si="33"/>
        <v>120668.05409372016</v>
      </c>
      <c r="AY17" s="32">
        <f t="shared" ca="1" si="34"/>
        <v>26047.060445954212</v>
      </c>
      <c r="BA17" s="32">
        <f ca="1">IF($A18="","",F17*Summary!$Q$7)</f>
        <v>0</v>
      </c>
      <c r="BC17" s="256">
        <f t="shared" ca="1" si="35"/>
        <v>113446.27463413545</v>
      </c>
    </row>
    <row r="18" spans="1:55">
      <c r="A18" s="67">
        <f t="shared" si="10"/>
        <v>37288</v>
      </c>
      <c r="B18" s="69">
        <f t="shared" si="36"/>
        <v>40000</v>
      </c>
      <c r="C18" s="71"/>
      <c r="D18" s="69">
        <f t="shared" si="37"/>
        <v>40000</v>
      </c>
      <c r="E18" s="70">
        <f t="shared" si="1"/>
        <v>1120000</v>
      </c>
      <c r="F18" s="70">
        <f t="shared" ca="1" si="2"/>
        <v>1044285.2353427939</v>
      </c>
      <c r="G18" s="63">
        <f t="shared" si="11"/>
        <v>4.8170000000000002</v>
      </c>
      <c r="H18" s="64">
        <f t="shared" si="12"/>
        <v>4.8170000000000002</v>
      </c>
      <c r="I18" s="43"/>
      <c r="J18" s="63">
        <f t="shared" si="13"/>
        <v>0.34</v>
      </c>
      <c r="K18" s="64">
        <f t="shared" si="14"/>
        <v>0.34</v>
      </c>
      <c r="L18" s="63">
        <f t="shared" si="15"/>
        <v>0</v>
      </c>
      <c r="M18" s="64">
        <f t="shared" si="16"/>
        <v>0</v>
      </c>
      <c r="N18" s="65"/>
      <c r="O18" s="63">
        <f t="shared" si="17"/>
        <v>5.157</v>
      </c>
      <c r="P18" s="63">
        <f t="shared" si="18"/>
        <v>5.157</v>
      </c>
      <c r="Q18" s="66"/>
      <c r="R18" s="63">
        <f t="shared" si="19"/>
        <v>-9.7500000000000003E-2</v>
      </c>
      <c r="S18" s="64">
        <f t="shared" si="20"/>
        <v>-9.7500000000000003E-2</v>
      </c>
      <c r="T18" s="63">
        <f t="shared" si="21"/>
        <v>0.01</v>
      </c>
      <c r="U18" s="64">
        <f t="shared" si="22"/>
        <v>0.01</v>
      </c>
      <c r="V18" s="207">
        <f>IF($A19="","",IF(AND(MONTH(A18)&gt;3,MONTH(A18)&lt;11),(T18+R18+G18)*Summary!$T$7/(1-Summary!$T$7),(T18+R18+G18)*Summary!$U$7/(1-Summary!$U$7)))</f>
        <v>0.22856688332110284</v>
      </c>
      <c r="W18" s="63">
        <f t="shared" si="23"/>
        <v>4.958066883321103</v>
      </c>
      <c r="X18" s="63">
        <f t="shared" si="24"/>
        <v>4.958066883321103</v>
      </c>
      <c r="Y18" s="43"/>
      <c r="Z18" s="38">
        <f t="shared" si="25"/>
        <v>1.35</v>
      </c>
      <c r="AA18" s="38">
        <f t="shared" si="25"/>
        <v>0.58700000000000008</v>
      </c>
      <c r="AB18" s="38">
        <f t="shared" ca="1" si="3"/>
        <v>0.66578498408883335</v>
      </c>
      <c r="AC18" s="38">
        <f t="shared" si="25"/>
        <v>1.25</v>
      </c>
      <c r="AD18" s="38">
        <f t="shared" si="25"/>
        <v>0.56999999999999995</v>
      </c>
      <c r="AE18" s="38">
        <f t="shared" ca="1" si="4"/>
        <v>0.64002534539508005</v>
      </c>
      <c r="AF18" s="238">
        <f ca="1">((Summary!$N$7*(AA18*AD18)*(A18-$D$3))+(Summary!$M$7*Z18*AC18*(DAY(EOMONTH(A18,0))/2)))/(AK18*AB18*AE18)</f>
        <v>0.99973238874171122</v>
      </c>
      <c r="AG18" s="88">
        <f>IF($A19="","",Summary!$Q$7)</f>
        <v>0</v>
      </c>
      <c r="AH18" s="88">
        <f>IF($A19="","",IF(Summary!$R$7="Y",(VLOOKUP($A18,Summary!$AD$6:$AF$9,3)+'Escalating commodity'!C31),'Escalating commodity'!C31))</f>
        <v>2.3200000000000002E-2</v>
      </c>
      <c r="AI18" s="88">
        <f t="shared" si="26"/>
        <v>2.3200000000000002E-2</v>
      </c>
      <c r="AJ18" s="236">
        <f t="shared" si="5"/>
        <v>37301</v>
      </c>
      <c r="AK18" s="58">
        <f t="shared" ca="1" si="27"/>
        <v>262</v>
      </c>
      <c r="AL18" s="26">
        <f ca="1">IF($A19="","",_xll.SPRDOPT(P18,X18,AI18,0,AB18,AE18,AF18,AK18,$AJ$2,0))</f>
        <v>0.18348691376866938</v>
      </c>
      <c r="AM18" s="209">
        <f t="shared" si="6"/>
        <v>0.17573311667889702</v>
      </c>
      <c r="AN18" s="89">
        <f t="shared" ca="1" si="28"/>
        <v>7.7537970897723629E-3</v>
      </c>
      <c r="AO18" s="3">
        <f t="shared" si="29"/>
        <v>28</v>
      </c>
      <c r="AP18" s="33">
        <f t="shared" si="30"/>
        <v>37288</v>
      </c>
      <c r="AQ18" s="58">
        <f t="shared" ca="1" si="7"/>
        <v>262</v>
      </c>
      <c r="AR18" s="38">
        <f>IF(Summary!$H$2=1,VLOOKUP('ANR OK vs ML7'!A18,Curves!$C$17:$AR$273,MATCH('ANR OK vs ML7'!$AR$4,Curves!$C$8:$AQ$8,0)),0.1)</f>
        <v>0.1</v>
      </c>
      <c r="AS18" s="35">
        <f t="shared" ca="1" si="8"/>
        <v>0.93239753155606597</v>
      </c>
      <c r="AT18" s="3">
        <f t="shared" si="31"/>
        <v>1</v>
      </c>
      <c r="AU18" s="3">
        <f t="shared" si="9"/>
        <v>28</v>
      </c>
      <c r="AW18" s="32">
        <f t="shared" ca="1" si="32"/>
        <v>205505.34342090972</v>
      </c>
      <c r="AX18" s="32">
        <f t="shared" si="33"/>
        <v>196821.09068036466</v>
      </c>
      <c r="AY18" s="32">
        <f t="shared" ca="1" si="34"/>
        <v>8684.2527405450473</v>
      </c>
      <c r="BA18" s="32">
        <f ca="1">IF($A19="","",F18*Summary!$Q$7)</f>
        <v>0</v>
      </c>
      <c r="BC18" s="256">
        <f t="shared" ca="1" si="35"/>
        <v>183515.49910854464</v>
      </c>
    </row>
    <row r="19" spans="1:55">
      <c r="A19" s="67">
        <f t="shared" si="10"/>
        <v>37316</v>
      </c>
      <c r="B19" s="69">
        <f t="shared" si="36"/>
        <v>40000</v>
      </c>
      <c r="C19" s="71"/>
      <c r="D19" s="69">
        <f t="shared" si="37"/>
        <v>40000</v>
      </c>
      <c r="E19" s="70">
        <f t="shared" si="1"/>
        <v>1240000</v>
      </c>
      <c r="F19" s="70">
        <f t="shared" ca="1" si="2"/>
        <v>1147556.4662227093</v>
      </c>
      <c r="G19" s="63">
        <f t="shared" si="11"/>
        <v>4.63</v>
      </c>
      <c r="H19" s="64">
        <f t="shared" si="12"/>
        <v>4.63</v>
      </c>
      <c r="I19" s="43"/>
      <c r="J19" s="63">
        <f t="shared" si="13"/>
        <v>0.34</v>
      </c>
      <c r="K19" s="64">
        <f t="shared" si="14"/>
        <v>0.34</v>
      </c>
      <c r="L19" s="63">
        <f t="shared" si="15"/>
        <v>0</v>
      </c>
      <c r="M19" s="64">
        <f t="shared" si="16"/>
        <v>0</v>
      </c>
      <c r="N19" s="65"/>
      <c r="O19" s="63">
        <f t="shared" si="17"/>
        <v>4.97</v>
      </c>
      <c r="P19" s="63">
        <f t="shared" si="18"/>
        <v>4.97</v>
      </c>
      <c r="Q19" s="66"/>
      <c r="R19" s="63">
        <f t="shared" si="19"/>
        <v>-9.5000000000000001E-2</v>
      </c>
      <c r="S19" s="64">
        <f t="shared" si="20"/>
        <v>-9.5000000000000001E-2</v>
      </c>
      <c r="T19" s="63">
        <f t="shared" si="21"/>
        <v>0.01</v>
      </c>
      <c r="U19" s="64">
        <f t="shared" si="22"/>
        <v>0.01</v>
      </c>
      <c r="V19" s="207">
        <f>IF($A20="","",IF(AND(MONTH(A19)&gt;3,MONTH(A19)&lt;11),(T19+R19+G19)*Summary!$T$7/(1-Summary!$T$7),(T19+R19+G19)*Summary!$U$7/(1-Summary!$U$7)))</f>
        <v>0.2196503826396897</v>
      </c>
      <c r="W19" s="63">
        <f t="shared" si="23"/>
        <v>4.7646503826396893</v>
      </c>
      <c r="X19" s="63">
        <f t="shared" si="24"/>
        <v>4.7646503826396893</v>
      </c>
      <c r="Y19" s="43"/>
      <c r="Z19" s="38">
        <f t="shared" si="25"/>
        <v>1</v>
      </c>
      <c r="AA19" s="38">
        <f t="shared" si="25"/>
        <v>0.53800000000000003</v>
      </c>
      <c r="AB19" s="38">
        <f t="shared" ca="1" si="3"/>
        <v>0.58642165599565788</v>
      </c>
      <c r="AC19" s="38">
        <f t="shared" si="25"/>
        <v>1</v>
      </c>
      <c r="AD19" s="38">
        <f t="shared" si="25"/>
        <v>0.52300000000000002</v>
      </c>
      <c r="AE19" s="38">
        <f t="shared" ca="1" si="4"/>
        <v>0.57264341374920646</v>
      </c>
      <c r="AF19" s="238">
        <f ca="1">((Summary!$N$7*(AA19*AD19)*(A19-$D$3))+(Summary!$M$7*Z19*AC19*(DAY(EOMONTH(A19,0))/2)))/(AK19*AB19*AE19)</f>
        <v>0.99986241532950759</v>
      </c>
      <c r="AG19" s="88">
        <f>IF($A20="","",Summary!$Q$7)</f>
        <v>0</v>
      </c>
      <c r="AH19" s="88">
        <f>IF($A20="","",IF(Summary!$R$7="Y",(VLOOKUP($A19,Summary!$AD$6:$AF$9,3)+'Escalating commodity'!C32),'Escalating commodity'!C32))</f>
        <v>2.3200000000000002E-2</v>
      </c>
      <c r="AI19" s="88">
        <f t="shared" si="26"/>
        <v>2.3200000000000002E-2</v>
      </c>
      <c r="AJ19" s="236">
        <f t="shared" si="5"/>
        <v>37330.5</v>
      </c>
      <c r="AK19" s="58">
        <f t="shared" ca="1" si="27"/>
        <v>290</v>
      </c>
      <c r="AL19" s="26">
        <f ca="1">IF($A20="","",_xll.SPRDOPT(P19,X19,AI19,0,AB19,AE19,AF19,AK19,$AJ$2,0))</f>
        <v>0.18321551862316859</v>
      </c>
      <c r="AM19" s="209">
        <f t="shared" si="6"/>
        <v>0.18214961736031043</v>
      </c>
      <c r="AN19" s="89">
        <f t="shared" ca="1" si="28"/>
        <v>1.0659012628581599E-3</v>
      </c>
      <c r="AO19" s="3">
        <f t="shared" si="29"/>
        <v>31</v>
      </c>
      <c r="AP19" s="33">
        <f t="shared" si="30"/>
        <v>37316</v>
      </c>
      <c r="AQ19" s="58">
        <f t="shared" ca="1" si="7"/>
        <v>290</v>
      </c>
      <c r="AR19" s="38">
        <f>IF(Summary!$H$2=1,VLOOKUP('ANR OK vs ML7'!A19,Curves!$C$17:$AR$273,MATCH('ANR OK vs ML7'!$AR$4,Curves!$C$8:$AQ$8,0)),0.1)</f>
        <v>0.1</v>
      </c>
      <c r="AS19" s="35">
        <f t="shared" ca="1" si="8"/>
        <v>0.92544876308283008</v>
      </c>
      <c r="AT19" s="3">
        <f t="shared" si="31"/>
        <v>1</v>
      </c>
      <c r="AU19" s="3">
        <f t="shared" si="9"/>
        <v>31</v>
      </c>
      <c r="AW19" s="32">
        <f t="shared" ca="1" si="32"/>
        <v>227187.24309272907</v>
      </c>
      <c r="AX19" s="32">
        <f t="shared" si="33"/>
        <v>225865.52552678494</v>
      </c>
      <c r="AY19" s="32">
        <f t="shared" ca="1" si="34"/>
        <v>1321.7175659441182</v>
      </c>
      <c r="BA19" s="32">
        <f ca="1">IF($A20="","",F19*Summary!$Q$7)</f>
        <v>0</v>
      </c>
      <c r="BC19" s="256">
        <f t="shared" ca="1" si="35"/>
        <v>209026.97122181649</v>
      </c>
    </row>
    <row r="20" spans="1:55">
      <c r="A20" s="67">
        <f t="shared" si="10"/>
        <v>37347</v>
      </c>
      <c r="B20" s="69">
        <f t="shared" si="36"/>
        <v>40000</v>
      </c>
      <c r="C20" s="71"/>
      <c r="D20" s="69">
        <f t="shared" si="37"/>
        <v>40000</v>
      </c>
      <c r="E20" s="70">
        <f t="shared" si="1"/>
        <v>1200000</v>
      </c>
      <c r="F20" s="70">
        <f t="shared" ca="1" si="2"/>
        <v>1101379.0486730356</v>
      </c>
      <c r="G20" s="63">
        <f t="shared" si="11"/>
        <v>4.2919999999999998</v>
      </c>
      <c r="H20" s="64">
        <f t="shared" si="12"/>
        <v>4.2919999999999998</v>
      </c>
      <c r="I20" s="43"/>
      <c r="J20" s="63">
        <f t="shared" si="13"/>
        <v>0.22500000000000001</v>
      </c>
      <c r="K20" s="64">
        <f t="shared" si="14"/>
        <v>0.22500000000000001</v>
      </c>
      <c r="L20" s="63">
        <f t="shared" si="15"/>
        <v>0</v>
      </c>
      <c r="M20" s="64">
        <f t="shared" si="16"/>
        <v>0</v>
      </c>
      <c r="N20" s="65"/>
      <c r="O20" s="63">
        <f t="shared" si="17"/>
        <v>4.5169999999999995</v>
      </c>
      <c r="P20" s="63">
        <f t="shared" si="18"/>
        <v>4.5169999999999995</v>
      </c>
      <c r="Q20" s="66"/>
      <c r="R20" s="63">
        <f t="shared" si="19"/>
        <v>-0.09</v>
      </c>
      <c r="S20" s="64">
        <f t="shared" si="20"/>
        <v>-0.09</v>
      </c>
      <c r="T20" s="63">
        <f t="shared" si="21"/>
        <v>-0.01</v>
      </c>
      <c r="U20" s="64">
        <f t="shared" si="22"/>
        <v>-0.01</v>
      </c>
      <c r="V20" s="207">
        <f>IF($A21="","",IF(AND(MONTH(A20)&gt;3,MONTH(A20)&lt;11),(T20+R20+G20)*Summary!$T$7/(1-Summary!$T$7),(T20+R20+G20)*Summary!$U$7/(1-Summary!$U$7)))</f>
        <v>0.20259062794842228</v>
      </c>
      <c r="W20" s="63">
        <f t="shared" si="23"/>
        <v>4.3945906279484221</v>
      </c>
      <c r="X20" s="63">
        <f t="shared" si="24"/>
        <v>4.3945906279484221</v>
      </c>
      <c r="Y20" s="43"/>
      <c r="Z20" s="38">
        <f t="shared" si="25"/>
        <v>0.45</v>
      </c>
      <c r="AA20" s="38">
        <f t="shared" si="25"/>
        <v>0.41200000000000003</v>
      </c>
      <c r="AB20" s="38">
        <f t="shared" ca="1" si="3"/>
        <v>0.42395213683883953</v>
      </c>
      <c r="AC20" s="38">
        <f t="shared" si="25"/>
        <v>0.4</v>
      </c>
      <c r="AD20" s="38">
        <f t="shared" si="25"/>
        <v>0.4</v>
      </c>
      <c r="AE20" s="38">
        <f t="shared" ca="1" si="4"/>
        <v>0.40984762763937033</v>
      </c>
      <c r="AF20" s="238">
        <f ca="1">((Summary!$N$7*(AA20*AD20)*(A20-$D$3))+(Summary!$M$7*Z20*AC20*(DAY(EOMONTH(A20,0))/2)))/(AK20*AB20*AE20)</f>
        <v>0.99972548674705708</v>
      </c>
      <c r="AG20" s="88">
        <f>IF($A21="","",Summary!$Q$7)</f>
        <v>0</v>
      </c>
      <c r="AH20" s="88">
        <f>IF($A21="","",IF(Summary!$R$7="Y",(VLOOKUP($A20,Summary!$AD$6:$AF$9,3)+'Escalating commodity'!C33),'Escalating commodity'!C33))</f>
        <v>2.3200000000000002E-2</v>
      </c>
      <c r="AI20" s="88">
        <f t="shared" si="26"/>
        <v>2.3200000000000002E-2</v>
      </c>
      <c r="AJ20" s="236">
        <f t="shared" si="5"/>
        <v>37361</v>
      </c>
      <c r="AK20" s="58">
        <f t="shared" ca="1" si="27"/>
        <v>321</v>
      </c>
      <c r="AL20" s="26">
        <f ca="1">IF($A21="","",_xll.SPRDOPT(P20,X20,AI20,0,AB20,AE20,AF20,AK20,$AJ$2,0))</f>
        <v>0.10369347576795848</v>
      </c>
      <c r="AM20" s="209">
        <f t="shared" si="6"/>
        <v>9.9209372051577316E-2</v>
      </c>
      <c r="AN20" s="89">
        <f t="shared" ca="1" si="28"/>
        <v>4.4841037163811659E-3</v>
      </c>
      <c r="AO20" s="3">
        <f t="shared" si="29"/>
        <v>30</v>
      </c>
      <c r="AP20" s="33">
        <f t="shared" si="30"/>
        <v>37347</v>
      </c>
      <c r="AQ20" s="58">
        <f t="shared" ca="1" si="7"/>
        <v>321</v>
      </c>
      <c r="AR20" s="38">
        <f>IF(Summary!$H$2=1,VLOOKUP('ANR OK vs ML7'!A20,Curves!$C$17:$AR$273,MATCH('ANR OK vs ML7'!$AR$4,Curves!$C$8:$AQ$8,0)),0.1)</f>
        <v>0.1</v>
      </c>
      <c r="AS20" s="35">
        <f t="shared" ca="1" si="8"/>
        <v>0.91781587389419628</v>
      </c>
      <c r="AT20" s="3">
        <f t="shared" si="31"/>
        <v>1</v>
      </c>
      <c r="AU20" s="3">
        <f t="shared" si="9"/>
        <v>30</v>
      </c>
      <c r="AW20" s="32">
        <f t="shared" ca="1" si="32"/>
        <v>124432.17092155018</v>
      </c>
      <c r="AX20" s="32">
        <f t="shared" si="33"/>
        <v>119051.24646189278</v>
      </c>
      <c r="AY20" s="32">
        <f t="shared" ca="1" si="34"/>
        <v>5380.924459657399</v>
      </c>
      <c r="BA20" s="32">
        <f ca="1">IF($A21="","",F20*Summary!$Q$7)</f>
        <v>0</v>
      </c>
      <c r="BC20" s="256">
        <f t="shared" ca="1" si="35"/>
        <v>109267.12380961547</v>
      </c>
    </row>
    <row r="21" spans="1:55">
      <c r="A21" s="67">
        <f t="shared" si="10"/>
        <v>37377</v>
      </c>
      <c r="B21" s="69">
        <f t="shared" si="36"/>
        <v>40000</v>
      </c>
      <c r="C21" s="71"/>
      <c r="D21" s="69">
        <f t="shared" si="37"/>
        <v>40000</v>
      </c>
      <c r="E21" s="70">
        <f t="shared" si="1"/>
        <v>1240000</v>
      </c>
      <c r="F21" s="70">
        <f t="shared" ca="1" si="2"/>
        <v>1129006.5499212614</v>
      </c>
      <c r="G21" s="63">
        <f t="shared" si="11"/>
        <v>4.2120000000000006</v>
      </c>
      <c r="H21" s="64">
        <f t="shared" si="12"/>
        <v>4.2120000000000006</v>
      </c>
      <c r="I21" s="43"/>
      <c r="J21" s="63">
        <f t="shared" si="13"/>
        <v>0.22500000000000001</v>
      </c>
      <c r="K21" s="64">
        <f t="shared" si="14"/>
        <v>0.22500000000000001</v>
      </c>
      <c r="L21" s="63">
        <f t="shared" si="15"/>
        <v>0</v>
      </c>
      <c r="M21" s="64">
        <f t="shared" si="16"/>
        <v>0</v>
      </c>
      <c r="N21" s="65"/>
      <c r="O21" s="63">
        <f t="shared" si="17"/>
        <v>4.4370000000000003</v>
      </c>
      <c r="P21" s="63">
        <f t="shared" si="18"/>
        <v>4.4370000000000003</v>
      </c>
      <c r="Q21" s="66"/>
      <c r="R21" s="63">
        <f t="shared" si="19"/>
        <v>-0.09</v>
      </c>
      <c r="S21" s="64">
        <f t="shared" si="20"/>
        <v>-0.09</v>
      </c>
      <c r="T21" s="63">
        <f t="shared" si="21"/>
        <v>-0.01</v>
      </c>
      <c r="U21" s="64">
        <f t="shared" si="22"/>
        <v>-0.01</v>
      </c>
      <c r="V21" s="207">
        <f>IF($A22="","",IF(AND(MONTH(A21)&gt;3,MONTH(A21)&lt;11),(T21+R21+G21)*Summary!$T$7/(1-Summary!$T$7),(T21+R21+G21)*Summary!$U$7/(1-Summary!$U$7)))</f>
        <v>0.19872439459062799</v>
      </c>
      <c r="W21" s="63">
        <f t="shared" si="23"/>
        <v>4.3107243945906291</v>
      </c>
      <c r="X21" s="63">
        <f t="shared" si="24"/>
        <v>4.3107243945906291</v>
      </c>
      <c r="Y21" s="43"/>
      <c r="Z21" s="38">
        <f t="shared" si="25"/>
        <v>0.5</v>
      </c>
      <c r="AA21" s="38">
        <f t="shared" si="25"/>
        <v>0.36100000000000004</v>
      </c>
      <c r="AB21" s="38">
        <f t="shared" ca="1" si="3"/>
        <v>0.3764733336375512</v>
      </c>
      <c r="AC21" s="38">
        <f t="shared" si="25"/>
        <v>0.4</v>
      </c>
      <c r="AD21" s="38">
        <f t="shared" si="25"/>
        <v>0.35</v>
      </c>
      <c r="AE21" s="38">
        <f t="shared" ca="1" si="4"/>
        <v>0.36043658237549903</v>
      </c>
      <c r="AF21" s="238">
        <f ca="1">((Summary!$N$7*(AA21*AD21)*(A21-$D$3))+(Summary!$M$7*Z21*AC21*(DAY(EOMONTH(A21,0))/2)))/(AK21*AB21*AE21)</f>
        <v>0.99877996479018272</v>
      </c>
      <c r="AG21" s="88">
        <f>IF($A22="","",Summary!$Q$7)</f>
        <v>0</v>
      </c>
      <c r="AH21" s="88">
        <f>IF($A22="","",IF(Summary!$R$7="Y",(VLOOKUP($A21,Summary!$AD$6:$AF$9,3)+'Escalating commodity'!C34),'Escalating commodity'!C34))</f>
        <v>2.3200000000000002E-2</v>
      </c>
      <c r="AI21" s="88">
        <f t="shared" si="26"/>
        <v>2.3200000000000002E-2</v>
      </c>
      <c r="AJ21" s="236">
        <f t="shared" si="5"/>
        <v>37391.5</v>
      </c>
      <c r="AK21" s="58">
        <f t="shared" ca="1" si="27"/>
        <v>351</v>
      </c>
      <c r="AL21" s="26">
        <f ca="1">IF($A22="","",_xll.SPRDOPT(P21,X21,AI21,0,AB21,AE21,AF21,AK21,$AJ$2,0))</f>
        <v>0.11349824201260686</v>
      </c>
      <c r="AM21" s="209">
        <f t="shared" si="6"/>
        <v>0.10307560540937122</v>
      </c>
      <c r="AN21" s="89">
        <f t="shared" ca="1" si="28"/>
        <v>1.0422636603235641E-2</v>
      </c>
      <c r="AO21" s="3">
        <f t="shared" si="29"/>
        <v>31</v>
      </c>
      <c r="AP21" s="33">
        <f t="shared" si="30"/>
        <v>37377</v>
      </c>
      <c r="AQ21" s="58">
        <f t="shared" ca="1" si="7"/>
        <v>351</v>
      </c>
      <c r="AR21" s="38">
        <f>IF(Summary!$H$2=1,VLOOKUP('ANR OK vs ML7'!A21,Curves!$C$17:$AR$273,MATCH('ANR OK vs ML7'!$AR$4,Curves!$C$8:$AQ$8,0)),0.1)</f>
        <v>0.1</v>
      </c>
      <c r="AS21" s="35">
        <f t="shared" ca="1" si="8"/>
        <v>0.91048915316230761</v>
      </c>
      <c r="AT21" s="3">
        <f t="shared" si="31"/>
        <v>1</v>
      </c>
      <c r="AU21" s="3">
        <f t="shared" si="9"/>
        <v>31</v>
      </c>
      <c r="AW21" s="32">
        <f t="shared" ca="1" si="32"/>
        <v>140737.82009563252</v>
      </c>
      <c r="AX21" s="32">
        <f t="shared" si="33"/>
        <v>127813.7507076203</v>
      </c>
      <c r="AY21" s="32">
        <f t="shared" ca="1" si="34"/>
        <v>12924.069388012194</v>
      </c>
      <c r="BA21" s="32">
        <f ca="1">IF($A22="","",F21*Summary!$Q$7)</f>
        <v>0</v>
      </c>
      <c r="BC21" s="256">
        <f t="shared" ca="1" si="35"/>
        <v>116373.03364427951</v>
      </c>
    </row>
    <row r="22" spans="1:55">
      <c r="A22" s="67">
        <f t="shared" si="10"/>
        <v>37408</v>
      </c>
      <c r="B22" s="69">
        <f t="shared" si="36"/>
        <v>40000</v>
      </c>
      <c r="C22" s="71"/>
      <c r="D22" s="69">
        <f t="shared" si="37"/>
        <v>40000</v>
      </c>
      <c r="E22" s="70">
        <f t="shared" si="1"/>
        <v>1200000</v>
      </c>
      <c r="F22" s="70">
        <f t="shared" ca="1" si="2"/>
        <v>1083575.5768871966</v>
      </c>
      <c r="G22" s="63">
        <f t="shared" si="11"/>
        <v>4.2519999999999998</v>
      </c>
      <c r="H22" s="64">
        <f t="shared" si="12"/>
        <v>4.2519999999999998</v>
      </c>
      <c r="I22" s="43"/>
      <c r="J22" s="63">
        <f t="shared" si="13"/>
        <v>0.22500000000000001</v>
      </c>
      <c r="K22" s="64">
        <f t="shared" si="14"/>
        <v>0.22500000000000001</v>
      </c>
      <c r="L22" s="63">
        <f t="shared" si="15"/>
        <v>0</v>
      </c>
      <c r="M22" s="64">
        <f t="shared" si="16"/>
        <v>0</v>
      </c>
      <c r="N22" s="65"/>
      <c r="O22" s="63">
        <f t="shared" si="17"/>
        <v>4.4769999999999994</v>
      </c>
      <c r="P22" s="63">
        <f t="shared" si="18"/>
        <v>4.4769999999999994</v>
      </c>
      <c r="Q22" s="66"/>
      <c r="R22" s="63">
        <f t="shared" si="19"/>
        <v>-0.09</v>
      </c>
      <c r="S22" s="64">
        <f t="shared" si="20"/>
        <v>-0.09</v>
      </c>
      <c r="T22" s="63">
        <f t="shared" si="21"/>
        <v>-0.01</v>
      </c>
      <c r="U22" s="64">
        <f t="shared" si="22"/>
        <v>-0.01</v>
      </c>
      <c r="V22" s="207">
        <f>IF($A23="","",IF(AND(MONTH(A22)&gt;3,MONTH(A22)&lt;11),(T22+R22+G22)*Summary!$T$7/(1-Summary!$T$7),(T22+R22+G22)*Summary!$U$7/(1-Summary!$U$7)))</f>
        <v>0.20065751126952514</v>
      </c>
      <c r="W22" s="63">
        <f t="shared" si="23"/>
        <v>4.3526575112695252</v>
      </c>
      <c r="X22" s="63">
        <f t="shared" si="24"/>
        <v>4.3526575112695252</v>
      </c>
      <c r="Y22" s="43"/>
      <c r="Z22" s="38">
        <f t="shared" si="25"/>
        <v>0.5</v>
      </c>
      <c r="AA22" s="38">
        <f t="shared" si="25"/>
        <v>0.36100000000000004</v>
      </c>
      <c r="AB22" s="38">
        <f t="shared" ca="1" si="3"/>
        <v>0.37480516055273755</v>
      </c>
      <c r="AC22" s="38">
        <f t="shared" si="25"/>
        <v>0.4</v>
      </c>
      <c r="AD22" s="38">
        <f t="shared" si="25"/>
        <v>0.35</v>
      </c>
      <c r="AE22" s="38">
        <f t="shared" ca="1" si="4"/>
        <v>0.35930962016255735</v>
      </c>
      <c r="AF22" s="238">
        <f ca="1">((Summary!$N$7*(AA22*AD22)*(A22-$D$3))+(Summary!$M$7*Z22*AC22*(DAY(EOMONTH(A22,0))/2)))/(AK22*AB22*AE22)</f>
        <v>0.99888910355998695</v>
      </c>
      <c r="AG22" s="88">
        <f>IF($A23="","",Summary!$Q$7)</f>
        <v>0</v>
      </c>
      <c r="AH22" s="88">
        <f>IF($A23="","",IF(Summary!$R$7="Y",(VLOOKUP($A22,Summary!$AD$6:$AF$9,3)+'Escalating commodity'!C35),'Escalating commodity'!C35))</f>
        <v>2.3200000000000002E-2</v>
      </c>
      <c r="AI22" s="88">
        <f t="shared" si="26"/>
        <v>2.3200000000000002E-2</v>
      </c>
      <c r="AJ22" s="236">
        <f t="shared" si="5"/>
        <v>37422</v>
      </c>
      <c r="AK22" s="58">
        <f t="shared" ca="1" si="27"/>
        <v>382</v>
      </c>
      <c r="AL22" s="26">
        <f ca="1">IF($A23="","",_xll.SPRDOPT(P22,X22,AI22,0,AB22,AE22,AF22,AK22,$AJ$2,0))</f>
        <v>0.11221891966015178</v>
      </c>
      <c r="AM22" s="209">
        <f t="shared" si="6"/>
        <v>0.10114248873047427</v>
      </c>
      <c r="AN22" s="89">
        <f t="shared" ca="1" si="28"/>
        <v>1.1076430929677514E-2</v>
      </c>
      <c r="AO22" s="3">
        <f t="shared" si="29"/>
        <v>30</v>
      </c>
      <c r="AP22" s="33">
        <f t="shared" si="30"/>
        <v>37408</v>
      </c>
      <c r="AQ22" s="58">
        <f t="shared" ca="1" si="7"/>
        <v>382</v>
      </c>
      <c r="AR22" s="38">
        <f>IF(Summary!$H$2=1,VLOOKUP('ANR OK vs ML7'!A22,Curves!$C$17:$AR$273,MATCH('ANR OK vs ML7'!$AR$4,Curves!$C$8:$AQ$8,0)),0.1)</f>
        <v>0.1</v>
      </c>
      <c r="AS22" s="35">
        <f t="shared" ca="1" si="8"/>
        <v>0.90297964740599712</v>
      </c>
      <c r="AT22" s="3">
        <f t="shared" si="31"/>
        <v>1</v>
      </c>
      <c r="AU22" s="3">
        <f t="shared" si="9"/>
        <v>30</v>
      </c>
      <c r="AW22" s="32">
        <f t="shared" ca="1" si="32"/>
        <v>134662.70359218214</v>
      </c>
      <c r="AX22" s="32">
        <f t="shared" si="33"/>
        <v>121370.98647656912</v>
      </c>
      <c r="AY22" s="32">
        <f t="shared" ca="1" si="34"/>
        <v>13291.717115613017</v>
      </c>
      <c r="BA22" s="32">
        <f ca="1">IF($A23="","",F22*Summary!$Q$7)</f>
        <v>0</v>
      </c>
      <c r="BC22" s="256">
        <f t="shared" ca="1" si="35"/>
        <v>109595.53057393043</v>
      </c>
    </row>
    <row r="23" spans="1:55">
      <c r="A23" s="67">
        <f t="shared" si="10"/>
        <v>37438</v>
      </c>
      <c r="B23" s="69">
        <f t="shared" si="36"/>
        <v>40000</v>
      </c>
      <c r="C23" s="71"/>
      <c r="D23" s="69">
        <f t="shared" si="37"/>
        <v>40000</v>
      </c>
      <c r="E23" s="70">
        <f t="shared" si="1"/>
        <v>1240000</v>
      </c>
      <c r="F23" s="70">
        <f t="shared" ca="1" si="2"/>
        <v>1110756.487618217</v>
      </c>
      <c r="G23" s="63">
        <f t="shared" si="11"/>
        <v>4.2970000000000006</v>
      </c>
      <c r="H23" s="64">
        <f t="shared" si="12"/>
        <v>4.2970000000000006</v>
      </c>
      <c r="I23" s="43"/>
      <c r="J23" s="63">
        <f t="shared" si="13"/>
        <v>0.22500000000000001</v>
      </c>
      <c r="K23" s="64">
        <f t="shared" si="14"/>
        <v>0.22500000000000001</v>
      </c>
      <c r="L23" s="63">
        <f t="shared" si="15"/>
        <v>0</v>
      </c>
      <c r="M23" s="64">
        <f t="shared" si="16"/>
        <v>0</v>
      </c>
      <c r="N23" s="65"/>
      <c r="O23" s="63">
        <f t="shared" si="17"/>
        <v>4.5220000000000002</v>
      </c>
      <c r="P23" s="63">
        <f t="shared" si="18"/>
        <v>4.5220000000000002</v>
      </c>
      <c r="Q23" s="66"/>
      <c r="R23" s="63">
        <f t="shared" si="19"/>
        <v>-0.09</v>
      </c>
      <c r="S23" s="64">
        <f t="shared" si="20"/>
        <v>-0.09</v>
      </c>
      <c r="T23" s="63">
        <f t="shared" si="21"/>
        <v>-0.01</v>
      </c>
      <c r="U23" s="64">
        <f t="shared" si="22"/>
        <v>-0.01</v>
      </c>
      <c r="V23" s="207">
        <f>IF($A24="","",IF(AND(MONTH(A23)&gt;3,MONTH(A23)&lt;11),(T23+R23+G23)*Summary!$T$7/(1-Summary!$T$7),(T23+R23+G23)*Summary!$U$7/(1-Summary!$U$7)))</f>
        <v>0.20283226753328448</v>
      </c>
      <c r="W23" s="63">
        <f t="shared" si="23"/>
        <v>4.3998322675332853</v>
      </c>
      <c r="X23" s="63">
        <f t="shared" si="24"/>
        <v>4.3998322675332853</v>
      </c>
      <c r="Y23" s="43"/>
      <c r="Z23" s="38">
        <f t="shared" si="25"/>
        <v>0.55000000000000004</v>
      </c>
      <c r="AA23" s="38">
        <f t="shared" si="25"/>
        <v>0.36100000000000004</v>
      </c>
      <c r="AB23" s="38">
        <f t="shared" ca="1" si="3"/>
        <v>0.37685245690036928</v>
      </c>
      <c r="AC23" s="38">
        <f t="shared" si="25"/>
        <v>0.4</v>
      </c>
      <c r="AD23" s="38">
        <f t="shared" si="25"/>
        <v>0.35</v>
      </c>
      <c r="AE23" s="38">
        <f t="shared" ca="1" si="4"/>
        <v>0.35891050078371278</v>
      </c>
      <c r="AF23" s="238">
        <f ca="1">((Summary!$N$7*(AA23*AD23)*(A23-$D$3))+(Summary!$M$7*Z23*AC23*(DAY(EOMONTH(A23,0))/2)))/(AK23*AB23*AE23)</f>
        <v>0.99751881502925488</v>
      </c>
      <c r="AG23" s="88">
        <f>IF($A24="","",Summary!$Q$7)</f>
        <v>0</v>
      </c>
      <c r="AH23" s="88">
        <f>IF($A24="","",IF(Summary!$R$7="Y",(VLOOKUP($A23,Summary!$AD$6:$AF$9,3)+'Escalating commodity'!C36),'Escalating commodity'!C36))</f>
        <v>2.3200000000000002E-2</v>
      </c>
      <c r="AI23" s="88">
        <f t="shared" si="26"/>
        <v>2.3200000000000002E-2</v>
      </c>
      <c r="AJ23" s="236">
        <f t="shared" si="5"/>
        <v>37452.5</v>
      </c>
      <c r="AK23" s="58">
        <f t="shared" ca="1" si="27"/>
        <v>412</v>
      </c>
      <c r="AL23" s="26">
        <f ca="1">IF($A24="","",_xll.SPRDOPT(P23,X23,AI23,0,AB23,AE23,AF23,AK23,$AJ$2,0))</f>
        <v>0.12352240346426573</v>
      </c>
      <c r="AM23" s="209">
        <f t="shared" si="6"/>
        <v>9.8967732466714975E-2</v>
      </c>
      <c r="AN23" s="89">
        <f t="shared" ca="1" si="28"/>
        <v>2.4554670997550751E-2</v>
      </c>
      <c r="AO23" s="3">
        <f t="shared" si="29"/>
        <v>31</v>
      </c>
      <c r="AP23" s="33">
        <f t="shared" si="30"/>
        <v>37438</v>
      </c>
      <c r="AQ23" s="58">
        <f t="shared" ca="1" si="7"/>
        <v>412</v>
      </c>
      <c r="AR23" s="38">
        <f>IF(Summary!$H$2=1,VLOOKUP('ANR OK vs ML7'!A23,Curves!$C$17:$AR$273,MATCH('ANR OK vs ML7'!$AR$4,Curves!$C$8:$AQ$8,0)),0.1)</f>
        <v>0.1</v>
      </c>
      <c r="AS23" s="35">
        <f t="shared" ca="1" si="8"/>
        <v>0.89577136098243315</v>
      </c>
      <c r="AT23" s="3">
        <f t="shared" si="31"/>
        <v>1</v>
      </c>
      <c r="AU23" s="3">
        <f t="shared" si="9"/>
        <v>31</v>
      </c>
      <c r="AW23" s="32">
        <f t="shared" ca="1" si="32"/>
        <v>153167.7802956895</v>
      </c>
      <c r="AX23" s="32">
        <f t="shared" si="33"/>
        <v>122719.98825872657</v>
      </c>
      <c r="AY23" s="32">
        <f t="shared" ca="1" si="34"/>
        <v>30447.792036962932</v>
      </c>
      <c r="BA23" s="32">
        <f ca="1">IF($A24="","",F23*Summary!$Q$7)</f>
        <v>0</v>
      </c>
      <c r="BC23" s="256">
        <f t="shared" ca="1" si="35"/>
        <v>109929.0509022677</v>
      </c>
    </row>
    <row r="24" spans="1:55">
      <c r="A24" s="67">
        <f t="shared" si="10"/>
        <v>37469</v>
      </c>
      <c r="B24" s="69">
        <f t="shared" si="36"/>
        <v>40000</v>
      </c>
      <c r="C24" s="71"/>
      <c r="D24" s="69">
        <f t="shared" si="37"/>
        <v>40000</v>
      </c>
      <c r="E24" s="70">
        <f t="shared" si="1"/>
        <v>1240000</v>
      </c>
      <c r="F24" s="70">
        <f t="shared" ca="1" si="2"/>
        <v>1101595.2228094521</v>
      </c>
      <c r="G24" s="63">
        <f t="shared" si="11"/>
        <v>4.3220000000000001</v>
      </c>
      <c r="H24" s="64">
        <f t="shared" si="12"/>
        <v>4.3220000000000001</v>
      </c>
      <c r="I24" s="43"/>
      <c r="J24" s="63">
        <f t="shared" si="13"/>
        <v>0.22500000000000001</v>
      </c>
      <c r="K24" s="64">
        <f t="shared" si="14"/>
        <v>0.22500000000000001</v>
      </c>
      <c r="L24" s="63">
        <f t="shared" si="15"/>
        <v>0</v>
      </c>
      <c r="M24" s="64">
        <f t="shared" si="16"/>
        <v>0</v>
      </c>
      <c r="N24" s="65"/>
      <c r="O24" s="63">
        <f t="shared" si="17"/>
        <v>4.5469999999999997</v>
      </c>
      <c r="P24" s="63">
        <f t="shared" si="18"/>
        <v>4.5469999999999997</v>
      </c>
      <c r="Q24" s="66"/>
      <c r="R24" s="63">
        <f t="shared" si="19"/>
        <v>-0.09</v>
      </c>
      <c r="S24" s="64">
        <f t="shared" si="20"/>
        <v>-0.09</v>
      </c>
      <c r="T24" s="63">
        <f t="shared" si="21"/>
        <v>-0.01</v>
      </c>
      <c r="U24" s="64">
        <f t="shared" si="22"/>
        <v>-0.01</v>
      </c>
      <c r="V24" s="207">
        <f>IF($A25="","",IF(AND(MONTH(A24)&gt;3,MONTH(A24)&lt;11),(T24+R24+G24)*Summary!$T$7/(1-Summary!$T$7),(T24+R24+G24)*Summary!$U$7/(1-Summary!$U$7)))</f>
        <v>0.20404046545759519</v>
      </c>
      <c r="W24" s="63">
        <f t="shared" si="23"/>
        <v>4.4260404654575956</v>
      </c>
      <c r="X24" s="63">
        <f t="shared" si="24"/>
        <v>4.4260404654575956</v>
      </c>
      <c r="Y24" s="43"/>
      <c r="Z24" s="38">
        <f t="shared" si="25"/>
        <v>0.6</v>
      </c>
      <c r="AA24" s="38">
        <f t="shared" si="25"/>
        <v>0.36100000000000004</v>
      </c>
      <c r="AB24" s="38">
        <f t="shared" ca="1" si="3"/>
        <v>0.37843244459765013</v>
      </c>
      <c r="AC24" s="38">
        <f t="shared" si="25"/>
        <v>0.5</v>
      </c>
      <c r="AD24" s="38">
        <f t="shared" si="25"/>
        <v>0.35</v>
      </c>
      <c r="AE24" s="38">
        <f t="shared" ca="1" si="4"/>
        <v>0.36266196661850647</v>
      </c>
      <c r="AF24" s="238">
        <f ca="1">((Summary!$N$7*(AA24*AD24)*(A24-$D$3))+(Summary!$M$7*Z24*AC24*(DAY(EOMONTH(A24,0))/2)))/(AK24*AB24*AE24)</f>
        <v>0.99909729735024022</v>
      </c>
      <c r="AG24" s="88">
        <f>IF($A25="","",Summary!$Q$7)</f>
        <v>0</v>
      </c>
      <c r="AH24" s="88">
        <f>IF($A25="","",IF(Summary!$R$7="Y",(VLOOKUP($A24,Summary!$AD$6:$AF$9,3)+'Escalating commodity'!C37),'Escalating commodity'!C37))</f>
        <v>2.3200000000000002E-2</v>
      </c>
      <c r="AI24" s="88">
        <f t="shared" si="26"/>
        <v>2.3200000000000002E-2</v>
      </c>
      <c r="AJ24" s="236">
        <f t="shared" si="5"/>
        <v>37483.5</v>
      </c>
      <c r="AK24" s="58">
        <f t="shared" ca="1" si="27"/>
        <v>443</v>
      </c>
      <c r="AL24" s="26">
        <f ca="1">IF($A25="","",_xll.SPRDOPT(P24,X24,AI24,0,AB24,AE24,AF24,AK24,$AJ$2,0))</f>
        <v>0.11118637722030458</v>
      </c>
      <c r="AM24" s="209">
        <f t="shared" si="6"/>
        <v>9.7759534542404158E-2</v>
      </c>
      <c r="AN24" s="89">
        <f t="shared" ca="1" si="28"/>
        <v>1.3426842677900425E-2</v>
      </c>
      <c r="AO24" s="3">
        <f t="shared" si="29"/>
        <v>31</v>
      </c>
      <c r="AP24" s="33">
        <f t="shared" si="30"/>
        <v>37469</v>
      </c>
      <c r="AQ24" s="58">
        <f t="shared" ca="1" si="7"/>
        <v>443</v>
      </c>
      <c r="AR24" s="38">
        <f>IF(Summary!$H$2=1,VLOOKUP('ANR OK vs ML7'!A24,Curves!$C$17:$AR$273,MATCH('ANR OK vs ML7'!$AR$4,Curves!$C$8:$AQ$8,0)),0.1)</f>
        <v>0.1</v>
      </c>
      <c r="AS24" s="35">
        <f t="shared" ca="1" si="8"/>
        <v>0.8883832442011711</v>
      </c>
      <c r="AT24" s="3">
        <f t="shared" si="31"/>
        <v>1</v>
      </c>
      <c r="AU24" s="3">
        <f t="shared" si="9"/>
        <v>31</v>
      </c>
      <c r="AW24" s="32">
        <f t="shared" ca="1" si="32"/>
        <v>137871.1077531777</v>
      </c>
      <c r="AX24" s="32">
        <f t="shared" si="33"/>
        <v>121221.82283258115</v>
      </c>
      <c r="AY24" s="32">
        <f t="shared" ca="1" si="34"/>
        <v>16649.284920596525</v>
      </c>
      <c r="BA24" s="32">
        <f ca="1">IF($A25="","",F24*Summary!$Q$7)</f>
        <v>0</v>
      </c>
      <c r="BC24" s="256">
        <f t="shared" ca="1" si="35"/>
        <v>107691.43623598803</v>
      </c>
    </row>
    <row r="25" spans="1:55">
      <c r="A25" s="67">
        <f t="shared" si="10"/>
        <v>37500</v>
      </c>
      <c r="B25" s="69">
        <f t="shared" si="36"/>
        <v>40000</v>
      </c>
      <c r="C25" s="71"/>
      <c r="D25" s="69">
        <f t="shared" si="37"/>
        <v>40000</v>
      </c>
      <c r="E25" s="70">
        <f t="shared" si="1"/>
        <v>1200000</v>
      </c>
      <c r="F25" s="70">
        <f t="shared" ca="1" si="2"/>
        <v>1057267.2754955937</v>
      </c>
      <c r="G25" s="63">
        <f t="shared" si="11"/>
        <v>4.327</v>
      </c>
      <c r="H25" s="64">
        <f t="shared" si="12"/>
        <v>4.327</v>
      </c>
      <c r="I25" s="43"/>
      <c r="J25" s="63">
        <f t="shared" si="13"/>
        <v>0.22500000000000001</v>
      </c>
      <c r="K25" s="64">
        <f t="shared" si="14"/>
        <v>0.22500000000000001</v>
      </c>
      <c r="L25" s="63">
        <f t="shared" si="15"/>
        <v>0</v>
      </c>
      <c r="M25" s="64">
        <f t="shared" si="16"/>
        <v>0</v>
      </c>
      <c r="N25" s="65"/>
      <c r="O25" s="63">
        <f t="shared" si="17"/>
        <v>4.5519999999999996</v>
      </c>
      <c r="P25" s="63">
        <f t="shared" si="18"/>
        <v>4.5519999999999996</v>
      </c>
      <c r="Q25" s="66"/>
      <c r="R25" s="63">
        <f t="shared" si="19"/>
        <v>-0.09</v>
      </c>
      <c r="S25" s="64">
        <f t="shared" si="20"/>
        <v>-0.09</v>
      </c>
      <c r="T25" s="63">
        <f t="shared" si="21"/>
        <v>-0.01</v>
      </c>
      <c r="U25" s="64">
        <f t="shared" si="22"/>
        <v>-0.01</v>
      </c>
      <c r="V25" s="207">
        <f>IF($A26="","",IF(AND(MONTH(A25)&gt;3,MONTH(A25)&lt;11),(T25+R25+G25)*Summary!$T$7/(1-Summary!$T$7),(T25+R25+G25)*Summary!$U$7/(1-Summary!$U$7)))</f>
        <v>0.20428210504245731</v>
      </c>
      <c r="W25" s="63">
        <f t="shared" si="23"/>
        <v>4.4312821050424578</v>
      </c>
      <c r="X25" s="63">
        <f t="shared" si="24"/>
        <v>4.4312821050424578</v>
      </c>
      <c r="Y25" s="43"/>
      <c r="Z25" s="38">
        <f t="shared" si="25"/>
        <v>0.6</v>
      </c>
      <c r="AA25" s="38">
        <f t="shared" si="25"/>
        <v>0.36100000000000004</v>
      </c>
      <c r="AB25" s="38">
        <f t="shared" ca="1" si="3"/>
        <v>0.3768134072480126</v>
      </c>
      <c r="AC25" s="38">
        <f t="shared" si="25"/>
        <v>0.55000000000000004</v>
      </c>
      <c r="AD25" s="38">
        <f t="shared" si="25"/>
        <v>0.35</v>
      </c>
      <c r="AE25" s="38">
        <f t="shared" ca="1" si="4"/>
        <v>0.36377358841550322</v>
      </c>
      <c r="AF25" s="238">
        <f ca="1">((Summary!$N$7*(AA25*AD25)*(A25-$D$3))+(Summary!$M$7*Z25*AC25*(DAY(EOMONTH(A25,0))/2)))/(AK25*AB25*AE25)</f>
        <v>0.99979698803337425</v>
      </c>
      <c r="AG25" s="88">
        <f>IF($A26="","",Summary!$Q$7)</f>
        <v>0</v>
      </c>
      <c r="AH25" s="88">
        <f>IF($A26="","",IF(Summary!$R$7="Y",(VLOOKUP($A25,Summary!$AD$6:$AF$9,3)+'Escalating commodity'!C38),'Escalating commodity'!C38))</f>
        <v>2.3200000000000002E-2</v>
      </c>
      <c r="AI25" s="88">
        <f t="shared" si="26"/>
        <v>2.3200000000000002E-2</v>
      </c>
      <c r="AJ25" s="236">
        <f t="shared" si="5"/>
        <v>37514</v>
      </c>
      <c r="AK25" s="58">
        <f t="shared" ca="1" si="27"/>
        <v>474</v>
      </c>
      <c r="AL25" s="26">
        <f ca="1">IF($A26="","",_xll.SPRDOPT(P25,X25,AI25,0,AB25,AE25,AF25,AK25,$AJ$2,0))</f>
        <v>0.10343494431138787</v>
      </c>
      <c r="AM25" s="209">
        <f t="shared" si="6"/>
        <v>9.7517894957541817E-2</v>
      </c>
      <c r="AN25" s="89">
        <f t="shared" ca="1" si="28"/>
        <v>5.9170493538460572E-3</v>
      </c>
      <c r="AO25" s="3">
        <f t="shared" si="29"/>
        <v>30</v>
      </c>
      <c r="AP25" s="33">
        <f t="shared" si="30"/>
        <v>37500</v>
      </c>
      <c r="AQ25" s="58">
        <f t="shared" ca="1" si="7"/>
        <v>474</v>
      </c>
      <c r="AR25" s="38">
        <f>IF(Summary!$H$2=1,VLOOKUP('ANR OK vs ML7'!A25,Curves!$C$17:$AR$273,MATCH('ANR OK vs ML7'!$AR$4,Curves!$C$8:$AQ$8,0)),0.1)</f>
        <v>0.1</v>
      </c>
      <c r="AS25" s="35">
        <f t="shared" ca="1" si="8"/>
        <v>0.88105606291299465</v>
      </c>
      <c r="AT25" s="3">
        <f t="shared" si="31"/>
        <v>1</v>
      </c>
      <c r="AU25" s="3">
        <f t="shared" si="9"/>
        <v>30</v>
      </c>
      <c r="AW25" s="32">
        <f t="shared" ca="1" si="32"/>
        <v>124121.93317366546</v>
      </c>
      <c r="AX25" s="32">
        <f t="shared" si="33"/>
        <v>117021.47394905018</v>
      </c>
      <c r="AY25" s="32">
        <f t="shared" ca="1" si="34"/>
        <v>7100.4592246152688</v>
      </c>
      <c r="BA25" s="32">
        <f ca="1">IF($A26="","",F25*Summary!$Q$7)</f>
        <v>0</v>
      </c>
      <c r="BC25" s="256">
        <f t="shared" ca="1" si="35"/>
        <v>103102.47911382573</v>
      </c>
    </row>
    <row r="26" spans="1:55">
      <c r="A26" s="67">
        <f t="shared" si="10"/>
        <v>37530</v>
      </c>
      <c r="B26" s="69">
        <f t="shared" si="36"/>
        <v>40000</v>
      </c>
      <c r="C26" s="71"/>
      <c r="D26" s="69">
        <f t="shared" si="37"/>
        <v>40000</v>
      </c>
      <c r="E26" s="70">
        <f t="shared" si="1"/>
        <v>1240000</v>
      </c>
      <c r="F26" s="70">
        <f t="shared" ca="1" si="2"/>
        <v>1083788.2566316114</v>
      </c>
      <c r="G26" s="63">
        <f t="shared" si="11"/>
        <v>4.3370000000000006</v>
      </c>
      <c r="H26" s="64">
        <f t="shared" si="12"/>
        <v>4.3370000000000006</v>
      </c>
      <c r="I26" s="43"/>
      <c r="J26" s="63">
        <f t="shared" si="13"/>
        <v>0.22500000000000001</v>
      </c>
      <c r="K26" s="64">
        <f t="shared" si="14"/>
        <v>0.22500000000000001</v>
      </c>
      <c r="L26" s="63">
        <f t="shared" si="15"/>
        <v>0</v>
      </c>
      <c r="M26" s="64">
        <f t="shared" si="16"/>
        <v>0</v>
      </c>
      <c r="N26" s="65"/>
      <c r="O26" s="63">
        <f t="shared" si="17"/>
        <v>4.5620000000000003</v>
      </c>
      <c r="P26" s="63">
        <f t="shared" si="18"/>
        <v>4.5620000000000003</v>
      </c>
      <c r="Q26" s="66"/>
      <c r="R26" s="63">
        <f t="shared" si="19"/>
        <v>-0.09</v>
      </c>
      <c r="S26" s="64">
        <f t="shared" si="20"/>
        <v>-0.09</v>
      </c>
      <c r="T26" s="63">
        <f t="shared" si="21"/>
        <v>-0.01</v>
      </c>
      <c r="U26" s="64">
        <f t="shared" si="22"/>
        <v>-0.01</v>
      </c>
      <c r="V26" s="207">
        <f>IF($A27="","",IF(AND(MONTH(A26)&gt;3,MONTH(A26)&lt;11),(T26+R26+G26)*Summary!$T$7/(1-Summary!$T$7),(T26+R26+G26)*Summary!$U$7/(1-Summary!$U$7)))</f>
        <v>0.20476538421218163</v>
      </c>
      <c r="W26" s="63">
        <f t="shared" si="23"/>
        <v>4.4417653842121823</v>
      </c>
      <c r="X26" s="63">
        <f t="shared" si="24"/>
        <v>4.4417653842121823</v>
      </c>
      <c r="Y26" s="43"/>
      <c r="Z26" s="38">
        <f t="shared" si="25"/>
        <v>0.65</v>
      </c>
      <c r="AA26" s="38">
        <f t="shared" si="25"/>
        <v>0.36300000000000004</v>
      </c>
      <c r="AB26" s="38">
        <f t="shared" ca="1" si="3"/>
        <v>0.38082016492811016</v>
      </c>
      <c r="AC26" s="38">
        <f t="shared" si="25"/>
        <v>0.55000000000000004</v>
      </c>
      <c r="AD26" s="38">
        <f t="shared" si="25"/>
        <v>0.35300000000000004</v>
      </c>
      <c r="AE26" s="38">
        <f t="shared" ca="1" si="4"/>
        <v>0.36627764807068219</v>
      </c>
      <c r="AF26" s="238">
        <f ca="1">((Summary!$N$7*(AA26*AD26)*(A26-$D$3))+(Summary!$M$7*Z26*AC26*(DAY(EOMONTH(A26,0))/2)))/(AK26*AB26*AE26)</f>
        <v>0.99920446466391688</v>
      </c>
      <c r="AG26" s="88">
        <f>IF($A27="","",Summary!$Q$7)</f>
        <v>0</v>
      </c>
      <c r="AH26" s="88">
        <f>IF($A27="","",IF(Summary!$R$7="Y",(VLOOKUP($A26,Summary!$AD$6:$AF$9,3)+'Escalating commodity'!C39),'Escalating commodity'!C39))</f>
        <v>2.3200000000000002E-2</v>
      </c>
      <c r="AI26" s="88">
        <f t="shared" si="26"/>
        <v>2.3200000000000002E-2</v>
      </c>
      <c r="AJ26" s="236">
        <f t="shared" si="5"/>
        <v>37544.5</v>
      </c>
      <c r="AK26" s="58">
        <f t="shared" ca="1" si="27"/>
        <v>504</v>
      </c>
      <c r="AL26" s="26">
        <f ca="1">IF($A27="","",_xll.SPRDOPT(P26,X26,AI26,0,AB26,AE26,AF26,AK26,$AJ$2,0))</f>
        <v>0.11075466659844398</v>
      </c>
      <c r="AM26" s="209">
        <f t="shared" si="6"/>
        <v>9.7034615787818024E-2</v>
      </c>
      <c r="AN26" s="89">
        <f t="shared" ca="1" si="28"/>
        <v>1.3720050810625953E-2</v>
      </c>
      <c r="AO26" s="3">
        <f t="shared" si="29"/>
        <v>31</v>
      </c>
      <c r="AP26" s="33">
        <f t="shared" si="30"/>
        <v>37530</v>
      </c>
      <c r="AQ26" s="58">
        <f t="shared" ca="1" si="7"/>
        <v>504</v>
      </c>
      <c r="AR26" s="38">
        <f>IF(Summary!$H$2=1,VLOOKUP('ANR OK vs ML7'!A26,Curves!$C$17:$AR$273,MATCH('ANR OK vs ML7'!$AR$4,Curves!$C$8:$AQ$8,0)),0.1)</f>
        <v>0.1</v>
      </c>
      <c r="AS26" s="35">
        <f t="shared" ca="1" si="8"/>
        <v>0.87402278760613827</v>
      </c>
      <c r="AT26" s="3">
        <f t="shared" si="31"/>
        <v>1</v>
      </c>
      <c r="AU26" s="3">
        <f t="shared" si="9"/>
        <v>31</v>
      </c>
      <c r="AW26" s="32">
        <f t="shared" ca="1" si="32"/>
        <v>137335.78658207052</v>
      </c>
      <c r="AX26" s="32">
        <f t="shared" si="33"/>
        <v>120322.92357689435</v>
      </c>
      <c r="AY26" s="32">
        <f t="shared" ca="1" si="34"/>
        <v>17012.863005176183</v>
      </c>
      <c r="BA26" s="32">
        <f ca="1">IF($A27="","",F26*Summary!$Q$7)</f>
        <v>0</v>
      </c>
      <c r="BC26" s="256">
        <f t="shared" ca="1" si="35"/>
        <v>105164.97707759753</v>
      </c>
    </row>
    <row r="27" spans="1:55">
      <c r="A27" s="67">
        <f t="shared" si="10"/>
        <v>37561</v>
      </c>
      <c r="B27" s="69">
        <f t="shared" si="36"/>
        <v>40000</v>
      </c>
      <c r="C27" s="71"/>
      <c r="D27" s="69">
        <f t="shared" si="37"/>
        <v>40000</v>
      </c>
      <c r="E27" s="70">
        <f t="shared" si="1"/>
        <v>1200000</v>
      </c>
      <c r="F27" s="70">
        <f t="shared" ca="1" si="2"/>
        <v>1040176.8576852538</v>
      </c>
      <c r="G27" s="63">
        <f t="shared" si="11"/>
        <v>4.4770000000000003</v>
      </c>
      <c r="H27" s="64">
        <f t="shared" si="12"/>
        <v>4.4770000000000003</v>
      </c>
      <c r="I27" s="43"/>
      <c r="J27" s="63">
        <f t="shared" si="13"/>
        <v>0.26</v>
      </c>
      <c r="K27" s="64">
        <f t="shared" si="14"/>
        <v>0.26</v>
      </c>
      <c r="L27" s="63">
        <f t="shared" si="15"/>
        <v>0</v>
      </c>
      <c r="M27" s="64">
        <f t="shared" si="16"/>
        <v>0</v>
      </c>
      <c r="N27" s="65"/>
      <c r="O27" s="63">
        <f t="shared" si="17"/>
        <v>4.7370000000000001</v>
      </c>
      <c r="P27" s="63">
        <f t="shared" si="18"/>
        <v>4.7370000000000001</v>
      </c>
      <c r="Q27" s="66"/>
      <c r="R27" s="63">
        <f t="shared" si="19"/>
        <v>-0.09</v>
      </c>
      <c r="S27" s="64">
        <f t="shared" si="20"/>
        <v>-0.09</v>
      </c>
      <c r="T27" s="63">
        <f t="shared" si="21"/>
        <v>0.01</v>
      </c>
      <c r="U27" s="64">
        <f t="shared" si="22"/>
        <v>0.01</v>
      </c>
      <c r="V27" s="207">
        <f>IF($A28="","",IF(AND(MONTH(A27)&gt;3,MONTH(A27)&lt;11),(T27+R27+G27)*Summary!$T$7/(1-Summary!$T$7),(T27+R27+G27)*Summary!$U$7/(1-Summary!$U$7)))</f>
        <v>0.21249785092777024</v>
      </c>
      <c r="W27" s="63">
        <f t="shared" si="23"/>
        <v>4.6094978509277702</v>
      </c>
      <c r="X27" s="63">
        <f t="shared" si="24"/>
        <v>4.6094978509277702</v>
      </c>
      <c r="Y27" s="43"/>
      <c r="Z27" s="38">
        <f t="shared" si="25"/>
        <v>0.8</v>
      </c>
      <c r="AA27" s="38">
        <f t="shared" si="25"/>
        <v>0.36799999999999999</v>
      </c>
      <c r="AB27" s="38">
        <f t="shared" ca="1" si="3"/>
        <v>0.39194521837318985</v>
      </c>
      <c r="AC27" s="38">
        <f t="shared" si="25"/>
        <v>0.8</v>
      </c>
      <c r="AD27" s="38">
        <f t="shared" si="25"/>
        <v>0.35800000000000004</v>
      </c>
      <c r="AE27" s="38">
        <f t="shared" ca="1" si="4"/>
        <v>0.38255389700295767</v>
      </c>
      <c r="AF27" s="238">
        <f ca="1">((Summary!$N$7*(AA27*AD27)*(A27-$D$3))+(Summary!$M$7*Z27*AC27*(DAY(EOMONTH(A27,0))/2)))/(AK27*AB27*AE27)</f>
        <v>0.99987198877818051</v>
      </c>
      <c r="AG27" s="88">
        <f>IF($A28="","",Summary!$Q$7)</f>
        <v>0</v>
      </c>
      <c r="AH27" s="88">
        <f>IF($A28="","",IF(Summary!$R$7="Y",(VLOOKUP($A27,Summary!$AD$6:$AF$9,3)+'Escalating commodity'!C40),'Escalating commodity'!C40))</f>
        <v>2.3200000000000002E-2</v>
      </c>
      <c r="AI27" s="88">
        <f t="shared" si="26"/>
        <v>2.3200000000000002E-2</v>
      </c>
      <c r="AJ27" s="236">
        <f t="shared" si="5"/>
        <v>37575</v>
      </c>
      <c r="AK27" s="58">
        <f t="shared" ca="1" si="27"/>
        <v>535</v>
      </c>
      <c r="AL27" s="26">
        <f ca="1">IF($A28="","",_xll.SPRDOPT(P27,X27,AI27,0,AB27,AE27,AF27,AK27,$AJ$2,0))</f>
        <v>0.10752107210050404</v>
      </c>
      <c r="AM27" s="209">
        <f t="shared" si="6"/>
        <v>0.1043021490722299</v>
      </c>
      <c r="AN27" s="89">
        <f t="shared" ca="1" si="28"/>
        <v>3.2189230282741454E-3</v>
      </c>
      <c r="AO27" s="3">
        <f t="shared" si="29"/>
        <v>30</v>
      </c>
      <c r="AP27" s="33">
        <f t="shared" si="30"/>
        <v>37561</v>
      </c>
      <c r="AQ27" s="58">
        <f t="shared" ca="1" si="7"/>
        <v>535</v>
      </c>
      <c r="AR27" s="38">
        <f>IF(Summary!$H$2=1,VLOOKUP('ANR OK vs ML7'!A27,Curves!$C$17:$AR$273,MATCH('ANR OK vs ML7'!$AR$4,Curves!$C$8:$AQ$8,0)),0.1)</f>
        <v>0.1</v>
      </c>
      <c r="AS27" s="35">
        <f t="shared" ca="1" si="8"/>
        <v>0.8668140480710449</v>
      </c>
      <c r="AT27" s="3">
        <f t="shared" si="31"/>
        <v>1</v>
      </c>
      <c r="AU27" s="3">
        <f t="shared" si="9"/>
        <v>30</v>
      </c>
      <c r="AW27" s="32">
        <f t="shared" ca="1" si="32"/>
        <v>129025.28652060486</v>
      </c>
      <c r="AX27" s="32">
        <f t="shared" si="33"/>
        <v>125162.57888667588</v>
      </c>
      <c r="AY27" s="32">
        <f t="shared" ca="1" si="34"/>
        <v>3862.7076339289747</v>
      </c>
      <c r="BA27" s="32">
        <f ca="1">IF($A28="","",F27*Summary!$Q$7)</f>
        <v>0</v>
      </c>
      <c r="BC27" s="256">
        <f t="shared" ca="1" si="35"/>
        <v>108492.68167177102</v>
      </c>
    </row>
    <row r="28" spans="1:55">
      <c r="A28" s="67">
        <f t="shared" si="10"/>
        <v>37591</v>
      </c>
      <c r="B28" s="69">
        <f t="shared" si="36"/>
        <v>40000</v>
      </c>
      <c r="C28" s="71"/>
      <c r="D28" s="69">
        <f t="shared" si="37"/>
        <v>40000</v>
      </c>
      <c r="E28" s="70">
        <f t="shared" si="1"/>
        <v>1240000</v>
      </c>
      <c r="F28" s="70">
        <f t="shared" ca="1" si="2"/>
        <v>1066269.1348796482</v>
      </c>
      <c r="G28" s="63">
        <f t="shared" si="11"/>
        <v>4.6070000000000002</v>
      </c>
      <c r="H28" s="64">
        <f t="shared" si="12"/>
        <v>4.6070000000000002</v>
      </c>
      <c r="I28" s="43"/>
      <c r="J28" s="63">
        <f t="shared" si="13"/>
        <v>0.25</v>
      </c>
      <c r="K28" s="64">
        <f t="shared" si="14"/>
        <v>0.25</v>
      </c>
      <c r="L28" s="63">
        <f t="shared" si="15"/>
        <v>0</v>
      </c>
      <c r="M28" s="64">
        <f t="shared" si="16"/>
        <v>0</v>
      </c>
      <c r="N28" s="65"/>
      <c r="O28" s="63">
        <f t="shared" si="17"/>
        <v>4.8570000000000002</v>
      </c>
      <c r="P28" s="63">
        <f t="shared" si="18"/>
        <v>4.8570000000000002</v>
      </c>
      <c r="Q28" s="66"/>
      <c r="R28" s="63">
        <f t="shared" si="19"/>
        <v>-9.2499999999999999E-2</v>
      </c>
      <c r="S28" s="64">
        <f t="shared" si="20"/>
        <v>-9.2499999999999999E-2</v>
      </c>
      <c r="T28" s="63">
        <f t="shared" si="21"/>
        <v>0.01</v>
      </c>
      <c r="U28" s="64">
        <f t="shared" si="22"/>
        <v>0.01</v>
      </c>
      <c r="V28" s="207">
        <f>IF($A29="","",IF(AND(MONTH(A28)&gt;3,MONTH(A28)&lt;11),(T28+R28+G28)*Summary!$T$7/(1-Summary!$T$7),(T28+R28+G28)*Summary!$U$7/(1-Summary!$U$7)))</f>
        <v>0.21865966034175494</v>
      </c>
      <c r="W28" s="63">
        <f t="shared" si="23"/>
        <v>4.7431596603417558</v>
      </c>
      <c r="X28" s="63">
        <f t="shared" si="24"/>
        <v>4.7431596603417558</v>
      </c>
      <c r="Y28" s="43"/>
      <c r="Z28" s="38">
        <f t="shared" si="25"/>
        <v>1.1000000000000001</v>
      </c>
      <c r="AA28" s="38">
        <f t="shared" si="25"/>
        <v>0.373</v>
      </c>
      <c r="AB28" s="38">
        <f t="shared" ca="1" si="3"/>
        <v>0.41541537800517908</v>
      </c>
      <c r="AC28" s="38">
        <f t="shared" si="25"/>
        <v>1</v>
      </c>
      <c r="AD28" s="38">
        <f t="shared" si="25"/>
        <v>0.36300000000000004</v>
      </c>
      <c r="AE28" s="38">
        <f t="shared" ca="1" si="4"/>
        <v>0.3992941870195591</v>
      </c>
      <c r="AF28" s="238">
        <f ca="1">((Summary!$N$7*(AA28*AD28)*(A28-$D$3))+(Summary!$M$7*Z28*AC28*(DAY(EOMONTH(A28,0))/2)))/(AK28*AB28*AE28)</f>
        <v>0.99957272054267954</v>
      </c>
      <c r="AG28" s="88">
        <f>IF($A29="","",Summary!$Q$7)</f>
        <v>0</v>
      </c>
      <c r="AH28" s="88">
        <f>IF($A29="","",IF(Summary!$R$7="Y",(VLOOKUP($A28,Summary!$AD$6:$AF$9,3)+'Escalating commodity'!C41),'Escalating commodity'!C41))</f>
        <v>2.3200000000000002E-2</v>
      </c>
      <c r="AI28" s="88">
        <f t="shared" si="26"/>
        <v>2.3200000000000002E-2</v>
      </c>
      <c r="AJ28" s="236">
        <f t="shared" si="5"/>
        <v>37605.5</v>
      </c>
      <c r="AK28" s="58">
        <f t="shared" ca="1" si="27"/>
        <v>565</v>
      </c>
      <c r="AL28" s="26">
        <f ca="1">IF($A29="","",_xll.SPRDOPT(P28,X28,AI28,0,AB28,AE28,AF28,AK28,$AJ$2,0))</f>
        <v>0.10928286284245016</v>
      </c>
      <c r="AM28" s="209">
        <f t="shared" si="6"/>
        <v>9.0640339658244362E-2</v>
      </c>
      <c r="AN28" s="89">
        <f t="shared" ca="1" si="28"/>
        <v>1.8642523184205798E-2</v>
      </c>
      <c r="AO28" s="3">
        <f t="shared" si="29"/>
        <v>31</v>
      </c>
      <c r="AP28" s="33">
        <f t="shared" si="30"/>
        <v>37591</v>
      </c>
      <c r="AQ28" s="58">
        <f t="shared" ca="1" si="7"/>
        <v>565</v>
      </c>
      <c r="AR28" s="38">
        <f>IF(Summary!$H$2=1,VLOOKUP('ANR OK vs ML7'!A28,Curves!$C$17:$AR$273,MATCH('ANR OK vs ML7'!$AR$4,Curves!$C$8:$AQ$8,0)),0.1)</f>
        <v>0.1</v>
      </c>
      <c r="AS28" s="35">
        <f t="shared" ca="1" si="8"/>
        <v>0.85989446361261945</v>
      </c>
      <c r="AT28" s="3">
        <f t="shared" si="31"/>
        <v>1</v>
      </c>
      <c r="AU28" s="3">
        <f t="shared" si="9"/>
        <v>31</v>
      </c>
      <c r="AW28" s="32">
        <f t="shared" ca="1" si="32"/>
        <v>135510.74992463819</v>
      </c>
      <c r="AX28" s="32">
        <f t="shared" si="33"/>
        <v>112394.021176223</v>
      </c>
      <c r="AY28" s="32">
        <f t="shared" ca="1" si="34"/>
        <v>23116.728748415189</v>
      </c>
      <c r="BA28" s="32">
        <f ca="1">IF($A29="","",F28*Summary!$Q$7)</f>
        <v>0</v>
      </c>
      <c r="BC28" s="256">
        <f t="shared" ca="1" si="35"/>
        <v>96646.996552593686</v>
      </c>
    </row>
    <row r="29" spans="1:55">
      <c r="A29" s="67">
        <f t="shared" si="10"/>
        <v>37622</v>
      </c>
      <c r="B29" s="69">
        <f t="shared" si="36"/>
        <v>40000</v>
      </c>
      <c r="C29" s="71"/>
      <c r="D29" s="69">
        <f t="shared" si="37"/>
        <v>40000</v>
      </c>
      <c r="E29" s="70">
        <f t="shared" si="1"/>
        <v>1240000</v>
      </c>
      <c r="F29" s="70">
        <f t="shared" ca="1" si="2"/>
        <v>1057474.7915551348</v>
      </c>
      <c r="G29" s="63">
        <f t="shared" si="11"/>
        <v>4.6509999999999998</v>
      </c>
      <c r="H29" s="64">
        <f t="shared" si="12"/>
        <v>4.6509999999999998</v>
      </c>
      <c r="I29" s="43"/>
      <c r="J29" s="63">
        <f t="shared" si="13"/>
        <v>0.27</v>
      </c>
      <c r="K29" s="64">
        <f t="shared" si="14"/>
        <v>0.27</v>
      </c>
      <c r="L29" s="63">
        <f t="shared" si="15"/>
        <v>0</v>
      </c>
      <c r="M29" s="64">
        <f t="shared" si="16"/>
        <v>0</v>
      </c>
      <c r="N29" s="65"/>
      <c r="O29" s="63">
        <f t="shared" si="17"/>
        <v>4.9209999999999994</v>
      </c>
      <c r="P29" s="63">
        <f t="shared" si="18"/>
        <v>4.9209999999999994</v>
      </c>
      <c r="Q29" s="66"/>
      <c r="R29" s="63">
        <f t="shared" si="19"/>
        <v>-9.5000000000000001E-2</v>
      </c>
      <c r="S29" s="64">
        <f t="shared" si="20"/>
        <v>-9.5000000000000001E-2</v>
      </c>
      <c r="T29" s="63">
        <f t="shared" si="21"/>
        <v>0.01</v>
      </c>
      <c r="U29" s="64">
        <f t="shared" si="22"/>
        <v>0.01</v>
      </c>
      <c r="V29" s="207">
        <f>IF($A30="","",IF(AND(MONTH(A29)&gt;3,MONTH(A29)&lt;11),(T29+R29+G29)*Summary!$T$7/(1-Summary!$T$7),(T29+R29+G29)*Summary!$U$7/(1-Summary!$U$7)))</f>
        <v>0.22066526889611071</v>
      </c>
      <c r="W29" s="63">
        <f t="shared" si="23"/>
        <v>4.7866652688961109</v>
      </c>
      <c r="X29" s="63">
        <f t="shared" si="24"/>
        <v>4.7866652688961109</v>
      </c>
      <c r="Y29" s="43"/>
      <c r="Z29" s="38">
        <f t="shared" si="25"/>
        <v>1.1000000000000001</v>
      </c>
      <c r="AA29" s="38">
        <f t="shared" si="25"/>
        <v>0.379</v>
      </c>
      <c r="AB29" s="38">
        <f t="shared" ca="1" si="3"/>
        <v>0.41874828858710683</v>
      </c>
      <c r="AC29" s="38">
        <f t="shared" si="25"/>
        <v>1</v>
      </c>
      <c r="AD29" s="38">
        <f t="shared" si="25"/>
        <v>0.36799999999999999</v>
      </c>
      <c r="AE29" s="38">
        <f t="shared" ca="1" si="4"/>
        <v>0.40206707510800488</v>
      </c>
      <c r="AF29" s="238">
        <f ca="1">((Summary!$N$7*(AA29*AD29)*(A29-$D$3))+(Summary!$M$7*Z29*AC29*(DAY(EOMONTH(A29,0))/2)))/(AK29*AB29*AE29)</f>
        <v>0.99961111712093942</v>
      </c>
      <c r="AG29" s="88">
        <f>IF($A30="","",Summary!$Q$7)</f>
        <v>0</v>
      </c>
      <c r="AH29" s="88">
        <f>IF($A30="","",IF(Summary!$R$7="Y",(VLOOKUP($A29,Summary!$AD$6:$AF$9,3)+'Escalating commodity'!C42),'Escalating commodity'!C42))</f>
        <v>2.2746000000000002E-2</v>
      </c>
      <c r="AI29" s="88">
        <f t="shared" si="26"/>
        <v>2.2746000000000002E-2</v>
      </c>
      <c r="AJ29" s="236">
        <f t="shared" si="5"/>
        <v>37636.5</v>
      </c>
      <c r="AK29" s="58">
        <f t="shared" ca="1" si="27"/>
        <v>596</v>
      </c>
      <c r="AL29" s="26">
        <f ca="1">IF($A30="","",_xll.SPRDOPT(P29,X29,AI29,0,AB29,AE29,AF29,AK29,$AJ$2,0))</f>
        <v>0.12752104201598191</v>
      </c>
      <c r="AM29" s="209">
        <f t="shared" si="6"/>
        <v>0.11158873110388849</v>
      </c>
      <c r="AN29" s="89">
        <f t="shared" ca="1" si="28"/>
        <v>1.593231091209342E-2</v>
      </c>
      <c r="AO29" s="3">
        <f t="shared" si="29"/>
        <v>31</v>
      </c>
      <c r="AP29" s="33">
        <f t="shared" si="30"/>
        <v>37622</v>
      </c>
      <c r="AQ29" s="58">
        <f t="shared" ca="1" si="7"/>
        <v>596</v>
      </c>
      <c r="AR29" s="38">
        <f>IF(Summary!$H$2=1,VLOOKUP('ANR OK vs ML7'!A29,Curves!$C$17:$AR$273,MATCH('ANR OK vs ML7'!$AR$4,Curves!$C$8:$AQ$8,0)),0.1)</f>
        <v>0.1</v>
      </c>
      <c r="AS29" s="35">
        <f t="shared" ca="1" si="8"/>
        <v>0.85280225125414089</v>
      </c>
      <c r="AT29" s="3">
        <f t="shared" si="31"/>
        <v>1</v>
      </c>
      <c r="AU29" s="3">
        <f t="shared" si="9"/>
        <v>31</v>
      </c>
      <c r="AW29" s="32">
        <f t="shared" ca="1" si="32"/>
        <v>158126.09209981756</v>
      </c>
      <c r="AX29" s="32">
        <f t="shared" si="33"/>
        <v>138370.02656882172</v>
      </c>
      <c r="AY29" s="32">
        <f t="shared" ca="1" si="34"/>
        <v>19756.065530995842</v>
      </c>
      <c r="BA29" s="32">
        <f ca="1">IF($A30="","",F29*Summary!$Q$7)</f>
        <v>0</v>
      </c>
      <c r="BC29" s="256">
        <f t="shared" ca="1" si="35"/>
        <v>118002.27016398647</v>
      </c>
    </row>
    <row r="30" spans="1:55">
      <c r="A30" s="67">
        <f t="shared" si="10"/>
        <v>37653</v>
      </c>
      <c r="B30" s="69">
        <f t="shared" si="36"/>
        <v>40000</v>
      </c>
      <c r="C30" s="71"/>
      <c r="D30" s="69">
        <f t="shared" si="37"/>
        <v>40000</v>
      </c>
      <c r="E30" s="70">
        <f t="shared" si="1"/>
        <v>1120000</v>
      </c>
      <c r="F30" s="70">
        <f t="shared" ca="1" si="2"/>
        <v>947260.75789735152</v>
      </c>
      <c r="G30" s="63">
        <f t="shared" si="11"/>
        <v>4.4960000000000004</v>
      </c>
      <c r="H30" s="64">
        <f t="shared" si="12"/>
        <v>4.4960000000000004</v>
      </c>
      <c r="I30" s="43"/>
      <c r="J30" s="63">
        <f t="shared" si="13"/>
        <v>0.33</v>
      </c>
      <c r="K30" s="64">
        <f t="shared" si="14"/>
        <v>0.33</v>
      </c>
      <c r="L30" s="63">
        <f t="shared" si="15"/>
        <v>0</v>
      </c>
      <c r="M30" s="64">
        <f t="shared" si="16"/>
        <v>0</v>
      </c>
      <c r="N30" s="65"/>
      <c r="O30" s="63">
        <f t="shared" si="17"/>
        <v>4.8260000000000005</v>
      </c>
      <c r="P30" s="63">
        <f t="shared" si="18"/>
        <v>4.8260000000000005</v>
      </c>
      <c r="Q30" s="66"/>
      <c r="R30" s="63">
        <f t="shared" si="19"/>
        <v>-8.7499999999999994E-2</v>
      </c>
      <c r="S30" s="64">
        <f t="shared" si="20"/>
        <v>-8.7499999999999994E-2</v>
      </c>
      <c r="T30" s="63">
        <f t="shared" si="21"/>
        <v>0.01</v>
      </c>
      <c r="U30" s="64">
        <f t="shared" si="22"/>
        <v>0.01</v>
      </c>
      <c r="V30" s="207">
        <f>IF($A31="","",IF(AND(MONTH(A30)&gt;3,MONTH(A30)&lt;11),(T30+R30+G30)*Summary!$T$7/(1-Summary!$T$7),(T30+R30+G30)*Summary!$U$7/(1-Summary!$U$7)))</f>
        <v>0.21353690114267748</v>
      </c>
      <c r="W30" s="63">
        <f t="shared" si="23"/>
        <v>4.6320369011426781</v>
      </c>
      <c r="X30" s="63">
        <f t="shared" si="24"/>
        <v>4.6320369011426781</v>
      </c>
      <c r="Y30" s="43"/>
      <c r="Z30" s="38">
        <f t="shared" si="25"/>
        <v>1.1000000000000001</v>
      </c>
      <c r="AA30" s="38">
        <f t="shared" si="25"/>
        <v>0.371</v>
      </c>
      <c r="AB30" s="38">
        <f t="shared" ca="1" si="3"/>
        <v>0.40605180332766155</v>
      </c>
      <c r="AC30" s="38">
        <f t="shared" si="25"/>
        <v>1</v>
      </c>
      <c r="AD30" s="38">
        <f t="shared" si="25"/>
        <v>0.36</v>
      </c>
      <c r="AE30" s="38">
        <f t="shared" ca="1" si="4"/>
        <v>0.39004518611172656</v>
      </c>
      <c r="AF30" s="238">
        <f ca="1">((Summary!$N$7*(AA30*AD30)*(A30-$D$3))+(Summary!$M$7*Z30*AC30*(DAY(EOMONTH(A30,0))/2)))/(AK30*AB30*AE30)</f>
        <v>0.99963687861708106</v>
      </c>
      <c r="AG30" s="88">
        <f>IF($A31="","",Summary!$Q$7)</f>
        <v>0</v>
      </c>
      <c r="AH30" s="88">
        <f>IF($A31="","",IF(Summary!$R$7="Y",(VLOOKUP($A30,Summary!$AD$6:$AF$9,3)+'Escalating commodity'!C43),'Escalating commodity'!C43))</f>
        <v>2.2746000000000002E-2</v>
      </c>
      <c r="AI30" s="88">
        <f t="shared" si="26"/>
        <v>2.2746000000000002E-2</v>
      </c>
      <c r="AJ30" s="236">
        <f t="shared" si="5"/>
        <v>37666</v>
      </c>
      <c r="AK30" s="58">
        <f t="shared" ca="1" si="27"/>
        <v>627</v>
      </c>
      <c r="AL30" s="26">
        <f ca="1">IF($A31="","",_xll.SPRDOPT(P30,X30,AI30,0,AB30,AE30,AF30,AK30,$AJ$2,0))</f>
        <v>0.17759654509011136</v>
      </c>
      <c r="AM30" s="209">
        <f t="shared" si="6"/>
        <v>0.17121709885732245</v>
      </c>
      <c r="AN30" s="89">
        <f t="shared" ca="1" si="28"/>
        <v>6.3794462327889101E-3</v>
      </c>
      <c r="AO30" s="3">
        <f t="shared" si="29"/>
        <v>28</v>
      </c>
      <c r="AP30" s="33">
        <f t="shared" si="30"/>
        <v>37653</v>
      </c>
      <c r="AQ30" s="58">
        <f t="shared" ca="1" si="7"/>
        <v>627</v>
      </c>
      <c r="AR30" s="38">
        <f>IF(Summary!$H$2=1,VLOOKUP('ANR OK vs ML7'!A30,Curves!$C$17:$AR$273,MATCH('ANR OK vs ML7'!$AR$4,Curves!$C$8:$AQ$8,0)),0.1)</f>
        <v>0.1</v>
      </c>
      <c r="AS30" s="35">
        <f t="shared" ca="1" si="8"/>
        <v>0.84576853383692097</v>
      </c>
      <c r="AT30" s="3">
        <f t="shared" si="31"/>
        <v>1</v>
      </c>
      <c r="AU30" s="3">
        <f t="shared" si="9"/>
        <v>28</v>
      </c>
      <c r="AW30" s="32">
        <f t="shared" ca="1" si="32"/>
        <v>198908.13050092472</v>
      </c>
      <c r="AX30" s="32">
        <f t="shared" si="33"/>
        <v>191763.15072020114</v>
      </c>
      <c r="AY30" s="32">
        <f t="shared" ca="1" si="34"/>
        <v>7144.9797807235791</v>
      </c>
      <c r="BA30" s="32">
        <f ca="1">IF($A31="","",F30*Summary!$Q$7)</f>
        <v>0</v>
      </c>
      <c r="BC30" s="256">
        <f t="shared" ca="1" si="35"/>
        <v>162187.23882857303</v>
      </c>
    </row>
    <row r="31" spans="1:55">
      <c r="A31" s="67">
        <f t="shared" si="10"/>
        <v>37681</v>
      </c>
      <c r="B31" s="69">
        <f t="shared" si="36"/>
        <v>40000</v>
      </c>
      <c r="C31" s="71"/>
      <c r="D31" s="69">
        <f t="shared" si="37"/>
        <v>40000</v>
      </c>
      <c r="E31" s="70">
        <f t="shared" si="1"/>
        <v>1240000</v>
      </c>
      <c r="F31" s="70">
        <f t="shared" ca="1" si="2"/>
        <v>1040937.0650225683</v>
      </c>
      <c r="G31" s="63">
        <f t="shared" si="11"/>
        <v>4.3079999999999998</v>
      </c>
      <c r="H31" s="64">
        <f t="shared" si="12"/>
        <v>4.3079999999999998</v>
      </c>
      <c r="I31" s="43"/>
      <c r="J31" s="63">
        <f t="shared" si="13"/>
        <v>0.33</v>
      </c>
      <c r="K31" s="64">
        <f t="shared" si="14"/>
        <v>0.33</v>
      </c>
      <c r="L31" s="63">
        <f t="shared" si="15"/>
        <v>0</v>
      </c>
      <c r="M31" s="64">
        <f t="shared" si="16"/>
        <v>0</v>
      </c>
      <c r="N31" s="65"/>
      <c r="O31" s="63">
        <f t="shared" si="17"/>
        <v>4.6379999999999999</v>
      </c>
      <c r="P31" s="63">
        <f t="shared" si="18"/>
        <v>4.6379999999999999</v>
      </c>
      <c r="Q31" s="66"/>
      <c r="R31" s="63">
        <f t="shared" si="19"/>
        <v>-8.5000000000000006E-2</v>
      </c>
      <c r="S31" s="64">
        <f t="shared" si="20"/>
        <v>-8.5000000000000006E-2</v>
      </c>
      <c r="T31" s="63">
        <f t="shared" si="21"/>
        <v>0.01</v>
      </c>
      <c r="U31" s="64">
        <f t="shared" si="22"/>
        <v>0.01</v>
      </c>
      <c r="V31" s="207">
        <f>IF($A32="","",IF(AND(MONTH(A31)&gt;3,MONTH(A31)&lt;11),(T31+R31+G31)*Summary!$T$7/(1-Summary!$T$7),(T31+R31+G31)*Summary!$U$7/(1-Summary!$U$7)))</f>
        <v>0.20457207254429186</v>
      </c>
      <c r="W31" s="63">
        <f t="shared" si="23"/>
        <v>4.4375720725442918</v>
      </c>
      <c r="X31" s="63">
        <f t="shared" si="24"/>
        <v>4.4375720725442918</v>
      </c>
      <c r="Y31" s="43"/>
      <c r="Z31" s="38">
        <f t="shared" si="25"/>
        <v>0.75</v>
      </c>
      <c r="AA31" s="38">
        <f t="shared" si="25"/>
        <v>0.34800000000000003</v>
      </c>
      <c r="AB31" s="38">
        <f t="shared" ca="1" si="3"/>
        <v>0.36687867245908901</v>
      </c>
      <c r="AC31" s="38">
        <f t="shared" si="25"/>
        <v>0.75</v>
      </c>
      <c r="AD31" s="38">
        <f t="shared" si="25"/>
        <v>0.33800000000000002</v>
      </c>
      <c r="AE31" s="38">
        <f t="shared" ca="1" si="4"/>
        <v>0.35739262306726582</v>
      </c>
      <c r="AF31" s="238">
        <f ca="1">((Summary!$N$7*(AA31*AD31)*(A31-$D$3))+(Summary!$M$7*Z31*AC31*(DAY(EOMONTH(A31,0))/2)))/(AK31*AB31*AE31)</f>
        <v>0.99987138375691287</v>
      </c>
      <c r="AG31" s="88">
        <f>IF($A32="","",Summary!$Q$7)</f>
        <v>0</v>
      </c>
      <c r="AH31" s="88">
        <f>IF($A32="","",IF(Summary!$R$7="Y",(VLOOKUP($A31,Summary!$AD$6:$AF$9,3)+'Escalating commodity'!C44),'Escalating commodity'!C44))</f>
        <v>2.2746000000000002E-2</v>
      </c>
      <c r="AI31" s="88">
        <f t="shared" si="26"/>
        <v>2.2746000000000002E-2</v>
      </c>
      <c r="AJ31" s="236">
        <f t="shared" si="5"/>
        <v>37695.5</v>
      </c>
      <c r="AK31" s="58">
        <f t="shared" ca="1" si="27"/>
        <v>655</v>
      </c>
      <c r="AL31" s="26">
        <f ca="1">IF($A32="","",_xll.SPRDOPT(P31,X31,AI31,0,AB31,AE31,AF31,AK31,$AJ$2,0))</f>
        <v>0.17841851788665203</v>
      </c>
      <c r="AM31" s="209">
        <f t="shared" si="6"/>
        <v>0.17768192745570816</v>
      </c>
      <c r="AN31" s="89">
        <f t="shared" ca="1" si="28"/>
        <v>7.3659043094387311E-4</v>
      </c>
      <c r="AO31" s="3">
        <f t="shared" si="29"/>
        <v>31</v>
      </c>
      <c r="AP31" s="33">
        <f t="shared" si="30"/>
        <v>37681</v>
      </c>
      <c r="AQ31" s="58">
        <f t="shared" ca="1" si="7"/>
        <v>655</v>
      </c>
      <c r="AR31" s="38">
        <f>IF(Summary!$H$2=1,VLOOKUP('ANR OK vs ML7'!A31,Curves!$C$17:$AR$273,MATCH('ANR OK vs ML7'!$AR$4,Curves!$C$8:$AQ$8,0)),0.1)</f>
        <v>0.1</v>
      </c>
      <c r="AS31" s="35">
        <f t="shared" ca="1" si="8"/>
        <v>0.83946537501820029</v>
      </c>
      <c r="AT31" s="3">
        <f t="shared" si="31"/>
        <v>1</v>
      </c>
      <c r="AU31" s="3">
        <f t="shared" si="9"/>
        <v>31</v>
      </c>
      <c r="AW31" s="32">
        <f t="shared" ca="1" si="32"/>
        <v>221238.96217944851</v>
      </c>
      <c r="AX31" s="32">
        <f t="shared" si="33"/>
        <v>220325.5900450781</v>
      </c>
      <c r="AY31" s="32">
        <f t="shared" ca="1" si="34"/>
        <v>913.3721343704027</v>
      </c>
      <c r="BA31" s="32">
        <f ca="1">IF($A32="","",F31*Summary!$Q$7)</f>
        <v>0</v>
      </c>
      <c r="BC31" s="256">
        <f t="shared" ca="1" si="35"/>
        <v>184955.70407329776</v>
      </c>
    </row>
    <row r="32" spans="1:55">
      <c r="A32" s="67">
        <f t="shared" si="10"/>
        <v>37712</v>
      </c>
      <c r="B32" s="69">
        <f t="shared" si="36"/>
        <v>40000</v>
      </c>
      <c r="C32" s="71"/>
      <c r="D32" s="69">
        <f t="shared" si="37"/>
        <v>40000</v>
      </c>
      <c r="E32" s="70">
        <f t="shared" si="1"/>
        <v>1200000</v>
      </c>
      <c r="F32" s="70">
        <f t="shared" ca="1" si="2"/>
        <v>999049.98851756763</v>
      </c>
      <c r="G32" s="63">
        <f t="shared" si="11"/>
        <v>3.98</v>
      </c>
      <c r="H32" s="64">
        <f t="shared" si="12"/>
        <v>3.98</v>
      </c>
      <c r="I32" s="43"/>
      <c r="J32" s="63">
        <f t="shared" si="13"/>
        <v>0.22500000000000001</v>
      </c>
      <c r="K32" s="64">
        <f t="shared" si="14"/>
        <v>0.22500000000000001</v>
      </c>
      <c r="L32" s="63">
        <f t="shared" si="15"/>
        <v>0</v>
      </c>
      <c r="M32" s="64">
        <f t="shared" si="16"/>
        <v>0</v>
      </c>
      <c r="N32" s="65"/>
      <c r="O32" s="63">
        <f t="shared" si="17"/>
        <v>4.2050000000000001</v>
      </c>
      <c r="P32" s="63">
        <f t="shared" si="18"/>
        <v>4.2050000000000001</v>
      </c>
      <c r="Q32" s="66"/>
      <c r="R32" s="63">
        <f t="shared" si="19"/>
        <v>-0.09</v>
      </c>
      <c r="S32" s="64">
        <f t="shared" si="20"/>
        <v>-0.09</v>
      </c>
      <c r="T32" s="63">
        <f t="shared" si="21"/>
        <v>-0.01</v>
      </c>
      <c r="U32" s="64">
        <f t="shared" si="22"/>
        <v>-0.01</v>
      </c>
      <c r="V32" s="207">
        <f>IF($A33="","",IF(AND(MONTH(A32)&gt;3,MONTH(A32)&lt;11),(T32+R32+G32)*Summary!$T$7/(1-Summary!$T$7),(T32+R32+G32)*Summary!$U$7/(1-Summary!$U$7)))</f>
        <v>0.18751231785302444</v>
      </c>
      <c r="W32" s="63">
        <f t="shared" si="23"/>
        <v>4.0675123178530246</v>
      </c>
      <c r="X32" s="63">
        <f t="shared" si="24"/>
        <v>4.0675123178530246</v>
      </c>
      <c r="Y32" s="43"/>
      <c r="Z32" s="38">
        <f t="shared" si="25"/>
        <v>0.45</v>
      </c>
      <c r="AA32" s="38">
        <f t="shared" si="25"/>
        <v>0.33</v>
      </c>
      <c r="AB32" s="38">
        <f t="shared" ca="1" si="3"/>
        <v>0.33687770618027368</v>
      </c>
      <c r="AC32" s="38">
        <f t="shared" si="25"/>
        <v>0.4</v>
      </c>
      <c r="AD32" s="38">
        <f t="shared" si="25"/>
        <v>0.32</v>
      </c>
      <c r="AE32" s="38">
        <f t="shared" ca="1" si="4"/>
        <v>0.32564983250583551</v>
      </c>
      <c r="AF32" s="238">
        <f ca="1">((Summary!$N$7*(AA32*AD32)*(A32-$D$3))+(Summary!$M$7*Z32*AC32*(DAY(EOMONTH(A32,0))/2)))/(AK32*AB32*AE32)</f>
        <v>0.99977258778681866</v>
      </c>
      <c r="AG32" s="88">
        <f>IF($A33="","",Summary!$Q$7)</f>
        <v>0</v>
      </c>
      <c r="AH32" s="88">
        <f>IF($A33="","",IF(Summary!$R$7="Y",(VLOOKUP($A32,Summary!$AD$6:$AF$9,3)+'Escalating commodity'!C45),'Escalating commodity'!C45))</f>
        <v>2.2746000000000002E-2</v>
      </c>
      <c r="AI32" s="88">
        <f t="shared" si="26"/>
        <v>2.2746000000000002E-2</v>
      </c>
      <c r="AJ32" s="236">
        <f t="shared" si="5"/>
        <v>37726</v>
      </c>
      <c r="AK32" s="58">
        <f t="shared" ca="1" si="27"/>
        <v>686</v>
      </c>
      <c r="AL32" s="26">
        <f ca="1">IF($A33="","",_xll.SPRDOPT(P32,X32,AI32,0,AB32,AE32,AF32,AK32,$AJ$2,0))</f>
        <v>0.11870766290146502</v>
      </c>
      <c r="AM32" s="209">
        <f t="shared" si="6"/>
        <v>0.11474168214697548</v>
      </c>
      <c r="AN32" s="89">
        <f t="shared" ca="1" si="28"/>
        <v>3.9659807544895342E-3</v>
      </c>
      <c r="AO32" s="3">
        <f t="shared" si="29"/>
        <v>30</v>
      </c>
      <c r="AP32" s="33">
        <f t="shared" si="30"/>
        <v>37712</v>
      </c>
      <c r="AQ32" s="58">
        <f t="shared" ca="1" si="7"/>
        <v>686</v>
      </c>
      <c r="AR32" s="38">
        <f>IF(Summary!$H$2=1,VLOOKUP('ANR OK vs ML7'!A32,Curves!$C$17:$AR$273,MATCH('ANR OK vs ML7'!$AR$4,Curves!$C$8:$AQ$8,0)),0.1)</f>
        <v>0.1</v>
      </c>
      <c r="AS32" s="35">
        <f t="shared" ca="1" si="8"/>
        <v>0.83254165709797301</v>
      </c>
      <c r="AT32" s="3">
        <f t="shared" si="31"/>
        <v>1</v>
      </c>
      <c r="AU32" s="3">
        <f t="shared" si="9"/>
        <v>30</v>
      </c>
      <c r="AW32" s="32">
        <f t="shared" ca="1" si="32"/>
        <v>142449.19548175801</v>
      </c>
      <c r="AX32" s="32">
        <f t="shared" si="33"/>
        <v>137690.01857637058</v>
      </c>
      <c r="AY32" s="32">
        <f t="shared" ca="1" si="34"/>
        <v>4759.1769053874414</v>
      </c>
      <c r="BA32" s="32">
        <f ca="1">IF($A33="","",F32*Summary!$Q$7)</f>
        <v>0</v>
      </c>
      <c r="BC32" s="256">
        <f t="shared" ca="1" si="35"/>
        <v>114632.67623142226</v>
      </c>
    </row>
    <row r="33" spans="1:55">
      <c r="A33" s="67">
        <f t="shared" si="10"/>
        <v>37742</v>
      </c>
      <c r="B33" s="69">
        <f t="shared" si="36"/>
        <v>40000</v>
      </c>
      <c r="C33" s="71"/>
      <c r="D33" s="69">
        <f t="shared" si="37"/>
        <v>40000</v>
      </c>
      <c r="E33" s="70">
        <f t="shared" si="1"/>
        <v>1240000</v>
      </c>
      <c r="F33" s="70">
        <f t="shared" ca="1" si="2"/>
        <v>1024110.6203119201</v>
      </c>
      <c r="G33" s="63">
        <f t="shared" si="11"/>
        <v>3.94</v>
      </c>
      <c r="H33" s="64">
        <f t="shared" si="12"/>
        <v>3.94</v>
      </c>
      <c r="I33" s="43"/>
      <c r="J33" s="63">
        <f t="shared" si="13"/>
        <v>0.22500000000000001</v>
      </c>
      <c r="K33" s="64">
        <f t="shared" si="14"/>
        <v>0.22500000000000001</v>
      </c>
      <c r="L33" s="63">
        <f t="shared" si="15"/>
        <v>0</v>
      </c>
      <c r="M33" s="64">
        <f t="shared" si="16"/>
        <v>0</v>
      </c>
      <c r="N33" s="65"/>
      <c r="O33" s="63">
        <f t="shared" si="17"/>
        <v>4.165</v>
      </c>
      <c r="P33" s="63">
        <f t="shared" si="18"/>
        <v>4.165</v>
      </c>
      <c r="Q33" s="66"/>
      <c r="R33" s="63">
        <f t="shared" si="19"/>
        <v>-0.09</v>
      </c>
      <c r="S33" s="64">
        <f t="shared" si="20"/>
        <v>-0.09</v>
      </c>
      <c r="T33" s="63">
        <f t="shared" si="21"/>
        <v>-0.01</v>
      </c>
      <c r="U33" s="64">
        <f t="shared" si="22"/>
        <v>-0.01</v>
      </c>
      <c r="V33" s="207">
        <f>IF($A34="","",IF(AND(MONTH(A33)&gt;3,MONTH(A33)&lt;11),(T33+R33+G33)*Summary!$T$7/(1-Summary!$T$7),(T33+R33+G33)*Summary!$U$7/(1-Summary!$U$7)))</f>
        <v>0.1855792011741273</v>
      </c>
      <c r="W33" s="63">
        <f t="shared" si="23"/>
        <v>4.0255792011741267</v>
      </c>
      <c r="X33" s="63">
        <f t="shared" si="24"/>
        <v>4.0255792011741267</v>
      </c>
      <c r="Y33" s="43"/>
      <c r="Z33" s="38">
        <f t="shared" si="25"/>
        <v>0.5</v>
      </c>
      <c r="AA33" s="38">
        <f t="shared" si="25"/>
        <v>0.32700000000000001</v>
      </c>
      <c r="AB33" s="38">
        <f t="shared" ca="1" si="3"/>
        <v>0.33539581594282797</v>
      </c>
      <c r="AC33" s="38">
        <f t="shared" si="25"/>
        <v>0.4</v>
      </c>
      <c r="AD33" s="38">
        <f t="shared" si="25"/>
        <v>0.318</v>
      </c>
      <c r="AE33" s="38">
        <f t="shared" ca="1" si="4"/>
        <v>0.32361848183889236</v>
      </c>
      <c r="AF33" s="238">
        <f ca="1">((Summary!$N$7*(AA33*AD33)*(A33-$D$3))+(Summary!$M$7*Z33*AC33*(DAY(EOMONTH(A33,0))/2)))/(AK33*AB33*AE33)</f>
        <v>0.99917213123416815</v>
      </c>
      <c r="AG33" s="88">
        <f>IF($A34="","",Summary!$Q$7)</f>
        <v>0</v>
      </c>
      <c r="AH33" s="88">
        <f>IF($A34="","",IF(Summary!$R$7="Y",(VLOOKUP($A33,Summary!$AD$6:$AF$9,3)+'Escalating commodity'!C46),'Escalating commodity'!C46))</f>
        <v>2.2746000000000002E-2</v>
      </c>
      <c r="AI33" s="88">
        <f t="shared" si="26"/>
        <v>2.2746000000000002E-2</v>
      </c>
      <c r="AJ33" s="236">
        <f t="shared" si="5"/>
        <v>37756.5</v>
      </c>
      <c r="AK33" s="58">
        <f t="shared" ca="1" si="27"/>
        <v>716</v>
      </c>
      <c r="AL33" s="26">
        <f ca="1">IF($A34="","",_xll.SPRDOPT(P33,X33,AI33,0,AB33,AE33,AF33,AK33,$AJ$2,0))</f>
        <v>0.12510488405664275</v>
      </c>
      <c r="AM33" s="209">
        <f t="shared" si="6"/>
        <v>0.11667479882587332</v>
      </c>
      <c r="AN33" s="89">
        <f t="shared" ca="1" si="28"/>
        <v>8.4300852307694213E-3</v>
      </c>
      <c r="AO33" s="3">
        <f t="shared" si="29"/>
        <v>31</v>
      </c>
      <c r="AP33" s="33">
        <f t="shared" si="30"/>
        <v>37742</v>
      </c>
      <c r="AQ33" s="58">
        <f t="shared" ca="1" si="7"/>
        <v>716</v>
      </c>
      <c r="AR33" s="38">
        <f>IF(Summary!$H$2=1,VLOOKUP('ANR OK vs ML7'!A33,Curves!$C$17:$AR$273,MATCH('ANR OK vs ML7'!$AR$4,Curves!$C$8:$AQ$8,0)),0.1)</f>
        <v>0.1</v>
      </c>
      <c r="AS33" s="35">
        <f t="shared" ca="1" si="8"/>
        <v>0.825895661541871</v>
      </c>
      <c r="AT33" s="3">
        <f t="shared" si="31"/>
        <v>1</v>
      </c>
      <c r="AU33" s="3">
        <f t="shared" si="9"/>
        <v>31</v>
      </c>
      <c r="AW33" s="32">
        <f t="shared" ca="1" si="32"/>
        <v>155130.05623023701</v>
      </c>
      <c r="AX33" s="32">
        <f t="shared" si="33"/>
        <v>144676.75054408293</v>
      </c>
      <c r="AY33" s="32">
        <f t="shared" ca="1" si="34"/>
        <v>10453.305686154083</v>
      </c>
      <c r="BA33" s="32">
        <f ca="1">IF($A34="","",F33*Summary!$Q$7)</f>
        <v>0</v>
      </c>
      <c r="BC33" s="256">
        <f t="shared" ca="1" si="35"/>
        <v>119487.90060033361</v>
      </c>
    </row>
    <row r="34" spans="1:55">
      <c r="A34" s="67">
        <f t="shared" si="10"/>
        <v>37773</v>
      </c>
      <c r="B34" s="69">
        <f t="shared" si="36"/>
        <v>40000</v>
      </c>
      <c r="C34" s="71"/>
      <c r="D34" s="69">
        <f t="shared" si="37"/>
        <v>40000</v>
      </c>
      <c r="E34" s="70">
        <f t="shared" si="1"/>
        <v>1200000</v>
      </c>
      <c r="F34" s="70">
        <f t="shared" ca="1" si="2"/>
        <v>982900.63620816532</v>
      </c>
      <c r="G34" s="63">
        <f t="shared" si="11"/>
        <v>3.97</v>
      </c>
      <c r="H34" s="64">
        <f t="shared" si="12"/>
        <v>3.97</v>
      </c>
      <c r="I34" s="43"/>
      <c r="J34" s="63">
        <f t="shared" si="13"/>
        <v>0.22500000000000001</v>
      </c>
      <c r="K34" s="64">
        <f t="shared" si="14"/>
        <v>0.22500000000000001</v>
      </c>
      <c r="L34" s="63">
        <f t="shared" si="15"/>
        <v>0</v>
      </c>
      <c r="M34" s="64">
        <f t="shared" si="16"/>
        <v>0</v>
      </c>
      <c r="N34" s="65"/>
      <c r="O34" s="63">
        <f t="shared" si="17"/>
        <v>4.1950000000000003</v>
      </c>
      <c r="P34" s="63">
        <f t="shared" si="18"/>
        <v>4.1950000000000003</v>
      </c>
      <c r="Q34" s="66"/>
      <c r="R34" s="63">
        <f t="shared" si="19"/>
        <v>-0.09</v>
      </c>
      <c r="S34" s="64">
        <f t="shared" si="20"/>
        <v>-0.09</v>
      </c>
      <c r="T34" s="63">
        <f t="shared" si="21"/>
        <v>-0.01</v>
      </c>
      <c r="U34" s="64">
        <f t="shared" si="22"/>
        <v>-0.01</v>
      </c>
      <c r="V34" s="207">
        <f>IF($A35="","",IF(AND(MONTH(A34)&gt;3,MONTH(A34)&lt;11),(T34+R34+G34)*Summary!$T$7/(1-Summary!$T$7),(T34+R34+G34)*Summary!$U$7/(1-Summary!$U$7)))</f>
        <v>0.18702903868330015</v>
      </c>
      <c r="W34" s="63">
        <f t="shared" si="23"/>
        <v>4.0570290386833001</v>
      </c>
      <c r="X34" s="63">
        <f t="shared" si="24"/>
        <v>4.0570290386833001</v>
      </c>
      <c r="Y34" s="43"/>
      <c r="Z34" s="38">
        <f t="shared" si="25"/>
        <v>0.5</v>
      </c>
      <c r="AA34" s="38">
        <f t="shared" si="25"/>
        <v>0.32700000000000001</v>
      </c>
      <c r="AB34" s="38">
        <f t="shared" ca="1" si="3"/>
        <v>0.33480176955864255</v>
      </c>
      <c r="AC34" s="38">
        <f t="shared" si="25"/>
        <v>0.4</v>
      </c>
      <c r="AD34" s="38">
        <f t="shared" si="25"/>
        <v>0.318</v>
      </c>
      <c r="AE34" s="38">
        <f t="shared" ca="1" si="4"/>
        <v>0.32322163433099338</v>
      </c>
      <c r="AF34" s="238">
        <f ca="1">((Summary!$N$7*(AA34*AD34)*(A34-$D$3))+(Summary!$M$7*Z34*AC34*(DAY(EOMONTH(A34,0))/2)))/(AK34*AB34*AE34)</f>
        <v>0.99922082482678021</v>
      </c>
      <c r="AG34" s="88">
        <f>IF($A35="","",Summary!$Q$7)</f>
        <v>0</v>
      </c>
      <c r="AH34" s="88">
        <f>IF($A35="","",IF(Summary!$R$7="Y",(VLOOKUP($A34,Summary!$AD$6:$AF$9,3)+'Escalating commodity'!C47),'Escalating commodity'!C47))</f>
        <v>2.2746000000000002E-2</v>
      </c>
      <c r="AI34" s="88">
        <f t="shared" si="26"/>
        <v>2.2746000000000002E-2</v>
      </c>
      <c r="AJ34" s="236">
        <f t="shared" si="5"/>
        <v>37787</v>
      </c>
      <c r="AK34" s="58">
        <f t="shared" ca="1" si="27"/>
        <v>747</v>
      </c>
      <c r="AL34" s="26">
        <f ca="1">IF($A35="","",_xll.SPRDOPT(P34,X34,AI34,0,AB34,AE34,AF34,AK34,$AJ$2,0))</f>
        <v>0.1240126071800861</v>
      </c>
      <c r="AM34" s="209">
        <f t="shared" si="6"/>
        <v>0.11522496131670017</v>
      </c>
      <c r="AN34" s="89">
        <f t="shared" ca="1" si="28"/>
        <v>8.7876458633859289E-3</v>
      </c>
      <c r="AO34" s="3">
        <f t="shared" si="29"/>
        <v>30</v>
      </c>
      <c r="AP34" s="33">
        <f t="shared" si="30"/>
        <v>37773</v>
      </c>
      <c r="AQ34" s="58">
        <f t="shared" ca="1" si="7"/>
        <v>747</v>
      </c>
      <c r="AR34" s="38">
        <f>IF(Summary!$H$2=1,VLOOKUP('ANR OK vs ML7'!A34,Curves!$C$17:$AR$273,MATCH('ANR OK vs ML7'!$AR$4,Curves!$C$8:$AQ$8,0)),0.1)</f>
        <v>0.1</v>
      </c>
      <c r="AS34" s="35">
        <f t="shared" ca="1" si="8"/>
        <v>0.8190838635068044</v>
      </c>
      <c r="AT34" s="3">
        <f t="shared" si="31"/>
        <v>1</v>
      </c>
      <c r="AU34" s="3">
        <f t="shared" si="9"/>
        <v>30</v>
      </c>
      <c r="AW34" s="32">
        <f t="shared" ca="1" si="32"/>
        <v>148815.12861610332</v>
      </c>
      <c r="AX34" s="32">
        <f t="shared" si="33"/>
        <v>138269.95358004019</v>
      </c>
      <c r="AY34" s="32">
        <f t="shared" ca="1" si="34"/>
        <v>10545.175036063114</v>
      </c>
      <c r="BA34" s="32">
        <f ca="1">IF($A35="","",F34*Summary!$Q$7)</f>
        <v>0</v>
      </c>
      <c r="BC34" s="256">
        <f t="shared" ca="1" si="35"/>
        <v>113254.68778524583</v>
      </c>
    </row>
    <row r="35" spans="1:55">
      <c r="A35" s="67">
        <f t="shared" si="10"/>
        <v>37803</v>
      </c>
      <c r="B35" s="69">
        <f t="shared" si="36"/>
        <v>40000</v>
      </c>
      <c r="C35" s="71"/>
      <c r="D35" s="69">
        <f t="shared" si="37"/>
        <v>40000</v>
      </c>
      <c r="E35" s="70">
        <f t="shared" si="1"/>
        <v>1240000</v>
      </c>
      <c r="F35" s="70">
        <f t="shared" ca="1" si="2"/>
        <v>1007556.1701829945</v>
      </c>
      <c r="G35" s="63">
        <f t="shared" si="11"/>
        <v>4.01</v>
      </c>
      <c r="H35" s="64">
        <f t="shared" si="12"/>
        <v>4.01</v>
      </c>
      <c r="I35" s="43"/>
      <c r="J35" s="63">
        <f t="shared" si="13"/>
        <v>0.22500000000000001</v>
      </c>
      <c r="K35" s="64">
        <f t="shared" si="14"/>
        <v>0.22500000000000001</v>
      </c>
      <c r="L35" s="63">
        <f t="shared" si="15"/>
        <v>0</v>
      </c>
      <c r="M35" s="64">
        <f t="shared" si="16"/>
        <v>0</v>
      </c>
      <c r="N35" s="65"/>
      <c r="O35" s="63">
        <f t="shared" si="17"/>
        <v>4.2349999999999994</v>
      </c>
      <c r="P35" s="63">
        <f t="shared" si="18"/>
        <v>4.2349999999999994</v>
      </c>
      <c r="Q35" s="66"/>
      <c r="R35" s="63">
        <f t="shared" si="19"/>
        <v>-0.09</v>
      </c>
      <c r="S35" s="64">
        <f t="shared" si="20"/>
        <v>-0.09</v>
      </c>
      <c r="T35" s="63">
        <f t="shared" si="21"/>
        <v>-0.01</v>
      </c>
      <c r="U35" s="64">
        <f t="shared" si="22"/>
        <v>-0.01</v>
      </c>
      <c r="V35" s="207">
        <f>IF($A36="","",IF(AND(MONTH(A35)&gt;3,MONTH(A35)&lt;11),(T35+R35+G35)*Summary!$T$7/(1-Summary!$T$7),(T35+R35+G35)*Summary!$U$7/(1-Summary!$U$7)))</f>
        <v>0.18896215536219729</v>
      </c>
      <c r="W35" s="63">
        <f t="shared" si="23"/>
        <v>4.0989621553621971</v>
      </c>
      <c r="X35" s="63">
        <f t="shared" si="24"/>
        <v>4.0989621553621971</v>
      </c>
      <c r="Y35" s="43"/>
      <c r="Z35" s="38">
        <f t="shared" si="25"/>
        <v>0.55000000000000004</v>
      </c>
      <c r="AA35" s="38">
        <f t="shared" si="25"/>
        <v>0.32700000000000001</v>
      </c>
      <c r="AB35" s="38">
        <f t="shared" ca="1" si="3"/>
        <v>0.33630498813583637</v>
      </c>
      <c r="AC35" s="38">
        <f t="shared" si="25"/>
        <v>0.4</v>
      </c>
      <c r="AD35" s="38">
        <f t="shared" si="25"/>
        <v>0.318</v>
      </c>
      <c r="AE35" s="38">
        <f t="shared" ca="1" si="4"/>
        <v>0.32318092442146074</v>
      </c>
      <c r="AF35" s="238">
        <f ca="1">((Summary!$N$7*(AA35*AD35)*(A35-$D$3))+(Summary!$M$7*Z35*AC35*(DAY(EOMONTH(A35,0))/2)))/(AK35*AB35*AE35)</f>
        <v>0.99825863433337136</v>
      </c>
      <c r="AG35" s="88">
        <f>IF($A36="","",Summary!$Q$7)</f>
        <v>0</v>
      </c>
      <c r="AH35" s="88">
        <f>IF($A36="","",IF(Summary!$R$7="Y",(VLOOKUP($A35,Summary!$AD$6:$AF$9,3)+'Escalating commodity'!C48),'Escalating commodity'!C48))</f>
        <v>2.2746000000000002E-2</v>
      </c>
      <c r="AI35" s="88">
        <f t="shared" si="26"/>
        <v>2.2746000000000002E-2</v>
      </c>
      <c r="AJ35" s="236">
        <f t="shared" si="5"/>
        <v>37817.5</v>
      </c>
      <c r="AK35" s="58">
        <f t="shared" ca="1" si="27"/>
        <v>777</v>
      </c>
      <c r="AL35" s="26">
        <f ca="1">IF($A36="","",_xll.SPRDOPT(P35,X35,AI35,0,AB35,AE35,AF35,AK35,$AJ$2,0))</f>
        <v>0.1327080442571025</v>
      </c>
      <c r="AM35" s="209">
        <f t="shared" si="6"/>
        <v>0.11329184463780233</v>
      </c>
      <c r="AN35" s="89">
        <f t="shared" ca="1" si="28"/>
        <v>1.9416199619300176E-2</v>
      </c>
      <c r="AO35" s="3">
        <f t="shared" si="29"/>
        <v>31</v>
      </c>
      <c r="AP35" s="33">
        <f t="shared" si="30"/>
        <v>37803</v>
      </c>
      <c r="AQ35" s="58">
        <f t="shared" ca="1" si="7"/>
        <v>777</v>
      </c>
      <c r="AR35" s="38">
        <f>IF(Summary!$H$2=1,VLOOKUP('ANR OK vs ML7'!A35,Curves!$C$17:$AR$273,MATCH('ANR OK vs ML7'!$AR$4,Curves!$C$8:$AQ$8,0)),0.1)</f>
        <v>0.1</v>
      </c>
      <c r="AS35" s="35">
        <f t="shared" ca="1" si="8"/>
        <v>0.81254529853467294</v>
      </c>
      <c r="AT35" s="3">
        <f t="shared" si="31"/>
        <v>1</v>
      </c>
      <c r="AU35" s="3">
        <f t="shared" si="9"/>
        <v>31</v>
      </c>
      <c r="AW35" s="32">
        <f t="shared" ca="1" si="32"/>
        <v>164557.97487880712</v>
      </c>
      <c r="AX35" s="32">
        <f t="shared" si="33"/>
        <v>140481.88735087489</v>
      </c>
      <c r="AY35" s="32">
        <f t="shared" ca="1" si="34"/>
        <v>24076.087527932217</v>
      </c>
      <c r="BA35" s="32">
        <f ca="1">IF($A36="","",F35*Summary!$Q$7)</f>
        <v>0</v>
      </c>
      <c r="BC35" s="256">
        <f t="shared" ca="1" si="35"/>
        <v>114147.89709623092</v>
      </c>
    </row>
    <row r="36" spans="1:55">
      <c r="A36" s="67">
        <f t="shared" si="10"/>
        <v>37834</v>
      </c>
      <c r="B36" s="69">
        <f t="shared" si="36"/>
        <v>40000</v>
      </c>
      <c r="C36" s="71"/>
      <c r="D36" s="69">
        <f t="shared" si="37"/>
        <v>40000</v>
      </c>
      <c r="E36" s="70">
        <f t="shared" si="1"/>
        <v>1240000</v>
      </c>
      <c r="F36" s="70">
        <f t="shared" ca="1" si="2"/>
        <v>999246.07792817045</v>
      </c>
      <c r="G36" s="63">
        <f t="shared" si="11"/>
        <v>4.056</v>
      </c>
      <c r="H36" s="64">
        <f t="shared" si="12"/>
        <v>4.056</v>
      </c>
      <c r="I36" s="43"/>
      <c r="J36" s="63">
        <f t="shared" si="13"/>
        <v>0.22500000000000001</v>
      </c>
      <c r="K36" s="64">
        <f t="shared" si="14"/>
        <v>0.22500000000000001</v>
      </c>
      <c r="L36" s="63">
        <f t="shared" si="15"/>
        <v>0</v>
      </c>
      <c r="M36" s="64">
        <f t="shared" si="16"/>
        <v>0</v>
      </c>
      <c r="N36" s="65"/>
      <c r="O36" s="63">
        <f t="shared" si="17"/>
        <v>4.2809999999999997</v>
      </c>
      <c r="P36" s="63">
        <f t="shared" si="18"/>
        <v>4.2809999999999997</v>
      </c>
      <c r="Q36" s="66"/>
      <c r="R36" s="63">
        <f t="shared" si="19"/>
        <v>-0.09</v>
      </c>
      <c r="S36" s="64">
        <f t="shared" si="20"/>
        <v>-0.09</v>
      </c>
      <c r="T36" s="63">
        <f t="shared" si="21"/>
        <v>-0.01</v>
      </c>
      <c r="U36" s="64">
        <f t="shared" si="22"/>
        <v>-0.01</v>
      </c>
      <c r="V36" s="207">
        <f>IF($A37="","",IF(AND(MONTH(A36)&gt;3,MONTH(A36)&lt;11),(T36+R36+G36)*Summary!$T$7/(1-Summary!$T$7),(T36+R36+G36)*Summary!$U$7/(1-Summary!$U$7)))</f>
        <v>0.19118523954292904</v>
      </c>
      <c r="W36" s="63">
        <f t="shared" si="23"/>
        <v>4.1471852395429289</v>
      </c>
      <c r="X36" s="63">
        <f t="shared" si="24"/>
        <v>4.1471852395429289</v>
      </c>
      <c r="Y36" s="43"/>
      <c r="Z36" s="38">
        <f t="shared" si="25"/>
        <v>0.6</v>
      </c>
      <c r="AA36" s="38">
        <f t="shared" si="25"/>
        <v>0.32700000000000001</v>
      </c>
      <c r="AB36" s="38">
        <f t="shared" ca="1" si="3"/>
        <v>0.33759040043423411</v>
      </c>
      <c r="AC36" s="38">
        <f t="shared" si="25"/>
        <v>0.5</v>
      </c>
      <c r="AD36" s="38">
        <f t="shared" si="25"/>
        <v>0.318</v>
      </c>
      <c r="AE36" s="38">
        <f t="shared" ca="1" si="4"/>
        <v>0.32564542917804706</v>
      </c>
      <c r="AF36" s="238">
        <f ca="1">((Summary!$N$7*(AA36*AD36)*(A36-$D$3))+(Summary!$M$7*Z36*AC36*(DAY(EOMONTH(A36,0))/2)))/(AK36*AB36*AE36)</f>
        <v>0.99931289922950561</v>
      </c>
      <c r="AG36" s="88">
        <f>IF($A37="","",Summary!$Q$7)</f>
        <v>0</v>
      </c>
      <c r="AH36" s="88">
        <f>IF($A37="","",IF(Summary!$R$7="Y",(VLOOKUP($A36,Summary!$AD$6:$AF$9,3)+'Escalating commodity'!C49),'Escalating commodity'!C49))</f>
        <v>2.2746000000000002E-2</v>
      </c>
      <c r="AI36" s="88">
        <f t="shared" si="26"/>
        <v>2.2746000000000002E-2</v>
      </c>
      <c r="AJ36" s="236">
        <f t="shared" si="5"/>
        <v>37848.5</v>
      </c>
      <c r="AK36" s="58">
        <f t="shared" ca="1" si="27"/>
        <v>808</v>
      </c>
      <c r="AL36" s="26">
        <f ca="1">IF($A37="","",_xll.SPRDOPT(P36,X36,AI36,0,AB36,AE36,AF36,AK36,$AJ$2,0))</f>
        <v>0.1218568242496538</v>
      </c>
      <c r="AM36" s="209">
        <f t="shared" si="6"/>
        <v>0.11106876045707074</v>
      </c>
      <c r="AN36" s="89">
        <f t="shared" ca="1" si="28"/>
        <v>1.0788063792583055E-2</v>
      </c>
      <c r="AO36" s="3">
        <f t="shared" si="29"/>
        <v>31</v>
      </c>
      <c r="AP36" s="33">
        <f t="shared" si="30"/>
        <v>37834</v>
      </c>
      <c r="AQ36" s="58">
        <f t="shared" ca="1" si="7"/>
        <v>808</v>
      </c>
      <c r="AR36" s="38">
        <f>IF(Summary!$H$2=1,VLOOKUP('ANR OK vs ML7'!A36,Curves!$C$17:$AR$273,MATCH('ANR OK vs ML7'!$AR$4,Curves!$C$8:$AQ$8,0)),0.1)</f>
        <v>0.1</v>
      </c>
      <c r="AS36" s="35">
        <f t="shared" ca="1" si="8"/>
        <v>0.80584361123239556</v>
      </c>
      <c r="AT36" s="3">
        <f t="shared" si="31"/>
        <v>1</v>
      </c>
      <c r="AU36" s="3">
        <f t="shared" si="9"/>
        <v>31</v>
      </c>
      <c r="AW36" s="32">
        <f t="shared" ca="1" si="32"/>
        <v>151102.4620695707</v>
      </c>
      <c r="AX36" s="32">
        <f t="shared" si="33"/>
        <v>137725.26296676771</v>
      </c>
      <c r="AY36" s="32">
        <f t="shared" ca="1" si="34"/>
        <v>13377.199102802988</v>
      </c>
      <c r="BA36" s="32">
        <f ca="1">IF($A37="","",F36*Summary!$Q$7)</f>
        <v>0</v>
      </c>
      <c r="BC36" s="256">
        <f t="shared" ca="1" si="35"/>
        <v>110985.0232670714</v>
      </c>
    </row>
    <row r="37" spans="1:55">
      <c r="A37" s="67">
        <f t="shared" si="10"/>
        <v>37865</v>
      </c>
      <c r="B37" s="69">
        <f t="shared" si="36"/>
        <v>40000</v>
      </c>
      <c r="C37" s="71"/>
      <c r="D37" s="69">
        <f t="shared" si="37"/>
        <v>40000</v>
      </c>
      <c r="E37" s="70">
        <f t="shared" si="1"/>
        <v>1200000</v>
      </c>
      <c r="F37" s="70">
        <f t="shared" ca="1" si="2"/>
        <v>959036.63749231503</v>
      </c>
      <c r="G37" s="63">
        <f t="shared" si="11"/>
        <v>4.0650000000000004</v>
      </c>
      <c r="H37" s="64">
        <f t="shared" si="12"/>
        <v>4.0650000000000004</v>
      </c>
      <c r="I37" s="43"/>
      <c r="J37" s="63">
        <f t="shared" si="13"/>
        <v>0.22500000000000001</v>
      </c>
      <c r="K37" s="64">
        <f t="shared" si="14"/>
        <v>0.22500000000000001</v>
      </c>
      <c r="L37" s="63">
        <f t="shared" si="15"/>
        <v>0</v>
      </c>
      <c r="M37" s="64">
        <f t="shared" si="16"/>
        <v>0</v>
      </c>
      <c r="N37" s="65"/>
      <c r="O37" s="63">
        <f t="shared" si="17"/>
        <v>4.29</v>
      </c>
      <c r="P37" s="63">
        <f t="shared" si="18"/>
        <v>4.29</v>
      </c>
      <c r="Q37" s="66"/>
      <c r="R37" s="63">
        <f t="shared" si="19"/>
        <v>-0.09</v>
      </c>
      <c r="S37" s="64">
        <f t="shared" si="20"/>
        <v>-0.09</v>
      </c>
      <c r="T37" s="63">
        <f t="shared" si="21"/>
        <v>-0.01</v>
      </c>
      <c r="U37" s="64">
        <f t="shared" si="22"/>
        <v>-0.01</v>
      </c>
      <c r="V37" s="207">
        <f>IF($A38="","",IF(AND(MONTH(A37)&gt;3,MONTH(A37)&lt;11),(T37+R37+G37)*Summary!$T$7/(1-Summary!$T$7),(T37+R37+G37)*Summary!$U$7/(1-Summary!$U$7)))</f>
        <v>0.19162019079568091</v>
      </c>
      <c r="W37" s="63">
        <f t="shared" si="23"/>
        <v>4.1566201907956808</v>
      </c>
      <c r="X37" s="63">
        <f t="shared" si="24"/>
        <v>4.1566201907956808</v>
      </c>
      <c r="Y37" s="43"/>
      <c r="Z37" s="38">
        <f t="shared" si="25"/>
        <v>0.6</v>
      </c>
      <c r="AA37" s="38">
        <f t="shared" si="25"/>
        <v>0.32700000000000001</v>
      </c>
      <c r="AB37" s="38">
        <f t="shared" ca="1" si="3"/>
        <v>0.33688674916654826</v>
      </c>
      <c r="AC37" s="38">
        <f t="shared" si="25"/>
        <v>0.55000000000000004</v>
      </c>
      <c r="AD37" s="38">
        <f t="shared" si="25"/>
        <v>0.318</v>
      </c>
      <c r="AE37" s="38">
        <f t="shared" ca="1" si="4"/>
        <v>0.32657733123674026</v>
      </c>
      <c r="AF37" s="238">
        <f ca="1">((Summary!$N$7*(AA37*AD37)*(A37-$D$3))+(Summary!$M$7*Z37*AC37*(DAY(EOMONTH(A37,0))/2)))/(AK37*AB37*AE37)</f>
        <v>0.99981671216187207</v>
      </c>
      <c r="AG37" s="88">
        <f>IF($A38="","",Summary!$Q$7)</f>
        <v>0</v>
      </c>
      <c r="AH37" s="88">
        <f>IF($A38="","",IF(Summary!$R$7="Y",(VLOOKUP($A37,Summary!$AD$6:$AF$9,3)+'Escalating commodity'!C50),'Escalating commodity'!C50))</f>
        <v>2.2746000000000002E-2</v>
      </c>
      <c r="AI37" s="88">
        <f t="shared" si="26"/>
        <v>2.2746000000000002E-2</v>
      </c>
      <c r="AJ37" s="236">
        <f t="shared" si="5"/>
        <v>37879</v>
      </c>
      <c r="AK37" s="58">
        <f t="shared" ca="1" si="27"/>
        <v>839</v>
      </c>
      <c r="AL37" s="26">
        <f ca="1">IF($A38="","",_xll.SPRDOPT(P37,X37,AI37,0,AB37,AE37,AF37,AK37,$AJ$2,0))</f>
        <v>0.11563228699202699</v>
      </c>
      <c r="AM37" s="209">
        <f t="shared" si="6"/>
        <v>0.11063380920431924</v>
      </c>
      <c r="AN37" s="89">
        <f t="shared" ca="1" si="28"/>
        <v>4.9984777877077474E-3</v>
      </c>
      <c r="AO37" s="3">
        <f t="shared" si="29"/>
        <v>30</v>
      </c>
      <c r="AP37" s="33">
        <f t="shared" si="30"/>
        <v>37865</v>
      </c>
      <c r="AQ37" s="58">
        <f t="shared" ca="1" si="7"/>
        <v>839</v>
      </c>
      <c r="AR37" s="38">
        <f>IF(Summary!$H$2=1,VLOOKUP('ANR OK vs ML7'!A37,Curves!$C$17:$AR$273,MATCH('ANR OK vs ML7'!$AR$4,Curves!$C$8:$AQ$8,0)),0.1)</f>
        <v>0.1</v>
      </c>
      <c r="AS37" s="35">
        <f t="shared" ca="1" si="8"/>
        <v>0.79919719791026256</v>
      </c>
      <c r="AT37" s="3">
        <f t="shared" si="31"/>
        <v>1</v>
      </c>
      <c r="AU37" s="3">
        <f t="shared" si="9"/>
        <v>30</v>
      </c>
      <c r="AW37" s="32">
        <f t="shared" ca="1" si="32"/>
        <v>138758.74439043237</v>
      </c>
      <c r="AX37" s="32">
        <f t="shared" si="33"/>
        <v>132760.57104518308</v>
      </c>
      <c r="AY37" s="32">
        <f t="shared" ca="1" si="34"/>
        <v>5998.1733452492972</v>
      </c>
      <c r="BA37" s="32">
        <f ca="1">IF($A38="","",F37*Summary!$Q$7)</f>
        <v>0</v>
      </c>
      <c r="BC37" s="256">
        <f t="shared" ca="1" si="35"/>
        <v>106101.87637227666</v>
      </c>
    </row>
    <row r="38" spans="1:55">
      <c r="A38" s="67">
        <f t="shared" si="10"/>
        <v>37895</v>
      </c>
      <c r="B38" s="69">
        <f t="shared" si="36"/>
        <v>40000</v>
      </c>
      <c r="C38" s="71"/>
      <c r="D38" s="69">
        <f t="shared" si="37"/>
        <v>40000</v>
      </c>
      <c r="E38" s="70">
        <f t="shared" si="1"/>
        <v>1240000</v>
      </c>
      <c r="F38" s="70">
        <f t="shared" ca="1" si="2"/>
        <v>983093.55589051405</v>
      </c>
      <c r="G38" s="63">
        <f t="shared" si="11"/>
        <v>4.0860000000000003</v>
      </c>
      <c r="H38" s="64">
        <f t="shared" si="12"/>
        <v>4.0860000000000003</v>
      </c>
      <c r="I38" s="43"/>
      <c r="J38" s="63">
        <f t="shared" si="13"/>
        <v>0.22500000000000001</v>
      </c>
      <c r="K38" s="64">
        <f t="shared" si="14"/>
        <v>0.22500000000000001</v>
      </c>
      <c r="L38" s="63">
        <f t="shared" si="15"/>
        <v>0</v>
      </c>
      <c r="M38" s="64">
        <f t="shared" si="16"/>
        <v>0</v>
      </c>
      <c r="N38" s="65"/>
      <c r="O38" s="63">
        <f t="shared" si="17"/>
        <v>4.3109999999999999</v>
      </c>
      <c r="P38" s="63">
        <f t="shared" si="18"/>
        <v>4.3109999999999999</v>
      </c>
      <c r="Q38" s="66"/>
      <c r="R38" s="63">
        <f t="shared" si="19"/>
        <v>-0.09</v>
      </c>
      <c r="S38" s="64">
        <f t="shared" si="20"/>
        <v>-0.09</v>
      </c>
      <c r="T38" s="63">
        <f t="shared" si="21"/>
        <v>-0.01</v>
      </c>
      <c r="U38" s="64">
        <f t="shared" si="22"/>
        <v>-0.01</v>
      </c>
      <c r="V38" s="207">
        <f>IF($A39="","",IF(AND(MONTH(A38)&gt;3,MONTH(A38)&lt;11),(T38+R38+G38)*Summary!$T$7/(1-Summary!$T$7),(T38+R38+G38)*Summary!$U$7/(1-Summary!$U$7)))</f>
        <v>0.19263507705210192</v>
      </c>
      <c r="W38" s="63">
        <f t="shared" si="23"/>
        <v>4.1786350770521024</v>
      </c>
      <c r="X38" s="63">
        <f t="shared" si="24"/>
        <v>4.1786350770521024</v>
      </c>
      <c r="Y38" s="43"/>
      <c r="Z38" s="38">
        <f t="shared" si="25"/>
        <v>0.65</v>
      </c>
      <c r="AA38" s="38">
        <f t="shared" si="25"/>
        <v>0.33</v>
      </c>
      <c r="AB38" s="38">
        <f t="shared" ca="1" si="3"/>
        <v>0.3414107164842145</v>
      </c>
      <c r="AC38" s="38">
        <f t="shared" si="25"/>
        <v>0.55000000000000004</v>
      </c>
      <c r="AD38" s="38">
        <f t="shared" si="25"/>
        <v>0.32</v>
      </c>
      <c r="AE38" s="38">
        <f t="shared" ca="1" si="4"/>
        <v>0.32850175983400626</v>
      </c>
      <c r="AF38" s="238">
        <f ca="1">((Summary!$N$7*(AA38*AD38)*(A38-$D$3))+(Summary!$M$7*Z38*AC38*(DAY(EOMONTH(A38,0))/2)))/(AK38*AB38*AE38)</f>
        <v>0.99940713603825249</v>
      </c>
      <c r="AG38" s="88">
        <f>IF($A39="","",Summary!$Q$7)</f>
        <v>0</v>
      </c>
      <c r="AH38" s="88">
        <f>IF($A39="","",IF(Summary!$R$7="Y",(VLOOKUP($A38,Summary!$AD$6:$AF$9,3)+'Escalating commodity'!C51),'Escalating commodity'!C51))</f>
        <v>2.2746000000000002E-2</v>
      </c>
      <c r="AI38" s="88">
        <f t="shared" si="26"/>
        <v>2.2746000000000002E-2</v>
      </c>
      <c r="AJ38" s="236">
        <f t="shared" si="5"/>
        <v>37909.5</v>
      </c>
      <c r="AK38" s="58">
        <f t="shared" ca="1" si="27"/>
        <v>869</v>
      </c>
      <c r="AL38" s="26">
        <f ca="1">IF($A39="","",_xll.SPRDOPT(P38,X38,AI38,0,AB38,AE38,AF38,AK38,$AJ$2,0))</f>
        <v>0.12244700492664837</v>
      </c>
      <c r="AM38" s="209">
        <f t="shared" si="6"/>
        <v>0.10961892294789759</v>
      </c>
      <c r="AN38" s="89">
        <f t="shared" ca="1" si="28"/>
        <v>1.282808197875078E-2</v>
      </c>
      <c r="AO38" s="3">
        <f t="shared" si="29"/>
        <v>31</v>
      </c>
      <c r="AP38" s="33">
        <f t="shared" si="30"/>
        <v>37895</v>
      </c>
      <c r="AQ38" s="58">
        <f t="shared" ca="1" si="7"/>
        <v>869</v>
      </c>
      <c r="AR38" s="38">
        <f>IF(Summary!$H$2=1,VLOOKUP('ANR OK vs ML7'!A38,Curves!$C$17:$AR$273,MATCH('ANR OK vs ML7'!$AR$4,Curves!$C$8:$AQ$8,0)),0.1)</f>
        <v>0.1</v>
      </c>
      <c r="AS38" s="35">
        <f t="shared" ca="1" si="8"/>
        <v>0.79281738378267264</v>
      </c>
      <c r="AT38" s="3">
        <f t="shared" si="31"/>
        <v>1</v>
      </c>
      <c r="AU38" s="3">
        <f t="shared" si="9"/>
        <v>31</v>
      </c>
      <c r="AW38" s="32">
        <f t="shared" ca="1" si="32"/>
        <v>151834.28610904398</v>
      </c>
      <c r="AX38" s="32">
        <f t="shared" si="33"/>
        <v>135927.464455393</v>
      </c>
      <c r="AY38" s="32">
        <f t="shared" ca="1" si="34"/>
        <v>15906.821653650966</v>
      </c>
      <c r="BA38" s="32">
        <f ca="1">IF($A39="","",F38*Summary!$Q$7)</f>
        <v>0</v>
      </c>
      <c r="BC38" s="256">
        <f t="shared" ca="1" si="35"/>
        <v>107765.65675373691</v>
      </c>
    </row>
    <row r="39" spans="1:55">
      <c r="A39" s="67">
        <f t="shared" si="10"/>
        <v>37926</v>
      </c>
      <c r="B39" s="69">
        <f t="shared" si="36"/>
        <v>40000</v>
      </c>
      <c r="C39" s="71"/>
      <c r="D39" s="69">
        <f t="shared" si="37"/>
        <v>40000</v>
      </c>
      <c r="E39" s="70">
        <f t="shared" si="1"/>
        <v>1200000</v>
      </c>
      <c r="F39" s="70">
        <f t="shared" ca="1" si="2"/>
        <v>943534.08935709158</v>
      </c>
      <c r="G39" s="63">
        <f t="shared" si="11"/>
        <v>4.1989999999999998</v>
      </c>
      <c r="H39" s="64">
        <f t="shared" si="12"/>
        <v>4.1989999999999998</v>
      </c>
      <c r="I39" s="43"/>
      <c r="J39" s="63">
        <f t="shared" si="13"/>
        <v>0.32</v>
      </c>
      <c r="K39" s="64">
        <f t="shared" si="14"/>
        <v>0.32</v>
      </c>
      <c r="L39" s="63">
        <f t="shared" si="15"/>
        <v>0</v>
      </c>
      <c r="M39" s="64">
        <f t="shared" si="16"/>
        <v>0</v>
      </c>
      <c r="N39" s="65"/>
      <c r="O39" s="63">
        <f t="shared" si="17"/>
        <v>4.5190000000000001</v>
      </c>
      <c r="P39" s="63">
        <f t="shared" si="18"/>
        <v>4.5190000000000001</v>
      </c>
      <c r="Q39" s="66"/>
      <c r="R39" s="63">
        <f t="shared" si="19"/>
        <v>-0.1</v>
      </c>
      <c r="S39" s="64">
        <f t="shared" si="20"/>
        <v>-0.1</v>
      </c>
      <c r="T39" s="63">
        <f t="shared" si="21"/>
        <v>0.01</v>
      </c>
      <c r="U39" s="64">
        <f t="shared" si="22"/>
        <v>0.01</v>
      </c>
      <c r="V39" s="207">
        <f>IF($A40="","",IF(AND(MONTH(A39)&gt;3,MONTH(A39)&lt;11),(T39+R39+G39)*Summary!$T$7/(1-Summary!$T$7),(T39+R39+G39)*Summary!$U$7/(1-Summary!$U$7)))</f>
        <v>0.19857941083971067</v>
      </c>
      <c r="W39" s="63">
        <f t="shared" si="23"/>
        <v>4.3075794108397103</v>
      </c>
      <c r="X39" s="63">
        <f t="shared" si="24"/>
        <v>4.3075794108397103</v>
      </c>
      <c r="Y39" s="43"/>
      <c r="Z39" s="38">
        <f t="shared" si="25"/>
        <v>0.8</v>
      </c>
      <c r="AA39" s="38">
        <f t="shared" si="25"/>
        <v>0.33</v>
      </c>
      <c r="AB39" s="38">
        <f t="shared" ca="1" si="3"/>
        <v>0.34595905345382522</v>
      </c>
      <c r="AC39" s="38">
        <f t="shared" si="25"/>
        <v>0.8</v>
      </c>
      <c r="AD39" s="38">
        <f t="shared" si="25"/>
        <v>0.32</v>
      </c>
      <c r="AE39" s="38">
        <f t="shared" ca="1" si="4"/>
        <v>0.33642301414208342</v>
      </c>
      <c r="AF39" s="238">
        <f ca="1">((Summary!$N$7*(AA39*AD39)*(A39-$D$3))+(Summary!$M$7*Z39*AC39*(DAY(EOMONTH(A39,0))/2)))/(AK39*AB39*AE39)</f>
        <v>0.99986975298581482</v>
      </c>
      <c r="AG39" s="88">
        <f>IF($A40="","",Summary!$Q$7)</f>
        <v>0</v>
      </c>
      <c r="AH39" s="88">
        <f>IF($A40="","",IF(Summary!$R$7="Y",(VLOOKUP($A39,Summary!$AD$6:$AF$9,3)+'Escalating commodity'!C52),'Escalating commodity'!C52))</f>
        <v>2.2746000000000002E-2</v>
      </c>
      <c r="AI39" s="88">
        <f t="shared" si="26"/>
        <v>2.2746000000000002E-2</v>
      </c>
      <c r="AJ39" s="236">
        <f t="shared" si="5"/>
        <v>37940</v>
      </c>
      <c r="AK39" s="58">
        <f t="shared" ca="1" si="27"/>
        <v>900</v>
      </c>
      <c r="AL39" s="26">
        <f ca="1">IF($A40="","",_xll.SPRDOPT(P39,X39,AI39,0,AB39,AE39,AF39,AK39,$AJ$2,0))</f>
        <v>0.18971631884285756</v>
      </c>
      <c r="AM39" s="209">
        <f t="shared" si="6"/>
        <v>0.18867458916028984</v>
      </c>
      <c r="AN39" s="89">
        <f t="shared" ca="1" si="28"/>
        <v>1.0417296825677158E-3</v>
      </c>
      <c r="AO39" s="3">
        <f t="shared" si="29"/>
        <v>30</v>
      </c>
      <c r="AP39" s="33">
        <f t="shared" si="30"/>
        <v>37926</v>
      </c>
      <c r="AQ39" s="58">
        <f t="shared" ca="1" si="7"/>
        <v>900</v>
      </c>
      <c r="AR39" s="38">
        <f>IF(Summary!$H$2=1,VLOOKUP('ANR OK vs ML7'!A39,Curves!$C$17:$AR$273,MATCH('ANR OK vs ML7'!$AR$4,Curves!$C$8:$AQ$8,0)),0.1)</f>
        <v>0.1</v>
      </c>
      <c r="AS39" s="35">
        <f t="shared" ca="1" si="8"/>
        <v>0.7862784077975763</v>
      </c>
      <c r="AT39" s="3">
        <f t="shared" si="31"/>
        <v>1</v>
      </c>
      <c r="AU39" s="3">
        <f t="shared" si="9"/>
        <v>30</v>
      </c>
      <c r="AW39" s="32">
        <f t="shared" ca="1" si="32"/>
        <v>227659.58261142907</v>
      </c>
      <c r="AX39" s="32">
        <f t="shared" si="33"/>
        <v>226409.5069923478</v>
      </c>
      <c r="AY39" s="32">
        <f t="shared" ca="1" si="34"/>
        <v>1250.075619081259</v>
      </c>
      <c r="BA39" s="32">
        <f ca="1">IF($A40="","",F39*Summary!$Q$7)</f>
        <v>0</v>
      </c>
      <c r="BC39" s="256">
        <f t="shared" ca="1" si="35"/>
        <v>178020.90666817746</v>
      </c>
    </row>
    <row r="40" spans="1:55">
      <c r="A40" s="67">
        <f t="shared" si="10"/>
        <v>37956</v>
      </c>
      <c r="B40" s="69">
        <f t="shared" si="36"/>
        <v>40000</v>
      </c>
      <c r="C40" s="71"/>
      <c r="D40" s="69">
        <f t="shared" si="37"/>
        <v>40000</v>
      </c>
      <c r="E40" s="70">
        <f t="shared" si="1"/>
        <v>1240000</v>
      </c>
      <c r="F40" s="70">
        <f t="shared" ca="1" si="2"/>
        <v>967202.13467070402</v>
      </c>
      <c r="G40" s="63">
        <f t="shared" si="11"/>
        <v>4.3370000000000006</v>
      </c>
      <c r="H40" s="64">
        <f t="shared" si="12"/>
        <v>4.3370000000000006</v>
      </c>
      <c r="I40" s="43"/>
      <c r="J40" s="63">
        <f t="shared" si="13"/>
        <v>0.32</v>
      </c>
      <c r="K40" s="64">
        <f t="shared" si="14"/>
        <v>0.32</v>
      </c>
      <c r="L40" s="63">
        <f t="shared" si="15"/>
        <v>0</v>
      </c>
      <c r="M40" s="64">
        <f t="shared" si="16"/>
        <v>0</v>
      </c>
      <c r="N40" s="65"/>
      <c r="O40" s="63">
        <f t="shared" si="17"/>
        <v>4.6570000000000009</v>
      </c>
      <c r="P40" s="63">
        <f t="shared" si="18"/>
        <v>4.6570000000000009</v>
      </c>
      <c r="Q40" s="66"/>
      <c r="R40" s="63">
        <f t="shared" si="19"/>
        <v>-0.10249999999999999</v>
      </c>
      <c r="S40" s="64">
        <f t="shared" si="20"/>
        <v>-0.10249999999999999</v>
      </c>
      <c r="T40" s="63">
        <f t="shared" si="21"/>
        <v>0.01</v>
      </c>
      <c r="U40" s="64">
        <f t="shared" si="22"/>
        <v>0.01</v>
      </c>
      <c r="V40" s="207">
        <f>IF($A41="","",IF(AND(MONTH(A40)&gt;3,MONTH(A40)&lt;11),(T40+R40+G40)*Summary!$T$7/(1-Summary!$T$7),(T40+R40+G40)*Summary!$U$7/(1-Summary!$U$7)))</f>
        <v>0.20512784358947481</v>
      </c>
      <c r="W40" s="63">
        <f t="shared" si="23"/>
        <v>4.4496278435894752</v>
      </c>
      <c r="X40" s="63">
        <f t="shared" si="24"/>
        <v>4.4496278435894752</v>
      </c>
      <c r="Y40" s="43"/>
      <c r="Z40" s="38">
        <f t="shared" si="25"/>
        <v>1.1000000000000001</v>
      </c>
      <c r="AA40" s="38">
        <f t="shared" si="25"/>
        <v>0.33</v>
      </c>
      <c r="AB40" s="38">
        <f t="shared" ca="1" si="3"/>
        <v>0.35942142874467048</v>
      </c>
      <c r="AC40" s="38">
        <f t="shared" si="25"/>
        <v>1</v>
      </c>
      <c r="AD40" s="38">
        <f t="shared" si="25"/>
        <v>0.32</v>
      </c>
      <c r="AE40" s="38">
        <f t="shared" ca="1" si="4"/>
        <v>0.34521989252293733</v>
      </c>
      <c r="AF40" s="238">
        <f ca="1">((Summary!$N$7*(AA40*AD40)*(A40-$D$3))+(Summary!$M$7*Z40*AC40*(DAY(EOMONTH(A40,0))/2)))/(AK40*AB40*AE40)</f>
        <v>0.99965250777565462</v>
      </c>
      <c r="AG40" s="88">
        <f>IF($A41="","",Summary!$Q$7)</f>
        <v>0</v>
      </c>
      <c r="AH40" s="88">
        <f>IF($A41="","",IF(Summary!$R$7="Y",(VLOOKUP($A40,Summary!$AD$6:$AF$9,3)+'Escalating commodity'!C53),'Escalating commodity'!C53))</f>
        <v>2.2746000000000002E-2</v>
      </c>
      <c r="AI40" s="88">
        <f t="shared" si="26"/>
        <v>2.2746000000000002E-2</v>
      </c>
      <c r="AJ40" s="236">
        <f t="shared" si="5"/>
        <v>37970.5</v>
      </c>
      <c r="AK40" s="58">
        <f t="shared" ca="1" si="27"/>
        <v>930</v>
      </c>
      <c r="AL40" s="26">
        <f ca="1">IF($A41="","",_xll.SPRDOPT(P40,X40,AI40,0,AB40,AE40,AF40,AK40,$AJ$2,0))</f>
        <v>0.19069613467008248</v>
      </c>
      <c r="AM40" s="209">
        <f t="shared" si="6"/>
        <v>0.18462615641052577</v>
      </c>
      <c r="AN40" s="89">
        <f t="shared" ca="1" si="28"/>
        <v>6.0699782595567131E-3</v>
      </c>
      <c r="AO40" s="3">
        <f t="shared" si="29"/>
        <v>31</v>
      </c>
      <c r="AP40" s="33">
        <f t="shared" si="30"/>
        <v>37956</v>
      </c>
      <c r="AQ40" s="58">
        <f t="shared" ca="1" si="7"/>
        <v>930</v>
      </c>
      <c r="AR40" s="38">
        <f>IF(Summary!$H$2=1,VLOOKUP('ANR OK vs ML7'!A40,Curves!$C$17:$AR$273,MATCH('ANR OK vs ML7'!$AR$4,Curves!$C$8:$AQ$8,0)),0.1)</f>
        <v>0.1</v>
      </c>
      <c r="AS40" s="35">
        <f t="shared" ca="1" si="8"/>
        <v>0.78000172150863223</v>
      </c>
      <c r="AT40" s="3">
        <f t="shared" si="31"/>
        <v>1</v>
      </c>
      <c r="AU40" s="3">
        <f t="shared" si="9"/>
        <v>31</v>
      </c>
      <c r="AW40" s="32">
        <f t="shared" ca="1" si="32"/>
        <v>236463.20699090228</v>
      </c>
      <c r="AX40" s="32">
        <f t="shared" si="33"/>
        <v>228936.43394905195</v>
      </c>
      <c r="AY40" s="32">
        <f t="shared" ca="1" si="34"/>
        <v>7526.7730418503243</v>
      </c>
      <c r="BA40" s="32">
        <f ca="1">IF($A41="","",F40*Summary!$Q$7)</f>
        <v>0</v>
      </c>
      <c r="BC40" s="256">
        <f t="shared" ca="1" si="35"/>
        <v>178570.81259630781</v>
      </c>
    </row>
    <row r="41" spans="1:55">
      <c r="A41" s="67">
        <f t="shared" si="10"/>
        <v>37987</v>
      </c>
      <c r="B41" s="69">
        <f t="shared" si="36"/>
        <v>40000</v>
      </c>
      <c r="C41" s="71"/>
      <c r="D41" s="69">
        <f t="shared" si="37"/>
        <v>40000</v>
      </c>
      <c r="E41" s="70">
        <f t="shared" si="1"/>
        <v>1240000</v>
      </c>
      <c r="F41" s="70">
        <f t="shared" ca="1" si="2"/>
        <v>959224.87324743625</v>
      </c>
      <c r="G41" s="63">
        <f t="shared" si="11"/>
        <v>4.3940000000000001</v>
      </c>
      <c r="H41" s="64">
        <f t="shared" si="12"/>
        <v>4.3940000000000001</v>
      </c>
      <c r="I41" s="43"/>
      <c r="J41" s="63">
        <f t="shared" si="13"/>
        <v>0.32</v>
      </c>
      <c r="K41" s="64">
        <f t="shared" si="14"/>
        <v>0.32</v>
      </c>
      <c r="L41" s="63">
        <f t="shared" si="15"/>
        <v>0</v>
      </c>
      <c r="M41" s="64">
        <f t="shared" si="16"/>
        <v>0</v>
      </c>
      <c r="N41" s="65"/>
      <c r="O41" s="63">
        <f t="shared" si="17"/>
        <v>4.7140000000000004</v>
      </c>
      <c r="P41" s="63">
        <f t="shared" si="18"/>
        <v>4.7140000000000004</v>
      </c>
      <c r="Q41" s="66"/>
      <c r="R41" s="63">
        <f t="shared" si="19"/>
        <v>-0.105</v>
      </c>
      <c r="S41" s="64">
        <f t="shared" si="20"/>
        <v>-0.105</v>
      </c>
      <c r="T41" s="63">
        <f t="shared" si="21"/>
        <v>0.01</v>
      </c>
      <c r="U41" s="64">
        <f t="shared" si="22"/>
        <v>0.01</v>
      </c>
      <c r="V41" s="207">
        <f>IF($A42="","",IF(AND(MONTH(A41)&gt;3,MONTH(A41)&lt;11),(T41+R41+G41)*Summary!$T$7/(1-Summary!$T$7),(T41+R41+G41)*Summary!$U$7/(1-Summary!$U$7)))</f>
        <v>0.20776171506447219</v>
      </c>
      <c r="W41" s="63">
        <f t="shared" si="23"/>
        <v>4.5067617150644725</v>
      </c>
      <c r="X41" s="63">
        <f t="shared" si="24"/>
        <v>4.5067617150644725</v>
      </c>
      <c r="Y41" s="43"/>
      <c r="Z41" s="38">
        <f t="shared" si="25"/>
        <v>1.1000000000000001</v>
      </c>
      <c r="AA41" s="38">
        <f t="shared" si="25"/>
        <v>0.33200000000000002</v>
      </c>
      <c r="AB41" s="38">
        <f t="shared" ca="1" si="3"/>
        <v>0.36035375150355342</v>
      </c>
      <c r="AC41" s="38">
        <f t="shared" si="25"/>
        <v>1</v>
      </c>
      <c r="AD41" s="38">
        <f t="shared" si="25"/>
        <v>0.32300000000000001</v>
      </c>
      <c r="AE41" s="38">
        <f t="shared" ca="1" si="4"/>
        <v>0.34722700818530733</v>
      </c>
      <c r="AF41" s="238">
        <f ca="1">((Summary!$N$7*(AA41*AD41)*(A41-$D$3))+(Summary!$M$7*Z41*AC41*(DAY(EOMONTH(A41,0))/2)))/(AK41*AB41*AE41)</f>
        <v>0.99963423351552583</v>
      </c>
      <c r="AG41" s="88">
        <f>IF($A42="","",Summary!$Q$7)</f>
        <v>0</v>
      </c>
      <c r="AH41" s="88">
        <f>IF($A42="","",IF(Summary!$R$7="Y",(VLOOKUP($A41,Summary!$AD$6:$AF$9,3)+'Escalating commodity'!C54),'Escalating commodity'!C54))</f>
        <v>2.2495200000000003E-2</v>
      </c>
      <c r="AI41" s="88">
        <f t="shared" si="26"/>
        <v>2.2495200000000003E-2</v>
      </c>
      <c r="AJ41" s="236">
        <f t="shared" si="5"/>
        <v>38001.5</v>
      </c>
      <c r="AK41" s="58">
        <f t="shared" ca="1" si="27"/>
        <v>961</v>
      </c>
      <c r="AL41" s="26">
        <f ca="1">IF($A42="","",_xll.SPRDOPT(P41,X41,AI41,0,AB41,AE41,AF41,AK41,$AJ$2,0))</f>
        <v>0.19056813719289298</v>
      </c>
      <c r="AM41" s="209">
        <f t="shared" si="6"/>
        <v>0.18474308493552788</v>
      </c>
      <c r="AN41" s="89">
        <f t="shared" ca="1" si="28"/>
        <v>5.8250522573650987E-3</v>
      </c>
      <c r="AO41" s="3">
        <f t="shared" si="29"/>
        <v>31</v>
      </c>
      <c r="AP41" s="33">
        <f t="shared" si="30"/>
        <v>37987</v>
      </c>
      <c r="AQ41" s="58">
        <f t="shared" ca="1" si="7"/>
        <v>961</v>
      </c>
      <c r="AR41" s="38">
        <f>IF(Summary!$H$2=1,VLOOKUP('ANR OK vs ML7'!A41,Curves!$C$17:$AR$273,MATCH('ANR OK vs ML7'!$AR$4,Curves!$C$8:$AQ$8,0)),0.1)</f>
        <v>0.1</v>
      </c>
      <c r="AS41" s="35">
        <f t="shared" ca="1" si="8"/>
        <v>0.77356844616728726</v>
      </c>
      <c r="AT41" s="3">
        <f t="shared" si="31"/>
        <v>1</v>
      </c>
      <c r="AU41" s="3">
        <f t="shared" si="9"/>
        <v>31</v>
      </c>
      <c r="AW41" s="32">
        <f t="shared" ca="1" si="32"/>
        <v>236304.49011918731</v>
      </c>
      <c r="AX41" s="32">
        <f t="shared" si="33"/>
        <v>229081.42532005458</v>
      </c>
      <c r="AY41" s="32">
        <f t="shared" ca="1" si="34"/>
        <v>7223.0647991327223</v>
      </c>
      <c r="BA41" s="32">
        <f ca="1">IF($A42="","",F41*Summary!$Q$7)</f>
        <v>0</v>
      </c>
      <c r="BC41" s="256">
        <f t="shared" ca="1" si="35"/>
        <v>177210.16223062208</v>
      </c>
    </row>
    <row r="42" spans="1:55">
      <c r="A42" s="67">
        <f t="shared" si="10"/>
        <v>38018</v>
      </c>
      <c r="B42" s="69">
        <f t="shared" si="36"/>
        <v>40000</v>
      </c>
      <c r="C42" s="71"/>
      <c r="D42" s="69">
        <f t="shared" si="37"/>
        <v>40000</v>
      </c>
      <c r="E42" s="70">
        <f t="shared" si="1"/>
        <v>1160000</v>
      </c>
      <c r="F42" s="70">
        <f t="shared" ca="1" si="2"/>
        <v>889938.3479667058</v>
      </c>
      <c r="G42" s="63">
        <f t="shared" si="11"/>
        <v>4.274</v>
      </c>
      <c r="H42" s="64">
        <f t="shared" si="12"/>
        <v>4.274</v>
      </c>
      <c r="I42" s="43"/>
      <c r="J42" s="63">
        <f t="shared" si="13"/>
        <v>0.32</v>
      </c>
      <c r="K42" s="64">
        <f t="shared" si="14"/>
        <v>0.32</v>
      </c>
      <c r="L42" s="63">
        <f t="shared" si="15"/>
        <v>0</v>
      </c>
      <c r="M42" s="64">
        <f t="shared" si="16"/>
        <v>0</v>
      </c>
      <c r="N42" s="65"/>
      <c r="O42" s="63">
        <f t="shared" si="17"/>
        <v>4.5940000000000003</v>
      </c>
      <c r="P42" s="63">
        <f t="shared" si="18"/>
        <v>4.5940000000000003</v>
      </c>
      <c r="Q42" s="66"/>
      <c r="R42" s="63">
        <f t="shared" si="19"/>
        <v>-9.7500000000000003E-2</v>
      </c>
      <c r="S42" s="64">
        <f t="shared" si="20"/>
        <v>-9.7500000000000003E-2</v>
      </c>
      <c r="T42" s="63">
        <f t="shared" si="21"/>
        <v>0.01</v>
      </c>
      <c r="U42" s="64">
        <f t="shared" si="22"/>
        <v>0.01</v>
      </c>
      <c r="V42" s="207">
        <f>IF($A43="","",IF(AND(MONTH(A42)&gt;3,MONTH(A42)&lt;11),(T42+R42+G42)*Summary!$T$7/(1-Summary!$T$7),(T42+R42+G42)*Summary!$U$7/(1-Summary!$U$7)))</f>
        <v>0.20232482440507391</v>
      </c>
      <c r="W42" s="63">
        <f t="shared" si="23"/>
        <v>4.3888248244050736</v>
      </c>
      <c r="X42" s="63">
        <f t="shared" si="24"/>
        <v>4.3888248244050736</v>
      </c>
      <c r="Y42" s="43"/>
      <c r="Z42" s="38">
        <f t="shared" si="25"/>
        <v>1.1000000000000001</v>
      </c>
      <c r="AA42" s="38">
        <f t="shared" si="25"/>
        <v>0.31900000000000001</v>
      </c>
      <c r="AB42" s="38">
        <f t="shared" ca="1" si="3"/>
        <v>0.34576013880826356</v>
      </c>
      <c r="AC42" s="38">
        <f t="shared" si="25"/>
        <v>1</v>
      </c>
      <c r="AD42" s="38">
        <f t="shared" si="25"/>
        <v>0.31</v>
      </c>
      <c r="AE42" s="38">
        <f t="shared" ca="1" si="4"/>
        <v>0.33288708368434927</v>
      </c>
      <c r="AF42" s="238">
        <f ca="1">((Summary!$N$7*(AA42*AD42)*(A42-$D$3))+(Summary!$M$7*Z42*AC42*(DAY(EOMONTH(A42,0))/2)))/(AK42*AB42*AE42)</f>
        <v>0.99964668095379483</v>
      </c>
      <c r="AG42" s="88">
        <f>IF($A43="","",Summary!$Q$7)</f>
        <v>0</v>
      </c>
      <c r="AH42" s="88">
        <f>IF($A43="","",IF(Summary!$R$7="Y",(VLOOKUP($A42,Summary!$AD$6:$AF$9,3)+'Escalating commodity'!C55),'Escalating commodity'!C55))</f>
        <v>2.2495200000000003E-2</v>
      </c>
      <c r="AI42" s="88">
        <f t="shared" si="26"/>
        <v>2.2495200000000003E-2</v>
      </c>
      <c r="AJ42" s="236">
        <f t="shared" si="5"/>
        <v>38031.5</v>
      </c>
      <c r="AK42" s="58">
        <f t="shared" ca="1" si="27"/>
        <v>992</v>
      </c>
      <c r="AL42" s="26">
        <f ca="1">IF($A43="","",_xll.SPRDOPT(P42,X42,AI42,0,AB42,AE42,AF42,AK42,$AJ$2,0))</f>
        <v>0.18784584150448594</v>
      </c>
      <c r="AM42" s="209">
        <f t="shared" si="6"/>
        <v>0.18267997559492671</v>
      </c>
      <c r="AN42" s="89">
        <f t="shared" ca="1" si="28"/>
        <v>5.1658659095592252E-3</v>
      </c>
      <c r="AO42" s="3">
        <f t="shared" si="29"/>
        <v>29</v>
      </c>
      <c r="AP42" s="33">
        <f t="shared" si="30"/>
        <v>38018</v>
      </c>
      <c r="AQ42" s="58">
        <f t="shared" ca="1" si="7"/>
        <v>992</v>
      </c>
      <c r="AR42" s="38">
        <f>IF(Summary!$H$2=1,VLOOKUP('ANR OK vs ML7'!A42,Curves!$C$17:$AR$273,MATCH('ANR OK vs ML7'!$AR$4,Curves!$C$8:$AQ$8,0)),0.1)</f>
        <v>0.1</v>
      </c>
      <c r="AS42" s="35">
        <f t="shared" ca="1" si="8"/>
        <v>0.76718823100578082</v>
      </c>
      <c r="AT42" s="3">
        <f t="shared" si="31"/>
        <v>1</v>
      </c>
      <c r="AU42" s="3">
        <f t="shared" si="9"/>
        <v>29</v>
      </c>
      <c r="AW42" s="32">
        <f t="shared" ca="1" si="32"/>
        <v>217901.1761452037</v>
      </c>
      <c r="AX42" s="32">
        <f t="shared" si="33"/>
        <v>211908.77169011498</v>
      </c>
      <c r="AY42" s="32">
        <f t="shared" ca="1" si="34"/>
        <v>5992.4044550887011</v>
      </c>
      <c r="BA42" s="32">
        <f ca="1">IF($A43="","",F42*Summary!$Q$7)</f>
        <v>0</v>
      </c>
      <c r="BC42" s="256">
        <f t="shared" ca="1" si="35"/>
        <v>162573.91568754721</v>
      </c>
    </row>
    <row r="43" spans="1:55">
      <c r="A43" s="67">
        <f t="shared" si="10"/>
        <v>38047</v>
      </c>
      <c r="B43" s="69">
        <f t="shared" si="36"/>
        <v>40000</v>
      </c>
      <c r="C43" s="71"/>
      <c r="D43" s="69">
        <f t="shared" si="37"/>
        <v>40000</v>
      </c>
      <c r="E43" s="70">
        <f t="shared" si="1"/>
        <v>1240000</v>
      </c>
      <c r="F43" s="70">
        <f t="shared" ca="1" si="2"/>
        <v>943971.44041874225</v>
      </c>
      <c r="G43" s="63">
        <f t="shared" si="11"/>
        <v>4.1349999999999998</v>
      </c>
      <c r="H43" s="64">
        <f t="shared" si="12"/>
        <v>4.1349999999999998</v>
      </c>
      <c r="I43" s="43"/>
      <c r="J43" s="63">
        <f t="shared" si="13"/>
        <v>0.32</v>
      </c>
      <c r="K43" s="64">
        <f t="shared" si="14"/>
        <v>0.32</v>
      </c>
      <c r="L43" s="63">
        <f t="shared" si="15"/>
        <v>0</v>
      </c>
      <c r="M43" s="64">
        <f t="shared" si="16"/>
        <v>0</v>
      </c>
      <c r="N43" s="65"/>
      <c r="O43" s="63">
        <f t="shared" si="17"/>
        <v>4.4550000000000001</v>
      </c>
      <c r="P43" s="63">
        <f t="shared" si="18"/>
        <v>4.4550000000000001</v>
      </c>
      <c r="Q43" s="66"/>
      <c r="R43" s="63">
        <f t="shared" si="19"/>
        <v>-9.5000000000000001E-2</v>
      </c>
      <c r="S43" s="64">
        <f t="shared" si="20"/>
        <v>-9.5000000000000001E-2</v>
      </c>
      <c r="T43" s="63">
        <f t="shared" si="21"/>
        <v>0.01</v>
      </c>
      <c r="U43" s="64">
        <f t="shared" si="22"/>
        <v>0.01</v>
      </c>
      <c r="V43" s="207">
        <f>IF($A44="","",IF(AND(MONTH(A43)&gt;3,MONTH(A43)&lt;11),(T43+R43+G43)*Summary!$T$7/(1-Summary!$T$7),(T43+R43+G43)*Summary!$U$7/(1-Summary!$U$7)))</f>
        <v>0.19572806373833737</v>
      </c>
      <c r="W43" s="63">
        <f t="shared" si="23"/>
        <v>4.245728063738337</v>
      </c>
      <c r="X43" s="63">
        <f t="shared" si="24"/>
        <v>4.245728063738337</v>
      </c>
      <c r="Y43" s="43"/>
      <c r="Z43" s="38">
        <f t="shared" si="25"/>
        <v>0.75</v>
      </c>
      <c r="AA43" s="38">
        <f t="shared" si="25"/>
        <v>0.312</v>
      </c>
      <c r="AB43" s="38">
        <f t="shared" ca="1" si="3"/>
        <v>0.32554379729447308</v>
      </c>
      <c r="AC43" s="38">
        <f t="shared" si="25"/>
        <v>0.75</v>
      </c>
      <c r="AD43" s="38">
        <f t="shared" si="25"/>
        <v>0.30299999999999999</v>
      </c>
      <c r="AE43" s="38">
        <f t="shared" ca="1" si="4"/>
        <v>0.31692008898328822</v>
      </c>
      <c r="AF43" s="238">
        <f ca="1">((Summary!$N$7*(AA43*AD43)*(A43-$D$3))+(Summary!$M$7*Z43*AC43*(DAY(EOMONTH(A43,0))/2)))/(AK43*AB43*AE43)</f>
        <v>0.99987575667812478</v>
      </c>
      <c r="AG43" s="88">
        <f>IF($A44="","",Summary!$Q$7)</f>
        <v>0</v>
      </c>
      <c r="AH43" s="88">
        <f>IF($A44="","",IF(Summary!$R$7="Y",(VLOOKUP($A43,Summary!$AD$6:$AF$9,3)+'Escalating commodity'!C56),'Escalating commodity'!C56))</f>
        <v>2.2495200000000003E-2</v>
      </c>
      <c r="AI43" s="88">
        <f t="shared" si="26"/>
        <v>2.2495200000000003E-2</v>
      </c>
      <c r="AJ43" s="236">
        <f t="shared" si="5"/>
        <v>38061.5</v>
      </c>
      <c r="AK43" s="58">
        <f t="shared" ca="1" si="27"/>
        <v>1021</v>
      </c>
      <c r="AL43" s="26">
        <f ca="1">IF($A44="","",_xll.SPRDOPT(P43,X43,AI43,0,AB43,AE43,AF43,AK43,$AJ$2,0))</f>
        <v>0.18769026362031865</v>
      </c>
      <c r="AM43" s="209">
        <f t="shared" si="6"/>
        <v>0.18677673626166308</v>
      </c>
      <c r="AN43" s="89">
        <f t="shared" ca="1" si="28"/>
        <v>9.1352735865557477E-4</v>
      </c>
      <c r="AO43" s="3">
        <f t="shared" si="29"/>
        <v>31</v>
      </c>
      <c r="AP43" s="33">
        <f t="shared" si="30"/>
        <v>38047</v>
      </c>
      <c r="AQ43" s="58">
        <f t="shared" ca="1" si="7"/>
        <v>1021</v>
      </c>
      <c r="AR43" s="38">
        <f>IF(Summary!$H$2=1,VLOOKUP('ANR OK vs ML7'!A43,Curves!$C$17:$AR$273,MATCH('ANR OK vs ML7'!$AR$4,Curves!$C$8:$AQ$8,0)),0.1)</f>
        <v>0.1</v>
      </c>
      <c r="AS43" s="35">
        <f t="shared" ca="1" si="8"/>
        <v>0.76126729066027599</v>
      </c>
      <c r="AT43" s="3">
        <f t="shared" si="31"/>
        <v>1</v>
      </c>
      <c r="AU43" s="3">
        <f t="shared" si="9"/>
        <v>31</v>
      </c>
      <c r="AW43" s="32">
        <f t="shared" ca="1" si="32"/>
        <v>232735.92688919514</v>
      </c>
      <c r="AX43" s="32">
        <f t="shared" si="33"/>
        <v>231603.15296446221</v>
      </c>
      <c r="AY43" s="32">
        <f t="shared" ca="1" si="34"/>
        <v>1132.7739247329127</v>
      </c>
      <c r="BA43" s="32">
        <f ca="1">IF($A44="","",F43*Summary!$Q$7)</f>
        <v>0</v>
      </c>
      <c r="BC43" s="256">
        <f t="shared" ca="1" si="35"/>
        <v>176311.90476563363</v>
      </c>
    </row>
    <row r="44" spans="1:55">
      <c r="A44" s="67">
        <f t="shared" si="10"/>
        <v>38078</v>
      </c>
      <c r="B44" s="69">
        <f t="shared" si="36"/>
        <v>40000</v>
      </c>
      <c r="C44" s="71"/>
      <c r="D44" s="69">
        <f t="shared" si="37"/>
        <v>40000</v>
      </c>
      <c r="E44" s="70">
        <f t="shared" si="1"/>
        <v>1200000</v>
      </c>
      <c r="F44" s="70">
        <f t="shared" ca="1" si="2"/>
        <v>905986.23913042177</v>
      </c>
      <c r="G44" s="63">
        <f t="shared" si="11"/>
        <v>3.96</v>
      </c>
      <c r="H44" s="64">
        <f t="shared" si="12"/>
        <v>3.96</v>
      </c>
      <c r="I44" s="43"/>
      <c r="J44" s="63">
        <f t="shared" si="13"/>
        <v>0.215</v>
      </c>
      <c r="K44" s="64">
        <f t="shared" si="14"/>
        <v>0.215</v>
      </c>
      <c r="L44" s="63">
        <f t="shared" si="15"/>
        <v>0</v>
      </c>
      <c r="M44" s="64">
        <f t="shared" si="16"/>
        <v>0</v>
      </c>
      <c r="N44" s="65"/>
      <c r="O44" s="63">
        <f t="shared" si="17"/>
        <v>4.1749999999999998</v>
      </c>
      <c r="P44" s="63">
        <f t="shared" si="18"/>
        <v>4.1749999999999998</v>
      </c>
      <c r="Q44" s="66"/>
      <c r="R44" s="63">
        <f t="shared" si="19"/>
        <v>-0.1</v>
      </c>
      <c r="S44" s="64">
        <f t="shared" si="20"/>
        <v>-0.1</v>
      </c>
      <c r="T44" s="63">
        <f t="shared" si="21"/>
        <v>-0.01</v>
      </c>
      <c r="U44" s="64">
        <f t="shared" si="22"/>
        <v>-0.01</v>
      </c>
      <c r="V44" s="207">
        <f>IF($A45="","",IF(AND(MONTH(A44)&gt;3,MONTH(A44)&lt;11),(T44+R44+G44)*Summary!$T$7/(1-Summary!$T$7),(T44+R44+G44)*Summary!$U$7/(1-Summary!$U$7)))</f>
        <v>0.18606248034385156</v>
      </c>
      <c r="W44" s="63">
        <f t="shared" si="23"/>
        <v>4.0360624803438521</v>
      </c>
      <c r="X44" s="63">
        <f t="shared" si="24"/>
        <v>4.0360624803438521</v>
      </c>
      <c r="Y44" s="43"/>
      <c r="Z44" s="38">
        <f t="shared" si="25"/>
        <v>0.45</v>
      </c>
      <c r="AA44" s="38">
        <f t="shared" si="25"/>
        <v>0.29899999999999999</v>
      </c>
      <c r="AB44" s="38">
        <f t="shared" ca="1" si="3"/>
        <v>0.30392982636393578</v>
      </c>
      <c r="AC44" s="38">
        <f t="shared" si="25"/>
        <v>0.4</v>
      </c>
      <c r="AD44" s="38">
        <f t="shared" si="25"/>
        <v>0.28999999999999998</v>
      </c>
      <c r="AE44" s="38">
        <f t="shared" ca="1" si="4"/>
        <v>0.29404304410591359</v>
      </c>
      <c r="AF44" s="238">
        <f ca="1">((Summary!$N$7*(AA44*AD44)*(A44-$D$3))+(Summary!$M$7*Z44*AC44*(DAY(EOMONTH(A44,0))/2)))/(AK44*AB44*AE44)</f>
        <v>0.99979672129896235</v>
      </c>
      <c r="AG44" s="88">
        <f>IF($A45="","",Summary!$Q$7)</f>
        <v>0</v>
      </c>
      <c r="AH44" s="88">
        <f>IF($A45="","",IF(Summary!$R$7="Y",(VLOOKUP($A44,Summary!$AD$6:$AF$9,3)+'Escalating commodity'!C57),'Escalating commodity'!C57))</f>
        <v>2.2495200000000003E-2</v>
      </c>
      <c r="AI44" s="88">
        <f t="shared" si="26"/>
        <v>2.2495200000000003E-2</v>
      </c>
      <c r="AJ44" s="236">
        <f t="shared" si="5"/>
        <v>38092</v>
      </c>
      <c r="AK44" s="58">
        <f t="shared" ca="1" si="27"/>
        <v>1052</v>
      </c>
      <c r="AL44" s="26">
        <f ca="1">IF($A45="","",_xll.SPRDOPT(P44,X44,AI44,0,AB44,AE44,AF44,AK44,$AJ$2,0))</f>
        <v>0.12140860328817824</v>
      </c>
      <c r="AM44" s="209">
        <f t="shared" si="6"/>
        <v>0.11644231965614775</v>
      </c>
      <c r="AN44" s="89">
        <f t="shared" ca="1" si="28"/>
        <v>4.9662836320304854E-3</v>
      </c>
      <c r="AO44" s="3">
        <f t="shared" si="29"/>
        <v>30</v>
      </c>
      <c r="AP44" s="33">
        <f t="shared" si="30"/>
        <v>38078</v>
      </c>
      <c r="AQ44" s="58">
        <f t="shared" ca="1" si="7"/>
        <v>1052</v>
      </c>
      <c r="AR44" s="38">
        <f>IF(Summary!$H$2=1,VLOOKUP('ANR OK vs ML7'!A44,Curves!$C$17:$AR$273,MATCH('ANR OK vs ML7'!$AR$4,Curves!$C$8:$AQ$8,0)),0.1)</f>
        <v>0.1</v>
      </c>
      <c r="AS44" s="35">
        <f t="shared" ca="1" si="8"/>
        <v>0.75498853260868481</v>
      </c>
      <c r="AT44" s="3">
        <f t="shared" si="31"/>
        <v>1</v>
      </c>
      <c r="AU44" s="3">
        <f t="shared" si="9"/>
        <v>30</v>
      </c>
      <c r="AW44" s="32">
        <f t="shared" ca="1" si="32"/>
        <v>145690.32394581387</v>
      </c>
      <c r="AX44" s="32">
        <f t="shared" si="33"/>
        <v>139730.78358737729</v>
      </c>
      <c r="AY44" s="32">
        <f t="shared" ca="1" si="34"/>
        <v>5959.5403584365822</v>
      </c>
      <c r="BA44" s="32">
        <f ca="1">IF($A45="","",F44*Summary!$Q$7)</f>
        <v>0</v>
      </c>
      <c r="BC44" s="256">
        <f t="shared" ca="1" si="35"/>
        <v>105495.13926089568</v>
      </c>
    </row>
    <row r="45" spans="1:55">
      <c r="A45" s="67">
        <f t="shared" si="10"/>
        <v>38108</v>
      </c>
      <c r="B45" s="69">
        <f t="shared" si="36"/>
        <v>40000</v>
      </c>
      <c r="C45" s="71"/>
      <c r="D45" s="69">
        <f t="shared" si="37"/>
        <v>40000</v>
      </c>
      <c r="E45" s="70">
        <f t="shared" si="1"/>
        <v>1240000</v>
      </c>
      <c r="F45" s="70">
        <f t="shared" ca="1" si="2"/>
        <v>928712.41680976655</v>
      </c>
      <c r="G45" s="63">
        <f t="shared" si="11"/>
        <v>3.93</v>
      </c>
      <c r="H45" s="64">
        <f t="shared" si="12"/>
        <v>3.93</v>
      </c>
      <c r="I45" s="43"/>
      <c r="J45" s="63">
        <f t="shared" si="13"/>
        <v>0.215</v>
      </c>
      <c r="K45" s="64">
        <f t="shared" si="14"/>
        <v>0.215</v>
      </c>
      <c r="L45" s="63">
        <f t="shared" si="15"/>
        <v>0</v>
      </c>
      <c r="M45" s="64">
        <f t="shared" si="16"/>
        <v>0</v>
      </c>
      <c r="N45" s="65"/>
      <c r="O45" s="63">
        <f t="shared" si="17"/>
        <v>4.1450000000000005</v>
      </c>
      <c r="P45" s="63">
        <f t="shared" si="18"/>
        <v>4.1450000000000005</v>
      </c>
      <c r="Q45" s="66"/>
      <c r="R45" s="63">
        <f t="shared" si="19"/>
        <v>-0.1</v>
      </c>
      <c r="S45" s="64">
        <f t="shared" si="20"/>
        <v>-0.1</v>
      </c>
      <c r="T45" s="63">
        <f t="shared" si="21"/>
        <v>-0.01</v>
      </c>
      <c r="U45" s="64">
        <f t="shared" si="22"/>
        <v>-0.01</v>
      </c>
      <c r="V45" s="207">
        <f>IF($A46="","",IF(AND(MONTH(A45)&gt;3,MONTH(A45)&lt;11),(T45+R45+G45)*Summary!$T$7/(1-Summary!$T$7),(T45+R45+G45)*Summary!$U$7/(1-Summary!$U$7)))</f>
        <v>0.18461264283467871</v>
      </c>
      <c r="W45" s="63">
        <f t="shared" si="23"/>
        <v>4.0046126428346787</v>
      </c>
      <c r="X45" s="63">
        <f t="shared" si="24"/>
        <v>4.0046126428346787</v>
      </c>
      <c r="Y45" s="43"/>
      <c r="Z45" s="38">
        <f t="shared" si="25"/>
        <v>0.5</v>
      </c>
      <c r="AA45" s="38">
        <f t="shared" si="25"/>
        <v>0.29600000000000004</v>
      </c>
      <c r="AB45" s="38">
        <f t="shared" ca="1" si="3"/>
        <v>0.30212299952037203</v>
      </c>
      <c r="AC45" s="38">
        <f t="shared" si="25"/>
        <v>0.4</v>
      </c>
      <c r="AD45" s="38">
        <f t="shared" si="25"/>
        <v>0.28800000000000003</v>
      </c>
      <c r="AE45" s="38">
        <f t="shared" ca="1" si="4"/>
        <v>0.29208339527722704</v>
      </c>
      <c r="AF45" s="238">
        <f ca="1">((Summary!$N$7*(AA45*AD45)*(A45-$D$3))+(Summary!$M$7*Z45*AC45*(DAY(EOMONTH(A45,0))/2)))/(AK45*AB45*AE45)</f>
        <v>0.99929976807489995</v>
      </c>
      <c r="AG45" s="88">
        <f>IF($A46="","",Summary!$Q$7)</f>
        <v>0</v>
      </c>
      <c r="AH45" s="88">
        <f>IF($A46="","",IF(Summary!$R$7="Y",(VLOOKUP($A45,Summary!$AD$6:$AF$9,3)+'Escalating commodity'!C58),'Escalating commodity'!C58))</f>
        <v>2.2495200000000003E-2</v>
      </c>
      <c r="AI45" s="88">
        <f t="shared" si="26"/>
        <v>2.2495200000000003E-2</v>
      </c>
      <c r="AJ45" s="236">
        <f t="shared" si="5"/>
        <v>38122.5</v>
      </c>
      <c r="AK45" s="58">
        <f t="shared" ca="1" si="27"/>
        <v>1082</v>
      </c>
      <c r="AL45" s="26">
        <f ca="1">IF($A46="","",_xll.SPRDOPT(P45,X45,AI45,0,AB45,AE45,AF45,AK45,$AJ$2,0))</f>
        <v>0.12708325136533827</v>
      </c>
      <c r="AM45" s="209">
        <f t="shared" si="6"/>
        <v>0.1178921571653218</v>
      </c>
      <c r="AN45" s="89">
        <f t="shared" ca="1" si="28"/>
        <v>9.1910942000164725E-3</v>
      </c>
      <c r="AO45" s="3">
        <f t="shared" si="29"/>
        <v>31</v>
      </c>
      <c r="AP45" s="33">
        <f t="shared" si="30"/>
        <v>38108</v>
      </c>
      <c r="AQ45" s="58">
        <f t="shared" ca="1" si="7"/>
        <v>1082</v>
      </c>
      <c r="AR45" s="38">
        <f>IF(Summary!$H$2=1,VLOOKUP('ANR OK vs ML7'!A45,Curves!$C$17:$AR$273,MATCH('ANR OK vs ML7'!$AR$4,Curves!$C$8:$AQ$8,0)),0.1)</f>
        <v>0.1</v>
      </c>
      <c r="AS45" s="35">
        <f t="shared" ca="1" si="8"/>
        <v>0.74896162645948916</v>
      </c>
      <c r="AT45" s="3">
        <f t="shared" si="31"/>
        <v>1</v>
      </c>
      <c r="AU45" s="3">
        <f t="shared" si="9"/>
        <v>31</v>
      </c>
      <c r="AW45" s="32">
        <f t="shared" ca="1" si="32"/>
        <v>157583.23169301945</v>
      </c>
      <c r="AX45" s="32">
        <f t="shared" si="33"/>
        <v>146186.27488499903</v>
      </c>
      <c r="AY45" s="32">
        <f t="shared" ca="1" si="34"/>
        <v>11396.956808020426</v>
      </c>
      <c r="BA45" s="32">
        <f ca="1">IF($A46="","",F45*Summary!$Q$7)</f>
        <v>0</v>
      </c>
      <c r="BC45" s="256">
        <f t="shared" ca="1" si="35"/>
        <v>109487.91020392285</v>
      </c>
    </row>
    <row r="46" spans="1:55">
      <c r="A46" s="67">
        <f t="shared" si="10"/>
        <v>38139</v>
      </c>
      <c r="B46" s="69">
        <f t="shared" si="36"/>
        <v>40000</v>
      </c>
      <c r="C46" s="71"/>
      <c r="D46" s="69">
        <f t="shared" si="37"/>
        <v>40000</v>
      </c>
      <c r="E46" s="70">
        <f t="shared" si="1"/>
        <v>1200000</v>
      </c>
      <c r="F46" s="70">
        <f t="shared" ca="1" si="2"/>
        <v>891341.23524538323</v>
      </c>
      <c r="G46" s="63">
        <f t="shared" si="11"/>
        <v>4</v>
      </c>
      <c r="H46" s="64">
        <f t="shared" si="12"/>
        <v>4</v>
      </c>
      <c r="I46" s="43"/>
      <c r="J46" s="63">
        <f t="shared" si="13"/>
        <v>0.215</v>
      </c>
      <c r="K46" s="64">
        <f t="shared" si="14"/>
        <v>0.215</v>
      </c>
      <c r="L46" s="63">
        <f t="shared" si="15"/>
        <v>0</v>
      </c>
      <c r="M46" s="64">
        <f t="shared" si="16"/>
        <v>0</v>
      </c>
      <c r="N46" s="65"/>
      <c r="O46" s="63">
        <f t="shared" si="17"/>
        <v>4.2149999999999999</v>
      </c>
      <c r="P46" s="63">
        <f t="shared" si="18"/>
        <v>4.2149999999999999</v>
      </c>
      <c r="Q46" s="66"/>
      <c r="R46" s="63">
        <f t="shared" si="19"/>
        <v>-0.1</v>
      </c>
      <c r="S46" s="64">
        <f t="shared" si="20"/>
        <v>-0.1</v>
      </c>
      <c r="T46" s="63">
        <f t="shared" si="21"/>
        <v>-0.01</v>
      </c>
      <c r="U46" s="64">
        <f t="shared" si="22"/>
        <v>-0.01</v>
      </c>
      <c r="V46" s="207">
        <f>IF($A47="","",IF(AND(MONTH(A46)&gt;3,MONTH(A46)&lt;11),(T46+R46+G46)*Summary!$T$7/(1-Summary!$T$7),(T46+R46+G46)*Summary!$U$7/(1-Summary!$U$7)))</f>
        <v>0.18799559702274873</v>
      </c>
      <c r="W46" s="63">
        <f t="shared" si="23"/>
        <v>4.0779955970227491</v>
      </c>
      <c r="X46" s="63">
        <f t="shared" si="24"/>
        <v>4.0779955970227491</v>
      </c>
      <c r="Y46" s="43"/>
      <c r="Z46" s="38">
        <f t="shared" si="25"/>
        <v>0.5</v>
      </c>
      <c r="AA46" s="38">
        <f t="shared" si="25"/>
        <v>0.29600000000000004</v>
      </c>
      <c r="AB46" s="38">
        <f t="shared" ca="1" si="3"/>
        <v>0.30176811099289347</v>
      </c>
      <c r="AC46" s="38">
        <f t="shared" si="25"/>
        <v>0.4</v>
      </c>
      <c r="AD46" s="38">
        <f t="shared" si="25"/>
        <v>0.28800000000000003</v>
      </c>
      <c r="AE46" s="38">
        <f t="shared" ca="1" si="4"/>
        <v>0.29184731820398346</v>
      </c>
      <c r="AF46" s="238">
        <f ca="1">((Summary!$N$7*(AA46*AD46)*(A46-$D$3))+(Summary!$M$7*Z46*AC46*(DAY(EOMONTH(A46,0))/2)))/(AK46*AB46*AE46)</f>
        <v>0.99933308223318085</v>
      </c>
      <c r="AG46" s="88">
        <f>IF($A47="","",Summary!$Q$7)</f>
        <v>0</v>
      </c>
      <c r="AH46" s="88">
        <f>IF($A47="","",IF(Summary!$R$7="Y",(VLOOKUP($A46,Summary!$AD$6:$AF$9,3)+'Escalating commodity'!C59),'Escalating commodity'!C59))</f>
        <v>2.2495200000000003E-2</v>
      </c>
      <c r="AI46" s="88">
        <f t="shared" si="26"/>
        <v>2.2495200000000003E-2</v>
      </c>
      <c r="AJ46" s="236">
        <f t="shared" si="5"/>
        <v>38153</v>
      </c>
      <c r="AK46" s="58">
        <f t="shared" ca="1" si="27"/>
        <v>1113</v>
      </c>
      <c r="AL46" s="26">
        <f ca="1">IF($A47="","",_xll.SPRDOPT(P46,X46,AI46,0,AB46,AE46,AF46,AK46,$AJ$2,0))</f>
        <v>0.12456970656685515</v>
      </c>
      <c r="AM46" s="209">
        <f t="shared" si="6"/>
        <v>0.1145092029772508</v>
      </c>
      <c r="AN46" s="89">
        <f t="shared" ca="1" si="28"/>
        <v>1.006050358960435E-2</v>
      </c>
      <c r="AO46" s="3">
        <f t="shared" si="29"/>
        <v>30</v>
      </c>
      <c r="AP46" s="33">
        <f t="shared" si="30"/>
        <v>38139</v>
      </c>
      <c r="AQ46" s="58">
        <f t="shared" ca="1" si="7"/>
        <v>1113</v>
      </c>
      <c r="AR46" s="38">
        <f>IF(Summary!$H$2=1,VLOOKUP('ANR OK vs ML7'!A46,Curves!$C$17:$AR$273,MATCH('ANR OK vs ML7'!$AR$4,Curves!$C$8:$AQ$8,0)),0.1)</f>
        <v>0.1</v>
      </c>
      <c r="AS46" s="35">
        <f t="shared" ca="1" si="8"/>
        <v>0.742784362704486</v>
      </c>
      <c r="AT46" s="3">
        <f t="shared" si="31"/>
        <v>1</v>
      </c>
      <c r="AU46" s="3">
        <f t="shared" si="9"/>
        <v>30</v>
      </c>
      <c r="AW46" s="32">
        <f t="shared" ca="1" si="32"/>
        <v>149483.64788022617</v>
      </c>
      <c r="AX46" s="32">
        <f t="shared" si="33"/>
        <v>137411.04357270096</v>
      </c>
      <c r="AY46" s="32">
        <f t="shared" ca="1" si="34"/>
        <v>12072.60430752522</v>
      </c>
      <c r="BA46" s="32">
        <f ca="1">IF($A47="","",F46*Summary!$Q$7)</f>
        <v>0</v>
      </c>
      <c r="BC46" s="256">
        <f t="shared" ca="1" si="35"/>
        <v>102066.77442870704</v>
      </c>
    </row>
    <row r="47" spans="1:55">
      <c r="A47" s="67">
        <f t="shared" si="10"/>
        <v>38169</v>
      </c>
      <c r="B47" s="69">
        <f t="shared" si="36"/>
        <v>40000</v>
      </c>
      <c r="C47" s="71"/>
      <c r="D47" s="69">
        <f t="shared" si="37"/>
        <v>40000</v>
      </c>
      <c r="E47" s="70">
        <f t="shared" si="1"/>
        <v>1240000</v>
      </c>
      <c r="F47" s="70">
        <f t="shared" ca="1" si="2"/>
        <v>913700.05087657424</v>
      </c>
      <c r="G47" s="63">
        <f t="shared" si="11"/>
        <v>4.0549999999999997</v>
      </c>
      <c r="H47" s="64">
        <f t="shared" si="12"/>
        <v>4.0549999999999997</v>
      </c>
      <c r="I47" s="43"/>
      <c r="J47" s="63">
        <f t="shared" si="13"/>
        <v>0.215</v>
      </c>
      <c r="K47" s="64">
        <f t="shared" si="14"/>
        <v>0.215</v>
      </c>
      <c r="L47" s="63">
        <f t="shared" si="15"/>
        <v>0</v>
      </c>
      <c r="M47" s="64">
        <f t="shared" si="16"/>
        <v>0</v>
      </c>
      <c r="N47" s="65"/>
      <c r="O47" s="63">
        <f t="shared" si="17"/>
        <v>4.2699999999999996</v>
      </c>
      <c r="P47" s="63">
        <f t="shared" si="18"/>
        <v>4.2699999999999996</v>
      </c>
      <c r="Q47" s="66"/>
      <c r="R47" s="63">
        <f t="shared" si="19"/>
        <v>-0.1</v>
      </c>
      <c r="S47" s="64">
        <f t="shared" si="20"/>
        <v>-0.1</v>
      </c>
      <c r="T47" s="63">
        <f t="shared" si="21"/>
        <v>-0.01</v>
      </c>
      <c r="U47" s="64">
        <f t="shared" si="22"/>
        <v>-0.01</v>
      </c>
      <c r="V47" s="207">
        <f>IF($A48="","",IF(AND(MONTH(A47)&gt;3,MONTH(A47)&lt;11),(T47+R47+G47)*Summary!$T$7/(1-Summary!$T$7),(T47+R47+G47)*Summary!$U$7/(1-Summary!$U$7)))</f>
        <v>0.19065363245623232</v>
      </c>
      <c r="W47" s="63">
        <f t="shared" si="23"/>
        <v>4.1356536324562319</v>
      </c>
      <c r="X47" s="63">
        <f t="shared" si="24"/>
        <v>4.1356536324562319</v>
      </c>
      <c r="Y47" s="43"/>
      <c r="Z47" s="38">
        <f t="shared" si="25"/>
        <v>0.55000000000000004</v>
      </c>
      <c r="AA47" s="38">
        <f t="shared" si="25"/>
        <v>0.29600000000000004</v>
      </c>
      <c r="AB47" s="38">
        <f t="shared" ca="1" si="3"/>
        <v>0.30297656328545031</v>
      </c>
      <c r="AC47" s="38">
        <f t="shared" si="25"/>
        <v>0.4</v>
      </c>
      <c r="AD47" s="38">
        <f t="shared" si="25"/>
        <v>0.28800000000000003</v>
      </c>
      <c r="AE47" s="38">
        <f t="shared" ca="1" si="4"/>
        <v>0.29186691438571088</v>
      </c>
      <c r="AF47" s="238">
        <f ca="1">((Summary!$N$7*(AA47*AD47)*(A47-$D$3))+(Summary!$M$7*Z47*AC47*(DAY(EOMONTH(A47,0))/2)))/(AK47*AB47*AE47)</f>
        <v>0.99851397837529177</v>
      </c>
      <c r="AG47" s="88">
        <f>IF($A48="","",Summary!$Q$7)</f>
        <v>0</v>
      </c>
      <c r="AH47" s="88">
        <f>IF($A48="","",IF(Summary!$R$7="Y",(VLOOKUP($A47,Summary!$AD$6:$AF$9,3)+'Escalating commodity'!C60),'Escalating commodity'!C60))</f>
        <v>2.2495200000000003E-2</v>
      </c>
      <c r="AI47" s="88">
        <f t="shared" si="26"/>
        <v>2.2495200000000003E-2</v>
      </c>
      <c r="AJ47" s="236">
        <f t="shared" si="5"/>
        <v>38183.5</v>
      </c>
      <c r="AK47" s="58">
        <f t="shared" ca="1" si="27"/>
        <v>1143</v>
      </c>
      <c r="AL47" s="26">
        <f ca="1">IF($A48="","",_xll.SPRDOPT(P47,X47,AI47,0,AB47,AE47,AF47,AK47,$AJ$2,0))</f>
        <v>0.13287058209694605</v>
      </c>
      <c r="AM47" s="209">
        <f t="shared" si="6"/>
        <v>0.11185116754376771</v>
      </c>
      <c r="AN47" s="89">
        <f t="shared" ca="1" si="28"/>
        <v>2.1019414553178337E-2</v>
      </c>
      <c r="AO47" s="3">
        <f t="shared" si="29"/>
        <v>31</v>
      </c>
      <c r="AP47" s="33">
        <f t="shared" si="30"/>
        <v>38169</v>
      </c>
      <c r="AQ47" s="58">
        <f t="shared" ca="1" si="7"/>
        <v>1143</v>
      </c>
      <c r="AR47" s="38">
        <f>IF(Summary!$H$2=1,VLOOKUP('ANR OK vs ML7'!A47,Curves!$C$17:$AR$273,MATCH('ANR OK vs ML7'!$AR$4,Curves!$C$8:$AQ$8,0)),0.1)</f>
        <v>0.1</v>
      </c>
      <c r="AS47" s="35">
        <f t="shared" ca="1" si="8"/>
        <v>0.73685487973917274</v>
      </c>
      <c r="AT47" s="3">
        <f t="shared" si="31"/>
        <v>1</v>
      </c>
      <c r="AU47" s="3">
        <f t="shared" si="9"/>
        <v>31</v>
      </c>
      <c r="AW47" s="32">
        <f t="shared" ca="1" si="32"/>
        <v>164759.52180021312</v>
      </c>
      <c r="AX47" s="32">
        <f t="shared" si="33"/>
        <v>138695.44775427197</v>
      </c>
      <c r="AY47" s="32">
        <f t="shared" ca="1" si="34"/>
        <v>26064.074045941139</v>
      </c>
      <c r="BA47" s="32">
        <f ca="1">IF($A48="","",F47*Summary!$Q$7)</f>
        <v>0</v>
      </c>
      <c r="BC47" s="256">
        <f t="shared" ca="1" si="35"/>
        <v>102198.41747534479</v>
      </c>
    </row>
    <row r="48" spans="1:55">
      <c r="A48" s="67">
        <f t="shared" si="10"/>
        <v>38200</v>
      </c>
      <c r="B48" s="69">
        <f t="shared" si="36"/>
        <v>40000</v>
      </c>
      <c r="C48" s="71"/>
      <c r="D48" s="69">
        <f t="shared" si="37"/>
        <v>40000</v>
      </c>
      <c r="E48" s="70">
        <f t="shared" si="1"/>
        <v>1240000</v>
      </c>
      <c r="F48" s="70">
        <f t="shared" ca="1" si="2"/>
        <v>906164.0623721889</v>
      </c>
      <c r="G48" s="63">
        <f t="shared" si="11"/>
        <v>4.1109999999999998</v>
      </c>
      <c r="H48" s="64">
        <f t="shared" si="12"/>
        <v>4.1109999999999998</v>
      </c>
      <c r="I48" s="43"/>
      <c r="J48" s="63">
        <f t="shared" si="13"/>
        <v>0.215</v>
      </c>
      <c r="K48" s="64">
        <f t="shared" si="14"/>
        <v>0.215</v>
      </c>
      <c r="L48" s="63">
        <f t="shared" si="15"/>
        <v>0</v>
      </c>
      <c r="M48" s="64">
        <f t="shared" si="16"/>
        <v>0</v>
      </c>
      <c r="N48" s="65"/>
      <c r="O48" s="63">
        <f t="shared" si="17"/>
        <v>4.3259999999999996</v>
      </c>
      <c r="P48" s="63">
        <f t="shared" si="18"/>
        <v>4.3259999999999996</v>
      </c>
      <c r="Q48" s="66"/>
      <c r="R48" s="63">
        <f t="shared" si="19"/>
        <v>-0.1</v>
      </c>
      <c r="S48" s="64">
        <f t="shared" si="20"/>
        <v>-0.1</v>
      </c>
      <c r="T48" s="63">
        <f t="shared" si="21"/>
        <v>-0.01</v>
      </c>
      <c r="U48" s="64">
        <f t="shared" si="22"/>
        <v>-0.01</v>
      </c>
      <c r="V48" s="207">
        <f>IF($A49="","",IF(AND(MONTH(A48)&gt;3,MONTH(A48)&lt;11),(T48+R48+G48)*Summary!$T$7/(1-Summary!$T$7),(T48+R48+G48)*Summary!$U$7/(1-Summary!$U$7)))</f>
        <v>0.19335999580668831</v>
      </c>
      <c r="W48" s="63">
        <f t="shared" si="23"/>
        <v>4.1943599958066882</v>
      </c>
      <c r="X48" s="63">
        <f t="shared" si="24"/>
        <v>4.1943599958066882</v>
      </c>
      <c r="Y48" s="43"/>
      <c r="Z48" s="38">
        <f t="shared" si="25"/>
        <v>0.6</v>
      </c>
      <c r="AA48" s="38">
        <f t="shared" si="25"/>
        <v>0.29600000000000004</v>
      </c>
      <c r="AB48" s="38">
        <f t="shared" ca="1" si="3"/>
        <v>0.30404541039839283</v>
      </c>
      <c r="AC48" s="38">
        <f t="shared" si="25"/>
        <v>0.5</v>
      </c>
      <c r="AD48" s="38">
        <f t="shared" si="25"/>
        <v>0.28800000000000003</v>
      </c>
      <c r="AE48" s="38">
        <f t="shared" ca="1" si="4"/>
        <v>0.29379471097624443</v>
      </c>
      <c r="AF48" s="238">
        <f ca="1">((Summary!$N$7*(AA48*AD48)*(A48-$D$3))+(Summary!$M$7*Z48*AC48*(DAY(EOMONTH(A48,0))/2)))/(AK48*AB48*AE48)</f>
        <v>0.99939509254636383</v>
      </c>
      <c r="AG48" s="88">
        <f>IF($A49="","",Summary!$Q$7)</f>
        <v>0</v>
      </c>
      <c r="AH48" s="88">
        <f>IF($A49="","",IF(Summary!$R$7="Y",(VLOOKUP($A48,Summary!$AD$6:$AF$9,3)+'Escalating commodity'!C61),'Escalating commodity'!C61))</f>
        <v>2.2495200000000003E-2</v>
      </c>
      <c r="AI48" s="88">
        <f t="shared" si="26"/>
        <v>2.2495200000000003E-2</v>
      </c>
      <c r="AJ48" s="236">
        <f t="shared" si="5"/>
        <v>38214.5</v>
      </c>
      <c r="AK48" s="58">
        <f t="shared" ca="1" si="27"/>
        <v>1174</v>
      </c>
      <c r="AL48" s="26">
        <f ca="1">IF($A49="","",_xll.SPRDOPT(P48,X48,AI48,0,AB48,AE48,AF48,AK48,$AJ$2,0))</f>
        <v>0.12150768895563628</v>
      </c>
      <c r="AM48" s="209">
        <f t="shared" si="6"/>
        <v>0.10914480419331145</v>
      </c>
      <c r="AN48" s="89">
        <f t="shared" ca="1" si="28"/>
        <v>1.2362884762324833E-2</v>
      </c>
      <c r="AO48" s="3">
        <f t="shared" si="29"/>
        <v>31</v>
      </c>
      <c r="AP48" s="33">
        <f t="shared" si="30"/>
        <v>38200</v>
      </c>
      <c r="AQ48" s="58">
        <f t="shared" ca="1" si="7"/>
        <v>1174</v>
      </c>
      <c r="AR48" s="38">
        <f>IF(Summary!$H$2=1,VLOOKUP('ANR OK vs ML7'!A48,Curves!$C$17:$AR$273,MATCH('ANR OK vs ML7'!$AR$4,Curves!$C$8:$AQ$8,0)),0.1)</f>
        <v>0.1</v>
      </c>
      <c r="AS48" s="35">
        <f t="shared" ca="1" si="8"/>
        <v>0.73077746965499102</v>
      </c>
      <c r="AT48" s="3">
        <f t="shared" si="31"/>
        <v>1</v>
      </c>
      <c r="AU48" s="3">
        <f t="shared" si="9"/>
        <v>31</v>
      </c>
      <c r="AW48" s="32">
        <f t="shared" ca="1" si="32"/>
        <v>150669.53430498898</v>
      </c>
      <c r="AX48" s="32">
        <f t="shared" si="33"/>
        <v>135339.55719970621</v>
      </c>
      <c r="AY48" s="32">
        <f t="shared" ca="1" si="34"/>
        <v>15329.977105282793</v>
      </c>
      <c r="BA48" s="32">
        <f ca="1">IF($A49="","",F48*Summary!$Q$7)</f>
        <v>0</v>
      </c>
      <c r="BC48" s="256">
        <f t="shared" ca="1" si="35"/>
        <v>98903.099154628217</v>
      </c>
    </row>
    <row r="49" spans="1:55">
      <c r="A49" s="67">
        <f t="shared" si="10"/>
        <v>38231</v>
      </c>
      <c r="B49" s="69">
        <f t="shared" si="36"/>
        <v>40000</v>
      </c>
      <c r="C49" s="71"/>
      <c r="D49" s="69">
        <f t="shared" si="37"/>
        <v>40000</v>
      </c>
      <c r="E49" s="70">
        <f t="shared" si="1"/>
        <v>1200000</v>
      </c>
      <c r="F49" s="70">
        <f t="shared" ca="1" si="2"/>
        <v>869700.22158672952</v>
      </c>
      <c r="G49" s="63">
        <f t="shared" si="11"/>
        <v>4.125</v>
      </c>
      <c r="H49" s="64">
        <f t="shared" si="12"/>
        <v>4.125</v>
      </c>
      <c r="I49" s="43"/>
      <c r="J49" s="63">
        <f t="shared" si="13"/>
        <v>0.215</v>
      </c>
      <c r="K49" s="64">
        <f t="shared" si="14"/>
        <v>0.215</v>
      </c>
      <c r="L49" s="63">
        <f t="shared" si="15"/>
        <v>0</v>
      </c>
      <c r="M49" s="64">
        <f t="shared" si="16"/>
        <v>0</v>
      </c>
      <c r="N49" s="65"/>
      <c r="O49" s="63">
        <f t="shared" si="17"/>
        <v>4.34</v>
      </c>
      <c r="P49" s="63">
        <f t="shared" si="18"/>
        <v>4.34</v>
      </c>
      <c r="Q49" s="66"/>
      <c r="R49" s="63">
        <f t="shared" si="19"/>
        <v>-0.1</v>
      </c>
      <c r="S49" s="64">
        <f t="shared" si="20"/>
        <v>-0.1</v>
      </c>
      <c r="T49" s="63">
        <f t="shared" si="21"/>
        <v>-0.01</v>
      </c>
      <c r="U49" s="64">
        <f t="shared" si="22"/>
        <v>-0.01</v>
      </c>
      <c r="V49" s="207">
        <f>IF($A50="","",IF(AND(MONTH(A49)&gt;3,MONTH(A49)&lt;11),(T49+R49+G49)*Summary!$T$7/(1-Summary!$T$7),(T49+R49+G49)*Summary!$U$7/(1-Summary!$U$7)))</f>
        <v>0.19403658664430234</v>
      </c>
      <c r="W49" s="63">
        <f t="shared" si="23"/>
        <v>4.2090365866443022</v>
      </c>
      <c r="X49" s="63">
        <f t="shared" si="24"/>
        <v>4.2090365866443022</v>
      </c>
      <c r="Y49" s="43"/>
      <c r="Z49" s="38">
        <f t="shared" si="25"/>
        <v>0.6</v>
      </c>
      <c r="AA49" s="38">
        <f t="shared" si="25"/>
        <v>0.29600000000000004</v>
      </c>
      <c r="AB49" s="38">
        <f t="shared" ca="1" si="3"/>
        <v>0.30359518799591323</v>
      </c>
      <c r="AC49" s="38">
        <f t="shared" si="25"/>
        <v>0.55000000000000004</v>
      </c>
      <c r="AD49" s="38">
        <f t="shared" si="25"/>
        <v>0.28800000000000003</v>
      </c>
      <c r="AE49" s="38">
        <f t="shared" ca="1" si="4"/>
        <v>0.2945817261151748</v>
      </c>
      <c r="AF49" s="238">
        <f ca="1">((Summary!$N$7*(AA49*AD49)*(A49-$D$3))+(Summary!$M$7*Z49*AC49*(DAY(EOMONTH(A49,0))/2)))/(AK49*AB49*AE49)</f>
        <v>0.99982671669343137</v>
      </c>
      <c r="AG49" s="88">
        <f>IF($A50="","",Summary!$Q$7)</f>
        <v>0</v>
      </c>
      <c r="AH49" s="88">
        <f>IF($A50="","",IF(Summary!$R$7="Y",(VLOOKUP($A49,Summary!$AD$6:$AF$9,3)+'Escalating commodity'!C62),'Escalating commodity'!C62))</f>
        <v>2.2495200000000003E-2</v>
      </c>
      <c r="AI49" s="88">
        <f t="shared" si="26"/>
        <v>2.2495200000000003E-2</v>
      </c>
      <c r="AJ49" s="236">
        <f t="shared" si="5"/>
        <v>38245</v>
      </c>
      <c r="AK49" s="58">
        <f t="shared" ca="1" si="27"/>
        <v>1205</v>
      </c>
      <c r="AL49" s="26">
        <f ca="1">IF($A50="","",_xll.SPRDOPT(P49,X49,AI49,0,AB49,AE49,AF49,AK49,$AJ$2,0))</f>
        <v>0.11479557521825233</v>
      </c>
      <c r="AM49" s="209">
        <f t="shared" si="6"/>
        <v>0.1084682133556976</v>
      </c>
      <c r="AN49" s="89">
        <f t="shared" ca="1" si="28"/>
        <v>6.3273618625547257E-3</v>
      </c>
      <c r="AO49" s="3">
        <f t="shared" si="29"/>
        <v>30</v>
      </c>
      <c r="AP49" s="33">
        <f t="shared" si="30"/>
        <v>38231</v>
      </c>
      <c r="AQ49" s="58">
        <f t="shared" ca="1" si="7"/>
        <v>1205</v>
      </c>
      <c r="AR49" s="38">
        <f>IF(Summary!$H$2=1,VLOOKUP('ANR OK vs ML7'!A49,Curves!$C$17:$AR$273,MATCH('ANR OK vs ML7'!$AR$4,Curves!$C$8:$AQ$8,0)),0.1)</f>
        <v>0.1</v>
      </c>
      <c r="AS49" s="35">
        <f t="shared" ca="1" si="8"/>
        <v>0.72475018465560792</v>
      </c>
      <c r="AT49" s="3">
        <f t="shared" si="31"/>
        <v>1</v>
      </c>
      <c r="AU49" s="3">
        <f t="shared" si="9"/>
        <v>30</v>
      </c>
      <c r="AW49" s="32">
        <f t="shared" ca="1" si="32"/>
        <v>137754.69026190278</v>
      </c>
      <c r="AX49" s="32">
        <f t="shared" si="33"/>
        <v>130161.85602683712</v>
      </c>
      <c r="AY49" s="32">
        <f t="shared" ca="1" si="34"/>
        <v>7592.8342350656712</v>
      </c>
      <c r="BA49" s="32">
        <f ca="1">IF($A50="","",F49*Summary!$Q$7)</f>
        <v>0</v>
      </c>
      <c r="BC49" s="256">
        <f t="shared" ca="1" si="35"/>
        <v>94334.829190566859</v>
      </c>
    </row>
    <row r="50" spans="1:55">
      <c r="A50" s="67">
        <f t="shared" si="10"/>
        <v>38261</v>
      </c>
      <c r="B50" s="69">
        <f t="shared" si="36"/>
        <v>40000</v>
      </c>
      <c r="C50" s="71"/>
      <c r="D50" s="69">
        <f t="shared" si="37"/>
        <v>40000</v>
      </c>
      <c r="E50" s="70">
        <f t="shared" si="1"/>
        <v>1240000</v>
      </c>
      <c r="F50" s="70">
        <f t="shared" ca="1" si="2"/>
        <v>891516.18402619904</v>
      </c>
      <c r="G50" s="63">
        <f t="shared" si="11"/>
        <v>4.1560000000000006</v>
      </c>
      <c r="H50" s="64">
        <f t="shared" si="12"/>
        <v>4.1560000000000006</v>
      </c>
      <c r="I50" s="43"/>
      <c r="J50" s="63">
        <f t="shared" si="13"/>
        <v>0.215</v>
      </c>
      <c r="K50" s="64">
        <f t="shared" si="14"/>
        <v>0.215</v>
      </c>
      <c r="L50" s="63">
        <f t="shared" si="15"/>
        <v>0</v>
      </c>
      <c r="M50" s="64">
        <f t="shared" si="16"/>
        <v>0</v>
      </c>
      <c r="N50" s="65"/>
      <c r="O50" s="63">
        <f t="shared" si="17"/>
        <v>4.3710000000000004</v>
      </c>
      <c r="P50" s="63">
        <f t="shared" si="18"/>
        <v>4.3710000000000004</v>
      </c>
      <c r="Q50" s="66"/>
      <c r="R50" s="63">
        <f t="shared" si="19"/>
        <v>-0.1</v>
      </c>
      <c r="S50" s="64">
        <f t="shared" si="20"/>
        <v>-0.1</v>
      </c>
      <c r="T50" s="63">
        <f t="shared" si="21"/>
        <v>-0.01</v>
      </c>
      <c r="U50" s="64">
        <f t="shared" si="22"/>
        <v>-0.01</v>
      </c>
      <c r="V50" s="207">
        <f>IF($A51="","",IF(AND(MONTH(A50)&gt;3,MONTH(A50)&lt;11),(T50+R50+G50)*Summary!$T$7/(1-Summary!$T$7),(T50+R50+G50)*Summary!$U$7/(1-Summary!$U$7)))</f>
        <v>0.19553475207044765</v>
      </c>
      <c r="W50" s="63">
        <f t="shared" si="23"/>
        <v>4.2415347520704483</v>
      </c>
      <c r="X50" s="63">
        <f t="shared" si="24"/>
        <v>4.2415347520704483</v>
      </c>
      <c r="Y50" s="43"/>
      <c r="Z50" s="38">
        <f t="shared" si="25"/>
        <v>0.65</v>
      </c>
      <c r="AA50" s="38">
        <f t="shared" si="25"/>
        <v>0.29600000000000004</v>
      </c>
      <c r="AB50" s="38">
        <f t="shared" ca="1" si="3"/>
        <v>0.30494192186136371</v>
      </c>
      <c r="AC50" s="38">
        <f t="shared" si="25"/>
        <v>0.55000000000000004</v>
      </c>
      <c r="AD50" s="38">
        <f t="shared" si="25"/>
        <v>0.28800000000000003</v>
      </c>
      <c r="AE50" s="38">
        <f t="shared" ca="1" si="4"/>
        <v>0.29463149838070046</v>
      </c>
      <c r="AF50" s="238">
        <f ca="1">((Summary!$N$7*(AA50*AD50)*(A50-$D$3))+(Summary!$M$7*Z50*AC50*(DAY(EOMONTH(A50,0))/2)))/(AK50*AB50*AE50)</f>
        <v>0.9994417278944725</v>
      </c>
      <c r="AG50" s="88">
        <f>IF($A51="","",Summary!$Q$7)</f>
        <v>0</v>
      </c>
      <c r="AH50" s="88">
        <f>IF($A51="","",IF(Summary!$R$7="Y",(VLOOKUP($A50,Summary!$AD$6:$AF$9,3)+'Escalating commodity'!C63),'Escalating commodity'!C63))</f>
        <v>2.2495200000000003E-2</v>
      </c>
      <c r="AI50" s="88">
        <f t="shared" si="26"/>
        <v>2.2495200000000003E-2</v>
      </c>
      <c r="AJ50" s="236">
        <f t="shared" si="5"/>
        <v>38275.5</v>
      </c>
      <c r="AK50" s="58">
        <f t="shared" ca="1" si="27"/>
        <v>1235</v>
      </c>
      <c r="AL50" s="26">
        <f ca="1">IF($A51="","",_xll.SPRDOPT(P50,X50,AI50,0,AB50,AE50,AF50,AK50,$AJ$2,0))</f>
        <v>0.12048154064809309</v>
      </c>
      <c r="AM50" s="209">
        <f t="shared" si="6"/>
        <v>0.10697004792955216</v>
      </c>
      <c r="AN50" s="89">
        <f t="shared" ca="1" si="28"/>
        <v>1.3511492718540935E-2</v>
      </c>
      <c r="AO50" s="3">
        <f t="shared" si="29"/>
        <v>31</v>
      </c>
      <c r="AP50" s="33">
        <f t="shared" si="30"/>
        <v>38261</v>
      </c>
      <c r="AQ50" s="58">
        <f t="shared" ca="1" si="7"/>
        <v>1235</v>
      </c>
      <c r="AR50" s="38">
        <f>IF(Summary!$H$2=1,VLOOKUP('ANR OK vs ML7'!A50,Curves!$C$17:$AR$273,MATCH('ANR OK vs ML7'!$AR$4,Curves!$C$8:$AQ$8,0)),0.1)</f>
        <v>0.1</v>
      </c>
      <c r="AS50" s="35">
        <f t="shared" ca="1" si="8"/>
        <v>0.71896466453725727</v>
      </c>
      <c r="AT50" s="3">
        <f t="shared" si="31"/>
        <v>1</v>
      </c>
      <c r="AU50" s="3">
        <f t="shared" si="9"/>
        <v>31</v>
      </c>
      <c r="AW50" s="32">
        <f t="shared" ca="1" si="32"/>
        <v>149397.11040363542</v>
      </c>
      <c r="AX50" s="32">
        <f t="shared" si="33"/>
        <v>132642.85943264468</v>
      </c>
      <c r="AY50" s="32">
        <f t="shared" ca="1" si="34"/>
        <v>16754.250970990761</v>
      </c>
      <c r="BA50" s="32">
        <f ca="1">IF($A51="","",F50*Summary!$Q$7)</f>
        <v>0</v>
      </c>
      <c r="BC50" s="256">
        <f t="shared" ca="1" si="35"/>
        <v>95365.528935253955</v>
      </c>
    </row>
    <row r="51" spans="1:55">
      <c r="A51" s="67">
        <f t="shared" si="10"/>
        <v>38292</v>
      </c>
      <c r="B51" s="69">
        <f t="shared" si="36"/>
        <v>40000</v>
      </c>
      <c r="C51" s="71"/>
      <c r="D51" s="69">
        <f t="shared" si="37"/>
        <v>40000</v>
      </c>
      <c r="E51" s="70">
        <f t="shared" si="1"/>
        <v>1200000</v>
      </c>
      <c r="F51" s="70">
        <f t="shared" ca="1" si="2"/>
        <v>855641.77061491157</v>
      </c>
      <c r="G51" s="63">
        <f t="shared" si="11"/>
        <v>4.2890000000000006</v>
      </c>
      <c r="H51" s="64">
        <f t="shared" si="12"/>
        <v>4.2890000000000006</v>
      </c>
      <c r="I51" s="43"/>
      <c r="J51" s="63">
        <f t="shared" si="13"/>
        <v>0.31</v>
      </c>
      <c r="K51" s="64">
        <f t="shared" si="14"/>
        <v>0.31</v>
      </c>
      <c r="L51" s="63">
        <f t="shared" si="15"/>
        <v>0</v>
      </c>
      <c r="M51" s="64">
        <f t="shared" si="16"/>
        <v>0</v>
      </c>
      <c r="N51" s="65"/>
      <c r="O51" s="63">
        <f t="shared" si="17"/>
        <v>4.5990000000000002</v>
      </c>
      <c r="P51" s="63">
        <f t="shared" si="18"/>
        <v>4.5990000000000002</v>
      </c>
      <c r="Q51" s="66"/>
      <c r="R51" s="63">
        <f t="shared" si="19"/>
        <v>-0.1</v>
      </c>
      <c r="S51" s="64">
        <f t="shared" si="20"/>
        <v>-0.1</v>
      </c>
      <c r="T51" s="63">
        <f t="shared" si="21"/>
        <v>0.01</v>
      </c>
      <c r="U51" s="64">
        <f t="shared" si="22"/>
        <v>0.01</v>
      </c>
      <c r="V51" s="207">
        <f>IF($A52="","",IF(AND(MONTH(A51)&gt;3,MONTH(A51)&lt;11),(T51+R51+G51)*Summary!$T$7/(1-Summary!$T$7),(T51+R51+G51)*Summary!$U$7/(1-Summary!$U$7)))</f>
        <v>0.20292892336722931</v>
      </c>
      <c r="W51" s="63">
        <f t="shared" si="23"/>
        <v>4.4019289233672296</v>
      </c>
      <c r="X51" s="63">
        <f t="shared" si="24"/>
        <v>4.4019289233672296</v>
      </c>
      <c r="Y51" s="43"/>
      <c r="Z51" s="38">
        <f t="shared" si="25"/>
        <v>0.8</v>
      </c>
      <c r="AA51" s="38">
        <f t="shared" si="25"/>
        <v>0.29600000000000004</v>
      </c>
      <c r="AB51" s="38">
        <f t="shared" ca="1" si="3"/>
        <v>0.30865538281334493</v>
      </c>
      <c r="AC51" s="38">
        <f t="shared" si="25"/>
        <v>0.8</v>
      </c>
      <c r="AD51" s="38">
        <f t="shared" si="25"/>
        <v>0.28800000000000003</v>
      </c>
      <c r="AE51" s="38">
        <f t="shared" ca="1" si="4"/>
        <v>0.30098580527377589</v>
      </c>
      <c r="AF51" s="238">
        <f ca="1">((Summary!$N$7*(AA51*AD51)*(A51-$D$3))+(Summary!$M$7*Z51*AC51*(DAY(EOMONTH(A51,0))/2)))/(AK51*AB51*AE51)</f>
        <v>0.99988002697908418</v>
      </c>
      <c r="AG51" s="88">
        <f>IF($A52="","",Summary!$Q$7)</f>
        <v>0</v>
      </c>
      <c r="AH51" s="88">
        <f>IF($A52="","",IF(Summary!$R$7="Y",(VLOOKUP($A51,Summary!$AD$6:$AF$9,3)+'Escalating commodity'!C64),'Escalating commodity'!C64))</f>
        <v>2.2495200000000003E-2</v>
      </c>
      <c r="AI51" s="88">
        <f t="shared" si="26"/>
        <v>2.2495200000000003E-2</v>
      </c>
      <c r="AJ51" s="236">
        <f t="shared" si="5"/>
        <v>38306</v>
      </c>
      <c r="AK51" s="58">
        <f t="shared" ca="1" si="27"/>
        <v>1266</v>
      </c>
      <c r="AL51" s="26">
        <f ca="1">IF($A52="","",_xll.SPRDOPT(P51,X51,AI51,0,AB51,AE51,AF51,AK51,$AJ$2,0))</f>
        <v>0.17605510383716164</v>
      </c>
      <c r="AM51" s="209">
        <f t="shared" si="6"/>
        <v>0.17457587663277058</v>
      </c>
      <c r="AN51" s="89">
        <f t="shared" ca="1" si="28"/>
        <v>1.4792272043910593E-3</v>
      </c>
      <c r="AO51" s="3">
        <f t="shared" si="29"/>
        <v>30</v>
      </c>
      <c r="AP51" s="33">
        <f t="shared" si="30"/>
        <v>38292</v>
      </c>
      <c r="AQ51" s="58">
        <f t="shared" ca="1" si="7"/>
        <v>1266</v>
      </c>
      <c r="AR51" s="38">
        <f>IF(Summary!$H$2=1,VLOOKUP('ANR OK vs ML7'!A51,Curves!$C$17:$AR$273,MATCH('ANR OK vs ML7'!$AR$4,Curves!$C$8:$AQ$8,0)),0.1)</f>
        <v>0.1</v>
      </c>
      <c r="AS51" s="35">
        <f t="shared" ca="1" si="8"/>
        <v>0.71303480884575965</v>
      </c>
      <c r="AT51" s="3">
        <f t="shared" si="31"/>
        <v>1</v>
      </c>
      <c r="AU51" s="3">
        <f t="shared" si="9"/>
        <v>30</v>
      </c>
      <c r="AW51" s="32">
        <f t="shared" ca="1" si="32"/>
        <v>211266.12460459396</v>
      </c>
      <c r="AX51" s="32">
        <f t="shared" si="33"/>
        <v>209491.05195932469</v>
      </c>
      <c r="AY51" s="32">
        <f t="shared" ca="1" si="34"/>
        <v>1775.0726452692711</v>
      </c>
      <c r="BA51" s="32">
        <f ca="1">IF($A52="","",F51*Summary!$Q$7)</f>
        <v>0</v>
      </c>
      <c r="BC51" s="256">
        <f t="shared" ca="1" si="35"/>
        <v>149374.4121887142</v>
      </c>
    </row>
    <row r="52" spans="1:55">
      <c r="A52" s="67">
        <f t="shared" si="10"/>
        <v>38322</v>
      </c>
      <c r="B52" s="69">
        <f t="shared" si="36"/>
        <v>40000</v>
      </c>
      <c r="C52" s="71"/>
      <c r="D52" s="69">
        <f t="shared" si="37"/>
        <v>40000</v>
      </c>
      <c r="E52" s="70">
        <f t="shared" si="1"/>
        <v>1240000</v>
      </c>
      <c r="F52" s="70">
        <f t="shared" ca="1" si="2"/>
        <v>877105.08437067876</v>
      </c>
      <c r="G52" s="63">
        <f t="shared" si="11"/>
        <v>4.4270000000000005</v>
      </c>
      <c r="H52" s="64">
        <f t="shared" si="12"/>
        <v>4.4270000000000005</v>
      </c>
      <c r="I52" s="43"/>
      <c r="J52" s="63">
        <f t="shared" si="13"/>
        <v>0.31</v>
      </c>
      <c r="K52" s="64">
        <f t="shared" si="14"/>
        <v>0.31</v>
      </c>
      <c r="L52" s="63">
        <f t="shared" si="15"/>
        <v>0</v>
      </c>
      <c r="M52" s="64">
        <f t="shared" si="16"/>
        <v>0</v>
      </c>
      <c r="N52" s="65"/>
      <c r="O52" s="63">
        <f t="shared" si="17"/>
        <v>4.7370000000000001</v>
      </c>
      <c r="P52" s="63">
        <f t="shared" si="18"/>
        <v>4.7370000000000001</v>
      </c>
      <c r="Q52" s="66"/>
      <c r="R52" s="63">
        <f t="shared" si="19"/>
        <v>-0.10249999999999999</v>
      </c>
      <c r="S52" s="64">
        <f t="shared" si="20"/>
        <v>-0.10249999999999999</v>
      </c>
      <c r="T52" s="63">
        <f t="shared" si="21"/>
        <v>0.01</v>
      </c>
      <c r="U52" s="64">
        <f t="shared" si="22"/>
        <v>0.01</v>
      </c>
      <c r="V52" s="207">
        <f>IF($A53="","",IF(AND(MONTH(A52)&gt;3,MONTH(A52)&lt;11),(T52+R52+G52)*Summary!$T$7/(1-Summary!$T$7),(T52+R52+G52)*Summary!$U$7/(1-Summary!$U$7)))</f>
        <v>0.20947735611699342</v>
      </c>
      <c r="W52" s="63">
        <f t="shared" si="23"/>
        <v>4.5439773561169936</v>
      </c>
      <c r="X52" s="63">
        <f t="shared" si="24"/>
        <v>4.5439773561169936</v>
      </c>
      <c r="Y52" s="43"/>
      <c r="Z52" s="38">
        <f t="shared" si="25"/>
        <v>1.1000000000000001</v>
      </c>
      <c r="AA52" s="38">
        <f t="shared" si="25"/>
        <v>0.29899999999999999</v>
      </c>
      <c r="AB52" s="38">
        <f t="shared" ca="1" si="3"/>
        <v>0.3223994926645673</v>
      </c>
      <c r="AC52" s="38">
        <f t="shared" si="25"/>
        <v>1</v>
      </c>
      <c r="AD52" s="38">
        <f t="shared" si="25"/>
        <v>0.28999999999999998</v>
      </c>
      <c r="AE52" s="38">
        <f t="shared" ca="1" si="4"/>
        <v>0.31003994664965112</v>
      </c>
      <c r="AF52" s="238">
        <f ca="1">((Summary!$N$7*(AA52*AD52)*(A52-$D$3))+(Summary!$M$7*Z52*AC52*(DAY(EOMONTH(A52,0))/2)))/(AK52*AB52*AE52)</f>
        <v>0.99967356738032609</v>
      </c>
      <c r="AG52" s="88">
        <f>IF($A53="","",Summary!$Q$7)</f>
        <v>0</v>
      </c>
      <c r="AH52" s="88">
        <f>IF($A53="","",IF(Summary!$R$7="Y",(VLOOKUP($A52,Summary!$AD$6:$AF$9,3)+'Escalating commodity'!C65),'Escalating commodity'!C65))</f>
        <v>2.2495200000000003E-2</v>
      </c>
      <c r="AI52" s="88">
        <f t="shared" si="26"/>
        <v>2.2495200000000003E-2</v>
      </c>
      <c r="AJ52" s="236">
        <f t="shared" si="5"/>
        <v>38336.5</v>
      </c>
      <c r="AK52" s="58">
        <f t="shared" ca="1" si="27"/>
        <v>1296</v>
      </c>
      <c r="AL52" s="26">
        <f ca="1">IF($A53="","",_xll.SPRDOPT(P52,X52,AI52,0,AB52,AE52,AF52,AK52,$AJ$2,0))</f>
        <v>0.17914300730793464</v>
      </c>
      <c r="AM52" s="209">
        <f t="shared" si="6"/>
        <v>0.1705274438830065</v>
      </c>
      <c r="AN52" s="89">
        <f t="shared" ca="1" si="28"/>
        <v>8.615563424928141E-3</v>
      </c>
      <c r="AO52" s="3">
        <f t="shared" si="29"/>
        <v>31</v>
      </c>
      <c r="AP52" s="33">
        <f t="shared" si="30"/>
        <v>38322</v>
      </c>
      <c r="AQ52" s="58">
        <f t="shared" ca="1" si="7"/>
        <v>1296</v>
      </c>
      <c r="AR52" s="38">
        <f>IF(Summary!$H$2=1,VLOOKUP('ANR OK vs ML7'!A52,Curves!$C$17:$AR$273,MATCH('ANR OK vs ML7'!$AR$4,Curves!$C$8:$AQ$8,0)),0.1)</f>
        <v>0.1</v>
      </c>
      <c r="AS52" s="35">
        <f t="shared" ca="1" si="8"/>
        <v>0.70734280997635379</v>
      </c>
      <c r="AT52" s="3">
        <f t="shared" si="31"/>
        <v>1</v>
      </c>
      <c r="AU52" s="3">
        <f t="shared" si="9"/>
        <v>31</v>
      </c>
      <c r="AW52" s="32">
        <f t="shared" ca="1" si="32"/>
        <v>222137.32906183894</v>
      </c>
      <c r="AX52" s="32">
        <f t="shared" si="33"/>
        <v>211454.03041492807</v>
      </c>
      <c r="AY52" s="32">
        <f t="shared" ca="1" si="34"/>
        <v>10683.298646910895</v>
      </c>
      <c r="BA52" s="32">
        <f ca="1">IF($A53="","",F52*Summary!$Q$7)</f>
        <v>0</v>
      </c>
      <c r="BC52" s="256">
        <f t="shared" ca="1" si="35"/>
        <v>149570.4880545206</v>
      </c>
    </row>
    <row r="53" spans="1:55">
      <c r="A53" s="67">
        <f t="shared" si="10"/>
        <v>38353</v>
      </c>
      <c r="B53" s="69">
        <f t="shared" si="36"/>
        <v>40000</v>
      </c>
      <c r="C53" s="71"/>
      <c r="D53" s="69">
        <f t="shared" si="37"/>
        <v>40000</v>
      </c>
      <c r="E53" s="70">
        <f t="shared" si="1"/>
        <v>1240000</v>
      </c>
      <c r="F53" s="70">
        <f t="shared" ca="1" si="2"/>
        <v>869870.92275865504</v>
      </c>
      <c r="G53" s="63">
        <f t="shared" si="11"/>
        <v>4.4140000000000006</v>
      </c>
      <c r="H53" s="64">
        <f t="shared" si="12"/>
        <v>4.4140000000000006</v>
      </c>
      <c r="I53" s="43"/>
      <c r="J53" s="63">
        <f t="shared" si="13"/>
        <v>0.31</v>
      </c>
      <c r="K53" s="64">
        <f t="shared" si="14"/>
        <v>0.31</v>
      </c>
      <c r="L53" s="63">
        <f t="shared" si="15"/>
        <v>0</v>
      </c>
      <c r="M53" s="64">
        <f t="shared" si="16"/>
        <v>0</v>
      </c>
      <c r="N53" s="65"/>
      <c r="O53" s="63">
        <f t="shared" si="17"/>
        <v>4.7240000000000002</v>
      </c>
      <c r="P53" s="63">
        <f t="shared" si="18"/>
        <v>4.7240000000000002</v>
      </c>
      <c r="Q53" s="66"/>
      <c r="R53" s="63">
        <f t="shared" si="19"/>
        <v>-0.105</v>
      </c>
      <c r="S53" s="64">
        <f t="shared" si="20"/>
        <v>-0.105</v>
      </c>
      <c r="T53" s="63">
        <f t="shared" si="21"/>
        <v>0.01</v>
      </c>
      <c r="U53" s="64">
        <f t="shared" si="22"/>
        <v>0.01</v>
      </c>
      <c r="V53" s="207">
        <f>IF($A54="","",IF(AND(MONTH(A53)&gt;3,MONTH(A53)&lt;11),(T53+R53+G53)*Summary!$T$7/(1-Summary!$T$7),(T53+R53+G53)*Summary!$U$7/(1-Summary!$U$7)))</f>
        <v>0.20872827340392081</v>
      </c>
      <c r="W53" s="63">
        <f t="shared" si="23"/>
        <v>4.5277282734039215</v>
      </c>
      <c r="X53" s="63">
        <f t="shared" si="24"/>
        <v>4.5277282734039215</v>
      </c>
      <c r="Y53" s="43"/>
      <c r="Z53" s="38">
        <f t="shared" si="25"/>
        <v>1.1000000000000001</v>
      </c>
      <c r="AA53" s="38">
        <f t="shared" si="25"/>
        <v>0.30099999999999999</v>
      </c>
      <c r="AB53" s="38">
        <f t="shared" ca="1" si="3"/>
        <v>0.32373238736413956</v>
      </c>
      <c r="AC53" s="38">
        <f t="shared" si="25"/>
        <v>1</v>
      </c>
      <c r="AD53" s="38">
        <f t="shared" si="25"/>
        <v>0.29300000000000004</v>
      </c>
      <c r="AE53" s="38">
        <f t="shared" ca="1" si="4"/>
        <v>0.31240066635268826</v>
      </c>
      <c r="AF53" s="238">
        <f ca="1">((Summary!$N$7*(AA53*AD53)*(A53-$D$3))+(Summary!$M$7*Z53*AC53*(DAY(EOMONTH(A53,0))/2)))/(AK53*AB53*AE53)</f>
        <v>0.99965344545354795</v>
      </c>
      <c r="AG53" s="88">
        <f>IF($A54="","",Summary!$Q$7)</f>
        <v>0</v>
      </c>
      <c r="AH53" s="88">
        <f>IF($A54="","",IF(Summary!$R$7="Y",(VLOOKUP($A53,Summary!$AD$6:$AF$9,3)+'Escalating commodity'!C66),'Escalating commodity'!C66))</f>
        <v>2.2495200000000003E-2</v>
      </c>
      <c r="AI53" s="88">
        <f t="shared" si="26"/>
        <v>2.2495200000000003E-2</v>
      </c>
      <c r="AJ53" s="236">
        <f t="shared" si="5"/>
        <v>38367.5</v>
      </c>
      <c r="AK53" s="58">
        <f t="shared" ca="1" si="27"/>
        <v>1327</v>
      </c>
      <c r="AL53" s="26">
        <f ca="1">IF($A54="","",_xll.SPRDOPT(P53,X53,AI53,0,AB53,AE53,AF53,AK53,$AJ$2,0))</f>
        <v>0.18119580582278041</v>
      </c>
      <c r="AM53" s="209">
        <f t="shared" si="6"/>
        <v>0.17377652659607873</v>
      </c>
      <c r="AN53" s="89">
        <f t="shared" ca="1" si="28"/>
        <v>7.419279226701686E-3</v>
      </c>
      <c r="AO53" s="3">
        <f t="shared" si="29"/>
        <v>31</v>
      </c>
      <c r="AP53" s="33">
        <f t="shared" si="30"/>
        <v>38353</v>
      </c>
      <c r="AQ53" s="58">
        <f t="shared" ca="1" si="7"/>
        <v>1327</v>
      </c>
      <c r="AR53" s="38">
        <f>IF(Summary!$H$2=1,VLOOKUP('ANR OK vs ML7'!A53,Curves!$C$17:$AR$273,MATCH('ANR OK vs ML7'!$AR$4,Curves!$C$8:$AQ$8,0)),0.1)</f>
        <v>0.1</v>
      </c>
      <c r="AS53" s="35">
        <f t="shared" ca="1" si="8"/>
        <v>0.70150880867633469</v>
      </c>
      <c r="AT53" s="3">
        <f t="shared" si="31"/>
        <v>1</v>
      </c>
      <c r="AU53" s="3">
        <f t="shared" si="9"/>
        <v>31</v>
      </c>
      <c r="AW53" s="32">
        <f t="shared" ca="1" si="32"/>
        <v>224682.79922024772</v>
      </c>
      <c r="AX53" s="32">
        <f t="shared" si="33"/>
        <v>215482.89297913763</v>
      </c>
      <c r="AY53" s="32">
        <f t="shared" ca="1" si="34"/>
        <v>9199.9062411100913</v>
      </c>
      <c r="BA53" s="32">
        <f ca="1">IF($A54="","",F53*Summary!$Q$7)</f>
        <v>0</v>
      </c>
      <c r="BC53" s="256">
        <f t="shared" ca="1" si="35"/>
        <v>151163.14754392498</v>
      </c>
    </row>
    <row r="54" spans="1:55">
      <c r="A54" s="67">
        <f t="shared" si="10"/>
        <v>38384</v>
      </c>
      <c r="B54" s="69">
        <f t="shared" si="36"/>
        <v>40000</v>
      </c>
      <c r="C54" s="71"/>
      <c r="D54" s="69">
        <f t="shared" si="37"/>
        <v>40000</v>
      </c>
      <c r="E54" s="70">
        <f t="shared" si="1"/>
        <v>1120000</v>
      </c>
      <c r="F54" s="70">
        <f t="shared" ca="1" si="2"/>
        <v>779209.67586703051</v>
      </c>
      <c r="G54" s="63">
        <f t="shared" si="11"/>
        <v>4.2940000000000005</v>
      </c>
      <c r="H54" s="64">
        <f t="shared" si="12"/>
        <v>4.2940000000000005</v>
      </c>
      <c r="I54" s="43"/>
      <c r="J54" s="63">
        <f t="shared" si="13"/>
        <v>0.31</v>
      </c>
      <c r="K54" s="64">
        <f t="shared" si="14"/>
        <v>0.31</v>
      </c>
      <c r="L54" s="63">
        <f t="shared" si="15"/>
        <v>0</v>
      </c>
      <c r="M54" s="64">
        <f t="shared" si="16"/>
        <v>0</v>
      </c>
      <c r="N54" s="65"/>
      <c r="O54" s="63">
        <f t="shared" si="17"/>
        <v>4.6040000000000001</v>
      </c>
      <c r="P54" s="63">
        <f t="shared" si="18"/>
        <v>4.6040000000000001</v>
      </c>
      <c r="Q54" s="66"/>
      <c r="R54" s="63">
        <f t="shared" si="19"/>
        <v>-9.7500000000000003E-2</v>
      </c>
      <c r="S54" s="64">
        <f t="shared" si="20"/>
        <v>-9.7500000000000003E-2</v>
      </c>
      <c r="T54" s="63">
        <f t="shared" si="21"/>
        <v>0.01</v>
      </c>
      <c r="U54" s="64">
        <f t="shared" si="22"/>
        <v>0.01</v>
      </c>
      <c r="V54" s="207">
        <f>IF($A55="","",IF(AND(MONTH(A54)&gt;3,MONTH(A54)&lt;11),(T54+R54+G54)*Summary!$T$7/(1-Summary!$T$7),(T54+R54+G54)*Summary!$U$7/(1-Summary!$U$7)))</f>
        <v>0.20329138274452252</v>
      </c>
      <c r="W54" s="63">
        <f t="shared" si="23"/>
        <v>4.4097913827445225</v>
      </c>
      <c r="X54" s="63">
        <f t="shared" si="24"/>
        <v>4.4097913827445225</v>
      </c>
      <c r="Y54" s="43"/>
      <c r="Z54" s="38">
        <f t="shared" si="25"/>
        <v>1.1000000000000001</v>
      </c>
      <c r="AA54" s="38">
        <f t="shared" si="25"/>
        <v>0.29400000000000004</v>
      </c>
      <c r="AB54" s="38">
        <f t="shared" ca="1" si="3"/>
        <v>0.31460113840966919</v>
      </c>
      <c r="AC54" s="38">
        <f t="shared" si="25"/>
        <v>1</v>
      </c>
      <c r="AD54" s="38">
        <f t="shared" si="25"/>
        <v>0.28499999999999998</v>
      </c>
      <c r="AE54" s="38">
        <f t="shared" ca="1" si="4"/>
        <v>0.30264515620504168</v>
      </c>
      <c r="AF54" s="238">
        <f ca="1">((Summary!$N$7*(AA54*AD54)*(A54-$D$3))+(Summary!$M$7*Z54*AC54*(DAY(EOMONTH(A54,0))/2)))/(AK54*AB54*AE54)</f>
        <v>0.99969553759605112</v>
      </c>
      <c r="AG54" s="88">
        <f>IF($A55="","",Summary!$Q$7)</f>
        <v>0</v>
      </c>
      <c r="AH54" s="88">
        <f>IF($A55="","",IF(Summary!$R$7="Y",(VLOOKUP($A54,Summary!$AD$6:$AF$9,3)+'Escalating commodity'!C67),'Escalating commodity'!C67))</f>
        <v>2.2495200000000003E-2</v>
      </c>
      <c r="AI54" s="88">
        <f t="shared" si="26"/>
        <v>2.2495200000000003E-2</v>
      </c>
      <c r="AJ54" s="236">
        <f t="shared" si="5"/>
        <v>38397</v>
      </c>
      <c r="AK54" s="58">
        <f t="shared" ca="1" si="27"/>
        <v>1358</v>
      </c>
      <c r="AL54" s="26">
        <f ca="1">IF($A55="","",_xll.SPRDOPT(P54,X54,AI54,0,AB54,AE54,AF54,AK54,$AJ$2,0))</f>
        <v>0.17916794552488163</v>
      </c>
      <c r="AM54" s="209">
        <f t="shared" si="6"/>
        <v>0.17171341725547756</v>
      </c>
      <c r="AN54" s="89">
        <f t="shared" ca="1" si="28"/>
        <v>7.4545282694040704E-3</v>
      </c>
      <c r="AO54" s="3">
        <f t="shared" si="29"/>
        <v>28</v>
      </c>
      <c r="AP54" s="33">
        <f t="shared" si="30"/>
        <v>38384</v>
      </c>
      <c r="AQ54" s="58">
        <f t="shared" ca="1" si="7"/>
        <v>1358</v>
      </c>
      <c r="AR54" s="38">
        <f>IF(Summary!$H$2=1,VLOOKUP('ANR OK vs ML7'!A54,Curves!$C$17:$AR$273,MATCH('ANR OK vs ML7'!$AR$4,Curves!$C$8:$AQ$8,0)),0.1)</f>
        <v>0.1</v>
      </c>
      <c r="AS54" s="35">
        <f t="shared" ca="1" si="8"/>
        <v>0.69572292488127729</v>
      </c>
      <c r="AT54" s="3">
        <f t="shared" si="31"/>
        <v>1</v>
      </c>
      <c r="AU54" s="3">
        <f t="shared" si="9"/>
        <v>28</v>
      </c>
      <c r="AW54" s="32">
        <f t="shared" ca="1" si="32"/>
        <v>200668.09898786742</v>
      </c>
      <c r="AX54" s="32">
        <f t="shared" si="33"/>
        <v>192319.02732613488</v>
      </c>
      <c r="AY54" s="32">
        <f t="shared" ca="1" si="34"/>
        <v>8349.0716617325597</v>
      </c>
      <c r="BA54" s="32">
        <f ca="1">IF($A55="","",F54*Summary!$Q$7)</f>
        <v>0</v>
      </c>
      <c r="BC54" s="256">
        <f t="shared" ca="1" si="35"/>
        <v>133800.75620166084</v>
      </c>
    </row>
    <row r="55" spans="1:55">
      <c r="A55" s="67">
        <f t="shared" si="10"/>
        <v>38412</v>
      </c>
      <c r="B55" s="69">
        <f t="shared" si="36"/>
        <v>40000</v>
      </c>
      <c r="C55" s="71"/>
      <c r="D55" s="69">
        <f t="shared" si="37"/>
        <v>40000</v>
      </c>
      <c r="E55" s="70">
        <f t="shared" si="1"/>
        <v>1240000</v>
      </c>
      <c r="F55" s="70">
        <f t="shared" ca="1" si="2"/>
        <v>856267.11153393739</v>
      </c>
      <c r="G55" s="63">
        <f t="shared" si="11"/>
        <v>4.1550000000000002</v>
      </c>
      <c r="H55" s="64">
        <f t="shared" si="12"/>
        <v>4.1550000000000002</v>
      </c>
      <c r="I55" s="43"/>
      <c r="J55" s="63">
        <f t="shared" si="13"/>
        <v>0.31</v>
      </c>
      <c r="K55" s="64">
        <f t="shared" si="14"/>
        <v>0.31</v>
      </c>
      <c r="L55" s="63">
        <f t="shared" si="15"/>
        <v>0</v>
      </c>
      <c r="M55" s="64">
        <f t="shared" si="16"/>
        <v>0</v>
      </c>
      <c r="N55" s="65"/>
      <c r="O55" s="63">
        <f t="shared" si="17"/>
        <v>4.4649999999999999</v>
      </c>
      <c r="P55" s="63">
        <f t="shared" si="18"/>
        <v>4.4649999999999999</v>
      </c>
      <c r="Q55" s="66"/>
      <c r="R55" s="63">
        <f t="shared" si="19"/>
        <v>-9.5000000000000001E-2</v>
      </c>
      <c r="S55" s="64">
        <f t="shared" si="20"/>
        <v>-9.5000000000000001E-2</v>
      </c>
      <c r="T55" s="63">
        <f t="shared" si="21"/>
        <v>0.01</v>
      </c>
      <c r="U55" s="64">
        <f t="shared" si="22"/>
        <v>0.01</v>
      </c>
      <c r="V55" s="207">
        <f>IF($A56="","",IF(AND(MONTH(A55)&gt;3,MONTH(A55)&lt;11),(T55+R55+G55)*Summary!$T$7/(1-Summary!$T$7),(T55+R55+G55)*Summary!$U$7/(1-Summary!$U$7)))</f>
        <v>0.19669462207778596</v>
      </c>
      <c r="W55" s="63">
        <f t="shared" si="23"/>
        <v>4.2666946220777859</v>
      </c>
      <c r="X55" s="63">
        <f t="shared" si="24"/>
        <v>4.2666946220777859</v>
      </c>
      <c r="Y55" s="43"/>
      <c r="Z55" s="38">
        <f t="shared" si="25"/>
        <v>0.75</v>
      </c>
      <c r="AA55" s="38">
        <f t="shared" si="25"/>
        <v>0.28800000000000003</v>
      </c>
      <c r="AB55" s="38">
        <f t="shared" ca="1" si="3"/>
        <v>0.29882173376685406</v>
      </c>
      <c r="AC55" s="38">
        <f t="shared" si="25"/>
        <v>0.75</v>
      </c>
      <c r="AD55" s="38">
        <f t="shared" si="25"/>
        <v>0.28000000000000003</v>
      </c>
      <c r="AE55" s="38">
        <f t="shared" ca="1" si="4"/>
        <v>0.2911136377295816</v>
      </c>
      <c r="AF55" s="238">
        <f ca="1">((Summary!$N$7*(AA55*AD55)*(A55-$D$3))+(Summary!$M$7*Z55*AC55*(DAY(EOMONTH(A55,0))/2)))/(AK55*AB55*AE55)</f>
        <v>0.99988061380876925</v>
      </c>
      <c r="AG55" s="88">
        <f>IF($A56="","",Summary!$Q$7)</f>
        <v>0</v>
      </c>
      <c r="AH55" s="88">
        <f>IF($A56="","",IF(Summary!$R$7="Y",(VLOOKUP($A55,Summary!$AD$6:$AF$9,3)+'Escalating commodity'!C68),'Escalating commodity'!C68))</f>
        <v>2.2495200000000003E-2</v>
      </c>
      <c r="AI55" s="88">
        <f t="shared" si="26"/>
        <v>2.2495200000000003E-2</v>
      </c>
      <c r="AJ55" s="236">
        <f t="shared" si="5"/>
        <v>38426.5</v>
      </c>
      <c r="AK55" s="58">
        <f t="shared" ca="1" si="27"/>
        <v>1386</v>
      </c>
      <c r="AL55" s="26">
        <f ca="1">IF($A56="","",_xll.SPRDOPT(P55,X55,AI55,0,AB55,AE55,AF55,AK55,$AJ$2,0))</f>
        <v>0.17730087905956482</v>
      </c>
      <c r="AM55" s="209">
        <f t="shared" si="6"/>
        <v>0.17581017792221393</v>
      </c>
      <c r="AN55" s="89">
        <f t="shared" ca="1" si="28"/>
        <v>1.4907011373508916E-3</v>
      </c>
      <c r="AO55" s="3">
        <f t="shared" si="29"/>
        <v>31</v>
      </c>
      <c r="AP55" s="33">
        <f t="shared" si="30"/>
        <v>38412</v>
      </c>
      <c r="AQ55" s="58">
        <f t="shared" ca="1" si="7"/>
        <v>1386</v>
      </c>
      <c r="AR55" s="38">
        <f>IF(Summary!$H$2=1,VLOOKUP('ANR OK vs ML7'!A55,Curves!$C$17:$AR$273,MATCH('ANR OK vs ML7'!$AR$4,Curves!$C$8:$AQ$8,0)),0.1)</f>
        <v>0.1</v>
      </c>
      <c r="AS55" s="35">
        <f t="shared" ca="1" si="8"/>
        <v>0.69053799317253017</v>
      </c>
      <c r="AT55" s="3">
        <f t="shared" si="31"/>
        <v>1</v>
      </c>
      <c r="AU55" s="3">
        <f t="shared" si="9"/>
        <v>31</v>
      </c>
      <c r="AW55" s="32">
        <f t="shared" ca="1" si="32"/>
        <v>219853.09003386038</v>
      </c>
      <c r="AX55" s="32">
        <f t="shared" si="33"/>
        <v>218004.62062354528</v>
      </c>
      <c r="AY55" s="32">
        <f t="shared" ca="1" si="34"/>
        <v>1848.4694103151055</v>
      </c>
      <c r="BA55" s="32">
        <f ca="1">IF($A56="","",F55*Summary!$Q$7)</f>
        <v>0</v>
      </c>
      <c r="BC55" s="256">
        <f t="shared" ca="1" si="35"/>
        <v>150540.47322772173</v>
      </c>
    </row>
    <row r="56" spans="1:55">
      <c r="A56" s="67">
        <f t="shared" si="10"/>
        <v>38443</v>
      </c>
      <c r="B56" s="69">
        <f t="shared" si="36"/>
        <v>40000</v>
      </c>
      <c r="C56" s="71"/>
      <c r="D56" s="69">
        <f t="shared" si="37"/>
        <v>40000</v>
      </c>
      <c r="E56" s="70">
        <f t="shared" si="1"/>
        <v>1200000</v>
      </c>
      <c r="F56" s="70">
        <f t="shared" ca="1" si="2"/>
        <v>821811.11297771311</v>
      </c>
      <c r="G56" s="63">
        <f t="shared" si="11"/>
        <v>3.98</v>
      </c>
      <c r="H56" s="64">
        <f t="shared" si="12"/>
        <v>3.98</v>
      </c>
      <c r="I56" s="43"/>
      <c r="J56" s="63">
        <f t="shared" si="13"/>
        <v>0.215</v>
      </c>
      <c r="K56" s="64">
        <f t="shared" si="14"/>
        <v>0.215</v>
      </c>
      <c r="L56" s="63">
        <f t="shared" si="15"/>
        <v>0</v>
      </c>
      <c r="M56" s="64">
        <f t="shared" si="16"/>
        <v>0</v>
      </c>
      <c r="N56" s="65"/>
      <c r="O56" s="63">
        <f t="shared" si="17"/>
        <v>4.1950000000000003</v>
      </c>
      <c r="P56" s="63">
        <f t="shared" si="18"/>
        <v>4.1950000000000003</v>
      </c>
      <c r="Q56" s="66"/>
      <c r="R56" s="63">
        <f t="shared" si="19"/>
        <v>-0.1</v>
      </c>
      <c r="S56" s="64">
        <f t="shared" si="20"/>
        <v>-0.1</v>
      </c>
      <c r="T56" s="63">
        <f t="shared" si="21"/>
        <v>-0.01</v>
      </c>
      <c r="U56" s="64">
        <f t="shared" si="22"/>
        <v>-0.01</v>
      </c>
      <c r="V56" s="207">
        <f>IF($A57="","",IF(AND(MONTH(A56)&gt;3,MONTH(A56)&lt;11),(T56+R56+G56)*Summary!$T$7/(1-Summary!$T$7),(T56+R56+G56)*Summary!$U$7/(1-Summary!$U$7)))</f>
        <v>0.18702903868330015</v>
      </c>
      <c r="W56" s="63">
        <f t="shared" si="23"/>
        <v>4.0570290386833001</v>
      </c>
      <c r="X56" s="63">
        <f t="shared" si="24"/>
        <v>4.0570290386833001</v>
      </c>
      <c r="Y56" s="43"/>
      <c r="Z56" s="38">
        <f t="shared" si="25"/>
        <v>0.45</v>
      </c>
      <c r="AA56" s="38">
        <f t="shared" si="25"/>
        <v>0.27800000000000002</v>
      </c>
      <c r="AB56" s="38">
        <f t="shared" ca="1" si="3"/>
        <v>0.28192579492865472</v>
      </c>
      <c r="AC56" s="38">
        <f t="shared" si="25"/>
        <v>0.4</v>
      </c>
      <c r="AD56" s="38">
        <f t="shared" si="25"/>
        <v>0.27</v>
      </c>
      <c r="AE56" s="38">
        <f t="shared" ca="1" si="4"/>
        <v>0.27321267511470071</v>
      </c>
      <c r="AF56" s="238">
        <f ca="1">((Summary!$N$7*(AA56*AD56)*(A56-$D$3))+(Summary!$M$7*Z56*AC56*(DAY(EOMONTH(A56,0))/2)))/(AK56*AB56*AE56)</f>
        <v>0.99980776763954127</v>
      </c>
      <c r="AG56" s="88">
        <f>IF($A57="","",Summary!$Q$7)</f>
        <v>0</v>
      </c>
      <c r="AH56" s="88">
        <f>IF($A57="","",IF(Summary!$R$7="Y",(VLOOKUP($A56,Summary!$AD$6:$AF$9,3)+'Escalating commodity'!C69),'Escalating commodity'!C69))</f>
        <v>2.2495200000000003E-2</v>
      </c>
      <c r="AI56" s="88">
        <f t="shared" si="26"/>
        <v>2.2495200000000003E-2</v>
      </c>
      <c r="AJ56" s="236">
        <f t="shared" si="5"/>
        <v>38457</v>
      </c>
      <c r="AK56" s="58">
        <f t="shared" ca="1" si="27"/>
        <v>1417</v>
      </c>
      <c r="AL56" s="26">
        <f ca="1">IF($A57="","",_xll.SPRDOPT(P56,X56,AI56,0,AB56,AE56,AF56,AK56,$AJ$2,0))</f>
        <v>0.12130844881176639</v>
      </c>
      <c r="AM56" s="209">
        <f t="shared" si="6"/>
        <v>0.11547576131670016</v>
      </c>
      <c r="AN56" s="89">
        <f t="shared" ca="1" si="28"/>
        <v>5.8326874950662272E-3</v>
      </c>
      <c r="AO56" s="3">
        <f t="shared" si="29"/>
        <v>30</v>
      </c>
      <c r="AP56" s="33">
        <f t="shared" si="30"/>
        <v>38443</v>
      </c>
      <c r="AQ56" s="58">
        <f t="shared" ca="1" si="7"/>
        <v>1417</v>
      </c>
      <c r="AR56" s="38">
        <f>IF(Summary!$H$2=1,VLOOKUP('ANR OK vs ML7'!A56,Curves!$C$17:$AR$273,MATCH('ANR OK vs ML7'!$AR$4,Curves!$C$8:$AQ$8,0)),0.1)</f>
        <v>0.1</v>
      </c>
      <c r="AS56" s="35">
        <f t="shared" ca="1" si="8"/>
        <v>0.68484259414809423</v>
      </c>
      <c r="AT56" s="3">
        <f t="shared" si="31"/>
        <v>1</v>
      </c>
      <c r="AU56" s="3">
        <f t="shared" si="9"/>
        <v>30</v>
      </c>
      <c r="AW56" s="32">
        <f t="shared" ca="1" si="32"/>
        <v>145570.13857411966</v>
      </c>
      <c r="AX56" s="32">
        <f t="shared" si="33"/>
        <v>138570.91358004019</v>
      </c>
      <c r="AY56" s="32">
        <f t="shared" ca="1" si="34"/>
        <v>6999.2249940794727</v>
      </c>
      <c r="BA56" s="32">
        <f ca="1">IF($A57="","",F56*Summary!$Q$7)</f>
        <v>0</v>
      </c>
      <c r="BC56" s="256">
        <f t="shared" ca="1" si="35"/>
        <v>94899.263929626104</v>
      </c>
    </row>
    <row r="57" spans="1:55">
      <c r="A57" s="67">
        <f t="shared" si="10"/>
        <v>38473</v>
      </c>
      <c r="B57" s="69">
        <f t="shared" si="36"/>
        <v>40000</v>
      </c>
      <c r="C57" s="71"/>
      <c r="D57" s="69">
        <f t="shared" si="37"/>
        <v>40000</v>
      </c>
      <c r="E57" s="70">
        <f t="shared" si="1"/>
        <v>1240000</v>
      </c>
      <c r="F57" s="70">
        <f t="shared" ca="1" si="2"/>
        <v>842425.80287666537</v>
      </c>
      <c r="G57" s="63">
        <f t="shared" si="11"/>
        <v>3.95</v>
      </c>
      <c r="H57" s="64">
        <f t="shared" si="12"/>
        <v>3.95</v>
      </c>
      <c r="I57" s="43"/>
      <c r="J57" s="63">
        <f t="shared" si="13"/>
        <v>0.215</v>
      </c>
      <c r="K57" s="64">
        <f t="shared" si="14"/>
        <v>0.215</v>
      </c>
      <c r="L57" s="63">
        <f t="shared" si="15"/>
        <v>0</v>
      </c>
      <c r="M57" s="64">
        <f t="shared" si="16"/>
        <v>0</v>
      </c>
      <c r="N57" s="65"/>
      <c r="O57" s="63">
        <f t="shared" si="17"/>
        <v>4.165</v>
      </c>
      <c r="P57" s="63">
        <f t="shared" si="18"/>
        <v>4.165</v>
      </c>
      <c r="Q57" s="66"/>
      <c r="R57" s="63">
        <f t="shared" si="19"/>
        <v>-0.1</v>
      </c>
      <c r="S57" s="64">
        <f t="shared" si="20"/>
        <v>-0.1</v>
      </c>
      <c r="T57" s="63">
        <f t="shared" si="21"/>
        <v>-0.01</v>
      </c>
      <c r="U57" s="64">
        <f t="shared" si="22"/>
        <v>-0.01</v>
      </c>
      <c r="V57" s="207">
        <f>IF($A58="","",IF(AND(MONTH(A57)&gt;3,MONTH(A57)&lt;11),(T57+R57+G57)*Summary!$T$7/(1-Summary!$T$7),(T57+R57+G57)*Summary!$U$7/(1-Summary!$U$7)))</f>
        <v>0.1855792011741273</v>
      </c>
      <c r="W57" s="63">
        <f t="shared" si="23"/>
        <v>4.0255792011741276</v>
      </c>
      <c r="X57" s="63">
        <f t="shared" si="24"/>
        <v>4.0255792011741276</v>
      </c>
      <c r="Y57" s="43"/>
      <c r="Z57" s="38">
        <f t="shared" si="25"/>
        <v>0.5</v>
      </c>
      <c r="AA57" s="38">
        <f t="shared" si="25"/>
        <v>0.27</v>
      </c>
      <c r="AB57" s="38">
        <f t="shared" ca="1" si="3"/>
        <v>0.27500606263342936</v>
      </c>
      <c r="AC57" s="38">
        <f t="shared" si="25"/>
        <v>0.4</v>
      </c>
      <c r="AD57" s="38">
        <f t="shared" si="25"/>
        <v>0.26300000000000001</v>
      </c>
      <c r="AE57" s="38">
        <f t="shared" ca="1" si="4"/>
        <v>0.26632816686782018</v>
      </c>
      <c r="AF57" s="238">
        <f ca="1">((Summary!$N$7*(AA57*AD57)*(A57-$D$3))+(Summary!$M$7*Z57*AC57*(DAY(EOMONTH(A57,0))/2)))/(AK57*AB57*AE57)</f>
        <v>0.99935106796938233</v>
      </c>
      <c r="AG57" s="88">
        <f>IF($A58="","",Summary!$Q$7)</f>
        <v>0</v>
      </c>
      <c r="AH57" s="88">
        <f>IF($A58="","",IF(Summary!$R$7="Y",(VLOOKUP($A57,Summary!$AD$6:$AF$9,3)+'Escalating commodity'!C70),'Escalating commodity'!C70))</f>
        <v>2.2495200000000003E-2</v>
      </c>
      <c r="AI57" s="88">
        <f t="shared" si="26"/>
        <v>2.2495200000000003E-2</v>
      </c>
      <c r="AJ57" s="236">
        <f t="shared" si="5"/>
        <v>38487.5</v>
      </c>
      <c r="AK57" s="58">
        <f t="shared" ca="1" si="27"/>
        <v>1447</v>
      </c>
      <c r="AL57" s="26">
        <f ca="1">IF($A58="","",_xll.SPRDOPT(P57,X57,AI57,0,AB57,AE57,AF57,AK57,$AJ$2,0))</f>
        <v>0.12672976039803108</v>
      </c>
      <c r="AM57" s="209">
        <f t="shared" si="6"/>
        <v>0.11692559882587243</v>
      </c>
      <c r="AN57" s="89">
        <f t="shared" ca="1" si="28"/>
        <v>9.8041615721586456E-3</v>
      </c>
      <c r="AO57" s="3">
        <f t="shared" si="29"/>
        <v>31</v>
      </c>
      <c r="AP57" s="33">
        <f t="shared" si="30"/>
        <v>38473</v>
      </c>
      <c r="AQ57" s="58">
        <f t="shared" ca="1" si="7"/>
        <v>1447</v>
      </c>
      <c r="AR57" s="38">
        <f>IF(Summary!$H$2=1,VLOOKUP('ANR OK vs ML7'!A57,Curves!$C$17:$AR$273,MATCH('ANR OK vs ML7'!$AR$4,Curves!$C$8:$AQ$8,0)),0.1)</f>
        <v>0.1</v>
      </c>
      <c r="AS57" s="35">
        <f t="shared" ca="1" si="8"/>
        <v>0.67937564748118173</v>
      </c>
      <c r="AT57" s="3">
        <f t="shared" si="31"/>
        <v>1</v>
      </c>
      <c r="AU57" s="3">
        <f t="shared" si="9"/>
        <v>31</v>
      </c>
      <c r="AW57" s="32">
        <f t="shared" ca="1" si="32"/>
        <v>157144.90289355852</v>
      </c>
      <c r="AX57" s="32">
        <f t="shared" si="33"/>
        <v>144987.74254408182</v>
      </c>
      <c r="AY57" s="32">
        <f t="shared" ca="1" si="34"/>
        <v>12157.160349476721</v>
      </c>
      <c r="BA57" s="32">
        <f ca="1">IF($A58="","",F57*Summary!$Q$7)</f>
        <v>0</v>
      </c>
      <c r="BC57" s="256">
        <f t="shared" ca="1" si="35"/>
        <v>98501.141467720459</v>
      </c>
    </row>
    <row r="58" spans="1:55">
      <c r="A58" s="67">
        <f t="shared" si="10"/>
        <v>38504</v>
      </c>
      <c r="B58" s="69">
        <f t="shared" si="36"/>
        <v>40000</v>
      </c>
      <c r="C58" s="71"/>
      <c r="D58" s="69">
        <f t="shared" si="37"/>
        <v>40000</v>
      </c>
      <c r="E58" s="70">
        <f t="shared" si="1"/>
        <v>1200000</v>
      </c>
      <c r="F58" s="70">
        <f t="shared" ca="1" si="2"/>
        <v>808526.77550932229</v>
      </c>
      <c r="G58" s="63">
        <f t="shared" si="11"/>
        <v>4.0199999999999996</v>
      </c>
      <c r="H58" s="64">
        <f t="shared" si="12"/>
        <v>4.0199999999999996</v>
      </c>
      <c r="I58" s="43"/>
      <c r="J58" s="63">
        <f t="shared" si="13"/>
        <v>0.215</v>
      </c>
      <c r="K58" s="64">
        <f t="shared" si="14"/>
        <v>0.215</v>
      </c>
      <c r="L58" s="63">
        <f t="shared" si="15"/>
        <v>0</v>
      </c>
      <c r="M58" s="64">
        <f t="shared" si="16"/>
        <v>0</v>
      </c>
      <c r="N58" s="65"/>
      <c r="O58" s="63">
        <f t="shared" si="17"/>
        <v>4.2349999999999994</v>
      </c>
      <c r="P58" s="63">
        <f t="shared" si="18"/>
        <v>4.2349999999999994</v>
      </c>
      <c r="Q58" s="66"/>
      <c r="R58" s="63">
        <f t="shared" si="19"/>
        <v>-0.1</v>
      </c>
      <c r="S58" s="64">
        <f t="shared" si="20"/>
        <v>-0.1</v>
      </c>
      <c r="T58" s="63">
        <f t="shared" si="21"/>
        <v>-0.01</v>
      </c>
      <c r="U58" s="64">
        <f t="shared" si="22"/>
        <v>-0.01</v>
      </c>
      <c r="V58" s="207">
        <f>IF($A59="","",IF(AND(MONTH(A58)&gt;3,MONTH(A58)&lt;11),(T58+R58+G58)*Summary!$T$7/(1-Summary!$T$7),(T58+R58+G58)*Summary!$U$7/(1-Summary!$U$7)))</f>
        <v>0.18896215536219729</v>
      </c>
      <c r="W58" s="63">
        <f t="shared" si="23"/>
        <v>4.0989621553621971</v>
      </c>
      <c r="X58" s="63">
        <f t="shared" si="24"/>
        <v>4.0989621553621971</v>
      </c>
      <c r="Y58" s="43"/>
      <c r="Z58" s="38">
        <f t="shared" si="25"/>
        <v>0.5</v>
      </c>
      <c r="AA58" s="38">
        <f t="shared" si="25"/>
        <v>0.26500000000000001</v>
      </c>
      <c r="AB58" s="38">
        <f t="shared" ca="1" si="3"/>
        <v>0.26983277410473233</v>
      </c>
      <c r="AC58" s="38">
        <f t="shared" si="25"/>
        <v>0.4</v>
      </c>
      <c r="AD58" s="38">
        <f t="shared" si="25"/>
        <v>0.25800000000000001</v>
      </c>
      <c r="AE58" s="38">
        <f t="shared" ca="1" si="4"/>
        <v>0.26121418893961895</v>
      </c>
      <c r="AF58" s="238">
        <f ca="1">((Summary!$N$7*(AA58*AD58)*(A58-$D$3))+(Summary!$M$7*Z58*AC58*(DAY(EOMONTH(A58,0))/2)))/(AK58*AB58*AE58)</f>
        <v>0.99936209138298415</v>
      </c>
      <c r="AG58" s="88">
        <f>IF($A59="","",Summary!$Q$7)</f>
        <v>0</v>
      </c>
      <c r="AH58" s="88">
        <f>IF($A59="","",IF(Summary!$R$7="Y",(VLOOKUP($A58,Summary!$AD$6:$AF$9,3)+'Escalating commodity'!C71),'Escalating commodity'!C71))</f>
        <v>2.2495200000000003E-2</v>
      </c>
      <c r="AI58" s="88">
        <f t="shared" si="26"/>
        <v>2.2495200000000003E-2</v>
      </c>
      <c r="AJ58" s="236">
        <f t="shared" si="5"/>
        <v>38518</v>
      </c>
      <c r="AK58" s="58">
        <f t="shared" ca="1" si="27"/>
        <v>1478</v>
      </c>
      <c r="AL58" s="26">
        <f ca="1">IF($A59="","",_xll.SPRDOPT(P58,X58,AI58,0,AB58,AE58,AF58,AK58,$AJ$2,0))</f>
        <v>0.12408996062431402</v>
      </c>
      <c r="AM58" s="209">
        <f t="shared" si="6"/>
        <v>0.11354264463780232</v>
      </c>
      <c r="AN58" s="89">
        <f t="shared" ca="1" si="28"/>
        <v>1.0547315986511693E-2</v>
      </c>
      <c r="AO58" s="3">
        <f t="shared" si="29"/>
        <v>30</v>
      </c>
      <c r="AP58" s="33">
        <f t="shared" si="30"/>
        <v>38504</v>
      </c>
      <c r="AQ58" s="58">
        <f t="shared" ca="1" si="7"/>
        <v>1478</v>
      </c>
      <c r="AR58" s="38">
        <f>IF(Summary!$H$2=1,VLOOKUP('ANR OK vs ML7'!A58,Curves!$C$17:$AR$273,MATCH('ANR OK vs ML7'!$AR$4,Curves!$C$8:$AQ$8,0)),0.1)</f>
        <v>0.1</v>
      </c>
      <c r="AS58" s="35">
        <f t="shared" ca="1" si="8"/>
        <v>0.67377231292443529</v>
      </c>
      <c r="AT58" s="3">
        <f t="shared" si="31"/>
        <v>1</v>
      </c>
      <c r="AU58" s="3">
        <f t="shared" si="9"/>
        <v>30</v>
      </c>
      <c r="AW58" s="32">
        <f t="shared" ca="1" si="32"/>
        <v>148907.95274917682</v>
      </c>
      <c r="AX58" s="32">
        <f t="shared" si="33"/>
        <v>136251.17356536278</v>
      </c>
      <c r="AY58" s="32">
        <f t="shared" ca="1" si="34"/>
        <v>12656.779183814033</v>
      </c>
      <c r="BA58" s="32">
        <f ca="1">IF($A59="","",F58*Summary!$Q$7)</f>
        <v>0</v>
      </c>
      <c r="BC58" s="256">
        <f t="shared" ca="1" si="35"/>
        <v>91802.268351803155</v>
      </c>
    </row>
    <row r="59" spans="1:55">
      <c r="A59" s="67">
        <f t="shared" si="10"/>
        <v>38534</v>
      </c>
      <c r="B59" s="69">
        <f t="shared" si="36"/>
        <v>40000</v>
      </c>
      <c r="C59" s="71"/>
      <c r="D59" s="69">
        <f t="shared" si="37"/>
        <v>40000</v>
      </c>
      <c r="E59" s="70">
        <f t="shared" si="1"/>
        <v>1240000</v>
      </c>
      <c r="F59" s="70">
        <f t="shared" ca="1" si="2"/>
        <v>828808.23494558153</v>
      </c>
      <c r="G59" s="63">
        <f t="shared" si="11"/>
        <v>4.0750000000000002</v>
      </c>
      <c r="H59" s="64">
        <f t="shared" si="12"/>
        <v>4.0750000000000002</v>
      </c>
      <c r="I59" s="43"/>
      <c r="J59" s="63">
        <f t="shared" si="13"/>
        <v>0.215</v>
      </c>
      <c r="K59" s="64">
        <f t="shared" si="14"/>
        <v>0.215</v>
      </c>
      <c r="L59" s="63">
        <f t="shared" si="15"/>
        <v>0</v>
      </c>
      <c r="M59" s="64">
        <f t="shared" si="16"/>
        <v>0</v>
      </c>
      <c r="N59" s="65"/>
      <c r="O59" s="63">
        <f t="shared" si="17"/>
        <v>4.29</v>
      </c>
      <c r="P59" s="63">
        <f t="shared" si="18"/>
        <v>4.29</v>
      </c>
      <c r="Q59" s="66"/>
      <c r="R59" s="63">
        <f t="shared" si="19"/>
        <v>-0.1</v>
      </c>
      <c r="S59" s="64">
        <f t="shared" si="20"/>
        <v>-0.1</v>
      </c>
      <c r="T59" s="63">
        <f t="shared" si="21"/>
        <v>-0.01</v>
      </c>
      <c r="U59" s="64">
        <f t="shared" si="22"/>
        <v>-0.01</v>
      </c>
      <c r="V59" s="207">
        <f>IF($A60="","",IF(AND(MONTH(A59)&gt;3,MONTH(A59)&lt;11),(T59+R59+G59)*Summary!$T$7/(1-Summary!$T$7),(T59+R59+G59)*Summary!$U$7/(1-Summary!$U$7)))</f>
        <v>0.19162019079568091</v>
      </c>
      <c r="W59" s="63">
        <f t="shared" si="23"/>
        <v>4.1566201907956808</v>
      </c>
      <c r="X59" s="63">
        <f t="shared" si="24"/>
        <v>4.1566201907956808</v>
      </c>
      <c r="Y59" s="43"/>
      <c r="Z59" s="38">
        <f t="shared" si="25"/>
        <v>0.55000000000000004</v>
      </c>
      <c r="AA59" s="38">
        <f t="shared" si="25"/>
        <v>0.26500000000000001</v>
      </c>
      <c r="AB59" s="38">
        <f t="shared" ca="1" si="3"/>
        <v>0.27088894212484432</v>
      </c>
      <c r="AC59" s="38">
        <f t="shared" si="25"/>
        <v>0.4</v>
      </c>
      <c r="AD59" s="38">
        <f t="shared" si="25"/>
        <v>0.25800000000000001</v>
      </c>
      <c r="AE59" s="38">
        <f t="shared" ca="1" si="4"/>
        <v>0.26125218260862793</v>
      </c>
      <c r="AF59" s="238">
        <f ca="1">((Summary!$N$7*(AA59*AD59)*(A59-$D$3))+(Summary!$M$7*Z59*AC59*(DAY(EOMONTH(A59,0))/2)))/(AK59*AB59*AE59)</f>
        <v>0.99857910078457601</v>
      </c>
      <c r="AG59" s="88">
        <f>IF($A60="","",Summary!$Q$7)</f>
        <v>0</v>
      </c>
      <c r="AH59" s="88">
        <f>IF($A60="","",IF(Summary!$R$7="Y",(VLOOKUP($A59,Summary!$AD$6:$AF$9,3)+'Escalating commodity'!C72),'Escalating commodity'!C72))</f>
        <v>2.2495200000000003E-2</v>
      </c>
      <c r="AI59" s="88">
        <f t="shared" si="26"/>
        <v>2.2495200000000003E-2</v>
      </c>
      <c r="AJ59" s="236">
        <f t="shared" si="5"/>
        <v>38548.5</v>
      </c>
      <c r="AK59" s="58">
        <f t="shared" ca="1" si="27"/>
        <v>1508</v>
      </c>
      <c r="AL59" s="26">
        <f ca="1">IF($A60="","",_xll.SPRDOPT(P59,X59,AI59,0,AB59,AE59,AF59,AK59,$AJ$2,0))</f>
        <v>0.13250274778775017</v>
      </c>
      <c r="AM59" s="209">
        <f t="shared" si="6"/>
        <v>0.11088460920431924</v>
      </c>
      <c r="AN59" s="89">
        <f t="shared" ca="1" si="28"/>
        <v>2.1618138583430938E-2</v>
      </c>
      <c r="AO59" s="3">
        <f t="shared" si="29"/>
        <v>31</v>
      </c>
      <c r="AP59" s="33">
        <f t="shared" si="30"/>
        <v>38534</v>
      </c>
      <c r="AQ59" s="58">
        <f t="shared" ca="1" si="7"/>
        <v>1508</v>
      </c>
      <c r="AR59" s="38">
        <f>IF(Summary!$H$2=1,VLOOKUP('ANR OK vs ML7'!A59,Curves!$C$17:$AR$273,MATCH('ANR OK vs ML7'!$AR$4,Curves!$C$8:$AQ$8,0)),0.1)</f>
        <v>0.1</v>
      </c>
      <c r="AS59" s="35">
        <f t="shared" ca="1" si="8"/>
        <v>0.66839373785933998</v>
      </c>
      <c r="AT59" s="3">
        <f t="shared" si="31"/>
        <v>1</v>
      </c>
      <c r="AU59" s="3">
        <f t="shared" si="9"/>
        <v>31</v>
      </c>
      <c r="AW59" s="32">
        <f t="shared" ca="1" si="32"/>
        <v>164303.40725681023</v>
      </c>
      <c r="AX59" s="32">
        <f t="shared" si="33"/>
        <v>137496.91541335586</v>
      </c>
      <c r="AY59" s="32">
        <f t="shared" ca="1" si="34"/>
        <v>26806.491843454362</v>
      </c>
      <c r="BA59" s="32">
        <f ca="1">IF($A60="","",F59*Summary!$Q$7)</f>
        <v>0</v>
      </c>
      <c r="BC59" s="256">
        <f t="shared" ca="1" si="35"/>
        <v>91902.077237262405</v>
      </c>
    </row>
    <row r="60" spans="1:55">
      <c r="A60" s="67">
        <f t="shared" si="10"/>
        <v>38565</v>
      </c>
      <c r="B60" s="69">
        <f t="shared" si="36"/>
        <v>40000</v>
      </c>
      <c r="C60" s="71"/>
      <c r="D60" s="69">
        <f t="shared" si="37"/>
        <v>40000</v>
      </c>
      <c r="E60" s="70">
        <f t="shared" si="1"/>
        <v>1240000</v>
      </c>
      <c r="F60" s="70">
        <f t="shared" ca="1" si="2"/>
        <v>821972.41467294644</v>
      </c>
      <c r="G60" s="63">
        <f t="shared" si="11"/>
        <v>4.1310000000000002</v>
      </c>
      <c r="H60" s="64">
        <f t="shared" si="12"/>
        <v>4.1310000000000002</v>
      </c>
      <c r="I60" s="43"/>
      <c r="J60" s="63">
        <f t="shared" si="13"/>
        <v>0.215</v>
      </c>
      <c r="K60" s="64">
        <f t="shared" si="14"/>
        <v>0.215</v>
      </c>
      <c r="L60" s="63">
        <f t="shared" si="15"/>
        <v>0</v>
      </c>
      <c r="M60" s="64">
        <f t="shared" si="16"/>
        <v>0</v>
      </c>
      <c r="N60" s="65"/>
      <c r="O60" s="63">
        <f t="shared" si="17"/>
        <v>4.3460000000000001</v>
      </c>
      <c r="P60" s="63">
        <f t="shared" si="18"/>
        <v>4.3460000000000001</v>
      </c>
      <c r="Q60" s="66"/>
      <c r="R60" s="63">
        <f t="shared" si="19"/>
        <v>-0.1</v>
      </c>
      <c r="S60" s="64">
        <f t="shared" si="20"/>
        <v>-0.1</v>
      </c>
      <c r="T60" s="63">
        <f t="shared" si="21"/>
        <v>-0.01</v>
      </c>
      <c r="U60" s="64">
        <f t="shared" si="22"/>
        <v>-0.01</v>
      </c>
      <c r="V60" s="207">
        <f>IF($A61="","",IF(AND(MONTH(A60)&gt;3,MONTH(A60)&lt;11),(T60+R60+G60)*Summary!$T$7/(1-Summary!$T$7),(T60+R60+G60)*Summary!$U$7/(1-Summary!$U$7)))</f>
        <v>0.19432655414613692</v>
      </c>
      <c r="W60" s="63">
        <f t="shared" si="23"/>
        <v>4.2153265541461371</v>
      </c>
      <c r="X60" s="63">
        <f t="shared" si="24"/>
        <v>4.2153265541461371</v>
      </c>
      <c r="Y60" s="43"/>
      <c r="Z60" s="38">
        <f t="shared" si="25"/>
        <v>0.6</v>
      </c>
      <c r="AA60" s="38">
        <f t="shared" si="25"/>
        <v>0.26500000000000001</v>
      </c>
      <c r="AB60" s="38">
        <f t="shared" ca="1" si="3"/>
        <v>0.27183885166317612</v>
      </c>
      <c r="AC60" s="38">
        <f t="shared" si="25"/>
        <v>0.5</v>
      </c>
      <c r="AD60" s="38">
        <f t="shared" si="25"/>
        <v>0.25800000000000001</v>
      </c>
      <c r="AE60" s="38">
        <f t="shared" ca="1" si="4"/>
        <v>0.26291656510750178</v>
      </c>
      <c r="AF60" s="238">
        <f ca="1">((Summary!$N$7*(AA60*AD60)*(A60-$D$3))+(Summary!$M$7*Z60*AC60*(DAY(EOMONTH(A60,0))/2)))/(AK60*AB60*AE60)</f>
        <v>0.99941359187626133</v>
      </c>
      <c r="AG60" s="88">
        <f>IF($A61="","",Summary!$Q$7)</f>
        <v>0</v>
      </c>
      <c r="AH60" s="88">
        <f>IF($A61="","",IF(Summary!$R$7="Y",(VLOOKUP($A60,Summary!$AD$6:$AF$9,3)+'Escalating commodity'!C73),'Escalating commodity'!C73))</f>
        <v>2.2495200000000003E-2</v>
      </c>
      <c r="AI60" s="88">
        <f t="shared" si="26"/>
        <v>2.2495200000000003E-2</v>
      </c>
      <c r="AJ60" s="236">
        <f t="shared" si="5"/>
        <v>38579.5</v>
      </c>
      <c r="AK60" s="58">
        <f t="shared" ca="1" si="27"/>
        <v>1539</v>
      </c>
      <c r="AL60" s="26">
        <f ca="1">IF($A61="","",_xll.SPRDOPT(P60,X60,AI60,0,AB60,AE60,AF60,AK60,$AJ$2,0))</f>
        <v>0.12099594153385441</v>
      </c>
      <c r="AM60" s="209">
        <f t="shared" si="6"/>
        <v>0.10817824585386297</v>
      </c>
      <c r="AN60" s="89">
        <f t="shared" ca="1" si="28"/>
        <v>1.2817695679991442E-2</v>
      </c>
      <c r="AO60" s="3">
        <f t="shared" si="29"/>
        <v>31</v>
      </c>
      <c r="AP60" s="33">
        <f t="shared" si="30"/>
        <v>38565</v>
      </c>
      <c r="AQ60" s="58">
        <f t="shared" ca="1" si="7"/>
        <v>1539</v>
      </c>
      <c r="AR60" s="38">
        <f>IF(Summary!$H$2=1,VLOOKUP('ANR OK vs ML7'!A60,Curves!$C$17:$AR$273,MATCH('ANR OK vs ML7'!$AR$4,Curves!$C$8:$AQ$8,0)),0.1)</f>
        <v>0.1</v>
      </c>
      <c r="AS60" s="35">
        <f t="shared" ca="1" si="8"/>
        <v>0.66288097957495684</v>
      </c>
      <c r="AT60" s="3">
        <f t="shared" si="31"/>
        <v>1</v>
      </c>
      <c r="AU60" s="3">
        <f t="shared" si="9"/>
        <v>31</v>
      </c>
      <c r="AW60" s="32">
        <f t="shared" ca="1" si="32"/>
        <v>150034.96750197947</v>
      </c>
      <c r="AX60" s="32">
        <f t="shared" si="33"/>
        <v>134141.0248587901</v>
      </c>
      <c r="AY60" s="32">
        <f t="shared" ca="1" si="34"/>
        <v>15893.942643189388</v>
      </c>
      <c r="BA60" s="32">
        <f ca="1">IF($A61="","",F60*Summary!$Q$7)</f>
        <v>0</v>
      </c>
      <c r="BC60" s="256">
        <f t="shared" ca="1" si="35"/>
        <v>88919.533959583408</v>
      </c>
    </row>
    <row r="61" spans="1:55">
      <c r="A61" s="67">
        <f t="shared" si="10"/>
        <v>38596</v>
      </c>
      <c r="B61" s="69">
        <f t="shared" si="36"/>
        <v>40000</v>
      </c>
      <c r="C61" s="71"/>
      <c r="D61" s="69">
        <f t="shared" si="37"/>
        <v>40000</v>
      </c>
      <c r="E61" s="70">
        <f t="shared" si="1"/>
        <v>1200000</v>
      </c>
      <c r="F61" s="70">
        <f t="shared" ca="1" si="2"/>
        <v>788896.42710816558</v>
      </c>
      <c r="G61" s="63">
        <f t="shared" si="11"/>
        <v>4.1449999999999996</v>
      </c>
      <c r="H61" s="64">
        <f t="shared" si="12"/>
        <v>4.1449999999999996</v>
      </c>
      <c r="I61" s="43"/>
      <c r="J61" s="63">
        <f t="shared" si="13"/>
        <v>0.215</v>
      </c>
      <c r="K61" s="64">
        <f t="shared" si="14"/>
        <v>0.215</v>
      </c>
      <c r="L61" s="63">
        <f t="shared" si="15"/>
        <v>0</v>
      </c>
      <c r="M61" s="64">
        <f t="shared" si="16"/>
        <v>0</v>
      </c>
      <c r="N61" s="65"/>
      <c r="O61" s="63">
        <f t="shared" si="17"/>
        <v>4.3599999999999994</v>
      </c>
      <c r="P61" s="63">
        <f t="shared" si="18"/>
        <v>4.3599999999999994</v>
      </c>
      <c r="Q61" s="66"/>
      <c r="R61" s="63">
        <f t="shared" si="19"/>
        <v>-0.1</v>
      </c>
      <c r="S61" s="64">
        <f t="shared" si="20"/>
        <v>-0.1</v>
      </c>
      <c r="T61" s="63">
        <f t="shared" si="21"/>
        <v>-0.01</v>
      </c>
      <c r="U61" s="64">
        <f t="shared" si="22"/>
        <v>-0.01</v>
      </c>
      <c r="V61" s="207">
        <f>IF($A62="","",IF(AND(MONTH(A61)&gt;3,MONTH(A61)&lt;11),(T61+R61+G61)*Summary!$T$7/(1-Summary!$T$7),(T61+R61+G61)*Summary!$U$7/(1-Summary!$U$7)))</f>
        <v>0.1950031449837509</v>
      </c>
      <c r="W61" s="63">
        <f t="shared" si="23"/>
        <v>4.2300031449837503</v>
      </c>
      <c r="X61" s="63">
        <f t="shared" si="24"/>
        <v>4.2300031449837503</v>
      </c>
      <c r="Y61" s="43"/>
      <c r="Z61" s="38">
        <f t="shared" si="25"/>
        <v>0.6</v>
      </c>
      <c r="AA61" s="38">
        <f t="shared" si="25"/>
        <v>0.26500000000000001</v>
      </c>
      <c r="AB61" s="38">
        <f t="shared" ca="1" si="3"/>
        <v>0.27149441936294555</v>
      </c>
      <c r="AC61" s="38">
        <f t="shared" si="25"/>
        <v>0.55000000000000004</v>
      </c>
      <c r="AD61" s="38">
        <f t="shared" si="25"/>
        <v>0.25800000000000001</v>
      </c>
      <c r="AE61" s="38">
        <f t="shared" ca="1" si="4"/>
        <v>0.26362193543171691</v>
      </c>
      <c r="AF61" s="238">
        <f ca="1">((Summary!$N$7*(AA61*AD61)*(A61-$D$3))+(Summary!$M$7*Z61*AC61*(DAY(EOMONTH(A61,0))/2)))/(AK61*AB61*AE61)</f>
        <v>0.99982798226524261</v>
      </c>
      <c r="AG61" s="88">
        <f>IF($A62="","",Summary!$Q$7)</f>
        <v>0</v>
      </c>
      <c r="AH61" s="88">
        <f>IF($A62="","",IF(Summary!$R$7="Y",(VLOOKUP($A61,Summary!$AD$6:$AF$9,3)+'Escalating commodity'!C74),'Escalating commodity'!C74))</f>
        <v>2.2495200000000003E-2</v>
      </c>
      <c r="AI61" s="88">
        <f t="shared" si="26"/>
        <v>2.2495200000000003E-2</v>
      </c>
      <c r="AJ61" s="236">
        <f t="shared" si="5"/>
        <v>38610</v>
      </c>
      <c r="AK61" s="58">
        <f t="shared" ca="1" si="27"/>
        <v>1570</v>
      </c>
      <c r="AL61" s="26">
        <f ca="1">IF($A62="","",_xll.SPRDOPT(P61,X61,AI61,0,AB61,AE61,AF61,AK61,$AJ$2,0))</f>
        <v>0.11409765094413035</v>
      </c>
      <c r="AM61" s="209">
        <f t="shared" si="6"/>
        <v>0.10750165501624913</v>
      </c>
      <c r="AN61" s="89">
        <f t="shared" ca="1" si="28"/>
        <v>6.5959959278812236E-3</v>
      </c>
      <c r="AO61" s="3">
        <f t="shared" si="29"/>
        <v>30</v>
      </c>
      <c r="AP61" s="33">
        <f t="shared" si="30"/>
        <v>38596</v>
      </c>
      <c r="AQ61" s="58">
        <f t="shared" ca="1" si="7"/>
        <v>1570</v>
      </c>
      <c r="AR61" s="38">
        <f>IF(Summary!$H$2=1,VLOOKUP('ANR OK vs ML7'!A61,Curves!$C$17:$AR$273,MATCH('ANR OK vs ML7'!$AR$4,Curves!$C$8:$AQ$8,0)),0.1)</f>
        <v>0.1</v>
      </c>
      <c r="AS61" s="35">
        <f t="shared" ca="1" si="8"/>
        <v>0.65741368925680466</v>
      </c>
      <c r="AT61" s="3">
        <f t="shared" si="31"/>
        <v>1</v>
      </c>
      <c r="AU61" s="3">
        <f t="shared" si="9"/>
        <v>30</v>
      </c>
      <c r="AW61" s="32">
        <f t="shared" ca="1" si="32"/>
        <v>136917.18113295644</v>
      </c>
      <c r="AX61" s="32">
        <f t="shared" si="33"/>
        <v>129001.98601949896</v>
      </c>
      <c r="AY61" s="32">
        <f t="shared" ca="1" si="34"/>
        <v>7915.1951134574683</v>
      </c>
      <c r="BA61" s="32">
        <f ca="1">IF($A62="","",F61*Summary!$Q$7)</f>
        <v>0</v>
      </c>
      <c r="BC61" s="256">
        <f t="shared" ca="1" si="35"/>
        <v>84807.671550533545</v>
      </c>
    </row>
    <row r="62" spans="1:55">
      <c r="A62" s="67">
        <f t="shared" si="10"/>
        <v>38626</v>
      </c>
      <c r="B62" s="69">
        <f t="shared" si="36"/>
        <v>40000</v>
      </c>
      <c r="C62" s="71"/>
      <c r="D62" s="69">
        <f t="shared" si="37"/>
        <v>40000</v>
      </c>
      <c r="E62" s="70">
        <f t="shared" si="1"/>
        <v>1240000</v>
      </c>
      <c r="F62" s="70">
        <f t="shared" ca="1" si="2"/>
        <v>808685.46980959631</v>
      </c>
      <c r="G62" s="63">
        <f t="shared" si="11"/>
        <v>4.1760000000000002</v>
      </c>
      <c r="H62" s="64">
        <f t="shared" si="12"/>
        <v>4.1760000000000002</v>
      </c>
      <c r="I62" s="43"/>
      <c r="J62" s="63">
        <f t="shared" si="13"/>
        <v>0.215</v>
      </c>
      <c r="K62" s="64">
        <f t="shared" si="14"/>
        <v>0.215</v>
      </c>
      <c r="L62" s="63">
        <f t="shared" si="15"/>
        <v>0</v>
      </c>
      <c r="M62" s="64">
        <f t="shared" si="16"/>
        <v>0</v>
      </c>
      <c r="N62" s="65"/>
      <c r="O62" s="63">
        <f t="shared" si="17"/>
        <v>4.391</v>
      </c>
      <c r="P62" s="63">
        <f t="shared" si="18"/>
        <v>4.391</v>
      </c>
      <c r="Q62" s="66"/>
      <c r="R62" s="63">
        <f t="shared" si="19"/>
        <v>-0.1</v>
      </c>
      <c r="S62" s="64">
        <f t="shared" si="20"/>
        <v>-0.1</v>
      </c>
      <c r="T62" s="63">
        <f t="shared" si="21"/>
        <v>-0.01</v>
      </c>
      <c r="U62" s="64">
        <f t="shared" si="22"/>
        <v>-0.01</v>
      </c>
      <c r="V62" s="207">
        <f>IF($A63="","",IF(AND(MONTH(A62)&gt;3,MONTH(A62)&lt;11),(T62+R62+G62)*Summary!$T$7/(1-Summary!$T$7),(T62+R62+G62)*Summary!$U$7/(1-Summary!$U$7)))</f>
        <v>0.19650131040989624</v>
      </c>
      <c r="W62" s="63">
        <f t="shared" si="23"/>
        <v>4.2625013104098963</v>
      </c>
      <c r="X62" s="63">
        <f t="shared" si="24"/>
        <v>4.2625013104098963</v>
      </c>
      <c r="Y62" s="43"/>
      <c r="Z62" s="38">
        <f t="shared" si="25"/>
        <v>0.65</v>
      </c>
      <c r="AA62" s="38">
        <f t="shared" si="25"/>
        <v>0.26500000000000001</v>
      </c>
      <c r="AB62" s="38">
        <f t="shared" ca="1" si="3"/>
        <v>0.27269370981927693</v>
      </c>
      <c r="AC62" s="38">
        <f t="shared" si="25"/>
        <v>0.55000000000000004</v>
      </c>
      <c r="AD62" s="38">
        <f t="shared" si="25"/>
        <v>0.25800000000000001</v>
      </c>
      <c r="AE62" s="38">
        <f t="shared" ca="1" si="4"/>
        <v>0.26369693067990002</v>
      </c>
      <c r="AF62" s="238">
        <f ca="1">((Summary!$N$7*(AA62*AD62)*(A62-$D$3))+(Summary!$M$7*Z62*AC62*(DAY(EOMONTH(A62,0))/2)))/(AK62*AB62*AE62)</f>
        <v>0.9994531512783138</v>
      </c>
      <c r="AG62" s="88">
        <f>IF($A63="","",Summary!$Q$7)</f>
        <v>0</v>
      </c>
      <c r="AH62" s="88">
        <f>IF($A63="","",IF(Summary!$R$7="Y",(VLOOKUP($A62,Summary!$AD$6:$AF$9,3)+'Escalating commodity'!C75),'Escalating commodity'!C75))</f>
        <v>2.2495200000000003E-2</v>
      </c>
      <c r="AI62" s="88">
        <f t="shared" si="26"/>
        <v>2.2495200000000003E-2</v>
      </c>
      <c r="AJ62" s="236">
        <f t="shared" si="5"/>
        <v>38640.5</v>
      </c>
      <c r="AK62" s="58">
        <f t="shared" ca="1" si="27"/>
        <v>1600</v>
      </c>
      <c r="AL62" s="26">
        <f ca="1">IF($A63="","",_xll.SPRDOPT(P62,X62,AI62,0,AB62,AE62,AF62,AK62,$AJ$2,0))</f>
        <v>0.11988148356112334</v>
      </c>
      <c r="AM62" s="209">
        <f t="shared" si="6"/>
        <v>0.10600348959010368</v>
      </c>
      <c r="AN62" s="89">
        <f t="shared" ca="1" si="28"/>
        <v>1.3877993971019659E-2</v>
      </c>
      <c r="AO62" s="3">
        <f t="shared" si="29"/>
        <v>31</v>
      </c>
      <c r="AP62" s="33">
        <f t="shared" si="30"/>
        <v>38626</v>
      </c>
      <c r="AQ62" s="58">
        <f t="shared" ca="1" si="7"/>
        <v>1600</v>
      </c>
      <c r="AR62" s="38">
        <f>IF(Summary!$H$2=1,VLOOKUP('ANR OK vs ML7'!A62,Curves!$C$17:$AR$273,MATCH('ANR OK vs ML7'!$AR$4,Curves!$C$8:$AQ$8,0)),0.1)</f>
        <v>0.1</v>
      </c>
      <c r="AS62" s="35">
        <f t="shared" ca="1" si="8"/>
        <v>0.65216570145935182</v>
      </c>
      <c r="AT62" s="3">
        <f t="shared" si="31"/>
        <v>1</v>
      </c>
      <c r="AU62" s="3">
        <f t="shared" si="9"/>
        <v>31</v>
      </c>
      <c r="AW62" s="32">
        <f t="shared" ca="1" si="32"/>
        <v>148653.03961579295</v>
      </c>
      <c r="AX62" s="32">
        <f t="shared" si="33"/>
        <v>131444.32709172857</v>
      </c>
      <c r="AY62" s="32">
        <f t="shared" ca="1" si="34"/>
        <v>17208.712524064376</v>
      </c>
      <c r="BA62" s="32">
        <f ca="1">IF($A63="","",F62*Summary!$Q$7)</f>
        <v>0</v>
      </c>
      <c r="BC62" s="256">
        <f t="shared" ca="1" si="35"/>
        <v>85723.481780629649</v>
      </c>
    </row>
    <row r="63" spans="1:55">
      <c r="A63" s="67">
        <f t="shared" si="10"/>
        <v>38657</v>
      </c>
      <c r="B63" s="69">
        <f t="shared" si="36"/>
        <v>40000</v>
      </c>
      <c r="C63" s="71"/>
      <c r="D63" s="69">
        <f t="shared" si="37"/>
        <v>40000</v>
      </c>
      <c r="E63" s="70">
        <f t="shared" si="1"/>
        <v>1200000</v>
      </c>
      <c r="F63" s="70">
        <f t="shared" ca="1" si="2"/>
        <v>776144.14595764701</v>
      </c>
      <c r="G63" s="63">
        <f t="shared" si="11"/>
        <v>4.3090000000000002</v>
      </c>
      <c r="H63" s="64">
        <f t="shared" si="12"/>
        <v>4.3090000000000002</v>
      </c>
      <c r="I63" s="43"/>
      <c r="J63" s="63">
        <f t="shared" si="13"/>
        <v>0.33500000000000002</v>
      </c>
      <c r="K63" s="64">
        <f t="shared" si="14"/>
        <v>0.33500000000000002</v>
      </c>
      <c r="L63" s="63">
        <f t="shared" si="15"/>
        <v>0</v>
      </c>
      <c r="M63" s="64">
        <f t="shared" si="16"/>
        <v>0</v>
      </c>
      <c r="N63" s="65"/>
      <c r="O63" s="63">
        <f t="shared" si="17"/>
        <v>4.6440000000000001</v>
      </c>
      <c r="P63" s="63">
        <f t="shared" si="18"/>
        <v>4.6440000000000001</v>
      </c>
      <c r="Q63" s="66"/>
      <c r="R63" s="63">
        <f t="shared" si="19"/>
        <v>-0.1</v>
      </c>
      <c r="S63" s="64">
        <f t="shared" si="20"/>
        <v>-0.1</v>
      </c>
      <c r="T63" s="63">
        <f t="shared" si="21"/>
        <v>0.01</v>
      </c>
      <c r="U63" s="64">
        <f t="shared" si="22"/>
        <v>0.01</v>
      </c>
      <c r="V63" s="207">
        <f>IF($A64="","",IF(AND(MONTH(A63)&gt;3,MONTH(A63)&lt;11),(T63+R63+G63)*Summary!$T$7/(1-Summary!$T$7),(T63+R63+G63)*Summary!$U$7/(1-Summary!$U$7)))</f>
        <v>0.20389548170667787</v>
      </c>
      <c r="W63" s="63">
        <f t="shared" si="23"/>
        <v>4.4228954817066786</v>
      </c>
      <c r="X63" s="63">
        <f t="shared" si="24"/>
        <v>4.4228954817066786</v>
      </c>
      <c r="Y63" s="43"/>
      <c r="Z63" s="38">
        <f t="shared" si="25"/>
        <v>0.8</v>
      </c>
      <c r="AA63" s="38">
        <f t="shared" si="25"/>
        <v>0.26500000000000001</v>
      </c>
      <c r="AB63" s="38">
        <f t="shared" ca="1" si="3"/>
        <v>0.27596017093258302</v>
      </c>
      <c r="AC63" s="38">
        <f t="shared" si="25"/>
        <v>0.8</v>
      </c>
      <c r="AD63" s="38">
        <f t="shared" si="25"/>
        <v>0.25800000000000001</v>
      </c>
      <c r="AE63" s="38">
        <f t="shared" ca="1" si="4"/>
        <v>0.2692411025566997</v>
      </c>
      <c r="AF63" s="238">
        <f ca="1">((Summary!$N$7*(AA63*AD63)*(A63-$D$3))+(Summary!$M$7*Z63*AC63*(DAY(EOMONTH(A63,0))/2)))/(AK63*AB63*AE63)</f>
        <v>0.99988178607478018</v>
      </c>
      <c r="AG63" s="88">
        <f>IF($A64="","",Summary!$Q$7)</f>
        <v>0</v>
      </c>
      <c r="AH63" s="88">
        <f>IF($A64="","",IF(Summary!$R$7="Y",(VLOOKUP($A63,Summary!$AD$6:$AF$9,3)+'Escalating commodity'!C76),'Escalating commodity'!C76))</f>
        <v>2.2495200000000003E-2</v>
      </c>
      <c r="AI63" s="88">
        <f t="shared" si="26"/>
        <v>2.2495200000000003E-2</v>
      </c>
      <c r="AJ63" s="236">
        <f t="shared" si="5"/>
        <v>38671</v>
      </c>
      <c r="AK63" s="58">
        <f t="shared" ca="1" si="27"/>
        <v>1631</v>
      </c>
      <c r="AL63" s="26">
        <f ca="1">IF($A64="","",_xll.SPRDOPT(P63,X63,AI63,0,AB63,AE63,AF63,AK63,$AJ$2,0))</f>
        <v>0.19958533674970072</v>
      </c>
      <c r="AM63" s="209">
        <f t="shared" si="6"/>
        <v>0.19860931829332157</v>
      </c>
      <c r="AN63" s="89">
        <f t="shared" ca="1" si="28"/>
        <v>9.7601845637915186E-4</v>
      </c>
      <c r="AO63" s="3">
        <f t="shared" si="29"/>
        <v>30</v>
      </c>
      <c r="AP63" s="33">
        <f t="shared" si="30"/>
        <v>38657</v>
      </c>
      <c r="AQ63" s="58">
        <f t="shared" ca="1" si="7"/>
        <v>1631</v>
      </c>
      <c r="AR63" s="38">
        <f>IF(Summary!$H$2=1,VLOOKUP('ANR OK vs ML7'!A63,Curves!$C$17:$AR$273,MATCH('ANR OK vs ML7'!$AR$4,Curves!$C$8:$AQ$8,0)),0.1)</f>
        <v>0.1</v>
      </c>
      <c r="AS63" s="35">
        <f t="shared" ca="1" si="8"/>
        <v>0.64678678829803915</v>
      </c>
      <c r="AT63" s="3">
        <f t="shared" si="31"/>
        <v>1</v>
      </c>
      <c r="AU63" s="3">
        <f t="shared" si="9"/>
        <v>30</v>
      </c>
      <c r="AW63" s="32">
        <f t="shared" ca="1" si="32"/>
        <v>239502.40409964087</v>
      </c>
      <c r="AX63" s="32">
        <f t="shared" si="33"/>
        <v>238331.18195198587</v>
      </c>
      <c r="AY63" s="32">
        <f t="shared" ca="1" si="34"/>
        <v>1171.2221476549823</v>
      </c>
      <c r="BA63" s="32">
        <f ca="1">IF($A64="","",F63*Summary!$Q$7)</f>
        <v>0</v>
      </c>
      <c r="BC63" s="256">
        <f t="shared" ca="1" si="35"/>
        <v>154149.45972600055</v>
      </c>
    </row>
    <row r="64" spans="1:55">
      <c r="A64" s="67">
        <f t="shared" si="10"/>
        <v>38687</v>
      </c>
      <c r="B64" s="69">
        <f t="shared" si="36"/>
        <v>40000</v>
      </c>
      <c r="C64" s="71"/>
      <c r="D64" s="69">
        <f t="shared" si="37"/>
        <v>40000</v>
      </c>
      <c r="E64" s="70">
        <f t="shared" si="1"/>
        <v>1240000</v>
      </c>
      <c r="F64" s="70">
        <f t="shared" ca="1" si="2"/>
        <v>795613.30454304302</v>
      </c>
      <c r="G64" s="63">
        <f t="shared" si="11"/>
        <v>4.4470000000000001</v>
      </c>
      <c r="H64" s="64">
        <f t="shared" si="12"/>
        <v>4.4470000000000001</v>
      </c>
      <c r="I64" s="43"/>
      <c r="J64" s="63">
        <f t="shared" si="13"/>
        <v>0.33500000000000002</v>
      </c>
      <c r="K64" s="64">
        <f t="shared" si="14"/>
        <v>0.33500000000000002</v>
      </c>
      <c r="L64" s="63">
        <f t="shared" si="15"/>
        <v>0</v>
      </c>
      <c r="M64" s="64">
        <f t="shared" si="16"/>
        <v>0</v>
      </c>
      <c r="N64" s="65"/>
      <c r="O64" s="63">
        <f t="shared" si="17"/>
        <v>4.782</v>
      </c>
      <c r="P64" s="63">
        <f t="shared" si="18"/>
        <v>4.782</v>
      </c>
      <c r="Q64" s="66"/>
      <c r="R64" s="63">
        <f t="shared" si="19"/>
        <v>-0.1</v>
      </c>
      <c r="S64" s="64">
        <f t="shared" si="20"/>
        <v>-0.1</v>
      </c>
      <c r="T64" s="63">
        <f t="shared" si="21"/>
        <v>0.01</v>
      </c>
      <c r="U64" s="64">
        <f t="shared" si="22"/>
        <v>0.01</v>
      </c>
      <c r="V64" s="207">
        <f>IF($A65="","",IF(AND(MONTH(A64)&gt;3,MONTH(A64)&lt;11),(T64+R64+G64)*Summary!$T$7/(1-Summary!$T$7),(T64+R64+G64)*Summary!$U$7/(1-Summary!$U$7)))</f>
        <v>0.21056473424887309</v>
      </c>
      <c r="W64" s="63">
        <f t="shared" si="23"/>
        <v>4.5675647342488732</v>
      </c>
      <c r="X64" s="63">
        <f t="shared" si="24"/>
        <v>4.5675647342488732</v>
      </c>
      <c r="Y64" s="43"/>
      <c r="Z64" s="38">
        <f t="shared" si="25"/>
        <v>1.1000000000000001</v>
      </c>
      <c r="AA64" s="38">
        <f t="shared" si="25"/>
        <v>0.26800000000000002</v>
      </c>
      <c r="AB64" s="38">
        <f t="shared" ca="1" si="3"/>
        <v>0.2883723845122963</v>
      </c>
      <c r="AC64" s="38">
        <f t="shared" si="25"/>
        <v>1</v>
      </c>
      <c r="AD64" s="38">
        <f t="shared" si="25"/>
        <v>0.26</v>
      </c>
      <c r="AE64" s="38">
        <f t="shared" ca="1" si="4"/>
        <v>0.27743904961134697</v>
      </c>
      <c r="AF64" s="238">
        <f ca="1">((Summary!$N$7*(AA64*AD64)*(A64-$D$3))+(Summary!$M$7*Z64*AC64*(DAY(EOMONTH(A64,0))/2)))/(AK64*AB64*AE64)</f>
        <v>0.99967650836868771</v>
      </c>
      <c r="AG64" s="88">
        <f>IF($A65="","",Summary!$Q$7)</f>
        <v>0</v>
      </c>
      <c r="AH64" s="88">
        <f>IF($A65="","",IF(Summary!$R$7="Y",(VLOOKUP($A64,Summary!$AD$6:$AF$9,3)+'Escalating commodity'!C77),'Escalating commodity'!C77))</f>
        <v>2.2495200000000003E-2</v>
      </c>
      <c r="AI64" s="88">
        <f t="shared" si="26"/>
        <v>2.2495200000000003E-2</v>
      </c>
      <c r="AJ64" s="236">
        <f t="shared" si="5"/>
        <v>38701.5</v>
      </c>
      <c r="AK64" s="58">
        <f t="shared" ca="1" si="27"/>
        <v>1661</v>
      </c>
      <c r="AL64" s="26">
        <f ca="1">IF($A65="","",_xll.SPRDOPT(P64,X64,AI64,0,AB64,AE64,AF64,AK64,$AJ$2,0))</f>
        <v>0.19871814246851038</v>
      </c>
      <c r="AM64" s="209">
        <f t="shared" si="6"/>
        <v>0.19194006575112682</v>
      </c>
      <c r="AN64" s="89">
        <f t="shared" ca="1" si="28"/>
        <v>6.7780767173835632E-3</v>
      </c>
      <c r="AO64" s="3">
        <f t="shared" si="29"/>
        <v>31</v>
      </c>
      <c r="AP64" s="33">
        <f t="shared" si="30"/>
        <v>38687</v>
      </c>
      <c r="AQ64" s="58">
        <f t="shared" ca="1" si="7"/>
        <v>1661</v>
      </c>
      <c r="AR64" s="38">
        <f>IF(Summary!$H$2=1,VLOOKUP('ANR OK vs ML7'!A64,Curves!$C$17:$AR$273,MATCH('ANR OK vs ML7'!$AR$4,Curves!$C$8:$AQ$8,0)),0.1)</f>
        <v>0.1</v>
      </c>
      <c r="AS64" s="35">
        <f t="shared" ca="1" si="8"/>
        <v>0.64162363269600242</v>
      </c>
      <c r="AT64" s="3">
        <f t="shared" si="31"/>
        <v>1</v>
      </c>
      <c r="AU64" s="3">
        <f t="shared" si="9"/>
        <v>31</v>
      </c>
      <c r="AW64" s="32">
        <f t="shared" ca="1" si="32"/>
        <v>246410.49666095286</v>
      </c>
      <c r="AX64" s="32">
        <f t="shared" si="33"/>
        <v>238005.68153139725</v>
      </c>
      <c r="AY64" s="32">
        <f t="shared" ca="1" si="34"/>
        <v>8404.8151295556181</v>
      </c>
      <c r="BA64" s="32">
        <f ca="1">IF($A65="","",F64*Summary!$Q$7)</f>
        <v>0</v>
      </c>
      <c r="BC64" s="256">
        <f t="shared" ca="1" si="35"/>
        <v>152710.06998646297</v>
      </c>
    </row>
    <row r="65" spans="1:55">
      <c r="A65" s="67">
        <f t="shared" si="10"/>
        <v>38718</v>
      </c>
      <c r="B65" s="69">
        <f t="shared" si="36"/>
        <v>40000</v>
      </c>
      <c r="C65" s="71"/>
      <c r="D65" s="69">
        <f t="shared" si="37"/>
        <v>40000</v>
      </c>
      <c r="E65" s="70">
        <f t="shared" si="1"/>
        <v>1240000</v>
      </c>
      <c r="F65" s="70">
        <f t="shared" ca="1" si="2"/>
        <v>789051.2684446316</v>
      </c>
      <c r="G65" s="63">
        <f t="shared" si="11"/>
        <v>4.444</v>
      </c>
      <c r="H65" s="64">
        <f t="shared" si="12"/>
        <v>4.444</v>
      </c>
      <c r="I65" s="43"/>
      <c r="J65" s="63">
        <f t="shared" si="13"/>
        <v>0.33500000000000002</v>
      </c>
      <c r="K65" s="64">
        <f t="shared" si="14"/>
        <v>0.33500000000000002</v>
      </c>
      <c r="L65" s="63">
        <f t="shared" si="15"/>
        <v>0</v>
      </c>
      <c r="M65" s="64">
        <f t="shared" si="16"/>
        <v>0</v>
      </c>
      <c r="N65" s="65"/>
      <c r="O65" s="63">
        <f t="shared" si="17"/>
        <v>4.7789999999999999</v>
      </c>
      <c r="P65" s="63">
        <f t="shared" si="18"/>
        <v>4.7789999999999999</v>
      </c>
      <c r="Q65" s="66"/>
      <c r="R65" s="63">
        <f t="shared" si="19"/>
        <v>-0.1</v>
      </c>
      <c r="S65" s="64">
        <f t="shared" si="20"/>
        <v>-0.1</v>
      </c>
      <c r="T65" s="63">
        <f t="shared" si="21"/>
        <v>0.01</v>
      </c>
      <c r="U65" s="64">
        <f t="shared" si="22"/>
        <v>0.01</v>
      </c>
      <c r="V65" s="207">
        <f>IF($A66="","",IF(AND(MONTH(A65)&gt;3,MONTH(A65)&lt;11),(T65+R65+G65)*Summary!$T$7/(1-Summary!$T$7),(T65+R65+G65)*Summary!$U$7/(1-Summary!$U$7)))</f>
        <v>0.21041975049795578</v>
      </c>
      <c r="W65" s="63">
        <f t="shared" si="23"/>
        <v>4.5644197504979562</v>
      </c>
      <c r="X65" s="63">
        <f t="shared" si="24"/>
        <v>4.5644197504979562</v>
      </c>
      <c r="Y65" s="43"/>
      <c r="Z65" s="38">
        <f t="shared" si="25"/>
        <v>1.1000000000000001</v>
      </c>
      <c r="AA65" s="38">
        <f t="shared" si="25"/>
        <v>0.27</v>
      </c>
      <c r="AB65" s="38">
        <f t="shared" ca="1" si="3"/>
        <v>0.28987514635237915</v>
      </c>
      <c r="AC65" s="38">
        <f t="shared" si="25"/>
        <v>1</v>
      </c>
      <c r="AD65" s="38">
        <f t="shared" si="25"/>
        <v>0.26300000000000001</v>
      </c>
      <c r="AE65" s="38">
        <f t="shared" ca="1" si="4"/>
        <v>0.27994756031232471</v>
      </c>
      <c r="AF65" s="238">
        <f ca="1">((Summary!$N$7*(AA65*AD65)*(A65-$D$3))+(Summary!$M$7*Z65*AC65*(DAY(EOMONTH(A65,0))/2)))/(AK65*AB65*AE65)</f>
        <v>0.99965317273672072</v>
      </c>
      <c r="AG65" s="88">
        <f>IF($A66="","",Summary!$Q$7)</f>
        <v>0</v>
      </c>
      <c r="AH65" s="88">
        <f>IF($A66="","",IF(Summary!$R$7="Y",(VLOOKUP($A65,Summary!$AD$6:$AF$9,3)+'Escalating commodity'!C78),'Escalating commodity'!C78))</f>
        <v>2.2495200000000003E-2</v>
      </c>
      <c r="AI65" s="88">
        <f t="shared" si="26"/>
        <v>2.2495200000000003E-2</v>
      </c>
      <c r="AJ65" s="236">
        <f t="shared" si="5"/>
        <v>38732.5</v>
      </c>
      <c r="AK65" s="58">
        <f t="shared" ca="1" si="27"/>
        <v>1692</v>
      </c>
      <c r="AL65" s="26">
        <f ca="1">IF($A66="","",_xll.SPRDOPT(P65,X65,AI65,0,AB65,AE65,AF65,AK65,$AJ$2,0))</f>
        <v>0.1980958612320789</v>
      </c>
      <c r="AM65" s="209">
        <f t="shared" si="6"/>
        <v>0.19208504950204369</v>
      </c>
      <c r="AN65" s="89">
        <f t="shared" ca="1" si="28"/>
        <v>6.0108117300352037E-3</v>
      </c>
      <c r="AO65" s="3">
        <f t="shared" si="29"/>
        <v>31</v>
      </c>
      <c r="AP65" s="33">
        <f t="shared" si="30"/>
        <v>38718</v>
      </c>
      <c r="AQ65" s="58">
        <f t="shared" ca="1" si="7"/>
        <v>1692</v>
      </c>
      <c r="AR65" s="38">
        <f>IF(Summary!$H$2=1,VLOOKUP('ANR OK vs ML7'!A65,Curves!$C$17:$AR$273,MATCH('ANR OK vs ML7'!$AR$4,Curves!$C$8:$AQ$8,0)),0.1)</f>
        <v>0.1</v>
      </c>
      <c r="AS65" s="35">
        <f t="shared" ca="1" si="8"/>
        <v>0.63633166810050934</v>
      </c>
      <c r="AT65" s="3">
        <f t="shared" si="31"/>
        <v>1</v>
      </c>
      <c r="AU65" s="3">
        <f t="shared" si="9"/>
        <v>31</v>
      </c>
      <c r="AW65" s="32">
        <f t="shared" ca="1" si="32"/>
        <v>245638.86792777784</v>
      </c>
      <c r="AX65" s="32">
        <f t="shared" si="33"/>
        <v>238185.46138253418</v>
      </c>
      <c r="AY65" s="32">
        <f t="shared" ca="1" si="34"/>
        <v>7453.4065452436525</v>
      </c>
      <c r="BA65" s="32">
        <f ca="1">IF($A66="","",F65*Summary!$Q$7)</f>
        <v>0</v>
      </c>
      <c r="BC65" s="256">
        <f t="shared" ca="1" si="35"/>
        <v>151564.95195883742</v>
      </c>
    </row>
    <row r="66" spans="1:55">
      <c r="A66" s="67">
        <f t="shared" si="10"/>
        <v>38749</v>
      </c>
      <c r="B66" s="69">
        <f t="shared" si="36"/>
        <v>40000</v>
      </c>
      <c r="C66" s="71"/>
      <c r="D66" s="69">
        <f t="shared" si="37"/>
        <v>40000</v>
      </c>
      <c r="E66" s="70">
        <f t="shared" si="1"/>
        <v>1120000</v>
      </c>
      <c r="F66" s="70">
        <f t="shared" ca="1" si="2"/>
        <v>706813.35246539384</v>
      </c>
      <c r="G66" s="63">
        <f t="shared" si="11"/>
        <v>4.3239999999999998</v>
      </c>
      <c r="H66" s="64">
        <f t="shared" si="12"/>
        <v>4.3239999999999998</v>
      </c>
      <c r="I66" s="43"/>
      <c r="J66" s="63">
        <f t="shared" si="13"/>
        <v>0.33500000000000002</v>
      </c>
      <c r="K66" s="64">
        <f t="shared" si="14"/>
        <v>0.33500000000000002</v>
      </c>
      <c r="L66" s="63">
        <f t="shared" si="15"/>
        <v>0</v>
      </c>
      <c r="M66" s="64">
        <f t="shared" si="16"/>
        <v>0</v>
      </c>
      <c r="N66" s="65"/>
      <c r="O66" s="63">
        <f t="shared" si="17"/>
        <v>4.6589999999999998</v>
      </c>
      <c r="P66" s="63">
        <f t="shared" si="18"/>
        <v>4.6589999999999998</v>
      </c>
      <c r="Q66" s="66"/>
      <c r="R66" s="63">
        <f t="shared" si="19"/>
        <v>-0.1</v>
      </c>
      <c r="S66" s="64">
        <f t="shared" si="20"/>
        <v>-0.1</v>
      </c>
      <c r="T66" s="63">
        <f t="shared" si="21"/>
        <v>0.01</v>
      </c>
      <c r="U66" s="64">
        <f t="shared" si="22"/>
        <v>0.01</v>
      </c>
      <c r="V66" s="207">
        <f>IF($A67="","",IF(AND(MONTH(A66)&gt;3,MONTH(A66)&lt;11),(T66+R66+G66)*Summary!$T$7/(1-Summary!$T$7),(T66+R66+G66)*Summary!$U$7/(1-Summary!$U$7)))</f>
        <v>0.20462040046126431</v>
      </c>
      <c r="W66" s="63">
        <f t="shared" si="23"/>
        <v>4.4386204004612644</v>
      </c>
      <c r="X66" s="63">
        <f t="shared" si="24"/>
        <v>4.4386204004612644</v>
      </c>
      <c r="Y66" s="43"/>
      <c r="Z66" s="38">
        <f t="shared" si="25"/>
        <v>1.1000000000000001</v>
      </c>
      <c r="AA66" s="38">
        <f t="shared" si="25"/>
        <v>0.26300000000000001</v>
      </c>
      <c r="AB66" s="38">
        <f t="shared" ca="1" si="3"/>
        <v>0.28114201647932996</v>
      </c>
      <c r="AC66" s="38">
        <f t="shared" si="25"/>
        <v>1</v>
      </c>
      <c r="AD66" s="38">
        <f t="shared" si="25"/>
        <v>0.255</v>
      </c>
      <c r="AE66" s="38">
        <f t="shared" ca="1" si="4"/>
        <v>0.27053299641156031</v>
      </c>
      <c r="AF66" s="238">
        <f ca="1">((Summary!$N$7*(AA66*AD66)*(A66-$D$3))+(Summary!$M$7*Z66*AC66*(DAY(EOMONTH(A66,0))/2)))/(AK66*AB66*AE66)</f>
        <v>0.99969654649622197</v>
      </c>
      <c r="AG66" s="88">
        <f>IF($A67="","",Summary!$Q$7)</f>
        <v>0</v>
      </c>
      <c r="AH66" s="88">
        <f>IF($A67="","",IF(Summary!$R$7="Y",(VLOOKUP($A66,Summary!$AD$6:$AF$9,3)+'Escalating commodity'!C79),'Escalating commodity'!C79))</f>
        <v>2.2495200000000003E-2</v>
      </c>
      <c r="AI66" s="88">
        <f t="shared" si="26"/>
        <v>2.2495200000000003E-2</v>
      </c>
      <c r="AJ66" s="236">
        <f t="shared" si="5"/>
        <v>38762</v>
      </c>
      <c r="AK66" s="58">
        <f t="shared" ca="1" si="27"/>
        <v>1723</v>
      </c>
      <c r="AL66" s="26">
        <f ca="1">IF($A67="","",_xll.SPRDOPT(P66,X66,AI66,0,AB66,AE66,AF66,AK66,$AJ$2,0))</f>
        <v>0.20331935633180417</v>
      </c>
      <c r="AM66" s="209">
        <f t="shared" si="6"/>
        <v>0.19788439953873543</v>
      </c>
      <c r="AN66" s="89">
        <f t="shared" ca="1" si="28"/>
        <v>5.4349567930687404E-3</v>
      </c>
      <c r="AO66" s="3">
        <f t="shared" si="29"/>
        <v>28</v>
      </c>
      <c r="AP66" s="33">
        <f t="shared" si="30"/>
        <v>38749</v>
      </c>
      <c r="AQ66" s="58">
        <f t="shared" ca="1" si="7"/>
        <v>1723</v>
      </c>
      <c r="AR66" s="38">
        <f>IF(Summary!$H$2=1,VLOOKUP('ANR OK vs ML7'!A66,Curves!$C$17:$AR$273,MATCH('ANR OK vs ML7'!$AR$4,Curves!$C$8:$AQ$8,0)),0.1)</f>
        <v>0.1</v>
      </c>
      <c r="AS66" s="35">
        <f t="shared" ca="1" si="8"/>
        <v>0.63108335041553021</v>
      </c>
      <c r="AT66" s="3">
        <f t="shared" si="31"/>
        <v>1</v>
      </c>
      <c r="AU66" s="3">
        <f t="shared" si="9"/>
        <v>28</v>
      </c>
      <c r="AW66" s="32">
        <f t="shared" ca="1" si="32"/>
        <v>227717.67909162067</v>
      </c>
      <c r="AX66" s="32">
        <f t="shared" si="33"/>
        <v>221630.52748338369</v>
      </c>
      <c r="AY66" s="32">
        <f t="shared" ca="1" si="34"/>
        <v>6087.151608236989</v>
      </c>
      <c r="BA66" s="32">
        <f ca="1">IF($A67="","",F66*Summary!$Q$7)</f>
        <v>0</v>
      </c>
      <c r="BC66" s="256">
        <f t="shared" ca="1" si="35"/>
        <v>139867.33583857503</v>
      </c>
    </row>
    <row r="67" spans="1:55">
      <c r="A67" s="67">
        <f t="shared" si="10"/>
        <v>38777</v>
      </c>
      <c r="B67" s="69">
        <f t="shared" si="36"/>
        <v>40000</v>
      </c>
      <c r="C67" s="71"/>
      <c r="D67" s="69">
        <f t="shared" si="37"/>
        <v>40000</v>
      </c>
      <c r="E67" s="70">
        <f t="shared" si="1"/>
        <v>1240000</v>
      </c>
      <c r="F67" s="70">
        <f t="shared" ca="1" si="2"/>
        <v>776711.38649007294</v>
      </c>
      <c r="G67" s="63">
        <f t="shared" si="11"/>
        <v>4.1849999999999996</v>
      </c>
      <c r="H67" s="64">
        <f t="shared" si="12"/>
        <v>4.1849999999999996</v>
      </c>
      <c r="I67" s="43"/>
      <c r="J67" s="63">
        <f t="shared" si="13"/>
        <v>0.33500000000000002</v>
      </c>
      <c r="K67" s="64">
        <f t="shared" si="14"/>
        <v>0.33500000000000002</v>
      </c>
      <c r="L67" s="63">
        <f t="shared" si="15"/>
        <v>0</v>
      </c>
      <c r="M67" s="64">
        <f t="shared" si="16"/>
        <v>0</v>
      </c>
      <c r="N67" s="65"/>
      <c r="O67" s="63">
        <f t="shared" si="17"/>
        <v>4.5199999999999996</v>
      </c>
      <c r="P67" s="63">
        <f t="shared" si="18"/>
        <v>4.5199999999999996</v>
      </c>
      <c r="Q67" s="66"/>
      <c r="R67" s="63">
        <f t="shared" si="19"/>
        <v>-0.1</v>
      </c>
      <c r="S67" s="64">
        <f t="shared" si="20"/>
        <v>-0.1</v>
      </c>
      <c r="T67" s="63">
        <f t="shared" si="21"/>
        <v>0.01</v>
      </c>
      <c r="U67" s="64">
        <f t="shared" si="22"/>
        <v>0.01</v>
      </c>
      <c r="V67" s="207">
        <f>IF($A68="","",IF(AND(MONTH(A67)&gt;3,MONTH(A67)&lt;11),(T67+R67+G67)*Summary!$T$7/(1-Summary!$T$7),(T67+R67+G67)*Summary!$U$7/(1-Summary!$U$7)))</f>
        <v>0.19790282000209666</v>
      </c>
      <c r="W67" s="63">
        <f t="shared" si="23"/>
        <v>4.2929028200020962</v>
      </c>
      <c r="X67" s="63">
        <f t="shared" si="24"/>
        <v>4.2929028200020962</v>
      </c>
      <c r="Y67" s="43"/>
      <c r="Z67" s="38">
        <f t="shared" si="25"/>
        <v>0.75</v>
      </c>
      <c r="AA67" s="38">
        <f t="shared" si="25"/>
        <v>0.25800000000000001</v>
      </c>
      <c r="AB67" s="38">
        <f t="shared" ca="1" si="3"/>
        <v>0.26754684149307079</v>
      </c>
      <c r="AC67" s="38">
        <f t="shared" si="25"/>
        <v>0.75</v>
      </c>
      <c r="AD67" s="38">
        <f t="shared" si="25"/>
        <v>0.25</v>
      </c>
      <c r="AE67" s="38">
        <f t="shared" ca="1" si="4"/>
        <v>0.25983647056074827</v>
      </c>
      <c r="AF67" s="238">
        <f ca="1">((Summary!$N$7*(AA67*AD67)*(A67-$D$3))+(Summary!$M$7*Z67*AC67*(DAY(EOMONTH(A67,0))/2)))/(AK67*AB67*AE67)</f>
        <v>0.999874176541376</v>
      </c>
      <c r="AG67" s="88">
        <f>IF($A68="","",Summary!$Q$7)</f>
        <v>0</v>
      </c>
      <c r="AH67" s="88">
        <f>IF($A68="","",IF(Summary!$R$7="Y",(VLOOKUP($A67,Summary!$AD$6:$AF$9,3)+'Escalating commodity'!C80),'Escalating commodity'!C80))</f>
        <v>2.2495200000000003E-2</v>
      </c>
      <c r="AI67" s="88">
        <f t="shared" si="26"/>
        <v>2.2495200000000003E-2</v>
      </c>
      <c r="AJ67" s="236">
        <f t="shared" si="5"/>
        <v>38791.5</v>
      </c>
      <c r="AK67" s="58">
        <f t="shared" ca="1" si="27"/>
        <v>1751</v>
      </c>
      <c r="AL67" s="26">
        <f ca="1">IF($A68="","",_xll.SPRDOPT(P67,X67,AI67,0,AB67,AE67,AF67,AK67,$AJ$2,0))</f>
        <v>0.20585307883029902</v>
      </c>
      <c r="AM67" s="209">
        <f t="shared" si="6"/>
        <v>0.20460197999790336</v>
      </c>
      <c r="AN67" s="89">
        <f t="shared" ca="1" si="28"/>
        <v>1.2510988323956584E-3</v>
      </c>
      <c r="AO67" s="3">
        <f t="shared" si="29"/>
        <v>31</v>
      </c>
      <c r="AP67" s="33">
        <f t="shared" si="30"/>
        <v>38777</v>
      </c>
      <c r="AQ67" s="58">
        <f t="shared" ca="1" si="7"/>
        <v>1751</v>
      </c>
      <c r="AR67" s="38">
        <f>IF(Summary!$H$2=1,VLOOKUP('ANR OK vs ML7'!A67,Curves!$C$17:$AR$273,MATCH('ANR OK vs ML7'!$AR$4,Curves!$C$8:$AQ$8,0)),0.1)</f>
        <v>0.1</v>
      </c>
      <c r="AS67" s="35">
        <f t="shared" ca="1" si="8"/>
        <v>0.6263801503952201</v>
      </c>
      <c r="AT67" s="3">
        <f t="shared" si="31"/>
        <v>1</v>
      </c>
      <c r="AU67" s="3">
        <f t="shared" si="9"/>
        <v>31</v>
      </c>
      <c r="AW67" s="32">
        <f t="shared" ca="1" si="32"/>
        <v>255257.81774957079</v>
      </c>
      <c r="AX67" s="32">
        <f t="shared" si="33"/>
        <v>253706.45519740018</v>
      </c>
      <c r="AY67" s="32">
        <f t="shared" ca="1" si="34"/>
        <v>1551.3625521706165</v>
      </c>
      <c r="BA67" s="32">
        <f ca="1">IF($A68="","",F67*Summary!$Q$7)</f>
        <v>0</v>
      </c>
      <c r="BC67" s="256">
        <f t="shared" ca="1" si="35"/>
        <v>158916.68756278569</v>
      </c>
    </row>
    <row r="68" spans="1:55">
      <c r="A68" s="67">
        <f t="shared" si="10"/>
        <v>38808</v>
      </c>
      <c r="B68" s="69">
        <f t="shared" si="36"/>
        <v>40000</v>
      </c>
      <c r="C68" s="71"/>
      <c r="D68" s="69">
        <f t="shared" si="37"/>
        <v>40000</v>
      </c>
      <c r="E68" s="70">
        <f t="shared" si="1"/>
        <v>1200000</v>
      </c>
      <c r="F68" s="70">
        <f t="shared" ca="1" si="2"/>
        <v>745456.69265561947</v>
      </c>
      <c r="G68" s="63">
        <f t="shared" si="11"/>
        <v>4.01</v>
      </c>
      <c r="H68" s="64">
        <f t="shared" si="12"/>
        <v>4.01</v>
      </c>
      <c r="I68" s="43"/>
      <c r="J68" s="63">
        <f t="shared" si="13"/>
        <v>0.21</v>
      </c>
      <c r="K68" s="64">
        <f t="shared" si="14"/>
        <v>0.21</v>
      </c>
      <c r="L68" s="63">
        <f t="shared" si="15"/>
        <v>0</v>
      </c>
      <c r="M68" s="64">
        <f t="shared" si="16"/>
        <v>0</v>
      </c>
      <c r="N68" s="65"/>
      <c r="O68" s="63">
        <f t="shared" si="17"/>
        <v>4.22</v>
      </c>
      <c r="P68" s="63">
        <f t="shared" si="18"/>
        <v>4.22</v>
      </c>
      <c r="Q68" s="66"/>
      <c r="R68" s="63">
        <f t="shared" si="19"/>
        <v>-0.1</v>
      </c>
      <c r="S68" s="64">
        <f t="shared" si="20"/>
        <v>-0.1</v>
      </c>
      <c r="T68" s="63">
        <f t="shared" si="21"/>
        <v>-0.01</v>
      </c>
      <c r="U68" s="64">
        <f t="shared" si="22"/>
        <v>-0.01</v>
      </c>
      <c r="V68" s="207">
        <f>IF($A69="","",IF(AND(MONTH(A68)&gt;3,MONTH(A68)&lt;11),(T68+R68+G68)*Summary!$T$7/(1-Summary!$T$7),(T68+R68+G68)*Summary!$U$7/(1-Summary!$U$7)))</f>
        <v>0.18847887619247303</v>
      </c>
      <c r="W68" s="63">
        <f t="shared" si="23"/>
        <v>4.0884788761924726</v>
      </c>
      <c r="X68" s="63">
        <f t="shared" si="24"/>
        <v>4.0884788761924726</v>
      </c>
      <c r="Y68" s="43"/>
      <c r="Z68" s="38">
        <f t="shared" si="25"/>
        <v>0.45</v>
      </c>
      <c r="AA68" s="38">
        <f t="shared" si="25"/>
        <v>0.252</v>
      </c>
      <c r="AB68" s="38">
        <f t="shared" ca="1" si="3"/>
        <v>0.25542940672166514</v>
      </c>
      <c r="AC68" s="38">
        <f t="shared" si="25"/>
        <v>0.4</v>
      </c>
      <c r="AD68" s="38">
        <f t="shared" si="25"/>
        <v>0.245</v>
      </c>
      <c r="AE68" s="38">
        <f t="shared" ca="1" si="4"/>
        <v>0.24780130227594058</v>
      </c>
      <c r="AF68" s="238">
        <f ca="1">((Summary!$N$7*(AA68*AD68)*(A68-$D$3))+(Summary!$M$7*Z68*AC68*(DAY(EOMONTH(A68,0))/2)))/(AK68*AB68*AE68)</f>
        <v>0.99980853197830122</v>
      </c>
      <c r="AG68" s="88">
        <f>IF($A69="","",Summary!$Q$7)</f>
        <v>0</v>
      </c>
      <c r="AH68" s="88">
        <f>IF($A69="","",IF(Summary!$R$7="Y",(VLOOKUP($A68,Summary!$AD$6:$AF$9,3)+'Escalating commodity'!C81),'Escalating commodity'!C81))</f>
        <v>2.2495200000000003E-2</v>
      </c>
      <c r="AI68" s="88">
        <f t="shared" si="26"/>
        <v>2.2495200000000003E-2</v>
      </c>
      <c r="AJ68" s="236">
        <f t="shared" si="5"/>
        <v>38822</v>
      </c>
      <c r="AK68" s="58">
        <f t="shared" ca="1" si="27"/>
        <v>1782</v>
      </c>
      <c r="AL68" s="26">
        <f ca="1">IF($A69="","",_xll.SPRDOPT(P68,X68,AI68,0,AB68,AE68,AF68,AK68,$AJ$2,0))</f>
        <v>0.11554285161217322</v>
      </c>
      <c r="AM68" s="209">
        <f t="shared" si="6"/>
        <v>0.10902592380752711</v>
      </c>
      <c r="AN68" s="89">
        <f t="shared" ca="1" si="28"/>
        <v>6.5169278046461054E-3</v>
      </c>
      <c r="AO68" s="3">
        <f t="shared" si="29"/>
        <v>30</v>
      </c>
      <c r="AP68" s="33">
        <f t="shared" si="30"/>
        <v>38808</v>
      </c>
      <c r="AQ68" s="58">
        <f t="shared" ca="1" si="7"/>
        <v>1782</v>
      </c>
      <c r="AR68" s="38">
        <f>IF(Summary!$H$2=1,VLOOKUP('ANR OK vs ML7'!A68,Curves!$C$17:$AR$273,MATCH('ANR OK vs ML7'!$AR$4,Curves!$C$8:$AQ$8,0)),0.1)</f>
        <v>0.1</v>
      </c>
      <c r="AS68" s="35">
        <f t="shared" ca="1" si="8"/>
        <v>0.62121391054634956</v>
      </c>
      <c r="AT68" s="3">
        <f t="shared" si="31"/>
        <v>1</v>
      </c>
      <c r="AU68" s="3">
        <f t="shared" si="9"/>
        <v>30</v>
      </c>
      <c r="AW68" s="32">
        <f t="shared" ca="1" si="32"/>
        <v>138651.42193460785</v>
      </c>
      <c r="AX68" s="32">
        <f t="shared" si="33"/>
        <v>130831.10856903253</v>
      </c>
      <c r="AY68" s="32">
        <f t="shared" ca="1" si="34"/>
        <v>7820.3133655753263</v>
      </c>
      <c r="BA68" s="32">
        <f ca="1">IF($A69="","",F68*Summary!$Q$7)</f>
        <v>0</v>
      </c>
      <c r="BC68" s="256">
        <f t="shared" ca="1" si="35"/>
        <v>81274.104575282719</v>
      </c>
    </row>
    <row r="69" spans="1:55">
      <c r="A69" s="67">
        <f t="shared" si="10"/>
        <v>38838</v>
      </c>
      <c r="B69" s="69">
        <f t="shared" si="36"/>
        <v>40000</v>
      </c>
      <c r="C69" s="71"/>
      <c r="D69" s="69">
        <f t="shared" si="37"/>
        <v>40000</v>
      </c>
      <c r="E69" s="70">
        <f t="shared" si="1"/>
        <v>1240000</v>
      </c>
      <c r="F69" s="70">
        <f t="shared" ca="1" si="2"/>
        <v>764156.0729749155</v>
      </c>
      <c r="G69" s="63">
        <f t="shared" si="11"/>
        <v>3.98</v>
      </c>
      <c r="H69" s="64">
        <f t="shared" si="12"/>
        <v>3.98</v>
      </c>
      <c r="I69" s="43"/>
      <c r="J69" s="63">
        <f t="shared" si="13"/>
        <v>0.21</v>
      </c>
      <c r="K69" s="64">
        <f t="shared" si="14"/>
        <v>0.21</v>
      </c>
      <c r="L69" s="63">
        <f t="shared" si="15"/>
        <v>0</v>
      </c>
      <c r="M69" s="64">
        <f t="shared" si="16"/>
        <v>0</v>
      </c>
      <c r="N69" s="65"/>
      <c r="O69" s="63">
        <f t="shared" si="17"/>
        <v>4.1900000000000004</v>
      </c>
      <c r="P69" s="63">
        <f t="shared" si="18"/>
        <v>4.1900000000000004</v>
      </c>
      <c r="Q69" s="66"/>
      <c r="R69" s="63">
        <f t="shared" si="19"/>
        <v>-0.1</v>
      </c>
      <c r="S69" s="64">
        <f t="shared" si="20"/>
        <v>-0.1</v>
      </c>
      <c r="T69" s="63">
        <f t="shared" si="21"/>
        <v>-0.01</v>
      </c>
      <c r="U69" s="64">
        <f t="shared" si="22"/>
        <v>-0.01</v>
      </c>
      <c r="V69" s="207">
        <f>IF($A70="","",IF(AND(MONTH(A69)&gt;3,MONTH(A69)&lt;11),(T69+R69+G69)*Summary!$T$7/(1-Summary!$T$7),(T69+R69+G69)*Summary!$U$7/(1-Summary!$U$7)))</f>
        <v>0.18702903868330015</v>
      </c>
      <c r="W69" s="63">
        <f t="shared" si="23"/>
        <v>4.0570290386833001</v>
      </c>
      <c r="X69" s="63">
        <f t="shared" si="24"/>
        <v>4.0570290386833001</v>
      </c>
      <c r="Y69" s="43"/>
      <c r="Z69" s="38">
        <f t="shared" si="25"/>
        <v>0.5</v>
      </c>
      <c r="AA69" s="38">
        <f t="shared" si="25"/>
        <v>0.245</v>
      </c>
      <c r="AB69" s="38">
        <f t="shared" ca="1" si="3"/>
        <v>0.24939255672732771</v>
      </c>
      <c r="AC69" s="38">
        <f t="shared" si="25"/>
        <v>0.4</v>
      </c>
      <c r="AD69" s="38">
        <f t="shared" si="25"/>
        <v>0.23800000000000002</v>
      </c>
      <c r="AE69" s="38">
        <f t="shared" ca="1" si="4"/>
        <v>0.24092304561267022</v>
      </c>
      <c r="AF69" s="238">
        <f ca="1">((Summary!$N$7*(AA69*AD69)*(A69-$D$3))+(Summary!$M$7*Z69*AC69*(DAY(EOMONTH(A69,0))/2)))/(AK69*AB69*AE69)</f>
        <v>0.9993800081177534</v>
      </c>
      <c r="AG69" s="88">
        <f>IF($A70="","",Summary!$Q$7)</f>
        <v>0</v>
      </c>
      <c r="AH69" s="88">
        <f>IF($A70="","",IF(Summary!$R$7="Y",(VLOOKUP($A69,Summary!$AD$6:$AF$9,3)+'Escalating commodity'!C82),'Escalating commodity'!C82))</f>
        <v>2.2495200000000003E-2</v>
      </c>
      <c r="AI69" s="88">
        <f t="shared" si="26"/>
        <v>2.2495200000000003E-2</v>
      </c>
      <c r="AJ69" s="236">
        <f t="shared" si="5"/>
        <v>38852.5</v>
      </c>
      <c r="AK69" s="58">
        <f t="shared" ca="1" si="27"/>
        <v>1812</v>
      </c>
      <c r="AL69" s="26">
        <f ca="1">IF($A70="","",_xll.SPRDOPT(P69,X69,AI69,0,AB69,AE69,AF69,AK69,$AJ$2,0))</f>
        <v>0.12255333772770602</v>
      </c>
      <c r="AM69" s="209">
        <f t="shared" si="6"/>
        <v>0.11047576131670027</v>
      </c>
      <c r="AN69" s="89">
        <f t="shared" ca="1" si="28"/>
        <v>1.207757641100575E-2</v>
      </c>
      <c r="AO69" s="3">
        <f t="shared" si="29"/>
        <v>31</v>
      </c>
      <c r="AP69" s="33">
        <f t="shared" si="30"/>
        <v>38838</v>
      </c>
      <c r="AQ69" s="58">
        <f t="shared" ca="1" si="7"/>
        <v>1812</v>
      </c>
      <c r="AR69" s="38">
        <f>IF(Summary!$H$2=1,VLOOKUP('ANR OK vs ML7'!A69,Curves!$C$17:$AR$273,MATCH('ANR OK vs ML7'!$AR$4,Curves!$C$8:$AQ$8,0)),0.1)</f>
        <v>0.1</v>
      </c>
      <c r="AS69" s="35">
        <f t="shared" ca="1" si="8"/>
        <v>0.61625489756041574</v>
      </c>
      <c r="AT69" s="3">
        <f t="shared" si="31"/>
        <v>1</v>
      </c>
      <c r="AU69" s="3">
        <f t="shared" si="9"/>
        <v>31</v>
      </c>
      <c r="AW69" s="32">
        <f t="shared" ca="1" si="32"/>
        <v>151966.13878235547</v>
      </c>
      <c r="AX69" s="32">
        <f t="shared" si="33"/>
        <v>136989.94403270833</v>
      </c>
      <c r="AY69" s="32">
        <f t="shared" ca="1" si="34"/>
        <v>14976.194749647129</v>
      </c>
      <c r="BA69" s="32">
        <f ca="1">IF($A70="","",F69*Summary!$Q$7)</f>
        <v>0</v>
      </c>
      <c r="BC69" s="256">
        <f t="shared" ca="1" si="35"/>
        <v>84420.723926683757</v>
      </c>
    </row>
    <row r="70" spans="1:55">
      <c r="A70" s="67">
        <f t="shared" si="10"/>
        <v>38869</v>
      </c>
      <c r="B70" s="69">
        <f t="shared" si="36"/>
        <v>40000</v>
      </c>
      <c r="C70" s="71"/>
      <c r="D70" s="69">
        <f t="shared" si="37"/>
        <v>40000</v>
      </c>
      <c r="E70" s="70">
        <f t="shared" si="1"/>
        <v>1200000</v>
      </c>
      <c r="F70" s="70">
        <f t="shared" ca="1" si="2"/>
        <v>733406.60217019659</v>
      </c>
      <c r="G70" s="63">
        <f t="shared" si="11"/>
        <v>4.05</v>
      </c>
      <c r="H70" s="64">
        <f t="shared" si="12"/>
        <v>4.05</v>
      </c>
      <c r="I70" s="43"/>
      <c r="J70" s="63">
        <f t="shared" si="13"/>
        <v>0.21</v>
      </c>
      <c r="K70" s="64">
        <f t="shared" si="14"/>
        <v>0.21</v>
      </c>
      <c r="L70" s="63">
        <f t="shared" si="15"/>
        <v>0</v>
      </c>
      <c r="M70" s="64">
        <f t="shared" si="16"/>
        <v>0</v>
      </c>
      <c r="N70" s="65"/>
      <c r="O70" s="63">
        <f t="shared" si="17"/>
        <v>4.26</v>
      </c>
      <c r="P70" s="63">
        <f t="shared" si="18"/>
        <v>4.26</v>
      </c>
      <c r="Q70" s="66"/>
      <c r="R70" s="63">
        <f t="shared" si="19"/>
        <v>-0.1</v>
      </c>
      <c r="S70" s="64">
        <f t="shared" si="20"/>
        <v>-0.1</v>
      </c>
      <c r="T70" s="63">
        <f t="shared" si="21"/>
        <v>-0.01</v>
      </c>
      <c r="U70" s="64">
        <f t="shared" si="22"/>
        <v>-0.01</v>
      </c>
      <c r="V70" s="207">
        <f>IF($A71="","",IF(AND(MONTH(A70)&gt;3,MONTH(A70)&lt;11),(T70+R70+G70)*Summary!$T$7/(1-Summary!$T$7),(T70+R70+G70)*Summary!$U$7/(1-Summary!$U$7)))</f>
        <v>0.1904119928713702</v>
      </c>
      <c r="W70" s="63">
        <f t="shared" si="23"/>
        <v>4.1304119928713705</v>
      </c>
      <c r="X70" s="63">
        <f t="shared" si="24"/>
        <v>4.1304119928713705</v>
      </c>
      <c r="Y70" s="43"/>
      <c r="Z70" s="38">
        <f t="shared" si="25"/>
        <v>0.5</v>
      </c>
      <c r="AA70" s="38">
        <f t="shared" si="25"/>
        <v>0.245</v>
      </c>
      <c r="AB70" s="38">
        <f t="shared" ca="1" si="3"/>
        <v>0.24918325620096746</v>
      </c>
      <c r="AC70" s="38">
        <f t="shared" si="25"/>
        <v>0.4</v>
      </c>
      <c r="AD70" s="38">
        <f t="shared" si="25"/>
        <v>0.23800000000000002</v>
      </c>
      <c r="AE70" s="38">
        <f t="shared" ca="1" si="4"/>
        <v>0.24078405118587112</v>
      </c>
      <c r="AF70" s="238">
        <f ca="1">((Summary!$N$7*(AA70*AD70)*(A70-$D$3))+(Summary!$M$7*Z70*AC70*(DAY(EOMONTH(A70,0))/2)))/(AK70*AB70*AE70)</f>
        <v>0.99940384933446968</v>
      </c>
      <c r="AG70" s="88">
        <f>IF($A71="","",Summary!$Q$7)</f>
        <v>0</v>
      </c>
      <c r="AH70" s="88">
        <f>IF($A71="","",IF(Summary!$R$7="Y",(VLOOKUP($A70,Summary!$AD$6:$AF$9,3)+'Escalating commodity'!C83),'Escalating commodity'!C83))</f>
        <v>2.2495200000000003E-2</v>
      </c>
      <c r="AI70" s="88">
        <f t="shared" si="26"/>
        <v>2.2495200000000003E-2</v>
      </c>
      <c r="AJ70" s="236">
        <f t="shared" si="5"/>
        <v>38883</v>
      </c>
      <c r="AK70" s="58">
        <f t="shared" ca="1" si="27"/>
        <v>1843</v>
      </c>
      <c r="AL70" s="26">
        <f ca="1">IF($A71="","",_xll.SPRDOPT(P70,X70,AI70,0,AB70,AE70,AF70,AK70,$AJ$2,0))</f>
        <v>0.12014321427402364</v>
      </c>
      <c r="AM70" s="209">
        <f t="shared" si="6"/>
        <v>0.10709280712862927</v>
      </c>
      <c r="AN70" s="89">
        <f t="shared" ca="1" si="28"/>
        <v>1.3050407145394363E-2</v>
      </c>
      <c r="AO70" s="3">
        <f t="shared" si="29"/>
        <v>30</v>
      </c>
      <c r="AP70" s="33">
        <f t="shared" si="30"/>
        <v>38869</v>
      </c>
      <c r="AQ70" s="58">
        <f t="shared" ca="1" si="7"/>
        <v>1843</v>
      </c>
      <c r="AR70" s="38">
        <f>IF(Summary!$H$2=1,VLOOKUP('ANR OK vs ML7'!A70,Curves!$C$17:$AR$273,MATCH('ANR OK vs ML7'!$AR$4,Curves!$C$8:$AQ$8,0)),0.1)</f>
        <v>0.1</v>
      </c>
      <c r="AS70" s="35">
        <f t="shared" ca="1" si="8"/>
        <v>0.61117216847516387</v>
      </c>
      <c r="AT70" s="3">
        <f t="shared" si="31"/>
        <v>1</v>
      </c>
      <c r="AU70" s="3">
        <f t="shared" si="9"/>
        <v>30</v>
      </c>
      <c r="AW70" s="32">
        <f t="shared" ca="1" si="32"/>
        <v>144171.85712882836</v>
      </c>
      <c r="AX70" s="32">
        <f t="shared" si="33"/>
        <v>128511.36855435513</v>
      </c>
      <c r="AY70" s="32">
        <f t="shared" ca="1" si="34"/>
        <v>15660.488574473236</v>
      </c>
      <c r="BA70" s="32">
        <f ca="1">IF($A71="","",F70*Summary!$Q$7)</f>
        <v>0</v>
      </c>
      <c r="BC70" s="256">
        <f t="shared" ca="1" si="35"/>
        <v>78542.571793076204</v>
      </c>
    </row>
    <row r="71" spans="1:55">
      <c r="A71" s="67">
        <f t="shared" si="10"/>
        <v>38899</v>
      </c>
      <c r="B71" s="69">
        <f t="shared" si="36"/>
        <v>40000</v>
      </c>
      <c r="C71" s="71"/>
      <c r="D71" s="69">
        <f t="shared" si="37"/>
        <v>40000</v>
      </c>
      <c r="E71" s="70">
        <f t="shared" si="1"/>
        <v>1240000</v>
      </c>
      <c r="F71" s="70">
        <f t="shared" ca="1" si="2"/>
        <v>751803.7124487391</v>
      </c>
      <c r="G71" s="63">
        <f t="shared" si="11"/>
        <v>4.1050000000000004</v>
      </c>
      <c r="H71" s="64">
        <f t="shared" si="12"/>
        <v>4.1050000000000004</v>
      </c>
      <c r="I71" s="43"/>
      <c r="J71" s="63">
        <f t="shared" si="13"/>
        <v>0.21</v>
      </c>
      <c r="K71" s="64">
        <f t="shared" si="14"/>
        <v>0.21</v>
      </c>
      <c r="L71" s="63">
        <f t="shared" si="15"/>
        <v>0</v>
      </c>
      <c r="M71" s="64">
        <f t="shared" si="16"/>
        <v>0</v>
      </c>
      <c r="N71" s="65"/>
      <c r="O71" s="63">
        <f t="shared" si="17"/>
        <v>4.3150000000000004</v>
      </c>
      <c r="P71" s="63">
        <f t="shared" si="18"/>
        <v>4.3150000000000004</v>
      </c>
      <c r="Q71" s="66"/>
      <c r="R71" s="63">
        <f t="shared" si="19"/>
        <v>-0.1</v>
      </c>
      <c r="S71" s="64">
        <f t="shared" si="20"/>
        <v>-0.1</v>
      </c>
      <c r="T71" s="63">
        <f t="shared" si="21"/>
        <v>-0.01</v>
      </c>
      <c r="U71" s="64">
        <f t="shared" si="22"/>
        <v>-0.01</v>
      </c>
      <c r="V71" s="207">
        <f>IF($A72="","",IF(AND(MONTH(A71)&gt;3,MONTH(A71)&lt;11),(T71+R71+G71)*Summary!$T$7/(1-Summary!$T$7),(T71+R71+G71)*Summary!$U$7/(1-Summary!$U$7)))</f>
        <v>0.19307002830485381</v>
      </c>
      <c r="W71" s="63">
        <f t="shared" si="23"/>
        <v>4.1880700283048542</v>
      </c>
      <c r="X71" s="63">
        <f t="shared" si="24"/>
        <v>4.1880700283048542</v>
      </c>
      <c r="Y71" s="43"/>
      <c r="Z71" s="38">
        <f t="shared" si="25"/>
        <v>0.55000000000000004</v>
      </c>
      <c r="AA71" s="38">
        <f t="shared" si="25"/>
        <v>0.245</v>
      </c>
      <c r="AB71" s="38">
        <f t="shared" ca="1" si="3"/>
        <v>0.25012073966394183</v>
      </c>
      <c r="AC71" s="38">
        <f t="shared" si="25"/>
        <v>0.4</v>
      </c>
      <c r="AD71" s="38">
        <f t="shared" si="25"/>
        <v>0.23800000000000002</v>
      </c>
      <c r="AE71" s="38">
        <f t="shared" ca="1" si="4"/>
        <v>0.2408284065667991</v>
      </c>
      <c r="AF71" s="238">
        <f ca="1">((Summary!$N$7*(AA71*AD71)*(A71-$D$3))+(Summary!$M$7*Z71*AC71*(DAY(EOMONTH(A71,0))/2)))/(AK71*AB71*AE71)</f>
        <v>0.99866736613065021</v>
      </c>
      <c r="AG71" s="88">
        <f>IF($A72="","",Summary!$Q$7)</f>
        <v>0</v>
      </c>
      <c r="AH71" s="88">
        <f>IF($A72="","",IF(Summary!$R$7="Y",(VLOOKUP($A71,Summary!$AD$6:$AF$9,3)+'Escalating commodity'!C84),'Escalating commodity'!C84))</f>
        <v>2.2495200000000003E-2</v>
      </c>
      <c r="AI71" s="88">
        <f t="shared" si="26"/>
        <v>2.2495200000000003E-2</v>
      </c>
      <c r="AJ71" s="236">
        <f t="shared" si="5"/>
        <v>38913.5</v>
      </c>
      <c r="AK71" s="58">
        <f t="shared" ca="1" si="27"/>
        <v>1873</v>
      </c>
      <c r="AL71" s="26">
        <f ca="1">IF($A72="","",_xll.SPRDOPT(P71,X71,AI71,0,AB71,AE71,AF71,AK71,$AJ$2,0))</f>
        <v>0.12913146378418269</v>
      </c>
      <c r="AM71" s="209">
        <f t="shared" si="6"/>
        <v>0.10443477169514619</v>
      </c>
      <c r="AN71" s="89">
        <f t="shared" ca="1" si="28"/>
        <v>2.4696692089036507E-2</v>
      </c>
      <c r="AO71" s="3">
        <f t="shared" si="29"/>
        <v>31</v>
      </c>
      <c r="AP71" s="33">
        <f t="shared" si="30"/>
        <v>38899</v>
      </c>
      <c r="AQ71" s="58">
        <f t="shared" ca="1" si="7"/>
        <v>1873</v>
      </c>
      <c r="AR71" s="38">
        <f>IF(Summary!$H$2=1,VLOOKUP('ANR OK vs ML7'!A71,Curves!$C$17:$AR$273,MATCH('ANR OK vs ML7'!$AR$4,Curves!$C$8:$AQ$8,0)),0.1)</f>
        <v>0.1</v>
      </c>
      <c r="AS71" s="35">
        <f t="shared" ca="1" si="8"/>
        <v>0.60629331649091867</v>
      </c>
      <c r="AT71" s="3">
        <f t="shared" si="31"/>
        <v>1</v>
      </c>
      <c r="AU71" s="3">
        <f t="shared" si="9"/>
        <v>31</v>
      </c>
      <c r="AW71" s="32">
        <f t="shared" ca="1" si="32"/>
        <v>160123.01509238654</v>
      </c>
      <c r="AX71" s="32">
        <f t="shared" si="33"/>
        <v>129499.11690198127</v>
      </c>
      <c r="AY71" s="32">
        <f t="shared" ca="1" si="34"/>
        <v>30623.898190405267</v>
      </c>
      <c r="BA71" s="32">
        <f ca="1">IF($A72="","",F71*Summary!$Q$7)</f>
        <v>0</v>
      </c>
      <c r="BC71" s="256">
        <f t="shared" ca="1" si="35"/>
        <v>78514.449069147406</v>
      </c>
    </row>
    <row r="72" spans="1:55">
      <c r="A72" s="67">
        <f t="shared" si="10"/>
        <v>38930</v>
      </c>
      <c r="B72" s="69">
        <f t="shared" si="36"/>
        <v>40000</v>
      </c>
      <c r="C72" s="71"/>
      <c r="D72" s="69">
        <f t="shared" si="37"/>
        <v>40000</v>
      </c>
      <c r="E72" s="70">
        <f t="shared" si="1"/>
        <v>1240000</v>
      </c>
      <c r="F72" s="70">
        <f t="shared" ca="1" si="2"/>
        <v>745603.00782019878</v>
      </c>
      <c r="G72" s="63">
        <f t="shared" si="11"/>
        <v>4.1610000000000005</v>
      </c>
      <c r="H72" s="64">
        <f t="shared" si="12"/>
        <v>4.1610000000000005</v>
      </c>
      <c r="I72" s="43"/>
      <c r="J72" s="63">
        <f t="shared" si="13"/>
        <v>0.21</v>
      </c>
      <c r="K72" s="64">
        <f t="shared" si="14"/>
        <v>0.21</v>
      </c>
      <c r="L72" s="63">
        <f t="shared" si="15"/>
        <v>0</v>
      </c>
      <c r="M72" s="64">
        <f t="shared" si="16"/>
        <v>0</v>
      </c>
      <c r="N72" s="65"/>
      <c r="O72" s="63">
        <f t="shared" si="17"/>
        <v>4.3710000000000004</v>
      </c>
      <c r="P72" s="63">
        <f t="shared" si="18"/>
        <v>4.3710000000000004</v>
      </c>
      <c r="Q72" s="66"/>
      <c r="R72" s="63">
        <f t="shared" si="19"/>
        <v>-0.1</v>
      </c>
      <c r="S72" s="64">
        <f t="shared" si="20"/>
        <v>-0.1</v>
      </c>
      <c r="T72" s="63">
        <f t="shared" si="21"/>
        <v>-0.01</v>
      </c>
      <c r="U72" s="64">
        <f t="shared" si="22"/>
        <v>-0.01</v>
      </c>
      <c r="V72" s="207">
        <f>IF($A73="","",IF(AND(MONTH(A72)&gt;3,MONTH(A72)&lt;11),(T72+R72+G72)*Summary!$T$7/(1-Summary!$T$7),(T72+R72+G72)*Summary!$U$7/(1-Summary!$U$7)))</f>
        <v>0.1957763916553098</v>
      </c>
      <c r="W72" s="63">
        <f t="shared" si="23"/>
        <v>4.2467763916553096</v>
      </c>
      <c r="X72" s="63">
        <f t="shared" si="24"/>
        <v>4.2467763916553096</v>
      </c>
      <c r="Y72" s="43"/>
      <c r="Z72" s="38">
        <f t="shared" si="25"/>
        <v>0.6</v>
      </c>
      <c r="AA72" s="38">
        <f t="shared" si="25"/>
        <v>0.245</v>
      </c>
      <c r="AB72" s="38">
        <f t="shared" ca="1" si="3"/>
        <v>0.25097250447848202</v>
      </c>
      <c r="AC72" s="38">
        <f t="shared" si="25"/>
        <v>0.5</v>
      </c>
      <c r="AD72" s="38">
        <f t="shared" si="25"/>
        <v>0.23800000000000002</v>
      </c>
      <c r="AE72" s="38">
        <f t="shared" ca="1" si="4"/>
        <v>0.24229927584627706</v>
      </c>
      <c r="AF72" s="238">
        <f ca="1">((Summary!$N$7*(AA72*AD72)*(A72-$D$3))+(Summary!$M$7*Z72*AC72*(DAY(EOMONTH(A72,0))/2)))/(AK72*AB72*AE72)</f>
        <v>0.99945012311442682</v>
      </c>
      <c r="AG72" s="88">
        <f>IF($A73="","",Summary!$Q$7)</f>
        <v>0</v>
      </c>
      <c r="AH72" s="88">
        <f>IF($A73="","",IF(Summary!$R$7="Y",(VLOOKUP($A72,Summary!$AD$6:$AF$9,3)+'Escalating commodity'!C85),'Escalating commodity'!C85))</f>
        <v>2.2495200000000003E-2</v>
      </c>
      <c r="AI72" s="88">
        <f t="shared" si="26"/>
        <v>2.2495200000000003E-2</v>
      </c>
      <c r="AJ72" s="236">
        <f t="shared" si="5"/>
        <v>38944.5</v>
      </c>
      <c r="AK72" s="58">
        <f t="shared" ca="1" si="27"/>
        <v>1904</v>
      </c>
      <c r="AL72" s="26">
        <f ca="1">IF($A73="","",_xll.SPRDOPT(P72,X72,AI72,0,AB72,AE72,AF72,AK72,$AJ$2,0))</f>
        <v>0.11722246091703536</v>
      </c>
      <c r="AM72" s="209">
        <f t="shared" si="6"/>
        <v>0.10172840834469081</v>
      </c>
      <c r="AN72" s="89">
        <f t="shared" ca="1" si="28"/>
        <v>1.5494052572344555E-2</v>
      </c>
      <c r="AO72" s="3">
        <f t="shared" si="29"/>
        <v>31</v>
      </c>
      <c r="AP72" s="33">
        <f t="shared" si="30"/>
        <v>38930</v>
      </c>
      <c r="AQ72" s="58">
        <f t="shared" ca="1" si="7"/>
        <v>1904</v>
      </c>
      <c r="AR72" s="38">
        <f>IF(Summary!$H$2=1,VLOOKUP('ANR OK vs ML7'!A72,Curves!$C$17:$AR$273,MATCH('ANR OK vs ML7'!$AR$4,Curves!$C$8:$AQ$8,0)),0.1)</f>
        <v>0.1</v>
      </c>
      <c r="AS72" s="35">
        <f t="shared" ca="1" si="8"/>
        <v>0.60129274824209578</v>
      </c>
      <c r="AT72" s="3">
        <f t="shared" si="31"/>
        <v>1</v>
      </c>
      <c r="AU72" s="3">
        <f t="shared" si="9"/>
        <v>31</v>
      </c>
      <c r="AW72" s="32">
        <f t="shared" ca="1" si="32"/>
        <v>145355.85153712385</v>
      </c>
      <c r="AX72" s="32">
        <f t="shared" si="33"/>
        <v>126143.22634741661</v>
      </c>
      <c r="AY72" s="32">
        <f t="shared" ca="1" si="34"/>
        <v>19212.625189707247</v>
      </c>
      <c r="BA72" s="32">
        <f ca="1">IF($A73="","",F72*Summary!$Q$7)</f>
        <v>0</v>
      </c>
      <c r="BC72" s="256">
        <f t="shared" ca="1" si="35"/>
        <v>75849.007242562875</v>
      </c>
    </row>
    <row r="73" spans="1:55">
      <c r="A73" s="67">
        <f t="shared" si="10"/>
        <v>38961</v>
      </c>
      <c r="B73" s="69">
        <f t="shared" si="36"/>
        <v>40000</v>
      </c>
      <c r="C73" s="71"/>
      <c r="D73" s="69">
        <f t="shared" si="37"/>
        <v>40000</v>
      </c>
      <c r="E73" s="70">
        <f t="shared" si="1"/>
        <v>1200000</v>
      </c>
      <c r="F73" s="70">
        <f t="shared" ca="1" si="2"/>
        <v>715600.10824024549</v>
      </c>
      <c r="G73" s="63">
        <f t="shared" si="11"/>
        <v>4.1749999999999998</v>
      </c>
      <c r="H73" s="64">
        <f t="shared" si="12"/>
        <v>4.1749999999999998</v>
      </c>
      <c r="I73" s="43"/>
      <c r="J73" s="63">
        <f t="shared" si="13"/>
        <v>0.21</v>
      </c>
      <c r="K73" s="64">
        <f t="shared" si="14"/>
        <v>0.21</v>
      </c>
      <c r="L73" s="63">
        <f t="shared" si="15"/>
        <v>0</v>
      </c>
      <c r="M73" s="64">
        <f t="shared" si="16"/>
        <v>0</v>
      </c>
      <c r="N73" s="65"/>
      <c r="O73" s="63">
        <f t="shared" si="17"/>
        <v>4.3849999999999998</v>
      </c>
      <c r="P73" s="63">
        <f t="shared" si="18"/>
        <v>4.3849999999999998</v>
      </c>
      <c r="Q73" s="66"/>
      <c r="R73" s="63">
        <f t="shared" si="19"/>
        <v>-0.1</v>
      </c>
      <c r="S73" s="64">
        <f t="shared" si="20"/>
        <v>-0.1</v>
      </c>
      <c r="T73" s="63">
        <f t="shared" si="21"/>
        <v>-0.01</v>
      </c>
      <c r="U73" s="64">
        <f t="shared" si="22"/>
        <v>-0.01</v>
      </c>
      <c r="V73" s="207">
        <f>IF($A74="","",IF(AND(MONTH(A73)&gt;3,MONTH(A73)&lt;11),(T73+R73+G73)*Summary!$T$7/(1-Summary!$T$7),(T73+R73+G73)*Summary!$U$7/(1-Summary!$U$7)))</f>
        <v>0.19645298249292378</v>
      </c>
      <c r="W73" s="63">
        <f t="shared" si="23"/>
        <v>4.2614529824929237</v>
      </c>
      <c r="X73" s="63">
        <f t="shared" si="24"/>
        <v>4.2614529824929237</v>
      </c>
      <c r="Y73" s="43"/>
      <c r="Z73" s="38">
        <f t="shared" si="25"/>
        <v>0.6</v>
      </c>
      <c r="AA73" s="38">
        <f t="shared" si="25"/>
        <v>0.245</v>
      </c>
      <c r="AB73" s="38">
        <f t="shared" ca="1" si="3"/>
        <v>0.25069247764193731</v>
      </c>
      <c r="AC73" s="38">
        <f t="shared" si="25"/>
        <v>0.55000000000000004</v>
      </c>
      <c r="AD73" s="38">
        <f t="shared" si="25"/>
        <v>0.23800000000000002</v>
      </c>
      <c r="AE73" s="38">
        <f t="shared" ca="1" si="4"/>
        <v>0.24293668851230149</v>
      </c>
      <c r="AF73" s="238">
        <f ca="1">((Summary!$N$7*(AA73*AD73)*(A73-$D$3))+(Summary!$M$7*Z73*AC73*(DAY(EOMONTH(A73,0))/2)))/(AK73*AB73*AE73)</f>
        <v>0.99983645201426286</v>
      </c>
      <c r="AG73" s="88">
        <f>IF($A74="","",Summary!$Q$7)</f>
        <v>0</v>
      </c>
      <c r="AH73" s="88">
        <f>IF($A74="","",IF(Summary!$R$7="Y",(VLOOKUP($A73,Summary!$AD$6:$AF$9,3)+'Escalating commodity'!C86),'Escalating commodity'!C86))</f>
        <v>2.2495200000000003E-2</v>
      </c>
      <c r="AI73" s="88">
        <f t="shared" si="26"/>
        <v>2.2495200000000003E-2</v>
      </c>
      <c r="AJ73" s="236">
        <f t="shared" si="5"/>
        <v>38975</v>
      </c>
      <c r="AK73" s="58">
        <f t="shared" ca="1" si="27"/>
        <v>1935</v>
      </c>
      <c r="AL73" s="26">
        <f ca="1">IF($A74="","",_xll.SPRDOPT(P73,X73,AI73,0,AB73,AE73,AF73,AK73,$AJ$2,0))</f>
        <v>0.11002785695597039</v>
      </c>
      <c r="AM73" s="209">
        <f t="shared" si="6"/>
        <v>0.10105181750707608</v>
      </c>
      <c r="AN73" s="89">
        <f t="shared" ca="1" si="28"/>
        <v>8.9760394488943157E-3</v>
      </c>
      <c r="AO73" s="3">
        <f t="shared" si="29"/>
        <v>30</v>
      </c>
      <c r="AP73" s="33">
        <f t="shared" si="30"/>
        <v>38961</v>
      </c>
      <c r="AQ73" s="58">
        <f t="shared" ca="1" si="7"/>
        <v>1935</v>
      </c>
      <c r="AR73" s="38">
        <f>IF(Summary!$H$2=1,VLOOKUP('ANR OK vs ML7'!A73,Curves!$C$17:$AR$273,MATCH('ANR OK vs ML7'!$AR$4,Curves!$C$8:$AQ$8,0)),0.1)</f>
        <v>0.1</v>
      </c>
      <c r="AS73" s="35">
        <f t="shared" ca="1" si="8"/>
        <v>0.59633342353353791</v>
      </c>
      <c r="AT73" s="3">
        <f t="shared" si="31"/>
        <v>1</v>
      </c>
      <c r="AU73" s="3">
        <f t="shared" si="9"/>
        <v>30</v>
      </c>
      <c r="AW73" s="32">
        <f t="shared" ca="1" si="32"/>
        <v>132033.42834716447</v>
      </c>
      <c r="AX73" s="32">
        <f t="shared" si="33"/>
        <v>121262.18100849129</v>
      </c>
      <c r="AY73" s="32">
        <f t="shared" ca="1" si="34"/>
        <v>10771.247338673178</v>
      </c>
      <c r="BA73" s="32">
        <f ca="1">IF($A74="","",F73*Summary!$Q$7)</f>
        <v>0</v>
      </c>
      <c r="BC73" s="256">
        <f t="shared" ca="1" si="35"/>
        <v>72312.691545937181</v>
      </c>
    </row>
    <row r="74" spans="1:55">
      <c r="A74" s="67">
        <f t="shared" si="10"/>
        <v>38991</v>
      </c>
      <c r="B74" s="69">
        <f t="shared" si="36"/>
        <v>40000</v>
      </c>
      <c r="C74" s="71"/>
      <c r="D74" s="69">
        <f t="shared" si="37"/>
        <v>40000</v>
      </c>
      <c r="E74" s="70">
        <f t="shared" ref="E74:E137" si="38">IF(A75="","",IF(AND(AT74=1,$H$3=1),D74*AO74,IF($H$3=2,D74,"N/A")))</f>
        <v>1240000</v>
      </c>
      <c r="F74" s="70">
        <f t="shared" ref="F74:F137" ca="1" si="39">IF(A75="","",E74*AS74)</f>
        <v>733550.55219272268</v>
      </c>
      <c r="G74" s="63">
        <f t="shared" si="11"/>
        <v>4.2060000000000004</v>
      </c>
      <c r="H74" s="64">
        <f t="shared" si="12"/>
        <v>4.2060000000000004</v>
      </c>
      <c r="I74" s="43"/>
      <c r="J74" s="63">
        <f t="shared" si="13"/>
        <v>0.21</v>
      </c>
      <c r="K74" s="64">
        <f t="shared" si="14"/>
        <v>0.21</v>
      </c>
      <c r="L74" s="63">
        <f t="shared" si="15"/>
        <v>0</v>
      </c>
      <c r="M74" s="64">
        <f t="shared" si="16"/>
        <v>0</v>
      </c>
      <c r="N74" s="65"/>
      <c r="O74" s="63">
        <f t="shared" si="17"/>
        <v>4.4160000000000004</v>
      </c>
      <c r="P74" s="63">
        <f t="shared" si="18"/>
        <v>4.4160000000000004</v>
      </c>
      <c r="Q74" s="66"/>
      <c r="R74" s="63">
        <f t="shared" si="19"/>
        <v>-0.1</v>
      </c>
      <c r="S74" s="64">
        <f t="shared" si="20"/>
        <v>-0.1</v>
      </c>
      <c r="T74" s="63">
        <f t="shared" si="21"/>
        <v>-0.01</v>
      </c>
      <c r="U74" s="64">
        <f t="shared" si="22"/>
        <v>-0.01</v>
      </c>
      <c r="V74" s="207">
        <f>IF($A75="","",IF(AND(MONTH(A74)&gt;3,MONTH(A74)&lt;11),(T74+R74+G74)*Summary!$T$7/(1-Summary!$T$7),(T74+R74+G74)*Summary!$U$7/(1-Summary!$U$7)))</f>
        <v>0.19795114791906909</v>
      </c>
      <c r="W74" s="63">
        <f t="shared" si="23"/>
        <v>4.2939511479190688</v>
      </c>
      <c r="X74" s="63">
        <f t="shared" si="24"/>
        <v>4.2939511479190688</v>
      </c>
      <c r="Y74" s="43"/>
      <c r="Z74" s="38">
        <f t="shared" si="25"/>
        <v>0.65</v>
      </c>
      <c r="AA74" s="38">
        <f t="shared" si="25"/>
        <v>0.245</v>
      </c>
      <c r="AB74" s="38">
        <f t="shared" ref="AB74:AB137" ca="1" si="40">SQRT((AA74^2*(A74-$D$3)+Z74^2*(DAY(EOMONTH(A74,0))/2))/AK74)</f>
        <v>0.25177022118354098</v>
      </c>
      <c r="AC74" s="38">
        <f t="shared" si="25"/>
        <v>0.55000000000000004</v>
      </c>
      <c r="AD74" s="38">
        <f t="shared" ref="AD74:AD137" si="41">IF($A75="","",VLOOKUP($A74,Table,MATCH(AD$4,Curves,0)))</f>
        <v>0.23800000000000002</v>
      </c>
      <c r="AE74" s="38">
        <f t="shared" ref="AE74:AE137" ca="1" si="42">SQRT((AD74^2*(A74-$D$3)+AC74^2*(DAY(EOMONTH(A74,0))/2))/AK74)</f>
        <v>0.24302049045013871</v>
      </c>
      <c r="AF74" s="238">
        <f ca="1">((Summary!$N$7*(AA74*AD74)*(A74-$D$3))+(Summary!$M$7*Z74*AC74*(DAY(EOMONTH(A74,0))/2)))/(AK74*AB74*AE74)</f>
        <v>0.9994850440616071</v>
      </c>
      <c r="AG74" s="88">
        <f>IF($A75="","",Summary!$Q$7)</f>
        <v>0</v>
      </c>
      <c r="AH74" s="88">
        <f>IF($A75="","",IF(Summary!$R$7="Y",(VLOOKUP($A74,Summary!$AD$6:$AF$9,3)+'Escalating commodity'!C87),'Escalating commodity'!C87))</f>
        <v>2.2495200000000003E-2</v>
      </c>
      <c r="AI74" s="88">
        <f t="shared" si="26"/>
        <v>2.2495200000000003E-2</v>
      </c>
      <c r="AJ74" s="236">
        <f t="shared" ref="AJ74:AJ137" si="43">A74+DAY(EOMONTH(A74,0))/2-1</f>
        <v>39005.5</v>
      </c>
      <c r="AK74" s="58">
        <f t="shared" ca="1" si="27"/>
        <v>1965</v>
      </c>
      <c r="AL74" s="26">
        <f ca="1">IF($A75="","",_xll.SPRDOPT(P74,X74,AI74,0,AB74,AE74,AF74,AK74,$AJ$2,0))</f>
        <v>0.11622084993140917</v>
      </c>
      <c r="AM74" s="209">
        <f t="shared" ref="AM74:AM137" si="44">IF($A75="","",MAX(0,O74-W74-AI74))</f>
        <v>9.9553652080931518E-2</v>
      </c>
      <c r="AN74" s="89">
        <f t="shared" ca="1" si="28"/>
        <v>1.6667197850477655E-2</v>
      </c>
      <c r="AO74" s="3">
        <f t="shared" si="29"/>
        <v>31</v>
      </c>
      <c r="AP74" s="33">
        <f t="shared" si="30"/>
        <v>38991</v>
      </c>
      <c r="AQ74" s="58">
        <f t="shared" ref="AQ74:AQ137" ca="1" si="45">IF(A75="","",AP74-$E$1)</f>
        <v>1965</v>
      </c>
      <c r="AR74" s="38">
        <f>IF(Summary!$H$2=1,VLOOKUP('ANR OK vs ML7'!A74,Curves!$C$17:$AR$273,MATCH('ANR OK vs ML7'!$AR$4,Curves!$C$8:$AQ$8,0)),0.1)</f>
        <v>0.1</v>
      </c>
      <c r="AS74" s="35">
        <f t="shared" ref="AS74:AS137" ca="1" si="46">IF(A75="","",1/(1+CHOOSE(F$3,(AR75+($I$3/10000))/2,(AR74+($I$3/10000))/2))^(2*AQ74/365.25))</f>
        <v>0.59157302596187311</v>
      </c>
      <c r="AT74" s="3">
        <f t="shared" si="31"/>
        <v>1</v>
      </c>
      <c r="AU74" s="3">
        <f t="shared" ref="AU74:AU137" si="47">IF(A75="","",AO74*AT74)</f>
        <v>31</v>
      </c>
      <c r="AW74" s="32">
        <f t="shared" ca="1" si="32"/>
        <v>144113.85391494737</v>
      </c>
      <c r="AX74" s="32">
        <f t="shared" si="33"/>
        <v>123446.52858035508</v>
      </c>
      <c r="AY74" s="32">
        <f t="shared" ca="1" si="34"/>
        <v>20667.325334592293</v>
      </c>
      <c r="BA74" s="32">
        <f ca="1">IF($A75="","",F74*Summary!$Q$7)</f>
        <v>0</v>
      </c>
      <c r="BC74" s="256">
        <f t="shared" ca="1" si="35"/>
        <v>73027.636456769513</v>
      </c>
    </row>
    <row r="75" spans="1:55">
      <c r="A75" s="67">
        <f t="shared" ref="A75:A138" si="48">IF(A74&lt;mthend,EDATE(A74,1),"")</f>
        <v>39022</v>
      </c>
      <c r="B75" s="69">
        <f t="shared" si="36"/>
        <v>40000</v>
      </c>
      <c r="C75" s="71"/>
      <c r="D75" s="69">
        <f t="shared" si="37"/>
        <v>40000</v>
      </c>
      <c r="E75" s="70">
        <f t="shared" si="38"/>
        <v>1200000</v>
      </c>
      <c r="F75" s="70">
        <f t="shared" ca="1" si="39"/>
        <v>704032.64075269154</v>
      </c>
      <c r="G75" s="63">
        <f t="shared" ref="G75:G138" si="49">IF($A76="","",VLOOKUP($A75,Table,MATCH(G$4,Curves,0)))</f>
        <v>4.3390000000000004</v>
      </c>
      <c r="H75" s="64">
        <f t="shared" ref="H75:H138" si="50">IF(A76="","",G75)</f>
        <v>4.3390000000000004</v>
      </c>
      <c r="I75" s="43"/>
      <c r="J75" s="63">
        <f t="shared" ref="J75:J138" si="51">IF($A76="","",VLOOKUP($A75,Table,MATCH(J$4,Curves,0)))</f>
        <v>0.32500000000000001</v>
      </c>
      <c r="K75" s="64">
        <f t="shared" ref="K75:K138" si="52">IF(A76="","",J75)</f>
        <v>0.32500000000000001</v>
      </c>
      <c r="L75" s="63">
        <f t="shared" ref="L75:L138" si="53">IF($A76="","",VLOOKUP($A75,Table,MATCH(L$4,Curves,0)))</f>
        <v>0</v>
      </c>
      <c r="M75" s="64">
        <f t="shared" ref="M75:M138" si="54">IF(A76="","",L75)</f>
        <v>0</v>
      </c>
      <c r="N75" s="65"/>
      <c r="O75" s="63">
        <f t="shared" ref="O75:O138" si="55">IF(A76="","",L75+J75+G75)</f>
        <v>4.6640000000000006</v>
      </c>
      <c r="P75" s="63">
        <f t="shared" ref="P75:P138" si="56">IF(A76="","",M75+K75+H75)</f>
        <v>4.6640000000000006</v>
      </c>
      <c r="Q75" s="66"/>
      <c r="R75" s="63">
        <f t="shared" ref="R75:R138" si="57">IF($A76="","",VLOOKUP($A75,Table,MATCH(R$4,Curves,0)))</f>
        <v>-0.1225</v>
      </c>
      <c r="S75" s="64">
        <f t="shared" ref="S75:S138" si="58">IF(A76="","",R75)</f>
        <v>-0.1225</v>
      </c>
      <c r="T75" s="63">
        <f t="shared" ref="T75:T138" si="59">IF($A76="","",VLOOKUP($A75,Table,MATCH(T$4,Curves,0)))</f>
        <v>0.01</v>
      </c>
      <c r="U75" s="64">
        <f t="shared" ref="U75:U138" si="60">IF(A76="","",T75)</f>
        <v>0.01</v>
      </c>
      <c r="V75" s="207">
        <f>IF($A76="","",IF(AND(MONTH(A75)&gt;3,MONTH(A75)&lt;11),(T75+R75+G75)*Summary!$T$7/(1-Summary!$T$7),(T75+R75+G75)*Summary!$U$7/(1-Summary!$U$7)))</f>
        <v>0.20425794108397111</v>
      </c>
      <c r="W75" s="63">
        <f t="shared" ref="W75:W138" si="61">IF($A76="","",(T75+R75+G75+V75))</f>
        <v>4.4307579410839715</v>
      </c>
      <c r="X75" s="63">
        <f t="shared" ref="X75:X138" si="62">IF($A76="","",(U75+S75+H75+V75))</f>
        <v>4.4307579410839715</v>
      </c>
      <c r="Y75" s="43"/>
      <c r="Z75" s="38">
        <f t="shared" ref="Z75:AD138" si="63">IF($A76="","",VLOOKUP($A75,Table,MATCH(Z$4,Curves,0)))</f>
        <v>0.8</v>
      </c>
      <c r="AA75" s="38">
        <f t="shared" si="63"/>
        <v>0.24700000000000003</v>
      </c>
      <c r="AB75" s="38">
        <f t="shared" ca="1" si="40"/>
        <v>0.25661096015123652</v>
      </c>
      <c r="AC75" s="38">
        <f t="shared" si="63"/>
        <v>0.8</v>
      </c>
      <c r="AD75" s="38">
        <f t="shared" si="41"/>
        <v>0.24</v>
      </c>
      <c r="AE75" s="38">
        <f t="shared" ca="1" si="42"/>
        <v>0.24987692361222116</v>
      </c>
      <c r="AF75" s="238">
        <f ca="1">((Summary!$N$7*(AA75*AD75)*(A75-$D$3))+(Summary!$M$7*Z75*AC75*(DAY(EOMONTH(A75,0))/2)))/(AK75*AB75*AE75)</f>
        <v>0.99987882906729664</v>
      </c>
      <c r="AG75" s="88">
        <f>IF($A76="","",Summary!$Q$7)</f>
        <v>0</v>
      </c>
      <c r="AH75" s="88">
        <f>IF($A76="","",IF(Summary!$R$7="Y",(VLOOKUP($A75,Summary!$AD$6:$AF$9,3)+'Escalating commodity'!C88),'Escalating commodity'!C88))</f>
        <v>2.2495200000000003E-2</v>
      </c>
      <c r="AI75" s="88">
        <f t="shared" ref="AI75:AI138" si="64">IF($A76="","",AH75)</f>
        <v>2.2495200000000003E-2</v>
      </c>
      <c r="AJ75" s="236">
        <f t="shared" si="43"/>
        <v>39036</v>
      </c>
      <c r="AK75" s="58">
        <f t="shared" ref="AK75:AK138" ca="1" si="65">IF($A76="","",$A75-$E$1)</f>
        <v>1996</v>
      </c>
      <c r="AL75" s="26">
        <f ca="1">IF($A76="","",_xll.SPRDOPT(P75,X75,AI75,0,AB75,AE75,AF75,AK75,$AJ$2,0))</f>
        <v>0.21183562494510311</v>
      </c>
      <c r="AM75" s="209">
        <f t="shared" si="44"/>
        <v>0.21074685891602912</v>
      </c>
      <c r="AN75" s="89">
        <f t="shared" ref="AN75:AN138" ca="1" si="66">IF($A76="","",AL75-AM75)</f>
        <v>1.0887660290739842E-3</v>
      </c>
      <c r="AO75" s="3">
        <f t="shared" ref="AO75:AO138" si="67">IF(A76="","",A76-A75)</f>
        <v>30</v>
      </c>
      <c r="AP75" s="33">
        <f t="shared" ref="AP75:AP138" si="68">IF(A76="","",CHOOSE(F$3,A76+24,A75))</f>
        <v>39022</v>
      </c>
      <c r="AQ75" s="58">
        <f t="shared" ca="1" si="45"/>
        <v>1996</v>
      </c>
      <c r="AR75" s="38">
        <f>IF(Summary!$H$2=1,VLOOKUP('ANR OK vs ML7'!A75,Curves!$C$17:$AR$273,MATCH('ANR OK vs ML7'!$AR$4,Curves!$C$8:$AQ$8,0)),0.1)</f>
        <v>0.1</v>
      </c>
      <c r="AS75" s="35">
        <f t="shared" ca="1" si="46"/>
        <v>0.5866938672939096</v>
      </c>
      <c r="AT75" s="3">
        <f t="shared" ref="AT75:AT138" si="69">IF(A76="","",IF(AND(mthbeg&lt;=A75,mthend&gt;=A75),1,0))</f>
        <v>1</v>
      </c>
      <c r="AU75" s="3">
        <f t="shared" si="47"/>
        <v>30</v>
      </c>
      <c r="AW75" s="32">
        <f t="shared" ref="AW75:AW138" ca="1" si="70">IF($A76="","",AL75*$E75)</f>
        <v>254202.74993412374</v>
      </c>
      <c r="AX75" s="32">
        <f t="shared" ref="AX75:AX138" si="71">IF($A76="","",AM75*$E75)</f>
        <v>252896.23069923493</v>
      </c>
      <c r="AY75" s="32">
        <f t="shared" ref="AY75:AY138" ca="1" si="72">IF($A76="","",AN75*$E75)</f>
        <v>1306.5192348887811</v>
      </c>
      <c r="BA75" s="32">
        <f ca="1">IF($A76="","",F75*Summary!$Q$7)</f>
        <v>0</v>
      </c>
      <c r="BC75" s="256">
        <f t="shared" ref="BC75:BC138" ca="1" si="73">IF(A76="","",AM75*F75)</f>
        <v>148372.6676129869</v>
      </c>
    </row>
    <row r="76" spans="1:55">
      <c r="A76" s="67">
        <f t="shared" si="48"/>
        <v>39052</v>
      </c>
      <c r="B76" s="69">
        <f t="shared" ref="B76:B139" si="74">IF(A76&lt;mthend,B75,"")</f>
        <v>40000</v>
      </c>
      <c r="C76" s="71"/>
      <c r="D76" s="69">
        <f t="shared" ref="D76:D139" si="75">IF(A77&lt;&gt;"",B76+C76,"")</f>
        <v>40000</v>
      </c>
      <c r="E76" s="70">
        <f t="shared" si="38"/>
        <v>1240000</v>
      </c>
      <c r="F76" s="70">
        <f t="shared" ca="1" si="39"/>
        <v>721692.92100282095</v>
      </c>
      <c r="G76" s="63">
        <f t="shared" si="49"/>
        <v>4.4770000000000003</v>
      </c>
      <c r="H76" s="64">
        <f t="shared" si="50"/>
        <v>4.4770000000000003</v>
      </c>
      <c r="I76" s="43"/>
      <c r="J76" s="63">
        <f t="shared" si="51"/>
        <v>0.32500000000000001</v>
      </c>
      <c r="K76" s="64">
        <f t="shared" si="52"/>
        <v>0.32500000000000001</v>
      </c>
      <c r="L76" s="63">
        <f t="shared" si="53"/>
        <v>0</v>
      </c>
      <c r="M76" s="64">
        <f t="shared" si="54"/>
        <v>0</v>
      </c>
      <c r="N76" s="65"/>
      <c r="O76" s="63">
        <f t="shared" si="55"/>
        <v>4.8020000000000005</v>
      </c>
      <c r="P76" s="63">
        <f t="shared" si="56"/>
        <v>4.8020000000000005</v>
      </c>
      <c r="Q76" s="66"/>
      <c r="R76" s="63">
        <f t="shared" si="57"/>
        <v>-0.11749999999999999</v>
      </c>
      <c r="S76" s="64">
        <f t="shared" si="58"/>
        <v>-0.11749999999999999</v>
      </c>
      <c r="T76" s="63">
        <f t="shared" si="59"/>
        <v>0.01</v>
      </c>
      <c r="U76" s="64">
        <f t="shared" si="60"/>
        <v>0.01</v>
      </c>
      <c r="V76" s="207">
        <f>IF($A77="","",IF(AND(MONTH(A76)&gt;3,MONTH(A76)&lt;11),(T76+R76+G76)*Summary!$T$7/(1-Summary!$T$7),(T76+R76+G76)*Summary!$U$7/(1-Summary!$U$7)))</f>
        <v>0.21116883321102844</v>
      </c>
      <c r="W76" s="63">
        <f t="shared" si="61"/>
        <v>4.5806688332110292</v>
      </c>
      <c r="X76" s="63">
        <f t="shared" si="62"/>
        <v>4.5806688332110292</v>
      </c>
      <c r="Y76" s="43"/>
      <c r="Z76" s="38">
        <f t="shared" si="63"/>
        <v>1.1000000000000001</v>
      </c>
      <c r="AA76" s="38">
        <f t="shared" si="63"/>
        <v>0.252</v>
      </c>
      <c r="AB76" s="38">
        <f t="shared" ca="1" si="40"/>
        <v>0.26980085522612834</v>
      </c>
      <c r="AC76" s="38">
        <f t="shared" si="63"/>
        <v>1</v>
      </c>
      <c r="AD76" s="38">
        <f t="shared" si="41"/>
        <v>0.245</v>
      </c>
      <c r="AE76" s="38">
        <f t="shared" ca="1" si="42"/>
        <v>0.2602021719476576</v>
      </c>
      <c r="AF76" s="238">
        <f ca="1">((Summary!$N$7*(AA76*AD76)*(A76-$D$3))+(Summary!$M$7*Z76*AC76*(DAY(EOMONTH(A76,0))/2)))/(AK76*AB76*AE76)</f>
        <v>0.99967416534949438</v>
      </c>
      <c r="AG76" s="88">
        <f>IF($A77="","",Summary!$Q$7)</f>
        <v>0</v>
      </c>
      <c r="AH76" s="88">
        <f>IF($A77="","",IF(Summary!$R$7="Y",(VLOOKUP($A76,Summary!$AD$6:$AF$9,3)+'Escalating commodity'!C89),'Escalating commodity'!C89))</f>
        <v>2.2495200000000003E-2</v>
      </c>
      <c r="AI76" s="88">
        <f t="shared" si="64"/>
        <v>2.2495200000000003E-2</v>
      </c>
      <c r="AJ76" s="236">
        <f t="shared" si="43"/>
        <v>39066.5</v>
      </c>
      <c r="AK76" s="58">
        <f t="shared" ca="1" si="65"/>
        <v>2026</v>
      </c>
      <c r="AL76" s="26">
        <f ca="1">IF($A77="","",_xll.SPRDOPT(P76,X76,AI76,0,AB76,AE76,AF76,AK76,$AJ$2,0))</f>
        <v>0.20505831072969868</v>
      </c>
      <c r="AM76" s="209">
        <f t="shared" si="44"/>
        <v>0.19883596678897125</v>
      </c>
      <c r="AN76" s="89">
        <f t="shared" ca="1" si="66"/>
        <v>6.2223439407274317E-3</v>
      </c>
      <c r="AO76" s="3">
        <f t="shared" si="67"/>
        <v>31</v>
      </c>
      <c r="AP76" s="33">
        <f t="shared" si="68"/>
        <v>39052</v>
      </c>
      <c r="AQ76" s="58">
        <f t="shared" ca="1" si="45"/>
        <v>2026</v>
      </c>
      <c r="AR76" s="38">
        <f>IF(Summary!$H$2=1,VLOOKUP('ANR OK vs ML7'!A76,Curves!$C$17:$AR$273,MATCH('ANR OK vs ML7'!$AR$4,Curves!$C$8:$AQ$8,0)),0.1)</f>
        <v>0.1</v>
      </c>
      <c r="AS76" s="35">
        <f t="shared" ca="1" si="46"/>
        <v>0.5820104201635653</v>
      </c>
      <c r="AT76" s="3">
        <f t="shared" si="69"/>
        <v>1</v>
      </c>
      <c r="AU76" s="3">
        <f t="shared" si="47"/>
        <v>31</v>
      </c>
      <c r="AW76" s="32">
        <f t="shared" ca="1" si="70"/>
        <v>254272.30530482635</v>
      </c>
      <c r="AX76" s="32">
        <f t="shared" si="71"/>
        <v>246556.59881832436</v>
      </c>
      <c r="AY76" s="32">
        <f t="shared" ca="1" si="72"/>
        <v>7715.7064865020157</v>
      </c>
      <c r="BA76" s="32">
        <f ca="1">IF($A77="","",F76*Summary!$Q$7)</f>
        <v>0</v>
      </c>
      <c r="BC76" s="256">
        <f t="shared" ca="1" si="73"/>
        <v>143498.50967235255</v>
      </c>
    </row>
    <row r="77" spans="1:55">
      <c r="A77" s="67">
        <f t="shared" si="48"/>
        <v>39083</v>
      </c>
      <c r="B77" s="69">
        <f t="shared" si="74"/>
        <v>40000</v>
      </c>
      <c r="C77" s="71"/>
      <c r="D77" s="69">
        <f t="shared" si="75"/>
        <v>40000</v>
      </c>
      <c r="E77" s="70">
        <f t="shared" si="38"/>
        <v>1240000</v>
      </c>
      <c r="F77" s="70">
        <f t="shared" ca="1" si="39"/>
        <v>715740.56327759603</v>
      </c>
      <c r="G77" s="63">
        <f t="shared" si="49"/>
        <v>4.484</v>
      </c>
      <c r="H77" s="64">
        <f t="shared" si="50"/>
        <v>4.484</v>
      </c>
      <c r="I77" s="43"/>
      <c r="J77" s="63">
        <f t="shared" si="51"/>
        <v>0.32500000000000001</v>
      </c>
      <c r="K77" s="64">
        <f t="shared" si="52"/>
        <v>0.32500000000000001</v>
      </c>
      <c r="L77" s="63">
        <f t="shared" si="53"/>
        <v>0</v>
      </c>
      <c r="M77" s="64">
        <f t="shared" si="54"/>
        <v>0</v>
      </c>
      <c r="N77" s="65"/>
      <c r="O77" s="63">
        <f t="shared" si="55"/>
        <v>4.8090000000000002</v>
      </c>
      <c r="P77" s="63">
        <f t="shared" si="56"/>
        <v>4.8090000000000002</v>
      </c>
      <c r="Q77" s="66"/>
      <c r="R77" s="63">
        <f t="shared" si="57"/>
        <v>-0.11749999999999999</v>
      </c>
      <c r="S77" s="64">
        <f t="shared" si="58"/>
        <v>-0.11749999999999999</v>
      </c>
      <c r="T77" s="63">
        <f t="shared" si="59"/>
        <v>0.01</v>
      </c>
      <c r="U77" s="64">
        <f t="shared" si="60"/>
        <v>0.01</v>
      </c>
      <c r="V77" s="207">
        <f>IF($A78="","",IF(AND(MONTH(A77)&gt;3,MONTH(A77)&lt;11),(T77+R77+G77)*Summary!$T$7/(1-Summary!$T$7),(T77+R77+G77)*Summary!$U$7/(1-Summary!$U$7)))</f>
        <v>0.21150712862983542</v>
      </c>
      <c r="W77" s="63">
        <f t="shared" si="61"/>
        <v>4.5880071286298358</v>
      </c>
      <c r="X77" s="63">
        <f t="shared" si="62"/>
        <v>4.5880071286298358</v>
      </c>
      <c r="Y77" s="43"/>
      <c r="Z77" s="38">
        <f t="shared" si="63"/>
        <v>1.1000000000000001</v>
      </c>
      <c r="AA77" s="38">
        <f t="shared" si="63"/>
        <v>0.255</v>
      </c>
      <c r="AB77" s="38">
        <f t="shared" ca="1" si="40"/>
        <v>0.27234951556606718</v>
      </c>
      <c r="AC77" s="38">
        <f t="shared" si="63"/>
        <v>1</v>
      </c>
      <c r="AD77" s="38">
        <f t="shared" si="41"/>
        <v>0.248</v>
      </c>
      <c r="AE77" s="38">
        <f t="shared" ca="1" si="42"/>
        <v>0.26281009371277286</v>
      </c>
      <c r="AF77" s="238">
        <f ca="1">((Summary!$N$7*(AA77*AD77)*(A77-$D$3))+(Summary!$M$7*Z77*AC77*(DAY(EOMONTH(A77,0))/2)))/(AK77*AB77*AE77)</f>
        <v>0.99967845558651658</v>
      </c>
      <c r="AG77" s="88">
        <f>IF($A78="","",Summary!$Q$7)</f>
        <v>0</v>
      </c>
      <c r="AH77" s="88">
        <f>IF($A78="","",IF(Summary!$R$7="Y",(VLOOKUP($A77,Summary!$AD$6:$AF$9,3)+'Escalating commodity'!C90),'Escalating commodity'!C90))</f>
        <v>2.2495200000000003E-2</v>
      </c>
      <c r="AI77" s="88">
        <f t="shared" si="64"/>
        <v>2.2495200000000003E-2</v>
      </c>
      <c r="AJ77" s="236">
        <f t="shared" si="43"/>
        <v>39097.5</v>
      </c>
      <c r="AK77" s="58">
        <f t="shared" ca="1" si="65"/>
        <v>2057</v>
      </c>
      <c r="AL77" s="26">
        <f ca="1">IF($A78="","",_xll.SPRDOPT(P77,X77,AI77,0,AB77,AE77,AF77,AK77,$AJ$2,0))</f>
        <v>0.20491037984304988</v>
      </c>
      <c r="AM77" s="209">
        <f t="shared" si="44"/>
        <v>0.19849767137016433</v>
      </c>
      <c r="AN77" s="89">
        <f t="shared" ca="1" si="66"/>
        <v>6.4127084728855532E-3</v>
      </c>
      <c r="AO77" s="3">
        <f t="shared" si="67"/>
        <v>31</v>
      </c>
      <c r="AP77" s="33">
        <f t="shared" si="68"/>
        <v>39083</v>
      </c>
      <c r="AQ77" s="58">
        <f t="shared" ca="1" si="45"/>
        <v>2057</v>
      </c>
      <c r="AR77" s="38">
        <f>IF(Summary!$H$2=1,VLOOKUP('ANR OK vs ML7'!A77,Curves!$C$17:$AR$273,MATCH('ANR OK vs ML7'!$AR$4,Curves!$C$8:$AQ$8,0)),0.1)</f>
        <v>0.1</v>
      </c>
      <c r="AS77" s="35">
        <f t="shared" ca="1" si="46"/>
        <v>0.57721013167548063</v>
      </c>
      <c r="AT77" s="3">
        <f t="shared" si="69"/>
        <v>1</v>
      </c>
      <c r="AU77" s="3">
        <f t="shared" si="47"/>
        <v>31</v>
      </c>
      <c r="AW77" s="32">
        <f t="shared" ca="1" si="70"/>
        <v>254088.87100538186</v>
      </c>
      <c r="AX77" s="32">
        <f t="shared" si="71"/>
        <v>246137.11249900376</v>
      </c>
      <c r="AY77" s="32">
        <f t="shared" ca="1" si="72"/>
        <v>7951.7585063780862</v>
      </c>
      <c r="BA77" s="32">
        <f ca="1">IF($A78="","",F77*Summary!$Q$7)</f>
        <v>0</v>
      </c>
      <c r="BC77" s="256">
        <f t="shared" ca="1" si="73"/>
        <v>142072.83511577256</v>
      </c>
    </row>
    <row r="78" spans="1:55">
      <c r="A78" s="67">
        <f t="shared" si="48"/>
        <v>39114</v>
      </c>
      <c r="B78" s="69">
        <f t="shared" si="74"/>
        <v>40000</v>
      </c>
      <c r="C78" s="71"/>
      <c r="D78" s="69">
        <f t="shared" si="75"/>
        <v>40000</v>
      </c>
      <c r="E78" s="70">
        <f t="shared" si="38"/>
        <v>1120000</v>
      </c>
      <c r="F78" s="70">
        <f t="shared" ca="1" si="39"/>
        <v>641143.3670500539</v>
      </c>
      <c r="G78" s="63">
        <f t="shared" si="49"/>
        <v>4.3639999999999999</v>
      </c>
      <c r="H78" s="64">
        <f t="shared" si="50"/>
        <v>4.3639999999999999</v>
      </c>
      <c r="I78" s="43"/>
      <c r="J78" s="63">
        <f t="shared" si="51"/>
        <v>0.32500000000000001</v>
      </c>
      <c r="K78" s="64">
        <f t="shared" si="52"/>
        <v>0.32500000000000001</v>
      </c>
      <c r="L78" s="63">
        <f t="shared" si="53"/>
        <v>0</v>
      </c>
      <c r="M78" s="64">
        <f t="shared" si="54"/>
        <v>0</v>
      </c>
      <c r="N78" s="65"/>
      <c r="O78" s="63">
        <f t="shared" si="55"/>
        <v>4.6890000000000001</v>
      </c>
      <c r="P78" s="63">
        <f t="shared" si="56"/>
        <v>4.6890000000000001</v>
      </c>
      <c r="Q78" s="66"/>
      <c r="R78" s="63">
        <f t="shared" si="57"/>
        <v>-0.12</v>
      </c>
      <c r="S78" s="64">
        <f t="shared" si="58"/>
        <v>-0.12</v>
      </c>
      <c r="T78" s="63">
        <f t="shared" si="59"/>
        <v>0.01</v>
      </c>
      <c r="U78" s="64">
        <f t="shared" si="60"/>
        <v>0.01</v>
      </c>
      <c r="V78" s="207">
        <f>IF($A79="","",IF(AND(MONTH(A78)&gt;3,MONTH(A78)&lt;11),(T78+R78+G78)*Summary!$T$7/(1-Summary!$T$7),(T78+R78+G78)*Summary!$U$7/(1-Summary!$U$7)))</f>
        <v>0.20558695880071287</v>
      </c>
      <c r="W78" s="63">
        <f t="shared" si="61"/>
        <v>4.4595869588007124</v>
      </c>
      <c r="X78" s="63">
        <f t="shared" si="62"/>
        <v>4.4595869588007124</v>
      </c>
      <c r="Y78" s="43"/>
      <c r="Z78" s="38">
        <f t="shared" si="63"/>
        <v>1.1000000000000001</v>
      </c>
      <c r="AA78" s="38">
        <f t="shared" si="63"/>
        <v>0.24200000000000002</v>
      </c>
      <c r="AB78" s="38">
        <f t="shared" ca="1" si="40"/>
        <v>0.2582732558989484</v>
      </c>
      <c r="AC78" s="38">
        <f t="shared" si="63"/>
        <v>1</v>
      </c>
      <c r="AD78" s="38">
        <f t="shared" si="41"/>
        <v>0.23499999999999999</v>
      </c>
      <c r="AE78" s="38">
        <f t="shared" ca="1" si="42"/>
        <v>0.24891048511001129</v>
      </c>
      <c r="AF78" s="238">
        <f ca="1">((Summary!$N$7*(AA78*AD78)*(A78-$D$3))+(Summary!$M$7*Z78*AC78*(DAY(EOMONTH(A78,0))/2)))/(AK78*AB78*AE78)</f>
        <v>0.99969051833983491</v>
      </c>
      <c r="AG78" s="88">
        <f>IF($A79="","",Summary!$Q$7)</f>
        <v>0</v>
      </c>
      <c r="AH78" s="88">
        <f>IF($A79="","",IF(Summary!$R$7="Y",(VLOOKUP($A78,Summary!$AD$6:$AF$9,3)+'Escalating commodity'!C91),'Escalating commodity'!C91))</f>
        <v>2.2495200000000003E-2</v>
      </c>
      <c r="AI78" s="88">
        <f t="shared" si="64"/>
        <v>2.2495200000000003E-2</v>
      </c>
      <c r="AJ78" s="236">
        <f t="shared" si="43"/>
        <v>39127</v>
      </c>
      <c r="AK78" s="58">
        <f t="shared" ca="1" si="65"/>
        <v>2088</v>
      </c>
      <c r="AL78" s="26">
        <f ca="1">IF($A79="","",_xll.SPRDOPT(P78,X78,AI78,0,AB78,AE78,AF78,AK78,$AJ$2,0))</f>
        <v>0.21163827075143274</v>
      </c>
      <c r="AM78" s="209">
        <f t="shared" si="44"/>
        <v>0.20691784119928763</v>
      </c>
      <c r="AN78" s="89">
        <f t="shared" ca="1" si="66"/>
        <v>4.7204295521451056E-3</v>
      </c>
      <c r="AO78" s="3">
        <f t="shared" si="67"/>
        <v>28</v>
      </c>
      <c r="AP78" s="33">
        <f t="shared" si="68"/>
        <v>39114</v>
      </c>
      <c r="AQ78" s="58">
        <f t="shared" ca="1" si="45"/>
        <v>2088</v>
      </c>
      <c r="AR78" s="38">
        <f>IF(Summary!$H$2=1,VLOOKUP('ANR OK vs ML7'!A78,Curves!$C$17:$AR$273,MATCH('ANR OK vs ML7'!$AR$4,Curves!$C$8:$AQ$8,0)),0.1)</f>
        <v>0.1</v>
      </c>
      <c r="AS78" s="35">
        <f t="shared" ca="1" si="46"/>
        <v>0.57244943486611954</v>
      </c>
      <c r="AT78" s="3">
        <f t="shared" si="69"/>
        <v>1</v>
      </c>
      <c r="AU78" s="3">
        <f t="shared" si="47"/>
        <v>28</v>
      </c>
      <c r="AW78" s="32">
        <f t="shared" ca="1" si="70"/>
        <v>237034.86324160467</v>
      </c>
      <c r="AX78" s="32">
        <f t="shared" si="71"/>
        <v>231747.98214320216</v>
      </c>
      <c r="AY78" s="32">
        <f t="shared" ca="1" si="72"/>
        <v>5286.8810984025185</v>
      </c>
      <c r="BA78" s="32">
        <f ca="1">IF($A79="","",F78*Summary!$Q$7)</f>
        <v>0</v>
      </c>
      <c r="BC78" s="256">
        <f t="shared" ca="1" si="73"/>
        <v>132664.00140923963</v>
      </c>
    </row>
    <row r="79" spans="1:55">
      <c r="A79" s="67">
        <f t="shared" si="48"/>
        <v>39142</v>
      </c>
      <c r="B79" s="69">
        <f t="shared" si="74"/>
        <v>40000</v>
      </c>
      <c r="C79" s="71"/>
      <c r="D79" s="69">
        <f t="shared" si="75"/>
        <v>40000</v>
      </c>
      <c r="E79" s="70">
        <f t="shared" si="38"/>
        <v>1240000</v>
      </c>
      <c r="F79" s="70">
        <f t="shared" ca="1" si="39"/>
        <v>704547.17900188908</v>
      </c>
      <c r="G79" s="63">
        <f t="shared" si="49"/>
        <v>4.2249999999999996</v>
      </c>
      <c r="H79" s="64">
        <f t="shared" si="50"/>
        <v>4.2249999999999996</v>
      </c>
      <c r="I79" s="43"/>
      <c r="J79" s="63">
        <f t="shared" si="51"/>
        <v>0.32500000000000001</v>
      </c>
      <c r="K79" s="64">
        <f t="shared" si="52"/>
        <v>0.32500000000000001</v>
      </c>
      <c r="L79" s="63">
        <f t="shared" si="53"/>
        <v>0</v>
      </c>
      <c r="M79" s="64">
        <f t="shared" si="54"/>
        <v>0</v>
      </c>
      <c r="N79" s="65"/>
      <c r="O79" s="63">
        <f t="shared" si="55"/>
        <v>4.55</v>
      </c>
      <c r="P79" s="63">
        <f t="shared" si="56"/>
        <v>4.55</v>
      </c>
      <c r="Q79" s="66"/>
      <c r="R79" s="63">
        <f t="shared" si="57"/>
        <v>-0.1225</v>
      </c>
      <c r="S79" s="64">
        <f t="shared" si="58"/>
        <v>-0.1225</v>
      </c>
      <c r="T79" s="63">
        <f t="shared" si="59"/>
        <v>0.01</v>
      </c>
      <c r="U79" s="64">
        <f t="shared" si="60"/>
        <v>0.01</v>
      </c>
      <c r="V79" s="207">
        <f>IF($A80="","",IF(AND(MONTH(A79)&gt;3,MONTH(A79)&lt;11),(T79+R79+G79)*Summary!$T$7/(1-Summary!$T$7),(T79+R79+G79)*Summary!$U$7/(1-Summary!$U$7)))</f>
        <v>0.19874855854911419</v>
      </c>
      <c r="W79" s="63">
        <f t="shared" si="61"/>
        <v>4.3112485585491136</v>
      </c>
      <c r="X79" s="63">
        <f t="shared" si="62"/>
        <v>4.3112485585491136</v>
      </c>
      <c r="Y79" s="43"/>
      <c r="Z79" s="38">
        <f t="shared" si="63"/>
        <v>0.75</v>
      </c>
      <c r="AA79" s="38">
        <f t="shared" si="63"/>
        <v>0.23400000000000001</v>
      </c>
      <c r="AB79" s="38">
        <f t="shared" ca="1" si="40"/>
        <v>0.24269789734602457</v>
      </c>
      <c r="AC79" s="38">
        <f t="shared" si="63"/>
        <v>0.75</v>
      </c>
      <c r="AD79" s="38">
        <f t="shared" si="41"/>
        <v>0.22800000000000001</v>
      </c>
      <c r="AE79" s="38">
        <f t="shared" ca="1" si="42"/>
        <v>0.2369155110103133</v>
      </c>
      <c r="AF79" s="238">
        <f ca="1">((Summary!$N$7*(AA79*AD79)*(A79-$D$3))+(Summary!$M$7*Z79*AC79*(DAY(EOMONTH(A79,0))/2)))/(AK79*AB79*AE79)</f>
        <v>0.99988472418554175</v>
      </c>
      <c r="AG79" s="88">
        <f>IF($A80="","",Summary!$Q$7)</f>
        <v>0</v>
      </c>
      <c r="AH79" s="88">
        <f>IF($A80="","",IF(Summary!$R$7="Y",(VLOOKUP($A79,Summary!$AD$6:$AF$9,3)+'Escalating commodity'!C92),'Escalating commodity'!C92))</f>
        <v>2.2495200000000003E-2</v>
      </c>
      <c r="AI79" s="88">
        <f t="shared" si="64"/>
        <v>2.2495200000000003E-2</v>
      </c>
      <c r="AJ79" s="236">
        <f t="shared" si="43"/>
        <v>39156.5</v>
      </c>
      <c r="AK79" s="58">
        <f t="shared" ca="1" si="65"/>
        <v>2116</v>
      </c>
      <c r="AL79" s="26">
        <f ca="1">IF($A80="","",_xll.SPRDOPT(P79,X79,AI79,0,AB79,AE79,AF79,AK79,$AJ$2,0))</f>
        <v>0.21685340562420025</v>
      </c>
      <c r="AM79" s="209">
        <f t="shared" si="44"/>
        <v>0.21625624145088623</v>
      </c>
      <c r="AN79" s="89">
        <f t="shared" ca="1" si="66"/>
        <v>5.9716417331401317E-4</v>
      </c>
      <c r="AO79" s="3">
        <f t="shared" si="67"/>
        <v>31</v>
      </c>
      <c r="AP79" s="33">
        <f t="shared" si="68"/>
        <v>39142</v>
      </c>
      <c r="AQ79" s="58">
        <f t="shared" ca="1" si="45"/>
        <v>2116</v>
      </c>
      <c r="AR79" s="38">
        <f>IF(Summary!$H$2=1,VLOOKUP('ANR OK vs ML7'!A79,Curves!$C$17:$AR$273,MATCH('ANR OK vs ML7'!$AR$4,Curves!$C$8:$AQ$8,0)),0.1)</f>
        <v>0.1</v>
      </c>
      <c r="AS79" s="35">
        <f t="shared" ca="1" si="46"/>
        <v>0.56818320887249119</v>
      </c>
      <c r="AT79" s="3">
        <f t="shared" si="69"/>
        <v>1</v>
      </c>
      <c r="AU79" s="3">
        <f t="shared" si="47"/>
        <v>31</v>
      </c>
      <c r="AW79" s="32">
        <f t="shared" ca="1" si="70"/>
        <v>268898.2229740083</v>
      </c>
      <c r="AX79" s="32">
        <f t="shared" si="71"/>
        <v>268157.73939909891</v>
      </c>
      <c r="AY79" s="32">
        <f t="shared" ca="1" si="72"/>
        <v>740.48357490937633</v>
      </c>
      <c r="BA79" s="32">
        <f ca="1">IF($A80="","",F79*Summary!$Q$7)</f>
        <v>0</v>
      </c>
      <c r="BC79" s="256">
        <f t="shared" ca="1" si="73"/>
        <v>152362.7248557733</v>
      </c>
    </row>
    <row r="80" spans="1:55">
      <c r="A80" s="67">
        <f t="shared" si="48"/>
        <v>39173</v>
      </c>
      <c r="B80" s="69">
        <f t="shared" si="74"/>
        <v>40000</v>
      </c>
      <c r="C80" s="71"/>
      <c r="D80" s="69">
        <f t="shared" si="75"/>
        <v>40000</v>
      </c>
      <c r="E80" s="70">
        <f t="shared" si="38"/>
        <v>1200000</v>
      </c>
      <c r="F80" s="70">
        <f t="shared" ca="1" si="39"/>
        <v>676196.35686299752</v>
      </c>
      <c r="G80" s="63">
        <f t="shared" si="49"/>
        <v>4.05</v>
      </c>
      <c r="H80" s="64">
        <f t="shared" si="50"/>
        <v>4.05</v>
      </c>
      <c r="I80" s="43"/>
      <c r="J80" s="63">
        <f t="shared" si="51"/>
        <v>0.21</v>
      </c>
      <c r="K80" s="64">
        <f t="shared" si="52"/>
        <v>0.21</v>
      </c>
      <c r="L80" s="63">
        <f t="shared" si="53"/>
        <v>0</v>
      </c>
      <c r="M80" s="64">
        <f t="shared" si="54"/>
        <v>0</v>
      </c>
      <c r="N80" s="65"/>
      <c r="O80" s="63">
        <f t="shared" si="55"/>
        <v>4.26</v>
      </c>
      <c r="P80" s="63">
        <f t="shared" si="56"/>
        <v>4.26</v>
      </c>
      <c r="Q80" s="66"/>
      <c r="R80" s="63">
        <f t="shared" si="57"/>
        <v>-0.12</v>
      </c>
      <c r="S80" s="64">
        <f t="shared" si="58"/>
        <v>-0.12</v>
      </c>
      <c r="T80" s="63">
        <f t="shared" si="59"/>
        <v>-0.01</v>
      </c>
      <c r="U80" s="64">
        <f t="shared" si="60"/>
        <v>-0.01</v>
      </c>
      <c r="V80" s="207">
        <f>IF($A81="","",IF(AND(MONTH(A80)&gt;3,MONTH(A80)&lt;11),(T80+R80+G80)*Summary!$T$7/(1-Summary!$T$7),(T80+R80+G80)*Summary!$U$7/(1-Summary!$U$7)))</f>
        <v>0.18944543453192161</v>
      </c>
      <c r="W80" s="63">
        <f t="shared" si="61"/>
        <v>4.1094454345319216</v>
      </c>
      <c r="X80" s="63">
        <f t="shared" si="62"/>
        <v>4.1094454345319216</v>
      </c>
      <c r="Y80" s="43"/>
      <c r="Z80" s="38">
        <f t="shared" si="63"/>
        <v>0.45</v>
      </c>
      <c r="AA80" s="38">
        <f t="shared" si="63"/>
        <v>0.23400000000000001</v>
      </c>
      <c r="AB80" s="38">
        <f t="shared" ca="1" si="40"/>
        <v>0.23705752103935193</v>
      </c>
      <c r="AC80" s="38">
        <f t="shared" si="63"/>
        <v>0.4</v>
      </c>
      <c r="AD80" s="38">
        <f t="shared" si="41"/>
        <v>0.22800000000000001</v>
      </c>
      <c r="AE80" s="38">
        <f t="shared" ca="1" si="42"/>
        <v>0.23049089186837818</v>
      </c>
      <c r="AF80" s="238">
        <f ca="1">((Summary!$N$7*(AA80*AD80)*(A80-$D$3))+(Summary!$M$7*Z80*AC80*(DAY(EOMONTH(A80,0))/2)))/(AK80*AB80*AE80)</f>
        <v>0.99980748622803772</v>
      </c>
      <c r="AG80" s="88">
        <f>IF($A81="","",Summary!$Q$7)</f>
        <v>0</v>
      </c>
      <c r="AH80" s="88">
        <f>IF($A81="","",IF(Summary!$R$7="Y",(VLOOKUP($A80,Summary!$AD$6:$AF$9,3)+'Escalating commodity'!C93),'Escalating commodity'!C93))</f>
        <v>2.2495200000000003E-2</v>
      </c>
      <c r="AI80" s="88">
        <f t="shared" si="64"/>
        <v>2.2495200000000003E-2</v>
      </c>
      <c r="AJ80" s="236">
        <f t="shared" si="43"/>
        <v>39187</v>
      </c>
      <c r="AK80" s="58">
        <f t="shared" ca="1" si="65"/>
        <v>2147</v>
      </c>
      <c r="AL80" s="26">
        <f ca="1">IF($A81="","",_xll.SPRDOPT(P80,X80,AI80,0,AB80,AE80,AF80,AK80,$AJ$2,0))</f>
        <v>0.13242971374443016</v>
      </c>
      <c r="AM80" s="209">
        <f t="shared" si="44"/>
        <v>0.12805936546807822</v>
      </c>
      <c r="AN80" s="89">
        <f t="shared" ca="1" si="66"/>
        <v>4.3703482763519375E-3</v>
      </c>
      <c r="AO80" s="3">
        <f t="shared" si="67"/>
        <v>30</v>
      </c>
      <c r="AP80" s="33">
        <f t="shared" si="68"/>
        <v>39173</v>
      </c>
      <c r="AQ80" s="58">
        <f t="shared" ca="1" si="45"/>
        <v>2147</v>
      </c>
      <c r="AR80" s="38">
        <f>IF(Summary!$H$2=1,VLOOKUP('ANR OK vs ML7'!A80,Curves!$C$17:$AR$273,MATCH('ANR OK vs ML7'!$AR$4,Curves!$C$8:$AQ$8,0)),0.1)</f>
        <v>0.1</v>
      </c>
      <c r="AS80" s="35">
        <f t="shared" ca="1" si="46"/>
        <v>0.56349696405249794</v>
      </c>
      <c r="AT80" s="3">
        <f t="shared" si="69"/>
        <v>1</v>
      </c>
      <c r="AU80" s="3">
        <f t="shared" si="47"/>
        <v>30</v>
      </c>
      <c r="AW80" s="32">
        <f t="shared" ca="1" si="70"/>
        <v>158915.6564933162</v>
      </c>
      <c r="AX80" s="32">
        <f t="shared" si="71"/>
        <v>153671.23856169387</v>
      </c>
      <c r="AY80" s="32">
        <f t="shared" ca="1" si="72"/>
        <v>5244.4179316223253</v>
      </c>
      <c r="BA80" s="32">
        <f ca="1">IF($A81="","",F80*Summary!$Q$7)</f>
        <v>0</v>
      </c>
      <c r="BC80" s="256">
        <f t="shared" ca="1" si="73"/>
        <v>86593.276391701642</v>
      </c>
    </row>
    <row r="81" spans="1:55">
      <c r="A81" s="67">
        <f t="shared" si="48"/>
        <v>39203</v>
      </c>
      <c r="B81" s="69">
        <f t="shared" si="74"/>
        <v>40000</v>
      </c>
      <c r="C81" s="71"/>
      <c r="D81" s="69">
        <f t="shared" si="75"/>
        <v>40000</v>
      </c>
      <c r="E81" s="70">
        <f t="shared" si="38"/>
        <v>1240000</v>
      </c>
      <c r="F81" s="70">
        <f t="shared" ca="1" si="39"/>
        <v>693158.37889872282</v>
      </c>
      <c r="G81" s="63">
        <f t="shared" si="49"/>
        <v>4.0199999999999996</v>
      </c>
      <c r="H81" s="64">
        <f t="shared" si="50"/>
        <v>4.0199999999999996</v>
      </c>
      <c r="I81" s="43"/>
      <c r="J81" s="63">
        <f t="shared" si="51"/>
        <v>0.21</v>
      </c>
      <c r="K81" s="64">
        <f t="shared" si="52"/>
        <v>0.21</v>
      </c>
      <c r="L81" s="63">
        <f t="shared" si="53"/>
        <v>0</v>
      </c>
      <c r="M81" s="64">
        <f t="shared" si="54"/>
        <v>0</v>
      </c>
      <c r="N81" s="65"/>
      <c r="O81" s="63">
        <f t="shared" si="55"/>
        <v>4.2299999999999995</v>
      </c>
      <c r="P81" s="63">
        <f t="shared" si="56"/>
        <v>4.2299999999999995</v>
      </c>
      <c r="Q81" s="66"/>
      <c r="R81" s="63">
        <f t="shared" si="57"/>
        <v>-0.12</v>
      </c>
      <c r="S81" s="64">
        <f t="shared" si="58"/>
        <v>-0.12</v>
      </c>
      <c r="T81" s="63">
        <f t="shared" si="59"/>
        <v>-0.01</v>
      </c>
      <c r="U81" s="64">
        <f t="shared" si="60"/>
        <v>-0.01</v>
      </c>
      <c r="V81" s="207">
        <f>IF($A82="","",IF(AND(MONTH(A81)&gt;3,MONTH(A81)&lt;11),(T81+R81+G81)*Summary!$T$7/(1-Summary!$T$7),(T81+R81+G81)*Summary!$U$7/(1-Summary!$U$7)))</f>
        <v>0.18799559702274871</v>
      </c>
      <c r="W81" s="63">
        <f t="shared" si="61"/>
        <v>4.0779955970227482</v>
      </c>
      <c r="X81" s="63">
        <f t="shared" si="62"/>
        <v>4.0779955970227482</v>
      </c>
      <c r="Y81" s="43"/>
      <c r="Z81" s="38">
        <f t="shared" si="63"/>
        <v>0.5</v>
      </c>
      <c r="AA81" s="38">
        <f t="shared" si="63"/>
        <v>0.23400000000000001</v>
      </c>
      <c r="AB81" s="38">
        <f t="shared" ca="1" si="40"/>
        <v>0.23782582804067731</v>
      </c>
      <c r="AC81" s="38">
        <f t="shared" si="63"/>
        <v>0.4</v>
      </c>
      <c r="AD81" s="38">
        <f t="shared" si="41"/>
        <v>0.22800000000000001</v>
      </c>
      <c r="AE81" s="38">
        <f t="shared" ca="1" si="42"/>
        <v>0.23053646369554556</v>
      </c>
      <c r="AF81" s="238">
        <f ca="1">((Summary!$N$7*(AA81*AD81)*(A81-$D$3))+(Summary!$M$7*Z81*AC81*(DAY(EOMONTH(A81,0))/2)))/(AK81*AB81*AE81)</f>
        <v>0.99940945809142212</v>
      </c>
      <c r="AG81" s="88">
        <f>IF($A82="","",Summary!$Q$7)</f>
        <v>0</v>
      </c>
      <c r="AH81" s="88">
        <f>IF($A82="","",IF(Summary!$R$7="Y",(VLOOKUP($A81,Summary!$AD$6:$AF$9,3)+'Escalating commodity'!C94),'Escalating commodity'!C94))</f>
        <v>2.2495200000000003E-2</v>
      </c>
      <c r="AI81" s="88">
        <f t="shared" si="64"/>
        <v>2.2495200000000003E-2</v>
      </c>
      <c r="AJ81" s="236">
        <f t="shared" si="43"/>
        <v>39217.5</v>
      </c>
      <c r="AK81" s="58">
        <f t="shared" ca="1" si="65"/>
        <v>2177</v>
      </c>
      <c r="AL81" s="26">
        <f ca="1">IF($A82="","",_xll.SPRDOPT(P81,X81,AI81,0,AB81,AE81,AF81,AK81,$AJ$2,0))</f>
        <v>0.13861541853335721</v>
      </c>
      <c r="AM81" s="209">
        <f t="shared" si="44"/>
        <v>0.12950920297725138</v>
      </c>
      <c r="AN81" s="89">
        <f t="shared" ca="1" si="66"/>
        <v>9.1062155561058289E-3</v>
      </c>
      <c r="AO81" s="3">
        <f t="shared" si="67"/>
        <v>31</v>
      </c>
      <c r="AP81" s="33">
        <f t="shared" si="68"/>
        <v>39203</v>
      </c>
      <c r="AQ81" s="58">
        <f t="shared" ca="1" si="45"/>
        <v>2177</v>
      </c>
      <c r="AR81" s="38">
        <f>IF(Summary!$H$2=1,VLOOKUP('ANR OK vs ML7'!A81,Curves!$C$17:$AR$273,MATCH('ANR OK vs ML7'!$AR$4,Curves!$C$8:$AQ$8,0)),0.1)</f>
        <v>0.1</v>
      </c>
      <c r="AS81" s="35">
        <f t="shared" ca="1" si="46"/>
        <v>0.55899869266026037</v>
      </c>
      <c r="AT81" s="3">
        <f t="shared" si="69"/>
        <v>1</v>
      </c>
      <c r="AU81" s="3">
        <f t="shared" si="47"/>
        <v>31</v>
      </c>
      <c r="AW81" s="32">
        <f t="shared" ca="1" si="70"/>
        <v>171883.11898136293</v>
      </c>
      <c r="AX81" s="32">
        <f t="shared" si="71"/>
        <v>160591.4116917917</v>
      </c>
      <c r="AY81" s="32">
        <f t="shared" ca="1" si="72"/>
        <v>11291.707289571228</v>
      </c>
      <c r="BA81" s="32">
        <f ca="1">IF($A82="","",F81*Summary!$Q$7)</f>
        <v>0</v>
      </c>
      <c r="BC81" s="256">
        <f t="shared" ca="1" si="73"/>
        <v>89770.389188177214</v>
      </c>
    </row>
    <row r="82" spans="1:55">
      <c r="A82" s="67">
        <f t="shared" si="48"/>
        <v>39234</v>
      </c>
      <c r="B82" s="69">
        <f t="shared" si="74"/>
        <v>40000</v>
      </c>
      <c r="C82" s="71"/>
      <c r="D82" s="69">
        <f t="shared" si="75"/>
        <v>40000</v>
      </c>
      <c r="E82" s="70">
        <f t="shared" si="38"/>
        <v>1200000</v>
      </c>
      <c r="F82" s="70">
        <f t="shared" ca="1" si="39"/>
        <v>665265.83954872517</v>
      </c>
      <c r="G82" s="63">
        <f t="shared" si="49"/>
        <v>4.09</v>
      </c>
      <c r="H82" s="64">
        <f t="shared" si="50"/>
        <v>4.09</v>
      </c>
      <c r="I82" s="43"/>
      <c r="J82" s="63">
        <f t="shared" si="51"/>
        <v>0.21</v>
      </c>
      <c r="K82" s="64">
        <f t="shared" si="52"/>
        <v>0.21</v>
      </c>
      <c r="L82" s="63">
        <f t="shared" si="53"/>
        <v>0</v>
      </c>
      <c r="M82" s="64">
        <f t="shared" si="54"/>
        <v>0</v>
      </c>
      <c r="N82" s="65"/>
      <c r="O82" s="63">
        <f t="shared" si="55"/>
        <v>4.3</v>
      </c>
      <c r="P82" s="63">
        <f t="shared" si="56"/>
        <v>4.3</v>
      </c>
      <c r="Q82" s="66"/>
      <c r="R82" s="63">
        <f t="shared" si="57"/>
        <v>-0.12</v>
      </c>
      <c r="S82" s="64">
        <f t="shared" si="58"/>
        <v>-0.12</v>
      </c>
      <c r="T82" s="63">
        <f t="shared" si="59"/>
        <v>-0.01</v>
      </c>
      <c r="U82" s="64">
        <f t="shared" si="60"/>
        <v>-0.01</v>
      </c>
      <c r="V82" s="207">
        <f>IF($A83="","",IF(AND(MONTH(A82)&gt;3,MONTH(A82)&lt;11),(T82+R82+G82)*Summary!$T$7/(1-Summary!$T$7),(T82+R82+G82)*Summary!$U$7/(1-Summary!$U$7)))</f>
        <v>0.19137855121081876</v>
      </c>
      <c r="W82" s="63">
        <f t="shared" si="61"/>
        <v>4.1513785512108186</v>
      </c>
      <c r="X82" s="63">
        <f t="shared" si="62"/>
        <v>4.1513785512108186</v>
      </c>
      <c r="Y82" s="43"/>
      <c r="Z82" s="38">
        <f t="shared" si="63"/>
        <v>0.5</v>
      </c>
      <c r="AA82" s="38">
        <f t="shared" si="63"/>
        <v>0.224</v>
      </c>
      <c r="AB82" s="38">
        <f t="shared" ca="1" si="40"/>
        <v>0.22780933739181666</v>
      </c>
      <c r="AC82" s="38">
        <f t="shared" si="63"/>
        <v>0.4</v>
      </c>
      <c r="AD82" s="38">
        <f t="shared" si="41"/>
        <v>0.218</v>
      </c>
      <c r="AE82" s="38">
        <f t="shared" ca="1" si="42"/>
        <v>0.22052773084685692</v>
      </c>
      <c r="AF82" s="238">
        <f ca="1">((Summary!$N$7*(AA82*AD82)*(A82-$D$3))+(Summary!$M$7*Z82*AC82*(DAY(EOMONTH(A82,0))/2)))/(AK82*AB82*AE82)</f>
        <v>0.99939587779665784</v>
      </c>
      <c r="AG82" s="88">
        <f>IF($A83="","",Summary!$Q$7)</f>
        <v>0</v>
      </c>
      <c r="AH82" s="88">
        <f>IF($A83="","",IF(Summary!$R$7="Y",(VLOOKUP($A82,Summary!$AD$6:$AF$9,3)+'Escalating commodity'!C95),'Escalating commodity'!C95))</f>
        <v>2.2495200000000003E-2</v>
      </c>
      <c r="AI82" s="88">
        <f t="shared" si="64"/>
        <v>2.2495200000000003E-2</v>
      </c>
      <c r="AJ82" s="236">
        <f t="shared" si="43"/>
        <v>39248</v>
      </c>
      <c r="AK82" s="58">
        <f t="shared" ca="1" si="65"/>
        <v>2208</v>
      </c>
      <c r="AL82" s="26">
        <f ca="1">IF($A83="","",_xll.SPRDOPT(P82,X82,AI82,0,AB82,AE82,AF82,AK82,$AJ$2,0))</f>
        <v>0.13574707130284935</v>
      </c>
      <c r="AM82" s="209">
        <f t="shared" si="44"/>
        <v>0.12612624878918127</v>
      </c>
      <c r="AN82" s="89">
        <f t="shared" ca="1" si="66"/>
        <v>9.6208225136680814E-3</v>
      </c>
      <c r="AO82" s="3">
        <f t="shared" si="67"/>
        <v>30</v>
      </c>
      <c r="AP82" s="33">
        <f t="shared" si="68"/>
        <v>39234</v>
      </c>
      <c r="AQ82" s="58">
        <f t="shared" ca="1" si="45"/>
        <v>2208</v>
      </c>
      <c r="AR82" s="38">
        <f>IF(Summary!$H$2=1,VLOOKUP('ANR OK vs ML7'!A82,Curves!$C$17:$AR$273,MATCH('ANR OK vs ML7'!$AR$4,Curves!$C$8:$AQ$8,0)),0.1)</f>
        <v>0.1</v>
      </c>
      <c r="AS82" s="35">
        <f t="shared" ca="1" si="46"/>
        <v>0.55438819962393759</v>
      </c>
      <c r="AT82" s="3">
        <f t="shared" si="69"/>
        <v>1</v>
      </c>
      <c r="AU82" s="3">
        <f t="shared" si="47"/>
        <v>30</v>
      </c>
      <c r="AW82" s="32">
        <f t="shared" ca="1" si="70"/>
        <v>162896.48556341924</v>
      </c>
      <c r="AX82" s="32">
        <f t="shared" si="71"/>
        <v>151351.49854701752</v>
      </c>
      <c r="AY82" s="32">
        <f t="shared" ca="1" si="72"/>
        <v>11544.987016401697</v>
      </c>
      <c r="BA82" s="32">
        <f ca="1">IF($A83="","",F82*Summary!$Q$7)</f>
        <v>0</v>
      </c>
      <c r="BC82" s="256">
        <f t="shared" ca="1" si="73"/>
        <v>83907.484789866066</v>
      </c>
    </row>
    <row r="83" spans="1:55">
      <c r="A83" s="67">
        <f t="shared" si="48"/>
        <v>39264</v>
      </c>
      <c r="B83" s="69">
        <f t="shared" si="74"/>
        <v>40000</v>
      </c>
      <c r="C83" s="71"/>
      <c r="D83" s="69">
        <f t="shared" si="75"/>
        <v>40000</v>
      </c>
      <c r="E83" s="70">
        <f t="shared" si="38"/>
        <v>1240000</v>
      </c>
      <c r="F83" s="70">
        <f t="shared" ca="1" si="39"/>
        <v>681953.67543472513</v>
      </c>
      <c r="G83" s="63">
        <f t="shared" si="49"/>
        <v>4.1449999999999996</v>
      </c>
      <c r="H83" s="64">
        <f t="shared" si="50"/>
        <v>4.1449999999999996</v>
      </c>
      <c r="I83" s="43"/>
      <c r="J83" s="63">
        <f t="shared" si="51"/>
        <v>0.21</v>
      </c>
      <c r="K83" s="64">
        <f t="shared" si="52"/>
        <v>0.21</v>
      </c>
      <c r="L83" s="63">
        <f t="shared" si="53"/>
        <v>0</v>
      </c>
      <c r="M83" s="64">
        <f t="shared" si="54"/>
        <v>0</v>
      </c>
      <c r="N83" s="65"/>
      <c r="O83" s="63">
        <f t="shared" si="55"/>
        <v>4.3549999999999995</v>
      </c>
      <c r="P83" s="63">
        <f t="shared" si="56"/>
        <v>4.3549999999999995</v>
      </c>
      <c r="Q83" s="66"/>
      <c r="R83" s="63">
        <f t="shared" si="57"/>
        <v>-0.12</v>
      </c>
      <c r="S83" s="64">
        <f t="shared" si="58"/>
        <v>-0.12</v>
      </c>
      <c r="T83" s="63">
        <f t="shared" si="59"/>
        <v>-0.01</v>
      </c>
      <c r="U83" s="64">
        <f t="shared" si="60"/>
        <v>-0.01</v>
      </c>
      <c r="V83" s="207">
        <f>IF($A84="","",IF(AND(MONTH(A83)&gt;3,MONTH(A83)&lt;11),(T83+R83+G83)*Summary!$T$7/(1-Summary!$T$7),(T83+R83+G83)*Summary!$U$7/(1-Summary!$U$7)))</f>
        <v>0.19403658664430234</v>
      </c>
      <c r="W83" s="63">
        <f t="shared" si="61"/>
        <v>4.2090365866443022</v>
      </c>
      <c r="X83" s="63">
        <f t="shared" si="62"/>
        <v>4.2090365866443022</v>
      </c>
      <c r="Y83" s="43"/>
      <c r="Z83" s="38">
        <f t="shared" si="63"/>
        <v>0.55000000000000004</v>
      </c>
      <c r="AA83" s="38">
        <f t="shared" si="63"/>
        <v>0.224</v>
      </c>
      <c r="AB83" s="38">
        <f t="shared" ca="1" si="40"/>
        <v>0.22867768271898889</v>
      </c>
      <c r="AC83" s="38">
        <f t="shared" si="63"/>
        <v>0.4</v>
      </c>
      <c r="AD83" s="38">
        <f t="shared" si="41"/>
        <v>0.218</v>
      </c>
      <c r="AE83" s="38">
        <f t="shared" ca="1" si="42"/>
        <v>0.2205750831173485</v>
      </c>
      <c r="AF83" s="238">
        <f ca="1">((Summary!$N$7*(AA83*AD83)*(A83-$D$3))+(Summary!$M$7*Z83*AC83*(DAY(EOMONTH(A83,0))/2)))/(AK83*AB83*AE83)</f>
        <v>0.99865221833585638</v>
      </c>
      <c r="AG83" s="88">
        <f>IF($A84="","",Summary!$Q$7)</f>
        <v>0</v>
      </c>
      <c r="AH83" s="88">
        <f>IF($A84="","",IF(Summary!$R$7="Y",(VLOOKUP($A83,Summary!$AD$6:$AF$9,3)+'Escalating commodity'!C96),'Escalating commodity'!C96))</f>
        <v>2.2495200000000003E-2</v>
      </c>
      <c r="AI83" s="88">
        <f t="shared" si="64"/>
        <v>2.2495200000000003E-2</v>
      </c>
      <c r="AJ83" s="236">
        <f t="shared" si="43"/>
        <v>39278.5</v>
      </c>
      <c r="AK83" s="58">
        <f t="shared" ca="1" si="65"/>
        <v>2238</v>
      </c>
      <c r="AL83" s="26">
        <f ca="1">IF($A84="","",_xll.SPRDOPT(P83,X83,AI83,0,AB83,AE83,AF83,AK83,$AJ$2,0))</f>
        <v>0.14337962281852604</v>
      </c>
      <c r="AM83" s="209">
        <f t="shared" si="44"/>
        <v>0.12346821335569728</v>
      </c>
      <c r="AN83" s="89">
        <f t="shared" ca="1" si="66"/>
        <v>1.9911409462828752E-2</v>
      </c>
      <c r="AO83" s="3">
        <f t="shared" si="67"/>
        <v>31</v>
      </c>
      <c r="AP83" s="33">
        <f t="shared" si="68"/>
        <v>39264</v>
      </c>
      <c r="AQ83" s="58">
        <f t="shared" ca="1" si="45"/>
        <v>2238</v>
      </c>
      <c r="AR83" s="38">
        <f>IF(Summary!$H$2=1,VLOOKUP('ANR OK vs ML7'!A83,Curves!$C$17:$AR$273,MATCH('ANR OK vs ML7'!$AR$4,Curves!$C$8:$AQ$8,0)),0.1)</f>
        <v>0.1</v>
      </c>
      <c r="AS83" s="35">
        <f t="shared" ca="1" si="46"/>
        <v>0.54996264147961704</v>
      </c>
      <c r="AT83" s="3">
        <f t="shared" si="69"/>
        <v>1</v>
      </c>
      <c r="AU83" s="3">
        <f t="shared" si="47"/>
        <v>31</v>
      </c>
      <c r="AW83" s="32">
        <f t="shared" ca="1" si="70"/>
        <v>177790.73229497229</v>
      </c>
      <c r="AX83" s="32">
        <f t="shared" si="71"/>
        <v>153100.58456106464</v>
      </c>
      <c r="AY83" s="32">
        <f t="shared" ca="1" si="72"/>
        <v>24690.147733907652</v>
      </c>
      <c r="BA83" s="32">
        <f ca="1">IF($A84="","",F83*Summary!$Q$7)</f>
        <v>0</v>
      </c>
      <c r="BC83" s="256">
        <f t="shared" ca="1" si="73"/>
        <v>84199.601897276574</v>
      </c>
    </row>
    <row r="84" spans="1:55">
      <c r="A84" s="67">
        <f t="shared" si="48"/>
        <v>39295</v>
      </c>
      <c r="B84" s="69">
        <f t="shared" si="74"/>
        <v>40000</v>
      </c>
      <c r="C84" s="71"/>
      <c r="D84" s="69">
        <f t="shared" si="75"/>
        <v>40000</v>
      </c>
      <c r="E84" s="70">
        <f t="shared" si="38"/>
        <v>1240000</v>
      </c>
      <c r="F84" s="70">
        <f t="shared" ca="1" si="39"/>
        <v>676329.07789457054</v>
      </c>
      <c r="G84" s="63">
        <f t="shared" si="49"/>
        <v>4.2010000000000005</v>
      </c>
      <c r="H84" s="64">
        <f t="shared" si="50"/>
        <v>4.2010000000000005</v>
      </c>
      <c r="I84" s="43"/>
      <c r="J84" s="63">
        <f t="shared" si="51"/>
        <v>0.21</v>
      </c>
      <c r="K84" s="64">
        <f t="shared" si="52"/>
        <v>0.21</v>
      </c>
      <c r="L84" s="63">
        <f t="shared" si="53"/>
        <v>0</v>
      </c>
      <c r="M84" s="64">
        <f t="shared" si="54"/>
        <v>0</v>
      </c>
      <c r="N84" s="65"/>
      <c r="O84" s="63">
        <f t="shared" si="55"/>
        <v>4.4110000000000005</v>
      </c>
      <c r="P84" s="63">
        <f t="shared" si="56"/>
        <v>4.4110000000000005</v>
      </c>
      <c r="Q84" s="66"/>
      <c r="R84" s="63">
        <f t="shared" si="57"/>
        <v>-0.12</v>
      </c>
      <c r="S84" s="64">
        <f t="shared" si="58"/>
        <v>-0.12</v>
      </c>
      <c r="T84" s="63">
        <f t="shared" si="59"/>
        <v>-0.01</v>
      </c>
      <c r="U84" s="64">
        <f t="shared" si="60"/>
        <v>-0.01</v>
      </c>
      <c r="V84" s="207">
        <f>IF($A85="","",IF(AND(MONTH(A84)&gt;3,MONTH(A84)&lt;11),(T84+R84+G84)*Summary!$T$7/(1-Summary!$T$7),(T84+R84+G84)*Summary!$U$7/(1-Summary!$U$7)))</f>
        <v>0.19674294999475841</v>
      </c>
      <c r="W84" s="63">
        <f t="shared" si="61"/>
        <v>4.2677429499947594</v>
      </c>
      <c r="X84" s="63">
        <f t="shared" si="62"/>
        <v>4.2677429499947594</v>
      </c>
      <c r="Y84" s="43"/>
      <c r="Z84" s="38">
        <f t="shared" si="63"/>
        <v>0.6</v>
      </c>
      <c r="AA84" s="38">
        <f t="shared" si="63"/>
        <v>0.224</v>
      </c>
      <c r="AB84" s="38">
        <f t="shared" ca="1" si="40"/>
        <v>0.22947188683765182</v>
      </c>
      <c r="AC84" s="38">
        <f t="shared" si="63"/>
        <v>0.5</v>
      </c>
      <c r="AD84" s="38">
        <f t="shared" si="41"/>
        <v>0.218</v>
      </c>
      <c r="AE84" s="38">
        <f t="shared" ca="1" si="42"/>
        <v>0.22192959627537928</v>
      </c>
      <c r="AF84" s="238">
        <f ca="1">((Summary!$N$7*(AA84*AD84)*(A84-$D$3))+(Summary!$M$7*Z84*AC84*(DAY(EOMONTH(A84,0))/2)))/(AK84*AB84*AE84)</f>
        <v>0.99943828518393274</v>
      </c>
      <c r="AG84" s="88">
        <f>IF($A85="","",Summary!$Q$7)</f>
        <v>0</v>
      </c>
      <c r="AH84" s="88">
        <f>IF($A85="","",IF(Summary!$R$7="Y",(VLOOKUP($A84,Summary!$AD$6:$AF$9,3)+'Escalating commodity'!C97),'Escalating commodity'!C97))</f>
        <v>2.2495200000000003E-2</v>
      </c>
      <c r="AI84" s="88">
        <f t="shared" si="64"/>
        <v>2.2495200000000003E-2</v>
      </c>
      <c r="AJ84" s="236">
        <f t="shared" si="43"/>
        <v>39309.5</v>
      </c>
      <c r="AK84" s="58">
        <f t="shared" ca="1" si="65"/>
        <v>2269</v>
      </c>
      <c r="AL84" s="26">
        <f ca="1">IF($A85="","",_xll.SPRDOPT(P84,X84,AI84,0,AB84,AE84,AF84,AK84,$AJ$2,0))</f>
        <v>0.13235257471054362</v>
      </c>
      <c r="AM84" s="209">
        <f t="shared" si="44"/>
        <v>0.12076185000524102</v>
      </c>
      <c r="AN84" s="89">
        <f t="shared" ca="1" si="66"/>
        <v>1.1590724705302605E-2</v>
      </c>
      <c r="AO84" s="3">
        <f t="shared" si="67"/>
        <v>31</v>
      </c>
      <c r="AP84" s="33">
        <f t="shared" si="68"/>
        <v>39295</v>
      </c>
      <c r="AQ84" s="58">
        <f t="shared" ca="1" si="45"/>
        <v>2269</v>
      </c>
      <c r="AR84" s="38">
        <f>IF(Summary!$H$2=1,VLOOKUP('ANR OK vs ML7'!A84,Curves!$C$17:$AR$273,MATCH('ANR OK vs ML7'!$AR$4,Curves!$C$8:$AQ$8,0)),0.1)</f>
        <v>0.1</v>
      </c>
      <c r="AS84" s="35">
        <f t="shared" ca="1" si="46"/>
        <v>0.54542667572142789</v>
      </c>
      <c r="AT84" s="3">
        <f t="shared" si="69"/>
        <v>1</v>
      </c>
      <c r="AU84" s="3">
        <f t="shared" si="47"/>
        <v>31</v>
      </c>
      <c r="AW84" s="32">
        <f t="shared" ca="1" si="70"/>
        <v>164117.1926410741</v>
      </c>
      <c r="AX84" s="32">
        <f t="shared" si="71"/>
        <v>149744.69400649887</v>
      </c>
      <c r="AY84" s="32">
        <f t="shared" ca="1" si="72"/>
        <v>14372.49863457523</v>
      </c>
      <c r="BA84" s="32">
        <f ca="1">IF($A85="","",F84*Summary!$Q$7)</f>
        <v>0</v>
      </c>
      <c r="BC84" s="256">
        <f t="shared" ca="1" si="73"/>
        <v>81674.750658887104</v>
      </c>
    </row>
    <row r="85" spans="1:55">
      <c r="A85" s="67">
        <f t="shared" si="48"/>
        <v>39326</v>
      </c>
      <c r="B85" s="69">
        <f t="shared" si="74"/>
        <v>40000</v>
      </c>
      <c r="C85" s="71"/>
      <c r="D85" s="69">
        <f t="shared" si="75"/>
        <v>40000</v>
      </c>
      <c r="E85" s="70">
        <f t="shared" si="38"/>
        <v>1200000</v>
      </c>
      <c r="F85" s="70">
        <f t="shared" ca="1" si="39"/>
        <v>649113.74588243559</v>
      </c>
      <c r="G85" s="63">
        <f t="shared" si="49"/>
        <v>4.2149999999999999</v>
      </c>
      <c r="H85" s="64">
        <f t="shared" si="50"/>
        <v>4.2149999999999999</v>
      </c>
      <c r="I85" s="43"/>
      <c r="J85" s="63">
        <f t="shared" si="51"/>
        <v>0.21</v>
      </c>
      <c r="K85" s="64">
        <f t="shared" si="52"/>
        <v>0.21</v>
      </c>
      <c r="L85" s="63">
        <f t="shared" si="53"/>
        <v>0</v>
      </c>
      <c r="M85" s="64">
        <f t="shared" si="54"/>
        <v>0</v>
      </c>
      <c r="N85" s="65"/>
      <c r="O85" s="63">
        <f t="shared" si="55"/>
        <v>4.4249999999999998</v>
      </c>
      <c r="P85" s="63">
        <f t="shared" si="56"/>
        <v>4.4249999999999998</v>
      </c>
      <c r="Q85" s="66"/>
      <c r="R85" s="63">
        <f t="shared" si="57"/>
        <v>-0.12</v>
      </c>
      <c r="S85" s="64">
        <f t="shared" si="58"/>
        <v>-0.12</v>
      </c>
      <c r="T85" s="63">
        <f t="shared" si="59"/>
        <v>-0.01</v>
      </c>
      <c r="U85" s="64">
        <f t="shared" si="60"/>
        <v>-0.01</v>
      </c>
      <c r="V85" s="207">
        <f>IF($A86="","",IF(AND(MONTH(A85)&gt;3,MONTH(A85)&lt;11),(T85+R85+G85)*Summary!$T$7/(1-Summary!$T$7),(T85+R85+G85)*Summary!$U$7/(1-Summary!$U$7)))</f>
        <v>0.19741954083237237</v>
      </c>
      <c r="W85" s="63">
        <f t="shared" si="61"/>
        <v>4.2824195408323726</v>
      </c>
      <c r="X85" s="63">
        <f t="shared" si="62"/>
        <v>4.2824195408323726</v>
      </c>
      <c r="Y85" s="43"/>
      <c r="Z85" s="38">
        <f t="shared" si="63"/>
        <v>0.6</v>
      </c>
      <c r="AA85" s="38">
        <f t="shared" si="63"/>
        <v>0.224</v>
      </c>
      <c r="AB85" s="38">
        <f t="shared" ca="1" si="40"/>
        <v>0.22922836155050805</v>
      </c>
      <c r="AC85" s="38">
        <f t="shared" si="63"/>
        <v>0.55000000000000004</v>
      </c>
      <c r="AD85" s="38">
        <f t="shared" si="41"/>
        <v>0.218</v>
      </c>
      <c r="AE85" s="38">
        <f t="shared" ca="1" si="42"/>
        <v>0.22252525406266177</v>
      </c>
      <c r="AF85" s="238">
        <f ca="1">((Summary!$N$7*(AA85*AD85)*(A85-$D$3))+(Summary!$M$7*Z85*AC85*(DAY(EOMONTH(A85,0))/2)))/(AK85*AB85*AE85)</f>
        <v>0.99983180455573961</v>
      </c>
      <c r="AG85" s="88">
        <f>IF($A86="","",Summary!$Q$7)</f>
        <v>0</v>
      </c>
      <c r="AH85" s="88">
        <f>IF($A86="","",IF(Summary!$R$7="Y",(VLOOKUP($A85,Summary!$AD$6:$AF$9,3)+'Escalating commodity'!C98),'Escalating commodity'!C98))</f>
        <v>2.2495200000000003E-2</v>
      </c>
      <c r="AI85" s="88">
        <f t="shared" si="64"/>
        <v>2.2495200000000003E-2</v>
      </c>
      <c r="AJ85" s="236">
        <f t="shared" si="43"/>
        <v>39340</v>
      </c>
      <c r="AK85" s="58">
        <f t="shared" ca="1" si="65"/>
        <v>2300</v>
      </c>
      <c r="AL85" s="26">
        <f ca="1">IF($A86="","",_xll.SPRDOPT(P85,X85,AI85,0,AB85,AE85,AF85,AK85,$AJ$2,0))</f>
        <v>0.12604562232159927</v>
      </c>
      <c r="AM85" s="209">
        <f t="shared" si="44"/>
        <v>0.12008525916762718</v>
      </c>
      <c r="AN85" s="89">
        <f t="shared" ca="1" si="66"/>
        <v>5.9603631539720953E-3</v>
      </c>
      <c r="AO85" s="3">
        <f t="shared" si="67"/>
        <v>30</v>
      </c>
      <c r="AP85" s="33">
        <f t="shared" si="68"/>
        <v>39326</v>
      </c>
      <c r="AQ85" s="58">
        <f t="shared" ca="1" si="45"/>
        <v>2300</v>
      </c>
      <c r="AR85" s="38">
        <f>IF(Summary!$H$2=1,VLOOKUP('ANR OK vs ML7'!A85,Curves!$C$17:$AR$273,MATCH('ANR OK vs ML7'!$AR$4,Curves!$C$8:$AQ$8,0)),0.1)</f>
        <v>0.1</v>
      </c>
      <c r="AS85" s="35">
        <f t="shared" ca="1" si="46"/>
        <v>0.5409281215686963</v>
      </c>
      <c r="AT85" s="3">
        <f t="shared" si="69"/>
        <v>1</v>
      </c>
      <c r="AU85" s="3">
        <f t="shared" si="47"/>
        <v>30</v>
      </c>
      <c r="AW85" s="32">
        <f t="shared" ca="1" si="70"/>
        <v>151254.74678591912</v>
      </c>
      <c r="AX85" s="32">
        <f t="shared" si="71"/>
        <v>144102.31100115262</v>
      </c>
      <c r="AY85" s="32">
        <f t="shared" ca="1" si="72"/>
        <v>7152.4357847665142</v>
      </c>
      <c r="BA85" s="32">
        <f ca="1">IF($A86="","",F85*Summary!$Q$7)</f>
        <v>0</v>
      </c>
      <c r="BC85" s="256">
        <f t="shared" ca="1" si="73"/>
        <v>77948.99240356157</v>
      </c>
    </row>
    <row r="86" spans="1:55">
      <c r="A86" s="67">
        <f t="shared" si="48"/>
        <v>39356</v>
      </c>
      <c r="B86" s="69">
        <f t="shared" si="74"/>
        <v>40000</v>
      </c>
      <c r="C86" s="71"/>
      <c r="D86" s="69">
        <f t="shared" si="75"/>
        <v>40000</v>
      </c>
      <c r="E86" s="70">
        <f t="shared" si="38"/>
        <v>1240000</v>
      </c>
      <c r="F86" s="70">
        <f t="shared" ca="1" si="39"/>
        <v>665396.4151834487</v>
      </c>
      <c r="G86" s="63">
        <f t="shared" si="49"/>
        <v>4.2460000000000004</v>
      </c>
      <c r="H86" s="64">
        <f t="shared" si="50"/>
        <v>4.2460000000000004</v>
      </c>
      <c r="I86" s="43"/>
      <c r="J86" s="63">
        <f t="shared" si="51"/>
        <v>0.21</v>
      </c>
      <c r="K86" s="64">
        <f t="shared" si="52"/>
        <v>0.21</v>
      </c>
      <c r="L86" s="63">
        <f t="shared" si="53"/>
        <v>0</v>
      </c>
      <c r="M86" s="64">
        <f t="shared" si="54"/>
        <v>0</v>
      </c>
      <c r="N86" s="65"/>
      <c r="O86" s="63">
        <f t="shared" si="55"/>
        <v>4.4560000000000004</v>
      </c>
      <c r="P86" s="63">
        <f t="shared" si="56"/>
        <v>4.4560000000000004</v>
      </c>
      <c r="Q86" s="66"/>
      <c r="R86" s="63">
        <f t="shared" si="57"/>
        <v>-0.12</v>
      </c>
      <c r="S86" s="64">
        <f t="shared" si="58"/>
        <v>-0.12</v>
      </c>
      <c r="T86" s="63">
        <f t="shared" si="59"/>
        <v>-0.01</v>
      </c>
      <c r="U86" s="64">
        <f t="shared" si="60"/>
        <v>-0.01</v>
      </c>
      <c r="V86" s="207">
        <f>IF($A87="","",IF(AND(MONTH(A86)&gt;3,MONTH(A86)&lt;11),(T86+R86+G86)*Summary!$T$7/(1-Summary!$T$7),(T86+R86+G86)*Summary!$U$7/(1-Summary!$U$7)))</f>
        <v>0.19891770625851771</v>
      </c>
      <c r="W86" s="63">
        <f t="shared" si="61"/>
        <v>4.3149177062585187</v>
      </c>
      <c r="X86" s="63">
        <f t="shared" si="62"/>
        <v>4.3149177062585187</v>
      </c>
      <c r="Y86" s="43"/>
      <c r="Z86" s="38">
        <f t="shared" si="63"/>
        <v>0.65</v>
      </c>
      <c r="AA86" s="38">
        <f t="shared" si="63"/>
        <v>0.224</v>
      </c>
      <c r="AB86" s="38">
        <f t="shared" ca="1" si="40"/>
        <v>0.23023500403184802</v>
      </c>
      <c r="AC86" s="38">
        <f t="shared" si="63"/>
        <v>0.55000000000000004</v>
      </c>
      <c r="AD86" s="38">
        <f t="shared" si="41"/>
        <v>0.218</v>
      </c>
      <c r="AE86" s="38">
        <f t="shared" ca="1" si="42"/>
        <v>0.22261342192760433</v>
      </c>
      <c r="AF86" s="238">
        <f ca="1">((Summary!$N$7*(AA86*AD86)*(A86-$D$3))+(Summary!$M$7*Z86*AC86*(DAY(EOMONTH(A86,0))/2)))/(AK86*AB86*AE86)</f>
        <v>0.99947104844367507</v>
      </c>
      <c r="AG86" s="88">
        <f>IF($A87="","",Summary!$Q$7)</f>
        <v>0</v>
      </c>
      <c r="AH86" s="88">
        <f>IF($A87="","",IF(Summary!$R$7="Y",(VLOOKUP($A86,Summary!$AD$6:$AF$9,3)+'Escalating commodity'!C99),'Escalating commodity'!C99))</f>
        <v>2.2495200000000003E-2</v>
      </c>
      <c r="AI86" s="88">
        <f t="shared" si="64"/>
        <v>2.2495200000000003E-2</v>
      </c>
      <c r="AJ86" s="236">
        <f t="shared" si="43"/>
        <v>39370.5</v>
      </c>
      <c r="AK86" s="58">
        <f t="shared" ca="1" si="65"/>
        <v>2330</v>
      </c>
      <c r="AL86" s="26">
        <f ca="1">IF($A87="","",_xll.SPRDOPT(P86,X86,AI86,0,AB86,AE86,AF86,AK86,$AJ$2,0))</f>
        <v>0.13112692743467891</v>
      </c>
      <c r="AM86" s="209">
        <f t="shared" si="44"/>
        <v>0.11858709374148173</v>
      </c>
      <c r="AN86" s="89">
        <f t="shared" ca="1" si="66"/>
        <v>1.253983369319718E-2</v>
      </c>
      <c r="AO86" s="3">
        <f t="shared" si="67"/>
        <v>31</v>
      </c>
      <c r="AP86" s="33">
        <f t="shared" si="68"/>
        <v>39356</v>
      </c>
      <c r="AQ86" s="58">
        <f t="shared" ca="1" si="45"/>
        <v>2330</v>
      </c>
      <c r="AR86" s="38">
        <f>IF(Summary!$H$2=1,VLOOKUP('ANR OK vs ML7'!A86,Curves!$C$17:$AR$273,MATCH('ANR OK vs ML7'!$AR$4,Curves!$C$8:$AQ$8,0)),0.1)</f>
        <v>0.1</v>
      </c>
      <c r="AS86" s="35">
        <f t="shared" ca="1" si="46"/>
        <v>0.53661001224471672</v>
      </c>
      <c r="AT86" s="3">
        <f t="shared" si="69"/>
        <v>1</v>
      </c>
      <c r="AU86" s="3">
        <f t="shared" si="47"/>
        <v>31</v>
      </c>
      <c r="AW86" s="32">
        <f t="shared" ca="1" si="70"/>
        <v>162597.39001900185</v>
      </c>
      <c r="AX86" s="32">
        <f t="shared" si="71"/>
        <v>147047.99623943734</v>
      </c>
      <c r="AY86" s="32">
        <f t="shared" ca="1" si="72"/>
        <v>15549.393779564503</v>
      </c>
      <c r="BA86" s="32">
        <f ca="1">IF($A87="","",F86*Summary!$Q$7)</f>
        <v>0</v>
      </c>
      <c r="BC86" s="256">
        <f t="shared" ca="1" si="73"/>
        <v>78907.427062605522</v>
      </c>
    </row>
    <row r="87" spans="1:55">
      <c r="A87" s="67">
        <f t="shared" si="48"/>
        <v>39387</v>
      </c>
      <c r="B87" s="69">
        <f t="shared" si="74"/>
        <v>40000</v>
      </c>
      <c r="C87" s="71"/>
      <c r="D87" s="69">
        <f t="shared" si="75"/>
        <v>40000</v>
      </c>
      <c r="E87" s="70">
        <f t="shared" si="38"/>
        <v>1200000</v>
      </c>
      <c r="F87" s="70">
        <f t="shared" ca="1" si="39"/>
        <v>638621.01109277189</v>
      </c>
      <c r="G87" s="63">
        <f t="shared" si="49"/>
        <v>4.3790000000000004</v>
      </c>
      <c r="H87" s="64">
        <f t="shared" si="50"/>
        <v>4.3790000000000004</v>
      </c>
      <c r="I87" s="43"/>
      <c r="J87" s="63">
        <f t="shared" si="51"/>
        <v>0.32500000000000001</v>
      </c>
      <c r="K87" s="64">
        <f t="shared" si="52"/>
        <v>0.32500000000000001</v>
      </c>
      <c r="L87" s="63">
        <f t="shared" si="53"/>
        <v>0</v>
      </c>
      <c r="M87" s="64">
        <f t="shared" si="54"/>
        <v>0</v>
      </c>
      <c r="N87" s="65"/>
      <c r="O87" s="63">
        <f t="shared" si="55"/>
        <v>4.7040000000000006</v>
      </c>
      <c r="P87" s="63">
        <f t="shared" si="56"/>
        <v>4.7040000000000006</v>
      </c>
      <c r="Q87" s="66"/>
      <c r="R87" s="63">
        <f t="shared" si="57"/>
        <v>-0.1225</v>
      </c>
      <c r="S87" s="64">
        <f t="shared" si="58"/>
        <v>-0.1225</v>
      </c>
      <c r="T87" s="63">
        <f t="shared" si="59"/>
        <v>0.01</v>
      </c>
      <c r="U87" s="64">
        <f t="shared" si="60"/>
        <v>0.01</v>
      </c>
      <c r="V87" s="207">
        <f>IF($A88="","",IF(AND(MONTH(A87)&gt;3,MONTH(A87)&lt;11),(T87+R87+G87)*Summary!$T$7/(1-Summary!$T$7),(T87+R87+G87)*Summary!$U$7/(1-Summary!$U$7)))</f>
        <v>0.20619105776286828</v>
      </c>
      <c r="W87" s="63">
        <f t="shared" si="61"/>
        <v>4.4726910577628693</v>
      </c>
      <c r="X87" s="63">
        <f t="shared" si="62"/>
        <v>4.4726910577628693</v>
      </c>
      <c r="Y87" s="43"/>
      <c r="Z87" s="38">
        <f t="shared" si="63"/>
        <v>0.8</v>
      </c>
      <c r="AA87" s="38">
        <f t="shared" si="63"/>
        <v>0.224</v>
      </c>
      <c r="AB87" s="38">
        <f t="shared" ca="1" si="40"/>
        <v>0.23294489844047916</v>
      </c>
      <c r="AC87" s="38">
        <f t="shared" si="63"/>
        <v>0.8</v>
      </c>
      <c r="AD87" s="38">
        <f t="shared" si="41"/>
        <v>0.218</v>
      </c>
      <c r="AE87" s="38">
        <f t="shared" ca="1" si="42"/>
        <v>0.22717878962743462</v>
      </c>
      <c r="AF87" s="238">
        <f ca="1">((Summary!$N$7*(AA87*AD87)*(A87-$D$3))+(Summary!$M$7*Z87*AC87*(DAY(EOMONTH(A87,0))/2)))/(AK87*AB87*AE87)</f>
        <v>0.99988154062454837</v>
      </c>
      <c r="AG87" s="88">
        <f>IF($A88="","",Summary!$Q$7)</f>
        <v>0</v>
      </c>
      <c r="AH87" s="88">
        <f>IF($A88="","",IF(Summary!$R$7="Y",(VLOOKUP($A87,Summary!$AD$6:$AF$9,3)+'Escalating commodity'!C100),'Escalating commodity'!C100))</f>
        <v>2.2495200000000003E-2</v>
      </c>
      <c r="AI87" s="88">
        <f t="shared" si="64"/>
        <v>2.2495200000000003E-2</v>
      </c>
      <c r="AJ87" s="236">
        <f t="shared" si="43"/>
        <v>39401</v>
      </c>
      <c r="AK87" s="58">
        <f t="shared" ca="1" si="65"/>
        <v>2361</v>
      </c>
      <c r="AL87" s="26">
        <f ca="1">IF($A88="","",_xll.SPRDOPT(P87,X87,AI87,0,AB87,AE87,AF87,AK87,$AJ$2,0))</f>
        <v>0.20976942569462975</v>
      </c>
      <c r="AM87" s="209">
        <f t="shared" si="44"/>
        <v>0.20881374223713128</v>
      </c>
      <c r="AN87" s="89">
        <f t="shared" ca="1" si="66"/>
        <v>9.556834574984685E-4</v>
      </c>
      <c r="AO87" s="3">
        <f t="shared" si="67"/>
        <v>30</v>
      </c>
      <c r="AP87" s="33">
        <f t="shared" si="68"/>
        <v>39387</v>
      </c>
      <c r="AQ87" s="58">
        <f t="shared" ca="1" si="45"/>
        <v>2361</v>
      </c>
      <c r="AR87" s="38">
        <f>IF(Summary!$H$2=1,VLOOKUP('ANR OK vs ML7'!A87,Curves!$C$17:$AR$273,MATCH('ANR OK vs ML7'!$AR$4,Curves!$C$8:$AQ$8,0)),0.1)</f>
        <v>0.1</v>
      </c>
      <c r="AS87" s="35">
        <f t="shared" ca="1" si="46"/>
        <v>0.53218417591064326</v>
      </c>
      <c r="AT87" s="3">
        <f t="shared" si="69"/>
        <v>1</v>
      </c>
      <c r="AU87" s="3">
        <f t="shared" si="47"/>
        <v>30</v>
      </c>
      <c r="AW87" s="32">
        <f t="shared" ca="1" si="70"/>
        <v>251723.3108335557</v>
      </c>
      <c r="AX87" s="32">
        <f t="shared" si="71"/>
        <v>250576.49068455753</v>
      </c>
      <c r="AY87" s="32">
        <f t="shared" ca="1" si="72"/>
        <v>1146.8201489981623</v>
      </c>
      <c r="BA87" s="32">
        <f ca="1">IF($A88="","",F87*Summary!$Q$7)</f>
        <v>0</v>
      </c>
      <c r="BC87" s="256">
        <f t="shared" ca="1" si="73"/>
        <v>133352.84319754221</v>
      </c>
    </row>
    <row r="88" spans="1:55">
      <c r="A88" s="67">
        <f t="shared" si="48"/>
        <v>39417</v>
      </c>
      <c r="B88" s="69">
        <f t="shared" si="74"/>
        <v>40000</v>
      </c>
      <c r="C88" s="71"/>
      <c r="D88" s="69">
        <f t="shared" si="75"/>
        <v>40000</v>
      </c>
      <c r="E88" s="70">
        <f t="shared" si="38"/>
        <v>1240000</v>
      </c>
      <c r="F88" s="70">
        <f t="shared" ca="1" si="39"/>
        <v>654640.4757833035</v>
      </c>
      <c r="G88" s="63">
        <f t="shared" si="49"/>
        <v>4.5170000000000003</v>
      </c>
      <c r="H88" s="64">
        <f t="shared" si="50"/>
        <v>4.5170000000000003</v>
      </c>
      <c r="I88" s="43"/>
      <c r="J88" s="63">
        <f t="shared" si="51"/>
        <v>0.32500000000000001</v>
      </c>
      <c r="K88" s="64">
        <f t="shared" si="52"/>
        <v>0.32500000000000001</v>
      </c>
      <c r="L88" s="63">
        <f t="shared" si="53"/>
        <v>0</v>
      </c>
      <c r="M88" s="64">
        <f t="shared" si="54"/>
        <v>0</v>
      </c>
      <c r="N88" s="65"/>
      <c r="O88" s="63">
        <f t="shared" si="55"/>
        <v>4.8420000000000005</v>
      </c>
      <c r="P88" s="63">
        <f t="shared" si="56"/>
        <v>4.8420000000000005</v>
      </c>
      <c r="Q88" s="66"/>
      <c r="R88" s="63">
        <f t="shared" si="57"/>
        <v>-0.11749999999999999</v>
      </c>
      <c r="S88" s="64">
        <f t="shared" si="58"/>
        <v>-0.11749999999999999</v>
      </c>
      <c r="T88" s="63">
        <f t="shared" si="59"/>
        <v>0.01</v>
      </c>
      <c r="U88" s="64">
        <f t="shared" si="60"/>
        <v>0.01</v>
      </c>
      <c r="V88" s="207">
        <f>IF($A89="","",IF(AND(MONTH(A88)&gt;3,MONTH(A88)&lt;11),(T88+R88+G88)*Summary!$T$7/(1-Summary!$T$7),(T88+R88+G88)*Summary!$U$7/(1-Summary!$U$7)))</f>
        <v>0.21310194988992562</v>
      </c>
      <c r="W88" s="63">
        <f t="shared" si="61"/>
        <v>4.6226019498899262</v>
      </c>
      <c r="X88" s="63">
        <f t="shared" si="62"/>
        <v>4.6226019498899262</v>
      </c>
      <c r="Y88" s="43"/>
      <c r="Z88" s="38">
        <f t="shared" si="63"/>
        <v>1.1000000000000001</v>
      </c>
      <c r="AA88" s="38">
        <f t="shared" si="63"/>
        <v>0.224</v>
      </c>
      <c r="AB88" s="38">
        <f t="shared" ca="1" si="40"/>
        <v>0.24091696430270976</v>
      </c>
      <c r="AC88" s="38">
        <f t="shared" si="63"/>
        <v>1</v>
      </c>
      <c r="AD88" s="38">
        <f t="shared" si="41"/>
        <v>0.218</v>
      </c>
      <c r="AE88" s="38">
        <f t="shared" ca="1" si="42"/>
        <v>0.23243605453528446</v>
      </c>
      <c r="AF88" s="238">
        <f ca="1">((Summary!$N$7*(AA88*AD88)*(A88-$D$3))+(Summary!$M$7*Z88*AC88*(DAY(EOMONTH(A88,0))/2)))/(AK88*AB88*AE88)</f>
        <v>0.99965457436789185</v>
      </c>
      <c r="AG88" s="88">
        <f>IF($A89="","",Summary!$Q$7)</f>
        <v>0</v>
      </c>
      <c r="AH88" s="88">
        <f>IF($A89="","",IF(Summary!$R$7="Y",(VLOOKUP($A88,Summary!$AD$6:$AF$9,3)+'Escalating commodity'!C101),'Escalating commodity'!C101))</f>
        <v>2.2495200000000003E-2</v>
      </c>
      <c r="AI88" s="88">
        <f t="shared" si="64"/>
        <v>2.2495200000000003E-2</v>
      </c>
      <c r="AJ88" s="236">
        <f t="shared" si="43"/>
        <v>39431.5</v>
      </c>
      <c r="AK88" s="58">
        <f t="shared" ca="1" si="65"/>
        <v>2391</v>
      </c>
      <c r="AL88" s="26">
        <f ca="1">IF($A89="","",_xll.SPRDOPT(P88,X88,AI88,0,AB88,AE88,AF88,AK88,$AJ$2,0))</f>
        <v>0.20283208568198888</v>
      </c>
      <c r="AM88" s="209">
        <f t="shared" si="44"/>
        <v>0.1969028501100743</v>
      </c>
      <c r="AN88" s="89">
        <f t="shared" ca="1" si="66"/>
        <v>5.9292355719145762E-3</v>
      </c>
      <c r="AO88" s="3">
        <f t="shared" si="67"/>
        <v>31</v>
      </c>
      <c r="AP88" s="33">
        <f t="shared" si="68"/>
        <v>39417</v>
      </c>
      <c r="AQ88" s="58">
        <f t="shared" ca="1" si="45"/>
        <v>2391</v>
      </c>
      <c r="AR88" s="38">
        <f>IF(Summary!$H$2=1,VLOOKUP('ANR OK vs ML7'!A88,Curves!$C$17:$AR$273,MATCH('ANR OK vs ML7'!$AR$4,Curves!$C$8:$AQ$8,0)),0.1)</f>
        <v>0.1</v>
      </c>
      <c r="AS88" s="35">
        <f t="shared" ca="1" si="46"/>
        <v>0.52793586756718025</v>
      </c>
      <c r="AT88" s="3">
        <f t="shared" si="69"/>
        <v>1</v>
      </c>
      <c r="AU88" s="3">
        <f t="shared" si="47"/>
        <v>31</v>
      </c>
      <c r="AW88" s="32">
        <f t="shared" ca="1" si="70"/>
        <v>251511.78624566621</v>
      </c>
      <c r="AX88" s="32">
        <f t="shared" si="71"/>
        <v>244159.53413649215</v>
      </c>
      <c r="AY88" s="32">
        <f t="shared" ca="1" si="72"/>
        <v>7352.2521091740746</v>
      </c>
      <c r="BA88" s="32">
        <f ca="1">IF($A89="","",F88*Summary!$Q$7)</f>
        <v>0</v>
      </c>
      <c r="BC88" s="256">
        <f t="shared" ca="1" si="73"/>
        <v>128900.57547914753</v>
      </c>
    </row>
    <row r="89" spans="1:55">
      <c r="A89" s="67">
        <f t="shared" si="48"/>
        <v>39448</v>
      </c>
      <c r="B89" s="69">
        <f t="shared" si="74"/>
        <v>40000</v>
      </c>
      <c r="C89" s="71"/>
      <c r="D89" s="69">
        <f t="shared" si="75"/>
        <v>40000</v>
      </c>
      <c r="E89" s="70">
        <f t="shared" si="38"/>
        <v>1240000</v>
      </c>
      <c r="F89" s="70">
        <f t="shared" ca="1" si="39"/>
        <v>649241.15125084284</v>
      </c>
      <c r="G89" s="63">
        <f t="shared" si="49"/>
        <v>4.5339999999999998</v>
      </c>
      <c r="H89" s="64">
        <f t="shared" si="50"/>
        <v>4.5339999999999998</v>
      </c>
      <c r="I89" s="43"/>
      <c r="J89" s="63">
        <f t="shared" si="51"/>
        <v>0.32500000000000001</v>
      </c>
      <c r="K89" s="64">
        <f t="shared" si="52"/>
        <v>0.32500000000000001</v>
      </c>
      <c r="L89" s="63">
        <f t="shared" si="53"/>
        <v>0</v>
      </c>
      <c r="M89" s="64">
        <f t="shared" si="54"/>
        <v>0</v>
      </c>
      <c r="N89" s="65"/>
      <c r="O89" s="63">
        <f t="shared" si="55"/>
        <v>4.859</v>
      </c>
      <c r="P89" s="63">
        <f t="shared" si="56"/>
        <v>4.859</v>
      </c>
      <c r="Q89" s="66"/>
      <c r="R89" s="63">
        <f t="shared" si="57"/>
        <v>-0.11749999999999999</v>
      </c>
      <c r="S89" s="64">
        <f t="shared" si="58"/>
        <v>-0.11749999999999999</v>
      </c>
      <c r="T89" s="63">
        <f t="shared" si="59"/>
        <v>0.01</v>
      </c>
      <c r="U89" s="64">
        <f t="shared" si="60"/>
        <v>0.01</v>
      </c>
      <c r="V89" s="207">
        <f>IF($A90="","",IF(AND(MONTH(A89)&gt;3,MONTH(A89)&lt;11),(T89+R89+G89)*Summary!$T$7/(1-Summary!$T$7),(T89+R89+G89)*Summary!$U$7/(1-Summary!$U$7)))</f>
        <v>0.21392352447845689</v>
      </c>
      <c r="W89" s="63">
        <f t="shared" si="61"/>
        <v>4.6404235244784564</v>
      </c>
      <c r="X89" s="63">
        <f t="shared" si="62"/>
        <v>4.6404235244784564</v>
      </c>
      <c r="Y89" s="43"/>
      <c r="Z89" s="38">
        <f t="shared" si="63"/>
        <v>1.1000000000000001</v>
      </c>
      <c r="AA89" s="38">
        <f t="shared" si="63"/>
        <v>0.224</v>
      </c>
      <c r="AB89" s="38">
        <f t="shared" ca="1" si="40"/>
        <v>0.24070794979250545</v>
      </c>
      <c r="AC89" s="38">
        <f t="shared" si="63"/>
        <v>1</v>
      </c>
      <c r="AD89" s="38">
        <f t="shared" si="41"/>
        <v>0.218</v>
      </c>
      <c r="AE89" s="38">
        <f t="shared" ca="1" si="42"/>
        <v>0.23225695144523129</v>
      </c>
      <c r="AF89" s="238">
        <f ca="1">((Summary!$N$7*(AA89*AD89)*(A89-$D$3))+(Summary!$M$7*Z89*AC89*(DAY(EOMONTH(A89,0))/2)))/(AK89*AB89*AE89)</f>
        <v>0.99965690127107498</v>
      </c>
      <c r="AG89" s="88">
        <f>IF($A90="","",Summary!$Q$7)</f>
        <v>0</v>
      </c>
      <c r="AH89" s="88">
        <f>IF($A90="","",IF(Summary!$R$7="Y",(VLOOKUP($A89,Summary!$AD$6:$AF$9,3)+'Escalating commodity'!C102),'Escalating commodity'!C102))</f>
        <v>2.2495200000000003E-2</v>
      </c>
      <c r="AI89" s="88">
        <f t="shared" si="64"/>
        <v>2.2495200000000003E-2</v>
      </c>
      <c r="AJ89" s="236">
        <f t="shared" si="43"/>
        <v>39462.5</v>
      </c>
      <c r="AK89" s="58">
        <f t="shared" ca="1" si="65"/>
        <v>2422</v>
      </c>
      <c r="AL89" s="26">
        <f ca="1">IF($A90="","",_xll.SPRDOPT(P89,X89,AI89,0,AB89,AE89,AF89,AK89,$AJ$2,0))</f>
        <v>0.2022077182055847</v>
      </c>
      <c r="AM89" s="209">
        <f t="shared" si="44"/>
        <v>0.19608127552154359</v>
      </c>
      <c r="AN89" s="89">
        <f t="shared" ca="1" si="66"/>
        <v>6.1264426840411113E-3</v>
      </c>
      <c r="AO89" s="3">
        <f t="shared" si="67"/>
        <v>31</v>
      </c>
      <c r="AP89" s="33">
        <f t="shared" si="68"/>
        <v>39448</v>
      </c>
      <c r="AQ89" s="58">
        <f t="shared" ca="1" si="45"/>
        <v>2422</v>
      </c>
      <c r="AR89" s="38">
        <f>IF(Summary!$H$2=1,VLOOKUP('ANR OK vs ML7'!A89,Curves!$C$17:$AR$273,MATCH('ANR OK vs ML7'!$AR$4,Curves!$C$8:$AQ$8,0)),0.1)</f>
        <v>0.1</v>
      </c>
      <c r="AS89" s="35">
        <f t="shared" ca="1" si="46"/>
        <v>0.52358157358938939</v>
      </c>
      <c r="AT89" s="3">
        <f t="shared" si="69"/>
        <v>1</v>
      </c>
      <c r="AU89" s="3">
        <f t="shared" si="47"/>
        <v>31</v>
      </c>
      <c r="AW89" s="32">
        <f t="shared" ca="1" si="70"/>
        <v>250737.57057492502</v>
      </c>
      <c r="AX89" s="32">
        <f t="shared" si="71"/>
        <v>243140.78164671405</v>
      </c>
      <c r="AY89" s="32">
        <f t="shared" ca="1" si="72"/>
        <v>7596.7889282109782</v>
      </c>
      <c r="BA89" s="32">
        <f ca="1">IF($A90="","",F89*Summary!$Q$7)</f>
        <v>0</v>
      </c>
      <c r="BC89" s="256">
        <f t="shared" ca="1" si="73"/>
        <v>127304.03305834066</v>
      </c>
    </row>
    <row r="90" spans="1:55">
      <c r="A90" s="67">
        <f t="shared" si="48"/>
        <v>39479</v>
      </c>
      <c r="B90" s="69">
        <f t="shared" si="74"/>
        <v>40000</v>
      </c>
      <c r="C90" s="71"/>
      <c r="D90" s="69">
        <f t="shared" si="75"/>
        <v>40000</v>
      </c>
      <c r="E90" s="70">
        <f t="shared" si="38"/>
        <v>1160000</v>
      </c>
      <c r="F90" s="70">
        <f t="shared" ca="1" si="39"/>
        <v>602345.30368264881</v>
      </c>
      <c r="G90" s="63">
        <f t="shared" si="49"/>
        <v>4.4140000000000006</v>
      </c>
      <c r="H90" s="64">
        <f t="shared" si="50"/>
        <v>4.4140000000000006</v>
      </c>
      <c r="I90" s="43"/>
      <c r="J90" s="63">
        <f t="shared" si="51"/>
        <v>0.32500000000000001</v>
      </c>
      <c r="K90" s="64">
        <f t="shared" si="52"/>
        <v>0.32500000000000001</v>
      </c>
      <c r="L90" s="63">
        <f t="shared" si="53"/>
        <v>0</v>
      </c>
      <c r="M90" s="64">
        <f t="shared" si="54"/>
        <v>0</v>
      </c>
      <c r="N90" s="65"/>
      <c r="O90" s="63">
        <f t="shared" si="55"/>
        <v>4.7390000000000008</v>
      </c>
      <c r="P90" s="63">
        <f t="shared" si="56"/>
        <v>4.7390000000000008</v>
      </c>
      <c r="Q90" s="66"/>
      <c r="R90" s="63">
        <f t="shared" si="57"/>
        <v>-0.12</v>
      </c>
      <c r="S90" s="64">
        <f t="shared" si="58"/>
        <v>-0.12</v>
      </c>
      <c r="T90" s="63">
        <f t="shared" si="59"/>
        <v>0.01</v>
      </c>
      <c r="U90" s="64">
        <f t="shared" si="60"/>
        <v>0.01</v>
      </c>
      <c r="V90" s="207">
        <f>IF($A91="","",IF(AND(MONTH(A90)&gt;3,MONTH(A90)&lt;11),(T90+R90+G90)*Summary!$T$7/(1-Summary!$T$7),(T90+R90+G90)*Summary!$U$7/(1-Summary!$U$7)))</f>
        <v>0.20800335464933434</v>
      </c>
      <c r="W90" s="63">
        <f t="shared" si="61"/>
        <v>4.5120033546493348</v>
      </c>
      <c r="X90" s="63">
        <f t="shared" si="62"/>
        <v>4.5120033546493348</v>
      </c>
      <c r="Y90" s="43"/>
      <c r="Z90" s="38">
        <f t="shared" si="63"/>
        <v>1.1000000000000001</v>
      </c>
      <c r="AA90" s="38">
        <f t="shared" si="63"/>
        <v>0.224</v>
      </c>
      <c r="AB90" s="38">
        <f t="shared" ca="1" si="40"/>
        <v>0.23947634814492985</v>
      </c>
      <c r="AC90" s="38">
        <f t="shared" si="63"/>
        <v>1</v>
      </c>
      <c r="AD90" s="38">
        <f t="shared" si="41"/>
        <v>0.218</v>
      </c>
      <c r="AE90" s="38">
        <f t="shared" ca="1" si="42"/>
        <v>0.23120229898831163</v>
      </c>
      <c r="AF90" s="238">
        <f ca="1">((Summary!$N$7*(AA90*AD90)*(A90-$D$3))+(Summary!$M$7*Z90*AC90*(DAY(EOMONTH(A90,0))/2)))/(AK90*AB90*AE90)</f>
        <v>0.99967095794598582</v>
      </c>
      <c r="AG90" s="88">
        <f>IF($A91="","",Summary!$Q$7)</f>
        <v>0</v>
      </c>
      <c r="AH90" s="88">
        <f>IF($A91="","",IF(Summary!$R$7="Y",(VLOOKUP($A90,Summary!$AD$6:$AF$9,3)+'Escalating commodity'!C103),'Escalating commodity'!C103))</f>
        <v>2.2495200000000003E-2</v>
      </c>
      <c r="AI90" s="88">
        <f t="shared" si="64"/>
        <v>2.2495200000000003E-2</v>
      </c>
      <c r="AJ90" s="236">
        <f t="shared" si="43"/>
        <v>39492.5</v>
      </c>
      <c r="AK90" s="58">
        <f t="shared" ca="1" si="65"/>
        <v>2453</v>
      </c>
      <c r="AL90" s="26">
        <f ca="1">IF($A91="","",_xll.SPRDOPT(P90,X90,AI90,0,AB90,AE90,AF90,AK90,$AJ$2,0))</f>
        <v>0.20929032791457222</v>
      </c>
      <c r="AM90" s="209">
        <f t="shared" si="44"/>
        <v>0.204501445350666</v>
      </c>
      <c r="AN90" s="89">
        <f t="shared" ca="1" si="66"/>
        <v>4.7888825639062216E-3</v>
      </c>
      <c r="AO90" s="3">
        <f t="shared" si="67"/>
        <v>29</v>
      </c>
      <c r="AP90" s="33">
        <f t="shared" si="68"/>
        <v>39479</v>
      </c>
      <c r="AQ90" s="58">
        <f t="shared" ca="1" si="45"/>
        <v>2453</v>
      </c>
      <c r="AR90" s="38">
        <f>IF(Summary!$H$2=1,VLOOKUP('ANR OK vs ML7'!A90,Curves!$C$17:$AR$273,MATCH('ANR OK vs ML7'!$AR$4,Curves!$C$8:$AQ$8,0)),0.1)</f>
        <v>0.1</v>
      </c>
      <c r="AS90" s="35">
        <f t="shared" ca="1" si="46"/>
        <v>0.51926319282986966</v>
      </c>
      <c r="AT90" s="3">
        <f t="shared" si="69"/>
        <v>1</v>
      </c>
      <c r="AU90" s="3">
        <f t="shared" si="47"/>
        <v>29</v>
      </c>
      <c r="AW90" s="32">
        <f t="shared" ca="1" si="70"/>
        <v>242776.78038090377</v>
      </c>
      <c r="AX90" s="32">
        <f t="shared" si="71"/>
        <v>237221.67660677255</v>
      </c>
      <c r="AY90" s="32">
        <f t="shared" ca="1" si="72"/>
        <v>5555.1037741312166</v>
      </c>
      <c r="BA90" s="32">
        <f ca="1">IF($A91="","",F90*Summary!$Q$7)</f>
        <v>0</v>
      </c>
      <c r="BC90" s="256">
        <f t="shared" ca="1" si="73"/>
        <v>123180.48520328752</v>
      </c>
    </row>
    <row r="91" spans="1:55">
      <c r="A91" s="67">
        <f t="shared" si="48"/>
        <v>39508</v>
      </c>
      <c r="B91" s="69">
        <f t="shared" si="74"/>
        <v>40000</v>
      </c>
      <c r="C91" s="71"/>
      <c r="D91" s="69">
        <f t="shared" si="75"/>
        <v>40000</v>
      </c>
      <c r="E91" s="70">
        <f t="shared" si="38"/>
        <v>1240000</v>
      </c>
      <c r="F91" s="70">
        <f t="shared" ca="1" si="39"/>
        <v>638917.02750632202</v>
      </c>
      <c r="G91" s="63">
        <f t="shared" si="49"/>
        <v>4.2750000000000004</v>
      </c>
      <c r="H91" s="64">
        <f t="shared" si="50"/>
        <v>4.2750000000000004</v>
      </c>
      <c r="I91" s="43"/>
      <c r="J91" s="63">
        <f t="shared" si="51"/>
        <v>0.32500000000000001</v>
      </c>
      <c r="K91" s="64">
        <f t="shared" si="52"/>
        <v>0.32500000000000001</v>
      </c>
      <c r="L91" s="63">
        <f t="shared" si="53"/>
        <v>0</v>
      </c>
      <c r="M91" s="64">
        <f t="shared" si="54"/>
        <v>0</v>
      </c>
      <c r="N91" s="65"/>
      <c r="O91" s="63">
        <f t="shared" si="55"/>
        <v>4.6000000000000005</v>
      </c>
      <c r="P91" s="63">
        <f t="shared" si="56"/>
        <v>4.6000000000000005</v>
      </c>
      <c r="Q91" s="66"/>
      <c r="R91" s="63">
        <f t="shared" si="57"/>
        <v>-0.1225</v>
      </c>
      <c r="S91" s="64">
        <f t="shared" si="58"/>
        <v>-0.1225</v>
      </c>
      <c r="T91" s="63">
        <f t="shared" si="59"/>
        <v>0.01</v>
      </c>
      <c r="U91" s="64">
        <f t="shared" si="60"/>
        <v>0.01</v>
      </c>
      <c r="V91" s="207">
        <f>IF($A92="","",IF(AND(MONTH(A91)&gt;3,MONTH(A91)&lt;11),(T91+R91+G91)*Summary!$T$7/(1-Summary!$T$7),(T91+R91+G91)*Summary!$U$7/(1-Summary!$U$7)))</f>
        <v>0.20116495439773566</v>
      </c>
      <c r="W91" s="63">
        <f t="shared" si="61"/>
        <v>4.3636649543977359</v>
      </c>
      <c r="X91" s="63">
        <f t="shared" si="62"/>
        <v>4.3636649543977359</v>
      </c>
      <c r="Y91" s="43"/>
      <c r="Z91" s="38">
        <f t="shared" si="63"/>
        <v>0.75</v>
      </c>
      <c r="AA91" s="38">
        <f t="shared" si="63"/>
        <v>0.21100000000000002</v>
      </c>
      <c r="AB91" s="38">
        <f t="shared" ca="1" si="40"/>
        <v>0.21920704745401151</v>
      </c>
      <c r="AC91" s="38">
        <f t="shared" si="63"/>
        <v>0.75</v>
      </c>
      <c r="AD91" s="38">
        <f t="shared" si="41"/>
        <v>0.20499999999999999</v>
      </c>
      <c r="AE91" s="38">
        <f t="shared" ca="1" si="42"/>
        <v>0.21343552659501844</v>
      </c>
      <c r="AF91" s="238">
        <f ca="1">((Summary!$N$7*(AA91*AD91)*(A91-$D$3))+(Summary!$M$7*Z91*AC91*(DAY(EOMONTH(A91,0))/2)))/(AK91*AB91*AE91)</f>
        <v>0.99987861328035321</v>
      </c>
      <c r="AG91" s="88">
        <f>IF($A92="","",Summary!$Q$7)</f>
        <v>0</v>
      </c>
      <c r="AH91" s="88">
        <f>IF($A92="","",IF(Summary!$R$7="Y",(VLOOKUP($A91,Summary!$AD$6:$AF$9,3)+'Escalating commodity'!C104),'Escalating commodity'!C104))</f>
        <v>2.2495200000000003E-2</v>
      </c>
      <c r="AI91" s="88">
        <f t="shared" si="64"/>
        <v>2.2495200000000003E-2</v>
      </c>
      <c r="AJ91" s="236">
        <f t="shared" si="43"/>
        <v>39522.5</v>
      </c>
      <c r="AK91" s="58">
        <f t="shared" ca="1" si="65"/>
        <v>2482</v>
      </c>
      <c r="AL91" s="26">
        <f ca="1">IF($A92="","",_xll.SPRDOPT(P91,X91,AI91,0,AB91,AE91,AF91,AK91,$AJ$2,0))</f>
        <v>0.21460053603492796</v>
      </c>
      <c r="AM91" s="209">
        <f t="shared" si="44"/>
        <v>0.2138398456022646</v>
      </c>
      <c r="AN91" s="89">
        <f t="shared" ca="1" si="66"/>
        <v>7.606904326633579E-4</v>
      </c>
      <c r="AO91" s="3">
        <f t="shared" si="67"/>
        <v>31</v>
      </c>
      <c r="AP91" s="33">
        <f t="shared" si="68"/>
        <v>39508</v>
      </c>
      <c r="AQ91" s="58">
        <f t="shared" ca="1" si="45"/>
        <v>2482</v>
      </c>
      <c r="AR91" s="38">
        <f>IF(Summary!$H$2=1,VLOOKUP('ANR OK vs ML7'!A91,Curves!$C$17:$AR$273,MATCH('ANR OK vs ML7'!$AR$4,Curves!$C$8:$AQ$8,0)),0.1)</f>
        <v>0.1</v>
      </c>
      <c r="AS91" s="35">
        <f t="shared" ca="1" si="46"/>
        <v>0.51525566734380812</v>
      </c>
      <c r="AT91" s="3">
        <f t="shared" si="69"/>
        <v>1</v>
      </c>
      <c r="AU91" s="3">
        <f t="shared" si="47"/>
        <v>31</v>
      </c>
      <c r="AW91" s="32">
        <f t="shared" ca="1" si="70"/>
        <v>266104.66468331066</v>
      </c>
      <c r="AX91" s="32">
        <f t="shared" si="71"/>
        <v>265161.40854680812</v>
      </c>
      <c r="AY91" s="32">
        <f t="shared" ca="1" si="72"/>
        <v>943.25613650256378</v>
      </c>
      <c r="BA91" s="32">
        <f ca="1">IF($A92="","",F91*Summary!$Q$7)</f>
        <v>0</v>
      </c>
      <c r="BC91" s="256">
        <f t="shared" ca="1" si="73"/>
        <v>136625.91851460974</v>
      </c>
    </row>
    <row r="92" spans="1:55">
      <c r="A92" s="67">
        <f t="shared" si="48"/>
        <v>39539</v>
      </c>
      <c r="B92" s="69">
        <f t="shared" si="74"/>
        <v>40000</v>
      </c>
      <c r="C92" s="71"/>
      <c r="D92" s="69">
        <f t="shared" si="75"/>
        <v>40000</v>
      </c>
      <c r="E92" s="70">
        <f t="shared" si="38"/>
        <v>1200000</v>
      </c>
      <c r="F92" s="70">
        <f t="shared" ca="1" si="39"/>
        <v>613207.14809980418</v>
      </c>
      <c r="G92" s="63">
        <f t="shared" si="49"/>
        <v>4.0999999999999996</v>
      </c>
      <c r="H92" s="64">
        <f t="shared" si="50"/>
        <v>4.0999999999999996</v>
      </c>
      <c r="I92" s="43"/>
      <c r="J92" s="63">
        <f t="shared" si="51"/>
        <v>0.21</v>
      </c>
      <c r="K92" s="64">
        <f t="shared" si="52"/>
        <v>0.21</v>
      </c>
      <c r="L92" s="63">
        <f t="shared" si="53"/>
        <v>0</v>
      </c>
      <c r="M92" s="64">
        <f t="shared" si="54"/>
        <v>0</v>
      </c>
      <c r="N92" s="65"/>
      <c r="O92" s="63">
        <f t="shared" si="55"/>
        <v>4.3099999999999996</v>
      </c>
      <c r="P92" s="63">
        <f t="shared" si="56"/>
        <v>4.3099999999999996</v>
      </c>
      <c r="Q92" s="66"/>
      <c r="R92" s="63">
        <f t="shared" si="57"/>
        <v>-0.12</v>
      </c>
      <c r="S92" s="64">
        <f t="shared" si="58"/>
        <v>-0.12</v>
      </c>
      <c r="T92" s="63">
        <f t="shared" si="59"/>
        <v>-0.01</v>
      </c>
      <c r="U92" s="64">
        <f t="shared" si="60"/>
        <v>-0.01</v>
      </c>
      <c r="V92" s="207">
        <f>IF($A93="","",IF(AND(MONTH(A92)&gt;3,MONTH(A92)&lt;11),(T92+R92+G92)*Summary!$T$7/(1-Summary!$T$7),(T92+R92+G92)*Summary!$U$7/(1-Summary!$U$7)))</f>
        <v>0.19186183038054302</v>
      </c>
      <c r="W92" s="63">
        <f t="shared" si="61"/>
        <v>4.161861830380543</v>
      </c>
      <c r="X92" s="63">
        <f t="shared" si="62"/>
        <v>4.161861830380543</v>
      </c>
      <c r="Y92" s="43"/>
      <c r="Z92" s="38">
        <f t="shared" si="63"/>
        <v>0.45</v>
      </c>
      <c r="AA92" s="38">
        <f t="shared" si="63"/>
        <v>0.21100000000000002</v>
      </c>
      <c r="AB92" s="38">
        <f t="shared" ca="1" si="40"/>
        <v>0.21388649082869432</v>
      </c>
      <c r="AC92" s="38">
        <f t="shared" si="63"/>
        <v>0.4</v>
      </c>
      <c r="AD92" s="38">
        <f t="shared" si="41"/>
        <v>0.20499999999999999</v>
      </c>
      <c r="AE92" s="38">
        <f t="shared" ca="1" si="42"/>
        <v>0.20735659349127436</v>
      </c>
      <c r="AF92" s="238">
        <f ca="1">((Summary!$N$7*(AA92*AD92)*(A92-$D$3))+(Summary!$M$7*Z92*AC92*(DAY(EOMONTH(A92,0))/2)))/(AK92*AB92*AE92)</f>
        <v>0.99980889158529174</v>
      </c>
      <c r="AG92" s="88">
        <f>IF($A93="","",Summary!$Q$7)</f>
        <v>0</v>
      </c>
      <c r="AH92" s="88">
        <f>IF($A93="","",IF(Summary!$R$7="Y",(VLOOKUP($A92,Summary!$AD$6:$AF$9,3)+'Escalating commodity'!C105),'Escalating commodity'!C105))</f>
        <v>2.2495200000000003E-2</v>
      </c>
      <c r="AI92" s="88">
        <f t="shared" si="64"/>
        <v>2.2495200000000003E-2</v>
      </c>
      <c r="AJ92" s="236">
        <f t="shared" si="43"/>
        <v>39553</v>
      </c>
      <c r="AK92" s="58">
        <f t="shared" ca="1" si="65"/>
        <v>2513</v>
      </c>
      <c r="AL92" s="26">
        <f ca="1">IF($A93="","",_xll.SPRDOPT(P92,X92,AI92,0,AB92,AE92,AF92,AK92,$AJ$2,0))</f>
        <v>0.1308825868228142</v>
      </c>
      <c r="AM92" s="209">
        <f t="shared" si="44"/>
        <v>0.12564296961945659</v>
      </c>
      <c r="AN92" s="89">
        <f t="shared" ca="1" si="66"/>
        <v>5.2396172033576105E-3</v>
      </c>
      <c r="AO92" s="3">
        <f t="shared" si="67"/>
        <v>30</v>
      </c>
      <c r="AP92" s="33">
        <f t="shared" si="68"/>
        <v>39539</v>
      </c>
      <c r="AQ92" s="58">
        <f t="shared" ca="1" si="45"/>
        <v>2513</v>
      </c>
      <c r="AR92" s="38">
        <f>IF(Summary!$H$2=1,VLOOKUP('ANR OK vs ML7'!A92,Curves!$C$17:$AR$273,MATCH('ANR OK vs ML7'!$AR$4,Curves!$C$8:$AQ$8,0)),0.1)</f>
        <v>0.1</v>
      </c>
      <c r="AS92" s="35">
        <f t="shared" ca="1" si="46"/>
        <v>0.51100595674983684</v>
      </c>
      <c r="AT92" s="3">
        <f t="shared" si="69"/>
        <v>1</v>
      </c>
      <c r="AU92" s="3">
        <f t="shared" si="47"/>
        <v>30</v>
      </c>
      <c r="AW92" s="32">
        <f t="shared" ca="1" si="70"/>
        <v>157059.10418737703</v>
      </c>
      <c r="AX92" s="32">
        <f t="shared" si="71"/>
        <v>150771.5635433479</v>
      </c>
      <c r="AY92" s="32">
        <f t="shared" ca="1" si="72"/>
        <v>6287.5406440291326</v>
      </c>
      <c r="BA92" s="32">
        <f ca="1">IF($A93="","",F92*Summary!$Q$7)</f>
        <v>0</v>
      </c>
      <c r="BC92" s="256">
        <f t="shared" ca="1" si="73"/>
        <v>77045.167079137318</v>
      </c>
    </row>
    <row r="93" spans="1:55">
      <c r="A93" s="67">
        <f t="shared" si="48"/>
        <v>39569</v>
      </c>
      <c r="B93" s="69">
        <f t="shared" si="74"/>
        <v>40000</v>
      </c>
      <c r="C93" s="71"/>
      <c r="D93" s="69">
        <f t="shared" si="75"/>
        <v>40000</v>
      </c>
      <c r="E93" s="70">
        <f t="shared" si="38"/>
        <v>1240000</v>
      </c>
      <c r="F93" s="70">
        <f t="shared" ca="1" si="39"/>
        <v>628589.11970164243</v>
      </c>
      <c r="G93" s="63">
        <f t="shared" si="49"/>
        <v>4.07</v>
      </c>
      <c r="H93" s="64">
        <f t="shared" si="50"/>
        <v>4.07</v>
      </c>
      <c r="I93" s="43"/>
      <c r="J93" s="63">
        <f t="shared" si="51"/>
        <v>0.21</v>
      </c>
      <c r="K93" s="64">
        <f t="shared" si="52"/>
        <v>0.21</v>
      </c>
      <c r="L93" s="63">
        <f t="shared" si="53"/>
        <v>0</v>
      </c>
      <c r="M93" s="64">
        <f t="shared" si="54"/>
        <v>0</v>
      </c>
      <c r="N93" s="65"/>
      <c r="O93" s="63">
        <f t="shared" si="55"/>
        <v>4.28</v>
      </c>
      <c r="P93" s="63">
        <f t="shared" si="56"/>
        <v>4.28</v>
      </c>
      <c r="Q93" s="66"/>
      <c r="R93" s="63">
        <f t="shared" si="57"/>
        <v>-0.12</v>
      </c>
      <c r="S93" s="64">
        <f t="shared" si="58"/>
        <v>-0.12</v>
      </c>
      <c r="T93" s="63">
        <f t="shared" si="59"/>
        <v>-0.01</v>
      </c>
      <c r="U93" s="64">
        <f t="shared" si="60"/>
        <v>-0.01</v>
      </c>
      <c r="V93" s="207">
        <f>IF($A94="","",IF(AND(MONTH(A93)&gt;3,MONTH(A93)&lt;11),(T93+R93+G93)*Summary!$T$7/(1-Summary!$T$7),(T93+R93+G93)*Summary!$U$7/(1-Summary!$U$7)))</f>
        <v>0.1904119928713702</v>
      </c>
      <c r="W93" s="63">
        <f t="shared" si="61"/>
        <v>4.1304119928713705</v>
      </c>
      <c r="X93" s="63">
        <f t="shared" si="62"/>
        <v>4.1304119928713705</v>
      </c>
      <c r="Y93" s="43"/>
      <c r="Z93" s="38">
        <f t="shared" si="63"/>
        <v>0.5</v>
      </c>
      <c r="AA93" s="38">
        <f t="shared" si="63"/>
        <v>0.21100000000000002</v>
      </c>
      <c r="AB93" s="38">
        <f t="shared" ca="1" si="40"/>
        <v>0.21462128988789062</v>
      </c>
      <c r="AC93" s="38">
        <f t="shared" si="63"/>
        <v>0.4</v>
      </c>
      <c r="AD93" s="38">
        <f t="shared" si="41"/>
        <v>0.20499999999999999</v>
      </c>
      <c r="AE93" s="38">
        <f t="shared" ca="1" si="42"/>
        <v>0.2074048019402458</v>
      </c>
      <c r="AF93" s="238">
        <f ca="1">((Summary!$N$7*(AA93*AD93)*(A93-$D$3))+(Summary!$M$7*Z93*AC93*(DAY(EOMONTH(A93,0))/2)))/(AK93*AB93*AE93)</f>
        <v>0.99939858123129333</v>
      </c>
      <c r="AG93" s="88">
        <f>IF($A94="","",Summary!$Q$7)</f>
        <v>0</v>
      </c>
      <c r="AH93" s="88">
        <f>IF($A94="","",IF(Summary!$R$7="Y",(VLOOKUP($A93,Summary!$AD$6:$AF$9,3)+'Escalating commodity'!C106),'Escalating commodity'!C106))</f>
        <v>2.2495200000000003E-2</v>
      </c>
      <c r="AI93" s="88">
        <f t="shared" si="64"/>
        <v>2.2495200000000003E-2</v>
      </c>
      <c r="AJ93" s="236">
        <f t="shared" si="43"/>
        <v>39583.5</v>
      </c>
      <c r="AK93" s="58">
        <f t="shared" ca="1" si="65"/>
        <v>2543</v>
      </c>
      <c r="AL93" s="26">
        <f ca="1">IF($A94="","",_xll.SPRDOPT(P93,X93,AI93,0,AB93,AE93,AF93,AK93,$AJ$2,0))</f>
        <v>0.13738088670348728</v>
      </c>
      <c r="AM93" s="209">
        <f t="shared" si="44"/>
        <v>0.12709280712862975</v>
      </c>
      <c r="AN93" s="89">
        <f t="shared" ca="1" si="66"/>
        <v>1.0288079574857528E-2</v>
      </c>
      <c r="AO93" s="3">
        <f t="shared" si="67"/>
        <v>31</v>
      </c>
      <c r="AP93" s="33">
        <f t="shared" si="68"/>
        <v>39569</v>
      </c>
      <c r="AQ93" s="58">
        <f t="shared" ca="1" si="45"/>
        <v>2543</v>
      </c>
      <c r="AR93" s="38">
        <f>IF(Summary!$H$2=1,VLOOKUP('ANR OK vs ML7'!A93,Curves!$C$17:$AR$273,MATCH('ANR OK vs ML7'!$AR$4,Curves!$C$8:$AQ$8,0)),0.1)</f>
        <v>0.1</v>
      </c>
      <c r="AS93" s="35">
        <f t="shared" ca="1" si="46"/>
        <v>0.5069267094368084</v>
      </c>
      <c r="AT93" s="3">
        <f t="shared" si="69"/>
        <v>1</v>
      </c>
      <c r="AU93" s="3">
        <f t="shared" si="47"/>
        <v>31</v>
      </c>
      <c r="AW93" s="32">
        <f t="shared" ca="1" si="70"/>
        <v>170352.29951232421</v>
      </c>
      <c r="AX93" s="32">
        <f t="shared" si="71"/>
        <v>157595.08083950088</v>
      </c>
      <c r="AY93" s="32">
        <f t="shared" ca="1" si="72"/>
        <v>12757.218672823336</v>
      </c>
      <c r="BA93" s="32">
        <f ca="1">IF($A94="","",F93*Summary!$Q$7)</f>
        <v>0</v>
      </c>
      <c r="BC93" s="256">
        <f t="shared" ca="1" si="73"/>
        <v>79889.155753396</v>
      </c>
    </row>
    <row r="94" spans="1:55">
      <c r="A94" s="67">
        <f t="shared" si="48"/>
        <v>39600</v>
      </c>
      <c r="B94" s="69">
        <f t="shared" si="74"/>
        <v>40000</v>
      </c>
      <c r="C94" s="71"/>
      <c r="D94" s="69">
        <f t="shared" si="75"/>
        <v>40000</v>
      </c>
      <c r="E94" s="70">
        <f t="shared" si="38"/>
        <v>1200000</v>
      </c>
      <c r="F94" s="70">
        <f t="shared" ca="1" si="39"/>
        <v>603294.833013347</v>
      </c>
      <c r="G94" s="63">
        <f t="shared" si="49"/>
        <v>4.1399999999999997</v>
      </c>
      <c r="H94" s="64">
        <f t="shared" si="50"/>
        <v>4.1399999999999997</v>
      </c>
      <c r="I94" s="43"/>
      <c r="J94" s="63">
        <f t="shared" si="51"/>
        <v>0.21</v>
      </c>
      <c r="K94" s="64">
        <f t="shared" si="52"/>
        <v>0.21</v>
      </c>
      <c r="L94" s="63">
        <f t="shared" si="53"/>
        <v>0</v>
      </c>
      <c r="M94" s="64">
        <f t="shared" si="54"/>
        <v>0</v>
      </c>
      <c r="N94" s="65"/>
      <c r="O94" s="63">
        <f t="shared" si="55"/>
        <v>4.3499999999999996</v>
      </c>
      <c r="P94" s="63">
        <f t="shared" si="56"/>
        <v>4.3499999999999996</v>
      </c>
      <c r="Q94" s="66"/>
      <c r="R94" s="63">
        <f t="shared" si="57"/>
        <v>-0.12</v>
      </c>
      <c r="S94" s="64">
        <f t="shared" si="58"/>
        <v>-0.12</v>
      </c>
      <c r="T94" s="63">
        <f t="shared" si="59"/>
        <v>-0.01</v>
      </c>
      <c r="U94" s="64">
        <f t="shared" si="60"/>
        <v>-0.01</v>
      </c>
      <c r="V94" s="207">
        <f>IF($A95="","",IF(AND(MONTH(A94)&gt;3,MONTH(A94)&lt;11),(T94+R94+G94)*Summary!$T$7/(1-Summary!$T$7),(T94+R94+G94)*Summary!$U$7/(1-Summary!$U$7)))</f>
        <v>0.1937949470594402</v>
      </c>
      <c r="W94" s="63">
        <f t="shared" si="61"/>
        <v>4.20379494705944</v>
      </c>
      <c r="X94" s="63">
        <f t="shared" si="62"/>
        <v>4.20379494705944</v>
      </c>
      <c r="Y94" s="43"/>
      <c r="Z94" s="38">
        <f t="shared" si="63"/>
        <v>0.5</v>
      </c>
      <c r="AA94" s="38">
        <f t="shared" si="63"/>
        <v>0.21100000000000002</v>
      </c>
      <c r="AB94" s="38">
        <f t="shared" ca="1" si="40"/>
        <v>0.21446485232474083</v>
      </c>
      <c r="AC94" s="38">
        <f t="shared" si="63"/>
        <v>0.4</v>
      </c>
      <c r="AD94" s="38">
        <f t="shared" si="41"/>
        <v>0.20499999999999999</v>
      </c>
      <c r="AE94" s="38">
        <f t="shared" ca="1" si="42"/>
        <v>0.20730105562014789</v>
      </c>
      <c r="AF94" s="238">
        <f ca="1">((Summary!$N$7*(AA94*AD94)*(A94-$D$3))+(Summary!$M$7*Z94*AC94*(DAY(EOMONTH(A94,0))/2)))/(AK94*AB94*AE94)</f>
        <v>0.99941942390182403</v>
      </c>
      <c r="AG94" s="88">
        <f>IF($A95="","",Summary!$Q$7)</f>
        <v>0</v>
      </c>
      <c r="AH94" s="88">
        <f>IF($A95="","",IF(Summary!$R$7="Y",(VLOOKUP($A94,Summary!$AD$6:$AF$9,3)+'Escalating commodity'!C107),'Escalating commodity'!C107))</f>
        <v>2.2495200000000003E-2</v>
      </c>
      <c r="AI94" s="88">
        <f t="shared" si="64"/>
        <v>2.2495200000000003E-2</v>
      </c>
      <c r="AJ94" s="236">
        <f t="shared" si="43"/>
        <v>39614</v>
      </c>
      <c r="AK94" s="58">
        <f t="shared" ca="1" si="65"/>
        <v>2574</v>
      </c>
      <c r="AL94" s="26">
        <f ca="1">IF($A95="","",_xll.SPRDOPT(P94,X94,AI94,0,AB94,AE94,AF94,AK94,$AJ$2,0))</f>
        <v>0.13477619687054676</v>
      </c>
      <c r="AM94" s="209">
        <f t="shared" si="44"/>
        <v>0.12370985294055963</v>
      </c>
      <c r="AN94" s="89">
        <f t="shared" ca="1" si="66"/>
        <v>1.1066343929987135E-2</v>
      </c>
      <c r="AO94" s="3">
        <f t="shared" si="67"/>
        <v>30</v>
      </c>
      <c r="AP94" s="33">
        <f t="shared" si="68"/>
        <v>39600</v>
      </c>
      <c r="AQ94" s="58">
        <f t="shared" ca="1" si="45"/>
        <v>2574</v>
      </c>
      <c r="AR94" s="38">
        <f>IF(Summary!$H$2=1,VLOOKUP('ANR OK vs ML7'!A94,Curves!$C$17:$AR$273,MATCH('ANR OK vs ML7'!$AR$4,Curves!$C$8:$AQ$8,0)),0.1)</f>
        <v>0.1</v>
      </c>
      <c r="AS94" s="35">
        <f t="shared" ca="1" si="46"/>
        <v>0.50274569417778914</v>
      </c>
      <c r="AT94" s="3">
        <f t="shared" si="69"/>
        <v>1</v>
      </c>
      <c r="AU94" s="3">
        <f t="shared" si="47"/>
        <v>30</v>
      </c>
      <c r="AW94" s="32">
        <f t="shared" ca="1" si="70"/>
        <v>161731.4362446561</v>
      </c>
      <c r="AX94" s="32">
        <f t="shared" si="71"/>
        <v>148451.82352867155</v>
      </c>
      <c r="AY94" s="32">
        <f t="shared" ca="1" si="72"/>
        <v>13279.612715984562</v>
      </c>
      <c r="BA94" s="32">
        <f ca="1">IF($A95="","",F94*Summary!$Q$7)</f>
        <v>0</v>
      </c>
      <c r="BC94" s="256">
        <f t="shared" ca="1" si="73"/>
        <v>74633.51507188064</v>
      </c>
    </row>
    <row r="95" spans="1:55">
      <c r="A95" s="67">
        <f t="shared" si="48"/>
        <v>39630</v>
      </c>
      <c r="B95" s="69">
        <f t="shared" si="74"/>
        <v>40000</v>
      </c>
      <c r="C95" s="71"/>
      <c r="D95" s="69">
        <f t="shared" si="75"/>
        <v>40000</v>
      </c>
      <c r="E95" s="70">
        <f t="shared" si="38"/>
        <v>1240000</v>
      </c>
      <c r="F95" s="70">
        <f t="shared" ca="1" si="39"/>
        <v>618428.15952087927</v>
      </c>
      <c r="G95" s="63">
        <f t="shared" si="49"/>
        <v>4.1950000000000003</v>
      </c>
      <c r="H95" s="64">
        <f t="shared" si="50"/>
        <v>4.1950000000000003</v>
      </c>
      <c r="I95" s="43"/>
      <c r="J95" s="63">
        <f t="shared" si="51"/>
        <v>0.21</v>
      </c>
      <c r="K95" s="64">
        <f t="shared" si="52"/>
        <v>0.21</v>
      </c>
      <c r="L95" s="63">
        <f t="shared" si="53"/>
        <v>0</v>
      </c>
      <c r="M95" s="64">
        <f t="shared" si="54"/>
        <v>0</v>
      </c>
      <c r="N95" s="65"/>
      <c r="O95" s="63">
        <f t="shared" si="55"/>
        <v>4.4050000000000002</v>
      </c>
      <c r="P95" s="63">
        <f t="shared" si="56"/>
        <v>4.4050000000000002</v>
      </c>
      <c r="Q95" s="66"/>
      <c r="R95" s="63">
        <f t="shared" si="57"/>
        <v>-0.12</v>
      </c>
      <c r="S95" s="64">
        <f t="shared" si="58"/>
        <v>-0.12</v>
      </c>
      <c r="T95" s="63">
        <f t="shared" si="59"/>
        <v>-0.01</v>
      </c>
      <c r="U95" s="64">
        <f t="shared" si="60"/>
        <v>-0.01</v>
      </c>
      <c r="V95" s="207">
        <f>IF($A96="","",IF(AND(MONTH(A95)&gt;3,MONTH(A95)&lt;11),(T95+R95+G95)*Summary!$T$7/(1-Summary!$T$7),(T95+R95+G95)*Summary!$U$7/(1-Summary!$U$7)))</f>
        <v>0.19645298249292381</v>
      </c>
      <c r="W95" s="63">
        <f t="shared" si="61"/>
        <v>4.2614529824929246</v>
      </c>
      <c r="X95" s="63">
        <f t="shared" si="62"/>
        <v>4.2614529824929246</v>
      </c>
      <c r="Y95" s="43"/>
      <c r="Z95" s="38">
        <f t="shared" si="63"/>
        <v>0.55000000000000004</v>
      </c>
      <c r="AA95" s="38">
        <f t="shared" si="63"/>
        <v>0.20900000000000002</v>
      </c>
      <c r="AB95" s="38">
        <f t="shared" ca="1" si="40"/>
        <v>0.21330346883177548</v>
      </c>
      <c r="AC95" s="38">
        <f t="shared" si="63"/>
        <v>0.4</v>
      </c>
      <c r="AD95" s="38">
        <f t="shared" si="41"/>
        <v>0.20300000000000001</v>
      </c>
      <c r="AE95" s="38">
        <f t="shared" ca="1" si="42"/>
        <v>0.20537089915856666</v>
      </c>
      <c r="AF95" s="238">
        <f ca="1">((Summary!$N$7*(AA95*AD95)*(A95-$D$3))+(Summary!$M$7*Z95*AC95*(DAY(EOMONTH(A95,0))/2)))/(AK95*AB95*AE95)</f>
        <v>0.99868163566790313</v>
      </c>
      <c r="AG95" s="88">
        <f>IF($A96="","",Summary!$Q$7)</f>
        <v>0</v>
      </c>
      <c r="AH95" s="88">
        <f>IF($A96="","",IF(Summary!$R$7="Y",(VLOOKUP($A95,Summary!$AD$6:$AF$9,3)+'Escalating commodity'!C108),'Escalating commodity'!C108))</f>
        <v>2.2495200000000003E-2</v>
      </c>
      <c r="AI95" s="88">
        <f t="shared" si="64"/>
        <v>2.2495200000000003E-2</v>
      </c>
      <c r="AJ95" s="236">
        <f t="shared" si="43"/>
        <v>39644.5</v>
      </c>
      <c r="AK95" s="58">
        <f t="shared" ca="1" si="65"/>
        <v>2604</v>
      </c>
      <c r="AL95" s="26">
        <f ca="1">IF($A96="","",_xll.SPRDOPT(P95,X95,AI95,0,AB95,AE95,AF95,AK95,$AJ$2,0))</f>
        <v>0.14280926657414506</v>
      </c>
      <c r="AM95" s="209">
        <f t="shared" si="44"/>
        <v>0.12105181750707565</v>
      </c>
      <c r="AN95" s="89">
        <f t="shared" ca="1" si="66"/>
        <v>2.1757449067069404E-2</v>
      </c>
      <c r="AO95" s="3">
        <f t="shared" si="67"/>
        <v>31</v>
      </c>
      <c r="AP95" s="33">
        <f t="shared" si="68"/>
        <v>39630</v>
      </c>
      <c r="AQ95" s="58">
        <f t="shared" ca="1" si="45"/>
        <v>2604</v>
      </c>
      <c r="AR95" s="38">
        <f>IF(Summary!$H$2=1,VLOOKUP('ANR OK vs ML7'!A95,Curves!$C$17:$AR$273,MATCH('ANR OK vs ML7'!$AR$4,Curves!$C$8:$AQ$8,0)),0.1)</f>
        <v>0.1</v>
      </c>
      <c r="AS95" s="35">
        <f t="shared" ca="1" si="46"/>
        <v>0.49873238671038655</v>
      </c>
      <c r="AT95" s="3">
        <f t="shared" si="69"/>
        <v>1</v>
      </c>
      <c r="AU95" s="3">
        <f t="shared" si="47"/>
        <v>31</v>
      </c>
      <c r="AW95" s="32">
        <f t="shared" ca="1" si="70"/>
        <v>177083.49055193987</v>
      </c>
      <c r="AX95" s="32">
        <f t="shared" si="71"/>
        <v>150104.25370877382</v>
      </c>
      <c r="AY95" s="32">
        <f t="shared" ca="1" si="72"/>
        <v>26979.236843166062</v>
      </c>
      <c r="BA95" s="32">
        <f ca="1">IF($A96="","",F95*Summary!$Q$7)</f>
        <v>0</v>
      </c>
      <c r="BC95" s="256">
        <f t="shared" ca="1" si="73"/>
        <v>74861.852707558151</v>
      </c>
    </row>
    <row r="96" spans="1:55">
      <c r="A96" s="67">
        <f t="shared" si="48"/>
        <v>39661</v>
      </c>
      <c r="B96" s="69">
        <f t="shared" si="74"/>
        <v>40000</v>
      </c>
      <c r="C96" s="71"/>
      <c r="D96" s="69">
        <f t="shared" si="75"/>
        <v>40000</v>
      </c>
      <c r="E96" s="70">
        <f t="shared" si="38"/>
        <v>1240000</v>
      </c>
      <c r="F96" s="70">
        <f t="shared" ca="1" si="39"/>
        <v>613327.50586931559</v>
      </c>
      <c r="G96" s="63">
        <f t="shared" si="49"/>
        <v>4.2510000000000003</v>
      </c>
      <c r="H96" s="64">
        <f t="shared" si="50"/>
        <v>4.2510000000000003</v>
      </c>
      <c r="I96" s="43"/>
      <c r="J96" s="63">
        <f t="shared" si="51"/>
        <v>0.21</v>
      </c>
      <c r="K96" s="64">
        <f t="shared" si="52"/>
        <v>0.21</v>
      </c>
      <c r="L96" s="63">
        <f t="shared" si="53"/>
        <v>0</v>
      </c>
      <c r="M96" s="64">
        <f t="shared" si="54"/>
        <v>0</v>
      </c>
      <c r="N96" s="65"/>
      <c r="O96" s="63">
        <f t="shared" si="55"/>
        <v>4.4610000000000003</v>
      </c>
      <c r="P96" s="63">
        <f t="shared" si="56"/>
        <v>4.4610000000000003</v>
      </c>
      <c r="Q96" s="66"/>
      <c r="R96" s="63">
        <f t="shared" si="57"/>
        <v>-0.12</v>
      </c>
      <c r="S96" s="64">
        <f t="shared" si="58"/>
        <v>-0.12</v>
      </c>
      <c r="T96" s="63">
        <f t="shared" si="59"/>
        <v>-0.01</v>
      </c>
      <c r="U96" s="64">
        <f t="shared" si="60"/>
        <v>-0.01</v>
      </c>
      <c r="V96" s="207">
        <f>IF($A97="","",IF(AND(MONTH(A96)&gt;3,MONTH(A96)&lt;11),(T96+R96+G96)*Summary!$T$7/(1-Summary!$T$7),(T96+R96+G96)*Summary!$U$7/(1-Summary!$U$7)))</f>
        <v>0.19915934584337985</v>
      </c>
      <c r="W96" s="63">
        <f t="shared" si="61"/>
        <v>4.32015934584338</v>
      </c>
      <c r="X96" s="63">
        <f t="shared" si="62"/>
        <v>4.32015934584338</v>
      </c>
      <c r="Y96" s="43"/>
      <c r="Z96" s="38">
        <f t="shared" si="63"/>
        <v>0.6</v>
      </c>
      <c r="AA96" s="38">
        <f t="shared" si="63"/>
        <v>0.20900000000000002</v>
      </c>
      <c r="AB96" s="38">
        <f t="shared" ca="1" si="40"/>
        <v>0.21404491184895064</v>
      </c>
      <c r="AC96" s="38">
        <f t="shared" si="63"/>
        <v>0.5</v>
      </c>
      <c r="AD96" s="38">
        <f t="shared" si="41"/>
        <v>0.20300000000000001</v>
      </c>
      <c r="AE96" s="38">
        <f t="shared" ca="1" si="42"/>
        <v>0.20662823457717047</v>
      </c>
      <c r="AF96" s="238">
        <f ca="1">((Summary!$N$7*(AA96*AD96)*(A96-$D$3))+(Summary!$M$7*Z96*AC96*(DAY(EOMONTH(A96,0))/2)))/(AK96*AB96*AE96)</f>
        <v>0.99945375086372812</v>
      </c>
      <c r="AG96" s="88">
        <f>IF($A97="","",Summary!$Q$7)</f>
        <v>0</v>
      </c>
      <c r="AH96" s="88">
        <f>IF($A97="","",IF(Summary!$R$7="Y",(VLOOKUP($A96,Summary!$AD$6:$AF$9,3)+'Escalating commodity'!C109),'Escalating commodity'!C109))</f>
        <v>2.2495200000000003E-2</v>
      </c>
      <c r="AI96" s="88">
        <f t="shared" si="64"/>
        <v>2.2495200000000003E-2</v>
      </c>
      <c r="AJ96" s="236">
        <f t="shared" si="43"/>
        <v>39675.5</v>
      </c>
      <c r="AK96" s="58">
        <f t="shared" ca="1" si="65"/>
        <v>2635</v>
      </c>
      <c r="AL96" s="26">
        <f ca="1">IF($A97="","",_xll.SPRDOPT(P96,X96,AI96,0,AB96,AE96,AF96,AK96,$AJ$2,0))</f>
        <v>0.13154949209518857</v>
      </c>
      <c r="AM96" s="209">
        <f t="shared" si="44"/>
        <v>0.11834545415662028</v>
      </c>
      <c r="AN96" s="89">
        <f t="shared" ca="1" si="66"/>
        <v>1.3204037938568294E-2</v>
      </c>
      <c r="AO96" s="3">
        <f t="shared" si="67"/>
        <v>31</v>
      </c>
      <c r="AP96" s="33">
        <f t="shared" si="68"/>
        <v>39661</v>
      </c>
      <c r="AQ96" s="58">
        <f t="shared" ca="1" si="45"/>
        <v>2635</v>
      </c>
      <c r="AR96" s="38">
        <f>IF(Summary!$H$2=1,VLOOKUP('ANR OK vs ML7'!A96,Curves!$C$17:$AR$273,MATCH('ANR OK vs ML7'!$AR$4,Curves!$C$8:$AQ$8,0)),0.1)</f>
        <v>0.1</v>
      </c>
      <c r="AS96" s="35">
        <f t="shared" ca="1" si="46"/>
        <v>0.49461895634622222</v>
      </c>
      <c r="AT96" s="3">
        <f t="shared" si="69"/>
        <v>1</v>
      </c>
      <c r="AU96" s="3">
        <f t="shared" si="47"/>
        <v>31</v>
      </c>
      <c r="AW96" s="32">
        <f t="shared" ca="1" si="70"/>
        <v>163121.37019803384</v>
      </c>
      <c r="AX96" s="32">
        <f t="shared" si="71"/>
        <v>146748.36315420913</v>
      </c>
      <c r="AY96" s="32">
        <f t="shared" ca="1" si="72"/>
        <v>16373.007043824686</v>
      </c>
      <c r="BA96" s="32">
        <f ca="1">IF($A97="","",F96*Summary!$Q$7)</f>
        <v>0</v>
      </c>
      <c r="BC96" s="256">
        <f t="shared" ca="1" si="73"/>
        <v>72584.522228851347</v>
      </c>
    </row>
    <row r="97" spans="1:55">
      <c r="A97" s="67">
        <f t="shared" si="48"/>
        <v>39692</v>
      </c>
      <c r="B97" s="69">
        <f t="shared" si="74"/>
        <v>40000</v>
      </c>
      <c r="C97" s="71"/>
      <c r="D97" s="69">
        <f t="shared" si="75"/>
        <v>40000</v>
      </c>
      <c r="E97" s="70">
        <f t="shared" si="38"/>
        <v>1200000</v>
      </c>
      <c r="F97" s="70">
        <f t="shared" ca="1" si="39"/>
        <v>588647.34313496971</v>
      </c>
      <c r="G97" s="63">
        <f t="shared" si="49"/>
        <v>4.2649999999999997</v>
      </c>
      <c r="H97" s="64">
        <f t="shared" si="50"/>
        <v>4.2649999999999997</v>
      </c>
      <c r="I97" s="43"/>
      <c r="J97" s="63">
        <f t="shared" si="51"/>
        <v>0.21</v>
      </c>
      <c r="K97" s="64">
        <f t="shared" si="52"/>
        <v>0.21</v>
      </c>
      <c r="L97" s="63">
        <f t="shared" si="53"/>
        <v>0</v>
      </c>
      <c r="M97" s="64">
        <f t="shared" si="54"/>
        <v>0</v>
      </c>
      <c r="N97" s="65"/>
      <c r="O97" s="63">
        <f t="shared" si="55"/>
        <v>4.4749999999999996</v>
      </c>
      <c r="P97" s="63">
        <f t="shared" si="56"/>
        <v>4.4749999999999996</v>
      </c>
      <c r="Q97" s="66"/>
      <c r="R97" s="63">
        <f t="shared" si="57"/>
        <v>-0.12</v>
      </c>
      <c r="S97" s="64">
        <f t="shared" si="58"/>
        <v>-0.12</v>
      </c>
      <c r="T97" s="63">
        <f t="shared" si="59"/>
        <v>-0.01</v>
      </c>
      <c r="U97" s="64">
        <f t="shared" si="60"/>
        <v>-0.01</v>
      </c>
      <c r="V97" s="207">
        <f>IF($A98="","",IF(AND(MONTH(A97)&gt;3,MONTH(A97)&lt;11),(T97+R97+G97)*Summary!$T$7/(1-Summary!$T$7),(T97+R97+G97)*Summary!$U$7/(1-Summary!$U$7)))</f>
        <v>0.19983593668099381</v>
      </c>
      <c r="W97" s="63">
        <f t="shared" si="61"/>
        <v>4.3348359366809932</v>
      </c>
      <c r="X97" s="63">
        <f t="shared" si="62"/>
        <v>4.3348359366809932</v>
      </c>
      <c r="Y97" s="43"/>
      <c r="Z97" s="38">
        <f t="shared" si="63"/>
        <v>0.6</v>
      </c>
      <c r="AA97" s="38">
        <f t="shared" si="63"/>
        <v>0.20900000000000002</v>
      </c>
      <c r="AB97" s="38">
        <f t="shared" ca="1" si="40"/>
        <v>0.21382911599618964</v>
      </c>
      <c r="AC97" s="38">
        <f t="shared" si="63"/>
        <v>0.55000000000000004</v>
      </c>
      <c r="AD97" s="38">
        <f t="shared" si="41"/>
        <v>0.20300000000000001</v>
      </c>
      <c r="AE97" s="38">
        <f t="shared" ca="1" si="42"/>
        <v>0.2071869813388599</v>
      </c>
      <c r="AF97" s="238">
        <f ca="1">((Summary!$N$7*(AA97*AD97)*(A97-$D$3))+(Summary!$M$7*Z97*AC97*(DAY(EOMONTH(A97,0))/2)))/(AK97*AB97*AE97)</f>
        <v>0.99983691536233055</v>
      </c>
      <c r="AG97" s="88">
        <f>IF($A98="","",Summary!$Q$7)</f>
        <v>0</v>
      </c>
      <c r="AH97" s="88">
        <f>IF($A98="","",IF(Summary!$R$7="Y",(VLOOKUP($A97,Summary!$AD$6:$AF$9,3)+'Escalating commodity'!C110),'Escalating commodity'!C110))</f>
        <v>2.2495200000000003E-2</v>
      </c>
      <c r="AI97" s="88">
        <f t="shared" si="64"/>
        <v>2.2495200000000003E-2</v>
      </c>
      <c r="AJ97" s="236">
        <f t="shared" si="43"/>
        <v>39706</v>
      </c>
      <c r="AK97" s="58">
        <f t="shared" ca="1" si="65"/>
        <v>2666</v>
      </c>
      <c r="AL97" s="26">
        <f ca="1">IF($A98="","",_xll.SPRDOPT(P97,X97,AI97,0,AB97,AE97,AF97,AK97,$AJ$2,0))</f>
        <v>0.1248027836953417</v>
      </c>
      <c r="AM97" s="209">
        <f t="shared" si="44"/>
        <v>0.11766886331900643</v>
      </c>
      <c r="AN97" s="89">
        <f t="shared" ca="1" si="66"/>
        <v>7.1339203763352704E-3</v>
      </c>
      <c r="AO97" s="3">
        <f t="shared" si="67"/>
        <v>30</v>
      </c>
      <c r="AP97" s="33">
        <f t="shared" si="68"/>
        <v>39692</v>
      </c>
      <c r="AQ97" s="58">
        <f t="shared" ca="1" si="45"/>
        <v>2666</v>
      </c>
      <c r="AR97" s="38">
        <f>IF(Summary!$H$2=1,VLOOKUP('ANR OK vs ML7'!A97,Curves!$C$17:$AR$273,MATCH('ANR OK vs ML7'!$AR$4,Curves!$C$8:$AQ$8,0)),0.1)</f>
        <v>0.1</v>
      </c>
      <c r="AS97" s="35">
        <f t="shared" ca="1" si="46"/>
        <v>0.49053945261247472</v>
      </c>
      <c r="AT97" s="3">
        <f t="shared" si="69"/>
        <v>1</v>
      </c>
      <c r="AU97" s="3">
        <f t="shared" si="47"/>
        <v>30</v>
      </c>
      <c r="AW97" s="32">
        <f t="shared" ca="1" si="70"/>
        <v>149763.34043441003</v>
      </c>
      <c r="AX97" s="32">
        <f t="shared" si="71"/>
        <v>141202.63598280773</v>
      </c>
      <c r="AY97" s="32">
        <f t="shared" ca="1" si="72"/>
        <v>8560.7044516023252</v>
      </c>
      <c r="BA97" s="32">
        <f ca="1">IF($A98="","",F97*Summary!$Q$7)</f>
        <v>0</v>
      </c>
      <c r="BC97" s="256">
        <f t="shared" ca="1" si="73"/>
        <v>69265.463762445026</v>
      </c>
    </row>
    <row r="98" spans="1:55">
      <c r="A98" s="67">
        <f t="shared" si="48"/>
        <v>39722</v>
      </c>
      <c r="B98" s="69">
        <f t="shared" si="74"/>
        <v>40000</v>
      </c>
      <c r="C98" s="71"/>
      <c r="D98" s="69">
        <f t="shared" si="75"/>
        <v>40000</v>
      </c>
      <c r="E98" s="70">
        <f t="shared" si="38"/>
        <v>1240000</v>
      </c>
      <c r="F98" s="70">
        <f t="shared" ca="1" si="39"/>
        <v>603413.24523454206</v>
      </c>
      <c r="G98" s="63">
        <f t="shared" si="49"/>
        <v>4.2960000000000003</v>
      </c>
      <c r="H98" s="64">
        <f t="shared" si="50"/>
        <v>4.2960000000000003</v>
      </c>
      <c r="I98" s="43"/>
      <c r="J98" s="63">
        <f t="shared" si="51"/>
        <v>0.21</v>
      </c>
      <c r="K98" s="64">
        <f t="shared" si="52"/>
        <v>0.21</v>
      </c>
      <c r="L98" s="63">
        <f t="shared" si="53"/>
        <v>0</v>
      </c>
      <c r="M98" s="64">
        <f t="shared" si="54"/>
        <v>0</v>
      </c>
      <c r="N98" s="65"/>
      <c r="O98" s="63">
        <f t="shared" si="55"/>
        <v>4.5060000000000002</v>
      </c>
      <c r="P98" s="63">
        <f t="shared" si="56"/>
        <v>4.5060000000000002</v>
      </c>
      <c r="Q98" s="66"/>
      <c r="R98" s="63">
        <f t="shared" si="57"/>
        <v>-0.12</v>
      </c>
      <c r="S98" s="64">
        <f t="shared" si="58"/>
        <v>-0.12</v>
      </c>
      <c r="T98" s="63">
        <f t="shared" si="59"/>
        <v>-0.01</v>
      </c>
      <c r="U98" s="64">
        <f t="shared" si="60"/>
        <v>-0.01</v>
      </c>
      <c r="V98" s="207">
        <f>IF($A99="","",IF(AND(MONTH(A98)&gt;3,MONTH(A98)&lt;11),(T98+R98+G98)*Summary!$T$7/(1-Summary!$T$7),(T98+R98+G98)*Summary!$U$7/(1-Summary!$U$7)))</f>
        <v>0.20133410210713915</v>
      </c>
      <c r="W98" s="63">
        <f t="shared" si="61"/>
        <v>4.3673341021071392</v>
      </c>
      <c r="X98" s="63">
        <f t="shared" si="62"/>
        <v>4.3673341021071392</v>
      </c>
      <c r="Y98" s="43"/>
      <c r="Z98" s="38">
        <f t="shared" si="63"/>
        <v>0.65</v>
      </c>
      <c r="AA98" s="38">
        <f t="shared" si="63"/>
        <v>0.20900000000000002</v>
      </c>
      <c r="AB98" s="38">
        <f t="shared" ca="1" si="40"/>
        <v>0.21477025800616717</v>
      </c>
      <c r="AC98" s="38">
        <f t="shared" si="63"/>
        <v>0.55000000000000004</v>
      </c>
      <c r="AD98" s="38">
        <f t="shared" si="41"/>
        <v>0.20300000000000001</v>
      </c>
      <c r="AE98" s="38">
        <f t="shared" ca="1" si="42"/>
        <v>0.20727623074260235</v>
      </c>
      <c r="AF98" s="238">
        <f ca="1">((Summary!$N$7*(AA98*AD98)*(A98-$D$3))+(Summary!$M$7*Z98*AC98*(DAY(EOMONTH(A98,0))/2)))/(AK98*AB98*AE98)</f>
        <v>0.99948520481211212</v>
      </c>
      <c r="AG98" s="88">
        <f>IF($A99="","",Summary!$Q$7)</f>
        <v>0</v>
      </c>
      <c r="AH98" s="88">
        <f>IF($A99="","",IF(Summary!$R$7="Y",(VLOOKUP($A98,Summary!$AD$6:$AF$9,3)+'Escalating commodity'!C111),'Escalating commodity'!C111))</f>
        <v>2.2495200000000003E-2</v>
      </c>
      <c r="AI98" s="88">
        <f t="shared" si="64"/>
        <v>2.2495200000000003E-2</v>
      </c>
      <c r="AJ98" s="236">
        <f t="shared" si="43"/>
        <v>39736.5</v>
      </c>
      <c r="AK98" s="58">
        <f t="shared" ca="1" si="65"/>
        <v>2696</v>
      </c>
      <c r="AL98" s="26">
        <f ca="1">IF($A99="","",_xll.SPRDOPT(P98,X98,AI98,0,AB98,AE98,AF98,AK98,$AJ$2,0))</f>
        <v>0.13031964358116679</v>
      </c>
      <c r="AM98" s="209">
        <f t="shared" si="44"/>
        <v>0.11617069789286098</v>
      </c>
      <c r="AN98" s="89">
        <f t="shared" ca="1" si="66"/>
        <v>1.4148945688305811E-2</v>
      </c>
      <c r="AO98" s="3">
        <f t="shared" si="67"/>
        <v>31</v>
      </c>
      <c r="AP98" s="33">
        <f t="shared" si="68"/>
        <v>39722</v>
      </c>
      <c r="AQ98" s="58">
        <f t="shared" ca="1" si="45"/>
        <v>2696</v>
      </c>
      <c r="AR98" s="38">
        <f>IF(Summary!$H$2=1,VLOOKUP('ANR OK vs ML7'!A98,Curves!$C$17:$AR$273,MATCH('ANR OK vs ML7'!$AR$4,Curves!$C$8:$AQ$8,0)),0.1)</f>
        <v>0.1</v>
      </c>
      <c r="AS98" s="35">
        <f t="shared" ca="1" si="46"/>
        <v>0.48662358486656621</v>
      </c>
      <c r="AT98" s="3">
        <f t="shared" si="69"/>
        <v>1</v>
      </c>
      <c r="AU98" s="3">
        <f t="shared" si="47"/>
        <v>31</v>
      </c>
      <c r="AW98" s="32">
        <f t="shared" ca="1" si="70"/>
        <v>161596.35804064682</v>
      </c>
      <c r="AX98" s="32">
        <f t="shared" si="71"/>
        <v>144051.66538714763</v>
      </c>
      <c r="AY98" s="32">
        <f t="shared" ca="1" si="72"/>
        <v>17544.692653499205</v>
      </c>
      <c r="BA98" s="32">
        <f ca="1">IF($A99="","",F98*Summary!$Q$7)</f>
        <v>0</v>
      </c>
      <c r="BC98" s="256">
        <f t="shared" ca="1" si="73"/>
        <v>70098.937816692822</v>
      </c>
    </row>
    <row r="99" spans="1:55">
      <c r="A99" s="67">
        <f t="shared" si="48"/>
        <v>39753</v>
      </c>
      <c r="B99" s="69">
        <f t="shared" si="74"/>
        <v>40000</v>
      </c>
      <c r="C99" s="71"/>
      <c r="D99" s="69">
        <f t="shared" si="75"/>
        <v>40000</v>
      </c>
      <c r="E99" s="70">
        <f t="shared" si="38"/>
        <v>1200000</v>
      </c>
      <c r="F99" s="70">
        <f t="shared" ca="1" si="39"/>
        <v>579132.03014809289</v>
      </c>
      <c r="G99" s="63">
        <f t="shared" si="49"/>
        <v>4.4290000000000003</v>
      </c>
      <c r="H99" s="64">
        <f t="shared" si="50"/>
        <v>4.4290000000000003</v>
      </c>
      <c r="I99" s="43"/>
      <c r="J99" s="63">
        <f t="shared" si="51"/>
        <v>0.32500000000000001</v>
      </c>
      <c r="K99" s="64">
        <f t="shared" si="52"/>
        <v>0.32500000000000001</v>
      </c>
      <c r="L99" s="63">
        <f t="shared" si="53"/>
        <v>0</v>
      </c>
      <c r="M99" s="64">
        <f t="shared" si="54"/>
        <v>0</v>
      </c>
      <c r="N99" s="65"/>
      <c r="O99" s="63">
        <f t="shared" si="55"/>
        <v>4.7540000000000004</v>
      </c>
      <c r="P99" s="63">
        <f t="shared" si="56"/>
        <v>4.7540000000000004</v>
      </c>
      <c r="Q99" s="66"/>
      <c r="R99" s="63">
        <f t="shared" si="57"/>
        <v>-0.14249999999999999</v>
      </c>
      <c r="S99" s="64">
        <f t="shared" si="58"/>
        <v>-0.14249999999999999</v>
      </c>
      <c r="T99" s="63">
        <f t="shared" si="59"/>
        <v>0.01</v>
      </c>
      <c r="U99" s="64">
        <f t="shared" si="60"/>
        <v>0.01</v>
      </c>
      <c r="V99" s="207">
        <f>IF($A100="","",IF(AND(MONTH(A99)&gt;3,MONTH(A99)&lt;11),(T99+R99+G99)*Summary!$T$7/(1-Summary!$T$7),(T99+R99+G99)*Summary!$U$7/(1-Summary!$U$7)))</f>
        <v>0.2076408952720411</v>
      </c>
      <c r="W99" s="63">
        <f t="shared" si="61"/>
        <v>4.504140895272041</v>
      </c>
      <c r="X99" s="63">
        <f t="shared" si="62"/>
        <v>4.504140895272041</v>
      </c>
      <c r="Y99" s="43"/>
      <c r="Z99" s="38">
        <f t="shared" si="63"/>
        <v>0.8</v>
      </c>
      <c r="AA99" s="38">
        <f t="shared" si="63"/>
        <v>0.20900000000000002</v>
      </c>
      <c r="AB99" s="38">
        <f t="shared" ca="1" si="40"/>
        <v>0.21729558210802868</v>
      </c>
      <c r="AC99" s="38">
        <f t="shared" si="63"/>
        <v>0.8</v>
      </c>
      <c r="AD99" s="38">
        <f t="shared" si="41"/>
        <v>0.20300000000000001</v>
      </c>
      <c r="AE99" s="38">
        <f t="shared" ca="1" si="42"/>
        <v>0.21152887158262337</v>
      </c>
      <c r="AF99" s="238">
        <f ca="1">((Summary!$N$7*(AA99*AD99)*(A99-$D$3))+(Summary!$M$7*Z99*AC99*(DAY(EOMONTH(A99,0))/2)))/(AK99*AB99*AE99)</f>
        <v>0.99987765760293279</v>
      </c>
      <c r="AG99" s="88">
        <f>IF($A100="","",Summary!$Q$7)</f>
        <v>0</v>
      </c>
      <c r="AH99" s="88">
        <f>IF($A100="","",IF(Summary!$R$7="Y",(VLOOKUP($A99,Summary!$AD$6:$AF$9,3)+'Escalating commodity'!C112),'Escalating commodity'!C112))</f>
        <v>2.2495200000000003E-2</v>
      </c>
      <c r="AI99" s="88">
        <f t="shared" si="64"/>
        <v>2.2495200000000003E-2</v>
      </c>
      <c r="AJ99" s="236">
        <f t="shared" si="43"/>
        <v>39767</v>
      </c>
      <c r="AK99" s="58">
        <f t="shared" ca="1" si="65"/>
        <v>2727</v>
      </c>
      <c r="AL99" s="26">
        <f ca="1">IF($A100="","",_xll.SPRDOPT(P99,X99,AI99,0,AB99,AE99,AF99,AK99,$AJ$2,0))</f>
        <v>0.22822893550103127</v>
      </c>
      <c r="AM99" s="209">
        <f t="shared" si="44"/>
        <v>0.22736390472795948</v>
      </c>
      <c r="AN99" s="89">
        <f t="shared" ca="1" si="66"/>
        <v>8.6503077307178988E-4</v>
      </c>
      <c r="AO99" s="3">
        <f t="shared" si="67"/>
        <v>30</v>
      </c>
      <c r="AP99" s="33">
        <f t="shared" si="68"/>
        <v>39753</v>
      </c>
      <c r="AQ99" s="58">
        <f t="shared" ca="1" si="45"/>
        <v>2727</v>
      </c>
      <c r="AR99" s="38">
        <f>IF(Summary!$H$2=1,VLOOKUP('ANR OK vs ML7'!A99,Curves!$C$17:$AR$273,MATCH('ANR OK vs ML7'!$AR$4,Curves!$C$8:$AQ$8,0)),0.1)</f>
        <v>0.1</v>
      </c>
      <c r="AS99" s="35">
        <f t="shared" ca="1" si="46"/>
        <v>0.48261002512341078</v>
      </c>
      <c r="AT99" s="3">
        <f t="shared" si="69"/>
        <v>1</v>
      </c>
      <c r="AU99" s="3">
        <f t="shared" si="47"/>
        <v>30</v>
      </c>
      <c r="AW99" s="32">
        <f t="shared" ca="1" si="70"/>
        <v>273874.72260123753</v>
      </c>
      <c r="AX99" s="32">
        <f t="shared" si="71"/>
        <v>272836.68567355134</v>
      </c>
      <c r="AY99" s="32">
        <f t="shared" ca="1" si="72"/>
        <v>1038.0369276861479</v>
      </c>
      <c r="BA99" s="32">
        <f ca="1">IF($A100="","",F99*Summary!$Q$7)</f>
        <v>0</v>
      </c>
      <c r="BC99" s="256">
        <f t="shared" ca="1" si="73"/>
        <v>131673.71972750075</v>
      </c>
    </row>
    <row r="100" spans="1:55">
      <c r="A100" s="67">
        <f t="shared" si="48"/>
        <v>39783</v>
      </c>
      <c r="B100" s="69">
        <f t="shared" si="74"/>
        <v>40000</v>
      </c>
      <c r="C100" s="71"/>
      <c r="D100" s="69">
        <f t="shared" si="75"/>
        <v>40000</v>
      </c>
      <c r="E100" s="70">
        <f t="shared" si="38"/>
        <v>1240000</v>
      </c>
      <c r="F100" s="70">
        <f t="shared" ca="1" si="39"/>
        <v>593659.24573756789</v>
      </c>
      <c r="G100" s="63">
        <f t="shared" si="49"/>
        <v>4.5670000000000002</v>
      </c>
      <c r="H100" s="64">
        <f t="shared" si="50"/>
        <v>4.5670000000000002</v>
      </c>
      <c r="I100" s="43"/>
      <c r="J100" s="63">
        <f t="shared" si="51"/>
        <v>0.32500000000000001</v>
      </c>
      <c r="K100" s="64">
        <f t="shared" si="52"/>
        <v>0.32500000000000001</v>
      </c>
      <c r="L100" s="63">
        <f t="shared" si="53"/>
        <v>0</v>
      </c>
      <c r="M100" s="64">
        <f t="shared" si="54"/>
        <v>0</v>
      </c>
      <c r="N100" s="65"/>
      <c r="O100" s="63">
        <f t="shared" si="55"/>
        <v>4.8920000000000003</v>
      </c>
      <c r="P100" s="63">
        <f t="shared" si="56"/>
        <v>4.8920000000000003</v>
      </c>
      <c r="Q100" s="66"/>
      <c r="R100" s="63">
        <f t="shared" si="57"/>
        <v>-0.13750000000000001</v>
      </c>
      <c r="S100" s="64">
        <f t="shared" si="58"/>
        <v>-0.13750000000000001</v>
      </c>
      <c r="T100" s="63">
        <f t="shared" si="59"/>
        <v>0.01</v>
      </c>
      <c r="U100" s="64">
        <f t="shared" si="60"/>
        <v>0.01</v>
      </c>
      <c r="V100" s="207">
        <f>IF($A101="","",IF(AND(MONTH(A100)&gt;3,MONTH(A100)&lt;11),(T100+R100+G100)*Summary!$T$7/(1-Summary!$T$7),(T100+R100+G100)*Summary!$U$7/(1-Summary!$U$7)))</f>
        <v>0.21455178739909844</v>
      </c>
      <c r="W100" s="63">
        <f t="shared" si="61"/>
        <v>4.6540517873990979</v>
      </c>
      <c r="X100" s="63">
        <f t="shared" si="62"/>
        <v>4.6540517873990979</v>
      </c>
      <c r="Y100" s="43"/>
      <c r="Z100" s="38">
        <f t="shared" si="63"/>
        <v>1.1000000000000001</v>
      </c>
      <c r="AA100" s="38">
        <f t="shared" si="63"/>
        <v>0.21100000000000002</v>
      </c>
      <c r="AB100" s="38">
        <f t="shared" ca="1" si="40"/>
        <v>0.22658294822548014</v>
      </c>
      <c r="AC100" s="38">
        <f t="shared" si="63"/>
        <v>1</v>
      </c>
      <c r="AD100" s="38">
        <f t="shared" si="41"/>
        <v>0.20499999999999999</v>
      </c>
      <c r="AE100" s="38">
        <f t="shared" ca="1" si="42"/>
        <v>0.21831696217629232</v>
      </c>
      <c r="AF100" s="238">
        <f ca="1">((Summary!$N$7*(AA100*AD100)*(A100-$D$3))+(Summary!$M$7*Z100*AC100*(DAY(EOMONTH(A100,0))/2)))/(AK100*AB100*AE100)</f>
        <v>0.99967087892023776</v>
      </c>
      <c r="AG100" s="88">
        <f>IF($A101="","",Summary!$Q$7)</f>
        <v>0</v>
      </c>
      <c r="AH100" s="88">
        <f>IF($A101="","",IF(Summary!$R$7="Y",(VLOOKUP($A100,Summary!$AD$6:$AF$9,3)+'Escalating commodity'!C113),'Escalating commodity'!C113))</f>
        <v>2.2495200000000003E-2</v>
      </c>
      <c r="AI100" s="88">
        <f t="shared" si="64"/>
        <v>2.2495200000000003E-2</v>
      </c>
      <c r="AJ100" s="236">
        <f t="shared" si="43"/>
        <v>39797.5</v>
      </c>
      <c r="AK100" s="58">
        <f t="shared" ca="1" si="65"/>
        <v>2757</v>
      </c>
      <c r="AL100" s="26">
        <f ca="1">IF($A101="","",_xll.SPRDOPT(P100,X100,AI100,0,AB100,AE100,AF100,AK100,$AJ$2,0))</f>
        <v>0.22070130818652586</v>
      </c>
      <c r="AM100" s="209">
        <f t="shared" si="44"/>
        <v>0.21545301260090249</v>
      </c>
      <c r="AN100" s="89">
        <f t="shared" ca="1" si="66"/>
        <v>5.2482955856233693E-3</v>
      </c>
      <c r="AO100" s="3">
        <f t="shared" si="67"/>
        <v>31</v>
      </c>
      <c r="AP100" s="33">
        <f t="shared" si="68"/>
        <v>39783</v>
      </c>
      <c r="AQ100" s="58">
        <f t="shared" ca="1" si="45"/>
        <v>2757</v>
      </c>
      <c r="AR100" s="38">
        <f>IF(Summary!$H$2=1,VLOOKUP('ANR OK vs ML7'!A100,Curves!$C$17:$AR$273,MATCH('ANR OK vs ML7'!$AR$4,Curves!$C$8:$AQ$8,0)),0.1)</f>
        <v>0.1</v>
      </c>
      <c r="AS100" s="35">
        <f t="shared" ca="1" si="46"/>
        <v>0.47875745623997412</v>
      </c>
      <c r="AT100" s="3">
        <f t="shared" si="69"/>
        <v>1</v>
      </c>
      <c r="AU100" s="3">
        <f t="shared" si="47"/>
        <v>31</v>
      </c>
      <c r="AW100" s="32">
        <f t="shared" ca="1" si="70"/>
        <v>273669.62215129205</v>
      </c>
      <c r="AX100" s="32">
        <f t="shared" si="71"/>
        <v>267161.73562511906</v>
      </c>
      <c r="AY100" s="32">
        <f t="shared" ca="1" si="72"/>
        <v>6507.8865261729779</v>
      </c>
      <c r="BA100" s="32">
        <f ca="1">IF($A101="","",F100*Summary!$Q$7)</f>
        <v>0</v>
      </c>
      <c r="BC100" s="256">
        <f t="shared" ca="1" si="73"/>
        <v>127905.67295253849</v>
      </c>
    </row>
    <row r="101" spans="1:55">
      <c r="A101" s="67">
        <f t="shared" si="48"/>
        <v>39814</v>
      </c>
      <c r="B101" s="69">
        <f t="shared" si="74"/>
        <v>40000</v>
      </c>
      <c r="C101" s="71"/>
      <c r="D101" s="69">
        <f t="shared" si="75"/>
        <v>40000</v>
      </c>
      <c r="E101" s="70">
        <f t="shared" si="38"/>
        <v>1240000</v>
      </c>
      <c r="F101" s="70">
        <f t="shared" ca="1" si="39"/>
        <v>588762.8804072733</v>
      </c>
      <c r="G101" s="63">
        <f t="shared" si="49"/>
        <v>4.5890000000000004</v>
      </c>
      <c r="H101" s="64">
        <f t="shared" si="50"/>
        <v>4.5890000000000004</v>
      </c>
      <c r="I101" s="43"/>
      <c r="J101" s="63">
        <f t="shared" si="51"/>
        <v>0.32500000000000001</v>
      </c>
      <c r="K101" s="64">
        <f t="shared" si="52"/>
        <v>0.32500000000000001</v>
      </c>
      <c r="L101" s="63">
        <f t="shared" si="53"/>
        <v>0</v>
      </c>
      <c r="M101" s="64">
        <f t="shared" si="54"/>
        <v>0</v>
      </c>
      <c r="N101" s="65"/>
      <c r="O101" s="63">
        <f t="shared" si="55"/>
        <v>4.9140000000000006</v>
      </c>
      <c r="P101" s="63">
        <f t="shared" si="56"/>
        <v>4.9140000000000006</v>
      </c>
      <c r="Q101" s="66"/>
      <c r="R101" s="63">
        <f t="shared" si="57"/>
        <v>-0.13750000000000001</v>
      </c>
      <c r="S101" s="64">
        <f t="shared" si="58"/>
        <v>-0.13750000000000001</v>
      </c>
      <c r="T101" s="63">
        <f t="shared" si="59"/>
        <v>0.01</v>
      </c>
      <c r="U101" s="64">
        <f t="shared" si="60"/>
        <v>0.01</v>
      </c>
      <c r="V101" s="207">
        <f>IF($A102="","",IF(AND(MONTH(A101)&gt;3,MONTH(A101)&lt;11),(T101+R101+G101)*Summary!$T$7/(1-Summary!$T$7),(T101+R101+G101)*Summary!$U$7/(1-Summary!$U$7)))</f>
        <v>0.21561500157249189</v>
      </c>
      <c r="W101" s="63">
        <f t="shared" si="61"/>
        <v>4.677115001572492</v>
      </c>
      <c r="X101" s="63">
        <f t="shared" si="62"/>
        <v>4.677115001572492</v>
      </c>
      <c r="Y101" s="43"/>
      <c r="Z101" s="38">
        <f t="shared" si="63"/>
        <v>1.1000000000000001</v>
      </c>
      <c r="AA101" s="38">
        <f t="shared" si="63"/>
        <v>0.21100000000000002</v>
      </c>
      <c r="AB101" s="38">
        <f t="shared" ca="1" si="40"/>
        <v>0.22641557647644769</v>
      </c>
      <c r="AC101" s="38">
        <f t="shared" si="63"/>
        <v>1</v>
      </c>
      <c r="AD101" s="38">
        <f t="shared" si="41"/>
        <v>0.20499999999999999</v>
      </c>
      <c r="AE101" s="38">
        <f t="shared" ca="1" si="42"/>
        <v>0.21817335863697543</v>
      </c>
      <c r="AF101" s="238">
        <f ca="1">((Summary!$N$7*(AA101*AD101)*(A101-$D$3))+(Summary!$M$7*Z101*AC101*(DAY(EOMONTH(A101,0))/2)))/(AK101*AB101*AE101)</f>
        <v>0.99967277653257569</v>
      </c>
      <c r="AG101" s="88">
        <f>IF($A102="","",Summary!$Q$7)</f>
        <v>0</v>
      </c>
      <c r="AH101" s="88">
        <f>IF($A102="","",IF(Summary!$R$7="Y",(VLOOKUP($A101,Summary!$AD$6:$AF$9,3)+'Escalating commodity'!C114),'Escalating commodity'!C114))</f>
        <v>2.2495200000000003E-2</v>
      </c>
      <c r="AI101" s="88">
        <f t="shared" si="64"/>
        <v>2.2495200000000003E-2</v>
      </c>
      <c r="AJ101" s="236">
        <f t="shared" si="43"/>
        <v>39828.5</v>
      </c>
      <c r="AK101" s="58">
        <f t="shared" ca="1" si="65"/>
        <v>2788</v>
      </c>
      <c r="AL101" s="26">
        <f ca="1">IF($A102="","",_xll.SPRDOPT(P101,X101,AI101,0,AB101,AE101,AF101,AK101,$AJ$2,0))</f>
        <v>0.21985780946180683</v>
      </c>
      <c r="AM101" s="209">
        <f t="shared" si="44"/>
        <v>0.21438979842750855</v>
      </c>
      <c r="AN101" s="89">
        <f t="shared" ca="1" si="66"/>
        <v>5.4680110342982813E-3</v>
      </c>
      <c r="AO101" s="3">
        <f t="shared" si="67"/>
        <v>31</v>
      </c>
      <c r="AP101" s="33">
        <f t="shared" si="68"/>
        <v>39814</v>
      </c>
      <c r="AQ101" s="58">
        <f t="shared" ca="1" si="45"/>
        <v>2788</v>
      </c>
      <c r="AR101" s="38">
        <f>IF(Summary!$H$2=1,VLOOKUP('ANR OK vs ML7'!A101,Curves!$C$17:$AR$273,MATCH('ANR OK vs ML7'!$AR$4,Curves!$C$8:$AQ$8,0)),0.1)</f>
        <v>0.1</v>
      </c>
      <c r="AS101" s="35">
        <f t="shared" ca="1" si="46"/>
        <v>0.4748087745219946</v>
      </c>
      <c r="AT101" s="3">
        <f t="shared" si="69"/>
        <v>1</v>
      </c>
      <c r="AU101" s="3">
        <f t="shared" si="47"/>
        <v>31</v>
      </c>
      <c r="AW101" s="32">
        <f t="shared" ca="1" si="70"/>
        <v>272623.68373264046</v>
      </c>
      <c r="AX101" s="32">
        <f t="shared" si="71"/>
        <v>265843.3500501106</v>
      </c>
      <c r="AY101" s="32">
        <f t="shared" ca="1" si="72"/>
        <v>6780.3336825298684</v>
      </c>
      <c r="BA101" s="32">
        <f ca="1">IF($A102="","",F101*Summary!$Q$7)</f>
        <v>0</v>
      </c>
      <c r="BC101" s="256">
        <f t="shared" ca="1" si="73"/>
        <v>126224.75525211464</v>
      </c>
    </row>
    <row r="102" spans="1:55">
      <c r="A102" s="67">
        <f t="shared" si="48"/>
        <v>39845</v>
      </c>
      <c r="B102" s="69">
        <f t="shared" si="74"/>
        <v>40000</v>
      </c>
      <c r="C102" s="71"/>
      <c r="D102" s="69">
        <f t="shared" si="75"/>
        <v>40000</v>
      </c>
      <c r="E102" s="70">
        <f t="shared" si="38"/>
        <v>1120000</v>
      </c>
      <c r="F102" s="70">
        <f t="shared" ca="1" si="39"/>
        <v>527399.77990042092</v>
      </c>
      <c r="G102" s="63">
        <f t="shared" si="49"/>
        <v>4.4690000000000003</v>
      </c>
      <c r="H102" s="64">
        <f t="shared" si="50"/>
        <v>4.4690000000000003</v>
      </c>
      <c r="I102" s="43"/>
      <c r="J102" s="63">
        <f t="shared" si="51"/>
        <v>0.32500000000000001</v>
      </c>
      <c r="K102" s="64">
        <f t="shared" si="52"/>
        <v>0.32500000000000001</v>
      </c>
      <c r="L102" s="63">
        <f t="shared" si="53"/>
        <v>0</v>
      </c>
      <c r="M102" s="64">
        <f t="shared" si="54"/>
        <v>0</v>
      </c>
      <c r="N102" s="65"/>
      <c r="O102" s="63">
        <f t="shared" si="55"/>
        <v>4.7940000000000005</v>
      </c>
      <c r="P102" s="63">
        <f t="shared" si="56"/>
        <v>4.7940000000000005</v>
      </c>
      <c r="Q102" s="66"/>
      <c r="R102" s="63">
        <f t="shared" si="57"/>
        <v>-0.14000000000000001</v>
      </c>
      <c r="S102" s="64">
        <f t="shared" si="58"/>
        <v>-0.14000000000000001</v>
      </c>
      <c r="T102" s="63">
        <f t="shared" si="59"/>
        <v>0.01</v>
      </c>
      <c r="U102" s="64">
        <f t="shared" si="60"/>
        <v>0.01</v>
      </c>
      <c r="V102" s="207">
        <f>IF($A103="","",IF(AND(MONTH(A102)&gt;3,MONTH(A102)&lt;11),(T102+R102+G102)*Summary!$T$7/(1-Summary!$T$7),(T102+R102+G102)*Summary!$U$7/(1-Summary!$U$7)))</f>
        <v>0.20969483174336936</v>
      </c>
      <c r="W102" s="63">
        <f t="shared" si="61"/>
        <v>4.5486948317433695</v>
      </c>
      <c r="X102" s="63">
        <f t="shared" si="62"/>
        <v>4.5486948317433695</v>
      </c>
      <c r="Y102" s="43"/>
      <c r="Z102" s="38">
        <f t="shared" si="63"/>
        <v>1.1000000000000001</v>
      </c>
      <c r="AA102" s="38">
        <f t="shared" si="63"/>
        <v>0.20900000000000002</v>
      </c>
      <c r="AB102" s="38">
        <f t="shared" ca="1" si="40"/>
        <v>0.22294779285706515</v>
      </c>
      <c r="AC102" s="38">
        <f t="shared" si="63"/>
        <v>1</v>
      </c>
      <c r="AD102" s="38">
        <f t="shared" si="41"/>
        <v>0.20300000000000001</v>
      </c>
      <c r="AE102" s="38">
        <f t="shared" ca="1" si="42"/>
        <v>0.21491839942355789</v>
      </c>
      <c r="AF102" s="238">
        <f ca="1">((Summary!$N$7*(AA102*AD102)*(A102-$D$3))+(Summary!$M$7*Z102*AC102*(DAY(EOMONTH(A102,0))/2)))/(AK102*AB102*AE102)</f>
        <v>0.9996901527542601</v>
      </c>
      <c r="AG102" s="88">
        <f>IF($A103="","",Summary!$Q$7)</f>
        <v>0</v>
      </c>
      <c r="AH102" s="88">
        <f>IF($A103="","",IF(Summary!$R$7="Y",(VLOOKUP($A102,Summary!$AD$6:$AF$9,3)+'Escalating commodity'!C115),'Escalating commodity'!C115))</f>
        <v>2.2495200000000003E-2</v>
      </c>
      <c r="AI102" s="88">
        <f t="shared" si="64"/>
        <v>2.2495200000000003E-2</v>
      </c>
      <c r="AJ102" s="236">
        <f t="shared" si="43"/>
        <v>39858</v>
      </c>
      <c r="AK102" s="58">
        <f t="shared" ca="1" si="65"/>
        <v>2819</v>
      </c>
      <c r="AL102" s="26">
        <f ca="1">IF($A103="","",_xll.SPRDOPT(P102,X102,AI102,0,AB102,AE102,AF102,AK102,$AJ$2,0))</f>
        <v>0.22686194409041122</v>
      </c>
      <c r="AM102" s="209">
        <f t="shared" si="44"/>
        <v>0.22280996825663096</v>
      </c>
      <c r="AN102" s="89">
        <f t="shared" ca="1" si="66"/>
        <v>4.0519758337802525E-3</v>
      </c>
      <c r="AO102" s="3">
        <f t="shared" si="67"/>
        <v>28</v>
      </c>
      <c r="AP102" s="33">
        <f t="shared" si="68"/>
        <v>39845</v>
      </c>
      <c r="AQ102" s="58">
        <f t="shared" ca="1" si="45"/>
        <v>2819</v>
      </c>
      <c r="AR102" s="38">
        <f>IF(Summary!$H$2=1,VLOOKUP('ANR OK vs ML7'!A102,Curves!$C$17:$AR$273,MATCH('ANR OK vs ML7'!$AR$4,Curves!$C$8:$AQ$8,0)),0.1)</f>
        <v>0.1</v>
      </c>
      <c r="AS102" s="35">
        <f t="shared" ca="1" si="46"/>
        <v>0.47089266062537583</v>
      </c>
      <c r="AT102" s="3">
        <f t="shared" si="69"/>
        <v>1</v>
      </c>
      <c r="AU102" s="3">
        <f t="shared" si="47"/>
        <v>28</v>
      </c>
      <c r="AW102" s="32">
        <f t="shared" ca="1" si="70"/>
        <v>254085.37738126057</v>
      </c>
      <c r="AX102" s="32">
        <f t="shared" si="71"/>
        <v>249547.16444742668</v>
      </c>
      <c r="AY102" s="32">
        <f t="shared" ca="1" si="72"/>
        <v>4538.2129338338827</v>
      </c>
      <c r="BA102" s="32">
        <f ca="1">IF($A103="","",F102*Summary!$Q$7)</f>
        <v>0</v>
      </c>
      <c r="BC102" s="256">
        <f t="shared" ca="1" si="73"/>
        <v>117509.92821816694</v>
      </c>
    </row>
    <row r="103" spans="1:55">
      <c r="A103" s="67">
        <f t="shared" si="48"/>
        <v>39873</v>
      </c>
      <c r="B103" s="69">
        <f t="shared" si="74"/>
        <v>40000</v>
      </c>
      <c r="C103" s="71"/>
      <c r="D103" s="69">
        <f t="shared" si="75"/>
        <v>40000</v>
      </c>
      <c r="E103" s="70">
        <f t="shared" si="38"/>
        <v>1240000</v>
      </c>
      <c r="F103" s="70">
        <f t="shared" ca="1" si="39"/>
        <v>579555.28549677681</v>
      </c>
      <c r="G103" s="63">
        <f t="shared" si="49"/>
        <v>4.33</v>
      </c>
      <c r="H103" s="64">
        <f t="shared" si="50"/>
        <v>4.33</v>
      </c>
      <c r="I103" s="43"/>
      <c r="J103" s="63">
        <f t="shared" si="51"/>
        <v>0.32500000000000001</v>
      </c>
      <c r="K103" s="64">
        <f t="shared" si="52"/>
        <v>0.32500000000000001</v>
      </c>
      <c r="L103" s="63">
        <f t="shared" si="53"/>
        <v>0</v>
      </c>
      <c r="M103" s="64">
        <f t="shared" si="54"/>
        <v>0</v>
      </c>
      <c r="N103" s="65"/>
      <c r="O103" s="63">
        <f t="shared" si="55"/>
        <v>4.6550000000000002</v>
      </c>
      <c r="P103" s="63">
        <f t="shared" si="56"/>
        <v>4.6550000000000002</v>
      </c>
      <c r="Q103" s="66"/>
      <c r="R103" s="63">
        <f t="shared" si="57"/>
        <v>-0.14249999999999999</v>
      </c>
      <c r="S103" s="64">
        <f t="shared" si="58"/>
        <v>-0.14249999999999999</v>
      </c>
      <c r="T103" s="63">
        <f t="shared" si="59"/>
        <v>0.01</v>
      </c>
      <c r="U103" s="64">
        <f t="shared" si="60"/>
        <v>0.01</v>
      </c>
      <c r="V103" s="207">
        <f>IF($A104="","",IF(AND(MONTH(A103)&gt;3,MONTH(A103)&lt;11),(T103+R103+G103)*Summary!$T$7/(1-Summary!$T$7),(T103+R103+G103)*Summary!$U$7/(1-Summary!$U$7)))</f>
        <v>0.20285643149177063</v>
      </c>
      <c r="W103" s="63">
        <f t="shared" si="61"/>
        <v>4.4003564314917707</v>
      </c>
      <c r="X103" s="63">
        <f t="shared" si="62"/>
        <v>4.4003564314917707</v>
      </c>
      <c r="Y103" s="43"/>
      <c r="Z103" s="38">
        <f t="shared" si="63"/>
        <v>0.75</v>
      </c>
      <c r="AA103" s="38">
        <f t="shared" si="63"/>
        <v>0.19800000000000001</v>
      </c>
      <c r="AB103" s="38">
        <f t="shared" ca="1" si="40"/>
        <v>0.20562150769243787</v>
      </c>
      <c r="AC103" s="38">
        <f t="shared" si="63"/>
        <v>0.75</v>
      </c>
      <c r="AD103" s="38">
        <f t="shared" si="41"/>
        <v>0.193</v>
      </c>
      <c r="AE103" s="38">
        <f t="shared" ca="1" si="42"/>
        <v>0.20080965548989368</v>
      </c>
      <c r="AF103" s="238">
        <f ca="1">((Summary!$N$7*(AA103*AD103)*(A103-$D$3))+(Summary!$M$7*Z103*AC103*(DAY(EOMONTH(A103,0))/2)))/(AK103*AB103*AE103)</f>
        <v>0.99988495805703037</v>
      </c>
      <c r="AG103" s="88">
        <f>IF($A104="","",Summary!$Q$7)</f>
        <v>0</v>
      </c>
      <c r="AH103" s="88">
        <f>IF($A104="","",IF(Summary!$R$7="Y",(VLOOKUP($A103,Summary!$AD$6:$AF$9,3)+'Escalating commodity'!C116),'Escalating commodity'!C116))</f>
        <v>2.2495200000000003E-2</v>
      </c>
      <c r="AI103" s="88">
        <f t="shared" si="64"/>
        <v>2.2495200000000003E-2</v>
      </c>
      <c r="AJ103" s="236">
        <f t="shared" si="43"/>
        <v>39887.5</v>
      </c>
      <c r="AK103" s="58">
        <f t="shared" ca="1" si="65"/>
        <v>2847</v>
      </c>
      <c r="AL103" s="26">
        <f ca="1">IF($A104="","",_xll.SPRDOPT(P103,X103,AI103,0,AB103,AE103,AF103,AK103,$AJ$2,0))</f>
        <v>0.23256279855126333</v>
      </c>
      <c r="AM103" s="209">
        <f t="shared" si="44"/>
        <v>0.23214836850822956</v>
      </c>
      <c r="AN103" s="89">
        <f t="shared" ca="1" si="66"/>
        <v>4.1443004303376441E-4</v>
      </c>
      <c r="AO103" s="3">
        <f t="shared" si="67"/>
        <v>31</v>
      </c>
      <c r="AP103" s="33">
        <f t="shared" si="68"/>
        <v>39873</v>
      </c>
      <c r="AQ103" s="58">
        <f t="shared" ca="1" si="45"/>
        <v>2847</v>
      </c>
      <c r="AR103" s="38">
        <f>IF(Summary!$H$2=1,VLOOKUP('ANR OK vs ML7'!A103,Curves!$C$17:$AR$273,MATCH('ANR OK vs ML7'!$AR$4,Curves!$C$8:$AQ$8,0)),0.1)</f>
        <v>0.1</v>
      </c>
      <c r="AS103" s="35">
        <f t="shared" ca="1" si="46"/>
        <v>0.4673832947554652</v>
      </c>
      <c r="AT103" s="3">
        <f t="shared" si="69"/>
        <v>1</v>
      </c>
      <c r="AU103" s="3">
        <f t="shared" si="47"/>
        <v>31</v>
      </c>
      <c r="AW103" s="32">
        <f t="shared" ca="1" si="70"/>
        <v>288377.8702035665</v>
      </c>
      <c r="AX103" s="32">
        <f t="shared" si="71"/>
        <v>287863.97695020464</v>
      </c>
      <c r="AY103" s="32">
        <f t="shared" ca="1" si="72"/>
        <v>513.89325336186789</v>
      </c>
      <c r="BA103" s="32">
        <f ca="1">IF($A104="","",F103*Summary!$Q$7)</f>
        <v>0</v>
      </c>
      <c r="BC103" s="256">
        <f t="shared" ca="1" si="73"/>
        <v>134542.81398839795</v>
      </c>
    </row>
    <row r="104" spans="1:55">
      <c r="A104" s="67">
        <f t="shared" si="48"/>
        <v>39904</v>
      </c>
      <c r="B104" s="69">
        <f t="shared" si="74"/>
        <v>40000</v>
      </c>
      <c r="C104" s="71"/>
      <c r="D104" s="69">
        <f t="shared" si="75"/>
        <v>40000</v>
      </c>
      <c r="E104" s="70">
        <f t="shared" si="38"/>
        <v>1200000</v>
      </c>
      <c r="F104" s="70">
        <f t="shared" ca="1" si="39"/>
        <v>556234.10941592045</v>
      </c>
      <c r="G104" s="63">
        <f t="shared" si="49"/>
        <v>4.1550000000000002</v>
      </c>
      <c r="H104" s="64">
        <f t="shared" si="50"/>
        <v>4.1550000000000002</v>
      </c>
      <c r="I104" s="43"/>
      <c r="J104" s="63">
        <f t="shared" si="51"/>
        <v>0.21</v>
      </c>
      <c r="K104" s="64">
        <f t="shared" si="52"/>
        <v>0.21</v>
      </c>
      <c r="L104" s="63">
        <f t="shared" si="53"/>
        <v>0</v>
      </c>
      <c r="M104" s="64">
        <f t="shared" si="54"/>
        <v>0</v>
      </c>
      <c r="N104" s="65"/>
      <c r="O104" s="63">
        <f t="shared" si="55"/>
        <v>4.3650000000000002</v>
      </c>
      <c r="P104" s="63">
        <f t="shared" si="56"/>
        <v>4.3650000000000002</v>
      </c>
      <c r="Q104" s="66"/>
      <c r="R104" s="63">
        <f t="shared" si="57"/>
        <v>-0.14000000000000001</v>
      </c>
      <c r="S104" s="64">
        <f t="shared" si="58"/>
        <v>-0.14000000000000001</v>
      </c>
      <c r="T104" s="63">
        <f t="shared" si="59"/>
        <v>-0.01</v>
      </c>
      <c r="U104" s="64">
        <f t="shared" si="60"/>
        <v>-0.01</v>
      </c>
      <c r="V104" s="207">
        <f>IF($A105="","",IF(AND(MONTH(A104)&gt;3,MONTH(A104)&lt;11),(T104+R104+G104)*Summary!$T$7/(1-Summary!$T$7),(T104+R104+G104)*Summary!$U$7/(1-Summary!$U$7)))</f>
        <v>0.19355330747457805</v>
      </c>
      <c r="W104" s="63">
        <f t="shared" si="61"/>
        <v>4.1985533074745778</v>
      </c>
      <c r="X104" s="63">
        <f t="shared" si="62"/>
        <v>4.1985533074745778</v>
      </c>
      <c r="Y104" s="43"/>
      <c r="Z104" s="38">
        <f t="shared" si="63"/>
        <v>0.45</v>
      </c>
      <c r="AA104" s="38">
        <f t="shared" si="63"/>
        <v>0.19600000000000001</v>
      </c>
      <c r="AB104" s="38">
        <f t="shared" ca="1" si="40"/>
        <v>0.19870774667661584</v>
      </c>
      <c r="AC104" s="38">
        <f t="shared" si="63"/>
        <v>0.4</v>
      </c>
      <c r="AD104" s="38">
        <f t="shared" si="41"/>
        <v>0.19</v>
      </c>
      <c r="AE104" s="38">
        <f t="shared" ca="1" si="42"/>
        <v>0.19221460889363595</v>
      </c>
      <c r="AF104" s="238">
        <f ca="1">((Summary!$N$7*(AA104*AD104)*(A104-$D$3))+(Summary!$M$7*Z104*AC104*(DAY(EOMONTH(A104,0))/2)))/(AK104*AB104*AE104)</f>
        <v>0.99981237968488268</v>
      </c>
      <c r="AG104" s="88">
        <f>IF($A105="","",Summary!$Q$7)</f>
        <v>0</v>
      </c>
      <c r="AH104" s="88">
        <f>IF($A105="","",IF(Summary!$R$7="Y",(VLOOKUP($A104,Summary!$AD$6:$AF$9,3)+'Escalating commodity'!C117),'Escalating commodity'!C117))</f>
        <v>2.2495200000000003E-2</v>
      </c>
      <c r="AI104" s="88">
        <f t="shared" si="64"/>
        <v>2.2495200000000003E-2</v>
      </c>
      <c r="AJ104" s="236">
        <f t="shared" si="43"/>
        <v>39918</v>
      </c>
      <c r="AK104" s="58">
        <f t="shared" ca="1" si="65"/>
        <v>2878</v>
      </c>
      <c r="AL104" s="26">
        <f ca="1">IF($A105="","",_xll.SPRDOPT(P104,X104,AI104,0,AB104,AE104,AF104,AK104,$AJ$2,0))</f>
        <v>0.14834059974673522</v>
      </c>
      <c r="AM104" s="209">
        <f t="shared" si="44"/>
        <v>0.14395149252542244</v>
      </c>
      <c r="AN104" s="89">
        <f t="shared" ca="1" si="66"/>
        <v>4.3891072213127769E-3</v>
      </c>
      <c r="AO104" s="3">
        <f t="shared" si="67"/>
        <v>30</v>
      </c>
      <c r="AP104" s="33">
        <f t="shared" si="68"/>
        <v>39904</v>
      </c>
      <c r="AQ104" s="58">
        <f t="shared" ca="1" si="45"/>
        <v>2878</v>
      </c>
      <c r="AR104" s="38">
        <f>IF(Summary!$H$2=1,VLOOKUP('ANR OK vs ML7'!A104,Curves!$C$17:$AR$273,MATCH('ANR OK vs ML7'!$AR$4,Curves!$C$8:$AQ$8,0)),0.1)</f>
        <v>0.1</v>
      </c>
      <c r="AS104" s="35">
        <f t="shared" ca="1" si="46"/>
        <v>0.46352842451326709</v>
      </c>
      <c r="AT104" s="3">
        <f t="shared" si="69"/>
        <v>1</v>
      </c>
      <c r="AU104" s="3">
        <f t="shared" si="47"/>
        <v>30</v>
      </c>
      <c r="AW104" s="32">
        <f t="shared" ca="1" si="70"/>
        <v>178008.71969608226</v>
      </c>
      <c r="AX104" s="32">
        <f t="shared" si="71"/>
        <v>172741.79103050692</v>
      </c>
      <c r="AY104" s="32">
        <f t="shared" ca="1" si="72"/>
        <v>5266.9286655753322</v>
      </c>
      <c r="BA104" s="32">
        <f ca="1">IF($A105="","",F104*Summary!$Q$7)</f>
        <v>0</v>
      </c>
      <c r="BC104" s="256">
        <f t="shared" ca="1" si="73"/>
        <v>80070.730243970887</v>
      </c>
    </row>
    <row r="105" spans="1:55">
      <c r="A105" s="67">
        <f t="shared" si="48"/>
        <v>39934</v>
      </c>
      <c r="B105" s="69">
        <f t="shared" si="74"/>
        <v>40000</v>
      </c>
      <c r="C105" s="71"/>
      <c r="D105" s="69">
        <f t="shared" si="75"/>
        <v>40000</v>
      </c>
      <c r="E105" s="70">
        <f t="shared" si="38"/>
        <v>1240000</v>
      </c>
      <c r="F105" s="70">
        <f t="shared" ca="1" si="39"/>
        <v>570186.94297554658</v>
      </c>
      <c r="G105" s="63">
        <f t="shared" si="49"/>
        <v>4.125</v>
      </c>
      <c r="H105" s="64">
        <f t="shared" si="50"/>
        <v>4.125</v>
      </c>
      <c r="I105" s="43"/>
      <c r="J105" s="63">
        <f t="shared" si="51"/>
        <v>0.21</v>
      </c>
      <c r="K105" s="64">
        <f t="shared" si="52"/>
        <v>0.21</v>
      </c>
      <c r="L105" s="63">
        <f t="shared" si="53"/>
        <v>0</v>
      </c>
      <c r="M105" s="64">
        <f t="shared" si="54"/>
        <v>0</v>
      </c>
      <c r="N105" s="65"/>
      <c r="O105" s="63">
        <f t="shared" si="55"/>
        <v>4.335</v>
      </c>
      <c r="P105" s="63">
        <f t="shared" si="56"/>
        <v>4.335</v>
      </c>
      <c r="Q105" s="66"/>
      <c r="R105" s="63">
        <f t="shared" si="57"/>
        <v>-0.14000000000000001</v>
      </c>
      <c r="S105" s="64">
        <f t="shared" si="58"/>
        <v>-0.14000000000000001</v>
      </c>
      <c r="T105" s="63">
        <f t="shared" si="59"/>
        <v>-0.01</v>
      </c>
      <c r="U105" s="64">
        <f t="shared" si="60"/>
        <v>-0.01</v>
      </c>
      <c r="V105" s="207">
        <f>IF($A106="","",IF(AND(MONTH(A105)&gt;3,MONTH(A105)&lt;11),(T105+R105+G105)*Summary!$T$7/(1-Summary!$T$7),(T105+R105+G105)*Summary!$U$7/(1-Summary!$U$7)))</f>
        <v>0.1921034699654052</v>
      </c>
      <c r="W105" s="63">
        <f t="shared" si="61"/>
        <v>4.1671034699654053</v>
      </c>
      <c r="X105" s="63">
        <f t="shared" si="62"/>
        <v>4.1671034699654053</v>
      </c>
      <c r="Y105" s="43"/>
      <c r="Z105" s="38">
        <f t="shared" si="63"/>
        <v>0.5</v>
      </c>
      <c r="AA105" s="38">
        <f t="shared" si="63"/>
        <v>0.19600000000000001</v>
      </c>
      <c r="AB105" s="38">
        <f t="shared" ca="1" si="40"/>
        <v>0.19940346386917693</v>
      </c>
      <c r="AC105" s="38">
        <f t="shared" si="63"/>
        <v>0.4</v>
      </c>
      <c r="AD105" s="38">
        <f t="shared" si="41"/>
        <v>0.19</v>
      </c>
      <c r="AE105" s="38">
        <f t="shared" ca="1" si="42"/>
        <v>0.19226344904242496</v>
      </c>
      <c r="AF105" s="238">
        <f ca="1">((Summary!$N$7*(AA105*AD105)*(A105-$D$3))+(Summary!$M$7*Z105*AC105*(DAY(EOMONTH(A105,0))/2)))/(AK105*AB105*AE105)</f>
        <v>0.99940288525979115</v>
      </c>
      <c r="AG105" s="88">
        <f>IF($A106="","",Summary!$Q$7)</f>
        <v>0</v>
      </c>
      <c r="AH105" s="88">
        <f>IF($A106="","",IF(Summary!$R$7="Y",(VLOOKUP($A105,Summary!$AD$6:$AF$9,3)+'Escalating commodity'!C118),'Escalating commodity'!C118))</f>
        <v>2.2495200000000003E-2</v>
      </c>
      <c r="AI105" s="88">
        <f t="shared" si="64"/>
        <v>2.2495200000000003E-2</v>
      </c>
      <c r="AJ105" s="236">
        <f t="shared" si="43"/>
        <v>39948.5</v>
      </c>
      <c r="AK105" s="58">
        <f t="shared" ca="1" si="65"/>
        <v>2908</v>
      </c>
      <c r="AL105" s="26">
        <f ca="1">IF($A106="","",_xll.SPRDOPT(P105,X105,AI105,0,AB105,AE105,AF105,AK105,$AJ$2,0))</f>
        <v>0.1541359790231723</v>
      </c>
      <c r="AM105" s="209">
        <f t="shared" si="44"/>
        <v>0.14540133003459471</v>
      </c>
      <c r="AN105" s="89">
        <f t="shared" ca="1" si="66"/>
        <v>8.7346489885775924E-3</v>
      </c>
      <c r="AO105" s="3">
        <f t="shared" si="67"/>
        <v>31</v>
      </c>
      <c r="AP105" s="33">
        <f t="shared" si="68"/>
        <v>39934</v>
      </c>
      <c r="AQ105" s="58">
        <f t="shared" ca="1" si="45"/>
        <v>2908</v>
      </c>
      <c r="AR105" s="38">
        <f>IF(Summary!$H$2=1,VLOOKUP('ANR OK vs ML7'!A105,Curves!$C$17:$AR$273,MATCH('ANR OK vs ML7'!$AR$4,Curves!$C$8:$AQ$8,0)),0.1)</f>
        <v>0.1</v>
      </c>
      <c r="AS105" s="35">
        <f t="shared" ca="1" si="46"/>
        <v>0.45982817981898916</v>
      </c>
      <c r="AT105" s="3">
        <f t="shared" si="69"/>
        <v>1</v>
      </c>
      <c r="AU105" s="3">
        <f t="shared" si="47"/>
        <v>31</v>
      </c>
      <c r="AW105" s="32">
        <f t="shared" ca="1" si="70"/>
        <v>191128.61398873365</v>
      </c>
      <c r="AX105" s="32">
        <f t="shared" si="71"/>
        <v>180297.64924289743</v>
      </c>
      <c r="AY105" s="32">
        <f t="shared" ca="1" si="72"/>
        <v>10830.964745836214</v>
      </c>
      <c r="BA105" s="32">
        <f ca="1">IF($A106="","",F105*Summary!$Q$7)</f>
        <v>0</v>
      </c>
      <c r="BC105" s="256">
        <f t="shared" ca="1" si="73"/>
        <v>82905.939877004086</v>
      </c>
    </row>
    <row r="106" spans="1:55">
      <c r="A106" s="67">
        <f t="shared" si="48"/>
        <v>39965</v>
      </c>
      <c r="B106" s="69">
        <f t="shared" si="74"/>
        <v>40000</v>
      </c>
      <c r="C106" s="71"/>
      <c r="D106" s="69">
        <f t="shared" si="75"/>
        <v>40000</v>
      </c>
      <c r="E106" s="70">
        <f t="shared" si="38"/>
        <v>1200000</v>
      </c>
      <c r="F106" s="70">
        <f t="shared" ca="1" si="39"/>
        <v>547242.74691884115</v>
      </c>
      <c r="G106" s="63">
        <f t="shared" si="49"/>
        <v>4.1950000000000003</v>
      </c>
      <c r="H106" s="64">
        <f t="shared" si="50"/>
        <v>4.1950000000000003</v>
      </c>
      <c r="I106" s="43"/>
      <c r="J106" s="63">
        <f t="shared" si="51"/>
        <v>0.21</v>
      </c>
      <c r="K106" s="64">
        <f t="shared" si="52"/>
        <v>0.21</v>
      </c>
      <c r="L106" s="63">
        <f t="shared" si="53"/>
        <v>0</v>
      </c>
      <c r="M106" s="64">
        <f t="shared" si="54"/>
        <v>0</v>
      </c>
      <c r="N106" s="65"/>
      <c r="O106" s="63">
        <f t="shared" si="55"/>
        <v>4.4050000000000002</v>
      </c>
      <c r="P106" s="63">
        <f t="shared" si="56"/>
        <v>4.4050000000000002</v>
      </c>
      <c r="Q106" s="66"/>
      <c r="R106" s="63">
        <f t="shared" si="57"/>
        <v>-0.14000000000000001</v>
      </c>
      <c r="S106" s="64">
        <f t="shared" si="58"/>
        <v>-0.14000000000000001</v>
      </c>
      <c r="T106" s="63">
        <f t="shared" si="59"/>
        <v>-0.01</v>
      </c>
      <c r="U106" s="64">
        <f t="shared" si="60"/>
        <v>-0.01</v>
      </c>
      <c r="V106" s="207">
        <f>IF($A107="","",IF(AND(MONTH(A106)&gt;3,MONTH(A106)&lt;11),(T106+R106+G106)*Summary!$T$7/(1-Summary!$T$7),(T106+R106+G106)*Summary!$U$7/(1-Summary!$U$7)))</f>
        <v>0.19548642415347522</v>
      </c>
      <c r="W106" s="63">
        <f t="shared" si="61"/>
        <v>4.2404864241534748</v>
      </c>
      <c r="X106" s="63">
        <f t="shared" si="62"/>
        <v>4.2404864241534748</v>
      </c>
      <c r="Y106" s="43"/>
      <c r="Z106" s="38">
        <f t="shared" si="63"/>
        <v>0.5</v>
      </c>
      <c r="AA106" s="38">
        <f t="shared" si="63"/>
        <v>0.19600000000000001</v>
      </c>
      <c r="AB106" s="38">
        <f t="shared" ca="1" si="40"/>
        <v>0.19926117361726642</v>
      </c>
      <c r="AC106" s="38">
        <f t="shared" si="63"/>
        <v>0.4</v>
      </c>
      <c r="AD106" s="38">
        <f t="shared" si="41"/>
        <v>0.19</v>
      </c>
      <c r="AE106" s="38">
        <f t="shared" ca="1" si="42"/>
        <v>0.19216890325091293</v>
      </c>
      <c r="AF106" s="238">
        <f ca="1">((Summary!$N$7*(AA106*AD106)*(A106-$D$3))+(Summary!$M$7*Z106*AC106*(DAY(EOMONTH(A106,0))/2)))/(AK106*AB106*AE106)</f>
        <v>0.99942284965867889</v>
      </c>
      <c r="AG106" s="88">
        <f>IF($A107="","",Summary!$Q$7)</f>
        <v>0</v>
      </c>
      <c r="AH106" s="88">
        <f>IF($A107="","",IF(Summary!$R$7="Y",(VLOOKUP($A106,Summary!$AD$6:$AF$9,3)+'Escalating commodity'!C119),'Escalating commodity'!C119))</f>
        <v>2.2495200000000003E-2</v>
      </c>
      <c r="AI106" s="88">
        <f t="shared" si="64"/>
        <v>2.2495200000000003E-2</v>
      </c>
      <c r="AJ106" s="236">
        <f t="shared" si="43"/>
        <v>39979</v>
      </c>
      <c r="AK106" s="58">
        <f t="shared" ca="1" si="65"/>
        <v>2939</v>
      </c>
      <c r="AL106" s="26">
        <f ca="1">IF($A107="","",_xll.SPRDOPT(P106,X106,AI106,0,AB106,AE106,AF106,AK106,$AJ$2,0))</f>
        <v>0.15147638015519144</v>
      </c>
      <c r="AM106" s="209">
        <f t="shared" si="44"/>
        <v>0.14201837584652549</v>
      </c>
      <c r="AN106" s="89">
        <f t="shared" ca="1" si="66"/>
        <v>9.458004308665946E-3</v>
      </c>
      <c r="AO106" s="3">
        <f t="shared" si="67"/>
        <v>30</v>
      </c>
      <c r="AP106" s="33">
        <f t="shared" si="68"/>
        <v>39965</v>
      </c>
      <c r="AQ106" s="58">
        <f t="shared" ca="1" si="45"/>
        <v>2939</v>
      </c>
      <c r="AR106" s="38">
        <f>IF(Summary!$H$2=1,VLOOKUP('ANR OK vs ML7'!A106,Curves!$C$17:$AR$273,MATCH('ANR OK vs ML7'!$AR$4,Curves!$C$8:$AQ$8,0)),0.1)</f>
        <v>0.1</v>
      </c>
      <c r="AS106" s="35">
        <f t="shared" ca="1" si="46"/>
        <v>0.45603562243236767</v>
      </c>
      <c r="AT106" s="3">
        <f t="shared" si="69"/>
        <v>1</v>
      </c>
      <c r="AU106" s="3">
        <f t="shared" si="47"/>
        <v>30</v>
      </c>
      <c r="AW106" s="32">
        <f t="shared" ca="1" si="70"/>
        <v>181771.65618622972</v>
      </c>
      <c r="AX106" s="32">
        <f t="shared" si="71"/>
        <v>170422.0510158306</v>
      </c>
      <c r="AY106" s="32">
        <f t="shared" ca="1" si="72"/>
        <v>11349.605170399134</v>
      </c>
      <c r="BA106" s="32">
        <f ca="1">IF($A107="","",F106*Summary!$Q$7)</f>
        <v>0</v>
      </c>
      <c r="BC106" s="256">
        <f t="shared" ca="1" si="73"/>
        <v>77718.526111205007</v>
      </c>
    </row>
    <row r="107" spans="1:55">
      <c r="A107" s="67">
        <f t="shared" si="48"/>
        <v>39995</v>
      </c>
      <c r="B107" s="69">
        <f t="shared" si="74"/>
        <v>40000</v>
      </c>
      <c r="C107" s="71"/>
      <c r="D107" s="69">
        <f t="shared" si="75"/>
        <v>40000</v>
      </c>
      <c r="E107" s="70">
        <f t="shared" si="38"/>
        <v>1240000</v>
      </c>
      <c r="F107" s="70">
        <f t="shared" ca="1" si="39"/>
        <v>560970.03698468953</v>
      </c>
      <c r="G107" s="63">
        <f t="shared" si="49"/>
        <v>4.25</v>
      </c>
      <c r="H107" s="64">
        <f t="shared" si="50"/>
        <v>4.25</v>
      </c>
      <c r="I107" s="43"/>
      <c r="J107" s="63">
        <f t="shared" si="51"/>
        <v>0.21</v>
      </c>
      <c r="K107" s="64">
        <f t="shared" si="52"/>
        <v>0.21</v>
      </c>
      <c r="L107" s="63">
        <f t="shared" si="53"/>
        <v>0</v>
      </c>
      <c r="M107" s="64">
        <f t="shared" si="54"/>
        <v>0</v>
      </c>
      <c r="N107" s="65"/>
      <c r="O107" s="63">
        <f t="shared" si="55"/>
        <v>4.46</v>
      </c>
      <c r="P107" s="63">
        <f t="shared" si="56"/>
        <v>4.46</v>
      </c>
      <c r="Q107" s="66"/>
      <c r="R107" s="63">
        <f t="shared" si="57"/>
        <v>-0.14000000000000001</v>
      </c>
      <c r="S107" s="64">
        <f t="shared" si="58"/>
        <v>-0.14000000000000001</v>
      </c>
      <c r="T107" s="63">
        <f t="shared" si="59"/>
        <v>-0.01</v>
      </c>
      <c r="U107" s="64">
        <f t="shared" si="60"/>
        <v>-0.01</v>
      </c>
      <c r="V107" s="207">
        <f>IF($A108="","",IF(AND(MONTH(A107)&gt;3,MONTH(A107)&lt;11),(T107+R107+G107)*Summary!$T$7/(1-Summary!$T$7),(T107+R107+G107)*Summary!$U$7/(1-Summary!$U$7)))</f>
        <v>0.19814445958695878</v>
      </c>
      <c r="W107" s="63">
        <f t="shared" si="61"/>
        <v>4.2981444595869585</v>
      </c>
      <c r="X107" s="63">
        <f t="shared" si="62"/>
        <v>4.2981444595869585</v>
      </c>
      <c r="Y107" s="43"/>
      <c r="Z107" s="38">
        <f t="shared" si="63"/>
        <v>0.55000000000000004</v>
      </c>
      <c r="AA107" s="38">
        <f t="shared" si="63"/>
        <v>0.19600000000000001</v>
      </c>
      <c r="AB107" s="38">
        <f t="shared" ca="1" si="40"/>
        <v>0.20002043512980958</v>
      </c>
      <c r="AC107" s="38">
        <f t="shared" si="63"/>
        <v>0.4</v>
      </c>
      <c r="AD107" s="38">
        <f t="shared" si="41"/>
        <v>0.19</v>
      </c>
      <c r="AE107" s="38">
        <f t="shared" ca="1" si="42"/>
        <v>0.19221721321527865</v>
      </c>
      <c r="AF107" s="238">
        <f ca="1">((Summary!$N$7*(AA107*AD107)*(A107-$D$3))+(Summary!$M$7*Z107*AC107*(DAY(EOMONTH(A107,0))/2)))/(AK107*AB107*AE107)</f>
        <v>0.99869905077345966</v>
      </c>
      <c r="AG107" s="88">
        <f>IF($A108="","",Summary!$Q$7)</f>
        <v>0</v>
      </c>
      <c r="AH107" s="88">
        <f>IF($A108="","",IF(Summary!$R$7="Y",(VLOOKUP($A107,Summary!$AD$6:$AF$9,3)+'Escalating commodity'!C120),'Escalating commodity'!C120))</f>
        <v>2.2495200000000003E-2</v>
      </c>
      <c r="AI107" s="88">
        <f t="shared" si="64"/>
        <v>2.2495200000000003E-2</v>
      </c>
      <c r="AJ107" s="236">
        <f t="shared" si="43"/>
        <v>40009.5</v>
      </c>
      <c r="AK107" s="58">
        <f t="shared" ca="1" si="65"/>
        <v>2969</v>
      </c>
      <c r="AL107" s="26">
        <f ca="1">IF($A108="","",_xll.SPRDOPT(P107,X107,AI107,0,AB107,AE107,AF107,AK107,$AJ$2,0))</f>
        <v>0.15842415503762108</v>
      </c>
      <c r="AM107" s="209">
        <f t="shared" si="44"/>
        <v>0.13936034041304152</v>
      </c>
      <c r="AN107" s="89">
        <f t="shared" ca="1" si="66"/>
        <v>1.9063814624579567E-2</v>
      </c>
      <c r="AO107" s="3">
        <f t="shared" si="67"/>
        <v>31</v>
      </c>
      <c r="AP107" s="33">
        <f t="shared" si="68"/>
        <v>39995</v>
      </c>
      <c r="AQ107" s="58">
        <f t="shared" ca="1" si="45"/>
        <v>2969</v>
      </c>
      <c r="AR107" s="38">
        <f>IF(Summary!$H$2=1,VLOOKUP('ANR OK vs ML7'!A107,Curves!$C$17:$AR$273,MATCH('ANR OK vs ML7'!$AR$4,Curves!$C$8:$AQ$8,0)),0.1)</f>
        <v>0.1</v>
      </c>
      <c r="AS107" s="35">
        <f t="shared" ca="1" si="46"/>
        <v>0.45239519111668508</v>
      </c>
      <c r="AT107" s="3">
        <f t="shared" si="69"/>
        <v>1</v>
      </c>
      <c r="AU107" s="3">
        <f t="shared" si="47"/>
        <v>31</v>
      </c>
      <c r="AW107" s="32">
        <f t="shared" ca="1" si="70"/>
        <v>196445.95224665015</v>
      </c>
      <c r="AX107" s="32">
        <f t="shared" si="71"/>
        <v>172806.82211217147</v>
      </c>
      <c r="AY107" s="32">
        <f t="shared" ca="1" si="72"/>
        <v>23639.130134478663</v>
      </c>
      <c r="BA107" s="32">
        <f ca="1">IF($A108="","",F107*Summary!$Q$7)</f>
        <v>0</v>
      </c>
      <c r="BC107" s="256">
        <f t="shared" ca="1" si="73"/>
        <v>78176.975315702817</v>
      </c>
    </row>
    <row r="108" spans="1:55">
      <c r="A108" s="67">
        <f t="shared" si="48"/>
        <v>40026</v>
      </c>
      <c r="B108" s="69">
        <f t="shared" si="74"/>
        <v>40000</v>
      </c>
      <c r="C108" s="71"/>
      <c r="D108" s="69">
        <f t="shared" si="75"/>
        <v>40000</v>
      </c>
      <c r="E108" s="70">
        <f t="shared" si="38"/>
        <v>1240000</v>
      </c>
      <c r="F108" s="70">
        <f t="shared" ca="1" si="39"/>
        <v>556343.28475241631</v>
      </c>
      <c r="G108" s="63">
        <f t="shared" si="49"/>
        <v>4.306</v>
      </c>
      <c r="H108" s="64">
        <f t="shared" si="50"/>
        <v>4.306</v>
      </c>
      <c r="I108" s="43"/>
      <c r="J108" s="63">
        <f t="shared" si="51"/>
        <v>0.21</v>
      </c>
      <c r="K108" s="64">
        <f t="shared" si="52"/>
        <v>0.21</v>
      </c>
      <c r="L108" s="63">
        <f t="shared" si="53"/>
        <v>0</v>
      </c>
      <c r="M108" s="64">
        <f t="shared" si="54"/>
        <v>0</v>
      </c>
      <c r="N108" s="65"/>
      <c r="O108" s="63">
        <f t="shared" si="55"/>
        <v>4.516</v>
      </c>
      <c r="P108" s="63">
        <f t="shared" si="56"/>
        <v>4.516</v>
      </c>
      <c r="Q108" s="66"/>
      <c r="R108" s="63">
        <f t="shared" si="57"/>
        <v>-0.14000000000000001</v>
      </c>
      <c r="S108" s="64">
        <f t="shared" si="58"/>
        <v>-0.14000000000000001</v>
      </c>
      <c r="T108" s="63">
        <f t="shared" si="59"/>
        <v>-0.01</v>
      </c>
      <c r="U108" s="64">
        <f t="shared" si="60"/>
        <v>-0.01</v>
      </c>
      <c r="V108" s="207">
        <f>IF($A109="","",IF(AND(MONTH(A108)&gt;3,MONTH(A108)&lt;11),(T108+R108+G108)*Summary!$T$7/(1-Summary!$T$7),(T108+R108+G108)*Summary!$U$7/(1-Summary!$U$7)))</f>
        <v>0.20085082293741482</v>
      </c>
      <c r="W108" s="63">
        <f t="shared" si="61"/>
        <v>4.3568508229374148</v>
      </c>
      <c r="X108" s="63">
        <f t="shared" si="62"/>
        <v>4.3568508229374148</v>
      </c>
      <c r="Y108" s="43"/>
      <c r="Z108" s="38">
        <f t="shared" si="63"/>
        <v>0.6</v>
      </c>
      <c r="AA108" s="38">
        <f t="shared" si="63"/>
        <v>0.19600000000000001</v>
      </c>
      <c r="AB108" s="38">
        <f t="shared" ca="1" si="40"/>
        <v>0.20072071475892403</v>
      </c>
      <c r="AC108" s="38">
        <f t="shared" si="63"/>
        <v>0.5</v>
      </c>
      <c r="AD108" s="38">
        <f t="shared" si="41"/>
        <v>0.19</v>
      </c>
      <c r="AE108" s="38">
        <f t="shared" ca="1" si="42"/>
        <v>0.19340036194381849</v>
      </c>
      <c r="AF108" s="238">
        <f ca="1">((Summary!$N$7*(AA108*AD108)*(A108-$D$3))+(Summary!$M$7*Z108*AC108*(DAY(EOMONTH(A108,0))/2)))/(AK108*AB108*AE108)</f>
        <v>0.99946493865203223</v>
      </c>
      <c r="AG108" s="88">
        <f>IF($A109="","",Summary!$Q$7)</f>
        <v>0</v>
      </c>
      <c r="AH108" s="88">
        <f>IF($A109="","",IF(Summary!$R$7="Y",(VLOOKUP($A108,Summary!$AD$6:$AF$9,3)+'Escalating commodity'!C121),'Escalating commodity'!C121))</f>
        <v>2.2495200000000003E-2</v>
      </c>
      <c r="AI108" s="88">
        <f t="shared" si="64"/>
        <v>2.2495200000000003E-2</v>
      </c>
      <c r="AJ108" s="236">
        <f t="shared" si="43"/>
        <v>40040.5</v>
      </c>
      <c r="AK108" s="58">
        <f t="shared" ca="1" si="65"/>
        <v>3000</v>
      </c>
      <c r="AL108" s="26">
        <f ca="1">IF($A109="","",_xll.SPRDOPT(P108,X108,AI108,0,AB108,AE108,AF108,AK108,$AJ$2,0))</f>
        <v>0.1479782951841048</v>
      </c>
      <c r="AM108" s="209">
        <f t="shared" si="44"/>
        <v>0.13665397706258525</v>
      </c>
      <c r="AN108" s="89">
        <f t="shared" ca="1" si="66"/>
        <v>1.1324318121519544E-2</v>
      </c>
      <c r="AO108" s="3">
        <f t="shared" si="67"/>
        <v>31</v>
      </c>
      <c r="AP108" s="33">
        <f t="shared" si="68"/>
        <v>40026</v>
      </c>
      <c r="AQ108" s="58">
        <f t="shared" ca="1" si="45"/>
        <v>3000</v>
      </c>
      <c r="AR108" s="38">
        <f>IF(Summary!$H$2=1,VLOOKUP('ANR OK vs ML7'!A108,Curves!$C$17:$AR$273,MATCH('ANR OK vs ML7'!$AR$4,Curves!$C$8:$AQ$8,0)),0.1)</f>
        <v>0.1</v>
      </c>
      <c r="AS108" s="35">
        <f t="shared" ca="1" si="46"/>
        <v>0.44866393931646481</v>
      </c>
      <c r="AT108" s="3">
        <f t="shared" si="69"/>
        <v>1</v>
      </c>
      <c r="AU108" s="3">
        <f t="shared" si="47"/>
        <v>31</v>
      </c>
      <c r="AW108" s="32">
        <f t="shared" ca="1" si="70"/>
        <v>183493.08602828995</v>
      </c>
      <c r="AX108" s="32">
        <f t="shared" si="71"/>
        <v>169450.93155760571</v>
      </c>
      <c r="AY108" s="32">
        <f t="shared" ca="1" si="72"/>
        <v>14042.154470684234</v>
      </c>
      <c r="BA108" s="32">
        <f ca="1">IF($A109="","",F108*Summary!$Q$7)</f>
        <v>0</v>
      </c>
      <c r="BC108" s="256">
        <f t="shared" ca="1" si="73"/>
        <v>76026.522473480029</v>
      </c>
    </row>
    <row r="109" spans="1:55">
      <c r="A109" s="67">
        <f t="shared" si="48"/>
        <v>40057</v>
      </c>
      <c r="B109" s="69">
        <f t="shared" si="74"/>
        <v>40000</v>
      </c>
      <c r="C109" s="71"/>
      <c r="D109" s="69">
        <f t="shared" si="75"/>
        <v>40000</v>
      </c>
      <c r="E109" s="70">
        <f t="shared" si="38"/>
        <v>1200000</v>
      </c>
      <c r="F109" s="70">
        <f t="shared" ca="1" si="39"/>
        <v>533956.15443060128</v>
      </c>
      <c r="G109" s="63">
        <f t="shared" si="49"/>
        <v>4.32</v>
      </c>
      <c r="H109" s="64">
        <f t="shared" si="50"/>
        <v>4.32</v>
      </c>
      <c r="I109" s="43"/>
      <c r="J109" s="63">
        <f t="shared" si="51"/>
        <v>0.21</v>
      </c>
      <c r="K109" s="64">
        <f t="shared" si="52"/>
        <v>0.21</v>
      </c>
      <c r="L109" s="63">
        <f t="shared" si="53"/>
        <v>0</v>
      </c>
      <c r="M109" s="64">
        <f t="shared" si="54"/>
        <v>0</v>
      </c>
      <c r="N109" s="65"/>
      <c r="O109" s="63">
        <f t="shared" si="55"/>
        <v>4.53</v>
      </c>
      <c r="P109" s="63">
        <f t="shared" si="56"/>
        <v>4.53</v>
      </c>
      <c r="Q109" s="66"/>
      <c r="R109" s="63">
        <f t="shared" si="57"/>
        <v>-0.14000000000000001</v>
      </c>
      <c r="S109" s="64">
        <f t="shared" si="58"/>
        <v>-0.14000000000000001</v>
      </c>
      <c r="T109" s="63">
        <f t="shared" si="59"/>
        <v>-0.01</v>
      </c>
      <c r="U109" s="64">
        <f t="shared" si="60"/>
        <v>-0.01</v>
      </c>
      <c r="V109" s="207">
        <f>IF($A110="","",IF(AND(MONTH(A109)&gt;3,MONTH(A109)&lt;11),(T109+R109+G109)*Summary!$T$7/(1-Summary!$T$7),(T109+R109+G109)*Summary!$U$7/(1-Summary!$U$7)))</f>
        <v>0.20152741377502886</v>
      </c>
      <c r="W109" s="63">
        <f t="shared" si="61"/>
        <v>4.3715274137750288</v>
      </c>
      <c r="X109" s="63">
        <f t="shared" si="62"/>
        <v>4.3715274137750288</v>
      </c>
      <c r="Y109" s="43"/>
      <c r="Z109" s="38">
        <f t="shared" si="63"/>
        <v>0.6</v>
      </c>
      <c r="AA109" s="38">
        <f t="shared" si="63"/>
        <v>0.19600000000000001</v>
      </c>
      <c r="AB109" s="38">
        <f t="shared" ca="1" si="40"/>
        <v>0.20052497250752138</v>
      </c>
      <c r="AC109" s="38">
        <f t="shared" si="63"/>
        <v>0.55000000000000004</v>
      </c>
      <c r="AD109" s="38">
        <f t="shared" si="41"/>
        <v>0.19</v>
      </c>
      <c r="AE109" s="38">
        <f t="shared" ca="1" si="42"/>
        <v>0.19393024762419858</v>
      </c>
      <c r="AF109" s="238">
        <f ca="1">((Summary!$N$7*(AA109*AD109)*(A109-$D$3))+(Summary!$M$7*Z109*AC109*(DAY(EOMONTH(A109,0))/2)))/(AK109*AB109*AE109)</f>
        <v>0.99984128602819555</v>
      </c>
      <c r="AG109" s="88">
        <f>IF($A110="","",Summary!$Q$7)</f>
        <v>0</v>
      </c>
      <c r="AH109" s="88">
        <f>IF($A110="","",IF(Summary!$R$7="Y",(VLOOKUP($A109,Summary!$AD$6:$AF$9,3)+'Escalating commodity'!C122),'Escalating commodity'!C122))</f>
        <v>2.2495200000000003E-2</v>
      </c>
      <c r="AI109" s="88">
        <f t="shared" si="64"/>
        <v>2.2495200000000003E-2</v>
      </c>
      <c r="AJ109" s="236">
        <f t="shared" si="43"/>
        <v>40071</v>
      </c>
      <c r="AK109" s="58">
        <f t="shared" ca="1" si="65"/>
        <v>3031</v>
      </c>
      <c r="AL109" s="26">
        <f ca="1">IF($A110="","",_xll.SPRDOPT(P109,X109,AI109,0,AB109,AE109,AF109,AK109,$AJ$2,0))</f>
        <v>0.14211629753790644</v>
      </c>
      <c r="AM109" s="209">
        <f t="shared" si="44"/>
        <v>0.13597738622497141</v>
      </c>
      <c r="AN109" s="89">
        <f t="shared" ca="1" si="66"/>
        <v>6.1389113129350359E-3</v>
      </c>
      <c r="AO109" s="3">
        <f t="shared" si="67"/>
        <v>30</v>
      </c>
      <c r="AP109" s="33">
        <f t="shared" si="68"/>
        <v>40057</v>
      </c>
      <c r="AQ109" s="58">
        <f t="shared" ca="1" si="45"/>
        <v>3031</v>
      </c>
      <c r="AR109" s="38">
        <f>IF(Summary!$H$2=1,VLOOKUP('ANR OK vs ML7'!A109,Curves!$C$17:$AR$273,MATCH('ANR OK vs ML7'!$AR$4,Curves!$C$8:$AQ$8,0)),0.1)</f>
        <v>0.1</v>
      </c>
      <c r="AS109" s="35">
        <f t="shared" ca="1" si="46"/>
        <v>0.44496346202550108</v>
      </c>
      <c r="AT109" s="3">
        <f t="shared" si="69"/>
        <v>1</v>
      </c>
      <c r="AU109" s="3">
        <f t="shared" si="47"/>
        <v>30</v>
      </c>
      <c r="AW109" s="32">
        <f t="shared" ca="1" si="70"/>
        <v>170539.55704548775</v>
      </c>
      <c r="AX109" s="32">
        <f t="shared" si="71"/>
        <v>163172.8634699657</v>
      </c>
      <c r="AY109" s="32">
        <f t="shared" ca="1" si="72"/>
        <v>7366.6935755220429</v>
      </c>
      <c r="BA109" s="32">
        <f ca="1">IF($A110="","",F109*Summary!$Q$7)</f>
        <v>0</v>
      </c>
      <c r="BC109" s="256">
        <f t="shared" ca="1" si="73"/>
        <v>72605.962238210355</v>
      </c>
    </row>
    <row r="110" spans="1:55">
      <c r="A110" s="67">
        <f t="shared" si="48"/>
        <v>40087</v>
      </c>
      <c r="B110" s="69">
        <f t="shared" si="74"/>
        <v>40000</v>
      </c>
      <c r="C110" s="71"/>
      <c r="D110" s="69">
        <f t="shared" si="75"/>
        <v>40000</v>
      </c>
      <c r="E110" s="70">
        <f t="shared" si="38"/>
        <v>1240000</v>
      </c>
      <c r="F110" s="70">
        <f t="shared" ca="1" si="39"/>
        <v>547350.15746779612</v>
      </c>
      <c r="G110" s="63">
        <f t="shared" si="49"/>
        <v>4.351</v>
      </c>
      <c r="H110" s="64">
        <f t="shared" si="50"/>
        <v>4.351</v>
      </c>
      <c r="I110" s="43"/>
      <c r="J110" s="63">
        <f t="shared" si="51"/>
        <v>0.21</v>
      </c>
      <c r="K110" s="64">
        <f t="shared" si="52"/>
        <v>0.21</v>
      </c>
      <c r="L110" s="63">
        <f t="shared" si="53"/>
        <v>0</v>
      </c>
      <c r="M110" s="64">
        <f t="shared" si="54"/>
        <v>0</v>
      </c>
      <c r="N110" s="65"/>
      <c r="O110" s="63">
        <f t="shared" si="55"/>
        <v>4.5609999999999999</v>
      </c>
      <c r="P110" s="63">
        <f t="shared" si="56"/>
        <v>4.5609999999999999</v>
      </c>
      <c r="Q110" s="66"/>
      <c r="R110" s="63">
        <f t="shared" si="57"/>
        <v>-0.14000000000000001</v>
      </c>
      <c r="S110" s="64">
        <f t="shared" si="58"/>
        <v>-0.14000000000000001</v>
      </c>
      <c r="T110" s="63">
        <f t="shared" si="59"/>
        <v>-0.01</v>
      </c>
      <c r="U110" s="64">
        <f t="shared" si="60"/>
        <v>-0.01</v>
      </c>
      <c r="V110" s="207">
        <f>IF($A111="","",IF(AND(MONTH(A110)&gt;3,MONTH(A110)&lt;11),(T110+R110+G110)*Summary!$T$7/(1-Summary!$T$7),(T110+R110+G110)*Summary!$U$7/(1-Summary!$U$7)))</f>
        <v>0.20302557920117412</v>
      </c>
      <c r="W110" s="63">
        <f t="shared" si="61"/>
        <v>4.404025579201174</v>
      </c>
      <c r="X110" s="63">
        <f t="shared" si="62"/>
        <v>4.404025579201174</v>
      </c>
      <c r="Y110" s="43"/>
      <c r="Z110" s="38">
        <f t="shared" si="63"/>
        <v>0.65</v>
      </c>
      <c r="AA110" s="38">
        <f t="shared" si="63"/>
        <v>0.19600000000000001</v>
      </c>
      <c r="AB110" s="38">
        <f t="shared" ca="1" si="40"/>
        <v>0.20141490851174315</v>
      </c>
      <c r="AC110" s="38">
        <f t="shared" si="63"/>
        <v>0.55000000000000004</v>
      </c>
      <c r="AD110" s="38">
        <f t="shared" si="41"/>
        <v>0.19</v>
      </c>
      <c r="AE110" s="38">
        <f t="shared" ca="1" si="42"/>
        <v>0.19401949436772487</v>
      </c>
      <c r="AF110" s="238">
        <f ca="1">((Summary!$N$7*(AA110*AD110)*(A110-$D$3))+(Summary!$M$7*Z110*AC110*(DAY(EOMONTH(A110,0))/2)))/(AK110*AB110*AE110)</f>
        <v>0.99949579471594885</v>
      </c>
      <c r="AG110" s="88">
        <f>IF($A111="","",Summary!$Q$7)</f>
        <v>0</v>
      </c>
      <c r="AH110" s="88">
        <f>IF($A111="","",IF(Summary!$R$7="Y",(VLOOKUP($A110,Summary!$AD$6:$AF$9,3)+'Escalating commodity'!C123),'Escalating commodity'!C123))</f>
        <v>2.2495200000000003E-2</v>
      </c>
      <c r="AI110" s="88">
        <f t="shared" si="64"/>
        <v>2.2495200000000003E-2</v>
      </c>
      <c r="AJ110" s="236">
        <f t="shared" si="43"/>
        <v>40101.5</v>
      </c>
      <c r="AK110" s="58">
        <f t="shared" ca="1" si="65"/>
        <v>3061</v>
      </c>
      <c r="AL110" s="26">
        <f ca="1">IF($A111="","",_xll.SPRDOPT(P110,X110,AI110,0,AB110,AE110,AF110,AK110,$AJ$2,0))</f>
        <v>0.14668980512417548</v>
      </c>
      <c r="AM110" s="209">
        <f t="shared" si="44"/>
        <v>0.13447922079882596</v>
      </c>
      <c r="AN110" s="89">
        <f t="shared" ca="1" si="66"/>
        <v>1.2210584325349522E-2</v>
      </c>
      <c r="AO110" s="3">
        <f t="shared" si="67"/>
        <v>31</v>
      </c>
      <c r="AP110" s="33">
        <f t="shared" si="68"/>
        <v>40087</v>
      </c>
      <c r="AQ110" s="58">
        <f t="shared" ca="1" si="45"/>
        <v>3061</v>
      </c>
      <c r="AR110" s="38">
        <f>IF(Summary!$H$2=1,VLOOKUP('ANR OK vs ML7'!A110,Curves!$C$17:$AR$273,MATCH('ANR OK vs ML7'!$AR$4,Curves!$C$8:$AQ$8,0)),0.1)</f>
        <v>0.1</v>
      </c>
      <c r="AS110" s="35">
        <f t="shared" ca="1" si="46"/>
        <v>0.44141141731273881</v>
      </c>
      <c r="AT110" s="3">
        <f t="shared" si="69"/>
        <v>1</v>
      </c>
      <c r="AU110" s="3">
        <f t="shared" si="47"/>
        <v>31</v>
      </c>
      <c r="AW110" s="32">
        <f t="shared" ca="1" si="70"/>
        <v>181895.35835397759</v>
      </c>
      <c r="AX110" s="32">
        <f t="shared" si="71"/>
        <v>166754.23379054418</v>
      </c>
      <c r="AY110" s="32">
        <f t="shared" ca="1" si="72"/>
        <v>15141.124563433406</v>
      </c>
      <c r="BA110" s="32">
        <f ca="1">IF($A111="","",F110*Summary!$Q$7)</f>
        <v>0</v>
      </c>
      <c r="BC110" s="256">
        <f t="shared" ca="1" si="73"/>
        <v>73607.222680383915</v>
      </c>
    </row>
    <row r="111" spans="1:55">
      <c r="A111" s="67">
        <f t="shared" si="48"/>
        <v>40118</v>
      </c>
      <c r="B111" s="69">
        <f t="shared" si="74"/>
        <v>40000</v>
      </c>
      <c r="C111" s="71"/>
      <c r="D111" s="69">
        <f t="shared" si="75"/>
        <v>40000</v>
      </c>
      <c r="E111" s="70">
        <f t="shared" si="38"/>
        <v>1200000</v>
      </c>
      <c r="F111" s="70">
        <f t="shared" ca="1" si="39"/>
        <v>525324.90859227383</v>
      </c>
      <c r="G111" s="63">
        <f t="shared" si="49"/>
        <v>4.484</v>
      </c>
      <c r="H111" s="64">
        <f t="shared" si="50"/>
        <v>4.484</v>
      </c>
      <c r="I111" s="43"/>
      <c r="J111" s="63">
        <f t="shared" si="51"/>
        <v>0.32500000000000001</v>
      </c>
      <c r="K111" s="64">
        <f t="shared" si="52"/>
        <v>0.32500000000000001</v>
      </c>
      <c r="L111" s="63">
        <f t="shared" si="53"/>
        <v>0</v>
      </c>
      <c r="M111" s="64">
        <f t="shared" si="54"/>
        <v>0</v>
      </c>
      <c r="N111" s="65"/>
      <c r="O111" s="63">
        <f t="shared" si="55"/>
        <v>4.8090000000000002</v>
      </c>
      <c r="P111" s="63">
        <f t="shared" si="56"/>
        <v>4.8090000000000002</v>
      </c>
      <c r="Q111" s="66"/>
      <c r="R111" s="63">
        <f t="shared" si="57"/>
        <v>-0.14249999999999999</v>
      </c>
      <c r="S111" s="64">
        <f t="shared" si="58"/>
        <v>-0.14249999999999999</v>
      </c>
      <c r="T111" s="63">
        <f t="shared" si="59"/>
        <v>0.01</v>
      </c>
      <c r="U111" s="64">
        <f t="shared" si="60"/>
        <v>0.01</v>
      </c>
      <c r="V111" s="207">
        <f>IF($A112="","",IF(AND(MONTH(A111)&gt;3,MONTH(A111)&lt;11),(T111+R111+G111)*Summary!$T$7/(1-Summary!$T$7),(T111+R111+G111)*Summary!$U$7/(1-Summary!$U$7)))</f>
        <v>0.21029893070552472</v>
      </c>
      <c r="W111" s="63">
        <f t="shared" si="61"/>
        <v>4.5617989307055247</v>
      </c>
      <c r="X111" s="63">
        <f t="shared" si="62"/>
        <v>4.5617989307055247</v>
      </c>
      <c r="Y111" s="43"/>
      <c r="Z111" s="38">
        <f t="shared" si="63"/>
        <v>0.8</v>
      </c>
      <c r="AA111" s="38">
        <f t="shared" si="63"/>
        <v>0.19600000000000001</v>
      </c>
      <c r="AB111" s="38">
        <f t="shared" ca="1" si="40"/>
        <v>0.20379698443979222</v>
      </c>
      <c r="AC111" s="38">
        <f t="shared" si="63"/>
        <v>0.8</v>
      </c>
      <c r="AD111" s="38">
        <f t="shared" si="41"/>
        <v>0.19</v>
      </c>
      <c r="AE111" s="38">
        <f t="shared" ca="1" si="42"/>
        <v>0.1980314667849499</v>
      </c>
      <c r="AF111" s="238">
        <f ca="1">((Summary!$N$7*(AA111*AD111)*(A111-$D$3))+(Summary!$M$7*Z111*AC111*(DAY(EOMONTH(A111,0))/2)))/(AK111*AB111*AE111)</f>
        <v>0.99987337326828085</v>
      </c>
      <c r="AG111" s="88">
        <f>IF($A112="","",Summary!$Q$7)</f>
        <v>0</v>
      </c>
      <c r="AH111" s="88">
        <f>IF($A112="","",IF(Summary!$R$7="Y",(VLOOKUP($A111,Summary!$AD$6:$AF$9,3)+'Escalating commodity'!C124),'Escalating commodity'!C124))</f>
        <v>2.2495200000000003E-2</v>
      </c>
      <c r="AI111" s="88">
        <f t="shared" si="64"/>
        <v>2.2495200000000003E-2</v>
      </c>
      <c r="AJ111" s="236">
        <f t="shared" si="43"/>
        <v>40132</v>
      </c>
      <c r="AK111" s="58">
        <f t="shared" ca="1" si="65"/>
        <v>3092</v>
      </c>
      <c r="AL111" s="26">
        <f ca="1">IF($A112="","",_xll.SPRDOPT(P111,X111,AI111,0,AB111,AE111,AF111,AK111,$AJ$2,0))</f>
        <v>0.22582239720535874</v>
      </c>
      <c r="AM111" s="209">
        <f t="shared" si="44"/>
        <v>0.2247058692944755</v>
      </c>
      <c r="AN111" s="89">
        <f t="shared" ca="1" si="66"/>
        <v>1.116527910883236E-3</v>
      </c>
      <c r="AO111" s="3">
        <f t="shared" si="67"/>
        <v>30</v>
      </c>
      <c r="AP111" s="33">
        <f t="shared" si="68"/>
        <v>40118</v>
      </c>
      <c r="AQ111" s="58">
        <f t="shared" ca="1" si="45"/>
        <v>3092</v>
      </c>
      <c r="AR111" s="38">
        <f>IF(Summary!$H$2=1,VLOOKUP('ANR OK vs ML7'!A111,Curves!$C$17:$AR$273,MATCH('ANR OK vs ML7'!$AR$4,Curves!$C$8:$AQ$8,0)),0.1)</f>
        <v>0.1</v>
      </c>
      <c r="AS111" s="35">
        <f t="shared" ca="1" si="46"/>
        <v>0.43777075716022817</v>
      </c>
      <c r="AT111" s="3">
        <f t="shared" si="69"/>
        <v>1</v>
      </c>
      <c r="AU111" s="3">
        <f t="shared" si="47"/>
        <v>30</v>
      </c>
      <c r="AW111" s="32">
        <f t="shared" ca="1" si="70"/>
        <v>270986.87664643046</v>
      </c>
      <c r="AX111" s="32">
        <f t="shared" si="71"/>
        <v>269647.04315337061</v>
      </c>
      <c r="AY111" s="32">
        <f t="shared" ca="1" si="72"/>
        <v>1339.8334930598833</v>
      </c>
      <c r="BA111" s="32">
        <f ca="1">IF($A112="","",F111*Summary!$Q$7)</f>
        <v>0</v>
      </c>
      <c r="BC111" s="256">
        <f t="shared" ca="1" si="73"/>
        <v>118043.59024726777</v>
      </c>
    </row>
    <row r="112" spans="1:55">
      <c r="A112" s="67">
        <f t="shared" si="48"/>
        <v>40148</v>
      </c>
      <c r="B112" s="69">
        <f t="shared" si="74"/>
        <v>40000</v>
      </c>
      <c r="C112" s="71"/>
      <c r="D112" s="69">
        <f t="shared" si="75"/>
        <v>40000</v>
      </c>
      <c r="E112" s="70">
        <f t="shared" si="38"/>
        <v>1240000</v>
      </c>
      <c r="F112" s="70">
        <f t="shared" ca="1" si="39"/>
        <v>538502.40146844857</v>
      </c>
      <c r="G112" s="63">
        <f t="shared" si="49"/>
        <v>4.6219999999999999</v>
      </c>
      <c r="H112" s="64">
        <f t="shared" si="50"/>
        <v>4.6219999999999999</v>
      </c>
      <c r="I112" s="43"/>
      <c r="J112" s="63">
        <f t="shared" si="51"/>
        <v>0.32500000000000001</v>
      </c>
      <c r="K112" s="64">
        <f t="shared" si="52"/>
        <v>0.32500000000000001</v>
      </c>
      <c r="L112" s="63">
        <f t="shared" si="53"/>
        <v>0</v>
      </c>
      <c r="M112" s="64">
        <f t="shared" si="54"/>
        <v>0</v>
      </c>
      <c r="N112" s="65"/>
      <c r="O112" s="63">
        <f t="shared" si="55"/>
        <v>4.9470000000000001</v>
      </c>
      <c r="P112" s="63">
        <f t="shared" si="56"/>
        <v>4.9470000000000001</v>
      </c>
      <c r="Q112" s="66"/>
      <c r="R112" s="63">
        <f t="shared" si="57"/>
        <v>-0.13750000000000001</v>
      </c>
      <c r="S112" s="64">
        <f t="shared" si="58"/>
        <v>-0.13750000000000001</v>
      </c>
      <c r="T112" s="63">
        <f t="shared" si="59"/>
        <v>0.01</v>
      </c>
      <c r="U112" s="64">
        <f t="shared" si="60"/>
        <v>0.01</v>
      </c>
      <c r="V112" s="207">
        <f>IF($A113="","",IF(AND(MONTH(A112)&gt;3,MONTH(A112)&lt;11),(T112+R112+G112)*Summary!$T$7/(1-Summary!$T$7),(T112+R112+G112)*Summary!$U$7/(1-Summary!$U$7)))</f>
        <v>0.217209822832582</v>
      </c>
      <c r="W112" s="63">
        <f t="shared" si="61"/>
        <v>4.7117098228325816</v>
      </c>
      <c r="X112" s="63">
        <f t="shared" si="62"/>
        <v>4.7117098228325816</v>
      </c>
      <c r="Y112" s="43"/>
      <c r="Z112" s="38">
        <f t="shared" si="63"/>
        <v>1.1000000000000001</v>
      </c>
      <c r="AA112" s="38">
        <f t="shared" si="63"/>
        <v>0.19600000000000001</v>
      </c>
      <c r="AB112" s="38">
        <f t="shared" ca="1" si="40"/>
        <v>0.21079770398447162</v>
      </c>
      <c r="AC112" s="38">
        <f t="shared" si="63"/>
        <v>1</v>
      </c>
      <c r="AD112" s="38">
        <f t="shared" si="41"/>
        <v>0.19</v>
      </c>
      <c r="AE112" s="38">
        <f t="shared" ca="1" si="42"/>
        <v>0.20267296138386356</v>
      </c>
      <c r="AF112" s="238">
        <f ca="1">((Summary!$N$7*(AA112*AD112)*(A112-$D$3))+(Summary!$M$7*Z112*AC112*(DAY(EOMONTH(A112,0))/2)))/(AK112*AB112*AE112)</f>
        <v>0.99968286239997606</v>
      </c>
      <c r="AG112" s="88">
        <f>IF($A113="","",Summary!$Q$7)</f>
        <v>0</v>
      </c>
      <c r="AH112" s="88">
        <f>IF($A113="","",IF(Summary!$R$7="Y",(VLOOKUP($A112,Summary!$AD$6:$AF$9,3)+'Escalating commodity'!C125),'Escalating commodity'!C125))</f>
        <v>2.2495200000000003E-2</v>
      </c>
      <c r="AI112" s="88">
        <f t="shared" si="64"/>
        <v>2.2495200000000003E-2</v>
      </c>
      <c r="AJ112" s="236">
        <f t="shared" si="43"/>
        <v>40162.5</v>
      </c>
      <c r="AK112" s="58">
        <f t="shared" ca="1" si="65"/>
        <v>3122</v>
      </c>
      <c r="AL112" s="26">
        <f ca="1">IF($A113="","",_xll.SPRDOPT(P112,X112,AI112,0,AB112,AE112,AF112,AK112,$AJ$2,0))</f>
        <v>0.21881013583155323</v>
      </c>
      <c r="AM112" s="209">
        <f t="shared" si="44"/>
        <v>0.21279497716741852</v>
      </c>
      <c r="AN112" s="89">
        <f t="shared" ca="1" si="66"/>
        <v>6.0151586641347121E-3</v>
      </c>
      <c r="AO112" s="3">
        <f t="shared" si="67"/>
        <v>31</v>
      </c>
      <c r="AP112" s="33">
        <f t="shared" si="68"/>
        <v>40148</v>
      </c>
      <c r="AQ112" s="58">
        <f t="shared" ca="1" si="45"/>
        <v>3122</v>
      </c>
      <c r="AR112" s="38">
        <f>IF(Summary!$H$2=1,VLOOKUP('ANR OK vs ML7'!A112,Curves!$C$17:$AR$273,MATCH('ANR OK vs ML7'!$AR$4,Curves!$C$8:$AQ$8,0)),0.1)</f>
        <v>0.1</v>
      </c>
      <c r="AS112" s="35">
        <f t="shared" ca="1" si="46"/>
        <v>0.43427613021649081</v>
      </c>
      <c r="AT112" s="3">
        <f t="shared" si="69"/>
        <v>1</v>
      </c>
      <c r="AU112" s="3">
        <f t="shared" si="47"/>
        <v>31</v>
      </c>
      <c r="AW112" s="32">
        <f t="shared" ca="1" si="70"/>
        <v>271324.56843112601</v>
      </c>
      <c r="AX112" s="32">
        <f t="shared" si="71"/>
        <v>263865.77168759896</v>
      </c>
      <c r="AY112" s="32">
        <f t="shared" ca="1" si="72"/>
        <v>7458.796743527043</v>
      </c>
      <c r="BA112" s="32">
        <f ca="1">IF($A113="","",F112*Summary!$Q$7)</f>
        <v>0</v>
      </c>
      <c r="BC112" s="256">
        <f t="shared" ca="1" si="73"/>
        <v>114590.60622507856</v>
      </c>
    </row>
    <row r="113" spans="1:55">
      <c r="A113" s="67">
        <f t="shared" si="48"/>
        <v>40179</v>
      </c>
      <c r="B113" s="69">
        <f t="shared" si="74"/>
        <v>40000</v>
      </c>
      <c r="C113" s="71"/>
      <c r="D113" s="69">
        <f t="shared" si="75"/>
        <v>40000</v>
      </c>
      <c r="E113" s="70">
        <f t="shared" si="38"/>
        <v>1240000</v>
      </c>
      <c r="F113" s="70">
        <f t="shared" ca="1" si="39"/>
        <v>534060.95714199054</v>
      </c>
      <c r="G113" s="63">
        <f t="shared" si="49"/>
        <v>4.649</v>
      </c>
      <c r="H113" s="64">
        <f t="shared" si="50"/>
        <v>4.649</v>
      </c>
      <c r="I113" s="43"/>
      <c r="J113" s="63">
        <f t="shared" si="51"/>
        <v>0.32500000000000001</v>
      </c>
      <c r="K113" s="64">
        <f t="shared" si="52"/>
        <v>0.32500000000000001</v>
      </c>
      <c r="L113" s="63">
        <f t="shared" si="53"/>
        <v>0</v>
      </c>
      <c r="M113" s="64">
        <f t="shared" si="54"/>
        <v>0</v>
      </c>
      <c r="N113" s="65"/>
      <c r="O113" s="63">
        <f t="shared" si="55"/>
        <v>4.9740000000000002</v>
      </c>
      <c r="P113" s="63">
        <f t="shared" si="56"/>
        <v>4.9740000000000002</v>
      </c>
      <c r="Q113" s="66"/>
      <c r="R113" s="63">
        <f t="shared" si="57"/>
        <v>-0.13750000000000001</v>
      </c>
      <c r="S113" s="64">
        <f t="shared" si="58"/>
        <v>-0.13750000000000001</v>
      </c>
      <c r="T113" s="63">
        <f t="shared" si="59"/>
        <v>0.01</v>
      </c>
      <c r="U113" s="64">
        <f t="shared" si="60"/>
        <v>0.01</v>
      </c>
      <c r="V113" s="207">
        <f>IF($A114="","",IF(AND(MONTH(A113)&gt;3,MONTH(A113)&lt;11),(T113+R113+G113)*Summary!$T$7/(1-Summary!$T$7),(T113+R113+G113)*Summary!$U$7/(1-Summary!$U$7)))</f>
        <v>0.21851467659083762</v>
      </c>
      <c r="W113" s="63">
        <f t="shared" si="61"/>
        <v>4.7400146765908371</v>
      </c>
      <c r="X113" s="63">
        <f t="shared" si="62"/>
        <v>4.7400146765908371</v>
      </c>
      <c r="Y113" s="43"/>
      <c r="Z113" s="38">
        <f t="shared" si="63"/>
        <v>1.1000000000000001</v>
      </c>
      <c r="AA113" s="38">
        <f t="shared" si="63"/>
        <v>0.19600000000000001</v>
      </c>
      <c r="AB113" s="38">
        <f t="shared" ca="1" si="40"/>
        <v>0.21065727415660349</v>
      </c>
      <c r="AC113" s="38">
        <f t="shared" si="63"/>
        <v>1</v>
      </c>
      <c r="AD113" s="38">
        <f t="shared" si="41"/>
        <v>0.19</v>
      </c>
      <c r="AE113" s="38">
        <f t="shared" ca="1" si="42"/>
        <v>0.20255222159688707</v>
      </c>
      <c r="AF113" s="238">
        <f ca="1">((Summary!$N$7*(AA113*AD113)*(A113-$D$3))+(Summary!$M$7*Z113*AC113*(DAY(EOMONTH(A113,0))/2)))/(AK113*AB113*AE113)</f>
        <v>0.99968443868968904</v>
      </c>
      <c r="AG113" s="88">
        <f>IF($A114="","",Summary!$Q$7)</f>
        <v>0</v>
      </c>
      <c r="AH113" s="88">
        <f>IF($A114="","",IF(Summary!$R$7="Y",(VLOOKUP($A113,Summary!$AD$6:$AF$9,3)+'Escalating commodity'!C126),'Escalating commodity'!C126))</f>
        <v>2.2495200000000003E-2</v>
      </c>
      <c r="AI113" s="88">
        <f t="shared" si="64"/>
        <v>2.2495200000000003E-2</v>
      </c>
      <c r="AJ113" s="236">
        <f t="shared" si="43"/>
        <v>40193.5</v>
      </c>
      <c r="AK113" s="58">
        <f t="shared" ca="1" si="65"/>
        <v>3153</v>
      </c>
      <c r="AL113" s="26">
        <f ca="1">IF($A114="","",_xll.SPRDOPT(P113,X113,AI113,0,AB113,AE113,AF113,AK113,$AJ$2,0))</f>
        <v>0.21776332024001663</v>
      </c>
      <c r="AM113" s="209">
        <f t="shared" si="44"/>
        <v>0.21149012340916312</v>
      </c>
      <c r="AN113" s="89">
        <f t="shared" ca="1" si="66"/>
        <v>6.2731968308535058E-3</v>
      </c>
      <c r="AO113" s="3">
        <f t="shared" si="67"/>
        <v>31</v>
      </c>
      <c r="AP113" s="33">
        <f t="shared" si="68"/>
        <v>40179</v>
      </c>
      <c r="AQ113" s="58">
        <f t="shared" ca="1" si="45"/>
        <v>3153</v>
      </c>
      <c r="AR113" s="38">
        <f>IF(Summary!$H$2=1,VLOOKUP('ANR OK vs ML7'!A113,Curves!$C$17:$AR$273,MATCH('ANR OK vs ML7'!$AR$4,Curves!$C$8:$AQ$8,0)),0.1)</f>
        <v>0.1</v>
      </c>
      <c r="AS113" s="35">
        <f t="shared" ca="1" si="46"/>
        <v>0.43069432027579885</v>
      </c>
      <c r="AT113" s="3">
        <f t="shared" si="69"/>
        <v>1</v>
      </c>
      <c r="AU113" s="3">
        <f t="shared" si="47"/>
        <v>31</v>
      </c>
      <c r="AW113" s="32">
        <f t="shared" ca="1" si="70"/>
        <v>270026.51709762064</v>
      </c>
      <c r="AX113" s="32">
        <f t="shared" si="71"/>
        <v>262247.75302736228</v>
      </c>
      <c r="AY113" s="32">
        <f t="shared" ca="1" si="72"/>
        <v>7778.7640702583476</v>
      </c>
      <c r="BA113" s="32">
        <f ca="1">IF($A114="","",F113*Summary!$Q$7)</f>
        <v>0</v>
      </c>
      <c r="BC113" s="256">
        <f t="shared" ca="1" si="73"/>
        <v>112948.61773397536</v>
      </c>
    </row>
    <row r="114" spans="1:55">
      <c r="A114" s="67">
        <f t="shared" si="48"/>
        <v>40210</v>
      </c>
      <c r="B114" s="69">
        <f t="shared" si="74"/>
        <v>40000</v>
      </c>
      <c r="C114" s="71"/>
      <c r="D114" s="69">
        <f t="shared" si="75"/>
        <v>40000</v>
      </c>
      <c r="E114" s="70">
        <f t="shared" si="38"/>
        <v>1120000</v>
      </c>
      <c r="F114" s="70">
        <f t="shared" ca="1" si="39"/>
        <v>478399.09855603462</v>
      </c>
      <c r="G114" s="63">
        <f t="shared" si="49"/>
        <v>4.5289999999999999</v>
      </c>
      <c r="H114" s="64">
        <f t="shared" si="50"/>
        <v>4.5289999999999999</v>
      </c>
      <c r="I114" s="43"/>
      <c r="J114" s="63">
        <f t="shared" si="51"/>
        <v>0.32500000000000001</v>
      </c>
      <c r="K114" s="64">
        <f t="shared" si="52"/>
        <v>0.32500000000000001</v>
      </c>
      <c r="L114" s="63">
        <f t="shared" si="53"/>
        <v>0</v>
      </c>
      <c r="M114" s="64">
        <f t="shared" si="54"/>
        <v>0</v>
      </c>
      <c r="N114" s="65"/>
      <c r="O114" s="63">
        <f t="shared" si="55"/>
        <v>4.8540000000000001</v>
      </c>
      <c r="P114" s="63">
        <f t="shared" si="56"/>
        <v>4.8540000000000001</v>
      </c>
      <c r="Q114" s="66"/>
      <c r="R114" s="63">
        <f t="shared" si="57"/>
        <v>-0.14000000000000001</v>
      </c>
      <c r="S114" s="64">
        <f t="shared" si="58"/>
        <v>-0.14000000000000001</v>
      </c>
      <c r="T114" s="63">
        <f t="shared" si="59"/>
        <v>0.01</v>
      </c>
      <c r="U114" s="64">
        <f t="shared" si="60"/>
        <v>0.01</v>
      </c>
      <c r="V114" s="207">
        <f>IF($A115="","",IF(AND(MONTH(A114)&gt;3,MONTH(A114)&lt;11),(T114+R114+G114)*Summary!$T$7/(1-Summary!$T$7),(T114+R114+G114)*Summary!$U$7/(1-Summary!$U$7)))</f>
        <v>0.21259450676171507</v>
      </c>
      <c r="W114" s="63">
        <f t="shared" si="61"/>
        <v>4.6115945067617155</v>
      </c>
      <c r="X114" s="63">
        <f t="shared" si="62"/>
        <v>4.6115945067617155</v>
      </c>
      <c r="Y114" s="43"/>
      <c r="Z114" s="38">
        <f t="shared" si="63"/>
        <v>1.1000000000000001</v>
      </c>
      <c r="AA114" s="38">
        <f t="shared" si="63"/>
        <v>0.191</v>
      </c>
      <c r="AB114" s="38">
        <f t="shared" ca="1" si="40"/>
        <v>0.20448180691517887</v>
      </c>
      <c r="AC114" s="38">
        <f t="shared" si="63"/>
        <v>1</v>
      </c>
      <c r="AD114" s="38">
        <f t="shared" si="41"/>
        <v>0.185</v>
      </c>
      <c r="AE114" s="38">
        <f t="shared" ca="1" si="42"/>
        <v>0.19655211518172999</v>
      </c>
      <c r="AF114" s="238">
        <f ca="1">((Summary!$N$7*(AA114*AD114)*(A114-$D$3))+(Summary!$M$7*Z114*AC114*(DAY(EOMONTH(A114,0))/2)))/(AK114*AB114*AE114)</f>
        <v>0.99969930873990709</v>
      </c>
      <c r="AG114" s="88">
        <f>IF($A115="","",Summary!$Q$7)</f>
        <v>0</v>
      </c>
      <c r="AH114" s="88">
        <f>IF($A115="","",IF(Summary!$R$7="Y",(VLOOKUP($A114,Summary!$AD$6:$AF$9,3)+'Escalating commodity'!C127),'Escalating commodity'!C127))</f>
        <v>2.2495200000000003E-2</v>
      </c>
      <c r="AI114" s="88">
        <f t="shared" si="64"/>
        <v>2.2495200000000003E-2</v>
      </c>
      <c r="AJ114" s="236">
        <f t="shared" si="43"/>
        <v>40223</v>
      </c>
      <c r="AK114" s="58">
        <f t="shared" ca="1" si="65"/>
        <v>3184</v>
      </c>
      <c r="AL114" s="26">
        <f ca="1">IF($A115="","",_xll.SPRDOPT(P114,X114,AI114,0,AB114,AE114,AF114,AK114,$AJ$2,0))</f>
        <v>0.22460294573143313</v>
      </c>
      <c r="AM114" s="209">
        <f t="shared" si="44"/>
        <v>0.21991029323828465</v>
      </c>
      <c r="AN114" s="89">
        <f t="shared" ca="1" si="66"/>
        <v>4.6926524931484859E-3</v>
      </c>
      <c r="AO114" s="3">
        <f t="shared" si="67"/>
        <v>28</v>
      </c>
      <c r="AP114" s="33">
        <f t="shared" si="68"/>
        <v>40210</v>
      </c>
      <c r="AQ114" s="58">
        <f t="shared" ca="1" si="45"/>
        <v>3184</v>
      </c>
      <c r="AR114" s="38">
        <f>IF(Summary!$H$2=1,VLOOKUP('ANR OK vs ML7'!A114,Curves!$C$17:$AR$273,MATCH('ANR OK vs ML7'!$AR$4,Curves!$C$8:$AQ$8,0)),0.1)</f>
        <v>0.1</v>
      </c>
      <c r="AS114" s="35">
        <f t="shared" ca="1" si="46"/>
        <v>0.42714205228217378</v>
      </c>
      <c r="AT114" s="3">
        <f t="shared" si="69"/>
        <v>1</v>
      </c>
      <c r="AU114" s="3">
        <f t="shared" si="47"/>
        <v>28</v>
      </c>
      <c r="AW114" s="32">
        <f t="shared" ca="1" si="70"/>
        <v>251555.2992192051</v>
      </c>
      <c r="AX114" s="32">
        <f t="shared" si="71"/>
        <v>246299.52842687879</v>
      </c>
      <c r="AY114" s="32">
        <f t="shared" ca="1" si="72"/>
        <v>5255.7707923263042</v>
      </c>
      <c r="BA114" s="32">
        <f ca="1">IF($A115="","",F114*Summary!$Q$7)</f>
        <v>0</v>
      </c>
      <c r="BC114" s="256">
        <f t="shared" ca="1" si="73"/>
        <v>105204.88604838861</v>
      </c>
    </row>
    <row r="115" spans="1:55">
      <c r="A115" s="67">
        <f t="shared" si="48"/>
        <v>40238</v>
      </c>
      <c r="B115" s="69">
        <f t="shared" si="74"/>
        <v>40000</v>
      </c>
      <c r="C115" s="71"/>
      <c r="D115" s="69">
        <f t="shared" si="75"/>
        <v>40000</v>
      </c>
      <c r="E115" s="70">
        <f t="shared" si="38"/>
        <v>1240000</v>
      </c>
      <c r="F115" s="70">
        <f t="shared" ca="1" si="39"/>
        <v>525708.83931235794</v>
      </c>
      <c r="G115" s="63">
        <f t="shared" si="49"/>
        <v>4.3899999999999997</v>
      </c>
      <c r="H115" s="64">
        <f t="shared" si="50"/>
        <v>4.3899999999999997</v>
      </c>
      <c r="I115" s="43"/>
      <c r="J115" s="63">
        <f t="shared" si="51"/>
        <v>0.32500000000000001</v>
      </c>
      <c r="K115" s="64">
        <f t="shared" si="52"/>
        <v>0.32500000000000001</v>
      </c>
      <c r="L115" s="63">
        <f t="shared" si="53"/>
        <v>0</v>
      </c>
      <c r="M115" s="64">
        <f t="shared" si="54"/>
        <v>0</v>
      </c>
      <c r="N115" s="65"/>
      <c r="O115" s="63">
        <f t="shared" si="55"/>
        <v>4.7149999999999999</v>
      </c>
      <c r="P115" s="63">
        <f t="shared" si="56"/>
        <v>4.7149999999999999</v>
      </c>
      <c r="Q115" s="66"/>
      <c r="R115" s="63">
        <f t="shared" si="57"/>
        <v>-0.14249999999999999</v>
      </c>
      <c r="S115" s="64">
        <f t="shared" si="58"/>
        <v>-0.14249999999999999</v>
      </c>
      <c r="T115" s="63">
        <f t="shared" si="59"/>
        <v>0.01</v>
      </c>
      <c r="U115" s="64">
        <f t="shared" si="60"/>
        <v>0.01</v>
      </c>
      <c r="V115" s="207">
        <f>IF($A116="","",IF(AND(MONTH(A115)&gt;3,MONTH(A115)&lt;11),(T115+R115+G115)*Summary!$T$7/(1-Summary!$T$7),(T115+R115+G115)*Summary!$U$7/(1-Summary!$U$7)))</f>
        <v>0.20575610651011636</v>
      </c>
      <c r="W115" s="63">
        <f t="shared" si="61"/>
        <v>4.4632561065101157</v>
      </c>
      <c r="X115" s="63">
        <f t="shared" si="62"/>
        <v>4.4632561065101157</v>
      </c>
      <c r="Y115" s="43"/>
      <c r="Z115" s="38">
        <f t="shared" si="63"/>
        <v>0.75</v>
      </c>
      <c r="AA115" s="38">
        <f t="shared" si="63"/>
        <v>0.188</v>
      </c>
      <c r="AB115" s="38">
        <f t="shared" ca="1" si="40"/>
        <v>0.19511390006226961</v>
      </c>
      <c r="AC115" s="38">
        <f t="shared" si="63"/>
        <v>0.75</v>
      </c>
      <c r="AD115" s="38">
        <f t="shared" si="41"/>
        <v>0.183</v>
      </c>
      <c r="AE115" s="38">
        <f t="shared" ca="1" si="42"/>
        <v>0.19029938643021441</v>
      </c>
      <c r="AF115" s="238">
        <f ca="1">((Summary!$N$7*(AA115*AD115)*(A115-$D$3))+(Summary!$M$7*Z115*AC115*(DAY(EOMONTH(A115,0))/2)))/(AK115*AB115*AE115)</f>
        <v>0.99988269363044668</v>
      </c>
      <c r="AG115" s="88">
        <f>IF($A116="","",Summary!$Q$7)</f>
        <v>0</v>
      </c>
      <c r="AH115" s="88">
        <f>IF($A116="","",IF(Summary!$R$7="Y",(VLOOKUP($A115,Summary!$AD$6:$AF$9,3)+'Escalating commodity'!C128),'Escalating commodity'!C128))</f>
        <v>2.2495200000000003E-2</v>
      </c>
      <c r="AI115" s="88">
        <f t="shared" si="64"/>
        <v>2.2495200000000003E-2</v>
      </c>
      <c r="AJ115" s="236">
        <f t="shared" si="43"/>
        <v>40252.5</v>
      </c>
      <c r="AK115" s="58">
        <f t="shared" ca="1" si="65"/>
        <v>3212</v>
      </c>
      <c r="AL115" s="26">
        <f ca="1">IF($A116="","",_xll.SPRDOPT(P115,X115,AI115,0,AB115,AE115,AF115,AK115,$AJ$2,0))</f>
        <v>0.22981427162635967</v>
      </c>
      <c r="AM115" s="209">
        <f t="shared" si="44"/>
        <v>0.22924869348988414</v>
      </c>
      <c r="AN115" s="89">
        <f t="shared" ca="1" si="66"/>
        <v>5.6557813647553634E-4</v>
      </c>
      <c r="AO115" s="3">
        <f t="shared" si="67"/>
        <v>31</v>
      </c>
      <c r="AP115" s="33">
        <f t="shared" si="68"/>
        <v>40238</v>
      </c>
      <c r="AQ115" s="58">
        <f t="shared" ca="1" si="45"/>
        <v>3212</v>
      </c>
      <c r="AR115" s="38">
        <f>IF(Summary!$H$2=1,VLOOKUP('ANR OK vs ML7'!A115,Curves!$C$17:$AR$273,MATCH('ANR OK vs ML7'!$AR$4,Curves!$C$8:$AQ$8,0)),0.1)</f>
        <v>0.1</v>
      </c>
      <c r="AS115" s="35">
        <f t="shared" ca="1" si="46"/>
        <v>0.42395874138093387</v>
      </c>
      <c r="AT115" s="3">
        <f t="shared" si="69"/>
        <v>1</v>
      </c>
      <c r="AU115" s="3">
        <f t="shared" si="47"/>
        <v>31</v>
      </c>
      <c r="AW115" s="32">
        <f t="shared" ca="1" si="70"/>
        <v>284969.69681668602</v>
      </c>
      <c r="AX115" s="32">
        <f t="shared" si="71"/>
        <v>284268.37992745632</v>
      </c>
      <c r="AY115" s="32">
        <f t="shared" ca="1" si="72"/>
        <v>701.31688922966509</v>
      </c>
      <c r="BA115" s="32">
        <f ca="1">IF($A116="","",F115*Summary!$Q$7)</f>
        <v>0</v>
      </c>
      <c r="BC115" s="256">
        <f t="shared" ca="1" si="73"/>
        <v>120518.06456844149</v>
      </c>
    </row>
    <row r="116" spans="1:55">
      <c r="A116" s="67">
        <f t="shared" si="48"/>
        <v>40269</v>
      </c>
      <c r="B116" s="69">
        <f t="shared" si="74"/>
        <v>40000</v>
      </c>
      <c r="C116" s="71"/>
      <c r="D116" s="69">
        <f t="shared" si="75"/>
        <v>40000</v>
      </c>
      <c r="E116" s="70">
        <f t="shared" si="38"/>
        <v>1200000</v>
      </c>
      <c r="F116" s="70">
        <f t="shared" ca="1" si="39"/>
        <v>504554.43227704446</v>
      </c>
      <c r="G116" s="63">
        <f t="shared" si="49"/>
        <v>4.2149999999999999</v>
      </c>
      <c r="H116" s="64">
        <f t="shared" si="50"/>
        <v>4.2149999999999999</v>
      </c>
      <c r="I116" s="43"/>
      <c r="J116" s="63">
        <f t="shared" si="51"/>
        <v>0.21</v>
      </c>
      <c r="K116" s="64">
        <f t="shared" si="52"/>
        <v>0.21</v>
      </c>
      <c r="L116" s="63">
        <f t="shared" si="53"/>
        <v>0</v>
      </c>
      <c r="M116" s="64">
        <f t="shared" si="54"/>
        <v>0</v>
      </c>
      <c r="N116" s="65"/>
      <c r="O116" s="63">
        <f t="shared" si="55"/>
        <v>4.4249999999999998</v>
      </c>
      <c r="P116" s="63">
        <f t="shared" si="56"/>
        <v>4.4249999999999998</v>
      </c>
      <c r="Q116" s="66"/>
      <c r="R116" s="63">
        <f t="shared" si="57"/>
        <v>-0.14000000000000001</v>
      </c>
      <c r="S116" s="64">
        <f t="shared" si="58"/>
        <v>-0.14000000000000001</v>
      </c>
      <c r="T116" s="63">
        <f t="shared" si="59"/>
        <v>-0.01</v>
      </c>
      <c r="U116" s="64">
        <f t="shared" si="60"/>
        <v>-0.01</v>
      </c>
      <c r="V116" s="207">
        <f>IF($A117="","",IF(AND(MONTH(A116)&gt;3,MONTH(A116)&lt;11),(T116+R116+G116)*Summary!$T$7/(1-Summary!$T$7),(T116+R116+G116)*Summary!$U$7/(1-Summary!$U$7)))</f>
        <v>0.19645298249292378</v>
      </c>
      <c r="W116" s="63">
        <f t="shared" si="61"/>
        <v>4.2614529824929237</v>
      </c>
      <c r="X116" s="63">
        <f t="shared" si="62"/>
        <v>4.2614529824929237</v>
      </c>
      <c r="Y116" s="43"/>
      <c r="Z116" s="38">
        <f t="shared" si="63"/>
        <v>0.45</v>
      </c>
      <c r="AA116" s="38">
        <f t="shared" si="63"/>
        <v>0.188</v>
      </c>
      <c r="AB116" s="38">
        <f t="shared" ca="1" si="40"/>
        <v>0.19050336295766723</v>
      </c>
      <c r="AC116" s="38">
        <f t="shared" si="63"/>
        <v>0.4</v>
      </c>
      <c r="AD116" s="38">
        <f t="shared" si="41"/>
        <v>0.183</v>
      </c>
      <c r="AE116" s="38">
        <f t="shared" ca="1" si="42"/>
        <v>0.18503886633260058</v>
      </c>
      <c r="AF116" s="238">
        <f ca="1">((Summary!$N$7*(AA116*AD116)*(A116-$D$3))+(Summary!$M$7*Z116*AC116*(DAY(EOMONTH(A116,0))/2)))/(AK116*AB116*AE116)</f>
        <v>0.99980719047402811</v>
      </c>
      <c r="AG116" s="88">
        <f>IF($A117="","",Summary!$Q$7)</f>
        <v>0</v>
      </c>
      <c r="AH116" s="88">
        <f>IF($A117="","",IF(Summary!$R$7="Y",(VLOOKUP($A116,Summary!$AD$6:$AF$9,3)+'Escalating commodity'!C129),'Escalating commodity'!C129))</f>
        <v>2.2495200000000003E-2</v>
      </c>
      <c r="AI116" s="88">
        <f t="shared" si="64"/>
        <v>2.2495200000000003E-2</v>
      </c>
      <c r="AJ116" s="236">
        <f t="shared" si="43"/>
        <v>40283</v>
      </c>
      <c r="AK116" s="58">
        <f t="shared" ca="1" si="65"/>
        <v>3243</v>
      </c>
      <c r="AL116" s="26">
        <f ca="1">IF($A117="","",_xll.SPRDOPT(P116,X116,AI116,0,AB116,AE116,AF116,AK116,$AJ$2,0))</f>
        <v>0.14501969602441842</v>
      </c>
      <c r="AM116" s="209">
        <f t="shared" si="44"/>
        <v>0.14105181750707613</v>
      </c>
      <c r="AN116" s="89">
        <f t="shared" ca="1" si="66"/>
        <v>3.9678785173422881E-3</v>
      </c>
      <c r="AO116" s="3">
        <f t="shared" si="67"/>
        <v>30</v>
      </c>
      <c r="AP116" s="33">
        <f t="shared" si="68"/>
        <v>40269</v>
      </c>
      <c r="AQ116" s="58">
        <f t="shared" ca="1" si="45"/>
        <v>3243</v>
      </c>
      <c r="AR116" s="38">
        <f>IF(Summary!$H$2=1,VLOOKUP('ANR OK vs ML7'!A116,Curves!$C$17:$AR$273,MATCH('ANR OK vs ML7'!$AR$4,Curves!$C$8:$AQ$8,0)),0.1)</f>
        <v>0.1</v>
      </c>
      <c r="AS116" s="35">
        <f t="shared" ca="1" si="46"/>
        <v>0.42046202689753703</v>
      </c>
      <c r="AT116" s="3">
        <f t="shared" si="69"/>
        <v>1</v>
      </c>
      <c r="AU116" s="3">
        <f t="shared" si="47"/>
        <v>30</v>
      </c>
      <c r="AW116" s="32">
        <f t="shared" ca="1" si="70"/>
        <v>174023.6352293021</v>
      </c>
      <c r="AX116" s="32">
        <f t="shared" si="71"/>
        <v>169262.18100849134</v>
      </c>
      <c r="AY116" s="32">
        <f t="shared" ca="1" si="72"/>
        <v>4761.4542208107459</v>
      </c>
      <c r="BA116" s="32">
        <f ca="1">IF($A117="","",F116*Summary!$Q$7)</f>
        <v>0</v>
      </c>
      <c r="BC116" s="256">
        <f t="shared" ca="1" si="73"/>
        <v>71168.319703928079</v>
      </c>
    </row>
    <row r="117" spans="1:55">
      <c r="A117" s="67">
        <f t="shared" si="48"/>
        <v>40299</v>
      </c>
      <c r="B117" s="69">
        <f t="shared" si="74"/>
        <v>40000</v>
      </c>
      <c r="C117" s="71"/>
      <c r="D117" s="69">
        <f t="shared" si="75"/>
        <v>40000</v>
      </c>
      <c r="E117" s="70">
        <f t="shared" si="38"/>
        <v>1240000</v>
      </c>
      <c r="F117" s="70">
        <f t="shared" ca="1" si="39"/>
        <v>517210.90892268851</v>
      </c>
      <c r="G117" s="63">
        <f t="shared" si="49"/>
        <v>4.1849999999999996</v>
      </c>
      <c r="H117" s="64">
        <f t="shared" si="50"/>
        <v>4.1849999999999996</v>
      </c>
      <c r="I117" s="43"/>
      <c r="J117" s="63">
        <f t="shared" si="51"/>
        <v>0.21</v>
      </c>
      <c r="K117" s="64">
        <f t="shared" si="52"/>
        <v>0.21</v>
      </c>
      <c r="L117" s="63">
        <f t="shared" si="53"/>
        <v>0</v>
      </c>
      <c r="M117" s="64">
        <f t="shared" si="54"/>
        <v>0</v>
      </c>
      <c r="N117" s="65"/>
      <c r="O117" s="63">
        <f t="shared" si="55"/>
        <v>4.3949999999999996</v>
      </c>
      <c r="P117" s="63">
        <f t="shared" si="56"/>
        <v>4.3949999999999996</v>
      </c>
      <c r="Q117" s="66"/>
      <c r="R117" s="63">
        <f t="shared" si="57"/>
        <v>-0.14000000000000001</v>
      </c>
      <c r="S117" s="64">
        <f t="shared" si="58"/>
        <v>-0.14000000000000001</v>
      </c>
      <c r="T117" s="63">
        <f t="shared" si="59"/>
        <v>-0.01</v>
      </c>
      <c r="U117" s="64">
        <f t="shared" si="60"/>
        <v>-0.01</v>
      </c>
      <c r="V117" s="207">
        <f>IF($A118="","",IF(AND(MONTH(A117)&gt;3,MONTH(A117)&lt;11),(T117+R117+G117)*Summary!$T$7/(1-Summary!$T$7),(T117+R117+G117)*Summary!$U$7/(1-Summary!$U$7)))</f>
        <v>0.1950031449837509</v>
      </c>
      <c r="W117" s="63">
        <f t="shared" si="61"/>
        <v>4.2300031449837503</v>
      </c>
      <c r="X117" s="63">
        <f t="shared" si="62"/>
        <v>4.2300031449837503</v>
      </c>
      <c r="Y117" s="43"/>
      <c r="Z117" s="38">
        <f t="shared" si="63"/>
        <v>0.5</v>
      </c>
      <c r="AA117" s="38">
        <f t="shared" si="63"/>
        <v>0.188</v>
      </c>
      <c r="AB117" s="38">
        <f t="shared" ca="1" si="40"/>
        <v>0.19115106008778923</v>
      </c>
      <c r="AC117" s="38">
        <f t="shared" si="63"/>
        <v>0.4</v>
      </c>
      <c r="AD117" s="38">
        <f t="shared" si="41"/>
        <v>0.183</v>
      </c>
      <c r="AE117" s="38">
        <f t="shared" ca="1" si="42"/>
        <v>0.18508632183992804</v>
      </c>
      <c r="AF117" s="238">
        <f ca="1">((Summary!$N$7*(AA117*AD117)*(A117-$D$3))+(Summary!$M$7*Z117*AC117*(DAY(EOMONTH(A117,0))/2)))/(AK117*AB117*AE117)</f>
        <v>0.99939984003061622</v>
      </c>
      <c r="AG117" s="88">
        <f>IF($A118="","",Summary!$Q$7)</f>
        <v>0</v>
      </c>
      <c r="AH117" s="88">
        <f>IF($A118="","",IF(Summary!$R$7="Y",(VLOOKUP($A117,Summary!$AD$6:$AF$9,3)+'Escalating commodity'!C130),'Escalating commodity'!C130))</f>
        <v>2.2495200000000003E-2</v>
      </c>
      <c r="AI117" s="88">
        <f t="shared" si="64"/>
        <v>2.2495200000000003E-2</v>
      </c>
      <c r="AJ117" s="236">
        <f t="shared" si="43"/>
        <v>40313.5</v>
      </c>
      <c r="AK117" s="58">
        <f t="shared" ca="1" si="65"/>
        <v>3273</v>
      </c>
      <c r="AL117" s="26">
        <f ca="1">IF($A118="","",_xll.SPRDOPT(P117,X117,AI117,0,AB117,AE117,AF117,AK117,$AJ$2,0))</f>
        <v>0.15092559652198195</v>
      </c>
      <c r="AM117" s="209">
        <f t="shared" si="44"/>
        <v>0.14250165501624928</v>
      </c>
      <c r="AN117" s="89">
        <f t="shared" ca="1" si="66"/>
        <v>8.4239415057326683E-3</v>
      </c>
      <c r="AO117" s="3">
        <f t="shared" si="67"/>
        <v>31</v>
      </c>
      <c r="AP117" s="33">
        <f t="shared" si="68"/>
        <v>40299</v>
      </c>
      <c r="AQ117" s="58">
        <f t="shared" ca="1" si="45"/>
        <v>3273</v>
      </c>
      <c r="AR117" s="38">
        <f>IF(Summary!$H$2=1,VLOOKUP('ANR OK vs ML7'!A117,Curves!$C$17:$AR$273,MATCH('ANR OK vs ML7'!$AR$4,Curves!$C$8:$AQ$8,0)),0.1)</f>
        <v>0.1</v>
      </c>
      <c r="AS117" s="35">
        <f t="shared" ca="1" si="46"/>
        <v>0.41710557171184559</v>
      </c>
      <c r="AT117" s="3">
        <f t="shared" si="69"/>
        <v>1</v>
      </c>
      <c r="AU117" s="3">
        <f t="shared" si="47"/>
        <v>31</v>
      </c>
      <c r="AW117" s="32">
        <f t="shared" ca="1" si="70"/>
        <v>187147.73968725762</v>
      </c>
      <c r="AX117" s="32">
        <f t="shared" si="71"/>
        <v>176702.05222014911</v>
      </c>
      <c r="AY117" s="32">
        <f t="shared" ca="1" si="72"/>
        <v>10445.687467108508</v>
      </c>
      <c r="BA117" s="32">
        <f ca="1">IF($A118="","",F117*Summary!$Q$7)</f>
        <v>0</v>
      </c>
      <c r="BC117" s="256">
        <f t="shared" ca="1" si="73"/>
        <v>73703.410513941693</v>
      </c>
    </row>
    <row r="118" spans="1:55">
      <c r="A118" s="67">
        <f t="shared" si="48"/>
        <v>40330</v>
      </c>
      <c r="B118" s="69">
        <f t="shared" si="74"/>
        <v>40000</v>
      </c>
      <c r="C118" s="71"/>
      <c r="D118" s="69">
        <f t="shared" si="75"/>
        <v>40000</v>
      </c>
      <c r="E118" s="70">
        <f t="shared" si="38"/>
        <v>1200000</v>
      </c>
      <c r="F118" s="70">
        <f t="shared" ca="1" si="39"/>
        <v>496398.45672050287</v>
      </c>
      <c r="G118" s="63">
        <f t="shared" si="49"/>
        <v>4.2549999999999999</v>
      </c>
      <c r="H118" s="64">
        <f t="shared" si="50"/>
        <v>4.2549999999999999</v>
      </c>
      <c r="I118" s="43"/>
      <c r="J118" s="63">
        <f t="shared" si="51"/>
        <v>0.21</v>
      </c>
      <c r="K118" s="64">
        <f t="shared" si="52"/>
        <v>0.21</v>
      </c>
      <c r="L118" s="63">
        <f t="shared" si="53"/>
        <v>0</v>
      </c>
      <c r="M118" s="64">
        <f t="shared" si="54"/>
        <v>0</v>
      </c>
      <c r="N118" s="65"/>
      <c r="O118" s="63">
        <f t="shared" si="55"/>
        <v>4.4649999999999999</v>
      </c>
      <c r="P118" s="63">
        <f t="shared" si="56"/>
        <v>4.4649999999999999</v>
      </c>
      <c r="Q118" s="66"/>
      <c r="R118" s="63">
        <f t="shared" si="57"/>
        <v>-0.14000000000000001</v>
      </c>
      <c r="S118" s="64">
        <f t="shared" si="58"/>
        <v>-0.14000000000000001</v>
      </c>
      <c r="T118" s="63">
        <f t="shared" si="59"/>
        <v>-0.01</v>
      </c>
      <c r="U118" s="64">
        <f t="shared" si="60"/>
        <v>-0.01</v>
      </c>
      <c r="V118" s="207">
        <f>IF($A119="","",IF(AND(MONTH(A118)&gt;3,MONTH(A118)&lt;11),(T118+R118+G118)*Summary!$T$7/(1-Summary!$T$7),(T118+R118+G118)*Summary!$U$7/(1-Summary!$U$7)))</f>
        <v>0.19838609917182093</v>
      </c>
      <c r="W118" s="63">
        <f t="shared" si="61"/>
        <v>4.3033860991718207</v>
      </c>
      <c r="X118" s="63">
        <f t="shared" si="62"/>
        <v>4.3033860991718207</v>
      </c>
      <c r="Y118" s="43"/>
      <c r="Z118" s="38">
        <f t="shared" si="63"/>
        <v>0.5</v>
      </c>
      <c r="AA118" s="38">
        <f t="shared" si="63"/>
        <v>0.188</v>
      </c>
      <c r="AB118" s="38">
        <f t="shared" ca="1" si="40"/>
        <v>0.19102273485117999</v>
      </c>
      <c r="AC118" s="38">
        <f t="shared" si="63"/>
        <v>0.4</v>
      </c>
      <c r="AD118" s="38">
        <f t="shared" si="41"/>
        <v>0.183</v>
      </c>
      <c r="AE118" s="38">
        <f t="shared" ca="1" si="42"/>
        <v>0.18500142742070871</v>
      </c>
      <c r="AF118" s="238">
        <f ca="1">((Summary!$N$7*(AA118*AD118)*(A118-$D$3))+(Summary!$M$7*Z118*AC118*(DAY(EOMONTH(A118,0))/2)))/(AK118*AB118*AE118)</f>
        <v>0.9994194336854374</v>
      </c>
      <c r="AG118" s="88">
        <f>IF($A119="","",Summary!$Q$7)</f>
        <v>0</v>
      </c>
      <c r="AH118" s="88">
        <f>IF($A119="","",IF(Summary!$R$7="Y",(VLOOKUP($A118,Summary!$AD$6:$AF$9,3)+'Escalating commodity'!C131),'Escalating commodity'!C131))</f>
        <v>2.2495200000000003E-2</v>
      </c>
      <c r="AI118" s="88">
        <f t="shared" si="64"/>
        <v>2.2495200000000003E-2</v>
      </c>
      <c r="AJ118" s="236">
        <f t="shared" si="43"/>
        <v>40344</v>
      </c>
      <c r="AK118" s="58">
        <f t="shared" ca="1" si="65"/>
        <v>3304</v>
      </c>
      <c r="AL118" s="26">
        <f ca="1">IF($A119="","",_xll.SPRDOPT(P118,X118,AI118,0,AB118,AE118,AF118,AK118,$AJ$2,0))</f>
        <v>0.14820661743290123</v>
      </c>
      <c r="AM118" s="209">
        <f t="shared" si="44"/>
        <v>0.13911870082817918</v>
      </c>
      <c r="AN118" s="89">
        <f t="shared" ca="1" si="66"/>
        <v>9.0879166047220517E-3</v>
      </c>
      <c r="AO118" s="3">
        <f t="shared" si="67"/>
        <v>30</v>
      </c>
      <c r="AP118" s="33">
        <f t="shared" si="68"/>
        <v>40330</v>
      </c>
      <c r="AQ118" s="58">
        <f t="shared" ca="1" si="45"/>
        <v>3304</v>
      </c>
      <c r="AR118" s="38">
        <f>IF(Summary!$H$2=1,VLOOKUP('ANR OK vs ML7'!A118,Curves!$C$17:$AR$273,MATCH('ANR OK vs ML7'!$AR$4,Curves!$C$8:$AQ$8,0)),0.1)</f>
        <v>0.1</v>
      </c>
      <c r="AS118" s="35">
        <f t="shared" ca="1" si="46"/>
        <v>0.41366538060041907</v>
      </c>
      <c r="AT118" s="3">
        <f t="shared" si="69"/>
        <v>1</v>
      </c>
      <c r="AU118" s="3">
        <f t="shared" si="47"/>
        <v>30</v>
      </c>
      <c r="AW118" s="32">
        <f t="shared" ca="1" si="70"/>
        <v>177847.94091948148</v>
      </c>
      <c r="AX118" s="32">
        <f t="shared" si="71"/>
        <v>166942.44099381502</v>
      </c>
      <c r="AY118" s="32">
        <f t="shared" ca="1" si="72"/>
        <v>10905.499925666461</v>
      </c>
      <c r="BA118" s="32">
        <f ca="1">IF($A119="","",F118*Summary!$Q$7)</f>
        <v>0</v>
      </c>
      <c r="BC118" s="256">
        <f t="shared" ca="1" si="73"/>
        <v>69058.308392069492</v>
      </c>
    </row>
    <row r="119" spans="1:55">
      <c r="A119" s="67">
        <f t="shared" si="48"/>
        <v>40360</v>
      </c>
      <c r="B119" s="69">
        <f t="shared" si="74"/>
        <v>40000</v>
      </c>
      <c r="C119" s="71"/>
      <c r="D119" s="69">
        <f t="shared" si="75"/>
        <v>40000</v>
      </c>
      <c r="E119" s="70">
        <f t="shared" si="38"/>
        <v>1240000</v>
      </c>
      <c r="F119" s="70">
        <f t="shared" ca="1" si="39"/>
        <v>508850.34510460304</v>
      </c>
      <c r="G119" s="63">
        <f t="shared" si="49"/>
        <v>4.3099999999999996</v>
      </c>
      <c r="H119" s="64">
        <f t="shared" si="50"/>
        <v>4.3099999999999996</v>
      </c>
      <c r="I119" s="43"/>
      <c r="J119" s="63">
        <f t="shared" si="51"/>
        <v>0.21</v>
      </c>
      <c r="K119" s="64">
        <f t="shared" si="52"/>
        <v>0.21</v>
      </c>
      <c r="L119" s="63">
        <f t="shared" si="53"/>
        <v>0</v>
      </c>
      <c r="M119" s="64">
        <f t="shared" si="54"/>
        <v>0</v>
      </c>
      <c r="N119" s="65"/>
      <c r="O119" s="63">
        <f t="shared" si="55"/>
        <v>4.5199999999999996</v>
      </c>
      <c r="P119" s="63">
        <f t="shared" si="56"/>
        <v>4.5199999999999996</v>
      </c>
      <c r="Q119" s="66"/>
      <c r="R119" s="63">
        <f t="shared" si="57"/>
        <v>-0.14000000000000001</v>
      </c>
      <c r="S119" s="64">
        <f t="shared" si="58"/>
        <v>-0.14000000000000001</v>
      </c>
      <c r="T119" s="63">
        <f t="shared" si="59"/>
        <v>-0.01</v>
      </c>
      <c r="U119" s="64">
        <f t="shared" si="60"/>
        <v>-0.01</v>
      </c>
      <c r="V119" s="207">
        <f>IF($A120="","",IF(AND(MONTH(A119)&gt;3,MONTH(A119)&lt;11),(T119+R119+G119)*Summary!$T$7/(1-Summary!$T$7),(T119+R119+G119)*Summary!$U$7/(1-Summary!$U$7)))</f>
        <v>0.20104413460530451</v>
      </c>
      <c r="W119" s="63">
        <f t="shared" si="61"/>
        <v>4.3610441346053035</v>
      </c>
      <c r="X119" s="63">
        <f t="shared" si="62"/>
        <v>4.3610441346053035</v>
      </c>
      <c r="Y119" s="43"/>
      <c r="Z119" s="38">
        <f t="shared" si="63"/>
        <v>0.55000000000000004</v>
      </c>
      <c r="AA119" s="38">
        <f t="shared" si="63"/>
        <v>0.188</v>
      </c>
      <c r="AB119" s="38">
        <f t="shared" ca="1" si="40"/>
        <v>0.19173143928693018</v>
      </c>
      <c r="AC119" s="38">
        <f t="shared" si="63"/>
        <v>0.4</v>
      </c>
      <c r="AD119" s="38">
        <f t="shared" si="41"/>
        <v>0.183</v>
      </c>
      <c r="AE119" s="38">
        <f t="shared" ca="1" si="42"/>
        <v>0.18504836103250372</v>
      </c>
      <c r="AF119" s="238">
        <f ca="1">((Summary!$N$7*(AA119*AD119)*(A119-$D$3))+(Summary!$M$7*Z119*AC119*(DAY(EOMONTH(A119,0))/2)))/(AK119*AB119*AE119)</f>
        <v>0.9987058628610912</v>
      </c>
      <c r="AG119" s="88">
        <f>IF($A120="","",Summary!$Q$7)</f>
        <v>0</v>
      </c>
      <c r="AH119" s="88">
        <f>IF($A120="","",IF(Summary!$R$7="Y",(VLOOKUP($A119,Summary!$AD$6:$AF$9,3)+'Escalating commodity'!C132),'Escalating commodity'!C132))</f>
        <v>2.2495200000000003E-2</v>
      </c>
      <c r="AI119" s="88">
        <f t="shared" si="64"/>
        <v>2.2495200000000003E-2</v>
      </c>
      <c r="AJ119" s="236">
        <f t="shared" si="43"/>
        <v>40374.5</v>
      </c>
      <c r="AK119" s="58">
        <f t="shared" ca="1" si="65"/>
        <v>3334</v>
      </c>
      <c r="AL119" s="26">
        <f ca="1">IF($A120="","",_xll.SPRDOPT(P119,X119,AI119,0,AB119,AE119,AF119,AK119,$AJ$2,0))</f>
        <v>0.15551964748256489</v>
      </c>
      <c r="AM119" s="209">
        <f t="shared" si="44"/>
        <v>0.13646066539469609</v>
      </c>
      <c r="AN119" s="89">
        <f t="shared" ca="1" si="66"/>
        <v>1.9058982087868798E-2</v>
      </c>
      <c r="AO119" s="3">
        <f t="shared" si="67"/>
        <v>31</v>
      </c>
      <c r="AP119" s="33">
        <f t="shared" si="68"/>
        <v>40360</v>
      </c>
      <c r="AQ119" s="58">
        <f t="shared" ca="1" si="45"/>
        <v>3334</v>
      </c>
      <c r="AR119" s="38">
        <f>IF(Summary!$H$2=1,VLOOKUP('ANR OK vs ML7'!A119,Curves!$C$17:$AR$273,MATCH('ANR OK vs ML7'!$AR$4,Curves!$C$8:$AQ$8,0)),0.1)</f>
        <v>0.1</v>
      </c>
      <c r="AS119" s="35">
        <f t="shared" ca="1" si="46"/>
        <v>0.41036318153597018</v>
      </c>
      <c r="AT119" s="3">
        <f t="shared" si="69"/>
        <v>1</v>
      </c>
      <c r="AU119" s="3">
        <f t="shared" si="47"/>
        <v>31</v>
      </c>
      <c r="AW119" s="32">
        <f t="shared" ca="1" si="70"/>
        <v>192844.36287838046</v>
      </c>
      <c r="AX119" s="32">
        <f t="shared" si="71"/>
        <v>169211.22508942315</v>
      </c>
      <c r="AY119" s="32">
        <f t="shared" ca="1" si="72"/>
        <v>23633.137788957309</v>
      </c>
      <c r="BA119" s="32">
        <f ca="1">IF($A120="","",F119*Summary!$Q$7)</f>
        <v>0</v>
      </c>
      <c r="BC119" s="256">
        <f t="shared" ca="1" si="73"/>
        <v>69438.056679294867</v>
      </c>
    </row>
    <row r="120" spans="1:55">
      <c r="A120" s="67">
        <f t="shared" si="48"/>
        <v>40391</v>
      </c>
      <c r="B120" s="69">
        <f t="shared" si="74"/>
        <v>40000</v>
      </c>
      <c r="C120" s="71"/>
      <c r="D120" s="69">
        <f t="shared" si="75"/>
        <v>40000</v>
      </c>
      <c r="E120" s="70">
        <f t="shared" si="38"/>
        <v>1240000</v>
      </c>
      <c r="F120" s="70">
        <f t="shared" ca="1" si="39"/>
        <v>504653.46413969347</v>
      </c>
      <c r="G120" s="63">
        <f t="shared" si="49"/>
        <v>4.3660000000000005</v>
      </c>
      <c r="H120" s="64">
        <f t="shared" si="50"/>
        <v>4.3660000000000005</v>
      </c>
      <c r="I120" s="43"/>
      <c r="J120" s="63">
        <f t="shared" si="51"/>
        <v>0.21</v>
      </c>
      <c r="K120" s="64">
        <f t="shared" si="52"/>
        <v>0.21</v>
      </c>
      <c r="L120" s="63">
        <f t="shared" si="53"/>
        <v>0</v>
      </c>
      <c r="M120" s="64">
        <f t="shared" si="54"/>
        <v>0</v>
      </c>
      <c r="N120" s="65"/>
      <c r="O120" s="63">
        <f t="shared" si="55"/>
        <v>4.5760000000000005</v>
      </c>
      <c r="P120" s="63">
        <f t="shared" si="56"/>
        <v>4.5760000000000005</v>
      </c>
      <c r="Q120" s="66"/>
      <c r="R120" s="63">
        <f t="shared" si="57"/>
        <v>-0.14000000000000001</v>
      </c>
      <c r="S120" s="64">
        <f t="shared" si="58"/>
        <v>-0.14000000000000001</v>
      </c>
      <c r="T120" s="63">
        <f t="shared" si="59"/>
        <v>-0.01</v>
      </c>
      <c r="U120" s="64">
        <f t="shared" si="60"/>
        <v>-0.01</v>
      </c>
      <c r="V120" s="207">
        <f>IF($A121="","",IF(AND(MONTH(A120)&gt;3,MONTH(A120)&lt;11),(T120+R120+G120)*Summary!$T$7/(1-Summary!$T$7),(T120+R120+G120)*Summary!$U$7/(1-Summary!$U$7)))</f>
        <v>0.20375049795576058</v>
      </c>
      <c r="W120" s="63">
        <f t="shared" si="61"/>
        <v>4.4197504979557607</v>
      </c>
      <c r="X120" s="63">
        <f t="shared" si="62"/>
        <v>4.4197504979557607</v>
      </c>
      <c r="Y120" s="43"/>
      <c r="Z120" s="38">
        <f t="shared" si="63"/>
        <v>0.6</v>
      </c>
      <c r="AA120" s="38">
        <f t="shared" si="63"/>
        <v>0.188</v>
      </c>
      <c r="AB120" s="38">
        <f t="shared" ca="1" si="40"/>
        <v>0.19238698000201107</v>
      </c>
      <c r="AC120" s="38">
        <f t="shared" si="63"/>
        <v>0.5</v>
      </c>
      <c r="AD120" s="38">
        <f t="shared" si="41"/>
        <v>0.183</v>
      </c>
      <c r="AE120" s="38">
        <f t="shared" ca="1" si="42"/>
        <v>0.1861464808499963</v>
      </c>
      <c r="AF120" s="238">
        <f ca="1">((Summary!$N$7*(AA120*AD120)*(A120-$D$3))+(Summary!$M$7*Z120*AC120*(DAY(EOMONTH(A120,0))/2)))/(AK120*AB120*AE120)</f>
        <v>0.99945536861675655</v>
      </c>
      <c r="AG120" s="88">
        <f>IF($A121="","",Summary!$Q$7)</f>
        <v>0</v>
      </c>
      <c r="AH120" s="88">
        <f>IF($A121="","",IF(Summary!$R$7="Y",(VLOOKUP($A120,Summary!$AD$6:$AF$9,3)+'Escalating commodity'!C133),'Escalating commodity'!C133))</f>
        <v>2.2495200000000003E-2</v>
      </c>
      <c r="AI120" s="88">
        <f t="shared" si="64"/>
        <v>2.2495200000000003E-2</v>
      </c>
      <c r="AJ120" s="236">
        <f t="shared" si="43"/>
        <v>40405.5</v>
      </c>
      <c r="AK120" s="58">
        <f t="shared" ca="1" si="65"/>
        <v>3365</v>
      </c>
      <c r="AL120" s="26">
        <f ca="1">IF($A121="","",_xll.SPRDOPT(P120,X120,AI120,0,AB120,AE120,AF120,AK120,$AJ$2,0))</f>
        <v>0.14468757273248317</v>
      </c>
      <c r="AM120" s="209">
        <f t="shared" si="44"/>
        <v>0.13375430204423983</v>
      </c>
      <c r="AN120" s="89">
        <f t="shared" ca="1" si="66"/>
        <v>1.0933270688243346E-2</v>
      </c>
      <c r="AO120" s="3">
        <f t="shared" si="67"/>
        <v>31</v>
      </c>
      <c r="AP120" s="33">
        <f t="shared" si="68"/>
        <v>40391</v>
      </c>
      <c r="AQ120" s="58">
        <f t="shared" ca="1" si="45"/>
        <v>3365</v>
      </c>
      <c r="AR120" s="38">
        <f>IF(Summary!$H$2=1,VLOOKUP('ANR OK vs ML7'!A120,Curves!$C$17:$AR$273,MATCH('ANR OK vs ML7'!$AR$4,Curves!$C$8:$AQ$8,0)),0.1)</f>
        <v>0.1</v>
      </c>
      <c r="AS120" s="35">
        <f t="shared" ca="1" si="46"/>
        <v>0.40697860011265602</v>
      </c>
      <c r="AT120" s="3">
        <f t="shared" si="69"/>
        <v>1</v>
      </c>
      <c r="AU120" s="3">
        <f t="shared" si="47"/>
        <v>31</v>
      </c>
      <c r="AW120" s="32">
        <f t="shared" ca="1" si="70"/>
        <v>179412.59018827914</v>
      </c>
      <c r="AX120" s="32">
        <f t="shared" si="71"/>
        <v>165855.33453485739</v>
      </c>
      <c r="AY120" s="32">
        <f t="shared" ca="1" si="72"/>
        <v>13557.255653421749</v>
      </c>
      <c r="BA120" s="32">
        <f ca="1">IF($A121="","",F120*Summary!$Q$7)</f>
        <v>0</v>
      </c>
      <c r="BC120" s="256">
        <f t="shared" ca="1" si="73"/>
        <v>67499.571870212516</v>
      </c>
    </row>
    <row r="121" spans="1:55">
      <c r="A121" s="67">
        <f t="shared" si="48"/>
        <v>40422</v>
      </c>
      <c r="B121" s="69">
        <f t="shared" si="74"/>
        <v>40000</v>
      </c>
      <c r="C121" s="71"/>
      <c r="D121" s="69">
        <f t="shared" si="75"/>
        <v>40000</v>
      </c>
      <c r="E121" s="70">
        <f t="shared" si="38"/>
        <v>1200000</v>
      </c>
      <c r="F121" s="70">
        <f t="shared" ca="1" si="39"/>
        <v>484346.32072898716</v>
      </c>
      <c r="G121" s="63">
        <f t="shared" si="49"/>
        <v>4.38</v>
      </c>
      <c r="H121" s="64">
        <f t="shared" si="50"/>
        <v>4.38</v>
      </c>
      <c r="I121" s="43"/>
      <c r="J121" s="63">
        <f t="shared" si="51"/>
        <v>0.21</v>
      </c>
      <c r="K121" s="64">
        <f t="shared" si="52"/>
        <v>0.21</v>
      </c>
      <c r="L121" s="63">
        <f t="shared" si="53"/>
        <v>0</v>
      </c>
      <c r="M121" s="64">
        <f t="shared" si="54"/>
        <v>0</v>
      </c>
      <c r="N121" s="65"/>
      <c r="O121" s="63">
        <f t="shared" si="55"/>
        <v>4.59</v>
      </c>
      <c r="P121" s="63">
        <f t="shared" si="56"/>
        <v>4.59</v>
      </c>
      <c r="Q121" s="66"/>
      <c r="R121" s="63">
        <f t="shared" si="57"/>
        <v>-0.14000000000000001</v>
      </c>
      <c r="S121" s="64">
        <f t="shared" si="58"/>
        <v>-0.14000000000000001</v>
      </c>
      <c r="T121" s="63">
        <f t="shared" si="59"/>
        <v>-0.01</v>
      </c>
      <c r="U121" s="64">
        <f t="shared" si="60"/>
        <v>-0.01</v>
      </c>
      <c r="V121" s="207">
        <f>IF($A122="","",IF(AND(MONTH(A121)&gt;3,MONTH(A121)&lt;11),(T121+R121+G121)*Summary!$T$7/(1-Summary!$T$7),(T121+R121+G121)*Summary!$U$7/(1-Summary!$U$7)))</f>
        <v>0.20442708879337457</v>
      </c>
      <c r="W121" s="63">
        <f t="shared" si="61"/>
        <v>4.4344270887933739</v>
      </c>
      <c r="X121" s="63">
        <f t="shared" si="62"/>
        <v>4.4344270887933739</v>
      </c>
      <c r="Y121" s="43"/>
      <c r="Z121" s="38">
        <f t="shared" si="63"/>
        <v>0.6</v>
      </c>
      <c r="AA121" s="38">
        <f t="shared" si="63"/>
        <v>0.188</v>
      </c>
      <c r="AB121" s="38">
        <f t="shared" ca="1" si="40"/>
        <v>0.19220955633200831</v>
      </c>
      <c r="AC121" s="38">
        <f t="shared" si="63"/>
        <v>0.55000000000000004</v>
      </c>
      <c r="AD121" s="38">
        <f t="shared" si="41"/>
        <v>0.183</v>
      </c>
      <c r="AE121" s="38">
        <f t="shared" ca="1" si="42"/>
        <v>0.18664134603423208</v>
      </c>
      <c r="AF121" s="238">
        <f ca="1">((Summary!$N$7*(AA121*AD121)*(A121-$D$3))+(Summary!$M$7*Z121*AC121*(DAY(EOMONTH(A121,0))/2)))/(AK121*AB121*AE121)</f>
        <v>0.99983375785483553</v>
      </c>
      <c r="AG121" s="88">
        <f>IF($A122="","",Summary!$Q$7)</f>
        <v>0</v>
      </c>
      <c r="AH121" s="88">
        <f>IF($A122="","",IF(Summary!$R$7="Y",(VLOOKUP($A121,Summary!$AD$6:$AF$9,3)+'Escalating commodity'!C134),'Escalating commodity'!C134))</f>
        <v>2.2495200000000003E-2</v>
      </c>
      <c r="AI121" s="88">
        <f t="shared" si="64"/>
        <v>2.2495200000000003E-2</v>
      </c>
      <c r="AJ121" s="236">
        <f t="shared" si="43"/>
        <v>40436</v>
      </c>
      <c r="AK121" s="58">
        <f t="shared" ca="1" si="65"/>
        <v>3396</v>
      </c>
      <c r="AL121" s="26">
        <f ca="1">IF($A122="","",_xll.SPRDOPT(P121,X121,AI121,0,AB121,AE121,AF121,AK121,$AJ$2,0))</f>
        <v>0.13854206135529296</v>
      </c>
      <c r="AM121" s="209">
        <f t="shared" si="44"/>
        <v>0.13307771120662598</v>
      </c>
      <c r="AN121" s="89">
        <f t="shared" ca="1" si="66"/>
        <v>5.4643501486669743E-3</v>
      </c>
      <c r="AO121" s="3">
        <f t="shared" si="67"/>
        <v>30</v>
      </c>
      <c r="AP121" s="33">
        <f t="shared" si="68"/>
        <v>40422</v>
      </c>
      <c r="AQ121" s="58">
        <f t="shared" ca="1" si="45"/>
        <v>3396</v>
      </c>
      <c r="AR121" s="38">
        <f>IF(Summary!$H$2=1,VLOOKUP('ANR OK vs ML7'!A121,Curves!$C$17:$AR$273,MATCH('ANR OK vs ML7'!$AR$4,Curves!$C$8:$AQ$8,0)),0.1)</f>
        <v>0.1</v>
      </c>
      <c r="AS121" s="35">
        <f t="shared" ca="1" si="46"/>
        <v>0.40362193394082263</v>
      </c>
      <c r="AT121" s="3">
        <f t="shared" si="69"/>
        <v>1</v>
      </c>
      <c r="AU121" s="3">
        <f t="shared" si="47"/>
        <v>30</v>
      </c>
      <c r="AW121" s="32">
        <f t="shared" ca="1" si="70"/>
        <v>166250.47362635154</v>
      </c>
      <c r="AX121" s="32">
        <f t="shared" si="71"/>
        <v>159693.25344795117</v>
      </c>
      <c r="AY121" s="32">
        <f t="shared" ca="1" si="72"/>
        <v>6557.2201784003692</v>
      </c>
      <c r="BA121" s="32">
        <f ca="1">IF($A122="","",F121*Summary!$Q$7)</f>
        <v>0</v>
      </c>
      <c r="BC121" s="256">
        <f t="shared" ca="1" si="73"/>
        <v>64455.699793963999</v>
      </c>
    </row>
    <row r="122" spans="1:55">
      <c r="A122" s="67">
        <f t="shared" si="48"/>
        <v>40452</v>
      </c>
      <c r="B122" s="69">
        <f t="shared" si="74"/>
        <v>40000</v>
      </c>
      <c r="C122" s="71"/>
      <c r="D122" s="69">
        <f t="shared" si="75"/>
        <v>40000</v>
      </c>
      <c r="E122" s="70">
        <f t="shared" si="38"/>
        <v>1240000</v>
      </c>
      <c r="F122" s="70">
        <f t="shared" ca="1" si="39"/>
        <v>496495.88776191347</v>
      </c>
      <c r="G122" s="63">
        <f t="shared" si="49"/>
        <v>4.4110000000000005</v>
      </c>
      <c r="H122" s="64">
        <f t="shared" si="50"/>
        <v>4.4110000000000005</v>
      </c>
      <c r="I122" s="43"/>
      <c r="J122" s="63">
        <f t="shared" si="51"/>
        <v>0.21</v>
      </c>
      <c r="K122" s="64">
        <f t="shared" si="52"/>
        <v>0.21</v>
      </c>
      <c r="L122" s="63">
        <f t="shared" si="53"/>
        <v>0</v>
      </c>
      <c r="M122" s="64">
        <f t="shared" si="54"/>
        <v>0</v>
      </c>
      <c r="N122" s="65"/>
      <c r="O122" s="63">
        <f t="shared" si="55"/>
        <v>4.6210000000000004</v>
      </c>
      <c r="P122" s="63">
        <f t="shared" si="56"/>
        <v>4.6210000000000004</v>
      </c>
      <c r="Q122" s="66"/>
      <c r="R122" s="63">
        <f t="shared" si="57"/>
        <v>-0.14000000000000001</v>
      </c>
      <c r="S122" s="64">
        <f t="shared" si="58"/>
        <v>-0.14000000000000001</v>
      </c>
      <c r="T122" s="63">
        <f t="shared" si="59"/>
        <v>-0.01</v>
      </c>
      <c r="U122" s="64">
        <f t="shared" si="60"/>
        <v>-0.01</v>
      </c>
      <c r="V122" s="207">
        <f>IF($A123="","",IF(AND(MONTH(A122)&gt;3,MONTH(A122)&lt;11),(T122+R122+G122)*Summary!$T$7/(1-Summary!$T$7),(T122+R122+G122)*Summary!$U$7/(1-Summary!$U$7)))</f>
        <v>0.2059252542195199</v>
      </c>
      <c r="W122" s="63">
        <f t="shared" si="61"/>
        <v>4.4669252542195199</v>
      </c>
      <c r="X122" s="63">
        <f t="shared" si="62"/>
        <v>4.4669252542195199</v>
      </c>
      <c r="Y122" s="43"/>
      <c r="Z122" s="38">
        <f t="shared" si="63"/>
        <v>0.65</v>
      </c>
      <c r="AA122" s="38">
        <f t="shared" si="63"/>
        <v>0.188</v>
      </c>
      <c r="AB122" s="38">
        <f t="shared" ca="1" si="40"/>
        <v>0.19304352385298032</v>
      </c>
      <c r="AC122" s="38">
        <f t="shared" si="63"/>
        <v>0.55000000000000004</v>
      </c>
      <c r="AD122" s="38">
        <f t="shared" si="41"/>
        <v>0.183</v>
      </c>
      <c r="AE122" s="38">
        <f t="shared" ca="1" si="42"/>
        <v>0.18672802005440536</v>
      </c>
      <c r="AF122" s="238">
        <f ca="1">((Summary!$N$7*(AA122*AD122)*(A122-$D$3))+(Summary!$M$7*Z122*AC122*(DAY(EOMONTH(A122,0))/2)))/(AK122*AB122*AE122)</f>
        <v>0.99948335285173007</v>
      </c>
      <c r="AG122" s="88">
        <f>IF($A123="","",Summary!$Q$7)</f>
        <v>0</v>
      </c>
      <c r="AH122" s="88">
        <f>IF($A123="","",IF(Summary!$R$7="Y",(VLOOKUP($A122,Summary!$AD$6:$AF$9,3)+'Escalating commodity'!C135),'Escalating commodity'!C135))</f>
        <v>2.2495200000000003E-2</v>
      </c>
      <c r="AI122" s="88">
        <f t="shared" si="64"/>
        <v>2.2495200000000003E-2</v>
      </c>
      <c r="AJ122" s="236">
        <f t="shared" si="43"/>
        <v>40466.5</v>
      </c>
      <c r="AK122" s="58">
        <f t="shared" ca="1" si="65"/>
        <v>3426</v>
      </c>
      <c r="AL122" s="26">
        <f ca="1">IF($A123="","",_xll.SPRDOPT(P122,X122,AI122,0,AB122,AE122,AF122,AK122,$AJ$2,0))</f>
        <v>0.14325261618289581</v>
      </c>
      <c r="AM122" s="209">
        <f t="shared" si="44"/>
        <v>0.13157954578048053</v>
      </c>
      <c r="AN122" s="89">
        <f t="shared" ca="1" si="66"/>
        <v>1.1673070402415275E-2</v>
      </c>
      <c r="AO122" s="3">
        <f t="shared" si="67"/>
        <v>31</v>
      </c>
      <c r="AP122" s="33">
        <f t="shared" si="68"/>
        <v>40452</v>
      </c>
      <c r="AQ122" s="58">
        <f t="shared" ca="1" si="45"/>
        <v>3426</v>
      </c>
      <c r="AR122" s="38">
        <f>IF(Summary!$H$2=1,VLOOKUP('ANR OK vs ML7'!A122,Curves!$C$17:$AR$273,MATCH('ANR OK vs ML7'!$AR$4,Curves!$C$8:$AQ$8,0)),0.1)</f>
        <v>0.1</v>
      </c>
      <c r="AS122" s="35">
        <f t="shared" ca="1" si="46"/>
        <v>0.4003999094854141</v>
      </c>
      <c r="AT122" s="3">
        <f t="shared" si="69"/>
        <v>1</v>
      </c>
      <c r="AU122" s="3">
        <f t="shared" si="47"/>
        <v>31</v>
      </c>
      <c r="AW122" s="32">
        <f t="shared" ca="1" si="70"/>
        <v>177633.24406679079</v>
      </c>
      <c r="AX122" s="32">
        <f t="shared" si="71"/>
        <v>163158.63676779586</v>
      </c>
      <c r="AY122" s="32">
        <f t="shared" ca="1" si="72"/>
        <v>14474.607298994941</v>
      </c>
      <c r="BA122" s="32">
        <f ca="1">IF($A123="","",F122*Summary!$Q$7)</f>
        <v>0</v>
      </c>
      <c r="BC122" s="256">
        <f t="shared" ca="1" si="73"/>
        <v>65328.703393589021</v>
      </c>
    </row>
    <row r="123" spans="1:55">
      <c r="A123" s="67">
        <f t="shared" si="48"/>
        <v>40483</v>
      </c>
      <c r="B123" s="69">
        <f t="shared" si="74"/>
        <v>40000</v>
      </c>
      <c r="C123" s="71"/>
      <c r="D123" s="69">
        <f t="shared" si="75"/>
        <v>40000</v>
      </c>
      <c r="E123" s="70">
        <f t="shared" si="38"/>
        <v>1200000</v>
      </c>
      <c r="F123" s="70">
        <f t="shared" ca="1" si="39"/>
        <v>476517.0034144235</v>
      </c>
      <c r="G123" s="63">
        <f t="shared" si="49"/>
        <v>4.5440000000000005</v>
      </c>
      <c r="H123" s="64">
        <f t="shared" si="50"/>
        <v>4.5440000000000005</v>
      </c>
      <c r="I123" s="43"/>
      <c r="J123" s="63">
        <f t="shared" si="51"/>
        <v>0.32500000000000001</v>
      </c>
      <c r="K123" s="64">
        <f t="shared" si="52"/>
        <v>0.32500000000000001</v>
      </c>
      <c r="L123" s="63">
        <f t="shared" si="53"/>
        <v>0</v>
      </c>
      <c r="M123" s="64">
        <f t="shared" si="54"/>
        <v>0</v>
      </c>
      <c r="N123" s="65"/>
      <c r="O123" s="63">
        <f t="shared" si="55"/>
        <v>4.8690000000000007</v>
      </c>
      <c r="P123" s="63">
        <f t="shared" si="56"/>
        <v>4.8690000000000007</v>
      </c>
      <c r="Q123" s="66"/>
      <c r="R123" s="63">
        <f t="shared" si="57"/>
        <v>-0.14249999999999999</v>
      </c>
      <c r="S123" s="64">
        <f t="shared" si="58"/>
        <v>-0.14249999999999999</v>
      </c>
      <c r="T123" s="63">
        <f t="shared" si="59"/>
        <v>0.01</v>
      </c>
      <c r="U123" s="64">
        <f t="shared" si="60"/>
        <v>0.01</v>
      </c>
      <c r="V123" s="207">
        <f>IF($A124="","",IF(AND(MONTH(A123)&gt;3,MONTH(A123)&lt;11),(T123+R123+G123)*Summary!$T$7/(1-Summary!$T$7),(T123+R123+G123)*Summary!$U$7/(1-Summary!$U$7)))</f>
        <v>0.21319860572387045</v>
      </c>
      <c r="W123" s="63">
        <f t="shared" si="61"/>
        <v>4.6246986057238706</v>
      </c>
      <c r="X123" s="63">
        <f t="shared" si="62"/>
        <v>4.6246986057238706</v>
      </c>
      <c r="Y123" s="43"/>
      <c r="Z123" s="38">
        <f t="shared" si="63"/>
        <v>0.8</v>
      </c>
      <c r="AA123" s="38">
        <f t="shared" si="63"/>
        <v>0.188</v>
      </c>
      <c r="AB123" s="38">
        <f t="shared" ca="1" si="40"/>
        <v>0.19527211308500719</v>
      </c>
      <c r="AC123" s="38">
        <f t="shared" si="63"/>
        <v>0.8</v>
      </c>
      <c r="AD123" s="38">
        <f t="shared" si="41"/>
        <v>0.183</v>
      </c>
      <c r="AE123" s="38">
        <f t="shared" ca="1" si="42"/>
        <v>0.19046170627258027</v>
      </c>
      <c r="AF123" s="238">
        <f ca="1">((Summary!$N$7*(AA123*AD123)*(A123-$D$3))+(Summary!$M$7*Z123*AC123*(DAY(EOMONTH(A123,0))/2)))/(AK123*AB123*AE123)</f>
        <v>0.99988236661953223</v>
      </c>
      <c r="AG123" s="88">
        <f>IF($A124="","",Summary!$Q$7)</f>
        <v>0</v>
      </c>
      <c r="AH123" s="88">
        <f>IF($A124="","",IF(Summary!$R$7="Y",(VLOOKUP($A123,Summary!$AD$6:$AF$9,3)+'Escalating commodity'!C136),'Escalating commodity'!C136))</f>
        <v>2.2495200000000003E-2</v>
      </c>
      <c r="AI123" s="88">
        <f t="shared" si="64"/>
        <v>2.2495200000000003E-2</v>
      </c>
      <c r="AJ123" s="236">
        <f t="shared" si="43"/>
        <v>40497</v>
      </c>
      <c r="AK123" s="58">
        <f t="shared" ca="1" si="65"/>
        <v>3457</v>
      </c>
      <c r="AL123" s="26">
        <f ca="1">IF($A124="","",_xll.SPRDOPT(P123,X123,AI123,0,AB123,AE123,AF123,AK123,$AJ$2,0))</f>
        <v>0.22273121101587781</v>
      </c>
      <c r="AM123" s="209">
        <f t="shared" si="44"/>
        <v>0.22180619427613008</v>
      </c>
      <c r="AN123" s="89">
        <f t="shared" ca="1" si="66"/>
        <v>9.2501673974773602E-4</v>
      </c>
      <c r="AO123" s="3">
        <f t="shared" si="67"/>
        <v>30</v>
      </c>
      <c r="AP123" s="33">
        <f t="shared" si="68"/>
        <v>40483</v>
      </c>
      <c r="AQ123" s="58">
        <f t="shared" ca="1" si="45"/>
        <v>3457</v>
      </c>
      <c r="AR123" s="38">
        <f>IF(Summary!$H$2=1,VLOOKUP('ANR OK vs ML7'!A123,Curves!$C$17:$AR$273,MATCH('ANR OK vs ML7'!$AR$4,Curves!$C$8:$AQ$8,0)),0.1)</f>
        <v>0.1</v>
      </c>
      <c r="AS123" s="35">
        <f t="shared" ca="1" si="46"/>
        <v>0.39709750284535289</v>
      </c>
      <c r="AT123" s="3">
        <f t="shared" si="69"/>
        <v>1</v>
      </c>
      <c r="AU123" s="3">
        <f t="shared" si="47"/>
        <v>30</v>
      </c>
      <c r="AW123" s="32">
        <f t="shared" ca="1" si="70"/>
        <v>267277.45321905339</v>
      </c>
      <c r="AX123" s="32">
        <f t="shared" si="71"/>
        <v>266167.43313135608</v>
      </c>
      <c r="AY123" s="32">
        <f t="shared" ca="1" si="72"/>
        <v>1110.0200876972833</v>
      </c>
      <c r="BA123" s="32">
        <f ca="1">IF($A124="","",F123*Summary!$Q$7)</f>
        <v>0</v>
      </c>
      <c r="BC123" s="256">
        <f t="shared" ca="1" si="73"/>
        <v>105694.42303521896</v>
      </c>
    </row>
    <row r="124" spans="1:55">
      <c r="A124" s="67">
        <f t="shared" si="48"/>
        <v>40513</v>
      </c>
      <c r="B124" s="69">
        <f t="shared" si="74"/>
        <v>40000</v>
      </c>
      <c r="C124" s="71"/>
      <c r="D124" s="69">
        <f t="shared" si="75"/>
        <v>40000</v>
      </c>
      <c r="E124" s="70">
        <f t="shared" si="38"/>
        <v>1240000</v>
      </c>
      <c r="F124" s="70">
        <f t="shared" ca="1" si="39"/>
        <v>488470.17623216886</v>
      </c>
      <c r="G124" s="63">
        <f t="shared" si="49"/>
        <v>4.6820000000000004</v>
      </c>
      <c r="H124" s="64">
        <f t="shared" si="50"/>
        <v>4.6820000000000004</v>
      </c>
      <c r="I124" s="43"/>
      <c r="J124" s="63">
        <f t="shared" si="51"/>
        <v>0.32500000000000001</v>
      </c>
      <c r="K124" s="64">
        <f t="shared" si="52"/>
        <v>0.32500000000000001</v>
      </c>
      <c r="L124" s="63">
        <f t="shared" si="53"/>
        <v>0</v>
      </c>
      <c r="M124" s="64">
        <f t="shared" si="54"/>
        <v>0</v>
      </c>
      <c r="N124" s="65"/>
      <c r="O124" s="63">
        <f t="shared" si="55"/>
        <v>5.0070000000000006</v>
      </c>
      <c r="P124" s="63">
        <f t="shared" si="56"/>
        <v>5.0070000000000006</v>
      </c>
      <c r="Q124" s="66"/>
      <c r="R124" s="63">
        <f t="shared" si="57"/>
        <v>-0.13750000000000001</v>
      </c>
      <c r="S124" s="64">
        <f t="shared" si="58"/>
        <v>-0.13750000000000001</v>
      </c>
      <c r="T124" s="63">
        <f t="shared" si="59"/>
        <v>0.01</v>
      </c>
      <c r="U124" s="64">
        <f t="shared" si="60"/>
        <v>0.01</v>
      </c>
      <c r="V124" s="207">
        <f>IF($A125="","",IF(AND(MONTH(A124)&gt;3,MONTH(A124)&lt;11),(T124+R124+G124)*Summary!$T$7/(1-Summary!$T$7),(T124+R124+G124)*Summary!$U$7/(1-Summary!$U$7)))</f>
        <v>0.22010949785092779</v>
      </c>
      <c r="W124" s="63">
        <f t="shared" si="61"/>
        <v>4.7746094978509275</v>
      </c>
      <c r="X124" s="63">
        <f t="shared" si="62"/>
        <v>4.7746094978509275</v>
      </c>
      <c r="Y124" s="43"/>
      <c r="Z124" s="38">
        <f t="shared" si="63"/>
        <v>1.1000000000000001</v>
      </c>
      <c r="AA124" s="38">
        <f t="shared" si="63"/>
        <v>0.188</v>
      </c>
      <c r="AB124" s="38">
        <f t="shared" ca="1" si="40"/>
        <v>0.20182340010357128</v>
      </c>
      <c r="AC124" s="38">
        <f t="shared" si="63"/>
        <v>1</v>
      </c>
      <c r="AD124" s="38">
        <f t="shared" si="41"/>
        <v>0.183</v>
      </c>
      <c r="AE124" s="38">
        <f t="shared" ca="1" si="42"/>
        <v>0.1947913901837158</v>
      </c>
      <c r="AF124" s="238">
        <f ca="1">((Summary!$N$7*(AA124*AD124)*(A124-$D$3))+(Summary!$M$7*Z124*AC124*(DAY(EOMONTH(A124,0))/2)))/(AK124*AB124*AE124)</f>
        <v>0.99965798487205482</v>
      </c>
      <c r="AG124" s="88">
        <f>IF($A125="","",Summary!$Q$7)</f>
        <v>0</v>
      </c>
      <c r="AH124" s="88">
        <f>IF($A125="","",IF(Summary!$R$7="Y",(VLOOKUP($A124,Summary!$AD$6:$AF$9,3)+'Escalating commodity'!C137),'Escalating commodity'!C137))</f>
        <v>2.2495200000000003E-2</v>
      </c>
      <c r="AI124" s="88">
        <f t="shared" si="64"/>
        <v>2.2495200000000003E-2</v>
      </c>
      <c r="AJ124" s="236">
        <f t="shared" si="43"/>
        <v>40527.5</v>
      </c>
      <c r="AK124" s="58">
        <f t="shared" ca="1" si="65"/>
        <v>3487</v>
      </c>
      <c r="AL124" s="26">
        <f ca="1">IF($A125="","",_xll.SPRDOPT(P124,X124,AI124,0,AB124,AE124,AF124,AK124,$AJ$2,0))</f>
        <v>0.21558076652766051</v>
      </c>
      <c r="AM124" s="209">
        <f t="shared" si="44"/>
        <v>0.20989530214907309</v>
      </c>
      <c r="AN124" s="89">
        <f t="shared" ca="1" si="66"/>
        <v>5.6854643785874126E-3</v>
      </c>
      <c r="AO124" s="3">
        <f t="shared" si="67"/>
        <v>31</v>
      </c>
      <c r="AP124" s="33">
        <f t="shared" si="68"/>
        <v>40513</v>
      </c>
      <c r="AQ124" s="58">
        <f t="shared" ca="1" si="45"/>
        <v>3487</v>
      </c>
      <c r="AR124" s="38">
        <f>IF(Summary!$H$2=1,VLOOKUP('ANR OK vs ML7'!A124,Curves!$C$17:$AR$273,MATCH('ANR OK vs ML7'!$AR$4,Curves!$C$8:$AQ$8,0)),0.1)</f>
        <v>0.1</v>
      </c>
      <c r="AS124" s="35">
        <f t="shared" ca="1" si="46"/>
        <v>0.39392756147755553</v>
      </c>
      <c r="AT124" s="3">
        <f t="shared" si="69"/>
        <v>1</v>
      </c>
      <c r="AU124" s="3">
        <f t="shared" si="47"/>
        <v>31</v>
      </c>
      <c r="AW124" s="32">
        <f t="shared" ca="1" si="70"/>
        <v>267320.15049429901</v>
      </c>
      <c r="AX124" s="32">
        <f t="shared" si="71"/>
        <v>260270.17466485064</v>
      </c>
      <c r="AY124" s="32">
        <f t="shared" ca="1" si="72"/>
        <v>7049.9758294483918</v>
      </c>
      <c r="BA124" s="32">
        <f ca="1">IF($A125="","",F124*Summary!$Q$7)</f>
        <v>0</v>
      </c>
      <c r="BC124" s="256">
        <f t="shared" ca="1" si="73"/>
        <v>102527.59523106206</v>
      </c>
    </row>
    <row r="125" spans="1:55">
      <c r="A125" s="67">
        <f t="shared" si="48"/>
        <v>40544</v>
      </c>
      <c r="B125" s="69">
        <f t="shared" si="74"/>
        <v>40000</v>
      </c>
      <c r="C125" s="71"/>
      <c r="D125" s="69">
        <f t="shared" si="75"/>
        <v>40000</v>
      </c>
      <c r="E125" s="70">
        <f t="shared" si="38"/>
        <v>1240000</v>
      </c>
      <c r="F125" s="70">
        <f t="shared" ca="1" si="39"/>
        <v>484441.38622686121</v>
      </c>
      <c r="G125" s="63">
        <f t="shared" si="49"/>
        <v>4.7140000000000004</v>
      </c>
      <c r="H125" s="64">
        <f t="shared" si="50"/>
        <v>4.7140000000000004</v>
      </c>
      <c r="I125" s="43"/>
      <c r="J125" s="63">
        <f t="shared" si="51"/>
        <v>0.32500000000000001</v>
      </c>
      <c r="K125" s="64">
        <f t="shared" si="52"/>
        <v>0.32500000000000001</v>
      </c>
      <c r="L125" s="63">
        <f t="shared" si="53"/>
        <v>0</v>
      </c>
      <c r="M125" s="64">
        <f t="shared" si="54"/>
        <v>0</v>
      </c>
      <c r="N125" s="65"/>
      <c r="O125" s="63">
        <f t="shared" si="55"/>
        <v>5.0390000000000006</v>
      </c>
      <c r="P125" s="63">
        <f t="shared" si="56"/>
        <v>5.0390000000000006</v>
      </c>
      <c r="Q125" s="66"/>
      <c r="R125" s="63">
        <f t="shared" si="57"/>
        <v>-0.13750000000000001</v>
      </c>
      <c r="S125" s="64">
        <f t="shared" si="58"/>
        <v>-0.13750000000000001</v>
      </c>
      <c r="T125" s="63">
        <f t="shared" si="59"/>
        <v>0.01</v>
      </c>
      <c r="U125" s="64">
        <f t="shared" si="60"/>
        <v>0.01</v>
      </c>
      <c r="V125" s="207">
        <f>IF($A126="","",IF(AND(MONTH(A125)&gt;3,MONTH(A125)&lt;11),(T125+R125+G125)*Summary!$T$7/(1-Summary!$T$7),(T125+R125+G125)*Summary!$U$7/(1-Summary!$U$7)))</f>
        <v>0.2216559911940455</v>
      </c>
      <c r="W125" s="63">
        <f t="shared" si="61"/>
        <v>4.8081559911940452</v>
      </c>
      <c r="X125" s="63">
        <f t="shared" si="62"/>
        <v>4.8081559911940452</v>
      </c>
      <c r="Y125" s="43"/>
      <c r="Z125" s="38">
        <f t="shared" si="63"/>
        <v>1.1000000000000001</v>
      </c>
      <c r="AA125" s="38">
        <f t="shared" si="63"/>
        <v>0.188</v>
      </c>
      <c r="AB125" s="38">
        <f t="shared" ca="1" si="40"/>
        <v>0.20170572793603508</v>
      </c>
      <c r="AC125" s="38">
        <f t="shared" si="63"/>
        <v>1</v>
      </c>
      <c r="AD125" s="38">
        <f t="shared" si="41"/>
        <v>0.183</v>
      </c>
      <c r="AE125" s="38">
        <f t="shared" ca="1" si="42"/>
        <v>0.19469060526748616</v>
      </c>
      <c r="AF125" s="238">
        <f ca="1">((Summary!$N$7*(AA125*AD125)*(A125-$D$3))+(Summary!$M$7*Z125*AC125*(DAY(EOMONTH(A125,0))/2)))/(AK125*AB125*AE125)</f>
        <v>0.99965957604419897</v>
      </c>
      <c r="AG125" s="88">
        <f>IF($A126="","",Summary!$Q$7)</f>
        <v>0</v>
      </c>
      <c r="AH125" s="88">
        <f>IF($A126="","",IF(Summary!$R$7="Y",(VLOOKUP($A125,Summary!$AD$6:$AF$9,3)+'Escalating commodity'!C138),'Escalating commodity'!C138))</f>
        <v>2.2495200000000003E-2</v>
      </c>
      <c r="AI125" s="88">
        <f t="shared" si="64"/>
        <v>2.2495200000000003E-2</v>
      </c>
      <c r="AJ125" s="236">
        <f t="shared" si="43"/>
        <v>40558.5</v>
      </c>
      <c r="AK125" s="58">
        <f t="shared" ca="1" si="65"/>
        <v>3518</v>
      </c>
      <c r="AL125" s="26">
        <f ca="1">IF($A126="","",_xll.SPRDOPT(P125,X125,AI125,0,AB125,AE125,AF125,AK125,$AJ$2,0))</f>
        <v>0.21431978851270986</v>
      </c>
      <c r="AM125" s="209">
        <f t="shared" si="44"/>
        <v>0.20834880880595535</v>
      </c>
      <c r="AN125" s="89">
        <f t="shared" ca="1" si="66"/>
        <v>5.9709797067545034E-3</v>
      </c>
      <c r="AO125" s="3">
        <f t="shared" si="67"/>
        <v>31</v>
      </c>
      <c r="AP125" s="33">
        <f t="shared" si="68"/>
        <v>40544</v>
      </c>
      <c r="AQ125" s="58">
        <f t="shared" ca="1" si="45"/>
        <v>3518</v>
      </c>
      <c r="AR125" s="38">
        <f>IF(Summary!$H$2=1,VLOOKUP('ANR OK vs ML7'!A125,Curves!$C$17:$AR$273,MATCH('ANR OK vs ML7'!$AR$4,Curves!$C$8:$AQ$8,0)),0.1)</f>
        <v>0.1</v>
      </c>
      <c r="AS125" s="35">
        <f t="shared" ca="1" si="46"/>
        <v>0.39067853727972679</v>
      </c>
      <c r="AT125" s="3">
        <f t="shared" si="69"/>
        <v>1</v>
      </c>
      <c r="AU125" s="3">
        <f t="shared" si="47"/>
        <v>31</v>
      </c>
      <c r="AW125" s="32">
        <f t="shared" ca="1" si="70"/>
        <v>265756.53775576025</v>
      </c>
      <c r="AX125" s="32">
        <f t="shared" si="71"/>
        <v>258352.52291938465</v>
      </c>
      <c r="AY125" s="32">
        <f t="shared" ca="1" si="72"/>
        <v>7404.0148363755843</v>
      </c>
      <c r="BA125" s="32">
        <f ca="1">IF($A126="","",F125*Summary!$Q$7)</f>
        <v>0</v>
      </c>
      <c r="BC125" s="256">
        <f t="shared" ca="1" si="73"/>
        <v>100932.78575667228</v>
      </c>
    </row>
    <row r="126" spans="1:55">
      <c r="A126" s="67">
        <f t="shared" si="48"/>
        <v>40575</v>
      </c>
      <c r="B126" s="69">
        <f t="shared" si="74"/>
        <v>40000</v>
      </c>
      <c r="C126" s="71"/>
      <c r="D126" s="69">
        <f t="shared" si="75"/>
        <v>40000</v>
      </c>
      <c r="E126" s="70">
        <f t="shared" si="38"/>
        <v>1120000</v>
      </c>
      <c r="F126" s="70">
        <f t="shared" ca="1" si="39"/>
        <v>433951.06752308278</v>
      </c>
      <c r="G126" s="63">
        <f t="shared" si="49"/>
        <v>4.5940000000000003</v>
      </c>
      <c r="H126" s="64">
        <f t="shared" si="50"/>
        <v>4.5940000000000003</v>
      </c>
      <c r="I126" s="43"/>
      <c r="J126" s="63">
        <f t="shared" si="51"/>
        <v>0.32500000000000001</v>
      </c>
      <c r="K126" s="64">
        <f t="shared" si="52"/>
        <v>0.32500000000000001</v>
      </c>
      <c r="L126" s="63">
        <f t="shared" si="53"/>
        <v>0</v>
      </c>
      <c r="M126" s="64">
        <f t="shared" si="54"/>
        <v>0</v>
      </c>
      <c r="N126" s="65"/>
      <c r="O126" s="63">
        <f t="shared" si="55"/>
        <v>4.9190000000000005</v>
      </c>
      <c r="P126" s="63">
        <f t="shared" si="56"/>
        <v>4.9190000000000005</v>
      </c>
      <c r="Q126" s="66"/>
      <c r="R126" s="63">
        <f t="shared" si="57"/>
        <v>-0.14000000000000001</v>
      </c>
      <c r="S126" s="64">
        <f t="shared" si="58"/>
        <v>-0.14000000000000001</v>
      </c>
      <c r="T126" s="63">
        <f t="shared" si="59"/>
        <v>0.01</v>
      </c>
      <c r="U126" s="64">
        <f t="shared" si="60"/>
        <v>0.01</v>
      </c>
      <c r="V126" s="207">
        <f>IF($A127="","",IF(AND(MONTH(A126)&gt;3,MONTH(A126)&lt;11),(T126+R126+G126)*Summary!$T$7/(1-Summary!$T$7),(T126+R126+G126)*Summary!$U$7/(1-Summary!$U$7)))</f>
        <v>0.215735821364923</v>
      </c>
      <c r="W126" s="63">
        <f t="shared" si="61"/>
        <v>4.6797358213649236</v>
      </c>
      <c r="X126" s="63">
        <f t="shared" si="62"/>
        <v>4.6797358213649236</v>
      </c>
      <c r="Y126" s="43"/>
      <c r="Z126" s="38">
        <f t="shared" si="63"/>
        <v>1.1000000000000001</v>
      </c>
      <c r="AA126" s="38">
        <f t="shared" si="63"/>
        <v>0.188</v>
      </c>
      <c r="AB126" s="38">
        <f t="shared" ca="1" si="40"/>
        <v>0.20031758386137119</v>
      </c>
      <c r="AC126" s="38">
        <f t="shared" si="63"/>
        <v>1</v>
      </c>
      <c r="AD126" s="38">
        <f t="shared" si="41"/>
        <v>0.183</v>
      </c>
      <c r="AE126" s="38">
        <f t="shared" ca="1" si="42"/>
        <v>0.19350247893695785</v>
      </c>
      <c r="AF126" s="238">
        <f ca="1">((Summary!$N$7*(AA126*AD126)*(A126-$D$3))+(Summary!$M$7*Z126*AC126*(DAY(EOMONTH(A126,0))/2)))/(AK126*AB126*AE126)</f>
        <v>0.99967891372504447</v>
      </c>
      <c r="AG126" s="88">
        <f>IF($A127="","",Summary!$Q$7)</f>
        <v>0</v>
      </c>
      <c r="AH126" s="88">
        <f>IF($A127="","",IF(Summary!$R$7="Y",(VLOOKUP($A126,Summary!$AD$6:$AF$9,3)+'Escalating commodity'!C139),'Escalating commodity'!C139))</f>
        <v>2.2495200000000003E-2</v>
      </c>
      <c r="AI126" s="88">
        <f t="shared" si="64"/>
        <v>2.2495200000000003E-2</v>
      </c>
      <c r="AJ126" s="236">
        <f t="shared" si="43"/>
        <v>40588</v>
      </c>
      <c r="AK126" s="58">
        <f t="shared" ca="1" si="65"/>
        <v>3549</v>
      </c>
      <c r="AL126" s="26">
        <f ca="1">IF($A127="","",_xll.SPRDOPT(P126,X126,AI126,0,AB126,AE126,AF126,AK126,$AJ$2,0))</f>
        <v>0.22124352549818987</v>
      </c>
      <c r="AM126" s="209">
        <f t="shared" si="44"/>
        <v>0.21676897863507688</v>
      </c>
      <c r="AN126" s="89">
        <f t="shared" ca="1" si="66"/>
        <v>4.4745468631129937E-3</v>
      </c>
      <c r="AO126" s="3">
        <f t="shared" si="67"/>
        <v>28</v>
      </c>
      <c r="AP126" s="33">
        <f t="shared" si="68"/>
        <v>40575</v>
      </c>
      <c r="AQ126" s="58">
        <f t="shared" ca="1" si="45"/>
        <v>3549</v>
      </c>
      <c r="AR126" s="38">
        <f>IF(Summary!$H$2=1,VLOOKUP('ANR OK vs ML7'!A126,Curves!$C$17:$AR$273,MATCH('ANR OK vs ML7'!$AR$4,Curves!$C$8:$AQ$8,0)),0.1)</f>
        <v>0.1</v>
      </c>
      <c r="AS126" s="35">
        <f t="shared" ca="1" si="46"/>
        <v>0.38745631028846678</v>
      </c>
      <c r="AT126" s="3">
        <f t="shared" si="69"/>
        <v>1</v>
      </c>
      <c r="AU126" s="3">
        <f t="shared" si="47"/>
        <v>28</v>
      </c>
      <c r="AW126" s="32">
        <f t="shared" ca="1" si="70"/>
        <v>247792.74855797266</v>
      </c>
      <c r="AX126" s="32">
        <f t="shared" si="71"/>
        <v>242781.2560712861</v>
      </c>
      <c r="AY126" s="32">
        <f t="shared" ca="1" si="72"/>
        <v>5011.4924866865531</v>
      </c>
      <c r="BA126" s="32">
        <f ca="1">IF($A127="","",F126*Summary!$Q$7)</f>
        <v>0</v>
      </c>
      <c r="BC126" s="256">
        <f t="shared" ca="1" si="73"/>
        <v>94067.129684579937</v>
      </c>
    </row>
    <row r="127" spans="1:55">
      <c r="A127" s="67">
        <f t="shared" si="48"/>
        <v>40603</v>
      </c>
      <c r="B127" s="69">
        <f t="shared" si="74"/>
        <v>40000</v>
      </c>
      <c r="C127" s="71"/>
      <c r="D127" s="69">
        <f t="shared" si="75"/>
        <v>40000</v>
      </c>
      <c r="E127" s="70">
        <f t="shared" si="38"/>
        <v>1240000</v>
      </c>
      <c r="F127" s="70">
        <f t="shared" ca="1" si="39"/>
        <v>476865.2631547497</v>
      </c>
      <c r="G127" s="63">
        <f t="shared" si="49"/>
        <v>4.4550000000000001</v>
      </c>
      <c r="H127" s="64">
        <f t="shared" si="50"/>
        <v>4.4550000000000001</v>
      </c>
      <c r="I127" s="43"/>
      <c r="J127" s="63">
        <f t="shared" si="51"/>
        <v>0.32500000000000001</v>
      </c>
      <c r="K127" s="64">
        <f t="shared" si="52"/>
        <v>0.32500000000000001</v>
      </c>
      <c r="L127" s="63">
        <f t="shared" si="53"/>
        <v>0</v>
      </c>
      <c r="M127" s="64">
        <f t="shared" si="54"/>
        <v>0</v>
      </c>
      <c r="N127" s="65"/>
      <c r="O127" s="63">
        <f t="shared" si="55"/>
        <v>4.78</v>
      </c>
      <c r="P127" s="63">
        <f t="shared" si="56"/>
        <v>4.78</v>
      </c>
      <c r="Q127" s="66"/>
      <c r="R127" s="63">
        <f t="shared" si="57"/>
        <v>-0.14249999999999999</v>
      </c>
      <c r="S127" s="64">
        <f t="shared" si="58"/>
        <v>-0.14249999999999999</v>
      </c>
      <c r="T127" s="63">
        <f t="shared" si="59"/>
        <v>0.01</v>
      </c>
      <c r="U127" s="64">
        <f t="shared" si="60"/>
        <v>0.01</v>
      </c>
      <c r="V127" s="207">
        <f>IF($A128="","",IF(AND(MONTH(A127)&gt;3,MONTH(A127)&lt;11),(T127+R127+G127)*Summary!$T$7/(1-Summary!$T$7),(T127+R127+G127)*Summary!$U$7/(1-Summary!$U$7)))</f>
        <v>0.20889742111332427</v>
      </c>
      <c r="W127" s="63">
        <f t="shared" si="61"/>
        <v>4.5313974211133239</v>
      </c>
      <c r="X127" s="63">
        <f t="shared" si="62"/>
        <v>4.5313974211133239</v>
      </c>
      <c r="Y127" s="43"/>
      <c r="Z127" s="38">
        <f t="shared" si="63"/>
        <v>0.75</v>
      </c>
      <c r="AA127" s="38">
        <f t="shared" si="63"/>
        <v>0.185</v>
      </c>
      <c r="AB127" s="38">
        <f t="shared" ca="1" si="40"/>
        <v>0.19149938813368908</v>
      </c>
      <c r="AC127" s="38">
        <f t="shared" si="63"/>
        <v>0.75</v>
      </c>
      <c r="AD127" s="38">
        <f t="shared" si="41"/>
        <v>0.18</v>
      </c>
      <c r="AE127" s="38">
        <f t="shared" ca="1" si="42"/>
        <v>0.18667218713963701</v>
      </c>
      <c r="AF127" s="238">
        <f ca="1">((Summary!$N$7*(AA127*AD127)*(A127-$D$3))+(Summary!$M$7*Z127*AC127*(DAY(EOMONTH(A127,0))/2)))/(AK127*AB127*AE127)</f>
        <v>0.99988297145396998</v>
      </c>
      <c r="AG127" s="88">
        <f>IF($A128="","",Summary!$Q$7)</f>
        <v>0</v>
      </c>
      <c r="AH127" s="88">
        <f>IF($A128="","",IF(Summary!$R$7="Y",(VLOOKUP($A127,Summary!$AD$6:$AF$9,3)+'Escalating commodity'!C140),'Escalating commodity'!C140))</f>
        <v>2.2495200000000003E-2</v>
      </c>
      <c r="AI127" s="88">
        <f t="shared" si="64"/>
        <v>2.2495200000000003E-2</v>
      </c>
      <c r="AJ127" s="236">
        <f t="shared" si="43"/>
        <v>40617.5</v>
      </c>
      <c r="AK127" s="58">
        <f t="shared" ca="1" si="65"/>
        <v>3577</v>
      </c>
      <c r="AL127" s="26">
        <f ca="1">IF($A128="","",_xll.SPRDOPT(P127,X127,AI127,0,AB127,AE127,AF127,AK127,$AJ$2,0))</f>
        <v>0.22692651949158676</v>
      </c>
      <c r="AM127" s="209">
        <f t="shared" si="44"/>
        <v>0.22610737888667637</v>
      </c>
      <c r="AN127" s="89">
        <f t="shared" ca="1" si="66"/>
        <v>8.1914060491039553E-4</v>
      </c>
      <c r="AO127" s="3">
        <f t="shared" si="67"/>
        <v>31</v>
      </c>
      <c r="AP127" s="33">
        <f t="shared" si="68"/>
        <v>40603</v>
      </c>
      <c r="AQ127" s="58">
        <f t="shared" ca="1" si="45"/>
        <v>3577</v>
      </c>
      <c r="AR127" s="38">
        <f>IF(Summary!$H$2=1,VLOOKUP('ANR OK vs ML7'!A127,Curves!$C$17:$AR$273,MATCH('ANR OK vs ML7'!$AR$4,Curves!$C$8:$AQ$8,0)),0.1)</f>
        <v>0.1</v>
      </c>
      <c r="AS127" s="35">
        <f t="shared" ca="1" si="46"/>
        <v>0.38456876060866912</v>
      </c>
      <c r="AT127" s="3">
        <f t="shared" si="69"/>
        <v>1</v>
      </c>
      <c r="AU127" s="3">
        <f t="shared" si="47"/>
        <v>31</v>
      </c>
      <c r="AW127" s="32">
        <f t="shared" ca="1" si="70"/>
        <v>281388.88416956761</v>
      </c>
      <c r="AX127" s="32">
        <f t="shared" si="71"/>
        <v>280373.14981947868</v>
      </c>
      <c r="AY127" s="32">
        <f t="shared" ca="1" si="72"/>
        <v>1015.7343500888904</v>
      </c>
      <c r="BA127" s="32">
        <f ca="1">IF($A128="","",F127*Summary!$Q$7)</f>
        <v>0</v>
      </c>
      <c r="BC127" s="256">
        <f t="shared" ca="1" si="73"/>
        <v>107822.75473402563</v>
      </c>
    </row>
    <row r="128" spans="1:55">
      <c r="A128" s="67">
        <f t="shared" si="48"/>
        <v>40634</v>
      </c>
      <c r="B128" s="69">
        <f t="shared" si="74"/>
        <v>40000</v>
      </c>
      <c r="C128" s="71"/>
      <c r="D128" s="69">
        <f t="shared" si="75"/>
        <v>40000</v>
      </c>
      <c r="E128" s="70">
        <f t="shared" si="38"/>
        <v>1200000</v>
      </c>
      <c r="F128" s="70">
        <f t="shared" ca="1" si="39"/>
        <v>457676.3107852735</v>
      </c>
      <c r="G128" s="63">
        <f t="shared" si="49"/>
        <v>4.28</v>
      </c>
      <c r="H128" s="64">
        <f t="shared" si="50"/>
        <v>4.28</v>
      </c>
      <c r="I128" s="43"/>
      <c r="J128" s="63">
        <f t="shared" si="51"/>
        <v>0.21</v>
      </c>
      <c r="K128" s="64">
        <f t="shared" si="52"/>
        <v>0.21</v>
      </c>
      <c r="L128" s="63">
        <f t="shared" si="53"/>
        <v>0</v>
      </c>
      <c r="M128" s="64">
        <f t="shared" si="54"/>
        <v>0</v>
      </c>
      <c r="N128" s="65"/>
      <c r="O128" s="63">
        <f t="shared" si="55"/>
        <v>4.49</v>
      </c>
      <c r="P128" s="63">
        <f t="shared" si="56"/>
        <v>4.49</v>
      </c>
      <c r="Q128" s="66"/>
      <c r="R128" s="63">
        <f t="shared" si="57"/>
        <v>-0.14000000000000001</v>
      </c>
      <c r="S128" s="64">
        <f t="shared" si="58"/>
        <v>-0.14000000000000001</v>
      </c>
      <c r="T128" s="63">
        <f t="shared" si="59"/>
        <v>-0.01</v>
      </c>
      <c r="U128" s="64">
        <f t="shared" si="60"/>
        <v>-0.01</v>
      </c>
      <c r="V128" s="207">
        <f>IF($A129="","",IF(AND(MONTH(A128)&gt;3,MONTH(A128)&lt;11),(T128+R128+G128)*Summary!$T$7/(1-Summary!$T$7),(T128+R128+G128)*Summary!$U$7/(1-Summary!$U$7)))</f>
        <v>0.19959429709613169</v>
      </c>
      <c r="W128" s="63">
        <f t="shared" si="61"/>
        <v>4.3295942970961319</v>
      </c>
      <c r="X128" s="63">
        <f t="shared" si="62"/>
        <v>4.3295942970961319</v>
      </c>
      <c r="Y128" s="43"/>
      <c r="Z128" s="38">
        <f t="shared" si="63"/>
        <v>0.45</v>
      </c>
      <c r="AA128" s="38">
        <f t="shared" si="63"/>
        <v>0.185</v>
      </c>
      <c r="AB128" s="38">
        <f t="shared" ca="1" si="40"/>
        <v>0.18728685224054825</v>
      </c>
      <c r="AC128" s="38">
        <f t="shared" si="63"/>
        <v>0.4</v>
      </c>
      <c r="AD128" s="38">
        <f t="shared" si="41"/>
        <v>0.18</v>
      </c>
      <c r="AE128" s="38">
        <f t="shared" ca="1" si="42"/>
        <v>0.18186304878785139</v>
      </c>
      <c r="AF128" s="238">
        <f ca="1">((Summary!$N$7*(AA128*AD128)*(A128-$D$3))+(Summary!$M$7*Z128*AC128*(DAY(EOMONTH(A128,0))/2)))/(AK128*AB128*AE128)</f>
        <v>0.99981437912855387</v>
      </c>
      <c r="AG128" s="88">
        <f>IF($A129="","",Summary!$Q$7)</f>
        <v>0</v>
      </c>
      <c r="AH128" s="88">
        <f>IF($A129="","",IF(Summary!$R$7="Y",(VLOOKUP($A128,Summary!$AD$6:$AF$9,3)+'Escalating commodity'!C141),'Escalating commodity'!C141))</f>
        <v>2.2495200000000003E-2</v>
      </c>
      <c r="AI128" s="88">
        <f t="shared" si="64"/>
        <v>2.2495200000000003E-2</v>
      </c>
      <c r="AJ128" s="236">
        <f t="shared" si="43"/>
        <v>40648</v>
      </c>
      <c r="AK128" s="58">
        <f t="shared" ca="1" si="65"/>
        <v>3608</v>
      </c>
      <c r="AL128" s="26">
        <f ca="1">IF($A129="","",_xll.SPRDOPT(P128,X128,AI128,0,AB128,AE128,AF128,AK128,$AJ$2,0))</f>
        <v>0.14284903778413577</v>
      </c>
      <c r="AM128" s="209">
        <f t="shared" si="44"/>
        <v>0.13791050290386836</v>
      </c>
      <c r="AN128" s="89">
        <f t="shared" ca="1" si="66"/>
        <v>4.9385348802674089E-3</v>
      </c>
      <c r="AO128" s="3">
        <f t="shared" si="67"/>
        <v>30</v>
      </c>
      <c r="AP128" s="33">
        <f t="shared" si="68"/>
        <v>40634</v>
      </c>
      <c r="AQ128" s="58">
        <f t="shared" ca="1" si="45"/>
        <v>3608</v>
      </c>
      <c r="AR128" s="38">
        <f>IF(Summary!$H$2=1,VLOOKUP('ANR OK vs ML7'!A128,Curves!$C$17:$AR$273,MATCH('ANR OK vs ML7'!$AR$4,Curves!$C$8:$AQ$8,0)),0.1)</f>
        <v>0.1</v>
      </c>
      <c r="AS128" s="35">
        <f t="shared" ca="1" si="46"/>
        <v>0.38139692565439459</v>
      </c>
      <c r="AT128" s="3">
        <f t="shared" si="69"/>
        <v>1</v>
      </c>
      <c r="AU128" s="3">
        <f t="shared" si="47"/>
        <v>30</v>
      </c>
      <c r="AW128" s="32">
        <f t="shared" ca="1" si="70"/>
        <v>171418.84534096293</v>
      </c>
      <c r="AX128" s="32">
        <f t="shared" si="71"/>
        <v>165492.60348464202</v>
      </c>
      <c r="AY128" s="32">
        <f t="shared" ca="1" si="72"/>
        <v>5926.2418563208903</v>
      </c>
      <c r="BA128" s="32">
        <f ca="1">IF($A129="","",F128*Summary!$Q$7)</f>
        <v>0</v>
      </c>
      <c r="BC128" s="256">
        <f t="shared" ca="1" si="73"/>
        <v>63118.370187584216</v>
      </c>
    </row>
    <row r="129" spans="1:55">
      <c r="A129" s="67">
        <f t="shared" si="48"/>
        <v>40664</v>
      </c>
      <c r="B129" s="69">
        <f t="shared" si="74"/>
        <v>40000</v>
      </c>
      <c r="C129" s="71"/>
      <c r="D129" s="69">
        <f t="shared" si="75"/>
        <v>40000</v>
      </c>
      <c r="E129" s="70">
        <f t="shared" si="38"/>
        <v>1240000</v>
      </c>
      <c r="F129" s="70">
        <f t="shared" ca="1" si="39"/>
        <v>469156.87495865044</v>
      </c>
      <c r="G129" s="63">
        <f t="shared" si="49"/>
        <v>4.25</v>
      </c>
      <c r="H129" s="64">
        <f t="shared" si="50"/>
        <v>4.25</v>
      </c>
      <c r="I129" s="43"/>
      <c r="J129" s="63">
        <f t="shared" si="51"/>
        <v>0.21</v>
      </c>
      <c r="K129" s="64">
        <f t="shared" si="52"/>
        <v>0.21</v>
      </c>
      <c r="L129" s="63">
        <f t="shared" si="53"/>
        <v>0</v>
      </c>
      <c r="M129" s="64">
        <f t="shared" si="54"/>
        <v>0</v>
      </c>
      <c r="N129" s="65"/>
      <c r="O129" s="63">
        <f t="shared" si="55"/>
        <v>4.46</v>
      </c>
      <c r="P129" s="63">
        <f t="shared" si="56"/>
        <v>4.46</v>
      </c>
      <c r="Q129" s="66"/>
      <c r="R129" s="63">
        <f t="shared" si="57"/>
        <v>-0.14000000000000001</v>
      </c>
      <c r="S129" s="64">
        <f t="shared" si="58"/>
        <v>-0.14000000000000001</v>
      </c>
      <c r="T129" s="63">
        <f t="shared" si="59"/>
        <v>-0.01</v>
      </c>
      <c r="U129" s="64">
        <f t="shared" si="60"/>
        <v>-0.01</v>
      </c>
      <c r="V129" s="207">
        <f>IF($A130="","",IF(AND(MONTH(A129)&gt;3,MONTH(A129)&lt;11),(T129+R129+G129)*Summary!$T$7/(1-Summary!$T$7),(T129+R129+G129)*Summary!$U$7/(1-Summary!$U$7)))</f>
        <v>0.19814445958695878</v>
      </c>
      <c r="W129" s="63">
        <f t="shared" si="61"/>
        <v>4.2981444595869585</v>
      </c>
      <c r="X129" s="63">
        <f t="shared" si="62"/>
        <v>4.2981444595869585</v>
      </c>
      <c r="Y129" s="43"/>
      <c r="Z129" s="38">
        <f t="shared" si="63"/>
        <v>0.5</v>
      </c>
      <c r="AA129" s="38">
        <f t="shared" si="63"/>
        <v>0.185</v>
      </c>
      <c r="AB129" s="38">
        <f t="shared" ca="1" si="40"/>
        <v>0.187881753573899</v>
      </c>
      <c r="AC129" s="38">
        <f t="shared" si="63"/>
        <v>0.4</v>
      </c>
      <c r="AD129" s="38">
        <f t="shared" si="41"/>
        <v>0.18</v>
      </c>
      <c r="AE129" s="38">
        <f t="shared" ca="1" si="42"/>
        <v>0.18190821650037237</v>
      </c>
      <c r="AF129" s="238">
        <f ca="1">((Summary!$N$7*(AA129*AD129)*(A129-$D$3))+(Summary!$M$7*Z129*AC129*(DAY(EOMONTH(A129,0))/2)))/(AK129*AB129*AE129)</f>
        <v>0.99943542265597007</v>
      </c>
      <c r="AG129" s="88">
        <f>IF($A130="","",Summary!$Q$7)</f>
        <v>0</v>
      </c>
      <c r="AH129" s="88">
        <f>IF($A130="","",IF(Summary!$R$7="Y",(VLOOKUP($A129,Summary!$AD$6:$AF$9,3)+'Escalating commodity'!C142),'Escalating commodity'!C142))</f>
        <v>2.2495200000000003E-2</v>
      </c>
      <c r="AI129" s="88">
        <f t="shared" si="64"/>
        <v>2.2495200000000003E-2</v>
      </c>
      <c r="AJ129" s="236">
        <f t="shared" si="43"/>
        <v>40678.5</v>
      </c>
      <c r="AK129" s="58">
        <f t="shared" ca="1" si="65"/>
        <v>3638</v>
      </c>
      <c r="AL129" s="26">
        <f ca="1">IF($A130="","",_xll.SPRDOPT(P129,X129,AI129,0,AB129,AE129,AF129,AK129,$AJ$2,0))</f>
        <v>0.14923484212669194</v>
      </c>
      <c r="AM129" s="209">
        <f t="shared" si="44"/>
        <v>0.13936034041304152</v>
      </c>
      <c r="AN129" s="89">
        <f t="shared" ca="1" si="66"/>
        <v>9.8745017136504243E-3</v>
      </c>
      <c r="AO129" s="3">
        <f t="shared" si="67"/>
        <v>31</v>
      </c>
      <c r="AP129" s="33">
        <f t="shared" si="68"/>
        <v>40664</v>
      </c>
      <c r="AQ129" s="58">
        <f t="shared" ca="1" si="45"/>
        <v>3638</v>
      </c>
      <c r="AR129" s="38">
        <f>IF(Summary!$H$2=1,VLOOKUP('ANR OK vs ML7'!A129,Curves!$C$17:$AR$273,MATCH('ANR OK vs ML7'!$AR$4,Curves!$C$8:$AQ$8,0)),0.1)</f>
        <v>0.1</v>
      </c>
      <c r="AS129" s="35">
        <f t="shared" ca="1" si="46"/>
        <v>0.3783523185150407</v>
      </c>
      <c r="AT129" s="3">
        <f t="shared" si="69"/>
        <v>1</v>
      </c>
      <c r="AU129" s="3">
        <f t="shared" si="47"/>
        <v>31</v>
      </c>
      <c r="AW129" s="32">
        <f t="shared" ca="1" si="70"/>
        <v>185051.20423709802</v>
      </c>
      <c r="AX129" s="32">
        <f t="shared" si="71"/>
        <v>172806.82211217147</v>
      </c>
      <c r="AY129" s="32">
        <f t="shared" ca="1" si="72"/>
        <v>12244.382124926526</v>
      </c>
      <c r="BA129" s="32">
        <f ca="1">IF($A130="","",F129*Summary!$Q$7)</f>
        <v>0</v>
      </c>
      <c r="BC129" s="256">
        <f t="shared" ca="1" si="73"/>
        <v>65381.861801356281</v>
      </c>
    </row>
    <row r="130" spans="1:55">
      <c r="A130" s="67">
        <f t="shared" si="48"/>
        <v>40695</v>
      </c>
      <c r="B130" s="69">
        <f t="shared" si="74"/>
        <v>40000</v>
      </c>
      <c r="C130" s="71"/>
      <c r="D130" s="69">
        <f t="shared" si="75"/>
        <v>40000</v>
      </c>
      <c r="E130" s="70">
        <f t="shared" si="38"/>
        <v>1200000</v>
      </c>
      <c r="F130" s="70">
        <f t="shared" ca="1" si="39"/>
        <v>450278.10641963792</v>
      </c>
      <c r="G130" s="63">
        <f t="shared" si="49"/>
        <v>4.32</v>
      </c>
      <c r="H130" s="64">
        <f t="shared" si="50"/>
        <v>4.32</v>
      </c>
      <c r="I130" s="43"/>
      <c r="J130" s="63">
        <f t="shared" si="51"/>
        <v>0.21</v>
      </c>
      <c r="K130" s="64">
        <f t="shared" si="52"/>
        <v>0.21</v>
      </c>
      <c r="L130" s="63">
        <f t="shared" si="53"/>
        <v>0</v>
      </c>
      <c r="M130" s="64">
        <f t="shared" si="54"/>
        <v>0</v>
      </c>
      <c r="N130" s="65"/>
      <c r="O130" s="63">
        <f t="shared" si="55"/>
        <v>4.53</v>
      </c>
      <c r="P130" s="63">
        <f t="shared" si="56"/>
        <v>4.53</v>
      </c>
      <c r="Q130" s="66"/>
      <c r="R130" s="63">
        <f t="shared" si="57"/>
        <v>-0.14000000000000001</v>
      </c>
      <c r="S130" s="64">
        <f t="shared" si="58"/>
        <v>-0.14000000000000001</v>
      </c>
      <c r="T130" s="63">
        <f t="shared" si="59"/>
        <v>-0.01</v>
      </c>
      <c r="U130" s="64">
        <f t="shared" si="60"/>
        <v>-0.01</v>
      </c>
      <c r="V130" s="207">
        <f>IF($A131="","",IF(AND(MONTH(A130)&gt;3,MONTH(A130)&lt;11),(T130+R130+G130)*Summary!$T$7/(1-Summary!$T$7),(T130+R130+G130)*Summary!$U$7/(1-Summary!$U$7)))</f>
        <v>0.20152741377502886</v>
      </c>
      <c r="W130" s="63">
        <f t="shared" si="61"/>
        <v>4.3715274137750288</v>
      </c>
      <c r="X130" s="63">
        <f t="shared" si="62"/>
        <v>4.3715274137750288</v>
      </c>
      <c r="Y130" s="43"/>
      <c r="Z130" s="38">
        <f t="shared" si="63"/>
        <v>0.5</v>
      </c>
      <c r="AA130" s="38">
        <f t="shared" si="63"/>
        <v>0.185</v>
      </c>
      <c r="AB130" s="38">
        <f t="shared" ca="1" si="40"/>
        <v>0.18776689009245071</v>
      </c>
      <c r="AC130" s="38">
        <f t="shared" si="63"/>
        <v>0.4</v>
      </c>
      <c r="AD130" s="38">
        <f t="shared" si="41"/>
        <v>0.18</v>
      </c>
      <c r="AE130" s="38">
        <f t="shared" ca="1" si="42"/>
        <v>0.18183223018647457</v>
      </c>
      <c r="AF130" s="238">
        <f ca="1">((Summary!$N$7*(AA130*AD130)*(A130-$D$3))+(Summary!$M$7*Z130*AC130*(DAY(EOMONTH(A130,0))/2)))/(AK130*AB130*AE130)</f>
        <v>0.99945329160389584</v>
      </c>
      <c r="AG130" s="88">
        <f>IF($A131="","",Summary!$Q$7)</f>
        <v>0</v>
      </c>
      <c r="AH130" s="88">
        <f>IF($A131="","",IF(Summary!$R$7="Y",(VLOOKUP($A130,Summary!$AD$6:$AF$9,3)+'Escalating commodity'!C143),'Escalating commodity'!C143))</f>
        <v>2.2495200000000003E-2</v>
      </c>
      <c r="AI130" s="88">
        <f t="shared" si="64"/>
        <v>2.2495200000000003E-2</v>
      </c>
      <c r="AJ130" s="236">
        <f t="shared" si="43"/>
        <v>40709</v>
      </c>
      <c r="AK130" s="58">
        <f t="shared" ca="1" si="65"/>
        <v>3669</v>
      </c>
      <c r="AL130" s="26">
        <f ca="1">IF($A131="","",_xll.SPRDOPT(P130,X130,AI130,0,AB130,AE130,AF130,AK130,$AJ$2,0))</f>
        <v>0.14656176759129538</v>
      </c>
      <c r="AM130" s="209">
        <f t="shared" si="44"/>
        <v>0.13597738622497141</v>
      </c>
      <c r="AN130" s="89">
        <f t="shared" ca="1" si="66"/>
        <v>1.0584381366323975E-2</v>
      </c>
      <c r="AO130" s="3">
        <f t="shared" si="67"/>
        <v>30</v>
      </c>
      <c r="AP130" s="33">
        <f t="shared" si="68"/>
        <v>40695</v>
      </c>
      <c r="AQ130" s="58">
        <f t="shared" ca="1" si="45"/>
        <v>3669</v>
      </c>
      <c r="AR130" s="38">
        <f>IF(Summary!$H$2=1,VLOOKUP('ANR OK vs ML7'!A130,Curves!$C$17:$AR$273,MATCH('ANR OK vs ML7'!$AR$4,Curves!$C$8:$AQ$8,0)),0.1)</f>
        <v>0.1</v>
      </c>
      <c r="AS130" s="35">
        <f t="shared" ca="1" si="46"/>
        <v>0.37523175534969827</v>
      </c>
      <c r="AT130" s="3">
        <f t="shared" si="69"/>
        <v>1</v>
      </c>
      <c r="AU130" s="3">
        <f t="shared" si="47"/>
        <v>30</v>
      </c>
      <c r="AW130" s="32">
        <f t="shared" ca="1" si="70"/>
        <v>175874.12110955446</v>
      </c>
      <c r="AX130" s="32">
        <f t="shared" si="71"/>
        <v>163172.8634699657</v>
      </c>
      <c r="AY130" s="32">
        <f t="shared" ca="1" si="72"/>
        <v>12701.25763958877</v>
      </c>
      <c r="BA130" s="32">
        <f ca="1">IF($A131="","",F130*Summary!$Q$7)</f>
        <v>0</v>
      </c>
      <c r="BC130" s="256">
        <f t="shared" ca="1" si="73"/>
        <v>61227.639985271882</v>
      </c>
    </row>
    <row r="131" spans="1:55">
      <c r="A131" s="67">
        <f t="shared" si="48"/>
        <v>40725</v>
      </c>
      <c r="B131" s="69">
        <f t="shared" si="74"/>
        <v>40000</v>
      </c>
      <c r="C131" s="71"/>
      <c r="D131" s="69">
        <f t="shared" si="75"/>
        <v>40000</v>
      </c>
      <c r="E131" s="70">
        <f t="shared" si="38"/>
        <v>1240000</v>
      </c>
      <c r="F131" s="70">
        <f t="shared" ca="1" si="39"/>
        <v>461573.09061435761</v>
      </c>
      <c r="G131" s="63">
        <f t="shared" si="49"/>
        <v>4.375</v>
      </c>
      <c r="H131" s="64">
        <f t="shared" si="50"/>
        <v>4.375</v>
      </c>
      <c r="I131" s="43"/>
      <c r="J131" s="63">
        <f t="shared" si="51"/>
        <v>0.21</v>
      </c>
      <c r="K131" s="64">
        <f t="shared" si="52"/>
        <v>0.21</v>
      </c>
      <c r="L131" s="63">
        <f t="shared" si="53"/>
        <v>0</v>
      </c>
      <c r="M131" s="64">
        <f t="shared" si="54"/>
        <v>0</v>
      </c>
      <c r="N131" s="65"/>
      <c r="O131" s="63">
        <f t="shared" si="55"/>
        <v>4.585</v>
      </c>
      <c r="P131" s="63">
        <f t="shared" si="56"/>
        <v>4.585</v>
      </c>
      <c r="Q131" s="66"/>
      <c r="R131" s="63">
        <f t="shared" si="57"/>
        <v>-0.14000000000000001</v>
      </c>
      <c r="S131" s="64">
        <f t="shared" si="58"/>
        <v>-0.14000000000000001</v>
      </c>
      <c r="T131" s="63">
        <f t="shared" si="59"/>
        <v>-0.01</v>
      </c>
      <c r="U131" s="64">
        <f t="shared" si="60"/>
        <v>-0.01</v>
      </c>
      <c r="V131" s="207">
        <f>IF($A132="","",IF(AND(MONTH(A131)&gt;3,MONTH(A131)&lt;11),(T131+R131+G131)*Summary!$T$7/(1-Summary!$T$7),(T131+R131+G131)*Summary!$U$7/(1-Summary!$U$7)))</f>
        <v>0.20418544920851242</v>
      </c>
      <c r="W131" s="63">
        <f t="shared" si="61"/>
        <v>4.4291854492085116</v>
      </c>
      <c r="X131" s="63">
        <f t="shared" si="62"/>
        <v>4.4291854492085116</v>
      </c>
      <c r="Y131" s="43"/>
      <c r="Z131" s="38">
        <f t="shared" si="63"/>
        <v>0.55000000000000004</v>
      </c>
      <c r="AA131" s="38">
        <f t="shared" si="63"/>
        <v>0.185</v>
      </c>
      <c r="AB131" s="38">
        <f t="shared" ca="1" si="40"/>
        <v>0.18841927931482555</v>
      </c>
      <c r="AC131" s="38">
        <f t="shared" si="63"/>
        <v>0.4</v>
      </c>
      <c r="AD131" s="38">
        <f t="shared" si="41"/>
        <v>0.18</v>
      </c>
      <c r="AE131" s="38">
        <f t="shared" ca="1" si="42"/>
        <v>0.18187691056717115</v>
      </c>
      <c r="AF131" s="238">
        <f ca="1">((Summary!$N$7*(AA131*AD131)*(A131-$D$3))+(Summary!$M$7*Z131*AC131*(DAY(EOMONTH(A131,0))/2)))/(AK131*AB131*AE131)</f>
        <v>0.99878683465776719</v>
      </c>
      <c r="AG131" s="88">
        <f>IF($A132="","",Summary!$Q$7)</f>
        <v>0</v>
      </c>
      <c r="AH131" s="88">
        <f>IF($A132="","",IF(Summary!$R$7="Y",(VLOOKUP($A131,Summary!$AD$6:$AF$9,3)+'Escalating commodity'!C144),'Escalating commodity'!C144))</f>
        <v>2.2495200000000003E-2</v>
      </c>
      <c r="AI131" s="88">
        <f t="shared" si="64"/>
        <v>2.2495200000000003E-2</v>
      </c>
      <c r="AJ131" s="236">
        <f t="shared" si="43"/>
        <v>40739.5</v>
      </c>
      <c r="AK131" s="58">
        <f t="shared" ca="1" si="65"/>
        <v>3699</v>
      </c>
      <c r="AL131" s="26">
        <f ca="1">IF($A132="","",_xll.SPRDOPT(P131,X131,AI131,0,AB131,AE131,AF131,AK131,$AJ$2,0))</f>
        <v>0.15439165340504668</v>
      </c>
      <c r="AM131" s="209">
        <f t="shared" si="44"/>
        <v>0.13331935079148832</v>
      </c>
      <c r="AN131" s="89">
        <f t="shared" ca="1" si="66"/>
        <v>2.1072302613558358E-2</v>
      </c>
      <c r="AO131" s="3">
        <f t="shared" si="67"/>
        <v>31</v>
      </c>
      <c r="AP131" s="33">
        <f t="shared" si="68"/>
        <v>40725</v>
      </c>
      <c r="AQ131" s="58">
        <f t="shared" ca="1" si="45"/>
        <v>3699</v>
      </c>
      <c r="AR131" s="38">
        <f>IF(Summary!$H$2=1,VLOOKUP('ANR OK vs ML7'!A131,Curves!$C$17:$AR$273,MATCH('ANR OK vs ML7'!$AR$4,Curves!$C$8:$AQ$8,0)),0.1)</f>
        <v>0.1</v>
      </c>
      <c r="AS131" s="35">
        <f t="shared" ca="1" si="46"/>
        <v>0.3722363633986755</v>
      </c>
      <c r="AT131" s="3">
        <f t="shared" si="69"/>
        <v>1</v>
      </c>
      <c r="AU131" s="3">
        <f t="shared" si="47"/>
        <v>31</v>
      </c>
      <c r="AW131" s="32">
        <f t="shared" ca="1" si="70"/>
        <v>191445.65022225789</v>
      </c>
      <c r="AX131" s="32">
        <f t="shared" si="71"/>
        <v>165315.99498144552</v>
      </c>
      <c r="AY131" s="32">
        <f t="shared" ca="1" si="72"/>
        <v>26129.655240812364</v>
      </c>
      <c r="BA131" s="32">
        <f ca="1">IF($A132="","",F131*Summary!$Q$7)</f>
        <v>0</v>
      </c>
      <c r="BC131" s="256">
        <f t="shared" ca="1" si="73"/>
        <v>61536.624783526968</v>
      </c>
    </row>
    <row r="132" spans="1:55">
      <c r="A132" s="67">
        <f t="shared" si="48"/>
        <v>40756</v>
      </c>
      <c r="B132" s="69">
        <f t="shared" si="74"/>
        <v>40000</v>
      </c>
      <c r="C132" s="71"/>
      <c r="D132" s="69">
        <f t="shared" si="75"/>
        <v>40000</v>
      </c>
      <c r="E132" s="70">
        <f t="shared" si="38"/>
        <v>1240000</v>
      </c>
      <c r="F132" s="70">
        <f t="shared" ca="1" si="39"/>
        <v>457766.14160361129</v>
      </c>
      <c r="G132" s="63">
        <f t="shared" si="49"/>
        <v>4.431</v>
      </c>
      <c r="H132" s="64">
        <f t="shared" si="50"/>
        <v>4.431</v>
      </c>
      <c r="I132" s="43"/>
      <c r="J132" s="63">
        <f t="shared" si="51"/>
        <v>0.21</v>
      </c>
      <c r="K132" s="64">
        <f t="shared" si="52"/>
        <v>0.21</v>
      </c>
      <c r="L132" s="63">
        <f t="shared" si="53"/>
        <v>0</v>
      </c>
      <c r="M132" s="64">
        <f t="shared" si="54"/>
        <v>0</v>
      </c>
      <c r="N132" s="65"/>
      <c r="O132" s="63">
        <f t="shared" si="55"/>
        <v>4.641</v>
      </c>
      <c r="P132" s="63">
        <f t="shared" si="56"/>
        <v>4.641</v>
      </c>
      <c r="Q132" s="66"/>
      <c r="R132" s="63">
        <f t="shared" si="57"/>
        <v>-0.14000000000000001</v>
      </c>
      <c r="S132" s="64">
        <f t="shared" si="58"/>
        <v>-0.14000000000000001</v>
      </c>
      <c r="T132" s="63">
        <f t="shared" si="59"/>
        <v>-0.01</v>
      </c>
      <c r="U132" s="64">
        <f t="shared" si="60"/>
        <v>-0.01</v>
      </c>
      <c r="V132" s="207">
        <f>IF($A133="","",IF(AND(MONTH(A132)&gt;3,MONTH(A132)&lt;11),(T132+R132+G132)*Summary!$T$7/(1-Summary!$T$7),(T132+R132+G132)*Summary!$U$7/(1-Summary!$U$7)))</f>
        <v>0.20689181255896846</v>
      </c>
      <c r="W132" s="63">
        <f t="shared" si="61"/>
        <v>4.487891812558968</v>
      </c>
      <c r="X132" s="63">
        <f t="shared" si="62"/>
        <v>4.487891812558968</v>
      </c>
      <c r="Y132" s="43"/>
      <c r="Z132" s="38">
        <f t="shared" si="63"/>
        <v>0.6</v>
      </c>
      <c r="AA132" s="38">
        <f t="shared" si="63"/>
        <v>0.185</v>
      </c>
      <c r="AB132" s="38">
        <f t="shared" ca="1" si="40"/>
        <v>0.18902421579124717</v>
      </c>
      <c r="AC132" s="38">
        <f t="shared" si="63"/>
        <v>0.5</v>
      </c>
      <c r="AD132" s="38">
        <f t="shared" si="41"/>
        <v>0.18</v>
      </c>
      <c r="AE132" s="38">
        <f t="shared" ca="1" si="42"/>
        <v>0.18288674178768621</v>
      </c>
      <c r="AF132" s="238">
        <f ca="1">((Summary!$N$7*(AA132*AD132)*(A132-$D$3))+(Summary!$M$7*Z132*AC132*(DAY(EOMONTH(A132,0))/2)))/(AK132*AB132*AE132)</f>
        <v>0.99948575590138711</v>
      </c>
      <c r="AG132" s="88">
        <f>IF($A133="","",Summary!$Q$7)</f>
        <v>0</v>
      </c>
      <c r="AH132" s="88">
        <f>IF($A133="","",IF(Summary!$R$7="Y",(VLOOKUP($A132,Summary!$AD$6:$AF$9,3)+'Escalating commodity'!C145),'Escalating commodity'!C145))</f>
        <v>2.2495200000000003E-2</v>
      </c>
      <c r="AI132" s="88">
        <f t="shared" si="64"/>
        <v>2.2495200000000003E-2</v>
      </c>
      <c r="AJ132" s="236">
        <f t="shared" si="43"/>
        <v>40770.5</v>
      </c>
      <c r="AK132" s="58">
        <f t="shared" ca="1" si="65"/>
        <v>3730</v>
      </c>
      <c r="AL132" s="26">
        <f ca="1">IF($A133="","",_xll.SPRDOPT(P132,X132,AI132,0,AB132,AE132,AF132,AK132,$AJ$2,0))</f>
        <v>0.14315480201950032</v>
      </c>
      <c r="AM132" s="209">
        <f t="shared" si="44"/>
        <v>0.13061298744103206</v>
      </c>
      <c r="AN132" s="89">
        <f t="shared" ca="1" si="66"/>
        <v>1.2541814578468258E-2</v>
      </c>
      <c r="AO132" s="3">
        <f t="shared" si="67"/>
        <v>31</v>
      </c>
      <c r="AP132" s="33">
        <f t="shared" si="68"/>
        <v>40756</v>
      </c>
      <c r="AQ132" s="58">
        <f t="shared" ca="1" si="45"/>
        <v>3730</v>
      </c>
      <c r="AR132" s="38">
        <f>IF(Summary!$H$2=1,VLOOKUP('ANR OK vs ML7'!A132,Curves!$C$17:$AR$273,MATCH('ANR OK vs ML7'!$AR$4,Curves!$C$8:$AQ$8,0)),0.1)</f>
        <v>0.1</v>
      </c>
      <c r="AS132" s="35">
        <f t="shared" ca="1" si="46"/>
        <v>0.36916624322871877</v>
      </c>
      <c r="AT132" s="3">
        <f t="shared" si="69"/>
        <v>1</v>
      </c>
      <c r="AU132" s="3">
        <f t="shared" si="47"/>
        <v>31</v>
      </c>
      <c r="AW132" s="32">
        <f t="shared" ca="1" si="70"/>
        <v>177511.95450418038</v>
      </c>
      <c r="AX132" s="32">
        <f t="shared" si="71"/>
        <v>161960.10442687976</v>
      </c>
      <c r="AY132" s="32">
        <f t="shared" ca="1" si="72"/>
        <v>15551.85007730064</v>
      </c>
      <c r="BA132" s="32">
        <f ca="1">IF($A133="","",F132*Summary!$Q$7)</f>
        <v>0</v>
      </c>
      <c r="BC132" s="256">
        <f t="shared" ca="1" si="73"/>
        <v>59790.203304202187</v>
      </c>
    </row>
    <row r="133" spans="1:55">
      <c r="A133" s="67">
        <f t="shared" si="48"/>
        <v>40787</v>
      </c>
      <c r="B133" s="69">
        <f t="shared" si="74"/>
        <v>40000</v>
      </c>
      <c r="C133" s="71"/>
      <c r="D133" s="69">
        <f t="shared" si="75"/>
        <v>40000</v>
      </c>
      <c r="E133" s="70">
        <f t="shared" si="38"/>
        <v>1200000</v>
      </c>
      <c r="F133" s="70">
        <f t="shared" ca="1" si="39"/>
        <v>439345.73364711902</v>
      </c>
      <c r="G133" s="63">
        <f t="shared" si="49"/>
        <v>4.4450000000000003</v>
      </c>
      <c r="H133" s="64">
        <f t="shared" si="50"/>
        <v>4.4450000000000003</v>
      </c>
      <c r="I133" s="43"/>
      <c r="J133" s="63">
        <f t="shared" si="51"/>
        <v>0.21</v>
      </c>
      <c r="K133" s="64">
        <f t="shared" si="52"/>
        <v>0.21</v>
      </c>
      <c r="L133" s="63">
        <f t="shared" si="53"/>
        <v>0</v>
      </c>
      <c r="M133" s="64">
        <f t="shared" si="54"/>
        <v>0</v>
      </c>
      <c r="N133" s="65"/>
      <c r="O133" s="63">
        <f t="shared" si="55"/>
        <v>4.6550000000000002</v>
      </c>
      <c r="P133" s="63">
        <f t="shared" si="56"/>
        <v>4.6550000000000002</v>
      </c>
      <c r="Q133" s="66"/>
      <c r="R133" s="63">
        <f t="shared" si="57"/>
        <v>-0.14000000000000001</v>
      </c>
      <c r="S133" s="64">
        <f t="shared" si="58"/>
        <v>-0.14000000000000001</v>
      </c>
      <c r="T133" s="63">
        <f t="shared" si="59"/>
        <v>-0.01</v>
      </c>
      <c r="U133" s="64">
        <f t="shared" si="60"/>
        <v>-0.01</v>
      </c>
      <c r="V133" s="207">
        <f>IF($A134="","",IF(AND(MONTH(A133)&gt;3,MONTH(A133)&lt;11),(T133+R133+G133)*Summary!$T$7/(1-Summary!$T$7),(T133+R133+G133)*Summary!$U$7/(1-Summary!$U$7)))</f>
        <v>0.20756840339658245</v>
      </c>
      <c r="W133" s="63">
        <f t="shared" si="61"/>
        <v>4.502568403396582</v>
      </c>
      <c r="X133" s="63">
        <f t="shared" si="62"/>
        <v>4.502568403396582</v>
      </c>
      <c r="Y133" s="43"/>
      <c r="Z133" s="38">
        <f t="shared" si="63"/>
        <v>0.6</v>
      </c>
      <c r="AA133" s="38">
        <f t="shared" si="63"/>
        <v>0.185</v>
      </c>
      <c r="AB133" s="38">
        <f t="shared" ca="1" si="40"/>
        <v>0.18886473553200039</v>
      </c>
      <c r="AC133" s="38">
        <f t="shared" si="63"/>
        <v>0.55000000000000004</v>
      </c>
      <c r="AD133" s="38">
        <f t="shared" si="41"/>
        <v>0.18</v>
      </c>
      <c r="AE133" s="38">
        <f t="shared" ca="1" si="42"/>
        <v>0.18334414574160443</v>
      </c>
      <c r="AF133" s="238">
        <f ca="1">((Summary!$N$7*(AA133*AD133)*(A133-$D$3))+(Summary!$M$7*Z133*AC133*(DAY(EOMONTH(A133,0))/2)))/(AK133*AB133*AE133)</f>
        <v>0.99983882259111434</v>
      </c>
      <c r="AG133" s="88">
        <f>IF($A134="","",Summary!$Q$7)</f>
        <v>0</v>
      </c>
      <c r="AH133" s="88">
        <f>IF($A134="","",IF(Summary!$R$7="Y",(VLOOKUP($A133,Summary!$AD$6:$AF$9,3)+'Escalating commodity'!C146),'Escalating commodity'!C146))</f>
        <v>2.2495200000000003E-2</v>
      </c>
      <c r="AI133" s="88">
        <f t="shared" si="64"/>
        <v>2.2495200000000003E-2</v>
      </c>
      <c r="AJ133" s="236">
        <f t="shared" si="43"/>
        <v>40801</v>
      </c>
      <c r="AK133" s="58">
        <f t="shared" ca="1" si="65"/>
        <v>3761</v>
      </c>
      <c r="AL133" s="26">
        <f ca="1">IF($A134="","",_xll.SPRDOPT(P133,X133,AI133,0,AB133,AE133,AF133,AK133,$AJ$2,0))</f>
        <v>0.13662882647126215</v>
      </c>
      <c r="AM133" s="209">
        <f t="shared" si="44"/>
        <v>0.12993639660341821</v>
      </c>
      <c r="AN133" s="89">
        <f t="shared" ca="1" si="66"/>
        <v>6.6924298678439353E-3</v>
      </c>
      <c r="AO133" s="3">
        <f t="shared" si="67"/>
        <v>30</v>
      </c>
      <c r="AP133" s="33">
        <f t="shared" si="68"/>
        <v>40787</v>
      </c>
      <c r="AQ133" s="58">
        <f t="shared" ca="1" si="45"/>
        <v>3761</v>
      </c>
      <c r="AR133" s="38">
        <f>IF(Summary!$H$2=1,VLOOKUP('ANR OK vs ML7'!A133,Curves!$C$17:$AR$273,MATCH('ANR OK vs ML7'!$AR$4,Curves!$C$8:$AQ$8,0)),0.1)</f>
        <v>0.1</v>
      </c>
      <c r="AS133" s="35">
        <f t="shared" ca="1" si="46"/>
        <v>0.3661214447059325</v>
      </c>
      <c r="AT133" s="3">
        <f t="shared" si="69"/>
        <v>1</v>
      </c>
      <c r="AU133" s="3">
        <f t="shared" si="47"/>
        <v>30</v>
      </c>
      <c r="AW133" s="32">
        <f t="shared" ca="1" si="70"/>
        <v>163954.59176551457</v>
      </c>
      <c r="AX133" s="32">
        <f t="shared" si="71"/>
        <v>155923.67592410184</v>
      </c>
      <c r="AY133" s="32">
        <f t="shared" ca="1" si="72"/>
        <v>8030.9158414127223</v>
      </c>
      <c r="BA133" s="32">
        <f ca="1">IF($A134="","",F133*Summary!$Q$7)</f>
        <v>0</v>
      </c>
      <c r="BC133" s="256">
        <f t="shared" ca="1" si="73"/>
        <v>57087.001493191798</v>
      </c>
    </row>
    <row r="134" spans="1:55">
      <c r="A134" s="67">
        <f t="shared" si="48"/>
        <v>40817</v>
      </c>
      <c r="B134" s="69">
        <f t="shared" si="74"/>
        <v>40000</v>
      </c>
      <c r="C134" s="71"/>
      <c r="D134" s="69">
        <f t="shared" si="75"/>
        <v>40000</v>
      </c>
      <c r="E134" s="70">
        <f t="shared" si="38"/>
        <v>1240000</v>
      </c>
      <c r="F134" s="70">
        <f t="shared" ca="1" si="39"/>
        <v>450366.48514894076</v>
      </c>
      <c r="G134" s="63">
        <f t="shared" si="49"/>
        <v>4.476</v>
      </c>
      <c r="H134" s="64">
        <f t="shared" si="50"/>
        <v>4.476</v>
      </c>
      <c r="I134" s="43"/>
      <c r="J134" s="63">
        <f t="shared" si="51"/>
        <v>0.21</v>
      </c>
      <c r="K134" s="64">
        <f t="shared" si="52"/>
        <v>0.21</v>
      </c>
      <c r="L134" s="63">
        <f t="shared" si="53"/>
        <v>0</v>
      </c>
      <c r="M134" s="64">
        <f t="shared" si="54"/>
        <v>0</v>
      </c>
      <c r="N134" s="65"/>
      <c r="O134" s="63">
        <f t="shared" si="55"/>
        <v>4.6859999999999999</v>
      </c>
      <c r="P134" s="63">
        <f t="shared" si="56"/>
        <v>4.6859999999999999</v>
      </c>
      <c r="Q134" s="66"/>
      <c r="R134" s="63">
        <f t="shared" si="57"/>
        <v>-0.14000000000000001</v>
      </c>
      <c r="S134" s="64">
        <f t="shared" si="58"/>
        <v>-0.14000000000000001</v>
      </c>
      <c r="T134" s="63">
        <f t="shared" si="59"/>
        <v>-0.01</v>
      </c>
      <c r="U134" s="64">
        <f t="shared" si="60"/>
        <v>-0.01</v>
      </c>
      <c r="V134" s="207">
        <f>IF($A135="","",IF(AND(MONTH(A134)&gt;3,MONTH(A134)&lt;11),(T134+R134+G134)*Summary!$T$7/(1-Summary!$T$7),(T134+R134+G134)*Summary!$U$7/(1-Summary!$U$7)))</f>
        <v>0.20906656882272773</v>
      </c>
      <c r="W134" s="63">
        <f t="shared" si="61"/>
        <v>4.5350665688227272</v>
      </c>
      <c r="X134" s="63">
        <f t="shared" si="62"/>
        <v>4.5350665688227272</v>
      </c>
      <c r="Y134" s="43"/>
      <c r="Z134" s="38">
        <f t="shared" si="63"/>
        <v>0.65</v>
      </c>
      <c r="AA134" s="38">
        <f t="shared" si="63"/>
        <v>0.185</v>
      </c>
      <c r="AB134" s="38">
        <f t="shared" ca="1" si="40"/>
        <v>0.189635108946036</v>
      </c>
      <c r="AC134" s="38">
        <f t="shared" si="63"/>
        <v>0.55000000000000004</v>
      </c>
      <c r="AD134" s="38">
        <f t="shared" si="41"/>
        <v>0.18</v>
      </c>
      <c r="AE134" s="38">
        <f t="shared" ca="1" si="42"/>
        <v>0.18342670859359986</v>
      </c>
      <c r="AF134" s="238">
        <f ca="1">((Summary!$N$7*(AA134*AD134)*(A134-$D$3))+(Summary!$M$7*Z134*AC134*(DAY(EOMONTH(A134,0))/2)))/(AK134*AB134*AE134)</f>
        <v>0.99951112170199607</v>
      </c>
      <c r="AG134" s="88">
        <f>IF($A135="","",Summary!$Q$7)</f>
        <v>0</v>
      </c>
      <c r="AH134" s="88">
        <f>IF($A135="","",IF(Summary!$R$7="Y",(VLOOKUP($A134,Summary!$AD$6:$AF$9,3)+'Escalating commodity'!C147),'Escalating commodity'!C147))</f>
        <v>2.2495200000000003E-2</v>
      </c>
      <c r="AI134" s="88">
        <f t="shared" si="64"/>
        <v>2.2495200000000003E-2</v>
      </c>
      <c r="AJ134" s="236">
        <f t="shared" si="43"/>
        <v>40831.5</v>
      </c>
      <c r="AK134" s="58">
        <f t="shared" ca="1" si="65"/>
        <v>3791</v>
      </c>
      <c r="AL134" s="26">
        <f ca="1">IF($A135="","",_xll.SPRDOPT(P134,X134,AI134,0,AB134,AE134,AF134,AK134,$AJ$2,0))</f>
        <v>0.14184615679896698</v>
      </c>
      <c r="AM134" s="209">
        <f t="shared" si="44"/>
        <v>0.12843823117727277</v>
      </c>
      <c r="AN134" s="89">
        <f t="shared" ca="1" si="66"/>
        <v>1.3407925621694211E-2</v>
      </c>
      <c r="AO134" s="3">
        <f t="shared" si="67"/>
        <v>31</v>
      </c>
      <c r="AP134" s="33">
        <f t="shared" si="68"/>
        <v>40817</v>
      </c>
      <c r="AQ134" s="58">
        <f t="shared" ca="1" si="45"/>
        <v>3791</v>
      </c>
      <c r="AR134" s="38">
        <f>IF(Summary!$H$2=1,VLOOKUP('ANR OK vs ML7'!A134,Curves!$C$17:$AR$273,MATCH('ANR OK vs ML7'!$AR$4,Curves!$C$8:$AQ$8,0)),0.1)</f>
        <v>0.1</v>
      </c>
      <c r="AS134" s="35">
        <f t="shared" ca="1" si="46"/>
        <v>0.36319877834591996</v>
      </c>
      <c r="AT134" s="3">
        <f t="shared" si="69"/>
        <v>1</v>
      </c>
      <c r="AU134" s="3">
        <f t="shared" si="47"/>
        <v>31</v>
      </c>
      <c r="AW134" s="32">
        <f t="shared" ca="1" si="70"/>
        <v>175889.23443071905</v>
      </c>
      <c r="AX134" s="32">
        <f t="shared" si="71"/>
        <v>159263.40665981823</v>
      </c>
      <c r="AY134" s="32">
        <f t="shared" ca="1" si="72"/>
        <v>16625.827770900822</v>
      </c>
      <c r="BA134" s="32">
        <f ca="1">IF($A135="","",F134*Summary!$Q$7)</f>
        <v>0</v>
      </c>
      <c r="BC134" s="256">
        <f t="shared" ca="1" si="73"/>
        <v>57844.274734055434</v>
      </c>
    </row>
    <row r="135" spans="1:55">
      <c r="A135" s="67">
        <f t="shared" si="48"/>
        <v>40848</v>
      </c>
      <c r="B135" s="69">
        <f t="shared" si="74"/>
        <v>40000</v>
      </c>
      <c r="C135" s="71"/>
      <c r="D135" s="69">
        <f t="shared" si="75"/>
        <v>40000</v>
      </c>
      <c r="E135" s="70">
        <f t="shared" si="38"/>
        <v>1200000</v>
      </c>
      <c r="F135" s="70">
        <f t="shared" ca="1" si="39"/>
        <v>432243.83772614674</v>
      </c>
      <c r="G135" s="63">
        <f t="shared" si="49"/>
        <v>4.609</v>
      </c>
      <c r="H135" s="64">
        <f t="shared" si="50"/>
        <v>4.609</v>
      </c>
      <c r="I135" s="43"/>
      <c r="J135" s="63">
        <f t="shared" si="51"/>
        <v>0.32500000000000001</v>
      </c>
      <c r="K135" s="64">
        <f t="shared" si="52"/>
        <v>0.32500000000000001</v>
      </c>
      <c r="L135" s="63">
        <f t="shared" si="53"/>
        <v>0</v>
      </c>
      <c r="M135" s="64">
        <f t="shared" si="54"/>
        <v>0</v>
      </c>
      <c r="N135" s="65"/>
      <c r="O135" s="63">
        <f t="shared" si="55"/>
        <v>4.9340000000000002</v>
      </c>
      <c r="P135" s="63">
        <f t="shared" si="56"/>
        <v>4.9340000000000002</v>
      </c>
      <c r="Q135" s="66"/>
      <c r="R135" s="63">
        <f t="shared" si="57"/>
        <v>-0.14249999999999999</v>
      </c>
      <c r="S135" s="64">
        <f t="shared" si="58"/>
        <v>-0.14249999999999999</v>
      </c>
      <c r="T135" s="63">
        <f t="shared" si="59"/>
        <v>0.01</v>
      </c>
      <c r="U135" s="64">
        <f t="shared" si="60"/>
        <v>0.01</v>
      </c>
      <c r="V135" s="207">
        <f>IF($A136="","",IF(AND(MONTH(A135)&gt;3,MONTH(A135)&lt;11),(T135+R135+G135)*Summary!$T$7/(1-Summary!$T$7),(T135+R135+G135)*Summary!$U$7/(1-Summary!$U$7)))</f>
        <v>0.2163399203270783</v>
      </c>
      <c r="W135" s="63">
        <f t="shared" si="61"/>
        <v>4.6928399203270779</v>
      </c>
      <c r="X135" s="63">
        <f t="shared" si="62"/>
        <v>4.6928399203270779</v>
      </c>
      <c r="Y135" s="43"/>
      <c r="Z135" s="38">
        <f t="shared" si="63"/>
        <v>0.8</v>
      </c>
      <c r="AA135" s="38">
        <f t="shared" si="63"/>
        <v>0.185</v>
      </c>
      <c r="AB135" s="38">
        <f t="shared" ca="1" si="40"/>
        <v>0.19169175432471219</v>
      </c>
      <c r="AC135" s="38">
        <f t="shared" si="63"/>
        <v>0.8</v>
      </c>
      <c r="AD135" s="38">
        <f t="shared" si="41"/>
        <v>0.18</v>
      </c>
      <c r="AE135" s="38">
        <f t="shared" ca="1" si="42"/>
        <v>0.18686961009590092</v>
      </c>
      <c r="AF135" s="238">
        <f ca="1">((Summary!$N$7*(AA135*AD135)*(A135-$D$3))+(Summary!$M$7*Z135*AC135*(DAY(EOMONTH(A135,0))/2)))/(AK135*AB135*AE135)</f>
        <v>0.99988253924667481</v>
      </c>
      <c r="AG135" s="88">
        <f>IF($A136="","",Summary!$Q$7)</f>
        <v>0</v>
      </c>
      <c r="AH135" s="88">
        <f>IF($A136="","",IF(Summary!$R$7="Y",(VLOOKUP($A135,Summary!$AD$6:$AF$9,3)+'Escalating commodity'!C148),'Escalating commodity'!C148))</f>
        <v>2.2495200000000003E-2</v>
      </c>
      <c r="AI135" s="88">
        <f t="shared" si="64"/>
        <v>2.2495200000000003E-2</v>
      </c>
      <c r="AJ135" s="236">
        <f t="shared" si="43"/>
        <v>40862</v>
      </c>
      <c r="AK135" s="58">
        <f t="shared" ca="1" si="65"/>
        <v>3822</v>
      </c>
      <c r="AL135" s="26">
        <f ca="1">IF($A136="","",_xll.SPRDOPT(P135,X135,AI135,0,AB135,AE135,AF135,AK135,$AJ$2,0))</f>
        <v>0.21993252920624584</v>
      </c>
      <c r="AM135" s="209">
        <f t="shared" si="44"/>
        <v>0.21866487967292231</v>
      </c>
      <c r="AN135" s="89">
        <f t="shared" ca="1" si="66"/>
        <v>1.2676495333235338E-3</v>
      </c>
      <c r="AO135" s="3">
        <f t="shared" si="67"/>
        <v>30</v>
      </c>
      <c r="AP135" s="33">
        <f t="shared" si="68"/>
        <v>40848</v>
      </c>
      <c r="AQ135" s="58">
        <f t="shared" ca="1" si="45"/>
        <v>3822</v>
      </c>
      <c r="AR135" s="38">
        <f>IF(Summary!$H$2=1,VLOOKUP('ANR OK vs ML7'!A135,Curves!$C$17:$AR$273,MATCH('ANR OK vs ML7'!$AR$4,Curves!$C$8:$AQ$8,0)),0.1)</f>
        <v>0.1</v>
      </c>
      <c r="AS135" s="35">
        <f t="shared" ca="1" si="46"/>
        <v>0.3602031981051223</v>
      </c>
      <c r="AT135" s="3">
        <f t="shared" si="69"/>
        <v>1</v>
      </c>
      <c r="AU135" s="3">
        <f t="shared" si="47"/>
        <v>30</v>
      </c>
      <c r="AW135" s="32">
        <f t="shared" ca="1" si="70"/>
        <v>263919.03504749498</v>
      </c>
      <c r="AX135" s="32">
        <f t="shared" si="71"/>
        <v>262397.85560750676</v>
      </c>
      <c r="AY135" s="32">
        <f t="shared" ca="1" si="72"/>
        <v>1521.1794399882406</v>
      </c>
      <c r="BA135" s="32">
        <f ca="1">IF($A136="","",F135*Summary!$Q$7)</f>
        <v>0</v>
      </c>
      <c r="BC135" s="256">
        <f t="shared" ca="1" si="73"/>
        <v>94516.546765750027</v>
      </c>
    </row>
    <row r="136" spans="1:55">
      <c r="A136" s="67">
        <f t="shared" si="48"/>
        <v>40878</v>
      </c>
      <c r="B136" s="69">
        <f t="shared" si="74"/>
        <v>40000</v>
      </c>
      <c r="C136" s="71"/>
      <c r="D136" s="69">
        <f t="shared" si="75"/>
        <v>40000</v>
      </c>
      <c r="E136" s="70">
        <f t="shared" si="38"/>
        <v>1240000</v>
      </c>
      <c r="F136" s="70">
        <f t="shared" ca="1" si="39"/>
        <v>443086.44198732713</v>
      </c>
      <c r="G136" s="63">
        <f t="shared" si="49"/>
        <v>4.7469999999999999</v>
      </c>
      <c r="H136" s="64">
        <f t="shared" si="50"/>
        <v>4.7469999999999999</v>
      </c>
      <c r="I136" s="43"/>
      <c r="J136" s="63">
        <f t="shared" si="51"/>
        <v>0.32500000000000001</v>
      </c>
      <c r="K136" s="64">
        <f t="shared" si="52"/>
        <v>0.32500000000000001</v>
      </c>
      <c r="L136" s="63">
        <f t="shared" si="53"/>
        <v>0</v>
      </c>
      <c r="M136" s="64">
        <f t="shared" si="54"/>
        <v>0</v>
      </c>
      <c r="N136" s="65"/>
      <c r="O136" s="63">
        <f t="shared" si="55"/>
        <v>5.0720000000000001</v>
      </c>
      <c r="P136" s="63">
        <f t="shared" si="56"/>
        <v>5.0720000000000001</v>
      </c>
      <c r="Q136" s="66"/>
      <c r="R136" s="63">
        <f t="shared" si="57"/>
        <v>-0.13750000000000001</v>
      </c>
      <c r="S136" s="64">
        <f t="shared" si="58"/>
        <v>-0.13750000000000001</v>
      </c>
      <c r="T136" s="63">
        <f t="shared" si="59"/>
        <v>0.01</v>
      </c>
      <c r="U136" s="64">
        <f t="shared" si="60"/>
        <v>0.01</v>
      </c>
      <c r="V136" s="207">
        <f>IF($A137="","",IF(AND(MONTH(A136)&gt;3,MONTH(A136)&lt;11),(T136+R136+G136)*Summary!$T$7/(1-Summary!$T$7),(T136+R136+G136)*Summary!$U$7/(1-Summary!$U$7)))</f>
        <v>0.22325081245413564</v>
      </c>
      <c r="W136" s="63">
        <f t="shared" si="61"/>
        <v>4.8427508124541347</v>
      </c>
      <c r="X136" s="63">
        <f t="shared" si="62"/>
        <v>4.8427508124541347</v>
      </c>
      <c r="Y136" s="43"/>
      <c r="Z136" s="38">
        <f t="shared" si="63"/>
        <v>1.1000000000000001</v>
      </c>
      <c r="AA136" s="38">
        <f t="shared" si="63"/>
        <v>0.185</v>
      </c>
      <c r="AB136" s="38">
        <f t="shared" ca="1" si="40"/>
        <v>0.19774423953155443</v>
      </c>
      <c r="AC136" s="38">
        <f t="shared" si="63"/>
        <v>1</v>
      </c>
      <c r="AD136" s="38">
        <f t="shared" si="41"/>
        <v>0.18</v>
      </c>
      <c r="AE136" s="38">
        <f t="shared" ca="1" si="42"/>
        <v>0.19087245718472365</v>
      </c>
      <c r="AF136" s="238">
        <f ca="1">((Summary!$N$7*(AA136*AD136)*(A136-$D$3))+(Summary!$M$7*Z136*AC136*(DAY(EOMONTH(A136,0))/2)))/(AK136*AB136*AE136)</f>
        <v>0.99967298497829671</v>
      </c>
      <c r="AG136" s="88">
        <f>IF($A137="","",Summary!$Q$7)</f>
        <v>0</v>
      </c>
      <c r="AH136" s="88">
        <f>IF($A137="","",IF(Summary!$R$7="Y",(VLOOKUP($A136,Summary!$AD$6:$AF$9,3)+'Escalating commodity'!C149),'Escalating commodity'!C149))</f>
        <v>2.2495200000000003E-2</v>
      </c>
      <c r="AI136" s="88">
        <f t="shared" si="64"/>
        <v>2.2495200000000003E-2</v>
      </c>
      <c r="AJ136" s="236">
        <f t="shared" si="43"/>
        <v>40892.5</v>
      </c>
      <c r="AK136" s="58">
        <f t="shared" ca="1" si="65"/>
        <v>3852</v>
      </c>
      <c r="AL136" s="26">
        <f ca="1">IF($A137="","",_xll.SPRDOPT(P136,X136,AI136,0,AB136,AE136,AF136,AK136,$AJ$2,0))</f>
        <v>0.21340130315587968</v>
      </c>
      <c r="AM136" s="209">
        <f t="shared" si="44"/>
        <v>0.20675398754586533</v>
      </c>
      <c r="AN136" s="89">
        <f t="shared" ca="1" si="66"/>
        <v>6.6473156100143593E-3</v>
      </c>
      <c r="AO136" s="3">
        <f t="shared" si="67"/>
        <v>31</v>
      </c>
      <c r="AP136" s="33">
        <f t="shared" si="68"/>
        <v>40878</v>
      </c>
      <c r="AQ136" s="58">
        <f t="shared" ca="1" si="45"/>
        <v>3852</v>
      </c>
      <c r="AR136" s="38">
        <f>IF(Summary!$H$2=1,VLOOKUP('ANR OK vs ML7'!A136,Curves!$C$17:$AR$273,MATCH('ANR OK vs ML7'!$AR$4,Curves!$C$8:$AQ$8,0)),0.1)</f>
        <v>0.1</v>
      </c>
      <c r="AS136" s="35">
        <f t="shared" ca="1" si="46"/>
        <v>0.35732777579623154</v>
      </c>
      <c r="AT136" s="3">
        <f t="shared" si="69"/>
        <v>1</v>
      </c>
      <c r="AU136" s="3">
        <f t="shared" si="47"/>
        <v>31</v>
      </c>
      <c r="AW136" s="32">
        <f t="shared" ca="1" si="70"/>
        <v>264617.61591329082</v>
      </c>
      <c r="AX136" s="32">
        <f t="shared" si="71"/>
        <v>256374.944556873</v>
      </c>
      <c r="AY136" s="32">
        <f t="shared" ca="1" si="72"/>
        <v>8242.6713564178062</v>
      </c>
      <c r="BA136" s="32">
        <f ca="1">IF($A137="","",F136*Summary!$Q$7)</f>
        <v>0</v>
      </c>
      <c r="BC136" s="256">
        <f t="shared" ca="1" si="73"/>
        <v>91609.888708389612</v>
      </c>
    </row>
    <row r="137" spans="1:55">
      <c r="A137" s="67">
        <f t="shared" si="48"/>
        <v>40909</v>
      </c>
      <c r="B137" s="69">
        <f t="shared" si="74"/>
        <v>40000</v>
      </c>
      <c r="C137" s="71"/>
      <c r="D137" s="69">
        <f t="shared" si="75"/>
        <v>40000</v>
      </c>
      <c r="E137" s="70">
        <f t="shared" si="38"/>
        <v>1240000</v>
      </c>
      <c r="F137" s="70">
        <f t="shared" ca="1" si="39"/>
        <v>439431.96661539073</v>
      </c>
      <c r="G137" s="63">
        <f t="shared" si="49"/>
        <v>4.7890000000000006</v>
      </c>
      <c r="H137" s="64">
        <f t="shared" si="50"/>
        <v>4.7890000000000006</v>
      </c>
      <c r="I137" s="43"/>
      <c r="J137" s="63">
        <f t="shared" si="51"/>
        <v>0.32500000000000001</v>
      </c>
      <c r="K137" s="64">
        <f t="shared" si="52"/>
        <v>0.32500000000000001</v>
      </c>
      <c r="L137" s="63">
        <f t="shared" si="53"/>
        <v>0</v>
      </c>
      <c r="M137" s="64">
        <f t="shared" si="54"/>
        <v>0</v>
      </c>
      <c r="N137" s="65"/>
      <c r="O137" s="63">
        <f t="shared" si="55"/>
        <v>5.1140000000000008</v>
      </c>
      <c r="P137" s="63">
        <f t="shared" si="56"/>
        <v>5.1140000000000008</v>
      </c>
      <c r="Q137" s="66"/>
      <c r="R137" s="63">
        <f t="shared" si="57"/>
        <v>-0.13750000000000001</v>
      </c>
      <c r="S137" s="64">
        <f t="shared" si="58"/>
        <v>-0.13750000000000001</v>
      </c>
      <c r="T137" s="63">
        <f t="shared" si="59"/>
        <v>0.01</v>
      </c>
      <c r="U137" s="64">
        <f t="shared" si="60"/>
        <v>0.01</v>
      </c>
      <c r="V137" s="207">
        <f>IF($A138="","",IF(AND(MONTH(A137)&gt;3,MONTH(A137)&lt;11),(T137+R137+G137)*Summary!$T$7/(1-Summary!$T$7),(T137+R137+G137)*Summary!$U$7/(1-Summary!$U$7)))</f>
        <v>0.2252805849669777</v>
      </c>
      <c r="W137" s="63">
        <f t="shared" si="61"/>
        <v>4.8867805849669779</v>
      </c>
      <c r="X137" s="63">
        <f t="shared" si="62"/>
        <v>4.8867805849669779</v>
      </c>
      <c r="Y137" s="43"/>
      <c r="Z137" s="38">
        <f t="shared" si="63"/>
        <v>1.1000000000000001</v>
      </c>
      <c r="AA137" s="38">
        <f t="shared" si="63"/>
        <v>0.185</v>
      </c>
      <c r="AB137" s="38">
        <f t="shared" ca="1" si="40"/>
        <v>0.19764574973903362</v>
      </c>
      <c r="AC137" s="38">
        <f t="shared" si="63"/>
        <v>1</v>
      </c>
      <c r="AD137" s="38">
        <f t="shared" si="41"/>
        <v>0.18</v>
      </c>
      <c r="AE137" s="38">
        <f t="shared" ca="1" si="42"/>
        <v>0.19078811025096448</v>
      </c>
      <c r="AF137" s="238">
        <f ca="1">((Summary!$N$7*(AA137*AD137)*(A137-$D$3))+(Summary!$M$7*Z137*AC137*(DAY(EOMONTH(A137,0))/2)))/(AK137*AB137*AE137)</f>
        <v>0.99967436320357062</v>
      </c>
      <c r="AG137" s="88">
        <f>IF($A138="","",Summary!$Q$7)</f>
        <v>0</v>
      </c>
      <c r="AH137" s="88">
        <f>IF($A138="","",IF(Summary!$R$7="Y",(VLOOKUP($A137,Summary!$AD$6:$AF$9,3)+'Escalating commodity'!C150),'Escalating commodity'!C150))</f>
        <v>2.2495200000000003E-2</v>
      </c>
      <c r="AI137" s="88">
        <f t="shared" si="64"/>
        <v>2.2495200000000003E-2</v>
      </c>
      <c r="AJ137" s="236">
        <f t="shared" si="43"/>
        <v>40923.5</v>
      </c>
      <c r="AK137" s="58">
        <f t="shared" ca="1" si="65"/>
        <v>3883</v>
      </c>
      <c r="AL137" s="26">
        <f ca="1">IF($A138="","",_xll.SPRDOPT(P137,X137,AI137,0,AB137,AE137,AF137,AK137,$AJ$2,0))</f>
        <v>0.21173955334101258</v>
      </c>
      <c r="AM137" s="209">
        <f t="shared" si="44"/>
        <v>0.2047242150330229</v>
      </c>
      <c r="AN137" s="89">
        <f t="shared" ca="1" si="66"/>
        <v>7.0153383079896714E-3</v>
      </c>
      <c r="AO137" s="3">
        <f t="shared" si="67"/>
        <v>31</v>
      </c>
      <c r="AP137" s="33">
        <f t="shared" si="68"/>
        <v>40909</v>
      </c>
      <c r="AQ137" s="58">
        <f t="shared" ca="1" si="45"/>
        <v>3883</v>
      </c>
      <c r="AR137" s="38">
        <f>IF(Summary!$H$2=1,VLOOKUP('ANR OK vs ML7'!A137,Curves!$C$17:$AR$273,MATCH('ANR OK vs ML7'!$AR$4,Curves!$C$8:$AQ$8,0)),0.1)</f>
        <v>0.1</v>
      </c>
      <c r="AS137" s="35">
        <f t="shared" ca="1" si="46"/>
        <v>0.35438061823821831</v>
      </c>
      <c r="AT137" s="3">
        <f t="shared" si="69"/>
        <v>1</v>
      </c>
      <c r="AU137" s="3">
        <f t="shared" si="47"/>
        <v>31</v>
      </c>
      <c r="AW137" s="32">
        <f t="shared" ca="1" si="70"/>
        <v>262557.0461428556</v>
      </c>
      <c r="AX137" s="32">
        <f t="shared" si="71"/>
        <v>253858.0266409484</v>
      </c>
      <c r="AY137" s="32">
        <f t="shared" ca="1" si="72"/>
        <v>8699.0195019071925</v>
      </c>
      <c r="BA137" s="32">
        <f ca="1">IF($A138="","",F137*Summary!$Q$7)</f>
        <v>0</v>
      </c>
      <c r="BC137" s="256">
        <f t="shared" ca="1" si="73"/>
        <v>89962.364425753389</v>
      </c>
    </row>
    <row r="138" spans="1:55">
      <c r="A138" s="67">
        <f t="shared" si="48"/>
        <v>40940</v>
      </c>
      <c r="B138" s="69">
        <f t="shared" si="74"/>
        <v>40000</v>
      </c>
      <c r="C138" s="71"/>
      <c r="D138" s="69">
        <f t="shared" si="75"/>
        <v>40000</v>
      </c>
      <c r="E138" s="70">
        <f t="shared" ref="E138:E201" si="76">IF(A139="","",IF(AND(AT138=1,$H$3=1),D138*AO138,IF($H$3=2,D138,"N/A")))</f>
        <v>1160000</v>
      </c>
      <c r="F138" s="70">
        <f t="shared" ref="F138:F201" ca="1" si="77">IF(A139="","",E138*AS138)</f>
        <v>407691.01106553967</v>
      </c>
      <c r="G138" s="63">
        <f t="shared" si="49"/>
        <v>4.6690000000000005</v>
      </c>
      <c r="H138" s="64">
        <f t="shared" si="50"/>
        <v>4.6690000000000005</v>
      </c>
      <c r="I138" s="43"/>
      <c r="J138" s="63">
        <f t="shared" si="51"/>
        <v>0.32500000000000001</v>
      </c>
      <c r="K138" s="64">
        <f t="shared" si="52"/>
        <v>0.32500000000000001</v>
      </c>
      <c r="L138" s="63">
        <f t="shared" si="53"/>
        <v>0</v>
      </c>
      <c r="M138" s="64">
        <f t="shared" si="54"/>
        <v>0</v>
      </c>
      <c r="N138" s="65"/>
      <c r="O138" s="63">
        <f t="shared" si="55"/>
        <v>4.9940000000000007</v>
      </c>
      <c r="P138" s="63">
        <f t="shared" si="56"/>
        <v>4.9940000000000007</v>
      </c>
      <c r="Q138" s="66"/>
      <c r="R138" s="63">
        <f t="shared" si="57"/>
        <v>-0.14000000000000001</v>
      </c>
      <c r="S138" s="64">
        <f t="shared" si="58"/>
        <v>-0.14000000000000001</v>
      </c>
      <c r="T138" s="63">
        <f t="shared" si="59"/>
        <v>0.01</v>
      </c>
      <c r="U138" s="64">
        <f t="shared" si="60"/>
        <v>0.01</v>
      </c>
      <c r="V138" s="207">
        <f>IF($A139="","",IF(AND(MONTH(A138)&gt;3,MONTH(A138)&lt;11),(T138+R138+G138)*Summary!$T$7/(1-Summary!$T$7),(T138+R138+G138)*Summary!$U$7/(1-Summary!$U$7)))</f>
        <v>0.21936041513785517</v>
      </c>
      <c r="W138" s="63">
        <f t="shared" si="61"/>
        <v>4.7583604151378553</v>
      </c>
      <c r="X138" s="63">
        <f t="shared" si="62"/>
        <v>4.7583604151378553</v>
      </c>
      <c r="Y138" s="43"/>
      <c r="Z138" s="38">
        <f t="shared" si="63"/>
        <v>1.1000000000000001</v>
      </c>
      <c r="AA138" s="38">
        <f t="shared" si="63"/>
        <v>0.18</v>
      </c>
      <c r="AB138" s="38">
        <f t="shared" ref="AB138:AB201" ca="1" si="78">SQRT((AA138^2*(A138-$D$3)+Z138^2*(DAY(EOMONTH(A138,0))/2))/AK138)</f>
        <v>0.19207005088139056</v>
      </c>
      <c r="AC138" s="38">
        <f t="shared" si="63"/>
        <v>1</v>
      </c>
      <c r="AD138" s="38">
        <f t="shared" si="63"/>
        <v>0.17499999999999999</v>
      </c>
      <c r="AE138" s="38">
        <f t="shared" ref="AE138:AE201" ca="1" si="79">SQRT((AD138^2*(A138-$D$3)+AC138^2*(DAY(EOMONTH(A138,0))/2))/AK138)</f>
        <v>0.18530373566307246</v>
      </c>
      <c r="AF138" s="238">
        <f ca="1">((Summary!$N$7*(AA138*AD138)*(A138-$D$3))+(Summary!$M$7*Z138*AC138*(DAY(EOMONTH(A138,0))/2)))/(AK138*AB138*AE138)</f>
        <v>0.99968290739094867</v>
      </c>
      <c r="AG138" s="88">
        <f>IF($A139="","",Summary!$Q$7)</f>
        <v>0</v>
      </c>
      <c r="AH138" s="88">
        <f>IF($A139="","",IF(Summary!$R$7="Y",(VLOOKUP($A138,Summary!$AD$6:$AF$9,3)+'Escalating commodity'!C151),'Escalating commodity'!C151))</f>
        <v>2.2495200000000003E-2</v>
      </c>
      <c r="AI138" s="88">
        <f t="shared" si="64"/>
        <v>2.2495200000000003E-2</v>
      </c>
      <c r="AJ138" s="236">
        <f t="shared" ref="AJ138:AJ201" si="80">A138+DAY(EOMONTH(A138,0))/2-1</f>
        <v>40953.5</v>
      </c>
      <c r="AK138" s="58">
        <f t="shared" ca="1" si="65"/>
        <v>3914</v>
      </c>
      <c r="AL138" s="26">
        <f ca="1">IF($A139="","",_xll.SPRDOPT(P138,X138,AI138,0,AB138,AE138,AF138,AK138,$AJ$2,0))</f>
        <v>0.2186387622339378</v>
      </c>
      <c r="AM138" s="209">
        <f t="shared" ref="AM138:AM201" si="81">IF($A139="","",MAX(0,O138-W138-AI138))</f>
        <v>0.21314438486214532</v>
      </c>
      <c r="AN138" s="89">
        <f t="shared" ca="1" si="66"/>
        <v>5.4943773717924804E-3</v>
      </c>
      <c r="AO138" s="3">
        <f t="shared" si="67"/>
        <v>29</v>
      </c>
      <c r="AP138" s="33">
        <f t="shared" si="68"/>
        <v>40940</v>
      </c>
      <c r="AQ138" s="58">
        <f t="shared" ref="AQ138:AQ201" ca="1" si="82">IF(A139="","",AP138-$E$1)</f>
        <v>3914</v>
      </c>
      <c r="AR138" s="38">
        <f>IF(Summary!$H$2=1,VLOOKUP('ANR OK vs ML7'!A138,Curves!$C$17:$AR$273,MATCH('ANR OK vs ML7'!$AR$4,Curves!$C$8:$AQ$8,0)),0.1)</f>
        <v>0.1</v>
      </c>
      <c r="AS138" s="35">
        <f t="shared" ref="AS138:AS201" ca="1" si="83">IF(A139="","",1/(1+CHOOSE(F$3,(AR139+($I$3/10000))/2,(AR138+($I$3/10000))/2))^(2*AQ138/365.25))</f>
        <v>0.351457768159948</v>
      </c>
      <c r="AT138" s="3">
        <f t="shared" si="69"/>
        <v>1</v>
      </c>
      <c r="AU138" s="3">
        <f t="shared" ref="AU138:AU201" si="84">IF(A139="","",AO138*AT138)</f>
        <v>29</v>
      </c>
      <c r="AW138" s="32">
        <f t="shared" ca="1" si="70"/>
        <v>253620.96419136785</v>
      </c>
      <c r="AX138" s="32">
        <f t="shared" si="71"/>
        <v>247247.48644008857</v>
      </c>
      <c r="AY138" s="32">
        <f t="shared" ca="1" si="72"/>
        <v>6373.4777512792771</v>
      </c>
      <c r="BA138" s="32">
        <f ca="1">IF($A139="","",F138*Summary!$Q$7)</f>
        <v>0</v>
      </c>
      <c r="BC138" s="256">
        <f t="shared" ca="1" si="73"/>
        <v>86897.049767390534</v>
      </c>
    </row>
    <row r="139" spans="1:55">
      <c r="A139" s="67">
        <f t="shared" ref="A139:A202" si="85">IF(A138&lt;mthend,EDATE(A138,1),"")</f>
        <v>40969</v>
      </c>
      <c r="B139" s="69">
        <f t="shared" si="74"/>
        <v>40000</v>
      </c>
      <c r="C139" s="71"/>
      <c r="D139" s="69">
        <f t="shared" si="75"/>
        <v>40000</v>
      </c>
      <c r="E139" s="70">
        <f t="shared" si="76"/>
        <v>1240000</v>
      </c>
      <c r="F139" s="70">
        <f t="shared" ca="1" si="77"/>
        <v>432444.19328664412</v>
      </c>
      <c r="G139" s="63">
        <f t="shared" ref="G139:G202" si="86">IF($A140="","",VLOOKUP($A139,Table,MATCH(G$4,Curves,0)))</f>
        <v>4.53</v>
      </c>
      <c r="H139" s="64">
        <f t="shared" ref="H139:H202" si="87">IF(A140="","",G139)</f>
        <v>4.53</v>
      </c>
      <c r="I139" s="43"/>
      <c r="J139" s="63">
        <f t="shared" ref="J139:J202" si="88">IF($A140="","",VLOOKUP($A139,Table,MATCH(J$4,Curves,0)))</f>
        <v>0.32500000000000001</v>
      </c>
      <c r="K139" s="64">
        <f t="shared" ref="K139:K202" si="89">IF(A140="","",J139)</f>
        <v>0.32500000000000001</v>
      </c>
      <c r="L139" s="63">
        <f t="shared" ref="L139:L202" si="90">IF($A140="","",VLOOKUP($A139,Table,MATCH(L$4,Curves,0)))</f>
        <v>0</v>
      </c>
      <c r="M139" s="64">
        <f t="shared" ref="M139:M202" si="91">IF(A140="","",L139)</f>
        <v>0</v>
      </c>
      <c r="N139" s="65"/>
      <c r="O139" s="63">
        <f t="shared" ref="O139:O202" si="92">IF(A140="","",L139+J139+G139)</f>
        <v>4.8550000000000004</v>
      </c>
      <c r="P139" s="63">
        <f t="shared" ref="P139:P202" si="93">IF(A140="","",M139+K139+H139)</f>
        <v>4.8550000000000004</v>
      </c>
      <c r="Q139" s="66"/>
      <c r="R139" s="63">
        <f t="shared" ref="R139:R202" si="94">IF($A140="","",VLOOKUP($A139,Table,MATCH(R$4,Curves,0)))</f>
        <v>-0.14249999999999999</v>
      </c>
      <c r="S139" s="64">
        <f t="shared" ref="S139:S202" si="95">IF(A140="","",R139)</f>
        <v>-0.14249999999999999</v>
      </c>
      <c r="T139" s="63">
        <f t="shared" ref="T139:T202" si="96">IF($A140="","",VLOOKUP($A139,Table,MATCH(T$4,Curves,0)))</f>
        <v>0.01</v>
      </c>
      <c r="U139" s="64">
        <f t="shared" ref="U139:U202" si="97">IF(A140="","",T139)</f>
        <v>0.01</v>
      </c>
      <c r="V139" s="207">
        <f>IF($A140="","",IF(AND(MONTH(A139)&gt;3,MONTH(A139)&lt;11),(T139+R139+G139)*Summary!$T$7/(1-Summary!$T$7),(T139+R139+G139)*Summary!$U$7/(1-Summary!$U$7)))</f>
        <v>0.21252201488625644</v>
      </c>
      <c r="W139" s="63">
        <f t="shared" ref="W139:W202" si="98">IF($A140="","",(T139+R139+G139+V139))</f>
        <v>4.6100220148862565</v>
      </c>
      <c r="X139" s="63">
        <f t="shared" ref="X139:X202" si="99">IF($A140="","",(U139+S139+H139+V139))</f>
        <v>4.6100220148862565</v>
      </c>
      <c r="Y139" s="43"/>
      <c r="Z139" s="38">
        <f t="shared" ref="Z139:AD202" si="100">IF($A140="","",VLOOKUP($A139,Table,MATCH(Z$4,Curves,0)))</f>
        <v>0.75</v>
      </c>
      <c r="AA139" s="38">
        <f t="shared" si="100"/>
        <v>0.17499999999999999</v>
      </c>
      <c r="AB139" s="38">
        <f t="shared" ca="1" si="78"/>
        <v>0.18122903737208357</v>
      </c>
      <c r="AC139" s="38">
        <f t="shared" si="100"/>
        <v>0.75</v>
      </c>
      <c r="AD139" s="38">
        <f t="shared" si="100"/>
        <v>0.17</v>
      </c>
      <c r="AE139" s="38">
        <f t="shared" ca="1" si="79"/>
        <v>0.17640444014441065</v>
      </c>
      <c r="AF139" s="238">
        <f ca="1">((Summary!$N$7*(AA139*AD139)*(A139-$D$3))+(Summary!$M$7*Z139*AC139*(DAY(EOMONTH(A139,0))/2)))/(AK139*AB139*AE139)</f>
        <v>0.99987986854242661</v>
      </c>
      <c r="AG139" s="88">
        <f>IF($A140="","",Summary!$Q$7)</f>
        <v>0</v>
      </c>
      <c r="AH139" s="88">
        <f>IF($A140="","",IF(Summary!$R$7="Y",(VLOOKUP($A139,Summary!$AD$6:$AF$9,3)+'Escalating commodity'!C152),'Escalating commodity'!C152))</f>
        <v>2.2495200000000003E-2</v>
      </c>
      <c r="AI139" s="88">
        <f t="shared" ref="AI139:AI202" si="101">IF($A140="","",AH139)</f>
        <v>2.2495200000000003E-2</v>
      </c>
      <c r="AJ139" s="236">
        <f t="shared" si="80"/>
        <v>40983.5</v>
      </c>
      <c r="AK139" s="58">
        <f t="shared" ref="AK139:AK202" ca="1" si="102">IF($A140="","",$A139-$E$1)</f>
        <v>3943</v>
      </c>
      <c r="AL139" s="26">
        <f ca="1">IF($A140="","",_xll.SPRDOPT(P139,X139,AI139,0,AB139,AE139,AF139,AK139,$AJ$2,0))</f>
        <v>0.22352303493160575</v>
      </c>
      <c r="AM139" s="209">
        <f t="shared" si="81"/>
        <v>0.22248278511374392</v>
      </c>
      <c r="AN139" s="89">
        <f t="shared" ref="AN139:AN202" ca="1" si="103">IF($A140="","",AL139-AM139)</f>
        <v>1.0402498178618269E-3</v>
      </c>
      <c r="AO139" s="3">
        <f t="shared" ref="AO139:AO202" si="104">IF(A140="","",A140-A139)</f>
        <v>31</v>
      </c>
      <c r="AP139" s="33">
        <f t="shared" ref="AP139:AP202" si="105">IF(A140="","",CHOOSE(F$3,A140+24,A139))</f>
        <v>40969</v>
      </c>
      <c r="AQ139" s="58">
        <f t="shared" ca="1" si="82"/>
        <v>3943</v>
      </c>
      <c r="AR139" s="38">
        <f>IF(Summary!$H$2=1,VLOOKUP('ANR OK vs ML7'!A139,Curves!$C$17:$AR$273,MATCH('ANR OK vs ML7'!$AR$4,Curves!$C$8:$AQ$8,0)),0.1)</f>
        <v>0.1</v>
      </c>
      <c r="AS139" s="35">
        <f t="shared" ca="1" si="83"/>
        <v>0.34874531716664847</v>
      </c>
      <c r="AT139" s="3">
        <f t="shared" ref="AT139:AT202" si="106">IF(A140="","",IF(AND(mthbeg&lt;=A139,mthend&gt;=A139),1,0))</f>
        <v>1</v>
      </c>
      <c r="AU139" s="3">
        <f t="shared" si="84"/>
        <v>31</v>
      </c>
      <c r="AW139" s="32">
        <f t="shared" ref="AW139:AW202" ca="1" si="107">IF($A140="","",AL139*$E139)</f>
        <v>277168.56331519113</v>
      </c>
      <c r="AX139" s="32">
        <f t="shared" ref="AX139:AX202" si="108">IF($A140="","",AM139*$E139)</f>
        <v>275878.65354104247</v>
      </c>
      <c r="AY139" s="32">
        <f t="shared" ref="AY139:AY202" ca="1" si="109">IF($A140="","",AN139*$E139)</f>
        <v>1289.9097741486653</v>
      </c>
      <c r="BA139" s="32">
        <f ca="1">IF($A140="","",F139*Summary!$Q$7)</f>
        <v>0</v>
      </c>
      <c r="BC139" s="256">
        <f t="shared" ref="BC139:BC173" ca="1" si="110">IF(A140="","",AM139*F139)</f>
        <v>96211.388528678784</v>
      </c>
    </row>
    <row r="140" spans="1:55">
      <c r="A140" s="67">
        <f t="shared" si="85"/>
        <v>41000</v>
      </c>
      <c r="B140" s="69">
        <f t="shared" ref="B140:B203" si="111">IF(A140&lt;mthend,B139,"")</f>
        <v>40000</v>
      </c>
      <c r="C140" s="71"/>
      <c r="D140" s="69">
        <f t="shared" ref="D140:D203" si="112">IF(A141&lt;&gt;"",B140+C140,"")</f>
        <v>40000</v>
      </c>
      <c r="E140" s="70">
        <f t="shared" si="76"/>
        <v>1200000</v>
      </c>
      <c r="F140" s="70">
        <f t="shared" ca="1" si="77"/>
        <v>415042.73491130193</v>
      </c>
      <c r="G140" s="63">
        <f t="shared" si="86"/>
        <v>4.3550000000000004</v>
      </c>
      <c r="H140" s="64">
        <f t="shared" si="87"/>
        <v>4.3550000000000004</v>
      </c>
      <c r="I140" s="43"/>
      <c r="J140" s="63">
        <f t="shared" si="88"/>
        <v>0.21</v>
      </c>
      <c r="K140" s="64">
        <f t="shared" si="89"/>
        <v>0.21</v>
      </c>
      <c r="L140" s="63">
        <f t="shared" si="90"/>
        <v>0</v>
      </c>
      <c r="M140" s="64">
        <f t="shared" si="91"/>
        <v>0</v>
      </c>
      <c r="N140" s="65"/>
      <c r="O140" s="63">
        <f t="shared" si="92"/>
        <v>4.5650000000000004</v>
      </c>
      <c r="P140" s="63">
        <f t="shared" si="93"/>
        <v>4.5650000000000004</v>
      </c>
      <c r="Q140" s="66"/>
      <c r="R140" s="63">
        <f t="shared" si="94"/>
        <v>-0.14000000000000001</v>
      </c>
      <c r="S140" s="64">
        <f t="shared" si="95"/>
        <v>-0.14000000000000001</v>
      </c>
      <c r="T140" s="63">
        <f t="shared" si="96"/>
        <v>-0.01</v>
      </c>
      <c r="U140" s="64">
        <f t="shared" si="97"/>
        <v>-0.01</v>
      </c>
      <c r="V140" s="207">
        <f>IF($A141="","",IF(AND(MONTH(A140)&gt;3,MONTH(A140)&lt;11),(T140+R140+G140)*Summary!$T$7/(1-Summary!$T$7),(T140+R140+G140)*Summary!$U$7/(1-Summary!$U$7)))</f>
        <v>0.20321889086906386</v>
      </c>
      <c r="W140" s="63">
        <f t="shared" si="98"/>
        <v>4.4082188908690636</v>
      </c>
      <c r="X140" s="63">
        <f t="shared" si="99"/>
        <v>4.4082188908690636</v>
      </c>
      <c r="Y140" s="43"/>
      <c r="Z140" s="38">
        <f t="shared" si="100"/>
        <v>0.45</v>
      </c>
      <c r="AA140" s="38">
        <f t="shared" si="100"/>
        <v>0.17499999999999999</v>
      </c>
      <c r="AB140" s="38">
        <f t="shared" ca="1" si="78"/>
        <v>0.17719212615751137</v>
      </c>
      <c r="AC140" s="38">
        <f t="shared" si="100"/>
        <v>0.4</v>
      </c>
      <c r="AD140" s="38">
        <f t="shared" si="100"/>
        <v>0.17</v>
      </c>
      <c r="AE140" s="38">
        <f t="shared" ca="1" si="79"/>
        <v>0.17178823529452317</v>
      </c>
      <c r="AF140" s="238">
        <f ca="1">((Summary!$N$7*(AA140*AD140)*(A140-$D$3))+(Summary!$M$7*Z140*AC140*(DAY(EOMONTH(A140,0))/2)))/(AK140*AB140*AE140)</f>
        <v>0.99981615861763518</v>
      </c>
      <c r="AG140" s="88">
        <f>IF($A141="","",Summary!$Q$7)</f>
        <v>0</v>
      </c>
      <c r="AH140" s="88">
        <f>IF($A141="","",IF(Summary!$R$7="Y",(VLOOKUP($A140,Summary!$AD$6:$AF$9,3)+'Escalating commodity'!C153),'Escalating commodity'!C153))</f>
        <v>2.2495200000000003E-2</v>
      </c>
      <c r="AI140" s="88">
        <f t="shared" si="101"/>
        <v>2.2495200000000003E-2</v>
      </c>
      <c r="AJ140" s="236">
        <f t="shared" si="80"/>
        <v>41014</v>
      </c>
      <c r="AK140" s="58">
        <f t="shared" ca="1" si="102"/>
        <v>3974</v>
      </c>
      <c r="AL140" s="26">
        <f ca="1">IF($A141="","",_xll.SPRDOPT(P140,X140,AI140,0,AB140,AE140,AF140,AK140,$AJ$2,0))</f>
        <v>0.14028803240190238</v>
      </c>
      <c r="AM140" s="209">
        <f t="shared" si="81"/>
        <v>0.1342859091309368</v>
      </c>
      <c r="AN140" s="89">
        <f t="shared" ca="1" si="103"/>
        <v>6.0021232709655814E-3</v>
      </c>
      <c r="AO140" s="3">
        <f t="shared" si="104"/>
        <v>30</v>
      </c>
      <c r="AP140" s="33">
        <f t="shared" si="105"/>
        <v>41000</v>
      </c>
      <c r="AQ140" s="58">
        <f t="shared" ca="1" si="82"/>
        <v>3974</v>
      </c>
      <c r="AR140" s="38">
        <f>IF(Summary!$H$2=1,VLOOKUP('ANR OK vs ML7'!A140,Curves!$C$17:$AR$273,MATCH('ANR OK vs ML7'!$AR$4,Curves!$C$8:$AQ$8,0)),0.1)</f>
        <v>0.1</v>
      </c>
      <c r="AS140" s="35">
        <f t="shared" ca="1" si="83"/>
        <v>0.34586894575941829</v>
      </c>
      <c r="AT140" s="3">
        <f t="shared" si="106"/>
        <v>1</v>
      </c>
      <c r="AU140" s="3">
        <f t="shared" si="84"/>
        <v>30</v>
      </c>
      <c r="AW140" s="32">
        <f t="shared" ca="1" si="107"/>
        <v>168345.63888228286</v>
      </c>
      <c r="AX140" s="32">
        <f t="shared" si="108"/>
        <v>161143.09095712416</v>
      </c>
      <c r="AY140" s="32">
        <f t="shared" ca="1" si="109"/>
        <v>7202.5479251586976</v>
      </c>
      <c r="BA140" s="32">
        <f ca="1">IF($A141="","",F140*Summary!$Q$7)</f>
        <v>0</v>
      </c>
      <c r="BC140" s="256">
        <f t="shared" ca="1" si="110"/>
        <v>55734.39098575458</v>
      </c>
    </row>
    <row r="141" spans="1:55">
      <c r="A141" s="67">
        <f t="shared" si="85"/>
        <v>41030</v>
      </c>
      <c r="B141" s="69">
        <f t="shared" si="111"/>
        <v>40000</v>
      </c>
      <c r="C141" s="71"/>
      <c r="D141" s="69">
        <f t="shared" si="112"/>
        <v>40000</v>
      </c>
      <c r="E141" s="70">
        <f t="shared" si="76"/>
        <v>1240000</v>
      </c>
      <c r="F141" s="70">
        <f t="shared" ca="1" si="77"/>
        <v>425453.85875703359</v>
      </c>
      <c r="G141" s="63">
        <f t="shared" si="86"/>
        <v>4.3250000000000002</v>
      </c>
      <c r="H141" s="64">
        <f t="shared" si="87"/>
        <v>4.3250000000000002</v>
      </c>
      <c r="I141" s="43"/>
      <c r="J141" s="63">
        <f t="shared" si="88"/>
        <v>0.21</v>
      </c>
      <c r="K141" s="64">
        <f t="shared" si="89"/>
        <v>0.21</v>
      </c>
      <c r="L141" s="63">
        <f t="shared" si="90"/>
        <v>0</v>
      </c>
      <c r="M141" s="64">
        <f t="shared" si="91"/>
        <v>0</v>
      </c>
      <c r="N141" s="65"/>
      <c r="O141" s="63">
        <f t="shared" si="92"/>
        <v>4.5350000000000001</v>
      </c>
      <c r="P141" s="63">
        <f t="shared" si="93"/>
        <v>4.5350000000000001</v>
      </c>
      <c r="Q141" s="66"/>
      <c r="R141" s="63">
        <f t="shared" si="94"/>
        <v>-0.14000000000000001</v>
      </c>
      <c r="S141" s="64">
        <f t="shared" si="95"/>
        <v>-0.14000000000000001</v>
      </c>
      <c r="T141" s="63">
        <f t="shared" si="96"/>
        <v>-0.01</v>
      </c>
      <c r="U141" s="64">
        <f t="shared" si="97"/>
        <v>-0.01</v>
      </c>
      <c r="V141" s="207">
        <f>IF($A142="","",IF(AND(MONTH(A141)&gt;3,MONTH(A141)&lt;11),(T141+R141+G141)*Summary!$T$7/(1-Summary!$T$7),(T141+R141+G141)*Summary!$U$7/(1-Summary!$U$7)))</f>
        <v>0.20176905335989098</v>
      </c>
      <c r="W141" s="63">
        <f t="shared" si="98"/>
        <v>4.3767690533598911</v>
      </c>
      <c r="X141" s="63">
        <f t="shared" si="99"/>
        <v>4.3767690533598911</v>
      </c>
      <c r="Y141" s="43"/>
      <c r="Z141" s="38">
        <f t="shared" si="100"/>
        <v>0.5</v>
      </c>
      <c r="AA141" s="38">
        <f t="shared" si="100"/>
        <v>0.17499999999999999</v>
      </c>
      <c r="AB141" s="38">
        <f t="shared" ca="1" si="78"/>
        <v>0.17776510011580118</v>
      </c>
      <c r="AC141" s="38">
        <f t="shared" si="100"/>
        <v>0.4</v>
      </c>
      <c r="AD141" s="38">
        <f t="shared" si="100"/>
        <v>0.17</v>
      </c>
      <c r="AE141" s="38">
        <f t="shared" ca="1" si="79"/>
        <v>0.17183305386798667</v>
      </c>
      <c r="AF141" s="238">
        <f ca="1">((Summary!$N$7*(AA141*AD141)*(A141-$D$3))+(Summary!$M$7*Z141*AC141*(DAY(EOMONTH(A141,0))/2)))/(AK141*AB141*AE141)</f>
        <v>0.99943560636300743</v>
      </c>
      <c r="AG141" s="88">
        <f>IF($A142="","",Summary!$Q$7)</f>
        <v>0</v>
      </c>
      <c r="AH141" s="88">
        <f>IF($A142="","",IF(Summary!$R$7="Y",(VLOOKUP($A141,Summary!$AD$6:$AF$9,3)+'Escalating commodity'!C154),'Escalating commodity'!C154))</f>
        <v>2.2495200000000003E-2</v>
      </c>
      <c r="AI141" s="88">
        <f t="shared" si="101"/>
        <v>2.2495200000000003E-2</v>
      </c>
      <c r="AJ141" s="236">
        <f t="shared" si="80"/>
        <v>41044.5</v>
      </c>
      <c r="AK141" s="58">
        <f t="shared" ca="1" si="102"/>
        <v>4004</v>
      </c>
      <c r="AL141" s="26">
        <f ca="1">IF($A142="","",_xll.SPRDOPT(P141,X141,AI141,0,AB141,AE141,AF141,AK141,$AJ$2,0))</f>
        <v>0.14699572992257642</v>
      </c>
      <c r="AM141" s="209">
        <f t="shared" si="81"/>
        <v>0.13573574664010907</v>
      </c>
      <c r="AN141" s="89">
        <f t="shared" ca="1" si="103"/>
        <v>1.1259983282467356E-2</v>
      </c>
      <c r="AO141" s="3">
        <f t="shared" si="104"/>
        <v>31</v>
      </c>
      <c r="AP141" s="33">
        <f t="shared" si="105"/>
        <v>41030</v>
      </c>
      <c r="AQ141" s="58">
        <f t="shared" ca="1" si="82"/>
        <v>4004</v>
      </c>
      <c r="AR141" s="38">
        <f>IF(Summary!$H$2=1,VLOOKUP('ANR OK vs ML7'!A141,Curves!$C$17:$AR$273,MATCH('ANR OK vs ML7'!$AR$4,Curves!$C$8:$AQ$8,0)),0.1)</f>
        <v>0.1</v>
      </c>
      <c r="AS141" s="35">
        <f t="shared" ca="1" si="83"/>
        <v>0.34310795061051097</v>
      </c>
      <c r="AT141" s="3">
        <f t="shared" si="106"/>
        <v>1</v>
      </c>
      <c r="AU141" s="3">
        <f t="shared" si="84"/>
        <v>31</v>
      </c>
      <c r="AW141" s="32">
        <f t="shared" ca="1" si="107"/>
        <v>182274.70510399475</v>
      </c>
      <c r="AX141" s="32">
        <f t="shared" si="108"/>
        <v>168312.32583373523</v>
      </c>
      <c r="AY141" s="32">
        <f t="shared" ca="1" si="109"/>
        <v>13962.379270259522</v>
      </c>
      <c r="BA141" s="32">
        <f ca="1">IF($A142="","",F141*Summary!$Q$7)</f>
        <v>0</v>
      </c>
      <c r="BC141" s="256">
        <f t="shared" ca="1" si="110"/>
        <v>57749.297179301459</v>
      </c>
    </row>
    <row r="142" spans="1:55">
      <c r="A142" s="67">
        <f t="shared" si="85"/>
        <v>41061</v>
      </c>
      <c r="B142" s="69">
        <f t="shared" si="111"/>
        <v>40000</v>
      </c>
      <c r="C142" s="71"/>
      <c r="D142" s="69">
        <f t="shared" si="112"/>
        <v>40000</v>
      </c>
      <c r="E142" s="70">
        <f t="shared" si="76"/>
        <v>1200000</v>
      </c>
      <c r="F142" s="70">
        <f t="shared" ca="1" si="77"/>
        <v>408333.68989195704</v>
      </c>
      <c r="G142" s="63">
        <f t="shared" si="86"/>
        <v>4.3949999999999996</v>
      </c>
      <c r="H142" s="64">
        <f t="shared" si="87"/>
        <v>4.3949999999999996</v>
      </c>
      <c r="I142" s="43"/>
      <c r="J142" s="63">
        <f t="shared" si="88"/>
        <v>0.21</v>
      </c>
      <c r="K142" s="64">
        <f t="shared" si="89"/>
        <v>0.21</v>
      </c>
      <c r="L142" s="63">
        <f t="shared" si="90"/>
        <v>0</v>
      </c>
      <c r="M142" s="64">
        <f t="shared" si="91"/>
        <v>0</v>
      </c>
      <c r="N142" s="65"/>
      <c r="O142" s="63">
        <f t="shared" si="92"/>
        <v>4.6049999999999995</v>
      </c>
      <c r="P142" s="63">
        <f t="shared" si="93"/>
        <v>4.6049999999999995</v>
      </c>
      <c r="Q142" s="66"/>
      <c r="R142" s="63">
        <f t="shared" si="94"/>
        <v>-0.14000000000000001</v>
      </c>
      <c r="S142" s="64">
        <f t="shared" si="95"/>
        <v>-0.14000000000000001</v>
      </c>
      <c r="T142" s="63">
        <f t="shared" si="96"/>
        <v>-0.01</v>
      </c>
      <c r="U142" s="64">
        <f t="shared" si="97"/>
        <v>-0.01</v>
      </c>
      <c r="V142" s="207">
        <f>IF($A143="","",IF(AND(MONTH(A142)&gt;3,MONTH(A142)&lt;11),(T142+R142+G142)*Summary!$T$7/(1-Summary!$T$7),(T142+R142+G142)*Summary!$U$7/(1-Summary!$U$7)))</f>
        <v>0.20515200754796098</v>
      </c>
      <c r="W142" s="63">
        <f t="shared" si="98"/>
        <v>4.4501520075479606</v>
      </c>
      <c r="X142" s="63">
        <f t="shared" si="99"/>
        <v>4.4501520075479606</v>
      </c>
      <c r="Y142" s="43"/>
      <c r="Z142" s="38">
        <f t="shared" si="100"/>
        <v>0.5</v>
      </c>
      <c r="AA142" s="38">
        <f t="shared" si="100"/>
        <v>0.17499999999999999</v>
      </c>
      <c r="AB142" s="38">
        <f t="shared" ca="1" si="78"/>
        <v>0.17765685426869776</v>
      </c>
      <c r="AC142" s="38">
        <f t="shared" si="100"/>
        <v>0.4</v>
      </c>
      <c r="AD142" s="38">
        <f t="shared" si="100"/>
        <v>0.17</v>
      </c>
      <c r="AE142" s="38">
        <f t="shared" ca="1" si="79"/>
        <v>0.17176133985460559</v>
      </c>
      <c r="AF142" s="238">
        <f ca="1">((Summary!$N$7*(AA142*AD142)*(A142-$D$3))+(Summary!$M$7*Z142*AC142*(DAY(EOMONTH(A142,0))/2)))/(AK142*AB142*AE142)</f>
        <v>0.99945312532391339</v>
      </c>
      <c r="AG142" s="88">
        <f>IF($A143="","",Summary!$Q$7)</f>
        <v>0</v>
      </c>
      <c r="AH142" s="88">
        <f>IF($A143="","",IF(Summary!$R$7="Y",(VLOOKUP($A142,Summary!$AD$6:$AF$9,3)+'Escalating commodity'!C155),'Escalating commodity'!C155))</f>
        <v>2.2495200000000003E-2</v>
      </c>
      <c r="AI142" s="88">
        <f t="shared" si="101"/>
        <v>2.2495200000000003E-2</v>
      </c>
      <c r="AJ142" s="236">
        <f t="shared" si="80"/>
        <v>41075</v>
      </c>
      <c r="AK142" s="58">
        <f t="shared" ca="1" si="102"/>
        <v>4035</v>
      </c>
      <c r="AL142" s="26">
        <f ca="1">IF($A143="","",_xll.SPRDOPT(P142,X142,AI142,0,AB142,AE142,AF142,AK142,$AJ$2,0))</f>
        <v>0.14435066183912515</v>
      </c>
      <c r="AM142" s="209">
        <f t="shared" si="81"/>
        <v>0.13235279245203896</v>
      </c>
      <c r="AN142" s="89">
        <f t="shared" ca="1" si="103"/>
        <v>1.1997869387086191E-2</v>
      </c>
      <c r="AO142" s="3">
        <f t="shared" si="104"/>
        <v>30</v>
      </c>
      <c r="AP142" s="33">
        <f t="shared" si="105"/>
        <v>41061</v>
      </c>
      <c r="AQ142" s="58">
        <f t="shared" ca="1" si="82"/>
        <v>4035</v>
      </c>
      <c r="AR142" s="38">
        <f>IF(Summary!$H$2=1,VLOOKUP('ANR OK vs ML7'!A142,Curves!$C$17:$AR$273,MATCH('ANR OK vs ML7'!$AR$4,Curves!$C$8:$AQ$8,0)),0.1)</f>
        <v>0.1</v>
      </c>
      <c r="AS142" s="35">
        <f t="shared" ca="1" si="83"/>
        <v>0.3402780749099642</v>
      </c>
      <c r="AT142" s="3">
        <f t="shared" si="106"/>
        <v>1</v>
      </c>
      <c r="AU142" s="3">
        <f t="shared" si="84"/>
        <v>30</v>
      </c>
      <c r="AW142" s="32">
        <f t="shared" ca="1" si="107"/>
        <v>173220.79420695017</v>
      </c>
      <c r="AX142" s="32">
        <f t="shared" si="108"/>
        <v>158823.35094244676</v>
      </c>
      <c r="AY142" s="32">
        <f t="shared" ca="1" si="109"/>
        <v>14397.443264503429</v>
      </c>
      <c r="BA142" s="32">
        <f ca="1">IF($A143="","",F142*Summary!$Q$7)</f>
        <v>0</v>
      </c>
      <c r="BC142" s="256">
        <f t="shared" ca="1" si="110"/>
        <v>54044.104109445427</v>
      </c>
    </row>
    <row r="143" spans="1:55">
      <c r="A143" s="67">
        <f t="shared" si="85"/>
        <v>41091</v>
      </c>
      <c r="B143" s="69">
        <f t="shared" si="111"/>
        <v>40000</v>
      </c>
      <c r="C143" s="71"/>
      <c r="D143" s="69">
        <f t="shared" si="112"/>
        <v>40000</v>
      </c>
      <c r="E143" s="70">
        <f t="shared" si="76"/>
        <v>1240000</v>
      </c>
      <c r="F143" s="70">
        <f t="shared" ca="1" si="77"/>
        <v>418576.520950687</v>
      </c>
      <c r="G143" s="63">
        <f t="shared" si="86"/>
        <v>4.45</v>
      </c>
      <c r="H143" s="64">
        <f t="shared" si="87"/>
        <v>4.45</v>
      </c>
      <c r="I143" s="43"/>
      <c r="J143" s="63">
        <f t="shared" si="88"/>
        <v>0.21</v>
      </c>
      <c r="K143" s="64">
        <f t="shared" si="89"/>
        <v>0.21</v>
      </c>
      <c r="L143" s="63">
        <f t="shared" si="90"/>
        <v>0</v>
      </c>
      <c r="M143" s="64">
        <f t="shared" si="91"/>
        <v>0</v>
      </c>
      <c r="N143" s="65"/>
      <c r="O143" s="63">
        <f t="shared" si="92"/>
        <v>4.66</v>
      </c>
      <c r="P143" s="63">
        <f t="shared" si="93"/>
        <v>4.66</v>
      </c>
      <c r="Q143" s="66"/>
      <c r="R143" s="63">
        <f t="shared" si="94"/>
        <v>-0.14000000000000001</v>
      </c>
      <c r="S143" s="64">
        <f t="shared" si="95"/>
        <v>-0.14000000000000001</v>
      </c>
      <c r="T143" s="63">
        <f t="shared" si="96"/>
        <v>-0.01</v>
      </c>
      <c r="U143" s="64">
        <f t="shared" si="97"/>
        <v>-0.01</v>
      </c>
      <c r="V143" s="207">
        <f>IF($A144="","",IF(AND(MONTH(A143)&gt;3,MONTH(A143)&lt;11),(T143+R143+G143)*Summary!$T$7/(1-Summary!$T$7),(T143+R143+G143)*Summary!$U$7/(1-Summary!$U$7)))</f>
        <v>0.20781004298144459</v>
      </c>
      <c r="W143" s="63">
        <f t="shared" si="98"/>
        <v>4.5078100429814443</v>
      </c>
      <c r="X143" s="63">
        <f t="shared" si="99"/>
        <v>4.5078100429814443</v>
      </c>
      <c r="Y143" s="43"/>
      <c r="Z143" s="38">
        <f t="shared" si="100"/>
        <v>0.55000000000000004</v>
      </c>
      <c r="AA143" s="38">
        <f t="shared" si="100"/>
        <v>0.17499999999999999</v>
      </c>
      <c r="AB143" s="38">
        <f t="shared" ca="1" si="78"/>
        <v>0.17828622453733939</v>
      </c>
      <c r="AC143" s="38">
        <f t="shared" si="100"/>
        <v>0.4</v>
      </c>
      <c r="AD143" s="38">
        <f t="shared" si="100"/>
        <v>0.17</v>
      </c>
      <c r="AE143" s="38">
        <f t="shared" ca="1" si="79"/>
        <v>0.17180569132585721</v>
      </c>
      <c r="AF143" s="238">
        <f ca="1">((Summary!$N$7*(AA143*AD143)*(A143-$D$3))+(Summary!$M$7*Z143*AC143*(DAY(EOMONTH(A143,0))/2)))/(AK143*AB143*AE143)</f>
        <v>0.99877975472007074</v>
      </c>
      <c r="AG143" s="88">
        <f>IF($A144="","",Summary!$Q$7)</f>
        <v>0</v>
      </c>
      <c r="AH143" s="88">
        <f>IF($A144="","",IF(Summary!$R$7="Y",(VLOOKUP($A143,Summary!$AD$6:$AF$9,3)+'Escalating commodity'!C156),'Escalating commodity'!C156))</f>
        <v>2.2495200000000003E-2</v>
      </c>
      <c r="AI143" s="88">
        <f t="shared" si="101"/>
        <v>2.2495200000000003E-2</v>
      </c>
      <c r="AJ143" s="236">
        <f t="shared" si="80"/>
        <v>41105.5</v>
      </c>
      <c r="AK143" s="58">
        <f t="shared" ca="1" si="102"/>
        <v>4065</v>
      </c>
      <c r="AL143" s="26">
        <f ca="1">IF($A144="","",_xll.SPRDOPT(P143,X143,AI143,0,AB143,AE143,AF143,AK143,$AJ$2,0))</f>
        <v>0.15286649272249025</v>
      </c>
      <c r="AM143" s="209">
        <f t="shared" si="81"/>
        <v>0.12969475701855587</v>
      </c>
      <c r="AN143" s="89">
        <f t="shared" ca="1" si="103"/>
        <v>2.3171735703934382E-2</v>
      </c>
      <c r="AO143" s="3">
        <f t="shared" si="104"/>
        <v>31</v>
      </c>
      <c r="AP143" s="33">
        <f t="shared" si="105"/>
        <v>41091</v>
      </c>
      <c r="AQ143" s="58">
        <f t="shared" ca="1" si="82"/>
        <v>4065</v>
      </c>
      <c r="AR143" s="38">
        <f>IF(Summary!$H$2=1,VLOOKUP('ANR OK vs ML7'!A143,Curves!$C$17:$AR$273,MATCH('ANR OK vs ML7'!$AR$4,Curves!$C$8:$AQ$8,0)),0.1)</f>
        <v>0.1</v>
      </c>
      <c r="AS143" s="35">
        <f t="shared" ca="1" si="83"/>
        <v>0.33756171044410244</v>
      </c>
      <c r="AT143" s="3">
        <f t="shared" si="106"/>
        <v>1</v>
      </c>
      <c r="AU143" s="3">
        <f t="shared" si="84"/>
        <v>31</v>
      </c>
      <c r="AW143" s="32">
        <f t="shared" ca="1" si="107"/>
        <v>189554.45097588791</v>
      </c>
      <c r="AX143" s="32">
        <f t="shared" si="108"/>
        <v>160821.49870300927</v>
      </c>
      <c r="AY143" s="32">
        <f t="shared" ca="1" si="109"/>
        <v>28732.952272878632</v>
      </c>
      <c r="BA143" s="32">
        <f ca="1">IF($A144="","",F143*Summary!$Q$7)</f>
        <v>0</v>
      </c>
      <c r="BC143" s="256">
        <f t="shared" ca="1" si="110"/>
        <v>54287.180178371811</v>
      </c>
    </row>
    <row r="144" spans="1:55">
      <c r="A144" s="67">
        <f t="shared" si="85"/>
        <v>41122</v>
      </c>
      <c r="B144" s="69">
        <f t="shared" si="111"/>
        <v>40000</v>
      </c>
      <c r="C144" s="71"/>
      <c r="D144" s="69">
        <f t="shared" si="112"/>
        <v>40000</v>
      </c>
      <c r="E144" s="70">
        <f t="shared" si="76"/>
        <v>1240000</v>
      </c>
      <c r="F144" s="70">
        <f t="shared" ca="1" si="77"/>
        <v>415124.19778723328</v>
      </c>
      <c r="G144" s="63">
        <f t="shared" si="86"/>
        <v>4.5060000000000002</v>
      </c>
      <c r="H144" s="64">
        <f t="shared" si="87"/>
        <v>4.5060000000000002</v>
      </c>
      <c r="I144" s="43"/>
      <c r="J144" s="63">
        <f t="shared" si="88"/>
        <v>0.21</v>
      </c>
      <c r="K144" s="64">
        <f t="shared" si="89"/>
        <v>0.21</v>
      </c>
      <c r="L144" s="63">
        <f t="shared" si="90"/>
        <v>0</v>
      </c>
      <c r="M144" s="64">
        <f t="shared" si="91"/>
        <v>0</v>
      </c>
      <c r="N144" s="65"/>
      <c r="O144" s="63">
        <f t="shared" si="92"/>
        <v>4.7160000000000002</v>
      </c>
      <c r="P144" s="63">
        <f t="shared" si="93"/>
        <v>4.7160000000000002</v>
      </c>
      <c r="Q144" s="66"/>
      <c r="R144" s="63">
        <f t="shared" si="94"/>
        <v>-0.14000000000000001</v>
      </c>
      <c r="S144" s="64">
        <f t="shared" si="95"/>
        <v>-0.14000000000000001</v>
      </c>
      <c r="T144" s="63">
        <f t="shared" si="96"/>
        <v>-0.01</v>
      </c>
      <c r="U144" s="64">
        <f t="shared" si="97"/>
        <v>-0.01</v>
      </c>
      <c r="V144" s="207">
        <f>IF($A145="","",IF(AND(MONTH(A144)&gt;3,MONTH(A144)&lt;11),(T144+R144+G144)*Summary!$T$7/(1-Summary!$T$7),(T144+R144+G144)*Summary!$U$7/(1-Summary!$U$7)))</f>
        <v>0.21051640633190064</v>
      </c>
      <c r="W144" s="63">
        <f t="shared" si="98"/>
        <v>4.5665164063319006</v>
      </c>
      <c r="X144" s="63">
        <f t="shared" si="99"/>
        <v>4.5665164063319006</v>
      </c>
      <c r="Y144" s="43"/>
      <c r="Z144" s="38">
        <f t="shared" si="100"/>
        <v>0.6</v>
      </c>
      <c r="AA144" s="38">
        <f t="shared" si="100"/>
        <v>0.17499999999999999</v>
      </c>
      <c r="AB144" s="38">
        <f t="shared" ca="1" si="78"/>
        <v>0.17887085143795964</v>
      </c>
      <c r="AC144" s="38">
        <f t="shared" si="100"/>
        <v>0.5</v>
      </c>
      <c r="AD144" s="38">
        <f t="shared" si="100"/>
        <v>0.17</v>
      </c>
      <c r="AE144" s="38">
        <f t="shared" ca="1" si="79"/>
        <v>0.17278049828015168</v>
      </c>
      <c r="AF144" s="238">
        <f ca="1">((Summary!$N$7*(AA144*AD144)*(A144-$D$3))+(Summary!$M$7*Z144*AC144*(DAY(EOMONTH(A144,0))/2)))/(AK144*AB144*AE144)</f>
        <v>0.99948703209252887</v>
      </c>
      <c r="AG144" s="88">
        <f>IF($A145="","",Summary!$Q$7)</f>
        <v>0</v>
      </c>
      <c r="AH144" s="88">
        <f>IF($A145="","",IF(Summary!$R$7="Y",(VLOOKUP($A144,Summary!$AD$6:$AF$9,3)+'Escalating commodity'!C157),'Escalating commodity'!C157))</f>
        <v>2.2495200000000003E-2</v>
      </c>
      <c r="AI144" s="88">
        <f t="shared" si="101"/>
        <v>2.2495200000000003E-2</v>
      </c>
      <c r="AJ144" s="236">
        <f t="shared" si="80"/>
        <v>41136.5</v>
      </c>
      <c r="AK144" s="58">
        <f t="shared" ca="1" si="102"/>
        <v>4096</v>
      </c>
      <c r="AL144" s="26">
        <f ca="1">IF($A145="","",_xll.SPRDOPT(P144,X144,AI144,0,AB144,AE144,AF144,AK144,$AJ$2,0))</f>
        <v>0.14117434591358299</v>
      </c>
      <c r="AM144" s="209">
        <f t="shared" si="81"/>
        <v>0.12698839366809961</v>
      </c>
      <c r="AN144" s="89">
        <f t="shared" ca="1" si="103"/>
        <v>1.4185952245483385E-2</v>
      </c>
      <c r="AO144" s="3">
        <f t="shared" si="104"/>
        <v>31</v>
      </c>
      <c r="AP144" s="33">
        <f t="shared" si="105"/>
        <v>41122</v>
      </c>
      <c r="AQ144" s="58">
        <f t="shared" ca="1" si="82"/>
        <v>4096</v>
      </c>
      <c r="AR144" s="38">
        <f>IF(Summary!$H$2=1,VLOOKUP('ANR OK vs ML7'!A144,Curves!$C$17:$AR$273,MATCH('ANR OK vs ML7'!$AR$4,Curves!$C$8:$AQ$8,0)),0.1)</f>
        <v>0.1</v>
      </c>
      <c r="AS144" s="35">
        <f t="shared" ca="1" si="83"/>
        <v>0.334777578860672</v>
      </c>
      <c r="AT144" s="3">
        <f t="shared" si="106"/>
        <v>1</v>
      </c>
      <c r="AU144" s="3">
        <f t="shared" si="84"/>
        <v>31</v>
      </c>
      <c r="AW144" s="32">
        <f t="shared" ca="1" si="107"/>
        <v>175056.18893284292</v>
      </c>
      <c r="AX144" s="32">
        <f t="shared" si="108"/>
        <v>157465.60814844351</v>
      </c>
      <c r="AY144" s="32">
        <f t="shared" ca="1" si="109"/>
        <v>17590.580784399397</v>
      </c>
      <c r="BA144" s="32">
        <f ca="1">IF($A145="","",F144*Summary!$Q$7)</f>
        <v>0</v>
      </c>
      <c r="BC144" s="256">
        <f t="shared" ca="1" si="110"/>
        <v>52715.955049759221</v>
      </c>
    </row>
    <row r="145" spans="1:55">
      <c r="A145" s="67">
        <f t="shared" si="85"/>
        <v>41153</v>
      </c>
      <c r="B145" s="69">
        <f t="shared" si="111"/>
        <v>40000</v>
      </c>
      <c r="C145" s="71"/>
      <c r="D145" s="69">
        <f t="shared" si="112"/>
        <v>40000</v>
      </c>
      <c r="E145" s="70">
        <f t="shared" si="76"/>
        <v>1200000</v>
      </c>
      <c r="F145" s="70">
        <f t="shared" ca="1" si="77"/>
        <v>398419.69218735449</v>
      </c>
      <c r="G145" s="63">
        <f t="shared" si="86"/>
        <v>4.5199999999999996</v>
      </c>
      <c r="H145" s="64">
        <f t="shared" si="87"/>
        <v>4.5199999999999996</v>
      </c>
      <c r="I145" s="43"/>
      <c r="J145" s="63">
        <f t="shared" si="88"/>
        <v>0.21</v>
      </c>
      <c r="K145" s="64">
        <f t="shared" si="89"/>
        <v>0.21</v>
      </c>
      <c r="L145" s="63">
        <f t="shared" si="90"/>
        <v>0</v>
      </c>
      <c r="M145" s="64">
        <f t="shared" si="91"/>
        <v>0</v>
      </c>
      <c r="N145" s="65"/>
      <c r="O145" s="63">
        <f t="shared" si="92"/>
        <v>4.7299999999999995</v>
      </c>
      <c r="P145" s="63">
        <f t="shared" si="93"/>
        <v>4.7299999999999995</v>
      </c>
      <c r="Q145" s="66"/>
      <c r="R145" s="63">
        <f t="shared" si="94"/>
        <v>-0.14000000000000001</v>
      </c>
      <c r="S145" s="64">
        <f t="shared" si="95"/>
        <v>-0.14000000000000001</v>
      </c>
      <c r="T145" s="63">
        <f t="shared" si="96"/>
        <v>-0.01</v>
      </c>
      <c r="U145" s="64">
        <f t="shared" si="97"/>
        <v>-0.01</v>
      </c>
      <c r="V145" s="207">
        <f>IF($A146="","",IF(AND(MONTH(A145)&gt;3,MONTH(A145)&lt;11),(T145+R145+G145)*Summary!$T$7/(1-Summary!$T$7),(T145+R145+G145)*Summary!$U$7/(1-Summary!$U$7)))</f>
        <v>0.21119299716951459</v>
      </c>
      <c r="W145" s="63">
        <f t="shared" si="98"/>
        <v>4.5811929971695138</v>
      </c>
      <c r="X145" s="63">
        <f t="shared" si="99"/>
        <v>4.5811929971695138</v>
      </c>
      <c r="Y145" s="43"/>
      <c r="Z145" s="38">
        <f t="shared" si="100"/>
        <v>0.6</v>
      </c>
      <c r="AA145" s="38">
        <f t="shared" si="100"/>
        <v>0.17499999999999999</v>
      </c>
      <c r="AB145" s="38">
        <f t="shared" ca="1" si="78"/>
        <v>0.17872010841109204</v>
      </c>
      <c r="AC145" s="38">
        <f t="shared" si="100"/>
        <v>0.55000000000000004</v>
      </c>
      <c r="AD145" s="38">
        <f t="shared" si="100"/>
        <v>0.17</v>
      </c>
      <c r="AE145" s="38">
        <f t="shared" ca="1" si="79"/>
        <v>0.17322375584919517</v>
      </c>
      <c r="AF145" s="238">
        <f ca="1">((Summary!$N$7*(AA145*AD145)*(A145-$D$3))+(Summary!$M$7*Z145*AC145*(DAY(EOMONTH(A145,0))/2)))/(AK145*AB145*AE145)</f>
        <v>0.99984117302699393</v>
      </c>
      <c r="AG145" s="88">
        <f>IF($A146="","",Summary!$Q$7)</f>
        <v>0</v>
      </c>
      <c r="AH145" s="88">
        <f>IF($A146="","",IF(Summary!$R$7="Y",(VLOOKUP($A145,Summary!$AD$6:$AF$9,3)+'Escalating commodity'!C158),'Escalating commodity'!C158))</f>
        <v>2.2495200000000003E-2</v>
      </c>
      <c r="AI145" s="88">
        <f t="shared" si="101"/>
        <v>2.2495200000000003E-2</v>
      </c>
      <c r="AJ145" s="236">
        <f t="shared" si="80"/>
        <v>41167</v>
      </c>
      <c r="AK145" s="58">
        <f t="shared" ca="1" si="102"/>
        <v>4127</v>
      </c>
      <c r="AL145" s="26">
        <f ca="1">IF($A146="","",_xll.SPRDOPT(P145,X145,AI145,0,AB145,AE145,AF145,AK145,$AJ$2,0))</f>
        <v>0.13420301893785813</v>
      </c>
      <c r="AM145" s="209">
        <f t="shared" si="81"/>
        <v>0.12631180283048576</v>
      </c>
      <c r="AN145" s="89">
        <f t="shared" ca="1" si="103"/>
        <v>7.8912161073723674E-3</v>
      </c>
      <c r="AO145" s="3">
        <f t="shared" si="104"/>
        <v>30</v>
      </c>
      <c r="AP145" s="33">
        <f t="shared" si="105"/>
        <v>41153</v>
      </c>
      <c r="AQ145" s="58">
        <f t="shared" ca="1" si="82"/>
        <v>4127</v>
      </c>
      <c r="AR145" s="38">
        <f>IF(Summary!$H$2=1,VLOOKUP('ANR OK vs ML7'!A145,Curves!$C$17:$AR$273,MATCH('ANR OK vs ML7'!$AR$4,Curves!$C$8:$AQ$8,0)),0.1)</f>
        <v>0.1</v>
      </c>
      <c r="AS145" s="35">
        <f t="shared" ca="1" si="83"/>
        <v>0.33201641015612876</v>
      </c>
      <c r="AT145" s="3">
        <f t="shared" si="106"/>
        <v>1</v>
      </c>
      <c r="AU145" s="3">
        <f t="shared" si="84"/>
        <v>30</v>
      </c>
      <c r="AW145" s="32">
        <f t="shared" ca="1" si="107"/>
        <v>161043.62272542977</v>
      </c>
      <c r="AX145" s="32">
        <f t="shared" si="108"/>
        <v>151574.16339658291</v>
      </c>
      <c r="AY145" s="32">
        <f t="shared" ca="1" si="109"/>
        <v>9469.4593288468404</v>
      </c>
      <c r="BA145" s="32">
        <f ca="1">IF($A146="","",F145*Summary!$Q$7)</f>
        <v>0</v>
      </c>
      <c r="BC145" s="256">
        <f t="shared" ca="1" si="110"/>
        <v>50325.10960335195</v>
      </c>
    </row>
    <row r="146" spans="1:55">
      <c r="A146" s="67">
        <f t="shared" si="85"/>
        <v>41183</v>
      </c>
      <c r="B146" s="69">
        <f t="shared" si="111"/>
        <v>40000</v>
      </c>
      <c r="C146" s="71"/>
      <c r="D146" s="69">
        <f t="shared" si="112"/>
        <v>40000</v>
      </c>
      <c r="E146" s="70">
        <f t="shared" si="76"/>
        <v>1240000</v>
      </c>
      <c r="F146" s="70">
        <f t="shared" ca="1" si="77"/>
        <v>408413.83594420709</v>
      </c>
      <c r="G146" s="63">
        <f t="shared" si="86"/>
        <v>4.5510000000000002</v>
      </c>
      <c r="H146" s="64">
        <f t="shared" si="87"/>
        <v>4.5510000000000002</v>
      </c>
      <c r="I146" s="43"/>
      <c r="J146" s="63">
        <f t="shared" si="88"/>
        <v>0.21</v>
      </c>
      <c r="K146" s="64">
        <f t="shared" si="89"/>
        <v>0.21</v>
      </c>
      <c r="L146" s="63">
        <f t="shared" si="90"/>
        <v>0</v>
      </c>
      <c r="M146" s="64">
        <f t="shared" si="91"/>
        <v>0</v>
      </c>
      <c r="N146" s="65"/>
      <c r="O146" s="63">
        <f t="shared" si="92"/>
        <v>4.7610000000000001</v>
      </c>
      <c r="P146" s="63">
        <f t="shared" si="93"/>
        <v>4.7610000000000001</v>
      </c>
      <c r="Q146" s="66"/>
      <c r="R146" s="63">
        <f t="shared" si="94"/>
        <v>-0.14000000000000001</v>
      </c>
      <c r="S146" s="64">
        <f t="shared" si="95"/>
        <v>-0.14000000000000001</v>
      </c>
      <c r="T146" s="63">
        <f t="shared" si="96"/>
        <v>-0.01</v>
      </c>
      <c r="U146" s="64">
        <f t="shared" si="97"/>
        <v>-0.01</v>
      </c>
      <c r="V146" s="207">
        <f>IF($A147="","",IF(AND(MONTH(A146)&gt;3,MONTH(A146)&lt;11),(T146+R146+G146)*Summary!$T$7/(1-Summary!$T$7),(T146+R146+G146)*Summary!$U$7/(1-Summary!$U$7)))</f>
        <v>0.21269116259565995</v>
      </c>
      <c r="W146" s="63">
        <f t="shared" si="98"/>
        <v>4.6136911625956598</v>
      </c>
      <c r="X146" s="63">
        <f t="shared" si="99"/>
        <v>4.6136911625956598</v>
      </c>
      <c r="Y146" s="43"/>
      <c r="Z146" s="38">
        <f t="shared" si="100"/>
        <v>0.65</v>
      </c>
      <c r="AA146" s="38">
        <f t="shared" si="100"/>
        <v>0.17499999999999999</v>
      </c>
      <c r="AB146" s="38">
        <f t="shared" ca="1" si="78"/>
        <v>0.17946509943396358</v>
      </c>
      <c r="AC146" s="38">
        <f t="shared" si="100"/>
        <v>0.55000000000000004</v>
      </c>
      <c r="AD146" s="38">
        <f t="shared" si="100"/>
        <v>0.17</v>
      </c>
      <c r="AE146" s="38">
        <f t="shared" ca="1" si="79"/>
        <v>0.17330570935730405</v>
      </c>
      <c r="AF146" s="238">
        <f ca="1">((Summary!$N$7*(AA146*AD146)*(A146-$D$3))+(Summary!$M$7*Z146*AC146*(DAY(EOMONTH(A146,0))/2)))/(AK146*AB146*AE146)</f>
        <v>0.99951280390581643</v>
      </c>
      <c r="AG146" s="88">
        <f>IF($A147="","",Summary!$Q$7)</f>
        <v>0</v>
      </c>
      <c r="AH146" s="88">
        <f>IF($A147="","",IF(Summary!$R$7="Y",(VLOOKUP($A146,Summary!$AD$6:$AF$9,3)+'Escalating commodity'!C159),'Escalating commodity'!C159))</f>
        <v>2.2495200000000003E-2</v>
      </c>
      <c r="AI146" s="88">
        <f t="shared" si="101"/>
        <v>2.2495200000000003E-2</v>
      </c>
      <c r="AJ146" s="236">
        <f t="shared" si="80"/>
        <v>41197.5</v>
      </c>
      <c r="AK146" s="58">
        <f t="shared" ca="1" si="102"/>
        <v>4157</v>
      </c>
      <c r="AL146" s="26">
        <f ca="1">IF($A147="","",_xll.SPRDOPT(P146,X146,AI146,0,AB146,AE146,AF146,AK146,$AJ$2,0))</f>
        <v>0.13987212106433267</v>
      </c>
      <c r="AM146" s="209">
        <f t="shared" si="81"/>
        <v>0.1248136374043403</v>
      </c>
      <c r="AN146" s="89">
        <f t="shared" ca="1" si="103"/>
        <v>1.5058483659992364E-2</v>
      </c>
      <c r="AO146" s="3">
        <f t="shared" si="104"/>
        <v>31</v>
      </c>
      <c r="AP146" s="33">
        <f t="shared" si="105"/>
        <v>41183</v>
      </c>
      <c r="AQ146" s="58">
        <f t="shared" ca="1" si="82"/>
        <v>4157</v>
      </c>
      <c r="AR146" s="38">
        <f>IF(Summary!$H$2=1,VLOOKUP('ANR OK vs ML7'!A146,Curves!$C$17:$AR$273,MATCH('ANR OK vs ML7'!$AR$4,Curves!$C$8:$AQ$8,0)),0.1)</f>
        <v>0.1</v>
      </c>
      <c r="AS146" s="35">
        <f t="shared" ca="1" si="83"/>
        <v>0.32936599672919925</v>
      </c>
      <c r="AT146" s="3">
        <f t="shared" si="106"/>
        <v>1</v>
      </c>
      <c r="AU146" s="3">
        <f t="shared" si="84"/>
        <v>31</v>
      </c>
      <c r="AW146" s="32">
        <f t="shared" ca="1" si="107"/>
        <v>173441.4301197725</v>
      </c>
      <c r="AX146" s="32">
        <f t="shared" si="108"/>
        <v>154768.91038138198</v>
      </c>
      <c r="AY146" s="32">
        <f t="shared" ca="1" si="109"/>
        <v>18672.519738390532</v>
      </c>
      <c r="BA146" s="32">
        <f ca="1">IF($A147="","",F146*Summary!$Q$7)</f>
        <v>0</v>
      </c>
      <c r="BC146" s="256">
        <f t="shared" ca="1" si="110"/>
        <v>50975.616430455993</v>
      </c>
    </row>
    <row r="147" spans="1:55">
      <c r="A147" s="67">
        <f t="shared" si="85"/>
        <v>41214</v>
      </c>
      <c r="B147" s="69">
        <f t="shared" si="111"/>
        <v>40000</v>
      </c>
      <c r="C147" s="71"/>
      <c r="D147" s="69">
        <f t="shared" si="112"/>
        <v>40000</v>
      </c>
      <c r="E147" s="70">
        <f t="shared" si="76"/>
        <v>1200000</v>
      </c>
      <c r="F147" s="70">
        <f t="shared" ca="1" si="77"/>
        <v>391979.35381581349</v>
      </c>
      <c r="G147" s="63">
        <f t="shared" si="86"/>
        <v>4.6840000000000002</v>
      </c>
      <c r="H147" s="64">
        <f t="shared" si="87"/>
        <v>4.6840000000000002</v>
      </c>
      <c r="I147" s="43"/>
      <c r="J147" s="63">
        <f t="shared" si="88"/>
        <v>0.32500000000000001</v>
      </c>
      <c r="K147" s="64">
        <f t="shared" si="89"/>
        <v>0.32500000000000001</v>
      </c>
      <c r="L147" s="63">
        <f t="shared" si="90"/>
        <v>0</v>
      </c>
      <c r="M147" s="64">
        <f t="shared" si="91"/>
        <v>0</v>
      </c>
      <c r="N147" s="65"/>
      <c r="O147" s="63">
        <f t="shared" si="92"/>
        <v>5.0090000000000003</v>
      </c>
      <c r="P147" s="63">
        <f t="shared" si="93"/>
        <v>5.0090000000000003</v>
      </c>
      <c r="Q147" s="66"/>
      <c r="R147" s="63">
        <f t="shared" si="94"/>
        <v>-0.14249999999999999</v>
      </c>
      <c r="S147" s="64">
        <f t="shared" si="95"/>
        <v>-0.14249999999999999</v>
      </c>
      <c r="T147" s="63">
        <f t="shared" si="96"/>
        <v>0.01</v>
      </c>
      <c r="U147" s="64">
        <f t="shared" si="97"/>
        <v>0.01</v>
      </c>
      <c r="V147" s="207">
        <f>IF($A148="","",IF(AND(MONTH(A147)&gt;3,MONTH(A147)&lt;11),(T147+R147+G147)*Summary!$T$7/(1-Summary!$T$7),(T147+R147+G147)*Summary!$U$7/(1-Summary!$U$7)))</f>
        <v>0.2199645141000105</v>
      </c>
      <c r="W147" s="63">
        <f t="shared" si="98"/>
        <v>4.7714645141000105</v>
      </c>
      <c r="X147" s="63">
        <f t="shared" si="99"/>
        <v>4.7714645141000105</v>
      </c>
      <c r="Y147" s="43"/>
      <c r="Z147" s="38">
        <f t="shared" si="100"/>
        <v>0.8</v>
      </c>
      <c r="AA147" s="38">
        <f t="shared" si="100"/>
        <v>0.17499999999999999</v>
      </c>
      <c r="AB147" s="38">
        <f t="shared" ca="1" si="78"/>
        <v>0.18145130523093392</v>
      </c>
      <c r="AC147" s="38">
        <f t="shared" si="100"/>
        <v>0.8</v>
      </c>
      <c r="AD147" s="38">
        <f t="shared" si="100"/>
        <v>0.17</v>
      </c>
      <c r="AE147" s="38">
        <f t="shared" ca="1" si="79"/>
        <v>0.17663285164117143</v>
      </c>
      <c r="AF147" s="238">
        <f ca="1">((Summary!$N$7*(AA147*AD147)*(A147-$D$3))+(Summary!$M$7*Z147*AC147*(DAY(EOMONTH(A147,0))/2)))/(AK147*AB147*AE147)</f>
        <v>0.99987925379062459</v>
      </c>
      <c r="AG147" s="88">
        <f>IF($A148="","",Summary!$Q$7)</f>
        <v>0</v>
      </c>
      <c r="AH147" s="88">
        <f>IF($A148="","",IF(Summary!$R$7="Y",(VLOOKUP($A147,Summary!$AD$6:$AF$9,3)+'Escalating commodity'!C160),'Escalating commodity'!C160))</f>
        <v>2.2495200000000003E-2</v>
      </c>
      <c r="AI147" s="88">
        <f t="shared" si="101"/>
        <v>2.2495200000000003E-2</v>
      </c>
      <c r="AJ147" s="236">
        <f t="shared" si="80"/>
        <v>41228</v>
      </c>
      <c r="AK147" s="58">
        <f t="shared" ca="1" si="102"/>
        <v>4188</v>
      </c>
      <c r="AL147" s="26">
        <f ca="1">IF($A148="","",_xll.SPRDOPT(P147,X147,AI147,0,AB147,AE147,AF147,AK147,$AJ$2,0))</f>
        <v>0.21662691778929369</v>
      </c>
      <c r="AM147" s="209">
        <f t="shared" si="81"/>
        <v>0.21504028589998986</v>
      </c>
      <c r="AN147" s="89">
        <f t="shared" ca="1" si="103"/>
        <v>1.58663188930383E-3</v>
      </c>
      <c r="AO147" s="3">
        <f t="shared" si="104"/>
        <v>30</v>
      </c>
      <c r="AP147" s="33">
        <f t="shared" si="105"/>
        <v>41214</v>
      </c>
      <c r="AQ147" s="58">
        <f t="shared" ca="1" si="82"/>
        <v>4188</v>
      </c>
      <c r="AR147" s="38">
        <f>IF(Summary!$H$2=1,VLOOKUP('ANR OK vs ML7'!A147,Curves!$C$17:$AR$273,MATCH('ANR OK vs ML7'!$AR$4,Curves!$C$8:$AQ$8,0)),0.1)</f>
        <v>0.1</v>
      </c>
      <c r="AS147" s="35">
        <f t="shared" ca="1" si="83"/>
        <v>0.32664946151317792</v>
      </c>
      <c r="AT147" s="3">
        <f t="shared" si="106"/>
        <v>1</v>
      </c>
      <c r="AU147" s="3">
        <f t="shared" si="84"/>
        <v>30</v>
      </c>
      <c r="AW147" s="32">
        <f t="shared" ca="1" si="107"/>
        <v>259952.30134715242</v>
      </c>
      <c r="AX147" s="32">
        <f t="shared" si="108"/>
        <v>258048.34307998783</v>
      </c>
      <c r="AY147" s="32">
        <f t="shared" ca="1" si="109"/>
        <v>1903.958267164596</v>
      </c>
      <c r="BA147" s="32">
        <f ca="1">IF($A148="","",F147*Summary!$Q$7)</f>
        <v>0</v>
      </c>
      <c r="BC147" s="256">
        <f t="shared" ca="1" si="110"/>
        <v>84291.352311445808</v>
      </c>
    </row>
    <row r="148" spans="1:55">
      <c r="A148" s="67">
        <f t="shared" si="85"/>
        <v>41244</v>
      </c>
      <c r="B148" s="69">
        <f t="shared" si="111"/>
        <v>40000</v>
      </c>
      <c r="C148" s="71"/>
      <c r="D148" s="69">
        <f t="shared" si="112"/>
        <v>40000</v>
      </c>
      <c r="E148" s="70">
        <f t="shared" si="76"/>
        <v>1240000</v>
      </c>
      <c r="F148" s="70">
        <f t="shared" ca="1" si="77"/>
        <v>401811.94514744694</v>
      </c>
      <c r="G148" s="63">
        <f t="shared" si="86"/>
        <v>4.8220000000000001</v>
      </c>
      <c r="H148" s="64">
        <f t="shared" si="87"/>
        <v>4.8220000000000001</v>
      </c>
      <c r="I148" s="43"/>
      <c r="J148" s="63">
        <f t="shared" si="88"/>
        <v>0.32500000000000001</v>
      </c>
      <c r="K148" s="64">
        <f t="shared" si="89"/>
        <v>0.32500000000000001</v>
      </c>
      <c r="L148" s="63">
        <f t="shared" si="90"/>
        <v>0</v>
      </c>
      <c r="M148" s="64">
        <f t="shared" si="91"/>
        <v>0</v>
      </c>
      <c r="N148" s="65"/>
      <c r="O148" s="63">
        <f t="shared" si="92"/>
        <v>5.1470000000000002</v>
      </c>
      <c r="P148" s="63">
        <f t="shared" si="93"/>
        <v>5.1470000000000002</v>
      </c>
      <c r="Q148" s="66"/>
      <c r="R148" s="63">
        <f t="shared" si="94"/>
        <v>-0.13750000000000001</v>
      </c>
      <c r="S148" s="64">
        <f t="shared" si="95"/>
        <v>-0.13750000000000001</v>
      </c>
      <c r="T148" s="63">
        <f t="shared" si="96"/>
        <v>0.01</v>
      </c>
      <c r="U148" s="64">
        <f t="shared" si="97"/>
        <v>0.01</v>
      </c>
      <c r="V148" s="207">
        <f>IF($A149="","",IF(AND(MONTH(A148)&gt;3,MONTH(A148)&lt;11),(T148+R148+G148)*Summary!$T$7/(1-Summary!$T$7),(T148+R148+G148)*Summary!$U$7/(1-Summary!$U$7)))</f>
        <v>0.22687540622706781</v>
      </c>
      <c r="W148" s="63">
        <f t="shared" si="98"/>
        <v>4.9213754062270674</v>
      </c>
      <c r="X148" s="63">
        <f t="shared" si="99"/>
        <v>4.9213754062270674</v>
      </c>
      <c r="Y148" s="43"/>
      <c r="Z148" s="38">
        <f t="shared" si="100"/>
        <v>1.1000000000000001</v>
      </c>
      <c r="AA148" s="38">
        <f t="shared" si="100"/>
        <v>0.17499999999999999</v>
      </c>
      <c r="AB148" s="38">
        <f t="shared" ca="1" si="78"/>
        <v>0.18729303418530693</v>
      </c>
      <c r="AC148" s="38">
        <f t="shared" si="100"/>
        <v>1</v>
      </c>
      <c r="AD148" s="38">
        <f t="shared" si="100"/>
        <v>0.17</v>
      </c>
      <c r="AE148" s="38">
        <f t="shared" ca="1" si="79"/>
        <v>0.18050368125711017</v>
      </c>
      <c r="AF148" s="238">
        <f ca="1">((Summary!$N$7*(AA148*AD148)*(A148-$D$3))+(Summary!$M$7*Z148*AC148*(DAY(EOMONTH(A148,0))/2)))/(AK148*AB148*AE148)</f>
        <v>0.99968040279379455</v>
      </c>
      <c r="AG148" s="88">
        <f>IF($A149="","",Summary!$Q$7)</f>
        <v>0</v>
      </c>
      <c r="AH148" s="88">
        <f>IF($A149="","",IF(Summary!$R$7="Y",(VLOOKUP($A148,Summary!$AD$6:$AF$9,3)+'Escalating commodity'!C161),'Escalating commodity'!C161))</f>
        <v>2.2495200000000003E-2</v>
      </c>
      <c r="AI148" s="88">
        <f t="shared" si="101"/>
        <v>2.2495200000000003E-2</v>
      </c>
      <c r="AJ148" s="236">
        <f t="shared" si="80"/>
        <v>41258.5</v>
      </c>
      <c r="AK148" s="58">
        <f t="shared" ca="1" si="102"/>
        <v>4218</v>
      </c>
      <c r="AL148" s="26">
        <f ca="1">IF($A149="","",_xll.SPRDOPT(P148,X148,AI148,0,AB148,AE148,AF148,AK148,$AJ$2,0))</f>
        <v>0.21074050883370923</v>
      </c>
      <c r="AM148" s="209">
        <f t="shared" si="81"/>
        <v>0.20312939377293288</v>
      </c>
      <c r="AN148" s="89">
        <f t="shared" ca="1" si="103"/>
        <v>7.6111150607763578E-3</v>
      </c>
      <c r="AO148" s="3">
        <f t="shared" si="104"/>
        <v>31</v>
      </c>
      <c r="AP148" s="33">
        <f t="shared" si="105"/>
        <v>41244</v>
      </c>
      <c r="AQ148" s="58">
        <f t="shared" ca="1" si="82"/>
        <v>4218</v>
      </c>
      <c r="AR148" s="38">
        <f>IF(Summary!$H$2=1,VLOOKUP('ANR OK vs ML7'!A148,Curves!$C$17:$AR$273,MATCH('ANR OK vs ML7'!$AR$4,Curves!$C$8:$AQ$8,0)),0.1)</f>
        <v>0.1</v>
      </c>
      <c r="AS148" s="35">
        <f t="shared" ca="1" si="83"/>
        <v>0.32404189124794108</v>
      </c>
      <c r="AT148" s="3">
        <f t="shared" si="106"/>
        <v>1</v>
      </c>
      <c r="AU148" s="3">
        <f t="shared" si="84"/>
        <v>31</v>
      </c>
      <c r="AW148" s="32">
        <f t="shared" ca="1" si="107"/>
        <v>261318.23095379944</v>
      </c>
      <c r="AX148" s="32">
        <f t="shared" si="108"/>
        <v>251880.44827843676</v>
      </c>
      <c r="AY148" s="32">
        <f t="shared" ca="1" si="109"/>
        <v>9437.7826753626832</v>
      </c>
      <c r="BA148" s="32">
        <f ca="1">IF($A149="","",F148*Summary!$Q$7)</f>
        <v>0</v>
      </c>
      <c r="BC148" s="256">
        <f t="shared" ca="1" si="110"/>
        <v>81619.81682852385</v>
      </c>
    </row>
    <row r="149" spans="1:55">
      <c r="A149" s="67">
        <f t="shared" si="85"/>
        <v>41275</v>
      </c>
      <c r="B149" s="69">
        <f t="shared" si="111"/>
        <v>40000</v>
      </c>
      <c r="C149" s="71"/>
      <c r="D149" s="69">
        <f t="shared" si="112"/>
        <v>40000</v>
      </c>
      <c r="E149" s="70">
        <f t="shared" si="76"/>
        <v>1240000</v>
      </c>
      <c r="F149" s="70">
        <f t="shared" ca="1" si="77"/>
        <v>398497.89236103109</v>
      </c>
      <c r="G149" s="63">
        <f t="shared" si="86"/>
        <v>4.8690000000000007</v>
      </c>
      <c r="H149" s="64">
        <f t="shared" si="87"/>
        <v>4.8690000000000007</v>
      </c>
      <c r="I149" s="43"/>
      <c r="J149" s="63">
        <f t="shared" si="88"/>
        <v>0.32500000000000001</v>
      </c>
      <c r="K149" s="64">
        <f t="shared" si="89"/>
        <v>0.32500000000000001</v>
      </c>
      <c r="L149" s="63">
        <f t="shared" si="90"/>
        <v>0</v>
      </c>
      <c r="M149" s="64">
        <f t="shared" si="91"/>
        <v>0</v>
      </c>
      <c r="N149" s="65"/>
      <c r="O149" s="63">
        <f t="shared" si="92"/>
        <v>5.1940000000000008</v>
      </c>
      <c r="P149" s="63">
        <f t="shared" si="93"/>
        <v>5.1940000000000008</v>
      </c>
      <c r="Q149" s="66"/>
      <c r="R149" s="63">
        <f t="shared" si="94"/>
        <v>-0.13750000000000001</v>
      </c>
      <c r="S149" s="64">
        <f t="shared" si="95"/>
        <v>-0.13750000000000001</v>
      </c>
      <c r="T149" s="63">
        <f t="shared" si="96"/>
        <v>0.01</v>
      </c>
      <c r="U149" s="64">
        <f t="shared" si="97"/>
        <v>0.01</v>
      </c>
      <c r="V149" s="207">
        <f>IF($A150="","",IF(AND(MONTH(A149)&gt;3,MONTH(A149)&lt;11),(T149+R149+G149)*Summary!$T$7/(1-Summary!$T$7),(T149+R149+G149)*Summary!$U$7/(1-Summary!$U$7)))</f>
        <v>0.22914681832477202</v>
      </c>
      <c r="W149" s="63">
        <f t="shared" si="98"/>
        <v>4.9706468183247718</v>
      </c>
      <c r="X149" s="63">
        <f t="shared" si="99"/>
        <v>4.9706468183247718</v>
      </c>
      <c r="Y149" s="43"/>
      <c r="Z149" s="38">
        <f t="shared" si="100"/>
        <v>1.1000000000000001</v>
      </c>
      <c r="AA149" s="38">
        <f t="shared" si="100"/>
        <v>0.17499999999999999</v>
      </c>
      <c r="AB149" s="38">
        <f t="shared" ca="1" si="78"/>
        <v>0.18720626949490024</v>
      </c>
      <c r="AC149" s="38">
        <f t="shared" si="100"/>
        <v>1</v>
      </c>
      <c r="AD149" s="38">
        <f t="shared" si="100"/>
        <v>0.17</v>
      </c>
      <c r="AE149" s="38">
        <f t="shared" ca="1" si="79"/>
        <v>0.18042926247522789</v>
      </c>
      <c r="AF149" s="238">
        <f ca="1">((Summary!$N$7*(AA149*AD149)*(A149-$D$3))+(Summary!$M$7*Z149*AC149*(DAY(EOMONTH(A149,0))/2)))/(AK149*AB149*AE149)</f>
        <v>0.99968161293153679</v>
      </c>
      <c r="AG149" s="88">
        <f>IF($A150="","",Summary!$Q$7)</f>
        <v>0</v>
      </c>
      <c r="AH149" s="88">
        <f>IF($A150="","",IF(Summary!$R$7="Y",(VLOOKUP($A149,Summary!$AD$6:$AF$9,3)+'Escalating commodity'!C162),'Escalating commodity'!C162))</f>
        <v>2.2495200000000003E-2</v>
      </c>
      <c r="AI149" s="88">
        <f t="shared" si="101"/>
        <v>2.2495200000000003E-2</v>
      </c>
      <c r="AJ149" s="236">
        <f t="shared" si="80"/>
        <v>41289.5</v>
      </c>
      <c r="AK149" s="58">
        <f t="shared" ca="1" si="102"/>
        <v>4249</v>
      </c>
      <c r="AL149" s="26">
        <f ca="1">IF($A150="","",_xll.SPRDOPT(P149,X149,AI149,0,AB149,AE149,AF149,AK149,$AJ$2,0))</f>
        <v>0.20897490403407262</v>
      </c>
      <c r="AM149" s="209">
        <f t="shared" si="81"/>
        <v>0.200857981675229</v>
      </c>
      <c r="AN149" s="89">
        <f t="shared" ca="1" si="103"/>
        <v>8.1169223588436201E-3</v>
      </c>
      <c r="AO149" s="3">
        <f t="shared" si="104"/>
        <v>31</v>
      </c>
      <c r="AP149" s="33">
        <f t="shared" si="105"/>
        <v>41275</v>
      </c>
      <c r="AQ149" s="58">
        <f t="shared" ca="1" si="82"/>
        <v>4249</v>
      </c>
      <c r="AR149" s="38">
        <f>IF(Summary!$H$2=1,VLOOKUP('ANR OK vs ML7'!A149,Curves!$C$17:$AR$273,MATCH('ANR OK vs ML7'!$AR$4,Curves!$C$8:$AQ$8,0)),0.1)</f>
        <v>0.1</v>
      </c>
      <c r="AS149" s="35">
        <f t="shared" ca="1" si="83"/>
        <v>0.32136926803308957</v>
      </c>
      <c r="AT149" s="3">
        <f t="shared" si="106"/>
        <v>1</v>
      </c>
      <c r="AU149" s="3">
        <f t="shared" si="84"/>
        <v>31</v>
      </c>
      <c r="AW149" s="32">
        <f t="shared" ca="1" si="107"/>
        <v>259128.88100225004</v>
      </c>
      <c r="AX149" s="32">
        <f t="shared" si="108"/>
        <v>249063.89727728398</v>
      </c>
      <c r="AY149" s="32">
        <f t="shared" ca="1" si="109"/>
        <v>10064.983724966089</v>
      </c>
      <c r="BA149" s="32">
        <f ca="1">IF($A150="","",F149*Summary!$Q$7)</f>
        <v>0</v>
      </c>
      <c r="BC149" s="256">
        <f t="shared" ca="1" si="110"/>
        <v>80041.48236146936</v>
      </c>
    </row>
    <row r="150" spans="1:55">
      <c r="A150" s="67">
        <f t="shared" si="85"/>
        <v>41306</v>
      </c>
      <c r="B150" s="69">
        <f t="shared" si="111"/>
        <v>40000</v>
      </c>
      <c r="C150" s="71"/>
      <c r="D150" s="69">
        <f t="shared" si="112"/>
        <v>40000</v>
      </c>
      <c r="E150" s="70">
        <f t="shared" si="76"/>
        <v>1120000</v>
      </c>
      <c r="F150" s="70">
        <f t="shared" ca="1" si="77"/>
        <v>356964.93056187074</v>
      </c>
      <c r="G150" s="63">
        <f t="shared" si="86"/>
        <v>4.7490000000000006</v>
      </c>
      <c r="H150" s="64">
        <f t="shared" si="87"/>
        <v>4.7490000000000006</v>
      </c>
      <c r="I150" s="43"/>
      <c r="J150" s="63">
        <f t="shared" si="88"/>
        <v>0.32500000000000001</v>
      </c>
      <c r="K150" s="64">
        <f t="shared" si="89"/>
        <v>0.32500000000000001</v>
      </c>
      <c r="L150" s="63">
        <f t="shared" si="90"/>
        <v>0</v>
      </c>
      <c r="M150" s="64">
        <f t="shared" si="91"/>
        <v>0</v>
      </c>
      <c r="N150" s="65"/>
      <c r="O150" s="63">
        <f t="shared" si="92"/>
        <v>5.0740000000000007</v>
      </c>
      <c r="P150" s="63">
        <f t="shared" si="93"/>
        <v>5.0740000000000007</v>
      </c>
      <c r="Q150" s="66"/>
      <c r="R150" s="63">
        <f t="shared" si="94"/>
        <v>-0.14000000000000001</v>
      </c>
      <c r="S150" s="64">
        <f t="shared" si="95"/>
        <v>-0.14000000000000001</v>
      </c>
      <c r="T150" s="63">
        <f t="shared" si="96"/>
        <v>0.01</v>
      </c>
      <c r="U150" s="64">
        <f t="shared" si="97"/>
        <v>0.01</v>
      </c>
      <c r="V150" s="207">
        <f>IF($A151="","",IF(AND(MONTH(A150)&gt;3,MONTH(A150)&lt;11),(T150+R150+G150)*Summary!$T$7/(1-Summary!$T$7),(T150+R150+G150)*Summary!$U$7/(1-Summary!$U$7)))</f>
        <v>0.22322664849564949</v>
      </c>
      <c r="W150" s="63">
        <f t="shared" si="98"/>
        <v>4.8422266484956502</v>
      </c>
      <c r="X150" s="63">
        <f t="shared" si="99"/>
        <v>4.8422266484956502</v>
      </c>
      <c r="Y150" s="43"/>
      <c r="Z150" s="38">
        <f t="shared" si="100"/>
        <v>1.1000000000000001</v>
      </c>
      <c r="AA150" s="38">
        <f t="shared" si="100"/>
        <v>0.17499999999999999</v>
      </c>
      <c r="AB150" s="38">
        <f t="shared" ca="1" si="78"/>
        <v>0.18598413722429508</v>
      </c>
      <c r="AC150" s="38">
        <f t="shared" si="100"/>
        <v>1</v>
      </c>
      <c r="AD150" s="38">
        <f t="shared" si="100"/>
        <v>0.17</v>
      </c>
      <c r="AE150" s="38">
        <f t="shared" ca="1" si="79"/>
        <v>0.17938166119710169</v>
      </c>
      <c r="AF150" s="238">
        <f ca="1">((Summary!$N$7*(AA150*AD150)*(A150-$D$3))+(Summary!$M$7*Z150*AC150*(DAY(EOMONTH(A150,0))/2)))/(AK150*AB150*AE150)</f>
        <v>0.99969913770681973</v>
      </c>
      <c r="AG150" s="88">
        <f>IF($A151="","",Summary!$Q$7)</f>
        <v>0</v>
      </c>
      <c r="AH150" s="88">
        <f>IF($A151="","",IF(Summary!$R$7="Y",(VLOOKUP($A150,Summary!$AD$6:$AF$9,3)+'Escalating commodity'!C163),'Escalating commodity'!C163))</f>
        <v>2.2495200000000003E-2</v>
      </c>
      <c r="AI150" s="88">
        <f t="shared" si="101"/>
        <v>2.2495200000000003E-2</v>
      </c>
      <c r="AJ150" s="236">
        <f t="shared" si="80"/>
        <v>41319</v>
      </c>
      <c r="AK150" s="58">
        <f t="shared" ca="1" si="102"/>
        <v>4280</v>
      </c>
      <c r="AL150" s="26">
        <f ca="1">IF($A151="","",_xll.SPRDOPT(P150,X150,AI150,0,AB150,AE150,AF150,AK150,$AJ$2,0))</f>
        <v>0.21556367396269085</v>
      </c>
      <c r="AM150" s="209">
        <f t="shared" si="81"/>
        <v>0.20927815150435053</v>
      </c>
      <c r="AN150" s="89">
        <f t="shared" ca="1" si="103"/>
        <v>6.2855224583403257E-3</v>
      </c>
      <c r="AO150" s="3">
        <f t="shared" si="104"/>
        <v>28</v>
      </c>
      <c r="AP150" s="33">
        <f t="shared" si="105"/>
        <v>41306</v>
      </c>
      <c r="AQ150" s="58">
        <f t="shared" ca="1" si="82"/>
        <v>4280</v>
      </c>
      <c r="AR150" s="38">
        <f>IF(Summary!$H$2=1,VLOOKUP('ANR OK vs ML7'!A150,Curves!$C$17:$AR$273,MATCH('ANR OK vs ML7'!$AR$4,Curves!$C$8:$AQ$8,0)),0.1)</f>
        <v>0.1</v>
      </c>
      <c r="AS150" s="35">
        <f t="shared" ca="1" si="83"/>
        <v>0.3187186880016703</v>
      </c>
      <c r="AT150" s="3">
        <f t="shared" si="106"/>
        <v>1</v>
      </c>
      <c r="AU150" s="3">
        <f t="shared" si="84"/>
        <v>28</v>
      </c>
      <c r="AW150" s="32">
        <f t="shared" ca="1" si="107"/>
        <v>241431.31483821376</v>
      </c>
      <c r="AX150" s="32">
        <f t="shared" si="108"/>
        <v>234391.5296848726</v>
      </c>
      <c r="AY150" s="32">
        <f t="shared" ca="1" si="109"/>
        <v>7039.7851533411649</v>
      </c>
      <c r="BA150" s="32">
        <f ca="1">IF($A151="","",F150*Summary!$Q$7)</f>
        <v>0</v>
      </c>
      <c r="BC150" s="256">
        <f t="shared" ca="1" si="110"/>
        <v>74704.960819867149</v>
      </c>
    </row>
    <row r="151" spans="1:55">
      <c r="A151" s="67">
        <f t="shared" si="85"/>
        <v>41334</v>
      </c>
      <c r="B151" s="69">
        <f t="shared" si="111"/>
        <v>40000</v>
      </c>
      <c r="C151" s="71"/>
      <c r="D151" s="69">
        <f t="shared" si="112"/>
        <v>40000</v>
      </c>
      <c r="E151" s="70">
        <f t="shared" si="76"/>
        <v>1240000</v>
      </c>
      <c r="F151" s="70">
        <f t="shared" ca="1" si="77"/>
        <v>392265.82969599194</v>
      </c>
      <c r="G151" s="63">
        <f t="shared" si="86"/>
        <v>4.6100000000000003</v>
      </c>
      <c r="H151" s="64">
        <f t="shared" si="87"/>
        <v>4.6100000000000003</v>
      </c>
      <c r="I151" s="43"/>
      <c r="J151" s="63">
        <f t="shared" si="88"/>
        <v>0.32500000000000001</v>
      </c>
      <c r="K151" s="64">
        <f t="shared" si="89"/>
        <v>0.32500000000000001</v>
      </c>
      <c r="L151" s="63">
        <f t="shared" si="90"/>
        <v>0</v>
      </c>
      <c r="M151" s="64">
        <f t="shared" si="91"/>
        <v>0</v>
      </c>
      <c r="N151" s="65"/>
      <c r="O151" s="63">
        <f t="shared" si="92"/>
        <v>4.9350000000000005</v>
      </c>
      <c r="P151" s="63">
        <f t="shared" si="93"/>
        <v>4.9350000000000005</v>
      </c>
      <c r="Q151" s="66"/>
      <c r="R151" s="63">
        <f t="shared" si="94"/>
        <v>-0.14249999999999999</v>
      </c>
      <c r="S151" s="64">
        <f t="shared" si="95"/>
        <v>-0.14249999999999999</v>
      </c>
      <c r="T151" s="63">
        <f t="shared" si="96"/>
        <v>0.01</v>
      </c>
      <c r="U151" s="64">
        <f t="shared" si="97"/>
        <v>0.01</v>
      </c>
      <c r="V151" s="207">
        <f>IF($A152="","",IF(AND(MONTH(A151)&gt;3,MONTH(A151)&lt;11),(T151+R151+G151)*Summary!$T$7/(1-Summary!$T$7),(T151+R151+G151)*Summary!$U$7/(1-Summary!$U$7)))</f>
        <v>0.21638824824405076</v>
      </c>
      <c r="W151" s="63">
        <f t="shared" si="98"/>
        <v>4.6938882482440505</v>
      </c>
      <c r="X151" s="63">
        <f t="shared" si="99"/>
        <v>4.6938882482440505</v>
      </c>
      <c r="Y151" s="43"/>
      <c r="Z151" s="38">
        <f t="shared" si="100"/>
        <v>0.75</v>
      </c>
      <c r="AA151" s="38">
        <f t="shared" si="100"/>
        <v>0.17499999999999999</v>
      </c>
      <c r="AB151" s="38">
        <f t="shared" ca="1" si="78"/>
        <v>0.18070960085771351</v>
      </c>
      <c r="AC151" s="38">
        <f t="shared" si="100"/>
        <v>0.75</v>
      </c>
      <c r="AD151" s="38">
        <f t="shared" si="100"/>
        <v>0.17</v>
      </c>
      <c r="AE151" s="38">
        <f t="shared" ca="1" si="79"/>
        <v>0.17587086007729316</v>
      </c>
      <c r="AF151" s="238">
        <f ca="1">((Summary!$N$7*(AA151*AD151)*(A151-$D$3))+(Summary!$M$7*Z151*AC151*(DAY(EOMONTH(A151,0))/2)))/(AK151*AB151*AE151)</f>
        <v>0.99988131838640049</v>
      </c>
      <c r="AG151" s="88">
        <f>IF($A152="","",Summary!$Q$7)</f>
        <v>0</v>
      </c>
      <c r="AH151" s="88">
        <f>IF($A152="","",IF(Summary!$R$7="Y",(VLOOKUP($A151,Summary!$AD$6:$AF$9,3)+'Escalating commodity'!C164),'Escalating commodity'!C164))</f>
        <v>2.2495200000000003E-2</v>
      </c>
      <c r="AI151" s="88">
        <f t="shared" si="101"/>
        <v>2.2495200000000003E-2</v>
      </c>
      <c r="AJ151" s="236">
        <f t="shared" si="80"/>
        <v>41348.5</v>
      </c>
      <c r="AK151" s="58">
        <f t="shared" ca="1" si="102"/>
        <v>4308</v>
      </c>
      <c r="AL151" s="26">
        <f ca="1">IF($A152="","",_xll.SPRDOPT(P151,X151,AI151,0,AB151,AE151,AF151,AK151,$AJ$2,0))</f>
        <v>0.22011681407163372</v>
      </c>
      <c r="AM151" s="209">
        <f t="shared" si="81"/>
        <v>0.21861655175595002</v>
      </c>
      <c r="AN151" s="89">
        <f t="shared" ca="1" si="103"/>
        <v>1.5002623156837036E-3</v>
      </c>
      <c r="AO151" s="3">
        <f t="shared" si="104"/>
        <v>31</v>
      </c>
      <c r="AP151" s="33">
        <f t="shared" si="105"/>
        <v>41334</v>
      </c>
      <c r="AQ151" s="58">
        <f t="shared" ca="1" si="82"/>
        <v>4308</v>
      </c>
      <c r="AR151" s="38">
        <f>IF(Summary!$H$2=1,VLOOKUP('ANR OK vs ML7'!A151,Curves!$C$17:$AR$273,MATCH('ANR OK vs ML7'!$AR$4,Curves!$C$8:$AQ$8,0)),0.1)</f>
        <v>0.1</v>
      </c>
      <c r="AS151" s="35">
        <f t="shared" ca="1" si="83"/>
        <v>0.31634341104515479</v>
      </c>
      <c r="AT151" s="3">
        <f t="shared" si="106"/>
        <v>1</v>
      </c>
      <c r="AU151" s="3">
        <f t="shared" si="84"/>
        <v>31</v>
      </c>
      <c r="AW151" s="32">
        <f t="shared" ca="1" si="107"/>
        <v>272944.84944882581</v>
      </c>
      <c r="AX151" s="32">
        <f t="shared" si="108"/>
        <v>271084.52417737804</v>
      </c>
      <c r="AY151" s="32">
        <f t="shared" ca="1" si="109"/>
        <v>1860.3252714477924</v>
      </c>
      <c r="BA151" s="32">
        <f ca="1">IF($A152="","",F151*Summary!$Q$7)</f>
        <v>0</v>
      </c>
      <c r="BC151" s="256">
        <f t="shared" ca="1" si="110"/>
        <v>85755.803059824495</v>
      </c>
    </row>
    <row r="152" spans="1:55">
      <c r="A152" s="67">
        <f t="shared" si="85"/>
        <v>41365</v>
      </c>
      <c r="B152" s="69">
        <f t="shared" si="111"/>
        <v>40000</v>
      </c>
      <c r="C152" s="71"/>
      <c r="D152" s="69">
        <f t="shared" si="112"/>
        <v>40000</v>
      </c>
      <c r="E152" s="70">
        <f t="shared" si="76"/>
        <v>1200000</v>
      </c>
      <c r="F152" s="70">
        <f t="shared" ca="1" si="77"/>
        <v>376481.13975566655</v>
      </c>
      <c r="G152" s="63">
        <f t="shared" si="86"/>
        <v>4.4349999999999996</v>
      </c>
      <c r="H152" s="64">
        <f t="shared" si="87"/>
        <v>4.4349999999999996</v>
      </c>
      <c r="I152" s="43"/>
      <c r="J152" s="63">
        <f t="shared" si="88"/>
        <v>0.21</v>
      </c>
      <c r="K152" s="64">
        <f t="shared" si="89"/>
        <v>0.21</v>
      </c>
      <c r="L152" s="63">
        <f t="shared" si="90"/>
        <v>0</v>
      </c>
      <c r="M152" s="64">
        <f t="shared" si="91"/>
        <v>0</v>
      </c>
      <c r="N152" s="65"/>
      <c r="O152" s="63">
        <f t="shared" si="92"/>
        <v>4.6449999999999996</v>
      </c>
      <c r="P152" s="63">
        <f t="shared" si="93"/>
        <v>4.6449999999999996</v>
      </c>
      <c r="Q152" s="66"/>
      <c r="R152" s="63">
        <f t="shared" si="94"/>
        <v>-0.14000000000000001</v>
      </c>
      <c r="S152" s="64">
        <f t="shared" si="95"/>
        <v>-0.14000000000000001</v>
      </c>
      <c r="T152" s="63">
        <f t="shared" si="96"/>
        <v>-0.01</v>
      </c>
      <c r="U152" s="64">
        <f t="shared" si="97"/>
        <v>-0.01</v>
      </c>
      <c r="V152" s="207">
        <f>IF($A153="","",IF(AND(MONTH(A152)&gt;3,MONTH(A152)&lt;11),(T152+R152+G152)*Summary!$T$7/(1-Summary!$T$7),(T152+R152+G152)*Summary!$U$7/(1-Summary!$U$7)))</f>
        <v>0.20708512422685815</v>
      </c>
      <c r="W152" s="63">
        <f t="shared" si="98"/>
        <v>4.4920851242268576</v>
      </c>
      <c r="X152" s="63">
        <f t="shared" si="99"/>
        <v>4.4920851242268576</v>
      </c>
      <c r="Y152" s="43"/>
      <c r="Z152" s="38">
        <f t="shared" si="100"/>
        <v>0.45</v>
      </c>
      <c r="AA152" s="38">
        <f t="shared" si="100"/>
        <v>0.17499999999999999</v>
      </c>
      <c r="AB152" s="38">
        <f t="shared" ca="1" si="78"/>
        <v>0.17700876862875486</v>
      </c>
      <c r="AC152" s="38">
        <f t="shared" si="100"/>
        <v>0.4</v>
      </c>
      <c r="AD152" s="38">
        <f t="shared" si="100"/>
        <v>0.17</v>
      </c>
      <c r="AE152" s="38">
        <f t="shared" ca="1" si="79"/>
        <v>0.17163852527979043</v>
      </c>
      <c r="AF152" s="238">
        <f ca="1">((Summary!$N$7*(AA152*AD152)*(A152-$D$3))+(Summary!$M$7*Z152*AC152*(DAY(EOMONTH(A152,0))/2)))/(AK152*AB152*AE152)</f>
        <v>0.9998229159979809</v>
      </c>
      <c r="AG152" s="88">
        <f>IF($A153="","",Summary!$Q$7)</f>
        <v>0</v>
      </c>
      <c r="AH152" s="88">
        <f>IF($A153="","",IF(Summary!$R$7="Y",(VLOOKUP($A152,Summary!$AD$6:$AF$9,3)+'Escalating commodity'!C165),'Escalating commodity'!C165))</f>
        <v>2.2495200000000003E-2</v>
      </c>
      <c r="AI152" s="88">
        <f t="shared" si="101"/>
        <v>2.2495200000000003E-2</v>
      </c>
      <c r="AJ152" s="236">
        <f t="shared" si="80"/>
        <v>41379</v>
      </c>
      <c r="AK152" s="58">
        <f t="shared" ca="1" si="102"/>
        <v>4339</v>
      </c>
      <c r="AL152" s="26">
        <f ca="1">IF($A153="","",_xll.SPRDOPT(P152,X152,AI152,0,AB152,AE152,AF152,AK152,$AJ$2,0))</f>
        <v>0.13782274040768572</v>
      </c>
      <c r="AM152" s="209">
        <f t="shared" si="81"/>
        <v>0.13041967577314201</v>
      </c>
      <c r="AN152" s="89">
        <f t="shared" ca="1" si="103"/>
        <v>7.4030646345437101E-3</v>
      </c>
      <c r="AO152" s="3">
        <f t="shared" si="104"/>
        <v>30</v>
      </c>
      <c r="AP152" s="33">
        <f t="shared" si="105"/>
        <v>41365</v>
      </c>
      <c r="AQ152" s="58">
        <f t="shared" ca="1" si="82"/>
        <v>4339</v>
      </c>
      <c r="AR152" s="38">
        <f>IF(Summary!$H$2=1,VLOOKUP('ANR OK vs ML7'!A152,Curves!$C$17:$AR$273,MATCH('ANR OK vs ML7'!$AR$4,Curves!$C$8:$AQ$8,0)),0.1)</f>
        <v>0.1</v>
      </c>
      <c r="AS152" s="35">
        <f t="shared" ca="1" si="83"/>
        <v>0.31373428312972212</v>
      </c>
      <c r="AT152" s="3">
        <f t="shared" si="106"/>
        <v>1</v>
      </c>
      <c r="AU152" s="3">
        <f t="shared" si="84"/>
        <v>30</v>
      </c>
      <c r="AW152" s="32">
        <f t="shared" ca="1" si="107"/>
        <v>165387.28848922285</v>
      </c>
      <c r="AX152" s="32">
        <f t="shared" si="108"/>
        <v>156503.61092777041</v>
      </c>
      <c r="AY152" s="32">
        <f t="shared" ca="1" si="109"/>
        <v>8883.6775614524522</v>
      </c>
      <c r="BA152" s="32">
        <f ca="1">IF($A153="","",F152*Summary!$Q$7)</f>
        <v>0</v>
      </c>
      <c r="BC152" s="256">
        <f t="shared" ca="1" si="110"/>
        <v>49100.548181636994</v>
      </c>
    </row>
    <row r="153" spans="1:55">
      <c r="A153" s="67">
        <f t="shared" si="85"/>
        <v>41395</v>
      </c>
      <c r="B153" s="69">
        <f t="shared" si="111"/>
        <v>40000</v>
      </c>
      <c r="C153" s="71"/>
      <c r="D153" s="69">
        <f t="shared" si="112"/>
        <v>40000</v>
      </c>
      <c r="E153" s="70">
        <f t="shared" si="76"/>
        <v>1240000</v>
      </c>
      <c r="F153" s="70">
        <f t="shared" ca="1" si="77"/>
        <v>385924.9667206562</v>
      </c>
      <c r="G153" s="63">
        <f t="shared" si="86"/>
        <v>4.4050000000000002</v>
      </c>
      <c r="H153" s="64">
        <f t="shared" si="87"/>
        <v>4.4050000000000002</v>
      </c>
      <c r="I153" s="43"/>
      <c r="J153" s="63">
        <f t="shared" si="88"/>
        <v>0.21</v>
      </c>
      <c r="K153" s="64">
        <f t="shared" si="89"/>
        <v>0.21</v>
      </c>
      <c r="L153" s="63">
        <f t="shared" si="90"/>
        <v>0</v>
      </c>
      <c r="M153" s="64">
        <f t="shared" si="91"/>
        <v>0</v>
      </c>
      <c r="N153" s="65"/>
      <c r="O153" s="63">
        <f t="shared" si="92"/>
        <v>4.6150000000000002</v>
      </c>
      <c r="P153" s="63">
        <f t="shared" si="93"/>
        <v>4.6150000000000002</v>
      </c>
      <c r="Q153" s="66"/>
      <c r="R153" s="63">
        <f t="shared" si="94"/>
        <v>-0.14000000000000001</v>
      </c>
      <c r="S153" s="64">
        <f t="shared" si="95"/>
        <v>-0.14000000000000001</v>
      </c>
      <c r="T153" s="63">
        <f t="shared" si="96"/>
        <v>-0.01</v>
      </c>
      <c r="U153" s="64">
        <f t="shared" si="97"/>
        <v>-0.01</v>
      </c>
      <c r="V153" s="207">
        <f>IF($A154="","",IF(AND(MONTH(A153)&gt;3,MONTH(A153)&lt;11),(T153+R153+G153)*Summary!$T$7/(1-Summary!$T$7),(T153+R153+G153)*Summary!$U$7/(1-Summary!$U$7)))</f>
        <v>0.2056352867176853</v>
      </c>
      <c r="W153" s="63">
        <f t="shared" si="98"/>
        <v>4.4606352867176851</v>
      </c>
      <c r="X153" s="63">
        <f t="shared" si="99"/>
        <v>4.4606352867176851</v>
      </c>
      <c r="Y153" s="43"/>
      <c r="Z153" s="38">
        <f t="shared" si="100"/>
        <v>0.5</v>
      </c>
      <c r="AA153" s="38">
        <f t="shared" si="100"/>
        <v>0.17499999999999999</v>
      </c>
      <c r="AB153" s="38">
        <f t="shared" ca="1" si="78"/>
        <v>0.17753574361499511</v>
      </c>
      <c r="AC153" s="38">
        <f t="shared" si="100"/>
        <v>0.4</v>
      </c>
      <c r="AD153" s="38">
        <f t="shared" si="100"/>
        <v>0.17</v>
      </c>
      <c r="AE153" s="38">
        <f t="shared" ca="1" si="79"/>
        <v>0.17168066402641077</v>
      </c>
      <c r="AF153" s="238">
        <f ca="1">((Summary!$N$7*(AA153*AD153)*(A153-$D$3))+(Summary!$M$7*Z153*AC153*(DAY(EOMONTH(A153,0))/2)))/(AK153*AB153*AE153)</f>
        <v>0.99947255694687775</v>
      </c>
      <c r="AG153" s="88">
        <f>IF($A154="","",Summary!$Q$7)</f>
        <v>0</v>
      </c>
      <c r="AH153" s="88">
        <f>IF($A154="","",IF(Summary!$R$7="Y",(VLOOKUP($A153,Summary!$AD$6:$AF$9,3)+'Escalating commodity'!C166),'Escalating commodity'!C166))</f>
        <v>2.2495200000000003E-2</v>
      </c>
      <c r="AI153" s="88">
        <f t="shared" si="101"/>
        <v>2.2495200000000003E-2</v>
      </c>
      <c r="AJ153" s="236">
        <f t="shared" si="80"/>
        <v>41409.5</v>
      </c>
      <c r="AK153" s="58">
        <f t="shared" ca="1" si="102"/>
        <v>4369</v>
      </c>
      <c r="AL153" s="26">
        <f ca="1">IF($A154="","",_xll.SPRDOPT(P153,X153,AI153,0,AB153,AE153,AF153,AK153,$AJ$2,0))</f>
        <v>0.14503870203686692</v>
      </c>
      <c r="AM153" s="209">
        <f t="shared" si="81"/>
        <v>0.13186951328231517</v>
      </c>
      <c r="AN153" s="89">
        <f t="shared" ca="1" si="103"/>
        <v>1.3169188754551753E-2</v>
      </c>
      <c r="AO153" s="3">
        <f t="shared" si="104"/>
        <v>31</v>
      </c>
      <c r="AP153" s="33">
        <f t="shared" si="105"/>
        <v>41395</v>
      </c>
      <c r="AQ153" s="58">
        <f t="shared" ca="1" si="82"/>
        <v>4369</v>
      </c>
      <c r="AR153" s="38">
        <f>IF(Summary!$H$2=1,VLOOKUP('ANR OK vs ML7'!A153,Curves!$C$17:$AR$273,MATCH('ANR OK vs ML7'!$AR$4,Curves!$C$8:$AQ$8,0)),0.1)</f>
        <v>0.1</v>
      </c>
      <c r="AS153" s="35">
        <f t="shared" ca="1" si="83"/>
        <v>0.31122981187149695</v>
      </c>
      <c r="AT153" s="3">
        <f t="shared" si="106"/>
        <v>1</v>
      </c>
      <c r="AU153" s="3">
        <f t="shared" si="84"/>
        <v>31</v>
      </c>
      <c r="AW153" s="32">
        <f t="shared" ca="1" si="107"/>
        <v>179847.99052571497</v>
      </c>
      <c r="AX153" s="32">
        <f t="shared" si="108"/>
        <v>163518.1964700708</v>
      </c>
      <c r="AY153" s="32">
        <f t="shared" ca="1" si="109"/>
        <v>16329.794055644174</v>
      </c>
      <c r="BA153" s="32">
        <f ca="1">IF($A154="","",F153*Summary!$Q$7)</f>
        <v>0</v>
      </c>
      <c r="BC153" s="256">
        <f t="shared" ca="1" si="110"/>
        <v>50891.737524946613</v>
      </c>
    </row>
    <row r="154" spans="1:55">
      <c r="A154" s="67">
        <f t="shared" si="85"/>
        <v>41426</v>
      </c>
      <c r="B154" s="69">
        <f t="shared" si="111"/>
        <v>40000</v>
      </c>
      <c r="C154" s="71"/>
      <c r="D154" s="69">
        <f t="shared" si="112"/>
        <v>40000</v>
      </c>
      <c r="E154" s="70">
        <f t="shared" si="76"/>
        <v>1200000</v>
      </c>
      <c r="F154" s="70">
        <f t="shared" ca="1" si="77"/>
        <v>370395.43169937463</v>
      </c>
      <c r="G154" s="63">
        <f t="shared" si="86"/>
        <v>4.4749999999999996</v>
      </c>
      <c r="H154" s="64">
        <f t="shared" si="87"/>
        <v>4.4749999999999996</v>
      </c>
      <c r="I154" s="43"/>
      <c r="J154" s="63">
        <f t="shared" si="88"/>
        <v>0.21</v>
      </c>
      <c r="K154" s="64">
        <f t="shared" si="89"/>
        <v>0.21</v>
      </c>
      <c r="L154" s="63">
        <f t="shared" si="90"/>
        <v>0</v>
      </c>
      <c r="M154" s="64">
        <f t="shared" si="91"/>
        <v>0</v>
      </c>
      <c r="N154" s="65"/>
      <c r="O154" s="63">
        <f t="shared" si="92"/>
        <v>4.6849999999999996</v>
      </c>
      <c r="P154" s="63">
        <f t="shared" si="93"/>
        <v>4.6849999999999996</v>
      </c>
      <c r="Q154" s="66"/>
      <c r="R154" s="63">
        <f t="shared" si="94"/>
        <v>-0.14000000000000001</v>
      </c>
      <c r="S154" s="64">
        <f t="shared" si="95"/>
        <v>-0.14000000000000001</v>
      </c>
      <c r="T154" s="63">
        <f t="shared" si="96"/>
        <v>-0.01</v>
      </c>
      <c r="U154" s="64">
        <f t="shared" si="97"/>
        <v>-0.01</v>
      </c>
      <c r="V154" s="207">
        <f>IF($A155="","",IF(AND(MONTH(A154)&gt;3,MONTH(A154)&lt;11),(T154+R154+G154)*Summary!$T$7/(1-Summary!$T$7),(T154+R154+G154)*Summary!$U$7/(1-Summary!$U$7)))</f>
        <v>0.2090182409057553</v>
      </c>
      <c r="W154" s="63">
        <f t="shared" si="98"/>
        <v>4.5340182409057546</v>
      </c>
      <c r="X154" s="63">
        <f t="shared" si="99"/>
        <v>4.5340182409057546</v>
      </c>
      <c r="Y154" s="43"/>
      <c r="Z154" s="38">
        <f t="shared" si="100"/>
        <v>0.5</v>
      </c>
      <c r="AA154" s="38">
        <f t="shared" si="100"/>
        <v>0.17499999999999999</v>
      </c>
      <c r="AB154" s="38">
        <f t="shared" ca="1" si="78"/>
        <v>0.17743796931475928</v>
      </c>
      <c r="AC154" s="38">
        <f t="shared" si="100"/>
        <v>0.4</v>
      </c>
      <c r="AD154" s="38">
        <f t="shared" si="100"/>
        <v>0.17</v>
      </c>
      <c r="AE154" s="38">
        <f t="shared" ca="1" si="79"/>
        <v>0.17161591629937106</v>
      </c>
      <c r="AF154" s="238">
        <f ca="1">((Summary!$N$7*(AA154*AD154)*(A154-$D$3))+(Summary!$M$7*Z154*AC154*(DAY(EOMONTH(A154,0))/2)))/(AK154*AB154*AE154)</f>
        <v>0.99948849860358935</v>
      </c>
      <c r="AG154" s="88">
        <f>IF($A155="","",Summary!$Q$7)</f>
        <v>0</v>
      </c>
      <c r="AH154" s="88">
        <f>IF($A155="","",IF(Summary!$R$7="Y",(VLOOKUP($A154,Summary!$AD$6:$AF$9,3)+'Escalating commodity'!C167),'Escalating commodity'!C167))</f>
        <v>2.2495200000000003E-2</v>
      </c>
      <c r="AI154" s="88">
        <f t="shared" si="101"/>
        <v>2.2495200000000003E-2</v>
      </c>
      <c r="AJ154" s="236">
        <f t="shared" si="80"/>
        <v>41440</v>
      </c>
      <c r="AK154" s="58">
        <f t="shared" ca="1" si="102"/>
        <v>4400</v>
      </c>
      <c r="AL154" s="26">
        <f ca="1">IF($A155="","",_xll.SPRDOPT(P154,X154,AI154,0,AB154,AE154,AF154,AK154,$AJ$2,0))</f>
        <v>0.1425132102936057</v>
      </c>
      <c r="AM154" s="209">
        <f t="shared" si="81"/>
        <v>0.12848655909424506</v>
      </c>
      <c r="AN154" s="89">
        <f t="shared" ca="1" si="103"/>
        <v>1.402665119936064E-2</v>
      </c>
      <c r="AO154" s="3">
        <f t="shared" si="104"/>
        <v>30</v>
      </c>
      <c r="AP154" s="33">
        <f t="shared" si="105"/>
        <v>41426</v>
      </c>
      <c r="AQ154" s="58">
        <f t="shared" ca="1" si="82"/>
        <v>4400</v>
      </c>
      <c r="AR154" s="38">
        <f>IF(Summary!$H$2=1,VLOOKUP('ANR OK vs ML7'!A154,Curves!$C$17:$AR$273,MATCH('ANR OK vs ML7'!$AR$4,Curves!$C$8:$AQ$8,0)),0.1)</f>
        <v>0.1</v>
      </c>
      <c r="AS154" s="35">
        <f t="shared" ca="1" si="83"/>
        <v>0.30866285974947888</v>
      </c>
      <c r="AT154" s="3">
        <f t="shared" si="106"/>
        <v>1</v>
      </c>
      <c r="AU154" s="3">
        <f t="shared" si="84"/>
        <v>30</v>
      </c>
      <c r="AW154" s="32">
        <f t="shared" ca="1" si="107"/>
        <v>171015.85235232682</v>
      </c>
      <c r="AX154" s="32">
        <f t="shared" si="108"/>
        <v>154183.87091309406</v>
      </c>
      <c r="AY154" s="32">
        <f t="shared" ca="1" si="109"/>
        <v>16831.981439232768</v>
      </c>
      <c r="BA154" s="32">
        <f ca="1">IF($A155="","",F154*Summary!$Q$7)</f>
        <v>0</v>
      </c>
      <c r="BC154" s="256">
        <f t="shared" ca="1" si="110"/>
        <v>47590.834523280108</v>
      </c>
    </row>
    <row r="155" spans="1:55">
      <c r="A155" s="67">
        <f t="shared" si="85"/>
        <v>41456</v>
      </c>
      <c r="B155" s="69">
        <f t="shared" si="111"/>
        <v>40000</v>
      </c>
      <c r="C155" s="71"/>
      <c r="D155" s="69">
        <f t="shared" si="112"/>
        <v>40000</v>
      </c>
      <c r="E155" s="70">
        <f t="shared" si="76"/>
        <v>1240000</v>
      </c>
      <c r="F155" s="70">
        <f t="shared" ca="1" si="77"/>
        <v>379686.60194992617</v>
      </c>
      <c r="G155" s="63">
        <f t="shared" si="86"/>
        <v>4.53</v>
      </c>
      <c r="H155" s="64">
        <f t="shared" si="87"/>
        <v>4.53</v>
      </c>
      <c r="I155" s="43"/>
      <c r="J155" s="63">
        <f t="shared" si="88"/>
        <v>0.21</v>
      </c>
      <c r="K155" s="64">
        <f t="shared" si="89"/>
        <v>0.21</v>
      </c>
      <c r="L155" s="63">
        <f t="shared" si="90"/>
        <v>0</v>
      </c>
      <c r="M155" s="64">
        <f t="shared" si="91"/>
        <v>0</v>
      </c>
      <c r="N155" s="65"/>
      <c r="O155" s="63">
        <f t="shared" si="92"/>
        <v>4.74</v>
      </c>
      <c r="P155" s="63">
        <f t="shared" si="93"/>
        <v>4.74</v>
      </c>
      <c r="Q155" s="66"/>
      <c r="R155" s="63">
        <f t="shared" si="94"/>
        <v>-0.14000000000000001</v>
      </c>
      <c r="S155" s="64">
        <f t="shared" si="95"/>
        <v>-0.14000000000000001</v>
      </c>
      <c r="T155" s="63">
        <f t="shared" si="96"/>
        <v>-0.01</v>
      </c>
      <c r="U155" s="64">
        <f t="shared" si="97"/>
        <v>-0.01</v>
      </c>
      <c r="V155" s="207">
        <f>IF($A156="","",IF(AND(MONTH(A155)&gt;3,MONTH(A155)&lt;11),(T155+R155+G155)*Summary!$T$7/(1-Summary!$T$7),(T155+R155+G155)*Summary!$U$7/(1-Summary!$U$7)))</f>
        <v>0.21167627633923894</v>
      </c>
      <c r="W155" s="63">
        <f t="shared" si="98"/>
        <v>4.5916762763392391</v>
      </c>
      <c r="X155" s="63">
        <f t="shared" si="99"/>
        <v>4.5916762763392391</v>
      </c>
      <c r="Y155" s="43"/>
      <c r="Z155" s="38">
        <f t="shared" si="100"/>
        <v>0.55000000000000004</v>
      </c>
      <c r="AA155" s="38">
        <f t="shared" si="100"/>
        <v>0.17499999999999999</v>
      </c>
      <c r="AB155" s="38">
        <f t="shared" ca="1" si="78"/>
        <v>0.1780177566155379</v>
      </c>
      <c r="AC155" s="38">
        <f t="shared" si="100"/>
        <v>0.4</v>
      </c>
      <c r="AD155" s="38">
        <f t="shared" si="100"/>
        <v>0.17</v>
      </c>
      <c r="AE155" s="38">
        <f t="shared" ca="1" si="79"/>
        <v>0.17165763343097842</v>
      </c>
      <c r="AF155" s="238">
        <f ca="1">((Summary!$N$7*(AA155*AD155)*(A155-$D$3))+(Summary!$M$7*Z155*AC155*(DAY(EOMONTH(A155,0))/2)))/(AK155*AB155*AE155)</f>
        <v>0.99886723308921976</v>
      </c>
      <c r="AG155" s="88">
        <f>IF($A156="","",Summary!$Q$7)</f>
        <v>0</v>
      </c>
      <c r="AH155" s="88">
        <f>IF($A156="","",IF(Summary!$R$7="Y",(VLOOKUP($A155,Summary!$AD$6:$AF$9,3)+'Escalating commodity'!C168),'Escalating commodity'!C168))</f>
        <v>2.2495200000000003E-2</v>
      </c>
      <c r="AI155" s="88">
        <f t="shared" si="101"/>
        <v>2.2495200000000003E-2</v>
      </c>
      <c r="AJ155" s="236">
        <f t="shared" si="80"/>
        <v>41470.5</v>
      </c>
      <c r="AK155" s="58">
        <f t="shared" ca="1" si="102"/>
        <v>4430</v>
      </c>
      <c r="AL155" s="26">
        <f ca="1">IF($A156="","",_xll.SPRDOPT(P155,X155,AI155,0,AB155,AE155,AF155,AK155,$AJ$2,0))</f>
        <v>0.15157796840134066</v>
      </c>
      <c r="AM155" s="209">
        <f t="shared" si="81"/>
        <v>0.12582852366076108</v>
      </c>
      <c r="AN155" s="89">
        <f t="shared" ca="1" si="103"/>
        <v>2.574944474057958E-2</v>
      </c>
      <c r="AO155" s="3">
        <f t="shared" si="104"/>
        <v>31</v>
      </c>
      <c r="AP155" s="33">
        <f t="shared" si="105"/>
        <v>41456</v>
      </c>
      <c r="AQ155" s="58">
        <f t="shared" ca="1" si="82"/>
        <v>4430</v>
      </c>
      <c r="AR155" s="38">
        <f>IF(Summary!$H$2=1,VLOOKUP('ANR OK vs ML7'!A155,Curves!$C$17:$AR$273,MATCH('ANR OK vs ML7'!$AR$4,Curves!$C$8:$AQ$8,0)),0.1)</f>
        <v>0.1</v>
      </c>
      <c r="AS155" s="35">
        <f t="shared" ca="1" si="83"/>
        <v>0.30619887254026307</v>
      </c>
      <c r="AT155" s="3">
        <f t="shared" si="106"/>
        <v>1</v>
      </c>
      <c r="AU155" s="3">
        <f t="shared" si="84"/>
        <v>31</v>
      </c>
      <c r="AW155" s="32">
        <f t="shared" ca="1" si="107"/>
        <v>187956.68081766242</v>
      </c>
      <c r="AX155" s="32">
        <f t="shared" si="108"/>
        <v>156027.36933934374</v>
      </c>
      <c r="AY155" s="32">
        <f t="shared" ca="1" si="109"/>
        <v>31929.311478318679</v>
      </c>
      <c r="BA155" s="32">
        <f ca="1">IF($A156="","",F155*Summary!$Q$7)</f>
        <v>0</v>
      </c>
      <c r="BC155" s="256">
        <f t="shared" ca="1" si="110"/>
        <v>47775.404577130263</v>
      </c>
    </row>
    <row r="156" spans="1:55">
      <c r="A156" s="67">
        <f t="shared" si="85"/>
        <v>41487</v>
      </c>
      <c r="B156" s="69">
        <f t="shared" si="111"/>
        <v>40000</v>
      </c>
      <c r="C156" s="71"/>
      <c r="D156" s="69">
        <f t="shared" si="112"/>
        <v>40000</v>
      </c>
      <c r="E156" s="70">
        <f t="shared" si="76"/>
        <v>1240000</v>
      </c>
      <c r="F156" s="70">
        <f t="shared" ca="1" si="77"/>
        <v>376555.0339207697</v>
      </c>
      <c r="G156" s="63">
        <f t="shared" si="86"/>
        <v>4.5860000000000003</v>
      </c>
      <c r="H156" s="64">
        <f t="shared" si="87"/>
        <v>4.5860000000000003</v>
      </c>
      <c r="I156" s="43"/>
      <c r="J156" s="63">
        <f t="shared" si="88"/>
        <v>0.21</v>
      </c>
      <c r="K156" s="64">
        <f t="shared" si="89"/>
        <v>0.21</v>
      </c>
      <c r="L156" s="63">
        <f t="shared" si="90"/>
        <v>0</v>
      </c>
      <c r="M156" s="64">
        <f t="shared" si="91"/>
        <v>0</v>
      </c>
      <c r="N156" s="65"/>
      <c r="O156" s="63">
        <f t="shared" si="92"/>
        <v>4.7960000000000003</v>
      </c>
      <c r="P156" s="63">
        <f t="shared" si="93"/>
        <v>4.7960000000000003</v>
      </c>
      <c r="Q156" s="66"/>
      <c r="R156" s="63">
        <f t="shared" si="94"/>
        <v>-0.14000000000000001</v>
      </c>
      <c r="S156" s="64">
        <f t="shared" si="95"/>
        <v>-0.14000000000000001</v>
      </c>
      <c r="T156" s="63">
        <f t="shared" si="96"/>
        <v>-0.01</v>
      </c>
      <c r="U156" s="64">
        <f t="shared" si="97"/>
        <v>-0.01</v>
      </c>
      <c r="V156" s="207">
        <f>IF($A157="","",IF(AND(MONTH(A156)&gt;3,MONTH(A156)&lt;11),(T156+R156+G156)*Summary!$T$7/(1-Summary!$T$7),(T156+R156+G156)*Summary!$U$7/(1-Summary!$U$7)))</f>
        <v>0.21438263968969495</v>
      </c>
      <c r="W156" s="63">
        <f t="shared" si="98"/>
        <v>4.6503826396896946</v>
      </c>
      <c r="X156" s="63">
        <f t="shared" si="99"/>
        <v>4.6503826396896946</v>
      </c>
      <c r="Y156" s="43"/>
      <c r="Z156" s="38">
        <f t="shared" si="100"/>
        <v>0.6</v>
      </c>
      <c r="AA156" s="38">
        <f t="shared" si="100"/>
        <v>0.17499999999999999</v>
      </c>
      <c r="AB156" s="38">
        <f t="shared" ca="1" si="78"/>
        <v>0.17855728960581285</v>
      </c>
      <c r="AC156" s="38">
        <f t="shared" si="100"/>
        <v>0.5</v>
      </c>
      <c r="AD156" s="38">
        <f t="shared" si="100"/>
        <v>0.17</v>
      </c>
      <c r="AE156" s="38">
        <f t="shared" ca="1" si="79"/>
        <v>0.17255468028024437</v>
      </c>
      <c r="AF156" s="238">
        <f ca="1">((Summary!$N$7*(AA156*AD156)*(A156-$D$3))+(Summary!$M$7*Z156*AC156*(DAY(EOMONTH(A156,0))/2)))/(AK156*AB156*AE156)</f>
        <v>0.99951849514675728</v>
      </c>
      <c r="AG156" s="88">
        <f>IF($A157="","",Summary!$Q$7)</f>
        <v>0</v>
      </c>
      <c r="AH156" s="88">
        <f>IF($A157="","",IF(Summary!$R$7="Y",(VLOOKUP($A156,Summary!$AD$6:$AF$9,3)+'Escalating commodity'!C169),'Escalating commodity'!C169))</f>
        <v>2.2495200000000003E-2</v>
      </c>
      <c r="AI156" s="88">
        <f t="shared" si="101"/>
        <v>2.2495200000000003E-2</v>
      </c>
      <c r="AJ156" s="236">
        <f t="shared" si="80"/>
        <v>41501.5</v>
      </c>
      <c r="AK156" s="58">
        <f t="shared" ca="1" si="102"/>
        <v>4461</v>
      </c>
      <c r="AL156" s="26">
        <f ca="1">IF($A157="","",_xll.SPRDOPT(P156,X156,AI156,0,AB156,AE156,AF156,AK156,$AJ$2,0))</f>
        <v>0.13935306987007406</v>
      </c>
      <c r="AM156" s="209">
        <f t="shared" si="81"/>
        <v>0.12312216031030569</v>
      </c>
      <c r="AN156" s="89">
        <f t="shared" ca="1" si="103"/>
        <v>1.6230909559768372E-2</v>
      </c>
      <c r="AO156" s="3">
        <f t="shared" si="104"/>
        <v>31</v>
      </c>
      <c r="AP156" s="33">
        <f t="shared" si="105"/>
        <v>41487</v>
      </c>
      <c r="AQ156" s="58">
        <f t="shared" ca="1" si="82"/>
        <v>4461</v>
      </c>
      <c r="AR156" s="38">
        <f>IF(Summary!$H$2=1,VLOOKUP('ANR OK vs ML7'!A156,Curves!$C$17:$AR$273,MATCH('ANR OK vs ML7'!$AR$4,Curves!$C$8:$AQ$8,0)),0.1)</f>
        <v>0.1</v>
      </c>
      <c r="AS156" s="35">
        <f t="shared" ca="1" si="83"/>
        <v>0.30367341445223361</v>
      </c>
      <c r="AT156" s="3">
        <f t="shared" si="106"/>
        <v>1</v>
      </c>
      <c r="AU156" s="3">
        <f t="shared" si="84"/>
        <v>31</v>
      </c>
      <c r="AW156" s="32">
        <f t="shared" ca="1" si="107"/>
        <v>172797.80663889184</v>
      </c>
      <c r="AX156" s="32">
        <f t="shared" si="108"/>
        <v>152671.47878477906</v>
      </c>
      <c r="AY156" s="32">
        <f t="shared" ca="1" si="109"/>
        <v>20126.32785411278</v>
      </c>
      <c r="BA156" s="32">
        <f ca="1">IF($A157="","",F156*Summary!$Q$7)</f>
        <v>0</v>
      </c>
      <c r="BC156" s="256">
        <f t="shared" ca="1" si="110"/>
        <v>46362.269252045604</v>
      </c>
    </row>
    <row r="157" spans="1:55">
      <c r="A157" s="67">
        <f t="shared" si="85"/>
        <v>41518</v>
      </c>
      <c r="B157" s="69">
        <f t="shared" si="111"/>
        <v>40000</v>
      </c>
      <c r="C157" s="71"/>
      <c r="D157" s="69">
        <f t="shared" si="112"/>
        <v>40000</v>
      </c>
      <c r="E157" s="70">
        <f t="shared" si="76"/>
        <v>1200000</v>
      </c>
      <c r="F157" s="70">
        <f t="shared" ca="1" si="77"/>
        <v>361402.54291609919</v>
      </c>
      <c r="G157" s="63">
        <f t="shared" si="86"/>
        <v>4.5999999999999996</v>
      </c>
      <c r="H157" s="64">
        <f t="shared" si="87"/>
        <v>4.5999999999999996</v>
      </c>
      <c r="I157" s="43"/>
      <c r="J157" s="63">
        <f t="shared" si="88"/>
        <v>0.21</v>
      </c>
      <c r="K157" s="64">
        <f t="shared" si="89"/>
        <v>0.21</v>
      </c>
      <c r="L157" s="63">
        <f t="shared" si="90"/>
        <v>0</v>
      </c>
      <c r="M157" s="64">
        <f t="shared" si="91"/>
        <v>0</v>
      </c>
      <c r="N157" s="65"/>
      <c r="O157" s="63">
        <f t="shared" si="92"/>
        <v>4.8099999999999996</v>
      </c>
      <c r="P157" s="63">
        <f t="shared" si="93"/>
        <v>4.8099999999999996</v>
      </c>
      <c r="Q157" s="66"/>
      <c r="R157" s="63">
        <f t="shared" si="94"/>
        <v>-0.14000000000000001</v>
      </c>
      <c r="S157" s="64">
        <f t="shared" si="95"/>
        <v>-0.14000000000000001</v>
      </c>
      <c r="T157" s="63">
        <f t="shared" si="96"/>
        <v>-0.01</v>
      </c>
      <c r="U157" s="64">
        <f t="shared" si="97"/>
        <v>-0.01</v>
      </c>
      <c r="V157" s="207">
        <f>IF($A158="","",IF(AND(MONTH(A157)&gt;3,MONTH(A157)&lt;11),(T157+R157+G157)*Summary!$T$7/(1-Summary!$T$7),(T157+R157+G157)*Summary!$U$7/(1-Summary!$U$7)))</f>
        <v>0.21505923052730891</v>
      </c>
      <c r="W157" s="63">
        <f t="shared" si="98"/>
        <v>4.6650592305273086</v>
      </c>
      <c r="X157" s="63">
        <f t="shared" si="99"/>
        <v>4.6650592305273086</v>
      </c>
      <c r="Y157" s="43"/>
      <c r="Z157" s="38">
        <f t="shared" si="100"/>
        <v>0.6</v>
      </c>
      <c r="AA157" s="38">
        <f t="shared" si="100"/>
        <v>0.17499999999999999</v>
      </c>
      <c r="AB157" s="38">
        <f t="shared" ca="1" si="78"/>
        <v>0.17842072415655233</v>
      </c>
      <c r="AC157" s="38">
        <f t="shared" si="100"/>
        <v>0.55000000000000004</v>
      </c>
      <c r="AD157" s="38">
        <f t="shared" si="100"/>
        <v>0.17</v>
      </c>
      <c r="AE157" s="38">
        <f t="shared" ca="1" si="79"/>
        <v>0.17296405053730815</v>
      </c>
      <c r="AF157" s="238">
        <f ca="1">((Summary!$N$7*(AA157*AD157)*(A157-$D$3))+(Summary!$M$7*Z157*AC157*(DAY(EOMONTH(A157,0))/2)))/(AK157*AB157*AE157)</f>
        <v>0.99984559846143817</v>
      </c>
      <c r="AG157" s="88">
        <f>IF($A158="","",Summary!$Q$7)</f>
        <v>0</v>
      </c>
      <c r="AH157" s="88">
        <f>IF($A158="","",IF(Summary!$R$7="Y",(VLOOKUP($A157,Summary!$AD$6:$AF$9,3)+'Escalating commodity'!C170),'Escalating commodity'!C170))</f>
        <v>2.2495200000000003E-2</v>
      </c>
      <c r="AI157" s="88">
        <f t="shared" si="101"/>
        <v>2.2495200000000003E-2</v>
      </c>
      <c r="AJ157" s="236">
        <f t="shared" si="80"/>
        <v>41532</v>
      </c>
      <c r="AK157" s="58">
        <f t="shared" ca="1" si="102"/>
        <v>4492</v>
      </c>
      <c r="AL157" s="26">
        <f ca="1">IF($A158="","",_xll.SPRDOPT(P157,X157,AI157,0,AB157,AE157,AF157,AK157,$AJ$2,0))</f>
        <v>0.13212974094329638</v>
      </c>
      <c r="AM157" s="209">
        <f t="shared" si="81"/>
        <v>0.12244556947269096</v>
      </c>
      <c r="AN157" s="89">
        <f t="shared" ca="1" si="103"/>
        <v>9.6841714706054211E-3</v>
      </c>
      <c r="AO157" s="3">
        <f t="shared" si="104"/>
        <v>30</v>
      </c>
      <c r="AP157" s="33">
        <f t="shared" si="105"/>
        <v>41518</v>
      </c>
      <c r="AQ157" s="58">
        <f t="shared" ca="1" si="82"/>
        <v>4492</v>
      </c>
      <c r="AR157" s="38">
        <f>IF(Summary!$H$2=1,VLOOKUP('ANR OK vs ML7'!A157,Curves!$C$17:$AR$273,MATCH('ANR OK vs ML7'!$AR$4,Curves!$C$8:$AQ$8,0)),0.1)</f>
        <v>0.1</v>
      </c>
      <c r="AS157" s="35">
        <f t="shared" ca="1" si="83"/>
        <v>0.30116878576341599</v>
      </c>
      <c r="AT157" s="3">
        <f t="shared" si="106"/>
        <v>1</v>
      </c>
      <c r="AU157" s="3">
        <f t="shared" si="84"/>
        <v>30</v>
      </c>
      <c r="AW157" s="32">
        <f t="shared" ca="1" si="107"/>
        <v>158555.68913195565</v>
      </c>
      <c r="AX157" s="32">
        <f t="shared" si="108"/>
        <v>146934.68336722915</v>
      </c>
      <c r="AY157" s="32">
        <f t="shared" ca="1" si="109"/>
        <v>11621.005764726506</v>
      </c>
      <c r="BA157" s="32">
        <f ca="1">IF($A158="","",F157*Summary!$Q$7)</f>
        <v>0</v>
      </c>
      <c r="BC157" s="256">
        <f t="shared" ca="1" si="110"/>
        <v>44252.140176240398</v>
      </c>
    </row>
    <row r="158" spans="1:55">
      <c r="A158" s="67">
        <f t="shared" si="85"/>
        <v>41548</v>
      </c>
      <c r="B158" s="69">
        <f t="shared" si="111"/>
        <v>40000</v>
      </c>
      <c r="C158" s="71"/>
      <c r="D158" s="69">
        <f t="shared" si="112"/>
        <v>40000</v>
      </c>
      <c r="E158" s="70">
        <f t="shared" si="76"/>
        <v>1240000</v>
      </c>
      <c r="F158" s="70">
        <f t="shared" ca="1" si="77"/>
        <v>370468.13138680445</v>
      </c>
      <c r="G158" s="63">
        <f t="shared" si="86"/>
        <v>4.6310000000000002</v>
      </c>
      <c r="H158" s="64">
        <f t="shared" si="87"/>
        <v>4.6310000000000002</v>
      </c>
      <c r="I158" s="43"/>
      <c r="J158" s="63">
        <f t="shared" si="88"/>
        <v>0.21</v>
      </c>
      <c r="K158" s="64">
        <f t="shared" si="89"/>
        <v>0.21</v>
      </c>
      <c r="L158" s="63">
        <f t="shared" si="90"/>
        <v>0</v>
      </c>
      <c r="M158" s="64">
        <f t="shared" si="91"/>
        <v>0</v>
      </c>
      <c r="N158" s="65"/>
      <c r="O158" s="63">
        <f t="shared" si="92"/>
        <v>4.8410000000000002</v>
      </c>
      <c r="P158" s="63">
        <f t="shared" si="93"/>
        <v>4.8410000000000002</v>
      </c>
      <c r="Q158" s="66"/>
      <c r="R158" s="63">
        <f t="shared" si="94"/>
        <v>-0.14000000000000001</v>
      </c>
      <c r="S158" s="64">
        <f t="shared" si="95"/>
        <v>-0.14000000000000001</v>
      </c>
      <c r="T158" s="63">
        <f t="shared" si="96"/>
        <v>-0.01</v>
      </c>
      <c r="U158" s="64">
        <f t="shared" si="97"/>
        <v>-0.01</v>
      </c>
      <c r="V158" s="207">
        <f>IF($A159="","",IF(AND(MONTH(A158)&gt;3,MONTH(A158)&lt;11),(T158+R158+G158)*Summary!$T$7/(1-Summary!$T$7),(T158+R158+G158)*Summary!$U$7/(1-Summary!$U$7)))</f>
        <v>0.21655739595345425</v>
      </c>
      <c r="W158" s="63">
        <f t="shared" si="98"/>
        <v>4.6975573959534538</v>
      </c>
      <c r="X158" s="63">
        <f t="shared" si="99"/>
        <v>4.6975573959534538</v>
      </c>
      <c r="Y158" s="43"/>
      <c r="Z158" s="38">
        <f t="shared" si="100"/>
        <v>0.65</v>
      </c>
      <c r="AA158" s="38">
        <f t="shared" si="100"/>
        <v>0.17499999999999999</v>
      </c>
      <c r="AB158" s="38">
        <f t="shared" ca="1" si="78"/>
        <v>0.17910882207739828</v>
      </c>
      <c r="AC158" s="38">
        <f t="shared" si="100"/>
        <v>0.55000000000000004</v>
      </c>
      <c r="AD158" s="38">
        <f t="shared" si="100"/>
        <v>0.17</v>
      </c>
      <c r="AE158" s="38">
        <f t="shared" ca="1" si="79"/>
        <v>0.17304122703526456</v>
      </c>
      <c r="AF158" s="238">
        <f ca="1">((Summary!$N$7*(AA158*AD158)*(A158-$D$3))+(Summary!$M$7*Z158*AC158*(DAY(EOMONTH(A158,0))/2)))/(AK158*AB158*AE158)</f>
        <v>0.99954154469564305</v>
      </c>
      <c r="AG158" s="88">
        <f>IF($A159="","",Summary!$Q$7)</f>
        <v>0</v>
      </c>
      <c r="AH158" s="88">
        <f>IF($A159="","",IF(Summary!$R$7="Y",(VLOOKUP($A158,Summary!$AD$6:$AF$9,3)+'Escalating commodity'!C171),'Escalating commodity'!C171))</f>
        <v>2.2495200000000003E-2</v>
      </c>
      <c r="AI158" s="88">
        <f t="shared" si="101"/>
        <v>2.2495200000000003E-2</v>
      </c>
      <c r="AJ158" s="236">
        <f t="shared" si="80"/>
        <v>41562.5</v>
      </c>
      <c r="AK158" s="58">
        <f t="shared" ca="1" si="102"/>
        <v>4522</v>
      </c>
      <c r="AL158" s="26">
        <f ca="1">IF($A159="","",_xll.SPRDOPT(P158,X158,AI158,0,AB158,AE158,AF158,AK158,$AJ$2,0))</f>
        <v>0.1381627186358631</v>
      </c>
      <c r="AM158" s="209">
        <f t="shared" si="81"/>
        <v>0.1209474040465464</v>
      </c>
      <c r="AN158" s="89">
        <f t="shared" ca="1" si="103"/>
        <v>1.7215314589316702E-2</v>
      </c>
      <c r="AO158" s="3">
        <f t="shared" si="104"/>
        <v>31</v>
      </c>
      <c r="AP158" s="33">
        <f t="shared" si="105"/>
        <v>41548</v>
      </c>
      <c r="AQ158" s="58">
        <f t="shared" ca="1" si="82"/>
        <v>4522</v>
      </c>
      <c r="AR158" s="38">
        <f>IF(Summary!$H$2=1,VLOOKUP('ANR OK vs ML7'!A158,Curves!$C$17:$AR$273,MATCH('ANR OK vs ML7'!$AR$4,Curves!$C$8:$AQ$8,0)),0.1)</f>
        <v>0.1</v>
      </c>
      <c r="AS158" s="35">
        <f t="shared" ca="1" si="83"/>
        <v>0.29876462208613264</v>
      </c>
      <c r="AT158" s="3">
        <f t="shared" si="106"/>
        <v>1</v>
      </c>
      <c r="AU158" s="3">
        <f t="shared" si="84"/>
        <v>31</v>
      </c>
      <c r="AW158" s="32">
        <f t="shared" ca="1" si="107"/>
        <v>171321.77110847025</v>
      </c>
      <c r="AX158" s="32">
        <f t="shared" si="108"/>
        <v>149974.78101771753</v>
      </c>
      <c r="AY158" s="32">
        <f t="shared" ca="1" si="109"/>
        <v>21346.990090752712</v>
      </c>
      <c r="BA158" s="32">
        <f ca="1">IF($A159="","",F158*Summary!$Q$7)</f>
        <v>0</v>
      </c>
      <c r="BC158" s="256">
        <f t="shared" ca="1" si="110"/>
        <v>44807.158773208874</v>
      </c>
    </row>
    <row r="159" spans="1:55">
      <c r="A159" s="67">
        <f t="shared" si="85"/>
        <v>41579</v>
      </c>
      <c r="B159" s="69">
        <f t="shared" si="111"/>
        <v>40000</v>
      </c>
      <c r="C159" s="71"/>
      <c r="D159" s="69">
        <f t="shared" si="112"/>
        <v>40000</v>
      </c>
      <c r="E159" s="70">
        <f t="shared" si="76"/>
        <v>1200000</v>
      </c>
      <c r="F159" s="70">
        <f t="shared" ca="1" si="77"/>
        <v>355560.57598937291</v>
      </c>
      <c r="G159" s="63">
        <f t="shared" si="86"/>
        <v>4.7640000000000002</v>
      </c>
      <c r="H159" s="64">
        <f t="shared" si="87"/>
        <v>4.7640000000000002</v>
      </c>
      <c r="I159" s="43"/>
      <c r="J159" s="63">
        <f t="shared" si="88"/>
        <v>0.32500000000000001</v>
      </c>
      <c r="K159" s="64">
        <f t="shared" si="89"/>
        <v>0.32500000000000001</v>
      </c>
      <c r="L159" s="63">
        <f t="shared" si="90"/>
        <v>0</v>
      </c>
      <c r="M159" s="64">
        <f t="shared" si="91"/>
        <v>0</v>
      </c>
      <c r="N159" s="65"/>
      <c r="O159" s="63">
        <f t="shared" si="92"/>
        <v>5.0890000000000004</v>
      </c>
      <c r="P159" s="63">
        <f t="shared" si="93"/>
        <v>5.0890000000000004</v>
      </c>
      <c r="Q159" s="66"/>
      <c r="R159" s="63">
        <f t="shared" si="94"/>
        <v>-0.14249999999999999</v>
      </c>
      <c r="S159" s="64">
        <f t="shared" si="95"/>
        <v>-0.14249999999999999</v>
      </c>
      <c r="T159" s="63">
        <f t="shared" si="96"/>
        <v>0.01</v>
      </c>
      <c r="U159" s="64">
        <f t="shared" si="97"/>
        <v>0.01</v>
      </c>
      <c r="V159" s="207">
        <f>IF($A160="","",IF(AND(MONTH(A159)&gt;3,MONTH(A159)&lt;11),(T159+R159+G159)*Summary!$T$7/(1-Summary!$T$7),(T159+R159+G159)*Summary!$U$7/(1-Summary!$U$7)))</f>
        <v>0.22383074745780482</v>
      </c>
      <c r="W159" s="63">
        <f t="shared" si="98"/>
        <v>4.8553307474578045</v>
      </c>
      <c r="X159" s="63">
        <f t="shared" si="99"/>
        <v>4.8553307474578045</v>
      </c>
      <c r="Y159" s="43"/>
      <c r="Z159" s="38">
        <f t="shared" si="100"/>
        <v>0.8</v>
      </c>
      <c r="AA159" s="38">
        <f t="shared" si="100"/>
        <v>0.17499999999999999</v>
      </c>
      <c r="AB159" s="38">
        <f t="shared" ca="1" si="78"/>
        <v>0.18094260477971288</v>
      </c>
      <c r="AC159" s="38">
        <f t="shared" si="100"/>
        <v>0.8</v>
      </c>
      <c r="AD159" s="38">
        <f t="shared" si="100"/>
        <v>0.17</v>
      </c>
      <c r="AE159" s="38">
        <f t="shared" ca="1" si="79"/>
        <v>0.17611032721959655</v>
      </c>
      <c r="AF159" s="238">
        <f ca="1">((Summary!$N$7*(AA159*AD159)*(A159-$D$3))+(Summary!$M$7*Z159*AC159*(DAY(EOMONTH(A159,0))/2)))/(AK159*AB159*AE159)</f>
        <v>0.9998806576853887</v>
      </c>
      <c r="AG159" s="88">
        <f>IF($A160="","",Summary!$Q$7)</f>
        <v>0</v>
      </c>
      <c r="AH159" s="88">
        <f>IF($A160="","",IF(Summary!$R$7="Y",(VLOOKUP($A159,Summary!$AD$6:$AF$9,3)+'Escalating commodity'!C172),'Escalating commodity'!C172))</f>
        <v>2.2495200000000003E-2</v>
      </c>
      <c r="AI159" s="88">
        <f t="shared" si="101"/>
        <v>2.2495200000000003E-2</v>
      </c>
      <c r="AJ159" s="236">
        <f t="shared" si="80"/>
        <v>41593</v>
      </c>
      <c r="AK159" s="58">
        <f t="shared" ca="1" si="102"/>
        <v>4553</v>
      </c>
      <c r="AL159" s="26">
        <f ca="1">IF($A160="","",_xll.SPRDOPT(P159,X159,AI159,0,AB159,AE159,AF159,AK159,$AJ$2,0))</f>
        <v>0.21334813063641489</v>
      </c>
      <c r="AM159" s="209">
        <f t="shared" si="81"/>
        <v>0.21117405254219596</v>
      </c>
      <c r="AN159" s="89">
        <f t="shared" ca="1" si="103"/>
        <v>2.1740780942189342E-3</v>
      </c>
      <c r="AO159" s="3">
        <f t="shared" si="104"/>
        <v>30</v>
      </c>
      <c r="AP159" s="33">
        <f t="shared" si="105"/>
        <v>41579</v>
      </c>
      <c r="AQ159" s="58">
        <f t="shared" ca="1" si="82"/>
        <v>4553</v>
      </c>
      <c r="AR159" s="38">
        <f>IF(Summary!$H$2=1,VLOOKUP('ANR OK vs ML7'!A159,Curves!$C$17:$AR$273,MATCH('ANR OK vs ML7'!$AR$4,Curves!$C$8:$AQ$8,0)),0.1)</f>
        <v>0.1</v>
      </c>
      <c r="AS159" s="35">
        <f t="shared" ca="1" si="83"/>
        <v>0.29630047999114412</v>
      </c>
      <c r="AT159" s="3">
        <f t="shared" si="106"/>
        <v>1</v>
      </c>
      <c r="AU159" s="3">
        <f t="shared" si="84"/>
        <v>30</v>
      </c>
      <c r="AW159" s="32">
        <f t="shared" ca="1" si="107"/>
        <v>256017.75676369786</v>
      </c>
      <c r="AX159" s="32">
        <f t="shared" si="108"/>
        <v>253408.86305063515</v>
      </c>
      <c r="AY159" s="32">
        <f t="shared" ca="1" si="109"/>
        <v>2608.893713062721</v>
      </c>
      <c r="BA159" s="32">
        <f ca="1">IF($A160="","",F159*Summary!$Q$7)</f>
        <v>0</v>
      </c>
      <c r="BC159" s="256">
        <f t="shared" ca="1" si="110"/>
        <v>75085.167755913295</v>
      </c>
    </row>
    <row r="160" spans="1:55">
      <c r="A160" s="67">
        <f t="shared" si="85"/>
        <v>41609</v>
      </c>
      <c r="B160" s="69">
        <f t="shared" si="111"/>
        <v>40000</v>
      </c>
      <c r="C160" s="71"/>
      <c r="D160" s="69">
        <f t="shared" si="112"/>
        <v>40000</v>
      </c>
      <c r="E160" s="70">
        <f t="shared" si="76"/>
        <v>1240000</v>
      </c>
      <c r="F160" s="70">
        <f t="shared" ca="1" si="77"/>
        <v>364479.62186082068</v>
      </c>
      <c r="G160" s="63">
        <f t="shared" si="86"/>
        <v>4.9020000000000001</v>
      </c>
      <c r="H160" s="64">
        <f t="shared" si="87"/>
        <v>4.9020000000000001</v>
      </c>
      <c r="I160" s="43"/>
      <c r="J160" s="63">
        <f t="shared" si="88"/>
        <v>0.32500000000000001</v>
      </c>
      <c r="K160" s="64">
        <f t="shared" si="89"/>
        <v>0.32500000000000001</v>
      </c>
      <c r="L160" s="63">
        <f t="shared" si="90"/>
        <v>0</v>
      </c>
      <c r="M160" s="64">
        <f t="shared" si="91"/>
        <v>0</v>
      </c>
      <c r="N160" s="65"/>
      <c r="O160" s="63">
        <f t="shared" si="92"/>
        <v>5.2270000000000003</v>
      </c>
      <c r="P160" s="63">
        <f t="shared" si="93"/>
        <v>5.2270000000000003</v>
      </c>
      <c r="Q160" s="66"/>
      <c r="R160" s="63">
        <f t="shared" si="94"/>
        <v>-0.13750000000000001</v>
      </c>
      <c r="S160" s="64">
        <f t="shared" si="95"/>
        <v>-0.13750000000000001</v>
      </c>
      <c r="T160" s="63">
        <f t="shared" si="96"/>
        <v>0.01</v>
      </c>
      <c r="U160" s="64">
        <f t="shared" si="97"/>
        <v>0.01</v>
      </c>
      <c r="V160" s="207">
        <f>IF($A161="","",IF(AND(MONTH(A160)&gt;3,MONTH(A160)&lt;11),(T160+R160+G160)*Summary!$T$7/(1-Summary!$T$7),(T160+R160+G160)*Summary!$U$7/(1-Summary!$U$7)))</f>
        <v>0.23074163958486216</v>
      </c>
      <c r="W160" s="63">
        <f t="shared" si="98"/>
        <v>5.0052416395848622</v>
      </c>
      <c r="X160" s="63">
        <f t="shared" si="99"/>
        <v>5.0052416395848622</v>
      </c>
      <c r="Y160" s="43"/>
      <c r="Z160" s="38">
        <f t="shared" si="100"/>
        <v>1.1000000000000001</v>
      </c>
      <c r="AA160" s="38">
        <f t="shared" si="100"/>
        <v>0.17499999999999999</v>
      </c>
      <c r="AB160" s="38">
        <f t="shared" ca="1" si="78"/>
        <v>0.18634371447895093</v>
      </c>
      <c r="AC160" s="38">
        <f t="shared" si="100"/>
        <v>1</v>
      </c>
      <c r="AD160" s="38">
        <f t="shared" si="100"/>
        <v>0.17</v>
      </c>
      <c r="AE160" s="38">
        <f t="shared" ca="1" si="79"/>
        <v>0.17968964929365669</v>
      </c>
      <c r="AF160" s="238">
        <f ca="1">((Summary!$N$7*(AA160*AD160)*(A160-$D$3))+(Summary!$M$7*Z160*AC160*(DAY(EOMONTH(A160,0))/2)))/(AK160*AB160*AE160)</f>
        <v>0.99969387186778824</v>
      </c>
      <c r="AG160" s="88">
        <f>IF($A161="","",Summary!$Q$7)</f>
        <v>0</v>
      </c>
      <c r="AH160" s="88">
        <f>IF($A161="","",IF(Summary!$R$7="Y",(VLOOKUP($A160,Summary!$AD$6:$AF$9,3)+'Escalating commodity'!C173),'Escalating commodity'!C173))</f>
        <v>2.2495200000000003E-2</v>
      </c>
      <c r="AI160" s="88">
        <f t="shared" si="101"/>
        <v>2.2495200000000003E-2</v>
      </c>
      <c r="AJ160" s="236">
        <f t="shared" si="80"/>
        <v>41623.5</v>
      </c>
      <c r="AK160" s="58">
        <f t="shared" ca="1" si="102"/>
        <v>4583</v>
      </c>
      <c r="AL160" s="26">
        <f ca="1">IF($A161="","",_xll.SPRDOPT(P160,X160,AI160,0,AB160,AE160,AF160,AK160,$AJ$2,0))</f>
        <v>0.20828417873648042</v>
      </c>
      <c r="AM160" s="209">
        <f t="shared" si="81"/>
        <v>0.19926316041513809</v>
      </c>
      <c r="AN160" s="89">
        <f t="shared" ca="1" si="103"/>
        <v>9.0210183213423334E-3</v>
      </c>
      <c r="AO160" s="3">
        <f t="shared" si="104"/>
        <v>31</v>
      </c>
      <c r="AP160" s="33">
        <f t="shared" si="105"/>
        <v>41609</v>
      </c>
      <c r="AQ160" s="58">
        <f t="shared" ca="1" si="82"/>
        <v>4583</v>
      </c>
      <c r="AR160" s="38">
        <f>IF(Summary!$H$2=1,VLOOKUP('ANR OK vs ML7'!A160,Curves!$C$17:$AR$273,MATCH('ANR OK vs ML7'!$AR$4,Curves!$C$8:$AQ$8,0)),0.1)</f>
        <v>0.1</v>
      </c>
      <c r="AS160" s="35">
        <f t="shared" ca="1" si="83"/>
        <v>0.29393517892001669</v>
      </c>
      <c r="AT160" s="3">
        <f t="shared" si="106"/>
        <v>1</v>
      </c>
      <c r="AU160" s="3">
        <f t="shared" si="84"/>
        <v>31</v>
      </c>
      <c r="AW160" s="32">
        <f t="shared" ca="1" si="107"/>
        <v>258272.38163323572</v>
      </c>
      <c r="AX160" s="32">
        <f t="shared" si="108"/>
        <v>247086.31891477123</v>
      </c>
      <c r="AY160" s="32">
        <f t="shared" ca="1" si="109"/>
        <v>11186.062718464493</v>
      </c>
      <c r="BA160" s="32">
        <f ca="1">IF($A161="","",F160*Summary!$Q$7)</f>
        <v>0</v>
      </c>
      <c r="BC160" s="256">
        <f t="shared" ca="1" si="110"/>
        <v>72627.361358901588</v>
      </c>
    </row>
    <row r="161" spans="1:55">
      <c r="A161" s="67">
        <f t="shared" si="85"/>
        <v>41640</v>
      </c>
      <c r="B161" s="69">
        <f t="shared" si="111"/>
        <v>40000</v>
      </c>
      <c r="C161" s="71"/>
      <c r="D161" s="69">
        <f t="shared" si="112"/>
        <v>40000</v>
      </c>
      <c r="E161" s="70">
        <f t="shared" si="76"/>
        <v>1240000</v>
      </c>
      <c r="F161" s="70">
        <f t="shared" ca="1" si="77"/>
        <v>361473.47751641483</v>
      </c>
      <c r="G161" s="63">
        <f t="shared" si="86"/>
        <v>4.9540000000000006</v>
      </c>
      <c r="H161" s="64">
        <f t="shared" si="87"/>
        <v>4.9540000000000006</v>
      </c>
      <c r="I161" s="43"/>
      <c r="J161" s="63">
        <f t="shared" si="88"/>
        <v>0.32500000000000001</v>
      </c>
      <c r="K161" s="64">
        <f t="shared" si="89"/>
        <v>0.32500000000000001</v>
      </c>
      <c r="L161" s="63">
        <f t="shared" si="90"/>
        <v>0</v>
      </c>
      <c r="M161" s="64">
        <f t="shared" si="91"/>
        <v>0</v>
      </c>
      <c r="N161" s="65"/>
      <c r="O161" s="63">
        <f t="shared" si="92"/>
        <v>5.2790000000000008</v>
      </c>
      <c r="P161" s="63">
        <f t="shared" si="93"/>
        <v>5.2790000000000008</v>
      </c>
      <c r="Q161" s="66"/>
      <c r="R161" s="63">
        <f t="shared" si="94"/>
        <v>-0.13750000000000001</v>
      </c>
      <c r="S161" s="64">
        <f t="shared" si="95"/>
        <v>-0.13750000000000001</v>
      </c>
      <c r="T161" s="63">
        <f t="shared" si="96"/>
        <v>0.01</v>
      </c>
      <c r="U161" s="64">
        <f t="shared" si="97"/>
        <v>0.01</v>
      </c>
      <c r="V161" s="207">
        <f>IF($A162="","",IF(AND(MONTH(A161)&gt;3,MONTH(A161)&lt;11),(T161+R161+G161)*Summary!$T$7/(1-Summary!$T$7),(T161+R161+G161)*Summary!$U$7/(1-Summary!$U$7)))</f>
        <v>0.23325469126742848</v>
      </c>
      <c r="W161" s="63">
        <f t="shared" si="98"/>
        <v>5.0597546912674289</v>
      </c>
      <c r="X161" s="63">
        <f t="shared" si="99"/>
        <v>5.0597546912674289</v>
      </c>
      <c r="Y161" s="43"/>
      <c r="Z161" s="38">
        <f t="shared" si="100"/>
        <v>1.1000000000000001</v>
      </c>
      <c r="AA161" s="38">
        <f t="shared" si="100"/>
        <v>0.17499999999999999</v>
      </c>
      <c r="AB161" s="38">
        <f t="shared" ca="1" si="78"/>
        <v>0.18626980480489749</v>
      </c>
      <c r="AC161" s="38">
        <f t="shared" si="100"/>
        <v>1</v>
      </c>
      <c r="AD161" s="38">
        <f t="shared" si="100"/>
        <v>0.17</v>
      </c>
      <c r="AE161" s="38">
        <f t="shared" ca="1" si="79"/>
        <v>0.17962629173204137</v>
      </c>
      <c r="AF161" s="238">
        <f ca="1">((Summary!$N$7*(AA161*AD161)*(A161-$D$3))+(Summary!$M$7*Z161*AC161*(DAY(EOMONTH(A161,0))/2)))/(AK161*AB161*AE161)</f>
        <v>0.99969494185217267</v>
      </c>
      <c r="AG161" s="88">
        <f>IF($A162="","",Summary!$Q$7)</f>
        <v>0</v>
      </c>
      <c r="AH161" s="88">
        <f>IF($A162="","",IF(Summary!$R$7="Y",(VLOOKUP($A161,Summary!$AD$6:$AF$9,3)+'Escalating commodity'!C174),'Escalating commodity'!C174))</f>
        <v>2.2495200000000003E-2</v>
      </c>
      <c r="AI161" s="88">
        <f t="shared" si="101"/>
        <v>2.2495200000000003E-2</v>
      </c>
      <c r="AJ161" s="236">
        <f t="shared" si="80"/>
        <v>41654.5</v>
      </c>
      <c r="AK161" s="58">
        <f t="shared" ca="1" si="102"/>
        <v>4614</v>
      </c>
      <c r="AL161" s="26">
        <f ca="1">IF($A162="","",_xll.SPRDOPT(P161,X161,AI161,0,AB161,AE161,AF161,AK161,$AJ$2,0))</f>
        <v>0.20633427020851069</v>
      </c>
      <c r="AM161" s="209">
        <f t="shared" si="81"/>
        <v>0.19675010873257187</v>
      </c>
      <c r="AN161" s="89">
        <f t="shared" ca="1" si="103"/>
        <v>9.5841614759388238E-3</v>
      </c>
      <c r="AO161" s="3">
        <f t="shared" si="104"/>
        <v>31</v>
      </c>
      <c r="AP161" s="33">
        <f t="shared" si="105"/>
        <v>41640</v>
      </c>
      <c r="AQ161" s="58">
        <f t="shared" ca="1" si="82"/>
        <v>4614</v>
      </c>
      <c r="AR161" s="38">
        <f>IF(Summary!$H$2=1,VLOOKUP('ANR OK vs ML7'!A161,Curves!$C$17:$AR$273,MATCH('ANR OK vs ML7'!$AR$4,Curves!$C$8:$AQ$8,0)),0.1)</f>
        <v>0.1</v>
      </c>
      <c r="AS161" s="35">
        <f t="shared" ca="1" si="83"/>
        <v>0.29151086896485068</v>
      </c>
      <c r="AT161" s="3">
        <f t="shared" si="106"/>
        <v>1</v>
      </c>
      <c r="AU161" s="3">
        <f t="shared" si="84"/>
        <v>31</v>
      </c>
      <c r="AW161" s="32">
        <f t="shared" ca="1" si="107"/>
        <v>255854.49505855326</v>
      </c>
      <c r="AX161" s="32">
        <f t="shared" si="108"/>
        <v>243970.13482838913</v>
      </c>
      <c r="AY161" s="32">
        <f t="shared" ca="1" si="109"/>
        <v>11884.360230164142</v>
      </c>
      <c r="BA161" s="32">
        <f ca="1">IF($A162="","",F161*Summary!$Q$7)</f>
        <v>0</v>
      </c>
      <c r="BC161" s="256">
        <f t="shared" ca="1" si="110"/>
        <v>71119.946005295496</v>
      </c>
    </row>
    <row r="162" spans="1:55">
      <c r="A162" s="67">
        <f t="shared" si="85"/>
        <v>41671</v>
      </c>
      <c r="B162" s="69">
        <f t="shared" si="111"/>
        <v>40000</v>
      </c>
      <c r="C162" s="71"/>
      <c r="D162" s="69">
        <f t="shared" si="112"/>
        <v>40000</v>
      </c>
      <c r="E162" s="70">
        <f t="shared" si="76"/>
        <v>1120000</v>
      </c>
      <c r="F162" s="70">
        <f t="shared" ca="1" si="77"/>
        <v>323799.34066176537</v>
      </c>
      <c r="G162" s="63">
        <f t="shared" si="86"/>
        <v>4.8340000000000005</v>
      </c>
      <c r="H162" s="64">
        <f t="shared" si="87"/>
        <v>4.8340000000000005</v>
      </c>
      <c r="I162" s="43"/>
      <c r="J162" s="63">
        <f t="shared" si="88"/>
        <v>0.32500000000000001</v>
      </c>
      <c r="K162" s="64">
        <f t="shared" si="89"/>
        <v>0.32500000000000001</v>
      </c>
      <c r="L162" s="63">
        <f t="shared" si="90"/>
        <v>0</v>
      </c>
      <c r="M162" s="64">
        <f t="shared" si="91"/>
        <v>0</v>
      </c>
      <c r="N162" s="65"/>
      <c r="O162" s="63">
        <f t="shared" si="92"/>
        <v>5.1590000000000007</v>
      </c>
      <c r="P162" s="63">
        <f t="shared" si="93"/>
        <v>5.1590000000000007</v>
      </c>
      <c r="Q162" s="66"/>
      <c r="R162" s="63">
        <f t="shared" si="94"/>
        <v>-0.14000000000000001</v>
      </c>
      <c r="S162" s="64">
        <f t="shared" si="95"/>
        <v>-0.14000000000000001</v>
      </c>
      <c r="T162" s="63">
        <f t="shared" si="96"/>
        <v>0.01</v>
      </c>
      <c r="U162" s="64">
        <f t="shared" si="97"/>
        <v>0.01</v>
      </c>
      <c r="V162" s="207">
        <f>IF($A163="","",IF(AND(MONTH(A162)&gt;3,MONTH(A162)&lt;11),(T162+R162+G162)*Summary!$T$7/(1-Summary!$T$7),(T162+R162+G162)*Summary!$U$7/(1-Summary!$U$7)))</f>
        <v>0.22733452143830593</v>
      </c>
      <c r="W162" s="63">
        <f t="shared" si="98"/>
        <v>4.9313345214383064</v>
      </c>
      <c r="X162" s="63">
        <f t="shared" si="99"/>
        <v>4.9313345214383064</v>
      </c>
      <c r="Y162" s="43"/>
      <c r="Z162" s="38">
        <f t="shared" si="100"/>
        <v>1.1000000000000001</v>
      </c>
      <c r="AA162" s="38">
        <f t="shared" si="100"/>
        <v>0.17499999999999999</v>
      </c>
      <c r="AB162" s="38">
        <f t="shared" ca="1" si="78"/>
        <v>0.18514460644592706</v>
      </c>
      <c r="AC162" s="38">
        <f t="shared" si="100"/>
        <v>1</v>
      </c>
      <c r="AD162" s="38">
        <f t="shared" si="100"/>
        <v>0.17</v>
      </c>
      <c r="AE162" s="38">
        <f t="shared" ca="1" si="79"/>
        <v>0.1786622939661667</v>
      </c>
      <c r="AF162" s="238">
        <f ca="1">((Summary!$N$7*(AA162*AD162)*(A162-$D$3))+(Summary!$M$7*Z162*AC162*(DAY(EOMONTH(A162,0))/2)))/(AK162*AB162*AE162)</f>
        <v>0.99971165101068671</v>
      </c>
      <c r="AG162" s="88">
        <f>IF($A163="","",Summary!$Q$7)</f>
        <v>0</v>
      </c>
      <c r="AH162" s="88">
        <f>IF($A163="","",IF(Summary!$R$7="Y",(VLOOKUP($A162,Summary!$AD$6:$AF$9,3)+'Escalating commodity'!C175),'Escalating commodity'!C175))</f>
        <v>2.2495200000000003E-2</v>
      </c>
      <c r="AI162" s="88">
        <f t="shared" si="101"/>
        <v>2.2495200000000003E-2</v>
      </c>
      <c r="AJ162" s="236">
        <f t="shared" si="80"/>
        <v>41684</v>
      </c>
      <c r="AK162" s="58">
        <f t="shared" ca="1" si="102"/>
        <v>4645</v>
      </c>
      <c r="AL162" s="26">
        <f ca="1">IF($A163="","",_xll.SPRDOPT(P162,X162,AI162,0,AB162,AE162,AF162,AK162,$AJ$2,0))</f>
        <v>0.21276643728635414</v>
      </c>
      <c r="AM162" s="209">
        <f t="shared" si="81"/>
        <v>0.20517027856169429</v>
      </c>
      <c r="AN162" s="89">
        <f t="shared" ca="1" si="103"/>
        <v>7.5961587246598516E-3</v>
      </c>
      <c r="AO162" s="3">
        <f t="shared" si="104"/>
        <v>28</v>
      </c>
      <c r="AP162" s="33">
        <f t="shared" si="105"/>
        <v>41671</v>
      </c>
      <c r="AQ162" s="58">
        <f t="shared" ca="1" si="82"/>
        <v>4645</v>
      </c>
      <c r="AR162" s="38">
        <f>IF(Summary!$H$2=1,VLOOKUP('ANR OK vs ML7'!A162,Curves!$C$17:$AR$273,MATCH('ANR OK vs ML7'!$AR$4,Curves!$C$8:$AQ$8,0)),0.1)</f>
        <v>0.1</v>
      </c>
      <c r="AS162" s="35">
        <f t="shared" ca="1" si="83"/>
        <v>0.28910655416229053</v>
      </c>
      <c r="AT162" s="3">
        <f t="shared" si="106"/>
        <v>1</v>
      </c>
      <c r="AU162" s="3">
        <f t="shared" si="84"/>
        <v>28</v>
      </c>
      <c r="AW162" s="32">
        <f t="shared" ca="1" si="107"/>
        <v>238298.40976071663</v>
      </c>
      <c r="AX162" s="32">
        <f t="shared" si="108"/>
        <v>229790.71198909759</v>
      </c>
      <c r="AY162" s="32">
        <f t="shared" ca="1" si="109"/>
        <v>8507.697771619034</v>
      </c>
      <c r="BA162" s="32">
        <f ca="1">IF($A163="","",F162*Summary!$Q$7)</f>
        <v>0</v>
      </c>
      <c r="BC162" s="256">
        <f t="shared" ca="1" si="110"/>
        <v>66434.00092166735</v>
      </c>
    </row>
    <row r="163" spans="1:55">
      <c r="A163" s="67">
        <f t="shared" si="85"/>
        <v>41699</v>
      </c>
      <c r="B163" s="69">
        <f t="shared" si="111"/>
        <v>40000</v>
      </c>
      <c r="C163" s="71"/>
      <c r="D163" s="69">
        <f t="shared" si="112"/>
        <v>40000</v>
      </c>
      <c r="E163" s="70">
        <f t="shared" si="76"/>
        <v>1240000</v>
      </c>
      <c r="F163" s="70">
        <f t="shared" ca="1" si="77"/>
        <v>355820.43541301781</v>
      </c>
      <c r="G163" s="63">
        <f t="shared" si="86"/>
        <v>4.6950000000000003</v>
      </c>
      <c r="H163" s="64">
        <f t="shared" si="87"/>
        <v>4.6950000000000003</v>
      </c>
      <c r="I163" s="43"/>
      <c r="J163" s="63">
        <f t="shared" si="88"/>
        <v>0.32500000000000001</v>
      </c>
      <c r="K163" s="64">
        <f t="shared" si="89"/>
        <v>0.32500000000000001</v>
      </c>
      <c r="L163" s="63">
        <f t="shared" si="90"/>
        <v>0</v>
      </c>
      <c r="M163" s="64">
        <f t="shared" si="91"/>
        <v>0</v>
      </c>
      <c r="N163" s="65"/>
      <c r="O163" s="63">
        <f t="shared" si="92"/>
        <v>5.0200000000000005</v>
      </c>
      <c r="P163" s="63">
        <f t="shared" si="93"/>
        <v>5.0200000000000005</v>
      </c>
      <c r="Q163" s="66"/>
      <c r="R163" s="63">
        <f t="shared" si="94"/>
        <v>-0.14249999999999999</v>
      </c>
      <c r="S163" s="64">
        <f t="shared" si="95"/>
        <v>-0.14249999999999999</v>
      </c>
      <c r="T163" s="63">
        <f t="shared" si="96"/>
        <v>0.01</v>
      </c>
      <c r="U163" s="64">
        <f t="shared" si="97"/>
        <v>0.01</v>
      </c>
      <c r="V163" s="207">
        <f>IF($A164="","",IF(AND(MONTH(A163)&gt;3,MONTH(A163)&lt;11),(T163+R163+G163)*Summary!$T$7/(1-Summary!$T$7),(T163+R163+G163)*Summary!$U$7/(1-Summary!$U$7)))</f>
        <v>0.22049612118670719</v>
      </c>
      <c r="W163" s="63">
        <f t="shared" si="98"/>
        <v>4.7829961211867076</v>
      </c>
      <c r="X163" s="63">
        <f t="shared" si="99"/>
        <v>4.7829961211867076</v>
      </c>
      <c r="Y163" s="43"/>
      <c r="Z163" s="38">
        <f t="shared" si="100"/>
        <v>0.75</v>
      </c>
      <c r="AA163" s="38">
        <f t="shared" si="100"/>
        <v>0.17499999999999999</v>
      </c>
      <c r="AB163" s="38">
        <f t="shared" ca="1" si="78"/>
        <v>0.18027014466862976</v>
      </c>
      <c r="AC163" s="38">
        <f t="shared" si="100"/>
        <v>0.75</v>
      </c>
      <c r="AD163" s="38">
        <f t="shared" si="100"/>
        <v>0.17</v>
      </c>
      <c r="AE163" s="38">
        <f t="shared" ca="1" si="79"/>
        <v>0.17541937155562332</v>
      </c>
      <c r="AF163" s="238">
        <f ca="1">((Summary!$N$7*(AA163*AD163)*(A163-$D$3))+(Summary!$M$7*Z163*AC163*(DAY(EOMONTH(A163,0))/2)))/(AK163*AB163*AE163)</f>
        <v>0.99988257514147905</v>
      </c>
      <c r="AG163" s="88">
        <f>IF($A164="","",Summary!$Q$7)</f>
        <v>0</v>
      </c>
      <c r="AH163" s="88">
        <f>IF($A164="","",IF(Summary!$R$7="Y",(VLOOKUP($A163,Summary!$AD$6:$AF$9,3)+'Escalating commodity'!C176),'Escalating commodity'!C176))</f>
        <v>2.2495200000000003E-2</v>
      </c>
      <c r="AI163" s="88">
        <f t="shared" si="101"/>
        <v>2.2495200000000003E-2</v>
      </c>
      <c r="AJ163" s="236">
        <f t="shared" si="80"/>
        <v>41713.5</v>
      </c>
      <c r="AK163" s="58">
        <f t="shared" ca="1" si="102"/>
        <v>4673</v>
      </c>
      <c r="AL163" s="26">
        <f ca="1">IF($A164="","",_xll.SPRDOPT(P163,X163,AI163,0,AB163,AE163,AF163,AK163,$AJ$2,0))</f>
        <v>0.21657440512447612</v>
      </c>
      <c r="AM163" s="209">
        <f t="shared" si="81"/>
        <v>0.21450867881329289</v>
      </c>
      <c r="AN163" s="89">
        <f t="shared" ca="1" si="103"/>
        <v>2.0657263111832358E-3</v>
      </c>
      <c r="AO163" s="3">
        <f t="shared" si="104"/>
        <v>31</v>
      </c>
      <c r="AP163" s="33">
        <f t="shared" si="105"/>
        <v>41699</v>
      </c>
      <c r="AQ163" s="58">
        <f t="shared" ca="1" si="82"/>
        <v>4673</v>
      </c>
      <c r="AR163" s="38">
        <f>IF(Summary!$H$2=1,VLOOKUP('ANR OK vs ML7'!A163,Curves!$C$17:$AR$273,MATCH('ANR OK vs ML7'!$AR$4,Curves!$C$8:$AQ$8,0)),0.1)</f>
        <v>0.1</v>
      </c>
      <c r="AS163" s="35">
        <f t="shared" ca="1" si="83"/>
        <v>0.2869519640427563</v>
      </c>
      <c r="AT163" s="3">
        <f t="shared" si="106"/>
        <v>1</v>
      </c>
      <c r="AU163" s="3">
        <f t="shared" si="84"/>
        <v>31</v>
      </c>
      <c r="AW163" s="32">
        <f t="shared" ca="1" si="107"/>
        <v>268552.26235435042</v>
      </c>
      <c r="AX163" s="32">
        <f t="shared" si="108"/>
        <v>265990.76172848319</v>
      </c>
      <c r="AY163" s="32">
        <f t="shared" ca="1" si="109"/>
        <v>2561.5006258672124</v>
      </c>
      <c r="BA163" s="32">
        <f ca="1">IF($A164="","",F163*Summary!$Q$7)</f>
        <v>0</v>
      </c>
      <c r="BC163" s="256">
        <f t="shared" ca="1" si="110"/>
        <v>76326.571495217067</v>
      </c>
    </row>
    <row r="164" spans="1:55">
      <c r="A164" s="67">
        <f t="shared" si="85"/>
        <v>41730</v>
      </c>
      <c r="B164" s="69">
        <f t="shared" si="111"/>
        <v>40000</v>
      </c>
      <c r="C164" s="71"/>
      <c r="D164" s="69">
        <f t="shared" si="112"/>
        <v>40000</v>
      </c>
      <c r="E164" s="70">
        <f t="shared" si="76"/>
        <v>1200000</v>
      </c>
      <c r="F164" s="70">
        <f t="shared" ca="1" si="77"/>
        <v>341502.30005114112</v>
      </c>
      <c r="G164" s="63">
        <f t="shared" si="86"/>
        <v>4.5199999999999996</v>
      </c>
      <c r="H164" s="64">
        <f t="shared" si="87"/>
        <v>4.5199999999999996</v>
      </c>
      <c r="I164" s="43"/>
      <c r="J164" s="63">
        <f t="shared" si="88"/>
        <v>0.21</v>
      </c>
      <c r="K164" s="64">
        <f t="shared" si="89"/>
        <v>0.21</v>
      </c>
      <c r="L164" s="63">
        <f t="shared" si="90"/>
        <v>0</v>
      </c>
      <c r="M164" s="64">
        <f t="shared" si="91"/>
        <v>0</v>
      </c>
      <c r="N164" s="65"/>
      <c r="O164" s="63">
        <f t="shared" si="92"/>
        <v>4.7299999999999995</v>
      </c>
      <c r="P164" s="63">
        <f t="shared" si="93"/>
        <v>4.7299999999999995</v>
      </c>
      <c r="Q164" s="66"/>
      <c r="R164" s="63">
        <f t="shared" si="94"/>
        <v>-0.14000000000000001</v>
      </c>
      <c r="S164" s="64">
        <f t="shared" si="95"/>
        <v>-0.14000000000000001</v>
      </c>
      <c r="T164" s="63">
        <f t="shared" si="96"/>
        <v>-0.01</v>
      </c>
      <c r="U164" s="64">
        <f t="shared" si="97"/>
        <v>-0.01</v>
      </c>
      <c r="V164" s="207">
        <f>IF($A165="","",IF(AND(MONTH(A164)&gt;3,MONTH(A164)&lt;11),(T164+R164+G164)*Summary!$T$7/(1-Summary!$T$7),(T164+R164+G164)*Summary!$U$7/(1-Summary!$U$7)))</f>
        <v>0.21119299716951459</v>
      </c>
      <c r="W164" s="63">
        <f t="shared" si="98"/>
        <v>4.5811929971695138</v>
      </c>
      <c r="X164" s="63">
        <f t="shared" si="99"/>
        <v>4.5811929971695138</v>
      </c>
      <c r="Y164" s="43"/>
      <c r="Z164" s="38">
        <f t="shared" si="100"/>
        <v>0.45</v>
      </c>
      <c r="AA164" s="38">
        <f t="shared" si="100"/>
        <v>0.17499999999999999</v>
      </c>
      <c r="AB164" s="38">
        <f t="shared" ca="1" si="78"/>
        <v>0.17685371768069505</v>
      </c>
      <c r="AC164" s="38">
        <f t="shared" si="100"/>
        <v>0.4</v>
      </c>
      <c r="AD164" s="38">
        <f t="shared" si="100"/>
        <v>0.17</v>
      </c>
      <c r="AE164" s="38">
        <f t="shared" ca="1" si="79"/>
        <v>0.17151194649095339</v>
      </c>
      <c r="AF164" s="238">
        <f ca="1">((Summary!$N$7*(AA164*AD164)*(A164-$D$3))+(Summary!$M$7*Z164*AC164*(DAY(EOMONTH(A164,0))/2)))/(AK164*AB164*AE164)</f>
        <v>0.99982866578509066</v>
      </c>
      <c r="AG164" s="88">
        <f>IF($A165="","",Summary!$Q$7)</f>
        <v>0</v>
      </c>
      <c r="AH164" s="88">
        <f>IF($A165="","",IF(Summary!$R$7="Y",(VLOOKUP($A164,Summary!$AD$6:$AF$9,3)+'Escalating commodity'!C177),'Escalating commodity'!C177))</f>
        <v>2.2495200000000003E-2</v>
      </c>
      <c r="AI164" s="88">
        <f t="shared" si="101"/>
        <v>2.2495200000000003E-2</v>
      </c>
      <c r="AJ164" s="236">
        <f t="shared" si="80"/>
        <v>41744</v>
      </c>
      <c r="AK164" s="58">
        <f t="shared" ca="1" si="102"/>
        <v>4704</v>
      </c>
      <c r="AL164" s="26">
        <f ca="1">IF($A165="","",_xll.SPRDOPT(P164,X164,AI164,0,AB164,AE164,AF164,AK164,$AJ$2,0))</f>
        <v>0.1355302906007248</v>
      </c>
      <c r="AM164" s="209">
        <f t="shared" si="81"/>
        <v>0.12631180283048576</v>
      </c>
      <c r="AN164" s="89">
        <f t="shared" ca="1" si="103"/>
        <v>9.2184877702390366E-3</v>
      </c>
      <c r="AO164" s="3">
        <f t="shared" si="104"/>
        <v>30</v>
      </c>
      <c r="AP164" s="33">
        <f t="shared" si="105"/>
        <v>41730</v>
      </c>
      <c r="AQ164" s="58">
        <f t="shared" ca="1" si="82"/>
        <v>4704</v>
      </c>
      <c r="AR164" s="38">
        <f>IF(Summary!$H$2=1,VLOOKUP('ANR OK vs ML7'!A164,Curves!$C$17:$AR$273,MATCH('ANR OK vs ML7'!$AR$4,Curves!$C$8:$AQ$8,0)),0.1)</f>
        <v>0.1</v>
      </c>
      <c r="AS164" s="35">
        <f t="shared" ca="1" si="83"/>
        <v>0.28458525004261759</v>
      </c>
      <c r="AT164" s="3">
        <f t="shared" si="106"/>
        <v>1</v>
      </c>
      <c r="AU164" s="3">
        <f t="shared" si="84"/>
        <v>30</v>
      </c>
      <c r="AW164" s="32">
        <f t="shared" ca="1" si="107"/>
        <v>162636.34872086975</v>
      </c>
      <c r="AX164" s="32">
        <f t="shared" si="108"/>
        <v>151574.16339658291</v>
      </c>
      <c r="AY164" s="32">
        <f t="shared" ca="1" si="109"/>
        <v>11062.185324286844</v>
      </c>
      <c r="BA164" s="32">
        <f ca="1">IF($A165="","",F164*Summary!$Q$7)</f>
        <v>0</v>
      </c>
      <c r="BC164" s="256">
        <f t="shared" ca="1" si="110"/>
        <v>43135.771190217129</v>
      </c>
    </row>
    <row r="165" spans="1:55">
      <c r="A165" s="67">
        <f t="shared" si="85"/>
        <v>41760</v>
      </c>
      <c r="B165" s="69">
        <f t="shared" si="111"/>
        <v>40000</v>
      </c>
      <c r="C165" s="71"/>
      <c r="D165" s="69">
        <f t="shared" si="112"/>
        <v>40000</v>
      </c>
      <c r="E165" s="70">
        <f t="shared" si="76"/>
        <v>1240000</v>
      </c>
      <c r="F165" s="70">
        <f t="shared" ca="1" si="77"/>
        <v>350068.7016295098</v>
      </c>
      <c r="G165" s="63">
        <f t="shared" si="86"/>
        <v>4.49</v>
      </c>
      <c r="H165" s="64">
        <f t="shared" si="87"/>
        <v>4.49</v>
      </c>
      <c r="I165" s="43"/>
      <c r="J165" s="63">
        <f t="shared" si="88"/>
        <v>0.21</v>
      </c>
      <c r="K165" s="64">
        <f t="shared" si="89"/>
        <v>0.21</v>
      </c>
      <c r="L165" s="63">
        <f t="shared" si="90"/>
        <v>0</v>
      </c>
      <c r="M165" s="64">
        <f t="shared" si="91"/>
        <v>0</v>
      </c>
      <c r="N165" s="65"/>
      <c r="O165" s="63">
        <f t="shared" si="92"/>
        <v>4.7</v>
      </c>
      <c r="P165" s="63">
        <f t="shared" si="93"/>
        <v>4.7</v>
      </c>
      <c r="Q165" s="66"/>
      <c r="R165" s="63">
        <f t="shared" si="94"/>
        <v>-0.14000000000000001</v>
      </c>
      <c r="S165" s="64">
        <f t="shared" si="95"/>
        <v>-0.14000000000000001</v>
      </c>
      <c r="T165" s="63">
        <f t="shared" si="96"/>
        <v>-0.01</v>
      </c>
      <c r="U165" s="64">
        <f t="shared" si="97"/>
        <v>-0.01</v>
      </c>
      <c r="V165" s="207">
        <f>IF($A166="","",IF(AND(MONTH(A165)&gt;3,MONTH(A165)&lt;11),(T165+R165+G165)*Summary!$T$7/(1-Summary!$T$7),(T165+R165+G165)*Summary!$U$7/(1-Summary!$U$7)))</f>
        <v>0.20974315966034177</v>
      </c>
      <c r="W165" s="63">
        <f t="shared" si="98"/>
        <v>4.5497431596603413</v>
      </c>
      <c r="X165" s="63">
        <f t="shared" si="99"/>
        <v>4.5497431596603413</v>
      </c>
      <c r="Y165" s="43"/>
      <c r="Z165" s="38">
        <f t="shared" si="100"/>
        <v>0.5</v>
      </c>
      <c r="AA165" s="38">
        <f t="shared" si="100"/>
        <v>0.17499999999999999</v>
      </c>
      <c r="AB165" s="38">
        <f t="shared" ca="1" si="78"/>
        <v>0.17734152317728363</v>
      </c>
      <c r="AC165" s="38">
        <f t="shared" si="100"/>
        <v>0.4</v>
      </c>
      <c r="AD165" s="38">
        <f t="shared" si="100"/>
        <v>0.17</v>
      </c>
      <c r="AE165" s="38">
        <f t="shared" ca="1" si="79"/>
        <v>0.17155166758576712</v>
      </c>
      <c r="AF165" s="238">
        <f ca="1">((Summary!$N$7*(AA165*AD165)*(A165-$D$3))+(Summary!$M$7*Z165*AC165*(DAY(EOMONTH(A165,0))/2)))/(AK165*AB165*AE165)</f>
        <v>0.99950406361548239</v>
      </c>
      <c r="AG165" s="88">
        <f>IF($A166="","",Summary!$Q$7)</f>
        <v>0</v>
      </c>
      <c r="AH165" s="88">
        <f>IF($A166="","",IF(Summary!$R$7="Y",(VLOOKUP($A165,Summary!$AD$6:$AF$9,3)+'Escalating commodity'!C178),'Escalating commodity'!C178))</f>
        <v>2.2495200000000003E-2</v>
      </c>
      <c r="AI165" s="88">
        <f t="shared" si="101"/>
        <v>2.2495200000000003E-2</v>
      </c>
      <c r="AJ165" s="236">
        <f t="shared" si="80"/>
        <v>41774.5</v>
      </c>
      <c r="AK165" s="58">
        <f t="shared" ca="1" si="102"/>
        <v>4734</v>
      </c>
      <c r="AL165" s="26">
        <f ca="1">IF($A166="","",_xll.SPRDOPT(P165,X165,AI165,0,AB165,AE165,AF165,AK165,$AJ$2,0))</f>
        <v>0.14301632603049211</v>
      </c>
      <c r="AM165" s="209">
        <f t="shared" si="81"/>
        <v>0.12776164033965892</v>
      </c>
      <c r="AN165" s="89">
        <f t="shared" ca="1" si="103"/>
        <v>1.5254685690833186E-2</v>
      </c>
      <c r="AO165" s="3">
        <f t="shared" si="104"/>
        <v>31</v>
      </c>
      <c r="AP165" s="33">
        <f t="shared" si="105"/>
        <v>41760</v>
      </c>
      <c r="AQ165" s="58">
        <f t="shared" ca="1" si="82"/>
        <v>4734</v>
      </c>
      <c r="AR165" s="38">
        <f>IF(Summary!$H$2=1,VLOOKUP('ANR OK vs ML7'!A165,Curves!$C$17:$AR$273,MATCH('ANR OK vs ML7'!$AR$4,Curves!$C$8:$AQ$8,0)),0.1)</f>
        <v>0.1</v>
      </c>
      <c r="AS165" s="35">
        <f t="shared" ca="1" si="83"/>
        <v>0.28231346905605631</v>
      </c>
      <c r="AT165" s="3">
        <f t="shared" si="106"/>
        <v>1</v>
      </c>
      <c r="AU165" s="3">
        <f t="shared" si="84"/>
        <v>31</v>
      </c>
      <c r="AW165" s="32">
        <f t="shared" ca="1" si="107"/>
        <v>177340.24427781021</v>
      </c>
      <c r="AX165" s="32">
        <f t="shared" si="108"/>
        <v>158424.43402117706</v>
      </c>
      <c r="AY165" s="32">
        <f t="shared" ca="1" si="109"/>
        <v>18915.810256633151</v>
      </c>
      <c r="BA165" s="32">
        <f ca="1">IF($A166="","",F165*Summary!$Q$7)</f>
        <v>0</v>
      </c>
      <c r="BC165" s="256">
        <f t="shared" ca="1" si="110"/>
        <v>44725.351551760803</v>
      </c>
    </row>
    <row r="166" spans="1:55">
      <c r="A166" s="67">
        <f t="shared" si="85"/>
        <v>41791</v>
      </c>
      <c r="B166" s="69">
        <f t="shared" si="111"/>
        <v>40000</v>
      </c>
      <c r="C166" s="71"/>
      <c r="D166" s="69">
        <f t="shared" si="112"/>
        <v>40000</v>
      </c>
      <c r="E166" s="70">
        <f t="shared" si="76"/>
        <v>1200000</v>
      </c>
      <c r="F166" s="70">
        <f t="shared" ca="1" si="77"/>
        <v>335982.01475872996</v>
      </c>
      <c r="G166" s="63">
        <f t="shared" si="86"/>
        <v>4.5599999999999996</v>
      </c>
      <c r="H166" s="64">
        <f t="shared" si="87"/>
        <v>4.5599999999999996</v>
      </c>
      <c r="I166" s="43"/>
      <c r="J166" s="63">
        <f t="shared" si="88"/>
        <v>0.21</v>
      </c>
      <c r="K166" s="64">
        <f t="shared" si="89"/>
        <v>0.21</v>
      </c>
      <c r="L166" s="63">
        <f t="shared" si="90"/>
        <v>0</v>
      </c>
      <c r="M166" s="64">
        <f t="shared" si="91"/>
        <v>0</v>
      </c>
      <c r="N166" s="65"/>
      <c r="O166" s="63">
        <f t="shared" si="92"/>
        <v>4.7699999999999996</v>
      </c>
      <c r="P166" s="63">
        <f t="shared" si="93"/>
        <v>4.7699999999999996</v>
      </c>
      <c r="Q166" s="66"/>
      <c r="R166" s="63">
        <f t="shared" si="94"/>
        <v>-0.14000000000000001</v>
      </c>
      <c r="S166" s="64">
        <f t="shared" si="95"/>
        <v>-0.14000000000000001</v>
      </c>
      <c r="T166" s="63">
        <f t="shared" si="96"/>
        <v>-0.01</v>
      </c>
      <c r="U166" s="64">
        <f t="shared" si="97"/>
        <v>-0.01</v>
      </c>
      <c r="V166" s="207">
        <f>IF($A167="","",IF(AND(MONTH(A166)&gt;3,MONTH(A166)&lt;11),(T166+R166+G166)*Summary!$T$7/(1-Summary!$T$7),(T166+R166+G166)*Summary!$U$7/(1-Summary!$U$7)))</f>
        <v>0.21312611384841176</v>
      </c>
      <c r="W166" s="63">
        <f t="shared" si="98"/>
        <v>4.6231261138484108</v>
      </c>
      <c r="X166" s="63">
        <f t="shared" si="99"/>
        <v>4.6231261138484108</v>
      </c>
      <c r="Y166" s="43"/>
      <c r="Z166" s="38">
        <f t="shared" si="100"/>
        <v>0.5</v>
      </c>
      <c r="AA166" s="38">
        <f t="shared" si="100"/>
        <v>0.17499999999999999</v>
      </c>
      <c r="AB166" s="38">
        <f t="shared" ca="1" si="78"/>
        <v>0.17725240627395036</v>
      </c>
      <c r="AC166" s="38">
        <f t="shared" si="100"/>
        <v>0.4</v>
      </c>
      <c r="AD166" s="38">
        <f t="shared" si="100"/>
        <v>0.17</v>
      </c>
      <c r="AE166" s="38">
        <f t="shared" ca="1" si="79"/>
        <v>0.17149267526782061</v>
      </c>
      <c r="AF166" s="238">
        <f ca="1">((Summary!$N$7*(AA166*AD166)*(A166-$D$3))+(Summary!$M$7*Z166*AC166*(DAY(EOMONTH(A166,0))/2)))/(AK166*AB166*AE166)</f>
        <v>0.99951868504700025</v>
      </c>
      <c r="AG166" s="88">
        <f>IF($A167="","",Summary!$Q$7)</f>
        <v>0</v>
      </c>
      <c r="AH166" s="88">
        <f>IF($A167="","",IF(Summary!$R$7="Y",(VLOOKUP($A166,Summary!$AD$6:$AF$9,3)+'Escalating commodity'!C179),'Escalating commodity'!C179))</f>
        <v>2.2495200000000003E-2</v>
      </c>
      <c r="AI166" s="88">
        <f t="shared" si="101"/>
        <v>2.2495200000000003E-2</v>
      </c>
      <c r="AJ166" s="236">
        <f t="shared" si="80"/>
        <v>41805</v>
      </c>
      <c r="AK166" s="58">
        <f t="shared" ca="1" si="102"/>
        <v>4765</v>
      </c>
      <c r="AL166" s="26">
        <f ca="1">IF($A167="","",_xll.SPRDOPT(P166,X166,AI166,0,AB166,AE166,AF166,AK166,$AJ$2,0))</f>
        <v>0.14050673096674901</v>
      </c>
      <c r="AM166" s="209">
        <f t="shared" si="81"/>
        <v>0.1243786861515888</v>
      </c>
      <c r="AN166" s="89">
        <f t="shared" ca="1" si="103"/>
        <v>1.6128044815160211E-2</v>
      </c>
      <c r="AO166" s="3">
        <f t="shared" si="104"/>
        <v>30</v>
      </c>
      <c r="AP166" s="33">
        <f t="shared" si="105"/>
        <v>41791</v>
      </c>
      <c r="AQ166" s="58">
        <f t="shared" ca="1" si="82"/>
        <v>4765</v>
      </c>
      <c r="AR166" s="38">
        <f>IF(Summary!$H$2=1,VLOOKUP('ANR OK vs ML7'!A166,Curves!$C$17:$AR$273,MATCH('ANR OK vs ML7'!$AR$4,Curves!$C$8:$AQ$8,0)),0.1)</f>
        <v>0.1</v>
      </c>
      <c r="AS166" s="35">
        <f t="shared" ca="1" si="83"/>
        <v>0.27998501229894163</v>
      </c>
      <c r="AT166" s="3">
        <f t="shared" si="106"/>
        <v>1</v>
      </c>
      <c r="AU166" s="3">
        <f t="shared" si="84"/>
        <v>30</v>
      </c>
      <c r="AW166" s="32">
        <f t="shared" ca="1" si="107"/>
        <v>168608.07716009882</v>
      </c>
      <c r="AX166" s="32">
        <f t="shared" si="108"/>
        <v>149254.42338190656</v>
      </c>
      <c r="AY166" s="32">
        <f t="shared" ca="1" si="109"/>
        <v>19353.653778192253</v>
      </c>
      <c r="BA166" s="32">
        <f ca="1">IF($A167="","",F166*Summary!$Q$7)</f>
        <v>0</v>
      </c>
      <c r="BC166" s="256">
        <f t="shared" ca="1" si="110"/>
        <v>41789.001566254548</v>
      </c>
    </row>
    <row r="167" spans="1:55">
      <c r="A167" s="67">
        <f t="shared" si="85"/>
        <v>41821</v>
      </c>
      <c r="B167" s="69">
        <f t="shared" si="111"/>
        <v>40000</v>
      </c>
      <c r="C167" s="71"/>
      <c r="D167" s="69">
        <f t="shared" si="112"/>
        <v>40000</v>
      </c>
      <c r="E167" s="70">
        <f t="shared" si="76"/>
        <v>1240000</v>
      </c>
      <c r="F167" s="70">
        <f t="shared" ca="1" si="77"/>
        <v>344409.9429486767</v>
      </c>
      <c r="G167" s="63">
        <f t="shared" si="86"/>
        <v>4.6150000000000002</v>
      </c>
      <c r="H167" s="64">
        <f t="shared" si="87"/>
        <v>4.6150000000000002</v>
      </c>
      <c r="I167" s="43"/>
      <c r="J167" s="63">
        <f t="shared" si="88"/>
        <v>0.21</v>
      </c>
      <c r="K167" s="64">
        <f t="shared" si="89"/>
        <v>0.21</v>
      </c>
      <c r="L167" s="63">
        <f t="shared" si="90"/>
        <v>0</v>
      </c>
      <c r="M167" s="64">
        <f t="shared" si="91"/>
        <v>0</v>
      </c>
      <c r="N167" s="65"/>
      <c r="O167" s="63">
        <f t="shared" si="92"/>
        <v>4.8250000000000002</v>
      </c>
      <c r="P167" s="63">
        <f t="shared" si="93"/>
        <v>4.8250000000000002</v>
      </c>
      <c r="Q167" s="66"/>
      <c r="R167" s="63">
        <f t="shared" si="94"/>
        <v>-0.14000000000000001</v>
      </c>
      <c r="S167" s="64">
        <f t="shared" si="95"/>
        <v>-0.14000000000000001</v>
      </c>
      <c r="T167" s="63">
        <f t="shared" si="96"/>
        <v>-0.01</v>
      </c>
      <c r="U167" s="64">
        <f t="shared" si="97"/>
        <v>-0.01</v>
      </c>
      <c r="V167" s="207">
        <f>IF($A168="","",IF(AND(MONTH(A167)&gt;3,MONTH(A167)&lt;11),(T167+R167+G167)*Summary!$T$7/(1-Summary!$T$7),(T167+R167+G167)*Summary!$U$7/(1-Summary!$U$7)))</f>
        <v>0.21578414928189538</v>
      </c>
      <c r="W167" s="63">
        <f t="shared" si="98"/>
        <v>4.6807841492818953</v>
      </c>
      <c r="X167" s="63">
        <f t="shared" si="99"/>
        <v>4.6807841492818953</v>
      </c>
      <c r="Y167" s="43"/>
      <c r="Z167" s="38">
        <f t="shared" si="100"/>
        <v>0.55000000000000004</v>
      </c>
      <c r="AA167" s="38">
        <f t="shared" si="100"/>
        <v>0.17499999999999999</v>
      </c>
      <c r="AB167" s="38">
        <f t="shared" ca="1" si="78"/>
        <v>0.17778984325005182</v>
      </c>
      <c r="AC167" s="38">
        <f t="shared" si="100"/>
        <v>0.4</v>
      </c>
      <c r="AD167" s="38">
        <f t="shared" si="100"/>
        <v>0.17</v>
      </c>
      <c r="AE167" s="38">
        <f t="shared" ca="1" si="79"/>
        <v>0.17153201606082016</v>
      </c>
      <c r="AF167" s="238">
        <f ca="1">((Summary!$N$7*(AA167*AD167)*(A167-$D$3))+(Summary!$M$7*Z167*AC167*(DAY(EOMONTH(A167,0))/2)))/(AK167*AB167*AE167)</f>
        <v>0.99894204665924557</v>
      </c>
      <c r="AG167" s="88">
        <f>IF($A168="","",Summary!$Q$7)</f>
        <v>0</v>
      </c>
      <c r="AH167" s="88">
        <f>IF($A168="","",IF(Summary!$R$7="Y",(VLOOKUP($A167,Summary!$AD$6:$AF$9,3)+'Escalating commodity'!C180),'Escalating commodity'!C180))</f>
        <v>2.2495200000000003E-2</v>
      </c>
      <c r="AI167" s="88">
        <f t="shared" si="101"/>
        <v>2.2495200000000003E-2</v>
      </c>
      <c r="AJ167" s="236">
        <f t="shared" si="80"/>
        <v>41835.5</v>
      </c>
      <c r="AK167" s="58">
        <f t="shared" ca="1" si="102"/>
        <v>4795</v>
      </c>
      <c r="AL167" s="26">
        <f ca="1">IF($A168="","",_xll.SPRDOPT(P167,X167,AI167,0,AB167,AE167,AF167,AK167,$AJ$2,0))</f>
        <v>0.15027797322517877</v>
      </c>
      <c r="AM167" s="209">
        <f t="shared" si="81"/>
        <v>0.12172065071810483</v>
      </c>
      <c r="AN167" s="89">
        <f t="shared" ca="1" si="103"/>
        <v>2.8557322507073948E-2</v>
      </c>
      <c r="AO167" s="3">
        <f t="shared" si="104"/>
        <v>31</v>
      </c>
      <c r="AP167" s="33">
        <f t="shared" si="105"/>
        <v>41821</v>
      </c>
      <c r="AQ167" s="58">
        <f t="shared" ca="1" si="82"/>
        <v>4795</v>
      </c>
      <c r="AR167" s="38">
        <f>IF(Summary!$H$2=1,VLOOKUP('ANR OK vs ML7'!A167,Curves!$C$17:$AR$273,MATCH('ANR OK vs ML7'!$AR$4,Curves!$C$8:$AQ$8,0)),0.1)</f>
        <v>0.1</v>
      </c>
      <c r="AS167" s="35">
        <f t="shared" ca="1" si="83"/>
        <v>0.27774995399086833</v>
      </c>
      <c r="AT167" s="3">
        <f t="shared" si="106"/>
        <v>1</v>
      </c>
      <c r="AU167" s="3">
        <f t="shared" si="84"/>
        <v>31</v>
      </c>
      <c r="AW167" s="32">
        <f t="shared" ca="1" si="107"/>
        <v>186344.68679922167</v>
      </c>
      <c r="AX167" s="32">
        <f t="shared" si="108"/>
        <v>150933.60689044997</v>
      </c>
      <c r="AY167" s="32">
        <f t="shared" ca="1" si="109"/>
        <v>35411.079908771695</v>
      </c>
      <c r="BA167" s="32">
        <f ca="1">IF($A168="","",F167*Summary!$Q$7)</f>
        <v>0</v>
      </c>
      <c r="BC167" s="256">
        <f t="shared" ca="1" si="110"/>
        <v>41921.802369498284</v>
      </c>
    </row>
    <row r="168" spans="1:55">
      <c r="A168" s="67">
        <f t="shared" si="85"/>
        <v>41852</v>
      </c>
      <c r="B168" s="69">
        <f t="shared" si="111"/>
        <v>40000</v>
      </c>
      <c r="C168" s="71"/>
      <c r="D168" s="69">
        <f t="shared" si="112"/>
        <v>40000</v>
      </c>
      <c r="E168" s="70">
        <f t="shared" si="76"/>
        <v>1240000</v>
      </c>
      <c r="F168" s="70">
        <f t="shared" ca="1" si="77"/>
        <v>341569.32871387695</v>
      </c>
      <c r="G168" s="63">
        <f t="shared" si="86"/>
        <v>4.6710000000000003</v>
      </c>
      <c r="H168" s="64">
        <f t="shared" si="87"/>
        <v>4.6710000000000003</v>
      </c>
      <c r="I168" s="43"/>
      <c r="J168" s="63">
        <f t="shared" si="88"/>
        <v>0.21</v>
      </c>
      <c r="K168" s="64">
        <f t="shared" si="89"/>
        <v>0.21</v>
      </c>
      <c r="L168" s="63">
        <f t="shared" si="90"/>
        <v>0</v>
      </c>
      <c r="M168" s="64">
        <f t="shared" si="91"/>
        <v>0</v>
      </c>
      <c r="N168" s="65"/>
      <c r="O168" s="63">
        <f t="shared" si="92"/>
        <v>4.8810000000000002</v>
      </c>
      <c r="P168" s="63">
        <f t="shared" si="93"/>
        <v>4.8810000000000002</v>
      </c>
      <c r="Q168" s="66"/>
      <c r="R168" s="63">
        <f t="shared" si="94"/>
        <v>-0.14000000000000001</v>
      </c>
      <c r="S168" s="64">
        <f t="shared" si="95"/>
        <v>-0.14000000000000001</v>
      </c>
      <c r="T168" s="63">
        <f t="shared" si="96"/>
        <v>-0.01</v>
      </c>
      <c r="U168" s="64">
        <f t="shared" si="97"/>
        <v>-0.01</v>
      </c>
      <c r="V168" s="207">
        <f>IF($A169="","",IF(AND(MONTH(A168)&gt;3,MONTH(A168)&lt;11),(T168+R168+G168)*Summary!$T$7/(1-Summary!$T$7),(T168+R168+G168)*Summary!$U$7/(1-Summary!$U$7)))</f>
        <v>0.21849051263235139</v>
      </c>
      <c r="W168" s="63">
        <f t="shared" si="98"/>
        <v>4.7394905126323517</v>
      </c>
      <c r="X168" s="63">
        <f t="shared" si="99"/>
        <v>4.7394905126323517</v>
      </c>
      <c r="Y168" s="43"/>
      <c r="Z168" s="38">
        <f t="shared" si="100"/>
        <v>0.6</v>
      </c>
      <c r="AA168" s="38">
        <f t="shared" si="100"/>
        <v>0.17499999999999999</v>
      </c>
      <c r="AB168" s="38">
        <f t="shared" ca="1" si="78"/>
        <v>0.17829072573854279</v>
      </c>
      <c r="AC168" s="38">
        <f t="shared" si="100"/>
        <v>0.5</v>
      </c>
      <c r="AD168" s="38">
        <f t="shared" si="100"/>
        <v>0.17</v>
      </c>
      <c r="AE168" s="38">
        <f t="shared" ca="1" si="79"/>
        <v>0.1723627883028869</v>
      </c>
      <c r="AF168" s="238">
        <f ca="1">((Summary!$N$7*(AA168*AD168)*(A168-$D$3))+(Summary!$M$7*Z168*AC168*(DAY(EOMONTH(A168,0))/2)))/(AK168*AB168*AE168)</f>
        <v>0.99954550858071955</v>
      </c>
      <c r="AG168" s="88">
        <f>IF($A169="","",Summary!$Q$7)</f>
        <v>0</v>
      </c>
      <c r="AH168" s="88">
        <f>IF($A169="","",IF(Summary!$R$7="Y",(VLOOKUP($A168,Summary!$AD$6:$AF$9,3)+'Escalating commodity'!C181),'Escalating commodity'!C181))</f>
        <v>2.2495200000000003E-2</v>
      </c>
      <c r="AI168" s="88">
        <f t="shared" si="101"/>
        <v>2.2495200000000003E-2</v>
      </c>
      <c r="AJ168" s="236">
        <f t="shared" si="80"/>
        <v>41866.5</v>
      </c>
      <c r="AK168" s="58">
        <f t="shared" ca="1" si="102"/>
        <v>4826</v>
      </c>
      <c r="AL168" s="26">
        <f ca="1">IF($A169="","",_xll.SPRDOPT(P168,X168,AI168,0,AB168,AE168,AF168,AK168,$AJ$2,0))</f>
        <v>0.13765079794489454</v>
      </c>
      <c r="AM168" s="209">
        <f t="shared" si="81"/>
        <v>0.11901428736764856</v>
      </c>
      <c r="AN168" s="89">
        <f t="shared" ca="1" si="103"/>
        <v>1.8636510577245982E-2</v>
      </c>
      <c r="AO168" s="3">
        <f t="shared" si="104"/>
        <v>31</v>
      </c>
      <c r="AP168" s="33">
        <f t="shared" si="105"/>
        <v>41852</v>
      </c>
      <c r="AQ168" s="58">
        <f t="shared" ca="1" si="82"/>
        <v>4826</v>
      </c>
      <c r="AR168" s="38">
        <f>IF(Summary!$H$2=1,VLOOKUP('ANR OK vs ML7'!A168,Curves!$C$17:$AR$273,MATCH('ANR OK vs ML7'!$AR$4,Curves!$C$8:$AQ$8,0)),0.1)</f>
        <v>0.1</v>
      </c>
      <c r="AS168" s="35">
        <f t="shared" ca="1" si="83"/>
        <v>0.27545913605957817</v>
      </c>
      <c r="AT168" s="3">
        <f t="shared" si="106"/>
        <v>1</v>
      </c>
      <c r="AU168" s="3">
        <f t="shared" si="84"/>
        <v>31</v>
      </c>
      <c r="AW168" s="32">
        <f t="shared" ca="1" si="107"/>
        <v>170686.98945166924</v>
      </c>
      <c r="AX168" s="32">
        <f t="shared" si="108"/>
        <v>147577.71633588421</v>
      </c>
      <c r="AY168" s="32">
        <f t="shared" ca="1" si="109"/>
        <v>23109.273115785018</v>
      </c>
      <c r="BA168" s="32">
        <f ca="1">IF($A169="","",F168*Summary!$Q$7)</f>
        <v>0</v>
      </c>
      <c r="BC168" s="256">
        <f t="shared" ca="1" si="110"/>
        <v>40651.630243528161</v>
      </c>
    </row>
    <row r="169" spans="1:55">
      <c r="A169" s="67">
        <f t="shared" si="85"/>
        <v>41883</v>
      </c>
      <c r="B169" s="69">
        <f t="shared" si="111"/>
        <v>40000</v>
      </c>
      <c r="C169" s="71"/>
      <c r="D169" s="69">
        <f t="shared" si="112"/>
        <v>40000</v>
      </c>
      <c r="E169" s="70">
        <f t="shared" si="76"/>
        <v>1200000</v>
      </c>
      <c r="F169" s="70">
        <f t="shared" ca="1" si="77"/>
        <v>327824.65472314943</v>
      </c>
      <c r="G169" s="63">
        <f t="shared" si="86"/>
        <v>4.6849999999999996</v>
      </c>
      <c r="H169" s="64">
        <f t="shared" si="87"/>
        <v>4.6849999999999996</v>
      </c>
      <c r="I169" s="43"/>
      <c r="J169" s="63">
        <f t="shared" si="88"/>
        <v>0.21</v>
      </c>
      <c r="K169" s="64">
        <f t="shared" si="89"/>
        <v>0.21</v>
      </c>
      <c r="L169" s="63">
        <f t="shared" si="90"/>
        <v>0</v>
      </c>
      <c r="M169" s="64">
        <f t="shared" si="91"/>
        <v>0</v>
      </c>
      <c r="N169" s="65"/>
      <c r="O169" s="63">
        <f t="shared" si="92"/>
        <v>4.8949999999999996</v>
      </c>
      <c r="P169" s="63">
        <f t="shared" si="93"/>
        <v>4.8949999999999996</v>
      </c>
      <c r="Q169" s="66"/>
      <c r="R169" s="63">
        <f t="shared" si="94"/>
        <v>-0.14000000000000001</v>
      </c>
      <c r="S169" s="64">
        <f t="shared" si="95"/>
        <v>-0.14000000000000001</v>
      </c>
      <c r="T169" s="63">
        <f t="shared" si="96"/>
        <v>-0.01</v>
      </c>
      <c r="U169" s="64">
        <f t="shared" si="97"/>
        <v>-0.01</v>
      </c>
      <c r="V169" s="207">
        <f>IF($A170="","",IF(AND(MONTH(A169)&gt;3,MONTH(A169)&lt;11),(T169+R169+G169)*Summary!$T$7/(1-Summary!$T$7),(T169+R169+G169)*Summary!$U$7/(1-Summary!$U$7)))</f>
        <v>0.2191671034699654</v>
      </c>
      <c r="W169" s="63">
        <f t="shared" si="98"/>
        <v>4.7541671034699649</v>
      </c>
      <c r="X169" s="63">
        <f t="shared" si="99"/>
        <v>4.7541671034699649</v>
      </c>
      <c r="Y169" s="43"/>
      <c r="Z169" s="38">
        <f t="shared" si="100"/>
        <v>0.6</v>
      </c>
      <c r="AA169" s="38">
        <f t="shared" si="100"/>
        <v>0.17499999999999999</v>
      </c>
      <c r="AB169" s="38">
        <f t="shared" ca="1" si="78"/>
        <v>0.17816594157783308</v>
      </c>
      <c r="AC169" s="38">
        <f t="shared" si="100"/>
        <v>0.55000000000000004</v>
      </c>
      <c r="AD169" s="38">
        <f t="shared" si="100"/>
        <v>0.17</v>
      </c>
      <c r="AE169" s="38">
        <f t="shared" ca="1" si="79"/>
        <v>0.17274307172357148</v>
      </c>
      <c r="AF169" s="238">
        <f ca="1">((Summary!$N$7*(AA169*AD169)*(A169-$D$3))+(Summary!$M$7*Z169*AC169*(DAY(EOMONTH(A169,0))/2)))/(AK169*AB169*AE169)</f>
        <v>0.9998494055531485</v>
      </c>
      <c r="AG169" s="88">
        <f>IF($A170="","",Summary!$Q$7)</f>
        <v>0</v>
      </c>
      <c r="AH169" s="88">
        <f>IF($A170="","",IF(Summary!$R$7="Y",(VLOOKUP($A169,Summary!$AD$6:$AF$9,3)+'Escalating commodity'!C182),'Escalating commodity'!C182))</f>
        <v>2.2495200000000003E-2</v>
      </c>
      <c r="AI169" s="88">
        <f t="shared" si="101"/>
        <v>2.2495200000000003E-2</v>
      </c>
      <c r="AJ169" s="236">
        <f t="shared" si="80"/>
        <v>41897</v>
      </c>
      <c r="AK169" s="58">
        <f t="shared" ca="1" si="102"/>
        <v>4857</v>
      </c>
      <c r="AL169" s="26">
        <f ca="1">IF($A170="","",_xll.SPRDOPT(P169,X169,AI169,0,AB169,AE169,AF169,AK169,$AJ$2,0))</f>
        <v>0.12992280281696675</v>
      </c>
      <c r="AM169" s="209">
        <f t="shared" si="81"/>
        <v>0.11833769653003472</v>
      </c>
      <c r="AN169" s="89">
        <f t="shared" ca="1" si="103"/>
        <v>1.1585106286932031E-2</v>
      </c>
      <c r="AO169" s="3">
        <f t="shared" si="104"/>
        <v>30</v>
      </c>
      <c r="AP169" s="33">
        <f t="shared" si="105"/>
        <v>41883</v>
      </c>
      <c r="AQ169" s="58">
        <f t="shared" ca="1" si="82"/>
        <v>4857</v>
      </c>
      <c r="AR169" s="38">
        <f>IF(Summary!$H$2=1,VLOOKUP('ANR OK vs ML7'!A169,Curves!$C$17:$AR$273,MATCH('ANR OK vs ML7'!$AR$4,Curves!$C$8:$AQ$8,0)),0.1)</f>
        <v>0.1</v>
      </c>
      <c r="AS169" s="35">
        <f t="shared" ca="1" si="83"/>
        <v>0.27318721226929121</v>
      </c>
      <c r="AT169" s="3">
        <f t="shared" si="106"/>
        <v>1</v>
      </c>
      <c r="AU169" s="3">
        <f t="shared" si="84"/>
        <v>30</v>
      </c>
      <c r="AW169" s="32">
        <f t="shared" ca="1" si="107"/>
        <v>155907.3633803601</v>
      </c>
      <c r="AX169" s="32">
        <f t="shared" si="108"/>
        <v>142005.23583604165</v>
      </c>
      <c r="AY169" s="32">
        <f t="shared" ca="1" si="109"/>
        <v>13902.127544318439</v>
      </c>
      <c r="BA169" s="32">
        <f ca="1">IF($A170="","",F169*Summary!$Q$7)</f>
        <v>0</v>
      </c>
      <c r="BC169" s="256">
        <f t="shared" ca="1" si="110"/>
        <v>38794.01450569147</v>
      </c>
    </row>
    <row r="170" spans="1:55" ht="12" customHeight="1">
      <c r="A170" s="67">
        <f t="shared" si="85"/>
        <v>41913</v>
      </c>
      <c r="B170" s="69">
        <f t="shared" si="111"/>
        <v>40000</v>
      </c>
      <c r="C170" s="71"/>
      <c r="D170" s="69">
        <f t="shared" si="112"/>
        <v>40000</v>
      </c>
      <c r="E170" s="70">
        <f t="shared" si="76"/>
        <v>1240000</v>
      </c>
      <c r="F170" s="70">
        <f t="shared" ca="1" si="77"/>
        <v>336047.95992264006</v>
      </c>
      <c r="G170" s="63">
        <f t="shared" si="86"/>
        <v>4.7160000000000002</v>
      </c>
      <c r="H170" s="64">
        <f t="shared" si="87"/>
        <v>4.7160000000000002</v>
      </c>
      <c r="I170" s="43"/>
      <c r="J170" s="63">
        <f t="shared" si="88"/>
        <v>0.21</v>
      </c>
      <c r="K170" s="64">
        <f t="shared" si="89"/>
        <v>0.21</v>
      </c>
      <c r="L170" s="63">
        <f t="shared" si="90"/>
        <v>0</v>
      </c>
      <c r="M170" s="64">
        <f t="shared" si="91"/>
        <v>0</v>
      </c>
      <c r="N170" s="65"/>
      <c r="O170" s="63">
        <f t="shared" si="92"/>
        <v>4.9260000000000002</v>
      </c>
      <c r="P170" s="63">
        <f t="shared" si="93"/>
        <v>4.9260000000000002</v>
      </c>
      <c r="Q170" s="66"/>
      <c r="R170" s="63">
        <f t="shared" si="94"/>
        <v>-0.14000000000000001</v>
      </c>
      <c r="S170" s="64">
        <f t="shared" si="95"/>
        <v>-0.14000000000000001</v>
      </c>
      <c r="T170" s="63">
        <f t="shared" si="96"/>
        <v>-0.01</v>
      </c>
      <c r="U170" s="64">
        <f t="shared" si="97"/>
        <v>-0.01</v>
      </c>
      <c r="V170" s="207">
        <f>IF($A171="","",IF(AND(MONTH(A170)&gt;3,MONTH(A170)&lt;11),(T170+R170+G170)*Summary!$T$7/(1-Summary!$T$7),(T170+R170+G170)*Summary!$U$7/(1-Summary!$U$7)))</f>
        <v>0.22066526889611071</v>
      </c>
      <c r="W170" s="63">
        <f t="shared" si="98"/>
        <v>4.7866652688961109</v>
      </c>
      <c r="X170" s="63">
        <f t="shared" si="99"/>
        <v>4.7866652688961109</v>
      </c>
      <c r="Y170" s="43"/>
      <c r="Z170" s="38">
        <f t="shared" si="100"/>
        <v>0.65</v>
      </c>
      <c r="AA170" s="38">
        <f t="shared" si="100"/>
        <v>0.17499999999999999</v>
      </c>
      <c r="AB170" s="38">
        <f t="shared" ca="1" si="78"/>
        <v>0.17880520521480672</v>
      </c>
      <c r="AC170" s="38">
        <f t="shared" si="100"/>
        <v>0.55000000000000004</v>
      </c>
      <c r="AD170" s="38">
        <f t="shared" si="100"/>
        <v>0.17</v>
      </c>
      <c r="AE170" s="38">
        <f t="shared" ca="1" si="79"/>
        <v>0.17281593340473925</v>
      </c>
      <c r="AF170" s="238">
        <f ca="1">((Summary!$N$7*(AA170*AD170)*(A170-$D$3))+(Summary!$M$7*Z170*AC170*(DAY(EOMONTH(A170,0))/2)))/(AK170*AB170*AE170)</f>
        <v>0.99956632007974178</v>
      </c>
      <c r="AG170" s="88">
        <f>IF($A171="","",Summary!$Q$7)</f>
        <v>0</v>
      </c>
      <c r="AH170" s="88">
        <f>IF($A171="","",IF(Summary!$R$7="Y",(VLOOKUP($A170,Summary!$AD$6:$AF$9,3)+'Escalating commodity'!C183),'Escalating commodity'!C183))</f>
        <v>2.2495200000000003E-2</v>
      </c>
      <c r="AI170" s="88">
        <f t="shared" si="101"/>
        <v>2.2495200000000003E-2</v>
      </c>
      <c r="AJ170" s="236">
        <f t="shared" si="80"/>
        <v>41927.5</v>
      </c>
      <c r="AK170" s="58">
        <f t="shared" ca="1" si="102"/>
        <v>4887</v>
      </c>
      <c r="AL170" s="26">
        <f ca="1">IF($A171="","",_xll.SPRDOPT(P170,X170,AI170,0,AB170,AE170,AF170,AK170,$AJ$2,0))</f>
        <v>0.13649562491240663</v>
      </c>
      <c r="AM170" s="209">
        <f t="shared" si="81"/>
        <v>0.11683953110388927</v>
      </c>
      <c r="AN170" s="89">
        <f t="shared" ca="1" si="103"/>
        <v>1.9656093808517364E-2</v>
      </c>
      <c r="AO170" s="3">
        <f t="shared" si="104"/>
        <v>31</v>
      </c>
      <c r="AP170" s="33">
        <f t="shared" si="105"/>
        <v>41913</v>
      </c>
      <c r="AQ170" s="58">
        <f t="shared" ca="1" si="82"/>
        <v>4887</v>
      </c>
      <c r="AR170" s="38">
        <f>IF(Summary!$H$2=1,VLOOKUP('ANR OK vs ML7'!A170,Curves!$C$17:$AR$273,MATCH('ANR OK vs ML7'!$AR$4,Curves!$C$8:$AQ$8,0)),0.1)</f>
        <v>0.1</v>
      </c>
      <c r="AS170" s="35">
        <f t="shared" ca="1" si="83"/>
        <v>0.27100641929245167</v>
      </c>
      <c r="AT170" s="3">
        <f t="shared" si="106"/>
        <v>1</v>
      </c>
      <c r="AU170" s="3">
        <f t="shared" si="84"/>
        <v>31</v>
      </c>
      <c r="AW170" s="32">
        <f t="shared" ca="1" si="107"/>
        <v>169254.57489138423</v>
      </c>
      <c r="AX170" s="32">
        <f t="shared" si="108"/>
        <v>144881.01856882271</v>
      </c>
      <c r="AY170" s="32">
        <f t="shared" ca="1" si="109"/>
        <v>24373.55632256153</v>
      </c>
      <c r="BA170" s="32">
        <f ca="1">IF($A171="","",F170*Summary!$Q$7)</f>
        <v>0</v>
      </c>
      <c r="BC170" s="256">
        <f t="shared" ca="1" si="110"/>
        <v>39263.686065779839</v>
      </c>
    </row>
    <row r="171" spans="1:55" ht="12" customHeight="1">
      <c r="A171" s="67">
        <f t="shared" si="85"/>
        <v>41944</v>
      </c>
      <c r="B171" s="69">
        <f t="shared" si="111"/>
        <v>40000</v>
      </c>
      <c r="C171" s="71"/>
      <c r="D171" s="69">
        <f t="shared" si="112"/>
        <v>40000</v>
      </c>
      <c r="E171" s="70">
        <f t="shared" si="76"/>
        <v>1200000</v>
      </c>
      <c r="F171" s="70">
        <f t="shared" ca="1" si="77"/>
        <v>322525.46458684001</v>
      </c>
      <c r="G171" s="63">
        <f t="shared" si="86"/>
        <v>4.8490000000000002</v>
      </c>
      <c r="H171" s="64">
        <f t="shared" si="87"/>
        <v>4.8490000000000002</v>
      </c>
      <c r="I171" s="43"/>
      <c r="J171" s="63">
        <f t="shared" si="88"/>
        <v>0.1</v>
      </c>
      <c r="K171" s="64">
        <f t="shared" si="89"/>
        <v>0.1</v>
      </c>
      <c r="L171" s="63">
        <f t="shared" si="90"/>
        <v>0</v>
      </c>
      <c r="M171" s="64">
        <f t="shared" si="91"/>
        <v>0</v>
      </c>
      <c r="N171" s="65"/>
      <c r="O171" s="63">
        <f t="shared" si="92"/>
        <v>4.9489999999999998</v>
      </c>
      <c r="P171" s="63">
        <f t="shared" si="93"/>
        <v>4.9489999999999998</v>
      </c>
      <c r="Q171" s="66"/>
      <c r="R171" s="63">
        <f t="shared" si="94"/>
        <v>-0.14249999999999999</v>
      </c>
      <c r="S171" s="64">
        <f t="shared" si="95"/>
        <v>-0.14249999999999999</v>
      </c>
      <c r="T171" s="63">
        <f t="shared" si="96"/>
        <v>0.01</v>
      </c>
      <c r="U171" s="64">
        <f t="shared" si="97"/>
        <v>0.01</v>
      </c>
      <c r="V171" s="207">
        <f>IF($A172="","",IF(AND(MONTH(A171)&gt;3,MONTH(A171)&lt;11),(T171+R171+G171)*Summary!$T$7/(1-Summary!$T$7),(T171+R171+G171)*Summary!$U$7/(1-Summary!$U$7)))</f>
        <v>0.22793862040046128</v>
      </c>
      <c r="W171" s="63">
        <f t="shared" si="98"/>
        <v>4.9444386204004616</v>
      </c>
      <c r="X171" s="63">
        <f t="shared" si="99"/>
        <v>4.9444386204004616</v>
      </c>
      <c r="Y171" s="43"/>
      <c r="Z171" s="38">
        <f t="shared" si="100"/>
        <v>0.8</v>
      </c>
      <c r="AA171" s="38">
        <f t="shared" si="100"/>
        <v>0.17499999999999999</v>
      </c>
      <c r="AB171" s="38">
        <f t="shared" ca="1" si="78"/>
        <v>0.18050828274145089</v>
      </c>
      <c r="AC171" s="38">
        <f t="shared" si="100"/>
        <v>0.8</v>
      </c>
      <c r="AD171" s="38">
        <f t="shared" si="100"/>
        <v>0.17</v>
      </c>
      <c r="AE171" s="38">
        <f t="shared" ca="1" si="79"/>
        <v>0.17566413801891734</v>
      </c>
      <c r="AF171" s="238">
        <f ca="1">((Summary!$N$7*(AA171*AD171)*(A171-$D$3))+(Summary!$M$7*Z171*AC171*(DAY(EOMONTH(A171,0))/2)))/(AK171*AB171*AE171)</f>
        <v>0.99988188535072775</v>
      </c>
      <c r="AG171" s="88">
        <f>IF($A172="","",Summary!$Q$7)</f>
        <v>0</v>
      </c>
      <c r="AH171" s="88">
        <f>IF($A172="","",IF(Summary!$R$7="Y",(VLOOKUP($A171,Summary!$AD$6:$AF$9,3)+'Escalating commodity'!C184),'Escalating commodity'!C184))</f>
        <v>2.2495200000000003E-2</v>
      </c>
      <c r="AI171" s="88">
        <f t="shared" si="101"/>
        <v>2.2495200000000003E-2</v>
      </c>
      <c r="AJ171" s="236">
        <f t="shared" si="80"/>
        <v>41958</v>
      </c>
      <c r="AK171" s="58">
        <f t="shared" ca="1" si="102"/>
        <v>4918</v>
      </c>
      <c r="AL171" s="26">
        <f ca="1">IF($A172="","",_xll.SPRDOPT(P171,X171,AI171,0,AB171,AE171,AF171,AK171,$AJ$2,0))</f>
        <v>3.5556370482416937E-2</v>
      </c>
      <c r="AM171" s="209">
        <f t="shared" si="81"/>
        <v>0</v>
      </c>
      <c r="AN171" s="89">
        <f t="shared" ca="1" si="103"/>
        <v>3.5556370482416937E-2</v>
      </c>
      <c r="AO171" s="3">
        <f t="shared" si="104"/>
        <v>30</v>
      </c>
      <c r="AP171" s="33">
        <f t="shared" si="105"/>
        <v>41944</v>
      </c>
      <c r="AQ171" s="58">
        <f t="shared" ca="1" si="82"/>
        <v>4918</v>
      </c>
      <c r="AR171" s="38">
        <f>IF(Summary!$H$2=1,VLOOKUP('ANR OK vs ML7'!A171,Curves!$C$17:$AR$273,MATCH('ANR OK vs ML7'!$AR$4,Curves!$C$8:$AQ$8,0)),0.1)</f>
        <v>0.1</v>
      </c>
      <c r="AS171" s="35">
        <f t="shared" ca="1" si="83"/>
        <v>0.26877122048903335</v>
      </c>
      <c r="AT171" s="3">
        <f t="shared" si="106"/>
        <v>1</v>
      </c>
      <c r="AU171" s="3">
        <f t="shared" si="84"/>
        <v>30</v>
      </c>
      <c r="AW171" s="32">
        <f t="shared" ca="1" si="107"/>
        <v>42667.644578900326</v>
      </c>
      <c r="AX171" s="32">
        <f t="shared" si="108"/>
        <v>0</v>
      </c>
      <c r="AY171" s="32">
        <f t="shared" ca="1" si="109"/>
        <v>42667.644578900326</v>
      </c>
      <c r="BA171" s="32">
        <f ca="1">IF($A172="","",F171*Summary!$Q$7)</f>
        <v>0</v>
      </c>
      <c r="BC171" s="256">
        <f t="shared" ca="1" si="110"/>
        <v>0</v>
      </c>
    </row>
    <row r="172" spans="1:55" ht="12" customHeight="1">
      <c r="A172" s="67">
        <f t="shared" si="85"/>
        <v>41974</v>
      </c>
      <c r="B172" s="69">
        <f t="shared" si="111"/>
        <v>40000</v>
      </c>
      <c r="C172" s="71"/>
      <c r="D172" s="69">
        <f t="shared" si="112"/>
        <v>40000</v>
      </c>
      <c r="E172" s="70">
        <f t="shared" si="76"/>
        <v>1240000</v>
      </c>
      <c r="F172" s="70">
        <f t="shared" ca="1" si="77"/>
        <v>330615.84245102148</v>
      </c>
      <c r="G172" s="63">
        <f t="shared" si="86"/>
        <v>4.9870000000000001</v>
      </c>
      <c r="H172" s="64">
        <f t="shared" si="87"/>
        <v>4.9870000000000001</v>
      </c>
      <c r="I172" s="43"/>
      <c r="J172" s="63">
        <f t="shared" si="88"/>
        <v>0.1</v>
      </c>
      <c r="K172" s="64">
        <f t="shared" si="89"/>
        <v>0.1</v>
      </c>
      <c r="L172" s="63">
        <f t="shared" si="90"/>
        <v>0</v>
      </c>
      <c r="M172" s="64">
        <f t="shared" si="91"/>
        <v>0</v>
      </c>
      <c r="N172" s="65"/>
      <c r="O172" s="63">
        <f t="shared" si="92"/>
        <v>5.0869999999999997</v>
      </c>
      <c r="P172" s="63">
        <f t="shared" si="93"/>
        <v>5.0869999999999997</v>
      </c>
      <c r="Q172" s="66"/>
      <c r="R172" s="63">
        <f t="shared" si="94"/>
        <v>-0.13750000000000001</v>
      </c>
      <c r="S172" s="64">
        <f t="shared" si="95"/>
        <v>-0.13750000000000001</v>
      </c>
      <c r="T172" s="63">
        <f t="shared" si="96"/>
        <v>0.01</v>
      </c>
      <c r="U172" s="64">
        <f t="shared" si="97"/>
        <v>0.01</v>
      </c>
      <c r="V172" s="207">
        <f>IF($A173="","",IF(AND(MONTH(A172)&gt;3,MONTH(A172)&lt;11),(T172+R172+G172)*Summary!$T$7/(1-Summary!$T$7),(T172+R172+G172)*Summary!$U$7/(1-Summary!$U$7)))</f>
        <v>0.23484951252751862</v>
      </c>
      <c r="W172" s="63">
        <f t="shared" si="98"/>
        <v>5.0943495125275184</v>
      </c>
      <c r="X172" s="63">
        <f t="shared" si="99"/>
        <v>5.0943495125275184</v>
      </c>
      <c r="Y172" s="43"/>
      <c r="Z172" s="38">
        <f t="shared" si="100"/>
        <v>1.1000000000000001</v>
      </c>
      <c r="AA172" s="38">
        <f t="shared" si="100"/>
        <v>0.17499999999999999</v>
      </c>
      <c r="AB172" s="38">
        <f t="shared" ca="1" si="78"/>
        <v>0.18553061672217236</v>
      </c>
      <c r="AC172" s="38">
        <f t="shared" si="100"/>
        <v>1</v>
      </c>
      <c r="AD172" s="38">
        <f t="shared" si="100"/>
        <v>0.17</v>
      </c>
      <c r="AE172" s="38">
        <f t="shared" ca="1" si="79"/>
        <v>0.17899279193157469</v>
      </c>
      <c r="AF172" s="238">
        <f ca="1">((Summary!$N$7*(AA172*AD172)*(A172-$D$3))+(Summary!$M$7*Z172*AC172*(DAY(EOMONTH(A172,0))/2)))/(AK172*AB172*AE172)</f>
        <v>0.99970581619049281</v>
      </c>
      <c r="AG172" s="88">
        <f>IF($A173="","",Summary!$Q$7)</f>
        <v>0</v>
      </c>
      <c r="AH172" s="88">
        <f>IF($A173="","",IF(Summary!$R$7="Y",(VLOOKUP($A172,Summary!$AD$6:$AF$9,3)+'Escalating commodity'!C185),'Escalating commodity'!C185))</f>
        <v>2.2495200000000003E-2</v>
      </c>
      <c r="AI172" s="88">
        <f t="shared" si="101"/>
        <v>2.2495200000000003E-2</v>
      </c>
      <c r="AJ172" s="236">
        <f t="shared" si="80"/>
        <v>41988.5</v>
      </c>
      <c r="AK172" s="58">
        <f t="shared" ca="1" si="102"/>
        <v>4948</v>
      </c>
      <c r="AL172" s="26">
        <f ca="1">IF($A173="","",_xll.SPRDOPT(P172,X172,AI172,0,AB172,AE172,AF172,AK172,$AJ$2,0))</f>
        <v>4.8569610445102614E-2</v>
      </c>
      <c r="AM172" s="209">
        <f t="shared" si="81"/>
        <v>0</v>
      </c>
      <c r="AN172" s="89">
        <f t="shared" ca="1" si="103"/>
        <v>4.8569610445102614E-2</v>
      </c>
      <c r="AO172" s="3">
        <f t="shared" si="104"/>
        <v>31</v>
      </c>
      <c r="AP172" s="33">
        <f t="shared" si="105"/>
        <v>41974</v>
      </c>
      <c r="AQ172" s="58">
        <f t="shared" ca="1" si="82"/>
        <v>4948</v>
      </c>
      <c r="AR172" s="38">
        <f>IF(Summary!$H$2=1,VLOOKUP('ANR OK vs ML7'!A172,Curves!$C$17:$AR$273,MATCH('ANR OK vs ML7'!$AR$4,Curves!$C$8:$AQ$8,0)),0.1)</f>
        <v>0.1</v>
      </c>
      <c r="AS172" s="35">
        <f t="shared" ca="1" si="83"/>
        <v>0.26662567939598508</v>
      </c>
      <c r="AT172" s="3">
        <f t="shared" si="106"/>
        <v>1</v>
      </c>
      <c r="AU172" s="3">
        <f t="shared" si="84"/>
        <v>31</v>
      </c>
      <c r="AW172" s="32">
        <f t="shared" ca="1" si="107"/>
        <v>60226.316951927241</v>
      </c>
      <c r="AX172" s="32">
        <f t="shared" si="108"/>
        <v>0</v>
      </c>
      <c r="AY172" s="32">
        <f t="shared" ca="1" si="109"/>
        <v>60226.316951927241</v>
      </c>
      <c r="BA172" s="32">
        <f ca="1">IF($A173="","",F172*Summary!$Q$7)</f>
        <v>0</v>
      </c>
      <c r="BC172" s="256">
        <f t="shared" ca="1" si="110"/>
        <v>0</v>
      </c>
    </row>
    <row r="173" spans="1:55" ht="12" customHeight="1">
      <c r="A173" s="67">
        <f t="shared" si="85"/>
        <v>42005</v>
      </c>
      <c r="B173" s="69" t="str">
        <f t="shared" si="111"/>
        <v/>
      </c>
      <c r="C173" s="71"/>
      <c r="D173" s="69" t="str">
        <f t="shared" si="112"/>
        <v/>
      </c>
      <c r="E173" s="70" t="str">
        <f t="shared" si="76"/>
        <v/>
      </c>
      <c r="F173" s="70" t="str">
        <f t="shared" si="77"/>
        <v/>
      </c>
      <c r="G173" s="63" t="str">
        <f t="shared" si="86"/>
        <v/>
      </c>
      <c r="H173" s="64" t="str">
        <f t="shared" si="87"/>
        <v/>
      </c>
      <c r="I173" s="43"/>
      <c r="J173" s="63" t="str">
        <f t="shared" si="88"/>
        <v/>
      </c>
      <c r="K173" s="64" t="str">
        <f t="shared" si="89"/>
        <v/>
      </c>
      <c r="L173" s="63" t="str">
        <f t="shared" si="90"/>
        <v/>
      </c>
      <c r="M173" s="64" t="str">
        <f t="shared" si="91"/>
        <v/>
      </c>
      <c r="N173" s="65"/>
      <c r="O173" s="63" t="str">
        <f t="shared" si="92"/>
        <v/>
      </c>
      <c r="P173" s="63" t="str">
        <f t="shared" si="93"/>
        <v/>
      </c>
      <c r="Q173" s="66"/>
      <c r="R173" s="63" t="str">
        <f t="shared" si="94"/>
        <v/>
      </c>
      <c r="S173" s="64" t="str">
        <f t="shared" si="95"/>
        <v/>
      </c>
      <c r="T173" s="63" t="str">
        <f t="shared" si="96"/>
        <v/>
      </c>
      <c r="U173" s="64" t="str">
        <f t="shared" si="97"/>
        <v/>
      </c>
      <c r="V173" s="207" t="str">
        <f>IF($A174="","",IF(AND(MONTH(A173)&gt;3,MONTH(A173)&lt;11),(T173+R173+G173)*Summary!$T$7/(1-Summary!$T$7),(T173+R173+G173)*Summary!$U$7/(1-Summary!$U$7)))</f>
        <v/>
      </c>
      <c r="W173" s="63" t="str">
        <f t="shared" si="98"/>
        <v/>
      </c>
      <c r="X173" s="63" t="str">
        <f t="shared" si="99"/>
        <v/>
      </c>
      <c r="Y173" s="43"/>
      <c r="Z173" s="38" t="str">
        <f t="shared" si="100"/>
        <v/>
      </c>
      <c r="AA173" s="38" t="str">
        <f t="shared" si="100"/>
        <v/>
      </c>
      <c r="AB173" s="38" t="e">
        <f t="shared" si="78"/>
        <v>#VALUE!</v>
      </c>
      <c r="AC173" s="38" t="str">
        <f t="shared" si="100"/>
        <v/>
      </c>
      <c r="AD173" s="38" t="str">
        <f t="shared" si="100"/>
        <v/>
      </c>
      <c r="AE173" s="38" t="e">
        <f t="shared" si="79"/>
        <v>#VALUE!</v>
      </c>
      <c r="AF173" s="238" t="e">
        <f>((Summary!$N$7*(AA173*AD173)*(A173-$D$3))+(Summary!$M$7*Z173*AC173*(DAY(EOMONTH(A173,0))/2)))/(AK173*AB173*AE173)</f>
        <v>#VALUE!</v>
      </c>
      <c r="AG173" s="88" t="str">
        <f>IF($A174="","",Summary!$Q$7)</f>
        <v/>
      </c>
      <c r="AH173" s="88" t="str">
        <f>IF($A174="","",IF(Summary!$R$7="Y",(VLOOKUP($A173,Summary!$AD$6:$AF$9,3)+'Escalating commodity'!C186),'Escalating commodity'!C186))</f>
        <v/>
      </c>
      <c r="AI173" s="88" t="str">
        <f t="shared" si="101"/>
        <v/>
      </c>
      <c r="AJ173" s="236">
        <f t="shared" si="80"/>
        <v>42019.5</v>
      </c>
      <c r="AK173" s="58" t="str">
        <f t="shared" si="102"/>
        <v/>
      </c>
      <c r="AL173" s="26" t="str">
        <f>IF($A174="","",_xll.SPRDOPT(P173,X173,AI173,0,AB173,AE173,AF173,AK173,$AJ$2,0))</f>
        <v/>
      </c>
      <c r="AM173" s="209" t="str">
        <f t="shared" si="81"/>
        <v/>
      </c>
      <c r="AN173" s="89" t="str">
        <f t="shared" si="103"/>
        <v/>
      </c>
      <c r="AO173" s="3" t="str">
        <f t="shared" si="104"/>
        <v/>
      </c>
      <c r="AP173" s="33" t="str">
        <f t="shared" si="105"/>
        <v/>
      </c>
      <c r="AQ173" s="58" t="str">
        <f t="shared" si="82"/>
        <v/>
      </c>
      <c r="AR173" s="38">
        <f>IF(Summary!$H$2=1,VLOOKUP('ANR OK vs ML7'!A173,Curves!$C$17:$AR$273,MATCH('ANR OK vs ML7'!$AR$4,Curves!$C$8:$AQ$8,0)),0.1)</f>
        <v>0.1</v>
      </c>
      <c r="AS173" s="35" t="str">
        <f t="shared" si="83"/>
        <v/>
      </c>
      <c r="AT173" s="3" t="str">
        <f t="shared" si="106"/>
        <v/>
      </c>
      <c r="AU173" s="3" t="str">
        <f t="shared" si="84"/>
        <v/>
      </c>
      <c r="AW173" s="32" t="str">
        <f t="shared" si="107"/>
        <v/>
      </c>
      <c r="AX173" s="32" t="str">
        <f t="shared" si="108"/>
        <v/>
      </c>
      <c r="AY173" s="32" t="str">
        <f t="shared" si="109"/>
        <v/>
      </c>
      <c r="BA173" s="32" t="str">
        <f>IF($A174="","",F173*Summary!$Q$7)</f>
        <v/>
      </c>
      <c r="BC173" s="256" t="str">
        <f t="shared" si="110"/>
        <v/>
      </c>
    </row>
    <row r="174" spans="1:55" ht="12" customHeight="1">
      <c r="A174" s="67" t="str">
        <f t="shared" si="85"/>
        <v/>
      </c>
      <c r="B174" s="69" t="str">
        <f t="shared" si="111"/>
        <v/>
      </c>
      <c r="C174" s="71"/>
      <c r="D174" s="69" t="str">
        <f t="shared" si="112"/>
        <v/>
      </c>
      <c r="E174" s="70" t="str">
        <f t="shared" si="76"/>
        <v/>
      </c>
      <c r="F174" s="70" t="str">
        <f t="shared" si="77"/>
        <v/>
      </c>
      <c r="G174" s="63" t="str">
        <f t="shared" si="86"/>
        <v/>
      </c>
      <c r="H174" s="64" t="str">
        <f t="shared" si="87"/>
        <v/>
      </c>
      <c r="I174" s="43"/>
      <c r="J174" s="63" t="str">
        <f t="shared" si="88"/>
        <v/>
      </c>
      <c r="K174" s="64" t="str">
        <f t="shared" si="89"/>
        <v/>
      </c>
      <c r="L174" s="63" t="str">
        <f t="shared" si="90"/>
        <v/>
      </c>
      <c r="M174" s="64" t="str">
        <f t="shared" si="91"/>
        <v/>
      </c>
      <c r="N174" s="65"/>
      <c r="O174" s="63" t="str">
        <f t="shared" si="92"/>
        <v/>
      </c>
      <c r="P174" s="63" t="str">
        <f t="shared" si="93"/>
        <v/>
      </c>
      <c r="Q174" s="66"/>
      <c r="R174" s="63" t="str">
        <f t="shared" si="94"/>
        <v/>
      </c>
      <c r="S174" s="64" t="str">
        <f t="shared" si="95"/>
        <v/>
      </c>
      <c r="T174" s="63" t="str">
        <f t="shared" si="96"/>
        <v/>
      </c>
      <c r="U174" s="64" t="str">
        <f t="shared" si="97"/>
        <v/>
      </c>
      <c r="V174" s="207" t="str">
        <f>IF($A175="","",IF(AND(MONTH(A174)&gt;3,MONTH(A174)&lt;11),(T174+R174+G174)*Summary!$T$7/(1-Summary!$T$7),(T174+R174+G174)*Summary!$U$7/(1-Summary!$U$7)))</f>
        <v/>
      </c>
      <c r="W174" s="63" t="str">
        <f t="shared" si="98"/>
        <v/>
      </c>
      <c r="X174" s="63" t="str">
        <f t="shared" si="99"/>
        <v/>
      </c>
      <c r="Y174" s="43"/>
      <c r="Z174" s="38" t="str">
        <f t="shared" si="100"/>
        <v/>
      </c>
      <c r="AA174" s="38" t="str">
        <f t="shared" si="100"/>
        <v/>
      </c>
      <c r="AB174" s="38" t="e">
        <f t="shared" si="78"/>
        <v>#VALUE!</v>
      </c>
      <c r="AC174" s="38" t="str">
        <f t="shared" si="100"/>
        <v/>
      </c>
      <c r="AD174" s="38" t="str">
        <f t="shared" si="100"/>
        <v/>
      </c>
      <c r="AE174" s="38" t="e">
        <f t="shared" si="79"/>
        <v>#VALUE!</v>
      </c>
      <c r="AF174" s="238" t="e">
        <f>((Summary!$N$7*(AA174*AD174)*(A174-$D$3))+(Summary!$M$7*Z174*AC174*(DAY(EOMONTH(A174,0))/2)))/(AK174*AB174*AE174)</f>
        <v>#VALUE!</v>
      </c>
      <c r="AG174" s="88" t="str">
        <f>IF($A175="","",Summary!$Q$7)</f>
        <v/>
      </c>
      <c r="AH174" s="88" t="str">
        <f>IF($A175="","",IF(Summary!$R$7="Y",(VLOOKUP($A174,Summary!$AD$6:$AF$9,3)+'Escalating commodity'!C187),'Escalating commodity'!C187))</f>
        <v/>
      </c>
      <c r="AI174" s="88" t="str">
        <f t="shared" si="101"/>
        <v/>
      </c>
      <c r="AJ174" s="236" t="e">
        <f t="shared" si="80"/>
        <v>#VALUE!</v>
      </c>
      <c r="AK174" s="58" t="str">
        <f t="shared" si="102"/>
        <v/>
      </c>
      <c r="AL174" s="26" t="str">
        <f>IF($A175="","",_xll.SPRDOPT(P174,X174,AI174,0,AB174,AE174,AF174,AK174,$AJ$2,0))</f>
        <v/>
      </c>
      <c r="AM174" s="209" t="str">
        <f t="shared" si="81"/>
        <v/>
      </c>
      <c r="AN174" s="89" t="str">
        <f t="shared" si="103"/>
        <v/>
      </c>
      <c r="AO174" s="3" t="str">
        <f t="shared" si="104"/>
        <v/>
      </c>
      <c r="AP174" s="33" t="str">
        <f t="shared" si="105"/>
        <v/>
      </c>
      <c r="AQ174" s="58" t="str">
        <f t="shared" si="82"/>
        <v/>
      </c>
      <c r="AR174" s="38">
        <f>IF(Summary!$H$2=1,VLOOKUP('ANR OK vs ML7'!A174,Curves!$C$17:$AR$273,MATCH('ANR OK vs ML7'!$AR$4,Curves!$C$8:$AQ$8,0)),0.1)</f>
        <v>0.1</v>
      </c>
      <c r="AS174" s="35" t="str">
        <f t="shared" si="83"/>
        <v/>
      </c>
      <c r="AT174" s="3" t="str">
        <f t="shared" si="106"/>
        <v/>
      </c>
      <c r="AU174" s="3" t="str">
        <f t="shared" si="84"/>
        <v/>
      </c>
      <c r="AW174" s="32" t="str">
        <f t="shared" si="107"/>
        <v/>
      </c>
      <c r="AX174" s="32" t="str">
        <f t="shared" si="108"/>
        <v/>
      </c>
      <c r="AY174" s="32" t="str">
        <f t="shared" si="109"/>
        <v/>
      </c>
      <c r="BA174" s="32" t="str">
        <f>IF($A175="","",F174*Summary!$Q$7)</f>
        <v/>
      </c>
    </row>
    <row r="175" spans="1:55" ht="12" customHeight="1">
      <c r="A175" s="67" t="str">
        <f t="shared" si="85"/>
        <v/>
      </c>
      <c r="B175" s="69" t="str">
        <f t="shared" si="111"/>
        <v/>
      </c>
      <c r="C175" s="71"/>
      <c r="D175" s="69" t="str">
        <f t="shared" si="112"/>
        <v/>
      </c>
      <c r="E175" s="70" t="str">
        <f t="shared" si="76"/>
        <v/>
      </c>
      <c r="F175" s="70" t="str">
        <f t="shared" si="77"/>
        <v/>
      </c>
      <c r="G175" s="63" t="str">
        <f t="shared" si="86"/>
        <v/>
      </c>
      <c r="H175" s="64" t="str">
        <f t="shared" si="87"/>
        <v/>
      </c>
      <c r="I175" s="43"/>
      <c r="J175" s="63" t="str">
        <f t="shared" si="88"/>
        <v/>
      </c>
      <c r="K175" s="64" t="str">
        <f t="shared" si="89"/>
        <v/>
      </c>
      <c r="L175" s="63" t="str">
        <f t="shared" si="90"/>
        <v/>
      </c>
      <c r="M175" s="64" t="str">
        <f t="shared" si="91"/>
        <v/>
      </c>
      <c r="N175" s="65"/>
      <c r="O175" s="63" t="str">
        <f t="shared" si="92"/>
        <v/>
      </c>
      <c r="P175" s="63" t="str">
        <f t="shared" si="93"/>
        <v/>
      </c>
      <c r="Q175" s="66"/>
      <c r="R175" s="63" t="str">
        <f t="shared" si="94"/>
        <v/>
      </c>
      <c r="S175" s="64" t="str">
        <f t="shared" si="95"/>
        <v/>
      </c>
      <c r="T175" s="63" t="str">
        <f t="shared" si="96"/>
        <v/>
      </c>
      <c r="U175" s="64" t="str">
        <f t="shared" si="97"/>
        <v/>
      </c>
      <c r="V175" s="207" t="str">
        <f>IF($A176="","",IF(AND(MONTH(A175)&gt;3,MONTH(A175)&lt;11),(T175+R175+G175)*Summary!$T$7/(1-Summary!$T$7),(T175+R175+G175)*Summary!$U$7/(1-Summary!$U$7)))</f>
        <v/>
      </c>
      <c r="W175" s="63" t="str">
        <f t="shared" si="98"/>
        <v/>
      </c>
      <c r="X175" s="63" t="str">
        <f t="shared" si="99"/>
        <v/>
      </c>
      <c r="Y175" s="43"/>
      <c r="Z175" s="38" t="str">
        <f t="shared" si="100"/>
        <v/>
      </c>
      <c r="AA175" s="38" t="str">
        <f t="shared" si="100"/>
        <v/>
      </c>
      <c r="AB175" s="38" t="e">
        <f t="shared" si="78"/>
        <v>#VALUE!</v>
      </c>
      <c r="AC175" s="38" t="str">
        <f t="shared" si="100"/>
        <v/>
      </c>
      <c r="AD175" s="38" t="str">
        <f t="shared" si="100"/>
        <v/>
      </c>
      <c r="AE175" s="38" t="e">
        <f t="shared" si="79"/>
        <v>#VALUE!</v>
      </c>
      <c r="AF175" s="238" t="e">
        <f>((Summary!$N$7*(AA175*AD175)*(A175-$D$3))+(Summary!$M$7*Z175*AC175*(DAY(EOMONTH(A175,0))/2)))/(AK175*AB175*AE175)</f>
        <v>#VALUE!</v>
      </c>
      <c r="AG175" s="88" t="str">
        <f>IF($A176="","",Summary!$Q$7)</f>
        <v/>
      </c>
      <c r="AH175" s="88" t="str">
        <f>IF($A176="","",IF(Summary!$R$7="Y",(VLOOKUP($A175,Summary!$AD$6:$AF$9,3)+'Escalating commodity'!C188),'Escalating commodity'!C188))</f>
        <v/>
      </c>
      <c r="AI175" s="88" t="str">
        <f t="shared" si="101"/>
        <v/>
      </c>
      <c r="AJ175" s="236" t="e">
        <f t="shared" si="80"/>
        <v>#VALUE!</v>
      </c>
      <c r="AK175" s="58" t="str">
        <f t="shared" si="102"/>
        <v/>
      </c>
      <c r="AL175" s="26" t="str">
        <f>IF($A176="","",_xll.SPRDOPT(P175,X175,AI175,0,AB175,AE175,AF175,AK175,$AJ$2,0))</f>
        <v/>
      </c>
      <c r="AM175" s="209" t="str">
        <f t="shared" si="81"/>
        <v/>
      </c>
      <c r="AN175" s="89" t="str">
        <f t="shared" si="103"/>
        <v/>
      </c>
      <c r="AO175" s="3" t="str">
        <f t="shared" si="104"/>
        <v/>
      </c>
      <c r="AP175" s="33" t="str">
        <f t="shared" si="105"/>
        <v/>
      </c>
      <c r="AQ175" s="58" t="str">
        <f t="shared" si="82"/>
        <v/>
      </c>
      <c r="AR175" s="38">
        <f>IF(Summary!$H$2=1,VLOOKUP('ANR OK vs ML7'!A175,Curves!$C$17:$AR$273,MATCH('ANR OK vs ML7'!$AR$4,Curves!$C$8:$AQ$8,0)),0.1)</f>
        <v>0.1</v>
      </c>
      <c r="AS175" s="35" t="str">
        <f t="shared" si="83"/>
        <v/>
      </c>
      <c r="AT175" s="3" t="str">
        <f t="shared" si="106"/>
        <v/>
      </c>
      <c r="AU175" s="3" t="str">
        <f t="shared" si="84"/>
        <v/>
      </c>
      <c r="AW175" s="32" t="str">
        <f t="shared" si="107"/>
        <v/>
      </c>
      <c r="AX175" s="32" t="str">
        <f t="shared" si="108"/>
        <v/>
      </c>
      <c r="AY175" s="32" t="str">
        <f t="shared" si="109"/>
        <v/>
      </c>
      <c r="BA175" s="32" t="str">
        <f>IF($A176="","",F175*Summary!$Q$7)</f>
        <v/>
      </c>
    </row>
    <row r="176" spans="1:55" ht="12" customHeight="1">
      <c r="A176" s="67" t="str">
        <f t="shared" si="85"/>
        <v/>
      </c>
      <c r="B176" s="69" t="str">
        <f t="shared" si="111"/>
        <v/>
      </c>
      <c r="C176" s="71"/>
      <c r="D176" s="69" t="str">
        <f t="shared" si="112"/>
        <v/>
      </c>
      <c r="E176" s="70" t="str">
        <f t="shared" si="76"/>
        <v/>
      </c>
      <c r="F176" s="70" t="str">
        <f t="shared" si="77"/>
        <v/>
      </c>
      <c r="G176" s="63" t="str">
        <f t="shared" si="86"/>
        <v/>
      </c>
      <c r="H176" s="64" t="str">
        <f t="shared" si="87"/>
        <v/>
      </c>
      <c r="I176" s="43"/>
      <c r="J176" s="63" t="str">
        <f t="shared" si="88"/>
        <v/>
      </c>
      <c r="K176" s="64" t="str">
        <f t="shared" si="89"/>
        <v/>
      </c>
      <c r="L176" s="63" t="str">
        <f t="shared" si="90"/>
        <v/>
      </c>
      <c r="M176" s="64" t="str">
        <f t="shared" si="91"/>
        <v/>
      </c>
      <c r="N176" s="65"/>
      <c r="O176" s="63" t="str">
        <f t="shared" si="92"/>
        <v/>
      </c>
      <c r="P176" s="63" t="str">
        <f t="shared" si="93"/>
        <v/>
      </c>
      <c r="Q176" s="66"/>
      <c r="R176" s="63" t="str">
        <f t="shared" si="94"/>
        <v/>
      </c>
      <c r="S176" s="64" t="str">
        <f t="shared" si="95"/>
        <v/>
      </c>
      <c r="T176" s="63" t="str">
        <f t="shared" si="96"/>
        <v/>
      </c>
      <c r="U176" s="64" t="str">
        <f t="shared" si="97"/>
        <v/>
      </c>
      <c r="V176" s="207" t="str">
        <f>IF($A177="","",IF(AND(MONTH(A176)&gt;3,MONTH(A176)&lt;11),(T176+R176+G176)*Summary!$T$7/(1-Summary!$T$7),(T176+R176+G176)*Summary!$U$7/(1-Summary!$U$7)))</f>
        <v/>
      </c>
      <c r="W176" s="63" t="str">
        <f t="shared" si="98"/>
        <v/>
      </c>
      <c r="X176" s="63" t="str">
        <f t="shared" si="99"/>
        <v/>
      </c>
      <c r="Y176" s="43"/>
      <c r="Z176" s="38" t="str">
        <f t="shared" si="100"/>
        <v/>
      </c>
      <c r="AA176" s="38" t="str">
        <f t="shared" si="100"/>
        <v/>
      </c>
      <c r="AB176" s="38" t="e">
        <f t="shared" si="78"/>
        <v>#VALUE!</v>
      </c>
      <c r="AC176" s="38" t="str">
        <f t="shared" si="100"/>
        <v/>
      </c>
      <c r="AD176" s="38" t="str">
        <f t="shared" si="100"/>
        <v/>
      </c>
      <c r="AE176" s="38" t="e">
        <f t="shared" si="79"/>
        <v>#VALUE!</v>
      </c>
      <c r="AF176" s="238" t="e">
        <f>((Summary!$N$7*(AA176*AD176)*(A176-$D$3))+(Summary!$M$7*Z176*AC176*(DAY(EOMONTH(A176,0))/2)))/(AK176*AB176*AE176)</f>
        <v>#VALUE!</v>
      </c>
      <c r="AG176" s="88" t="str">
        <f>IF($A177="","",Summary!$Q$7)</f>
        <v/>
      </c>
      <c r="AH176" s="88" t="str">
        <f>IF($A177="","",IF(Summary!$R$7="Y",(VLOOKUP($A176,Summary!$AD$6:$AF$9,3)+'Escalating commodity'!C189),'Escalating commodity'!C189))</f>
        <v/>
      </c>
      <c r="AI176" s="88" t="str">
        <f t="shared" si="101"/>
        <v/>
      </c>
      <c r="AJ176" s="236" t="e">
        <f t="shared" si="80"/>
        <v>#VALUE!</v>
      </c>
      <c r="AK176" s="58" t="str">
        <f t="shared" si="102"/>
        <v/>
      </c>
      <c r="AL176" s="26" t="str">
        <f>IF($A177="","",_xll.SPRDOPT(P176,X176,AI176,0,AB176,AE176,AF176,AK176,$AJ$2,0))</f>
        <v/>
      </c>
      <c r="AM176" s="209" t="str">
        <f t="shared" si="81"/>
        <v/>
      </c>
      <c r="AN176" s="89" t="str">
        <f t="shared" si="103"/>
        <v/>
      </c>
      <c r="AO176" s="3" t="str">
        <f t="shared" si="104"/>
        <v/>
      </c>
      <c r="AP176" s="33" t="str">
        <f t="shared" si="105"/>
        <v/>
      </c>
      <c r="AQ176" s="58" t="str">
        <f t="shared" si="82"/>
        <v/>
      </c>
      <c r="AR176" s="38">
        <f>IF(Summary!$H$2=1,VLOOKUP('ANR OK vs ML7'!A176,Curves!$C$17:$AR$273,MATCH('ANR OK vs ML7'!$AR$4,Curves!$C$8:$AQ$8,0)),0.1)</f>
        <v>0.1</v>
      </c>
      <c r="AS176" s="35" t="str">
        <f t="shared" si="83"/>
        <v/>
      </c>
      <c r="AT176" s="3" t="str">
        <f t="shared" si="106"/>
        <v/>
      </c>
      <c r="AU176" s="3" t="str">
        <f t="shared" si="84"/>
        <v/>
      </c>
      <c r="AW176" s="32" t="str">
        <f t="shared" si="107"/>
        <v/>
      </c>
      <c r="AX176" s="32" t="str">
        <f t="shared" si="108"/>
        <v/>
      </c>
      <c r="AY176" s="32" t="str">
        <f t="shared" si="109"/>
        <v/>
      </c>
      <c r="BA176" s="32" t="str">
        <f>IF($A177="","",F176*Summary!$Q$7)</f>
        <v/>
      </c>
    </row>
    <row r="177" spans="1:53" ht="12" customHeight="1">
      <c r="A177" s="67" t="str">
        <f t="shared" si="85"/>
        <v/>
      </c>
      <c r="B177" s="69" t="str">
        <f t="shared" si="111"/>
        <v/>
      </c>
      <c r="C177" s="71"/>
      <c r="D177" s="69" t="str">
        <f t="shared" si="112"/>
        <v/>
      </c>
      <c r="E177" s="70" t="str">
        <f t="shared" si="76"/>
        <v/>
      </c>
      <c r="F177" s="70" t="str">
        <f t="shared" si="77"/>
        <v/>
      </c>
      <c r="G177" s="63" t="str">
        <f t="shared" si="86"/>
        <v/>
      </c>
      <c r="H177" s="64" t="str">
        <f t="shared" si="87"/>
        <v/>
      </c>
      <c r="I177" s="43"/>
      <c r="J177" s="63" t="str">
        <f t="shared" si="88"/>
        <v/>
      </c>
      <c r="K177" s="64" t="str">
        <f t="shared" si="89"/>
        <v/>
      </c>
      <c r="L177" s="63" t="str">
        <f t="shared" si="90"/>
        <v/>
      </c>
      <c r="M177" s="64" t="str">
        <f t="shared" si="91"/>
        <v/>
      </c>
      <c r="N177" s="65"/>
      <c r="O177" s="63" t="str">
        <f t="shared" si="92"/>
        <v/>
      </c>
      <c r="P177" s="63" t="str">
        <f t="shared" si="93"/>
        <v/>
      </c>
      <c r="Q177" s="66"/>
      <c r="R177" s="63" t="str">
        <f t="shared" si="94"/>
        <v/>
      </c>
      <c r="S177" s="64" t="str">
        <f t="shared" si="95"/>
        <v/>
      </c>
      <c r="T177" s="63" t="str">
        <f t="shared" si="96"/>
        <v/>
      </c>
      <c r="U177" s="64" t="str">
        <f t="shared" si="97"/>
        <v/>
      </c>
      <c r="V177" s="207" t="str">
        <f>IF($A178="","",IF(AND(MONTH(A177)&gt;3,MONTH(A177)&lt;11),(T177+R177+G177)*Summary!$T$7/(1-Summary!$T$7),(T177+R177+G177)*Summary!$U$7/(1-Summary!$U$7)))</f>
        <v/>
      </c>
      <c r="W177" s="63" t="str">
        <f t="shared" si="98"/>
        <v/>
      </c>
      <c r="X177" s="63" t="str">
        <f t="shared" si="99"/>
        <v/>
      </c>
      <c r="Y177" s="43"/>
      <c r="Z177" s="38" t="str">
        <f t="shared" si="100"/>
        <v/>
      </c>
      <c r="AA177" s="38" t="str">
        <f t="shared" si="100"/>
        <v/>
      </c>
      <c r="AB177" s="38" t="e">
        <f t="shared" si="78"/>
        <v>#VALUE!</v>
      </c>
      <c r="AC177" s="38" t="str">
        <f t="shared" si="100"/>
        <v/>
      </c>
      <c r="AD177" s="38" t="str">
        <f t="shared" si="100"/>
        <v/>
      </c>
      <c r="AE177" s="38" t="e">
        <f t="shared" si="79"/>
        <v>#VALUE!</v>
      </c>
      <c r="AF177" s="238" t="e">
        <f>((Summary!$N$7*(AA177*AD177)*(A177-$D$3))+(Summary!$M$7*Z177*AC177*(DAY(EOMONTH(A177,0))/2)))/(AK177*AB177*AE177)</f>
        <v>#VALUE!</v>
      </c>
      <c r="AG177" s="88" t="str">
        <f>IF($A178="","",Summary!$Q$7)</f>
        <v/>
      </c>
      <c r="AH177" s="88" t="str">
        <f>IF($A178="","",IF(Summary!$R$7="Y",(VLOOKUP($A177,Summary!$AD$6:$AF$9,3)+'Escalating commodity'!C190),'Escalating commodity'!C190))</f>
        <v/>
      </c>
      <c r="AI177" s="88" t="str">
        <f t="shared" si="101"/>
        <v/>
      </c>
      <c r="AJ177" s="236" t="e">
        <f t="shared" si="80"/>
        <v>#VALUE!</v>
      </c>
      <c r="AK177" s="58" t="str">
        <f t="shared" si="102"/>
        <v/>
      </c>
      <c r="AL177" s="26" t="str">
        <f>IF($A178="","",_xll.SPRDOPT(P177,X177,AI177,0,AB177,AE177,AF177,AK177,$AJ$2,0))</f>
        <v/>
      </c>
      <c r="AM177" s="209" t="str">
        <f t="shared" si="81"/>
        <v/>
      </c>
      <c r="AN177" s="89" t="str">
        <f t="shared" si="103"/>
        <v/>
      </c>
      <c r="AO177" s="3" t="str">
        <f t="shared" si="104"/>
        <v/>
      </c>
      <c r="AP177" s="33" t="str">
        <f t="shared" si="105"/>
        <v/>
      </c>
      <c r="AQ177" s="58" t="str">
        <f t="shared" si="82"/>
        <v/>
      </c>
      <c r="AR177" s="38">
        <f>IF(Summary!$H$2=1,VLOOKUP('ANR OK vs ML7'!A177,Curves!$C$17:$AR$273,MATCH('ANR OK vs ML7'!$AR$4,Curves!$C$8:$AQ$8,0)),0.1)</f>
        <v>0.1</v>
      </c>
      <c r="AS177" s="35" t="str">
        <f t="shared" si="83"/>
        <v/>
      </c>
      <c r="AT177" s="3" t="str">
        <f t="shared" si="106"/>
        <v/>
      </c>
      <c r="AU177" s="3" t="str">
        <f t="shared" si="84"/>
        <v/>
      </c>
      <c r="AW177" s="32" t="str">
        <f t="shared" si="107"/>
        <v/>
      </c>
      <c r="AX177" s="32" t="str">
        <f t="shared" si="108"/>
        <v/>
      </c>
      <c r="AY177" s="32" t="str">
        <f t="shared" si="109"/>
        <v/>
      </c>
      <c r="BA177" s="32" t="str">
        <f>IF($A178="","",F177*Summary!$Q$7)</f>
        <v/>
      </c>
    </row>
    <row r="178" spans="1:53" ht="12" customHeight="1">
      <c r="A178" s="67" t="str">
        <f t="shared" si="85"/>
        <v/>
      </c>
      <c r="B178" s="69" t="str">
        <f t="shared" si="111"/>
        <v/>
      </c>
      <c r="C178" s="71"/>
      <c r="D178" s="69" t="str">
        <f t="shared" si="112"/>
        <v/>
      </c>
      <c r="E178" s="70" t="str">
        <f t="shared" si="76"/>
        <v/>
      </c>
      <c r="F178" s="70" t="str">
        <f t="shared" si="77"/>
        <v/>
      </c>
      <c r="G178" s="63" t="str">
        <f t="shared" si="86"/>
        <v/>
      </c>
      <c r="H178" s="64" t="str">
        <f t="shared" si="87"/>
        <v/>
      </c>
      <c r="I178" s="43"/>
      <c r="J178" s="63" t="str">
        <f t="shared" si="88"/>
        <v/>
      </c>
      <c r="K178" s="64" t="str">
        <f t="shared" si="89"/>
        <v/>
      </c>
      <c r="L178" s="63" t="str">
        <f t="shared" si="90"/>
        <v/>
      </c>
      <c r="M178" s="64" t="str">
        <f t="shared" si="91"/>
        <v/>
      </c>
      <c r="N178" s="65"/>
      <c r="O178" s="63" t="str">
        <f t="shared" si="92"/>
        <v/>
      </c>
      <c r="P178" s="63" t="str">
        <f t="shared" si="93"/>
        <v/>
      </c>
      <c r="Q178" s="66"/>
      <c r="R178" s="63" t="str">
        <f t="shared" si="94"/>
        <v/>
      </c>
      <c r="S178" s="64" t="str">
        <f t="shared" si="95"/>
        <v/>
      </c>
      <c r="T178" s="63" t="str">
        <f t="shared" si="96"/>
        <v/>
      </c>
      <c r="U178" s="64" t="str">
        <f t="shared" si="97"/>
        <v/>
      </c>
      <c r="V178" s="207" t="str">
        <f>IF($A179="","",IF(AND(MONTH(A178)&gt;3,MONTH(A178)&lt;11),(T178+R178+G178)*Summary!$T$7/(1-Summary!$T$7),(T178+R178+G178)*Summary!$U$7/(1-Summary!$U$7)))</f>
        <v/>
      </c>
      <c r="W178" s="63" t="str">
        <f t="shared" si="98"/>
        <v/>
      </c>
      <c r="X178" s="63" t="str">
        <f t="shared" si="99"/>
        <v/>
      </c>
      <c r="Y178" s="43"/>
      <c r="Z178" s="38" t="str">
        <f t="shared" si="100"/>
        <v/>
      </c>
      <c r="AA178" s="38" t="str">
        <f t="shared" si="100"/>
        <v/>
      </c>
      <c r="AB178" s="38" t="e">
        <f t="shared" si="78"/>
        <v>#VALUE!</v>
      </c>
      <c r="AC178" s="38" t="str">
        <f t="shared" si="100"/>
        <v/>
      </c>
      <c r="AD178" s="38" t="str">
        <f t="shared" si="100"/>
        <v/>
      </c>
      <c r="AE178" s="38" t="e">
        <f t="shared" si="79"/>
        <v>#VALUE!</v>
      </c>
      <c r="AF178" s="238" t="e">
        <f>((Summary!$N$7*(AA178*AD178)*(A178-$D$3))+(Summary!$M$7*Z178*AC178*(DAY(EOMONTH(A178,0))/2)))/(AK178*AB178*AE178)</f>
        <v>#VALUE!</v>
      </c>
      <c r="AG178" s="88" t="str">
        <f>IF($A179="","",Summary!$Q$7)</f>
        <v/>
      </c>
      <c r="AH178" s="88" t="str">
        <f>IF($A179="","",IF(Summary!$R$7="Y",(VLOOKUP($A178,Summary!$AD$6:$AF$9,3)+'Escalating commodity'!C191),'Escalating commodity'!C191))</f>
        <v/>
      </c>
      <c r="AI178" s="88" t="str">
        <f t="shared" si="101"/>
        <v/>
      </c>
      <c r="AJ178" s="236" t="e">
        <f t="shared" si="80"/>
        <v>#VALUE!</v>
      </c>
      <c r="AK178" s="58" t="str">
        <f t="shared" si="102"/>
        <v/>
      </c>
      <c r="AL178" s="26" t="str">
        <f>IF($A179="","",_xll.SPRDOPT(P178,X178,AI178,0,AB178,AE178,AF178,AK178,$AJ$2,0))</f>
        <v/>
      </c>
      <c r="AM178" s="209" t="str">
        <f t="shared" si="81"/>
        <v/>
      </c>
      <c r="AN178" s="89" t="str">
        <f t="shared" si="103"/>
        <v/>
      </c>
      <c r="AO178" s="3" t="str">
        <f t="shared" si="104"/>
        <v/>
      </c>
      <c r="AP178" s="33" t="str">
        <f t="shared" si="105"/>
        <v/>
      </c>
      <c r="AQ178" s="58" t="str">
        <f t="shared" si="82"/>
        <v/>
      </c>
      <c r="AR178" s="38">
        <f>IF(Summary!$H$2=1,VLOOKUP('ANR OK vs ML7'!A178,Curves!$C$17:$AR$273,MATCH('ANR OK vs ML7'!$AR$4,Curves!$C$8:$AQ$8,0)),0.1)</f>
        <v>0.1</v>
      </c>
      <c r="AS178" s="35" t="str">
        <f t="shared" si="83"/>
        <v/>
      </c>
      <c r="AT178" s="3" t="str">
        <f t="shared" si="106"/>
        <v/>
      </c>
      <c r="AU178" s="3" t="str">
        <f t="shared" si="84"/>
        <v/>
      </c>
      <c r="AW178" s="32" t="str">
        <f t="shared" si="107"/>
        <v/>
      </c>
      <c r="AX178" s="32" t="str">
        <f t="shared" si="108"/>
        <v/>
      </c>
      <c r="AY178" s="32" t="str">
        <f t="shared" si="109"/>
        <v/>
      </c>
      <c r="BA178" s="32" t="str">
        <f>IF($A179="","",F178*Summary!$Q$7)</f>
        <v/>
      </c>
    </row>
    <row r="179" spans="1:53" ht="12" customHeight="1">
      <c r="A179" s="67" t="str">
        <f t="shared" si="85"/>
        <v/>
      </c>
      <c r="B179" s="69" t="str">
        <f t="shared" si="111"/>
        <v/>
      </c>
      <c r="C179" s="71"/>
      <c r="D179" s="69" t="str">
        <f t="shared" si="112"/>
        <v/>
      </c>
      <c r="E179" s="70" t="str">
        <f t="shared" si="76"/>
        <v/>
      </c>
      <c r="F179" s="70" t="str">
        <f t="shared" si="77"/>
        <v/>
      </c>
      <c r="G179" s="63" t="str">
        <f t="shared" si="86"/>
        <v/>
      </c>
      <c r="H179" s="64" t="str">
        <f t="shared" si="87"/>
        <v/>
      </c>
      <c r="I179" s="43"/>
      <c r="J179" s="63" t="str">
        <f t="shared" si="88"/>
        <v/>
      </c>
      <c r="K179" s="64" t="str">
        <f t="shared" si="89"/>
        <v/>
      </c>
      <c r="L179" s="63" t="str">
        <f t="shared" si="90"/>
        <v/>
      </c>
      <c r="M179" s="64" t="str">
        <f t="shared" si="91"/>
        <v/>
      </c>
      <c r="N179" s="65"/>
      <c r="O179" s="63" t="str">
        <f t="shared" si="92"/>
        <v/>
      </c>
      <c r="P179" s="63" t="str">
        <f t="shared" si="93"/>
        <v/>
      </c>
      <c r="Q179" s="66"/>
      <c r="R179" s="63" t="str">
        <f t="shared" si="94"/>
        <v/>
      </c>
      <c r="S179" s="64" t="str">
        <f t="shared" si="95"/>
        <v/>
      </c>
      <c r="T179" s="63" t="str">
        <f t="shared" si="96"/>
        <v/>
      </c>
      <c r="U179" s="64" t="str">
        <f t="shared" si="97"/>
        <v/>
      </c>
      <c r="V179" s="207" t="str">
        <f>IF($A180="","",IF(AND(MONTH(A179)&gt;3,MONTH(A179)&lt;11),(T179+R179+G179)*Summary!$T$7/(1-Summary!$T$7),(T179+R179+G179)*Summary!$U$7/(1-Summary!$U$7)))</f>
        <v/>
      </c>
      <c r="W179" s="63" t="str">
        <f t="shared" si="98"/>
        <v/>
      </c>
      <c r="X179" s="63" t="str">
        <f t="shared" si="99"/>
        <v/>
      </c>
      <c r="Y179" s="43"/>
      <c r="Z179" s="38" t="str">
        <f t="shared" si="100"/>
        <v/>
      </c>
      <c r="AA179" s="38" t="str">
        <f t="shared" si="100"/>
        <v/>
      </c>
      <c r="AB179" s="38" t="e">
        <f t="shared" si="78"/>
        <v>#VALUE!</v>
      </c>
      <c r="AC179" s="38" t="str">
        <f t="shared" si="100"/>
        <v/>
      </c>
      <c r="AD179" s="38" t="str">
        <f t="shared" si="100"/>
        <v/>
      </c>
      <c r="AE179" s="38" t="e">
        <f t="shared" si="79"/>
        <v>#VALUE!</v>
      </c>
      <c r="AF179" s="238" t="e">
        <f>((Summary!$N$7*(AA179*AD179)*(A179-$D$3))+(Summary!$M$7*Z179*AC179*(DAY(EOMONTH(A179,0))/2)))/(AK179*AB179*AE179)</f>
        <v>#VALUE!</v>
      </c>
      <c r="AG179" s="88" t="str">
        <f>IF($A180="","",Summary!$Q$7)</f>
        <v/>
      </c>
      <c r="AH179" s="88" t="str">
        <f>IF($A180="","",IF(Summary!$R$7="Y",(VLOOKUP($A179,Summary!$AD$6:$AF$9,3)+'Escalating commodity'!C192),'Escalating commodity'!C192))</f>
        <v/>
      </c>
      <c r="AI179" s="88" t="str">
        <f t="shared" si="101"/>
        <v/>
      </c>
      <c r="AJ179" s="236" t="e">
        <f t="shared" si="80"/>
        <v>#VALUE!</v>
      </c>
      <c r="AK179" s="58" t="str">
        <f t="shared" si="102"/>
        <v/>
      </c>
      <c r="AL179" s="26" t="str">
        <f>IF($A180="","",_xll.SPRDOPT(P179,X179,AI179,0,AB179,AE179,AF179,AK179,$AJ$2,0))</f>
        <v/>
      </c>
      <c r="AM179" s="209" t="str">
        <f t="shared" si="81"/>
        <v/>
      </c>
      <c r="AN179" s="89" t="str">
        <f t="shared" si="103"/>
        <v/>
      </c>
      <c r="AO179" s="3" t="str">
        <f t="shared" si="104"/>
        <v/>
      </c>
      <c r="AP179" s="33" t="str">
        <f t="shared" si="105"/>
        <v/>
      </c>
      <c r="AQ179" s="58" t="str">
        <f t="shared" si="82"/>
        <v/>
      </c>
      <c r="AR179" s="38">
        <f>IF(Summary!$H$2=1,VLOOKUP('ANR OK vs ML7'!A179,Curves!$C$17:$AR$273,MATCH('ANR OK vs ML7'!$AR$4,Curves!$C$8:$AQ$8,0)),0.1)</f>
        <v>0.1</v>
      </c>
      <c r="AS179" s="35" t="str">
        <f t="shared" si="83"/>
        <v/>
      </c>
      <c r="AT179" s="3" t="str">
        <f t="shared" si="106"/>
        <v/>
      </c>
      <c r="AU179" s="3" t="str">
        <f t="shared" si="84"/>
        <v/>
      </c>
      <c r="AW179" s="32" t="str">
        <f t="shared" si="107"/>
        <v/>
      </c>
      <c r="AX179" s="32" t="str">
        <f t="shared" si="108"/>
        <v/>
      </c>
      <c r="AY179" s="32" t="str">
        <f t="shared" si="109"/>
        <v/>
      </c>
      <c r="BA179" s="32" t="str">
        <f>IF($A180="","",F179*Summary!$Q$7)</f>
        <v/>
      </c>
    </row>
    <row r="180" spans="1:53" ht="12" customHeight="1">
      <c r="A180" s="67" t="str">
        <f t="shared" si="85"/>
        <v/>
      </c>
      <c r="B180" s="69" t="str">
        <f t="shared" si="111"/>
        <v/>
      </c>
      <c r="C180" s="71"/>
      <c r="D180" s="69" t="str">
        <f t="shared" si="112"/>
        <v/>
      </c>
      <c r="E180" s="70" t="str">
        <f t="shared" si="76"/>
        <v/>
      </c>
      <c r="F180" s="70" t="str">
        <f t="shared" si="77"/>
        <v/>
      </c>
      <c r="G180" s="63" t="str">
        <f t="shared" si="86"/>
        <v/>
      </c>
      <c r="H180" s="64" t="str">
        <f t="shared" si="87"/>
        <v/>
      </c>
      <c r="I180" s="43"/>
      <c r="J180" s="63" t="str">
        <f t="shared" si="88"/>
        <v/>
      </c>
      <c r="K180" s="64" t="str">
        <f t="shared" si="89"/>
        <v/>
      </c>
      <c r="L180" s="63" t="str">
        <f t="shared" si="90"/>
        <v/>
      </c>
      <c r="M180" s="64" t="str">
        <f t="shared" si="91"/>
        <v/>
      </c>
      <c r="N180" s="65"/>
      <c r="O180" s="63" t="str">
        <f t="shared" si="92"/>
        <v/>
      </c>
      <c r="P180" s="63" t="str">
        <f t="shared" si="93"/>
        <v/>
      </c>
      <c r="Q180" s="66"/>
      <c r="R180" s="63" t="str">
        <f t="shared" si="94"/>
        <v/>
      </c>
      <c r="S180" s="64" t="str">
        <f t="shared" si="95"/>
        <v/>
      </c>
      <c r="T180" s="63" t="str">
        <f t="shared" si="96"/>
        <v/>
      </c>
      <c r="U180" s="64" t="str">
        <f t="shared" si="97"/>
        <v/>
      </c>
      <c r="V180" s="207" t="str">
        <f>IF($A181="","",IF(AND(MONTH(A180)&gt;3,MONTH(A180)&lt;11),(T180+R180+G180)*Summary!$T$7/(1-Summary!$T$7),(T180+R180+G180)*Summary!$U$7/(1-Summary!$U$7)))</f>
        <v/>
      </c>
      <c r="W180" s="63" t="str">
        <f t="shared" si="98"/>
        <v/>
      </c>
      <c r="X180" s="63" t="str">
        <f t="shared" si="99"/>
        <v/>
      </c>
      <c r="Y180" s="43"/>
      <c r="Z180" s="38" t="str">
        <f t="shared" si="100"/>
        <v/>
      </c>
      <c r="AA180" s="38" t="str">
        <f t="shared" si="100"/>
        <v/>
      </c>
      <c r="AB180" s="38" t="e">
        <f t="shared" si="78"/>
        <v>#VALUE!</v>
      </c>
      <c r="AC180" s="38" t="str">
        <f t="shared" si="100"/>
        <v/>
      </c>
      <c r="AD180" s="38" t="str">
        <f t="shared" si="100"/>
        <v/>
      </c>
      <c r="AE180" s="38" t="e">
        <f t="shared" si="79"/>
        <v>#VALUE!</v>
      </c>
      <c r="AF180" s="238" t="e">
        <f>((Summary!$N$7*(AA180*AD180)*(A180-$D$3))+(Summary!$M$7*Z180*AC180*(DAY(EOMONTH(A180,0))/2)))/(AK180*AB180*AE180)</f>
        <v>#VALUE!</v>
      </c>
      <c r="AG180" s="88" t="str">
        <f>IF($A181="","",Summary!$Q$7)</f>
        <v/>
      </c>
      <c r="AH180" s="88" t="str">
        <f>IF($A181="","",IF(Summary!$R$7="Y",(VLOOKUP($A180,Summary!$AD$6:$AF$9,3)+'Escalating commodity'!C193),'Escalating commodity'!C193))</f>
        <v/>
      </c>
      <c r="AI180" s="88" t="str">
        <f t="shared" si="101"/>
        <v/>
      </c>
      <c r="AJ180" s="236" t="e">
        <f t="shared" si="80"/>
        <v>#VALUE!</v>
      </c>
      <c r="AK180" s="58" t="str">
        <f t="shared" si="102"/>
        <v/>
      </c>
      <c r="AL180" s="26" t="str">
        <f>IF($A181="","",_xll.SPRDOPT(P180,X180,AI180,0,AB180,AE180,AF180,AK180,$AJ$2,0))</f>
        <v/>
      </c>
      <c r="AM180" s="209" t="str">
        <f t="shared" si="81"/>
        <v/>
      </c>
      <c r="AN180" s="89" t="str">
        <f t="shared" si="103"/>
        <v/>
      </c>
      <c r="AO180" s="3" t="str">
        <f t="shared" si="104"/>
        <v/>
      </c>
      <c r="AP180" s="33" t="str">
        <f t="shared" si="105"/>
        <v/>
      </c>
      <c r="AQ180" s="58" t="str">
        <f t="shared" si="82"/>
        <v/>
      </c>
      <c r="AR180" s="38">
        <f>IF(Summary!$H$2=1,VLOOKUP('ANR OK vs ML7'!A180,Curves!$C$17:$AR$273,MATCH('ANR OK vs ML7'!$AR$4,Curves!$C$8:$AQ$8,0)),0.1)</f>
        <v>0.1</v>
      </c>
      <c r="AS180" s="35" t="str">
        <f t="shared" si="83"/>
        <v/>
      </c>
      <c r="AT180" s="3" t="str">
        <f t="shared" si="106"/>
        <v/>
      </c>
      <c r="AU180" s="3" t="str">
        <f t="shared" si="84"/>
        <v/>
      </c>
      <c r="AW180" s="32" t="str">
        <f t="shared" si="107"/>
        <v/>
      </c>
      <c r="AX180" s="32" t="str">
        <f t="shared" si="108"/>
        <v/>
      </c>
      <c r="AY180" s="32" t="str">
        <f t="shared" si="109"/>
        <v/>
      </c>
      <c r="BA180" s="32" t="str">
        <f>IF($A181="","",F180*Summary!$Q$7)</f>
        <v/>
      </c>
    </row>
    <row r="181" spans="1:53" ht="12" customHeight="1">
      <c r="A181" s="67" t="str">
        <f t="shared" si="85"/>
        <v/>
      </c>
      <c r="B181" s="69" t="str">
        <f t="shared" si="111"/>
        <v/>
      </c>
      <c r="C181" s="71"/>
      <c r="D181" s="69" t="str">
        <f t="shared" si="112"/>
        <v/>
      </c>
      <c r="E181" s="70" t="str">
        <f t="shared" si="76"/>
        <v/>
      </c>
      <c r="F181" s="70" t="str">
        <f t="shared" si="77"/>
        <v/>
      </c>
      <c r="G181" s="63" t="str">
        <f t="shared" si="86"/>
        <v/>
      </c>
      <c r="H181" s="64" t="str">
        <f t="shared" si="87"/>
        <v/>
      </c>
      <c r="I181" s="43"/>
      <c r="J181" s="63" t="str">
        <f t="shared" si="88"/>
        <v/>
      </c>
      <c r="K181" s="64" t="str">
        <f t="shared" si="89"/>
        <v/>
      </c>
      <c r="L181" s="63" t="str">
        <f t="shared" si="90"/>
        <v/>
      </c>
      <c r="M181" s="64" t="str">
        <f t="shared" si="91"/>
        <v/>
      </c>
      <c r="N181" s="65"/>
      <c r="O181" s="63" t="str">
        <f t="shared" si="92"/>
        <v/>
      </c>
      <c r="P181" s="63" t="str">
        <f t="shared" si="93"/>
        <v/>
      </c>
      <c r="Q181" s="66"/>
      <c r="R181" s="63" t="str">
        <f t="shared" si="94"/>
        <v/>
      </c>
      <c r="S181" s="64" t="str">
        <f t="shared" si="95"/>
        <v/>
      </c>
      <c r="T181" s="63" t="str">
        <f t="shared" si="96"/>
        <v/>
      </c>
      <c r="U181" s="64" t="str">
        <f t="shared" si="97"/>
        <v/>
      </c>
      <c r="V181" s="207" t="str">
        <f>IF($A182="","",IF(AND(MONTH(A181)&gt;3,MONTH(A181)&lt;11),(T181+R181+G181)*Summary!$T$7/(1-Summary!$T$7),(T181+R181+G181)*Summary!$U$7/(1-Summary!$U$7)))</f>
        <v/>
      </c>
      <c r="W181" s="63" t="str">
        <f t="shared" si="98"/>
        <v/>
      </c>
      <c r="X181" s="63" t="str">
        <f t="shared" si="99"/>
        <v/>
      </c>
      <c r="Y181" s="43"/>
      <c r="Z181" s="38" t="str">
        <f t="shared" si="100"/>
        <v/>
      </c>
      <c r="AA181" s="38" t="str">
        <f t="shared" si="100"/>
        <v/>
      </c>
      <c r="AB181" s="38" t="e">
        <f t="shared" si="78"/>
        <v>#VALUE!</v>
      </c>
      <c r="AC181" s="38" t="str">
        <f t="shared" si="100"/>
        <v/>
      </c>
      <c r="AD181" s="38" t="str">
        <f t="shared" si="100"/>
        <v/>
      </c>
      <c r="AE181" s="38" t="e">
        <f t="shared" si="79"/>
        <v>#VALUE!</v>
      </c>
      <c r="AF181" s="238" t="e">
        <f>((Summary!$N$7*(AA181*AD181)*(A181-$D$3))+(Summary!$M$7*Z181*AC181*(DAY(EOMONTH(A181,0))/2)))/(AK181*AB181*AE181)</f>
        <v>#VALUE!</v>
      </c>
      <c r="AG181" s="88" t="str">
        <f>IF($A182="","",Summary!$Q$7)</f>
        <v/>
      </c>
      <c r="AH181" s="88" t="str">
        <f>IF($A182="","",IF(Summary!$R$7="Y",(VLOOKUP($A181,Summary!$AD$6:$AF$9,3)+'Escalating commodity'!C194),'Escalating commodity'!C194))</f>
        <v/>
      </c>
      <c r="AI181" s="88" t="str">
        <f t="shared" si="101"/>
        <v/>
      </c>
      <c r="AJ181" s="236" t="e">
        <f t="shared" si="80"/>
        <v>#VALUE!</v>
      </c>
      <c r="AK181" s="58" t="str">
        <f t="shared" si="102"/>
        <v/>
      </c>
      <c r="AL181" s="26" t="str">
        <f>IF($A182="","",_xll.SPRDOPT(P181,X181,AI181,0,AB181,AE181,AF181,AK181,$AJ$2,0))</f>
        <v/>
      </c>
      <c r="AM181" s="209" t="str">
        <f t="shared" si="81"/>
        <v/>
      </c>
      <c r="AN181" s="89" t="str">
        <f t="shared" si="103"/>
        <v/>
      </c>
      <c r="AO181" s="3" t="str">
        <f t="shared" si="104"/>
        <v/>
      </c>
      <c r="AP181" s="33" t="str">
        <f t="shared" si="105"/>
        <v/>
      </c>
      <c r="AQ181" s="58" t="str">
        <f t="shared" si="82"/>
        <v/>
      </c>
      <c r="AR181" s="38">
        <f>IF(Summary!$H$2=1,VLOOKUP('ANR OK vs ML7'!A181,Curves!$C$17:$AR$273,MATCH('ANR OK vs ML7'!$AR$4,Curves!$C$8:$AQ$8,0)),0.1)</f>
        <v>0.1</v>
      </c>
      <c r="AS181" s="35" t="str">
        <f t="shared" si="83"/>
        <v/>
      </c>
      <c r="AT181" s="3" t="str">
        <f t="shared" si="106"/>
        <v/>
      </c>
      <c r="AU181" s="3" t="str">
        <f t="shared" si="84"/>
        <v/>
      </c>
      <c r="AW181" s="32" t="str">
        <f t="shared" si="107"/>
        <v/>
      </c>
      <c r="AX181" s="32" t="str">
        <f t="shared" si="108"/>
        <v/>
      </c>
      <c r="AY181" s="32" t="str">
        <f t="shared" si="109"/>
        <v/>
      </c>
      <c r="BA181" s="32" t="str">
        <f>IF($A182="","",F181*Summary!$Q$7)</f>
        <v/>
      </c>
    </row>
    <row r="182" spans="1:53" ht="12" customHeight="1">
      <c r="A182" s="67" t="str">
        <f t="shared" si="85"/>
        <v/>
      </c>
      <c r="B182" s="69" t="str">
        <f t="shared" si="111"/>
        <v/>
      </c>
      <c r="C182" s="71"/>
      <c r="D182" s="69" t="str">
        <f t="shared" si="112"/>
        <v/>
      </c>
      <c r="E182" s="70" t="str">
        <f t="shared" si="76"/>
        <v/>
      </c>
      <c r="F182" s="70" t="str">
        <f t="shared" si="77"/>
        <v/>
      </c>
      <c r="G182" s="63" t="str">
        <f t="shared" si="86"/>
        <v/>
      </c>
      <c r="H182" s="64" t="str">
        <f t="shared" si="87"/>
        <v/>
      </c>
      <c r="I182" s="43"/>
      <c r="J182" s="63" t="str">
        <f t="shared" si="88"/>
        <v/>
      </c>
      <c r="K182" s="64" t="str">
        <f t="shared" si="89"/>
        <v/>
      </c>
      <c r="L182" s="63" t="str">
        <f t="shared" si="90"/>
        <v/>
      </c>
      <c r="M182" s="64" t="str">
        <f t="shared" si="91"/>
        <v/>
      </c>
      <c r="N182" s="65"/>
      <c r="O182" s="63" t="str">
        <f t="shared" si="92"/>
        <v/>
      </c>
      <c r="P182" s="63" t="str">
        <f t="shared" si="93"/>
        <v/>
      </c>
      <c r="Q182" s="66"/>
      <c r="R182" s="63" t="str">
        <f t="shared" si="94"/>
        <v/>
      </c>
      <c r="S182" s="64" t="str">
        <f t="shared" si="95"/>
        <v/>
      </c>
      <c r="T182" s="63" t="str">
        <f t="shared" si="96"/>
        <v/>
      </c>
      <c r="U182" s="64" t="str">
        <f t="shared" si="97"/>
        <v/>
      </c>
      <c r="V182" s="207" t="str">
        <f>IF($A183="","",IF(AND(MONTH(A182)&gt;3,MONTH(A182)&lt;11),(T182+R182+G182)*Summary!$T$7/(1-Summary!$T$7),(T182+R182+G182)*Summary!$U$7/(1-Summary!$U$7)))</f>
        <v/>
      </c>
      <c r="W182" s="63" t="str">
        <f t="shared" si="98"/>
        <v/>
      </c>
      <c r="X182" s="63" t="str">
        <f t="shared" si="99"/>
        <v/>
      </c>
      <c r="Y182" s="43"/>
      <c r="Z182" s="38" t="str">
        <f t="shared" si="100"/>
        <v/>
      </c>
      <c r="AA182" s="38" t="str">
        <f t="shared" si="100"/>
        <v/>
      </c>
      <c r="AB182" s="38" t="e">
        <f t="shared" si="78"/>
        <v>#VALUE!</v>
      </c>
      <c r="AC182" s="38" t="str">
        <f t="shared" si="100"/>
        <v/>
      </c>
      <c r="AD182" s="38" t="str">
        <f t="shared" si="100"/>
        <v/>
      </c>
      <c r="AE182" s="38" t="e">
        <f t="shared" si="79"/>
        <v>#VALUE!</v>
      </c>
      <c r="AF182" s="238" t="e">
        <f>((Summary!$N$7*(AA182*AD182)*(A182-$D$3))+(Summary!$M$7*Z182*AC182*(DAY(EOMONTH(A182,0))/2)))/(AK182*AB182*AE182)</f>
        <v>#VALUE!</v>
      </c>
      <c r="AG182" s="88" t="str">
        <f>IF($A183="","",Summary!$Q$7)</f>
        <v/>
      </c>
      <c r="AH182" s="88" t="str">
        <f>IF($A183="","",IF(Summary!$R$7="Y",(VLOOKUP($A182,Summary!$AD$6:$AF$9,3)+'Escalating commodity'!C195),'Escalating commodity'!C195))</f>
        <v/>
      </c>
      <c r="AI182" s="88" t="str">
        <f t="shared" si="101"/>
        <v/>
      </c>
      <c r="AJ182" s="236" t="e">
        <f t="shared" si="80"/>
        <v>#VALUE!</v>
      </c>
      <c r="AK182" s="58" t="str">
        <f t="shared" si="102"/>
        <v/>
      </c>
      <c r="AL182" s="26" t="str">
        <f>IF($A183="","",_xll.SPRDOPT(P182,X182,AI182,0,AB182,AE182,AF182,AK182,$AJ$2,0))</f>
        <v/>
      </c>
      <c r="AM182" s="209" t="str">
        <f t="shared" si="81"/>
        <v/>
      </c>
      <c r="AN182" s="89" t="str">
        <f t="shared" si="103"/>
        <v/>
      </c>
      <c r="AO182" s="3" t="str">
        <f t="shared" si="104"/>
        <v/>
      </c>
      <c r="AP182" s="33" t="str">
        <f t="shared" si="105"/>
        <v/>
      </c>
      <c r="AQ182" s="58" t="str">
        <f t="shared" si="82"/>
        <v/>
      </c>
      <c r="AR182" s="38">
        <f>IF(Summary!$H$2=1,VLOOKUP('ANR OK vs ML7'!A182,Curves!$C$17:$AR$273,MATCH('ANR OK vs ML7'!$AR$4,Curves!$C$8:$AQ$8,0)),0.1)</f>
        <v>0.1</v>
      </c>
      <c r="AS182" s="35" t="str">
        <f t="shared" si="83"/>
        <v/>
      </c>
      <c r="AT182" s="3" t="str">
        <f t="shared" si="106"/>
        <v/>
      </c>
      <c r="AU182" s="3" t="str">
        <f t="shared" si="84"/>
        <v/>
      </c>
      <c r="AW182" s="32" t="str">
        <f t="shared" si="107"/>
        <v/>
      </c>
      <c r="AX182" s="32" t="str">
        <f t="shared" si="108"/>
        <v/>
      </c>
      <c r="AY182" s="32" t="str">
        <f t="shared" si="109"/>
        <v/>
      </c>
      <c r="BA182" s="32" t="str">
        <f>IF($A183="","",F182*Summary!$Q$7)</f>
        <v/>
      </c>
    </row>
    <row r="183" spans="1:53" ht="12" customHeight="1">
      <c r="A183" s="67" t="str">
        <f t="shared" si="85"/>
        <v/>
      </c>
      <c r="B183" s="69" t="str">
        <f t="shared" si="111"/>
        <v/>
      </c>
      <c r="C183" s="71"/>
      <c r="D183" s="69" t="str">
        <f t="shared" si="112"/>
        <v/>
      </c>
      <c r="E183" s="70" t="str">
        <f t="shared" si="76"/>
        <v/>
      </c>
      <c r="F183" s="70" t="str">
        <f t="shared" si="77"/>
        <v/>
      </c>
      <c r="G183" s="63" t="str">
        <f t="shared" si="86"/>
        <v/>
      </c>
      <c r="H183" s="64" t="str">
        <f t="shared" si="87"/>
        <v/>
      </c>
      <c r="I183" s="43"/>
      <c r="J183" s="63" t="str">
        <f t="shared" si="88"/>
        <v/>
      </c>
      <c r="K183" s="64" t="str">
        <f t="shared" si="89"/>
        <v/>
      </c>
      <c r="L183" s="63" t="str">
        <f t="shared" si="90"/>
        <v/>
      </c>
      <c r="M183" s="64" t="str">
        <f t="shared" si="91"/>
        <v/>
      </c>
      <c r="N183" s="65"/>
      <c r="O183" s="63" t="str">
        <f t="shared" si="92"/>
        <v/>
      </c>
      <c r="P183" s="63" t="str">
        <f t="shared" si="93"/>
        <v/>
      </c>
      <c r="Q183" s="66"/>
      <c r="R183" s="63" t="str">
        <f t="shared" si="94"/>
        <v/>
      </c>
      <c r="S183" s="64" t="str">
        <f t="shared" si="95"/>
        <v/>
      </c>
      <c r="T183" s="63" t="str">
        <f t="shared" si="96"/>
        <v/>
      </c>
      <c r="U183" s="64" t="str">
        <f t="shared" si="97"/>
        <v/>
      </c>
      <c r="V183" s="207" t="str">
        <f>IF($A184="","",IF(AND(MONTH(A183)&gt;3,MONTH(A183)&lt;11),(T183+R183+G183)*Summary!$T$7/(1-Summary!$T$7),(T183+R183+G183)*Summary!$U$7/(1-Summary!$U$7)))</f>
        <v/>
      </c>
      <c r="W183" s="63" t="str">
        <f t="shared" si="98"/>
        <v/>
      </c>
      <c r="X183" s="63" t="str">
        <f t="shared" si="99"/>
        <v/>
      </c>
      <c r="Y183" s="43"/>
      <c r="Z183" s="38" t="str">
        <f t="shared" si="100"/>
        <v/>
      </c>
      <c r="AA183" s="38" t="str">
        <f t="shared" si="100"/>
        <v/>
      </c>
      <c r="AB183" s="38" t="e">
        <f t="shared" si="78"/>
        <v>#VALUE!</v>
      </c>
      <c r="AC183" s="38" t="str">
        <f t="shared" si="100"/>
        <v/>
      </c>
      <c r="AD183" s="38" t="str">
        <f t="shared" si="100"/>
        <v/>
      </c>
      <c r="AE183" s="38" t="e">
        <f t="shared" si="79"/>
        <v>#VALUE!</v>
      </c>
      <c r="AF183" s="238" t="e">
        <f>((Summary!$N$7*(AA183*AD183)*(A183-$D$3))+(Summary!$M$7*Z183*AC183*(DAY(EOMONTH(A183,0))/2)))/(AK183*AB183*AE183)</f>
        <v>#VALUE!</v>
      </c>
      <c r="AG183" s="88" t="str">
        <f>IF($A184="","",Summary!$Q$7)</f>
        <v/>
      </c>
      <c r="AH183" s="88" t="str">
        <f>IF($A184="","",IF(Summary!$R$7="Y",(VLOOKUP($A183,Summary!$AD$6:$AF$9,3)+'Escalating commodity'!C196),'Escalating commodity'!C196))</f>
        <v/>
      </c>
      <c r="AI183" s="88" t="str">
        <f t="shared" si="101"/>
        <v/>
      </c>
      <c r="AJ183" s="236" t="e">
        <f t="shared" si="80"/>
        <v>#VALUE!</v>
      </c>
      <c r="AK183" s="58" t="str">
        <f t="shared" si="102"/>
        <v/>
      </c>
      <c r="AL183" s="26" t="str">
        <f>IF($A184="","",_xll.SPRDOPT(P183,X183,AI183,0,AB183,AE183,AF183,AK183,$AJ$2,0))</f>
        <v/>
      </c>
      <c r="AM183" s="209" t="str">
        <f t="shared" si="81"/>
        <v/>
      </c>
      <c r="AN183" s="89" t="str">
        <f t="shared" si="103"/>
        <v/>
      </c>
      <c r="AO183" s="3" t="str">
        <f t="shared" si="104"/>
        <v/>
      </c>
      <c r="AP183" s="33" t="str">
        <f t="shared" si="105"/>
        <v/>
      </c>
      <c r="AQ183" s="58" t="str">
        <f t="shared" si="82"/>
        <v/>
      </c>
      <c r="AR183" s="38">
        <f>IF(Summary!$H$2=1,VLOOKUP('ANR OK vs ML7'!A183,Curves!$C$17:$AR$273,MATCH('ANR OK vs ML7'!$AR$4,Curves!$C$8:$AQ$8,0)),0.1)</f>
        <v>0.1</v>
      </c>
      <c r="AS183" s="35" t="str">
        <f t="shared" si="83"/>
        <v/>
      </c>
      <c r="AT183" s="3" t="str">
        <f t="shared" si="106"/>
        <v/>
      </c>
      <c r="AU183" s="3" t="str">
        <f t="shared" si="84"/>
        <v/>
      </c>
      <c r="AW183" s="32" t="str">
        <f t="shared" si="107"/>
        <v/>
      </c>
      <c r="AX183" s="32" t="str">
        <f t="shared" si="108"/>
        <v/>
      </c>
      <c r="AY183" s="32" t="str">
        <f t="shared" si="109"/>
        <v/>
      </c>
      <c r="BA183" s="32" t="str">
        <f>IF($A184="","",F183*Summary!$Q$7)</f>
        <v/>
      </c>
    </row>
    <row r="184" spans="1:53" ht="12" customHeight="1">
      <c r="A184" s="67" t="str">
        <f t="shared" si="85"/>
        <v/>
      </c>
      <c r="B184" s="69" t="str">
        <f t="shared" si="111"/>
        <v/>
      </c>
      <c r="C184" s="71"/>
      <c r="D184" s="69" t="str">
        <f t="shared" si="112"/>
        <v/>
      </c>
      <c r="E184" s="70" t="str">
        <f t="shared" si="76"/>
        <v/>
      </c>
      <c r="F184" s="70" t="str">
        <f t="shared" si="77"/>
        <v/>
      </c>
      <c r="G184" s="63" t="str">
        <f t="shared" si="86"/>
        <v/>
      </c>
      <c r="H184" s="64" t="str">
        <f t="shared" si="87"/>
        <v/>
      </c>
      <c r="I184" s="43"/>
      <c r="J184" s="63" t="str">
        <f t="shared" si="88"/>
        <v/>
      </c>
      <c r="K184" s="64" t="str">
        <f t="shared" si="89"/>
        <v/>
      </c>
      <c r="L184" s="63" t="str">
        <f t="shared" si="90"/>
        <v/>
      </c>
      <c r="M184" s="64" t="str">
        <f t="shared" si="91"/>
        <v/>
      </c>
      <c r="N184" s="65"/>
      <c r="O184" s="63" t="str">
        <f t="shared" si="92"/>
        <v/>
      </c>
      <c r="P184" s="63" t="str">
        <f t="shared" si="93"/>
        <v/>
      </c>
      <c r="Q184" s="66"/>
      <c r="R184" s="63" t="str">
        <f t="shared" si="94"/>
        <v/>
      </c>
      <c r="S184" s="64" t="str">
        <f t="shared" si="95"/>
        <v/>
      </c>
      <c r="T184" s="63" t="str">
        <f t="shared" si="96"/>
        <v/>
      </c>
      <c r="U184" s="64" t="str">
        <f t="shared" si="97"/>
        <v/>
      </c>
      <c r="V184" s="207" t="str">
        <f>IF($A185="","",IF(AND(MONTH(A184)&gt;3,MONTH(A184)&lt;11),(T184+R184+G184)*Summary!$T$7/(1-Summary!$T$7),(T184+R184+G184)*Summary!$U$7/(1-Summary!$U$7)))</f>
        <v/>
      </c>
      <c r="W184" s="63" t="str">
        <f t="shared" si="98"/>
        <v/>
      </c>
      <c r="X184" s="63" t="str">
        <f t="shared" si="99"/>
        <v/>
      </c>
      <c r="Y184" s="43"/>
      <c r="Z184" s="38" t="str">
        <f t="shared" si="100"/>
        <v/>
      </c>
      <c r="AA184" s="38" t="str">
        <f t="shared" si="100"/>
        <v/>
      </c>
      <c r="AB184" s="38" t="e">
        <f t="shared" si="78"/>
        <v>#VALUE!</v>
      </c>
      <c r="AC184" s="38" t="str">
        <f t="shared" si="100"/>
        <v/>
      </c>
      <c r="AD184" s="38" t="str">
        <f t="shared" si="100"/>
        <v/>
      </c>
      <c r="AE184" s="38" t="e">
        <f t="shared" si="79"/>
        <v>#VALUE!</v>
      </c>
      <c r="AF184" s="238" t="e">
        <f>((Summary!$N$7*(AA184*AD184)*(A184-$D$3))+(Summary!$M$7*Z184*AC184*(DAY(EOMONTH(A184,0))/2)))/(AK184*AB184*AE184)</f>
        <v>#VALUE!</v>
      </c>
      <c r="AG184" s="88" t="str">
        <f>IF($A185="","",Summary!$Q$7)</f>
        <v/>
      </c>
      <c r="AH184" s="88" t="str">
        <f>IF($A185="","",IF(Summary!$R$7="Y",(VLOOKUP($A184,Summary!$AD$6:$AF$9,3)+'Escalating commodity'!C197),'Escalating commodity'!C197))</f>
        <v/>
      </c>
      <c r="AI184" s="88" t="str">
        <f t="shared" si="101"/>
        <v/>
      </c>
      <c r="AJ184" s="236" t="e">
        <f t="shared" si="80"/>
        <v>#VALUE!</v>
      </c>
      <c r="AK184" s="58" t="str">
        <f t="shared" si="102"/>
        <v/>
      </c>
      <c r="AL184" s="26" t="str">
        <f>IF($A185="","",_xll.SPRDOPT(P184,X184,AI184,0,AB184,AE184,AF184,AK184,$AJ$2,0))</f>
        <v/>
      </c>
      <c r="AM184" s="209" t="str">
        <f t="shared" si="81"/>
        <v/>
      </c>
      <c r="AN184" s="89" t="str">
        <f t="shared" si="103"/>
        <v/>
      </c>
      <c r="AO184" s="3" t="str">
        <f t="shared" si="104"/>
        <v/>
      </c>
      <c r="AP184" s="33" t="str">
        <f t="shared" si="105"/>
        <v/>
      </c>
      <c r="AQ184" s="58" t="str">
        <f t="shared" si="82"/>
        <v/>
      </c>
      <c r="AR184" s="38">
        <f>IF(Summary!$H$2=1,VLOOKUP('ANR OK vs ML7'!A184,Curves!$C$17:$AR$273,MATCH('ANR OK vs ML7'!$AR$4,Curves!$C$8:$AQ$8,0)),0.1)</f>
        <v>0.1</v>
      </c>
      <c r="AS184" s="35" t="str">
        <f t="shared" si="83"/>
        <v/>
      </c>
      <c r="AT184" s="3" t="str">
        <f t="shared" si="106"/>
        <v/>
      </c>
      <c r="AU184" s="3" t="str">
        <f t="shared" si="84"/>
        <v/>
      </c>
      <c r="AW184" s="32" t="str">
        <f t="shared" si="107"/>
        <v/>
      </c>
      <c r="AX184" s="32" t="str">
        <f t="shared" si="108"/>
        <v/>
      </c>
      <c r="AY184" s="32" t="str">
        <f t="shared" si="109"/>
        <v/>
      </c>
      <c r="BA184" s="32" t="str">
        <f>IF($A185="","",F184*Summary!$Q$7)</f>
        <v/>
      </c>
    </row>
    <row r="185" spans="1:53" ht="12" customHeight="1">
      <c r="A185" s="67" t="str">
        <f t="shared" si="85"/>
        <v/>
      </c>
      <c r="B185" s="69" t="str">
        <f t="shared" si="111"/>
        <v/>
      </c>
      <c r="C185" s="71"/>
      <c r="D185" s="69" t="str">
        <f t="shared" si="112"/>
        <v/>
      </c>
      <c r="E185" s="70" t="str">
        <f t="shared" si="76"/>
        <v/>
      </c>
      <c r="F185" s="70" t="str">
        <f t="shared" si="77"/>
        <v/>
      </c>
      <c r="G185" s="63" t="str">
        <f t="shared" si="86"/>
        <v/>
      </c>
      <c r="H185" s="64" t="str">
        <f t="shared" si="87"/>
        <v/>
      </c>
      <c r="I185" s="43"/>
      <c r="J185" s="63" t="str">
        <f t="shared" si="88"/>
        <v/>
      </c>
      <c r="K185" s="64" t="str">
        <f t="shared" si="89"/>
        <v/>
      </c>
      <c r="L185" s="63" t="str">
        <f t="shared" si="90"/>
        <v/>
      </c>
      <c r="M185" s="64" t="str">
        <f t="shared" si="91"/>
        <v/>
      </c>
      <c r="N185" s="65"/>
      <c r="O185" s="63" t="str">
        <f t="shared" si="92"/>
        <v/>
      </c>
      <c r="P185" s="63" t="str">
        <f t="shared" si="93"/>
        <v/>
      </c>
      <c r="Q185" s="66"/>
      <c r="R185" s="63" t="str">
        <f t="shared" si="94"/>
        <v/>
      </c>
      <c r="S185" s="64" t="str">
        <f t="shared" si="95"/>
        <v/>
      </c>
      <c r="T185" s="63" t="str">
        <f t="shared" si="96"/>
        <v/>
      </c>
      <c r="U185" s="64" t="str">
        <f t="shared" si="97"/>
        <v/>
      </c>
      <c r="V185" s="207" t="str">
        <f>IF($A186="","",IF(AND(MONTH(A185)&gt;3,MONTH(A185)&lt;11),(T185+R185+G185)*Summary!$T$7/(1-Summary!$T$7),(T185+R185+G185)*Summary!$U$7/(1-Summary!$U$7)))</f>
        <v/>
      </c>
      <c r="W185" s="63" t="str">
        <f t="shared" si="98"/>
        <v/>
      </c>
      <c r="X185" s="63" t="str">
        <f t="shared" si="99"/>
        <v/>
      </c>
      <c r="Y185" s="43"/>
      <c r="Z185" s="38" t="str">
        <f t="shared" si="100"/>
        <v/>
      </c>
      <c r="AA185" s="38" t="str">
        <f t="shared" si="100"/>
        <v/>
      </c>
      <c r="AB185" s="38" t="e">
        <f t="shared" si="78"/>
        <v>#VALUE!</v>
      </c>
      <c r="AC185" s="38" t="str">
        <f t="shared" si="100"/>
        <v/>
      </c>
      <c r="AD185" s="38" t="str">
        <f t="shared" si="100"/>
        <v/>
      </c>
      <c r="AE185" s="38" t="e">
        <f t="shared" si="79"/>
        <v>#VALUE!</v>
      </c>
      <c r="AF185" s="238" t="e">
        <f>((Summary!$N$7*(AA185*AD185)*(A185-$D$3))+(Summary!$M$7*Z185*AC185*(DAY(EOMONTH(A185,0))/2)))/(AK185*AB185*AE185)</f>
        <v>#VALUE!</v>
      </c>
      <c r="AG185" s="88" t="str">
        <f>IF($A186="","",Summary!$Q$7)</f>
        <v/>
      </c>
      <c r="AH185" s="88" t="str">
        <f>IF($A186="","",IF(Summary!$R$7="Y",(VLOOKUP($A185,Summary!$AD$6:$AF$9,3)+'Escalating commodity'!C198),'Escalating commodity'!C198))</f>
        <v/>
      </c>
      <c r="AI185" s="88" t="str">
        <f t="shared" si="101"/>
        <v/>
      </c>
      <c r="AJ185" s="236" t="e">
        <f t="shared" si="80"/>
        <v>#VALUE!</v>
      </c>
      <c r="AK185" s="58" t="str">
        <f t="shared" si="102"/>
        <v/>
      </c>
      <c r="AL185" s="26" t="str">
        <f>IF($A186="","",_xll.SPRDOPT(P185,X185,AI185,0,AB185,AE185,AF185,AK185,$AJ$2,0))</f>
        <v/>
      </c>
      <c r="AM185" s="209" t="str">
        <f t="shared" si="81"/>
        <v/>
      </c>
      <c r="AN185" s="89" t="str">
        <f t="shared" si="103"/>
        <v/>
      </c>
      <c r="AO185" s="3" t="str">
        <f t="shared" si="104"/>
        <v/>
      </c>
      <c r="AP185" s="33" t="str">
        <f t="shared" si="105"/>
        <v/>
      </c>
      <c r="AQ185" s="58" t="str">
        <f t="shared" si="82"/>
        <v/>
      </c>
      <c r="AR185" s="38">
        <f>IF(Summary!$H$2=1,VLOOKUP('ANR OK vs ML7'!A185,Curves!$C$17:$AR$273,MATCH('ANR OK vs ML7'!$AR$4,Curves!$C$8:$AQ$8,0)),0.1)</f>
        <v>0.1</v>
      </c>
      <c r="AS185" s="35" t="str">
        <f t="shared" si="83"/>
        <v/>
      </c>
      <c r="AT185" s="3" t="str">
        <f t="shared" si="106"/>
        <v/>
      </c>
      <c r="AU185" s="3" t="str">
        <f t="shared" si="84"/>
        <v/>
      </c>
      <c r="AW185" s="32" t="str">
        <f t="shared" si="107"/>
        <v/>
      </c>
      <c r="AX185" s="32" t="str">
        <f t="shared" si="108"/>
        <v/>
      </c>
      <c r="AY185" s="32" t="str">
        <f t="shared" si="109"/>
        <v/>
      </c>
      <c r="BA185" s="32" t="str">
        <f>IF($A186="","",F185*Summary!$Q$7)</f>
        <v/>
      </c>
    </row>
    <row r="186" spans="1:53" ht="12" customHeight="1">
      <c r="A186" s="67" t="str">
        <f t="shared" si="85"/>
        <v/>
      </c>
      <c r="B186" s="69" t="str">
        <f t="shared" si="111"/>
        <v/>
      </c>
      <c r="C186" s="71"/>
      <c r="D186" s="69" t="str">
        <f t="shared" si="112"/>
        <v/>
      </c>
      <c r="E186" s="70" t="str">
        <f t="shared" si="76"/>
        <v/>
      </c>
      <c r="F186" s="70" t="str">
        <f t="shared" si="77"/>
        <v/>
      </c>
      <c r="G186" s="63" t="str">
        <f t="shared" si="86"/>
        <v/>
      </c>
      <c r="H186" s="64" t="str">
        <f t="shared" si="87"/>
        <v/>
      </c>
      <c r="I186" s="43"/>
      <c r="J186" s="63" t="str">
        <f t="shared" si="88"/>
        <v/>
      </c>
      <c r="K186" s="64" t="str">
        <f t="shared" si="89"/>
        <v/>
      </c>
      <c r="L186" s="63" t="str">
        <f t="shared" si="90"/>
        <v/>
      </c>
      <c r="M186" s="64" t="str">
        <f t="shared" si="91"/>
        <v/>
      </c>
      <c r="N186" s="65"/>
      <c r="O186" s="63" t="str">
        <f t="shared" si="92"/>
        <v/>
      </c>
      <c r="P186" s="63" t="str">
        <f t="shared" si="93"/>
        <v/>
      </c>
      <c r="Q186" s="66"/>
      <c r="R186" s="63" t="str">
        <f t="shared" si="94"/>
        <v/>
      </c>
      <c r="S186" s="64" t="str">
        <f t="shared" si="95"/>
        <v/>
      </c>
      <c r="T186" s="63" t="str">
        <f t="shared" si="96"/>
        <v/>
      </c>
      <c r="U186" s="64" t="str">
        <f t="shared" si="97"/>
        <v/>
      </c>
      <c r="V186" s="207" t="str">
        <f>IF($A187="","",IF(AND(MONTH(A186)&gt;3,MONTH(A186)&lt;11),(T186+R186+G186)*Summary!$T$7/(1-Summary!$T$7),(T186+R186+G186)*Summary!$U$7/(1-Summary!$U$7)))</f>
        <v/>
      </c>
      <c r="W186" s="63" t="str">
        <f t="shared" si="98"/>
        <v/>
      </c>
      <c r="X186" s="63" t="str">
        <f t="shared" si="99"/>
        <v/>
      </c>
      <c r="Y186" s="43"/>
      <c r="Z186" s="38" t="str">
        <f t="shared" si="100"/>
        <v/>
      </c>
      <c r="AA186" s="38" t="str">
        <f t="shared" si="100"/>
        <v/>
      </c>
      <c r="AB186" s="38" t="e">
        <f t="shared" si="78"/>
        <v>#VALUE!</v>
      </c>
      <c r="AC186" s="38" t="str">
        <f t="shared" si="100"/>
        <v/>
      </c>
      <c r="AD186" s="38" t="str">
        <f t="shared" si="100"/>
        <v/>
      </c>
      <c r="AE186" s="38" t="e">
        <f t="shared" si="79"/>
        <v>#VALUE!</v>
      </c>
      <c r="AF186" s="238" t="e">
        <f>((Summary!$N$7*(AA186*AD186)*(A186-$D$3))+(Summary!$M$7*Z186*AC186*(DAY(EOMONTH(A186,0))/2)))/(AK186*AB186*AE186)</f>
        <v>#VALUE!</v>
      </c>
      <c r="AG186" s="88" t="str">
        <f>IF($A187="","",Summary!$Q$7)</f>
        <v/>
      </c>
      <c r="AH186" s="88" t="str">
        <f>IF($A187="","",IF(Summary!$R$7="Y",(VLOOKUP($A186,Summary!$AD$6:$AF$9,3)+'Escalating commodity'!C199),'Escalating commodity'!C199))</f>
        <v/>
      </c>
      <c r="AI186" s="88" t="str">
        <f t="shared" si="101"/>
        <v/>
      </c>
      <c r="AJ186" s="236" t="e">
        <f t="shared" si="80"/>
        <v>#VALUE!</v>
      </c>
      <c r="AK186" s="58" t="str">
        <f t="shared" si="102"/>
        <v/>
      </c>
      <c r="AL186" s="26" t="str">
        <f>IF($A187="","",_xll.SPRDOPT(P186,X186,AI186,0,AB186,AE186,AF186,AK186,$AJ$2,0))</f>
        <v/>
      </c>
      <c r="AM186" s="209" t="str">
        <f t="shared" si="81"/>
        <v/>
      </c>
      <c r="AN186" s="89" t="str">
        <f t="shared" si="103"/>
        <v/>
      </c>
      <c r="AO186" s="3" t="str">
        <f t="shared" si="104"/>
        <v/>
      </c>
      <c r="AP186" s="33" t="str">
        <f t="shared" si="105"/>
        <v/>
      </c>
      <c r="AQ186" s="58" t="str">
        <f t="shared" si="82"/>
        <v/>
      </c>
      <c r="AR186" s="38">
        <f>IF(Summary!$H$2=1,VLOOKUP('ANR OK vs ML7'!A186,Curves!$C$17:$AR$273,MATCH('ANR OK vs ML7'!$AR$4,Curves!$C$8:$AQ$8,0)),0.1)</f>
        <v>0.1</v>
      </c>
      <c r="AS186" s="35" t="str">
        <f t="shared" si="83"/>
        <v/>
      </c>
      <c r="AT186" s="3" t="str">
        <f t="shared" si="106"/>
        <v/>
      </c>
      <c r="AU186" s="3" t="str">
        <f t="shared" si="84"/>
        <v/>
      </c>
      <c r="AW186" s="32" t="str">
        <f t="shared" si="107"/>
        <v/>
      </c>
      <c r="AX186" s="32" t="str">
        <f t="shared" si="108"/>
        <v/>
      </c>
      <c r="AY186" s="32" t="str">
        <f t="shared" si="109"/>
        <v/>
      </c>
      <c r="BA186" s="32" t="str">
        <f>IF($A187="","",F186*Summary!$Q$7)</f>
        <v/>
      </c>
    </row>
    <row r="187" spans="1:53" ht="12" customHeight="1">
      <c r="A187" s="67" t="str">
        <f t="shared" si="85"/>
        <v/>
      </c>
      <c r="B187" s="69" t="str">
        <f t="shared" si="111"/>
        <v/>
      </c>
      <c r="C187" s="71"/>
      <c r="D187" s="69" t="str">
        <f t="shared" si="112"/>
        <v/>
      </c>
      <c r="E187" s="70" t="str">
        <f t="shared" si="76"/>
        <v/>
      </c>
      <c r="F187" s="70" t="str">
        <f t="shared" si="77"/>
        <v/>
      </c>
      <c r="G187" s="63" t="str">
        <f t="shared" si="86"/>
        <v/>
      </c>
      <c r="H187" s="64" t="str">
        <f t="shared" si="87"/>
        <v/>
      </c>
      <c r="I187" s="43"/>
      <c r="J187" s="63" t="str">
        <f t="shared" si="88"/>
        <v/>
      </c>
      <c r="K187" s="64" t="str">
        <f t="shared" si="89"/>
        <v/>
      </c>
      <c r="L187" s="63" t="str">
        <f t="shared" si="90"/>
        <v/>
      </c>
      <c r="M187" s="64" t="str">
        <f t="shared" si="91"/>
        <v/>
      </c>
      <c r="N187" s="65"/>
      <c r="O187" s="63" t="str">
        <f t="shared" si="92"/>
        <v/>
      </c>
      <c r="P187" s="63" t="str">
        <f t="shared" si="93"/>
        <v/>
      </c>
      <c r="Q187" s="66"/>
      <c r="R187" s="63" t="str">
        <f t="shared" si="94"/>
        <v/>
      </c>
      <c r="S187" s="64" t="str">
        <f t="shared" si="95"/>
        <v/>
      </c>
      <c r="T187" s="63" t="str">
        <f t="shared" si="96"/>
        <v/>
      </c>
      <c r="U187" s="64" t="str">
        <f t="shared" si="97"/>
        <v/>
      </c>
      <c r="V187" s="207" t="str">
        <f>IF($A188="","",IF(AND(MONTH(A187)&gt;3,MONTH(A187)&lt;11),(T187+R187+G187)*Summary!$T$7/(1-Summary!$T$7),(T187+R187+G187)*Summary!$U$7/(1-Summary!$U$7)))</f>
        <v/>
      </c>
      <c r="W187" s="63" t="str">
        <f t="shared" si="98"/>
        <v/>
      </c>
      <c r="X187" s="63" t="str">
        <f t="shared" si="99"/>
        <v/>
      </c>
      <c r="Y187" s="43"/>
      <c r="Z187" s="38" t="str">
        <f t="shared" si="100"/>
        <v/>
      </c>
      <c r="AA187" s="38" t="str">
        <f t="shared" si="100"/>
        <v/>
      </c>
      <c r="AB187" s="38" t="e">
        <f t="shared" si="78"/>
        <v>#VALUE!</v>
      </c>
      <c r="AC187" s="38" t="str">
        <f t="shared" si="100"/>
        <v/>
      </c>
      <c r="AD187" s="38" t="str">
        <f t="shared" si="100"/>
        <v/>
      </c>
      <c r="AE187" s="38" t="e">
        <f t="shared" si="79"/>
        <v>#VALUE!</v>
      </c>
      <c r="AF187" s="238" t="e">
        <f>((Summary!$N$7*(AA187*AD187)*(A187-$D$3))+(Summary!$M$7*Z187*AC187*(DAY(EOMONTH(A187,0))/2)))/(AK187*AB187*AE187)</f>
        <v>#VALUE!</v>
      </c>
      <c r="AG187" s="88" t="str">
        <f>IF($A188="","",Summary!$Q$7)</f>
        <v/>
      </c>
      <c r="AH187" s="88" t="str">
        <f>IF($A188="","",IF(Summary!$R$7="Y",(VLOOKUP($A187,Summary!$AD$6:$AF$9,3)+'Escalating commodity'!C200),'Escalating commodity'!C200))</f>
        <v/>
      </c>
      <c r="AI187" s="88" t="str">
        <f t="shared" si="101"/>
        <v/>
      </c>
      <c r="AJ187" s="236" t="e">
        <f t="shared" si="80"/>
        <v>#VALUE!</v>
      </c>
      <c r="AK187" s="58" t="str">
        <f t="shared" si="102"/>
        <v/>
      </c>
      <c r="AL187" s="26" t="str">
        <f>IF($A188="","",_xll.SPRDOPT(P187,X187,AI187,0,AB187,AE187,AF187,AK187,$AJ$2,0))</f>
        <v/>
      </c>
      <c r="AM187" s="209" t="str">
        <f t="shared" si="81"/>
        <v/>
      </c>
      <c r="AN187" s="89" t="str">
        <f t="shared" si="103"/>
        <v/>
      </c>
      <c r="AO187" s="3" t="str">
        <f t="shared" si="104"/>
        <v/>
      </c>
      <c r="AP187" s="33" t="str">
        <f t="shared" si="105"/>
        <v/>
      </c>
      <c r="AQ187" s="58" t="str">
        <f t="shared" si="82"/>
        <v/>
      </c>
      <c r="AR187" s="38">
        <f>IF(Summary!$H$2=1,VLOOKUP('ANR OK vs ML7'!A187,Curves!$C$17:$AR$273,MATCH('ANR OK vs ML7'!$AR$4,Curves!$C$8:$AQ$8,0)),0.1)</f>
        <v>0.1</v>
      </c>
      <c r="AS187" s="35" t="str">
        <f t="shared" si="83"/>
        <v/>
      </c>
      <c r="AT187" s="3" t="str">
        <f t="shared" si="106"/>
        <v/>
      </c>
      <c r="AU187" s="3" t="str">
        <f t="shared" si="84"/>
        <v/>
      </c>
      <c r="AW187" s="32" t="str">
        <f t="shared" si="107"/>
        <v/>
      </c>
      <c r="AX187" s="32" t="str">
        <f t="shared" si="108"/>
        <v/>
      </c>
      <c r="AY187" s="32" t="str">
        <f t="shared" si="109"/>
        <v/>
      </c>
      <c r="BA187" s="32" t="str">
        <f>IF($A188="","",F187*Summary!$Q$7)</f>
        <v/>
      </c>
    </row>
    <row r="188" spans="1:53" ht="12" customHeight="1">
      <c r="A188" s="67" t="str">
        <f t="shared" si="85"/>
        <v/>
      </c>
      <c r="B188" s="69" t="str">
        <f t="shared" si="111"/>
        <v/>
      </c>
      <c r="C188" s="71"/>
      <c r="D188" s="69" t="str">
        <f t="shared" si="112"/>
        <v/>
      </c>
      <c r="E188" s="70" t="str">
        <f t="shared" si="76"/>
        <v/>
      </c>
      <c r="F188" s="70" t="str">
        <f t="shared" si="77"/>
        <v/>
      </c>
      <c r="G188" s="63" t="str">
        <f t="shared" si="86"/>
        <v/>
      </c>
      <c r="H188" s="64" t="str">
        <f t="shared" si="87"/>
        <v/>
      </c>
      <c r="I188" s="43"/>
      <c r="J188" s="63" t="str">
        <f t="shared" si="88"/>
        <v/>
      </c>
      <c r="K188" s="64" t="str">
        <f t="shared" si="89"/>
        <v/>
      </c>
      <c r="L188" s="63" t="str">
        <f t="shared" si="90"/>
        <v/>
      </c>
      <c r="M188" s="64" t="str">
        <f t="shared" si="91"/>
        <v/>
      </c>
      <c r="N188" s="65"/>
      <c r="O188" s="63" t="str">
        <f t="shared" si="92"/>
        <v/>
      </c>
      <c r="P188" s="63" t="str">
        <f t="shared" si="93"/>
        <v/>
      </c>
      <c r="Q188" s="66"/>
      <c r="R188" s="63" t="str">
        <f t="shared" si="94"/>
        <v/>
      </c>
      <c r="S188" s="64" t="str">
        <f t="shared" si="95"/>
        <v/>
      </c>
      <c r="T188" s="63" t="str">
        <f t="shared" si="96"/>
        <v/>
      </c>
      <c r="U188" s="64" t="str">
        <f t="shared" si="97"/>
        <v/>
      </c>
      <c r="V188" s="207" t="str">
        <f>IF($A189="","",IF(AND(MONTH(A188)&gt;3,MONTH(A188)&lt;11),(T188+R188+G188)*Summary!$T$7/(1-Summary!$T$7),(T188+R188+G188)*Summary!$U$7/(1-Summary!$U$7)))</f>
        <v/>
      </c>
      <c r="W188" s="63" t="str">
        <f t="shared" si="98"/>
        <v/>
      </c>
      <c r="X188" s="63" t="str">
        <f t="shared" si="99"/>
        <v/>
      </c>
      <c r="Y188" s="43"/>
      <c r="Z188" s="38" t="str">
        <f t="shared" si="100"/>
        <v/>
      </c>
      <c r="AA188" s="38" t="str">
        <f t="shared" si="100"/>
        <v/>
      </c>
      <c r="AB188" s="38" t="e">
        <f t="shared" si="78"/>
        <v>#VALUE!</v>
      </c>
      <c r="AC188" s="38" t="str">
        <f t="shared" si="100"/>
        <v/>
      </c>
      <c r="AD188" s="38" t="str">
        <f t="shared" si="100"/>
        <v/>
      </c>
      <c r="AE188" s="38" t="e">
        <f t="shared" si="79"/>
        <v>#VALUE!</v>
      </c>
      <c r="AF188" s="238" t="e">
        <f>((Summary!$N$7*(AA188*AD188)*(A188-$D$3))+(Summary!$M$7*Z188*AC188*(DAY(EOMONTH(A188,0))/2)))/(AK188*AB188*AE188)</f>
        <v>#VALUE!</v>
      </c>
      <c r="AG188" s="88" t="str">
        <f>IF($A189="","",Summary!$Q$7)</f>
        <v/>
      </c>
      <c r="AH188" s="88" t="str">
        <f>IF($A189="","",IF(Summary!$R$7="Y",(VLOOKUP($A188,Summary!$AD$6:$AF$9,3)+'Escalating commodity'!C201),'Escalating commodity'!C201))</f>
        <v/>
      </c>
      <c r="AI188" s="88" t="str">
        <f t="shared" si="101"/>
        <v/>
      </c>
      <c r="AJ188" s="236" t="e">
        <f t="shared" si="80"/>
        <v>#VALUE!</v>
      </c>
      <c r="AK188" s="58" t="str">
        <f t="shared" si="102"/>
        <v/>
      </c>
      <c r="AL188" s="26" t="str">
        <f>IF($A189="","",_xll.SPRDOPT(P188,X188,AI188,0,AB188,AE188,AF188,AK188,$AJ$2,0))</f>
        <v/>
      </c>
      <c r="AM188" s="209" t="str">
        <f t="shared" si="81"/>
        <v/>
      </c>
      <c r="AN188" s="89" t="str">
        <f t="shared" si="103"/>
        <v/>
      </c>
      <c r="AO188" s="3" t="str">
        <f t="shared" si="104"/>
        <v/>
      </c>
      <c r="AP188" s="33" t="str">
        <f t="shared" si="105"/>
        <v/>
      </c>
      <c r="AQ188" s="58" t="str">
        <f t="shared" si="82"/>
        <v/>
      </c>
      <c r="AR188" s="38">
        <f>IF(Summary!$H$2=1,VLOOKUP('ANR OK vs ML7'!A188,Curves!$C$17:$AR$273,MATCH('ANR OK vs ML7'!$AR$4,Curves!$C$8:$AQ$8,0)),0.1)</f>
        <v>0.1</v>
      </c>
      <c r="AS188" s="35" t="str">
        <f t="shared" si="83"/>
        <v/>
      </c>
      <c r="AT188" s="3" t="str">
        <f t="shared" si="106"/>
        <v/>
      </c>
      <c r="AU188" s="3" t="str">
        <f t="shared" si="84"/>
        <v/>
      </c>
      <c r="AW188" s="32" t="str">
        <f t="shared" si="107"/>
        <v/>
      </c>
      <c r="AX188" s="32" t="str">
        <f t="shared" si="108"/>
        <v/>
      </c>
      <c r="AY188" s="32" t="str">
        <f t="shared" si="109"/>
        <v/>
      </c>
      <c r="BA188" s="32" t="str">
        <f>IF($A189="","",F188*Summary!$Q$7)</f>
        <v/>
      </c>
    </row>
    <row r="189" spans="1:53" ht="12" customHeight="1">
      <c r="A189" s="67" t="str">
        <f t="shared" si="85"/>
        <v/>
      </c>
      <c r="B189" s="69" t="str">
        <f t="shared" si="111"/>
        <v/>
      </c>
      <c r="C189" s="71"/>
      <c r="D189" s="69" t="str">
        <f t="shared" si="112"/>
        <v/>
      </c>
      <c r="E189" s="70" t="str">
        <f t="shared" si="76"/>
        <v/>
      </c>
      <c r="F189" s="70" t="str">
        <f t="shared" si="77"/>
        <v/>
      </c>
      <c r="G189" s="63" t="str">
        <f t="shared" si="86"/>
        <v/>
      </c>
      <c r="H189" s="64" t="str">
        <f t="shared" si="87"/>
        <v/>
      </c>
      <c r="I189" s="43"/>
      <c r="J189" s="63" t="str">
        <f t="shared" si="88"/>
        <v/>
      </c>
      <c r="K189" s="64" t="str">
        <f t="shared" si="89"/>
        <v/>
      </c>
      <c r="L189" s="63" t="str">
        <f t="shared" si="90"/>
        <v/>
      </c>
      <c r="M189" s="64" t="str">
        <f t="shared" si="91"/>
        <v/>
      </c>
      <c r="N189" s="65"/>
      <c r="O189" s="63" t="str">
        <f t="shared" si="92"/>
        <v/>
      </c>
      <c r="P189" s="63" t="str">
        <f t="shared" si="93"/>
        <v/>
      </c>
      <c r="Q189" s="66"/>
      <c r="R189" s="63" t="str">
        <f t="shared" si="94"/>
        <v/>
      </c>
      <c r="S189" s="64" t="str">
        <f t="shared" si="95"/>
        <v/>
      </c>
      <c r="T189" s="63" t="str">
        <f t="shared" si="96"/>
        <v/>
      </c>
      <c r="U189" s="64" t="str">
        <f t="shared" si="97"/>
        <v/>
      </c>
      <c r="V189" s="207" t="str">
        <f>IF($A190="","",IF(AND(MONTH(A189)&gt;3,MONTH(A189)&lt;11),(T189+R189+G189)*Summary!$T$7/(1-Summary!$T$7),(T189+R189+G189)*Summary!$U$7/(1-Summary!$U$7)))</f>
        <v/>
      </c>
      <c r="W189" s="63" t="str">
        <f t="shared" si="98"/>
        <v/>
      </c>
      <c r="X189" s="63" t="str">
        <f t="shared" si="99"/>
        <v/>
      </c>
      <c r="Y189" s="43"/>
      <c r="Z189" s="38" t="str">
        <f t="shared" si="100"/>
        <v/>
      </c>
      <c r="AA189" s="38" t="str">
        <f t="shared" si="100"/>
        <v/>
      </c>
      <c r="AB189" s="38" t="e">
        <f t="shared" si="78"/>
        <v>#VALUE!</v>
      </c>
      <c r="AC189" s="38" t="str">
        <f t="shared" si="100"/>
        <v/>
      </c>
      <c r="AD189" s="38" t="str">
        <f t="shared" si="100"/>
        <v/>
      </c>
      <c r="AE189" s="38" t="e">
        <f t="shared" si="79"/>
        <v>#VALUE!</v>
      </c>
      <c r="AF189" s="238" t="e">
        <f>((Summary!$N$7*(AA189*AD189)*(A189-$D$3))+(Summary!$M$7*Z189*AC189*(DAY(EOMONTH(A189,0))/2)))/(AK189*AB189*AE189)</f>
        <v>#VALUE!</v>
      </c>
      <c r="AG189" s="88" t="str">
        <f>IF($A190="","",Summary!$Q$7)</f>
        <v/>
      </c>
      <c r="AH189" s="88" t="str">
        <f>IF($A190="","",IF(Summary!$R$7="Y",(VLOOKUP($A189,Summary!$AD$6:$AF$9,3)+'Escalating commodity'!C202),'Escalating commodity'!C202))</f>
        <v/>
      </c>
      <c r="AI189" s="88" t="str">
        <f t="shared" si="101"/>
        <v/>
      </c>
      <c r="AJ189" s="236" t="e">
        <f t="shared" si="80"/>
        <v>#VALUE!</v>
      </c>
      <c r="AK189" s="58" t="str">
        <f t="shared" si="102"/>
        <v/>
      </c>
      <c r="AL189" s="26" t="str">
        <f>IF($A190="","",_xll.SPRDOPT(P189,X189,AI189,0,AB189,AE189,AF189,AK189,$AJ$2,0))</f>
        <v/>
      </c>
      <c r="AM189" s="209" t="str">
        <f t="shared" si="81"/>
        <v/>
      </c>
      <c r="AN189" s="89" t="str">
        <f t="shared" si="103"/>
        <v/>
      </c>
      <c r="AO189" s="3" t="str">
        <f t="shared" si="104"/>
        <v/>
      </c>
      <c r="AP189" s="33" t="str">
        <f t="shared" si="105"/>
        <v/>
      </c>
      <c r="AQ189" s="58" t="str">
        <f t="shared" si="82"/>
        <v/>
      </c>
      <c r="AR189" s="38">
        <f>IF(Summary!$H$2=1,VLOOKUP('ANR OK vs ML7'!A189,Curves!$C$17:$AR$273,MATCH('ANR OK vs ML7'!$AR$4,Curves!$C$8:$AQ$8,0)),0.1)</f>
        <v>0.1</v>
      </c>
      <c r="AS189" s="35" t="str">
        <f t="shared" si="83"/>
        <v/>
      </c>
      <c r="AT189" s="3" t="str">
        <f t="shared" si="106"/>
        <v/>
      </c>
      <c r="AU189" s="3" t="str">
        <f t="shared" si="84"/>
        <v/>
      </c>
      <c r="AW189" s="32" t="str">
        <f t="shared" si="107"/>
        <v/>
      </c>
      <c r="AX189" s="32" t="str">
        <f t="shared" si="108"/>
        <v/>
      </c>
      <c r="AY189" s="32" t="str">
        <f t="shared" si="109"/>
        <v/>
      </c>
      <c r="BA189" s="32" t="str">
        <f>IF($A190="","",F189*Summary!$Q$7)</f>
        <v/>
      </c>
    </row>
    <row r="190" spans="1:53" ht="12" customHeight="1">
      <c r="A190" s="67" t="str">
        <f t="shared" si="85"/>
        <v/>
      </c>
      <c r="B190" s="69" t="str">
        <f t="shared" si="111"/>
        <v/>
      </c>
      <c r="C190" s="71"/>
      <c r="D190" s="69" t="str">
        <f t="shared" si="112"/>
        <v/>
      </c>
      <c r="E190" s="70" t="str">
        <f t="shared" si="76"/>
        <v/>
      </c>
      <c r="F190" s="70" t="str">
        <f t="shared" si="77"/>
        <v/>
      </c>
      <c r="G190" s="63" t="str">
        <f t="shared" si="86"/>
        <v/>
      </c>
      <c r="H190" s="64" t="str">
        <f t="shared" si="87"/>
        <v/>
      </c>
      <c r="I190" s="43"/>
      <c r="J190" s="63" t="str">
        <f t="shared" si="88"/>
        <v/>
      </c>
      <c r="K190" s="64" t="str">
        <f t="shared" si="89"/>
        <v/>
      </c>
      <c r="L190" s="63" t="str">
        <f t="shared" si="90"/>
        <v/>
      </c>
      <c r="M190" s="64" t="str">
        <f t="shared" si="91"/>
        <v/>
      </c>
      <c r="N190" s="65"/>
      <c r="O190" s="63" t="str">
        <f t="shared" si="92"/>
        <v/>
      </c>
      <c r="P190" s="63" t="str">
        <f t="shared" si="93"/>
        <v/>
      </c>
      <c r="Q190" s="66"/>
      <c r="R190" s="63" t="str">
        <f t="shared" si="94"/>
        <v/>
      </c>
      <c r="S190" s="64" t="str">
        <f t="shared" si="95"/>
        <v/>
      </c>
      <c r="T190" s="63" t="str">
        <f t="shared" si="96"/>
        <v/>
      </c>
      <c r="U190" s="64" t="str">
        <f t="shared" si="97"/>
        <v/>
      </c>
      <c r="V190" s="207" t="str">
        <f>IF($A191="","",IF(AND(MONTH(A190)&gt;3,MONTH(A190)&lt;11),(T190+R190+G190)*Summary!$T$7/(1-Summary!$T$7),(T190+R190+G190)*Summary!$U$7/(1-Summary!$U$7)))</f>
        <v/>
      </c>
      <c r="W190" s="63" t="str">
        <f t="shared" si="98"/>
        <v/>
      </c>
      <c r="X190" s="63" t="str">
        <f t="shared" si="99"/>
        <v/>
      </c>
      <c r="Y190" s="43"/>
      <c r="Z190" s="38" t="str">
        <f t="shared" si="100"/>
        <v/>
      </c>
      <c r="AA190" s="38" t="str">
        <f t="shared" si="100"/>
        <v/>
      </c>
      <c r="AB190" s="38" t="e">
        <f t="shared" si="78"/>
        <v>#VALUE!</v>
      </c>
      <c r="AC190" s="38" t="str">
        <f t="shared" si="100"/>
        <v/>
      </c>
      <c r="AD190" s="38" t="str">
        <f t="shared" si="100"/>
        <v/>
      </c>
      <c r="AE190" s="38" t="e">
        <f t="shared" si="79"/>
        <v>#VALUE!</v>
      </c>
      <c r="AF190" s="238" t="e">
        <f>((Summary!$N$7*(AA190*AD190)*(A190-$D$3))+(Summary!$M$7*Z190*AC190*(DAY(EOMONTH(A190,0))/2)))/(AK190*AB190*AE190)</f>
        <v>#VALUE!</v>
      </c>
      <c r="AG190" s="88" t="str">
        <f>IF($A191="","",Summary!$Q$7)</f>
        <v/>
      </c>
      <c r="AH190" s="88" t="str">
        <f>IF($A191="","",IF(Summary!$R$7="Y",(VLOOKUP($A190,Summary!$AD$6:$AF$9,3)+'Escalating commodity'!C203),'Escalating commodity'!C203))</f>
        <v/>
      </c>
      <c r="AI190" s="88" t="str">
        <f t="shared" si="101"/>
        <v/>
      </c>
      <c r="AJ190" s="236" t="e">
        <f t="shared" si="80"/>
        <v>#VALUE!</v>
      </c>
      <c r="AK190" s="58" t="str">
        <f t="shared" si="102"/>
        <v/>
      </c>
      <c r="AL190" s="26" t="str">
        <f>IF($A191="","",_xll.SPRDOPT(P190,X190,AI190,0,AB190,AE190,AF190,AK190,$AJ$2,0))</f>
        <v/>
      </c>
      <c r="AM190" s="209" t="str">
        <f t="shared" si="81"/>
        <v/>
      </c>
      <c r="AN190" s="89" t="str">
        <f t="shared" si="103"/>
        <v/>
      </c>
      <c r="AO190" s="3" t="str">
        <f t="shared" si="104"/>
        <v/>
      </c>
      <c r="AP190" s="33" t="str">
        <f t="shared" si="105"/>
        <v/>
      </c>
      <c r="AQ190" s="58" t="str">
        <f t="shared" si="82"/>
        <v/>
      </c>
      <c r="AR190" s="38">
        <f>IF(Summary!$H$2=1,VLOOKUP('ANR OK vs ML7'!A190,Curves!$C$17:$AR$273,MATCH('ANR OK vs ML7'!$AR$4,Curves!$C$8:$AQ$8,0)),0.1)</f>
        <v>0.1</v>
      </c>
      <c r="AS190" s="35" t="str">
        <f t="shared" si="83"/>
        <v/>
      </c>
      <c r="AT190" s="3" t="str">
        <f t="shared" si="106"/>
        <v/>
      </c>
      <c r="AU190" s="3" t="str">
        <f t="shared" si="84"/>
        <v/>
      </c>
      <c r="AW190" s="32" t="str">
        <f t="shared" si="107"/>
        <v/>
      </c>
      <c r="AX190" s="32" t="str">
        <f t="shared" si="108"/>
        <v/>
      </c>
      <c r="AY190" s="32" t="str">
        <f t="shared" si="109"/>
        <v/>
      </c>
      <c r="BA190" s="32" t="str">
        <f>IF($A191="","",F190*Summary!$Q$7)</f>
        <v/>
      </c>
    </row>
    <row r="191" spans="1:53" ht="12" customHeight="1">
      <c r="A191" s="67" t="str">
        <f t="shared" si="85"/>
        <v/>
      </c>
      <c r="B191" s="69" t="str">
        <f t="shared" si="111"/>
        <v/>
      </c>
      <c r="C191" s="71"/>
      <c r="D191" s="69" t="str">
        <f t="shared" si="112"/>
        <v/>
      </c>
      <c r="E191" s="70" t="str">
        <f t="shared" si="76"/>
        <v/>
      </c>
      <c r="F191" s="70" t="str">
        <f t="shared" si="77"/>
        <v/>
      </c>
      <c r="G191" s="63" t="str">
        <f t="shared" si="86"/>
        <v/>
      </c>
      <c r="H191" s="64" t="str">
        <f t="shared" si="87"/>
        <v/>
      </c>
      <c r="I191" s="43"/>
      <c r="J191" s="63" t="str">
        <f t="shared" si="88"/>
        <v/>
      </c>
      <c r="K191" s="64" t="str">
        <f t="shared" si="89"/>
        <v/>
      </c>
      <c r="L191" s="63" t="str">
        <f t="shared" si="90"/>
        <v/>
      </c>
      <c r="M191" s="64" t="str">
        <f t="shared" si="91"/>
        <v/>
      </c>
      <c r="N191" s="65"/>
      <c r="O191" s="63" t="str">
        <f t="shared" si="92"/>
        <v/>
      </c>
      <c r="P191" s="63" t="str">
        <f t="shared" si="93"/>
        <v/>
      </c>
      <c r="Q191" s="66"/>
      <c r="R191" s="63" t="str">
        <f t="shared" si="94"/>
        <v/>
      </c>
      <c r="S191" s="64" t="str">
        <f t="shared" si="95"/>
        <v/>
      </c>
      <c r="T191" s="63" t="str">
        <f t="shared" si="96"/>
        <v/>
      </c>
      <c r="U191" s="64" t="str">
        <f t="shared" si="97"/>
        <v/>
      </c>
      <c r="V191" s="207" t="str">
        <f>IF($A192="","",IF(AND(MONTH(A191)&gt;3,MONTH(A191)&lt;11),(T191+R191+G191)*Summary!$T$7/(1-Summary!$T$7),(T191+R191+G191)*Summary!$U$7/(1-Summary!$U$7)))</f>
        <v/>
      </c>
      <c r="W191" s="63" t="str">
        <f t="shared" si="98"/>
        <v/>
      </c>
      <c r="X191" s="63" t="str">
        <f t="shared" si="99"/>
        <v/>
      </c>
      <c r="Y191" s="43"/>
      <c r="Z191" s="38" t="str">
        <f t="shared" si="100"/>
        <v/>
      </c>
      <c r="AA191" s="38" t="str">
        <f t="shared" si="100"/>
        <v/>
      </c>
      <c r="AB191" s="38" t="e">
        <f t="shared" si="78"/>
        <v>#VALUE!</v>
      </c>
      <c r="AC191" s="38" t="str">
        <f t="shared" si="100"/>
        <v/>
      </c>
      <c r="AD191" s="38" t="str">
        <f t="shared" si="100"/>
        <v/>
      </c>
      <c r="AE191" s="38" t="e">
        <f t="shared" si="79"/>
        <v>#VALUE!</v>
      </c>
      <c r="AF191" s="238" t="e">
        <f>((Summary!$N$7*(AA191*AD191)*(A191-$D$3))+(Summary!$M$7*Z191*AC191*(DAY(EOMONTH(A191,0))/2)))/(AK191*AB191*AE191)</f>
        <v>#VALUE!</v>
      </c>
      <c r="AG191" s="88" t="str">
        <f>IF($A192="","",Summary!$Q$7)</f>
        <v/>
      </c>
      <c r="AH191" s="88" t="str">
        <f>IF($A192="","",IF(Summary!$R$7="Y",(VLOOKUP($A191,Summary!$AD$6:$AF$9,3)+'Escalating commodity'!C204),'Escalating commodity'!C204))</f>
        <v/>
      </c>
      <c r="AI191" s="88" t="str">
        <f t="shared" si="101"/>
        <v/>
      </c>
      <c r="AJ191" s="236" t="e">
        <f t="shared" si="80"/>
        <v>#VALUE!</v>
      </c>
      <c r="AK191" s="58" t="str">
        <f t="shared" si="102"/>
        <v/>
      </c>
      <c r="AL191" s="26" t="str">
        <f>IF($A192="","",_xll.SPRDOPT(P191,X191,AI191,0,AB191,AE191,AF191,AK191,$AJ$2,0))</f>
        <v/>
      </c>
      <c r="AM191" s="209" t="str">
        <f t="shared" si="81"/>
        <v/>
      </c>
      <c r="AN191" s="89" t="str">
        <f t="shared" si="103"/>
        <v/>
      </c>
      <c r="AO191" s="3" t="str">
        <f t="shared" si="104"/>
        <v/>
      </c>
      <c r="AP191" s="33" t="str">
        <f t="shared" si="105"/>
        <v/>
      </c>
      <c r="AQ191" s="58" t="str">
        <f t="shared" si="82"/>
        <v/>
      </c>
      <c r="AR191" s="38">
        <f>IF(Summary!$H$2=1,VLOOKUP('ANR OK vs ML7'!A191,Curves!$C$17:$AR$273,MATCH('ANR OK vs ML7'!$AR$4,Curves!$C$8:$AQ$8,0)),0.1)</f>
        <v>0.1</v>
      </c>
      <c r="AS191" s="35" t="str">
        <f t="shared" si="83"/>
        <v/>
      </c>
      <c r="AT191" s="3" t="str">
        <f t="shared" si="106"/>
        <v/>
      </c>
      <c r="AU191" s="3" t="str">
        <f t="shared" si="84"/>
        <v/>
      </c>
      <c r="AW191" s="32" t="str">
        <f t="shared" si="107"/>
        <v/>
      </c>
      <c r="AX191" s="32" t="str">
        <f t="shared" si="108"/>
        <v/>
      </c>
      <c r="AY191" s="32" t="str">
        <f t="shared" si="109"/>
        <v/>
      </c>
      <c r="BA191" s="32" t="str">
        <f>IF($A192="","",F191*Summary!$Q$7)</f>
        <v/>
      </c>
    </row>
    <row r="192" spans="1:53" ht="12" customHeight="1">
      <c r="A192" s="67" t="str">
        <f t="shared" si="85"/>
        <v/>
      </c>
      <c r="B192" s="69" t="str">
        <f t="shared" si="111"/>
        <v/>
      </c>
      <c r="C192" s="71"/>
      <c r="D192" s="69" t="str">
        <f t="shared" si="112"/>
        <v/>
      </c>
      <c r="E192" s="70" t="str">
        <f t="shared" si="76"/>
        <v/>
      </c>
      <c r="F192" s="70" t="str">
        <f t="shared" si="77"/>
        <v/>
      </c>
      <c r="G192" s="63" t="str">
        <f t="shared" si="86"/>
        <v/>
      </c>
      <c r="H192" s="64" t="str">
        <f t="shared" si="87"/>
        <v/>
      </c>
      <c r="I192" s="43"/>
      <c r="J192" s="63" t="str">
        <f t="shared" si="88"/>
        <v/>
      </c>
      <c r="K192" s="64" t="str">
        <f t="shared" si="89"/>
        <v/>
      </c>
      <c r="L192" s="63" t="str">
        <f t="shared" si="90"/>
        <v/>
      </c>
      <c r="M192" s="64" t="str">
        <f t="shared" si="91"/>
        <v/>
      </c>
      <c r="N192" s="65"/>
      <c r="O192" s="63" t="str">
        <f t="shared" si="92"/>
        <v/>
      </c>
      <c r="P192" s="63" t="str">
        <f t="shared" si="93"/>
        <v/>
      </c>
      <c r="Q192" s="66"/>
      <c r="R192" s="63" t="str">
        <f t="shared" si="94"/>
        <v/>
      </c>
      <c r="S192" s="64" t="str">
        <f t="shared" si="95"/>
        <v/>
      </c>
      <c r="T192" s="63" t="str">
        <f t="shared" si="96"/>
        <v/>
      </c>
      <c r="U192" s="64" t="str">
        <f t="shared" si="97"/>
        <v/>
      </c>
      <c r="V192" s="207" t="str">
        <f>IF($A193="","",IF(AND(MONTH(A192)&gt;3,MONTH(A192)&lt;11),(T192+R192+G192)*Summary!$T$7/(1-Summary!$T$7),(T192+R192+G192)*Summary!$U$7/(1-Summary!$U$7)))</f>
        <v/>
      </c>
      <c r="W192" s="63" t="str">
        <f t="shared" si="98"/>
        <v/>
      </c>
      <c r="X192" s="63" t="str">
        <f t="shared" si="99"/>
        <v/>
      </c>
      <c r="Y192" s="43"/>
      <c r="Z192" s="38" t="str">
        <f t="shared" si="100"/>
        <v/>
      </c>
      <c r="AA192" s="38" t="str">
        <f t="shared" si="100"/>
        <v/>
      </c>
      <c r="AB192" s="38" t="e">
        <f t="shared" si="78"/>
        <v>#VALUE!</v>
      </c>
      <c r="AC192" s="38" t="str">
        <f t="shared" si="100"/>
        <v/>
      </c>
      <c r="AD192" s="38" t="str">
        <f t="shared" si="100"/>
        <v/>
      </c>
      <c r="AE192" s="38" t="e">
        <f t="shared" si="79"/>
        <v>#VALUE!</v>
      </c>
      <c r="AF192" s="238" t="e">
        <f>((Summary!$N$7*(AA192*AD192)*(A192-$D$3))+(Summary!$M$7*Z192*AC192*(DAY(EOMONTH(A192,0))/2)))/(AK192*AB192*AE192)</f>
        <v>#VALUE!</v>
      </c>
      <c r="AG192" s="88" t="str">
        <f>IF($A193="","",Summary!$Q$7)</f>
        <v/>
      </c>
      <c r="AH192" s="88" t="str">
        <f>IF($A193="","",IF(Summary!$R$7="Y",(VLOOKUP($A192,Summary!$AD$6:$AF$9,3)+'Escalating commodity'!C205),'Escalating commodity'!C205))</f>
        <v/>
      </c>
      <c r="AI192" s="88" t="str">
        <f t="shared" si="101"/>
        <v/>
      </c>
      <c r="AJ192" s="236" t="e">
        <f t="shared" si="80"/>
        <v>#VALUE!</v>
      </c>
      <c r="AK192" s="58" t="str">
        <f t="shared" si="102"/>
        <v/>
      </c>
      <c r="AL192" s="26" t="str">
        <f>IF($A193="","",_xll.SPRDOPT(P192,X192,AI192,0,AB192,AE192,AF192,AK192,$AJ$2,0))</f>
        <v/>
      </c>
      <c r="AM192" s="209" t="str">
        <f t="shared" si="81"/>
        <v/>
      </c>
      <c r="AN192" s="89" t="str">
        <f t="shared" si="103"/>
        <v/>
      </c>
      <c r="AO192" s="3" t="str">
        <f t="shared" si="104"/>
        <v/>
      </c>
      <c r="AP192" s="33" t="str">
        <f t="shared" si="105"/>
        <v/>
      </c>
      <c r="AQ192" s="58" t="str">
        <f t="shared" si="82"/>
        <v/>
      </c>
      <c r="AR192" s="38">
        <f>IF(Summary!$H$2=1,VLOOKUP('ANR OK vs ML7'!A192,Curves!$C$17:$AR$273,MATCH('ANR OK vs ML7'!$AR$4,Curves!$C$8:$AQ$8,0)),0.1)</f>
        <v>0.1</v>
      </c>
      <c r="AS192" s="35" t="str">
        <f t="shared" si="83"/>
        <v/>
      </c>
      <c r="AT192" s="3" t="str">
        <f t="shared" si="106"/>
        <v/>
      </c>
      <c r="AU192" s="3" t="str">
        <f t="shared" si="84"/>
        <v/>
      </c>
      <c r="AW192" s="32" t="str">
        <f t="shared" si="107"/>
        <v/>
      </c>
      <c r="AX192" s="32" t="str">
        <f t="shared" si="108"/>
        <v/>
      </c>
      <c r="AY192" s="32" t="str">
        <f t="shared" si="109"/>
        <v/>
      </c>
      <c r="BA192" s="32" t="str">
        <f>IF($A193="","",F192*Summary!$Q$7)</f>
        <v/>
      </c>
    </row>
    <row r="193" spans="1:53" ht="12" customHeight="1">
      <c r="A193" s="67" t="str">
        <f t="shared" si="85"/>
        <v/>
      </c>
      <c r="B193" s="69" t="str">
        <f t="shared" si="111"/>
        <v/>
      </c>
      <c r="C193" s="71"/>
      <c r="D193" s="69" t="str">
        <f t="shared" si="112"/>
        <v/>
      </c>
      <c r="E193" s="70" t="str">
        <f t="shared" si="76"/>
        <v/>
      </c>
      <c r="F193" s="70" t="str">
        <f t="shared" si="77"/>
        <v/>
      </c>
      <c r="G193" s="63" t="str">
        <f t="shared" si="86"/>
        <v/>
      </c>
      <c r="H193" s="64" t="str">
        <f t="shared" si="87"/>
        <v/>
      </c>
      <c r="I193" s="43"/>
      <c r="J193" s="63" t="str">
        <f t="shared" si="88"/>
        <v/>
      </c>
      <c r="K193" s="64" t="str">
        <f t="shared" si="89"/>
        <v/>
      </c>
      <c r="L193" s="63" t="str">
        <f t="shared" si="90"/>
        <v/>
      </c>
      <c r="M193" s="64" t="str">
        <f t="shared" si="91"/>
        <v/>
      </c>
      <c r="N193" s="65"/>
      <c r="O193" s="63" t="str">
        <f t="shared" si="92"/>
        <v/>
      </c>
      <c r="P193" s="63" t="str">
        <f t="shared" si="93"/>
        <v/>
      </c>
      <c r="Q193" s="66"/>
      <c r="R193" s="63" t="str">
        <f t="shared" si="94"/>
        <v/>
      </c>
      <c r="S193" s="64" t="str">
        <f t="shared" si="95"/>
        <v/>
      </c>
      <c r="T193" s="63" t="str">
        <f t="shared" si="96"/>
        <v/>
      </c>
      <c r="U193" s="64" t="str">
        <f t="shared" si="97"/>
        <v/>
      </c>
      <c r="V193" s="207" t="str">
        <f>IF($A194="","",IF(AND(MONTH(A193)&gt;3,MONTH(A193)&lt;11),(T193+R193+G193)*Summary!$T$7/(1-Summary!$T$7),(T193+R193+G193)*Summary!$U$7/(1-Summary!$U$7)))</f>
        <v/>
      </c>
      <c r="W193" s="63" t="str">
        <f t="shared" si="98"/>
        <v/>
      </c>
      <c r="X193" s="63" t="str">
        <f t="shared" si="99"/>
        <v/>
      </c>
      <c r="Y193" s="43"/>
      <c r="Z193" s="38" t="str">
        <f t="shared" si="100"/>
        <v/>
      </c>
      <c r="AA193" s="38" t="str">
        <f t="shared" si="100"/>
        <v/>
      </c>
      <c r="AB193" s="38" t="e">
        <f t="shared" si="78"/>
        <v>#VALUE!</v>
      </c>
      <c r="AC193" s="38" t="str">
        <f t="shared" si="100"/>
        <v/>
      </c>
      <c r="AD193" s="38" t="str">
        <f t="shared" si="100"/>
        <v/>
      </c>
      <c r="AE193" s="38" t="e">
        <f t="shared" si="79"/>
        <v>#VALUE!</v>
      </c>
      <c r="AF193" s="238" t="e">
        <f>((Summary!$N$7*(AA193*AD193)*(A193-$D$3))+(Summary!$M$7*Z193*AC193*(DAY(EOMONTH(A193,0))/2)))/(AK193*AB193*AE193)</f>
        <v>#VALUE!</v>
      </c>
      <c r="AG193" s="88" t="str">
        <f>IF($A194="","",Summary!$Q$7)</f>
        <v/>
      </c>
      <c r="AH193" s="88" t="str">
        <f>IF($A194="","",IF(Summary!$R$7="Y",(VLOOKUP($A193,Summary!$AD$6:$AF$9,3)+'Escalating commodity'!C206),'Escalating commodity'!C206))</f>
        <v/>
      </c>
      <c r="AI193" s="88" t="str">
        <f t="shared" si="101"/>
        <v/>
      </c>
      <c r="AJ193" s="236" t="e">
        <f t="shared" si="80"/>
        <v>#VALUE!</v>
      </c>
      <c r="AK193" s="58" t="str">
        <f t="shared" si="102"/>
        <v/>
      </c>
      <c r="AL193" s="26" t="str">
        <f>IF($A194="","",_xll.SPRDOPT(P193,X193,AI193,0,AB193,AE193,AF193,AK193,$AJ$2,0))</f>
        <v/>
      </c>
      <c r="AM193" s="209" t="str">
        <f t="shared" si="81"/>
        <v/>
      </c>
      <c r="AN193" s="89" t="str">
        <f t="shared" si="103"/>
        <v/>
      </c>
      <c r="AO193" s="3" t="str">
        <f t="shared" si="104"/>
        <v/>
      </c>
      <c r="AP193" s="33" t="str">
        <f t="shared" si="105"/>
        <v/>
      </c>
      <c r="AQ193" s="58" t="str">
        <f t="shared" si="82"/>
        <v/>
      </c>
      <c r="AR193" s="38">
        <f>IF(Summary!$H$2=1,VLOOKUP('ANR OK vs ML7'!A193,Curves!$C$17:$AR$273,MATCH('ANR OK vs ML7'!$AR$4,Curves!$C$8:$AQ$8,0)),0.1)</f>
        <v>0.1</v>
      </c>
      <c r="AS193" s="35" t="str">
        <f t="shared" si="83"/>
        <v/>
      </c>
      <c r="AT193" s="3" t="str">
        <f t="shared" si="106"/>
        <v/>
      </c>
      <c r="AU193" s="3" t="str">
        <f t="shared" si="84"/>
        <v/>
      </c>
      <c r="AW193" s="32" t="str">
        <f t="shared" si="107"/>
        <v/>
      </c>
      <c r="AX193" s="32" t="str">
        <f t="shared" si="108"/>
        <v/>
      </c>
      <c r="AY193" s="32" t="str">
        <f t="shared" si="109"/>
        <v/>
      </c>
      <c r="BA193" s="32" t="str">
        <f>IF($A194="","",F193*Summary!$Q$7)</f>
        <v/>
      </c>
    </row>
    <row r="194" spans="1:53" ht="12" customHeight="1">
      <c r="A194" s="67" t="str">
        <f t="shared" si="85"/>
        <v/>
      </c>
      <c r="B194" s="69" t="str">
        <f t="shared" si="111"/>
        <v/>
      </c>
      <c r="C194" s="71"/>
      <c r="D194" s="69" t="str">
        <f t="shared" si="112"/>
        <v/>
      </c>
      <c r="E194" s="70" t="str">
        <f t="shared" si="76"/>
        <v/>
      </c>
      <c r="F194" s="70" t="str">
        <f t="shared" si="77"/>
        <v/>
      </c>
      <c r="G194" s="63" t="str">
        <f t="shared" si="86"/>
        <v/>
      </c>
      <c r="H194" s="64" t="str">
        <f t="shared" si="87"/>
        <v/>
      </c>
      <c r="I194" s="43"/>
      <c r="J194" s="63" t="str">
        <f t="shared" si="88"/>
        <v/>
      </c>
      <c r="K194" s="64" t="str">
        <f t="shared" si="89"/>
        <v/>
      </c>
      <c r="L194" s="63" t="str">
        <f t="shared" si="90"/>
        <v/>
      </c>
      <c r="M194" s="64" t="str">
        <f t="shared" si="91"/>
        <v/>
      </c>
      <c r="N194" s="65"/>
      <c r="O194" s="63" t="str">
        <f t="shared" si="92"/>
        <v/>
      </c>
      <c r="P194" s="63" t="str">
        <f t="shared" si="93"/>
        <v/>
      </c>
      <c r="Q194" s="66"/>
      <c r="R194" s="63" t="str">
        <f t="shared" si="94"/>
        <v/>
      </c>
      <c r="S194" s="64" t="str">
        <f t="shared" si="95"/>
        <v/>
      </c>
      <c r="T194" s="63" t="str">
        <f t="shared" si="96"/>
        <v/>
      </c>
      <c r="U194" s="64" t="str">
        <f t="shared" si="97"/>
        <v/>
      </c>
      <c r="V194" s="207" t="str">
        <f>IF($A195="","",IF(AND(MONTH(A194)&gt;3,MONTH(A194)&lt;11),(T194+R194+G194)*Summary!$T$7/(1-Summary!$T$7),(T194+R194+G194)*Summary!$U$7/(1-Summary!$U$7)))</f>
        <v/>
      </c>
      <c r="W194" s="63" t="str">
        <f t="shared" si="98"/>
        <v/>
      </c>
      <c r="X194" s="63" t="str">
        <f t="shared" si="99"/>
        <v/>
      </c>
      <c r="Y194" s="43"/>
      <c r="Z194" s="38" t="str">
        <f t="shared" si="100"/>
        <v/>
      </c>
      <c r="AA194" s="38" t="str">
        <f t="shared" si="100"/>
        <v/>
      </c>
      <c r="AB194" s="38" t="e">
        <f t="shared" si="78"/>
        <v>#VALUE!</v>
      </c>
      <c r="AC194" s="38" t="str">
        <f t="shared" si="100"/>
        <v/>
      </c>
      <c r="AD194" s="38" t="str">
        <f t="shared" si="100"/>
        <v/>
      </c>
      <c r="AE194" s="38" t="e">
        <f t="shared" si="79"/>
        <v>#VALUE!</v>
      </c>
      <c r="AF194" s="238" t="e">
        <f>((Summary!$N$7*(AA194*AD194)*(A194-$D$3))+(Summary!$M$7*Z194*AC194*(DAY(EOMONTH(A194,0))/2)))/(AK194*AB194*AE194)</f>
        <v>#VALUE!</v>
      </c>
      <c r="AG194" s="88" t="str">
        <f>IF($A195="","",Summary!$Q$7)</f>
        <v/>
      </c>
      <c r="AH194" s="88" t="str">
        <f>IF($A195="","",IF(Summary!$R$7="Y",(VLOOKUP($A194,Summary!$AD$6:$AF$9,3)+'Escalating commodity'!C207),'Escalating commodity'!C207))</f>
        <v/>
      </c>
      <c r="AI194" s="88" t="str">
        <f t="shared" si="101"/>
        <v/>
      </c>
      <c r="AJ194" s="236" t="e">
        <f t="shared" si="80"/>
        <v>#VALUE!</v>
      </c>
      <c r="AK194" s="58" t="str">
        <f t="shared" si="102"/>
        <v/>
      </c>
      <c r="AL194" s="26" t="str">
        <f>IF($A195="","",_xll.SPRDOPT(P194,X194,AI194,0,AB194,AE194,AF194,AK194,$AJ$2,0))</f>
        <v/>
      </c>
      <c r="AM194" s="209" t="str">
        <f t="shared" si="81"/>
        <v/>
      </c>
      <c r="AN194" s="89" t="str">
        <f t="shared" si="103"/>
        <v/>
      </c>
      <c r="AO194" s="3" t="str">
        <f t="shared" si="104"/>
        <v/>
      </c>
      <c r="AP194" s="33" t="str">
        <f t="shared" si="105"/>
        <v/>
      </c>
      <c r="AQ194" s="58" t="str">
        <f t="shared" si="82"/>
        <v/>
      </c>
      <c r="AR194" s="38">
        <f>IF(Summary!$H$2=1,VLOOKUP('ANR OK vs ML7'!A194,Curves!$C$17:$AR$273,MATCH('ANR OK vs ML7'!$AR$4,Curves!$C$8:$AQ$8,0)),0.1)</f>
        <v>0.1</v>
      </c>
      <c r="AS194" s="35" t="str">
        <f t="shared" si="83"/>
        <v/>
      </c>
      <c r="AT194" s="3" t="str">
        <f t="shared" si="106"/>
        <v/>
      </c>
      <c r="AU194" s="3" t="str">
        <f t="shared" si="84"/>
        <v/>
      </c>
      <c r="AW194" s="32" t="str">
        <f t="shared" si="107"/>
        <v/>
      </c>
      <c r="AX194" s="32" t="str">
        <f t="shared" si="108"/>
        <v/>
      </c>
      <c r="AY194" s="32" t="str">
        <f t="shared" si="109"/>
        <v/>
      </c>
      <c r="BA194" s="32" t="str">
        <f>IF($A195="","",F194*Summary!$Q$7)</f>
        <v/>
      </c>
    </row>
    <row r="195" spans="1:53" ht="12" customHeight="1">
      <c r="A195" s="67" t="str">
        <f t="shared" si="85"/>
        <v/>
      </c>
      <c r="B195" s="69" t="str">
        <f t="shared" si="111"/>
        <v/>
      </c>
      <c r="C195" s="71"/>
      <c r="D195" s="69" t="str">
        <f t="shared" si="112"/>
        <v/>
      </c>
      <c r="E195" s="70" t="str">
        <f t="shared" si="76"/>
        <v/>
      </c>
      <c r="F195" s="70" t="str">
        <f t="shared" si="77"/>
        <v/>
      </c>
      <c r="G195" s="63" t="str">
        <f t="shared" si="86"/>
        <v/>
      </c>
      <c r="H195" s="64" t="str">
        <f t="shared" si="87"/>
        <v/>
      </c>
      <c r="I195" s="43"/>
      <c r="J195" s="63" t="str">
        <f t="shared" si="88"/>
        <v/>
      </c>
      <c r="K195" s="64" t="str">
        <f t="shared" si="89"/>
        <v/>
      </c>
      <c r="L195" s="63" t="str">
        <f t="shared" si="90"/>
        <v/>
      </c>
      <c r="M195" s="64" t="str">
        <f t="shared" si="91"/>
        <v/>
      </c>
      <c r="N195" s="65"/>
      <c r="O195" s="63" t="str">
        <f t="shared" si="92"/>
        <v/>
      </c>
      <c r="P195" s="63" t="str">
        <f t="shared" si="93"/>
        <v/>
      </c>
      <c r="Q195" s="66"/>
      <c r="R195" s="63" t="str">
        <f t="shared" si="94"/>
        <v/>
      </c>
      <c r="S195" s="64" t="str">
        <f t="shared" si="95"/>
        <v/>
      </c>
      <c r="T195" s="63" t="str">
        <f t="shared" si="96"/>
        <v/>
      </c>
      <c r="U195" s="64" t="str">
        <f t="shared" si="97"/>
        <v/>
      </c>
      <c r="V195" s="207" t="str">
        <f>IF($A196="","",IF(AND(MONTH(A195)&gt;3,MONTH(A195)&lt;11),(T195+R195+G195)*Summary!$T$7/(1-Summary!$T$7),(T195+R195+G195)*Summary!$U$7/(1-Summary!$U$7)))</f>
        <v/>
      </c>
      <c r="W195" s="63" t="str">
        <f t="shared" si="98"/>
        <v/>
      </c>
      <c r="X195" s="63" t="str">
        <f t="shared" si="99"/>
        <v/>
      </c>
      <c r="Y195" s="43"/>
      <c r="Z195" s="38" t="str">
        <f t="shared" si="100"/>
        <v/>
      </c>
      <c r="AA195" s="38" t="str">
        <f t="shared" si="100"/>
        <v/>
      </c>
      <c r="AB195" s="38" t="e">
        <f t="shared" si="78"/>
        <v>#VALUE!</v>
      </c>
      <c r="AC195" s="38" t="str">
        <f t="shared" si="100"/>
        <v/>
      </c>
      <c r="AD195" s="38" t="str">
        <f t="shared" si="100"/>
        <v/>
      </c>
      <c r="AE195" s="38" t="e">
        <f t="shared" si="79"/>
        <v>#VALUE!</v>
      </c>
      <c r="AF195" s="238" t="e">
        <f>((Summary!$N$7*(AA195*AD195)*(A195-$D$3))+(Summary!$M$7*Z195*AC195*(DAY(EOMONTH(A195,0))/2)))/(AK195*AB195*AE195)</f>
        <v>#VALUE!</v>
      </c>
      <c r="AG195" s="88" t="str">
        <f>IF($A196="","",Summary!$Q$7)</f>
        <v/>
      </c>
      <c r="AH195" s="88" t="str">
        <f>IF($A196="","",IF(Summary!$R$7="Y",(VLOOKUP($A195,Summary!$AD$6:$AF$9,3)+'Escalating commodity'!C208),'Escalating commodity'!C208))</f>
        <v/>
      </c>
      <c r="AI195" s="88" t="str">
        <f t="shared" si="101"/>
        <v/>
      </c>
      <c r="AJ195" s="236" t="e">
        <f t="shared" si="80"/>
        <v>#VALUE!</v>
      </c>
      <c r="AK195" s="58" t="str">
        <f t="shared" si="102"/>
        <v/>
      </c>
      <c r="AL195" s="26" t="str">
        <f>IF($A196="","",_xll.SPRDOPT(P195,X195,AI195,0,AB195,AE195,AF195,AK195,$AJ$2,0))</f>
        <v/>
      </c>
      <c r="AM195" s="209" t="str">
        <f t="shared" si="81"/>
        <v/>
      </c>
      <c r="AN195" s="89" t="str">
        <f t="shared" si="103"/>
        <v/>
      </c>
      <c r="AO195" s="3" t="str">
        <f t="shared" si="104"/>
        <v/>
      </c>
      <c r="AP195" s="33" t="str">
        <f t="shared" si="105"/>
        <v/>
      </c>
      <c r="AQ195" s="58" t="str">
        <f t="shared" si="82"/>
        <v/>
      </c>
      <c r="AR195" s="38">
        <f>IF(Summary!$H$2=1,VLOOKUP('ANR OK vs ML7'!A195,Curves!$C$17:$AR$273,MATCH('ANR OK vs ML7'!$AR$4,Curves!$C$8:$AQ$8,0)),0.1)</f>
        <v>0.1</v>
      </c>
      <c r="AS195" s="35" t="str">
        <f t="shared" si="83"/>
        <v/>
      </c>
      <c r="AT195" s="3" t="str">
        <f t="shared" si="106"/>
        <v/>
      </c>
      <c r="AU195" s="3" t="str">
        <f t="shared" si="84"/>
        <v/>
      </c>
      <c r="AW195" s="32" t="str">
        <f t="shared" si="107"/>
        <v/>
      </c>
      <c r="AX195" s="32" t="str">
        <f t="shared" si="108"/>
        <v/>
      </c>
      <c r="AY195" s="32" t="str">
        <f t="shared" si="109"/>
        <v/>
      </c>
      <c r="BA195" s="32" t="str">
        <f>IF($A196="","",F195*Summary!$Q$7)</f>
        <v/>
      </c>
    </row>
    <row r="196" spans="1:53" ht="12" customHeight="1">
      <c r="A196" s="67" t="str">
        <f t="shared" si="85"/>
        <v/>
      </c>
      <c r="B196" s="69" t="str">
        <f t="shared" si="111"/>
        <v/>
      </c>
      <c r="C196" s="71"/>
      <c r="D196" s="69" t="str">
        <f t="shared" si="112"/>
        <v/>
      </c>
      <c r="E196" s="70" t="str">
        <f t="shared" si="76"/>
        <v/>
      </c>
      <c r="F196" s="70" t="str">
        <f t="shared" si="77"/>
        <v/>
      </c>
      <c r="G196" s="63" t="str">
        <f t="shared" si="86"/>
        <v/>
      </c>
      <c r="H196" s="64" t="str">
        <f t="shared" si="87"/>
        <v/>
      </c>
      <c r="I196" s="43"/>
      <c r="J196" s="63" t="str">
        <f t="shared" si="88"/>
        <v/>
      </c>
      <c r="K196" s="64" t="str">
        <f t="shared" si="89"/>
        <v/>
      </c>
      <c r="L196" s="63" t="str">
        <f t="shared" si="90"/>
        <v/>
      </c>
      <c r="M196" s="64" t="str">
        <f t="shared" si="91"/>
        <v/>
      </c>
      <c r="N196" s="65"/>
      <c r="O196" s="63" t="str">
        <f t="shared" si="92"/>
        <v/>
      </c>
      <c r="P196" s="63" t="str">
        <f t="shared" si="93"/>
        <v/>
      </c>
      <c r="Q196" s="66"/>
      <c r="R196" s="63" t="str">
        <f t="shared" si="94"/>
        <v/>
      </c>
      <c r="S196" s="64" t="str">
        <f t="shared" si="95"/>
        <v/>
      </c>
      <c r="T196" s="63" t="str">
        <f t="shared" si="96"/>
        <v/>
      </c>
      <c r="U196" s="64" t="str">
        <f t="shared" si="97"/>
        <v/>
      </c>
      <c r="V196" s="207" t="str">
        <f>IF($A197="","",IF(AND(MONTH(A196)&gt;3,MONTH(A196)&lt;11),(T196+R196+G196)*Summary!$T$7/(1-Summary!$T$7),(T196+R196+G196)*Summary!$U$7/(1-Summary!$U$7)))</f>
        <v/>
      </c>
      <c r="W196" s="63" t="str">
        <f t="shared" si="98"/>
        <v/>
      </c>
      <c r="X196" s="63" t="str">
        <f t="shared" si="99"/>
        <v/>
      </c>
      <c r="Y196" s="43"/>
      <c r="Z196" s="38" t="str">
        <f t="shared" si="100"/>
        <v/>
      </c>
      <c r="AA196" s="38" t="str">
        <f t="shared" si="100"/>
        <v/>
      </c>
      <c r="AB196" s="38" t="e">
        <f t="shared" si="78"/>
        <v>#VALUE!</v>
      </c>
      <c r="AC196" s="38" t="str">
        <f t="shared" si="100"/>
        <v/>
      </c>
      <c r="AD196" s="38" t="str">
        <f t="shared" si="100"/>
        <v/>
      </c>
      <c r="AE196" s="38" t="e">
        <f t="shared" si="79"/>
        <v>#VALUE!</v>
      </c>
      <c r="AF196" s="238" t="e">
        <f>((Summary!$N$7*(AA196*AD196)*(A196-$D$3))+(Summary!$M$7*Z196*AC196*(DAY(EOMONTH(A196,0))/2)))/(AK196*AB196*AE196)</f>
        <v>#VALUE!</v>
      </c>
      <c r="AG196" s="88" t="str">
        <f>IF($A197="","",Summary!$Q$7)</f>
        <v/>
      </c>
      <c r="AH196" s="88" t="str">
        <f>IF($A197="","",IF(Summary!$R$7="Y",(VLOOKUP($A196,Summary!$AD$6:$AF$9,3)+'Escalating commodity'!C209),'Escalating commodity'!C209))</f>
        <v/>
      </c>
      <c r="AI196" s="88" t="str">
        <f t="shared" si="101"/>
        <v/>
      </c>
      <c r="AJ196" s="236" t="e">
        <f t="shared" si="80"/>
        <v>#VALUE!</v>
      </c>
      <c r="AK196" s="58" t="str">
        <f t="shared" si="102"/>
        <v/>
      </c>
      <c r="AL196" s="26" t="str">
        <f>IF($A197="","",_xll.SPRDOPT(P196,X196,AI196,0,AB196,AE196,AF196,AK196,$AJ$2,0))</f>
        <v/>
      </c>
      <c r="AM196" s="209" t="str">
        <f t="shared" si="81"/>
        <v/>
      </c>
      <c r="AN196" s="89" t="str">
        <f t="shared" si="103"/>
        <v/>
      </c>
      <c r="AO196" s="3" t="str">
        <f t="shared" si="104"/>
        <v/>
      </c>
      <c r="AP196" s="33" t="str">
        <f t="shared" si="105"/>
        <v/>
      </c>
      <c r="AQ196" s="58" t="str">
        <f t="shared" si="82"/>
        <v/>
      </c>
      <c r="AR196" s="38">
        <f>IF(Summary!$H$2=1,VLOOKUP('ANR OK vs ML7'!A196,Curves!$C$17:$AR$273,MATCH('ANR OK vs ML7'!$AR$4,Curves!$C$8:$AQ$8,0)),0.1)</f>
        <v>0.1</v>
      </c>
      <c r="AS196" s="35" t="str">
        <f t="shared" si="83"/>
        <v/>
      </c>
      <c r="AT196" s="3" t="str">
        <f t="shared" si="106"/>
        <v/>
      </c>
      <c r="AU196" s="3" t="str">
        <f t="shared" si="84"/>
        <v/>
      </c>
      <c r="AW196" s="32" t="str">
        <f t="shared" si="107"/>
        <v/>
      </c>
      <c r="AX196" s="32" t="str">
        <f t="shared" si="108"/>
        <v/>
      </c>
      <c r="AY196" s="32" t="str">
        <f t="shared" si="109"/>
        <v/>
      </c>
      <c r="BA196" s="32" t="str">
        <f>IF($A197="","",F196*Summary!$Q$7)</f>
        <v/>
      </c>
    </row>
    <row r="197" spans="1:53" ht="12" customHeight="1">
      <c r="A197" s="67" t="str">
        <f t="shared" si="85"/>
        <v/>
      </c>
      <c r="B197" s="69" t="str">
        <f t="shared" si="111"/>
        <v/>
      </c>
      <c r="C197" s="71"/>
      <c r="D197" s="69" t="str">
        <f t="shared" si="112"/>
        <v/>
      </c>
      <c r="E197" s="70" t="str">
        <f t="shared" si="76"/>
        <v/>
      </c>
      <c r="F197" s="70" t="str">
        <f t="shared" si="77"/>
        <v/>
      </c>
      <c r="G197" s="63" t="str">
        <f t="shared" si="86"/>
        <v/>
      </c>
      <c r="H197" s="64" t="str">
        <f t="shared" si="87"/>
        <v/>
      </c>
      <c r="I197" s="43"/>
      <c r="J197" s="63" t="str">
        <f t="shared" si="88"/>
        <v/>
      </c>
      <c r="K197" s="64" t="str">
        <f t="shared" si="89"/>
        <v/>
      </c>
      <c r="L197" s="63" t="str">
        <f t="shared" si="90"/>
        <v/>
      </c>
      <c r="M197" s="64" t="str">
        <f t="shared" si="91"/>
        <v/>
      </c>
      <c r="N197" s="65"/>
      <c r="O197" s="63" t="str">
        <f t="shared" si="92"/>
        <v/>
      </c>
      <c r="P197" s="63" t="str">
        <f t="shared" si="93"/>
        <v/>
      </c>
      <c r="Q197" s="66"/>
      <c r="R197" s="63" t="str">
        <f t="shared" si="94"/>
        <v/>
      </c>
      <c r="S197" s="64" t="str">
        <f t="shared" si="95"/>
        <v/>
      </c>
      <c r="T197" s="63" t="str">
        <f t="shared" si="96"/>
        <v/>
      </c>
      <c r="U197" s="64" t="str">
        <f t="shared" si="97"/>
        <v/>
      </c>
      <c r="V197" s="207" t="str">
        <f>IF($A198="","",IF(AND(MONTH(A197)&gt;3,MONTH(A197)&lt;11),(T197+R197+G197)*Summary!$T$7/(1-Summary!$T$7),(T197+R197+G197)*Summary!$U$7/(1-Summary!$U$7)))</f>
        <v/>
      </c>
      <c r="W197" s="63" t="str">
        <f t="shared" si="98"/>
        <v/>
      </c>
      <c r="X197" s="63" t="str">
        <f t="shared" si="99"/>
        <v/>
      </c>
      <c r="Y197" s="43"/>
      <c r="Z197" s="38" t="str">
        <f t="shared" si="100"/>
        <v/>
      </c>
      <c r="AA197" s="38" t="str">
        <f t="shared" si="100"/>
        <v/>
      </c>
      <c r="AB197" s="38" t="e">
        <f t="shared" si="78"/>
        <v>#VALUE!</v>
      </c>
      <c r="AC197" s="38" t="str">
        <f t="shared" si="100"/>
        <v/>
      </c>
      <c r="AD197" s="38" t="str">
        <f t="shared" si="100"/>
        <v/>
      </c>
      <c r="AE197" s="38" t="e">
        <f t="shared" si="79"/>
        <v>#VALUE!</v>
      </c>
      <c r="AF197" s="238" t="e">
        <f>((Summary!$N$7*(AA197*AD197)*(A197-$D$3))+(Summary!$M$7*Z197*AC197*(DAY(EOMONTH(A197,0))/2)))/(AK197*AB197*AE197)</f>
        <v>#VALUE!</v>
      </c>
      <c r="AG197" s="88" t="str">
        <f>IF($A198="","",Summary!$Q$7)</f>
        <v/>
      </c>
      <c r="AH197" s="88" t="str">
        <f>IF($A198="","",IF(Summary!$R$7="Y",(VLOOKUP($A197,Summary!$AD$6:$AF$9,3)+'Escalating commodity'!C210),'Escalating commodity'!C210))</f>
        <v/>
      </c>
      <c r="AI197" s="88" t="str">
        <f t="shared" si="101"/>
        <v/>
      </c>
      <c r="AJ197" s="236" t="e">
        <f t="shared" si="80"/>
        <v>#VALUE!</v>
      </c>
      <c r="AK197" s="58" t="str">
        <f t="shared" si="102"/>
        <v/>
      </c>
      <c r="AL197" s="26" t="str">
        <f>IF($A198="","",_xll.SPRDOPT(P197,X197,AI197,0,AB197,AE197,AF197,AK197,$AJ$2,0))</f>
        <v/>
      </c>
      <c r="AM197" s="209" t="str">
        <f t="shared" si="81"/>
        <v/>
      </c>
      <c r="AN197" s="89" t="str">
        <f t="shared" si="103"/>
        <v/>
      </c>
      <c r="AO197" s="3" t="str">
        <f t="shared" si="104"/>
        <v/>
      </c>
      <c r="AP197" s="33" t="str">
        <f t="shared" si="105"/>
        <v/>
      </c>
      <c r="AQ197" s="58" t="str">
        <f t="shared" si="82"/>
        <v/>
      </c>
      <c r="AR197" s="38">
        <f>IF(Summary!$H$2=1,VLOOKUP('ANR OK vs ML7'!A197,Curves!$C$17:$AR$273,MATCH('ANR OK vs ML7'!$AR$4,Curves!$C$8:$AQ$8,0)),0.1)</f>
        <v>0.1</v>
      </c>
      <c r="AS197" s="35" t="str">
        <f t="shared" si="83"/>
        <v/>
      </c>
      <c r="AT197" s="3" t="str">
        <f t="shared" si="106"/>
        <v/>
      </c>
      <c r="AU197" s="3" t="str">
        <f t="shared" si="84"/>
        <v/>
      </c>
      <c r="AW197" s="32" t="str">
        <f t="shared" si="107"/>
        <v/>
      </c>
      <c r="AX197" s="32" t="str">
        <f t="shared" si="108"/>
        <v/>
      </c>
      <c r="AY197" s="32" t="str">
        <f t="shared" si="109"/>
        <v/>
      </c>
      <c r="BA197" s="32" t="str">
        <f>IF($A198="","",F197*Summary!$Q$7)</f>
        <v/>
      </c>
    </row>
    <row r="198" spans="1:53" ht="12" customHeight="1">
      <c r="A198" s="67" t="str">
        <f t="shared" si="85"/>
        <v/>
      </c>
      <c r="B198" s="69" t="str">
        <f t="shared" si="111"/>
        <v/>
      </c>
      <c r="C198" s="71"/>
      <c r="D198" s="69" t="str">
        <f t="shared" si="112"/>
        <v/>
      </c>
      <c r="E198" s="70" t="str">
        <f t="shared" si="76"/>
        <v/>
      </c>
      <c r="F198" s="70" t="str">
        <f t="shared" si="77"/>
        <v/>
      </c>
      <c r="G198" s="63" t="str">
        <f t="shared" si="86"/>
        <v/>
      </c>
      <c r="H198" s="64" t="str">
        <f t="shared" si="87"/>
        <v/>
      </c>
      <c r="I198" s="43"/>
      <c r="J198" s="63" t="str">
        <f t="shared" si="88"/>
        <v/>
      </c>
      <c r="K198" s="64" t="str">
        <f t="shared" si="89"/>
        <v/>
      </c>
      <c r="L198" s="63" t="str">
        <f t="shared" si="90"/>
        <v/>
      </c>
      <c r="M198" s="64" t="str">
        <f t="shared" si="91"/>
        <v/>
      </c>
      <c r="N198" s="65"/>
      <c r="O198" s="63" t="str">
        <f t="shared" si="92"/>
        <v/>
      </c>
      <c r="P198" s="63" t="str">
        <f t="shared" si="93"/>
        <v/>
      </c>
      <c r="Q198" s="66"/>
      <c r="R198" s="63" t="str">
        <f t="shared" si="94"/>
        <v/>
      </c>
      <c r="S198" s="64" t="str">
        <f t="shared" si="95"/>
        <v/>
      </c>
      <c r="T198" s="63" t="str">
        <f t="shared" si="96"/>
        <v/>
      </c>
      <c r="U198" s="64" t="str">
        <f t="shared" si="97"/>
        <v/>
      </c>
      <c r="V198" s="207" t="str">
        <f>IF($A199="","",IF(AND(MONTH(A198)&gt;3,MONTH(A198)&lt;11),(T198+R198+G198)*Summary!$T$7/(1-Summary!$T$7),(T198+R198+G198)*Summary!$U$7/(1-Summary!$U$7)))</f>
        <v/>
      </c>
      <c r="W198" s="63" t="str">
        <f t="shared" si="98"/>
        <v/>
      </c>
      <c r="X198" s="63" t="str">
        <f t="shared" si="99"/>
        <v/>
      </c>
      <c r="Y198" s="43"/>
      <c r="Z198" s="38" t="str">
        <f t="shared" si="100"/>
        <v/>
      </c>
      <c r="AA198" s="38" t="str">
        <f t="shared" si="100"/>
        <v/>
      </c>
      <c r="AB198" s="38" t="e">
        <f t="shared" si="78"/>
        <v>#VALUE!</v>
      </c>
      <c r="AC198" s="38" t="str">
        <f t="shared" si="100"/>
        <v/>
      </c>
      <c r="AD198" s="38" t="str">
        <f t="shared" si="100"/>
        <v/>
      </c>
      <c r="AE198" s="38" t="e">
        <f t="shared" si="79"/>
        <v>#VALUE!</v>
      </c>
      <c r="AF198" s="238" t="e">
        <f>((Summary!$N$7*(AA198*AD198)*(A198-$D$3))+(Summary!$M$7*Z198*AC198*(DAY(EOMONTH(A198,0))/2)))/(AK198*AB198*AE198)</f>
        <v>#VALUE!</v>
      </c>
      <c r="AG198" s="88" t="str">
        <f>IF($A199="","",Summary!$Q$7)</f>
        <v/>
      </c>
      <c r="AH198" s="88" t="str">
        <f>IF($A199="","",IF(Summary!$R$7="Y",(VLOOKUP($A198,Summary!$AD$6:$AF$9,3)+'Escalating commodity'!C211),'Escalating commodity'!C211))</f>
        <v/>
      </c>
      <c r="AI198" s="88" t="str">
        <f t="shared" si="101"/>
        <v/>
      </c>
      <c r="AJ198" s="236" t="e">
        <f t="shared" si="80"/>
        <v>#VALUE!</v>
      </c>
      <c r="AK198" s="58" t="str">
        <f t="shared" si="102"/>
        <v/>
      </c>
      <c r="AL198" s="26" t="str">
        <f>IF($A199="","",_xll.SPRDOPT(P198,X198,AI198,0,AB198,AE198,AF198,AK198,$AJ$2,0))</f>
        <v/>
      </c>
      <c r="AM198" s="209" t="str">
        <f t="shared" si="81"/>
        <v/>
      </c>
      <c r="AN198" s="89" t="str">
        <f t="shared" si="103"/>
        <v/>
      </c>
      <c r="AO198" s="3" t="str">
        <f t="shared" si="104"/>
        <v/>
      </c>
      <c r="AP198" s="33" t="str">
        <f t="shared" si="105"/>
        <v/>
      </c>
      <c r="AQ198" s="58" t="str">
        <f t="shared" si="82"/>
        <v/>
      </c>
      <c r="AR198" s="38">
        <f>IF(Summary!$H$2=1,VLOOKUP('ANR OK vs ML7'!A198,Curves!$C$17:$AR$273,MATCH('ANR OK vs ML7'!$AR$4,Curves!$C$8:$AQ$8,0)),0.1)</f>
        <v>0.1</v>
      </c>
      <c r="AS198" s="35" t="str">
        <f t="shared" si="83"/>
        <v/>
      </c>
      <c r="AT198" s="3" t="str">
        <f t="shared" si="106"/>
        <v/>
      </c>
      <c r="AU198" s="3" t="str">
        <f t="shared" si="84"/>
        <v/>
      </c>
      <c r="AW198" s="32" t="str">
        <f t="shared" si="107"/>
        <v/>
      </c>
      <c r="AX198" s="32" t="str">
        <f t="shared" si="108"/>
        <v/>
      </c>
      <c r="AY198" s="32" t="str">
        <f t="shared" si="109"/>
        <v/>
      </c>
      <c r="BA198" s="32" t="str">
        <f>IF($A199="","",F198*Summary!$Q$7)</f>
        <v/>
      </c>
    </row>
    <row r="199" spans="1:53" ht="12" customHeight="1">
      <c r="A199" s="67" t="str">
        <f t="shared" si="85"/>
        <v/>
      </c>
      <c r="B199" s="69" t="str">
        <f t="shared" si="111"/>
        <v/>
      </c>
      <c r="C199" s="71"/>
      <c r="D199" s="69" t="str">
        <f t="shared" si="112"/>
        <v/>
      </c>
      <c r="E199" s="70" t="str">
        <f t="shared" si="76"/>
        <v/>
      </c>
      <c r="F199" s="70" t="str">
        <f t="shared" si="77"/>
        <v/>
      </c>
      <c r="G199" s="63" t="str">
        <f t="shared" si="86"/>
        <v/>
      </c>
      <c r="H199" s="64" t="str">
        <f t="shared" si="87"/>
        <v/>
      </c>
      <c r="I199" s="43"/>
      <c r="J199" s="63" t="str">
        <f t="shared" si="88"/>
        <v/>
      </c>
      <c r="K199" s="64" t="str">
        <f t="shared" si="89"/>
        <v/>
      </c>
      <c r="L199" s="63" t="str">
        <f t="shared" si="90"/>
        <v/>
      </c>
      <c r="M199" s="64" t="str">
        <f t="shared" si="91"/>
        <v/>
      </c>
      <c r="N199" s="65"/>
      <c r="O199" s="63" t="str">
        <f t="shared" si="92"/>
        <v/>
      </c>
      <c r="P199" s="63" t="str">
        <f t="shared" si="93"/>
        <v/>
      </c>
      <c r="Q199" s="66"/>
      <c r="R199" s="63" t="str">
        <f t="shared" si="94"/>
        <v/>
      </c>
      <c r="S199" s="64" t="str">
        <f t="shared" si="95"/>
        <v/>
      </c>
      <c r="T199" s="63" t="str">
        <f t="shared" si="96"/>
        <v/>
      </c>
      <c r="U199" s="64" t="str">
        <f t="shared" si="97"/>
        <v/>
      </c>
      <c r="V199" s="207" t="str">
        <f>IF($A200="","",IF(AND(MONTH(A199)&gt;3,MONTH(A199)&lt;11),(T199+R199+G199)*Summary!$T$7/(1-Summary!$T$7),(T199+R199+G199)*Summary!$U$7/(1-Summary!$U$7)))</f>
        <v/>
      </c>
      <c r="W199" s="63" t="str">
        <f t="shared" si="98"/>
        <v/>
      </c>
      <c r="X199" s="63" t="str">
        <f t="shared" si="99"/>
        <v/>
      </c>
      <c r="Y199" s="43"/>
      <c r="Z199" s="38" t="str">
        <f t="shared" si="100"/>
        <v/>
      </c>
      <c r="AA199" s="38" t="str">
        <f t="shared" si="100"/>
        <v/>
      </c>
      <c r="AB199" s="38" t="e">
        <f t="shared" si="78"/>
        <v>#VALUE!</v>
      </c>
      <c r="AC199" s="38" t="str">
        <f t="shared" si="100"/>
        <v/>
      </c>
      <c r="AD199" s="38" t="str">
        <f t="shared" si="100"/>
        <v/>
      </c>
      <c r="AE199" s="38" t="e">
        <f t="shared" si="79"/>
        <v>#VALUE!</v>
      </c>
      <c r="AF199" s="238" t="e">
        <f>((Summary!$N$7*(AA199*AD199)*(A199-$D$3))+(Summary!$M$7*Z199*AC199*(DAY(EOMONTH(A199,0))/2)))/(AK199*AB199*AE199)</f>
        <v>#VALUE!</v>
      </c>
      <c r="AG199" s="88" t="str">
        <f>IF($A200="","",Summary!$Q$7)</f>
        <v/>
      </c>
      <c r="AH199" s="88" t="str">
        <f>IF($A200="","",IF(Summary!$R$7="Y",(VLOOKUP($A199,Summary!$AD$6:$AF$9,3)+'Escalating commodity'!C212),'Escalating commodity'!C212))</f>
        <v/>
      </c>
      <c r="AI199" s="88" t="str">
        <f t="shared" si="101"/>
        <v/>
      </c>
      <c r="AJ199" s="236" t="e">
        <f t="shared" si="80"/>
        <v>#VALUE!</v>
      </c>
      <c r="AK199" s="58" t="str">
        <f t="shared" si="102"/>
        <v/>
      </c>
      <c r="AL199" s="26" t="str">
        <f>IF($A200="","",_xll.SPRDOPT(P199,X199,AI199,0,AB199,AE199,AF199,AK199,$AJ$2,0))</f>
        <v/>
      </c>
      <c r="AM199" s="209" t="str">
        <f t="shared" si="81"/>
        <v/>
      </c>
      <c r="AN199" s="89" t="str">
        <f t="shared" si="103"/>
        <v/>
      </c>
      <c r="AO199" s="3" t="str">
        <f t="shared" si="104"/>
        <v/>
      </c>
      <c r="AP199" s="33" t="str">
        <f t="shared" si="105"/>
        <v/>
      </c>
      <c r="AQ199" s="58" t="str">
        <f t="shared" si="82"/>
        <v/>
      </c>
      <c r="AR199" s="38">
        <f>IF(Summary!$H$2=1,VLOOKUP('ANR OK vs ML7'!A199,Curves!$C$17:$AR$273,MATCH('ANR OK vs ML7'!$AR$4,Curves!$C$8:$AQ$8,0)),0.1)</f>
        <v>0.1</v>
      </c>
      <c r="AS199" s="35" t="str">
        <f t="shared" si="83"/>
        <v/>
      </c>
      <c r="AT199" s="3" t="str">
        <f t="shared" si="106"/>
        <v/>
      </c>
      <c r="AU199" s="3" t="str">
        <f t="shared" si="84"/>
        <v/>
      </c>
      <c r="AW199" s="32" t="str">
        <f t="shared" si="107"/>
        <v/>
      </c>
      <c r="AX199" s="32" t="str">
        <f t="shared" si="108"/>
        <v/>
      </c>
      <c r="AY199" s="32" t="str">
        <f t="shared" si="109"/>
        <v/>
      </c>
      <c r="BA199" s="32" t="str">
        <f>IF($A200="","",F199*Summary!$Q$7)</f>
        <v/>
      </c>
    </row>
    <row r="200" spans="1:53" ht="12" customHeight="1">
      <c r="A200" s="67" t="str">
        <f t="shared" si="85"/>
        <v/>
      </c>
      <c r="B200" s="69" t="str">
        <f t="shared" si="111"/>
        <v/>
      </c>
      <c r="C200" s="71"/>
      <c r="D200" s="69" t="str">
        <f t="shared" si="112"/>
        <v/>
      </c>
      <c r="E200" s="70" t="str">
        <f t="shared" si="76"/>
        <v/>
      </c>
      <c r="F200" s="70" t="str">
        <f t="shared" si="77"/>
        <v/>
      </c>
      <c r="G200" s="63" t="str">
        <f t="shared" si="86"/>
        <v/>
      </c>
      <c r="H200" s="64" t="str">
        <f t="shared" si="87"/>
        <v/>
      </c>
      <c r="I200" s="43"/>
      <c r="J200" s="63" t="str">
        <f t="shared" si="88"/>
        <v/>
      </c>
      <c r="K200" s="64" t="str">
        <f t="shared" si="89"/>
        <v/>
      </c>
      <c r="L200" s="63" t="str">
        <f t="shared" si="90"/>
        <v/>
      </c>
      <c r="M200" s="64" t="str">
        <f t="shared" si="91"/>
        <v/>
      </c>
      <c r="N200" s="65"/>
      <c r="O200" s="63" t="str">
        <f t="shared" si="92"/>
        <v/>
      </c>
      <c r="P200" s="63" t="str">
        <f t="shared" si="93"/>
        <v/>
      </c>
      <c r="Q200" s="66"/>
      <c r="R200" s="63" t="str">
        <f t="shared" si="94"/>
        <v/>
      </c>
      <c r="S200" s="64" t="str">
        <f t="shared" si="95"/>
        <v/>
      </c>
      <c r="T200" s="63" t="str">
        <f t="shared" si="96"/>
        <v/>
      </c>
      <c r="U200" s="64" t="str">
        <f t="shared" si="97"/>
        <v/>
      </c>
      <c r="V200" s="207" t="str">
        <f>IF($A201="","",IF(AND(MONTH(A200)&gt;3,MONTH(A200)&lt;11),(T200+R200+G200)*Summary!$T$7/(1-Summary!$T$7),(T200+R200+G200)*Summary!$U$7/(1-Summary!$U$7)))</f>
        <v/>
      </c>
      <c r="W200" s="63" t="str">
        <f t="shared" si="98"/>
        <v/>
      </c>
      <c r="X200" s="63" t="str">
        <f t="shared" si="99"/>
        <v/>
      </c>
      <c r="Y200" s="43"/>
      <c r="Z200" s="38" t="str">
        <f t="shared" si="100"/>
        <v/>
      </c>
      <c r="AA200" s="38" t="str">
        <f t="shared" si="100"/>
        <v/>
      </c>
      <c r="AB200" s="38" t="e">
        <f t="shared" si="78"/>
        <v>#VALUE!</v>
      </c>
      <c r="AC200" s="38" t="str">
        <f t="shared" si="100"/>
        <v/>
      </c>
      <c r="AD200" s="38" t="str">
        <f t="shared" si="100"/>
        <v/>
      </c>
      <c r="AE200" s="38" t="e">
        <f t="shared" si="79"/>
        <v>#VALUE!</v>
      </c>
      <c r="AF200" s="238" t="e">
        <f>((Summary!$N$7*(AA200*AD200)*(A200-$D$3))+(Summary!$M$7*Z200*AC200*(DAY(EOMONTH(A200,0))/2)))/(AK200*AB200*AE200)</f>
        <v>#VALUE!</v>
      </c>
      <c r="AG200" s="88" t="str">
        <f>IF($A201="","",Summary!$Q$7)</f>
        <v/>
      </c>
      <c r="AH200" s="88" t="str">
        <f>IF($A201="","",IF(Summary!$R$7="Y",(VLOOKUP($A200,Summary!$AD$6:$AF$9,3)+'Escalating commodity'!C213),'Escalating commodity'!C213))</f>
        <v/>
      </c>
      <c r="AI200" s="88" t="str">
        <f t="shared" si="101"/>
        <v/>
      </c>
      <c r="AJ200" s="236" t="e">
        <f t="shared" si="80"/>
        <v>#VALUE!</v>
      </c>
      <c r="AK200" s="58" t="str">
        <f t="shared" si="102"/>
        <v/>
      </c>
      <c r="AL200" s="26" t="str">
        <f>IF($A201="","",_xll.SPRDOPT(P200,X200,AI200,0,AB200,AE200,AF200,AK200,$AJ$2,0))</f>
        <v/>
      </c>
      <c r="AM200" s="209" t="str">
        <f t="shared" si="81"/>
        <v/>
      </c>
      <c r="AN200" s="89" t="str">
        <f t="shared" si="103"/>
        <v/>
      </c>
      <c r="AO200" s="3" t="str">
        <f t="shared" si="104"/>
        <v/>
      </c>
      <c r="AP200" s="33" t="str">
        <f t="shared" si="105"/>
        <v/>
      </c>
      <c r="AQ200" s="58" t="str">
        <f t="shared" si="82"/>
        <v/>
      </c>
      <c r="AR200" s="38">
        <f>IF(Summary!$H$2=1,VLOOKUP('ANR OK vs ML7'!A200,Curves!$C$17:$AR$273,MATCH('ANR OK vs ML7'!$AR$4,Curves!$C$8:$AQ$8,0)),0.1)</f>
        <v>0.1</v>
      </c>
      <c r="AS200" s="35" t="str">
        <f t="shared" si="83"/>
        <v/>
      </c>
      <c r="AT200" s="3" t="str">
        <f t="shared" si="106"/>
        <v/>
      </c>
      <c r="AU200" s="3" t="str">
        <f t="shared" si="84"/>
        <v/>
      </c>
      <c r="AW200" s="32" t="str">
        <f t="shared" si="107"/>
        <v/>
      </c>
      <c r="AX200" s="32" t="str">
        <f t="shared" si="108"/>
        <v/>
      </c>
      <c r="AY200" s="32" t="str">
        <f t="shared" si="109"/>
        <v/>
      </c>
      <c r="BA200" s="32" t="str">
        <f>IF($A201="","",F200*Summary!$Q$7)</f>
        <v/>
      </c>
    </row>
    <row r="201" spans="1:53" ht="12" customHeight="1">
      <c r="A201" s="67" t="str">
        <f t="shared" si="85"/>
        <v/>
      </c>
      <c r="B201" s="69" t="str">
        <f t="shared" si="111"/>
        <v/>
      </c>
      <c r="C201" s="71"/>
      <c r="D201" s="69" t="str">
        <f t="shared" si="112"/>
        <v/>
      </c>
      <c r="E201" s="70" t="str">
        <f t="shared" si="76"/>
        <v/>
      </c>
      <c r="F201" s="70" t="str">
        <f t="shared" si="77"/>
        <v/>
      </c>
      <c r="G201" s="63" t="str">
        <f t="shared" si="86"/>
        <v/>
      </c>
      <c r="H201" s="64" t="str">
        <f t="shared" si="87"/>
        <v/>
      </c>
      <c r="I201" s="43"/>
      <c r="J201" s="63" t="str">
        <f t="shared" si="88"/>
        <v/>
      </c>
      <c r="K201" s="64" t="str">
        <f t="shared" si="89"/>
        <v/>
      </c>
      <c r="L201" s="63" t="str">
        <f t="shared" si="90"/>
        <v/>
      </c>
      <c r="M201" s="64" t="str">
        <f t="shared" si="91"/>
        <v/>
      </c>
      <c r="N201" s="65"/>
      <c r="O201" s="63" t="str">
        <f t="shared" si="92"/>
        <v/>
      </c>
      <c r="P201" s="63" t="str">
        <f t="shared" si="93"/>
        <v/>
      </c>
      <c r="Q201" s="66"/>
      <c r="R201" s="63" t="str">
        <f t="shared" si="94"/>
        <v/>
      </c>
      <c r="S201" s="64" t="str">
        <f t="shared" si="95"/>
        <v/>
      </c>
      <c r="T201" s="63" t="str">
        <f t="shared" si="96"/>
        <v/>
      </c>
      <c r="U201" s="64" t="str">
        <f t="shared" si="97"/>
        <v/>
      </c>
      <c r="V201" s="207" t="str">
        <f>IF($A202="","",IF(AND(MONTH(A201)&gt;3,MONTH(A201)&lt;11),(T201+R201+G201)*Summary!$T$7/(1-Summary!$T$7),(T201+R201+G201)*Summary!$U$7/(1-Summary!$U$7)))</f>
        <v/>
      </c>
      <c r="W201" s="63" t="str">
        <f t="shared" si="98"/>
        <v/>
      </c>
      <c r="X201" s="63" t="str">
        <f t="shared" si="99"/>
        <v/>
      </c>
      <c r="Y201" s="43"/>
      <c r="Z201" s="38" t="str">
        <f t="shared" si="100"/>
        <v/>
      </c>
      <c r="AA201" s="38" t="str">
        <f t="shared" si="100"/>
        <v/>
      </c>
      <c r="AB201" s="38" t="e">
        <f t="shared" si="78"/>
        <v>#VALUE!</v>
      </c>
      <c r="AC201" s="38" t="str">
        <f t="shared" si="100"/>
        <v/>
      </c>
      <c r="AD201" s="38" t="str">
        <f t="shared" si="100"/>
        <v/>
      </c>
      <c r="AE201" s="38" t="e">
        <f t="shared" si="79"/>
        <v>#VALUE!</v>
      </c>
      <c r="AF201" s="238" t="e">
        <f>((Summary!$N$7*(AA201*AD201)*(A201-$D$3))+(Summary!$M$7*Z201*AC201*(DAY(EOMONTH(A201,0))/2)))/(AK201*AB201*AE201)</f>
        <v>#VALUE!</v>
      </c>
      <c r="AG201" s="88" t="str">
        <f>IF($A202="","",Summary!$Q$7)</f>
        <v/>
      </c>
      <c r="AH201" s="88" t="str">
        <f>IF($A202="","",IF(Summary!$R$7="Y",(VLOOKUP($A201,Summary!$AD$6:$AF$9,3)+'Escalating commodity'!C214),'Escalating commodity'!C214))</f>
        <v/>
      </c>
      <c r="AI201" s="88" t="str">
        <f t="shared" si="101"/>
        <v/>
      </c>
      <c r="AJ201" s="236" t="e">
        <f t="shared" si="80"/>
        <v>#VALUE!</v>
      </c>
      <c r="AK201" s="58" t="str">
        <f t="shared" si="102"/>
        <v/>
      </c>
      <c r="AL201" s="26" t="str">
        <f>IF($A202="","",_xll.SPRDOPT(P201,X201,AI201,0,AB201,AE201,AF201,AK201,$AJ$2,0))</f>
        <v/>
      </c>
      <c r="AM201" s="209" t="str">
        <f t="shared" si="81"/>
        <v/>
      </c>
      <c r="AN201" s="89" t="str">
        <f t="shared" si="103"/>
        <v/>
      </c>
      <c r="AO201" s="3" t="str">
        <f t="shared" si="104"/>
        <v/>
      </c>
      <c r="AP201" s="33" t="str">
        <f t="shared" si="105"/>
        <v/>
      </c>
      <c r="AQ201" s="58" t="str">
        <f t="shared" si="82"/>
        <v/>
      </c>
      <c r="AR201" s="38">
        <f>IF(Summary!$H$2=1,VLOOKUP('ANR OK vs ML7'!A201,Curves!$C$17:$AR$273,MATCH('ANR OK vs ML7'!$AR$4,Curves!$C$8:$AQ$8,0)),0.1)</f>
        <v>0.1</v>
      </c>
      <c r="AS201" s="35" t="str">
        <f t="shared" si="83"/>
        <v/>
      </c>
      <c r="AT201" s="3" t="str">
        <f t="shared" si="106"/>
        <v/>
      </c>
      <c r="AU201" s="3" t="str">
        <f t="shared" si="84"/>
        <v/>
      </c>
      <c r="AW201" s="32" t="str">
        <f t="shared" si="107"/>
        <v/>
      </c>
      <c r="AX201" s="32" t="str">
        <f t="shared" si="108"/>
        <v/>
      </c>
      <c r="AY201" s="32" t="str">
        <f t="shared" si="109"/>
        <v/>
      </c>
      <c r="BA201" s="32" t="str">
        <f>IF($A202="","",F201*Summary!$Q$7)</f>
        <v/>
      </c>
    </row>
    <row r="202" spans="1:53" ht="12" customHeight="1">
      <c r="A202" s="67" t="str">
        <f t="shared" si="85"/>
        <v/>
      </c>
      <c r="B202" s="69" t="str">
        <f t="shared" si="111"/>
        <v/>
      </c>
      <c r="C202" s="71"/>
      <c r="D202" s="69" t="str">
        <f t="shared" si="112"/>
        <v/>
      </c>
      <c r="E202" s="70" t="str">
        <f t="shared" ref="E202:E265" si="113">IF(A203="","",IF(AND(AT202=1,$H$3=1),D202*AO202,IF($H$3=2,D202,"N/A")))</f>
        <v/>
      </c>
      <c r="F202" s="70" t="str">
        <f t="shared" ref="F202:F265" si="114">IF(A203="","",E202*AS202)</f>
        <v/>
      </c>
      <c r="G202" s="63" t="str">
        <f t="shared" si="86"/>
        <v/>
      </c>
      <c r="H202" s="64" t="str">
        <f t="shared" si="87"/>
        <v/>
      </c>
      <c r="I202" s="43"/>
      <c r="J202" s="63" t="str">
        <f t="shared" si="88"/>
        <v/>
      </c>
      <c r="K202" s="64" t="str">
        <f t="shared" si="89"/>
        <v/>
      </c>
      <c r="L202" s="63" t="str">
        <f t="shared" si="90"/>
        <v/>
      </c>
      <c r="M202" s="64" t="str">
        <f t="shared" si="91"/>
        <v/>
      </c>
      <c r="N202" s="65"/>
      <c r="O202" s="63" t="str">
        <f t="shared" si="92"/>
        <v/>
      </c>
      <c r="P202" s="63" t="str">
        <f t="shared" si="93"/>
        <v/>
      </c>
      <c r="Q202" s="66"/>
      <c r="R202" s="63" t="str">
        <f t="shared" si="94"/>
        <v/>
      </c>
      <c r="S202" s="64" t="str">
        <f t="shared" si="95"/>
        <v/>
      </c>
      <c r="T202" s="63" t="str">
        <f t="shared" si="96"/>
        <v/>
      </c>
      <c r="U202" s="64" t="str">
        <f t="shared" si="97"/>
        <v/>
      </c>
      <c r="V202" s="207" t="str">
        <f>IF($A203="","",IF(AND(MONTH(A202)&gt;3,MONTH(A202)&lt;11),(T202+R202+G202)*Summary!$T$7/(1-Summary!$T$7),(T202+R202+G202)*Summary!$U$7/(1-Summary!$U$7)))</f>
        <v/>
      </c>
      <c r="W202" s="63" t="str">
        <f t="shared" si="98"/>
        <v/>
      </c>
      <c r="X202" s="63" t="str">
        <f t="shared" si="99"/>
        <v/>
      </c>
      <c r="Y202" s="43"/>
      <c r="Z202" s="38" t="str">
        <f t="shared" si="100"/>
        <v/>
      </c>
      <c r="AA202" s="38" t="str">
        <f t="shared" si="100"/>
        <v/>
      </c>
      <c r="AB202" s="38" t="e">
        <f t="shared" ref="AB202:AB265" si="115">SQRT((AA202^2*(A202-$D$3)+Z202^2*(DAY(EOMONTH(A202,0))/2))/AK202)</f>
        <v>#VALUE!</v>
      </c>
      <c r="AC202" s="38" t="str">
        <f t="shared" si="100"/>
        <v/>
      </c>
      <c r="AD202" s="38" t="str">
        <f t="shared" ref="AD202:AD265" si="116">IF($A203="","",VLOOKUP($A202,Table,MATCH(AD$4,Curves,0)))</f>
        <v/>
      </c>
      <c r="AE202" s="38" t="e">
        <f t="shared" ref="AE202:AE265" si="117">SQRT((AD202^2*(A202-$D$3)+AC202^2*(DAY(EOMONTH(A202,0))/2))/AK202)</f>
        <v>#VALUE!</v>
      </c>
      <c r="AF202" s="238" t="e">
        <f>((Summary!$N$7*(AA202*AD202)*(A202-$D$3))+(Summary!$M$7*Z202*AC202*(DAY(EOMONTH(A202,0))/2)))/(AK202*AB202*AE202)</f>
        <v>#VALUE!</v>
      </c>
      <c r="AG202" s="88" t="str">
        <f>IF($A203="","",Summary!$Q$7)</f>
        <v/>
      </c>
      <c r="AH202" s="88" t="str">
        <f>IF($A203="","",IF(Summary!$R$7="Y",(VLOOKUP($A202,Summary!$AD$6:$AF$9,3)+'Escalating commodity'!C215),'Escalating commodity'!C215))</f>
        <v/>
      </c>
      <c r="AI202" s="88" t="str">
        <f t="shared" si="101"/>
        <v/>
      </c>
      <c r="AJ202" s="236" t="e">
        <f t="shared" ref="AJ202:AJ265" si="118">A202+DAY(EOMONTH(A202,0))/2-1</f>
        <v>#VALUE!</v>
      </c>
      <c r="AK202" s="58" t="str">
        <f t="shared" si="102"/>
        <v/>
      </c>
      <c r="AL202" s="26" t="str">
        <f>IF($A203="","",_xll.SPRDOPT(P202,X202,AI202,0,AB202,AE202,AF202,AK202,$AJ$2,0))</f>
        <v/>
      </c>
      <c r="AM202" s="209" t="str">
        <f t="shared" ref="AM202:AM265" si="119">IF($A203="","",MAX(0,O202-W202-AI202))</f>
        <v/>
      </c>
      <c r="AN202" s="89" t="str">
        <f t="shared" si="103"/>
        <v/>
      </c>
      <c r="AO202" s="3" t="str">
        <f t="shared" si="104"/>
        <v/>
      </c>
      <c r="AP202" s="33" t="str">
        <f t="shared" si="105"/>
        <v/>
      </c>
      <c r="AQ202" s="58" t="str">
        <f t="shared" ref="AQ202:AQ265" si="120">IF(A203="","",AP202-$E$1)</f>
        <v/>
      </c>
      <c r="AR202" s="38">
        <f>IF(Summary!$H$2=1,VLOOKUP('ANR OK vs ML7'!A202,Curves!$C$17:$AR$273,MATCH('ANR OK vs ML7'!$AR$4,Curves!$C$8:$AQ$8,0)),0.1)</f>
        <v>0.1</v>
      </c>
      <c r="AS202" s="35" t="str">
        <f t="shared" ref="AS202:AS265" si="121">IF(A203="","",1/(1+CHOOSE(F$3,(AR203+($I$3/10000))/2,(AR202+($I$3/10000))/2))^(2*AQ202/365.25))</f>
        <v/>
      </c>
      <c r="AT202" s="3" t="str">
        <f t="shared" si="106"/>
        <v/>
      </c>
      <c r="AU202" s="3" t="str">
        <f t="shared" ref="AU202:AU265" si="122">IF(A203="","",AO202*AT202)</f>
        <v/>
      </c>
      <c r="AW202" s="32" t="str">
        <f t="shared" si="107"/>
        <v/>
      </c>
      <c r="AX202" s="32" t="str">
        <f t="shared" si="108"/>
        <v/>
      </c>
      <c r="AY202" s="32" t="str">
        <f t="shared" si="109"/>
        <v/>
      </c>
      <c r="BA202" s="32" t="str">
        <f>IF($A203="","",F202*Summary!$Q$7)</f>
        <v/>
      </c>
    </row>
    <row r="203" spans="1:53" ht="12" customHeight="1">
      <c r="A203" s="67" t="str">
        <f t="shared" ref="A203:A266" si="123">IF(A202&lt;mthend,EDATE(A202,1),"")</f>
        <v/>
      </c>
      <c r="B203" s="69" t="str">
        <f t="shared" si="111"/>
        <v/>
      </c>
      <c r="C203" s="71"/>
      <c r="D203" s="69" t="str">
        <f t="shared" si="112"/>
        <v/>
      </c>
      <c r="E203" s="70" t="str">
        <f t="shared" si="113"/>
        <v/>
      </c>
      <c r="F203" s="70" t="str">
        <f t="shared" si="114"/>
        <v/>
      </c>
      <c r="G203" s="63" t="str">
        <f t="shared" ref="G203:G266" si="124">IF($A204="","",VLOOKUP($A203,Table,MATCH(G$4,Curves,0)))</f>
        <v/>
      </c>
      <c r="H203" s="64" t="str">
        <f t="shared" ref="H203:H266" si="125">IF(A204="","",G203)</f>
        <v/>
      </c>
      <c r="I203" s="43"/>
      <c r="J203" s="63" t="str">
        <f t="shared" ref="J203:J266" si="126">IF($A204="","",VLOOKUP($A203,Table,MATCH(J$4,Curves,0)))</f>
        <v/>
      </c>
      <c r="K203" s="64" t="str">
        <f t="shared" ref="K203:K266" si="127">IF(A204="","",J203)</f>
        <v/>
      </c>
      <c r="L203" s="63" t="str">
        <f t="shared" ref="L203:L266" si="128">IF($A204="","",VLOOKUP($A203,Table,MATCH(L$4,Curves,0)))</f>
        <v/>
      </c>
      <c r="M203" s="64" t="str">
        <f t="shared" ref="M203:M266" si="129">IF(A204="","",L203)</f>
        <v/>
      </c>
      <c r="N203" s="65"/>
      <c r="O203" s="63" t="str">
        <f t="shared" ref="O203:O266" si="130">IF(A204="","",L203+J203+G203)</f>
        <v/>
      </c>
      <c r="P203" s="63" t="str">
        <f t="shared" ref="P203:P266" si="131">IF(A204="","",M203+K203+H203)</f>
        <v/>
      </c>
      <c r="Q203" s="66"/>
      <c r="R203" s="63" t="str">
        <f t="shared" ref="R203:R266" si="132">IF($A204="","",VLOOKUP($A203,Table,MATCH(R$4,Curves,0)))</f>
        <v/>
      </c>
      <c r="S203" s="64" t="str">
        <f t="shared" ref="S203:S266" si="133">IF(A204="","",R203)</f>
        <v/>
      </c>
      <c r="T203" s="63" t="str">
        <f t="shared" ref="T203:T266" si="134">IF($A204="","",VLOOKUP($A203,Table,MATCH(T$4,Curves,0)))</f>
        <v/>
      </c>
      <c r="U203" s="64" t="str">
        <f t="shared" ref="U203:U266" si="135">IF(A204="","",T203)</f>
        <v/>
      </c>
      <c r="V203" s="207" t="str">
        <f>IF($A204="","",IF(AND(MONTH(A203)&gt;3,MONTH(A203)&lt;11),(T203+R203+G203)*Summary!$T$7/(1-Summary!$T$7),(T203+R203+G203)*Summary!$U$7/(1-Summary!$U$7)))</f>
        <v/>
      </c>
      <c r="W203" s="63" t="str">
        <f t="shared" ref="W203:W266" si="136">IF($A204="","",(T203+R203+G203+V203))</f>
        <v/>
      </c>
      <c r="X203" s="63" t="str">
        <f t="shared" ref="X203:X266" si="137">IF($A204="","",(U203+S203+H203+V203))</f>
        <v/>
      </c>
      <c r="Y203" s="43"/>
      <c r="Z203" s="38" t="str">
        <f t="shared" ref="Z203:AD266" si="138">IF($A204="","",VLOOKUP($A203,Table,MATCH(Z$4,Curves,0)))</f>
        <v/>
      </c>
      <c r="AA203" s="38" t="str">
        <f t="shared" si="138"/>
        <v/>
      </c>
      <c r="AB203" s="38" t="e">
        <f t="shared" si="115"/>
        <v>#VALUE!</v>
      </c>
      <c r="AC203" s="38" t="str">
        <f t="shared" si="138"/>
        <v/>
      </c>
      <c r="AD203" s="38" t="str">
        <f t="shared" si="116"/>
        <v/>
      </c>
      <c r="AE203" s="38" t="e">
        <f t="shared" si="117"/>
        <v>#VALUE!</v>
      </c>
      <c r="AF203" s="238" t="e">
        <f>((Summary!$N$7*(AA203*AD203)*(A203-$D$3))+(Summary!$M$7*Z203*AC203*(DAY(EOMONTH(A203,0))/2)))/(AK203*AB203*AE203)</f>
        <v>#VALUE!</v>
      </c>
      <c r="AG203" s="88" t="str">
        <f>IF($A204="","",Summary!$Q$7)</f>
        <v/>
      </c>
      <c r="AH203" s="88" t="str">
        <f>IF($A204="","",IF(Summary!$R$7="Y",(VLOOKUP($A203,Summary!$AD$6:$AF$9,3)+'Escalating commodity'!C216),'Escalating commodity'!C216))</f>
        <v/>
      </c>
      <c r="AI203" s="88" t="str">
        <f t="shared" ref="AI203:AI266" si="139">IF($A204="","",AH203)</f>
        <v/>
      </c>
      <c r="AJ203" s="236" t="e">
        <f t="shared" si="118"/>
        <v>#VALUE!</v>
      </c>
      <c r="AK203" s="58" t="str">
        <f t="shared" ref="AK203:AK266" si="140">IF($A204="","",$A203-$E$1)</f>
        <v/>
      </c>
      <c r="AL203" s="26" t="str">
        <f>IF($A204="","",_xll.SPRDOPT(P203,X203,AI203,0,AB203,AE203,AF203,AK203,$AJ$2,0))</f>
        <v/>
      </c>
      <c r="AM203" s="209" t="str">
        <f t="shared" si="119"/>
        <v/>
      </c>
      <c r="AN203" s="89" t="str">
        <f t="shared" ref="AN203:AN266" si="141">IF($A204="","",AL203-AM203)</f>
        <v/>
      </c>
      <c r="AO203" s="3" t="str">
        <f t="shared" ref="AO203:AO266" si="142">IF(A204="","",A204-A203)</f>
        <v/>
      </c>
      <c r="AP203" s="33" t="str">
        <f t="shared" ref="AP203:AP266" si="143">IF(A204="","",CHOOSE(F$3,A204+24,A203))</f>
        <v/>
      </c>
      <c r="AQ203" s="58" t="str">
        <f t="shared" si="120"/>
        <v/>
      </c>
      <c r="AR203" s="38">
        <f>IF(Summary!$H$2=1,VLOOKUP('ANR OK vs ML7'!A203,Curves!$C$17:$AR$273,MATCH('ANR OK vs ML7'!$AR$4,Curves!$C$8:$AQ$8,0)),0.1)</f>
        <v>0.1</v>
      </c>
      <c r="AS203" s="35" t="str">
        <f t="shared" si="121"/>
        <v/>
      </c>
      <c r="AT203" s="3" t="str">
        <f t="shared" ref="AT203:AT266" si="144">IF(A204="","",IF(AND(mthbeg&lt;=A203,mthend&gt;=A203),1,0))</f>
        <v/>
      </c>
      <c r="AU203" s="3" t="str">
        <f t="shared" si="122"/>
        <v/>
      </c>
      <c r="AW203" s="32" t="str">
        <f t="shared" ref="AW203:AW266" si="145">IF($A204="","",AL203*$E203)</f>
        <v/>
      </c>
      <c r="AX203" s="32" t="str">
        <f t="shared" ref="AX203:AX266" si="146">IF($A204="","",AM203*$E203)</f>
        <v/>
      </c>
      <c r="AY203" s="32" t="str">
        <f t="shared" ref="AY203:AY266" si="147">IF($A204="","",AN203*$E203)</f>
        <v/>
      </c>
      <c r="BA203" s="32" t="str">
        <f>IF($A204="","",F203*Summary!$Q$7)</f>
        <v/>
      </c>
    </row>
    <row r="204" spans="1:53" ht="12" customHeight="1">
      <c r="A204" s="67" t="str">
        <f t="shared" si="123"/>
        <v/>
      </c>
      <c r="B204" s="69" t="str">
        <f t="shared" ref="B204:B267" si="148">IF(A204&lt;mthend,B203,"")</f>
        <v/>
      </c>
      <c r="C204" s="71"/>
      <c r="D204" s="69" t="str">
        <f t="shared" ref="D204:D267" si="149">IF(A205&lt;&gt;"",B204+C204,"")</f>
        <v/>
      </c>
      <c r="E204" s="70" t="str">
        <f t="shared" si="113"/>
        <v/>
      </c>
      <c r="F204" s="70" t="str">
        <f t="shared" si="114"/>
        <v/>
      </c>
      <c r="G204" s="63" t="str">
        <f t="shared" si="124"/>
        <v/>
      </c>
      <c r="H204" s="64" t="str">
        <f t="shared" si="125"/>
        <v/>
      </c>
      <c r="I204" s="43"/>
      <c r="J204" s="63" t="str">
        <f t="shared" si="126"/>
        <v/>
      </c>
      <c r="K204" s="64" t="str">
        <f t="shared" si="127"/>
        <v/>
      </c>
      <c r="L204" s="63" t="str">
        <f t="shared" si="128"/>
        <v/>
      </c>
      <c r="M204" s="64" t="str">
        <f t="shared" si="129"/>
        <v/>
      </c>
      <c r="N204" s="65"/>
      <c r="O204" s="63" t="str">
        <f t="shared" si="130"/>
        <v/>
      </c>
      <c r="P204" s="63" t="str">
        <f t="shared" si="131"/>
        <v/>
      </c>
      <c r="Q204" s="66"/>
      <c r="R204" s="63" t="str">
        <f t="shared" si="132"/>
        <v/>
      </c>
      <c r="S204" s="64" t="str">
        <f t="shared" si="133"/>
        <v/>
      </c>
      <c r="T204" s="63" t="str">
        <f t="shared" si="134"/>
        <v/>
      </c>
      <c r="U204" s="64" t="str">
        <f t="shared" si="135"/>
        <v/>
      </c>
      <c r="V204" s="207" t="str">
        <f>IF($A205="","",IF(AND(MONTH(A204)&gt;3,MONTH(A204)&lt;11),(T204+R204+G204)*Summary!$T$7/(1-Summary!$T$7),(T204+R204+G204)*Summary!$U$7/(1-Summary!$U$7)))</f>
        <v/>
      </c>
      <c r="W204" s="63" t="str">
        <f t="shared" si="136"/>
        <v/>
      </c>
      <c r="X204" s="63" t="str">
        <f t="shared" si="137"/>
        <v/>
      </c>
      <c r="Y204" s="43"/>
      <c r="Z204" s="38" t="str">
        <f t="shared" si="138"/>
        <v/>
      </c>
      <c r="AA204" s="38" t="str">
        <f t="shared" si="138"/>
        <v/>
      </c>
      <c r="AB204" s="38" t="e">
        <f t="shared" si="115"/>
        <v>#VALUE!</v>
      </c>
      <c r="AC204" s="38" t="str">
        <f t="shared" si="138"/>
        <v/>
      </c>
      <c r="AD204" s="38" t="str">
        <f t="shared" si="116"/>
        <v/>
      </c>
      <c r="AE204" s="38" t="e">
        <f t="shared" si="117"/>
        <v>#VALUE!</v>
      </c>
      <c r="AF204" s="238" t="e">
        <f>((Summary!$N$7*(AA204*AD204)*(A204-$D$3))+(Summary!$M$7*Z204*AC204*(DAY(EOMONTH(A204,0))/2)))/(AK204*AB204*AE204)</f>
        <v>#VALUE!</v>
      </c>
      <c r="AG204" s="88" t="str">
        <f>IF($A205="","",Summary!$Q$7)</f>
        <v/>
      </c>
      <c r="AH204" s="88" t="str">
        <f>IF($A205="","",IF(Summary!$R$7="Y",(VLOOKUP($A204,Summary!$AD$6:$AF$9,3)+'Escalating commodity'!C217),'Escalating commodity'!C217))</f>
        <v/>
      </c>
      <c r="AI204" s="88" t="str">
        <f t="shared" si="139"/>
        <v/>
      </c>
      <c r="AJ204" s="236" t="e">
        <f t="shared" si="118"/>
        <v>#VALUE!</v>
      </c>
      <c r="AK204" s="58" t="str">
        <f t="shared" si="140"/>
        <v/>
      </c>
      <c r="AL204" s="26" t="str">
        <f>IF($A205="","",_xll.SPRDOPT(P204,X204,AI204,0,AB204,AE204,AF204,AK204,$AJ$2,0))</f>
        <v/>
      </c>
      <c r="AM204" s="209" t="str">
        <f t="shared" si="119"/>
        <v/>
      </c>
      <c r="AN204" s="89" t="str">
        <f t="shared" si="141"/>
        <v/>
      </c>
      <c r="AO204" s="3" t="str">
        <f t="shared" si="142"/>
        <v/>
      </c>
      <c r="AP204" s="33" t="str">
        <f t="shared" si="143"/>
        <v/>
      </c>
      <c r="AQ204" s="58" t="str">
        <f t="shared" si="120"/>
        <v/>
      </c>
      <c r="AR204" s="38">
        <f>IF(Summary!$H$2=1,VLOOKUP('ANR OK vs ML7'!A204,Curves!$C$17:$AR$273,MATCH('ANR OK vs ML7'!$AR$4,Curves!$C$8:$AQ$8,0)),0.1)</f>
        <v>0.1</v>
      </c>
      <c r="AS204" s="35" t="str">
        <f t="shared" si="121"/>
        <v/>
      </c>
      <c r="AT204" s="3" t="str">
        <f t="shared" si="144"/>
        <v/>
      </c>
      <c r="AU204" s="3" t="str">
        <f t="shared" si="122"/>
        <v/>
      </c>
      <c r="AW204" s="32" t="str">
        <f t="shared" si="145"/>
        <v/>
      </c>
      <c r="AX204" s="32" t="str">
        <f t="shared" si="146"/>
        <v/>
      </c>
      <c r="AY204" s="32" t="str">
        <f t="shared" si="147"/>
        <v/>
      </c>
      <c r="BA204" s="32" t="str">
        <f>IF($A205="","",F204*Summary!$Q$7)</f>
        <v/>
      </c>
    </row>
    <row r="205" spans="1:53" ht="12" customHeight="1">
      <c r="A205" s="67" t="str">
        <f t="shared" si="123"/>
        <v/>
      </c>
      <c r="B205" s="69" t="str">
        <f t="shared" si="148"/>
        <v/>
      </c>
      <c r="C205" s="71"/>
      <c r="D205" s="69" t="str">
        <f t="shared" si="149"/>
        <v/>
      </c>
      <c r="E205" s="70" t="str">
        <f t="shared" si="113"/>
        <v/>
      </c>
      <c r="F205" s="70" t="str">
        <f t="shared" si="114"/>
        <v/>
      </c>
      <c r="G205" s="63" t="str">
        <f t="shared" si="124"/>
        <v/>
      </c>
      <c r="H205" s="64" t="str">
        <f t="shared" si="125"/>
        <v/>
      </c>
      <c r="I205" s="43"/>
      <c r="J205" s="63" t="str">
        <f t="shared" si="126"/>
        <v/>
      </c>
      <c r="K205" s="64" t="str">
        <f t="shared" si="127"/>
        <v/>
      </c>
      <c r="L205" s="63" t="str">
        <f t="shared" si="128"/>
        <v/>
      </c>
      <c r="M205" s="64" t="str">
        <f t="shared" si="129"/>
        <v/>
      </c>
      <c r="N205" s="65"/>
      <c r="O205" s="63" t="str">
        <f t="shared" si="130"/>
        <v/>
      </c>
      <c r="P205" s="63" t="str">
        <f t="shared" si="131"/>
        <v/>
      </c>
      <c r="Q205" s="66"/>
      <c r="R205" s="63" t="str">
        <f t="shared" si="132"/>
        <v/>
      </c>
      <c r="S205" s="64" t="str">
        <f t="shared" si="133"/>
        <v/>
      </c>
      <c r="T205" s="63" t="str">
        <f t="shared" si="134"/>
        <v/>
      </c>
      <c r="U205" s="64" t="str">
        <f t="shared" si="135"/>
        <v/>
      </c>
      <c r="V205" s="207" t="str">
        <f>IF($A206="","",IF(AND(MONTH(A205)&gt;3,MONTH(A205)&lt;11),(T205+R205+G205)*Summary!$T$7/(1-Summary!$T$7),(T205+R205+G205)*Summary!$U$7/(1-Summary!$U$7)))</f>
        <v/>
      </c>
      <c r="W205" s="63" t="str">
        <f t="shared" si="136"/>
        <v/>
      </c>
      <c r="X205" s="63" t="str">
        <f t="shared" si="137"/>
        <v/>
      </c>
      <c r="Y205" s="43"/>
      <c r="Z205" s="38" t="str">
        <f t="shared" si="138"/>
        <v/>
      </c>
      <c r="AA205" s="38" t="str">
        <f t="shared" si="138"/>
        <v/>
      </c>
      <c r="AB205" s="38" t="e">
        <f t="shared" si="115"/>
        <v>#VALUE!</v>
      </c>
      <c r="AC205" s="38" t="str">
        <f t="shared" si="138"/>
        <v/>
      </c>
      <c r="AD205" s="38" t="str">
        <f t="shared" si="116"/>
        <v/>
      </c>
      <c r="AE205" s="38" t="e">
        <f t="shared" si="117"/>
        <v>#VALUE!</v>
      </c>
      <c r="AF205" s="238" t="e">
        <f>((Summary!$N$7*(AA205*AD205)*(A205-$D$3))+(Summary!$M$7*Z205*AC205*(DAY(EOMONTH(A205,0))/2)))/(AK205*AB205*AE205)</f>
        <v>#VALUE!</v>
      </c>
      <c r="AG205" s="88" t="str">
        <f>IF($A206="","",Summary!$Q$7)</f>
        <v/>
      </c>
      <c r="AH205" s="88" t="str">
        <f>IF($A206="","",IF(Summary!$R$7="Y",(VLOOKUP($A205,Summary!$AD$6:$AF$9,3)+'Escalating commodity'!C218),'Escalating commodity'!C218))</f>
        <v/>
      </c>
      <c r="AI205" s="88" t="str">
        <f t="shared" si="139"/>
        <v/>
      </c>
      <c r="AJ205" s="236" t="e">
        <f t="shared" si="118"/>
        <v>#VALUE!</v>
      </c>
      <c r="AK205" s="58" t="str">
        <f t="shared" si="140"/>
        <v/>
      </c>
      <c r="AL205" s="26" t="str">
        <f>IF($A206="","",_xll.SPRDOPT(P205,X205,AI205,0,AB205,AE205,AF205,AK205,$AJ$2,0))</f>
        <v/>
      </c>
      <c r="AM205" s="209" t="str">
        <f t="shared" si="119"/>
        <v/>
      </c>
      <c r="AN205" s="89" t="str">
        <f t="shared" si="141"/>
        <v/>
      </c>
      <c r="AO205" s="3" t="str">
        <f t="shared" si="142"/>
        <v/>
      </c>
      <c r="AP205" s="33" t="str">
        <f t="shared" si="143"/>
        <v/>
      </c>
      <c r="AQ205" s="58" t="str">
        <f t="shared" si="120"/>
        <v/>
      </c>
      <c r="AR205" s="38">
        <f>IF(Summary!$H$2=1,VLOOKUP('ANR OK vs ML7'!A205,Curves!$C$17:$AR$273,MATCH('ANR OK vs ML7'!$AR$4,Curves!$C$8:$AQ$8,0)),0.1)</f>
        <v>0.1</v>
      </c>
      <c r="AS205" s="35" t="str">
        <f t="shared" si="121"/>
        <v/>
      </c>
      <c r="AT205" s="3" t="str">
        <f t="shared" si="144"/>
        <v/>
      </c>
      <c r="AU205" s="3" t="str">
        <f t="shared" si="122"/>
        <v/>
      </c>
      <c r="AW205" s="32" t="str">
        <f t="shared" si="145"/>
        <v/>
      </c>
      <c r="AX205" s="32" t="str">
        <f t="shared" si="146"/>
        <v/>
      </c>
      <c r="AY205" s="32" t="str">
        <f t="shared" si="147"/>
        <v/>
      </c>
      <c r="BA205" s="32" t="str">
        <f>IF($A206="","",F205*Summary!$Q$7)</f>
        <v/>
      </c>
    </row>
    <row r="206" spans="1:53" ht="12" customHeight="1">
      <c r="A206" s="67" t="str">
        <f t="shared" si="123"/>
        <v/>
      </c>
      <c r="B206" s="69" t="str">
        <f t="shared" si="148"/>
        <v/>
      </c>
      <c r="C206" s="71"/>
      <c r="D206" s="69" t="str">
        <f t="shared" si="149"/>
        <v/>
      </c>
      <c r="E206" s="70" t="str">
        <f t="shared" si="113"/>
        <v/>
      </c>
      <c r="F206" s="70" t="str">
        <f t="shared" si="114"/>
        <v/>
      </c>
      <c r="G206" s="63" t="str">
        <f t="shared" si="124"/>
        <v/>
      </c>
      <c r="H206" s="64" t="str">
        <f t="shared" si="125"/>
        <v/>
      </c>
      <c r="I206" s="43"/>
      <c r="J206" s="63" t="str">
        <f t="shared" si="126"/>
        <v/>
      </c>
      <c r="K206" s="64" t="str">
        <f t="shared" si="127"/>
        <v/>
      </c>
      <c r="L206" s="63" t="str">
        <f t="shared" si="128"/>
        <v/>
      </c>
      <c r="M206" s="64" t="str">
        <f t="shared" si="129"/>
        <v/>
      </c>
      <c r="N206" s="65"/>
      <c r="O206" s="63" t="str">
        <f t="shared" si="130"/>
        <v/>
      </c>
      <c r="P206" s="63" t="str">
        <f t="shared" si="131"/>
        <v/>
      </c>
      <c r="Q206" s="66"/>
      <c r="R206" s="63" t="str">
        <f t="shared" si="132"/>
        <v/>
      </c>
      <c r="S206" s="64" t="str">
        <f t="shared" si="133"/>
        <v/>
      </c>
      <c r="T206" s="63" t="str">
        <f t="shared" si="134"/>
        <v/>
      </c>
      <c r="U206" s="64" t="str">
        <f t="shared" si="135"/>
        <v/>
      </c>
      <c r="V206" s="207" t="str">
        <f>IF($A207="","",IF(AND(MONTH(A206)&gt;3,MONTH(A206)&lt;11),(T206+R206+G206)*Summary!$T$7/(1-Summary!$T$7),(T206+R206+G206)*Summary!$U$7/(1-Summary!$U$7)))</f>
        <v/>
      </c>
      <c r="W206" s="63" t="str">
        <f t="shared" si="136"/>
        <v/>
      </c>
      <c r="X206" s="63" t="str">
        <f t="shared" si="137"/>
        <v/>
      </c>
      <c r="Y206" s="43"/>
      <c r="Z206" s="38" t="str">
        <f t="shared" si="138"/>
        <v/>
      </c>
      <c r="AA206" s="38" t="str">
        <f t="shared" si="138"/>
        <v/>
      </c>
      <c r="AB206" s="38" t="e">
        <f t="shared" si="115"/>
        <v>#VALUE!</v>
      </c>
      <c r="AC206" s="38" t="str">
        <f t="shared" si="138"/>
        <v/>
      </c>
      <c r="AD206" s="38" t="str">
        <f t="shared" si="116"/>
        <v/>
      </c>
      <c r="AE206" s="38" t="e">
        <f t="shared" si="117"/>
        <v>#VALUE!</v>
      </c>
      <c r="AF206" s="238" t="e">
        <f>((Summary!$N$7*(AA206*AD206)*(A206-$D$3))+(Summary!$M$7*Z206*AC206*(DAY(EOMONTH(A206,0))/2)))/(AK206*AB206*AE206)</f>
        <v>#VALUE!</v>
      </c>
      <c r="AG206" s="88" t="str">
        <f>IF($A207="","",Summary!$Q$7)</f>
        <v/>
      </c>
      <c r="AH206" s="88" t="str">
        <f>IF($A207="","",IF(Summary!$R$7="Y",(VLOOKUP($A206,Summary!$AD$6:$AF$9,3)+'Escalating commodity'!C219),'Escalating commodity'!C219))</f>
        <v/>
      </c>
      <c r="AI206" s="88" t="str">
        <f t="shared" si="139"/>
        <v/>
      </c>
      <c r="AJ206" s="236" t="e">
        <f t="shared" si="118"/>
        <v>#VALUE!</v>
      </c>
      <c r="AK206" s="58" t="str">
        <f t="shared" si="140"/>
        <v/>
      </c>
      <c r="AL206" s="26" t="str">
        <f>IF($A207="","",_xll.SPRDOPT(P206,X206,AI206,0,AB206,AE206,AF206,AK206,$AJ$2,0))</f>
        <v/>
      </c>
      <c r="AM206" s="209" t="str">
        <f t="shared" si="119"/>
        <v/>
      </c>
      <c r="AN206" s="89" t="str">
        <f t="shared" si="141"/>
        <v/>
      </c>
      <c r="AO206" s="3" t="str">
        <f t="shared" si="142"/>
        <v/>
      </c>
      <c r="AP206" s="33" t="str">
        <f t="shared" si="143"/>
        <v/>
      </c>
      <c r="AQ206" s="58" t="str">
        <f t="shared" si="120"/>
        <v/>
      </c>
      <c r="AR206" s="38">
        <f>IF(Summary!$H$2=1,VLOOKUP('ANR OK vs ML7'!A206,Curves!$C$17:$AR$273,MATCH('ANR OK vs ML7'!$AR$4,Curves!$C$8:$AQ$8,0)),0.1)</f>
        <v>0.1</v>
      </c>
      <c r="AS206" s="35" t="str">
        <f t="shared" si="121"/>
        <v/>
      </c>
      <c r="AT206" s="3" t="str">
        <f t="shared" si="144"/>
        <v/>
      </c>
      <c r="AU206" s="3" t="str">
        <f t="shared" si="122"/>
        <v/>
      </c>
      <c r="AW206" s="32" t="str">
        <f t="shared" si="145"/>
        <v/>
      </c>
      <c r="AX206" s="32" t="str">
        <f t="shared" si="146"/>
        <v/>
      </c>
      <c r="AY206" s="32" t="str">
        <f t="shared" si="147"/>
        <v/>
      </c>
      <c r="BA206" s="32" t="str">
        <f>IF($A207="","",F206*Summary!$Q$7)</f>
        <v/>
      </c>
    </row>
    <row r="207" spans="1:53" ht="12" customHeight="1">
      <c r="A207" s="67" t="str">
        <f t="shared" si="123"/>
        <v/>
      </c>
      <c r="B207" s="69" t="str">
        <f t="shared" si="148"/>
        <v/>
      </c>
      <c r="C207" s="71"/>
      <c r="D207" s="69" t="str">
        <f t="shared" si="149"/>
        <v/>
      </c>
      <c r="E207" s="70" t="str">
        <f t="shared" si="113"/>
        <v/>
      </c>
      <c r="F207" s="70" t="str">
        <f t="shared" si="114"/>
        <v/>
      </c>
      <c r="G207" s="63" t="str">
        <f t="shared" si="124"/>
        <v/>
      </c>
      <c r="H207" s="64" t="str">
        <f t="shared" si="125"/>
        <v/>
      </c>
      <c r="I207" s="43"/>
      <c r="J207" s="63" t="str">
        <f t="shared" si="126"/>
        <v/>
      </c>
      <c r="K207" s="64" t="str">
        <f t="shared" si="127"/>
        <v/>
      </c>
      <c r="L207" s="63" t="str">
        <f t="shared" si="128"/>
        <v/>
      </c>
      <c r="M207" s="64" t="str">
        <f t="shared" si="129"/>
        <v/>
      </c>
      <c r="N207" s="65"/>
      <c r="O207" s="63" t="str">
        <f t="shared" si="130"/>
        <v/>
      </c>
      <c r="P207" s="63" t="str">
        <f t="shared" si="131"/>
        <v/>
      </c>
      <c r="Q207" s="66"/>
      <c r="R207" s="63" t="str">
        <f t="shared" si="132"/>
        <v/>
      </c>
      <c r="S207" s="64" t="str">
        <f t="shared" si="133"/>
        <v/>
      </c>
      <c r="T207" s="63" t="str">
        <f t="shared" si="134"/>
        <v/>
      </c>
      <c r="U207" s="64" t="str">
        <f t="shared" si="135"/>
        <v/>
      </c>
      <c r="V207" s="207" t="str">
        <f>IF($A208="","",IF(AND(MONTH(A207)&gt;3,MONTH(A207)&lt;11),(T207+R207+G207)*Summary!$T$7/(1-Summary!$T$7),(T207+R207+G207)*Summary!$U$7/(1-Summary!$U$7)))</f>
        <v/>
      </c>
      <c r="W207" s="63" t="str">
        <f t="shared" si="136"/>
        <v/>
      </c>
      <c r="X207" s="63" t="str">
        <f t="shared" si="137"/>
        <v/>
      </c>
      <c r="Y207" s="43"/>
      <c r="Z207" s="38" t="str">
        <f t="shared" si="138"/>
        <v/>
      </c>
      <c r="AA207" s="38" t="str">
        <f t="shared" si="138"/>
        <v/>
      </c>
      <c r="AB207" s="38" t="e">
        <f t="shared" si="115"/>
        <v>#VALUE!</v>
      </c>
      <c r="AC207" s="38" t="str">
        <f t="shared" si="138"/>
        <v/>
      </c>
      <c r="AD207" s="38" t="str">
        <f t="shared" si="116"/>
        <v/>
      </c>
      <c r="AE207" s="38" t="e">
        <f t="shared" si="117"/>
        <v>#VALUE!</v>
      </c>
      <c r="AF207" s="238" t="e">
        <f>((Summary!$N$7*(AA207*AD207)*(A207-$D$3))+(Summary!$M$7*Z207*AC207*(DAY(EOMONTH(A207,0))/2)))/(AK207*AB207*AE207)</f>
        <v>#VALUE!</v>
      </c>
      <c r="AG207" s="88" t="str">
        <f>IF($A208="","",Summary!$Q$7)</f>
        <v/>
      </c>
      <c r="AH207" s="88" t="str">
        <f>IF($A208="","",IF(Summary!$R$7="Y",(VLOOKUP($A207,Summary!$AD$6:$AF$9,3)+'Escalating commodity'!C220),'Escalating commodity'!C220))</f>
        <v/>
      </c>
      <c r="AI207" s="88" t="str">
        <f t="shared" si="139"/>
        <v/>
      </c>
      <c r="AJ207" s="236" t="e">
        <f t="shared" si="118"/>
        <v>#VALUE!</v>
      </c>
      <c r="AK207" s="58" t="str">
        <f t="shared" si="140"/>
        <v/>
      </c>
      <c r="AL207" s="26" t="str">
        <f>IF($A208="","",_xll.SPRDOPT(P207,X207,AI207,0,AB207,AE207,AF207,AK207,$AJ$2,0))</f>
        <v/>
      </c>
      <c r="AM207" s="209" t="str">
        <f t="shared" si="119"/>
        <v/>
      </c>
      <c r="AN207" s="89" t="str">
        <f t="shared" si="141"/>
        <v/>
      </c>
      <c r="AO207" s="3" t="str">
        <f t="shared" si="142"/>
        <v/>
      </c>
      <c r="AP207" s="33" t="str">
        <f t="shared" si="143"/>
        <v/>
      </c>
      <c r="AQ207" s="58" t="str">
        <f t="shared" si="120"/>
        <v/>
      </c>
      <c r="AR207" s="38">
        <f>IF(Summary!$H$2=1,VLOOKUP('ANR OK vs ML7'!A207,Curves!$C$17:$AR$273,MATCH('ANR OK vs ML7'!$AR$4,Curves!$C$8:$AQ$8,0)),0.1)</f>
        <v>0.1</v>
      </c>
      <c r="AS207" s="35" t="str">
        <f t="shared" si="121"/>
        <v/>
      </c>
      <c r="AT207" s="3" t="str">
        <f t="shared" si="144"/>
        <v/>
      </c>
      <c r="AU207" s="3" t="str">
        <f t="shared" si="122"/>
        <v/>
      </c>
      <c r="AW207" s="32" t="str">
        <f t="shared" si="145"/>
        <v/>
      </c>
      <c r="AX207" s="32" t="str">
        <f t="shared" si="146"/>
        <v/>
      </c>
      <c r="AY207" s="32" t="str">
        <f t="shared" si="147"/>
        <v/>
      </c>
      <c r="BA207" s="32" t="str">
        <f>IF($A208="","",F207*Summary!$Q$7)</f>
        <v/>
      </c>
    </row>
    <row r="208" spans="1:53" ht="12" customHeight="1">
      <c r="A208" s="67" t="str">
        <f t="shared" si="123"/>
        <v/>
      </c>
      <c r="B208" s="69" t="str">
        <f t="shared" si="148"/>
        <v/>
      </c>
      <c r="C208" s="71"/>
      <c r="D208" s="69" t="str">
        <f t="shared" si="149"/>
        <v/>
      </c>
      <c r="E208" s="70" t="str">
        <f t="shared" si="113"/>
        <v/>
      </c>
      <c r="F208" s="70" t="str">
        <f t="shared" si="114"/>
        <v/>
      </c>
      <c r="G208" s="63" t="str">
        <f t="shared" si="124"/>
        <v/>
      </c>
      <c r="H208" s="64" t="str">
        <f t="shared" si="125"/>
        <v/>
      </c>
      <c r="I208" s="43"/>
      <c r="J208" s="63" t="str">
        <f t="shared" si="126"/>
        <v/>
      </c>
      <c r="K208" s="64" t="str">
        <f t="shared" si="127"/>
        <v/>
      </c>
      <c r="L208" s="63" t="str">
        <f t="shared" si="128"/>
        <v/>
      </c>
      <c r="M208" s="64" t="str">
        <f t="shared" si="129"/>
        <v/>
      </c>
      <c r="N208" s="65"/>
      <c r="O208" s="63" t="str">
        <f t="shared" si="130"/>
        <v/>
      </c>
      <c r="P208" s="63" t="str">
        <f t="shared" si="131"/>
        <v/>
      </c>
      <c r="Q208" s="66"/>
      <c r="R208" s="63" t="str">
        <f t="shared" si="132"/>
        <v/>
      </c>
      <c r="S208" s="64" t="str">
        <f t="shared" si="133"/>
        <v/>
      </c>
      <c r="T208" s="63" t="str">
        <f t="shared" si="134"/>
        <v/>
      </c>
      <c r="U208" s="64" t="str">
        <f t="shared" si="135"/>
        <v/>
      </c>
      <c r="V208" s="207" t="str">
        <f>IF($A209="","",IF(AND(MONTH(A208)&gt;3,MONTH(A208)&lt;11),(T208+R208+G208)*Summary!$T$7/(1-Summary!$T$7),(T208+R208+G208)*Summary!$U$7/(1-Summary!$U$7)))</f>
        <v/>
      </c>
      <c r="W208" s="63" t="str">
        <f t="shared" si="136"/>
        <v/>
      </c>
      <c r="X208" s="63" t="str">
        <f t="shared" si="137"/>
        <v/>
      </c>
      <c r="Y208" s="43"/>
      <c r="Z208" s="38" t="str">
        <f t="shared" si="138"/>
        <v/>
      </c>
      <c r="AA208" s="38" t="str">
        <f t="shared" si="138"/>
        <v/>
      </c>
      <c r="AB208" s="38" t="e">
        <f t="shared" si="115"/>
        <v>#VALUE!</v>
      </c>
      <c r="AC208" s="38" t="str">
        <f t="shared" si="138"/>
        <v/>
      </c>
      <c r="AD208" s="38" t="str">
        <f t="shared" si="116"/>
        <v/>
      </c>
      <c r="AE208" s="38" t="e">
        <f t="shared" si="117"/>
        <v>#VALUE!</v>
      </c>
      <c r="AF208" s="238" t="e">
        <f>((Summary!$N$7*(AA208*AD208)*(A208-$D$3))+(Summary!$M$7*Z208*AC208*(DAY(EOMONTH(A208,0))/2)))/(AK208*AB208*AE208)</f>
        <v>#VALUE!</v>
      </c>
      <c r="AG208" s="88" t="str">
        <f>IF($A209="","",Summary!$Q$7)</f>
        <v/>
      </c>
      <c r="AH208" s="88" t="str">
        <f>IF($A209="","",IF(Summary!$R$7="Y",(VLOOKUP($A208,Summary!$AD$6:$AF$9,3)+'Escalating commodity'!C221),'Escalating commodity'!C221))</f>
        <v/>
      </c>
      <c r="AI208" s="88" t="str">
        <f t="shared" si="139"/>
        <v/>
      </c>
      <c r="AJ208" s="236" t="e">
        <f t="shared" si="118"/>
        <v>#VALUE!</v>
      </c>
      <c r="AK208" s="58" t="str">
        <f t="shared" si="140"/>
        <v/>
      </c>
      <c r="AL208" s="26" t="str">
        <f>IF($A209="","",_xll.SPRDOPT(P208,X208,AI208,0,AB208,AE208,AF208,AK208,$AJ$2,0))</f>
        <v/>
      </c>
      <c r="AM208" s="209" t="str">
        <f t="shared" si="119"/>
        <v/>
      </c>
      <c r="AN208" s="89" t="str">
        <f t="shared" si="141"/>
        <v/>
      </c>
      <c r="AO208" s="3" t="str">
        <f t="shared" si="142"/>
        <v/>
      </c>
      <c r="AP208" s="33" t="str">
        <f t="shared" si="143"/>
        <v/>
      </c>
      <c r="AQ208" s="58" t="str">
        <f t="shared" si="120"/>
        <v/>
      </c>
      <c r="AR208" s="38">
        <f>IF(Summary!$H$2=1,VLOOKUP('ANR OK vs ML7'!A208,Curves!$C$17:$AR$273,MATCH('ANR OK vs ML7'!$AR$4,Curves!$C$8:$AQ$8,0)),0.1)</f>
        <v>0.1</v>
      </c>
      <c r="AS208" s="35" t="str">
        <f t="shared" si="121"/>
        <v/>
      </c>
      <c r="AT208" s="3" t="str">
        <f t="shared" si="144"/>
        <v/>
      </c>
      <c r="AU208" s="3" t="str">
        <f t="shared" si="122"/>
        <v/>
      </c>
      <c r="AW208" s="32" t="str">
        <f t="shared" si="145"/>
        <v/>
      </c>
      <c r="AX208" s="32" t="str">
        <f t="shared" si="146"/>
        <v/>
      </c>
      <c r="AY208" s="32" t="str">
        <f t="shared" si="147"/>
        <v/>
      </c>
      <c r="BA208" s="32" t="str">
        <f>IF($A209="","",F208*Summary!$Q$7)</f>
        <v/>
      </c>
    </row>
    <row r="209" spans="1:53" ht="12" customHeight="1">
      <c r="A209" s="67" t="str">
        <f t="shared" si="123"/>
        <v/>
      </c>
      <c r="B209" s="69" t="str">
        <f t="shared" si="148"/>
        <v/>
      </c>
      <c r="C209" s="71"/>
      <c r="D209" s="69" t="str">
        <f t="shared" si="149"/>
        <v/>
      </c>
      <c r="E209" s="70" t="str">
        <f t="shared" si="113"/>
        <v/>
      </c>
      <c r="F209" s="70" t="str">
        <f t="shared" si="114"/>
        <v/>
      </c>
      <c r="G209" s="63" t="str">
        <f t="shared" si="124"/>
        <v/>
      </c>
      <c r="H209" s="64" t="str">
        <f t="shared" si="125"/>
        <v/>
      </c>
      <c r="I209" s="43"/>
      <c r="J209" s="63" t="str">
        <f t="shared" si="126"/>
        <v/>
      </c>
      <c r="K209" s="64" t="str">
        <f t="shared" si="127"/>
        <v/>
      </c>
      <c r="L209" s="63" t="str">
        <f t="shared" si="128"/>
        <v/>
      </c>
      <c r="M209" s="64" t="str">
        <f t="shared" si="129"/>
        <v/>
      </c>
      <c r="N209" s="65"/>
      <c r="O209" s="63" t="str">
        <f t="shared" si="130"/>
        <v/>
      </c>
      <c r="P209" s="63" t="str">
        <f t="shared" si="131"/>
        <v/>
      </c>
      <c r="Q209" s="66"/>
      <c r="R209" s="63" t="str">
        <f t="shared" si="132"/>
        <v/>
      </c>
      <c r="S209" s="64" t="str">
        <f t="shared" si="133"/>
        <v/>
      </c>
      <c r="T209" s="63" t="str">
        <f t="shared" si="134"/>
        <v/>
      </c>
      <c r="U209" s="64" t="str">
        <f t="shared" si="135"/>
        <v/>
      </c>
      <c r="V209" s="207" t="str">
        <f>IF($A210="","",IF(AND(MONTH(A209)&gt;3,MONTH(A209)&lt;11),(T209+R209+G209)*Summary!$T$7/(1-Summary!$T$7),(T209+R209+G209)*Summary!$U$7/(1-Summary!$U$7)))</f>
        <v/>
      </c>
      <c r="W209" s="63" t="str">
        <f t="shared" si="136"/>
        <v/>
      </c>
      <c r="X209" s="63" t="str">
        <f t="shared" si="137"/>
        <v/>
      </c>
      <c r="Y209" s="43"/>
      <c r="Z209" s="38" t="str">
        <f t="shared" si="138"/>
        <v/>
      </c>
      <c r="AA209" s="38" t="str">
        <f t="shared" si="138"/>
        <v/>
      </c>
      <c r="AB209" s="38" t="e">
        <f t="shared" si="115"/>
        <v>#VALUE!</v>
      </c>
      <c r="AC209" s="38" t="str">
        <f t="shared" si="138"/>
        <v/>
      </c>
      <c r="AD209" s="38" t="str">
        <f t="shared" si="116"/>
        <v/>
      </c>
      <c r="AE209" s="38" t="e">
        <f t="shared" si="117"/>
        <v>#VALUE!</v>
      </c>
      <c r="AF209" s="238" t="e">
        <f>((Summary!$N$7*(AA209*AD209)*(A209-$D$3))+(Summary!$M$7*Z209*AC209*(DAY(EOMONTH(A209,0))/2)))/(AK209*AB209*AE209)</f>
        <v>#VALUE!</v>
      </c>
      <c r="AG209" s="88" t="str">
        <f>IF($A210="","",Summary!$Q$7)</f>
        <v/>
      </c>
      <c r="AH209" s="88" t="str">
        <f>IF($A210="","",IF(Summary!$R$7="Y",(VLOOKUP($A209,Summary!$AD$6:$AF$9,3)+'Escalating commodity'!C222),'Escalating commodity'!C222))</f>
        <v/>
      </c>
      <c r="AI209" s="88" t="str">
        <f t="shared" si="139"/>
        <v/>
      </c>
      <c r="AJ209" s="236" t="e">
        <f t="shared" si="118"/>
        <v>#VALUE!</v>
      </c>
      <c r="AK209" s="58" t="str">
        <f t="shared" si="140"/>
        <v/>
      </c>
      <c r="AL209" s="26" t="str">
        <f>IF($A210="","",_xll.SPRDOPT(P209,X209,AI209,0,AB209,AE209,AF209,AK209,$AJ$2,0))</f>
        <v/>
      </c>
      <c r="AM209" s="209" t="str">
        <f t="shared" si="119"/>
        <v/>
      </c>
      <c r="AN209" s="89" t="str">
        <f t="shared" si="141"/>
        <v/>
      </c>
      <c r="AO209" s="3" t="str">
        <f t="shared" si="142"/>
        <v/>
      </c>
      <c r="AP209" s="33" t="str">
        <f t="shared" si="143"/>
        <v/>
      </c>
      <c r="AQ209" s="58" t="str">
        <f t="shared" si="120"/>
        <v/>
      </c>
      <c r="AR209" s="38">
        <f>IF(Summary!$H$2=1,VLOOKUP('ANR OK vs ML7'!A209,Curves!$C$17:$AR$273,MATCH('ANR OK vs ML7'!$AR$4,Curves!$C$8:$AQ$8,0)),0.1)</f>
        <v>0.1</v>
      </c>
      <c r="AS209" s="35" t="str">
        <f t="shared" si="121"/>
        <v/>
      </c>
      <c r="AT209" s="3" t="str">
        <f t="shared" si="144"/>
        <v/>
      </c>
      <c r="AU209" s="3" t="str">
        <f t="shared" si="122"/>
        <v/>
      </c>
      <c r="AW209" s="32" t="str">
        <f t="shared" si="145"/>
        <v/>
      </c>
      <c r="AX209" s="32" t="str">
        <f t="shared" si="146"/>
        <v/>
      </c>
      <c r="AY209" s="32" t="str">
        <f t="shared" si="147"/>
        <v/>
      </c>
      <c r="BA209" s="32" t="str">
        <f>IF($A210="","",F209*Summary!$Q$7)</f>
        <v/>
      </c>
    </row>
    <row r="210" spans="1:53" ht="12" customHeight="1">
      <c r="A210" s="67" t="str">
        <f t="shared" si="123"/>
        <v/>
      </c>
      <c r="B210" s="69" t="str">
        <f t="shared" si="148"/>
        <v/>
      </c>
      <c r="C210" s="71"/>
      <c r="D210" s="69" t="str">
        <f t="shared" si="149"/>
        <v/>
      </c>
      <c r="E210" s="70" t="str">
        <f t="shared" si="113"/>
        <v/>
      </c>
      <c r="F210" s="70" t="str">
        <f t="shared" si="114"/>
        <v/>
      </c>
      <c r="G210" s="63" t="str">
        <f t="shared" si="124"/>
        <v/>
      </c>
      <c r="H210" s="64" t="str">
        <f t="shared" si="125"/>
        <v/>
      </c>
      <c r="I210" s="43"/>
      <c r="J210" s="63" t="str">
        <f t="shared" si="126"/>
        <v/>
      </c>
      <c r="K210" s="64" t="str">
        <f t="shared" si="127"/>
        <v/>
      </c>
      <c r="L210" s="63" t="str">
        <f t="shared" si="128"/>
        <v/>
      </c>
      <c r="M210" s="64" t="str">
        <f t="shared" si="129"/>
        <v/>
      </c>
      <c r="N210" s="65"/>
      <c r="O210" s="63" t="str">
        <f t="shared" si="130"/>
        <v/>
      </c>
      <c r="P210" s="63" t="str">
        <f t="shared" si="131"/>
        <v/>
      </c>
      <c r="Q210" s="66"/>
      <c r="R210" s="63" t="str">
        <f t="shared" si="132"/>
        <v/>
      </c>
      <c r="S210" s="64" t="str">
        <f t="shared" si="133"/>
        <v/>
      </c>
      <c r="T210" s="63" t="str">
        <f t="shared" si="134"/>
        <v/>
      </c>
      <c r="U210" s="64" t="str">
        <f t="shared" si="135"/>
        <v/>
      </c>
      <c r="V210" s="207" t="str">
        <f>IF($A211="","",IF(AND(MONTH(A210)&gt;3,MONTH(A210)&lt;11),(T210+R210+G210)*Summary!$T$7/(1-Summary!$T$7),(T210+R210+G210)*Summary!$U$7/(1-Summary!$U$7)))</f>
        <v/>
      </c>
      <c r="W210" s="63" t="str">
        <f t="shared" si="136"/>
        <v/>
      </c>
      <c r="X210" s="63" t="str">
        <f t="shared" si="137"/>
        <v/>
      </c>
      <c r="Y210" s="43"/>
      <c r="Z210" s="38" t="str">
        <f t="shared" si="138"/>
        <v/>
      </c>
      <c r="AA210" s="38" t="str">
        <f t="shared" si="138"/>
        <v/>
      </c>
      <c r="AB210" s="38" t="e">
        <f t="shared" si="115"/>
        <v>#VALUE!</v>
      </c>
      <c r="AC210" s="38" t="str">
        <f t="shared" si="138"/>
        <v/>
      </c>
      <c r="AD210" s="38" t="str">
        <f t="shared" si="116"/>
        <v/>
      </c>
      <c r="AE210" s="38" t="e">
        <f t="shared" si="117"/>
        <v>#VALUE!</v>
      </c>
      <c r="AF210" s="238" t="e">
        <f>((Summary!$N$7*(AA210*AD210)*(A210-$D$3))+(Summary!$M$7*Z210*AC210*(DAY(EOMONTH(A210,0))/2)))/(AK210*AB210*AE210)</f>
        <v>#VALUE!</v>
      </c>
      <c r="AG210" s="88" t="str">
        <f>IF($A211="","",Summary!$Q$7)</f>
        <v/>
      </c>
      <c r="AH210" s="88" t="str">
        <f>IF($A211="","",IF(Summary!$R$7="Y",(VLOOKUP($A210,Summary!$AD$6:$AF$9,3)+'Escalating commodity'!C223),'Escalating commodity'!C223))</f>
        <v/>
      </c>
      <c r="AI210" s="88" t="str">
        <f t="shared" si="139"/>
        <v/>
      </c>
      <c r="AJ210" s="236" t="e">
        <f t="shared" si="118"/>
        <v>#VALUE!</v>
      </c>
      <c r="AK210" s="58" t="str">
        <f t="shared" si="140"/>
        <v/>
      </c>
      <c r="AL210" s="26" t="str">
        <f>IF($A211="","",_xll.SPRDOPT(P210,X210,AI210,0,AB210,AE210,AF210,AK210,$AJ$2,0))</f>
        <v/>
      </c>
      <c r="AM210" s="209" t="str">
        <f t="shared" si="119"/>
        <v/>
      </c>
      <c r="AN210" s="89" t="str">
        <f t="shared" si="141"/>
        <v/>
      </c>
      <c r="AO210" s="3" t="str">
        <f t="shared" si="142"/>
        <v/>
      </c>
      <c r="AP210" s="33" t="str">
        <f t="shared" si="143"/>
        <v/>
      </c>
      <c r="AQ210" s="58" t="str">
        <f t="shared" si="120"/>
        <v/>
      </c>
      <c r="AR210" s="38">
        <f>IF(Summary!$H$2=1,VLOOKUP('ANR OK vs ML7'!A210,Curves!$C$17:$AR$273,MATCH('ANR OK vs ML7'!$AR$4,Curves!$C$8:$AQ$8,0)),0.1)</f>
        <v>0.1</v>
      </c>
      <c r="AS210" s="35" t="str">
        <f t="shared" si="121"/>
        <v/>
      </c>
      <c r="AT210" s="3" t="str">
        <f t="shared" si="144"/>
        <v/>
      </c>
      <c r="AU210" s="3" t="str">
        <f t="shared" si="122"/>
        <v/>
      </c>
      <c r="AW210" s="32" t="str">
        <f t="shared" si="145"/>
        <v/>
      </c>
      <c r="AX210" s="32" t="str">
        <f t="shared" si="146"/>
        <v/>
      </c>
      <c r="AY210" s="32" t="str">
        <f t="shared" si="147"/>
        <v/>
      </c>
      <c r="BA210" s="32" t="str">
        <f>IF($A211="","",F210*Summary!$Q$7)</f>
        <v/>
      </c>
    </row>
    <row r="211" spans="1:53" ht="12" customHeight="1">
      <c r="A211" s="67" t="str">
        <f t="shared" si="123"/>
        <v/>
      </c>
      <c r="B211" s="69" t="str">
        <f t="shared" si="148"/>
        <v/>
      </c>
      <c r="C211" s="71"/>
      <c r="D211" s="69" t="str">
        <f t="shared" si="149"/>
        <v/>
      </c>
      <c r="E211" s="70" t="str">
        <f t="shared" si="113"/>
        <v/>
      </c>
      <c r="F211" s="70" t="str">
        <f t="shared" si="114"/>
        <v/>
      </c>
      <c r="G211" s="63" t="str">
        <f t="shared" si="124"/>
        <v/>
      </c>
      <c r="H211" s="64" t="str">
        <f t="shared" si="125"/>
        <v/>
      </c>
      <c r="I211" s="43"/>
      <c r="J211" s="63" t="str">
        <f t="shared" si="126"/>
        <v/>
      </c>
      <c r="K211" s="64" t="str">
        <f t="shared" si="127"/>
        <v/>
      </c>
      <c r="L211" s="63" t="str">
        <f t="shared" si="128"/>
        <v/>
      </c>
      <c r="M211" s="64" t="str">
        <f t="shared" si="129"/>
        <v/>
      </c>
      <c r="N211" s="65"/>
      <c r="O211" s="63" t="str">
        <f t="shared" si="130"/>
        <v/>
      </c>
      <c r="P211" s="63" t="str">
        <f t="shared" si="131"/>
        <v/>
      </c>
      <c r="Q211" s="66"/>
      <c r="R211" s="63" t="str">
        <f t="shared" si="132"/>
        <v/>
      </c>
      <c r="S211" s="64" t="str">
        <f t="shared" si="133"/>
        <v/>
      </c>
      <c r="T211" s="63" t="str">
        <f t="shared" si="134"/>
        <v/>
      </c>
      <c r="U211" s="64" t="str">
        <f t="shared" si="135"/>
        <v/>
      </c>
      <c r="V211" s="207" t="str">
        <f>IF($A212="","",IF(AND(MONTH(A211)&gt;3,MONTH(A211)&lt;11),(T211+R211+G211)*Summary!$T$7/(1-Summary!$T$7),(T211+R211+G211)*Summary!$U$7/(1-Summary!$U$7)))</f>
        <v/>
      </c>
      <c r="W211" s="63" t="str">
        <f t="shared" si="136"/>
        <v/>
      </c>
      <c r="X211" s="63" t="str">
        <f t="shared" si="137"/>
        <v/>
      </c>
      <c r="Y211" s="43"/>
      <c r="Z211" s="38" t="str">
        <f t="shared" si="138"/>
        <v/>
      </c>
      <c r="AA211" s="38" t="str">
        <f t="shared" si="138"/>
        <v/>
      </c>
      <c r="AB211" s="38" t="e">
        <f t="shared" si="115"/>
        <v>#VALUE!</v>
      </c>
      <c r="AC211" s="38" t="str">
        <f t="shared" si="138"/>
        <v/>
      </c>
      <c r="AD211" s="38" t="str">
        <f t="shared" si="116"/>
        <v/>
      </c>
      <c r="AE211" s="38" t="e">
        <f t="shared" si="117"/>
        <v>#VALUE!</v>
      </c>
      <c r="AF211" s="238" t="e">
        <f>((Summary!$N$7*(AA211*AD211)*(A211-$D$3))+(Summary!$M$7*Z211*AC211*(DAY(EOMONTH(A211,0))/2)))/(AK211*AB211*AE211)</f>
        <v>#VALUE!</v>
      </c>
      <c r="AG211" s="88" t="str">
        <f>IF($A212="","",Summary!$Q$7)</f>
        <v/>
      </c>
      <c r="AH211" s="88" t="str">
        <f>IF($A212="","",IF(Summary!$R$7="Y",(VLOOKUP($A211,Summary!$AD$6:$AF$9,3)+'Escalating commodity'!C224),'Escalating commodity'!C224))</f>
        <v/>
      </c>
      <c r="AI211" s="88" t="str">
        <f t="shared" si="139"/>
        <v/>
      </c>
      <c r="AJ211" s="236" t="e">
        <f t="shared" si="118"/>
        <v>#VALUE!</v>
      </c>
      <c r="AK211" s="58" t="str">
        <f t="shared" si="140"/>
        <v/>
      </c>
      <c r="AL211" s="26" t="str">
        <f>IF($A212="","",_xll.SPRDOPT(P211,X211,AI211,0,AB211,AE211,AF211,AK211,$AJ$2,0))</f>
        <v/>
      </c>
      <c r="AM211" s="209" t="str">
        <f t="shared" si="119"/>
        <v/>
      </c>
      <c r="AN211" s="89" t="str">
        <f t="shared" si="141"/>
        <v/>
      </c>
      <c r="AO211" s="3" t="str">
        <f t="shared" si="142"/>
        <v/>
      </c>
      <c r="AP211" s="33" t="str">
        <f t="shared" si="143"/>
        <v/>
      </c>
      <c r="AQ211" s="58" t="str">
        <f t="shared" si="120"/>
        <v/>
      </c>
      <c r="AR211" s="38">
        <f>IF(Summary!$H$2=1,VLOOKUP('ANR OK vs ML7'!A211,Curves!$C$17:$AR$273,MATCH('ANR OK vs ML7'!$AR$4,Curves!$C$8:$AQ$8,0)),0.1)</f>
        <v>0.1</v>
      </c>
      <c r="AS211" s="35" t="str">
        <f t="shared" si="121"/>
        <v/>
      </c>
      <c r="AT211" s="3" t="str">
        <f t="shared" si="144"/>
        <v/>
      </c>
      <c r="AU211" s="3" t="str">
        <f t="shared" si="122"/>
        <v/>
      </c>
      <c r="AW211" s="32" t="str">
        <f t="shared" si="145"/>
        <v/>
      </c>
      <c r="AX211" s="32" t="str">
        <f t="shared" si="146"/>
        <v/>
      </c>
      <c r="AY211" s="32" t="str">
        <f t="shared" si="147"/>
        <v/>
      </c>
      <c r="BA211" s="32" t="str">
        <f>IF($A212="","",F211*Summary!$Q$7)</f>
        <v/>
      </c>
    </row>
    <row r="212" spans="1:53" ht="12" customHeight="1">
      <c r="A212" s="67" t="str">
        <f t="shared" si="123"/>
        <v/>
      </c>
      <c r="B212" s="69" t="str">
        <f t="shared" si="148"/>
        <v/>
      </c>
      <c r="C212" s="71"/>
      <c r="D212" s="69" t="str">
        <f t="shared" si="149"/>
        <v/>
      </c>
      <c r="E212" s="70" t="str">
        <f t="shared" si="113"/>
        <v/>
      </c>
      <c r="F212" s="70" t="str">
        <f t="shared" si="114"/>
        <v/>
      </c>
      <c r="G212" s="63" t="str">
        <f t="shared" si="124"/>
        <v/>
      </c>
      <c r="H212" s="64" t="str">
        <f t="shared" si="125"/>
        <v/>
      </c>
      <c r="I212" s="43"/>
      <c r="J212" s="63" t="str">
        <f t="shared" si="126"/>
        <v/>
      </c>
      <c r="K212" s="64" t="str">
        <f t="shared" si="127"/>
        <v/>
      </c>
      <c r="L212" s="63" t="str">
        <f t="shared" si="128"/>
        <v/>
      </c>
      <c r="M212" s="64" t="str">
        <f t="shared" si="129"/>
        <v/>
      </c>
      <c r="N212" s="65"/>
      <c r="O212" s="63" t="str">
        <f t="shared" si="130"/>
        <v/>
      </c>
      <c r="P212" s="63" t="str">
        <f t="shared" si="131"/>
        <v/>
      </c>
      <c r="Q212" s="66"/>
      <c r="R212" s="63" t="str">
        <f t="shared" si="132"/>
        <v/>
      </c>
      <c r="S212" s="64" t="str">
        <f t="shared" si="133"/>
        <v/>
      </c>
      <c r="T212" s="63" t="str">
        <f t="shared" si="134"/>
        <v/>
      </c>
      <c r="U212" s="64" t="str">
        <f t="shared" si="135"/>
        <v/>
      </c>
      <c r="V212" s="207" t="str">
        <f>IF($A213="","",IF(AND(MONTH(A212)&gt;3,MONTH(A212)&lt;11),(T212+R212+G212)*Summary!$T$7/(1-Summary!$T$7),(T212+R212+G212)*Summary!$U$7/(1-Summary!$U$7)))</f>
        <v/>
      </c>
      <c r="W212" s="63" t="str">
        <f t="shared" si="136"/>
        <v/>
      </c>
      <c r="X212" s="63" t="str">
        <f t="shared" si="137"/>
        <v/>
      </c>
      <c r="Y212" s="43"/>
      <c r="Z212" s="38" t="str">
        <f t="shared" si="138"/>
        <v/>
      </c>
      <c r="AA212" s="38" t="str">
        <f t="shared" si="138"/>
        <v/>
      </c>
      <c r="AB212" s="38" t="e">
        <f t="shared" si="115"/>
        <v>#VALUE!</v>
      </c>
      <c r="AC212" s="38" t="str">
        <f t="shared" si="138"/>
        <v/>
      </c>
      <c r="AD212" s="38" t="str">
        <f t="shared" si="116"/>
        <v/>
      </c>
      <c r="AE212" s="38" t="e">
        <f t="shared" si="117"/>
        <v>#VALUE!</v>
      </c>
      <c r="AF212" s="238" t="e">
        <f>((Summary!$N$7*(AA212*AD212)*(A212-$D$3))+(Summary!$M$7*Z212*AC212*(DAY(EOMONTH(A212,0))/2)))/(AK212*AB212*AE212)</f>
        <v>#VALUE!</v>
      </c>
      <c r="AG212" s="88" t="str">
        <f>IF($A213="","",Summary!$Q$7)</f>
        <v/>
      </c>
      <c r="AH212" s="88" t="str">
        <f>IF($A213="","",IF(Summary!$R$7="Y",(VLOOKUP($A212,Summary!$AD$6:$AF$9,3)+'Escalating commodity'!C225),'Escalating commodity'!C225))</f>
        <v/>
      </c>
      <c r="AI212" s="88" t="str">
        <f t="shared" si="139"/>
        <v/>
      </c>
      <c r="AJ212" s="236" t="e">
        <f t="shared" si="118"/>
        <v>#VALUE!</v>
      </c>
      <c r="AK212" s="58" t="str">
        <f t="shared" si="140"/>
        <v/>
      </c>
      <c r="AL212" s="26" t="str">
        <f>IF($A213="","",_xll.SPRDOPT(P212,X212,AI212,0,AB212,AE212,AF212,AK212,$AJ$2,0))</f>
        <v/>
      </c>
      <c r="AM212" s="209" t="str">
        <f t="shared" si="119"/>
        <v/>
      </c>
      <c r="AN212" s="89" t="str">
        <f t="shared" si="141"/>
        <v/>
      </c>
      <c r="AO212" s="3" t="str">
        <f t="shared" si="142"/>
        <v/>
      </c>
      <c r="AP212" s="33" t="str">
        <f t="shared" si="143"/>
        <v/>
      </c>
      <c r="AQ212" s="58" t="str">
        <f t="shared" si="120"/>
        <v/>
      </c>
      <c r="AR212" s="38">
        <f>IF(Summary!$H$2=1,VLOOKUP('ANR OK vs ML7'!A212,Curves!$C$17:$AR$273,MATCH('ANR OK vs ML7'!$AR$4,Curves!$C$8:$AQ$8,0)),0.1)</f>
        <v>0.1</v>
      </c>
      <c r="AS212" s="35" t="str">
        <f t="shared" si="121"/>
        <v/>
      </c>
      <c r="AT212" s="3" t="str">
        <f t="shared" si="144"/>
        <v/>
      </c>
      <c r="AU212" s="3" t="str">
        <f t="shared" si="122"/>
        <v/>
      </c>
      <c r="AW212" s="32" t="str">
        <f t="shared" si="145"/>
        <v/>
      </c>
      <c r="AX212" s="32" t="str">
        <f t="shared" si="146"/>
        <v/>
      </c>
      <c r="AY212" s="32" t="str">
        <f t="shared" si="147"/>
        <v/>
      </c>
      <c r="BA212" s="32" t="str">
        <f>IF($A213="","",F212*Summary!$Q$7)</f>
        <v/>
      </c>
    </row>
    <row r="213" spans="1:53" ht="12" customHeight="1">
      <c r="A213" s="67" t="str">
        <f t="shared" si="123"/>
        <v/>
      </c>
      <c r="B213" s="69" t="str">
        <f t="shared" si="148"/>
        <v/>
      </c>
      <c r="C213" s="71"/>
      <c r="D213" s="69" t="str">
        <f t="shared" si="149"/>
        <v/>
      </c>
      <c r="E213" s="70" t="str">
        <f t="shared" si="113"/>
        <v/>
      </c>
      <c r="F213" s="70" t="str">
        <f t="shared" si="114"/>
        <v/>
      </c>
      <c r="G213" s="63" t="str">
        <f t="shared" si="124"/>
        <v/>
      </c>
      <c r="H213" s="64" t="str">
        <f t="shared" si="125"/>
        <v/>
      </c>
      <c r="I213" s="43"/>
      <c r="J213" s="63" t="str">
        <f t="shared" si="126"/>
        <v/>
      </c>
      <c r="K213" s="64" t="str">
        <f t="shared" si="127"/>
        <v/>
      </c>
      <c r="L213" s="63" t="str">
        <f t="shared" si="128"/>
        <v/>
      </c>
      <c r="M213" s="64" t="str">
        <f t="shared" si="129"/>
        <v/>
      </c>
      <c r="N213" s="65"/>
      <c r="O213" s="63" t="str">
        <f t="shared" si="130"/>
        <v/>
      </c>
      <c r="P213" s="63" t="str">
        <f t="shared" si="131"/>
        <v/>
      </c>
      <c r="Q213" s="66"/>
      <c r="R213" s="63" t="str">
        <f t="shared" si="132"/>
        <v/>
      </c>
      <c r="S213" s="64" t="str">
        <f t="shared" si="133"/>
        <v/>
      </c>
      <c r="T213" s="63" t="str">
        <f t="shared" si="134"/>
        <v/>
      </c>
      <c r="U213" s="64" t="str">
        <f t="shared" si="135"/>
        <v/>
      </c>
      <c r="V213" s="207" t="str">
        <f>IF($A214="","",IF(AND(MONTH(A213)&gt;3,MONTH(A213)&lt;11),(T213+R213+G213)*Summary!$T$7/(1-Summary!$T$7),(T213+R213+G213)*Summary!$U$7/(1-Summary!$U$7)))</f>
        <v/>
      </c>
      <c r="W213" s="63" t="str">
        <f t="shared" si="136"/>
        <v/>
      </c>
      <c r="X213" s="63" t="str">
        <f t="shared" si="137"/>
        <v/>
      </c>
      <c r="Y213" s="43"/>
      <c r="Z213" s="38" t="str">
        <f t="shared" si="138"/>
        <v/>
      </c>
      <c r="AA213" s="38" t="str">
        <f t="shared" si="138"/>
        <v/>
      </c>
      <c r="AB213" s="38" t="e">
        <f t="shared" si="115"/>
        <v>#VALUE!</v>
      </c>
      <c r="AC213" s="38" t="str">
        <f t="shared" si="138"/>
        <v/>
      </c>
      <c r="AD213" s="38" t="str">
        <f t="shared" si="116"/>
        <v/>
      </c>
      <c r="AE213" s="38" t="e">
        <f t="shared" si="117"/>
        <v>#VALUE!</v>
      </c>
      <c r="AF213" s="238" t="e">
        <f>((Summary!$N$7*(AA213*AD213)*(A213-$D$3))+(Summary!$M$7*Z213*AC213*(DAY(EOMONTH(A213,0))/2)))/(AK213*AB213*AE213)</f>
        <v>#VALUE!</v>
      </c>
      <c r="AG213" s="88" t="str">
        <f>IF($A214="","",Summary!$Q$7)</f>
        <v/>
      </c>
      <c r="AH213" s="88" t="str">
        <f>IF($A214="","",IF(Summary!$R$7="Y",(VLOOKUP($A213,Summary!$AD$6:$AF$9,3)+'Escalating commodity'!C226),'Escalating commodity'!C226))</f>
        <v/>
      </c>
      <c r="AI213" s="88" t="str">
        <f t="shared" si="139"/>
        <v/>
      </c>
      <c r="AJ213" s="236" t="e">
        <f t="shared" si="118"/>
        <v>#VALUE!</v>
      </c>
      <c r="AK213" s="58" t="str">
        <f t="shared" si="140"/>
        <v/>
      </c>
      <c r="AL213" s="26" t="str">
        <f>IF($A214="","",_xll.SPRDOPT(P213,X213,AI213,0,AB213,AE213,AF213,AK213,$AJ$2,0))</f>
        <v/>
      </c>
      <c r="AM213" s="209" t="str">
        <f t="shared" si="119"/>
        <v/>
      </c>
      <c r="AN213" s="89" t="str">
        <f t="shared" si="141"/>
        <v/>
      </c>
      <c r="AO213" s="3" t="str">
        <f t="shared" si="142"/>
        <v/>
      </c>
      <c r="AP213" s="33" t="str">
        <f t="shared" si="143"/>
        <v/>
      </c>
      <c r="AQ213" s="58" t="str">
        <f t="shared" si="120"/>
        <v/>
      </c>
      <c r="AR213" s="38">
        <f>IF(Summary!$H$2=1,VLOOKUP('ANR OK vs ML7'!A213,Curves!$C$17:$AR$273,MATCH('ANR OK vs ML7'!$AR$4,Curves!$C$8:$AQ$8,0)),0.1)</f>
        <v>0.1</v>
      </c>
      <c r="AS213" s="35" t="str">
        <f t="shared" si="121"/>
        <v/>
      </c>
      <c r="AT213" s="3" t="str">
        <f t="shared" si="144"/>
        <v/>
      </c>
      <c r="AU213" s="3" t="str">
        <f t="shared" si="122"/>
        <v/>
      </c>
      <c r="AW213" s="32" t="str">
        <f t="shared" si="145"/>
        <v/>
      </c>
      <c r="AX213" s="32" t="str">
        <f t="shared" si="146"/>
        <v/>
      </c>
      <c r="AY213" s="32" t="str">
        <f t="shared" si="147"/>
        <v/>
      </c>
      <c r="BA213" s="32" t="str">
        <f>IF($A214="","",F213*Summary!$Q$7)</f>
        <v/>
      </c>
    </row>
    <row r="214" spans="1:53" ht="12" customHeight="1">
      <c r="A214" s="67" t="str">
        <f t="shared" si="123"/>
        <v/>
      </c>
      <c r="B214" s="69" t="str">
        <f t="shared" si="148"/>
        <v/>
      </c>
      <c r="C214" s="71"/>
      <c r="D214" s="69" t="str">
        <f t="shared" si="149"/>
        <v/>
      </c>
      <c r="E214" s="70" t="str">
        <f t="shared" si="113"/>
        <v/>
      </c>
      <c r="F214" s="70" t="str">
        <f t="shared" si="114"/>
        <v/>
      </c>
      <c r="G214" s="63" t="str">
        <f t="shared" si="124"/>
        <v/>
      </c>
      <c r="H214" s="64" t="str">
        <f t="shared" si="125"/>
        <v/>
      </c>
      <c r="I214" s="43"/>
      <c r="J214" s="63" t="str">
        <f t="shared" si="126"/>
        <v/>
      </c>
      <c r="K214" s="64" t="str">
        <f t="shared" si="127"/>
        <v/>
      </c>
      <c r="L214" s="63" t="str">
        <f t="shared" si="128"/>
        <v/>
      </c>
      <c r="M214" s="64" t="str">
        <f t="shared" si="129"/>
        <v/>
      </c>
      <c r="N214" s="65"/>
      <c r="O214" s="63" t="str">
        <f t="shared" si="130"/>
        <v/>
      </c>
      <c r="P214" s="63" t="str">
        <f t="shared" si="131"/>
        <v/>
      </c>
      <c r="Q214" s="66"/>
      <c r="R214" s="63" t="str">
        <f t="shared" si="132"/>
        <v/>
      </c>
      <c r="S214" s="64" t="str">
        <f t="shared" si="133"/>
        <v/>
      </c>
      <c r="T214" s="63" t="str">
        <f t="shared" si="134"/>
        <v/>
      </c>
      <c r="U214" s="64" t="str">
        <f t="shared" si="135"/>
        <v/>
      </c>
      <c r="V214" s="207" t="str">
        <f>IF($A215="","",IF(AND(MONTH(A214)&gt;3,MONTH(A214)&lt;11),(T214+R214+G214)*Summary!$T$7/(1-Summary!$T$7),(T214+R214+G214)*Summary!$U$7/(1-Summary!$U$7)))</f>
        <v/>
      </c>
      <c r="W214" s="63" t="str">
        <f t="shared" si="136"/>
        <v/>
      </c>
      <c r="X214" s="63" t="str">
        <f t="shared" si="137"/>
        <v/>
      </c>
      <c r="Y214" s="43"/>
      <c r="Z214" s="38" t="str">
        <f t="shared" si="138"/>
        <v/>
      </c>
      <c r="AA214" s="38" t="str">
        <f t="shared" si="138"/>
        <v/>
      </c>
      <c r="AB214" s="38" t="e">
        <f t="shared" si="115"/>
        <v>#VALUE!</v>
      </c>
      <c r="AC214" s="38" t="str">
        <f t="shared" si="138"/>
        <v/>
      </c>
      <c r="AD214" s="38" t="str">
        <f t="shared" si="116"/>
        <v/>
      </c>
      <c r="AE214" s="38" t="e">
        <f t="shared" si="117"/>
        <v>#VALUE!</v>
      </c>
      <c r="AF214" s="238" t="e">
        <f>((Summary!$N$7*(AA214*AD214)*(A214-$D$3))+(Summary!$M$7*Z214*AC214*(DAY(EOMONTH(A214,0))/2)))/(AK214*AB214*AE214)</f>
        <v>#VALUE!</v>
      </c>
      <c r="AG214" s="88" t="str">
        <f>IF($A215="","",Summary!$Q$7)</f>
        <v/>
      </c>
      <c r="AH214" s="88" t="str">
        <f>IF($A215="","",IF(Summary!$R$7="Y",(VLOOKUP($A214,Summary!$AD$6:$AF$9,3)+'Escalating commodity'!C227),'Escalating commodity'!C227))</f>
        <v/>
      </c>
      <c r="AI214" s="88" t="str">
        <f t="shared" si="139"/>
        <v/>
      </c>
      <c r="AJ214" s="236" t="e">
        <f t="shared" si="118"/>
        <v>#VALUE!</v>
      </c>
      <c r="AK214" s="58" t="str">
        <f t="shared" si="140"/>
        <v/>
      </c>
      <c r="AL214" s="26" t="str">
        <f>IF($A215="","",_xll.SPRDOPT(P214,X214,AI214,0,AB214,AE214,AF214,AK214,$AJ$2,0))</f>
        <v/>
      </c>
      <c r="AM214" s="209" t="str">
        <f t="shared" si="119"/>
        <v/>
      </c>
      <c r="AN214" s="89" t="str">
        <f t="shared" si="141"/>
        <v/>
      </c>
      <c r="AO214" s="3" t="str">
        <f t="shared" si="142"/>
        <v/>
      </c>
      <c r="AP214" s="33" t="str">
        <f t="shared" si="143"/>
        <v/>
      </c>
      <c r="AQ214" s="58" t="str">
        <f t="shared" si="120"/>
        <v/>
      </c>
      <c r="AR214" s="38">
        <f>IF(Summary!$H$2=1,VLOOKUP('ANR OK vs ML7'!A214,Curves!$C$17:$AR$273,MATCH('ANR OK vs ML7'!$AR$4,Curves!$C$8:$AQ$8,0)),0.1)</f>
        <v>0.1</v>
      </c>
      <c r="AS214" s="35" t="str">
        <f t="shared" si="121"/>
        <v/>
      </c>
      <c r="AT214" s="3" t="str">
        <f t="shared" si="144"/>
        <v/>
      </c>
      <c r="AU214" s="3" t="str">
        <f t="shared" si="122"/>
        <v/>
      </c>
      <c r="AW214" s="32" t="str">
        <f t="shared" si="145"/>
        <v/>
      </c>
      <c r="AX214" s="32" t="str">
        <f t="shared" si="146"/>
        <v/>
      </c>
      <c r="AY214" s="32" t="str">
        <f t="shared" si="147"/>
        <v/>
      </c>
      <c r="BA214" s="32" t="str">
        <f>IF($A215="","",F214*Summary!$Q$7)</f>
        <v/>
      </c>
    </row>
    <row r="215" spans="1:53" ht="12" customHeight="1">
      <c r="A215" s="67" t="str">
        <f t="shared" si="123"/>
        <v/>
      </c>
      <c r="B215" s="69" t="str">
        <f t="shared" si="148"/>
        <v/>
      </c>
      <c r="C215" s="71"/>
      <c r="D215" s="69" t="str">
        <f t="shared" si="149"/>
        <v/>
      </c>
      <c r="E215" s="70" t="str">
        <f t="shared" si="113"/>
        <v/>
      </c>
      <c r="F215" s="70" t="str">
        <f t="shared" si="114"/>
        <v/>
      </c>
      <c r="G215" s="63" t="str">
        <f t="shared" si="124"/>
        <v/>
      </c>
      <c r="H215" s="64" t="str">
        <f t="shared" si="125"/>
        <v/>
      </c>
      <c r="I215" s="43"/>
      <c r="J215" s="63" t="str">
        <f t="shared" si="126"/>
        <v/>
      </c>
      <c r="K215" s="64" t="str">
        <f t="shared" si="127"/>
        <v/>
      </c>
      <c r="L215" s="63" t="str">
        <f t="shared" si="128"/>
        <v/>
      </c>
      <c r="M215" s="64" t="str">
        <f t="shared" si="129"/>
        <v/>
      </c>
      <c r="N215" s="65"/>
      <c r="O215" s="63" t="str">
        <f t="shared" si="130"/>
        <v/>
      </c>
      <c r="P215" s="63" t="str">
        <f t="shared" si="131"/>
        <v/>
      </c>
      <c r="Q215" s="66"/>
      <c r="R215" s="63" t="str">
        <f t="shared" si="132"/>
        <v/>
      </c>
      <c r="S215" s="64" t="str">
        <f t="shared" si="133"/>
        <v/>
      </c>
      <c r="T215" s="63" t="str">
        <f t="shared" si="134"/>
        <v/>
      </c>
      <c r="U215" s="64" t="str">
        <f t="shared" si="135"/>
        <v/>
      </c>
      <c r="V215" s="207" t="str">
        <f>IF($A216="","",IF(AND(MONTH(A215)&gt;3,MONTH(A215)&lt;11),(T215+R215+G215)*Summary!$T$7/(1-Summary!$T$7),(T215+R215+G215)*Summary!$U$7/(1-Summary!$U$7)))</f>
        <v/>
      </c>
      <c r="W215" s="63" t="str">
        <f t="shared" si="136"/>
        <v/>
      </c>
      <c r="X215" s="63" t="str">
        <f t="shared" si="137"/>
        <v/>
      </c>
      <c r="Y215" s="43"/>
      <c r="Z215" s="38" t="str">
        <f t="shared" si="138"/>
        <v/>
      </c>
      <c r="AA215" s="38" t="str">
        <f t="shared" si="138"/>
        <v/>
      </c>
      <c r="AB215" s="38" t="e">
        <f t="shared" si="115"/>
        <v>#VALUE!</v>
      </c>
      <c r="AC215" s="38" t="str">
        <f t="shared" si="138"/>
        <v/>
      </c>
      <c r="AD215" s="38" t="str">
        <f t="shared" si="116"/>
        <v/>
      </c>
      <c r="AE215" s="38" t="e">
        <f t="shared" si="117"/>
        <v>#VALUE!</v>
      </c>
      <c r="AF215" s="238" t="e">
        <f>((Summary!$N$7*(AA215*AD215)*(A215-$D$3))+(Summary!$M$7*Z215*AC215*(DAY(EOMONTH(A215,0))/2)))/(AK215*AB215*AE215)</f>
        <v>#VALUE!</v>
      </c>
      <c r="AG215" s="88" t="str">
        <f>IF($A216="","",Summary!$Q$7)</f>
        <v/>
      </c>
      <c r="AH215" s="88" t="str">
        <f>IF($A216="","",IF(Summary!$R$7="Y",(VLOOKUP($A215,Summary!$AD$6:$AF$9,3)+'Escalating commodity'!C228),'Escalating commodity'!C228))</f>
        <v/>
      </c>
      <c r="AI215" s="88" t="str">
        <f t="shared" si="139"/>
        <v/>
      </c>
      <c r="AJ215" s="236" t="e">
        <f t="shared" si="118"/>
        <v>#VALUE!</v>
      </c>
      <c r="AK215" s="58" t="str">
        <f t="shared" si="140"/>
        <v/>
      </c>
      <c r="AL215" s="26" t="str">
        <f>IF($A216="","",_xll.SPRDOPT(P215,X215,AI215,0,AB215,AE215,AF215,AK215,$AJ$2,0))</f>
        <v/>
      </c>
      <c r="AM215" s="209" t="str">
        <f t="shared" si="119"/>
        <v/>
      </c>
      <c r="AN215" s="89" t="str">
        <f t="shared" si="141"/>
        <v/>
      </c>
      <c r="AO215" s="3" t="str">
        <f t="shared" si="142"/>
        <v/>
      </c>
      <c r="AP215" s="33" t="str">
        <f t="shared" si="143"/>
        <v/>
      </c>
      <c r="AQ215" s="58" t="str">
        <f t="shared" si="120"/>
        <v/>
      </c>
      <c r="AR215" s="38">
        <f>IF(Summary!$H$2=1,VLOOKUP('ANR OK vs ML7'!A215,Curves!$C$17:$AR$273,MATCH('ANR OK vs ML7'!$AR$4,Curves!$C$8:$AQ$8,0)),0.1)</f>
        <v>0.1</v>
      </c>
      <c r="AS215" s="35" t="str">
        <f t="shared" si="121"/>
        <v/>
      </c>
      <c r="AT215" s="3" t="str">
        <f t="shared" si="144"/>
        <v/>
      </c>
      <c r="AU215" s="3" t="str">
        <f t="shared" si="122"/>
        <v/>
      </c>
      <c r="AW215" s="32" t="str">
        <f t="shared" si="145"/>
        <v/>
      </c>
      <c r="AX215" s="32" t="str">
        <f t="shared" si="146"/>
        <v/>
      </c>
      <c r="AY215" s="32" t="str">
        <f t="shared" si="147"/>
        <v/>
      </c>
      <c r="BA215" s="32" t="str">
        <f>IF($A216="","",F215*Summary!$Q$7)</f>
        <v/>
      </c>
    </row>
    <row r="216" spans="1:53" ht="12" customHeight="1">
      <c r="A216" s="67" t="str">
        <f t="shared" si="123"/>
        <v/>
      </c>
      <c r="B216" s="69" t="str">
        <f t="shared" si="148"/>
        <v/>
      </c>
      <c r="C216" s="71"/>
      <c r="D216" s="69" t="str">
        <f t="shared" si="149"/>
        <v/>
      </c>
      <c r="E216" s="70" t="str">
        <f t="shared" si="113"/>
        <v/>
      </c>
      <c r="F216" s="70" t="str">
        <f t="shared" si="114"/>
        <v/>
      </c>
      <c r="G216" s="63" t="str">
        <f t="shared" si="124"/>
        <v/>
      </c>
      <c r="H216" s="64" t="str">
        <f t="shared" si="125"/>
        <v/>
      </c>
      <c r="I216" s="43"/>
      <c r="J216" s="63" t="str">
        <f t="shared" si="126"/>
        <v/>
      </c>
      <c r="K216" s="64" t="str">
        <f t="shared" si="127"/>
        <v/>
      </c>
      <c r="L216" s="63" t="str">
        <f t="shared" si="128"/>
        <v/>
      </c>
      <c r="M216" s="64" t="str">
        <f t="shared" si="129"/>
        <v/>
      </c>
      <c r="N216" s="65"/>
      <c r="O216" s="63" t="str">
        <f t="shared" si="130"/>
        <v/>
      </c>
      <c r="P216" s="63" t="str">
        <f t="shared" si="131"/>
        <v/>
      </c>
      <c r="Q216" s="66"/>
      <c r="R216" s="63" t="str">
        <f t="shared" si="132"/>
        <v/>
      </c>
      <c r="S216" s="64" t="str">
        <f t="shared" si="133"/>
        <v/>
      </c>
      <c r="T216" s="63" t="str">
        <f t="shared" si="134"/>
        <v/>
      </c>
      <c r="U216" s="64" t="str">
        <f t="shared" si="135"/>
        <v/>
      </c>
      <c r="V216" s="207" t="str">
        <f>IF($A217="","",IF(AND(MONTH(A216)&gt;3,MONTH(A216)&lt;11),(T216+R216+G216)*Summary!$T$7/(1-Summary!$T$7),(T216+R216+G216)*Summary!$U$7/(1-Summary!$U$7)))</f>
        <v/>
      </c>
      <c r="W216" s="63" t="str">
        <f t="shared" si="136"/>
        <v/>
      </c>
      <c r="X216" s="63" t="str">
        <f t="shared" si="137"/>
        <v/>
      </c>
      <c r="Y216" s="43"/>
      <c r="Z216" s="38" t="str">
        <f t="shared" si="138"/>
        <v/>
      </c>
      <c r="AA216" s="38" t="str">
        <f t="shared" si="138"/>
        <v/>
      </c>
      <c r="AB216" s="38" t="e">
        <f t="shared" si="115"/>
        <v>#VALUE!</v>
      </c>
      <c r="AC216" s="38" t="str">
        <f t="shared" si="138"/>
        <v/>
      </c>
      <c r="AD216" s="38" t="str">
        <f t="shared" si="116"/>
        <v/>
      </c>
      <c r="AE216" s="38" t="e">
        <f t="shared" si="117"/>
        <v>#VALUE!</v>
      </c>
      <c r="AF216" s="238" t="e">
        <f>((Summary!$N$7*(AA216*AD216)*(A216-$D$3))+(Summary!$M$7*Z216*AC216*(DAY(EOMONTH(A216,0))/2)))/(AK216*AB216*AE216)</f>
        <v>#VALUE!</v>
      </c>
      <c r="AG216" s="88" t="str">
        <f>IF($A217="","",Summary!$Q$7)</f>
        <v/>
      </c>
      <c r="AH216" s="88" t="str">
        <f>IF($A217="","",IF(Summary!$R$7="Y",(VLOOKUP($A216,Summary!$AD$6:$AF$9,3)+'Escalating commodity'!C229),'Escalating commodity'!C229))</f>
        <v/>
      </c>
      <c r="AI216" s="88" t="str">
        <f t="shared" si="139"/>
        <v/>
      </c>
      <c r="AJ216" s="236" t="e">
        <f t="shared" si="118"/>
        <v>#VALUE!</v>
      </c>
      <c r="AK216" s="58" t="str">
        <f t="shared" si="140"/>
        <v/>
      </c>
      <c r="AL216" s="26" t="str">
        <f>IF($A217="","",_xll.SPRDOPT(P216,X216,AI216,0,AB216,AE216,AF216,AK216,$AJ$2,0))</f>
        <v/>
      </c>
      <c r="AM216" s="209" t="str">
        <f t="shared" si="119"/>
        <v/>
      </c>
      <c r="AN216" s="89" t="str">
        <f t="shared" si="141"/>
        <v/>
      </c>
      <c r="AO216" s="3" t="str">
        <f t="shared" si="142"/>
        <v/>
      </c>
      <c r="AP216" s="33" t="str">
        <f t="shared" si="143"/>
        <v/>
      </c>
      <c r="AQ216" s="58" t="str">
        <f t="shared" si="120"/>
        <v/>
      </c>
      <c r="AR216" s="38">
        <f>IF(Summary!$H$2=1,VLOOKUP('ANR OK vs ML7'!A216,Curves!$C$17:$AR$273,MATCH('ANR OK vs ML7'!$AR$4,Curves!$C$8:$AQ$8,0)),0.1)</f>
        <v>0.1</v>
      </c>
      <c r="AS216" s="35" t="str">
        <f t="shared" si="121"/>
        <v/>
      </c>
      <c r="AT216" s="3" t="str">
        <f t="shared" si="144"/>
        <v/>
      </c>
      <c r="AU216" s="3" t="str">
        <f t="shared" si="122"/>
        <v/>
      </c>
      <c r="AW216" s="32" t="str">
        <f t="shared" si="145"/>
        <v/>
      </c>
      <c r="AX216" s="32" t="str">
        <f t="shared" si="146"/>
        <v/>
      </c>
      <c r="AY216" s="32" t="str">
        <f t="shared" si="147"/>
        <v/>
      </c>
      <c r="BA216" s="32" t="str">
        <f>IF($A217="","",F216*Summary!$Q$7)</f>
        <v/>
      </c>
    </row>
    <row r="217" spans="1:53" ht="12" customHeight="1">
      <c r="A217" s="67" t="str">
        <f t="shared" si="123"/>
        <v/>
      </c>
      <c r="B217" s="69" t="str">
        <f t="shared" si="148"/>
        <v/>
      </c>
      <c r="C217" s="71"/>
      <c r="D217" s="69" t="str">
        <f t="shared" si="149"/>
        <v/>
      </c>
      <c r="E217" s="70" t="str">
        <f t="shared" si="113"/>
        <v/>
      </c>
      <c r="F217" s="70" t="str">
        <f t="shared" si="114"/>
        <v/>
      </c>
      <c r="G217" s="63" t="str">
        <f t="shared" si="124"/>
        <v/>
      </c>
      <c r="H217" s="64" t="str">
        <f t="shared" si="125"/>
        <v/>
      </c>
      <c r="I217" s="43"/>
      <c r="J217" s="63" t="str">
        <f t="shared" si="126"/>
        <v/>
      </c>
      <c r="K217" s="64" t="str">
        <f t="shared" si="127"/>
        <v/>
      </c>
      <c r="L217" s="63" t="str">
        <f t="shared" si="128"/>
        <v/>
      </c>
      <c r="M217" s="64" t="str">
        <f t="shared" si="129"/>
        <v/>
      </c>
      <c r="N217" s="65"/>
      <c r="O217" s="63" t="str">
        <f t="shared" si="130"/>
        <v/>
      </c>
      <c r="P217" s="63" t="str">
        <f t="shared" si="131"/>
        <v/>
      </c>
      <c r="Q217" s="66"/>
      <c r="R217" s="63" t="str">
        <f t="shared" si="132"/>
        <v/>
      </c>
      <c r="S217" s="64" t="str">
        <f t="shared" si="133"/>
        <v/>
      </c>
      <c r="T217" s="63" t="str">
        <f t="shared" si="134"/>
        <v/>
      </c>
      <c r="U217" s="64" t="str">
        <f t="shared" si="135"/>
        <v/>
      </c>
      <c r="V217" s="207" t="str">
        <f>IF($A218="","",IF(AND(MONTH(A217)&gt;3,MONTH(A217)&lt;11),(T217+R217+G217)*Summary!$T$7/(1-Summary!$T$7),(T217+R217+G217)*Summary!$U$7/(1-Summary!$U$7)))</f>
        <v/>
      </c>
      <c r="W217" s="63" t="str">
        <f t="shared" si="136"/>
        <v/>
      </c>
      <c r="X217" s="63" t="str">
        <f t="shared" si="137"/>
        <v/>
      </c>
      <c r="Y217" s="43"/>
      <c r="Z217" s="38" t="str">
        <f t="shared" si="138"/>
        <v/>
      </c>
      <c r="AA217" s="38" t="str">
        <f t="shared" si="138"/>
        <v/>
      </c>
      <c r="AB217" s="38" t="e">
        <f t="shared" si="115"/>
        <v>#VALUE!</v>
      </c>
      <c r="AC217" s="38" t="str">
        <f t="shared" si="138"/>
        <v/>
      </c>
      <c r="AD217" s="38" t="str">
        <f t="shared" si="116"/>
        <v/>
      </c>
      <c r="AE217" s="38" t="e">
        <f t="shared" si="117"/>
        <v>#VALUE!</v>
      </c>
      <c r="AF217" s="238" t="e">
        <f>((Summary!$N$7*(AA217*AD217)*(A217-$D$3))+(Summary!$M$7*Z217*AC217*(DAY(EOMONTH(A217,0))/2)))/(AK217*AB217*AE217)</f>
        <v>#VALUE!</v>
      </c>
      <c r="AG217" s="88" t="str">
        <f>IF($A218="","",Summary!$Q$7)</f>
        <v/>
      </c>
      <c r="AH217" s="88" t="str">
        <f>IF($A218="","",IF(Summary!$R$7="Y",(VLOOKUP($A217,Summary!$AD$6:$AF$9,3)+'Escalating commodity'!C230),'Escalating commodity'!C230))</f>
        <v/>
      </c>
      <c r="AI217" s="88" t="str">
        <f t="shared" si="139"/>
        <v/>
      </c>
      <c r="AJ217" s="236" t="e">
        <f t="shared" si="118"/>
        <v>#VALUE!</v>
      </c>
      <c r="AK217" s="58" t="str">
        <f t="shared" si="140"/>
        <v/>
      </c>
      <c r="AL217" s="26" t="str">
        <f>IF($A218="","",_xll.SPRDOPT(P217,X217,AI217,0,AB217,AE217,AF217,AK217,$AJ$2,0))</f>
        <v/>
      </c>
      <c r="AM217" s="209" t="str">
        <f t="shared" si="119"/>
        <v/>
      </c>
      <c r="AN217" s="89" t="str">
        <f t="shared" si="141"/>
        <v/>
      </c>
      <c r="AO217" s="3" t="str">
        <f t="shared" si="142"/>
        <v/>
      </c>
      <c r="AP217" s="33" t="str">
        <f t="shared" si="143"/>
        <v/>
      </c>
      <c r="AQ217" s="58" t="str">
        <f t="shared" si="120"/>
        <v/>
      </c>
      <c r="AR217" s="38">
        <f>IF(Summary!$H$2=1,VLOOKUP('ANR OK vs ML7'!A217,Curves!$C$17:$AR$273,MATCH('ANR OK vs ML7'!$AR$4,Curves!$C$8:$AQ$8,0)),0.1)</f>
        <v>0.1</v>
      </c>
      <c r="AS217" s="35" t="str">
        <f t="shared" si="121"/>
        <v/>
      </c>
      <c r="AT217" s="3" t="str">
        <f t="shared" si="144"/>
        <v/>
      </c>
      <c r="AU217" s="3" t="str">
        <f t="shared" si="122"/>
        <v/>
      </c>
      <c r="AW217" s="32" t="str">
        <f t="shared" si="145"/>
        <v/>
      </c>
      <c r="AX217" s="32" t="str">
        <f t="shared" si="146"/>
        <v/>
      </c>
      <c r="AY217" s="32" t="str">
        <f t="shared" si="147"/>
        <v/>
      </c>
      <c r="BA217" s="32" t="str">
        <f>IF($A218="","",F217*Summary!$Q$7)</f>
        <v/>
      </c>
    </row>
    <row r="218" spans="1:53" ht="12" customHeight="1">
      <c r="A218" s="67" t="str">
        <f t="shared" si="123"/>
        <v/>
      </c>
      <c r="B218" s="69" t="str">
        <f t="shared" si="148"/>
        <v/>
      </c>
      <c r="C218" s="71"/>
      <c r="D218" s="69" t="str">
        <f t="shared" si="149"/>
        <v/>
      </c>
      <c r="E218" s="70" t="str">
        <f t="shared" si="113"/>
        <v/>
      </c>
      <c r="F218" s="70" t="str">
        <f t="shared" si="114"/>
        <v/>
      </c>
      <c r="G218" s="63" t="str">
        <f t="shared" si="124"/>
        <v/>
      </c>
      <c r="H218" s="64" t="str">
        <f t="shared" si="125"/>
        <v/>
      </c>
      <c r="I218" s="43"/>
      <c r="J218" s="63" t="str">
        <f t="shared" si="126"/>
        <v/>
      </c>
      <c r="K218" s="64" t="str">
        <f t="shared" si="127"/>
        <v/>
      </c>
      <c r="L218" s="63" t="str">
        <f t="shared" si="128"/>
        <v/>
      </c>
      <c r="M218" s="64" t="str">
        <f t="shared" si="129"/>
        <v/>
      </c>
      <c r="N218" s="65"/>
      <c r="O218" s="63" t="str">
        <f t="shared" si="130"/>
        <v/>
      </c>
      <c r="P218" s="63" t="str">
        <f t="shared" si="131"/>
        <v/>
      </c>
      <c r="Q218" s="66"/>
      <c r="R218" s="63" t="str">
        <f t="shared" si="132"/>
        <v/>
      </c>
      <c r="S218" s="64" t="str">
        <f t="shared" si="133"/>
        <v/>
      </c>
      <c r="T218" s="63" t="str">
        <f t="shared" si="134"/>
        <v/>
      </c>
      <c r="U218" s="64" t="str">
        <f t="shared" si="135"/>
        <v/>
      </c>
      <c r="V218" s="207" t="str">
        <f>IF($A219="","",IF(AND(MONTH(A218)&gt;3,MONTH(A218)&lt;11),(T218+R218+G218)*Summary!$T$7/(1-Summary!$T$7),(T218+R218+G218)*Summary!$U$7/(1-Summary!$U$7)))</f>
        <v/>
      </c>
      <c r="W218" s="63" t="str">
        <f t="shared" si="136"/>
        <v/>
      </c>
      <c r="X218" s="63" t="str">
        <f t="shared" si="137"/>
        <v/>
      </c>
      <c r="Y218" s="43"/>
      <c r="Z218" s="38" t="str">
        <f t="shared" si="138"/>
        <v/>
      </c>
      <c r="AA218" s="38" t="str">
        <f t="shared" si="138"/>
        <v/>
      </c>
      <c r="AB218" s="38" t="e">
        <f t="shared" si="115"/>
        <v>#VALUE!</v>
      </c>
      <c r="AC218" s="38" t="str">
        <f t="shared" si="138"/>
        <v/>
      </c>
      <c r="AD218" s="38" t="str">
        <f t="shared" si="116"/>
        <v/>
      </c>
      <c r="AE218" s="38" t="e">
        <f t="shared" si="117"/>
        <v>#VALUE!</v>
      </c>
      <c r="AF218" s="238" t="e">
        <f>((Summary!$N$7*(AA218*AD218)*(A218-$D$3))+(Summary!$M$7*Z218*AC218*(DAY(EOMONTH(A218,0))/2)))/(AK218*AB218*AE218)</f>
        <v>#VALUE!</v>
      </c>
      <c r="AG218" s="88" t="str">
        <f>IF($A219="","",Summary!$Q$7)</f>
        <v/>
      </c>
      <c r="AH218" s="88" t="str">
        <f>IF($A219="","",IF(Summary!$R$7="Y",(VLOOKUP($A218,Summary!$AD$6:$AF$9,3)+'Escalating commodity'!C231),'Escalating commodity'!C231))</f>
        <v/>
      </c>
      <c r="AI218" s="88" t="str">
        <f t="shared" si="139"/>
        <v/>
      </c>
      <c r="AJ218" s="236" t="e">
        <f t="shared" si="118"/>
        <v>#VALUE!</v>
      </c>
      <c r="AK218" s="58" t="str">
        <f t="shared" si="140"/>
        <v/>
      </c>
      <c r="AL218" s="26" t="str">
        <f>IF($A219="","",_xll.SPRDOPT(P218,X218,AI218,0,AB218,AE218,AF218,AK218,$AJ$2,0))</f>
        <v/>
      </c>
      <c r="AM218" s="209" t="str">
        <f t="shared" si="119"/>
        <v/>
      </c>
      <c r="AN218" s="89" t="str">
        <f t="shared" si="141"/>
        <v/>
      </c>
      <c r="AO218" s="3" t="str">
        <f t="shared" si="142"/>
        <v/>
      </c>
      <c r="AP218" s="33" t="str">
        <f t="shared" si="143"/>
        <v/>
      </c>
      <c r="AQ218" s="58" t="str">
        <f t="shared" si="120"/>
        <v/>
      </c>
      <c r="AR218" s="38">
        <f>IF(Summary!$H$2=1,VLOOKUP('ANR OK vs ML7'!A218,Curves!$C$17:$AR$273,MATCH('ANR OK vs ML7'!$AR$4,Curves!$C$8:$AQ$8,0)),0.1)</f>
        <v>0.1</v>
      </c>
      <c r="AS218" s="35" t="str">
        <f t="shared" si="121"/>
        <v/>
      </c>
      <c r="AT218" s="3" t="str">
        <f t="shared" si="144"/>
        <v/>
      </c>
      <c r="AU218" s="3" t="str">
        <f t="shared" si="122"/>
        <v/>
      </c>
      <c r="AW218" s="32" t="str">
        <f t="shared" si="145"/>
        <v/>
      </c>
      <c r="AX218" s="32" t="str">
        <f t="shared" si="146"/>
        <v/>
      </c>
      <c r="AY218" s="32" t="str">
        <f t="shared" si="147"/>
        <v/>
      </c>
      <c r="BA218" s="32" t="str">
        <f>IF($A219="","",F218*Summary!$Q$7)</f>
        <v/>
      </c>
    </row>
    <row r="219" spans="1:53" ht="12" customHeight="1">
      <c r="A219" s="67" t="str">
        <f t="shared" si="123"/>
        <v/>
      </c>
      <c r="B219" s="69" t="str">
        <f t="shared" si="148"/>
        <v/>
      </c>
      <c r="C219" s="71"/>
      <c r="D219" s="69" t="str">
        <f t="shared" si="149"/>
        <v/>
      </c>
      <c r="E219" s="70" t="str">
        <f t="shared" si="113"/>
        <v/>
      </c>
      <c r="F219" s="70" t="str">
        <f t="shared" si="114"/>
        <v/>
      </c>
      <c r="G219" s="63" t="str">
        <f t="shared" si="124"/>
        <v/>
      </c>
      <c r="H219" s="64" t="str">
        <f t="shared" si="125"/>
        <v/>
      </c>
      <c r="I219" s="43"/>
      <c r="J219" s="63" t="str">
        <f t="shared" si="126"/>
        <v/>
      </c>
      <c r="K219" s="64" t="str">
        <f t="shared" si="127"/>
        <v/>
      </c>
      <c r="L219" s="63" t="str">
        <f t="shared" si="128"/>
        <v/>
      </c>
      <c r="M219" s="64" t="str">
        <f t="shared" si="129"/>
        <v/>
      </c>
      <c r="N219" s="65"/>
      <c r="O219" s="63" t="str">
        <f t="shared" si="130"/>
        <v/>
      </c>
      <c r="P219" s="63" t="str">
        <f t="shared" si="131"/>
        <v/>
      </c>
      <c r="Q219" s="66"/>
      <c r="R219" s="63" t="str">
        <f t="shared" si="132"/>
        <v/>
      </c>
      <c r="S219" s="64" t="str">
        <f t="shared" si="133"/>
        <v/>
      </c>
      <c r="T219" s="63" t="str">
        <f t="shared" si="134"/>
        <v/>
      </c>
      <c r="U219" s="64" t="str">
        <f t="shared" si="135"/>
        <v/>
      </c>
      <c r="V219" s="207" t="str">
        <f>IF($A220="","",IF(AND(MONTH(A219)&gt;3,MONTH(A219)&lt;11),(T219+R219+G219)*Summary!$T$7/(1-Summary!$T$7),(T219+R219+G219)*Summary!$U$7/(1-Summary!$U$7)))</f>
        <v/>
      </c>
      <c r="W219" s="63" t="str">
        <f t="shared" si="136"/>
        <v/>
      </c>
      <c r="X219" s="63" t="str">
        <f t="shared" si="137"/>
        <v/>
      </c>
      <c r="Y219" s="43"/>
      <c r="Z219" s="38" t="str">
        <f t="shared" si="138"/>
        <v/>
      </c>
      <c r="AA219" s="38" t="str">
        <f t="shared" si="138"/>
        <v/>
      </c>
      <c r="AB219" s="38" t="e">
        <f t="shared" si="115"/>
        <v>#VALUE!</v>
      </c>
      <c r="AC219" s="38" t="str">
        <f t="shared" si="138"/>
        <v/>
      </c>
      <c r="AD219" s="38" t="str">
        <f t="shared" si="116"/>
        <v/>
      </c>
      <c r="AE219" s="38" t="e">
        <f t="shared" si="117"/>
        <v>#VALUE!</v>
      </c>
      <c r="AF219" s="238" t="e">
        <f>((Summary!$N$7*(AA219*AD219)*(A219-$D$3))+(Summary!$M$7*Z219*AC219*(DAY(EOMONTH(A219,0))/2)))/(AK219*AB219*AE219)</f>
        <v>#VALUE!</v>
      </c>
      <c r="AG219" s="88" t="str">
        <f>IF($A220="","",Summary!$Q$7)</f>
        <v/>
      </c>
      <c r="AH219" s="88" t="str">
        <f>IF($A220="","",IF(Summary!$R$7="Y",(VLOOKUP($A219,Summary!$AD$6:$AF$9,3)+'Escalating commodity'!C232),'Escalating commodity'!C232))</f>
        <v/>
      </c>
      <c r="AI219" s="88" t="str">
        <f t="shared" si="139"/>
        <v/>
      </c>
      <c r="AJ219" s="236" t="e">
        <f t="shared" si="118"/>
        <v>#VALUE!</v>
      </c>
      <c r="AK219" s="58" t="str">
        <f t="shared" si="140"/>
        <v/>
      </c>
      <c r="AL219" s="26" t="str">
        <f>IF($A220="","",_xll.SPRDOPT(P219,X219,AI219,0,AB219,AE219,AF219,AK219,$AJ$2,0))</f>
        <v/>
      </c>
      <c r="AM219" s="209" t="str">
        <f t="shared" si="119"/>
        <v/>
      </c>
      <c r="AN219" s="89" t="str">
        <f t="shared" si="141"/>
        <v/>
      </c>
      <c r="AO219" s="3" t="str">
        <f t="shared" si="142"/>
        <v/>
      </c>
      <c r="AP219" s="33" t="str">
        <f t="shared" si="143"/>
        <v/>
      </c>
      <c r="AQ219" s="58" t="str">
        <f t="shared" si="120"/>
        <v/>
      </c>
      <c r="AR219" s="38">
        <f>IF(Summary!$H$2=1,VLOOKUP('ANR OK vs ML7'!A219,Curves!$C$17:$AR$273,MATCH('ANR OK vs ML7'!$AR$4,Curves!$C$8:$AQ$8,0)),0.1)</f>
        <v>0.1</v>
      </c>
      <c r="AS219" s="35" t="str">
        <f t="shared" si="121"/>
        <v/>
      </c>
      <c r="AT219" s="3" t="str">
        <f t="shared" si="144"/>
        <v/>
      </c>
      <c r="AU219" s="3" t="str">
        <f t="shared" si="122"/>
        <v/>
      </c>
      <c r="AW219" s="32" t="str">
        <f t="shared" si="145"/>
        <v/>
      </c>
      <c r="AX219" s="32" t="str">
        <f t="shared" si="146"/>
        <v/>
      </c>
      <c r="AY219" s="32" t="str">
        <f t="shared" si="147"/>
        <v/>
      </c>
      <c r="BA219" s="32" t="str">
        <f>IF($A220="","",F219*Summary!$Q$7)</f>
        <v/>
      </c>
    </row>
    <row r="220" spans="1:53" ht="12" customHeight="1">
      <c r="A220" s="67" t="str">
        <f t="shared" si="123"/>
        <v/>
      </c>
      <c r="B220" s="69" t="str">
        <f t="shared" si="148"/>
        <v/>
      </c>
      <c r="C220" s="71"/>
      <c r="D220" s="69" t="str">
        <f t="shared" si="149"/>
        <v/>
      </c>
      <c r="E220" s="70" t="str">
        <f t="shared" si="113"/>
        <v/>
      </c>
      <c r="F220" s="70" t="str">
        <f t="shared" si="114"/>
        <v/>
      </c>
      <c r="G220" s="63" t="str">
        <f t="shared" si="124"/>
        <v/>
      </c>
      <c r="H220" s="64" t="str">
        <f t="shared" si="125"/>
        <v/>
      </c>
      <c r="I220" s="43"/>
      <c r="J220" s="63" t="str">
        <f t="shared" si="126"/>
        <v/>
      </c>
      <c r="K220" s="64" t="str">
        <f t="shared" si="127"/>
        <v/>
      </c>
      <c r="L220" s="63" t="str">
        <f t="shared" si="128"/>
        <v/>
      </c>
      <c r="M220" s="64" t="str">
        <f t="shared" si="129"/>
        <v/>
      </c>
      <c r="N220" s="65"/>
      <c r="O220" s="63" t="str">
        <f t="shared" si="130"/>
        <v/>
      </c>
      <c r="P220" s="63" t="str">
        <f t="shared" si="131"/>
        <v/>
      </c>
      <c r="Q220" s="66"/>
      <c r="R220" s="63" t="str">
        <f t="shared" si="132"/>
        <v/>
      </c>
      <c r="S220" s="64" t="str">
        <f t="shared" si="133"/>
        <v/>
      </c>
      <c r="T220" s="63" t="str">
        <f t="shared" si="134"/>
        <v/>
      </c>
      <c r="U220" s="64" t="str">
        <f t="shared" si="135"/>
        <v/>
      </c>
      <c r="V220" s="207" t="str">
        <f>IF($A221="","",IF(AND(MONTH(A220)&gt;3,MONTH(A220)&lt;11),(T220+R220+G220)*Summary!$T$7/(1-Summary!$T$7),(T220+R220+G220)*Summary!$U$7/(1-Summary!$U$7)))</f>
        <v/>
      </c>
      <c r="W220" s="63" t="str">
        <f t="shared" si="136"/>
        <v/>
      </c>
      <c r="X220" s="63" t="str">
        <f t="shared" si="137"/>
        <v/>
      </c>
      <c r="Y220" s="43"/>
      <c r="Z220" s="38" t="str">
        <f t="shared" si="138"/>
        <v/>
      </c>
      <c r="AA220" s="38" t="str">
        <f t="shared" si="138"/>
        <v/>
      </c>
      <c r="AB220" s="38" t="e">
        <f t="shared" si="115"/>
        <v>#VALUE!</v>
      </c>
      <c r="AC220" s="38" t="str">
        <f t="shared" si="138"/>
        <v/>
      </c>
      <c r="AD220" s="38" t="str">
        <f t="shared" si="116"/>
        <v/>
      </c>
      <c r="AE220" s="38" t="e">
        <f t="shared" si="117"/>
        <v>#VALUE!</v>
      </c>
      <c r="AF220" s="238" t="e">
        <f>((Summary!$N$7*(AA220*AD220)*(A220-$D$3))+(Summary!$M$7*Z220*AC220*(DAY(EOMONTH(A220,0))/2)))/(AK220*AB220*AE220)</f>
        <v>#VALUE!</v>
      </c>
      <c r="AG220" s="88" t="str">
        <f>IF($A221="","",Summary!$Q$7)</f>
        <v/>
      </c>
      <c r="AH220" s="88" t="str">
        <f>IF($A221="","",IF(Summary!$R$7="Y",(VLOOKUP($A220,Summary!$AD$6:$AF$9,3)+'Escalating commodity'!C233),'Escalating commodity'!C233))</f>
        <v/>
      </c>
      <c r="AI220" s="88" t="str">
        <f t="shared" si="139"/>
        <v/>
      </c>
      <c r="AJ220" s="236" t="e">
        <f t="shared" si="118"/>
        <v>#VALUE!</v>
      </c>
      <c r="AK220" s="58" t="str">
        <f t="shared" si="140"/>
        <v/>
      </c>
      <c r="AL220" s="26" t="str">
        <f>IF($A221="","",_xll.SPRDOPT(P220,X220,AI220,0,AB220,AE220,AF220,AK220,$AJ$2,0))</f>
        <v/>
      </c>
      <c r="AM220" s="209" t="str">
        <f t="shared" si="119"/>
        <v/>
      </c>
      <c r="AN220" s="89" t="str">
        <f t="shared" si="141"/>
        <v/>
      </c>
      <c r="AO220" s="3" t="str">
        <f t="shared" si="142"/>
        <v/>
      </c>
      <c r="AP220" s="33" t="str">
        <f t="shared" si="143"/>
        <v/>
      </c>
      <c r="AQ220" s="58" t="str">
        <f t="shared" si="120"/>
        <v/>
      </c>
      <c r="AR220" s="38">
        <f>IF(Summary!$H$2=1,VLOOKUP('ANR OK vs ML7'!A220,Curves!$C$17:$AR$273,MATCH('ANR OK vs ML7'!$AR$4,Curves!$C$8:$AQ$8,0)),0.1)</f>
        <v>0.1</v>
      </c>
      <c r="AS220" s="35" t="str">
        <f t="shared" si="121"/>
        <v/>
      </c>
      <c r="AT220" s="3" t="str">
        <f t="shared" si="144"/>
        <v/>
      </c>
      <c r="AU220" s="3" t="str">
        <f t="shared" si="122"/>
        <v/>
      </c>
      <c r="AW220" s="32" t="str">
        <f t="shared" si="145"/>
        <v/>
      </c>
      <c r="AX220" s="32" t="str">
        <f t="shared" si="146"/>
        <v/>
      </c>
      <c r="AY220" s="32" t="str">
        <f t="shared" si="147"/>
        <v/>
      </c>
      <c r="BA220" s="32" t="str">
        <f>IF($A221="","",F220*Summary!$Q$7)</f>
        <v/>
      </c>
    </row>
    <row r="221" spans="1:53" ht="12" customHeight="1">
      <c r="A221" s="67" t="str">
        <f t="shared" si="123"/>
        <v/>
      </c>
      <c r="B221" s="69" t="str">
        <f t="shared" si="148"/>
        <v/>
      </c>
      <c r="C221" s="71"/>
      <c r="D221" s="69" t="str">
        <f t="shared" si="149"/>
        <v/>
      </c>
      <c r="E221" s="70" t="str">
        <f t="shared" si="113"/>
        <v/>
      </c>
      <c r="F221" s="70" t="str">
        <f t="shared" si="114"/>
        <v/>
      </c>
      <c r="G221" s="63" t="str">
        <f t="shared" si="124"/>
        <v/>
      </c>
      <c r="H221" s="64" t="str">
        <f t="shared" si="125"/>
        <v/>
      </c>
      <c r="I221" s="43"/>
      <c r="J221" s="63" t="str">
        <f t="shared" si="126"/>
        <v/>
      </c>
      <c r="K221" s="64" t="str">
        <f t="shared" si="127"/>
        <v/>
      </c>
      <c r="L221" s="63" t="str">
        <f t="shared" si="128"/>
        <v/>
      </c>
      <c r="M221" s="64" t="str">
        <f t="shared" si="129"/>
        <v/>
      </c>
      <c r="N221" s="65"/>
      <c r="O221" s="63" t="str">
        <f t="shared" si="130"/>
        <v/>
      </c>
      <c r="P221" s="63" t="str">
        <f t="shared" si="131"/>
        <v/>
      </c>
      <c r="Q221" s="66"/>
      <c r="R221" s="63" t="str">
        <f t="shared" si="132"/>
        <v/>
      </c>
      <c r="S221" s="64" t="str">
        <f t="shared" si="133"/>
        <v/>
      </c>
      <c r="T221" s="63" t="str">
        <f t="shared" si="134"/>
        <v/>
      </c>
      <c r="U221" s="64" t="str">
        <f t="shared" si="135"/>
        <v/>
      </c>
      <c r="V221" s="207" t="str">
        <f>IF($A222="","",IF(AND(MONTH(A221)&gt;3,MONTH(A221)&lt;11),(T221+R221+G221)*Summary!$T$7/(1-Summary!$T$7),(T221+R221+G221)*Summary!$U$7/(1-Summary!$U$7)))</f>
        <v/>
      </c>
      <c r="W221" s="63" t="str">
        <f t="shared" si="136"/>
        <v/>
      </c>
      <c r="X221" s="63" t="str">
        <f t="shared" si="137"/>
        <v/>
      </c>
      <c r="Y221" s="43"/>
      <c r="Z221" s="38" t="str">
        <f t="shared" si="138"/>
        <v/>
      </c>
      <c r="AA221" s="38" t="str">
        <f t="shared" si="138"/>
        <v/>
      </c>
      <c r="AB221" s="38" t="e">
        <f t="shared" si="115"/>
        <v>#VALUE!</v>
      </c>
      <c r="AC221" s="38" t="str">
        <f t="shared" si="138"/>
        <v/>
      </c>
      <c r="AD221" s="38" t="str">
        <f t="shared" si="116"/>
        <v/>
      </c>
      <c r="AE221" s="38" t="e">
        <f t="shared" si="117"/>
        <v>#VALUE!</v>
      </c>
      <c r="AF221" s="238" t="e">
        <f>((Summary!$N$7*(AA221*AD221)*(A221-$D$3))+(Summary!$M$7*Z221*AC221*(DAY(EOMONTH(A221,0))/2)))/(AK221*AB221*AE221)</f>
        <v>#VALUE!</v>
      </c>
      <c r="AG221" s="88" t="str">
        <f>IF($A222="","",Summary!$Q$7)</f>
        <v/>
      </c>
      <c r="AH221" s="88" t="str">
        <f>IF($A222="","",IF(Summary!$R$7="Y",(VLOOKUP($A221,Summary!$AD$6:$AF$9,3)+'Escalating commodity'!C234),'Escalating commodity'!C234))</f>
        <v/>
      </c>
      <c r="AI221" s="88" t="str">
        <f t="shared" si="139"/>
        <v/>
      </c>
      <c r="AJ221" s="236" t="e">
        <f t="shared" si="118"/>
        <v>#VALUE!</v>
      </c>
      <c r="AK221" s="58" t="str">
        <f t="shared" si="140"/>
        <v/>
      </c>
      <c r="AL221" s="26" t="str">
        <f>IF($A222="","",_xll.SPRDOPT(P221,X221,AI221,0,AB221,AE221,AF221,AK221,$AJ$2,0))</f>
        <v/>
      </c>
      <c r="AM221" s="209" t="str">
        <f t="shared" si="119"/>
        <v/>
      </c>
      <c r="AN221" s="89" t="str">
        <f t="shared" si="141"/>
        <v/>
      </c>
      <c r="AO221" s="3" t="str">
        <f t="shared" si="142"/>
        <v/>
      </c>
      <c r="AP221" s="33" t="str">
        <f t="shared" si="143"/>
        <v/>
      </c>
      <c r="AQ221" s="58" t="str">
        <f t="shared" si="120"/>
        <v/>
      </c>
      <c r="AR221" s="38">
        <f>IF(Summary!$H$2=1,VLOOKUP('ANR OK vs ML7'!A221,Curves!$C$17:$AR$273,MATCH('ANR OK vs ML7'!$AR$4,Curves!$C$8:$AQ$8,0)),0.1)</f>
        <v>0.1</v>
      </c>
      <c r="AS221" s="35" t="str">
        <f t="shared" si="121"/>
        <v/>
      </c>
      <c r="AT221" s="3" t="str">
        <f t="shared" si="144"/>
        <v/>
      </c>
      <c r="AU221" s="3" t="str">
        <f t="shared" si="122"/>
        <v/>
      </c>
      <c r="AW221" s="32" t="str">
        <f t="shared" si="145"/>
        <v/>
      </c>
      <c r="AX221" s="32" t="str">
        <f t="shared" si="146"/>
        <v/>
      </c>
      <c r="AY221" s="32" t="str">
        <f t="shared" si="147"/>
        <v/>
      </c>
      <c r="BA221" s="32" t="str">
        <f>IF($A222="","",F221*Summary!$Q$7)</f>
        <v/>
      </c>
    </row>
    <row r="222" spans="1:53" ht="12" customHeight="1">
      <c r="A222" s="67" t="str">
        <f t="shared" si="123"/>
        <v/>
      </c>
      <c r="B222" s="69" t="str">
        <f t="shared" si="148"/>
        <v/>
      </c>
      <c r="C222" s="71"/>
      <c r="D222" s="69" t="str">
        <f t="shared" si="149"/>
        <v/>
      </c>
      <c r="E222" s="70" t="str">
        <f t="shared" si="113"/>
        <v/>
      </c>
      <c r="F222" s="70" t="str">
        <f t="shared" si="114"/>
        <v/>
      </c>
      <c r="G222" s="63" t="str">
        <f t="shared" si="124"/>
        <v/>
      </c>
      <c r="H222" s="64" t="str">
        <f t="shared" si="125"/>
        <v/>
      </c>
      <c r="I222" s="43"/>
      <c r="J222" s="63" t="str">
        <f t="shared" si="126"/>
        <v/>
      </c>
      <c r="K222" s="64" t="str">
        <f t="shared" si="127"/>
        <v/>
      </c>
      <c r="L222" s="63" t="str">
        <f t="shared" si="128"/>
        <v/>
      </c>
      <c r="M222" s="64" t="str">
        <f t="shared" si="129"/>
        <v/>
      </c>
      <c r="N222" s="65"/>
      <c r="O222" s="63" t="str">
        <f t="shared" si="130"/>
        <v/>
      </c>
      <c r="P222" s="63" t="str">
        <f t="shared" si="131"/>
        <v/>
      </c>
      <c r="Q222" s="66"/>
      <c r="R222" s="63" t="str">
        <f t="shared" si="132"/>
        <v/>
      </c>
      <c r="S222" s="64" t="str">
        <f t="shared" si="133"/>
        <v/>
      </c>
      <c r="T222" s="63" t="str">
        <f t="shared" si="134"/>
        <v/>
      </c>
      <c r="U222" s="64" t="str">
        <f t="shared" si="135"/>
        <v/>
      </c>
      <c r="V222" s="207" t="str">
        <f>IF($A223="","",IF(AND(MONTH(A222)&gt;3,MONTH(A222)&lt;11),(T222+R222+G222)*Summary!$T$7/(1-Summary!$T$7),(T222+R222+G222)*Summary!$U$7/(1-Summary!$U$7)))</f>
        <v/>
      </c>
      <c r="W222" s="63" t="str">
        <f t="shared" si="136"/>
        <v/>
      </c>
      <c r="X222" s="63" t="str">
        <f t="shared" si="137"/>
        <v/>
      </c>
      <c r="Y222" s="43"/>
      <c r="Z222" s="38" t="str">
        <f t="shared" si="138"/>
        <v/>
      </c>
      <c r="AA222" s="38" t="str">
        <f t="shared" si="138"/>
        <v/>
      </c>
      <c r="AB222" s="38" t="e">
        <f t="shared" si="115"/>
        <v>#VALUE!</v>
      </c>
      <c r="AC222" s="38" t="str">
        <f t="shared" si="138"/>
        <v/>
      </c>
      <c r="AD222" s="38" t="str">
        <f t="shared" si="116"/>
        <v/>
      </c>
      <c r="AE222" s="38" t="e">
        <f t="shared" si="117"/>
        <v>#VALUE!</v>
      </c>
      <c r="AF222" s="238" t="e">
        <f>((Summary!$N$7*(AA222*AD222)*(A222-$D$3))+(Summary!$M$7*Z222*AC222*(DAY(EOMONTH(A222,0))/2)))/(AK222*AB222*AE222)</f>
        <v>#VALUE!</v>
      </c>
      <c r="AG222" s="88" t="str">
        <f>IF($A223="","",Summary!$Q$7)</f>
        <v/>
      </c>
      <c r="AH222" s="88" t="str">
        <f>IF($A223="","",IF(Summary!$R$7="Y",(VLOOKUP($A222,Summary!$AD$6:$AF$9,3)+'Escalating commodity'!C235),'Escalating commodity'!C235))</f>
        <v/>
      </c>
      <c r="AI222" s="88" t="str">
        <f t="shared" si="139"/>
        <v/>
      </c>
      <c r="AJ222" s="236" t="e">
        <f t="shared" si="118"/>
        <v>#VALUE!</v>
      </c>
      <c r="AK222" s="58" t="str">
        <f t="shared" si="140"/>
        <v/>
      </c>
      <c r="AL222" s="26" t="str">
        <f>IF($A223="","",_xll.SPRDOPT(P222,X222,AI222,0,AB222,AE222,AF222,AK222,$AJ$2,0))</f>
        <v/>
      </c>
      <c r="AM222" s="209" t="str">
        <f t="shared" si="119"/>
        <v/>
      </c>
      <c r="AN222" s="89" t="str">
        <f t="shared" si="141"/>
        <v/>
      </c>
      <c r="AO222" s="3" t="str">
        <f t="shared" si="142"/>
        <v/>
      </c>
      <c r="AP222" s="33" t="str">
        <f t="shared" si="143"/>
        <v/>
      </c>
      <c r="AQ222" s="58" t="str">
        <f t="shared" si="120"/>
        <v/>
      </c>
      <c r="AR222" s="38">
        <f>IF(Summary!$H$2=1,VLOOKUP('ANR OK vs ML7'!A222,Curves!$C$17:$AR$273,MATCH('ANR OK vs ML7'!$AR$4,Curves!$C$8:$AQ$8,0)),0.1)</f>
        <v>0.1</v>
      </c>
      <c r="AS222" s="35" t="str">
        <f t="shared" si="121"/>
        <v/>
      </c>
      <c r="AT222" s="3" t="str">
        <f t="shared" si="144"/>
        <v/>
      </c>
      <c r="AU222" s="3" t="str">
        <f t="shared" si="122"/>
        <v/>
      </c>
      <c r="AW222" s="32" t="str">
        <f t="shared" si="145"/>
        <v/>
      </c>
      <c r="AX222" s="32" t="str">
        <f t="shared" si="146"/>
        <v/>
      </c>
      <c r="AY222" s="32" t="str">
        <f t="shared" si="147"/>
        <v/>
      </c>
      <c r="BA222" s="32" t="str">
        <f>IF($A223="","",F222*Summary!$Q$7)</f>
        <v/>
      </c>
    </row>
    <row r="223" spans="1:53" ht="12" customHeight="1">
      <c r="A223" s="67" t="str">
        <f t="shared" si="123"/>
        <v/>
      </c>
      <c r="B223" s="69" t="str">
        <f t="shared" si="148"/>
        <v/>
      </c>
      <c r="C223" s="71"/>
      <c r="D223" s="69" t="str">
        <f t="shared" si="149"/>
        <v/>
      </c>
      <c r="E223" s="70" t="str">
        <f t="shared" si="113"/>
        <v/>
      </c>
      <c r="F223" s="70" t="str">
        <f t="shared" si="114"/>
        <v/>
      </c>
      <c r="G223" s="63" t="str">
        <f t="shared" si="124"/>
        <v/>
      </c>
      <c r="H223" s="64" t="str">
        <f t="shared" si="125"/>
        <v/>
      </c>
      <c r="I223" s="43"/>
      <c r="J223" s="63" t="str">
        <f t="shared" si="126"/>
        <v/>
      </c>
      <c r="K223" s="64" t="str">
        <f t="shared" si="127"/>
        <v/>
      </c>
      <c r="L223" s="63" t="str">
        <f t="shared" si="128"/>
        <v/>
      </c>
      <c r="M223" s="64" t="str">
        <f t="shared" si="129"/>
        <v/>
      </c>
      <c r="N223" s="65"/>
      <c r="O223" s="63" t="str">
        <f t="shared" si="130"/>
        <v/>
      </c>
      <c r="P223" s="63" t="str">
        <f t="shared" si="131"/>
        <v/>
      </c>
      <c r="Q223" s="66"/>
      <c r="R223" s="63" t="str">
        <f t="shared" si="132"/>
        <v/>
      </c>
      <c r="S223" s="64" t="str">
        <f t="shared" si="133"/>
        <v/>
      </c>
      <c r="T223" s="63" t="str">
        <f t="shared" si="134"/>
        <v/>
      </c>
      <c r="U223" s="64" t="str">
        <f t="shared" si="135"/>
        <v/>
      </c>
      <c r="V223" s="207" t="str">
        <f>IF($A224="","",IF(AND(MONTH(A223)&gt;3,MONTH(A223)&lt;11),(T223+R223+G223)*Summary!$T$7/(1-Summary!$T$7),(T223+R223+G223)*Summary!$U$7/(1-Summary!$U$7)))</f>
        <v/>
      </c>
      <c r="W223" s="63" t="str">
        <f t="shared" si="136"/>
        <v/>
      </c>
      <c r="X223" s="63" t="str">
        <f t="shared" si="137"/>
        <v/>
      </c>
      <c r="Y223" s="43"/>
      <c r="Z223" s="38" t="str">
        <f t="shared" si="138"/>
        <v/>
      </c>
      <c r="AA223" s="38" t="str">
        <f t="shared" si="138"/>
        <v/>
      </c>
      <c r="AB223" s="38" t="e">
        <f t="shared" si="115"/>
        <v>#VALUE!</v>
      </c>
      <c r="AC223" s="38" t="str">
        <f t="shared" si="138"/>
        <v/>
      </c>
      <c r="AD223" s="38" t="str">
        <f t="shared" si="116"/>
        <v/>
      </c>
      <c r="AE223" s="38" t="e">
        <f t="shared" si="117"/>
        <v>#VALUE!</v>
      </c>
      <c r="AF223" s="238" t="e">
        <f>((Summary!$N$7*(AA223*AD223)*(A223-$D$3))+(Summary!$M$7*Z223*AC223*(DAY(EOMONTH(A223,0))/2)))/(AK223*AB223*AE223)</f>
        <v>#VALUE!</v>
      </c>
      <c r="AG223" s="88" t="str">
        <f>IF($A224="","",Summary!$Q$7)</f>
        <v/>
      </c>
      <c r="AH223" s="88" t="str">
        <f>IF($A224="","",IF(Summary!$R$7="Y",(VLOOKUP($A223,Summary!$AD$6:$AF$9,3)+'Escalating commodity'!C236),'Escalating commodity'!C236))</f>
        <v/>
      </c>
      <c r="AI223" s="88" t="str">
        <f t="shared" si="139"/>
        <v/>
      </c>
      <c r="AJ223" s="236" t="e">
        <f t="shared" si="118"/>
        <v>#VALUE!</v>
      </c>
      <c r="AK223" s="58" t="str">
        <f t="shared" si="140"/>
        <v/>
      </c>
      <c r="AL223" s="26" t="str">
        <f>IF($A224="","",_xll.SPRDOPT(P223,X223,AI223,0,AB223,AE223,AF223,AK223,$AJ$2,0))</f>
        <v/>
      </c>
      <c r="AM223" s="209" t="str">
        <f t="shared" si="119"/>
        <v/>
      </c>
      <c r="AN223" s="89" t="str">
        <f t="shared" si="141"/>
        <v/>
      </c>
      <c r="AO223" s="3" t="str">
        <f t="shared" si="142"/>
        <v/>
      </c>
      <c r="AP223" s="33" t="str">
        <f t="shared" si="143"/>
        <v/>
      </c>
      <c r="AQ223" s="58" t="str">
        <f t="shared" si="120"/>
        <v/>
      </c>
      <c r="AR223" s="38">
        <f>IF(Summary!$H$2=1,VLOOKUP('ANR OK vs ML7'!A223,Curves!$C$17:$AR$273,MATCH('ANR OK vs ML7'!$AR$4,Curves!$C$8:$AQ$8,0)),0.1)</f>
        <v>0.1</v>
      </c>
      <c r="AS223" s="35" t="str">
        <f t="shared" si="121"/>
        <v/>
      </c>
      <c r="AT223" s="3" t="str">
        <f t="shared" si="144"/>
        <v/>
      </c>
      <c r="AU223" s="3" t="str">
        <f t="shared" si="122"/>
        <v/>
      </c>
      <c r="AW223" s="32" t="str">
        <f t="shared" si="145"/>
        <v/>
      </c>
      <c r="AX223" s="32" t="str">
        <f t="shared" si="146"/>
        <v/>
      </c>
      <c r="AY223" s="32" t="str">
        <f t="shared" si="147"/>
        <v/>
      </c>
      <c r="BA223" s="32" t="str">
        <f>IF($A224="","",F223*Summary!$Q$7)</f>
        <v/>
      </c>
    </row>
    <row r="224" spans="1:53" ht="12" customHeight="1">
      <c r="A224" s="67" t="str">
        <f t="shared" si="123"/>
        <v/>
      </c>
      <c r="B224" s="69" t="str">
        <f t="shared" si="148"/>
        <v/>
      </c>
      <c r="C224" s="71"/>
      <c r="D224" s="69" t="str">
        <f t="shared" si="149"/>
        <v/>
      </c>
      <c r="E224" s="70" t="str">
        <f t="shared" si="113"/>
        <v/>
      </c>
      <c r="F224" s="70" t="str">
        <f t="shared" si="114"/>
        <v/>
      </c>
      <c r="G224" s="63" t="str">
        <f t="shared" si="124"/>
        <v/>
      </c>
      <c r="H224" s="64" t="str">
        <f t="shared" si="125"/>
        <v/>
      </c>
      <c r="I224" s="43"/>
      <c r="J224" s="63" t="str">
        <f t="shared" si="126"/>
        <v/>
      </c>
      <c r="K224" s="64" t="str">
        <f t="shared" si="127"/>
        <v/>
      </c>
      <c r="L224" s="63" t="str">
        <f t="shared" si="128"/>
        <v/>
      </c>
      <c r="M224" s="64" t="str">
        <f t="shared" si="129"/>
        <v/>
      </c>
      <c r="N224" s="65"/>
      <c r="O224" s="63" t="str">
        <f t="shared" si="130"/>
        <v/>
      </c>
      <c r="P224" s="63" t="str">
        <f t="shared" si="131"/>
        <v/>
      </c>
      <c r="Q224" s="66"/>
      <c r="R224" s="63" t="str">
        <f t="shared" si="132"/>
        <v/>
      </c>
      <c r="S224" s="64" t="str">
        <f t="shared" si="133"/>
        <v/>
      </c>
      <c r="T224" s="63" t="str">
        <f t="shared" si="134"/>
        <v/>
      </c>
      <c r="U224" s="64" t="str">
        <f t="shared" si="135"/>
        <v/>
      </c>
      <c r="V224" s="207" t="str">
        <f>IF($A225="","",IF(AND(MONTH(A224)&gt;3,MONTH(A224)&lt;11),(T224+R224+G224)*Summary!$T$7/(1-Summary!$T$7),(T224+R224+G224)*Summary!$U$7/(1-Summary!$U$7)))</f>
        <v/>
      </c>
      <c r="W224" s="63" t="str">
        <f t="shared" si="136"/>
        <v/>
      </c>
      <c r="X224" s="63" t="str">
        <f t="shared" si="137"/>
        <v/>
      </c>
      <c r="Y224" s="43"/>
      <c r="Z224" s="38" t="str">
        <f t="shared" si="138"/>
        <v/>
      </c>
      <c r="AA224" s="38" t="str">
        <f t="shared" si="138"/>
        <v/>
      </c>
      <c r="AB224" s="38" t="e">
        <f t="shared" si="115"/>
        <v>#VALUE!</v>
      </c>
      <c r="AC224" s="38" t="str">
        <f t="shared" si="138"/>
        <v/>
      </c>
      <c r="AD224" s="38" t="str">
        <f t="shared" si="116"/>
        <v/>
      </c>
      <c r="AE224" s="38" t="e">
        <f t="shared" si="117"/>
        <v>#VALUE!</v>
      </c>
      <c r="AF224" s="238" t="e">
        <f>((Summary!$N$7*(AA224*AD224)*(A224-$D$3))+(Summary!$M$7*Z224*AC224*(DAY(EOMONTH(A224,0))/2)))/(AK224*AB224*AE224)</f>
        <v>#VALUE!</v>
      </c>
      <c r="AG224" s="88" t="str">
        <f>IF($A225="","",Summary!$Q$7)</f>
        <v/>
      </c>
      <c r="AH224" s="88" t="str">
        <f>IF($A225="","",IF(Summary!$R$7="Y",(VLOOKUP($A224,Summary!$AD$6:$AF$9,3)+'Escalating commodity'!C237),'Escalating commodity'!C237))</f>
        <v/>
      </c>
      <c r="AI224" s="88" t="str">
        <f t="shared" si="139"/>
        <v/>
      </c>
      <c r="AJ224" s="236" t="e">
        <f t="shared" si="118"/>
        <v>#VALUE!</v>
      </c>
      <c r="AK224" s="58" t="str">
        <f t="shared" si="140"/>
        <v/>
      </c>
      <c r="AL224" s="26" t="str">
        <f>IF($A225="","",_xll.SPRDOPT(P224,X224,AI224,0,AB224,AE224,AF224,AK224,$AJ$2,0))</f>
        <v/>
      </c>
      <c r="AM224" s="209" t="str">
        <f t="shared" si="119"/>
        <v/>
      </c>
      <c r="AN224" s="89" t="str">
        <f t="shared" si="141"/>
        <v/>
      </c>
      <c r="AO224" s="3" t="str">
        <f t="shared" si="142"/>
        <v/>
      </c>
      <c r="AP224" s="33" t="str">
        <f t="shared" si="143"/>
        <v/>
      </c>
      <c r="AQ224" s="58" t="str">
        <f t="shared" si="120"/>
        <v/>
      </c>
      <c r="AR224" s="38">
        <f>IF(Summary!$H$2=1,VLOOKUP('ANR OK vs ML7'!A224,Curves!$C$17:$AR$273,MATCH('ANR OK vs ML7'!$AR$4,Curves!$C$8:$AQ$8,0)),0.1)</f>
        <v>0.1</v>
      </c>
      <c r="AS224" s="35" t="str">
        <f t="shared" si="121"/>
        <v/>
      </c>
      <c r="AT224" s="3" t="str">
        <f t="shared" si="144"/>
        <v/>
      </c>
      <c r="AU224" s="3" t="str">
        <f t="shared" si="122"/>
        <v/>
      </c>
      <c r="AW224" s="32" t="str">
        <f t="shared" si="145"/>
        <v/>
      </c>
      <c r="AX224" s="32" t="str">
        <f t="shared" si="146"/>
        <v/>
      </c>
      <c r="AY224" s="32" t="str">
        <f t="shared" si="147"/>
        <v/>
      </c>
      <c r="BA224" s="32" t="str">
        <f>IF($A225="","",F224*Summary!$Q$7)</f>
        <v/>
      </c>
    </row>
    <row r="225" spans="1:53" ht="12" customHeight="1">
      <c r="A225" s="67" t="str">
        <f t="shared" si="123"/>
        <v/>
      </c>
      <c r="B225" s="69" t="str">
        <f t="shared" si="148"/>
        <v/>
      </c>
      <c r="C225" s="71"/>
      <c r="D225" s="69" t="str">
        <f t="shared" si="149"/>
        <v/>
      </c>
      <c r="E225" s="70" t="str">
        <f t="shared" si="113"/>
        <v/>
      </c>
      <c r="F225" s="70" t="str">
        <f t="shared" si="114"/>
        <v/>
      </c>
      <c r="G225" s="63" t="str">
        <f t="shared" si="124"/>
        <v/>
      </c>
      <c r="H225" s="64" t="str">
        <f t="shared" si="125"/>
        <v/>
      </c>
      <c r="I225" s="43"/>
      <c r="J225" s="63" t="str">
        <f t="shared" si="126"/>
        <v/>
      </c>
      <c r="K225" s="64" t="str">
        <f t="shared" si="127"/>
        <v/>
      </c>
      <c r="L225" s="63" t="str">
        <f t="shared" si="128"/>
        <v/>
      </c>
      <c r="M225" s="64" t="str">
        <f t="shared" si="129"/>
        <v/>
      </c>
      <c r="N225" s="65"/>
      <c r="O225" s="63" t="str">
        <f t="shared" si="130"/>
        <v/>
      </c>
      <c r="P225" s="63" t="str">
        <f t="shared" si="131"/>
        <v/>
      </c>
      <c r="Q225" s="66"/>
      <c r="R225" s="63" t="str">
        <f t="shared" si="132"/>
        <v/>
      </c>
      <c r="S225" s="64" t="str">
        <f t="shared" si="133"/>
        <v/>
      </c>
      <c r="T225" s="63" t="str">
        <f t="shared" si="134"/>
        <v/>
      </c>
      <c r="U225" s="64" t="str">
        <f t="shared" si="135"/>
        <v/>
      </c>
      <c r="V225" s="207" t="str">
        <f>IF($A226="","",IF(AND(MONTH(A225)&gt;3,MONTH(A225)&lt;11),(T225+R225+G225)*Summary!$T$7/(1-Summary!$T$7),(T225+R225+G225)*Summary!$U$7/(1-Summary!$U$7)))</f>
        <v/>
      </c>
      <c r="W225" s="63" t="str">
        <f t="shared" si="136"/>
        <v/>
      </c>
      <c r="X225" s="63" t="str">
        <f t="shared" si="137"/>
        <v/>
      </c>
      <c r="Y225" s="43"/>
      <c r="Z225" s="38" t="str">
        <f t="shared" si="138"/>
        <v/>
      </c>
      <c r="AA225" s="38" t="str">
        <f t="shared" si="138"/>
        <v/>
      </c>
      <c r="AB225" s="38" t="e">
        <f t="shared" si="115"/>
        <v>#VALUE!</v>
      </c>
      <c r="AC225" s="38" t="str">
        <f t="shared" si="138"/>
        <v/>
      </c>
      <c r="AD225" s="38" t="str">
        <f t="shared" si="116"/>
        <v/>
      </c>
      <c r="AE225" s="38" t="e">
        <f t="shared" si="117"/>
        <v>#VALUE!</v>
      </c>
      <c r="AF225" s="238" t="e">
        <f>((Summary!$N$7*(AA225*AD225)*(A225-$D$3))+(Summary!$M$7*Z225*AC225*(DAY(EOMONTH(A225,0))/2)))/(AK225*AB225*AE225)</f>
        <v>#VALUE!</v>
      </c>
      <c r="AG225" s="88" t="str">
        <f>IF($A226="","",Summary!$Q$7)</f>
        <v/>
      </c>
      <c r="AH225" s="88" t="str">
        <f>IF($A226="","",IF(Summary!$R$7="Y",(VLOOKUP($A225,Summary!$AD$6:$AF$9,3)+'Escalating commodity'!C238),'Escalating commodity'!C238))</f>
        <v/>
      </c>
      <c r="AI225" s="88" t="str">
        <f t="shared" si="139"/>
        <v/>
      </c>
      <c r="AJ225" s="236" t="e">
        <f t="shared" si="118"/>
        <v>#VALUE!</v>
      </c>
      <c r="AK225" s="58" t="str">
        <f t="shared" si="140"/>
        <v/>
      </c>
      <c r="AL225" s="26" t="str">
        <f>IF($A226="","",_xll.SPRDOPT(P225,X225,AI225,0,AB225,AE225,AF225,AK225,$AJ$2,0))</f>
        <v/>
      </c>
      <c r="AM225" s="209" t="str">
        <f t="shared" si="119"/>
        <v/>
      </c>
      <c r="AN225" s="89" t="str">
        <f t="shared" si="141"/>
        <v/>
      </c>
      <c r="AO225" s="3" t="str">
        <f t="shared" si="142"/>
        <v/>
      </c>
      <c r="AP225" s="33" t="str">
        <f t="shared" si="143"/>
        <v/>
      </c>
      <c r="AQ225" s="58" t="str">
        <f t="shared" si="120"/>
        <v/>
      </c>
      <c r="AR225" s="38">
        <f>IF(Summary!$H$2=1,VLOOKUP('ANR OK vs ML7'!A225,Curves!$C$17:$AR$273,MATCH('ANR OK vs ML7'!$AR$4,Curves!$C$8:$AQ$8,0)),0.1)</f>
        <v>0.1</v>
      </c>
      <c r="AS225" s="35" t="str">
        <f t="shared" si="121"/>
        <v/>
      </c>
      <c r="AT225" s="3" t="str">
        <f t="shared" si="144"/>
        <v/>
      </c>
      <c r="AU225" s="3" t="str">
        <f t="shared" si="122"/>
        <v/>
      </c>
      <c r="AW225" s="32" t="str">
        <f t="shared" si="145"/>
        <v/>
      </c>
      <c r="AX225" s="32" t="str">
        <f t="shared" si="146"/>
        <v/>
      </c>
      <c r="AY225" s="32" t="str">
        <f t="shared" si="147"/>
        <v/>
      </c>
      <c r="BA225" s="32" t="str">
        <f>IF($A226="","",F225*Summary!$Q$7)</f>
        <v/>
      </c>
    </row>
    <row r="226" spans="1:53" ht="12" customHeight="1">
      <c r="A226" s="67" t="str">
        <f t="shared" si="123"/>
        <v/>
      </c>
      <c r="B226" s="69" t="str">
        <f t="shared" si="148"/>
        <v/>
      </c>
      <c r="C226" s="71"/>
      <c r="D226" s="69" t="str">
        <f t="shared" si="149"/>
        <v/>
      </c>
      <c r="E226" s="70" t="str">
        <f t="shared" si="113"/>
        <v/>
      </c>
      <c r="F226" s="70" t="str">
        <f t="shared" si="114"/>
        <v/>
      </c>
      <c r="G226" s="63" t="str">
        <f t="shared" si="124"/>
        <v/>
      </c>
      <c r="H226" s="64" t="str">
        <f t="shared" si="125"/>
        <v/>
      </c>
      <c r="I226" s="43"/>
      <c r="J226" s="63" t="str">
        <f t="shared" si="126"/>
        <v/>
      </c>
      <c r="K226" s="64" t="str">
        <f t="shared" si="127"/>
        <v/>
      </c>
      <c r="L226" s="63" t="str">
        <f t="shared" si="128"/>
        <v/>
      </c>
      <c r="M226" s="64" t="str">
        <f t="shared" si="129"/>
        <v/>
      </c>
      <c r="N226" s="65"/>
      <c r="O226" s="63" t="str">
        <f t="shared" si="130"/>
        <v/>
      </c>
      <c r="P226" s="63" t="str">
        <f t="shared" si="131"/>
        <v/>
      </c>
      <c r="Q226" s="66"/>
      <c r="R226" s="63" t="str">
        <f t="shared" si="132"/>
        <v/>
      </c>
      <c r="S226" s="64" t="str">
        <f t="shared" si="133"/>
        <v/>
      </c>
      <c r="T226" s="63" t="str">
        <f t="shared" si="134"/>
        <v/>
      </c>
      <c r="U226" s="64" t="str">
        <f t="shared" si="135"/>
        <v/>
      </c>
      <c r="V226" s="207" t="str">
        <f>IF($A227="","",IF(AND(MONTH(A226)&gt;3,MONTH(A226)&lt;11),(T226+R226+G226)*Summary!$T$7/(1-Summary!$T$7),(T226+R226+G226)*Summary!$U$7/(1-Summary!$U$7)))</f>
        <v/>
      </c>
      <c r="W226" s="63" t="str">
        <f t="shared" si="136"/>
        <v/>
      </c>
      <c r="X226" s="63" t="str">
        <f t="shared" si="137"/>
        <v/>
      </c>
      <c r="Y226" s="43"/>
      <c r="Z226" s="38" t="str">
        <f t="shared" si="138"/>
        <v/>
      </c>
      <c r="AA226" s="38" t="str">
        <f t="shared" si="138"/>
        <v/>
      </c>
      <c r="AB226" s="38" t="e">
        <f t="shared" si="115"/>
        <v>#VALUE!</v>
      </c>
      <c r="AC226" s="38" t="str">
        <f t="shared" si="138"/>
        <v/>
      </c>
      <c r="AD226" s="38" t="str">
        <f t="shared" si="116"/>
        <v/>
      </c>
      <c r="AE226" s="38" t="e">
        <f t="shared" si="117"/>
        <v>#VALUE!</v>
      </c>
      <c r="AF226" s="238" t="e">
        <f>((Summary!$N$7*(AA226*AD226)*(A226-$D$3))+(Summary!$M$7*Z226*AC226*(DAY(EOMONTH(A226,0))/2)))/(AK226*AB226*AE226)</f>
        <v>#VALUE!</v>
      </c>
      <c r="AG226" s="88" t="str">
        <f>IF($A227="","",Summary!$Q$7)</f>
        <v/>
      </c>
      <c r="AH226" s="88" t="str">
        <f>IF($A227="","",IF(Summary!$R$7="Y",(VLOOKUP($A226,Summary!$AD$6:$AF$9,3)+'Escalating commodity'!C239),'Escalating commodity'!C239))</f>
        <v/>
      </c>
      <c r="AI226" s="88" t="str">
        <f t="shared" si="139"/>
        <v/>
      </c>
      <c r="AJ226" s="236" t="e">
        <f t="shared" si="118"/>
        <v>#VALUE!</v>
      </c>
      <c r="AK226" s="58" t="str">
        <f t="shared" si="140"/>
        <v/>
      </c>
      <c r="AL226" s="26" t="str">
        <f>IF($A227="","",_xll.SPRDOPT(P226,X226,AI226,0,AB226,AE226,AF226,AK226,$AJ$2,0))</f>
        <v/>
      </c>
      <c r="AM226" s="209" t="str">
        <f t="shared" si="119"/>
        <v/>
      </c>
      <c r="AN226" s="89" t="str">
        <f t="shared" si="141"/>
        <v/>
      </c>
      <c r="AO226" s="3" t="str">
        <f t="shared" si="142"/>
        <v/>
      </c>
      <c r="AP226" s="33" t="str">
        <f t="shared" si="143"/>
        <v/>
      </c>
      <c r="AQ226" s="58" t="str">
        <f t="shared" si="120"/>
        <v/>
      </c>
      <c r="AR226" s="38">
        <f>IF(Summary!$H$2=1,VLOOKUP('ANR OK vs ML7'!A226,Curves!$C$17:$AR$273,MATCH('ANR OK vs ML7'!$AR$4,Curves!$C$8:$AQ$8,0)),0.1)</f>
        <v>0.1</v>
      </c>
      <c r="AS226" s="35" t="str">
        <f t="shared" si="121"/>
        <v/>
      </c>
      <c r="AT226" s="3" t="str">
        <f t="shared" si="144"/>
        <v/>
      </c>
      <c r="AU226" s="3" t="str">
        <f t="shared" si="122"/>
        <v/>
      </c>
      <c r="AW226" s="32" t="str">
        <f t="shared" si="145"/>
        <v/>
      </c>
      <c r="AX226" s="32" t="str">
        <f t="shared" si="146"/>
        <v/>
      </c>
      <c r="AY226" s="32" t="str">
        <f t="shared" si="147"/>
        <v/>
      </c>
      <c r="BA226" s="32" t="str">
        <f>IF($A227="","",F226*Summary!$Q$7)</f>
        <v/>
      </c>
    </row>
    <row r="227" spans="1:53" ht="12" customHeight="1">
      <c r="A227" s="67" t="str">
        <f t="shared" si="123"/>
        <v/>
      </c>
      <c r="B227" s="69" t="str">
        <f t="shared" si="148"/>
        <v/>
      </c>
      <c r="C227" s="71"/>
      <c r="D227" s="69" t="str">
        <f t="shared" si="149"/>
        <v/>
      </c>
      <c r="E227" s="70" t="str">
        <f t="shared" si="113"/>
        <v/>
      </c>
      <c r="F227" s="70" t="str">
        <f t="shared" si="114"/>
        <v/>
      </c>
      <c r="G227" s="63" t="str">
        <f t="shared" si="124"/>
        <v/>
      </c>
      <c r="H227" s="64" t="str">
        <f t="shared" si="125"/>
        <v/>
      </c>
      <c r="I227" s="43"/>
      <c r="J227" s="63" t="str">
        <f t="shared" si="126"/>
        <v/>
      </c>
      <c r="K227" s="64" t="str">
        <f t="shared" si="127"/>
        <v/>
      </c>
      <c r="L227" s="63" t="str">
        <f t="shared" si="128"/>
        <v/>
      </c>
      <c r="M227" s="64" t="str">
        <f t="shared" si="129"/>
        <v/>
      </c>
      <c r="N227" s="65"/>
      <c r="O227" s="63" t="str">
        <f t="shared" si="130"/>
        <v/>
      </c>
      <c r="P227" s="63" t="str">
        <f t="shared" si="131"/>
        <v/>
      </c>
      <c r="Q227" s="66"/>
      <c r="R227" s="63" t="str">
        <f t="shared" si="132"/>
        <v/>
      </c>
      <c r="S227" s="64" t="str">
        <f t="shared" si="133"/>
        <v/>
      </c>
      <c r="T227" s="63" t="str">
        <f t="shared" si="134"/>
        <v/>
      </c>
      <c r="U227" s="64" t="str">
        <f t="shared" si="135"/>
        <v/>
      </c>
      <c r="V227" s="207" t="str">
        <f>IF($A228="","",IF(AND(MONTH(A227)&gt;3,MONTH(A227)&lt;11),(T227+R227+G227)*Summary!$T$7/(1-Summary!$T$7),(T227+R227+G227)*Summary!$U$7/(1-Summary!$U$7)))</f>
        <v/>
      </c>
      <c r="W227" s="63" t="str">
        <f t="shared" si="136"/>
        <v/>
      </c>
      <c r="X227" s="63" t="str">
        <f t="shared" si="137"/>
        <v/>
      </c>
      <c r="Y227" s="43"/>
      <c r="Z227" s="38" t="str">
        <f t="shared" si="138"/>
        <v/>
      </c>
      <c r="AA227" s="38" t="str">
        <f t="shared" si="138"/>
        <v/>
      </c>
      <c r="AB227" s="38" t="e">
        <f t="shared" si="115"/>
        <v>#VALUE!</v>
      </c>
      <c r="AC227" s="38" t="str">
        <f t="shared" si="138"/>
        <v/>
      </c>
      <c r="AD227" s="38" t="str">
        <f t="shared" si="116"/>
        <v/>
      </c>
      <c r="AE227" s="38" t="e">
        <f t="shared" si="117"/>
        <v>#VALUE!</v>
      </c>
      <c r="AF227" s="238" t="e">
        <f>((Summary!$N$7*(AA227*AD227)*(A227-$D$3))+(Summary!$M$7*Z227*AC227*(DAY(EOMONTH(A227,0))/2)))/(AK227*AB227*AE227)</f>
        <v>#VALUE!</v>
      </c>
      <c r="AG227" s="88" t="str">
        <f>IF($A228="","",Summary!$Q$7)</f>
        <v/>
      </c>
      <c r="AH227" s="88" t="str">
        <f>IF($A228="","",IF(Summary!$R$7="Y",(VLOOKUP($A227,Summary!$AD$6:$AF$9,3)+'Escalating commodity'!C240),'Escalating commodity'!C240))</f>
        <v/>
      </c>
      <c r="AI227" s="88" t="str">
        <f t="shared" si="139"/>
        <v/>
      </c>
      <c r="AJ227" s="236" t="e">
        <f t="shared" si="118"/>
        <v>#VALUE!</v>
      </c>
      <c r="AK227" s="58" t="str">
        <f t="shared" si="140"/>
        <v/>
      </c>
      <c r="AL227" s="26" t="str">
        <f>IF($A228="","",_xll.SPRDOPT(P227,X227,AI227,0,AB227,AE227,AF227,AK227,$AJ$2,0))</f>
        <v/>
      </c>
      <c r="AM227" s="209" t="str">
        <f t="shared" si="119"/>
        <v/>
      </c>
      <c r="AN227" s="89" t="str">
        <f t="shared" si="141"/>
        <v/>
      </c>
      <c r="AO227" s="3" t="str">
        <f t="shared" si="142"/>
        <v/>
      </c>
      <c r="AP227" s="33" t="str">
        <f t="shared" si="143"/>
        <v/>
      </c>
      <c r="AQ227" s="58" t="str">
        <f t="shared" si="120"/>
        <v/>
      </c>
      <c r="AR227" s="38">
        <f>IF(Summary!$H$2=1,VLOOKUP('ANR OK vs ML7'!A227,Curves!$C$17:$AR$273,MATCH('ANR OK vs ML7'!$AR$4,Curves!$C$8:$AQ$8,0)),0.1)</f>
        <v>0.1</v>
      </c>
      <c r="AS227" s="35" t="str">
        <f t="shared" si="121"/>
        <v/>
      </c>
      <c r="AT227" s="3" t="str">
        <f t="shared" si="144"/>
        <v/>
      </c>
      <c r="AU227" s="3" t="str">
        <f t="shared" si="122"/>
        <v/>
      </c>
      <c r="AW227" s="32" t="str">
        <f t="shared" si="145"/>
        <v/>
      </c>
      <c r="AX227" s="32" t="str">
        <f t="shared" si="146"/>
        <v/>
      </c>
      <c r="AY227" s="32" t="str">
        <f t="shared" si="147"/>
        <v/>
      </c>
      <c r="BA227" s="32" t="str">
        <f>IF($A228="","",F227*Summary!$Q$7)</f>
        <v/>
      </c>
    </row>
    <row r="228" spans="1:53" ht="12" customHeight="1">
      <c r="A228" s="67" t="str">
        <f t="shared" si="123"/>
        <v/>
      </c>
      <c r="B228" s="69" t="str">
        <f t="shared" si="148"/>
        <v/>
      </c>
      <c r="C228" s="71"/>
      <c r="D228" s="69" t="str">
        <f t="shared" si="149"/>
        <v/>
      </c>
      <c r="E228" s="70" t="str">
        <f t="shared" si="113"/>
        <v/>
      </c>
      <c r="F228" s="70" t="str">
        <f t="shared" si="114"/>
        <v/>
      </c>
      <c r="G228" s="63" t="str">
        <f t="shared" si="124"/>
        <v/>
      </c>
      <c r="H228" s="64" t="str">
        <f t="shared" si="125"/>
        <v/>
      </c>
      <c r="I228" s="43"/>
      <c r="J228" s="63" t="str">
        <f t="shared" si="126"/>
        <v/>
      </c>
      <c r="K228" s="64" t="str">
        <f t="shared" si="127"/>
        <v/>
      </c>
      <c r="L228" s="63" t="str">
        <f t="shared" si="128"/>
        <v/>
      </c>
      <c r="M228" s="64" t="str">
        <f t="shared" si="129"/>
        <v/>
      </c>
      <c r="N228" s="65"/>
      <c r="O228" s="63" t="str">
        <f t="shared" si="130"/>
        <v/>
      </c>
      <c r="P228" s="63" t="str">
        <f t="shared" si="131"/>
        <v/>
      </c>
      <c r="Q228" s="66"/>
      <c r="R228" s="63" t="str">
        <f t="shared" si="132"/>
        <v/>
      </c>
      <c r="S228" s="64" t="str">
        <f t="shared" si="133"/>
        <v/>
      </c>
      <c r="T228" s="63" t="str">
        <f t="shared" si="134"/>
        <v/>
      </c>
      <c r="U228" s="64" t="str">
        <f t="shared" si="135"/>
        <v/>
      </c>
      <c r="V228" s="207" t="str">
        <f>IF($A229="","",IF(AND(MONTH(A228)&gt;3,MONTH(A228)&lt;11),(T228+R228+G228)*Summary!$T$7/(1-Summary!$T$7),(T228+R228+G228)*Summary!$U$7/(1-Summary!$U$7)))</f>
        <v/>
      </c>
      <c r="W228" s="63" t="str">
        <f t="shared" si="136"/>
        <v/>
      </c>
      <c r="X228" s="63" t="str">
        <f t="shared" si="137"/>
        <v/>
      </c>
      <c r="Y228" s="43"/>
      <c r="Z228" s="38" t="str">
        <f t="shared" si="138"/>
        <v/>
      </c>
      <c r="AA228" s="38" t="str">
        <f t="shared" si="138"/>
        <v/>
      </c>
      <c r="AB228" s="38" t="e">
        <f t="shared" si="115"/>
        <v>#VALUE!</v>
      </c>
      <c r="AC228" s="38" t="str">
        <f t="shared" si="138"/>
        <v/>
      </c>
      <c r="AD228" s="38" t="str">
        <f t="shared" si="116"/>
        <v/>
      </c>
      <c r="AE228" s="38" t="e">
        <f t="shared" si="117"/>
        <v>#VALUE!</v>
      </c>
      <c r="AF228" s="238" t="e">
        <f>((Summary!$N$7*(AA228*AD228)*(A228-$D$3))+(Summary!$M$7*Z228*AC228*(DAY(EOMONTH(A228,0))/2)))/(AK228*AB228*AE228)</f>
        <v>#VALUE!</v>
      </c>
      <c r="AG228" s="88" t="str">
        <f>IF($A229="","",Summary!$Q$7)</f>
        <v/>
      </c>
      <c r="AH228" s="88" t="str">
        <f>IF($A229="","",IF(Summary!$R$7="Y",(VLOOKUP($A228,Summary!$AD$6:$AF$9,3)+'Escalating commodity'!C241),'Escalating commodity'!C241))</f>
        <v/>
      </c>
      <c r="AI228" s="88" t="str">
        <f t="shared" si="139"/>
        <v/>
      </c>
      <c r="AJ228" s="236" t="e">
        <f t="shared" si="118"/>
        <v>#VALUE!</v>
      </c>
      <c r="AK228" s="58" t="str">
        <f t="shared" si="140"/>
        <v/>
      </c>
      <c r="AL228" s="26" t="str">
        <f>IF($A229="","",_xll.SPRDOPT(P228,X228,AI228,0,AB228,AE228,AF228,AK228,$AJ$2,0))</f>
        <v/>
      </c>
      <c r="AM228" s="209" t="str">
        <f t="shared" si="119"/>
        <v/>
      </c>
      <c r="AN228" s="89" t="str">
        <f t="shared" si="141"/>
        <v/>
      </c>
      <c r="AO228" s="3" t="str">
        <f t="shared" si="142"/>
        <v/>
      </c>
      <c r="AP228" s="33" t="str">
        <f t="shared" si="143"/>
        <v/>
      </c>
      <c r="AQ228" s="58" t="str">
        <f t="shared" si="120"/>
        <v/>
      </c>
      <c r="AR228" s="38">
        <f>IF(Summary!$H$2=1,VLOOKUP('ANR OK vs ML7'!A228,Curves!$C$17:$AR$273,MATCH('ANR OK vs ML7'!$AR$4,Curves!$C$8:$AQ$8,0)),0.1)</f>
        <v>0.1</v>
      </c>
      <c r="AS228" s="35" t="str">
        <f t="shared" si="121"/>
        <v/>
      </c>
      <c r="AT228" s="3" t="str">
        <f t="shared" si="144"/>
        <v/>
      </c>
      <c r="AU228" s="3" t="str">
        <f t="shared" si="122"/>
        <v/>
      </c>
      <c r="AW228" s="32" t="str">
        <f t="shared" si="145"/>
        <v/>
      </c>
      <c r="AX228" s="32" t="str">
        <f t="shared" si="146"/>
        <v/>
      </c>
      <c r="AY228" s="32" t="str">
        <f t="shared" si="147"/>
        <v/>
      </c>
      <c r="BA228" s="32" t="str">
        <f>IF($A229="","",F228*Summary!$Q$7)</f>
        <v/>
      </c>
    </row>
    <row r="229" spans="1:53" ht="12" customHeight="1">
      <c r="A229" s="67" t="str">
        <f t="shared" si="123"/>
        <v/>
      </c>
      <c r="B229" s="69" t="str">
        <f t="shared" si="148"/>
        <v/>
      </c>
      <c r="C229" s="71"/>
      <c r="D229" s="69" t="str">
        <f t="shared" si="149"/>
        <v/>
      </c>
      <c r="E229" s="70" t="str">
        <f t="shared" si="113"/>
        <v/>
      </c>
      <c r="F229" s="70" t="str">
        <f t="shared" si="114"/>
        <v/>
      </c>
      <c r="G229" s="63" t="str">
        <f t="shared" si="124"/>
        <v/>
      </c>
      <c r="H229" s="64" t="str">
        <f t="shared" si="125"/>
        <v/>
      </c>
      <c r="I229" s="43"/>
      <c r="J229" s="63" t="str">
        <f t="shared" si="126"/>
        <v/>
      </c>
      <c r="K229" s="64" t="str">
        <f t="shared" si="127"/>
        <v/>
      </c>
      <c r="L229" s="63" t="str">
        <f t="shared" si="128"/>
        <v/>
      </c>
      <c r="M229" s="64" t="str">
        <f t="shared" si="129"/>
        <v/>
      </c>
      <c r="N229" s="65"/>
      <c r="O229" s="63" t="str">
        <f t="shared" si="130"/>
        <v/>
      </c>
      <c r="P229" s="63" t="str">
        <f t="shared" si="131"/>
        <v/>
      </c>
      <c r="Q229" s="66"/>
      <c r="R229" s="63" t="str">
        <f t="shared" si="132"/>
        <v/>
      </c>
      <c r="S229" s="64" t="str">
        <f t="shared" si="133"/>
        <v/>
      </c>
      <c r="T229" s="63" t="str">
        <f t="shared" si="134"/>
        <v/>
      </c>
      <c r="U229" s="64" t="str">
        <f t="shared" si="135"/>
        <v/>
      </c>
      <c r="V229" s="207" t="str">
        <f>IF($A230="","",IF(AND(MONTH(A229)&gt;3,MONTH(A229)&lt;11),(T229+R229+G229)*Summary!$T$7/(1-Summary!$T$7),(T229+R229+G229)*Summary!$U$7/(1-Summary!$U$7)))</f>
        <v/>
      </c>
      <c r="W229" s="63" t="str">
        <f t="shared" si="136"/>
        <v/>
      </c>
      <c r="X229" s="63" t="str">
        <f t="shared" si="137"/>
        <v/>
      </c>
      <c r="Y229" s="43"/>
      <c r="Z229" s="38" t="str">
        <f t="shared" si="138"/>
        <v/>
      </c>
      <c r="AA229" s="38" t="str">
        <f t="shared" si="138"/>
        <v/>
      </c>
      <c r="AB229" s="38" t="e">
        <f t="shared" si="115"/>
        <v>#VALUE!</v>
      </c>
      <c r="AC229" s="38" t="str">
        <f t="shared" si="138"/>
        <v/>
      </c>
      <c r="AD229" s="38" t="str">
        <f t="shared" si="116"/>
        <v/>
      </c>
      <c r="AE229" s="38" t="e">
        <f t="shared" si="117"/>
        <v>#VALUE!</v>
      </c>
      <c r="AF229" s="238" t="e">
        <f>((Summary!$N$7*(AA229*AD229)*(A229-$D$3))+(Summary!$M$7*Z229*AC229*(DAY(EOMONTH(A229,0))/2)))/(AK229*AB229*AE229)</f>
        <v>#VALUE!</v>
      </c>
      <c r="AG229" s="88" t="str">
        <f>IF($A230="","",Summary!$Q$7)</f>
        <v/>
      </c>
      <c r="AH229" s="88" t="str">
        <f>IF($A230="","",IF(Summary!$R$7="Y",(VLOOKUP($A229,Summary!$AD$6:$AF$9,3)+'Escalating commodity'!C242),'Escalating commodity'!C242))</f>
        <v/>
      </c>
      <c r="AI229" s="88" t="str">
        <f t="shared" si="139"/>
        <v/>
      </c>
      <c r="AJ229" s="236" t="e">
        <f t="shared" si="118"/>
        <v>#VALUE!</v>
      </c>
      <c r="AK229" s="58" t="str">
        <f t="shared" si="140"/>
        <v/>
      </c>
      <c r="AL229" s="26" t="str">
        <f>IF($A230="","",_xll.SPRDOPT(P229,X229,AI229,0,AB229,AE229,AF229,AK229,$AJ$2,0))</f>
        <v/>
      </c>
      <c r="AM229" s="209" t="str">
        <f t="shared" si="119"/>
        <v/>
      </c>
      <c r="AN229" s="89" t="str">
        <f t="shared" si="141"/>
        <v/>
      </c>
      <c r="AO229" s="3" t="str">
        <f t="shared" si="142"/>
        <v/>
      </c>
      <c r="AP229" s="33" t="str">
        <f t="shared" si="143"/>
        <v/>
      </c>
      <c r="AQ229" s="58" t="str">
        <f t="shared" si="120"/>
        <v/>
      </c>
      <c r="AR229" s="38">
        <f>IF(Summary!$H$2=1,VLOOKUP('ANR OK vs ML7'!A229,Curves!$C$17:$AR$273,MATCH('ANR OK vs ML7'!$AR$4,Curves!$C$8:$AQ$8,0)),0.1)</f>
        <v>0.1</v>
      </c>
      <c r="AS229" s="35" t="str">
        <f t="shared" si="121"/>
        <v/>
      </c>
      <c r="AT229" s="3" t="str">
        <f t="shared" si="144"/>
        <v/>
      </c>
      <c r="AU229" s="3" t="str">
        <f t="shared" si="122"/>
        <v/>
      </c>
      <c r="AW229" s="32" t="str">
        <f t="shared" si="145"/>
        <v/>
      </c>
      <c r="AX229" s="32" t="str">
        <f t="shared" si="146"/>
        <v/>
      </c>
      <c r="AY229" s="32" t="str">
        <f t="shared" si="147"/>
        <v/>
      </c>
      <c r="BA229" s="32" t="str">
        <f>IF($A230="","",F229*Summary!$Q$7)</f>
        <v/>
      </c>
    </row>
    <row r="230" spans="1:53" ht="12" customHeight="1">
      <c r="A230" s="67" t="str">
        <f t="shared" si="123"/>
        <v/>
      </c>
      <c r="B230" s="69" t="str">
        <f t="shared" si="148"/>
        <v/>
      </c>
      <c r="C230" s="71"/>
      <c r="D230" s="69" t="str">
        <f t="shared" si="149"/>
        <v/>
      </c>
      <c r="E230" s="70" t="str">
        <f t="shared" si="113"/>
        <v/>
      </c>
      <c r="F230" s="70" t="str">
        <f t="shared" si="114"/>
        <v/>
      </c>
      <c r="G230" s="63" t="str">
        <f t="shared" si="124"/>
        <v/>
      </c>
      <c r="H230" s="64" t="str">
        <f t="shared" si="125"/>
        <v/>
      </c>
      <c r="I230" s="43"/>
      <c r="J230" s="63" t="str">
        <f t="shared" si="126"/>
        <v/>
      </c>
      <c r="K230" s="64" t="str">
        <f t="shared" si="127"/>
        <v/>
      </c>
      <c r="L230" s="63" t="str">
        <f t="shared" si="128"/>
        <v/>
      </c>
      <c r="M230" s="64" t="str">
        <f t="shared" si="129"/>
        <v/>
      </c>
      <c r="N230" s="65"/>
      <c r="O230" s="63" t="str">
        <f t="shared" si="130"/>
        <v/>
      </c>
      <c r="P230" s="63" t="str">
        <f t="shared" si="131"/>
        <v/>
      </c>
      <c r="Q230" s="66"/>
      <c r="R230" s="63" t="str">
        <f t="shared" si="132"/>
        <v/>
      </c>
      <c r="S230" s="64" t="str">
        <f t="shared" si="133"/>
        <v/>
      </c>
      <c r="T230" s="63" t="str">
        <f t="shared" si="134"/>
        <v/>
      </c>
      <c r="U230" s="64" t="str">
        <f t="shared" si="135"/>
        <v/>
      </c>
      <c r="V230" s="207" t="str">
        <f>IF($A231="","",IF(AND(MONTH(A230)&gt;3,MONTH(A230)&lt;11),(T230+R230+G230)*Summary!$T$7/(1-Summary!$T$7),(T230+R230+G230)*Summary!$U$7/(1-Summary!$U$7)))</f>
        <v/>
      </c>
      <c r="W230" s="63" t="str">
        <f t="shared" si="136"/>
        <v/>
      </c>
      <c r="X230" s="63" t="str">
        <f t="shared" si="137"/>
        <v/>
      </c>
      <c r="Y230" s="43"/>
      <c r="Z230" s="38" t="str">
        <f t="shared" si="138"/>
        <v/>
      </c>
      <c r="AA230" s="38" t="str">
        <f t="shared" si="138"/>
        <v/>
      </c>
      <c r="AB230" s="38" t="e">
        <f t="shared" si="115"/>
        <v>#VALUE!</v>
      </c>
      <c r="AC230" s="38" t="str">
        <f t="shared" si="138"/>
        <v/>
      </c>
      <c r="AD230" s="38" t="str">
        <f t="shared" si="116"/>
        <v/>
      </c>
      <c r="AE230" s="38" t="e">
        <f t="shared" si="117"/>
        <v>#VALUE!</v>
      </c>
      <c r="AF230" s="238" t="e">
        <f>((Summary!$N$7*(AA230*AD230)*(A230-$D$3))+(Summary!$M$7*Z230*AC230*(DAY(EOMONTH(A230,0))/2)))/(AK230*AB230*AE230)</f>
        <v>#VALUE!</v>
      </c>
      <c r="AG230" s="88" t="str">
        <f>IF($A231="","",Summary!$Q$7)</f>
        <v/>
      </c>
      <c r="AH230" s="88" t="str">
        <f>IF($A231="","",IF(Summary!$R$7="Y",(VLOOKUP($A230,Summary!$AD$6:$AF$9,3)+'Escalating commodity'!C243),'Escalating commodity'!C243))</f>
        <v/>
      </c>
      <c r="AI230" s="88" t="str">
        <f t="shared" si="139"/>
        <v/>
      </c>
      <c r="AJ230" s="236" t="e">
        <f t="shared" si="118"/>
        <v>#VALUE!</v>
      </c>
      <c r="AK230" s="58" t="str">
        <f t="shared" si="140"/>
        <v/>
      </c>
      <c r="AL230" s="26" t="str">
        <f>IF($A231="","",_xll.SPRDOPT(P230,X230,AI230,0,AB230,AE230,AF230,AK230,$AJ$2,0))</f>
        <v/>
      </c>
      <c r="AM230" s="209" t="str">
        <f t="shared" si="119"/>
        <v/>
      </c>
      <c r="AN230" s="89" t="str">
        <f t="shared" si="141"/>
        <v/>
      </c>
      <c r="AO230" s="3" t="str">
        <f t="shared" si="142"/>
        <v/>
      </c>
      <c r="AP230" s="33" t="str">
        <f t="shared" si="143"/>
        <v/>
      </c>
      <c r="AQ230" s="58" t="str">
        <f t="shared" si="120"/>
        <v/>
      </c>
      <c r="AR230" s="38">
        <f>IF(Summary!$H$2=1,VLOOKUP('ANR OK vs ML7'!A230,Curves!$C$17:$AR$273,MATCH('ANR OK vs ML7'!$AR$4,Curves!$C$8:$AQ$8,0)),0.1)</f>
        <v>0.1</v>
      </c>
      <c r="AS230" s="35" t="str">
        <f t="shared" si="121"/>
        <v/>
      </c>
      <c r="AT230" s="3" t="str">
        <f t="shared" si="144"/>
        <v/>
      </c>
      <c r="AU230" s="3" t="str">
        <f t="shared" si="122"/>
        <v/>
      </c>
      <c r="AW230" s="32" t="str">
        <f t="shared" si="145"/>
        <v/>
      </c>
      <c r="AX230" s="32" t="str">
        <f t="shared" si="146"/>
        <v/>
      </c>
      <c r="AY230" s="32" t="str">
        <f t="shared" si="147"/>
        <v/>
      </c>
      <c r="BA230" s="32" t="str">
        <f>IF($A231="","",F230*Summary!$Q$7)</f>
        <v/>
      </c>
    </row>
    <row r="231" spans="1:53" ht="12" customHeight="1">
      <c r="A231" s="67" t="str">
        <f t="shared" si="123"/>
        <v/>
      </c>
      <c r="B231" s="69" t="str">
        <f t="shared" si="148"/>
        <v/>
      </c>
      <c r="C231" s="71"/>
      <c r="D231" s="69" t="str">
        <f t="shared" si="149"/>
        <v/>
      </c>
      <c r="E231" s="70" t="str">
        <f t="shared" si="113"/>
        <v/>
      </c>
      <c r="F231" s="70" t="str">
        <f t="shared" si="114"/>
        <v/>
      </c>
      <c r="G231" s="63" t="str">
        <f t="shared" si="124"/>
        <v/>
      </c>
      <c r="H231" s="64" t="str">
        <f t="shared" si="125"/>
        <v/>
      </c>
      <c r="I231" s="43"/>
      <c r="J231" s="63" t="str">
        <f t="shared" si="126"/>
        <v/>
      </c>
      <c r="K231" s="64" t="str">
        <f t="shared" si="127"/>
        <v/>
      </c>
      <c r="L231" s="63" t="str">
        <f t="shared" si="128"/>
        <v/>
      </c>
      <c r="M231" s="64" t="str">
        <f t="shared" si="129"/>
        <v/>
      </c>
      <c r="N231" s="65"/>
      <c r="O231" s="63" t="str">
        <f t="shared" si="130"/>
        <v/>
      </c>
      <c r="P231" s="63" t="str">
        <f t="shared" si="131"/>
        <v/>
      </c>
      <c r="Q231" s="66"/>
      <c r="R231" s="63" t="str">
        <f t="shared" si="132"/>
        <v/>
      </c>
      <c r="S231" s="64" t="str">
        <f t="shared" si="133"/>
        <v/>
      </c>
      <c r="T231" s="63" t="str">
        <f t="shared" si="134"/>
        <v/>
      </c>
      <c r="U231" s="64" t="str">
        <f t="shared" si="135"/>
        <v/>
      </c>
      <c r="V231" s="207" t="str">
        <f>IF($A232="","",IF(AND(MONTH(A231)&gt;3,MONTH(A231)&lt;11),(T231+R231+G231)*Summary!$T$7/(1-Summary!$T$7),(T231+R231+G231)*Summary!$U$7/(1-Summary!$U$7)))</f>
        <v/>
      </c>
      <c r="W231" s="63" t="str">
        <f t="shared" si="136"/>
        <v/>
      </c>
      <c r="X231" s="63" t="str">
        <f t="shared" si="137"/>
        <v/>
      </c>
      <c r="Y231" s="43"/>
      <c r="Z231" s="38" t="str">
        <f t="shared" si="138"/>
        <v/>
      </c>
      <c r="AA231" s="38" t="str">
        <f t="shared" si="138"/>
        <v/>
      </c>
      <c r="AB231" s="38" t="e">
        <f t="shared" si="115"/>
        <v>#VALUE!</v>
      </c>
      <c r="AC231" s="38" t="str">
        <f t="shared" si="138"/>
        <v/>
      </c>
      <c r="AD231" s="38" t="str">
        <f t="shared" si="116"/>
        <v/>
      </c>
      <c r="AE231" s="38" t="e">
        <f t="shared" si="117"/>
        <v>#VALUE!</v>
      </c>
      <c r="AF231" s="238" t="e">
        <f>((Summary!$N$7*(AA231*AD231)*(A231-$D$3))+(Summary!$M$7*Z231*AC231*(DAY(EOMONTH(A231,0))/2)))/(AK231*AB231*AE231)</f>
        <v>#VALUE!</v>
      </c>
      <c r="AG231" s="88" t="str">
        <f>IF($A232="","",Summary!$Q$7)</f>
        <v/>
      </c>
      <c r="AH231" s="88" t="str">
        <f>IF($A232="","",IF(Summary!$R$7="Y",(VLOOKUP($A231,Summary!$AD$6:$AF$9,3)+'Escalating commodity'!C244),'Escalating commodity'!C244))</f>
        <v/>
      </c>
      <c r="AI231" s="88" t="str">
        <f t="shared" si="139"/>
        <v/>
      </c>
      <c r="AJ231" s="236" t="e">
        <f t="shared" si="118"/>
        <v>#VALUE!</v>
      </c>
      <c r="AK231" s="58" t="str">
        <f t="shared" si="140"/>
        <v/>
      </c>
      <c r="AL231" s="26" t="str">
        <f>IF($A232="","",_xll.SPRDOPT(P231,X231,AI231,0,AB231,AE231,AF231,AK231,$AJ$2,0))</f>
        <v/>
      </c>
      <c r="AM231" s="209" t="str">
        <f t="shared" si="119"/>
        <v/>
      </c>
      <c r="AN231" s="89" t="str">
        <f t="shared" si="141"/>
        <v/>
      </c>
      <c r="AO231" s="3" t="str">
        <f t="shared" si="142"/>
        <v/>
      </c>
      <c r="AP231" s="33" t="str">
        <f t="shared" si="143"/>
        <v/>
      </c>
      <c r="AQ231" s="58" t="str">
        <f t="shared" si="120"/>
        <v/>
      </c>
      <c r="AR231" s="38">
        <f>IF(Summary!$H$2=1,VLOOKUP('ANR OK vs ML7'!A231,Curves!$C$17:$AR$273,MATCH('ANR OK vs ML7'!$AR$4,Curves!$C$8:$AQ$8,0)),0.1)</f>
        <v>0.1</v>
      </c>
      <c r="AS231" s="35" t="str">
        <f t="shared" si="121"/>
        <v/>
      </c>
      <c r="AT231" s="3" t="str">
        <f t="shared" si="144"/>
        <v/>
      </c>
      <c r="AU231" s="3" t="str">
        <f t="shared" si="122"/>
        <v/>
      </c>
      <c r="AW231" s="32" t="str">
        <f t="shared" si="145"/>
        <v/>
      </c>
      <c r="AX231" s="32" t="str">
        <f t="shared" si="146"/>
        <v/>
      </c>
      <c r="AY231" s="32" t="str">
        <f t="shared" si="147"/>
        <v/>
      </c>
      <c r="BA231" s="32" t="str">
        <f>IF($A232="","",F231*Summary!$Q$7)</f>
        <v/>
      </c>
    </row>
    <row r="232" spans="1:53" ht="12" customHeight="1">
      <c r="A232" s="67" t="str">
        <f t="shared" si="123"/>
        <v/>
      </c>
      <c r="B232" s="69" t="str">
        <f t="shared" si="148"/>
        <v/>
      </c>
      <c r="C232" s="71"/>
      <c r="D232" s="69" t="str">
        <f t="shared" si="149"/>
        <v/>
      </c>
      <c r="E232" s="70" t="str">
        <f t="shared" si="113"/>
        <v/>
      </c>
      <c r="F232" s="70" t="str">
        <f t="shared" si="114"/>
        <v/>
      </c>
      <c r="G232" s="63" t="str">
        <f t="shared" si="124"/>
        <v/>
      </c>
      <c r="H232" s="64" t="str">
        <f t="shared" si="125"/>
        <v/>
      </c>
      <c r="I232" s="43"/>
      <c r="J232" s="63" t="str">
        <f t="shared" si="126"/>
        <v/>
      </c>
      <c r="K232" s="64" t="str">
        <f t="shared" si="127"/>
        <v/>
      </c>
      <c r="L232" s="63" t="str">
        <f t="shared" si="128"/>
        <v/>
      </c>
      <c r="M232" s="64" t="str">
        <f t="shared" si="129"/>
        <v/>
      </c>
      <c r="N232" s="65"/>
      <c r="O232" s="63" t="str">
        <f t="shared" si="130"/>
        <v/>
      </c>
      <c r="P232" s="63" t="str">
        <f t="shared" si="131"/>
        <v/>
      </c>
      <c r="Q232" s="66"/>
      <c r="R232" s="63" t="str">
        <f t="shared" si="132"/>
        <v/>
      </c>
      <c r="S232" s="64" t="str">
        <f t="shared" si="133"/>
        <v/>
      </c>
      <c r="T232" s="63" t="str">
        <f t="shared" si="134"/>
        <v/>
      </c>
      <c r="U232" s="64" t="str">
        <f t="shared" si="135"/>
        <v/>
      </c>
      <c r="V232" s="207" t="str">
        <f>IF($A233="","",IF(AND(MONTH(A232)&gt;3,MONTH(A232)&lt;11),(T232+R232+G232)*Summary!$T$7/(1-Summary!$T$7),(T232+R232+G232)*Summary!$U$7/(1-Summary!$U$7)))</f>
        <v/>
      </c>
      <c r="W232" s="63" t="str">
        <f t="shared" si="136"/>
        <v/>
      </c>
      <c r="X232" s="63" t="str">
        <f t="shared" si="137"/>
        <v/>
      </c>
      <c r="Y232" s="43"/>
      <c r="Z232" s="38" t="str">
        <f t="shared" si="138"/>
        <v/>
      </c>
      <c r="AA232" s="38" t="str">
        <f t="shared" si="138"/>
        <v/>
      </c>
      <c r="AB232" s="38" t="e">
        <f t="shared" si="115"/>
        <v>#VALUE!</v>
      </c>
      <c r="AC232" s="38" t="str">
        <f t="shared" si="138"/>
        <v/>
      </c>
      <c r="AD232" s="38" t="str">
        <f t="shared" si="116"/>
        <v/>
      </c>
      <c r="AE232" s="38" t="e">
        <f t="shared" si="117"/>
        <v>#VALUE!</v>
      </c>
      <c r="AF232" s="238" t="e">
        <f>((Summary!$N$7*(AA232*AD232)*(A232-$D$3))+(Summary!$M$7*Z232*AC232*(DAY(EOMONTH(A232,0))/2)))/(AK232*AB232*AE232)</f>
        <v>#VALUE!</v>
      </c>
      <c r="AG232" s="88" t="str">
        <f>IF($A233="","",Summary!$Q$7)</f>
        <v/>
      </c>
      <c r="AH232" s="88" t="str">
        <f>IF($A233="","",IF(Summary!$R$7="Y",(VLOOKUP($A232,Summary!$AD$6:$AF$9,3)+'Escalating commodity'!C245),'Escalating commodity'!C245))</f>
        <v/>
      </c>
      <c r="AI232" s="88" t="str">
        <f t="shared" si="139"/>
        <v/>
      </c>
      <c r="AJ232" s="236" t="e">
        <f t="shared" si="118"/>
        <v>#VALUE!</v>
      </c>
      <c r="AK232" s="58" t="str">
        <f t="shared" si="140"/>
        <v/>
      </c>
      <c r="AL232" s="26" t="str">
        <f>IF($A233="","",_xll.SPRDOPT(P232,X232,AI232,0,AB232,AE232,AF232,AK232,$AJ$2,0))</f>
        <v/>
      </c>
      <c r="AM232" s="209" t="str">
        <f t="shared" si="119"/>
        <v/>
      </c>
      <c r="AN232" s="89" t="str">
        <f t="shared" si="141"/>
        <v/>
      </c>
      <c r="AO232" s="3" t="str">
        <f t="shared" si="142"/>
        <v/>
      </c>
      <c r="AP232" s="33" t="str">
        <f t="shared" si="143"/>
        <v/>
      </c>
      <c r="AQ232" s="58" t="str">
        <f t="shared" si="120"/>
        <v/>
      </c>
      <c r="AR232" s="38">
        <f>IF(Summary!$H$2=1,VLOOKUP('ANR OK vs ML7'!A232,Curves!$C$17:$AR$273,MATCH('ANR OK vs ML7'!$AR$4,Curves!$C$8:$AQ$8,0)),0.1)</f>
        <v>0.1</v>
      </c>
      <c r="AS232" s="35" t="str">
        <f t="shared" si="121"/>
        <v/>
      </c>
      <c r="AT232" s="3" t="str">
        <f t="shared" si="144"/>
        <v/>
      </c>
      <c r="AU232" s="3" t="str">
        <f t="shared" si="122"/>
        <v/>
      </c>
      <c r="AW232" s="32" t="str">
        <f t="shared" si="145"/>
        <v/>
      </c>
      <c r="AX232" s="32" t="str">
        <f t="shared" si="146"/>
        <v/>
      </c>
      <c r="AY232" s="32" t="str">
        <f t="shared" si="147"/>
        <v/>
      </c>
      <c r="BA232" s="32" t="str">
        <f>IF($A233="","",F232*Summary!$Q$7)</f>
        <v/>
      </c>
    </row>
    <row r="233" spans="1:53" ht="12" customHeight="1">
      <c r="A233" s="67" t="str">
        <f t="shared" si="123"/>
        <v/>
      </c>
      <c r="B233" s="69" t="str">
        <f t="shared" si="148"/>
        <v/>
      </c>
      <c r="C233" s="71"/>
      <c r="D233" s="69" t="str">
        <f t="shared" si="149"/>
        <v/>
      </c>
      <c r="E233" s="70" t="str">
        <f t="shared" si="113"/>
        <v/>
      </c>
      <c r="F233" s="70" t="str">
        <f t="shared" si="114"/>
        <v/>
      </c>
      <c r="G233" s="63" t="str">
        <f t="shared" si="124"/>
        <v/>
      </c>
      <c r="H233" s="64" t="str">
        <f t="shared" si="125"/>
        <v/>
      </c>
      <c r="I233" s="43"/>
      <c r="J233" s="63" t="str">
        <f t="shared" si="126"/>
        <v/>
      </c>
      <c r="K233" s="64" t="str">
        <f t="shared" si="127"/>
        <v/>
      </c>
      <c r="L233" s="63" t="str">
        <f t="shared" si="128"/>
        <v/>
      </c>
      <c r="M233" s="64" t="str">
        <f t="shared" si="129"/>
        <v/>
      </c>
      <c r="N233" s="65"/>
      <c r="O233" s="63" t="str">
        <f t="shared" si="130"/>
        <v/>
      </c>
      <c r="P233" s="63" t="str">
        <f t="shared" si="131"/>
        <v/>
      </c>
      <c r="Q233" s="66"/>
      <c r="R233" s="63" t="str">
        <f t="shared" si="132"/>
        <v/>
      </c>
      <c r="S233" s="64" t="str">
        <f t="shared" si="133"/>
        <v/>
      </c>
      <c r="T233" s="63" t="str">
        <f t="shared" si="134"/>
        <v/>
      </c>
      <c r="U233" s="64" t="str">
        <f t="shared" si="135"/>
        <v/>
      </c>
      <c r="V233" s="207" t="str">
        <f>IF($A234="","",IF(AND(MONTH(A233)&gt;3,MONTH(A233)&lt;11),(T233+R233+G233)*Summary!$T$7/(1-Summary!$T$7),(T233+R233+G233)*Summary!$U$7/(1-Summary!$U$7)))</f>
        <v/>
      </c>
      <c r="W233" s="63" t="str">
        <f t="shared" si="136"/>
        <v/>
      </c>
      <c r="X233" s="63" t="str">
        <f t="shared" si="137"/>
        <v/>
      </c>
      <c r="Y233" s="43"/>
      <c r="Z233" s="38" t="str">
        <f t="shared" si="138"/>
        <v/>
      </c>
      <c r="AA233" s="38" t="str">
        <f t="shared" si="138"/>
        <v/>
      </c>
      <c r="AB233" s="38" t="e">
        <f t="shared" si="115"/>
        <v>#VALUE!</v>
      </c>
      <c r="AC233" s="38" t="str">
        <f t="shared" si="138"/>
        <v/>
      </c>
      <c r="AD233" s="38" t="str">
        <f t="shared" si="116"/>
        <v/>
      </c>
      <c r="AE233" s="38" t="e">
        <f t="shared" si="117"/>
        <v>#VALUE!</v>
      </c>
      <c r="AF233" s="238" t="e">
        <f>((Summary!$N$7*(AA233*AD233)*(A233-$D$3))+(Summary!$M$7*Z233*AC233*(DAY(EOMONTH(A233,0))/2)))/(AK233*AB233*AE233)</f>
        <v>#VALUE!</v>
      </c>
      <c r="AG233" s="88" t="str">
        <f>IF($A234="","",Summary!$Q$7)</f>
        <v/>
      </c>
      <c r="AH233" s="88" t="str">
        <f>IF($A234="","",IF(Summary!$R$7="Y",(VLOOKUP($A233,Summary!$AD$6:$AF$9,3)+'Escalating commodity'!C246),'Escalating commodity'!C246))</f>
        <v/>
      </c>
      <c r="AI233" s="88" t="str">
        <f t="shared" si="139"/>
        <v/>
      </c>
      <c r="AJ233" s="236" t="e">
        <f t="shared" si="118"/>
        <v>#VALUE!</v>
      </c>
      <c r="AK233" s="58" t="str">
        <f t="shared" si="140"/>
        <v/>
      </c>
      <c r="AL233" s="26" t="str">
        <f>IF($A234="","",_xll.SPRDOPT(P233,X233,AI233,0,AB233,AE233,AF233,AK233,$AJ$2,0))</f>
        <v/>
      </c>
      <c r="AM233" s="209" t="str">
        <f t="shared" si="119"/>
        <v/>
      </c>
      <c r="AN233" s="89" t="str">
        <f t="shared" si="141"/>
        <v/>
      </c>
      <c r="AO233" s="3" t="str">
        <f t="shared" si="142"/>
        <v/>
      </c>
      <c r="AP233" s="33" t="str">
        <f t="shared" si="143"/>
        <v/>
      </c>
      <c r="AQ233" s="58" t="str">
        <f t="shared" si="120"/>
        <v/>
      </c>
      <c r="AR233" s="38">
        <f>IF(Summary!$H$2=1,VLOOKUP('ANR OK vs ML7'!A233,Curves!$C$17:$AR$273,MATCH('ANR OK vs ML7'!$AR$4,Curves!$C$8:$AQ$8,0)),0.1)</f>
        <v>0.1</v>
      </c>
      <c r="AS233" s="35" t="str">
        <f t="shared" si="121"/>
        <v/>
      </c>
      <c r="AT233" s="3" t="str">
        <f t="shared" si="144"/>
        <v/>
      </c>
      <c r="AU233" s="3" t="str">
        <f t="shared" si="122"/>
        <v/>
      </c>
      <c r="AW233" s="32" t="str">
        <f t="shared" si="145"/>
        <v/>
      </c>
      <c r="AX233" s="32" t="str">
        <f t="shared" si="146"/>
        <v/>
      </c>
      <c r="AY233" s="32" t="str">
        <f t="shared" si="147"/>
        <v/>
      </c>
      <c r="BA233" s="32" t="str">
        <f>IF($A234="","",F233*Summary!$Q$7)</f>
        <v/>
      </c>
    </row>
    <row r="234" spans="1:53" ht="12" customHeight="1">
      <c r="A234" s="67" t="str">
        <f t="shared" si="123"/>
        <v/>
      </c>
      <c r="B234" s="69" t="str">
        <f t="shared" si="148"/>
        <v/>
      </c>
      <c r="C234" s="71"/>
      <c r="D234" s="69" t="str">
        <f t="shared" si="149"/>
        <v/>
      </c>
      <c r="E234" s="70" t="str">
        <f t="shared" si="113"/>
        <v/>
      </c>
      <c r="F234" s="70" t="str">
        <f t="shared" si="114"/>
        <v/>
      </c>
      <c r="G234" s="63" t="str">
        <f t="shared" si="124"/>
        <v/>
      </c>
      <c r="H234" s="64" t="str">
        <f t="shared" si="125"/>
        <v/>
      </c>
      <c r="I234" s="43"/>
      <c r="J234" s="63" t="str">
        <f t="shared" si="126"/>
        <v/>
      </c>
      <c r="K234" s="64" t="str">
        <f t="shared" si="127"/>
        <v/>
      </c>
      <c r="L234" s="63" t="str">
        <f t="shared" si="128"/>
        <v/>
      </c>
      <c r="M234" s="64" t="str">
        <f t="shared" si="129"/>
        <v/>
      </c>
      <c r="N234" s="65"/>
      <c r="O234" s="63" t="str">
        <f t="shared" si="130"/>
        <v/>
      </c>
      <c r="P234" s="63" t="str">
        <f t="shared" si="131"/>
        <v/>
      </c>
      <c r="Q234" s="66"/>
      <c r="R234" s="63" t="str">
        <f t="shared" si="132"/>
        <v/>
      </c>
      <c r="S234" s="64" t="str">
        <f t="shared" si="133"/>
        <v/>
      </c>
      <c r="T234" s="63" t="str">
        <f t="shared" si="134"/>
        <v/>
      </c>
      <c r="U234" s="64" t="str">
        <f t="shared" si="135"/>
        <v/>
      </c>
      <c r="V234" s="207" t="str">
        <f>IF($A235="","",IF(AND(MONTH(A234)&gt;3,MONTH(A234)&lt;11),(T234+R234+G234)*Summary!$T$7/(1-Summary!$T$7),(T234+R234+G234)*Summary!$U$7/(1-Summary!$U$7)))</f>
        <v/>
      </c>
      <c r="W234" s="63" t="str">
        <f t="shared" si="136"/>
        <v/>
      </c>
      <c r="X234" s="63" t="str">
        <f t="shared" si="137"/>
        <v/>
      </c>
      <c r="Y234" s="43"/>
      <c r="Z234" s="38" t="str">
        <f t="shared" si="138"/>
        <v/>
      </c>
      <c r="AA234" s="38" t="str">
        <f t="shared" si="138"/>
        <v/>
      </c>
      <c r="AB234" s="38" t="e">
        <f t="shared" si="115"/>
        <v>#VALUE!</v>
      </c>
      <c r="AC234" s="38" t="str">
        <f t="shared" si="138"/>
        <v/>
      </c>
      <c r="AD234" s="38" t="str">
        <f t="shared" si="116"/>
        <v/>
      </c>
      <c r="AE234" s="38" t="e">
        <f t="shared" si="117"/>
        <v>#VALUE!</v>
      </c>
      <c r="AF234" s="238" t="e">
        <f>((Summary!$N$7*(AA234*AD234)*(A234-$D$3))+(Summary!$M$7*Z234*AC234*(DAY(EOMONTH(A234,0))/2)))/(AK234*AB234*AE234)</f>
        <v>#VALUE!</v>
      </c>
      <c r="AG234" s="88" t="str">
        <f>IF($A235="","",Summary!$Q$7)</f>
        <v/>
      </c>
      <c r="AH234" s="88" t="str">
        <f>IF($A235="","",IF(Summary!$R$7="Y",(VLOOKUP($A234,Summary!$AD$6:$AF$9,3)+'Escalating commodity'!C247),'Escalating commodity'!C247))</f>
        <v/>
      </c>
      <c r="AI234" s="88" t="str">
        <f t="shared" si="139"/>
        <v/>
      </c>
      <c r="AJ234" s="236" t="e">
        <f t="shared" si="118"/>
        <v>#VALUE!</v>
      </c>
      <c r="AK234" s="58" t="str">
        <f t="shared" si="140"/>
        <v/>
      </c>
      <c r="AL234" s="26" t="str">
        <f>IF($A235="","",_xll.SPRDOPT(P234,X234,AI234,0,AB234,AE234,AF234,AK234,$AJ$2,0))</f>
        <v/>
      </c>
      <c r="AM234" s="209" t="str">
        <f t="shared" si="119"/>
        <v/>
      </c>
      <c r="AN234" s="89" t="str">
        <f t="shared" si="141"/>
        <v/>
      </c>
      <c r="AO234" s="3" t="str">
        <f t="shared" si="142"/>
        <v/>
      </c>
      <c r="AP234" s="33" t="str">
        <f t="shared" si="143"/>
        <v/>
      </c>
      <c r="AQ234" s="58" t="str">
        <f t="shared" si="120"/>
        <v/>
      </c>
      <c r="AR234" s="38">
        <f>IF(Summary!$H$2=1,VLOOKUP('ANR OK vs ML7'!A234,Curves!$C$17:$AR$273,MATCH('ANR OK vs ML7'!$AR$4,Curves!$C$8:$AQ$8,0)),0.1)</f>
        <v>0.1</v>
      </c>
      <c r="AS234" s="35" t="str">
        <f t="shared" si="121"/>
        <v/>
      </c>
      <c r="AT234" s="3" t="str">
        <f t="shared" si="144"/>
        <v/>
      </c>
      <c r="AU234" s="3" t="str">
        <f t="shared" si="122"/>
        <v/>
      </c>
      <c r="AW234" s="32" t="str">
        <f t="shared" si="145"/>
        <v/>
      </c>
      <c r="AX234" s="32" t="str">
        <f t="shared" si="146"/>
        <v/>
      </c>
      <c r="AY234" s="32" t="str">
        <f t="shared" si="147"/>
        <v/>
      </c>
      <c r="BA234" s="32" t="str">
        <f>IF($A235="","",F234*Summary!$Q$7)</f>
        <v/>
      </c>
    </row>
    <row r="235" spans="1:53" ht="12" customHeight="1">
      <c r="A235" s="67" t="str">
        <f t="shared" si="123"/>
        <v/>
      </c>
      <c r="B235" s="69" t="str">
        <f t="shared" si="148"/>
        <v/>
      </c>
      <c r="C235" s="71"/>
      <c r="D235" s="69" t="str">
        <f t="shared" si="149"/>
        <v/>
      </c>
      <c r="E235" s="70" t="str">
        <f t="shared" si="113"/>
        <v/>
      </c>
      <c r="F235" s="70" t="str">
        <f t="shared" si="114"/>
        <v/>
      </c>
      <c r="G235" s="63" t="str">
        <f t="shared" si="124"/>
        <v/>
      </c>
      <c r="H235" s="64" t="str">
        <f t="shared" si="125"/>
        <v/>
      </c>
      <c r="I235" s="43"/>
      <c r="J235" s="63" t="str">
        <f t="shared" si="126"/>
        <v/>
      </c>
      <c r="K235" s="64" t="str">
        <f t="shared" si="127"/>
        <v/>
      </c>
      <c r="L235" s="63" t="str">
        <f t="shared" si="128"/>
        <v/>
      </c>
      <c r="M235" s="64" t="str">
        <f t="shared" si="129"/>
        <v/>
      </c>
      <c r="N235" s="65"/>
      <c r="O235" s="63" t="str">
        <f t="shared" si="130"/>
        <v/>
      </c>
      <c r="P235" s="63" t="str">
        <f t="shared" si="131"/>
        <v/>
      </c>
      <c r="Q235" s="66"/>
      <c r="R235" s="63" t="str">
        <f t="shared" si="132"/>
        <v/>
      </c>
      <c r="S235" s="64" t="str">
        <f t="shared" si="133"/>
        <v/>
      </c>
      <c r="T235" s="63" t="str">
        <f t="shared" si="134"/>
        <v/>
      </c>
      <c r="U235" s="64" t="str">
        <f t="shared" si="135"/>
        <v/>
      </c>
      <c r="V235" s="207" t="str">
        <f>IF($A236="","",IF(AND(MONTH(A235)&gt;3,MONTH(A235)&lt;11),(T235+R235+G235)*Summary!$T$7/(1-Summary!$T$7),(T235+R235+G235)*Summary!$U$7/(1-Summary!$U$7)))</f>
        <v/>
      </c>
      <c r="W235" s="63" t="str">
        <f t="shared" si="136"/>
        <v/>
      </c>
      <c r="X235" s="63" t="str">
        <f t="shared" si="137"/>
        <v/>
      </c>
      <c r="Y235" s="43"/>
      <c r="Z235" s="38" t="str">
        <f t="shared" si="138"/>
        <v/>
      </c>
      <c r="AA235" s="38" t="str">
        <f t="shared" si="138"/>
        <v/>
      </c>
      <c r="AB235" s="38" t="e">
        <f t="shared" si="115"/>
        <v>#VALUE!</v>
      </c>
      <c r="AC235" s="38" t="str">
        <f t="shared" si="138"/>
        <v/>
      </c>
      <c r="AD235" s="38" t="str">
        <f t="shared" si="116"/>
        <v/>
      </c>
      <c r="AE235" s="38" t="e">
        <f t="shared" si="117"/>
        <v>#VALUE!</v>
      </c>
      <c r="AF235" s="238" t="e">
        <f>((Summary!$N$7*(AA235*AD235)*(A235-$D$3))+(Summary!$M$7*Z235*AC235*(DAY(EOMONTH(A235,0))/2)))/(AK235*AB235*AE235)</f>
        <v>#VALUE!</v>
      </c>
      <c r="AG235" s="88" t="str">
        <f>IF($A236="","",Summary!$Q$7)</f>
        <v/>
      </c>
      <c r="AH235" s="88" t="str">
        <f>IF($A236="","",IF(Summary!$R$7="Y",(VLOOKUP($A235,Summary!$AD$6:$AF$9,3)+'Escalating commodity'!C248),'Escalating commodity'!C248))</f>
        <v/>
      </c>
      <c r="AI235" s="88" t="str">
        <f t="shared" si="139"/>
        <v/>
      </c>
      <c r="AJ235" s="236" t="e">
        <f t="shared" si="118"/>
        <v>#VALUE!</v>
      </c>
      <c r="AK235" s="58" t="str">
        <f t="shared" si="140"/>
        <v/>
      </c>
      <c r="AL235" s="26" t="str">
        <f>IF($A236="","",_xll.SPRDOPT(P235,X235,AI235,0,AB235,AE235,AF235,AK235,$AJ$2,0))</f>
        <v/>
      </c>
      <c r="AM235" s="209" t="str">
        <f t="shared" si="119"/>
        <v/>
      </c>
      <c r="AN235" s="89" t="str">
        <f t="shared" si="141"/>
        <v/>
      </c>
      <c r="AO235" s="3" t="str">
        <f t="shared" si="142"/>
        <v/>
      </c>
      <c r="AP235" s="33" t="str">
        <f t="shared" si="143"/>
        <v/>
      </c>
      <c r="AQ235" s="58" t="str">
        <f t="shared" si="120"/>
        <v/>
      </c>
      <c r="AR235" s="38">
        <f>IF(Summary!$H$2=1,VLOOKUP('ANR OK vs ML7'!A235,Curves!$C$17:$AR$273,MATCH('ANR OK vs ML7'!$AR$4,Curves!$C$8:$AQ$8,0)),0.1)</f>
        <v>0.1</v>
      </c>
      <c r="AS235" s="35" t="str">
        <f t="shared" si="121"/>
        <v/>
      </c>
      <c r="AT235" s="3" t="str">
        <f t="shared" si="144"/>
        <v/>
      </c>
      <c r="AU235" s="3" t="str">
        <f t="shared" si="122"/>
        <v/>
      </c>
      <c r="AW235" s="32" t="str">
        <f t="shared" si="145"/>
        <v/>
      </c>
      <c r="AX235" s="32" t="str">
        <f t="shared" si="146"/>
        <v/>
      </c>
      <c r="AY235" s="32" t="str">
        <f t="shared" si="147"/>
        <v/>
      </c>
      <c r="BA235" s="32" t="str">
        <f>IF($A236="","",F235*Summary!$Q$7)</f>
        <v/>
      </c>
    </row>
    <row r="236" spans="1:53" ht="12" customHeight="1">
      <c r="A236" s="67" t="str">
        <f t="shared" si="123"/>
        <v/>
      </c>
      <c r="B236" s="69" t="str">
        <f t="shared" si="148"/>
        <v/>
      </c>
      <c r="C236" s="71"/>
      <c r="D236" s="69" t="str">
        <f t="shared" si="149"/>
        <v/>
      </c>
      <c r="E236" s="70" t="str">
        <f t="shared" si="113"/>
        <v/>
      </c>
      <c r="F236" s="70" t="str">
        <f t="shared" si="114"/>
        <v/>
      </c>
      <c r="G236" s="63" t="str">
        <f t="shared" si="124"/>
        <v/>
      </c>
      <c r="H236" s="64" t="str">
        <f t="shared" si="125"/>
        <v/>
      </c>
      <c r="I236" s="43"/>
      <c r="J236" s="63" t="str">
        <f t="shared" si="126"/>
        <v/>
      </c>
      <c r="K236" s="64" t="str">
        <f t="shared" si="127"/>
        <v/>
      </c>
      <c r="L236" s="63" t="str">
        <f t="shared" si="128"/>
        <v/>
      </c>
      <c r="M236" s="64" t="str">
        <f t="shared" si="129"/>
        <v/>
      </c>
      <c r="N236" s="65"/>
      <c r="O236" s="63" t="str">
        <f t="shared" si="130"/>
        <v/>
      </c>
      <c r="P236" s="63" t="str">
        <f t="shared" si="131"/>
        <v/>
      </c>
      <c r="Q236" s="66"/>
      <c r="R236" s="63" t="str">
        <f t="shared" si="132"/>
        <v/>
      </c>
      <c r="S236" s="64" t="str">
        <f t="shared" si="133"/>
        <v/>
      </c>
      <c r="T236" s="63" t="str">
        <f t="shared" si="134"/>
        <v/>
      </c>
      <c r="U236" s="64" t="str">
        <f t="shared" si="135"/>
        <v/>
      </c>
      <c r="V236" s="207" t="str">
        <f>IF($A237="","",IF(AND(MONTH(A236)&gt;3,MONTH(A236)&lt;11),(T236+R236+G236)*Summary!$T$7/(1-Summary!$T$7),(T236+R236+G236)*Summary!$U$7/(1-Summary!$U$7)))</f>
        <v/>
      </c>
      <c r="W236" s="63" t="str">
        <f t="shared" si="136"/>
        <v/>
      </c>
      <c r="X236" s="63" t="str">
        <f t="shared" si="137"/>
        <v/>
      </c>
      <c r="Y236" s="43"/>
      <c r="Z236" s="38" t="str">
        <f t="shared" si="138"/>
        <v/>
      </c>
      <c r="AA236" s="38" t="str">
        <f t="shared" si="138"/>
        <v/>
      </c>
      <c r="AB236" s="38" t="e">
        <f t="shared" si="115"/>
        <v>#VALUE!</v>
      </c>
      <c r="AC236" s="38" t="str">
        <f t="shared" si="138"/>
        <v/>
      </c>
      <c r="AD236" s="38" t="str">
        <f t="shared" si="116"/>
        <v/>
      </c>
      <c r="AE236" s="38" t="e">
        <f t="shared" si="117"/>
        <v>#VALUE!</v>
      </c>
      <c r="AF236" s="238" t="e">
        <f>((Summary!$N$7*(AA236*AD236)*(A236-$D$3))+(Summary!$M$7*Z236*AC236*(DAY(EOMONTH(A236,0))/2)))/(AK236*AB236*AE236)</f>
        <v>#VALUE!</v>
      </c>
      <c r="AG236" s="88" t="str">
        <f>IF($A237="","",Summary!$Q$7)</f>
        <v/>
      </c>
      <c r="AH236" s="88" t="str">
        <f>IF($A237="","",IF(Summary!$R$7="Y",(VLOOKUP($A236,Summary!$AD$6:$AF$9,3)+'Escalating commodity'!C249),'Escalating commodity'!C249))</f>
        <v/>
      </c>
      <c r="AI236" s="88" t="str">
        <f t="shared" si="139"/>
        <v/>
      </c>
      <c r="AJ236" s="236" t="e">
        <f t="shared" si="118"/>
        <v>#VALUE!</v>
      </c>
      <c r="AK236" s="58" t="str">
        <f t="shared" si="140"/>
        <v/>
      </c>
      <c r="AL236" s="26" t="str">
        <f>IF($A237="","",_xll.SPRDOPT(P236,X236,AI236,0,AB236,AE236,AF236,AK236,$AJ$2,0))</f>
        <v/>
      </c>
      <c r="AM236" s="209" t="str">
        <f t="shared" si="119"/>
        <v/>
      </c>
      <c r="AN236" s="89" t="str">
        <f t="shared" si="141"/>
        <v/>
      </c>
      <c r="AO236" s="3" t="str">
        <f t="shared" si="142"/>
        <v/>
      </c>
      <c r="AP236" s="33" t="str">
        <f t="shared" si="143"/>
        <v/>
      </c>
      <c r="AQ236" s="58" t="str">
        <f t="shared" si="120"/>
        <v/>
      </c>
      <c r="AR236" s="38">
        <f>IF(Summary!$H$2=1,VLOOKUP('ANR OK vs ML7'!A236,Curves!$C$17:$AR$273,MATCH('ANR OK vs ML7'!$AR$4,Curves!$C$8:$AQ$8,0)),0.1)</f>
        <v>0.1</v>
      </c>
      <c r="AS236" s="35" t="str">
        <f t="shared" si="121"/>
        <v/>
      </c>
      <c r="AT236" s="3" t="str">
        <f t="shared" si="144"/>
        <v/>
      </c>
      <c r="AU236" s="3" t="str">
        <f t="shared" si="122"/>
        <v/>
      </c>
      <c r="AW236" s="32" t="str">
        <f t="shared" si="145"/>
        <v/>
      </c>
      <c r="AX236" s="32" t="str">
        <f t="shared" si="146"/>
        <v/>
      </c>
      <c r="AY236" s="32" t="str">
        <f t="shared" si="147"/>
        <v/>
      </c>
      <c r="BA236" s="32" t="str">
        <f>IF($A237="","",F236*Summary!$Q$7)</f>
        <v/>
      </c>
    </row>
    <row r="237" spans="1:53" ht="12" customHeight="1">
      <c r="A237" s="67" t="str">
        <f t="shared" si="123"/>
        <v/>
      </c>
      <c r="B237" s="69" t="str">
        <f t="shared" si="148"/>
        <v/>
      </c>
      <c r="C237" s="71"/>
      <c r="D237" s="69" t="str">
        <f t="shared" si="149"/>
        <v/>
      </c>
      <c r="E237" s="70" t="str">
        <f t="shared" si="113"/>
        <v/>
      </c>
      <c r="F237" s="70" t="str">
        <f t="shared" si="114"/>
        <v/>
      </c>
      <c r="G237" s="63" t="str">
        <f t="shared" si="124"/>
        <v/>
      </c>
      <c r="H237" s="64" t="str">
        <f t="shared" si="125"/>
        <v/>
      </c>
      <c r="I237" s="43"/>
      <c r="J237" s="63" t="str">
        <f t="shared" si="126"/>
        <v/>
      </c>
      <c r="K237" s="64" t="str">
        <f t="shared" si="127"/>
        <v/>
      </c>
      <c r="L237" s="63" t="str">
        <f t="shared" si="128"/>
        <v/>
      </c>
      <c r="M237" s="64" t="str">
        <f t="shared" si="129"/>
        <v/>
      </c>
      <c r="N237" s="65"/>
      <c r="O237" s="63" t="str">
        <f t="shared" si="130"/>
        <v/>
      </c>
      <c r="P237" s="63" t="str">
        <f t="shared" si="131"/>
        <v/>
      </c>
      <c r="Q237" s="66"/>
      <c r="R237" s="63" t="str">
        <f t="shared" si="132"/>
        <v/>
      </c>
      <c r="S237" s="64" t="str">
        <f t="shared" si="133"/>
        <v/>
      </c>
      <c r="T237" s="63" t="str">
        <f t="shared" si="134"/>
        <v/>
      </c>
      <c r="U237" s="64" t="str">
        <f t="shared" si="135"/>
        <v/>
      </c>
      <c r="V237" s="207" t="str">
        <f>IF($A238="","",IF(AND(MONTH(A237)&gt;3,MONTH(A237)&lt;11),(T237+R237+G237)*Summary!$T$7/(1-Summary!$T$7),(T237+R237+G237)*Summary!$U$7/(1-Summary!$U$7)))</f>
        <v/>
      </c>
      <c r="W237" s="63" t="str">
        <f t="shared" si="136"/>
        <v/>
      </c>
      <c r="X237" s="63" t="str">
        <f t="shared" si="137"/>
        <v/>
      </c>
      <c r="Y237" s="43"/>
      <c r="Z237" s="38" t="str">
        <f t="shared" si="138"/>
        <v/>
      </c>
      <c r="AA237" s="38" t="str">
        <f t="shared" si="138"/>
        <v/>
      </c>
      <c r="AB237" s="38" t="e">
        <f t="shared" si="115"/>
        <v>#VALUE!</v>
      </c>
      <c r="AC237" s="38" t="str">
        <f t="shared" si="138"/>
        <v/>
      </c>
      <c r="AD237" s="38" t="str">
        <f t="shared" si="116"/>
        <v/>
      </c>
      <c r="AE237" s="38" t="e">
        <f t="shared" si="117"/>
        <v>#VALUE!</v>
      </c>
      <c r="AF237" s="238" t="e">
        <f>((Summary!$N$7*(AA237*AD237)*(A237-$D$3))+(Summary!$M$7*Z237*AC237*(DAY(EOMONTH(A237,0))/2)))/(AK237*AB237*AE237)</f>
        <v>#VALUE!</v>
      </c>
      <c r="AG237" s="88" t="str">
        <f>IF($A238="","",Summary!$Q$7)</f>
        <v/>
      </c>
      <c r="AH237" s="88" t="str">
        <f>IF($A238="","",IF(Summary!$R$7="Y",(VLOOKUP($A237,Summary!$AD$6:$AF$9,3)+'Escalating commodity'!C250),'Escalating commodity'!C250))</f>
        <v/>
      </c>
      <c r="AI237" s="88" t="str">
        <f t="shared" si="139"/>
        <v/>
      </c>
      <c r="AJ237" s="236" t="e">
        <f t="shared" si="118"/>
        <v>#VALUE!</v>
      </c>
      <c r="AK237" s="58" t="str">
        <f t="shared" si="140"/>
        <v/>
      </c>
      <c r="AL237" s="26" t="str">
        <f>IF($A238="","",_xll.SPRDOPT(P237,X237,AI237,0,AB237,AE237,AF237,AK237,$AJ$2,0))</f>
        <v/>
      </c>
      <c r="AM237" s="209" t="str">
        <f t="shared" si="119"/>
        <v/>
      </c>
      <c r="AN237" s="89" t="str">
        <f t="shared" si="141"/>
        <v/>
      </c>
      <c r="AO237" s="3" t="str">
        <f t="shared" si="142"/>
        <v/>
      </c>
      <c r="AP237" s="33" t="str">
        <f t="shared" si="143"/>
        <v/>
      </c>
      <c r="AQ237" s="58" t="str">
        <f t="shared" si="120"/>
        <v/>
      </c>
      <c r="AR237" s="38">
        <f>IF(Summary!$H$2=1,VLOOKUP('ANR OK vs ML7'!A237,Curves!$C$17:$AR$273,MATCH('ANR OK vs ML7'!$AR$4,Curves!$C$8:$AQ$8,0)),0.1)</f>
        <v>0.1</v>
      </c>
      <c r="AS237" s="35" t="str">
        <f t="shared" si="121"/>
        <v/>
      </c>
      <c r="AT237" s="3" t="str">
        <f t="shared" si="144"/>
        <v/>
      </c>
      <c r="AU237" s="3" t="str">
        <f t="shared" si="122"/>
        <v/>
      </c>
      <c r="AW237" s="32" t="str">
        <f t="shared" si="145"/>
        <v/>
      </c>
      <c r="AX237" s="32" t="str">
        <f t="shared" si="146"/>
        <v/>
      </c>
      <c r="AY237" s="32" t="str">
        <f t="shared" si="147"/>
        <v/>
      </c>
      <c r="BA237" s="32" t="str">
        <f>IF($A238="","",F237*Summary!$Q$7)</f>
        <v/>
      </c>
    </row>
    <row r="238" spans="1:53" ht="12" customHeight="1">
      <c r="A238" s="67" t="str">
        <f t="shared" si="123"/>
        <v/>
      </c>
      <c r="B238" s="69" t="str">
        <f t="shared" si="148"/>
        <v/>
      </c>
      <c r="C238" s="71"/>
      <c r="D238" s="69" t="str">
        <f t="shared" si="149"/>
        <v/>
      </c>
      <c r="E238" s="70" t="str">
        <f t="shared" si="113"/>
        <v/>
      </c>
      <c r="F238" s="70" t="str">
        <f t="shared" si="114"/>
        <v/>
      </c>
      <c r="G238" s="63" t="str">
        <f t="shared" si="124"/>
        <v/>
      </c>
      <c r="H238" s="64" t="str">
        <f t="shared" si="125"/>
        <v/>
      </c>
      <c r="I238" s="43"/>
      <c r="J238" s="63" t="str">
        <f t="shared" si="126"/>
        <v/>
      </c>
      <c r="K238" s="64" t="str">
        <f t="shared" si="127"/>
        <v/>
      </c>
      <c r="L238" s="63" t="str">
        <f t="shared" si="128"/>
        <v/>
      </c>
      <c r="M238" s="64" t="str">
        <f t="shared" si="129"/>
        <v/>
      </c>
      <c r="N238" s="65"/>
      <c r="O238" s="63" t="str">
        <f t="shared" si="130"/>
        <v/>
      </c>
      <c r="P238" s="63" t="str">
        <f t="shared" si="131"/>
        <v/>
      </c>
      <c r="Q238" s="66"/>
      <c r="R238" s="63" t="str">
        <f t="shared" si="132"/>
        <v/>
      </c>
      <c r="S238" s="64" t="str">
        <f t="shared" si="133"/>
        <v/>
      </c>
      <c r="T238" s="63" t="str">
        <f t="shared" si="134"/>
        <v/>
      </c>
      <c r="U238" s="64" t="str">
        <f t="shared" si="135"/>
        <v/>
      </c>
      <c r="V238" s="207" t="str">
        <f>IF($A239="","",IF(AND(MONTH(A238)&gt;3,MONTH(A238)&lt;11),(T238+R238+G238)*Summary!$T$7/(1-Summary!$T$7),(T238+R238+G238)*Summary!$U$7/(1-Summary!$U$7)))</f>
        <v/>
      </c>
      <c r="W238" s="63" t="str">
        <f t="shared" si="136"/>
        <v/>
      </c>
      <c r="X238" s="63" t="str">
        <f t="shared" si="137"/>
        <v/>
      </c>
      <c r="Y238" s="43"/>
      <c r="Z238" s="38" t="str">
        <f t="shared" si="138"/>
        <v/>
      </c>
      <c r="AA238" s="38" t="str">
        <f t="shared" si="138"/>
        <v/>
      </c>
      <c r="AB238" s="38" t="e">
        <f t="shared" si="115"/>
        <v>#VALUE!</v>
      </c>
      <c r="AC238" s="38" t="str">
        <f t="shared" si="138"/>
        <v/>
      </c>
      <c r="AD238" s="38" t="str">
        <f t="shared" si="116"/>
        <v/>
      </c>
      <c r="AE238" s="38" t="e">
        <f t="shared" si="117"/>
        <v>#VALUE!</v>
      </c>
      <c r="AF238" s="238" t="e">
        <f>((Summary!$N$7*(AA238*AD238)*(A238-$D$3))+(Summary!$M$7*Z238*AC238*(DAY(EOMONTH(A238,0))/2)))/(AK238*AB238*AE238)</f>
        <v>#VALUE!</v>
      </c>
      <c r="AG238" s="88" t="str">
        <f>IF($A239="","",Summary!$Q$7)</f>
        <v/>
      </c>
      <c r="AH238" s="88" t="str">
        <f>IF($A239="","",IF(Summary!$R$7="Y",(VLOOKUP($A238,Summary!$AD$6:$AF$9,3)+'Escalating commodity'!C251),'Escalating commodity'!C251))</f>
        <v/>
      </c>
      <c r="AI238" s="88" t="str">
        <f t="shared" si="139"/>
        <v/>
      </c>
      <c r="AJ238" s="236" t="e">
        <f t="shared" si="118"/>
        <v>#VALUE!</v>
      </c>
      <c r="AK238" s="58" t="str">
        <f t="shared" si="140"/>
        <v/>
      </c>
      <c r="AL238" s="26" t="str">
        <f>IF($A239="","",_xll.SPRDOPT(P238,X238,AI238,0,AB238,AE238,AF238,AK238,$AJ$2,0))</f>
        <v/>
      </c>
      <c r="AM238" s="209" t="str">
        <f t="shared" si="119"/>
        <v/>
      </c>
      <c r="AN238" s="89" t="str">
        <f t="shared" si="141"/>
        <v/>
      </c>
      <c r="AO238" s="3" t="str">
        <f t="shared" si="142"/>
        <v/>
      </c>
      <c r="AP238" s="33" t="str">
        <f t="shared" si="143"/>
        <v/>
      </c>
      <c r="AQ238" s="58" t="str">
        <f t="shared" si="120"/>
        <v/>
      </c>
      <c r="AR238" s="38">
        <f>IF(Summary!$H$2=1,VLOOKUP('ANR OK vs ML7'!A238,Curves!$C$17:$AR$273,MATCH('ANR OK vs ML7'!$AR$4,Curves!$C$8:$AQ$8,0)),0.1)</f>
        <v>0.1</v>
      </c>
      <c r="AS238" s="35" t="str">
        <f t="shared" si="121"/>
        <v/>
      </c>
      <c r="AT238" s="3" t="str">
        <f t="shared" si="144"/>
        <v/>
      </c>
      <c r="AU238" s="3" t="str">
        <f t="shared" si="122"/>
        <v/>
      </c>
      <c r="AW238" s="32" t="str">
        <f t="shared" si="145"/>
        <v/>
      </c>
      <c r="AX238" s="32" t="str">
        <f t="shared" si="146"/>
        <v/>
      </c>
      <c r="AY238" s="32" t="str">
        <f t="shared" si="147"/>
        <v/>
      </c>
      <c r="BA238" s="32" t="str">
        <f>IF($A239="","",F238*Summary!$Q$7)</f>
        <v/>
      </c>
    </row>
    <row r="239" spans="1:53" ht="12" customHeight="1">
      <c r="A239" s="67" t="str">
        <f t="shared" si="123"/>
        <v/>
      </c>
      <c r="B239" s="69" t="str">
        <f t="shared" si="148"/>
        <v/>
      </c>
      <c r="C239" s="71"/>
      <c r="D239" s="69" t="str">
        <f t="shared" si="149"/>
        <v/>
      </c>
      <c r="E239" s="70" t="str">
        <f t="shared" si="113"/>
        <v/>
      </c>
      <c r="F239" s="70" t="str">
        <f t="shared" si="114"/>
        <v/>
      </c>
      <c r="G239" s="63" t="str">
        <f t="shared" si="124"/>
        <v/>
      </c>
      <c r="H239" s="64" t="str">
        <f t="shared" si="125"/>
        <v/>
      </c>
      <c r="I239" s="43"/>
      <c r="J239" s="63" t="str">
        <f t="shared" si="126"/>
        <v/>
      </c>
      <c r="K239" s="64" t="str">
        <f t="shared" si="127"/>
        <v/>
      </c>
      <c r="L239" s="63" t="str">
        <f t="shared" si="128"/>
        <v/>
      </c>
      <c r="M239" s="64" t="str">
        <f t="shared" si="129"/>
        <v/>
      </c>
      <c r="N239" s="65"/>
      <c r="O239" s="63" t="str">
        <f t="shared" si="130"/>
        <v/>
      </c>
      <c r="P239" s="63" t="str">
        <f t="shared" si="131"/>
        <v/>
      </c>
      <c r="Q239" s="66"/>
      <c r="R239" s="63" t="str">
        <f t="shared" si="132"/>
        <v/>
      </c>
      <c r="S239" s="64" t="str">
        <f t="shared" si="133"/>
        <v/>
      </c>
      <c r="T239" s="63" t="str">
        <f t="shared" si="134"/>
        <v/>
      </c>
      <c r="U239" s="64" t="str">
        <f t="shared" si="135"/>
        <v/>
      </c>
      <c r="V239" s="207" t="str">
        <f>IF($A240="","",IF(AND(MONTH(A239)&gt;3,MONTH(A239)&lt;11),(T239+R239+G239)*Summary!$T$7/(1-Summary!$T$7),(T239+R239+G239)*Summary!$U$7/(1-Summary!$U$7)))</f>
        <v/>
      </c>
      <c r="W239" s="63" t="str">
        <f t="shared" si="136"/>
        <v/>
      </c>
      <c r="X239" s="63" t="str">
        <f t="shared" si="137"/>
        <v/>
      </c>
      <c r="Y239" s="43"/>
      <c r="Z239" s="38" t="str">
        <f t="shared" si="138"/>
        <v/>
      </c>
      <c r="AA239" s="38" t="str">
        <f t="shared" si="138"/>
        <v/>
      </c>
      <c r="AB239" s="38" t="e">
        <f t="shared" si="115"/>
        <v>#VALUE!</v>
      </c>
      <c r="AC239" s="38" t="str">
        <f t="shared" si="138"/>
        <v/>
      </c>
      <c r="AD239" s="38" t="str">
        <f t="shared" si="116"/>
        <v/>
      </c>
      <c r="AE239" s="38" t="e">
        <f t="shared" si="117"/>
        <v>#VALUE!</v>
      </c>
      <c r="AF239" s="238" t="e">
        <f>((Summary!$N$7*(AA239*AD239)*(A239-$D$3))+(Summary!$M$7*Z239*AC239*(DAY(EOMONTH(A239,0))/2)))/(AK239*AB239*AE239)</f>
        <v>#VALUE!</v>
      </c>
      <c r="AG239" s="88" t="str">
        <f>IF($A240="","",Summary!$Q$7)</f>
        <v/>
      </c>
      <c r="AH239" s="88" t="str">
        <f>IF($A240="","",IF(Summary!$R$7="Y",(VLOOKUP($A239,Summary!$AD$6:$AF$9,3)+'Escalating commodity'!C252),'Escalating commodity'!C252))</f>
        <v/>
      </c>
      <c r="AI239" s="88" t="str">
        <f t="shared" si="139"/>
        <v/>
      </c>
      <c r="AJ239" s="236" t="e">
        <f t="shared" si="118"/>
        <v>#VALUE!</v>
      </c>
      <c r="AK239" s="58" t="str">
        <f t="shared" si="140"/>
        <v/>
      </c>
      <c r="AL239" s="26" t="str">
        <f>IF($A240="","",_xll.SPRDOPT(P239,X239,AI239,0,AB239,AE239,AF239,AK239,$AJ$2,0))</f>
        <v/>
      </c>
      <c r="AM239" s="209" t="str">
        <f t="shared" si="119"/>
        <v/>
      </c>
      <c r="AN239" s="89" t="str">
        <f t="shared" si="141"/>
        <v/>
      </c>
      <c r="AO239" s="3" t="str">
        <f t="shared" si="142"/>
        <v/>
      </c>
      <c r="AP239" s="33" t="str">
        <f t="shared" si="143"/>
        <v/>
      </c>
      <c r="AQ239" s="58" t="str">
        <f t="shared" si="120"/>
        <v/>
      </c>
      <c r="AR239" s="38">
        <f>IF(Summary!$H$2=1,VLOOKUP('ANR OK vs ML7'!A239,Curves!$C$17:$AR$273,MATCH('ANR OK vs ML7'!$AR$4,Curves!$C$8:$AQ$8,0)),0.1)</f>
        <v>0.1</v>
      </c>
      <c r="AS239" s="35" t="str">
        <f t="shared" si="121"/>
        <v/>
      </c>
      <c r="AT239" s="3" t="str">
        <f t="shared" si="144"/>
        <v/>
      </c>
      <c r="AU239" s="3" t="str">
        <f t="shared" si="122"/>
        <v/>
      </c>
      <c r="AW239" s="32" t="str">
        <f t="shared" si="145"/>
        <v/>
      </c>
      <c r="AX239" s="32" t="str">
        <f t="shared" si="146"/>
        <v/>
      </c>
      <c r="AY239" s="32" t="str">
        <f t="shared" si="147"/>
        <v/>
      </c>
      <c r="BA239" s="32" t="str">
        <f>IF($A240="","",F239*Summary!$Q$7)</f>
        <v/>
      </c>
    </row>
    <row r="240" spans="1:53" ht="12" customHeight="1">
      <c r="A240" s="67" t="str">
        <f t="shared" si="123"/>
        <v/>
      </c>
      <c r="B240" s="69" t="str">
        <f t="shared" si="148"/>
        <v/>
      </c>
      <c r="C240" s="71"/>
      <c r="D240" s="69" t="str">
        <f t="shared" si="149"/>
        <v/>
      </c>
      <c r="E240" s="70" t="str">
        <f t="shared" si="113"/>
        <v/>
      </c>
      <c r="F240" s="70" t="str">
        <f t="shared" si="114"/>
        <v/>
      </c>
      <c r="G240" s="63" t="str">
        <f t="shared" si="124"/>
        <v/>
      </c>
      <c r="H240" s="64" t="str">
        <f t="shared" si="125"/>
        <v/>
      </c>
      <c r="I240" s="43"/>
      <c r="J240" s="63" t="str">
        <f t="shared" si="126"/>
        <v/>
      </c>
      <c r="K240" s="64" t="str">
        <f t="shared" si="127"/>
        <v/>
      </c>
      <c r="L240" s="63" t="str">
        <f t="shared" si="128"/>
        <v/>
      </c>
      <c r="M240" s="64" t="str">
        <f t="shared" si="129"/>
        <v/>
      </c>
      <c r="N240" s="65"/>
      <c r="O240" s="63" t="str">
        <f t="shared" si="130"/>
        <v/>
      </c>
      <c r="P240" s="63" t="str">
        <f t="shared" si="131"/>
        <v/>
      </c>
      <c r="Q240" s="66"/>
      <c r="R240" s="63" t="str">
        <f t="shared" si="132"/>
        <v/>
      </c>
      <c r="S240" s="64" t="str">
        <f t="shared" si="133"/>
        <v/>
      </c>
      <c r="T240" s="63" t="str">
        <f t="shared" si="134"/>
        <v/>
      </c>
      <c r="U240" s="64" t="str">
        <f t="shared" si="135"/>
        <v/>
      </c>
      <c r="V240" s="207" t="str">
        <f>IF($A241="","",IF(AND(MONTH(A240)&gt;3,MONTH(A240)&lt;11),(T240+R240+G240)*Summary!$T$7/(1-Summary!$T$7),(T240+R240+G240)*Summary!$U$7/(1-Summary!$U$7)))</f>
        <v/>
      </c>
      <c r="W240" s="63" t="str">
        <f t="shared" si="136"/>
        <v/>
      </c>
      <c r="X240" s="63" t="str">
        <f t="shared" si="137"/>
        <v/>
      </c>
      <c r="Y240" s="43"/>
      <c r="Z240" s="38" t="str">
        <f t="shared" si="138"/>
        <v/>
      </c>
      <c r="AA240" s="38" t="str">
        <f t="shared" si="138"/>
        <v/>
      </c>
      <c r="AB240" s="38" t="e">
        <f t="shared" si="115"/>
        <v>#VALUE!</v>
      </c>
      <c r="AC240" s="38" t="str">
        <f t="shared" si="138"/>
        <v/>
      </c>
      <c r="AD240" s="38" t="str">
        <f t="shared" si="116"/>
        <v/>
      </c>
      <c r="AE240" s="38" t="e">
        <f t="shared" si="117"/>
        <v>#VALUE!</v>
      </c>
      <c r="AF240" s="238" t="e">
        <f>((Summary!$N$7*(AA240*AD240)*(A240-$D$3))+(Summary!$M$7*Z240*AC240*(DAY(EOMONTH(A240,0))/2)))/(AK240*AB240*AE240)</f>
        <v>#VALUE!</v>
      </c>
      <c r="AG240" s="88" t="str">
        <f>IF($A241="","",Summary!$Q$7)</f>
        <v/>
      </c>
      <c r="AH240" s="88" t="str">
        <f>IF($A241="","",IF(Summary!$R$7="Y",(VLOOKUP($A240,Summary!$AD$6:$AF$9,3)+'Escalating commodity'!C253),'Escalating commodity'!C253))</f>
        <v/>
      </c>
      <c r="AI240" s="88" t="str">
        <f t="shared" si="139"/>
        <v/>
      </c>
      <c r="AJ240" s="236" t="e">
        <f t="shared" si="118"/>
        <v>#VALUE!</v>
      </c>
      <c r="AK240" s="58" t="str">
        <f t="shared" si="140"/>
        <v/>
      </c>
      <c r="AL240" s="26" t="str">
        <f>IF($A241="","",_xll.SPRDOPT(P240,X240,AI240,0,AB240,AE240,AF240,AK240,$AJ$2,0))</f>
        <v/>
      </c>
      <c r="AM240" s="209" t="str">
        <f t="shared" si="119"/>
        <v/>
      </c>
      <c r="AN240" s="89" t="str">
        <f t="shared" si="141"/>
        <v/>
      </c>
      <c r="AO240" s="3" t="str">
        <f t="shared" si="142"/>
        <v/>
      </c>
      <c r="AP240" s="33" t="str">
        <f t="shared" si="143"/>
        <v/>
      </c>
      <c r="AQ240" s="58" t="str">
        <f t="shared" si="120"/>
        <v/>
      </c>
      <c r="AR240" s="38">
        <f>IF(Summary!$H$2=1,VLOOKUP('ANR OK vs ML7'!A240,Curves!$C$17:$AR$273,MATCH('ANR OK vs ML7'!$AR$4,Curves!$C$8:$AQ$8,0)),0.1)</f>
        <v>0.1</v>
      </c>
      <c r="AS240" s="35" t="str">
        <f t="shared" si="121"/>
        <v/>
      </c>
      <c r="AT240" s="3" t="str">
        <f t="shared" si="144"/>
        <v/>
      </c>
      <c r="AU240" s="3" t="str">
        <f t="shared" si="122"/>
        <v/>
      </c>
      <c r="AW240" s="32" t="str">
        <f t="shared" si="145"/>
        <v/>
      </c>
      <c r="AX240" s="32" t="str">
        <f t="shared" si="146"/>
        <v/>
      </c>
      <c r="AY240" s="32" t="str">
        <f t="shared" si="147"/>
        <v/>
      </c>
      <c r="BA240" s="32" t="str">
        <f>IF($A241="","",F240*Summary!$Q$7)</f>
        <v/>
      </c>
    </row>
    <row r="241" spans="1:53" ht="12" customHeight="1">
      <c r="A241" s="67" t="str">
        <f t="shared" si="123"/>
        <v/>
      </c>
      <c r="B241" s="69" t="str">
        <f t="shared" si="148"/>
        <v/>
      </c>
      <c r="C241" s="71"/>
      <c r="D241" s="69" t="str">
        <f t="shared" si="149"/>
        <v/>
      </c>
      <c r="E241" s="70" t="str">
        <f t="shared" si="113"/>
        <v/>
      </c>
      <c r="F241" s="70" t="str">
        <f t="shared" si="114"/>
        <v/>
      </c>
      <c r="G241" s="63" t="str">
        <f t="shared" si="124"/>
        <v/>
      </c>
      <c r="H241" s="64" t="str">
        <f t="shared" si="125"/>
        <v/>
      </c>
      <c r="I241" s="43"/>
      <c r="J241" s="63" t="str">
        <f t="shared" si="126"/>
        <v/>
      </c>
      <c r="K241" s="64" t="str">
        <f t="shared" si="127"/>
        <v/>
      </c>
      <c r="L241" s="63" t="str">
        <f t="shared" si="128"/>
        <v/>
      </c>
      <c r="M241" s="64" t="str">
        <f t="shared" si="129"/>
        <v/>
      </c>
      <c r="N241" s="65"/>
      <c r="O241" s="63" t="str">
        <f t="shared" si="130"/>
        <v/>
      </c>
      <c r="P241" s="63" t="str">
        <f t="shared" si="131"/>
        <v/>
      </c>
      <c r="Q241" s="66"/>
      <c r="R241" s="63" t="str">
        <f t="shared" si="132"/>
        <v/>
      </c>
      <c r="S241" s="64" t="str">
        <f t="shared" si="133"/>
        <v/>
      </c>
      <c r="T241" s="63" t="str">
        <f t="shared" si="134"/>
        <v/>
      </c>
      <c r="U241" s="64" t="str">
        <f t="shared" si="135"/>
        <v/>
      </c>
      <c r="V241" s="207" t="str">
        <f>IF($A242="","",IF(AND(MONTH(A241)&gt;3,MONTH(A241)&lt;11),(T241+R241+G241)*Summary!$T$7/(1-Summary!$T$7),(T241+R241+G241)*Summary!$U$7/(1-Summary!$U$7)))</f>
        <v/>
      </c>
      <c r="W241" s="63" t="str">
        <f t="shared" si="136"/>
        <v/>
      </c>
      <c r="X241" s="63" t="str">
        <f t="shared" si="137"/>
        <v/>
      </c>
      <c r="Y241" s="43"/>
      <c r="Z241" s="38" t="str">
        <f t="shared" si="138"/>
        <v/>
      </c>
      <c r="AA241" s="38" t="str">
        <f t="shared" si="138"/>
        <v/>
      </c>
      <c r="AB241" s="38" t="e">
        <f t="shared" si="115"/>
        <v>#VALUE!</v>
      </c>
      <c r="AC241" s="38" t="str">
        <f t="shared" si="138"/>
        <v/>
      </c>
      <c r="AD241" s="38" t="str">
        <f t="shared" si="116"/>
        <v/>
      </c>
      <c r="AE241" s="38" t="e">
        <f t="shared" si="117"/>
        <v>#VALUE!</v>
      </c>
      <c r="AF241" s="238" t="e">
        <f>((Summary!$N$7*(AA241*AD241)*(A241-$D$3))+(Summary!$M$7*Z241*AC241*(DAY(EOMONTH(A241,0))/2)))/(AK241*AB241*AE241)</f>
        <v>#VALUE!</v>
      </c>
      <c r="AG241" s="88" t="str">
        <f>IF($A242="","",Summary!$Q$7)</f>
        <v/>
      </c>
      <c r="AH241" s="88" t="str">
        <f>IF($A242="","",IF(Summary!$R$7="Y",(VLOOKUP($A241,Summary!$AD$6:$AF$9,3)+'Escalating commodity'!C254),'Escalating commodity'!C254))</f>
        <v/>
      </c>
      <c r="AI241" s="88" t="str">
        <f t="shared" si="139"/>
        <v/>
      </c>
      <c r="AJ241" s="236" t="e">
        <f t="shared" si="118"/>
        <v>#VALUE!</v>
      </c>
      <c r="AK241" s="58" t="str">
        <f t="shared" si="140"/>
        <v/>
      </c>
      <c r="AL241" s="26" t="str">
        <f>IF($A242="","",_xll.SPRDOPT(P241,X241,AI241,0,AB241,AE241,AF241,AK241,$AJ$2,0))</f>
        <v/>
      </c>
      <c r="AM241" s="209" t="str">
        <f t="shared" si="119"/>
        <v/>
      </c>
      <c r="AN241" s="89" t="str">
        <f t="shared" si="141"/>
        <v/>
      </c>
      <c r="AO241" s="3" t="str">
        <f t="shared" si="142"/>
        <v/>
      </c>
      <c r="AP241" s="33" t="str">
        <f t="shared" si="143"/>
        <v/>
      </c>
      <c r="AQ241" s="58" t="str">
        <f t="shared" si="120"/>
        <v/>
      </c>
      <c r="AR241" s="38">
        <f>IF(Summary!$H$2=1,VLOOKUP('ANR OK vs ML7'!A241,Curves!$C$17:$AR$273,MATCH('ANR OK vs ML7'!$AR$4,Curves!$C$8:$AQ$8,0)),0.1)</f>
        <v>0.1</v>
      </c>
      <c r="AS241" s="35" t="str">
        <f t="shared" si="121"/>
        <v/>
      </c>
      <c r="AT241" s="3" t="str">
        <f t="shared" si="144"/>
        <v/>
      </c>
      <c r="AU241" s="3" t="str">
        <f t="shared" si="122"/>
        <v/>
      </c>
      <c r="AW241" s="32" t="str">
        <f t="shared" si="145"/>
        <v/>
      </c>
      <c r="AX241" s="32" t="str">
        <f t="shared" si="146"/>
        <v/>
      </c>
      <c r="AY241" s="32" t="str">
        <f t="shared" si="147"/>
        <v/>
      </c>
      <c r="BA241" s="32" t="str">
        <f>IF($A242="","",F241*Summary!$Q$7)</f>
        <v/>
      </c>
    </row>
    <row r="242" spans="1:53" ht="12" customHeight="1">
      <c r="A242" s="67" t="str">
        <f t="shared" si="123"/>
        <v/>
      </c>
      <c r="B242" s="69" t="str">
        <f t="shared" si="148"/>
        <v/>
      </c>
      <c r="C242" s="71"/>
      <c r="D242" s="69" t="str">
        <f t="shared" si="149"/>
        <v/>
      </c>
      <c r="E242" s="70" t="str">
        <f t="shared" si="113"/>
        <v/>
      </c>
      <c r="F242" s="70" t="str">
        <f t="shared" si="114"/>
        <v/>
      </c>
      <c r="G242" s="63" t="str">
        <f t="shared" si="124"/>
        <v/>
      </c>
      <c r="H242" s="64" t="str">
        <f t="shared" si="125"/>
        <v/>
      </c>
      <c r="I242" s="43"/>
      <c r="J242" s="63" t="str">
        <f t="shared" si="126"/>
        <v/>
      </c>
      <c r="K242" s="64" t="str">
        <f t="shared" si="127"/>
        <v/>
      </c>
      <c r="L242" s="63" t="str">
        <f t="shared" si="128"/>
        <v/>
      </c>
      <c r="M242" s="64" t="str">
        <f t="shared" si="129"/>
        <v/>
      </c>
      <c r="N242" s="65"/>
      <c r="O242" s="63" t="str">
        <f t="shared" si="130"/>
        <v/>
      </c>
      <c r="P242" s="63" t="str">
        <f t="shared" si="131"/>
        <v/>
      </c>
      <c r="Q242" s="66"/>
      <c r="R242" s="63" t="str">
        <f t="shared" si="132"/>
        <v/>
      </c>
      <c r="S242" s="64" t="str">
        <f t="shared" si="133"/>
        <v/>
      </c>
      <c r="T242" s="63" t="str">
        <f t="shared" si="134"/>
        <v/>
      </c>
      <c r="U242" s="64" t="str">
        <f t="shared" si="135"/>
        <v/>
      </c>
      <c r="V242" s="207" t="str">
        <f>IF($A243="","",IF(AND(MONTH(A242)&gt;3,MONTH(A242)&lt;11),(T242+R242+G242)*Summary!$T$7/(1-Summary!$T$7),(T242+R242+G242)*Summary!$U$7/(1-Summary!$U$7)))</f>
        <v/>
      </c>
      <c r="W242" s="63" t="str">
        <f t="shared" si="136"/>
        <v/>
      </c>
      <c r="X242" s="63" t="str">
        <f t="shared" si="137"/>
        <v/>
      </c>
      <c r="Y242" s="43"/>
      <c r="Z242" s="38" t="str">
        <f t="shared" si="138"/>
        <v/>
      </c>
      <c r="AA242" s="38" t="str">
        <f t="shared" si="138"/>
        <v/>
      </c>
      <c r="AB242" s="38" t="e">
        <f t="shared" si="115"/>
        <v>#VALUE!</v>
      </c>
      <c r="AC242" s="38" t="str">
        <f t="shared" si="138"/>
        <v/>
      </c>
      <c r="AD242" s="38" t="str">
        <f t="shared" si="116"/>
        <v/>
      </c>
      <c r="AE242" s="38" t="e">
        <f t="shared" si="117"/>
        <v>#VALUE!</v>
      </c>
      <c r="AF242" s="238" t="e">
        <f>((Summary!$N$7*(AA242*AD242)*(A242-$D$3))+(Summary!$M$7*Z242*AC242*(DAY(EOMONTH(A242,0))/2)))/(AK242*AB242*AE242)</f>
        <v>#VALUE!</v>
      </c>
      <c r="AG242" s="88" t="str">
        <f>IF($A243="","",Summary!$Q$7)</f>
        <v/>
      </c>
      <c r="AH242" s="88" t="str">
        <f>IF($A243="","",IF(Summary!$R$7="Y",(VLOOKUP($A242,Summary!$AD$6:$AF$9,3)+'Escalating commodity'!C255),'Escalating commodity'!C255))</f>
        <v/>
      </c>
      <c r="AI242" s="88" t="str">
        <f t="shared" si="139"/>
        <v/>
      </c>
      <c r="AJ242" s="236" t="e">
        <f t="shared" si="118"/>
        <v>#VALUE!</v>
      </c>
      <c r="AK242" s="58" t="str">
        <f t="shared" si="140"/>
        <v/>
      </c>
      <c r="AL242" s="26" t="str">
        <f>IF($A243="","",_xll.SPRDOPT(P242,X242,AI242,0,AB242,AE242,AF242,AK242,$AJ$2,0))</f>
        <v/>
      </c>
      <c r="AM242" s="209" t="str">
        <f t="shared" si="119"/>
        <v/>
      </c>
      <c r="AN242" s="89" t="str">
        <f t="shared" si="141"/>
        <v/>
      </c>
      <c r="AO242" s="3" t="str">
        <f t="shared" si="142"/>
        <v/>
      </c>
      <c r="AP242" s="33" t="str">
        <f t="shared" si="143"/>
        <v/>
      </c>
      <c r="AQ242" s="58" t="str">
        <f t="shared" si="120"/>
        <v/>
      </c>
      <c r="AR242" s="38">
        <f>IF(Summary!$H$2=1,VLOOKUP('ANR OK vs ML7'!A242,Curves!$C$17:$AR$273,MATCH('ANR OK vs ML7'!$AR$4,Curves!$C$8:$AQ$8,0)),0.1)</f>
        <v>0.1</v>
      </c>
      <c r="AS242" s="35" t="str">
        <f t="shared" si="121"/>
        <v/>
      </c>
      <c r="AT242" s="3" t="str">
        <f t="shared" si="144"/>
        <v/>
      </c>
      <c r="AU242" s="3" t="str">
        <f t="shared" si="122"/>
        <v/>
      </c>
      <c r="AW242" s="32" t="str">
        <f t="shared" si="145"/>
        <v/>
      </c>
      <c r="AX242" s="32" t="str">
        <f t="shared" si="146"/>
        <v/>
      </c>
      <c r="AY242" s="32" t="str">
        <f t="shared" si="147"/>
        <v/>
      </c>
      <c r="BA242" s="32" t="str">
        <f>IF($A243="","",F242*Summary!$Q$7)</f>
        <v/>
      </c>
    </row>
    <row r="243" spans="1:53" ht="12" customHeight="1">
      <c r="A243" s="67" t="str">
        <f t="shared" si="123"/>
        <v/>
      </c>
      <c r="B243" s="69" t="str">
        <f t="shared" si="148"/>
        <v/>
      </c>
      <c r="C243" s="71"/>
      <c r="D243" s="69" t="str">
        <f t="shared" si="149"/>
        <v/>
      </c>
      <c r="E243" s="70" t="str">
        <f t="shared" si="113"/>
        <v/>
      </c>
      <c r="F243" s="70" t="str">
        <f t="shared" si="114"/>
        <v/>
      </c>
      <c r="G243" s="63" t="str">
        <f t="shared" si="124"/>
        <v/>
      </c>
      <c r="H243" s="64" t="str">
        <f t="shared" si="125"/>
        <v/>
      </c>
      <c r="I243" s="43"/>
      <c r="J243" s="63" t="str">
        <f t="shared" si="126"/>
        <v/>
      </c>
      <c r="K243" s="64" t="str">
        <f t="shared" si="127"/>
        <v/>
      </c>
      <c r="L243" s="63" t="str">
        <f t="shared" si="128"/>
        <v/>
      </c>
      <c r="M243" s="64" t="str">
        <f t="shared" si="129"/>
        <v/>
      </c>
      <c r="N243" s="65"/>
      <c r="O243" s="63" t="str">
        <f t="shared" si="130"/>
        <v/>
      </c>
      <c r="P243" s="63" t="str">
        <f t="shared" si="131"/>
        <v/>
      </c>
      <c r="Q243" s="66"/>
      <c r="R243" s="63" t="str">
        <f t="shared" si="132"/>
        <v/>
      </c>
      <c r="S243" s="64" t="str">
        <f t="shared" si="133"/>
        <v/>
      </c>
      <c r="T243" s="63" t="str">
        <f t="shared" si="134"/>
        <v/>
      </c>
      <c r="U243" s="64" t="str">
        <f t="shared" si="135"/>
        <v/>
      </c>
      <c r="V243" s="207" t="str">
        <f>IF($A244="","",IF(AND(MONTH(A243)&gt;3,MONTH(A243)&lt;11),(T243+R243+G243)*Summary!$T$7/(1-Summary!$T$7),(T243+R243+G243)*Summary!$U$7/(1-Summary!$U$7)))</f>
        <v/>
      </c>
      <c r="W243" s="63" t="str">
        <f t="shared" si="136"/>
        <v/>
      </c>
      <c r="X243" s="63" t="str">
        <f t="shared" si="137"/>
        <v/>
      </c>
      <c r="Y243" s="43"/>
      <c r="Z243" s="38" t="str">
        <f t="shared" si="138"/>
        <v/>
      </c>
      <c r="AA243" s="38" t="str">
        <f t="shared" si="138"/>
        <v/>
      </c>
      <c r="AB243" s="38" t="e">
        <f t="shared" si="115"/>
        <v>#VALUE!</v>
      </c>
      <c r="AC243" s="38" t="str">
        <f t="shared" si="138"/>
        <v/>
      </c>
      <c r="AD243" s="38" t="str">
        <f t="shared" si="116"/>
        <v/>
      </c>
      <c r="AE243" s="38" t="e">
        <f t="shared" si="117"/>
        <v>#VALUE!</v>
      </c>
      <c r="AF243" s="238" t="e">
        <f>((Summary!$N$7*(AA243*AD243)*(A243-$D$3))+(Summary!$M$7*Z243*AC243*(DAY(EOMONTH(A243,0))/2)))/(AK243*AB243*AE243)</f>
        <v>#VALUE!</v>
      </c>
      <c r="AG243" s="88" t="str">
        <f>IF($A244="","",Summary!$Q$7)</f>
        <v/>
      </c>
      <c r="AH243" s="88" t="str">
        <f>IF($A244="","",IF(Summary!$R$7="Y",(VLOOKUP($A243,Summary!$AD$6:$AF$9,3)+'Escalating commodity'!C256),'Escalating commodity'!C256))</f>
        <v/>
      </c>
      <c r="AI243" s="88" t="str">
        <f t="shared" si="139"/>
        <v/>
      </c>
      <c r="AJ243" s="236" t="e">
        <f t="shared" si="118"/>
        <v>#VALUE!</v>
      </c>
      <c r="AK243" s="58" t="str">
        <f t="shared" si="140"/>
        <v/>
      </c>
      <c r="AL243" s="26" t="str">
        <f>IF($A244="","",_xll.SPRDOPT(P243,X243,AI243,0,AB243,AE243,AF243,AK243,$AJ$2,0))</f>
        <v/>
      </c>
      <c r="AM243" s="209" t="str">
        <f t="shared" si="119"/>
        <v/>
      </c>
      <c r="AN243" s="89" t="str">
        <f t="shared" si="141"/>
        <v/>
      </c>
      <c r="AO243" s="3" t="str">
        <f t="shared" si="142"/>
        <v/>
      </c>
      <c r="AP243" s="33" t="str">
        <f t="shared" si="143"/>
        <v/>
      </c>
      <c r="AQ243" s="58" t="str">
        <f t="shared" si="120"/>
        <v/>
      </c>
      <c r="AR243" s="38">
        <f>IF(Summary!$H$2=1,VLOOKUP('ANR OK vs ML7'!A243,Curves!$C$17:$AR$273,MATCH('ANR OK vs ML7'!$AR$4,Curves!$C$8:$AQ$8,0)),0.1)</f>
        <v>0.1</v>
      </c>
      <c r="AS243" s="35" t="str">
        <f t="shared" si="121"/>
        <v/>
      </c>
      <c r="AT243" s="3" t="str">
        <f t="shared" si="144"/>
        <v/>
      </c>
      <c r="AU243" s="3" t="str">
        <f t="shared" si="122"/>
        <v/>
      </c>
      <c r="AW243" s="32" t="str">
        <f t="shared" si="145"/>
        <v/>
      </c>
      <c r="AX243" s="32" t="str">
        <f t="shared" si="146"/>
        <v/>
      </c>
      <c r="AY243" s="32" t="str">
        <f t="shared" si="147"/>
        <v/>
      </c>
      <c r="BA243" s="32" t="str">
        <f>IF($A244="","",F243*Summary!$Q$7)</f>
        <v/>
      </c>
    </row>
    <row r="244" spans="1:53" ht="12" customHeight="1">
      <c r="A244" s="67" t="str">
        <f t="shared" si="123"/>
        <v/>
      </c>
      <c r="B244" s="69" t="str">
        <f t="shared" si="148"/>
        <v/>
      </c>
      <c r="C244" s="71"/>
      <c r="D244" s="69" t="str">
        <f t="shared" si="149"/>
        <v/>
      </c>
      <c r="E244" s="70" t="str">
        <f t="shared" si="113"/>
        <v/>
      </c>
      <c r="F244" s="70" t="str">
        <f t="shared" si="114"/>
        <v/>
      </c>
      <c r="G244" s="63" t="str">
        <f t="shared" si="124"/>
        <v/>
      </c>
      <c r="H244" s="64" t="str">
        <f t="shared" si="125"/>
        <v/>
      </c>
      <c r="I244" s="43"/>
      <c r="J244" s="63" t="str">
        <f t="shared" si="126"/>
        <v/>
      </c>
      <c r="K244" s="64" t="str">
        <f t="shared" si="127"/>
        <v/>
      </c>
      <c r="L244" s="63" t="str">
        <f t="shared" si="128"/>
        <v/>
      </c>
      <c r="M244" s="64" t="str">
        <f t="shared" si="129"/>
        <v/>
      </c>
      <c r="N244" s="65"/>
      <c r="O244" s="63" t="str">
        <f t="shared" si="130"/>
        <v/>
      </c>
      <c r="P244" s="63" t="str">
        <f t="shared" si="131"/>
        <v/>
      </c>
      <c r="Q244" s="66"/>
      <c r="R244" s="63" t="str">
        <f t="shared" si="132"/>
        <v/>
      </c>
      <c r="S244" s="64" t="str">
        <f t="shared" si="133"/>
        <v/>
      </c>
      <c r="T244" s="63" t="str">
        <f t="shared" si="134"/>
        <v/>
      </c>
      <c r="U244" s="64" t="str">
        <f t="shared" si="135"/>
        <v/>
      </c>
      <c r="V244" s="207" t="str">
        <f>IF($A245="","",IF(AND(MONTH(A244)&gt;3,MONTH(A244)&lt;11),(T244+R244+G244)*Summary!$T$7/(1-Summary!$T$7),(T244+R244+G244)*Summary!$U$7/(1-Summary!$U$7)))</f>
        <v/>
      </c>
      <c r="W244" s="63" t="str">
        <f t="shared" si="136"/>
        <v/>
      </c>
      <c r="X244" s="63" t="str">
        <f t="shared" si="137"/>
        <v/>
      </c>
      <c r="Y244" s="43"/>
      <c r="Z244" s="38" t="str">
        <f t="shared" si="138"/>
        <v/>
      </c>
      <c r="AA244" s="38" t="str">
        <f t="shared" si="138"/>
        <v/>
      </c>
      <c r="AB244" s="38" t="e">
        <f t="shared" si="115"/>
        <v>#VALUE!</v>
      </c>
      <c r="AC244" s="38" t="str">
        <f t="shared" si="138"/>
        <v/>
      </c>
      <c r="AD244" s="38" t="str">
        <f t="shared" si="116"/>
        <v/>
      </c>
      <c r="AE244" s="38" t="e">
        <f t="shared" si="117"/>
        <v>#VALUE!</v>
      </c>
      <c r="AF244" s="238" t="e">
        <f>((Summary!$N$7*(AA244*AD244)*(A244-$D$3))+(Summary!$M$7*Z244*AC244*(DAY(EOMONTH(A244,0))/2)))/(AK244*AB244*AE244)</f>
        <v>#VALUE!</v>
      </c>
      <c r="AG244" s="88" t="str">
        <f>IF($A245="","",Summary!$Q$7)</f>
        <v/>
      </c>
      <c r="AH244" s="88" t="str">
        <f>IF($A245="","",IF(Summary!$R$7="Y",(VLOOKUP($A244,Summary!$AD$6:$AF$9,3)+'Escalating commodity'!C257),'Escalating commodity'!C257))</f>
        <v/>
      </c>
      <c r="AI244" s="88" t="str">
        <f t="shared" si="139"/>
        <v/>
      </c>
      <c r="AJ244" s="236" t="e">
        <f t="shared" si="118"/>
        <v>#VALUE!</v>
      </c>
      <c r="AK244" s="58" t="str">
        <f t="shared" si="140"/>
        <v/>
      </c>
      <c r="AL244" s="26" t="str">
        <f>IF($A245="","",_xll.SPRDOPT(P244,X244,AI244,0,AB244,AE244,AF244,AK244,$AJ$2,0))</f>
        <v/>
      </c>
      <c r="AM244" s="209" t="str">
        <f t="shared" si="119"/>
        <v/>
      </c>
      <c r="AN244" s="89" t="str">
        <f t="shared" si="141"/>
        <v/>
      </c>
      <c r="AO244" s="3" t="str">
        <f t="shared" si="142"/>
        <v/>
      </c>
      <c r="AP244" s="33" t="str">
        <f t="shared" si="143"/>
        <v/>
      </c>
      <c r="AQ244" s="58" t="str">
        <f t="shared" si="120"/>
        <v/>
      </c>
      <c r="AR244" s="38">
        <f>IF(Summary!$H$2=1,VLOOKUP('ANR OK vs ML7'!A244,Curves!$C$17:$AR$273,MATCH('ANR OK vs ML7'!$AR$4,Curves!$C$8:$AQ$8,0)),0.1)</f>
        <v>0.1</v>
      </c>
      <c r="AS244" s="35" t="str">
        <f t="shared" si="121"/>
        <v/>
      </c>
      <c r="AT244" s="3" t="str">
        <f t="shared" si="144"/>
        <v/>
      </c>
      <c r="AU244" s="3" t="str">
        <f t="shared" si="122"/>
        <v/>
      </c>
      <c r="AW244" s="32" t="str">
        <f t="shared" si="145"/>
        <v/>
      </c>
      <c r="AX244" s="32" t="str">
        <f t="shared" si="146"/>
        <v/>
      </c>
      <c r="AY244" s="32" t="str">
        <f t="shared" si="147"/>
        <v/>
      </c>
      <c r="BA244" s="32" t="str">
        <f>IF($A245="","",F244*Summary!$Q$7)</f>
        <v/>
      </c>
    </row>
    <row r="245" spans="1:53" ht="12" customHeight="1">
      <c r="A245" s="67" t="str">
        <f t="shared" si="123"/>
        <v/>
      </c>
      <c r="B245" s="69" t="str">
        <f t="shared" si="148"/>
        <v/>
      </c>
      <c r="C245" s="71"/>
      <c r="D245" s="69" t="str">
        <f t="shared" si="149"/>
        <v/>
      </c>
      <c r="E245" s="70" t="str">
        <f t="shared" si="113"/>
        <v/>
      </c>
      <c r="F245" s="70" t="str">
        <f t="shared" si="114"/>
        <v/>
      </c>
      <c r="G245" s="63" t="str">
        <f t="shared" si="124"/>
        <v/>
      </c>
      <c r="H245" s="64" t="str">
        <f t="shared" si="125"/>
        <v/>
      </c>
      <c r="I245" s="43"/>
      <c r="J245" s="63" t="str">
        <f t="shared" si="126"/>
        <v/>
      </c>
      <c r="K245" s="64" t="str">
        <f t="shared" si="127"/>
        <v/>
      </c>
      <c r="L245" s="63" t="str">
        <f t="shared" si="128"/>
        <v/>
      </c>
      <c r="M245" s="64" t="str">
        <f t="shared" si="129"/>
        <v/>
      </c>
      <c r="N245" s="65"/>
      <c r="O245" s="63" t="str">
        <f t="shared" si="130"/>
        <v/>
      </c>
      <c r="P245" s="63" t="str">
        <f t="shared" si="131"/>
        <v/>
      </c>
      <c r="Q245" s="66"/>
      <c r="R245" s="63" t="str">
        <f t="shared" si="132"/>
        <v/>
      </c>
      <c r="S245" s="64" t="str">
        <f t="shared" si="133"/>
        <v/>
      </c>
      <c r="T245" s="63" t="str">
        <f t="shared" si="134"/>
        <v/>
      </c>
      <c r="U245" s="64" t="str">
        <f t="shared" si="135"/>
        <v/>
      </c>
      <c r="V245" s="207" t="str">
        <f>IF($A246="","",IF(AND(MONTH(A245)&gt;3,MONTH(A245)&lt;11),(T245+R245+G245)*Summary!$T$7/(1-Summary!$T$7),(T245+R245+G245)*Summary!$U$7/(1-Summary!$U$7)))</f>
        <v/>
      </c>
      <c r="W245" s="63" t="str">
        <f t="shared" si="136"/>
        <v/>
      </c>
      <c r="X245" s="63" t="str">
        <f t="shared" si="137"/>
        <v/>
      </c>
      <c r="Y245" s="43"/>
      <c r="Z245" s="38" t="str">
        <f t="shared" si="138"/>
        <v/>
      </c>
      <c r="AA245" s="38" t="str">
        <f t="shared" si="138"/>
        <v/>
      </c>
      <c r="AB245" s="38" t="e">
        <f t="shared" si="115"/>
        <v>#VALUE!</v>
      </c>
      <c r="AC245" s="38" t="str">
        <f t="shared" si="138"/>
        <v/>
      </c>
      <c r="AD245" s="38" t="str">
        <f t="shared" si="116"/>
        <v/>
      </c>
      <c r="AE245" s="38" t="e">
        <f t="shared" si="117"/>
        <v>#VALUE!</v>
      </c>
      <c r="AF245" s="238" t="e">
        <f>((Summary!$N$7*(AA245*AD245)*(A245-$D$3))+(Summary!$M$7*Z245*AC245*(DAY(EOMONTH(A245,0))/2)))/(AK245*AB245*AE245)</f>
        <v>#VALUE!</v>
      </c>
      <c r="AG245" s="88" t="str">
        <f>IF($A246="","",Summary!$Q$7)</f>
        <v/>
      </c>
      <c r="AH245" s="88" t="str">
        <f>IF($A246="","",IF(Summary!$R$7="Y",(VLOOKUP($A245,Summary!$AD$6:$AF$9,3)+'Escalating commodity'!C258),'Escalating commodity'!C258))</f>
        <v/>
      </c>
      <c r="AI245" s="88" t="str">
        <f t="shared" si="139"/>
        <v/>
      </c>
      <c r="AJ245" s="236" t="e">
        <f t="shared" si="118"/>
        <v>#VALUE!</v>
      </c>
      <c r="AK245" s="58" t="str">
        <f t="shared" si="140"/>
        <v/>
      </c>
      <c r="AL245" s="26" t="str">
        <f>IF($A246="","",_xll.SPRDOPT(P245,X245,AI245,0,AB245,AE245,AF245,AK245,$AJ$2,0))</f>
        <v/>
      </c>
      <c r="AM245" s="209" t="str">
        <f t="shared" si="119"/>
        <v/>
      </c>
      <c r="AN245" s="89" t="str">
        <f t="shared" si="141"/>
        <v/>
      </c>
      <c r="AO245" s="3" t="str">
        <f t="shared" si="142"/>
        <v/>
      </c>
      <c r="AP245" s="33" t="str">
        <f t="shared" si="143"/>
        <v/>
      </c>
      <c r="AQ245" s="58" t="str">
        <f t="shared" si="120"/>
        <v/>
      </c>
      <c r="AR245" s="38">
        <f>IF(Summary!$H$2=1,VLOOKUP('ANR OK vs ML7'!A245,Curves!$C$17:$AR$273,MATCH('ANR OK vs ML7'!$AR$4,Curves!$C$8:$AQ$8,0)),0.1)</f>
        <v>0.1</v>
      </c>
      <c r="AS245" s="35" t="str">
        <f t="shared" si="121"/>
        <v/>
      </c>
      <c r="AT245" s="3" t="str">
        <f t="shared" si="144"/>
        <v/>
      </c>
      <c r="AU245" s="3" t="str">
        <f t="shared" si="122"/>
        <v/>
      </c>
      <c r="AW245" s="32" t="str">
        <f t="shared" si="145"/>
        <v/>
      </c>
      <c r="AX245" s="32" t="str">
        <f t="shared" si="146"/>
        <v/>
      </c>
      <c r="AY245" s="32" t="str">
        <f t="shared" si="147"/>
        <v/>
      </c>
      <c r="BA245" s="32" t="str">
        <f>IF($A246="","",F245*Summary!$Q$7)</f>
        <v/>
      </c>
    </row>
    <row r="246" spans="1:53" ht="12" customHeight="1">
      <c r="A246" s="67" t="str">
        <f t="shared" si="123"/>
        <v/>
      </c>
      <c r="B246" s="69" t="str">
        <f t="shared" si="148"/>
        <v/>
      </c>
      <c r="C246" s="71"/>
      <c r="D246" s="69" t="str">
        <f t="shared" si="149"/>
        <v/>
      </c>
      <c r="E246" s="70" t="str">
        <f t="shared" si="113"/>
        <v/>
      </c>
      <c r="F246" s="70" t="str">
        <f t="shared" si="114"/>
        <v/>
      </c>
      <c r="G246" s="63" t="str">
        <f t="shared" si="124"/>
        <v/>
      </c>
      <c r="H246" s="64" t="str">
        <f t="shared" si="125"/>
        <v/>
      </c>
      <c r="I246" s="43"/>
      <c r="J246" s="63" t="str">
        <f t="shared" si="126"/>
        <v/>
      </c>
      <c r="K246" s="64" t="str">
        <f t="shared" si="127"/>
        <v/>
      </c>
      <c r="L246" s="63" t="str">
        <f t="shared" si="128"/>
        <v/>
      </c>
      <c r="M246" s="64" t="str">
        <f t="shared" si="129"/>
        <v/>
      </c>
      <c r="N246" s="65"/>
      <c r="O246" s="63" t="str">
        <f t="shared" si="130"/>
        <v/>
      </c>
      <c r="P246" s="63" t="str">
        <f t="shared" si="131"/>
        <v/>
      </c>
      <c r="Q246" s="66"/>
      <c r="R246" s="63" t="str">
        <f t="shared" si="132"/>
        <v/>
      </c>
      <c r="S246" s="64" t="str">
        <f t="shared" si="133"/>
        <v/>
      </c>
      <c r="T246" s="63" t="str">
        <f t="shared" si="134"/>
        <v/>
      </c>
      <c r="U246" s="64" t="str">
        <f t="shared" si="135"/>
        <v/>
      </c>
      <c r="V246" s="207" t="str">
        <f>IF($A247="","",IF(AND(MONTH(A246)&gt;3,MONTH(A246)&lt;11),(T246+R246+G246)*Summary!$T$7/(1-Summary!$T$7),(T246+R246+G246)*Summary!$U$7/(1-Summary!$U$7)))</f>
        <v/>
      </c>
      <c r="W246" s="63" t="str">
        <f t="shared" si="136"/>
        <v/>
      </c>
      <c r="X246" s="63" t="str">
        <f t="shared" si="137"/>
        <v/>
      </c>
      <c r="Y246" s="43"/>
      <c r="Z246" s="38" t="str">
        <f t="shared" si="138"/>
        <v/>
      </c>
      <c r="AA246" s="38" t="str">
        <f t="shared" si="138"/>
        <v/>
      </c>
      <c r="AB246" s="38" t="e">
        <f t="shared" si="115"/>
        <v>#VALUE!</v>
      </c>
      <c r="AC246" s="38" t="str">
        <f t="shared" si="138"/>
        <v/>
      </c>
      <c r="AD246" s="38" t="str">
        <f t="shared" si="116"/>
        <v/>
      </c>
      <c r="AE246" s="38" t="e">
        <f t="shared" si="117"/>
        <v>#VALUE!</v>
      </c>
      <c r="AF246" s="238" t="e">
        <f>((Summary!$N$7*(AA246*AD246)*(A246-$D$3))+(Summary!$M$7*Z246*AC246*(DAY(EOMONTH(A246,0))/2)))/(AK246*AB246*AE246)</f>
        <v>#VALUE!</v>
      </c>
      <c r="AG246" s="88" t="str">
        <f>IF($A247="","",Summary!$Q$7)</f>
        <v/>
      </c>
      <c r="AH246" s="88" t="str">
        <f>IF($A247="","",IF(Summary!$R$7="Y",(VLOOKUP($A246,Summary!$AD$6:$AF$9,3)+'Escalating commodity'!C259),'Escalating commodity'!C259))</f>
        <v/>
      </c>
      <c r="AI246" s="88" t="str">
        <f t="shared" si="139"/>
        <v/>
      </c>
      <c r="AJ246" s="236" t="e">
        <f t="shared" si="118"/>
        <v>#VALUE!</v>
      </c>
      <c r="AK246" s="58" t="str">
        <f t="shared" si="140"/>
        <v/>
      </c>
      <c r="AL246" s="26" t="str">
        <f>IF($A247="","",_xll.SPRDOPT(P246,X246,AI246,0,AB246,AE246,AF246,AK246,$AJ$2,0))</f>
        <v/>
      </c>
      <c r="AM246" s="209" t="str">
        <f t="shared" si="119"/>
        <v/>
      </c>
      <c r="AN246" s="89" t="str">
        <f t="shared" si="141"/>
        <v/>
      </c>
      <c r="AO246" s="3" t="str">
        <f t="shared" si="142"/>
        <v/>
      </c>
      <c r="AP246" s="33" t="str">
        <f t="shared" si="143"/>
        <v/>
      </c>
      <c r="AQ246" s="58" t="str">
        <f t="shared" si="120"/>
        <v/>
      </c>
      <c r="AR246" s="38">
        <f>IF(Summary!$H$2=1,VLOOKUP('ANR OK vs ML7'!A246,Curves!$C$17:$AR$273,MATCH('ANR OK vs ML7'!$AR$4,Curves!$C$8:$AQ$8,0)),0.1)</f>
        <v>0.1</v>
      </c>
      <c r="AS246" s="35" t="str">
        <f t="shared" si="121"/>
        <v/>
      </c>
      <c r="AT246" s="3" t="str">
        <f t="shared" si="144"/>
        <v/>
      </c>
      <c r="AU246" s="3" t="str">
        <f t="shared" si="122"/>
        <v/>
      </c>
      <c r="AW246" s="32" t="str">
        <f t="shared" si="145"/>
        <v/>
      </c>
      <c r="AX246" s="32" t="str">
        <f t="shared" si="146"/>
        <v/>
      </c>
      <c r="AY246" s="32" t="str">
        <f t="shared" si="147"/>
        <v/>
      </c>
      <c r="BA246" s="32" t="str">
        <f>IF($A247="","",F246*Summary!$Q$7)</f>
        <v/>
      </c>
    </row>
    <row r="247" spans="1:53" ht="12" customHeight="1">
      <c r="A247" s="67" t="str">
        <f t="shared" si="123"/>
        <v/>
      </c>
      <c r="B247" s="69" t="str">
        <f t="shared" si="148"/>
        <v/>
      </c>
      <c r="C247" s="71"/>
      <c r="D247" s="69" t="str">
        <f t="shared" si="149"/>
        <v/>
      </c>
      <c r="E247" s="70" t="str">
        <f t="shared" si="113"/>
        <v/>
      </c>
      <c r="F247" s="70" t="str">
        <f t="shared" si="114"/>
        <v/>
      </c>
      <c r="G247" s="63" t="str">
        <f t="shared" si="124"/>
        <v/>
      </c>
      <c r="H247" s="64" t="str">
        <f t="shared" si="125"/>
        <v/>
      </c>
      <c r="I247" s="43"/>
      <c r="J247" s="63" t="str">
        <f t="shared" si="126"/>
        <v/>
      </c>
      <c r="K247" s="64" t="str">
        <f t="shared" si="127"/>
        <v/>
      </c>
      <c r="L247" s="63" t="str">
        <f t="shared" si="128"/>
        <v/>
      </c>
      <c r="M247" s="64" t="str">
        <f t="shared" si="129"/>
        <v/>
      </c>
      <c r="N247" s="65"/>
      <c r="O247" s="63" t="str">
        <f t="shared" si="130"/>
        <v/>
      </c>
      <c r="P247" s="63" t="str">
        <f t="shared" si="131"/>
        <v/>
      </c>
      <c r="Q247" s="66"/>
      <c r="R247" s="63" t="str">
        <f t="shared" si="132"/>
        <v/>
      </c>
      <c r="S247" s="64" t="str">
        <f t="shared" si="133"/>
        <v/>
      </c>
      <c r="T247" s="63" t="str">
        <f t="shared" si="134"/>
        <v/>
      </c>
      <c r="U247" s="64" t="str">
        <f t="shared" si="135"/>
        <v/>
      </c>
      <c r="V247" s="207" t="str">
        <f>IF($A248="","",IF(AND(MONTH(A247)&gt;3,MONTH(A247)&lt;11),(T247+R247+G247)*Summary!$T$7/(1-Summary!$T$7),(T247+R247+G247)*Summary!$U$7/(1-Summary!$U$7)))</f>
        <v/>
      </c>
      <c r="W247" s="63" t="str">
        <f t="shared" si="136"/>
        <v/>
      </c>
      <c r="X247" s="63" t="str">
        <f t="shared" si="137"/>
        <v/>
      </c>
      <c r="Y247" s="43"/>
      <c r="Z247" s="38" t="str">
        <f t="shared" si="138"/>
        <v/>
      </c>
      <c r="AA247" s="38" t="str">
        <f t="shared" si="138"/>
        <v/>
      </c>
      <c r="AB247" s="38" t="e">
        <f t="shared" si="115"/>
        <v>#VALUE!</v>
      </c>
      <c r="AC247" s="38" t="str">
        <f t="shared" si="138"/>
        <v/>
      </c>
      <c r="AD247" s="38" t="str">
        <f t="shared" si="116"/>
        <v/>
      </c>
      <c r="AE247" s="38" t="e">
        <f t="shared" si="117"/>
        <v>#VALUE!</v>
      </c>
      <c r="AF247" s="238" t="e">
        <f>((Summary!$N$7*(AA247*AD247)*(A247-$D$3))+(Summary!$M$7*Z247*AC247*(DAY(EOMONTH(A247,0))/2)))/(AK247*AB247*AE247)</f>
        <v>#VALUE!</v>
      </c>
      <c r="AG247" s="88" t="str">
        <f>IF($A248="","",Summary!$Q$7)</f>
        <v/>
      </c>
      <c r="AH247" s="88" t="str">
        <f>IF($A248="","",IF(Summary!$R$7="Y",(VLOOKUP($A247,Summary!$AD$6:$AF$9,3)+'Escalating commodity'!C260),'Escalating commodity'!C260))</f>
        <v/>
      </c>
      <c r="AI247" s="88" t="str">
        <f t="shared" si="139"/>
        <v/>
      </c>
      <c r="AJ247" s="236" t="e">
        <f t="shared" si="118"/>
        <v>#VALUE!</v>
      </c>
      <c r="AK247" s="58" t="str">
        <f t="shared" si="140"/>
        <v/>
      </c>
      <c r="AL247" s="26" t="str">
        <f>IF($A248="","",_xll.SPRDOPT(P247,X247,AI247,0,AB247,AE247,AF247,AK247,$AJ$2,0))</f>
        <v/>
      </c>
      <c r="AM247" s="209" t="str">
        <f t="shared" si="119"/>
        <v/>
      </c>
      <c r="AN247" s="89" t="str">
        <f t="shared" si="141"/>
        <v/>
      </c>
      <c r="AO247" s="3" t="str">
        <f t="shared" si="142"/>
        <v/>
      </c>
      <c r="AP247" s="33" t="str">
        <f t="shared" si="143"/>
        <v/>
      </c>
      <c r="AQ247" s="58" t="str">
        <f t="shared" si="120"/>
        <v/>
      </c>
      <c r="AR247" s="38">
        <f>IF(Summary!$H$2=1,VLOOKUP('ANR OK vs ML7'!A247,Curves!$C$17:$AR$273,MATCH('ANR OK vs ML7'!$AR$4,Curves!$C$8:$AQ$8,0)),0.1)</f>
        <v>0.1</v>
      </c>
      <c r="AS247" s="35" t="str">
        <f t="shared" si="121"/>
        <v/>
      </c>
      <c r="AT247" s="3" t="str">
        <f t="shared" si="144"/>
        <v/>
      </c>
      <c r="AU247" s="3" t="str">
        <f t="shared" si="122"/>
        <v/>
      </c>
      <c r="AW247" s="32" t="str">
        <f t="shared" si="145"/>
        <v/>
      </c>
      <c r="AX247" s="32" t="str">
        <f t="shared" si="146"/>
        <v/>
      </c>
      <c r="AY247" s="32" t="str">
        <f t="shared" si="147"/>
        <v/>
      </c>
      <c r="BA247" s="32" t="str">
        <f>IF($A248="","",F247*Summary!$Q$7)</f>
        <v/>
      </c>
    </row>
    <row r="248" spans="1:53" ht="12" customHeight="1">
      <c r="A248" s="67" t="str">
        <f t="shared" si="123"/>
        <v/>
      </c>
      <c r="B248" s="69" t="str">
        <f t="shared" si="148"/>
        <v/>
      </c>
      <c r="C248" s="71"/>
      <c r="D248" s="69" t="str">
        <f t="shared" si="149"/>
        <v/>
      </c>
      <c r="E248" s="70" t="str">
        <f t="shared" si="113"/>
        <v/>
      </c>
      <c r="F248" s="70" t="str">
        <f t="shared" si="114"/>
        <v/>
      </c>
      <c r="G248" s="63" t="str">
        <f t="shared" si="124"/>
        <v/>
      </c>
      <c r="H248" s="64" t="str">
        <f t="shared" si="125"/>
        <v/>
      </c>
      <c r="I248" s="43"/>
      <c r="J248" s="63" t="str">
        <f t="shared" si="126"/>
        <v/>
      </c>
      <c r="K248" s="64" t="str">
        <f t="shared" si="127"/>
        <v/>
      </c>
      <c r="L248" s="63" t="str">
        <f t="shared" si="128"/>
        <v/>
      </c>
      <c r="M248" s="64" t="str">
        <f t="shared" si="129"/>
        <v/>
      </c>
      <c r="N248" s="65"/>
      <c r="O248" s="63" t="str">
        <f t="shared" si="130"/>
        <v/>
      </c>
      <c r="P248" s="63" t="str">
        <f t="shared" si="131"/>
        <v/>
      </c>
      <c r="Q248" s="66"/>
      <c r="R248" s="63" t="str">
        <f t="shared" si="132"/>
        <v/>
      </c>
      <c r="S248" s="64" t="str">
        <f t="shared" si="133"/>
        <v/>
      </c>
      <c r="T248" s="63" t="str">
        <f t="shared" si="134"/>
        <v/>
      </c>
      <c r="U248" s="64" t="str">
        <f t="shared" si="135"/>
        <v/>
      </c>
      <c r="V248" s="207" t="str">
        <f>IF($A249="","",IF(AND(MONTH(A248)&gt;3,MONTH(A248)&lt;11),(T248+R248+G248)*Summary!$T$7/(1-Summary!$T$7),(T248+R248+G248)*Summary!$U$7/(1-Summary!$U$7)))</f>
        <v/>
      </c>
      <c r="W248" s="63" t="str">
        <f t="shared" si="136"/>
        <v/>
      </c>
      <c r="X248" s="63" t="str">
        <f t="shared" si="137"/>
        <v/>
      </c>
      <c r="Y248" s="43"/>
      <c r="Z248" s="38" t="str">
        <f t="shared" si="138"/>
        <v/>
      </c>
      <c r="AA248" s="38" t="str">
        <f t="shared" si="138"/>
        <v/>
      </c>
      <c r="AB248" s="38" t="e">
        <f t="shared" si="115"/>
        <v>#VALUE!</v>
      </c>
      <c r="AC248" s="38" t="str">
        <f t="shared" si="138"/>
        <v/>
      </c>
      <c r="AD248" s="38" t="str">
        <f t="shared" si="116"/>
        <v/>
      </c>
      <c r="AE248" s="38" t="e">
        <f t="shared" si="117"/>
        <v>#VALUE!</v>
      </c>
      <c r="AF248" s="238" t="e">
        <f>((Summary!$N$7*(AA248*AD248)*(A248-$D$3))+(Summary!$M$7*Z248*AC248*(DAY(EOMONTH(A248,0))/2)))/(AK248*AB248*AE248)</f>
        <v>#VALUE!</v>
      </c>
      <c r="AG248" s="88" t="str">
        <f>IF($A249="","",Summary!$Q$7)</f>
        <v/>
      </c>
      <c r="AH248" s="88" t="str">
        <f>IF($A249="","",IF(Summary!$R$7="Y",(VLOOKUP($A248,Summary!$AD$6:$AF$9,3)+'Escalating commodity'!C261),'Escalating commodity'!C261))</f>
        <v/>
      </c>
      <c r="AI248" s="88" t="str">
        <f t="shared" si="139"/>
        <v/>
      </c>
      <c r="AJ248" s="236" t="e">
        <f t="shared" si="118"/>
        <v>#VALUE!</v>
      </c>
      <c r="AK248" s="58" t="str">
        <f t="shared" si="140"/>
        <v/>
      </c>
      <c r="AL248" s="26" t="str">
        <f>IF($A249="","",_xll.SPRDOPT(P248,X248,AI248,0,AB248,AE248,AF248,AK248,$AJ$2,0))</f>
        <v/>
      </c>
      <c r="AM248" s="209" t="str">
        <f t="shared" si="119"/>
        <v/>
      </c>
      <c r="AN248" s="89" t="str">
        <f t="shared" si="141"/>
        <v/>
      </c>
      <c r="AO248" s="3" t="str">
        <f t="shared" si="142"/>
        <v/>
      </c>
      <c r="AP248" s="33" t="str">
        <f t="shared" si="143"/>
        <v/>
      </c>
      <c r="AQ248" s="58" t="str">
        <f t="shared" si="120"/>
        <v/>
      </c>
      <c r="AR248" s="38">
        <f>IF(Summary!$H$2=1,VLOOKUP('ANR OK vs ML7'!A248,Curves!$C$17:$AR$273,MATCH('ANR OK vs ML7'!$AR$4,Curves!$C$8:$AQ$8,0)),0.1)</f>
        <v>0.1</v>
      </c>
      <c r="AS248" s="35" t="str">
        <f t="shared" si="121"/>
        <v/>
      </c>
      <c r="AT248" s="3" t="str">
        <f t="shared" si="144"/>
        <v/>
      </c>
      <c r="AU248" s="3" t="str">
        <f t="shared" si="122"/>
        <v/>
      </c>
      <c r="AW248" s="32" t="str">
        <f t="shared" si="145"/>
        <v/>
      </c>
      <c r="AX248" s="32" t="str">
        <f t="shared" si="146"/>
        <v/>
      </c>
      <c r="AY248" s="32" t="str">
        <f t="shared" si="147"/>
        <v/>
      </c>
      <c r="BA248" s="32" t="str">
        <f>IF($A249="","",F248*Summary!$Q$7)</f>
        <v/>
      </c>
    </row>
    <row r="249" spans="1:53" ht="12" customHeight="1">
      <c r="A249" s="67" t="str">
        <f t="shared" si="123"/>
        <v/>
      </c>
      <c r="B249" s="69" t="str">
        <f t="shared" si="148"/>
        <v/>
      </c>
      <c r="C249" s="71"/>
      <c r="D249" s="69" t="str">
        <f t="shared" si="149"/>
        <v/>
      </c>
      <c r="E249" s="70" t="str">
        <f t="shared" si="113"/>
        <v/>
      </c>
      <c r="F249" s="70" t="str">
        <f t="shared" si="114"/>
        <v/>
      </c>
      <c r="G249" s="63" t="str">
        <f t="shared" si="124"/>
        <v/>
      </c>
      <c r="H249" s="64" t="str">
        <f t="shared" si="125"/>
        <v/>
      </c>
      <c r="I249" s="43"/>
      <c r="J249" s="63" t="str">
        <f t="shared" si="126"/>
        <v/>
      </c>
      <c r="K249" s="64" t="str">
        <f t="shared" si="127"/>
        <v/>
      </c>
      <c r="L249" s="63" t="str">
        <f t="shared" si="128"/>
        <v/>
      </c>
      <c r="M249" s="64" t="str">
        <f t="shared" si="129"/>
        <v/>
      </c>
      <c r="N249" s="65"/>
      <c r="O249" s="63" t="str">
        <f t="shared" si="130"/>
        <v/>
      </c>
      <c r="P249" s="63" t="str">
        <f t="shared" si="131"/>
        <v/>
      </c>
      <c r="Q249" s="66"/>
      <c r="R249" s="63" t="str">
        <f t="shared" si="132"/>
        <v/>
      </c>
      <c r="S249" s="64" t="str">
        <f t="shared" si="133"/>
        <v/>
      </c>
      <c r="T249" s="63" t="str">
        <f t="shared" si="134"/>
        <v/>
      </c>
      <c r="U249" s="64" t="str">
        <f t="shared" si="135"/>
        <v/>
      </c>
      <c r="V249" s="207" t="str">
        <f>IF($A250="","",IF(AND(MONTH(A249)&gt;3,MONTH(A249)&lt;11),(T249+R249+G249)*Summary!$T$7/(1-Summary!$T$7),(T249+R249+G249)*Summary!$U$7/(1-Summary!$U$7)))</f>
        <v/>
      </c>
      <c r="W249" s="63" t="str">
        <f t="shared" si="136"/>
        <v/>
      </c>
      <c r="X249" s="63" t="str">
        <f t="shared" si="137"/>
        <v/>
      </c>
      <c r="Y249" s="43"/>
      <c r="Z249" s="38" t="str">
        <f t="shared" si="138"/>
        <v/>
      </c>
      <c r="AA249" s="38" t="str">
        <f t="shared" si="138"/>
        <v/>
      </c>
      <c r="AB249" s="38" t="e">
        <f t="shared" si="115"/>
        <v>#VALUE!</v>
      </c>
      <c r="AC249" s="38" t="str">
        <f t="shared" si="138"/>
        <v/>
      </c>
      <c r="AD249" s="38" t="str">
        <f t="shared" si="116"/>
        <v/>
      </c>
      <c r="AE249" s="38" t="e">
        <f t="shared" si="117"/>
        <v>#VALUE!</v>
      </c>
      <c r="AF249" s="238" t="e">
        <f>((Summary!$N$7*(AA249*AD249)*(A249-$D$3))+(Summary!$M$7*Z249*AC249*(DAY(EOMONTH(A249,0))/2)))/(AK249*AB249*AE249)</f>
        <v>#VALUE!</v>
      </c>
      <c r="AG249" s="88" t="str">
        <f>IF($A250="","",Summary!$Q$7)</f>
        <v/>
      </c>
      <c r="AH249" s="88" t="str">
        <f>IF($A250="","",IF(Summary!$R$7="Y",(VLOOKUP($A249,Summary!$AD$6:$AF$9,3)+'Escalating commodity'!C262),'Escalating commodity'!C262))</f>
        <v/>
      </c>
      <c r="AI249" s="88" t="str">
        <f t="shared" si="139"/>
        <v/>
      </c>
      <c r="AJ249" s="236" t="e">
        <f t="shared" si="118"/>
        <v>#VALUE!</v>
      </c>
      <c r="AK249" s="58" t="str">
        <f t="shared" si="140"/>
        <v/>
      </c>
      <c r="AL249" s="26" t="str">
        <f>IF($A250="","",_xll.SPRDOPT(P249,X249,AI249,0,AB249,AE249,AF249,AK249,$AJ$2,0))</f>
        <v/>
      </c>
      <c r="AM249" s="209" t="str">
        <f t="shared" si="119"/>
        <v/>
      </c>
      <c r="AN249" s="89" t="str">
        <f t="shared" si="141"/>
        <v/>
      </c>
      <c r="AO249" s="3" t="str">
        <f t="shared" si="142"/>
        <v/>
      </c>
      <c r="AP249" s="33" t="str">
        <f t="shared" si="143"/>
        <v/>
      </c>
      <c r="AQ249" s="58" t="str">
        <f t="shared" si="120"/>
        <v/>
      </c>
      <c r="AR249" s="38">
        <f>IF(Summary!$H$2=1,VLOOKUP('ANR OK vs ML7'!A249,Curves!$C$17:$AR$273,MATCH('ANR OK vs ML7'!$AR$4,Curves!$C$8:$AQ$8,0)),0.1)</f>
        <v>0.1</v>
      </c>
      <c r="AS249" s="35" t="str">
        <f t="shared" si="121"/>
        <v/>
      </c>
      <c r="AT249" s="3" t="str">
        <f t="shared" si="144"/>
        <v/>
      </c>
      <c r="AU249" s="3" t="str">
        <f t="shared" si="122"/>
        <v/>
      </c>
      <c r="AW249" s="32" t="str">
        <f t="shared" si="145"/>
        <v/>
      </c>
      <c r="AX249" s="32" t="str">
        <f t="shared" si="146"/>
        <v/>
      </c>
      <c r="AY249" s="32" t="str">
        <f t="shared" si="147"/>
        <v/>
      </c>
      <c r="BA249" s="32" t="str">
        <f>IF($A250="","",F249*Summary!$Q$7)</f>
        <v/>
      </c>
    </row>
    <row r="250" spans="1:53" ht="12" customHeight="1">
      <c r="A250" s="67" t="str">
        <f t="shared" si="123"/>
        <v/>
      </c>
      <c r="B250" s="69" t="str">
        <f t="shared" si="148"/>
        <v/>
      </c>
      <c r="C250" s="71"/>
      <c r="D250" s="69" t="str">
        <f t="shared" si="149"/>
        <v/>
      </c>
      <c r="E250" s="70" t="str">
        <f t="shared" si="113"/>
        <v/>
      </c>
      <c r="F250" s="70" t="str">
        <f t="shared" si="114"/>
        <v/>
      </c>
      <c r="G250" s="63" t="str">
        <f t="shared" si="124"/>
        <v/>
      </c>
      <c r="H250" s="64" t="str">
        <f t="shared" si="125"/>
        <v/>
      </c>
      <c r="I250" s="43"/>
      <c r="J250" s="63" t="str">
        <f t="shared" si="126"/>
        <v/>
      </c>
      <c r="K250" s="64" t="str">
        <f t="shared" si="127"/>
        <v/>
      </c>
      <c r="L250" s="63" t="str">
        <f t="shared" si="128"/>
        <v/>
      </c>
      <c r="M250" s="64" t="str">
        <f t="shared" si="129"/>
        <v/>
      </c>
      <c r="N250" s="65"/>
      <c r="O250" s="63" t="str">
        <f t="shared" si="130"/>
        <v/>
      </c>
      <c r="P250" s="63" t="str">
        <f t="shared" si="131"/>
        <v/>
      </c>
      <c r="Q250" s="66"/>
      <c r="R250" s="63" t="str">
        <f t="shared" si="132"/>
        <v/>
      </c>
      <c r="S250" s="64" t="str">
        <f t="shared" si="133"/>
        <v/>
      </c>
      <c r="T250" s="63" t="str">
        <f t="shared" si="134"/>
        <v/>
      </c>
      <c r="U250" s="64" t="str">
        <f t="shared" si="135"/>
        <v/>
      </c>
      <c r="V250" s="207" t="str">
        <f>IF($A251="","",IF(AND(MONTH(A250)&gt;3,MONTH(A250)&lt;11),(T250+R250+G250)*Summary!$T$7/(1-Summary!$T$7),(T250+R250+G250)*Summary!$U$7/(1-Summary!$U$7)))</f>
        <v/>
      </c>
      <c r="W250" s="63" t="str">
        <f t="shared" si="136"/>
        <v/>
      </c>
      <c r="X250" s="63" t="str">
        <f t="shared" si="137"/>
        <v/>
      </c>
      <c r="Y250" s="43"/>
      <c r="Z250" s="38" t="str">
        <f t="shared" si="138"/>
        <v/>
      </c>
      <c r="AA250" s="38" t="str">
        <f t="shared" si="138"/>
        <v/>
      </c>
      <c r="AB250" s="38" t="e">
        <f t="shared" si="115"/>
        <v>#VALUE!</v>
      </c>
      <c r="AC250" s="38" t="str">
        <f t="shared" si="138"/>
        <v/>
      </c>
      <c r="AD250" s="38" t="str">
        <f t="shared" si="116"/>
        <v/>
      </c>
      <c r="AE250" s="38" t="e">
        <f t="shared" si="117"/>
        <v>#VALUE!</v>
      </c>
      <c r="AF250" s="238" t="e">
        <f>((Summary!$N$7*(AA250*AD250)*(A250-$D$3))+(Summary!$M$7*Z250*AC250*(DAY(EOMONTH(A250,0))/2)))/(AK250*AB250*AE250)</f>
        <v>#VALUE!</v>
      </c>
      <c r="AG250" s="88" t="str">
        <f>IF($A251="","",Summary!$Q$7)</f>
        <v/>
      </c>
      <c r="AH250" s="88" t="str">
        <f>IF($A251="","",IF(Summary!$R$7="Y",(VLOOKUP($A250,Summary!$AD$6:$AF$9,3)+'Escalating commodity'!C263),'Escalating commodity'!C263))</f>
        <v/>
      </c>
      <c r="AI250" s="88" t="str">
        <f t="shared" si="139"/>
        <v/>
      </c>
      <c r="AJ250" s="236" t="e">
        <f t="shared" si="118"/>
        <v>#VALUE!</v>
      </c>
      <c r="AK250" s="58" t="str">
        <f t="shared" si="140"/>
        <v/>
      </c>
      <c r="AL250" s="26" t="str">
        <f>IF($A251="","",_xll.SPRDOPT(P250,X250,AI250,0,AB250,AE250,AF250,AK250,$AJ$2,0))</f>
        <v/>
      </c>
      <c r="AM250" s="209" t="str">
        <f t="shared" si="119"/>
        <v/>
      </c>
      <c r="AN250" s="89" t="str">
        <f t="shared" si="141"/>
        <v/>
      </c>
      <c r="AO250" s="3" t="str">
        <f t="shared" si="142"/>
        <v/>
      </c>
      <c r="AP250" s="33" t="str">
        <f t="shared" si="143"/>
        <v/>
      </c>
      <c r="AQ250" s="58" t="str">
        <f t="shared" si="120"/>
        <v/>
      </c>
      <c r="AR250" s="38">
        <f>IF(Summary!$H$2=1,VLOOKUP('ANR OK vs ML7'!A250,Curves!$C$17:$AR$273,MATCH('ANR OK vs ML7'!$AR$4,Curves!$C$8:$AQ$8,0)),0.1)</f>
        <v>0.1</v>
      </c>
      <c r="AS250" s="35" t="str">
        <f t="shared" si="121"/>
        <v/>
      </c>
      <c r="AT250" s="3" t="str">
        <f t="shared" si="144"/>
        <v/>
      </c>
      <c r="AU250" s="3" t="str">
        <f t="shared" si="122"/>
        <v/>
      </c>
      <c r="AW250" s="32" t="str">
        <f t="shared" si="145"/>
        <v/>
      </c>
      <c r="AX250" s="32" t="str">
        <f t="shared" si="146"/>
        <v/>
      </c>
      <c r="AY250" s="32" t="str">
        <f t="shared" si="147"/>
        <v/>
      </c>
      <c r="BA250" s="32" t="str">
        <f>IF($A251="","",F250*Summary!$Q$7)</f>
        <v/>
      </c>
    </row>
    <row r="251" spans="1:53" ht="12" customHeight="1">
      <c r="A251" s="67" t="str">
        <f t="shared" si="123"/>
        <v/>
      </c>
      <c r="B251" s="69" t="str">
        <f t="shared" si="148"/>
        <v/>
      </c>
      <c r="C251" s="71"/>
      <c r="D251" s="69" t="str">
        <f t="shared" si="149"/>
        <v/>
      </c>
      <c r="E251" s="70" t="str">
        <f t="shared" si="113"/>
        <v/>
      </c>
      <c r="F251" s="70" t="str">
        <f t="shared" si="114"/>
        <v/>
      </c>
      <c r="G251" s="63" t="str">
        <f t="shared" si="124"/>
        <v/>
      </c>
      <c r="H251" s="64" t="str">
        <f t="shared" si="125"/>
        <v/>
      </c>
      <c r="I251" s="43"/>
      <c r="J251" s="63" t="str">
        <f t="shared" si="126"/>
        <v/>
      </c>
      <c r="K251" s="64" t="str">
        <f t="shared" si="127"/>
        <v/>
      </c>
      <c r="L251" s="63" t="str">
        <f t="shared" si="128"/>
        <v/>
      </c>
      <c r="M251" s="64" t="str">
        <f t="shared" si="129"/>
        <v/>
      </c>
      <c r="N251" s="65"/>
      <c r="O251" s="63" t="str">
        <f t="shared" si="130"/>
        <v/>
      </c>
      <c r="P251" s="63" t="str">
        <f t="shared" si="131"/>
        <v/>
      </c>
      <c r="Q251" s="66"/>
      <c r="R251" s="63" t="str">
        <f t="shared" si="132"/>
        <v/>
      </c>
      <c r="S251" s="64" t="str">
        <f t="shared" si="133"/>
        <v/>
      </c>
      <c r="T251" s="63" t="str">
        <f t="shared" si="134"/>
        <v/>
      </c>
      <c r="U251" s="64" t="str">
        <f t="shared" si="135"/>
        <v/>
      </c>
      <c r="V251" s="207" t="str">
        <f>IF($A252="","",IF(AND(MONTH(A251)&gt;3,MONTH(A251)&lt;11),(T251+R251+G251)*Summary!$T$7/(1-Summary!$T$7),(T251+R251+G251)*Summary!$U$7/(1-Summary!$U$7)))</f>
        <v/>
      </c>
      <c r="W251" s="63" t="str">
        <f t="shared" si="136"/>
        <v/>
      </c>
      <c r="X251" s="63" t="str">
        <f t="shared" si="137"/>
        <v/>
      </c>
      <c r="Y251" s="43"/>
      <c r="Z251" s="38" t="str">
        <f t="shared" si="138"/>
        <v/>
      </c>
      <c r="AA251" s="38" t="str">
        <f t="shared" si="138"/>
        <v/>
      </c>
      <c r="AB251" s="38" t="e">
        <f t="shared" si="115"/>
        <v>#VALUE!</v>
      </c>
      <c r="AC251" s="38" t="str">
        <f t="shared" si="138"/>
        <v/>
      </c>
      <c r="AD251" s="38" t="str">
        <f t="shared" si="116"/>
        <v/>
      </c>
      <c r="AE251" s="38" t="e">
        <f t="shared" si="117"/>
        <v>#VALUE!</v>
      </c>
      <c r="AF251" s="238" t="e">
        <f>((Summary!$N$7*(AA251*AD251)*(A251-$D$3))+(Summary!$M$7*Z251*AC251*(DAY(EOMONTH(A251,0))/2)))/(AK251*AB251*AE251)</f>
        <v>#VALUE!</v>
      </c>
      <c r="AG251" s="88" t="str">
        <f>IF($A252="","",Summary!$Q$7)</f>
        <v/>
      </c>
      <c r="AH251" s="88" t="str">
        <f>IF($A252="","",IF(Summary!$R$7="Y",(VLOOKUP($A251,Summary!$AD$6:$AF$9,3)+'Escalating commodity'!C264),'Escalating commodity'!C264))</f>
        <v/>
      </c>
      <c r="AI251" s="88" t="str">
        <f t="shared" si="139"/>
        <v/>
      </c>
      <c r="AJ251" s="236" t="e">
        <f t="shared" si="118"/>
        <v>#VALUE!</v>
      </c>
      <c r="AK251" s="58" t="str">
        <f t="shared" si="140"/>
        <v/>
      </c>
      <c r="AL251" s="26" t="str">
        <f>IF($A252="","",_xll.SPRDOPT(P251,X251,AI251,0,AB251,AE251,AF251,AK251,$AJ$2,0))</f>
        <v/>
      </c>
      <c r="AM251" s="209" t="str">
        <f t="shared" si="119"/>
        <v/>
      </c>
      <c r="AN251" s="89" t="str">
        <f t="shared" si="141"/>
        <v/>
      </c>
      <c r="AO251" s="3" t="str">
        <f t="shared" si="142"/>
        <v/>
      </c>
      <c r="AP251" s="33" t="str">
        <f t="shared" si="143"/>
        <v/>
      </c>
      <c r="AQ251" s="58" t="str">
        <f t="shared" si="120"/>
        <v/>
      </c>
      <c r="AR251" s="38">
        <f>IF(Summary!$H$2=1,VLOOKUP('ANR OK vs ML7'!A251,Curves!$C$17:$AR$273,MATCH('ANR OK vs ML7'!$AR$4,Curves!$C$8:$AQ$8,0)),0.1)</f>
        <v>0.1</v>
      </c>
      <c r="AS251" s="35" t="str">
        <f t="shared" si="121"/>
        <v/>
      </c>
      <c r="AT251" s="3" t="str">
        <f t="shared" si="144"/>
        <v/>
      </c>
      <c r="AU251" s="3" t="str">
        <f t="shared" si="122"/>
        <v/>
      </c>
      <c r="AW251" s="32" t="str">
        <f t="shared" si="145"/>
        <v/>
      </c>
      <c r="AX251" s="32" t="str">
        <f t="shared" si="146"/>
        <v/>
      </c>
      <c r="AY251" s="32" t="str">
        <f t="shared" si="147"/>
        <v/>
      </c>
      <c r="BA251" s="32" t="str">
        <f>IF($A252="","",F251*Summary!$Q$7)</f>
        <v/>
      </c>
    </row>
    <row r="252" spans="1:53" ht="12" customHeight="1">
      <c r="A252" s="67" t="str">
        <f t="shared" si="123"/>
        <v/>
      </c>
      <c r="B252" s="69" t="str">
        <f t="shared" si="148"/>
        <v/>
      </c>
      <c r="C252" s="71"/>
      <c r="D252" s="69" t="str">
        <f t="shared" si="149"/>
        <v/>
      </c>
      <c r="E252" s="70" t="str">
        <f t="shared" si="113"/>
        <v/>
      </c>
      <c r="F252" s="70" t="str">
        <f t="shared" si="114"/>
        <v/>
      </c>
      <c r="G252" s="63" t="str">
        <f t="shared" si="124"/>
        <v/>
      </c>
      <c r="H252" s="64" t="str">
        <f t="shared" si="125"/>
        <v/>
      </c>
      <c r="I252" s="43"/>
      <c r="J252" s="63" t="str">
        <f t="shared" si="126"/>
        <v/>
      </c>
      <c r="K252" s="64" t="str">
        <f t="shared" si="127"/>
        <v/>
      </c>
      <c r="L252" s="63" t="str">
        <f t="shared" si="128"/>
        <v/>
      </c>
      <c r="M252" s="64" t="str">
        <f t="shared" si="129"/>
        <v/>
      </c>
      <c r="N252" s="65"/>
      <c r="O252" s="63" t="str">
        <f t="shared" si="130"/>
        <v/>
      </c>
      <c r="P252" s="63" t="str">
        <f t="shared" si="131"/>
        <v/>
      </c>
      <c r="Q252" s="66"/>
      <c r="R252" s="63" t="str">
        <f t="shared" si="132"/>
        <v/>
      </c>
      <c r="S252" s="64" t="str">
        <f t="shared" si="133"/>
        <v/>
      </c>
      <c r="T252" s="63" t="str">
        <f t="shared" si="134"/>
        <v/>
      </c>
      <c r="U252" s="64" t="str">
        <f t="shared" si="135"/>
        <v/>
      </c>
      <c r="V252" s="207" t="str">
        <f>IF($A253="","",IF(AND(MONTH(A252)&gt;3,MONTH(A252)&lt;11),(T252+R252+G252)*Summary!$T$7/(1-Summary!$T$7),(T252+R252+G252)*Summary!$U$7/(1-Summary!$U$7)))</f>
        <v/>
      </c>
      <c r="W252" s="63" t="str">
        <f t="shared" si="136"/>
        <v/>
      </c>
      <c r="X252" s="63" t="str">
        <f t="shared" si="137"/>
        <v/>
      </c>
      <c r="Y252" s="43"/>
      <c r="Z252" s="38" t="str">
        <f t="shared" si="138"/>
        <v/>
      </c>
      <c r="AA252" s="38" t="str">
        <f t="shared" si="138"/>
        <v/>
      </c>
      <c r="AB252" s="38" t="e">
        <f t="shared" si="115"/>
        <v>#VALUE!</v>
      </c>
      <c r="AC252" s="38" t="str">
        <f t="shared" si="138"/>
        <v/>
      </c>
      <c r="AD252" s="38" t="str">
        <f t="shared" si="116"/>
        <v/>
      </c>
      <c r="AE252" s="38" t="e">
        <f t="shared" si="117"/>
        <v>#VALUE!</v>
      </c>
      <c r="AF252" s="238" t="e">
        <f>((Summary!$N$7*(AA252*AD252)*(A252-$D$3))+(Summary!$M$7*Z252*AC252*(DAY(EOMONTH(A252,0))/2)))/(AK252*AB252*AE252)</f>
        <v>#VALUE!</v>
      </c>
      <c r="AG252" s="88" t="str">
        <f>IF($A253="","",Summary!$Q$7)</f>
        <v/>
      </c>
      <c r="AH252" s="88" t="str">
        <f>IF($A253="","",IF(Summary!$R$7="Y",(VLOOKUP($A252,Summary!$AD$6:$AF$9,3)+'Escalating commodity'!C265),'Escalating commodity'!C265))</f>
        <v/>
      </c>
      <c r="AI252" s="88" t="str">
        <f t="shared" si="139"/>
        <v/>
      </c>
      <c r="AJ252" s="236" t="e">
        <f t="shared" si="118"/>
        <v>#VALUE!</v>
      </c>
      <c r="AK252" s="58" t="str">
        <f t="shared" si="140"/>
        <v/>
      </c>
      <c r="AL252" s="26" t="str">
        <f>IF($A253="","",_xll.SPRDOPT(P252,X252,AI252,0,AB252,AE252,AF252,AK252,$AJ$2,0))</f>
        <v/>
      </c>
      <c r="AM252" s="209" t="str">
        <f t="shared" si="119"/>
        <v/>
      </c>
      <c r="AN252" s="89" t="str">
        <f t="shared" si="141"/>
        <v/>
      </c>
      <c r="AO252" s="3" t="str">
        <f t="shared" si="142"/>
        <v/>
      </c>
      <c r="AP252" s="33" t="str">
        <f t="shared" si="143"/>
        <v/>
      </c>
      <c r="AQ252" s="58" t="str">
        <f t="shared" si="120"/>
        <v/>
      </c>
      <c r="AR252" s="38">
        <f>IF(Summary!$H$2=1,VLOOKUP('ANR OK vs ML7'!A252,Curves!$C$17:$AR$273,MATCH('ANR OK vs ML7'!$AR$4,Curves!$C$8:$AQ$8,0)),0.1)</f>
        <v>0.1</v>
      </c>
      <c r="AS252" s="35" t="str">
        <f t="shared" si="121"/>
        <v/>
      </c>
      <c r="AT252" s="3" t="str">
        <f t="shared" si="144"/>
        <v/>
      </c>
      <c r="AU252" s="3" t="str">
        <f t="shared" si="122"/>
        <v/>
      </c>
      <c r="AW252" s="32" t="str">
        <f t="shared" si="145"/>
        <v/>
      </c>
      <c r="AX252" s="32" t="str">
        <f t="shared" si="146"/>
        <v/>
      </c>
      <c r="AY252" s="32" t="str">
        <f t="shared" si="147"/>
        <v/>
      </c>
      <c r="BA252" s="32" t="str">
        <f>IF($A253="","",F252*Summary!$Q$7)</f>
        <v/>
      </c>
    </row>
    <row r="253" spans="1:53" ht="12" customHeight="1">
      <c r="A253" s="67" t="str">
        <f t="shared" si="123"/>
        <v/>
      </c>
      <c r="B253" s="69" t="str">
        <f t="shared" si="148"/>
        <v/>
      </c>
      <c r="C253" s="71"/>
      <c r="D253" s="69" t="str">
        <f t="shared" si="149"/>
        <v/>
      </c>
      <c r="E253" s="70" t="str">
        <f t="shared" si="113"/>
        <v/>
      </c>
      <c r="F253" s="70" t="str">
        <f t="shared" si="114"/>
        <v/>
      </c>
      <c r="G253" s="63" t="str">
        <f t="shared" si="124"/>
        <v/>
      </c>
      <c r="H253" s="64" t="str">
        <f t="shared" si="125"/>
        <v/>
      </c>
      <c r="I253" s="43"/>
      <c r="J253" s="63" t="str">
        <f t="shared" si="126"/>
        <v/>
      </c>
      <c r="K253" s="64" t="str">
        <f t="shared" si="127"/>
        <v/>
      </c>
      <c r="L253" s="63" t="str">
        <f t="shared" si="128"/>
        <v/>
      </c>
      <c r="M253" s="64" t="str">
        <f t="shared" si="129"/>
        <v/>
      </c>
      <c r="N253" s="65"/>
      <c r="O253" s="63" t="str">
        <f t="shared" si="130"/>
        <v/>
      </c>
      <c r="P253" s="63" t="str">
        <f t="shared" si="131"/>
        <v/>
      </c>
      <c r="Q253" s="66"/>
      <c r="R253" s="63" t="str">
        <f t="shared" si="132"/>
        <v/>
      </c>
      <c r="S253" s="64" t="str">
        <f t="shared" si="133"/>
        <v/>
      </c>
      <c r="T253" s="63" t="str">
        <f t="shared" si="134"/>
        <v/>
      </c>
      <c r="U253" s="64" t="str">
        <f t="shared" si="135"/>
        <v/>
      </c>
      <c r="V253" s="207" t="str">
        <f>IF($A254="","",IF(AND(MONTH(A253)&gt;3,MONTH(A253)&lt;11),(T253+R253+G253)*Summary!$T$7/(1-Summary!$T$7),(T253+R253+G253)*Summary!$U$7/(1-Summary!$U$7)))</f>
        <v/>
      </c>
      <c r="W253" s="63" t="str">
        <f t="shared" si="136"/>
        <v/>
      </c>
      <c r="X253" s="63" t="str">
        <f t="shared" si="137"/>
        <v/>
      </c>
      <c r="Y253" s="43"/>
      <c r="Z253" s="38" t="str">
        <f t="shared" si="138"/>
        <v/>
      </c>
      <c r="AA253" s="38" t="str">
        <f t="shared" si="138"/>
        <v/>
      </c>
      <c r="AB253" s="38" t="e">
        <f t="shared" si="115"/>
        <v>#VALUE!</v>
      </c>
      <c r="AC253" s="38" t="str">
        <f t="shared" si="138"/>
        <v/>
      </c>
      <c r="AD253" s="38" t="str">
        <f t="shared" si="116"/>
        <v/>
      </c>
      <c r="AE253" s="38" t="e">
        <f t="shared" si="117"/>
        <v>#VALUE!</v>
      </c>
      <c r="AF253" s="238" t="e">
        <f>((Summary!$N$7*(AA253*AD253)*(A253-$D$3))+(Summary!$M$7*Z253*AC253*(DAY(EOMONTH(A253,0))/2)))/(AK253*AB253*AE253)</f>
        <v>#VALUE!</v>
      </c>
      <c r="AG253" s="88" t="str">
        <f>IF($A254="","",Summary!$Q$7)</f>
        <v/>
      </c>
      <c r="AH253" s="88" t="str">
        <f>IF($A254="","",IF(Summary!$R$7="Y",(VLOOKUP($A253,Summary!$AD$6:$AF$9,3)+'Escalating commodity'!C266),'Escalating commodity'!C266))</f>
        <v/>
      </c>
      <c r="AI253" s="88" t="str">
        <f t="shared" si="139"/>
        <v/>
      </c>
      <c r="AJ253" s="236" t="e">
        <f t="shared" si="118"/>
        <v>#VALUE!</v>
      </c>
      <c r="AK253" s="58" t="str">
        <f t="shared" si="140"/>
        <v/>
      </c>
      <c r="AL253" s="26" t="str">
        <f>IF($A254="","",_xll.SPRDOPT(P253,X253,AI253,0,AB253,AE253,AF253,AK253,$AJ$2,0))</f>
        <v/>
      </c>
      <c r="AM253" s="209" t="str">
        <f t="shared" si="119"/>
        <v/>
      </c>
      <c r="AN253" s="89" t="str">
        <f t="shared" si="141"/>
        <v/>
      </c>
      <c r="AO253" s="3" t="str">
        <f t="shared" si="142"/>
        <v/>
      </c>
      <c r="AP253" s="33" t="str">
        <f t="shared" si="143"/>
        <v/>
      </c>
      <c r="AQ253" s="58" t="str">
        <f t="shared" si="120"/>
        <v/>
      </c>
      <c r="AR253" s="38">
        <f>IF(Summary!$H$2=1,VLOOKUP('ANR OK vs ML7'!A253,Curves!$C$17:$AR$273,MATCH('ANR OK vs ML7'!$AR$4,Curves!$C$8:$AQ$8,0)),0.1)</f>
        <v>0.1</v>
      </c>
      <c r="AS253" s="35" t="str">
        <f t="shared" si="121"/>
        <v/>
      </c>
      <c r="AT253" s="3" t="str">
        <f t="shared" si="144"/>
        <v/>
      </c>
      <c r="AU253" s="3" t="str">
        <f t="shared" si="122"/>
        <v/>
      </c>
      <c r="AW253" s="32" t="str">
        <f t="shared" si="145"/>
        <v/>
      </c>
      <c r="AX253" s="32" t="str">
        <f t="shared" si="146"/>
        <v/>
      </c>
      <c r="AY253" s="32" t="str">
        <f t="shared" si="147"/>
        <v/>
      </c>
      <c r="BA253" s="32" t="str">
        <f>IF($A254="","",F253*Summary!$Q$7)</f>
        <v/>
      </c>
    </row>
    <row r="254" spans="1:53" ht="12" customHeight="1">
      <c r="A254" s="67" t="str">
        <f t="shared" si="123"/>
        <v/>
      </c>
      <c r="B254" s="69" t="str">
        <f t="shared" si="148"/>
        <v/>
      </c>
      <c r="C254" s="71"/>
      <c r="D254" s="69" t="str">
        <f t="shared" si="149"/>
        <v/>
      </c>
      <c r="E254" s="70" t="str">
        <f t="shared" si="113"/>
        <v/>
      </c>
      <c r="F254" s="70" t="str">
        <f t="shared" si="114"/>
        <v/>
      </c>
      <c r="G254" s="63" t="str">
        <f t="shared" si="124"/>
        <v/>
      </c>
      <c r="H254" s="64" t="str">
        <f t="shared" si="125"/>
        <v/>
      </c>
      <c r="I254" s="43"/>
      <c r="J254" s="63" t="str">
        <f t="shared" si="126"/>
        <v/>
      </c>
      <c r="K254" s="64" t="str">
        <f t="shared" si="127"/>
        <v/>
      </c>
      <c r="L254" s="63" t="str">
        <f t="shared" si="128"/>
        <v/>
      </c>
      <c r="M254" s="64" t="str">
        <f t="shared" si="129"/>
        <v/>
      </c>
      <c r="N254" s="65"/>
      <c r="O254" s="63" t="str">
        <f t="shared" si="130"/>
        <v/>
      </c>
      <c r="P254" s="63" t="str">
        <f t="shared" si="131"/>
        <v/>
      </c>
      <c r="Q254" s="66"/>
      <c r="R254" s="63" t="str">
        <f t="shared" si="132"/>
        <v/>
      </c>
      <c r="S254" s="64" t="str">
        <f t="shared" si="133"/>
        <v/>
      </c>
      <c r="T254" s="63" t="str">
        <f t="shared" si="134"/>
        <v/>
      </c>
      <c r="U254" s="64" t="str">
        <f t="shared" si="135"/>
        <v/>
      </c>
      <c r="V254" s="207" t="str">
        <f>IF($A255="","",IF(AND(MONTH(A254)&gt;3,MONTH(A254)&lt;11),(T254+R254+G254)*Summary!$T$7/(1-Summary!$T$7),(T254+R254+G254)*Summary!$U$7/(1-Summary!$U$7)))</f>
        <v/>
      </c>
      <c r="W254" s="63" t="str">
        <f t="shared" si="136"/>
        <v/>
      </c>
      <c r="X254" s="63" t="str">
        <f t="shared" si="137"/>
        <v/>
      </c>
      <c r="Y254" s="43"/>
      <c r="Z254" s="38" t="str">
        <f t="shared" si="138"/>
        <v/>
      </c>
      <c r="AA254" s="38" t="str">
        <f t="shared" si="138"/>
        <v/>
      </c>
      <c r="AB254" s="38" t="e">
        <f t="shared" si="115"/>
        <v>#VALUE!</v>
      </c>
      <c r="AC254" s="38" t="str">
        <f t="shared" si="138"/>
        <v/>
      </c>
      <c r="AD254" s="38" t="str">
        <f t="shared" si="116"/>
        <v/>
      </c>
      <c r="AE254" s="38" t="e">
        <f t="shared" si="117"/>
        <v>#VALUE!</v>
      </c>
      <c r="AF254" s="238" t="e">
        <f>((Summary!$N$7*(AA254*AD254)*(A254-$D$3))+(Summary!$M$7*Z254*AC254*(DAY(EOMONTH(A254,0))/2)))/(AK254*AB254*AE254)</f>
        <v>#VALUE!</v>
      </c>
      <c r="AG254" s="88" t="str">
        <f>IF($A255="","",Summary!$Q$7)</f>
        <v/>
      </c>
      <c r="AH254" s="88" t="str">
        <f>IF($A255="","",IF(Summary!$R$7="Y",(VLOOKUP($A254,Summary!$AD$6:$AF$9,3)+'Escalating commodity'!C267),'Escalating commodity'!C267))</f>
        <v/>
      </c>
      <c r="AI254" s="88" t="str">
        <f t="shared" si="139"/>
        <v/>
      </c>
      <c r="AJ254" s="236" t="e">
        <f t="shared" si="118"/>
        <v>#VALUE!</v>
      </c>
      <c r="AK254" s="58" t="str">
        <f t="shared" si="140"/>
        <v/>
      </c>
      <c r="AL254" s="26" t="str">
        <f>IF($A255="","",_xll.SPRDOPT(P254,X254,AI254,0,AB254,AE254,AF254,AK254,$AJ$2,0))</f>
        <v/>
      </c>
      <c r="AM254" s="209" t="str">
        <f t="shared" si="119"/>
        <v/>
      </c>
      <c r="AN254" s="89" t="str">
        <f t="shared" si="141"/>
        <v/>
      </c>
      <c r="AO254" s="3" t="str">
        <f t="shared" si="142"/>
        <v/>
      </c>
      <c r="AP254" s="33" t="str">
        <f t="shared" si="143"/>
        <v/>
      </c>
      <c r="AQ254" s="58" t="str">
        <f t="shared" si="120"/>
        <v/>
      </c>
      <c r="AR254" s="38">
        <f>IF(Summary!$H$2=1,VLOOKUP('ANR OK vs ML7'!A254,Curves!$C$17:$AR$273,MATCH('ANR OK vs ML7'!$AR$4,Curves!$C$8:$AQ$8,0)),0.1)</f>
        <v>0.1</v>
      </c>
      <c r="AS254" s="35" t="str">
        <f t="shared" si="121"/>
        <v/>
      </c>
      <c r="AT254" s="3" t="str">
        <f t="shared" si="144"/>
        <v/>
      </c>
      <c r="AU254" s="3" t="str">
        <f t="shared" si="122"/>
        <v/>
      </c>
      <c r="AW254" s="32" t="str">
        <f t="shared" si="145"/>
        <v/>
      </c>
      <c r="AX254" s="32" t="str">
        <f t="shared" si="146"/>
        <v/>
      </c>
      <c r="AY254" s="32" t="str">
        <f t="shared" si="147"/>
        <v/>
      </c>
      <c r="BA254" s="32" t="str">
        <f>IF($A255="","",F254*Summary!$Q$7)</f>
        <v/>
      </c>
    </row>
    <row r="255" spans="1:53" ht="12" customHeight="1">
      <c r="A255" s="67" t="str">
        <f t="shared" si="123"/>
        <v/>
      </c>
      <c r="B255" s="69" t="str">
        <f t="shared" si="148"/>
        <v/>
      </c>
      <c r="C255" s="71"/>
      <c r="D255" s="69" t="str">
        <f t="shared" si="149"/>
        <v/>
      </c>
      <c r="E255" s="70" t="str">
        <f t="shared" si="113"/>
        <v/>
      </c>
      <c r="F255" s="70" t="str">
        <f t="shared" si="114"/>
        <v/>
      </c>
      <c r="G255" s="63" t="str">
        <f t="shared" si="124"/>
        <v/>
      </c>
      <c r="H255" s="64" t="str">
        <f t="shared" si="125"/>
        <v/>
      </c>
      <c r="I255" s="43"/>
      <c r="J255" s="63" t="str">
        <f t="shared" si="126"/>
        <v/>
      </c>
      <c r="K255" s="64" t="str">
        <f t="shared" si="127"/>
        <v/>
      </c>
      <c r="L255" s="63" t="str">
        <f t="shared" si="128"/>
        <v/>
      </c>
      <c r="M255" s="64" t="str">
        <f t="shared" si="129"/>
        <v/>
      </c>
      <c r="N255" s="65"/>
      <c r="O255" s="63" t="str">
        <f t="shared" si="130"/>
        <v/>
      </c>
      <c r="P255" s="63" t="str">
        <f t="shared" si="131"/>
        <v/>
      </c>
      <c r="Q255" s="66"/>
      <c r="R255" s="63" t="str">
        <f t="shared" si="132"/>
        <v/>
      </c>
      <c r="S255" s="64" t="str">
        <f t="shared" si="133"/>
        <v/>
      </c>
      <c r="T255" s="63" t="str">
        <f t="shared" si="134"/>
        <v/>
      </c>
      <c r="U255" s="64" t="str">
        <f t="shared" si="135"/>
        <v/>
      </c>
      <c r="V255" s="207" t="str">
        <f>IF($A256="","",IF(AND(MONTH(A255)&gt;3,MONTH(A255)&lt;11),(T255+R255+G255)*Summary!$T$7/(1-Summary!$T$7),(T255+R255+G255)*Summary!$U$7/(1-Summary!$U$7)))</f>
        <v/>
      </c>
      <c r="W255" s="63" t="str">
        <f t="shared" si="136"/>
        <v/>
      </c>
      <c r="X255" s="63" t="str">
        <f t="shared" si="137"/>
        <v/>
      </c>
      <c r="Y255" s="43"/>
      <c r="Z255" s="38" t="str">
        <f t="shared" si="138"/>
        <v/>
      </c>
      <c r="AA255" s="38" t="str">
        <f t="shared" si="138"/>
        <v/>
      </c>
      <c r="AB255" s="38" t="e">
        <f t="shared" si="115"/>
        <v>#VALUE!</v>
      </c>
      <c r="AC255" s="38" t="str">
        <f t="shared" si="138"/>
        <v/>
      </c>
      <c r="AD255" s="38" t="str">
        <f t="shared" si="116"/>
        <v/>
      </c>
      <c r="AE255" s="38" t="e">
        <f t="shared" si="117"/>
        <v>#VALUE!</v>
      </c>
      <c r="AF255" s="238" t="e">
        <f>((Summary!$N$7*(AA255*AD255)*(A255-$D$3))+(Summary!$M$7*Z255*AC255*(DAY(EOMONTH(A255,0))/2)))/(AK255*AB255*AE255)</f>
        <v>#VALUE!</v>
      </c>
      <c r="AG255" s="88" t="str">
        <f>IF($A256="","",Summary!$Q$7)</f>
        <v/>
      </c>
      <c r="AH255" s="88" t="str">
        <f>IF($A256="","",IF(Summary!$R$7="Y",(VLOOKUP($A255,Summary!$AD$6:$AF$9,3)+'Escalating commodity'!C268),'Escalating commodity'!C268))</f>
        <v/>
      </c>
      <c r="AI255" s="88" t="str">
        <f t="shared" si="139"/>
        <v/>
      </c>
      <c r="AJ255" s="236" t="e">
        <f t="shared" si="118"/>
        <v>#VALUE!</v>
      </c>
      <c r="AK255" s="58" t="str">
        <f t="shared" si="140"/>
        <v/>
      </c>
      <c r="AL255" s="26" t="str">
        <f>IF($A256="","",_xll.SPRDOPT(P255,X255,AI255,0,AB255,AE255,AF255,AK255,$AJ$2,0))</f>
        <v/>
      </c>
      <c r="AM255" s="209" t="str">
        <f t="shared" si="119"/>
        <v/>
      </c>
      <c r="AN255" s="89" t="str">
        <f t="shared" si="141"/>
        <v/>
      </c>
      <c r="AO255" s="3" t="str">
        <f t="shared" si="142"/>
        <v/>
      </c>
      <c r="AP255" s="33" t="str">
        <f t="shared" si="143"/>
        <v/>
      </c>
      <c r="AQ255" s="58" t="str">
        <f t="shared" si="120"/>
        <v/>
      </c>
      <c r="AR255" s="38">
        <f>IF(Summary!$H$2=1,VLOOKUP('ANR OK vs ML7'!A255,Curves!$C$17:$AR$273,MATCH('ANR OK vs ML7'!$AR$4,Curves!$C$8:$AQ$8,0)),0.1)</f>
        <v>0.1</v>
      </c>
      <c r="AS255" s="35" t="str">
        <f t="shared" si="121"/>
        <v/>
      </c>
      <c r="AT255" s="3" t="str">
        <f t="shared" si="144"/>
        <v/>
      </c>
      <c r="AU255" s="3" t="str">
        <f t="shared" si="122"/>
        <v/>
      </c>
      <c r="AW255" s="32" t="str">
        <f t="shared" si="145"/>
        <v/>
      </c>
      <c r="AX255" s="32" t="str">
        <f t="shared" si="146"/>
        <v/>
      </c>
      <c r="AY255" s="32" t="str">
        <f t="shared" si="147"/>
        <v/>
      </c>
      <c r="BA255" s="32" t="str">
        <f>IF($A256="","",F255*Summary!$Q$7)</f>
        <v/>
      </c>
    </row>
    <row r="256" spans="1:53" ht="12" customHeight="1">
      <c r="A256" s="67" t="str">
        <f t="shared" si="123"/>
        <v/>
      </c>
      <c r="B256" s="69" t="str">
        <f t="shared" si="148"/>
        <v/>
      </c>
      <c r="C256" s="71"/>
      <c r="D256" s="69" t="str">
        <f t="shared" si="149"/>
        <v/>
      </c>
      <c r="E256" s="70" t="str">
        <f t="shared" si="113"/>
        <v/>
      </c>
      <c r="F256" s="70" t="str">
        <f t="shared" si="114"/>
        <v/>
      </c>
      <c r="G256" s="63" t="str">
        <f t="shared" si="124"/>
        <v/>
      </c>
      <c r="H256" s="64" t="str">
        <f t="shared" si="125"/>
        <v/>
      </c>
      <c r="I256" s="43"/>
      <c r="J256" s="63" t="str">
        <f t="shared" si="126"/>
        <v/>
      </c>
      <c r="K256" s="64" t="str">
        <f t="shared" si="127"/>
        <v/>
      </c>
      <c r="L256" s="63" t="str">
        <f t="shared" si="128"/>
        <v/>
      </c>
      <c r="M256" s="64" t="str">
        <f t="shared" si="129"/>
        <v/>
      </c>
      <c r="N256" s="65"/>
      <c r="O256" s="63" t="str">
        <f t="shared" si="130"/>
        <v/>
      </c>
      <c r="P256" s="63" t="str">
        <f t="shared" si="131"/>
        <v/>
      </c>
      <c r="Q256" s="66"/>
      <c r="R256" s="63" t="str">
        <f t="shared" si="132"/>
        <v/>
      </c>
      <c r="S256" s="64" t="str">
        <f t="shared" si="133"/>
        <v/>
      </c>
      <c r="T256" s="63" t="str">
        <f t="shared" si="134"/>
        <v/>
      </c>
      <c r="U256" s="64" t="str">
        <f t="shared" si="135"/>
        <v/>
      </c>
      <c r="V256" s="207" t="str">
        <f>IF($A257="","",IF(AND(MONTH(A256)&gt;3,MONTH(A256)&lt;11),(T256+R256+G256)*Summary!$T$7/(1-Summary!$T$7),(T256+R256+G256)*Summary!$U$7/(1-Summary!$U$7)))</f>
        <v/>
      </c>
      <c r="W256" s="63" t="str">
        <f t="shared" si="136"/>
        <v/>
      </c>
      <c r="X256" s="63" t="str">
        <f t="shared" si="137"/>
        <v/>
      </c>
      <c r="Y256" s="43"/>
      <c r="Z256" s="38" t="str">
        <f t="shared" si="138"/>
        <v/>
      </c>
      <c r="AA256" s="38" t="str">
        <f t="shared" si="138"/>
        <v/>
      </c>
      <c r="AB256" s="38" t="e">
        <f t="shared" si="115"/>
        <v>#VALUE!</v>
      </c>
      <c r="AC256" s="38" t="str">
        <f t="shared" si="138"/>
        <v/>
      </c>
      <c r="AD256" s="38" t="str">
        <f t="shared" si="116"/>
        <v/>
      </c>
      <c r="AE256" s="38" t="e">
        <f t="shared" si="117"/>
        <v>#VALUE!</v>
      </c>
      <c r="AF256" s="238" t="e">
        <f>((Summary!$N$7*(AA256*AD256)*(A256-$D$3))+(Summary!$M$7*Z256*AC256*(DAY(EOMONTH(A256,0))/2)))/(AK256*AB256*AE256)</f>
        <v>#VALUE!</v>
      </c>
      <c r="AG256" s="88" t="str">
        <f>IF($A257="","",Summary!$Q$7)</f>
        <v/>
      </c>
      <c r="AH256" s="88" t="str">
        <f>IF($A257="","",IF(Summary!$R$7="Y",(VLOOKUP($A256,Summary!$AD$6:$AF$9,3)+'Escalating commodity'!C269),'Escalating commodity'!C269))</f>
        <v/>
      </c>
      <c r="AI256" s="88" t="str">
        <f t="shared" si="139"/>
        <v/>
      </c>
      <c r="AJ256" s="236" t="e">
        <f t="shared" si="118"/>
        <v>#VALUE!</v>
      </c>
      <c r="AK256" s="58" t="str">
        <f t="shared" si="140"/>
        <v/>
      </c>
      <c r="AL256" s="26" t="str">
        <f>IF($A257="","",_xll.SPRDOPT(P256,X256,AI256,0,AB256,AE256,AF256,AK256,$AJ$2,0))</f>
        <v/>
      </c>
      <c r="AM256" s="209" t="str">
        <f t="shared" si="119"/>
        <v/>
      </c>
      <c r="AN256" s="89" t="str">
        <f t="shared" si="141"/>
        <v/>
      </c>
      <c r="AO256" s="3" t="str">
        <f t="shared" si="142"/>
        <v/>
      </c>
      <c r="AP256" s="33" t="str">
        <f t="shared" si="143"/>
        <v/>
      </c>
      <c r="AQ256" s="58" t="str">
        <f t="shared" si="120"/>
        <v/>
      </c>
      <c r="AR256" s="38">
        <f>IF(Summary!$H$2=1,VLOOKUP('ANR OK vs ML7'!A256,Curves!$C$17:$AR$273,MATCH('ANR OK vs ML7'!$AR$4,Curves!$C$8:$AQ$8,0)),0.1)</f>
        <v>0.1</v>
      </c>
      <c r="AS256" s="35" t="str">
        <f t="shared" si="121"/>
        <v/>
      </c>
      <c r="AT256" s="3" t="str">
        <f t="shared" si="144"/>
        <v/>
      </c>
      <c r="AU256" s="3" t="str">
        <f t="shared" si="122"/>
        <v/>
      </c>
      <c r="AW256" s="32" t="str">
        <f t="shared" si="145"/>
        <v/>
      </c>
      <c r="AX256" s="32" t="str">
        <f t="shared" si="146"/>
        <v/>
      </c>
      <c r="AY256" s="32" t="str">
        <f t="shared" si="147"/>
        <v/>
      </c>
      <c r="BA256" s="32" t="str">
        <f>IF($A257="","",F256*Summary!$Q$7)</f>
        <v/>
      </c>
    </row>
    <row r="257" spans="1:53" ht="12" customHeight="1">
      <c r="A257" s="67" t="str">
        <f t="shared" si="123"/>
        <v/>
      </c>
      <c r="B257" s="69" t="str">
        <f t="shared" si="148"/>
        <v/>
      </c>
      <c r="C257" s="71"/>
      <c r="D257" s="69" t="str">
        <f t="shared" si="149"/>
        <v/>
      </c>
      <c r="E257" s="70" t="str">
        <f t="shared" si="113"/>
        <v/>
      </c>
      <c r="F257" s="70" t="str">
        <f t="shared" si="114"/>
        <v/>
      </c>
      <c r="G257" s="63" t="str">
        <f t="shared" si="124"/>
        <v/>
      </c>
      <c r="H257" s="64" t="str">
        <f t="shared" si="125"/>
        <v/>
      </c>
      <c r="I257" s="43"/>
      <c r="J257" s="63" t="str">
        <f t="shared" si="126"/>
        <v/>
      </c>
      <c r="K257" s="64" t="str">
        <f t="shared" si="127"/>
        <v/>
      </c>
      <c r="L257" s="63" t="str">
        <f t="shared" si="128"/>
        <v/>
      </c>
      <c r="M257" s="64" t="str">
        <f t="shared" si="129"/>
        <v/>
      </c>
      <c r="N257" s="65"/>
      <c r="O257" s="63" t="str">
        <f t="shared" si="130"/>
        <v/>
      </c>
      <c r="P257" s="63" t="str">
        <f t="shared" si="131"/>
        <v/>
      </c>
      <c r="Q257" s="66"/>
      <c r="R257" s="63" t="str">
        <f t="shared" si="132"/>
        <v/>
      </c>
      <c r="S257" s="64" t="str">
        <f t="shared" si="133"/>
        <v/>
      </c>
      <c r="T257" s="63" t="str">
        <f t="shared" si="134"/>
        <v/>
      </c>
      <c r="U257" s="64" t="str">
        <f t="shared" si="135"/>
        <v/>
      </c>
      <c r="V257" s="207" t="str">
        <f>IF($A258="","",IF(AND(MONTH(A257)&gt;3,MONTH(A257)&lt;11),(T257+R257+G257)*Summary!$T$7/(1-Summary!$T$7),(T257+R257+G257)*Summary!$U$7/(1-Summary!$U$7)))</f>
        <v/>
      </c>
      <c r="W257" s="63" t="str">
        <f t="shared" si="136"/>
        <v/>
      </c>
      <c r="X257" s="63" t="str">
        <f t="shared" si="137"/>
        <v/>
      </c>
      <c r="Y257" s="43"/>
      <c r="Z257" s="38" t="str">
        <f t="shared" si="138"/>
        <v/>
      </c>
      <c r="AA257" s="38" t="str">
        <f t="shared" si="138"/>
        <v/>
      </c>
      <c r="AB257" s="38" t="e">
        <f t="shared" si="115"/>
        <v>#VALUE!</v>
      </c>
      <c r="AC257" s="38" t="str">
        <f t="shared" si="138"/>
        <v/>
      </c>
      <c r="AD257" s="38" t="str">
        <f t="shared" si="116"/>
        <v/>
      </c>
      <c r="AE257" s="38" t="e">
        <f t="shared" si="117"/>
        <v>#VALUE!</v>
      </c>
      <c r="AF257" s="238" t="e">
        <f>((Summary!$N$7*(AA257*AD257)*(A257-$D$3))+(Summary!$M$7*Z257*AC257*(DAY(EOMONTH(A257,0))/2)))/(AK257*AB257*AE257)</f>
        <v>#VALUE!</v>
      </c>
      <c r="AG257" s="88" t="str">
        <f>IF($A258="","",Summary!$Q$7)</f>
        <v/>
      </c>
      <c r="AH257" s="88" t="str">
        <f>IF($A258="","",IF(Summary!$R$7="Y",(VLOOKUP($A257,Summary!$AD$6:$AF$9,3)+'Escalating commodity'!C270),'Escalating commodity'!C270))</f>
        <v/>
      </c>
      <c r="AI257" s="88" t="str">
        <f t="shared" si="139"/>
        <v/>
      </c>
      <c r="AJ257" s="236" t="e">
        <f t="shared" si="118"/>
        <v>#VALUE!</v>
      </c>
      <c r="AK257" s="58" t="str">
        <f t="shared" si="140"/>
        <v/>
      </c>
      <c r="AL257" s="26" t="str">
        <f>IF($A258="","",_xll.SPRDOPT(P257,X257,AI257,0,AB257,AE257,AF257,AK257,$AJ$2,0))</f>
        <v/>
      </c>
      <c r="AM257" s="209" t="str">
        <f t="shared" si="119"/>
        <v/>
      </c>
      <c r="AN257" s="89" t="str">
        <f t="shared" si="141"/>
        <v/>
      </c>
      <c r="AO257" s="3" t="str">
        <f t="shared" si="142"/>
        <v/>
      </c>
      <c r="AP257" s="33" t="str">
        <f t="shared" si="143"/>
        <v/>
      </c>
      <c r="AQ257" s="58" t="str">
        <f t="shared" si="120"/>
        <v/>
      </c>
      <c r="AR257" s="38">
        <f>IF(Summary!$H$2=1,VLOOKUP('ANR OK vs ML7'!A257,Curves!$C$17:$AR$273,MATCH('ANR OK vs ML7'!$AR$4,Curves!$C$8:$AQ$8,0)),0.1)</f>
        <v>0.1</v>
      </c>
      <c r="AS257" s="35" t="str">
        <f t="shared" si="121"/>
        <v/>
      </c>
      <c r="AT257" s="3" t="str">
        <f t="shared" si="144"/>
        <v/>
      </c>
      <c r="AU257" s="3" t="str">
        <f t="shared" si="122"/>
        <v/>
      </c>
      <c r="AW257" s="32" t="str">
        <f t="shared" si="145"/>
        <v/>
      </c>
      <c r="AX257" s="32" t="str">
        <f t="shared" si="146"/>
        <v/>
      </c>
      <c r="AY257" s="32" t="str">
        <f t="shared" si="147"/>
        <v/>
      </c>
      <c r="BA257" s="32" t="str">
        <f>IF($A258="","",F257*Summary!$Q$7)</f>
        <v/>
      </c>
    </row>
    <row r="258" spans="1:53" ht="12" customHeight="1">
      <c r="A258" s="67" t="str">
        <f t="shared" si="123"/>
        <v/>
      </c>
      <c r="B258" s="69" t="str">
        <f t="shared" si="148"/>
        <v/>
      </c>
      <c r="C258" s="71"/>
      <c r="D258" s="69" t="str">
        <f t="shared" si="149"/>
        <v/>
      </c>
      <c r="E258" s="70" t="str">
        <f t="shared" si="113"/>
        <v/>
      </c>
      <c r="F258" s="70" t="str">
        <f t="shared" si="114"/>
        <v/>
      </c>
      <c r="G258" s="63" t="str">
        <f t="shared" si="124"/>
        <v/>
      </c>
      <c r="H258" s="64" t="str">
        <f t="shared" si="125"/>
        <v/>
      </c>
      <c r="I258" s="43"/>
      <c r="J258" s="63" t="str">
        <f t="shared" si="126"/>
        <v/>
      </c>
      <c r="K258" s="64" t="str">
        <f t="shared" si="127"/>
        <v/>
      </c>
      <c r="L258" s="63" t="str">
        <f t="shared" si="128"/>
        <v/>
      </c>
      <c r="M258" s="64" t="str">
        <f t="shared" si="129"/>
        <v/>
      </c>
      <c r="N258" s="65"/>
      <c r="O258" s="63" t="str">
        <f t="shared" si="130"/>
        <v/>
      </c>
      <c r="P258" s="63" t="str">
        <f t="shared" si="131"/>
        <v/>
      </c>
      <c r="Q258" s="66"/>
      <c r="R258" s="63" t="str">
        <f t="shared" si="132"/>
        <v/>
      </c>
      <c r="S258" s="64" t="str">
        <f t="shared" si="133"/>
        <v/>
      </c>
      <c r="T258" s="63" t="str">
        <f t="shared" si="134"/>
        <v/>
      </c>
      <c r="U258" s="64" t="str">
        <f t="shared" si="135"/>
        <v/>
      </c>
      <c r="V258" s="207" t="str">
        <f>IF($A259="","",IF(AND(MONTH(A258)&gt;3,MONTH(A258)&lt;11),(T258+R258+G258)*Summary!$T$7/(1-Summary!$T$7),(T258+R258+G258)*Summary!$U$7/(1-Summary!$U$7)))</f>
        <v/>
      </c>
      <c r="W258" s="63" t="str">
        <f t="shared" si="136"/>
        <v/>
      </c>
      <c r="X258" s="63" t="str">
        <f t="shared" si="137"/>
        <v/>
      </c>
      <c r="Y258" s="43"/>
      <c r="Z258" s="38" t="str">
        <f t="shared" si="138"/>
        <v/>
      </c>
      <c r="AA258" s="38" t="str">
        <f t="shared" si="138"/>
        <v/>
      </c>
      <c r="AB258" s="38" t="e">
        <f t="shared" si="115"/>
        <v>#VALUE!</v>
      </c>
      <c r="AC258" s="38" t="str">
        <f t="shared" si="138"/>
        <v/>
      </c>
      <c r="AD258" s="38" t="str">
        <f t="shared" si="116"/>
        <v/>
      </c>
      <c r="AE258" s="38" t="e">
        <f t="shared" si="117"/>
        <v>#VALUE!</v>
      </c>
      <c r="AF258" s="238" t="e">
        <f>((Summary!$N$7*(AA258*AD258)*(A258-$D$3))+(Summary!$M$7*Z258*AC258*(DAY(EOMONTH(A258,0))/2)))/(AK258*AB258*AE258)</f>
        <v>#VALUE!</v>
      </c>
      <c r="AG258" s="88" t="str">
        <f>IF($A259="","",Summary!$Q$7)</f>
        <v/>
      </c>
      <c r="AH258" s="88" t="str">
        <f>IF($A259="","",IF(Summary!$R$7="Y",(VLOOKUP($A258,Summary!$AD$6:$AF$9,3)+'Escalating commodity'!C271),'Escalating commodity'!C271))</f>
        <v/>
      </c>
      <c r="AI258" s="88" t="str">
        <f t="shared" si="139"/>
        <v/>
      </c>
      <c r="AJ258" s="236" t="e">
        <f t="shared" si="118"/>
        <v>#VALUE!</v>
      </c>
      <c r="AK258" s="58" t="str">
        <f t="shared" si="140"/>
        <v/>
      </c>
      <c r="AL258" s="26" t="str">
        <f>IF($A259="","",_xll.SPRDOPT(P258,X258,AI258,0,AB258,AE258,AF258,AK258,$AJ$2,0))</f>
        <v/>
      </c>
      <c r="AM258" s="209" t="str">
        <f t="shared" si="119"/>
        <v/>
      </c>
      <c r="AN258" s="89" t="str">
        <f t="shared" si="141"/>
        <v/>
      </c>
      <c r="AO258" s="3" t="str">
        <f t="shared" si="142"/>
        <v/>
      </c>
      <c r="AP258" s="33" t="str">
        <f t="shared" si="143"/>
        <v/>
      </c>
      <c r="AQ258" s="58" t="str">
        <f t="shared" si="120"/>
        <v/>
      </c>
      <c r="AR258" s="38">
        <f>IF(Summary!$H$2=1,VLOOKUP('ANR OK vs ML7'!A258,Curves!$C$17:$AR$273,MATCH('ANR OK vs ML7'!$AR$4,Curves!$C$8:$AQ$8,0)),0.1)</f>
        <v>0.1</v>
      </c>
      <c r="AS258" s="35" t="str">
        <f t="shared" si="121"/>
        <v/>
      </c>
      <c r="AT258" s="3" t="str">
        <f t="shared" si="144"/>
        <v/>
      </c>
      <c r="AU258" s="3" t="str">
        <f t="shared" si="122"/>
        <v/>
      </c>
      <c r="AW258" s="32" t="str">
        <f t="shared" si="145"/>
        <v/>
      </c>
      <c r="AX258" s="32" t="str">
        <f t="shared" si="146"/>
        <v/>
      </c>
      <c r="AY258" s="32" t="str">
        <f t="shared" si="147"/>
        <v/>
      </c>
      <c r="BA258" s="32" t="str">
        <f>IF($A259="","",F258*Summary!$Q$7)</f>
        <v/>
      </c>
    </row>
    <row r="259" spans="1:53" ht="12" customHeight="1">
      <c r="A259" s="67" t="str">
        <f t="shared" si="123"/>
        <v/>
      </c>
      <c r="B259" s="69" t="str">
        <f t="shared" si="148"/>
        <v/>
      </c>
      <c r="C259" s="71"/>
      <c r="D259" s="69" t="str">
        <f t="shared" si="149"/>
        <v/>
      </c>
      <c r="E259" s="70" t="str">
        <f t="shared" si="113"/>
        <v/>
      </c>
      <c r="F259" s="70" t="str">
        <f t="shared" si="114"/>
        <v/>
      </c>
      <c r="G259" s="63" t="str">
        <f t="shared" si="124"/>
        <v/>
      </c>
      <c r="H259" s="64" t="str">
        <f t="shared" si="125"/>
        <v/>
      </c>
      <c r="I259" s="43"/>
      <c r="J259" s="63" t="str">
        <f t="shared" si="126"/>
        <v/>
      </c>
      <c r="K259" s="64" t="str">
        <f t="shared" si="127"/>
        <v/>
      </c>
      <c r="L259" s="63" t="str">
        <f t="shared" si="128"/>
        <v/>
      </c>
      <c r="M259" s="64" t="str">
        <f t="shared" si="129"/>
        <v/>
      </c>
      <c r="N259" s="65"/>
      <c r="O259" s="63" t="str">
        <f t="shared" si="130"/>
        <v/>
      </c>
      <c r="P259" s="63" t="str">
        <f t="shared" si="131"/>
        <v/>
      </c>
      <c r="Q259" s="66"/>
      <c r="R259" s="63" t="str">
        <f t="shared" si="132"/>
        <v/>
      </c>
      <c r="S259" s="64" t="str">
        <f t="shared" si="133"/>
        <v/>
      </c>
      <c r="T259" s="63" t="str">
        <f t="shared" si="134"/>
        <v/>
      </c>
      <c r="U259" s="64" t="str">
        <f t="shared" si="135"/>
        <v/>
      </c>
      <c r="V259" s="207" t="str">
        <f>IF($A260="","",IF(AND(MONTH(A259)&gt;3,MONTH(A259)&lt;11),(T259+R259+G259)*Summary!$T$7/(1-Summary!$T$7),(T259+R259+G259)*Summary!$U$7/(1-Summary!$U$7)))</f>
        <v/>
      </c>
      <c r="W259" s="63" t="str">
        <f t="shared" si="136"/>
        <v/>
      </c>
      <c r="X259" s="63" t="str">
        <f t="shared" si="137"/>
        <v/>
      </c>
      <c r="Y259" s="43"/>
      <c r="Z259" s="38" t="str">
        <f t="shared" si="138"/>
        <v/>
      </c>
      <c r="AA259" s="38" t="str">
        <f t="shared" si="138"/>
        <v/>
      </c>
      <c r="AB259" s="38" t="e">
        <f t="shared" si="115"/>
        <v>#VALUE!</v>
      </c>
      <c r="AC259" s="38" t="str">
        <f t="shared" si="138"/>
        <v/>
      </c>
      <c r="AD259" s="38" t="str">
        <f t="shared" si="116"/>
        <v/>
      </c>
      <c r="AE259" s="38" t="e">
        <f t="shared" si="117"/>
        <v>#VALUE!</v>
      </c>
      <c r="AF259" s="238" t="e">
        <f>((Summary!$N$7*(AA259*AD259)*(A259-$D$3))+(Summary!$M$7*Z259*AC259*(DAY(EOMONTH(A259,0))/2)))/(AK259*AB259*AE259)</f>
        <v>#VALUE!</v>
      </c>
      <c r="AG259" s="88" t="str">
        <f>IF($A260="","",Summary!$Q$7)</f>
        <v/>
      </c>
      <c r="AH259" s="88" t="str">
        <f>IF($A260="","",IF(Summary!$R$7="Y",(VLOOKUP($A259,Summary!$AD$6:$AF$9,3)+'Escalating commodity'!C272),'Escalating commodity'!C272))</f>
        <v/>
      </c>
      <c r="AI259" s="88" t="str">
        <f t="shared" si="139"/>
        <v/>
      </c>
      <c r="AJ259" s="236" t="e">
        <f t="shared" si="118"/>
        <v>#VALUE!</v>
      </c>
      <c r="AK259" s="58" t="str">
        <f t="shared" si="140"/>
        <v/>
      </c>
      <c r="AL259" s="26" t="str">
        <f>IF($A260="","",_xll.SPRDOPT(P259,X259,AI259,0,AB259,AE259,AF259,AK259,$AJ$2,0))</f>
        <v/>
      </c>
      <c r="AM259" s="209" t="str">
        <f t="shared" si="119"/>
        <v/>
      </c>
      <c r="AN259" s="89" t="str">
        <f t="shared" si="141"/>
        <v/>
      </c>
      <c r="AO259" s="3" t="str">
        <f t="shared" si="142"/>
        <v/>
      </c>
      <c r="AP259" s="33" t="str">
        <f t="shared" si="143"/>
        <v/>
      </c>
      <c r="AQ259" s="58" t="str">
        <f t="shared" si="120"/>
        <v/>
      </c>
      <c r="AR259" s="38">
        <f>IF(Summary!$H$2=1,VLOOKUP('ANR OK vs ML7'!A259,Curves!$C$17:$AR$273,MATCH('ANR OK vs ML7'!$AR$4,Curves!$C$8:$AQ$8,0)),0.1)</f>
        <v>0.1</v>
      </c>
      <c r="AS259" s="35" t="str">
        <f t="shared" si="121"/>
        <v/>
      </c>
      <c r="AT259" s="3" t="str">
        <f t="shared" si="144"/>
        <v/>
      </c>
      <c r="AU259" s="3" t="str">
        <f t="shared" si="122"/>
        <v/>
      </c>
      <c r="AW259" s="32" t="str">
        <f t="shared" si="145"/>
        <v/>
      </c>
      <c r="AX259" s="32" t="str">
        <f t="shared" si="146"/>
        <v/>
      </c>
      <c r="AY259" s="32" t="str">
        <f t="shared" si="147"/>
        <v/>
      </c>
      <c r="BA259" s="32" t="str">
        <f>IF($A260="","",F259*Summary!$Q$7)</f>
        <v/>
      </c>
    </row>
    <row r="260" spans="1:53" ht="12" customHeight="1">
      <c r="A260" s="67" t="str">
        <f t="shared" si="123"/>
        <v/>
      </c>
      <c r="B260" s="69" t="str">
        <f t="shared" si="148"/>
        <v/>
      </c>
      <c r="C260" s="71"/>
      <c r="D260" s="69" t="str">
        <f t="shared" si="149"/>
        <v/>
      </c>
      <c r="E260" s="70" t="str">
        <f t="shared" si="113"/>
        <v/>
      </c>
      <c r="F260" s="70" t="str">
        <f t="shared" si="114"/>
        <v/>
      </c>
      <c r="G260" s="63" t="str">
        <f t="shared" si="124"/>
        <v/>
      </c>
      <c r="H260" s="64" t="str">
        <f t="shared" si="125"/>
        <v/>
      </c>
      <c r="I260" s="43"/>
      <c r="J260" s="63" t="str">
        <f t="shared" si="126"/>
        <v/>
      </c>
      <c r="K260" s="64" t="str">
        <f t="shared" si="127"/>
        <v/>
      </c>
      <c r="L260" s="63" t="str">
        <f t="shared" si="128"/>
        <v/>
      </c>
      <c r="M260" s="64" t="str">
        <f t="shared" si="129"/>
        <v/>
      </c>
      <c r="N260" s="65"/>
      <c r="O260" s="63" t="str">
        <f t="shared" si="130"/>
        <v/>
      </c>
      <c r="P260" s="63" t="str">
        <f t="shared" si="131"/>
        <v/>
      </c>
      <c r="Q260" s="66"/>
      <c r="R260" s="63" t="str">
        <f t="shared" si="132"/>
        <v/>
      </c>
      <c r="S260" s="64" t="str">
        <f t="shared" si="133"/>
        <v/>
      </c>
      <c r="T260" s="63" t="str">
        <f t="shared" si="134"/>
        <v/>
      </c>
      <c r="U260" s="64" t="str">
        <f t="shared" si="135"/>
        <v/>
      </c>
      <c r="V260" s="207" t="str">
        <f>IF($A261="","",IF(AND(MONTH(A260)&gt;3,MONTH(A260)&lt;11),(T260+R260+G260)*Summary!$T$7/(1-Summary!$T$7),(T260+R260+G260)*Summary!$U$7/(1-Summary!$U$7)))</f>
        <v/>
      </c>
      <c r="W260" s="63" t="str">
        <f t="shared" si="136"/>
        <v/>
      </c>
      <c r="X260" s="63" t="str">
        <f t="shared" si="137"/>
        <v/>
      </c>
      <c r="Y260" s="43"/>
      <c r="Z260" s="38" t="str">
        <f t="shared" si="138"/>
        <v/>
      </c>
      <c r="AA260" s="38" t="str">
        <f t="shared" si="138"/>
        <v/>
      </c>
      <c r="AB260" s="38" t="e">
        <f t="shared" si="115"/>
        <v>#VALUE!</v>
      </c>
      <c r="AC260" s="38" t="str">
        <f t="shared" si="138"/>
        <v/>
      </c>
      <c r="AD260" s="38" t="str">
        <f t="shared" si="116"/>
        <v/>
      </c>
      <c r="AE260" s="38" t="e">
        <f t="shared" si="117"/>
        <v>#VALUE!</v>
      </c>
      <c r="AF260" s="238" t="e">
        <f>((Summary!$N$7*(AA260*AD260)*(A260-$D$3))+(Summary!$M$7*Z260*AC260*(DAY(EOMONTH(A260,0))/2)))/(AK260*AB260*AE260)</f>
        <v>#VALUE!</v>
      </c>
      <c r="AG260" s="88" t="str">
        <f>IF($A261="","",Summary!$Q$7)</f>
        <v/>
      </c>
      <c r="AH260" s="88" t="str">
        <f>IF($A261="","",IF(Summary!$R$7="Y",(VLOOKUP($A260,Summary!$AD$6:$AF$9,3)+'Escalating commodity'!C273),'Escalating commodity'!C273))</f>
        <v/>
      </c>
      <c r="AI260" s="88" t="str">
        <f t="shared" si="139"/>
        <v/>
      </c>
      <c r="AJ260" s="236" t="e">
        <f t="shared" si="118"/>
        <v>#VALUE!</v>
      </c>
      <c r="AK260" s="58" t="str">
        <f t="shared" si="140"/>
        <v/>
      </c>
      <c r="AL260" s="26" t="str">
        <f>IF($A261="","",_xll.SPRDOPT(P260,X260,AI260,0,AB260,AE260,AF260,AK260,$AJ$2,0))</f>
        <v/>
      </c>
      <c r="AM260" s="209" t="str">
        <f t="shared" si="119"/>
        <v/>
      </c>
      <c r="AN260" s="89" t="str">
        <f t="shared" si="141"/>
        <v/>
      </c>
      <c r="AO260" s="3" t="str">
        <f t="shared" si="142"/>
        <v/>
      </c>
      <c r="AP260" s="33" t="str">
        <f t="shared" si="143"/>
        <v/>
      </c>
      <c r="AQ260" s="58" t="str">
        <f t="shared" si="120"/>
        <v/>
      </c>
      <c r="AR260" s="38">
        <f>IF(Summary!$H$2=1,VLOOKUP('ANR OK vs ML7'!A260,Curves!$C$17:$AR$273,MATCH('ANR OK vs ML7'!$AR$4,Curves!$C$8:$AQ$8,0)),0.1)</f>
        <v>0.1</v>
      </c>
      <c r="AS260" s="35" t="str">
        <f t="shared" si="121"/>
        <v/>
      </c>
      <c r="AT260" s="3" t="str">
        <f t="shared" si="144"/>
        <v/>
      </c>
      <c r="AU260" s="3" t="str">
        <f t="shared" si="122"/>
        <v/>
      </c>
      <c r="AW260" s="32" t="str">
        <f t="shared" si="145"/>
        <v/>
      </c>
      <c r="AX260" s="32" t="str">
        <f t="shared" si="146"/>
        <v/>
      </c>
      <c r="AY260" s="32" t="str">
        <f t="shared" si="147"/>
        <v/>
      </c>
      <c r="BA260" s="32" t="str">
        <f>IF($A261="","",F260*Summary!$Q$7)</f>
        <v/>
      </c>
    </row>
    <row r="261" spans="1:53" ht="12" customHeight="1">
      <c r="A261" s="67" t="str">
        <f t="shared" si="123"/>
        <v/>
      </c>
      <c r="B261" s="69" t="str">
        <f t="shared" si="148"/>
        <v/>
      </c>
      <c r="C261" s="71"/>
      <c r="D261" s="69" t="str">
        <f t="shared" si="149"/>
        <v/>
      </c>
      <c r="E261" s="70" t="str">
        <f t="shared" si="113"/>
        <v/>
      </c>
      <c r="F261" s="70" t="str">
        <f t="shared" si="114"/>
        <v/>
      </c>
      <c r="G261" s="63" t="str">
        <f t="shared" si="124"/>
        <v/>
      </c>
      <c r="H261" s="64" t="str">
        <f t="shared" si="125"/>
        <v/>
      </c>
      <c r="I261" s="43"/>
      <c r="J261" s="63" t="str">
        <f t="shared" si="126"/>
        <v/>
      </c>
      <c r="K261" s="64" t="str">
        <f t="shared" si="127"/>
        <v/>
      </c>
      <c r="L261" s="63" t="str">
        <f t="shared" si="128"/>
        <v/>
      </c>
      <c r="M261" s="64" t="str">
        <f t="shared" si="129"/>
        <v/>
      </c>
      <c r="N261" s="65"/>
      <c r="O261" s="63" t="str">
        <f t="shared" si="130"/>
        <v/>
      </c>
      <c r="P261" s="63" t="str">
        <f t="shared" si="131"/>
        <v/>
      </c>
      <c r="Q261" s="66"/>
      <c r="R261" s="63" t="str">
        <f t="shared" si="132"/>
        <v/>
      </c>
      <c r="S261" s="64" t="str">
        <f t="shared" si="133"/>
        <v/>
      </c>
      <c r="T261" s="63" t="str">
        <f t="shared" si="134"/>
        <v/>
      </c>
      <c r="U261" s="64" t="str">
        <f t="shared" si="135"/>
        <v/>
      </c>
      <c r="V261" s="207" t="str">
        <f>IF($A262="","",IF(AND(MONTH(A261)&gt;3,MONTH(A261)&lt;11),(T261+R261+G261)*Summary!$T$7/(1-Summary!$T$7),(T261+R261+G261)*Summary!$U$7/(1-Summary!$U$7)))</f>
        <v/>
      </c>
      <c r="W261" s="63" t="str">
        <f t="shared" si="136"/>
        <v/>
      </c>
      <c r="X261" s="63" t="str">
        <f t="shared" si="137"/>
        <v/>
      </c>
      <c r="Y261" s="43"/>
      <c r="Z261" s="38" t="str">
        <f t="shared" si="138"/>
        <v/>
      </c>
      <c r="AA261" s="38" t="str">
        <f t="shared" si="138"/>
        <v/>
      </c>
      <c r="AB261" s="38" t="e">
        <f t="shared" si="115"/>
        <v>#VALUE!</v>
      </c>
      <c r="AC261" s="38" t="str">
        <f t="shared" si="138"/>
        <v/>
      </c>
      <c r="AD261" s="38" t="str">
        <f t="shared" si="116"/>
        <v/>
      </c>
      <c r="AE261" s="38" t="e">
        <f t="shared" si="117"/>
        <v>#VALUE!</v>
      </c>
      <c r="AF261" s="238" t="e">
        <f>((Summary!$N$7*(AA261*AD261)*(A261-$D$3))+(Summary!$M$7*Z261*AC261*(DAY(EOMONTH(A261,0))/2)))/(AK261*AB261*AE261)</f>
        <v>#VALUE!</v>
      </c>
      <c r="AG261" s="88" t="str">
        <f>IF($A262="","",Summary!$Q$7)</f>
        <v/>
      </c>
      <c r="AH261" s="88" t="str">
        <f>IF($A262="","",IF(Summary!$R$7="Y",(VLOOKUP($A261,Summary!$AD$6:$AF$9,3)+'Escalating commodity'!C274),'Escalating commodity'!C274))</f>
        <v/>
      </c>
      <c r="AI261" s="88" t="str">
        <f t="shared" si="139"/>
        <v/>
      </c>
      <c r="AJ261" s="236" t="e">
        <f t="shared" si="118"/>
        <v>#VALUE!</v>
      </c>
      <c r="AK261" s="58" t="str">
        <f t="shared" si="140"/>
        <v/>
      </c>
      <c r="AL261" s="26" t="str">
        <f>IF($A262="","",_xll.SPRDOPT(P261,X261,AI261,0,AB261,AE261,AF261,AK261,$AJ$2,0))</f>
        <v/>
      </c>
      <c r="AM261" s="209" t="str">
        <f t="shared" si="119"/>
        <v/>
      </c>
      <c r="AN261" s="89" t="str">
        <f t="shared" si="141"/>
        <v/>
      </c>
      <c r="AO261" s="3" t="str">
        <f t="shared" si="142"/>
        <v/>
      </c>
      <c r="AP261" s="33" t="str">
        <f t="shared" si="143"/>
        <v/>
      </c>
      <c r="AQ261" s="58" t="str">
        <f t="shared" si="120"/>
        <v/>
      </c>
      <c r="AR261" s="38">
        <f>IF(Summary!$H$2=1,VLOOKUP('ANR OK vs ML7'!A261,Curves!$C$17:$AR$273,MATCH('ANR OK vs ML7'!$AR$4,Curves!$C$8:$AQ$8,0)),0.1)</f>
        <v>0.1</v>
      </c>
      <c r="AS261" s="35" t="str">
        <f t="shared" si="121"/>
        <v/>
      </c>
      <c r="AT261" s="3" t="str">
        <f t="shared" si="144"/>
        <v/>
      </c>
      <c r="AU261" s="3" t="str">
        <f t="shared" si="122"/>
        <v/>
      </c>
      <c r="AW261" s="32" t="str">
        <f t="shared" si="145"/>
        <v/>
      </c>
      <c r="AX261" s="32" t="str">
        <f t="shared" si="146"/>
        <v/>
      </c>
      <c r="AY261" s="32" t="str">
        <f t="shared" si="147"/>
        <v/>
      </c>
      <c r="BA261" s="32" t="str">
        <f>IF($A262="","",F261*Summary!$Q$7)</f>
        <v/>
      </c>
    </row>
    <row r="262" spans="1:53" ht="12" customHeight="1">
      <c r="A262" s="67" t="str">
        <f t="shared" si="123"/>
        <v/>
      </c>
      <c r="B262" s="69" t="str">
        <f t="shared" si="148"/>
        <v/>
      </c>
      <c r="C262" s="71"/>
      <c r="D262" s="69" t="str">
        <f t="shared" si="149"/>
        <v/>
      </c>
      <c r="E262" s="70" t="str">
        <f t="shared" si="113"/>
        <v/>
      </c>
      <c r="F262" s="70" t="str">
        <f t="shared" si="114"/>
        <v/>
      </c>
      <c r="G262" s="63" t="str">
        <f t="shared" si="124"/>
        <v/>
      </c>
      <c r="H262" s="64" t="str">
        <f t="shared" si="125"/>
        <v/>
      </c>
      <c r="I262" s="43"/>
      <c r="J262" s="63" t="str">
        <f t="shared" si="126"/>
        <v/>
      </c>
      <c r="K262" s="64" t="str">
        <f t="shared" si="127"/>
        <v/>
      </c>
      <c r="L262" s="63" t="str">
        <f t="shared" si="128"/>
        <v/>
      </c>
      <c r="M262" s="64" t="str">
        <f t="shared" si="129"/>
        <v/>
      </c>
      <c r="N262" s="65"/>
      <c r="O262" s="63" t="str">
        <f t="shared" si="130"/>
        <v/>
      </c>
      <c r="P262" s="63" t="str">
        <f t="shared" si="131"/>
        <v/>
      </c>
      <c r="Q262" s="66"/>
      <c r="R262" s="63" t="str">
        <f t="shared" si="132"/>
        <v/>
      </c>
      <c r="S262" s="64" t="str">
        <f t="shared" si="133"/>
        <v/>
      </c>
      <c r="T262" s="63" t="str">
        <f t="shared" si="134"/>
        <v/>
      </c>
      <c r="U262" s="64" t="str">
        <f t="shared" si="135"/>
        <v/>
      </c>
      <c r="V262" s="207" t="str">
        <f>IF($A263="","",IF(AND(MONTH(A262)&gt;3,MONTH(A262)&lt;11),(T262+R262+G262)*Summary!$T$7/(1-Summary!$T$7),(T262+R262+G262)*Summary!$U$7/(1-Summary!$U$7)))</f>
        <v/>
      </c>
      <c r="W262" s="63" t="str">
        <f t="shared" si="136"/>
        <v/>
      </c>
      <c r="X262" s="63" t="str">
        <f t="shared" si="137"/>
        <v/>
      </c>
      <c r="Y262" s="43"/>
      <c r="Z262" s="38" t="str">
        <f t="shared" si="138"/>
        <v/>
      </c>
      <c r="AA262" s="38" t="str">
        <f t="shared" si="138"/>
        <v/>
      </c>
      <c r="AB262" s="38" t="e">
        <f t="shared" si="115"/>
        <v>#VALUE!</v>
      </c>
      <c r="AC262" s="38" t="str">
        <f t="shared" si="138"/>
        <v/>
      </c>
      <c r="AD262" s="38" t="str">
        <f t="shared" si="116"/>
        <v/>
      </c>
      <c r="AE262" s="38" t="e">
        <f t="shared" si="117"/>
        <v>#VALUE!</v>
      </c>
      <c r="AF262" s="238" t="e">
        <f>((Summary!$N$7*(AA262*AD262)*(A262-$D$3))+(Summary!$M$7*Z262*AC262*(DAY(EOMONTH(A262,0))/2)))/(AK262*AB262*AE262)</f>
        <v>#VALUE!</v>
      </c>
      <c r="AG262" s="88" t="str">
        <f>IF($A263="","",Summary!$Q$7)</f>
        <v/>
      </c>
      <c r="AH262" s="88" t="str">
        <f>IF($A263="","",IF(Summary!$R$7="Y",(VLOOKUP($A262,Summary!$AD$6:$AF$9,3)+'Escalating commodity'!C275),'Escalating commodity'!C275))</f>
        <v/>
      </c>
      <c r="AI262" s="88" t="str">
        <f t="shared" si="139"/>
        <v/>
      </c>
      <c r="AJ262" s="236" t="e">
        <f t="shared" si="118"/>
        <v>#VALUE!</v>
      </c>
      <c r="AK262" s="58" t="str">
        <f t="shared" si="140"/>
        <v/>
      </c>
      <c r="AL262" s="26" t="str">
        <f>IF($A263="","",_xll.SPRDOPT(P262,X262,AI262,0,AB262,AE262,AF262,AK262,$AJ$2,0))</f>
        <v/>
      </c>
      <c r="AM262" s="209" t="str">
        <f t="shared" si="119"/>
        <v/>
      </c>
      <c r="AN262" s="89" t="str">
        <f t="shared" si="141"/>
        <v/>
      </c>
      <c r="AO262" s="3" t="str">
        <f t="shared" si="142"/>
        <v/>
      </c>
      <c r="AP262" s="33" t="str">
        <f t="shared" si="143"/>
        <v/>
      </c>
      <c r="AQ262" s="58" t="str">
        <f t="shared" si="120"/>
        <v/>
      </c>
      <c r="AR262" s="38">
        <f>IF(Summary!$H$2=1,VLOOKUP('ANR OK vs ML7'!A262,Curves!$C$17:$AR$273,MATCH('ANR OK vs ML7'!$AR$4,Curves!$C$8:$AQ$8,0)),0.1)</f>
        <v>0.1</v>
      </c>
      <c r="AS262" s="35" t="str">
        <f t="shared" si="121"/>
        <v/>
      </c>
      <c r="AT262" s="3" t="str">
        <f t="shared" si="144"/>
        <v/>
      </c>
      <c r="AU262" s="3" t="str">
        <f t="shared" si="122"/>
        <v/>
      </c>
      <c r="AW262" s="32" t="str">
        <f t="shared" si="145"/>
        <v/>
      </c>
      <c r="AX262" s="32" t="str">
        <f t="shared" si="146"/>
        <v/>
      </c>
      <c r="AY262" s="32" t="str">
        <f t="shared" si="147"/>
        <v/>
      </c>
      <c r="BA262" s="32" t="str">
        <f>IF($A263="","",F262*Summary!$Q$7)</f>
        <v/>
      </c>
    </row>
    <row r="263" spans="1:53" ht="12" customHeight="1">
      <c r="A263" s="67" t="str">
        <f t="shared" si="123"/>
        <v/>
      </c>
      <c r="B263" s="69" t="str">
        <f t="shared" si="148"/>
        <v/>
      </c>
      <c r="C263" s="71"/>
      <c r="D263" s="69" t="str">
        <f t="shared" si="149"/>
        <v/>
      </c>
      <c r="E263" s="70" t="str">
        <f t="shared" si="113"/>
        <v/>
      </c>
      <c r="F263" s="70" t="str">
        <f t="shared" si="114"/>
        <v/>
      </c>
      <c r="G263" s="63" t="str">
        <f t="shared" si="124"/>
        <v/>
      </c>
      <c r="H263" s="64" t="str">
        <f t="shared" si="125"/>
        <v/>
      </c>
      <c r="I263" s="43"/>
      <c r="J263" s="63" t="str">
        <f t="shared" si="126"/>
        <v/>
      </c>
      <c r="K263" s="64" t="str">
        <f t="shared" si="127"/>
        <v/>
      </c>
      <c r="L263" s="63" t="str">
        <f t="shared" si="128"/>
        <v/>
      </c>
      <c r="M263" s="64" t="str">
        <f t="shared" si="129"/>
        <v/>
      </c>
      <c r="N263" s="65"/>
      <c r="O263" s="63" t="str">
        <f t="shared" si="130"/>
        <v/>
      </c>
      <c r="P263" s="63" t="str">
        <f t="shared" si="131"/>
        <v/>
      </c>
      <c r="Q263" s="66"/>
      <c r="R263" s="63" t="str">
        <f t="shared" si="132"/>
        <v/>
      </c>
      <c r="S263" s="64" t="str">
        <f t="shared" si="133"/>
        <v/>
      </c>
      <c r="T263" s="63" t="str">
        <f t="shared" si="134"/>
        <v/>
      </c>
      <c r="U263" s="64" t="str">
        <f t="shared" si="135"/>
        <v/>
      </c>
      <c r="V263" s="207" t="str">
        <f>IF($A264="","",IF(AND(MONTH(A263)&gt;3,MONTH(A263)&lt;11),(T263+R263+G263)*Summary!$T$7/(1-Summary!$T$7),(T263+R263+G263)*Summary!$U$7/(1-Summary!$U$7)))</f>
        <v/>
      </c>
      <c r="W263" s="63" t="str">
        <f t="shared" si="136"/>
        <v/>
      </c>
      <c r="X263" s="63" t="str">
        <f t="shared" si="137"/>
        <v/>
      </c>
      <c r="Y263" s="43"/>
      <c r="Z263" s="38" t="str">
        <f t="shared" si="138"/>
        <v/>
      </c>
      <c r="AA263" s="38" t="str">
        <f t="shared" si="138"/>
        <v/>
      </c>
      <c r="AB263" s="38" t="e">
        <f t="shared" si="115"/>
        <v>#VALUE!</v>
      </c>
      <c r="AC263" s="38" t="str">
        <f t="shared" si="138"/>
        <v/>
      </c>
      <c r="AD263" s="38" t="str">
        <f t="shared" si="116"/>
        <v/>
      </c>
      <c r="AE263" s="38" t="e">
        <f t="shared" si="117"/>
        <v>#VALUE!</v>
      </c>
      <c r="AF263" s="238" t="e">
        <f>((Summary!$N$7*(AA263*AD263)*(A263-$D$3))+(Summary!$M$7*Z263*AC263*(DAY(EOMONTH(A263,0))/2)))/(AK263*AB263*AE263)</f>
        <v>#VALUE!</v>
      </c>
      <c r="AG263" s="88" t="str">
        <f>IF($A264="","",Summary!$Q$7)</f>
        <v/>
      </c>
      <c r="AH263" s="88" t="str">
        <f>IF($A264="","",IF(Summary!$R$7="Y",(VLOOKUP($A263,Summary!$AD$6:$AF$9,3)+'Escalating commodity'!C276),'Escalating commodity'!C276))</f>
        <v/>
      </c>
      <c r="AI263" s="88" t="str">
        <f t="shared" si="139"/>
        <v/>
      </c>
      <c r="AJ263" s="236" t="e">
        <f t="shared" si="118"/>
        <v>#VALUE!</v>
      </c>
      <c r="AK263" s="58" t="str">
        <f t="shared" si="140"/>
        <v/>
      </c>
      <c r="AL263" s="26" t="str">
        <f>IF($A264="","",_xll.SPRDOPT(P263,X263,AI263,0,AB263,AE263,AF263,AK263,$AJ$2,0))</f>
        <v/>
      </c>
      <c r="AM263" s="209" t="str">
        <f t="shared" si="119"/>
        <v/>
      </c>
      <c r="AN263" s="89" t="str">
        <f t="shared" si="141"/>
        <v/>
      </c>
      <c r="AO263" s="3" t="str">
        <f t="shared" si="142"/>
        <v/>
      </c>
      <c r="AP263" s="33" t="str">
        <f t="shared" si="143"/>
        <v/>
      </c>
      <c r="AQ263" s="58" t="str">
        <f t="shared" si="120"/>
        <v/>
      </c>
      <c r="AR263" s="38">
        <f>IF(Summary!$H$2=1,VLOOKUP('ANR OK vs ML7'!A263,Curves!$C$17:$AR$273,MATCH('ANR OK vs ML7'!$AR$4,Curves!$C$8:$AQ$8,0)),0.1)</f>
        <v>0.1</v>
      </c>
      <c r="AS263" s="35" t="str">
        <f t="shared" si="121"/>
        <v/>
      </c>
      <c r="AT263" s="3" t="str">
        <f t="shared" si="144"/>
        <v/>
      </c>
      <c r="AU263" s="3" t="str">
        <f t="shared" si="122"/>
        <v/>
      </c>
      <c r="AW263" s="32" t="str">
        <f t="shared" si="145"/>
        <v/>
      </c>
      <c r="AX263" s="32" t="str">
        <f t="shared" si="146"/>
        <v/>
      </c>
      <c r="AY263" s="32" t="str">
        <f t="shared" si="147"/>
        <v/>
      </c>
      <c r="BA263" s="32" t="str">
        <f>IF($A264="","",F263*Summary!$Q$7)</f>
        <v/>
      </c>
    </row>
    <row r="264" spans="1:53" ht="12" customHeight="1">
      <c r="A264" s="67" t="str">
        <f t="shared" si="123"/>
        <v/>
      </c>
      <c r="B264" s="69" t="str">
        <f t="shared" si="148"/>
        <v/>
      </c>
      <c r="C264" s="71"/>
      <c r="D264" s="69" t="str">
        <f t="shared" si="149"/>
        <v/>
      </c>
      <c r="E264" s="70" t="str">
        <f t="shared" si="113"/>
        <v/>
      </c>
      <c r="F264" s="70" t="str">
        <f t="shared" si="114"/>
        <v/>
      </c>
      <c r="G264" s="63" t="str">
        <f t="shared" si="124"/>
        <v/>
      </c>
      <c r="H264" s="64" t="str">
        <f t="shared" si="125"/>
        <v/>
      </c>
      <c r="I264" s="43"/>
      <c r="J264" s="63" t="str">
        <f t="shared" si="126"/>
        <v/>
      </c>
      <c r="K264" s="64" t="str">
        <f t="shared" si="127"/>
        <v/>
      </c>
      <c r="L264" s="63" t="str">
        <f t="shared" si="128"/>
        <v/>
      </c>
      <c r="M264" s="64" t="str">
        <f t="shared" si="129"/>
        <v/>
      </c>
      <c r="N264" s="65"/>
      <c r="O264" s="63" t="str">
        <f t="shared" si="130"/>
        <v/>
      </c>
      <c r="P264" s="63" t="str">
        <f t="shared" si="131"/>
        <v/>
      </c>
      <c r="Q264" s="66"/>
      <c r="R264" s="63" t="str">
        <f t="shared" si="132"/>
        <v/>
      </c>
      <c r="S264" s="64" t="str">
        <f t="shared" si="133"/>
        <v/>
      </c>
      <c r="T264" s="63" t="str">
        <f t="shared" si="134"/>
        <v/>
      </c>
      <c r="U264" s="64" t="str">
        <f t="shared" si="135"/>
        <v/>
      </c>
      <c r="V264" s="207" t="str">
        <f>IF($A265="","",IF(AND(MONTH(A264)&gt;3,MONTH(A264)&lt;11),(T264+R264+G264)*Summary!$T$7/(1-Summary!$T$7),(T264+R264+G264)*Summary!$U$7/(1-Summary!$U$7)))</f>
        <v/>
      </c>
      <c r="W264" s="63" t="str">
        <f t="shared" si="136"/>
        <v/>
      </c>
      <c r="X264" s="63" t="str">
        <f t="shared" si="137"/>
        <v/>
      </c>
      <c r="Y264" s="43"/>
      <c r="Z264" s="38" t="str">
        <f t="shared" si="138"/>
        <v/>
      </c>
      <c r="AA264" s="38" t="str">
        <f t="shared" si="138"/>
        <v/>
      </c>
      <c r="AB264" s="38" t="e">
        <f t="shared" si="115"/>
        <v>#VALUE!</v>
      </c>
      <c r="AC264" s="38" t="str">
        <f t="shared" si="138"/>
        <v/>
      </c>
      <c r="AD264" s="38" t="str">
        <f t="shared" si="116"/>
        <v/>
      </c>
      <c r="AE264" s="38" t="e">
        <f t="shared" si="117"/>
        <v>#VALUE!</v>
      </c>
      <c r="AF264" s="238" t="e">
        <f>((Summary!$N$7*(AA264*AD264)*(A264-$D$3))+(Summary!$M$7*Z264*AC264*(DAY(EOMONTH(A264,0))/2)))/(AK264*AB264*AE264)</f>
        <v>#VALUE!</v>
      </c>
      <c r="AG264" s="88" t="str">
        <f>IF($A265="","",Summary!$Q$7)</f>
        <v/>
      </c>
      <c r="AH264" s="88" t="str">
        <f>IF($A265="","",IF(Summary!$R$7="Y",(VLOOKUP($A264,Summary!$AD$6:$AF$9,3)+'Escalating commodity'!C277),'Escalating commodity'!C277))</f>
        <v/>
      </c>
      <c r="AI264" s="88" t="str">
        <f t="shared" si="139"/>
        <v/>
      </c>
      <c r="AJ264" s="236" t="e">
        <f t="shared" si="118"/>
        <v>#VALUE!</v>
      </c>
      <c r="AK264" s="58" t="str">
        <f t="shared" si="140"/>
        <v/>
      </c>
      <c r="AL264" s="26" t="str">
        <f>IF($A265="","",_xll.SPRDOPT(P264,X264,AI264,0,AB264,AE264,AF264,AK264,$AJ$2,0))</f>
        <v/>
      </c>
      <c r="AM264" s="209" t="str">
        <f t="shared" si="119"/>
        <v/>
      </c>
      <c r="AN264" s="89" t="str">
        <f t="shared" si="141"/>
        <v/>
      </c>
      <c r="AO264" s="3" t="str">
        <f t="shared" si="142"/>
        <v/>
      </c>
      <c r="AP264" s="33" t="str">
        <f t="shared" si="143"/>
        <v/>
      </c>
      <c r="AQ264" s="58" t="str">
        <f t="shared" si="120"/>
        <v/>
      </c>
      <c r="AR264" s="38">
        <f>IF(Summary!$H$2=1,VLOOKUP('ANR OK vs ML7'!A264,Curves!$C$17:$AR$273,MATCH('ANR OK vs ML7'!$AR$4,Curves!$C$8:$AQ$8,0)),0.1)</f>
        <v>0.1</v>
      </c>
      <c r="AS264" s="35" t="str">
        <f t="shared" si="121"/>
        <v/>
      </c>
      <c r="AT264" s="3" t="str">
        <f t="shared" si="144"/>
        <v/>
      </c>
      <c r="AU264" s="3" t="str">
        <f t="shared" si="122"/>
        <v/>
      </c>
      <c r="AW264" s="32" t="str">
        <f t="shared" si="145"/>
        <v/>
      </c>
      <c r="AX264" s="32" t="str">
        <f t="shared" si="146"/>
        <v/>
      </c>
      <c r="AY264" s="32" t="str">
        <f t="shared" si="147"/>
        <v/>
      </c>
      <c r="BA264" s="32" t="str">
        <f>IF($A265="","",F264*Summary!$Q$7)</f>
        <v/>
      </c>
    </row>
    <row r="265" spans="1:53" ht="12" customHeight="1">
      <c r="A265" s="67" t="str">
        <f t="shared" si="123"/>
        <v/>
      </c>
      <c r="B265" s="69" t="str">
        <f t="shared" si="148"/>
        <v/>
      </c>
      <c r="C265" s="71"/>
      <c r="D265" s="69" t="str">
        <f t="shared" si="149"/>
        <v/>
      </c>
      <c r="E265" s="70" t="str">
        <f t="shared" si="113"/>
        <v/>
      </c>
      <c r="F265" s="70" t="str">
        <f t="shared" si="114"/>
        <v/>
      </c>
      <c r="G265" s="63" t="str">
        <f t="shared" si="124"/>
        <v/>
      </c>
      <c r="H265" s="64" t="str">
        <f t="shared" si="125"/>
        <v/>
      </c>
      <c r="I265" s="43"/>
      <c r="J265" s="63" t="str">
        <f t="shared" si="126"/>
        <v/>
      </c>
      <c r="K265" s="64" t="str">
        <f t="shared" si="127"/>
        <v/>
      </c>
      <c r="L265" s="63" t="str">
        <f t="shared" si="128"/>
        <v/>
      </c>
      <c r="M265" s="64" t="str">
        <f t="shared" si="129"/>
        <v/>
      </c>
      <c r="N265" s="65"/>
      <c r="O265" s="63" t="str">
        <f t="shared" si="130"/>
        <v/>
      </c>
      <c r="P265" s="63" t="str">
        <f t="shared" si="131"/>
        <v/>
      </c>
      <c r="Q265" s="66"/>
      <c r="R265" s="63" t="str">
        <f t="shared" si="132"/>
        <v/>
      </c>
      <c r="S265" s="64" t="str">
        <f t="shared" si="133"/>
        <v/>
      </c>
      <c r="T265" s="63" t="str">
        <f t="shared" si="134"/>
        <v/>
      </c>
      <c r="U265" s="64" t="str">
        <f t="shared" si="135"/>
        <v/>
      </c>
      <c r="V265" s="207" t="str">
        <f>IF($A266="","",IF(AND(MONTH(A265)&gt;3,MONTH(A265)&lt;11),(T265+R265+G265)*Summary!$T$7/(1-Summary!$T$7),(T265+R265+G265)*Summary!$U$7/(1-Summary!$U$7)))</f>
        <v/>
      </c>
      <c r="W265" s="63" t="str">
        <f t="shared" si="136"/>
        <v/>
      </c>
      <c r="X265" s="63" t="str">
        <f t="shared" si="137"/>
        <v/>
      </c>
      <c r="Y265" s="43"/>
      <c r="Z265" s="38" t="str">
        <f t="shared" si="138"/>
        <v/>
      </c>
      <c r="AA265" s="38" t="str">
        <f t="shared" si="138"/>
        <v/>
      </c>
      <c r="AB265" s="38" t="e">
        <f t="shared" si="115"/>
        <v>#VALUE!</v>
      </c>
      <c r="AC265" s="38" t="str">
        <f t="shared" si="138"/>
        <v/>
      </c>
      <c r="AD265" s="38" t="str">
        <f t="shared" si="116"/>
        <v/>
      </c>
      <c r="AE265" s="38" t="e">
        <f t="shared" si="117"/>
        <v>#VALUE!</v>
      </c>
      <c r="AF265" s="238" t="e">
        <f>((Summary!$N$7*(AA265*AD265)*(A265-$D$3))+(Summary!$M$7*Z265*AC265*(DAY(EOMONTH(A265,0))/2)))/(AK265*AB265*AE265)</f>
        <v>#VALUE!</v>
      </c>
      <c r="AG265" s="88" t="str">
        <f>IF($A266="","",Summary!$Q$7)</f>
        <v/>
      </c>
      <c r="AH265" s="88" t="str">
        <f>IF($A266="","",IF(Summary!$R$7="Y",(VLOOKUP($A265,Summary!$AD$6:$AF$9,3)+'Escalating commodity'!C278),'Escalating commodity'!C278))</f>
        <v/>
      </c>
      <c r="AI265" s="88" t="str">
        <f t="shared" si="139"/>
        <v/>
      </c>
      <c r="AJ265" s="236" t="e">
        <f t="shared" si="118"/>
        <v>#VALUE!</v>
      </c>
      <c r="AK265" s="58" t="str">
        <f t="shared" si="140"/>
        <v/>
      </c>
      <c r="AL265" s="26" t="str">
        <f>IF($A266="","",_xll.SPRDOPT(P265,X265,AI265,0,AB265,AE265,AF265,AK265,$AJ$2,0))</f>
        <v/>
      </c>
      <c r="AM265" s="209" t="str">
        <f t="shared" si="119"/>
        <v/>
      </c>
      <c r="AN265" s="89" t="str">
        <f t="shared" si="141"/>
        <v/>
      </c>
      <c r="AO265" s="3" t="str">
        <f t="shared" si="142"/>
        <v/>
      </c>
      <c r="AP265" s="33" t="str">
        <f t="shared" si="143"/>
        <v/>
      </c>
      <c r="AQ265" s="58" t="str">
        <f t="shared" si="120"/>
        <v/>
      </c>
      <c r="AR265" s="38">
        <f>IF(Summary!$H$2=1,VLOOKUP('ANR OK vs ML7'!A265,Curves!$C$17:$AR$273,MATCH('ANR OK vs ML7'!$AR$4,Curves!$C$8:$AQ$8,0)),0.1)</f>
        <v>0.1</v>
      </c>
      <c r="AS265" s="35" t="str">
        <f t="shared" si="121"/>
        <v/>
      </c>
      <c r="AT265" s="3" t="str">
        <f t="shared" si="144"/>
        <v/>
      </c>
      <c r="AU265" s="3" t="str">
        <f t="shared" si="122"/>
        <v/>
      </c>
      <c r="AW265" s="32" t="str">
        <f t="shared" si="145"/>
        <v/>
      </c>
      <c r="AX265" s="32" t="str">
        <f t="shared" si="146"/>
        <v/>
      </c>
      <c r="AY265" s="32" t="str">
        <f t="shared" si="147"/>
        <v/>
      </c>
      <c r="BA265" s="32" t="str">
        <f>IF($A266="","",F265*Summary!$Q$7)</f>
        <v/>
      </c>
    </row>
    <row r="266" spans="1:53" ht="12" customHeight="1">
      <c r="A266" s="67" t="str">
        <f t="shared" si="123"/>
        <v/>
      </c>
      <c r="B266" s="69" t="str">
        <f t="shared" si="148"/>
        <v/>
      </c>
      <c r="C266" s="71"/>
      <c r="D266" s="69" t="str">
        <f t="shared" si="149"/>
        <v/>
      </c>
      <c r="E266" s="70" t="str">
        <f t="shared" ref="E266:E329" si="150">IF(A267="","",IF(AND(AT266=1,$H$3=1),D266*AO266,IF($H$3=2,D266,"N/A")))</f>
        <v/>
      </c>
      <c r="F266" s="70" t="str">
        <f t="shared" ref="F266:F329" si="151">IF(A267="","",E266*AS266)</f>
        <v/>
      </c>
      <c r="G266" s="63" t="str">
        <f t="shared" si="124"/>
        <v/>
      </c>
      <c r="H266" s="64" t="str">
        <f t="shared" si="125"/>
        <v/>
      </c>
      <c r="I266" s="43"/>
      <c r="J266" s="63" t="str">
        <f t="shared" si="126"/>
        <v/>
      </c>
      <c r="K266" s="64" t="str">
        <f t="shared" si="127"/>
        <v/>
      </c>
      <c r="L266" s="63" t="str">
        <f t="shared" si="128"/>
        <v/>
      </c>
      <c r="M266" s="64" t="str">
        <f t="shared" si="129"/>
        <v/>
      </c>
      <c r="N266" s="65"/>
      <c r="O266" s="63" t="str">
        <f t="shared" si="130"/>
        <v/>
      </c>
      <c r="P266" s="63" t="str">
        <f t="shared" si="131"/>
        <v/>
      </c>
      <c r="Q266" s="66"/>
      <c r="R266" s="63" t="str">
        <f t="shared" si="132"/>
        <v/>
      </c>
      <c r="S266" s="64" t="str">
        <f t="shared" si="133"/>
        <v/>
      </c>
      <c r="T266" s="63" t="str">
        <f t="shared" si="134"/>
        <v/>
      </c>
      <c r="U266" s="64" t="str">
        <f t="shared" si="135"/>
        <v/>
      </c>
      <c r="V266" s="207" t="str">
        <f>IF($A267="","",IF(AND(MONTH(A266)&gt;3,MONTH(A266)&lt;11),(T266+R266+G266)*Summary!$T$7/(1-Summary!$T$7),(T266+R266+G266)*Summary!$U$7/(1-Summary!$U$7)))</f>
        <v/>
      </c>
      <c r="W266" s="63" t="str">
        <f t="shared" si="136"/>
        <v/>
      </c>
      <c r="X266" s="63" t="str">
        <f t="shared" si="137"/>
        <v/>
      </c>
      <c r="Y266" s="43"/>
      <c r="Z266" s="38" t="str">
        <f t="shared" si="138"/>
        <v/>
      </c>
      <c r="AA266" s="38" t="str">
        <f t="shared" si="138"/>
        <v/>
      </c>
      <c r="AB266" s="38" t="e">
        <f t="shared" ref="AB266:AB329" si="152">SQRT((AA266^2*(A266-$D$3)+Z266^2*(DAY(EOMONTH(A266,0))/2))/AK266)</f>
        <v>#VALUE!</v>
      </c>
      <c r="AC266" s="38" t="str">
        <f t="shared" si="138"/>
        <v/>
      </c>
      <c r="AD266" s="38" t="str">
        <f t="shared" si="138"/>
        <v/>
      </c>
      <c r="AE266" s="38" t="e">
        <f t="shared" ref="AE266:AE329" si="153">SQRT((AD266^2*(A266-$D$3)+AC266^2*(DAY(EOMONTH(A266,0))/2))/AK266)</f>
        <v>#VALUE!</v>
      </c>
      <c r="AF266" s="238" t="e">
        <f>((Summary!$N$7*(AA266*AD266)*(A266-$D$3))+(Summary!$M$7*Z266*AC266*(DAY(EOMONTH(A266,0))/2)))/(AK266*AB266*AE266)</f>
        <v>#VALUE!</v>
      </c>
      <c r="AG266" s="88" t="str">
        <f>IF($A267="","",Summary!$Q$7)</f>
        <v/>
      </c>
      <c r="AH266" s="88" t="str">
        <f>IF($A267="","",IF(Summary!$R$7="Y",(VLOOKUP($A266,Summary!$AD$6:$AF$9,3)+'Escalating commodity'!C279),'Escalating commodity'!C279))</f>
        <v/>
      </c>
      <c r="AI266" s="88" t="str">
        <f t="shared" si="139"/>
        <v/>
      </c>
      <c r="AJ266" s="236" t="e">
        <f t="shared" ref="AJ266:AJ329" si="154">A266+DAY(EOMONTH(A266,0))/2-1</f>
        <v>#VALUE!</v>
      </c>
      <c r="AK266" s="58" t="str">
        <f t="shared" si="140"/>
        <v/>
      </c>
      <c r="AL266" s="26" t="str">
        <f>IF($A267="","",_xll.SPRDOPT(P266,X266,AI266,0,AB266,AE266,AF266,AK266,$AJ$2,0))</f>
        <v/>
      </c>
      <c r="AM266" s="209" t="str">
        <f t="shared" ref="AM266:AM329" si="155">IF($A267="","",MAX(0,O266-W266-AI266))</f>
        <v/>
      </c>
      <c r="AN266" s="89" t="str">
        <f t="shared" si="141"/>
        <v/>
      </c>
      <c r="AO266" s="3" t="str">
        <f t="shared" si="142"/>
        <v/>
      </c>
      <c r="AP266" s="33" t="str">
        <f t="shared" si="143"/>
        <v/>
      </c>
      <c r="AQ266" s="58" t="str">
        <f t="shared" ref="AQ266:AQ329" si="156">IF(A267="","",AP266-$E$1)</f>
        <v/>
      </c>
      <c r="AR266" s="38">
        <f>IF(Summary!$H$2=1,VLOOKUP('ANR OK vs ML7'!A266,Curves!$C$17:$AR$273,MATCH('ANR OK vs ML7'!$AR$4,Curves!$C$8:$AQ$8,0)),0.1)</f>
        <v>0.1</v>
      </c>
      <c r="AS266" s="35" t="str">
        <f t="shared" ref="AS266:AS329" si="157">IF(A267="","",1/(1+CHOOSE(F$3,(AR267+($I$3/10000))/2,(AR266+($I$3/10000))/2))^(2*AQ266/365.25))</f>
        <v/>
      </c>
      <c r="AT266" s="3" t="str">
        <f t="shared" si="144"/>
        <v/>
      </c>
      <c r="AU266" s="3" t="str">
        <f t="shared" ref="AU266:AU329" si="158">IF(A267="","",AO266*AT266)</f>
        <v/>
      </c>
      <c r="AW266" s="32" t="str">
        <f t="shared" si="145"/>
        <v/>
      </c>
      <c r="AX266" s="32" t="str">
        <f t="shared" si="146"/>
        <v/>
      </c>
      <c r="AY266" s="32" t="str">
        <f t="shared" si="147"/>
        <v/>
      </c>
      <c r="BA266" s="32" t="str">
        <f>IF($A267="","",F266*Summary!$Q$7)</f>
        <v/>
      </c>
    </row>
    <row r="267" spans="1:53" ht="12" customHeight="1">
      <c r="A267" s="67" t="str">
        <f t="shared" ref="A267:A330" si="159">IF(A266&lt;mthend,EDATE(A266,1),"")</f>
        <v/>
      </c>
      <c r="B267" s="69" t="str">
        <f t="shared" si="148"/>
        <v/>
      </c>
      <c r="C267" s="71"/>
      <c r="D267" s="69" t="str">
        <f t="shared" si="149"/>
        <v/>
      </c>
      <c r="E267" s="70" t="str">
        <f t="shared" si="150"/>
        <v/>
      </c>
      <c r="F267" s="70" t="str">
        <f t="shared" si="151"/>
        <v/>
      </c>
      <c r="G267" s="63" t="str">
        <f t="shared" ref="G267:G330" si="160">IF($A268="","",VLOOKUP($A267,Table,MATCH(G$4,Curves,0)))</f>
        <v/>
      </c>
      <c r="H267" s="64" t="str">
        <f t="shared" ref="H267:H330" si="161">IF(A268="","",G267)</f>
        <v/>
      </c>
      <c r="I267" s="43"/>
      <c r="J267" s="63" t="str">
        <f t="shared" ref="J267:J330" si="162">IF($A268="","",VLOOKUP($A267,Table,MATCH(J$4,Curves,0)))</f>
        <v/>
      </c>
      <c r="K267" s="64" t="str">
        <f t="shared" ref="K267:K330" si="163">IF(A268="","",J267)</f>
        <v/>
      </c>
      <c r="L267" s="63" t="str">
        <f t="shared" ref="L267:L330" si="164">IF($A268="","",VLOOKUP($A267,Table,MATCH(L$4,Curves,0)))</f>
        <v/>
      </c>
      <c r="M267" s="64" t="str">
        <f t="shared" ref="M267:M330" si="165">IF(A268="","",L267)</f>
        <v/>
      </c>
      <c r="N267" s="65"/>
      <c r="O267" s="63" t="str">
        <f t="shared" ref="O267:O330" si="166">IF(A268="","",L267+J267+G267)</f>
        <v/>
      </c>
      <c r="P267" s="63" t="str">
        <f t="shared" ref="P267:P330" si="167">IF(A268="","",M267+K267+H267)</f>
        <v/>
      </c>
      <c r="Q267" s="66"/>
      <c r="R267" s="63" t="str">
        <f t="shared" ref="R267:R330" si="168">IF($A268="","",VLOOKUP($A267,Table,MATCH(R$4,Curves,0)))</f>
        <v/>
      </c>
      <c r="S267" s="64" t="str">
        <f t="shared" ref="S267:S330" si="169">IF(A268="","",R267)</f>
        <v/>
      </c>
      <c r="T267" s="63" t="str">
        <f t="shared" ref="T267:T330" si="170">IF($A268="","",VLOOKUP($A267,Table,MATCH(T$4,Curves,0)))</f>
        <v/>
      </c>
      <c r="U267" s="64" t="str">
        <f t="shared" ref="U267:U330" si="171">IF(A268="","",T267)</f>
        <v/>
      </c>
      <c r="V267" s="207" t="str">
        <f>IF($A268="","",IF(AND(MONTH(A267)&gt;3,MONTH(A267)&lt;11),(T267+R267+G267)*Summary!$T$7/(1-Summary!$T$7),(T267+R267+G267)*Summary!$U$7/(1-Summary!$U$7)))</f>
        <v/>
      </c>
      <c r="W267" s="63" t="str">
        <f t="shared" ref="W267:W330" si="172">IF($A268="","",(T267+R267+G267+V267))</f>
        <v/>
      </c>
      <c r="X267" s="63" t="str">
        <f t="shared" ref="X267:X330" si="173">IF($A268="","",(U267+S267+H267+V267))</f>
        <v/>
      </c>
      <c r="Y267" s="43"/>
      <c r="Z267" s="38" t="str">
        <f t="shared" ref="Z267:AD330" si="174">IF($A268="","",VLOOKUP($A267,Table,MATCH(Z$4,Curves,0)))</f>
        <v/>
      </c>
      <c r="AA267" s="38" t="str">
        <f t="shared" si="174"/>
        <v/>
      </c>
      <c r="AB267" s="38" t="e">
        <f t="shared" si="152"/>
        <v>#VALUE!</v>
      </c>
      <c r="AC267" s="38" t="str">
        <f t="shared" si="174"/>
        <v/>
      </c>
      <c r="AD267" s="38" t="str">
        <f t="shared" si="174"/>
        <v/>
      </c>
      <c r="AE267" s="38" t="e">
        <f t="shared" si="153"/>
        <v>#VALUE!</v>
      </c>
      <c r="AF267" s="238" t="e">
        <f>((Summary!$N$7*(AA267*AD267)*(A267-$D$3))+(Summary!$M$7*Z267*AC267*(DAY(EOMONTH(A267,0))/2)))/(AK267*AB267*AE267)</f>
        <v>#VALUE!</v>
      </c>
      <c r="AG267" s="88" t="str">
        <f>IF($A268="","",Summary!$Q$7)</f>
        <v/>
      </c>
      <c r="AH267" s="88" t="str">
        <f>IF($A268="","",IF(Summary!$R$7="Y",(VLOOKUP($A267,Summary!$AD$6:$AF$9,3)+'Escalating commodity'!C280),'Escalating commodity'!C280))</f>
        <v/>
      </c>
      <c r="AI267" s="88" t="str">
        <f t="shared" ref="AI267:AI330" si="175">IF($A268="","",AH267)</f>
        <v/>
      </c>
      <c r="AJ267" s="236" t="e">
        <f t="shared" si="154"/>
        <v>#VALUE!</v>
      </c>
      <c r="AK267" s="58" t="str">
        <f t="shared" ref="AK267:AK330" si="176">IF($A268="","",$A267-$E$1)</f>
        <v/>
      </c>
      <c r="AL267" s="26" t="str">
        <f>IF($A268="","",_xll.SPRDOPT(P267,X267,AI267,0,AB267,AE267,AF267,AK267,$AJ$2,0))</f>
        <v/>
      </c>
      <c r="AM267" s="209" t="str">
        <f t="shared" si="155"/>
        <v/>
      </c>
      <c r="AN267" s="89" t="str">
        <f t="shared" ref="AN267:AN330" si="177">IF($A268="","",AL267-AM267)</f>
        <v/>
      </c>
      <c r="AO267" s="3" t="str">
        <f t="shared" ref="AO267:AO330" si="178">IF(A268="","",A268-A267)</f>
        <v/>
      </c>
      <c r="AP267" s="33" t="str">
        <f t="shared" ref="AP267:AP330" si="179">IF(A268="","",CHOOSE(F$3,A268+24,A267))</f>
        <v/>
      </c>
      <c r="AQ267" s="58" t="str">
        <f t="shared" si="156"/>
        <v/>
      </c>
      <c r="AR267" s="38">
        <f>IF(Summary!$H$2=1,VLOOKUP('ANR OK vs ML7'!A267,Curves!$C$17:$AR$273,MATCH('ANR OK vs ML7'!$AR$4,Curves!$C$8:$AQ$8,0)),0.1)</f>
        <v>0.1</v>
      </c>
      <c r="AS267" s="35" t="str">
        <f t="shared" si="157"/>
        <v/>
      </c>
      <c r="AT267" s="3" t="str">
        <f t="shared" ref="AT267:AT330" si="180">IF(A268="","",IF(AND(mthbeg&lt;=A267,mthend&gt;=A267),1,0))</f>
        <v/>
      </c>
      <c r="AU267" s="3" t="str">
        <f t="shared" si="158"/>
        <v/>
      </c>
      <c r="AW267" s="32" t="str">
        <f t="shared" ref="AW267:AW330" si="181">IF($A268="","",AL267*$E267)</f>
        <v/>
      </c>
      <c r="AX267" s="32" t="str">
        <f t="shared" ref="AX267:AX330" si="182">IF($A268="","",AM267*$E267)</f>
        <v/>
      </c>
      <c r="AY267" s="32" t="str">
        <f t="shared" ref="AY267:AY330" si="183">IF($A268="","",AN267*$E267)</f>
        <v/>
      </c>
      <c r="BA267" s="32" t="str">
        <f>IF($A268="","",F267*Summary!$Q$7)</f>
        <v/>
      </c>
    </row>
    <row r="268" spans="1:53" ht="12" customHeight="1">
      <c r="A268" s="67" t="str">
        <f t="shared" si="159"/>
        <v/>
      </c>
      <c r="B268" s="69" t="str">
        <f t="shared" ref="B268:B331" si="184">IF(A268&lt;mthend,B267,"")</f>
        <v/>
      </c>
      <c r="C268" s="71"/>
      <c r="D268" s="69" t="str">
        <f t="shared" ref="D268:D331" si="185">IF(A269&lt;&gt;"",B268+C268,"")</f>
        <v/>
      </c>
      <c r="E268" s="70" t="str">
        <f t="shared" si="150"/>
        <v/>
      </c>
      <c r="F268" s="70" t="str">
        <f t="shared" si="151"/>
        <v/>
      </c>
      <c r="G268" s="63" t="str">
        <f t="shared" si="160"/>
        <v/>
      </c>
      <c r="H268" s="64" t="str">
        <f t="shared" si="161"/>
        <v/>
      </c>
      <c r="I268" s="43"/>
      <c r="J268" s="63" t="str">
        <f t="shared" si="162"/>
        <v/>
      </c>
      <c r="K268" s="64" t="str">
        <f t="shared" si="163"/>
        <v/>
      </c>
      <c r="L268" s="63" t="str">
        <f t="shared" si="164"/>
        <v/>
      </c>
      <c r="M268" s="64" t="str">
        <f t="shared" si="165"/>
        <v/>
      </c>
      <c r="N268" s="65"/>
      <c r="O268" s="63" t="str">
        <f t="shared" si="166"/>
        <v/>
      </c>
      <c r="P268" s="63" t="str">
        <f t="shared" si="167"/>
        <v/>
      </c>
      <c r="Q268" s="66"/>
      <c r="R268" s="63" t="str">
        <f t="shared" si="168"/>
        <v/>
      </c>
      <c r="S268" s="64" t="str">
        <f t="shared" si="169"/>
        <v/>
      </c>
      <c r="T268" s="63" t="str">
        <f t="shared" si="170"/>
        <v/>
      </c>
      <c r="U268" s="64" t="str">
        <f t="shared" si="171"/>
        <v/>
      </c>
      <c r="V268" s="207" t="str">
        <f>IF($A269="","",IF(AND(MONTH(A268)&gt;3,MONTH(A268)&lt;11),(T268+R268+G268)*Summary!$T$7/(1-Summary!$T$7),(T268+R268+G268)*Summary!$U$7/(1-Summary!$U$7)))</f>
        <v/>
      </c>
      <c r="W268" s="63" t="str">
        <f t="shared" si="172"/>
        <v/>
      </c>
      <c r="X268" s="63" t="str">
        <f t="shared" si="173"/>
        <v/>
      </c>
      <c r="Y268" s="43"/>
      <c r="Z268" s="38" t="str">
        <f t="shared" si="174"/>
        <v/>
      </c>
      <c r="AA268" s="38" t="str">
        <f t="shared" si="174"/>
        <v/>
      </c>
      <c r="AB268" s="38" t="e">
        <f t="shared" si="152"/>
        <v>#VALUE!</v>
      </c>
      <c r="AC268" s="38" t="str">
        <f t="shared" si="174"/>
        <v/>
      </c>
      <c r="AD268" s="38" t="str">
        <f t="shared" si="174"/>
        <v/>
      </c>
      <c r="AE268" s="38" t="e">
        <f t="shared" si="153"/>
        <v>#VALUE!</v>
      </c>
      <c r="AF268" s="238" t="e">
        <f>((Summary!$N$7*(AA268*AD268)*(A268-$D$3))+(Summary!$M$7*Z268*AC268*(DAY(EOMONTH(A268,0))/2)))/(AK268*AB268*AE268)</f>
        <v>#VALUE!</v>
      </c>
      <c r="AG268" s="88" t="str">
        <f>IF($A269="","",Summary!$Q$7)</f>
        <v/>
      </c>
      <c r="AH268" s="88" t="str">
        <f>IF($A269="","",IF(Summary!$R$7="Y",(VLOOKUP($A268,Summary!$AD$6:$AF$9,3)+'Escalating commodity'!C281),'Escalating commodity'!C281))</f>
        <v/>
      </c>
      <c r="AI268" s="88" t="str">
        <f t="shared" si="175"/>
        <v/>
      </c>
      <c r="AJ268" s="236" t="e">
        <f t="shared" si="154"/>
        <v>#VALUE!</v>
      </c>
      <c r="AK268" s="58" t="str">
        <f t="shared" si="176"/>
        <v/>
      </c>
      <c r="AL268" s="26" t="str">
        <f>IF($A269="","",_xll.SPRDOPT(P268,X268,AI268,0,AB268,AE268,AF268,AK268,$AJ$2,0))</f>
        <v/>
      </c>
      <c r="AM268" s="209" t="str">
        <f t="shared" si="155"/>
        <v/>
      </c>
      <c r="AN268" s="89" t="str">
        <f t="shared" si="177"/>
        <v/>
      </c>
      <c r="AO268" s="3" t="str">
        <f t="shared" si="178"/>
        <v/>
      </c>
      <c r="AP268" s="33" t="str">
        <f t="shared" si="179"/>
        <v/>
      </c>
      <c r="AQ268" s="58" t="str">
        <f t="shared" si="156"/>
        <v/>
      </c>
      <c r="AR268" s="38">
        <f>IF(Summary!$H$2=1,VLOOKUP('ANR OK vs ML7'!A268,Curves!$C$17:$AR$273,MATCH('ANR OK vs ML7'!$AR$4,Curves!$C$8:$AQ$8,0)),0.1)</f>
        <v>0.1</v>
      </c>
      <c r="AS268" s="35" t="str">
        <f t="shared" si="157"/>
        <v/>
      </c>
      <c r="AT268" s="3" t="str">
        <f t="shared" si="180"/>
        <v/>
      </c>
      <c r="AU268" s="3" t="str">
        <f t="shared" si="158"/>
        <v/>
      </c>
      <c r="AW268" s="32" t="str">
        <f t="shared" si="181"/>
        <v/>
      </c>
      <c r="AX268" s="32" t="str">
        <f t="shared" si="182"/>
        <v/>
      </c>
      <c r="AY268" s="32" t="str">
        <f t="shared" si="183"/>
        <v/>
      </c>
      <c r="BA268" s="32" t="str">
        <f>IF($A269="","",F268*Summary!$Q$7)</f>
        <v/>
      </c>
    </row>
    <row r="269" spans="1:53" ht="12" customHeight="1">
      <c r="A269" s="67" t="str">
        <f t="shared" si="159"/>
        <v/>
      </c>
      <c r="B269" s="69" t="str">
        <f t="shared" si="184"/>
        <v/>
      </c>
      <c r="C269" s="71"/>
      <c r="D269" s="69" t="str">
        <f t="shared" si="185"/>
        <v/>
      </c>
      <c r="E269" s="70" t="str">
        <f t="shared" si="150"/>
        <v/>
      </c>
      <c r="F269" s="70" t="str">
        <f t="shared" si="151"/>
        <v/>
      </c>
      <c r="G269" s="63" t="str">
        <f t="shared" si="160"/>
        <v/>
      </c>
      <c r="H269" s="64" t="str">
        <f t="shared" si="161"/>
        <v/>
      </c>
      <c r="I269" s="43"/>
      <c r="J269" s="63" t="str">
        <f t="shared" si="162"/>
        <v/>
      </c>
      <c r="K269" s="64" t="str">
        <f t="shared" si="163"/>
        <v/>
      </c>
      <c r="L269" s="63" t="str">
        <f t="shared" si="164"/>
        <v/>
      </c>
      <c r="M269" s="64" t="str">
        <f t="shared" si="165"/>
        <v/>
      </c>
      <c r="N269" s="65"/>
      <c r="O269" s="63" t="str">
        <f t="shared" si="166"/>
        <v/>
      </c>
      <c r="P269" s="63" t="str">
        <f t="shared" si="167"/>
        <v/>
      </c>
      <c r="Q269" s="66"/>
      <c r="R269" s="63" t="str">
        <f t="shared" si="168"/>
        <v/>
      </c>
      <c r="S269" s="64" t="str">
        <f t="shared" si="169"/>
        <v/>
      </c>
      <c r="T269" s="63" t="str">
        <f t="shared" si="170"/>
        <v/>
      </c>
      <c r="U269" s="64" t="str">
        <f t="shared" si="171"/>
        <v/>
      </c>
      <c r="V269" s="207" t="str">
        <f>IF($A270="","",IF(AND(MONTH(A269)&gt;3,MONTH(A269)&lt;11),(T269+R269+G269)*Summary!$T$7/(1-Summary!$T$7),(T269+R269+G269)*Summary!$U$7/(1-Summary!$U$7)))</f>
        <v/>
      </c>
      <c r="W269" s="63" t="str">
        <f t="shared" si="172"/>
        <v/>
      </c>
      <c r="X269" s="63" t="str">
        <f t="shared" si="173"/>
        <v/>
      </c>
      <c r="Y269" s="43"/>
      <c r="Z269" s="38" t="str">
        <f t="shared" si="174"/>
        <v/>
      </c>
      <c r="AA269" s="38" t="str">
        <f t="shared" si="174"/>
        <v/>
      </c>
      <c r="AB269" s="38" t="e">
        <f t="shared" si="152"/>
        <v>#VALUE!</v>
      </c>
      <c r="AC269" s="38" t="str">
        <f t="shared" si="174"/>
        <v/>
      </c>
      <c r="AD269" s="38" t="str">
        <f t="shared" si="174"/>
        <v/>
      </c>
      <c r="AE269" s="38" t="e">
        <f t="shared" si="153"/>
        <v>#VALUE!</v>
      </c>
      <c r="AF269" s="238" t="e">
        <f>((Summary!$N$7*(AA269*AD269)*(A269-$D$3))+(Summary!$M$7*Z269*AC269*(DAY(EOMONTH(A269,0))/2)))/(AK269*AB269*AE269)</f>
        <v>#VALUE!</v>
      </c>
      <c r="AG269" s="88" t="str">
        <f>IF($A270="","",Summary!$Q$7)</f>
        <v/>
      </c>
      <c r="AH269" s="88" t="str">
        <f>IF($A270="","",IF(Summary!$R$7="Y",(VLOOKUP($A269,Summary!$AD$6:$AF$9,3)+'Escalating commodity'!C282),'Escalating commodity'!C282))</f>
        <v/>
      </c>
      <c r="AI269" s="88" t="str">
        <f t="shared" si="175"/>
        <v/>
      </c>
      <c r="AJ269" s="236" t="e">
        <f t="shared" si="154"/>
        <v>#VALUE!</v>
      </c>
      <c r="AK269" s="58" t="str">
        <f t="shared" si="176"/>
        <v/>
      </c>
      <c r="AL269" s="26" t="str">
        <f>IF($A270="","",_xll.SPRDOPT(P269,X269,AI269,0,AB269,AE269,AF269,AK269,$AJ$2,0))</f>
        <v/>
      </c>
      <c r="AM269" s="209" t="str">
        <f t="shared" si="155"/>
        <v/>
      </c>
      <c r="AN269" s="89" t="str">
        <f t="shared" si="177"/>
        <v/>
      </c>
      <c r="AO269" s="3" t="str">
        <f t="shared" si="178"/>
        <v/>
      </c>
      <c r="AP269" s="33" t="str">
        <f t="shared" si="179"/>
        <v/>
      </c>
      <c r="AQ269" s="58" t="str">
        <f t="shared" si="156"/>
        <v/>
      </c>
      <c r="AR269" s="38">
        <f>IF(Summary!$H$2=1,VLOOKUP('ANR OK vs ML7'!A269,Curves!$C$17:$AR$273,MATCH('ANR OK vs ML7'!$AR$4,Curves!$C$8:$AQ$8,0)),0.1)</f>
        <v>0.1</v>
      </c>
      <c r="AS269" s="35" t="str">
        <f t="shared" si="157"/>
        <v/>
      </c>
      <c r="AT269" s="3" t="str">
        <f t="shared" si="180"/>
        <v/>
      </c>
      <c r="AU269" s="3" t="str">
        <f t="shared" si="158"/>
        <v/>
      </c>
      <c r="AW269" s="32" t="str">
        <f t="shared" si="181"/>
        <v/>
      </c>
      <c r="AX269" s="32" t="str">
        <f t="shared" si="182"/>
        <v/>
      </c>
      <c r="AY269" s="32" t="str">
        <f t="shared" si="183"/>
        <v/>
      </c>
      <c r="BA269" s="32" t="str">
        <f>IF($A270="","",F269*Summary!$Q$7)</f>
        <v/>
      </c>
    </row>
    <row r="270" spans="1:53" ht="12" customHeight="1">
      <c r="A270" s="67" t="str">
        <f t="shared" si="159"/>
        <v/>
      </c>
      <c r="B270" s="69" t="str">
        <f t="shared" si="184"/>
        <v/>
      </c>
      <c r="C270" s="71"/>
      <c r="D270" s="69" t="str">
        <f t="shared" si="185"/>
        <v/>
      </c>
      <c r="E270" s="70" t="str">
        <f t="shared" si="150"/>
        <v/>
      </c>
      <c r="F270" s="70" t="str">
        <f t="shared" si="151"/>
        <v/>
      </c>
      <c r="G270" s="63" t="str">
        <f t="shared" si="160"/>
        <v/>
      </c>
      <c r="H270" s="64" t="str">
        <f t="shared" si="161"/>
        <v/>
      </c>
      <c r="I270" s="43"/>
      <c r="J270" s="63" t="str">
        <f t="shared" si="162"/>
        <v/>
      </c>
      <c r="K270" s="64" t="str">
        <f t="shared" si="163"/>
        <v/>
      </c>
      <c r="L270" s="63" t="str">
        <f t="shared" si="164"/>
        <v/>
      </c>
      <c r="M270" s="64" t="str">
        <f t="shared" si="165"/>
        <v/>
      </c>
      <c r="N270" s="65"/>
      <c r="O270" s="63" t="str">
        <f t="shared" si="166"/>
        <v/>
      </c>
      <c r="P270" s="63" t="str">
        <f t="shared" si="167"/>
        <v/>
      </c>
      <c r="Q270" s="66"/>
      <c r="R270" s="63" t="str">
        <f t="shared" si="168"/>
        <v/>
      </c>
      <c r="S270" s="64" t="str">
        <f t="shared" si="169"/>
        <v/>
      </c>
      <c r="T270" s="63" t="str">
        <f t="shared" si="170"/>
        <v/>
      </c>
      <c r="U270" s="64" t="str">
        <f t="shared" si="171"/>
        <v/>
      </c>
      <c r="V270" s="207" t="str">
        <f>IF($A271="","",IF(AND(MONTH(A270)&gt;3,MONTH(A270)&lt;11),(T270+R270+G270)*Summary!$T$7/(1-Summary!$T$7),(T270+R270+G270)*Summary!$U$7/(1-Summary!$U$7)))</f>
        <v/>
      </c>
      <c r="W270" s="63" t="str">
        <f t="shared" si="172"/>
        <v/>
      </c>
      <c r="X270" s="63" t="str">
        <f t="shared" si="173"/>
        <v/>
      </c>
      <c r="Y270" s="43"/>
      <c r="Z270" s="38" t="str">
        <f t="shared" si="174"/>
        <v/>
      </c>
      <c r="AA270" s="38" t="str">
        <f t="shared" si="174"/>
        <v/>
      </c>
      <c r="AB270" s="38" t="e">
        <f t="shared" si="152"/>
        <v>#VALUE!</v>
      </c>
      <c r="AC270" s="38" t="str">
        <f t="shared" si="174"/>
        <v/>
      </c>
      <c r="AD270" s="38" t="str">
        <f t="shared" si="174"/>
        <v/>
      </c>
      <c r="AE270" s="38" t="e">
        <f t="shared" si="153"/>
        <v>#VALUE!</v>
      </c>
      <c r="AF270" s="238" t="e">
        <f>((Summary!$N$7*(AA270*AD270)*(A270-$D$3))+(Summary!$M$7*Z270*AC270*(DAY(EOMONTH(A270,0))/2)))/(AK270*AB270*AE270)</f>
        <v>#VALUE!</v>
      </c>
      <c r="AG270" s="88" t="str">
        <f>IF($A271="","",Summary!$Q$7)</f>
        <v/>
      </c>
      <c r="AH270" s="88" t="str">
        <f>IF($A271="","",IF(Summary!$R$7="Y",(VLOOKUP($A270,Summary!$AD$6:$AF$9,3)+'Escalating commodity'!C283),'Escalating commodity'!C283))</f>
        <v/>
      </c>
      <c r="AI270" s="88" t="str">
        <f t="shared" si="175"/>
        <v/>
      </c>
      <c r="AJ270" s="236" t="e">
        <f t="shared" si="154"/>
        <v>#VALUE!</v>
      </c>
      <c r="AK270" s="58" t="str">
        <f t="shared" si="176"/>
        <v/>
      </c>
      <c r="AL270" s="26" t="str">
        <f>IF($A271="","",_xll.SPRDOPT(P270,X270,AI270,0,AB270,AE270,AF270,AK270,$AJ$2,0))</f>
        <v/>
      </c>
      <c r="AM270" s="209" t="str">
        <f t="shared" si="155"/>
        <v/>
      </c>
      <c r="AN270" s="89" t="str">
        <f t="shared" si="177"/>
        <v/>
      </c>
      <c r="AO270" s="3" t="str">
        <f t="shared" si="178"/>
        <v/>
      </c>
      <c r="AP270" s="33" t="str">
        <f t="shared" si="179"/>
        <v/>
      </c>
      <c r="AQ270" s="58" t="str">
        <f t="shared" si="156"/>
        <v/>
      </c>
      <c r="AR270" s="38">
        <f>IF(Summary!$H$2=1,VLOOKUP('ANR OK vs ML7'!A270,Curves!$C$17:$AR$273,MATCH('ANR OK vs ML7'!$AR$4,Curves!$C$8:$AQ$8,0)),0.1)</f>
        <v>0.1</v>
      </c>
      <c r="AS270" s="35" t="str">
        <f t="shared" si="157"/>
        <v/>
      </c>
      <c r="AT270" s="3" t="str">
        <f t="shared" si="180"/>
        <v/>
      </c>
      <c r="AU270" s="3" t="str">
        <f t="shared" si="158"/>
        <v/>
      </c>
      <c r="AW270" s="32" t="str">
        <f t="shared" si="181"/>
        <v/>
      </c>
      <c r="AX270" s="32" t="str">
        <f t="shared" si="182"/>
        <v/>
      </c>
      <c r="AY270" s="32" t="str">
        <f t="shared" si="183"/>
        <v/>
      </c>
      <c r="BA270" s="32" t="str">
        <f>IF($A271="","",F270*Summary!$Q$7)</f>
        <v/>
      </c>
    </row>
    <row r="271" spans="1:53" ht="12" customHeight="1">
      <c r="A271" s="67" t="str">
        <f t="shared" si="159"/>
        <v/>
      </c>
      <c r="B271" s="69" t="str">
        <f t="shared" si="184"/>
        <v/>
      </c>
      <c r="C271" s="71"/>
      <c r="D271" s="69" t="str">
        <f t="shared" si="185"/>
        <v/>
      </c>
      <c r="E271" s="70" t="str">
        <f t="shared" si="150"/>
        <v/>
      </c>
      <c r="F271" s="70" t="str">
        <f t="shared" si="151"/>
        <v/>
      </c>
      <c r="G271" s="63" t="str">
        <f t="shared" si="160"/>
        <v/>
      </c>
      <c r="H271" s="64" t="str">
        <f t="shared" si="161"/>
        <v/>
      </c>
      <c r="I271" s="43"/>
      <c r="J271" s="63" t="str">
        <f t="shared" si="162"/>
        <v/>
      </c>
      <c r="K271" s="64" t="str">
        <f t="shared" si="163"/>
        <v/>
      </c>
      <c r="L271" s="63" t="str">
        <f t="shared" si="164"/>
        <v/>
      </c>
      <c r="M271" s="64" t="str">
        <f t="shared" si="165"/>
        <v/>
      </c>
      <c r="N271" s="65"/>
      <c r="O271" s="63" t="str">
        <f t="shared" si="166"/>
        <v/>
      </c>
      <c r="P271" s="63" t="str">
        <f t="shared" si="167"/>
        <v/>
      </c>
      <c r="Q271" s="66"/>
      <c r="R271" s="63" t="str">
        <f t="shared" si="168"/>
        <v/>
      </c>
      <c r="S271" s="64" t="str">
        <f t="shared" si="169"/>
        <v/>
      </c>
      <c r="T271" s="63" t="str">
        <f t="shared" si="170"/>
        <v/>
      </c>
      <c r="U271" s="64" t="str">
        <f t="shared" si="171"/>
        <v/>
      </c>
      <c r="V271" s="207" t="str">
        <f>IF($A272="","",IF(AND(MONTH(A271)&gt;3,MONTH(A271)&lt;11),(T271+R271+G271)*Summary!$T$7/(1-Summary!$T$7),(T271+R271+G271)*Summary!$U$7/(1-Summary!$U$7)))</f>
        <v/>
      </c>
      <c r="W271" s="63" t="str">
        <f t="shared" si="172"/>
        <v/>
      </c>
      <c r="X271" s="63" t="str">
        <f t="shared" si="173"/>
        <v/>
      </c>
      <c r="Y271" s="43"/>
      <c r="Z271" s="38" t="str">
        <f t="shared" si="174"/>
        <v/>
      </c>
      <c r="AA271" s="38" t="str">
        <f t="shared" si="174"/>
        <v/>
      </c>
      <c r="AB271" s="38" t="e">
        <f t="shared" si="152"/>
        <v>#VALUE!</v>
      </c>
      <c r="AC271" s="38" t="str">
        <f t="shared" si="174"/>
        <v/>
      </c>
      <c r="AD271" s="38" t="str">
        <f t="shared" si="174"/>
        <v/>
      </c>
      <c r="AE271" s="38" t="e">
        <f t="shared" si="153"/>
        <v>#VALUE!</v>
      </c>
      <c r="AF271" s="238" t="e">
        <f>((Summary!$N$7*(AA271*AD271)*(A271-$D$3))+(Summary!$M$7*Z271*AC271*(DAY(EOMONTH(A271,0))/2)))/(AK271*AB271*AE271)</f>
        <v>#VALUE!</v>
      </c>
      <c r="AG271" s="88" t="str">
        <f>IF($A272="","",Summary!$Q$7)</f>
        <v/>
      </c>
      <c r="AH271" s="88" t="str">
        <f>IF($A272="","",IF(Summary!$R$7="Y",(VLOOKUP($A271,Summary!$AD$6:$AF$9,3)+'Escalating commodity'!C284),'Escalating commodity'!C284))</f>
        <v/>
      </c>
      <c r="AI271" s="88" t="str">
        <f t="shared" si="175"/>
        <v/>
      </c>
      <c r="AJ271" s="236" t="e">
        <f t="shared" si="154"/>
        <v>#VALUE!</v>
      </c>
      <c r="AK271" s="58" t="str">
        <f t="shared" si="176"/>
        <v/>
      </c>
      <c r="AL271" s="26" t="str">
        <f>IF($A272="","",_xll.SPRDOPT(P271,X271,AI271,0,AB271,AE271,AF271,AK271,$AJ$2,0))</f>
        <v/>
      </c>
      <c r="AM271" s="209" t="str">
        <f t="shared" si="155"/>
        <v/>
      </c>
      <c r="AN271" s="89" t="str">
        <f t="shared" si="177"/>
        <v/>
      </c>
      <c r="AO271" s="3" t="str">
        <f t="shared" si="178"/>
        <v/>
      </c>
      <c r="AP271" s="33" t="str">
        <f t="shared" si="179"/>
        <v/>
      </c>
      <c r="AQ271" s="58" t="str">
        <f t="shared" si="156"/>
        <v/>
      </c>
      <c r="AR271" s="38">
        <f>IF(Summary!$H$2=1,VLOOKUP('ANR OK vs ML7'!A271,Curves!$C$17:$AR$273,MATCH('ANR OK vs ML7'!$AR$4,Curves!$C$8:$AQ$8,0)),0.1)</f>
        <v>0.1</v>
      </c>
      <c r="AS271" s="35" t="str">
        <f t="shared" si="157"/>
        <v/>
      </c>
      <c r="AT271" s="3" t="str">
        <f t="shared" si="180"/>
        <v/>
      </c>
      <c r="AU271" s="3" t="str">
        <f t="shared" si="158"/>
        <v/>
      </c>
      <c r="AW271" s="32" t="str">
        <f t="shared" si="181"/>
        <v/>
      </c>
      <c r="AX271" s="32" t="str">
        <f t="shared" si="182"/>
        <v/>
      </c>
      <c r="AY271" s="32" t="str">
        <f t="shared" si="183"/>
        <v/>
      </c>
      <c r="BA271" s="32" t="str">
        <f>IF($A272="","",F271*Summary!$Q$7)</f>
        <v/>
      </c>
    </row>
    <row r="272" spans="1:53" ht="12" customHeight="1">
      <c r="A272" s="67" t="str">
        <f t="shared" si="159"/>
        <v/>
      </c>
      <c r="B272" s="69" t="str">
        <f t="shared" si="184"/>
        <v/>
      </c>
      <c r="C272" s="71"/>
      <c r="D272" s="69" t="str">
        <f t="shared" si="185"/>
        <v/>
      </c>
      <c r="E272" s="70" t="str">
        <f t="shared" si="150"/>
        <v/>
      </c>
      <c r="F272" s="70" t="str">
        <f t="shared" si="151"/>
        <v/>
      </c>
      <c r="G272" s="63" t="str">
        <f t="shared" si="160"/>
        <v/>
      </c>
      <c r="H272" s="64" t="str">
        <f t="shared" si="161"/>
        <v/>
      </c>
      <c r="I272" s="43"/>
      <c r="J272" s="63" t="str">
        <f t="shared" si="162"/>
        <v/>
      </c>
      <c r="K272" s="64" t="str">
        <f t="shared" si="163"/>
        <v/>
      </c>
      <c r="L272" s="63" t="str">
        <f t="shared" si="164"/>
        <v/>
      </c>
      <c r="M272" s="64" t="str">
        <f t="shared" si="165"/>
        <v/>
      </c>
      <c r="N272" s="65"/>
      <c r="O272" s="63" t="str">
        <f t="shared" si="166"/>
        <v/>
      </c>
      <c r="P272" s="63" t="str">
        <f t="shared" si="167"/>
        <v/>
      </c>
      <c r="Q272" s="66"/>
      <c r="R272" s="63" t="str">
        <f t="shared" si="168"/>
        <v/>
      </c>
      <c r="S272" s="64" t="str">
        <f t="shared" si="169"/>
        <v/>
      </c>
      <c r="T272" s="63" t="str">
        <f t="shared" si="170"/>
        <v/>
      </c>
      <c r="U272" s="64" t="str">
        <f t="shared" si="171"/>
        <v/>
      </c>
      <c r="V272" s="207" t="str">
        <f>IF($A273="","",IF(AND(MONTH(A272)&gt;3,MONTH(A272)&lt;11),(T272+R272+G272)*Summary!$T$7/(1-Summary!$T$7),(T272+R272+G272)*Summary!$U$7/(1-Summary!$U$7)))</f>
        <v/>
      </c>
      <c r="W272" s="63" t="str">
        <f t="shared" si="172"/>
        <v/>
      </c>
      <c r="X272" s="63" t="str">
        <f t="shared" si="173"/>
        <v/>
      </c>
      <c r="Y272" s="43"/>
      <c r="Z272" s="38" t="str">
        <f t="shared" si="174"/>
        <v/>
      </c>
      <c r="AA272" s="38" t="str">
        <f t="shared" si="174"/>
        <v/>
      </c>
      <c r="AB272" s="38" t="e">
        <f t="shared" si="152"/>
        <v>#VALUE!</v>
      </c>
      <c r="AC272" s="38" t="str">
        <f t="shared" si="174"/>
        <v/>
      </c>
      <c r="AD272" s="38" t="str">
        <f t="shared" si="174"/>
        <v/>
      </c>
      <c r="AE272" s="38" t="e">
        <f t="shared" si="153"/>
        <v>#VALUE!</v>
      </c>
      <c r="AF272" s="238" t="e">
        <f>((Summary!$N$7*(AA272*AD272)*(A272-$D$3))+(Summary!$M$7*Z272*AC272*(DAY(EOMONTH(A272,0))/2)))/(AK272*AB272*AE272)</f>
        <v>#VALUE!</v>
      </c>
      <c r="AG272" s="88" t="str">
        <f>IF($A273="","",Summary!$Q$7)</f>
        <v/>
      </c>
      <c r="AH272" s="88" t="str">
        <f>IF($A273="","",IF(Summary!$R$7="Y",(VLOOKUP($A272,Summary!$AD$6:$AF$9,3)+'Escalating commodity'!C285),'Escalating commodity'!C285))</f>
        <v/>
      </c>
      <c r="AI272" s="88" t="str">
        <f t="shared" si="175"/>
        <v/>
      </c>
      <c r="AJ272" s="236" t="e">
        <f t="shared" si="154"/>
        <v>#VALUE!</v>
      </c>
      <c r="AK272" s="58" t="str">
        <f t="shared" si="176"/>
        <v/>
      </c>
      <c r="AL272" s="26" t="str">
        <f>IF($A273="","",_xll.SPRDOPT(P272,X272,AI272,0,AB272,AE272,AF272,AK272,$AJ$2,0))</f>
        <v/>
      </c>
      <c r="AM272" s="209" t="str">
        <f t="shared" si="155"/>
        <v/>
      </c>
      <c r="AN272" s="89" t="str">
        <f t="shared" si="177"/>
        <v/>
      </c>
      <c r="AO272" s="3" t="str">
        <f t="shared" si="178"/>
        <v/>
      </c>
      <c r="AP272" s="33" t="str">
        <f t="shared" si="179"/>
        <v/>
      </c>
      <c r="AQ272" s="58" t="str">
        <f t="shared" si="156"/>
        <v/>
      </c>
      <c r="AR272" s="38">
        <f>IF(Summary!$H$2=1,VLOOKUP('ANR OK vs ML7'!A272,Curves!$C$17:$AR$273,MATCH('ANR OK vs ML7'!$AR$4,Curves!$C$8:$AQ$8,0)),0.1)</f>
        <v>0.1</v>
      </c>
      <c r="AS272" s="35" t="str">
        <f t="shared" si="157"/>
        <v/>
      </c>
      <c r="AT272" s="3" t="str">
        <f t="shared" si="180"/>
        <v/>
      </c>
      <c r="AU272" s="3" t="str">
        <f t="shared" si="158"/>
        <v/>
      </c>
      <c r="AW272" s="32" t="str">
        <f t="shared" si="181"/>
        <v/>
      </c>
      <c r="AX272" s="32" t="str">
        <f t="shared" si="182"/>
        <v/>
      </c>
      <c r="AY272" s="32" t="str">
        <f t="shared" si="183"/>
        <v/>
      </c>
      <c r="BA272" s="32" t="str">
        <f>IF($A273="","",F272*Summary!$Q$7)</f>
        <v/>
      </c>
    </row>
    <row r="273" spans="1:53" ht="12" customHeight="1">
      <c r="A273" s="67" t="str">
        <f t="shared" si="159"/>
        <v/>
      </c>
      <c r="B273" s="69" t="str">
        <f t="shared" si="184"/>
        <v/>
      </c>
      <c r="C273" s="71"/>
      <c r="D273" s="69" t="str">
        <f t="shared" si="185"/>
        <v/>
      </c>
      <c r="E273" s="70" t="str">
        <f t="shared" si="150"/>
        <v/>
      </c>
      <c r="F273" s="70" t="str">
        <f t="shared" si="151"/>
        <v/>
      </c>
      <c r="G273" s="63" t="str">
        <f t="shared" si="160"/>
        <v/>
      </c>
      <c r="H273" s="64" t="str">
        <f t="shared" si="161"/>
        <v/>
      </c>
      <c r="I273" s="43"/>
      <c r="J273" s="63" t="str">
        <f t="shared" si="162"/>
        <v/>
      </c>
      <c r="K273" s="64" t="str">
        <f t="shared" si="163"/>
        <v/>
      </c>
      <c r="L273" s="63" t="str">
        <f t="shared" si="164"/>
        <v/>
      </c>
      <c r="M273" s="64" t="str">
        <f t="shared" si="165"/>
        <v/>
      </c>
      <c r="N273" s="65"/>
      <c r="O273" s="63" t="str">
        <f t="shared" si="166"/>
        <v/>
      </c>
      <c r="P273" s="63" t="str">
        <f t="shared" si="167"/>
        <v/>
      </c>
      <c r="Q273" s="66"/>
      <c r="R273" s="63" t="str">
        <f t="shared" si="168"/>
        <v/>
      </c>
      <c r="S273" s="64" t="str">
        <f t="shared" si="169"/>
        <v/>
      </c>
      <c r="T273" s="63" t="str">
        <f t="shared" si="170"/>
        <v/>
      </c>
      <c r="U273" s="64" t="str">
        <f t="shared" si="171"/>
        <v/>
      </c>
      <c r="V273" s="207" t="str">
        <f>IF($A274="","",IF(AND(MONTH(A273)&gt;3,MONTH(A273)&lt;11),(T273+R273+G273)*Summary!$T$7/(1-Summary!$T$7),(T273+R273+G273)*Summary!$U$7/(1-Summary!$U$7)))</f>
        <v/>
      </c>
      <c r="W273" s="63" t="str">
        <f t="shared" si="172"/>
        <v/>
      </c>
      <c r="X273" s="63" t="str">
        <f t="shared" si="173"/>
        <v/>
      </c>
      <c r="Y273" s="43"/>
      <c r="Z273" s="38" t="str">
        <f t="shared" si="174"/>
        <v/>
      </c>
      <c r="AA273" s="38" t="str">
        <f t="shared" si="174"/>
        <v/>
      </c>
      <c r="AB273" s="38" t="e">
        <f t="shared" si="152"/>
        <v>#VALUE!</v>
      </c>
      <c r="AC273" s="38" t="str">
        <f t="shared" si="174"/>
        <v/>
      </c>
      <c r="AD273" s="38" t="str">
        <f t="shared" si="174"/>
        <v/>
      </c>
      <c r="AE273" s="38" t="e">
        <f t="shared" si="153"/>
        <v>#VALUE!</v>
      </c>
      <c r="AF273" s="238" t="e">
        <f>((Summary!$N$7*(AA273*AD273)*(A273-$D$3))+(Summary!$M$7*Z273*AC273*(DAY(EOMONTH(A273,0))/2)))/(AK273*AB273*AE273)</f>
        <v>#VALUE!</v>
      </c>
      <c r="AG273" s="88" t="str">
        <f>IF($A274="","",Summary!$Q$7)</f>
        <v/>
      </c>
      <c r="AH273" s="88" t="str">
        <f>IF($A274="","",IF(Summary!$R$7="Y",(VLOOKUP($A273,Summary!$AD$6:$AF$9,3)+'Escalating commodity'!C286),'Escalating commodity'!C286))</f>
        <v/>
      </c>
      <c r="AI273" s="88" t="str">
        <f t="shared" si="175"/>
        <v/>
      </c>
      <c r="AJ273" s="236" t="e">
        <f t="shared" si="154"/>
        <v>#VALUE!</v>
      </c>
      <c r="AK273" s="58" t="str">
        <f t="shared" si="176"/>
        <v/>
      </c>
      <c r="AL273" s="26" t="str">
        <f>IF($A274="","",_xll.SPRDOPT(P273,X273,AI273,0,AB273,AE273,AF273,AK273,$AJ$2,0))</f>
        <v/>
      </c>
      <c r="AM273" s="209" t="str">
        <f t="shared" si="155"/>
        <v/>
      </c>
      <c r="AN273" s="89" t="str">
        <f t="shared" si="177"/>
        <v/>
      </c>
      <c r="AO273" s="3" t="str">
        <f t="shared" si="178"/>
        <v/>
      </c>
      <c r="AP273" s="33" t="str">
        <f t="shared" si="179"/>
        <v/>
      </c>
      <c r="AQ273" s="58" t="str">
        <f t="shared" si="156"/>
        <v/>
      </c>
      <c r="AR273" s="38">
        <f>IF(Summary!$H$2=1,VLOOKUP('ANR OK vs ML7'!A273,Curves!$C$17:$AR$273,MATCH('ANR OK vs ML7'!$AR$4,Curves!$C$8:$AQ$8,0)),0.1)</f>
        <v>0.1</v>
      </c>
      <c r="AS273" s="35" t="str">
        <f t="shared" si="157"/>
        <v/>
      </c>
      <c r="AT273" s="3" t="str">
        <f t="shared" si="180"/>
        <v/>
      </c>
      <c r="AU273" s="3" t="str">
        <f t="shared" si="158"/>
        <v/>
      </c>
      <c r="AW273" s="32" t="str">
        <f t="shared" si="181"/>
        <v/>
      </c>
      <c r="AX273" s="32" t="str">
        <f t="shared" si="182"/>
        <v/>
      </c>
      <c r="AY273" s="32" t="str">
        <f t="shared" si="183"/>
        <v/>
      </c>
      <c r="BA273" s="32" t="str">
        <f>IF($A274="","",F273*Summary!$Q$7)</f>
        <v/>
      </c>
    </row>
    <row r="274" spans="1:53" ht="12" customHeight="1">
      <c r="A274" s="67" t="str">
        <f t="shared" si="159"/>
        <v/>
      </c>
      <c r="B274" s="69" t="str">
        <f t="shared" si="184"/>
        <v/>
      </c>
      <c r="C274" s="71"/>
      <c r="D274" s="69" t="str">
        <f t="shared" si="185"/>
        <v/>
      </c>
      <c r="E274" s="70" t="str">
        <f t="shared" si="150"/>
        <v/>
      </c>
      <c r="F274" s="70" t="str">
        <f t="shared" si="151"/>
        <v/>
      </c>
      <c r="G274" s="63" t="str">
        <f t="shared" si="160"/>
        <v/>
      </c>
      <c r="H274" s="64" t="str">
        <f t="shared" si="161"/>
        <v/>
      </c>
      <c r="I274" s="43"/>
      <c r="J274" s="63" t="str">
        <f t="shared" si="162"/>
        <v/>
      </c>
      <c r="K274" s="64" t="str">
        <f t="shared" si="163"/>
        <v/>
      </c>
      <c r="L274" s="63" t="str">
        <f t="shared" si="164"/>
        <v/>
      </c>
      <c r="M274" s="64" t="str">
        <f t="shared" si="165"/>
        <v/>
      </c>
      <c r="N274" s="65"/>
      <c r="O274" s="63" t="str">
        <f t="shared" si="166"/>
        <v/>
      </c>
      <c r="P274" s="63" t="str">
        <f t="shared" si="167"/>
        <v/>
      </c>
      <c r="Q274" s="66"/>
      <c r="R274" s="63" t="str">
        <f t="shared" si="168"/>
        <v/>
      </c>
      <c r="S274" s="64" t="str">
        <f t="shared" si="169"/>
        <v/>
      </c>
      <c r="T274" s="63" t="str">
        <f t="shared" si="170"/>
        <v/>
      </c>
      <c r="U274" s="64" t="str">
        <f t="shared" si="171"/>
        <v/>
      </c>
      <c r="V274" s="207" t="str">
        <f>IF($A275="","",IF(AND(MONTH(A274)&gt;3,MONTH(A274)&lt;11),(T274+R274+G274)*Summary!$T$7/(1-Summary!$T$7),(T274+R274+G274)*Summary!$U$7/(1-Summary!$U$7)))</f>
        <v/>
      </c>
      <c r="W274" s="63" t="str">
        <f t="shared" si="172"/>
        <v/>
      </c>
      <c r="X274" s="63" t="str">
        <f t="shared" si="173"/>
        <v/>
      </c>
      <c r="Y274" s="43"/>
      <c r="Z274" s="38" t="str">
        <f t="shared" si="174"/>
        <v/>
      </c>
      <c r="AA274" s="38" t="str">
        <f t="shared" si="174"/>
        <v/>
      </c>
      <c r="AB274" s="38" t="e">
        <f t="shared" si="152"/>
        <v>#VALUE!</v>
      </c>
      <c r="AC274" s="38" t="str">
        <f t="shared" si="174"/>
        <v/>
      </c>
      <c r="AD274" s="38" t="str">
        <f t="shared" si="174"/>
        <v/>
      </c>
      <c r="AE274" s="38" t="e">
        <f t="shared" si="153"/>
        <v>#VALUE!</v>
      </c>
      <c r="AF274" s="238" t="e">
        <f>((Summary!$N$7*(AA274*AD274)*(A274-$D$3))+(Summary!$M$7*Z274*AC274*(DAY(EOMONTH(A274,0))/2)))/(AK274*AB274*AE274)</f>
        <v>#VALUE!</v>
      </c>
      <c r="AG274" s="88" t="str">
        <f>IF($A275="","",Summary!$Q$7)</f>
        <v/>
      </c>
      <c r="AH274" s="88" t="str">
        <f>IF($A275="","",IF(Summary!$R$7="Y",(VLOOKUP($A274,Summary!$AD$6:$AF$9,3)+'Escalating commodity'!C287),'Escalating commodity'!C287))</f>
        <v/>
      </c>
      <c r="AI274" s="88" t="str">
        <f t="shared" si="175"/>
        <v/>
      </c>
      <c r="AJ274" s="236" t="e">
        <f t="shared" si="154"/>
        <v>#VALUE!</v>
      </c>
      <c r="AK274" s="58" t="str">
        <f t="shared" si="176"/>
        <v/>
      </c>
      <c r="AL274" s="26" t="str">
        <f>IF($A275="","",_xll.SPRDOPT(P274,X274,AI274,0,AB274,AE274,AF274,AK274,$AJ$2,0))</f>
        <v/>
      </c>
      <c r="AM274" s="209" t="str">
        <f t="shared" si="155"/>
        <v/>
      </c>
      <c r="AN274" s="89" t="str">
        <f t="shared" si="177"/>
        <v/>
      </c>
      <c r="AO274" s="3" t="str">
        <f t="shared" si="178"/>
        <v/>
      </c>
      <c r="AP274" s="33" t="str">
        <f t="shared" si="179"/>
        <v/>
      </c>
      <c r="AQ274" s="58" t="str">
        <f t="shared" si="156"/>
        <v/>
      </c>
      <c r="AR274" s="38">
        <f>IF(Summary!$H$2=1,VLOOKUP('ANR OK vs ML7'!A274,Curves!$C$17:$AR$273,MATCH('ANR OK vs ML7'!$AR$4,Curves!$C$8:$AQ$8,0)),0.1)</f>
        <v>0.1</v>
      </c>
      <c r="AS274" s="35" t="str">
        <f t="shared" si="157"/>
        <v/>
      </c>
      <c r="AT274" s="3" t="str">
        <f t="shared" si="180"/>
        <v/>
      </c>
      <c r="AU274" s="3" t="str">
        <f t="shared" si="158"/>
        <v/>
      </c>
      <c r="AW274" s="32" t="str">
        <f t="shared" si="181"/>
        <v/>
      </c>
      <c r="AX274" s="32" t="str">
        <f t="shared" si="182"/>
        <v/>
      </c>
      <c r="AY274" s="32" t="str">
        <f t="shared" si="183"/>
        <v/>
      </c>
      <c r="BA274" s="32" t="str">
        <f>IF($A275="","",F274*Summary!$Q$7)</f>
        <v/>
      </c>
    </row>
    <row r="275" spans="1:53" ht="12" customHeight="1">
      <c r="A275" s="67" t="str">
        <f t="shared" si="159"/>
        <v/>
      </c>
      <c r="B275" s="69" t="str">
        <f t="shared" si="184"/>
        <v/>
      </c>
      <c r="C275" s="71"/>
      <c r="D275" s="69" t="str">
        <f t="shared" si="185"/>
        <v/>
      </c>
      <c r="E275" s="70" t="str">
        <f t="shared" si="150"/>
        <v/>
      </c>
      <c r="F275" s="70" t="str">
        <f t="shared" si="151"/>
        <v/>
      </c>
      <c r="G275" s="63" t="str">
        <f t="shared" si="160"/>
        <v/>
      </c>
      <c r="H275" s="64" t="str">
        <f t="shared" si="161"/>
        <v/>
      </c>
      <c r="I275" s="43"/>
      <c r="J275" s="63" t="str">
        <f t="shared" si="162"/>
        <v/>
      </c>
      <c r="K275" s="64" t="str">
        <f t="shared" si="163"/>
        <v/>
      </c>
      <c r="L275" s="63" t="str">
        <f t="shared" si="164"/>
        <v/>
      </c>
      <c r="M275" s="64" t="str">
        <f t="shared" si="165"/>
        <v/>
      </c>
      <c r="N275" s="65"/>
      <c r="O275" s="63" t="str">
        <f t="shared" si="166"/>
        <v/>
      </c>
      <c r="P275" s="63" t="str">
        <f t="shared" si="167"/>
        <v/>
      </c>
      <c r="Q275" s="66"/>
      <c r="R275" s="63" t="str">
        <f t="shared" si="168"/>
        <v/>
      </c>
      <c r="S275" s="64" t="str">
        <f t="shared" si="169"/>
        <v/>
      </c>
      <c r="T275" s="63" t="str">
        <f t="shared" si="170"/>
        <v/>
      </c>
      <c r="U275" s="64" t="str">
        <f t="shared" si="171"/>
        <v/>
      </c>
      <c r="V275" s="207" t="str">
        <f>IF($A276="","",IF(AND(MONTH(A275)&gt;3,MONTH(A275)&lt;11),(T275+R275+G275)*Summary!$T$7/(1-Summary!$T$7),(T275+R275+G275)*Summary!$U$7/(1-Summary!$U$7)))</f>
        <v/>
      </c>
      <c r="W275" s="63" t="str">
        <f t="shared" si="172"/>
        <v/>
      </c>
      <c r="X275" s="63" t="str">
        <f t="shared" si="173"/>
        <v/>
      </c>
      <c r="Y275" s="43"/>
      <c r="Z275" s="38" t="str">
        <f t="shared" si="174"/>
        <v/>
      </c>
      <c r="AA275" s="38" t="str">
        <f t="shared" si="174"/>
        <v/>
      </c>
      <c r="AB275" s="38" t="e">
        <f t="shared" si="152"/>
        <v>#VALUE!</v>
      </c>
      <c r="AC275" s="38" t="str">
        <f t="shared" si="174"/>
        <v/>
      </c>
      <c r="AD275" s="38" t="str">
        <f t="shared" si="174"/>
        <v/>
      </c>
      <c r="AE275" s="38" t="e">
        <f t="shared" si="153"/>
        <v>#VALUE!</v>
      </c>
      <c r="AF275" s="238" t="e">
        <f>((Summary!$N$7*(AA275*AD275)*(A275-$D$3))+(Summary!$M$7*Z275*AC275*(DAY(EOMONTH(A275,0))/2)))/(AK275*AB275*AE275)</f>
        <v>#VALUE!</v>
      </c>
      <c r="AG275" s="88" t="str">
        <f>IF($A276="","",Summary!$Q$7)</f>
        <v/>
      </c>
      <c r="AH275" s="88" t="str">
        <f>IF($A276="","",IF(Summary!$R$7="Y",(VLOOKUP($A275,Summary!$AD$6:$AF$9,3)+'Escalating commodity'!C288),'Escalating commodity'!C288))</f>
        <v/>
      </c>
      <c r="AI275" s="88" t="str">
        <f t="shared" si="175"/>
        <v/>
      </c>
      <c r="AJ275" s="236" t="e">
        <f t="shared" si="154"/>
        <v>#VALUE!</v>
      </c>
      <c r="AK275" s="58" t="str">
        <f t="shared" si="176"/>
        <v/>
      </c>
      <c r="AL275" s="26" t="str">
        <f>IF($A276="","",_xll.SPRDOPT(P275,X275,AI275,0,AB275,AE275,AF275,AK275,$AJ$2,0))</f>
        <v/>
      </c>
      <c r="AM275" s="209" t="str">
        <f t="shared" si="155"/>
        <v/>
      </c>
      <c r="AN275" s="89" t="str">
        <f t="shared" si="177"/>
        <v/>
      </c>
      <c r="AO275" s="3" t="str">
        <f t="shared" si="178"/>
        <v/>
      </c>
      <c r="AP275" s="33" t="str">
        <f t="shared" si="179"/>
        <v/>
      </c>
      <c r="AQ275" s="58" t="str">
        <f t="shared" si="156"/>
        <v/>
      </c>
      <c r="AR275" s="38">
        <f>IF(Summary!$H$2=1,VLOOKUP('ANR OK vs ML7'!A275,Curves!$C$17:$AR$273,MATCH('ANR OK vs ML7'!$AR$4,Curves!$C$8:$AQ$8,0)),0.1)</f>
        <v>0.1</v>
      </c>
      <c r="AS275" s="35" t="str">
        <f t="shared" si="157"/>
        <v/>
      </c>
      <c r="AT275" s="3" t="str">
        <f t="shared" si="180"/>
        <v/>
      </c>
      <c r="AU275" s="3" t="str">
        <f t="shared" si="158"/>
        <v/>
      </c>
      <c r="AW275" s="32" t="str">
        <f t="shared" si="181"/>
        <v/>
      </c>
      <c r="AX275" s="32" t="str">
        <f t="shared" si="182"/>
        <v/>
      </c>
      <c r="AY275" s="32" t="str">
        <f t="shared" si="183"/>
        <v/>
      </c>
      <c r="BA275" s="32" t="str">
        <f>IF($A276="","",F275*Summary!$Q$7)</f>
        <v/>
      </c>
    </row>
    <row r="276" spans="1:53" ht="12" customHeight="1">
      <c r="A276" s="67" t="str">
        <f t="shared" si="159"/>
        <v/>
      </c>
      <c r="B276" s="69" t="str">
        <f t="shared" si="184"/>
        <v/>
      </c>
      <c r="C276" s="71"/>
      <c r="D276" s="69" t="str">
        <f t="shared" si="185"/>
        <v/>
      </c>
      <c r="E276" s="70" t="str">
        <f t="shared" si="150"/>
        <v/>
      </c>
      <c r="F276" s="70" t="str">
        <f t="shared" si="151"/>
        <v/>
      </c>
      <c r="G276" s="63" t="str">
        <f t="shared" si="160"/>
        <v/>
      </c>
      <c r="H276" s="64" t="str">
        <f t="shared" si="161"/>
        <v/>
      </c>
      <c r="I276" s="43"/>
      <c r="J276" s="63" t="str">
        <f t="shared" si="162"/>
        <v/>
      </c>
      <c r="K276" s="64" t="str">
        <f t="shared" si="163"/>
        <v/>
      </c>
      <c r="L276" s="63" t="str">
        <f t="shared" si="164"/>
        <v/>
      </c>
      <c r="M276" s="64" t="str">
        <f t="shared" si="165"/>
        <v/>
      </c>
      <c r="N276" s="65"/>
      <c r="O276" s="63" t="str">
        <f t="shared" si="166"/>
        <v/>
      </c>
      <c r="P276" s="63" t="str">
        <f t="shared" si="167"/>
        <v/>
      </c>
      <c r="Q276" s="66"/>
      <c r="R276" s="63" t="str">
        <f t="shared" si="168"/>
        <v/>
      </c>
      <c r="S276" s="64" t="str">
        <f t="shared" si="169"/>
        <v/>
      </c>
      <c r="T276" s="63" t="str">
        <f t="shared" si="170"/>
        <v/>
      </c>
      <c r="U276" s="64" t="str">
        <f t="shared" si="171"/>
        <v/>
      </c>
      <c r="V276" s="207" t="str">
        <f>IF($A277="","",IF(AND(MONTH(A276)&gt;3,MONTH(A276)&lt;11),(T276+R276+G276)*Summary!$T$7/(1-Summary!$T$7),(T276+R276+G276)*Summary!$U$7/(1-Summary!$U$7)))</f>
        <v/>
      </c>
      <c r="W276" s="63" t="str">
        <f t="shared" si="172"/>
        <v/>
      </c>
      <c r="X276" s="63" t="str">
        <f t="shared" si="173"/>
        <v/>
      </c>
      <c r="Y276" s="43"/>
      <c r="Z276" s="38" t="str">
        <f t="shared" si="174"/>
        <v/>
      </c>
      <c r="AA276" s="38" t="str">
        <f t="shared" si="174"/>
        <v/>
      </c>
      <c r="AB276" s="38" t="e">
        <f t="shared" si="152"/>
        <v>#VALUE!</v>
      </c>
      <c r="AC276" s="38" t="str">
        <f t="shared" si="174"/>
        <v/>
      </c>
      <c r="AD276" s="38" t="str">
        <f t="shared" si="174"/>
        <v/>
      </c>
      <c r="AE276" s="38" t="e">
        <f t="shared" si="153"/>
        <v>#VALUE!</v>
      </c>
      <c r="AF276" s="238" t="e">
        <f>((Summary!$N$7*(AA276*AD276)*(A276-$D$3))+(Summary!$M$7*Z276*AC276*(DAY(EOMONTH(A276,0))/2)))/(AK276*AB276*AE276)</f>
        <v>#VALUE!</v>
      </c>
      <c r="AG276" s="88" t="str">
        <f>IF($A277="","",Summary!$Q$7)</f>
        <v/>
      </c>
      <c r="AH276" s="88" t="str">
        <f>IF($A277="","",IF(Summary!$R$7="Y",(VLOOKUP($A276,Summary!$AD$6:$AF$9,3)+'Escalating commodity'!C289),'Escalating commodity'!C289))</f>
        <v/>
      </c>
      <c r="AI276" s="88" t="str">
        <f t="shared" si="175"/>
        <v/>
      </c>
      <c r="AJ276" s="236" t="e">
        <f t="shared" si="154"/>
        <v>#VALUE!</v>
      </c>
      <c r="AK276" s="58" t="str">
        <f t="shared" si="176"/>
        <v/>
      </c>
      <c r="AL276" s="26" t="str">
        <f>IF($A277="","",_xll.SPRDOPT(P276,X276,AI276,0,AB276,AE276,AF276,AK276,$AJ$2,0))</f>
        <v/>
      </c>
      <c r="AM276" s="209" t="str">
        <f t="shared" si="155"/>
        <v/>
      </c>
      <c r="AN276" s="89" t="str">
        <f t="shared" si="177"/>
        <v/>
      </c>
      <c r="AO276" s="3" t="str">
        <f t="shared" si="178"/>
        <v/>
      </c>
      <c r="AP276" s="33" t="str">
        <f t="shared" si="179"/>
        <v/>
      </c>
      <c r="AQ276" s="58" t="str">
        <f t="shared" si="156"/>
        <v/>
      </c>
      <c r="AR276" s="38">
        <f>IF(Summary!$H$2=1,VLOOKUP('ANR OK vs ML7'!A276,Curves!$C$17:$AR$273,MATCH('ANR OK vs ML7'!$AR$4,Curves!$C$8:$AQ$8,0)),0.1)</f>
        <v>0.1</v>
      </c>
      <c r="AS276" s="35" t="str">
        <f t="shared" si="157"/>
        <v/>
      </c>
      <c r="AT276" s="3" t="str">
        <f t="shared" si="180"/>
        <v/>
      </c>
      <c r="AU276" s="3" t="str">
        <f t="shared" si="158"/>
        <v/>
      </c>
      <c r="AW276" s="32" t="str">
        <f t="shared" si="181"/>
        <v/>
      </c>
      <c r="AX276" s="32" t="str">
        <f t="shared" si="182"/>
        <v/>
      </c>
      <c r="AY276" s="32" t="str">
        <f t="shared" si="183"/>
        <v/>
      </c>
      <c r="BA276" s="32" t="str">
        <f>IF($A277="","",F276*Summary!$Q$7)</f>
        <v/>
      </c>
    </row>
    <row r="277" spans="1:53" ht="12" customHeight="1">
      <c r="A277" s="67" t="str">
        <f t="shared" si="159"/>
        <v/>
      </c>
      <c r="B277" s="69" t="str">
        <f t="shared" si="184"/>
        <v/>
      </c>
      <c r="C277" s="71"/>
      <c r="D277" s="69" t="str">
        <f t="shared" si="185"/>
        <v/>
      </c>
      <c r="E277" s="70" t="str">
        <f t="shared" si="150"/>
        <v/>
      </c>
      <c r="F277" s="70" t="str">
        <f t="shared" si="151"/>
        <v/>
      </c>
      <c r="G277" s="63" t="str">
        <f t="shared" si="160"/>
        <v/>
      </c>
      <c r="H277" s="64" t="str">
        <f t="shared" si="161"/>
        <v/>
      </c>
      <c r="I277" s="43"/>
      <c r="J277" s="63" t="str">
        <f t="shared" si="162"/>
        <v/>
      </c>
      <c r="K277" s="64" t="str">
        <f t="shared" si="163"/>
        <v/>
      </c>
      <c r="L277" s="63" t="str">
        <f t="shared" si="164"/>
        <v/>
      </c>
      <c r="M277" s="64" t="str">
        <f t="shared" si="165"/>
        <v/>
      </c>
      <c r="N277" s="65"/>
      <c r="O277" s="63" t="str">
        <f t="shared" si="166"/>
        <v/>
      </c>
      <c r="P277" s="63" t="str">
        <f t="shared" si="167"/>
        <v/>
      </c>
      <c r="Q277" s="66"/>
      <c r="R277" s="63" t="str">
        <f t="shared" si="168"/>
        <v/>
      </c>
      <c r="S277" s="64" t="str">
        <f t="shared" si="169"/>
        <v/>
      </c>
      <c r="T277" s="63" t="str">
        <f t="shared" si="170"/>
        <v/>
      </c>
      <c r="U277" s="64" t="str">
        <f t="shared" si="171"/>
        <v/>
      </c>
      <c r="V277" s="207" t="str">
        <f>IF($A278="","",IF(AND(MONTH(A277)&gt;3,MONTH(A277)&lt;11),(T277+R277+G277)*Summary!$T$7/(1-Summary!$T$7),(T277+R277+G277)*Summary!$U$7/(1-Summary!$U$7)))</f>
        <v/>
      </c>
      <c r="W277" s="63" t="str">
        <f t="shared" si="172"/>
        <v/>
      </c>
      <c r="X277" s="63" t="str">
        <f t="shared" si="173"/>
        <v/>
      </c>
      <c r="Y277" s="43"/>
      <c r="Z277" s="38" t="str">
        <f t="shared" si="174"/>
        <v/>
      </c>
      <c r="AA277" s="38" t="str">
        <f t="shared" si="174"/>
        <v/>
      </c>
      <c r="AB277" s="38" t="e">
        <f t="shared" si="152"/>
        <v>#VALUE!</v>
      </c>
      <c r="AC277" s="38" t="str">
        <f t="shared" si="174"/>
        <v/>
      </c>
      <c r="AD277" s="38" t="str">
        <f t="shared" si="174"/>
        <v/>
      </c>
      <c r="AE277" s="38" t="e">
        <f t="shared" si="153"/>
        <v>#VALUE!</v>
      </c>
      <c r="AF277" s="238" t="e">
        <f>((Summary!$N$7*(AA277*AD277)*(A277-$D$3))+(Summary!$M$7*Z277*AC277*(DAY(EOMONTH(A277,0))/2)))/(AK277*AB277*AE277)</f>
        <v>#VALUE!</v>
      </c>
      <c r="AG277" s="88" t="str">
        <f>IF($A278="","",Summary!$Q$7)</f>
        <v/>
      </c>
      <c r="AH277" s="88" t="str">
        <f>IF($A278="","",IF(Summary!$R$7="Y",(VLOOKUP($A277,Summary!$AD$6:$AF$9,3)+'Escalating commodity'!C290),'Escalating commodity'!C290))</f>
        <v/>
      </c>
      <c r="AI277" s="88" t="str">
        <f t="shared" si="175"/>
        <v/>
      </c>
      <c r="AJ277" s="236" t="e">
        <f t="shared" si="154"/>
        <v>#VALUE!</v>
      </c>
      <c r="AK277" s="58" t="str">
        <f t="shared" si="176"/>
        <v/>
      </c>
      <c r="AL277" s="26" t="str">
        <f>IF($A278="","",_xll.SPRDOPT(P277,X277,AI277,0,AB277,AE277,AF277,AK277,$AJ$2,0))</f>
        <v/>
      </c>
      <c r="AM277" s="209" t="str">
        <f t="shared" si="155"/>
        <v/>
      </c>
      <c r="AN277" s="89" t="str">
        <f t="shared" si="177"/>
        <v/>
      </c>
      <c r="AO277" s="3" t="str">
        <f t="shared" si="178"/>
        <v/>
      </c>
      <c r="AP277" s="33" t="str">
        <f t="shared" si="179"/>
        <v/>
      </c>
      <c r="AQ277" s="58" t="str">
        <f t="shared" si="156"/>
        <v/>
      </c>
      <c r="AR277" s="38">
        <f>IF(Summary!$H$2=1,VLOOKUP('ANR OK vs ML7'!A277,Curves!$C$17:$AR$273,MATCH('ANR OK vs ML7'!$AR$4,Curves!$C$8:$AQ$8,0)),0.1)</f>
        <v>0.1</v>
      </c>
      <c r="AS277" s="35" t="str">
        <f t="shared" si="157"/>
        <v/>
      </c>
      <c r="AT277" s="3" t="str">
        <f t="shared" si="180"/>
        <v/>
      </c>
      <c r="AU277" s="3" t="str">
        <f t="shared" si="158"/>
        <v/>
      </c>
      <c r="AW277" s="32" t="str">
        <f t="shared" si="181"/>
        <v/>
      </c>
      <c r="AX277" s="32" t="str">
        <f t="shared" si="182"/>
        <v/>
      </c>
      <c r="AY277" s="32" t="str">
        <f t="shared" si="183"/>
        <v/>
      </c>
      <c r="BA277" s="32" t="str">
        <f>IF($A278="","",F277*Summary!$Q$7)</f>
        <v/>
      </c>
    </row>
    <row r="278" spans="1:53" ht="12" customHeight="1">
      <c r="A278" s="67" t="str">
        <f t="shared" si="159"/>
        <v/>
      </c>
      <c r="B278" s="69" t="str">
        <f t="shared" si="184"/>
        <v/>
      </c>
      <c r="C278" s="71"/>
      <c r="D278" s="69" t="str">
        <f t="shared" si="185"/>
        <v/>
      </c>
      <c r="E278" s="70" t="str">
        <f t="shared" si="150"/>
        <v/>
      </c>
      <c r="F278" s="70" t="str">
        <f t="shared" si="151"/>
        <v/>
      </c>
      <c r="G278" s="63" t="str">
        <f t="shared" si="160"/>
        <v/>
      </c>
      <c r="H278" s="64" t="str">
        <f t="shared" si="161"/>
        <v/>
      </c>
      <c r="I278" s="43"/>
      <c r="J278" s="63" t="str">
        <f t="shared" si="162"/>
        <v/>
      </c>
      <c r="K278" s="64" t="str">
        <f t="shared" si="163"/>
        <v/>
      </c>
      <c r="L278" s="63" t="str">
        <f t="shared" si="164"/>
        <v/>
      </c>
      <c r="M278" s="64" t="str">
        <f t="shared" si="165"/>
        <v/>
      </c>
      <c r="N278" s="65"/>
      <c r="O278" s="63" t="str">
        <f t="shared" si="166"/>
        <v/>
      </c>
      <c r="P278" s="63" t="str">
        <f t="shared" si="167"/>
        <v/>
      </c>
      <c r="Q278" s="66"/>
      <c r="R278" s="63" t="str">
        <f t="shared" si="168"/>
        <v/>
      </c>
      <c r="S278" s="64" t="str">
        <f t="shared" si="169"/>
        <v/>
      </c>
      <c r="T278" s="63" t="str">
        <f t="shared" si="170"/>
        <v/>
      </c>
      <c r="U278" s="64" t="str">
        <f t="shared" si="171"/>
        <v/>
      </c>
      <c r="V278" s="207" t="str">
        <f>IF($A279="","",IF(AND(MONTH(A278)&gt;3,MONTH(A278)&lt;11),(T278+R278+G278)*Summary!$T$7/(1-Summary!$T$7),(T278+R278+G278)*Summary!$U$7/(1-Summary!$U$7)))</f>
        <v/>
      </c>
      <c r="W278" s="63" t="str">
        <f t="shared" si="172"/>
        <v/>
      </c>
      <c r="X278" s="63" t="str">
        <f t="shared" si="173"/>
        <v/>
      </c>
      <c r="Y278" s="43"/>
      <c r="Z278" s="38" t="str">
        <f t="shared" si="174"/>
        <v/>
      </c>
      <c r="AA278" s="38" t="str">
        <f t="shared" si="174"/>
        <v/>
      </c>
      <c r="AB278" s="38" t="e">
        <f t="shared" si="152"/>
        <v>#VALUE!</v>
      </c>
      <c r="AC278" s="38" t="str">
        <f t="shared" si="174"/>
        <v/>
      </c>
      <c r="AD278" s="38" t="str">
        <f t="shared" si="174"/>
        <v/>
      </c>
      <c r="AE278" s="38" t="e">
        <f t="shared" si="153"/>
        <v>#VALUE!</v>
      </c>
      <c r="AF278" s="238" t="e">
        <f>((Summary!$N$7*(AA278*AD278)*(A278-$D$3))+(Summary!$M$7*Z278*AC278*(DAY(EOMONTH(A278,0))/2)))/(AK278*AB278*AE278)</f>
        <v>#VALUE!</v>
      </c>
      <c r="AG278" s="88" t="str">
        <f>IF($A279="","",Summary!$Q$7)</f>
        <v/>
      </c>
      <c r="AH278" s="88" t="str">
        <f>IF($A279="","",IF(Summary!$R$7="Y",(VLOOKUP($A278,Summary!$AD$6:$AF$9,3)+'Escalating commodity'!C291),'Escalating commodity'!C291))</f>
        <v/>
      </c>
      <c r="AI278" s="88" t="str">
        <f t="shared" si="175"/>
        <v/>
      </c>
      <c r="AJ278" s="236" t="e">
        <f t="shared" si="154"/>
        <v>#VALUE!</v>
      </c>
      <c r="AK278" s="58" t="str">
        <f t="shared" si="176"/>
        <v/>
      </c>
      <c r="AL278" s="26" t="str">
        <f>IF($A279="","",_xll.SPRDOPT(P278,X278,AI278,0,AB278,AE278,AF278,AK278,$AJ$2,0))</f>
        <v/>
      </c>
      <c r="AM278" s="209" t="str">
        <f t="shared" si="155"/>
        <v/>
      </c>
      <c r="AN278" s="89" t="str">
        <f t="shared" si="177"/>
        <v/>
      </c>
      <c r="AO278" s="3" t="str">
        <f t="shared" si="178"/>
        <v/>
      </c>
      <c r="AP278" s="33" t="str">
        <f t="shared" si="179"/>
        <v/>
      </c>
      <c r="AQ278" s="58" t="str">
        <f t="shared" si="156"/>
        <v/>
      </c>
      <c r="AR278" s="38">
        <f>IF(Summary!$H$2=1,VLOOKUP('ANR OK vs ML7'!A278,Curves!$C$17:$AR$273,MATCH('ANR OK vs ML7'!$AR$4,Curves!$C$8:$AQ$8,0)),0.1)</f>
        <v>0.1</v>
      </c>
      <c r="AS278" s="35" t="str">
        <f t="shared" si="157"/>
        <v/>
      </c>
      <c r="AT278" s="3" t="str">
        <f t="shared" si="180"/>
        <v/>
      </c>
      <c r="AU278" s="3" t="str">
        <f t="shared" si="158"/>
        <v/>
      </c>
      <c r="AW278" s="32" t="str">
        <f t="shared" si="181"/>
        <v/>
      </c>
      <c r="AX278" s="32" t="str">
        <f t="shared" si="182"/>
        <v/>
      </c>
      <c r="AY278" s="32" t="str">
        <f t="shared" si="183"/>
        <v/>
      </c>
      <c r="BA278" s="32" t="str">
        <f>IF($A279="","",F278*Summary!$Q$7)</f>
        <v/>
      </c>
    </row>
    <row r="279" spans="1:53" ht="12" customHeight="1">
      <c r="A279" s="67" t="str">
        <f t="shared" si="159"/>
        <v/>
      </c>
      <c r="B279" s="69" t="str">
        <f t="shared" si="184"/>
        <v/>
      </c>
      <c r="C279" s="71"/>
      <c r="D279" s="69" t="str">
        <f t="shared" si="185"/>
        <v/>
      </c>
      <c r="E279" s="70" t="str">
        <f t="shared" si="150"/>
        <v/>
      </c>
      <c r="F279" s="70" t="str">
        <f t="shared" si="151"/>
        <v/>
      </c>
      <c r="G279" s="63" t="str">
        <f t="shared" si="160"/>
        <v/>
      </c>
      <c r="H279" s="64" t="str">
        <f t="shared" si="161"/>
        <v/>
      </c>
      <c r="I279" s="43"/>
      <c r="J279" s="63" t="str">
        <f t="shared" si="162"/>
        <v/>
      </c>
      <c r="K279" s="64" t="str">
        <f t="shared" si="163"/>
        <v/>
      </c>
      <c r="L279" s="63" t="str">
        <f t="shared" si="164"/>
        <v/>
      </c>
      <c r="M279" s="64" t="str">
        <f t="shared" si="165"/>
        <v/>
      </c>
      <c r="N279" s="65"/>
      <c r="O279" s="63" t="str">
        <f t="shared" si="166"/>
        <v/>
      </c>
      <c r="P279" s="63" t="str">
        <f t="shared" si="167"/>
        <v/>
      </c>
      <c r="Q279" s="66"/>
      <c r="R279" s="63" t="str">
        <f t="shared" si="168"/>
        <v/>
      </c>
      <c r="S279" s="64" t="str">
        <f t="shared" si="169"/>
        <v/>
      </c>
      <c r="T279" s="63" t="str">
        <f t="shared" si="170"/>
        <v/>
      </c>
      <c r="U279" s="64" t="str">
        <f t="shared" si="171"/>
        <v/>
      </c>
      <c r="V279" s="207" t="str">
        <f>IF($A280="","",IF(AND(MONTH(A279)&gt;3,MONTH(A279)&lt;11),(T279+R279+G279)*Summary!$T$7/(1-Summary!$T$7),(T279+R279+G279)*Summary!$U$7/(1-Summary!$U$7)))</f>
        <v/>
      </c>
      <c r="W279" s="63" t="str">
        <f t="shared" si="172"/>
        <v/>
      </c>
      <c r="X279" s="63" t="str">
        <f t="shared" si="173"/>
        <v/>
      </c>
      <c r="Y279" s="43"/>
      <c r="Z279" s="38" t="str">
        <f t="shared" si="174"/>
        <v/>
      </c>
      <c r="AA279" s="38" t="str">
        <f t="shared" si="174"/>
        <v/>
      </c>
      <c r="AB279" s="38" t="e">
        <f t="shared" si="152"/>
        <v>#VALUE!</v>
      </c>
      <c r="AC279" s="38" t="str">
        <f t="shared" si="174"/>
        <v/>
      </c>
      <c r="AD279" s="38" t="str">
        <f t="shared" si="174"/>
        <v/>
      </c>
      <c r="AE279" s="38" t="e">
        <f t="shared" si="153"/>
        <v>#VALUE!</v>
      </c>
      <c r="AF279" s="238" t="e">
        <f>((Summary!$N$7*(AA279*AD279)*(A279-$D$3))+(Summary!$M$7*Z279*AC279*(DAY(EOMONTH(A279,0))/2)))/(AK279*AB279*AE279)</f>
        <v>#VALUE!</v>
      </c>
      <c r="AG279" s="88" t="str">
        <f>IF($A280="","",Summary!$Q$7)</f>
        <v/>
      </c>
      <c r="AH279" s="88" t="str">
        <f>IF($A280="","",IF(Summary!$R$7="Y",(VLOOKUP($A279,Summary!$AD$6:$AF$9,3)+'Escalating commodity'!C292),'Escalating commodity'!C292))</f>
        <v/>
      </c>
      <c r="AI279" s="88" t="str">
        <f t="shared" si="175"/>
        <v/>
      </c>
      <c r="AJ279" s="236" t="e">
        <f t="shared" si="154"/>
        <v>#VALUE!</v>
      </c>
      <c r="AK279" s="58" t="str">
        <f t="shared" si="176"/>
        <v/>
      </c>
      <c r="AL279" s="26" t="str">
        <f>IF($A280="","",_xll.SPRDOPT(P279,X279,AI279,0,AB279,AE279,AF279,AK279,$AJ$2,0))</f>
        <v/>
      </c>
      <c r="AM279" s="209" t="str">
        <f t="shared" si="155"/>
        <v/>
      </c>
      <c r="AN279" s="89" t="str">
        <f t="shared" si="177"/>
        <v/>
      </c>
      <c r="AO279" s="3" t="str">
        <f t="shared" si="178"/>
        <v/>
      </c>
      <c r="AP279" s="33" t="str">
        <f t="shared" si="179"/>
        <v/>
      </c>
      <c r="AQ279" s="58" t="str">
        <f t="shared" si="156"/>
        <v/>
      </c>
      <c r="AR279" s="38">
        <f>IF(Summary!$H$2=1,VLOOKUP('ANR OK vs ML7'!A279,Curves!$C$17:$AR$273,MATCH('ANR OK vs ML7'!$AR$4,Curves!$C$8:$AQ$8,0)),0.1)</f>
        <v>0.1</v>
      </c>
      <c r="AS279" s="35" t="str">
        <f t="shared" si="157"/>
        <v/>
      </c>
      <c r="AT279" s="3" t="str">
        <f t="shared" si="180"/>
        <v/>
      </c>
      <c r="AU279" s="3" t="str">
        <f t="shared" si="158"/>
        <v/>
      </c>
      <c r="AW279" s="32" t="str">
        <f t="shared" si="181"/>
        <v/>
      </c>
      <c r="AX279" s="32" t="str">
        <f t="shared" si="182"/>
        <v/>
      </c>
      <c r="AY279" s="32" t="str">
        <f t="shared" si="183"/>
        <v/>
      </c>
      <c r="BA279" s="32" t="str">
        <f>IF($A280="","",F279*Summary!$Q$7)</f>
        <v/>
      </c>
    </row>
    <row r="280" spans="1:53" ht="12" customHeight="1">
      <c r="A280" s="67" t="str">
        <f t="shared" si="159"/>
        <v/>
      </c>
      <c r="B280" s="69" t="str">
        <f t="shared" si="184"/>
        <v/>
      </c>
      <c r="C280" s="71"/>
      <c r="D280" s="69" t="str">
        <f t="shared" si="185"/>
        <v/>
      </c>
      <c r="E280" s="70" t="str">
        <f t="shared" si="150"/>
        <v/>
      </c>
      <c r="F280" s="70" t="str">
        <f t="shared" si="151"/>
        <v/>
      </c>
      <c r="G280" s="63" t="str">
        <f t="shared" si="160"/>
        <v/>
      </c>
      <c r="H280" s="64" t="str">
        <f t="shared" si="161"/>
        <v/>
      </c>
      <c r="I280" s="43"/>
      <c r="J280" s="63" t="str">
        <f t="shared" si="162"/>
        <v/>
      </c>
      <c r="K280" s="64" t="str">
        <f t="shared" si="163"/>
        <v/>
      </c>
      <c r="L280" s="63" t="str">
        <f t="shared" si="164"/>
        <v/>
      </c>
      <c r="M280" s="64" t="str">
        <f t="shared" si="165"/>
        <v/>
      </c>
      <c r="N280" s="65"/>
      <c r="O280" s="63" t="str">
        <f t="shared" si="166"/>
        <v/>
      </c>
      <c r="P280" s="63" t="str">
        <f t="shared" si="167"/>
        <v/>
      </c>
      <c r="Q280" s="66"/>
      <c r="R280" s="63" t="str">
        <f t="shared" si="168"/>
        <v/>
      </c>
      <c r="S280" s="64" t="str">
        <f t="shared" si="169"/>
        <v/>
      </c>
      <c r="T280" s="63" t="str">
        <f t="shared" si="170"/>
        <v/>
      </c>
      <c r="U280" s="64" t="str">
        <f t="shared" si="171"/>
        <v/>
      </c>
      <c r="V280" s="207" t="str">
        <f>IF($A281="","",IF(AND(MONTH(A280)&gt;3,MONTH(A280)&lt;11),(T280+R280+G280)*Summary!$T$7/(1-Summary!$T$7),(T280+R280+G280)*Summary!$U$7/(1-Summary!$U$7)))</f>
        <v/>
      </c>
      <c r="W280" s="63" t="str">
        <f t="shared" si="172"/>
        <v/>
      </c>
      <c r="X280" s="63" t="str">
        <f t="shared" si="173"/>
        <v/>
      </c>
      <c r="Y280" s="43"/>
      <c r="Z280" s="38" t="str">
        <f t="shared" si="174"/>
        <v/>
      </c>
      <c r="AA280" s="38" t="str">
        <f t="shared" si="174"/>
        <v/>
      </c>
      <c r="AB280" s="38" t="e">
        <f t="shared" si="152"/>
        <v>#VALUE!</v>
      </c>
      <c r="AC280" s="38" t="str">
        <f t="shared" si="174"/>
        <v/>
      </c>
      <c r="AD280" s="38" t="str">
        <f t="shared" si="174"/>
        <v/>
      </c>
      <c r="AE280" s="38" t="e">
        <f t="shared" si="153"/>
        <v>#VALUE!</v>
      </c>
      <c r="AF280" s="238" t="e">
        <f>((Summary!$N$7*(AA280*AD280)*(A280-$D$3))+(Summary!$M$7*Z280*AC280*(DAY(EOMONTH(A280,0))/2)))/(AK280*AB280*AE280)</f>
        <v>#VALUE!</v>
      </c>
      <c r="AG280" s="88" t="str">
        <f>IF($A281="","",Summary!$Q$7)</f>
        <v/>
      </c>
      <c r="AH280" s="88" t="str">
        <f>IF($A281="","",IF(Summary!$R$7="Y",(VLOOKUP($A280,Summary!$AD$6:$AF$9,3)+'Escalating commodity'!C293),'Escalating commodity'!C293))</f>
        <v/>
      </c>
      <c r="AI280" s="88" t="str">
        <f t="shared" si="175"/>
        <v/>
      </c>
      <c r="AJ280" s="236" t="e">
        <f t="shared" si="154"/>
        <v>#VALUE!</v>
      </c>
      <c r="AK280" s="58" t="str">
        <f t="shared" si="176"/>
        <v/>
      </c>
      <c r="AL280" s="26" t="str">
        <f>IF($A281="","",_xll.SPRDOPT(P280,X280,AI280,0,AB280,AE280,AF280,AK280,$AJ$2,0))</f>
        <v/>
      </c>
      <c r="AM280" s="209" t="str">
        <f t="shared" si="155"/>
        <v/>
      </c>
      <c r="AN280" s="89" t="str">
        <f t="shared" si="177"/>
        <v/>
      </c>
      <c r="AO280" s="3" t="str">
        <f t="shared" si="178"/>
        <v/>
      </c>
      <c r="AP280" s="33" t="str">
        <f t="shared" si="179"/>
        <v/>
      </c>
      <c r="AQ280" s="58" t="str">
        <f t="shared" si="156"/>
        <v/>
      </c>
      <c r="AR280" s="38">
        <f>IF(Summary!$H$2=1,VLOOKUP('ANR OK vs ML7'!A280,Curves!$C$17:$AR$273,MATCH('ANR OK vs ML7'!$AR$4,Curves!$C$8:$AQ$8,0)),0.1)</f>
        <v>0.1</v>
      </c>
      <c r="AS280" s="35" t="str">
        <f t="shared" si="157"/>
        <v/>
      </c>
      <c r="AT280" s="3" t="str">
        <f t="shared" si="180"/>
        <v/>
      </c>
      <c r="AU280" s="3" t="str">
        <f t="shared" si="158"/>
        <v/>
      </c>
      <c r="AW280" s="32" t="str">
        <f t="shared" si="181"/>
        <v/>
      </c>
      <c r="AX280" s="32" t="str">
        <f t="shared" si="182"/>
        <v/>
      </c>
      <c r="AY280" s="32" t="str">
        <f t="shared" si="183"/>
        <v/>
      </c>
      <c r="BA280" s="32" t="str">
        <f>IF($A281="","",F280*Summary!$Q$7)</f>
        <v/>
      </c>
    </row>
    <row r="281" spans="1:53" ht="12" customHeight="1">
      <c r="A281" s="67" t="str">
        <f t="shared" si="159"/>
        <v/>
      </c>
      <c r="B281" s="69" t="str">
        <f t="shared" si="184"/>
        <v/>
      </c>
      <c r="C281" s="71"/>
      <c r="D281" s="69" t="str">
        <f t="shared" si="185"/>
        <v/>
      </c>
      <c r="E281" s="70" t="str">
        <f t="shared" si="150"/>
        <v/>
      </c>
      <c r="F281" s="70" t="str">
        <f t="shared" si="151"/>
        <v/>
      </c>
      <c r="G281" s="63" t="str">
        <f t="shared" si="160"/>
        <v/>
      </c>
      <c r="H281" s="64" t="str">
        <f t="shared" si="161"/>
        <v/>
      </c>
      <c r="I281" s="43"/>
      <c r="J281" s="63" t="str">
        <f t="shared" si="162"/>
        <v/>
      </c>
      <c r="K281" s="64" t="str">
        <f t="shared" si="163"/>
        <v/>
      </c>
      <c r="L281" s="63" t="str">
        <f t="shared" si="164"/>
        <v/>
      </c>
      <c r="M281" s="64" t="str">
        <f t="shared" si="165"/>
        <v/>
      </c>
      <c r="N281" s="65"/>
      <c r="O281" s="63" t="str">
        <f t="shared" si="166"/>
        <v/>
      </c>
      <c r="P281" s="63" t="str">
        <f t="shared" si="167"/>
        <v/>
      </c>
      <c r="Q281" s="66"/>
      <c r="R281" s="63" t="str">
        <f t="shared" si="168"/>
        <v/>
      </c>
      <c r="S281" s="64" t="str">
        <f t="shared" si="169"/>
        <v/>
      </c>
      <c r="T281" s="63" t="str">
        <f t="shared" si="170"/>
        <v/>
      </c>
      <c r="U281" s="64" t="str">
        <f t="shared" si="171"/>
        <v/>
      </c>
      <c r="V281" s="207" t="str">
        <f>IF($A282="","",IF(AND(MONTH(A281)&gt;3,MONTH(A281)&lt;11),(T281+R281+G281)*Summary!$T$7/(1-Summary!$T$7),(T281+R281+G281)*Summary!$U$7/(1-Summary!$U$7)))</f>
        <v/>
      </c>
      <c r="W281" s="63" t="str">
        <f t="shared" si="172"/>
        <v/>
      </c>
      <c r="X281" s="63" t="str">
        <f t="shared" si="173"/>
        <v/>
      </c>
      <c r="Y281" s="43"/>
      <c r="Z281" s="38" t="str">
        <f t="shared" si="174"/>
        <v/>
      </c>
      <c r="AA281" s="38" t="str">
        <f t="shared" si="174"/>
        <v/>
      </c>
      <c r="AB281" s="38" t="e">
        <f t="shared" si="152"/>
        <v>#VALUE!</v>
      </c>
      <c r="AC281" s="38" t="str">
        <f t="shared" si="174"/>
        <v/>
      </c>
      <c r="AD281" s="38" t="str">
        <f t="shared" si="174"/>
        <v/>
      </c>
      <c r="AE281" s="38" t="e">
        <f t="shared" si="153"/>
        <v>#VALUE!</v>
      </c>
      <c r="AF281" s="238" t="e">
        <f>((Summary!$N$7*(AA281*AD281)*(A281-$D$3))+(Summary!$M$7*Z281*AC281*(DAY(EOMONTH(A281,0))/2)))/(AK281*AB281*AE281)</f>
        <v>#VALUE!</v>
      </c>
      <c r="AG281" s="88" t="str">
        <f>IF($A282="","",Summary!$Q$7)</f>
        <v/>
      </c>
      <c r="AH281" s="88" t="str">
        <f>IF($A282="","",IF(Summary!$R$7="Y",(VLOOKUP($A281,Summary!$AD$6:$AF$9,3)+'Escalating commodity'!C294),'Escalating commodity'!C294))</f>
        <v/>
      </c>
      <c r="AI281" s="88" t="str">
        <f t="shared" si="175"/>
        <v/>
      </c>
      <c r="AJ281" s="236" t="e">
        <f t="shared" si="154"/>
        <v>#VALUE!</v>
      </c>
      <c r="AK281" s="58" t="str">
        <f t="shared" si="176"/>
        <v/>
      </c>
      <c r="AL281" s="26" t="str">
        <f>IF($A282="","",_xll.SPRDOPT(P281,X281,AI281,0,AB281,AE281,AF281,AK281,$AJ$2,0))</f>
        <v/>
      </c>
      <c r="AM281" s="209" t="str">
        <f t="shared" si="155"/>
        <v/>
      </c>
      <c r="AN281" s="89" t="str">
        <f t="shared" si="177"/>
        <v/>
      </c>
      <c r="AO281" s="3" t="str">
        <f t="shared" si="178"/>
        <v/>
      </c>
      <c r="AP281" s="33" t="str">
        <f t="shared" si="179"/>
        <v/>
      </c>
      <c r="AQ281" s="58" t="str">
        <f t="shared" si="156"/>
        <v/>
      </c>
      <c r="AR281" s="38">
        <f>IF(Summary!$H$2=1,VLOOKUP('ANR OK vs ML7'!A281,Curves!$C$17:$AR$273,MATCH('ANR OK vs ML7'!$AR$4,Curves!$C$8:$AQ$8,0)),0.1)</f>
        <v>0.1</v>
      </c>
      <c r="AS281" s="35" t="str">
        <f t="shared" si="157"/>
        <v/>
      </c>
      <c r="AT281" s="3" t="str">
        <f t="shared" si="180"/>
        <v/>
      </c>
      <c r="AU281" s="3" t="str">
        <f t="shared" si="158"/>
        <v/>
      </c>
      <c r="AW281" s="32" t="str">
        <f t="shared" si="181"/>
        <v/>
      </c>
      <c r="AX281" s="32" t="str">
        <f t="shared" si="182"/>
        <v/>
      </c>
      <c r="AY281" s="32" t="str">
        <f t="shared" si="183"/>
        <v/>
      </c>
      <c r="BA281" s="32" t="str">
        <f>IF($A282="","",F281*Summary!$Q$7)</f>
        <v/>
      </c>
    </row>
    <row r="282" spans="1:53" ht="12" customHeight="1">
      <c r="A282" s="67" t="str">
        <f t="shared" si="159"/>
        <v/>
      </c>
      <c r="B282" s="69" t="str">
        <f t="shared" si="184"/>
        <v/>
      </c>
      <c r="C282" s="71"/>
      <c r="D282" s="69" t="str">
        <f t="shared" si="185"/>
        <v/>
      </c>
      <c r="E282" s="70" t="str">
        <f t="shared" si="150"/>
        <v/>
      </c>
      <c r="F282" s="70" t="str">
        <f t="shared" si="151"/>
        <v/>
      </c>
      <c r="G282" s="63" t="str">
        <f t="shared" si="160"/>
        <v/>
      </c>
      <c r="H282" s="64" t="str">
        <f t="shared" si="161"/>
        <v/>
      </c>
      <c r="I282" s="43"/>
      <c r="J282" s="63" t="str">
        <f t="shared" si="162"/>
        <v/>
      </c>
      <c r="K282" s="64" t="str">
        <f t="shared" si="163"/>
        <v/>
      </c>
      <c r="L282" s="63" t="str">
        <f t="shared" si="164"/>
        <v/>
      </c>
      <c r="M282" s="64" t="str">
        <f t="shared" si="165"/>
        <v/>
      </c>
      <c r="N282" s="65"/>
      <c r="O282" s="63" t="str">
        <f t="shared" si="166"/>
        <v/>
      </c>
      <c r="P282" s="63" t="str">
        <f t="shared" si="167"/>
        <v/>
      </c>
      <c r="Q282" s="66"/>
      <c r="R282" s="63" t="str">
        <f t="shared" si="168"/>
        <v/>
      </c>
      <c r="S282" s="64" t="str">
        <f t="shared" si="169"/>
        <v/>
      </c>
      <c r="T282" s="63" t="str">
        <f t="shared" si="170"/>
        <v/>
      </c>
      <c r="U282" s="64" t="str">
        <f t="shared" si="171"/>
        <v/>
      </c>
      <c r="V282" s="207" t="str">
        <f>IF($A283="","",IF(AND(MONTH(A282)&gt;3,MONTH(A282)&lt;11),(T282+R282+G282)*Summary!$T$7/(1-Summary!$T$7),(T282+R282+G282)*Summary!$U$7/(1-Summary!$U$7)))</f>
        <v/>
      </c>
      <c r="W282" s="63" t="str">
        <f t="shared" si="172"/>
        <v/>
      </c>
      <c r="X282" s="63" t="str">
        <f t="shared" si="173"/>
        <v/>
      </c>
      <c r="Y282" s="43"/>
      <c r="Z282" s="38" t="str">
        <f t="shared" si="174"/>
        <v/>
      </c>
      <c r="AA282" s="38" t="str">
        <f t="shared" si="174"/>
        <v/>
      </c>
      <c r="AB282" s="38" t="e">
        <f t="shared" si="152"/>
        <v>#VALUE!</v>
      </c>
      <c r="AC282" s="38" t="str">
        <f t="shared" si="174"/>
        <v/>
      </c>
      <c r="AD282" s="38" t="str">
        <f t="shared" si="174"/>
        <v/>
      </c>
      <c r="AE282" s="38" t="e">
        <f t="shared" si="153"/>
        <v>#VALUE!</v>
      </c>
      <c r="AF282" s="238" t="e">
        <f>((Summary!$N$7*(AA282*AD282)*(A282-$D$3))+(Summary!$M$7*Z282*AC282*(DAY(EOMONTH(A282,0))/2)))/(AK282*AB282*AE282)</f>
        <v>#VALUE!</v>
      </c>
      <c r="AG282" s="88" t="str">
        <f>IF($A283="","",Summary!$Q$7)</f>
        <v/>
      </c>
      <c r="AH282" s="88" t="str">
        <f>IF($A283="","",IF(Summary!$R$7="Y",(VLOOKUP($A282,Summary!$AD$6:$AF$9,3)+'Escalating commodity'!C295),'Escalating commodity'!C295))</f>
        <v/>
      </c>
      <c r="AI282" s="88" t="str">
        <f t="shared" si="175"/>
        <v/>
      </c>
      <c r="AJ282" s="236" t="e">
        <f t="shared" si="154"/>
        <v>#VALUE!</v>
      </c>
      <c r="AK282" s="58" t="str">
        <f t="shared" si="176"/>
        <v/>
      </c>
      <c r="AL282" s="26" t="str">
        <f>IF($A283="","",_xll.SPRDOPT(P282,X282,AI282,0,AB282,AE282,AF282,AK282,$AJ$2,0))</f>
        <v/>
      </c>
      <c r="AM282" s="209" t="str">
        <f t="shared" si="155"/>
        <v/>
      </c>
      <c r="AN282" s="89" t="str">
        <f t="shared" si="177"/>
        <v/>
      </c>
      <c r="AO282" s="3" t="str">
        <f t="shared" si="178"/>
        <v/>
      </c>
      <c r="AP282" s="33" t="str">
        <f t="shared" si="179"/>
        <v/>
      </c>
      <c r="AQ282" s="58" t="str">
        <f t="shared" si="156"/>
        <v/>
      </c>
      <c r="AR282" s="38">
        <f>IF(Summary!$H$2=1,VLOOKUP('ANR OK vs ML7'!A282,Curves!$C$17:$AR$273,MATCH('ANR OK vs ML7'!$AR$4,Curves!$C$8:$AQ$8,0)),0.1)</f>
        <v>0.1</v>
      </c>
      <c r="AS282" s="35" t="str">
        <f t="shared" si="157"/>
        <v/>
      </c>
      <c r="AT282" s="3" t="str">
        <f t="shared" si="180"/>
        <v/>
      </c>
      <c r="AU282" s="3" t="str">
        <f t="shared" si="158"/>
        <v/>
      </c>
      <c r="AW282" s="32" t="str">
        <f t="shared" si="181"/>
        <v/>
      </c>
      <c r="AX282" s="32" t="str">
        <f t="shared" si="182"/>
        <v/>
      </c>
      <c r="AY282" s="32" t="str">
        <f t="shared" si="183"/>
        <v/>
      </c>
      <c r="BA282" s="32" t="str">
        <f>IF($A283="","",F282*Summary!$Q$7)</f>
        <v/>
      </c>
    </row>
    <row r="283" spans="1:53" ht="12" customHeight="1">
      <c r="A283" s="67" t="str">
        <f t="shared" si="159"/>
        <v/>
      </c>
      <c r="B283" s="69" t="str">
        <f t="shared" si="184"/>
        <v/>
      </c>
      <c r="C283" s="71"/>
      <c r="D283" s="69" t="str">
        <f t="shared" si="185"/>
        <v/>
      </c>
      <c r="E283" s="70" t="str">
        <f t="shared" si="150"/>
        <v/>
      </c>
      <c r="F283" s="70" t="str">
        <f t="shared" si="151"/>
        <v/>
      </c>
      <c r="G283" s="63" t="str">
        <f t="shared" si="160"/>
        <v/>
      </c>
      <c r="H283" s="64" t="str">
        <f t="shared" si="161"/>
        <v/>
      </c>
      <c r="I283" s="43"/>
      <c r="J283" s="63" t="str">
        <f t="shared" si="162"/>
        <v/>
      </c>
      <c r="K283" s="64" t="str">
        <f t="shared" si="163"/>
        <v/>
      </c>
      <c r="L283" s="63" t="str">
        <f t="shared" si="164"/>
        <v/>
      </c>
      <c r="M283" s="64" t="str">
        <f t="shared" si="165"/>
        <v/>
      </c>
      <c r="N283" s="65"/>
      <c r="O283" s="63" t="str">
        <f t="shared" si="166"/>
        <v/>
      </c>
      <c r="P283" s="63" t="str">
        <f t="shared" si="167"/>
        <v/>
      </c>
      <c r="Q283" s="66"/>
      <c r="R283" s="63" t="str">
        <f t="shared" si="168"/>
        <v/>
      </c>
      <c r="S283" s="64" t="str">
        <f t="shared" si="169"/>
        <v/>
      </c>
      <c r="T283" s="63" t="str">
        <f t="shared" si="170"/>
        <v/>
      </c>
      <c r="U283" s="64" t="str">
        <f t="shared" si="171"/>
        <v/>
      </c>
      <c r="V283" s="207" t="str">
        <f>IF($A284="","",IF(AND(MONTH(A283)&gt;3,MONTH(A283)&lt;11),(T283+R283+G283)*Summary!$T$7/(1-Summary!$T$7),(T283+R283+G283)*Summary!$U$7/(1-Summary!$U$7)))</f>
        <v/>
      </c>
      <c r="W283" s="63" t="str">
        <f t="shared" si="172"/>
        <v/>
      </c>
      <c r="X283" s="63" t="str">
        <f t="shared" si="173"/>
        <v/>
      </c>
      <c r="Y283" s="43"/>
      <c r="Z283" s="38" t="str">
        <f t="shared" si="174"/>
        <v/>
      </c>
      <c r="AA283" s="38" t="str">
        <f t="shared" si="174"/>
        <v/>
      </c>
      <c r="AB283" s="38" t="e">
        <f t="shared" si="152"/>
        <v>#VALUE!</v>
      </c>
      <c r="AC283" s="38" t="str">
        <f t="shared" si="174"/>
        <v/>
      </c>
      <c r="AD283" s="38" t="str">
        <f t="shared" si="174"/>
        <v/>
      </c>
      <c r="AE283" s="38" t="e">
        <f t="shared" si="153"/>
        <v>#VALUE!</v>
      </c>
      <c r="AF283" s="238" t="e">
        <f>((Summary!$N$7*(AA283*AD283)*(A283-$D$3))+(Summary!$M$7*Z283*AC283*(DAY(EOMONTH(A283,0))/2)))/(AK283*AB283*AE283)</f>
        <v>#VALUE!</v>
      </c>
      <c r="AG283" s="88" t="str">
        <f>IF($A284="","",Summary!$Q$7)</f>
        <v/>
      </c>
      <c r="AH283" s="88" t="str">
        <f>IF($A284="","",IF(Summary!$R$7="Y",(VLOOKUP($A283,Summary!$AD$6:$AF$9,3)+'Escalating commodity'!C296),'Escalating commodity'!C296))</f>
        <v/>
      </c>
      <c r="AI283" s="88" t="str">
        <f t="shared" si="175"/>
        <v/>
      </c>
      <c r="AJ283" s="236" t="e">
        <f t="shared" si="154"/>
        <v>#VALUE!</v>
      </c>
      <c r="AK283" s="58" t="str">
        <f t="shared" si="176"/>
        <v/>
      </c>
      <c r="AL283" s="26" t="str">
        <f>IF($A284="","",_xll.SPRDOPT(P283,X283,AI283,0,AB283,AE283,AF283,AK283,$AJ$2,0))</f>
        <v/>
      </c>
      <c r="AM283" s="209" t="str">
        <f t="shared" si="155"/>
        <v/>
      </c>
      <c r="AN283" s="89" t="str">
        <f t="shared" si="177"/>
        <v/>
      </c>
      <c r="AO283" s="3" t="str">
        <f t="shared" si="178"/>
        <v/>
      </c>
      <c r="AP283" s="33" t="str">
        <f t="shared" si="179"/>
        <v/>
      </c>
      <c r="AQ283" s="58" t="str">
        <f t="shared" si="156"/>
        <v/>
      </c>
      <c r="AR283" s="38">
        <f>IF(Summary!$H$2=1,VLOOKUP('ANR OK vs ML7'!A283,Curves!$C$17:$AR$273,MATCH('ANR OK vs ML7'!$AR$4,Curves!$C$8:$AQ$8,0)),0.1)</f>
        <v>0.1</v>
      </c>
      <c r="AS283" s="35" t="str">
        <f t="shared" si="157"/>
        <v/>
      </c>
      <c r="AT283" s="3" t="str">
        <f t="shared" si="180"/>
        <v/>
      </c>
      <c r="AU283" s="3" t="str">
        <f t="shared" si="158"/>
        <v/>
      </c>
      <c r="AW283" s="32" t="str">
        <f t="shared" si="181"/>
        <v/>
      </c>
      <c r="AX283" s="32" t="str">
        <f t="shared" si="182"/>
        <v/>
      </c>
      <c r="AY283" s="32" t="str">
        <f t="shared" si="183"/>
        <v/>
      </c>
      <c r="BA283" s="32" t="str">
        <f>IF($A284="","",F283*Summary!$Q$7)</f>
        <v/>
      </c>
    </row>
    <row r="284" spans="1:53" ht="12" customHeight="1">
      <c r="A284" s="67" t="str">
        <f t="shared" si="159"/>
        <v/>
      </c>
      <c r="B284" s="69" t="str">
        <f t="shared" si="184"/>
        <v/>
      </c>
      <c r="C284" s="71"/>
      <c r="D284" s="69" t="str">
        <f t="shared" si="185"/>
        <v/>
      </c>
      <c r="E284" s="70" t="str">
        <f t="shared" si="150"/>
        <v/>
      </c>
      <c r="F284" s="70" t="str">
        <f t="shared" si="151"/>
        <v/>
      </c>
      <c r="G284" s="63" t="str">
        <f t="shared" si="160"/>
        <v/>
      </c>
      <c r="H284" s="64" t="str">
        <f t="shared" si="161"/>
        <v/>
      </c>
      <c r="I284" s="43"/>
      <c r="J284" s="63" t="str">
        <f t="shared" si="162"/>
        <v/>
      </c>
      <c r="K284" s="64" t="str">
        <f t="shared" si="163"/>
        <v/>
      </c>
      <c r="L284" s="63" t="str">
        <f t="shared" si="164"/>
        <v/>
      </c>
      <c r="M284" s="64" t="str">
        <f t="shared" si="165"/>
        <v/>
      </c>
      <c r="N284" s="65"/>
      <c r="O284" s="63" t="str">
        <f t="shared" si="166"/>
        <v/>
      </c>
      <c r="P284" s="63" t="str">
        <f t="shared" si="167"/>
        <v/>
      </c>
      <c r="Q284" s="66"/>
      <c r="R284" s="63" t="str">
        <f t="shared" si="168"/>
        <v/>
      </c>
      <c r="S284" s="64" t="str">
        <f t="shared" si="169"/>
        <v/>
      </c>
      <c r="T284" s="63" t="str">
        <f t="shared" si="170"/>
        <v/>
      </c>
      <c r="U284" s="64" t="str">
        <f t="shared" si="171"/>
        <v/>
      </c>
      <c r="V284" s="207" t="str">
        <f>IF($A285="","",IF(AND(MONTH(A284)&gt;3,MONTH(A284)&lt;11),(T284+R284+G284)*Summary!$T$7/(1-Summary!$T$7),(T284+R284+G284)*Summary!$U$7/(1-Summary!$U$7)))</f>
        <v/>
      </c>
      <c r="W284" s="63" t="str">
        <f t="shared" si="172"/>
        <v/>
      </c>
      <c r="X284" s="63" t="str">
        <f t="shared" si="173"/>
        <v/>
      </c>
      <c r="Y284" s="43"/>
      <c r="Z284" s="38" t="str">
        <f t="shared" si="174"/>
        <v/>
      </c>
      <c r="AA284" s="38" t="str">
        <f t="shared" si="174"/>
        <v/>
      </c>
      <c r="AB284" s="38" t="e">
        <f t="shared" si="152"/>
        <v>#VALUE!</v>
      </c>
      <c r="AC284" s="38" t="str">
        <f t="shared" si="174"/>
        <v/>
      </c>
      <c r="AD284" s="38" t="str">
        <f t="shared" si="174"/>
        <v/>
      </c>
      <c r="AE284" s="38" t="e">
        <f t="shared" si="153"/>
        <v>#VALUE!</v>
      </c>
      <c r="AF284" s="238" t="e">
        <f>((Summary!$N$7*(AA284*AD284)*(A284-$D$3))+(Summary!$M$7*Z284*AC284*(DAY(EOMONTH(A284,0))/2)))/(AK284*AB284*AE284)</f>
        <v>#VALUE!</v>
      </c>
      <c r="AG284" s="88" t="str">
        <f>IF($A285="","",Summary!$Q$7)</f>
        <v/>
      </c>
      <c r="AH284" s="88" t="str">
        <f>IF($A285="","",IF(Summary!$R$7="Y",(VLOOKUP($A284,Summary!$AD$6:$AF$9,3)+'Escalating commodity'!C297),'Escalating commodity'!C297))</f>
        <v/>
      </c>
      <c r="AI284" s="88" t="str">
        <f t="shared" si="175"/>
        <v/>
      </c>
      <c r="AJ284" s="236" t="e">
        <f t="shared" si="154"/>
        <v>#VALUE!</v>
      </c>
      <c r="AK284" s="58" t="str">
        <f t="shared" si="176"/>
        <v/>
      </c>
      <c r="AL284" s="26" t="str">
        <f>IF($A285="","",_xll.SPRDOPT(P284,X284,AI284,0,AB284,AE284,AF284,AK284,$AJ$2,0))</f>
        <v/>
      </c>
      <c r="AM284" s="209" t="str">
        <f t="shared" si="155"/>
        <v/>
      </c>
      <c r="AN284" s="89" t="str">
        <f t="shared" si="177"/>
        <v/>
      </c>
      <c r="AO284" s="3" t="str">
        <f t="shared" si="178"/>
        <v/>
      </c>
      <c r="AP284" s="33" t="str">
        <f t="shared" si="179"/>
        <v/>
      </c>
      <c r="AQ284" s="58" t="str">
        <f t="shared" si="156"/>
        <v/>
      </c>
      <c r="AR284" s="38">
        <f>IF(Summary!$H$2=1,VLOOKUP('ANR OK vs ML7'!A284,Curves!$C$17:$AR$273,MATCH('ANR OK vs ML7'!$AR$4,Curves!$C$8:$AQ$8,0)),0.1)</f>
        <v>0.1</v>
      </c>
      <c r="AS284" s="35" t="str">
        <f t="shared" si="157"/>
        <v/>
      </c>
      <c r="AT284" s="3" t="str">
        <f t="shared" si="180"/>
        <v/>
      </c>
      <c r="AU284" s="3" t="str">
        <f t="shared" si="158"/>
        <v/>
      </c>
      <c r="AW284" s="32" t="str">
        <f t="shared" si="181"/>
        <v/>
      </c>
      <c r="AX284" s="32" t="str">
        <f t="shared" si="182"/>
        <v/>
      </c>
      <c r="AY284" s="32" t="str">
        <f t="shared" si="183"/>
        <v/>
      </c>
      <c r="BA284" s="32" t="str">
        <f>IF($A285="","",F284*Summary!$Q$7)</f>
        <v/>
      </c>
    </row>
    <row r="285" spans="1:53" ht="12" customHeight="1">
      <c r="A285" s="67" t="str">
        <f t="shared" si="159"/>
        <v/>
      </c>
      <c r="B285" s="69" t="str">
        <f t="shared" si="184"/>
        <v/>
      </c>
      <c r="C285" s="71"/>
      <c r="D285" s="69" t="str">
        <f t="shared" si="185"/>
        <v/>
      </c>
      <c r="E285" s="70" t="str">
        <f t="shared" si="150"/>
        <v/>
      </c>
      <c r="F285" s="70" t="str">
        <f t="shared" si="151"/>
        <v/>
      </c>
      <c r="G285" s="63" t="str">
        <f t="shared" si="160"/>
        <v/>
      </c>
      <c r="H285" s="64" t="str">
        <f t="shared" si="161"/>
        <v/>
      </c>
      <c r="I285" s="43"/>
      <c r="J285" s="63" t="str">
        <f t="shared" si="162"/>
        <v/>
      </c>
      <c r="K285" s="64" t="str">
        <f t="shared" si="163"/>
        <v/>
      </c>
      <c r="L285" s="63" t="str">
        <f t="shared" si="164"/>
        <v/>
      </c>
      <c r="M285" s="64" t="str">
        <f t="shared" si="165"/>
        <v/>
      </c>
      <c r="N285" s="65"/>
      <c r="O285" s="63" t="str">
        <f t="shared" si="166"/>
        <v/>
      </c>
      <c r="P285" s="63" t="str">
        <f t="shared" si="167"/>
        <v/>
      </c>
      <c r="Q285" s="66"/>
      <c r="R285" s="63" t="str">
        <f t="shared" si="168"/>
        <v/>
      </c>
      <c r="S285" s="64" t="str">
        <f t="shared" si="169"/>
        <v/>
      </c>
      <c r="T285" s="63" t="str">
        <f t="shared" si="170"/>
        <v/>
      </c>
      <c r="U285" s="64" t="str">
        <f t="shared" si="171"/>
        <v/>
      </c>
      <c r="V285" s="207" t="str">
        <f>IF($A286="","",IF(AND(MONTH(A285)&gt;3,MONTH(A285)&lt;11),(T285+R285+G285)*Summary!$T$7/(1-Summary!$T$7),(T285+R285+G285)*Summary!$U$7/(1-Summary!$U$7)))</f>
        <v/>
      </c>
      <c r="W285" s="63" t="str">
        <f t="shared" si="172"/>
        <v/>
      </c>
      <c r="X285" s="63" t="str">
        <f t="shared" si="173"/>
        <v/>
      </c>
      <c r="Y285" s="43"/>
      <c r="Z285" s="38" t="str">
        <f t="shared" si="174"/>
        <v/>
      </c>
      <c r="AA285" s="38" t="str">
        <f t="shared" si="174"/>
        <v/>
      </c>
      <c r="AB285" s="38" t="e">
        <f t="shared" si="152"/>
        <v>#VALUE!</v>
      </c>
      <c r="AC285" s="38" t="str">
        <f t="shared" si="174"/>
        <v/>
      </c>
      <c r="AD285" s="38" t="str">
        <f t="shared" si="174"/>
        <v/>
      </c>
      <c r="AE285" s="38" t="e">
        <f t="shared" si="153"/>
        <v>#VALUE!</v>
      </c>
      <c r="AF285" s="238" t="e">
        <f>((Summary!$N$7*(AA285*AD285)*(A285-$D$3))+(Summary!$M$7*Z285*AC285*(DAY(EOMONTH(A285,0))/2)))/(AK285*AB285*AE285)</f>
        <v>#VALUE!</v>
      </c>
      <c r="AG285" s="88" t="str">
        <f>IF($A286="","",Summary!$Q$7)</f>
        <v/>
      </c>
      <c r="AH285" s="88" t="str">
        <f>IF($A286="","",IF(Summary!$R$7="Y",(VLOOKUP($A285,Summary!$AD$6:$AF$9,3)+'Escalating commodity'!C298),'Escalating commodity'!C298))</f>
        <v/>
      </c>
      <c r="AI285" s="88" t="str">
        <f t="shared" si="175"/>
        <v/>
      </c>
      <c r="AJ285" s="236" t="e">
        <f t="shared" si="154"/>
        <v>#VALUE!</v>
      </c>
      <c r="AK285" s="58" t="str">
        <f t="shared" si="176"/>
        <v/>
      </c>
      <c r="AL285" s="26" t="str">
        <f>IF($A286="","",_xll.SPRDOPT(P285,X285,AI285,0,AB285,AE285,AF285,AK285,$AJ$2,0))</f>
        <v/>
      </c>
      <c r="AM285" s="209" t="str">
        <f t="shared" si="155"/>
        <v/>
      </c>
      <c r="AN285" s="89" t="str">
        <f t="shared" si="177"/>
        <v/>
      </c>
      <c r="AO285" s="3" t="str">
        <f t="shared" si="178"/>
        <v/>
      </c>
      <c r="AP285" s="33" t="str">
        <f t="shared" si="179"/>
        <v/>
      </c>
      <c r="AQ285" s="58" t="str">
        <f t="shared" si="156"/>
        <v/>
      </c>
      <c r="AR285" s="38">
        <f>IF(Summary!$H$2=1,VLOOKUP('ANR OK vs ML7'!A285,Curves!$C$17:$AR$273,MATCH('ANR OK vs ML7'!$AR$4,Curves!$C$8:$AQ$8,0)),0.1)</f>
        <v>0.1</v>
      </c>
      <c r="AS285" s="35" t="str">
        <f t="shared" si="157"/>
        <v/>
      </c>
      <c r="AT285" s="3" t="str">
        <f t="shared" si="180"/>
        <v/>
      </c>
      <c r="AU285" s="3" t="str">
        <f t="shared" si="158"/>
        <v/>
      </c>
      <c r="AW285" s="32" t="str">
        <f t="shared" si="181"/>
        <v/>
      </c>
      <c r="AX285" s="32" t="str">
        <f t="shared" si="182"/>
        <v/>
      </c>
      <c r="AY285" s="32" t="str">
        <f t="shared" si="183"/>
        <v/>
      </c>
      <c r="BA285" s="32" t="str">
        <f>IF($A286="","",F285*Summary!$Q$7)</f>
        <v/>
      </c>
    </row>
    <row r="286" spans="1:53" ht="12" customHeight="1">
      <c r="A286" s="67" t="str">
        <f t="shared" si="159"/>
        <v/>
      </c>
      <c r="B286" s="69" t="str">
        <f t="shared" si="184"/>
        <v/>
      </c>
      <c r="C286" s="71"/>
      <c r="D286" s="69" t="str">
        <f t="shared" si="185"/>
        <v/>
      </c>
      <c r="E286" s="70" t="str">
        <f t="shared" si="150"/>
        <v/>
      </c>
      <c r="F286" s="70" t="str">
        <f t="shared" si="151"/>
        <v/>
      </c>
      <c r="G286" s="63" t="str">
        <f t="shared" si="160"/>
        <v/>
      </c>
      <c r="H286" s="64" t="str">
        <f t="shared" si="161"/>
        <v/>
      </c>
      <c r="I286" s="43"/>
      <c r="J286" s="63" t="str">
        <f t="shared" si="162"/>
        <v/>
      </c>
      <c r="K286" s="64" t="str">
        <f t="shared" si="163"/>
        <v/>
      </c>
      <c r="L286" s="63" t="str">
        <f t="shared" si="164"/>
        <v/>
      </c>
      <c r="M286" s="64" t="str">
        <f t="shared" si="165"/>
        <v/>
      </c>
      <c r="N286" s="65"/>
      <c r="O286" s="63" t="str">
        <f t="shared" si="166"/>
        <v/>
      </c>
      <c r="P286" s="63" t="str">
        <f t="shared" si="167"/>
        <v/>
      </c>
      <c r="Q286" s="66"/>
      <c r="R286" s="63" t="str">
        <f t="shared" si="168"/>
        <v/>
      </c>
      <c r="S286" s="64" t="str">
        <f t="shared" si="169"/>
        <v/>
      </c>
      <c r="T286" s="63" t="str">
        <f t="shared" si="170"/>
        <v/>
      </c>
      <c r="U286" s="64" t="str">
        <f t="shared" si="171"/>
        <v/>
      </c>
      <c r="V286" s="207" t="str">
        <f>IF($A287="","",IF(AND(MONTH(A286)&gt;3,MONTH(A286)&lt;11),(T286+R286+G286)*Summary!$T$7/(1-Summary!$T$7),(T286+R286+G286)*Summary!$U$7/(1-Summary!$U$7)))</f>
        <v/>
      </c>
      <c r="W286" s="63" t="str">
        <f t="shared" si="172"/>
        <v/>
      </c>
      <c r="X286" s="63" t="str">
        <f t="shared" si="173"/>
        <v/>
      </c>
      <c r="Y286" s="43"/>
      <c r="Z286" s="38" t="str">
        <f t="shared" si="174"/>
        <v/>
      </c>
      <c r="AA286" s="38" t="str">
        <f t="shared" si="174"/>
        <v/>
      </c>
      <c r="AB286" s="38" t="e">
        <f t="shared" si="152"/>
        <v>#VALUE!</v>
      </c>
      <c r="AC286" s="38" t="str">
        <f t="shared" si="174"/>
        <v/>
      </c>
      <c r="AD286" s="38" t="str">
        <f t="shared" si="174"/>
        <v/>
      </c>
      <c r="AE286" s="38" t="e">
        <f t="shared" si="153"/>
        <v>#VALUE!</v>
      </c>
      <c r="AF286" s="238" t="e">
        <f>((Summary!$N$7*(AA286*AD286)*(A286-$D$3))+(Summary!$M$7*Z286*AC286*(DAY(EOMONTH(A286,0))/2)))/(AK286*AB286*AE286)</f>
        <v>#VALUE!</v>
      </c>
      <c r="AG286" s="88" t="str">
        <f>IF($A287="","",Summary!$Q$7)</f>
        <v/>
      </c>
      <c r="AH286" s="88" t="str">
        <f>IF($A287="","",IF(Summary!$R$7="Y",(VLOOKUP($A286,Summary!$AD$6:$AF$9,3)+'Escalating commodity'!C299),'Escalating commodity'!C299))</f>
        <v/>
      </c>
      <c r="AI286" s="88" t="str">
        <f t="shared" si="175"/>
        <v/>
      </c>
      <c r="AJ286" s="236" t="e">
        <f t="shared" si="154"/>
        <v>#VALUE!</v>
      </c>
      <c r="AK286" s="58" t="str">
        <f t="shared" si="176"/>
        <v/>
      </c>
      <c r="AL286" s="26" t="str">
        <f>IF($A287="","",_xll.SPRDOPT(P286,X286,AI286,0,AB286,AE286,AF286,AK286,$AJ$2,0))</f>
        <v/>
      </c>
      <c r="AM286" s="209" t="str">
        <f t="shared" si="155"/>
        <v/>
      </c>
      <c r="AN286" s="89" t="str">
        <f t="shared" si="177"/>
        <v/>
      </c>
      <c r="AO286" s="3" t="str">
        <f t="shared" si="178"/>
        <v/>
      </c>
      <c r="AP286" s="33" t="str">
        <f t="shared" si="179"/>
        <v/>
      </c>
      <c r="AQ286" s="58" t="str">
        <f t="shared" si="156"/>
        <v/>
      </c>
      <c r="AR286" s="38">
        <f>IF(Summary!$H$2=1,VLOOKUP('ANR OK vs ML7'!A286,Curves!$C$17:$AR$273,MATCH('ANR OK vs ML7'!$AR$4,Curves!$C$8:$AQ$8,0)),0.1)</f>
        <v>0.1</v>
      </c>
      <c r="AS286" s="35" t="str">
        <f t="shared" si="157"/>
        <v/>
      </c>
      <c r="AT286" s="3" t="str">
        <f t="shared" si="180"/>
        <v/>
      </c>
      <c r="AU286" s="3" t="str">
        <f t="shared" si="158"/>
        <v/>
      </c>
      <c r="AW286" s="32" t="str">
        <f t="shared" si="181"/>
        <v/>
      </c>
      <c r="AX286" s="32" t="str">
        <f t="shared" si="182"/>
        <v/>
      </c>
      <c r="AY286" s="32" t="str">
        <f t="shared" si="183"/>
        <v/>
      </c>
      <c r="BA286" s="32" t="str">
        <f>IF($A287="","",F286*Summary!$Q$7)</f>
        <v/>
      </c>
    </row>
    <row r="287" spans="1:53" ht="12" customHeight="1">
      <c r="A287" s="67" t="str">
        <f t="shared" si="159"/>
        <v/>
      </c>
      <c r="B287" s="69" t="str">
        <f t="shared" si="184"/>
        <v/>
      </c>
      <c r="C287" s="71"/>
      <c r="D287" s="69" t="str">
        <f t="shared" si="185"/>
        <v/>
      </c>
      <c r="E287" s="70" t="str">
        <f t="shared" si="150"/>
        <v/>
      </c>
      <c r="F287" s="70" t="str">
        <f t="shared" si="151"/>
        <v/>
      </c>
      <c r="G287" s="63" t="str">
        <f t="shared" si="160"/>
        <v/>
      </c>
      <c r="H287" s="64" t="str">
        <f t="shared" si="161"/>
        <v/>
      </c>
      <c r="I287" s="43"/>
      <c r="J287" s="63" t="str">
        <f t="shared" si="162"/>
        <v/>
      </c>
      <c r="K287" s="64" t="str">
        <f t="shared" si="163"/>
        <v/>
      </c>
      <c r="L287" s="63" t="str">
        <f t="shared" si="164"/>
        <v/>
      </c>
      <c r="M287" s="64" t="str">
        <f t="shared" si="165"/>
        <v/>
      </c>
      <c r="N287" s="65"/>
      <c r="O287" s="63" t="str">
        <f t="shared" si="166"/>
        <v/>
      </c>
      <c r="P287" s="63" t="str">
        <f t="shared" si="167"/>
        <v/>
      </c>
      <c r="Q287" s="66"/>
      <c r="R287" s="63" t="str">
        <f t="shared" si="168"/>
        <v/>
      </c>
      <c r="S287" s="64" t="str">
        <f t="shared" si="169"/>
        <v/>
      </c>
      <c r="T287" s="63" t="str">
        <f t="shared" si="170"/>
        <v/>
      </c>
      <c r="U287" s="64" t="str">
        <f t="shared" si="171"/>
        <v/>
      </c>
      <c r="V287" s="207" t="str">
        <f>IF($A288="","",IF(AND(MONTH(A287)&gt;3,MONTH(A287)&lt;11),(T287+R287+G287)*Summary!$T$7/(1-Summary!$T$7),(T287+R287+G287)*Summary!$U$7/(1-Summary!$U$7)))</f>
        <v/>
      </c>
      <c r="W287" s="63" t="str">
        <f t="shared" si="172"/>
        <v/>
      </c>
      <c r="X287" s="63" t="str">
        <f t="shared" si="173"/>
        <v/>
      </c>
      <c r="Y287" s="43"/>
      <c r="Z287" s="38" t="str">
        <f t="shared" si="174"/>
        <v/>
      </c>
      <c r="AA287" s="38" t="str">
        <f t="shared" si="174"/>
        <v/>
      </c>
      <c r="AB287" s="38" t="e">
        <f t="shared" si="152"/>
        <v>#VALUE!</v>
      </c>
      <c r="AC287" s="38" t="str">
        <f t="shared" si="174"/>
        <v/>
      </c>
      <c r="AD287" s="38" t="str">
        <f t="shared" si="174"/>
        <v/>
      </c>
      <c r="AE287" s="38" t="e">
        <f t="shared" si="153"/>
        <v>#VALUE!</v>
      </c>
      <c r="AF287" s="238" t="e">
        <f>((Summary!$N$7*(AA287*AD287)*(A287-$D$3))+(Summary!$M$7*Z287*AC287*(DAY(EOMONTH(A287,0))/2)))/(AK287*AB287*AE287)</f>
        <v>#VALUE!</v>
      </c>
      <c r="AG287" s="88" t="str">
        <f>IF($A288="","",Summary!$Q$7)</f>
        <v/>
      </c>
      <c r="AH287" s="88" t="str">
        <f>IF($A288="","",IF(Summary!$R$7="Y",(VLOOKUP($A287,Summary!$AD$6:$AF$9,3)+'Escalating commodity'!C300),'Escalating commodity'!C300))</f>
        <v/>
      </c>
      <c r="AI287" s="88" t="str">
        <f t="shared" si="175"/>
        <v/>
      </c>
      <c r="AJ287" s="236" t="e">
        <f t="shared" si="154"/>
        <v>#VALUE!</v>
      </c>
      <c r="AK287" s="58" t="str">
        <f t="shared" si="176"/>
        <v/>
      </c>
      <c r="AL287" s="26" t="str">
        <f>IF($A288="","",_xll.SPRDOPT(P287,X287,AI287,0,AB287,AE287,AF287,AK287,$AJ$2,0))</f>
        <v/>
      </c>
      <c r="AM287" s="209" t="str">
        <f t="shared" si="155"/>
        <v/>
      </c>
      <c r="AN287" s="89" t="str">
        <f t="shared" si="177"/>
        <v/>
      </c>
      <c r="AO287" s="3" t="str">
        <f t="shared" si="178"/>
        <v/>
      </c>
      <c r="AP287" s="33" t="str">
        <f t="shared" si="179"/>
        <v/>
      </c>
      <c r="AQ287" s="58" t="str">
        <f t="shared" si="156"/>
        <v/>
      </c>
      <c r="AR287" s="38">
        <f>IF(Summary!$H$2=1,VLOOKUP('ANR OK vs ML7'!A287,Curves!$C$17:$AR$273,MATCH('ANR OK vs ML7'!$AR$4,Curves!$C$8:$AQ$8,0)),0.1)</f>
        <v>0.1</v>
      </c>
      <c r="AS287" s="35" t="str">
        <f t="shared" si="157"/>
        <v/>
      </c>
      <c r="AT287" s="3" t="str">
        <f t="shared" si="180"/>
        <v/>
      </c>
      <c r="AU287" s="3" t="str">
        <f t="shared" si="158"/>
        <v/>
      </c>
      <c r="AW287" s="32" t="str">
        <f t="shared" si="181"/>
        <v/>
      </c>
      <c r="AX287" s="32" t="str">
        <f t="shared" si="182"/>
        <v/>
      </c>
      <c r="AY287" s="32" t="str">
        <f t="shared" si="183"/>
        <v/>
      </c>
      <c r="BA287" s="32" t="str">
        <f>IF($A288="","",F287*Summary!$Q$7)</f>
        <v/>
      </c>
    </row>
    <row r="288" spans="1:53" ht="12" customHeight="1">
      <c r="A288" s="67" t="str">
        <f t="shared" si="159"/>
        <v/>
      </c>
      <c r="B288" s="69" t="str">
        <f t="shared" si="184"/>
        <v/>
      </c>
      <c r="C288" s="71"/>
      <c r="D288" s="69" t="str">
        <f t="shared" si="185"/>
        <v/>
      </c>
      <c r="E288" s="70" t="str">
        <f t="shared" si="150"/>
        <v/>
      </c>
      <c r="F288" s="70" t="str">
        <f t="shared" si="151"/>
        <v/>
      </c>
      <c r="G288" s="63" t="str">
        <f t="shared" si="160"/>
        <v/>
      </c>
      <c r="H288" s="64" t="str">
        <f t="shared" si="161"/>
        <v/>
      </c>
      <c r="I288" s="43"/>
      <c r="J288" s="63" t="str">
        <f t="shared" si="162"/>
        <v/>
      </c>
      <c r="K288" s="64" t="str">
        <f t="shared" si="163"/>
        <v/>
      </c>
      <c r="L288" s="63" t="str">
        <f t="shared" si="164"/>
        <v/>
      </c>
      <c r="M288" s="64" t="str">
        <f t="shared" si="165"/>
        <v/>
      </c>
      <c r="N288" s="65"/>
      <c r="O288" s="63" t="str">
        <f t="shared" si="166"/>
        <v/>
      </c>
      <c r="P288" s="63" t="str">
        <f t="shared" si="167"/>
        <v/>
      </c>
      <c r="Q288" s="66"/>
      <c r="R288" s="63" t="str">
        <f t="shared" si="168"/>
        <v/>
      </c>
      <c r="S288" s="64" t="str">
        <f t="shared" si="169"/>
        <v/>
      </c>
      <c r="T288" s="63" t="str">
        <f t="shared" si="170"/>
        <v/>
      </c>
      <c r="U288" s="64" t="str">
        <f t="shared" si="171"/>
        <v/>
      </c>
      <c r="V288" s="207" t="str">
        <f>IF($A289="","",IF(AND(MONTH(A288)&gt;3,MONTH(A288)&lt;11),(T288+R288+G288)*Summary!$T$7/(1-Summary!$T$7),(T288+R288+G288)*Summary!$U$7/(1-Summary!$U$7)))</f>
        <v/>
      </c>
      <c r="W288" s="63" t="str">
        <f t="shared" si="172"/>
        <v/>
      </c>
      <c r="X288" s="63" t="str">
        <f t="shared" si="173"/>
        <v/>
      </c>
      <c r="Y288" s="43"/>
      <c r="Z288" s="38" t="str">
        <f t="shared" si="174"/>
        <v/>
      </c>
      <c r="AA288" s="38" t="str">
        <f t="shared" si="174"/>
        <v/>
      </c>
      <c r="AB288" s="38" t="e">
        <f t="shared" si="152"/>
        <v>#VALUE!</v>
      </c>
      <c r="AC288" s="38" t="str">
        <f t="shared" si="174"/>
        <v/>
      </c>
      <c r="AD288" s="38" t="str">
        <f t="shared" si="174"/>
        <v/>
      </c>
      <c r="AE288" s="38" t="e">
        <f t="shared" si="153"/>
        <v>#VALUE!</v>
      </c>
      <c r="AF288" s="238" t="e">
        <f>((Summary!$N$7*(AA288*AD288)*(A288-$D$3))+(Summary!$M$7*Z288*AC288*(DAY(EOMONTH(A288,0))/2)))/(AK288*AB288*AE288)</f>
        <v>#VALUE!</v>
      </c>
      <c r="AG288" s="88" t="str">
        <f>IF($A289="","",Summary!$Q$7)</f>
        <v/>
      </c>
      <c r="AH288" s="88" t="str">
        <f>IF($A289="","",IF(Summary!$R$7="Y",(VLOOKUP($A288,Summary!$AD$6:$AF$9,3)+'Escalating commodity'!C301),'Escalating commodity'!C301))</f>
        <v/>
      </c>
      <c r="AI288" s="88" t="str">
        <f t="shared" si="175"/>
        <v/>
      </c>
      <c r="AJ288" s="236" t="e">
        <f t="shared" si="154"/>
        <v>#VALUE!</v>
      </c>
      <c r="AK288" s="58" t="str">
        <f t="shared" si="176"/>
        <v/>
      </c>
      <c r="AL288" s="26" t="str">
        <f>IF($A289="","",_xll.SPRDOPT(P288,X288,AI288,0,AB288,AE288,AF288,AK288,$AJ$2,0))</f>
        <v/>
      </c>
      <c r="AM288" s="209" t="str">
        <f t="shared" si="155"/>
        <v/>
      </c>
      <c r="AN288" s="89" t="str">
        <f t="shared" si="177"/>
        <v/>
      </c>
      <c r="AO288" s="3" t="str">
        <f t="shared" si="178"/>
        <v/>
      </c>
      <c r="AP288" s="33" t="str">
        <f t="shared" si="179"/>
        <v/>
      </c>
      <c r="AQ288" s="58" t="str">
        <f t="shared" si="156"/>
        <v/>
      </c>
      <c r="AR288" s="38">
        <f>IF(Summary!$H$2=1,VLOOKUP('ANR OK vs ML7'!A288,Curves!$C$17:$AR$273,MATCH('ANR OK vs ML7'!$AR$4,Curves!$C$8:$AQ$8,0)),0.1)</f>
        <v>0.1</v>
      </c>
      <c r="AS288" s="35" t="str">
        <f t="shared" si="157"/>
        <v/>
      </c>
      <c r="AT288" s="3" t="str">
        <f t="shared" si="180"/>
        <v/>
      </c>
      <c r="AU288" s="3" t="str">
        <f t="shared" si="158"/>
        <v/>
      </c>
      <c r="AW288" s="32" t="str">
        <f t="shared" si="181"/>
        <v/>
      </c>
      <c r="AX288" s="32" t="str">
        <f t="shared" si="182"/>
        <v/>
      </c>
      <c r="AY288" s="32" t="str">
        <f t="shared" si="183"/>
        <v/>
      </c>
      <c r="BA288" s="32" t="str">
        <f>IF($A289="","",F288*Summary!$Q$7)</f>
        <v/>
      </c>
    </row>
    <row r="289" spans="1:53" ht="12" customHeight="1">
      <c r="A289" s="67" t="str">
        <f t="shared" si="159"/>
        <v/>
      </c>
      <c r="B289" s="69" t="str">
        <f t="shared" si="184"/>
        <v/>
      </c>
      <c r="C289" s="71"/>
      <c r="D289" s="69" t="str">
        <f t="shared" si="185"/>
        <v/>
      </c>
      <c r="E289" s="70" t="str">
        <f t="shared" si="150"/>
        <v/>
      </c>
      <c r="F289" s="70" t="str">
        <f t="shared" si="151"/>
        <v/>
      </c>
      <c r="G289" s="63" t="str">
        <f t="shared" si="160"/>
        <v/>
      </c>
      <c r="H289" s="64" t="str">
        <f t="shared" si="161"/>
        <v/>
      </c>
      <c r="I289" s="43"/>
      <c r="J289" s="63" t="str">
        <f t="shared" si="162"/>
        <v/>
      </c>
      <c r="K289" s="64" t="str">
        <f t="shared" si="163"/>
        <v/>
      </c>
      <c r="L289" s="63" t="str">
        <f t="shared" si="164"/>
        <v/>
      </c>
      <c r="M289" s="64" t="str">
        <f t="shared" si="165"/>
        <v/>
      </c>
      <c r="N289" s="65"/>
      <c r="O289" s="63" t="str">
        <f t="shared" si="166"/>
        <v/>
      </c>
      <c r="P289" s="63" t="str">
        <f t="shared" si="167"/>
        <v/>
      </c>
      <c r="Q289" s="66"/>
      <c r="R289" s="63" t="str">
        <f t="shared" si="168"/>
        <v/>
      </c>
      <c r="S289" s="64" t="str">
        <f t="shared" si="169"/>
        <v/>
      </c>
      <c r="T289" s="63" t="str">
        <f t="shared" si="170"/>
        <v/>
      </c>
      <c r="U289" s="64" t="str">
        <f t="shared" si="171"/>
        <v/>
      </c>
      <c r="V289" s="207" t="str">
        <f>IF($A290="","",IF(AND(MONTH(A289)&gt;3,MONTH(A289)&lt;11),(T289+R289+G289)*Summary!$T$7/(1-Summary!$T$7),(T289+R289+G289)*Summary!$U$7/(1-Summary!$U$7)))</f>
        <v/>
      </c>
      <c r="W289" s="63" t="str">
        <f t="shared" si="172"/>
        <v/>
      </c>
      <c r="X289" s="63" t="str">
        <f t="shared" si="173"/>
        <v/>
      </c>
      <c r="Y289" s="43"/>
      <c r="Z289" s="38" t="str">
        <f t="shared" si="174"/>
        <v/>
      </c>
      <c r="AA289" s="38" t="str">
        <f t="shared" si="174"/>
        <v/>
      </c>
      <c r="AB289" s="38" t="e">
        <f t="shared" si="152"/>
        <v>#VALUE!</v>
      </c>
      <c r="AC289" s="38" t="str">
        <f t="shared" si="174"/>
        <v/>
      </c>
      <c r="AD289" s="38" t="str">
        <f t="shared" si="174"/>
        <v/>
      </c>
      <c r="AE289" s="38" t="e">
        <f t="shared" si="153"/>
        <v>#VALUE!</v>
      </c>
      <c r="AF289" s="238" t="e">
        <f>((Summary!$N$7*(AA289*AD289)*(A289-$D$3))+(Summary!$M$7*Z289*AC289*(DAY(EOMONTH(A289,0))/2)))/(AK289*AB289*AE289)</f>
        <v>#VALUE!</v>
      </c>
      <c r="AG289" s="88" t="str">
        <f>IF($A290="","",Summary!$Q$7)</f>
        <v/>
      </c>
      <c r="AH289" s="88" t="str">
        <f>IF($A290="","",IF(Summary!$R$7="Y",(VLOOKUP($A289,Summary!$AD$6:$AF$9,3)+'Escalating commodity'!C302),'Escalating commodity'!C302))</f>
        <v/>
      </c>
      <c r="AI289" s="88" t="str">
        <f t="shared" si="175"/>
        <v/>
      </c>
      <c r="AJ289" s="236" t="e">
        <f t="shared" si="154"/>
        <v>#VALUE!</v>
      </c>
      <c r="AK289" s="58" t="str">
        <f t="shared" si="176"/>
        <v/>
      </c>
      <c r="AL289" s="26" t="str">
        <f>IF($A290="","",_xll.SPRDOPT(P289,X289,AI289,0,AB289,AE289,AF289,AK289,$AJ$2,0))</f>
        <v/>
      </c>
      <c r="AM289" s="209" t="str">
        <f t="shared" si="155"/>
        <v/>
      </c>
      <c r="AN289" s="89" t="str">
        <f t="shared" si="177"/>
        <v/>
      </c>
      <c r="AO289" s="3" t="str">
        <f t="shared" si="178"/>
        <v/>
      </c>
      <c r="AP289" s="33" t="str">
        <f t="shared" si="179"/>
        <v/>
      </c>
      <c r="AQ289" s="58" t="str">
        <f t="shared" si="156"/>
        <v/>
      </c>
      <c r="AR289" s="38">
        <f>IF(Summary!$H$2=1,VLOOKUP('ANR OK vs ML7'!A289,Curves!$C$17:$AR$273,MATCH('ANR OK vs ML7'!$AR$4,Curves!$C$8:$AQ$8,0)),0.1)</f>
        <v>0.1</v>
      </c>
      <c r="AS289" s="35" t="str">
        <f t="shared" si="157"/>
        <v/>
      </c>
      <c r="AT289" s="3" t="str">
        <f t="shared" si="180"/>
        <v/>
      </c>
      <c r="AU289" s="3" t="str">
        <f t="shared" si="158"/>
        <v/>
      </c>
      <c r="AW289" s="32" t="str">
        <f t="shared" si="181"/>
        <v/>
      </c>
      <c r="AX289" s="32" t="str">
        <f t="shared" si="182"/>
        <v/>
      </c>
      <c r="AY289" s="32" t="str">
        <f t="shared" si="183"/>
        <v/>
      </c>
      <c r="BA289" s="32" t="str">
        <f>IF($A290="","",F289*Summary!$Q$7)</f>
        <v/>
      </c>
    </row>
    <row r="290" spans="1:53" ht="12" customHeight="1">
      <c r="A290" s="67" t="str">
        <f t="shared" si="159"/>
        <v/>
      </c>
      <c r="B290" s="69" t="str">
        <f t="shared" si="184"/>
        <v/>
      </c>
      <c r="C290" s="71"/>
      <c r="D290" s="69" t="str">
        <f t="shared" si="185"/>
        <v/>
      </c>
      <c r="E290" s="70" t="str">
        <f t="shared" si="150"/>
        <v/>
      </c>
      <c r="F290" s="70" t="str">
        <f t="shared" si="151"/>
        <v/>
      </c>
      <c r="G290" s="63" t="str">
        <f t="shared" si="160"/>
        <v/>
      </c>
      <c r="H290" s="64" t="str">
        <f t="shared" si="161"/>
        <v/>
      </c>
      <c r="I290" s="43"/>
      <c r="J290" s="63" t="str">
        <f t="shared" si="162"/>
        <v/>
      </c>
      <c r="K290" s="64" t="str">
        <f t="shared" si="163"/>
        <v/>
      </c>
      <c r="L290" s="63" t="str">
        <f t="shared" si="164"/>
        <v/>
      </c>
      <c r="M290" s="64" t="str">
        <f t="shared" si="165"/>
        <v/>
      </c>
      <c r="N290" s="65"/>
      <c r="O290" s="63" t="str">
        <f t="shared" si="166"/>
        <v/>
      </c>
      <c r="P290" s="63" t="str">
        <f t="shared" si="167"/>
        <v/>
      </c>
      <c r="Q290" s="66"/>
      <c r="R290" s="63" t="str">
        <f t="shared" si="168"/>
        <v/>
      </c>
      <c r="S290" s="64" t="str">
        <f t="shared" si="169"/>
        <v/>
      </c>
      <c r="T290" s="63" t="str">
        <f t="shared" si="170"/>
        <v/>
      </c>
      <c r="U290" s="64" t="str">
        <f t="shared" si="171"/>
        <v/>
      </c>
      <c r="V290" s="207" t="str">
        <f>IF($A291="","",IF(AND(MONTH(A290)&gt;3,MONTH(A290)&lt;11),(T290+R290+G290)*Summary!$T$7/(1-Summary!$T$7),(T290+R290+G290)*Summary!$U$7/(1-Summary!$U$7)))</f>
        <v/>
      </c>
      <c r="W290" s="63" t="str">
        <f t="shared" si="172"/>
        <v/>
      </c>
      <c r="X290" s="63" t="str">
        <f t="shared" si="173"/>
        <v/>
      </c>
      <c r="Y290" s="43"/>
      <c r="Z290" s="38" t="str">
        <f t="shared" si="174"/>
        <v/>
      </c>
      <c r="AA290" s="38" t="str">
        <f t="shared" si="174"/>
        <v/>
      </c>
      <c r="AB290" s="38" t="e">
        <f t="shared" si="152"/>
        <v>#VALUE!</v>
      </c>
      <c r="AC290" s="38" t="str">
        <f t="shared" si="174"/>
        <v/>
      </c>
      <c r="AD290" s="38" t="str">
        <f t="shared" si="174"/>
        <v/>
      </c>
      <c r="AE290" s="38" t="e">
        <f t="shared" si="153"/>
        <v>#VALUE!</v>
      </c>
      <c r="AF290" s="238" t="e">
        <f>((Summary!$N$7*(AA290*AD290)*(A290-$D$3))+(Summary!$M$7*Z290*AC290*(DAY(EOMONTH(A290,0))/2)))/(AK290*AB290*AE290)</f>
        <v>#VALUE!</v>
      </c>
      <c r="AG290" s="88" t="str">
        <f>IF($A291="","",Summary!$Q$7)</f>
        <v/>
      </c>
      <c r="AH290" s="88" t="str">
        <f>IF($A291="","",IF(Summary!$R$7="Y",(VLOOKUP($A290,Summary!$AD$6:$AF$9,3)+'Escalating commodity'!C303),'Escalating commodity'!C303))</f>
        <v/>
      </c>
      <c r="AI290" s="88" t="str">
        <f t="shared" si="175"/>
        <v/>
      </c>
      <c r="AJ290" s="236" t="e">
        <f t="shared" si="154"/>
        <v>#VALUE!</v>
      </c>
      <c r="AK290" s="58" t="str">
        <f t="shared" si="176"/>
        <v/>
      </c>
      <c r="AL290" s="26" t="str">
        <f>IF($A291="","",_xll.SPRDOPT(P290,X290,AI290,0,AB290,AE290,AF290,AK290,$AJ$2,0))</f>
        <v/>
      </c>
      <c r="AM290" s="209" t="str">
        <f t="shared" si="155"/>
        <v/>
      </c>
      <c r="AN290" s="89" t="str">
        <f t="shared" si="177"/>
        <v/>
      </c>
      <c r="AO290" s="3" t="str">
        <f t="shared" si="178"/>
        <v/>
      </c>
      <c r="AP290" s="33" t="str">
        <f t="shared" si="179"/>
        <v/>
      </c>
      <c r="AQ290" s="58" t="str">
        <f t="shared" si="156"/>
        <v/>
      </c>
      <c r="AR290" s="38">
        <f>IF(Summary!$H$2=1,VLOOKUP('ANR OK vs ML7'!A290,Curves!$C$17:$AR$273,MATCH('ANR OK vs ML7'!$AR$4,Curves!$C$8:$AQ$8,0)),0.1)</f>
        <v>0.1</v>
      </c>
      <c r="AS290" s="35" t="str">
        <f t="shared" si="157"/>
        <v/>
      </c>
      <c r="AT290" s="3" t="str">
        <f t="shared" si="180"/>
        <v/>
      </c>
      <c r="AU290" s="3" t="str">
        <f t="shared" si="158"/>
        <v/>
      </c>
      <c r="AW290" s="32" t="str">
        <f t="shared" si="181"/>
        <v/>
      </c>
      <c r="AX290" s="32" t="str">
        <f t="shared" si="182"/>
        <v/>
      </c>
      <c r="AY290" s="32" t="str">
        <f t="shared" si="183"/>
        <v/>
      </c>
      <c r="BA290" s="32" t="str">
        <f>IF($A291="","",F290*Summary!$Q$7)</f>
        <v/>
      </c>
    </row>
    <row r="291" spans="1:53" ht="12" customHeight="1">
      <c r="A291" s="67" t="str">
        <f t="shared" si="159"/>
        <v/>
      </c>
      <c r="B291" s="69" t="str">
        <f t="shared" si="184"/>
        <v/>
      </c>
      <c r="C291" s="71"/>
      <c r="D291" s="69" t="str">
        <f t="shared" si="185"/>
        <v/>
      </c>
      <c r="E291" s="70" t="str">
        <f t="shared" si="150"/>
        <v/>
      </c>
      <c r="F291" s="70" t="str">
        <f t="shared" si="151"/>
        <v/>
      </c>
      <c r="G291" s="63" t="str">
        <f t="shared" si="160"/>
        <v/>
      </c>
      <c r="H291" s="64" t="str">
        <f t="shared" si="161"/>
        <v/>
      </c>
      <c r="I291" s="43"/>
      <c r="J291" s="63" t="str">
        <f t="shared" si="162"/>
        <v/>
      </c>
      <c r="K291" s="64" t="str">
        <f t="shared" si="163"/>
        <v/>
      </c>
      <c r="L291" s="63" t="str">
        <f t="shared" si="164"/>
        <v/>
      </c>
      <c r="M291" s="64" t="str">
        <f t="shared" si="165"/>
        <v/>
      </c>
      <c r="N291" s="65"/>
      <c r="O291" s="63" t="str">
        <f t="shared" si="166"/>
        <v/>
      </c>
      <c r="P291" s="63" t="str">
        <f t="shared" si="167"/>
        <v/>
      </c>
      <c r="Q291" s="66"/>
      <c r="R291" s="63" t="str">
        <f t="shared" si="168"/>
        <v/>
      </c>
      <c r="S291" s="64" t="str">
        <f t="shared" si="169"/>
        <v/>
      </c>
      <c r="T291" s="63" t="str">
        <f t="shared" si="170"/>
        <v/>
      </c>
      <c r="U291" s="64" t="str">
        <f t="shared" si="171"/>
        <v/>
      </c>
      <c r="V291" s="207" t="str">
        <f>IF($A292="","",IF(AND(MONTH(A291)&gt;3,MONTH(A291)&lt;11),(T291+R291+G291)*Summary!$T$7/(1-Summary!$T$7),(T291+R291+G291)*Summary!$U$7/(1-Summary!$U$7)))</f>
        <v/>
      </c>
      <c r="W291" s="63" t="str">
        <f t="shared" si="172"/>
        <v/>
      </c>
      <c r="X291" s="63" t="str">
        <f t="shared" si="173"/>
        <v/>
      </c>
      <c r="Y291" s="43"/>
      <c r="Z291" s="38" t="str">
        <f t="shared" si="174"/>
        <v/>
      </c>
      <c r="AA291" s="38" t="str">
        <f t="shared" si="174"/>
        <v/>
      </c>
      <c r="AB291" s="38" t="e">
        <f t="shared" si="152"/>
        <v>#VALUE!</v>
      </c>
      <c r="AC291" s="38" t="str">
        <f t="shared" si="174"/>
        <v/>
      </c>
      <c r="AD291" s="38" t="str">
        <f t="shared" si="174"/>
        <v/>
      </c>
      <c r="AE291" s="38" t="e">
        <f t="shared" si="153"/>
        <v>#VALUE!</v>
      </c>
      <c r="AF291" s="238" t="e">
        <f>((Summary!$N$7*(AA291*AD291)*(A291-$D$3))+(Summary!$M$7*Z291*AC291*(DAY(EOMONTH(A291,0))/2)))/(AK291*AB291*AE291)</f>
        <v>#VALUE!</v>
      </c>
      <c r="AG291" s="88" t="str">
        <f>IF($A292="","",Summary!$Q$7)</f>
        <v/>
      </c>
      <c r="AH291" s="88" t="str">
        <f>IF($A292="","",IF(Summary!$R$7="Y",(VLOOKUP($A291,Summary!$AD$6:$AF$9,3)+'Escalating commodity'!C304),'Escalating commodity'!C304))</f>
        <v/>
      </c>
      <c r="AI291" s="88" t="str">
        <f t="shared" si="175"/>
        <v/>
      </c>
      <c r="AJ291" s="236" t="e">
        <f t="shared" si="154"/>
        <v>#VALUE!</v>
      </c>
      <c r="AK291" s="58" t="str">
        <f t="shared" si="176"/>
        <v/>
      </c>
      <c r="AL291" s="26" t="str">
        <f>IF($A292="","",_xll.SPRDOPT(P291,X291,AI291,0,AB291,AE291,AF291,AK291,$AJ$2,0))</f>
        <v/>
      </c>
      <c r="AM291" s="209" t="str">
        <f t="shared" si="155"/>
        <v/>
      </c>
      <c r="AN291" s="89" t="str">
        <f t="shared" si="177"/>
        <v/>
      </c>
      <c r="AO291" s="3" t="str">
        <f t="shared" si="178"/>
        <v/>
      </c>
      <c r="AP291" s="33" t="str">
        <f t="shared" si="179"/>
        <v/>
      </c>
      <c r="AQ291" s="58" t="str">
        <f t="shared" si="156"/>
        <v/>
      </c>
      <c r="AR291" s="38">
        <f>IF(Summary!$H$2=1,VLOOKUP('ANR OK vs ML7'!A291,Curves!$C$17:$AR$273,MATCH('ANR OK vs ML7'!$AR$4,Curves!$C$8:$AQ$8,0)),0.1)</f>
        <v>0.1</v>
      </c>
      <c r="AS291" s="35" t="str">
        <f t="shared" si="157"/>
        <v/>
      </c>
      <c r="AT291" s="3" t="str">
        <f t="shared" si="180"/>
        <v/>
      </c>
      <c r="AU291" s="3" t="str">
        <f t="shared" si="158"/>
        <v/>
      </c>
      <c r="AW291" s="32" t="str">
        <f t="shared" si="181"/>
        <v/>
      </c>
      <c r="AX291" s="32" t="str">
        <f t="shared" si="182"/>
        <v/>
      </c>
      <c r="AY291" s="32" t="str">
        <f t="shared" si="183"/>
        <v/>
      </c>
      <c r="BA291" s="32" t="str">
        <f>IF($A292="","",F291*Summary!$Q$7)</f>
        <v/>
      </c>
    </row>
    <row r="292" spans="1:53" ht="12" customHeight="1">
      <c r="A292" s="67" t="str">
        <f t="shared" si="159"/>
        <v/>
      </c>
      <c r="B292" s="69" t="str">
        <f t="shared" si="184"/>
        <v/>
      </c>
      <c r="C292" s="71"/>
      <c r="D292" s="69" t="str">
        <f t="shared" si="185"/>
        <v/>
      </c>
      <c r="E292" s="70" t="str">
        <f t="shared" si="150"/>
        <v/>
      </c>
      <c r="F292" s="70" t="str">
        <f t="shared" si="151"/>
        <v/>
      </c>
      <c r="G292" s="63" t="str">
        <f t="shared" si="160"/>
        <v/>
      </c>
      <c r="H292" s="64" t="str">
        <f t="shared" si="161"/>
        <v/>
      </c>
      <c r="I292" s="43"/>
      <c r="J292" s="63" t="str">
        <f t="shared" si="162"/>
        <v/>
      </c>
      <c r="K292" s="64" t="str">
        <f t="shared" si="163"/>
        <v/>
      </c>
      <c r="L292" s="63" t="str">
        <f t="shared" si="164"/>
        <v/>
      </c>
      <c r="M292" s="64" t="str">
        <f t="shared" si="165"/>
        <v/>
      </c>
      <c r="N292" s="65"/>
      <c r="O292" s="63" t="str">
        <f t="shared" si="166"/>
        <v/>
      </c>
      <c r="P292" s="63" t="str">
        <f t="shared" si="167"/>
        <v/>
      </c>
      <c r="Q292" s="66"/>
      <c r="R292" s="63" t="str">
        <f t="shared" si="168"/>
        <v/>
      </c>
      <c r="S292" s="64" t="str">
        <f t="shared" si="169"/>
        <v/>
      </c>
      <c r="T292" s="63" t="str">
        <f t="shared" si="170"/>
        <v/>
      </c>
      <c r="U292" s="64" t="str">
        <f t="shared" si="171"/>
        <v/>
      </c>
      <c r="V292" s="207" t="str">
        <f>IF($A293="","",IF(AND(MONTH(A292)&gt;3,MONTH(A292)&lt;11),(T292+R292+G292)*Summary!$T$7/(1-Summary!$T$7),(T292+R292+G292)*Summary!$U$7/(1-Summary!$U$7)))</f>
        <v/>
      </c>
      <c r="W292" s="63" t="str">
        <f t="shared" si="172"/>
        <v/>
      </c>
      <c r="X292" s="63" t="str">
        <f t="shared" si="173"/>
        <v/>
      </c>
      <c r="Y292" s="43"/>
      <c r="Z292" s="38" t="str">
        <f t="shared" si="174"/>
        <v/>
      </c>
      <c r="AA292" s="38" t="str">
        <f t="shared" si="174"/>
        <v/>
      </c>
      <c r="AB292" s="38" t="e">
        <f t="shared" si="152"/>
        <v>#VALUE!</v>
      </c>
      <c r="AC292" s="38" t="str">
        <f t="shared" si="174"/>
        <v/>
      </c>
      <c r="AD292" s="38" t="str">
        <f t="shared" si="174"/>
        <v/>
      </c>
      <c r="AE292" s="38" t="e">
        <f t="shared" si="153"/>
        <v>#VALUE!</v>
      </c>
      <c r="AF292" s="238" t="e">
        <f>((Summary!$N$7*(AA292*AD292)*(A292-$D$3))+(Summary!$M$7*Z292*AC292*(DAY(EOMONTH(A292,0))/2)))/(AK292*AB292*AE292)</f>
        <v>#VALUE!</v>
      </c>
      <c r="AG292" s="88" t="str">
        <f>IF($A293="","",Summary!$Q$7)</f>
        <v/>
      </c>
      <c r="AH292" s="88" t="str">
        <f>IF($A293="","",IF(Summary!$R$7="Y",(VLOOKUP($A292,Summary!$AD$6:$AF$9,3)+'Escalating commodity'!C305),'Escalating commodity'!C305))</f>
        <v/>
      </c>
      <c r="AI292" s="88" t="str">
        <f t="shared" si="175"/>
        <v/>
      </c>
      <c r="AJ292" s="236" t="e">
        <f t="shared" si="154"/>
        <v>#VALUE!</v>
      </c>
      <c r="AK292" s="58" t="str">
        <f t="shared" si="176"/>
        <v/>
      </c>
      <c r="AL292" s="26" t="str">
        <f>IF($A293="","",_xll.SPRDOPT(P292,X292,AI292,0,AB292,AE292,AF292,AK292,$AJ$2,0))</f>
        <v/>
      </c>
      <c r="AM292" s="209" t="str">
        <f t="shared" si="155"/>
        <v/>
      </c>
      <c r="AN292" s="89" t="str">
        <f t="shared" si="177"/>
        <v/>
      </c>
      <c r="AO292" s="3" t="str">
        <f t="shared" si="178"/>
        <v/>
      </c>
      <c r="AP292" s="33" t="str">
        <f t="shared" si="179"/>
        <v/>
      </c>
      <c r="AQ292" s="58" t="str">
        <f t="shared" si="156"/>
        <v/>
      </c>
      <c r="AR292" s="38">
        <f>IF(Summary!$H$2=1,VLOOKUP('ANR OK vs ML7'!A292,Curves!$C$17:$AR$273,MATCH('ANR OK vs ML7'!$AR$4,Curves!$C$8:$AQ$8,0)),0.1)</f>
        <v>0.1</v>
      </c>
      <c r="AS292" s="35" t="str">
        <f t="shared" si="157"/>
        <v/>
      </c>
      <c r="AT292" s="3" t="str">
        <f t="shared" si="180"/>
        <v/>
      </c>
      <c r="AU292" s="3" t="str">
        <f t="shared" si="158"/>
        <v/>
      </c>
      <c r="AW292" s="32" t="str">
        <f t="shared" si="181"/>
        <v/>
      </c>
      <c r="AX292" s="32" t="str">
        <f t="shared" si="182"/>
        <v/>
      </c>
      <c r="AY292" s="32" t="str">
        <f t="shared" si="183"/>
        <v/>
      </c>
      <c r="BA292" s="32" t="str">
        <f>IF($A293="","",F292*Summary!$Q$7)</f>
        <v/>
      </c>
    </row>
    <row r="293" spans="1:53" ht="12" customHeight="1">
      <c r="A293" s="67" t="str">
        <f t="shared" si="159"/>
        <v/>
      </c>
      <c r="B293" s="69" t="str">
        <f t="shared" si="184"/>
        <v/>
      </c>
      <c r="C293" s="71"/>
      <c r="D293" s="69" t="str">
        <f t="shared" si="185"/>
        <v/>
      </c>
      <c r="E293" s="70" t="str">
        <f t="shared" si="150"/>
        <v/>
      </c>
      <c r="F293" s="70" t="str">
        <f t="shared" si="151"/>
        <v/>
      </c>
      <c r="G293" s="63" t="str">
        <f t="shared" si="160"/>
        <v/>
      </c>
      <c r="H293" s="64" t="str">
        <f t="shared" si="161"/>
        <v/>
      </c>
      <c r="I293" s="43"/>
      <c r="J293" s="63" t="str">
        <f t="shared" si="162"/>
        <v/>
      </c>
      <c r="K293" s="64" t="str">
        <f t="shared" si="163"/>
        <v/>
      </c>
      <c r="L293" s="63" t="str">
        <f t="shared" si="164"/>
        <v/>
      </c>
      <c r="M293" s="64" t="str">
        <f t="shared" si="165"/>
        <v/>
      </c>
      <c r="N293" s="65"/>
      <c r="O293" s="63" t="str">
        <f t="shared" si="166"/>
        <v/>
      </c>
      <c r="P293" s="63" t="str">
        <f t="shared" si="167"/>
        <v/>
      </c>
      <c r="Q293" s="66"/>
      <c r="R293" s="63" t="str">
        <f t="shared" si="168"/>
        <v/>
      </c>
      <c r="S293" s="64" t="str">
        <f t="shared" si="169"/>
        <v/>
      </c>
      <c r="T293" s="63" t="str">
        <f t="shared" si="170"/>
        <v/>
      </c>
      <c r="U293" s="64" t="str">
        <f t="shared" si="171"/>
        <v/>
      </c>
      <c r="V293" s="207" t="str">
        <f>IF($A294="","",IF(AND(MONTH(A293)&gt;3,MONTH(A293)&lt;11),(T293+R293+G293)*Summary!$T$7/(1-Summary!$T$7),(T293+R293+G293)*Summary!$U$7/(1-Summary!$U$7)))</f>
        <v/>
      </c>
      <c r="W293" s="63" t="str">
        <f t="shared" si="172"/>
        <v/>
      </c>
      <c r="X293" s="63" t="str">
        <f t="shared" si="173"/>
        <v/>
      </c>
      <c r="Y293" s="43"/>
      <c r="Z293" s="38" t="str">
        <f t="shared" si="174"/>
        <v/>
      </c>
      <c r="AA293" s="38" t="str">
        <f t="shared" si="174"/>
        <v/>
      </c>
      <c r="AB293" s="38" t="e">
        <f t="shared" si="152"/>
        <v>#VALUE!</v>
      </c>
      <c r="AC293" s="38" t="str">
        <f t="shared" si="174"/>
        <v/>
      </c>
      <c r="AD293" s="38" t="str">
        <f t="shared" si="174"/>
        <v/>
      </c>
      <c r="AE293" s="38" t="e">
        <f t="shared" si="153"/>
        <v>#VALUE!</v>
      </c>
      <c r="AF293" s="238" t="e">
        <f>((Summary!$N$7*(AA293*AD293)*(A293-$D$3))+(Summary!$M$7*Z293*AC293*(DAY(EOMONTH(A293,0))/2)))/(AK293*AB293*AE293)</f>
        <v>#VALUE!</v>
      </c>
      <c r="AG293" s="88" t="str">
        <f>IF($A294="","",Summary!$Q$7)</f>
        <v/>
      </c>
      <c r="AH293" s="88" t="str">
        <f>IF($A294="","",IF(Summary!$R$7="Y",(VLOOKUP($A293,Summary!$AD$6:$AF$9,3)+'Escalating commodity'!C306),'Escalating commodity'!C306))</f>
        <v/>
      </c>
      <c r="AI293" s="88" t="str">
        <f t="shared" si="175"/>
        <v/>
      </c>
      <c r="AJ293" s="236" t="e">
        <f t="shared" si="154"/>
        <v>#VALUE!</v>
      </c>
      <c r="AK293" s="58" t="str">
        <f t="shared" si="176"/>
        <v/>
      </c>
      <c r="AL293" s="26" t="str">
        <f>IF($A294="","",_xll.SPRDOPT(P293,X293,AI293,0,AB293,AE293,AF293,AK293,$AJ$2,0))</f>
        <v/>
      </c>
      <c r="AM293" s="209" t="str">
        <f t="shared" si="155"/>
        <v/>
      </c>
      <c r="AN293" s="89" t="str">
        <f t="shared" si="177"/>
        <v/>
      </c>
      <c r="AO293" s="3" t="str">
        <f t="shared" si="178"/>
        <v/>
      </c>
      <c r="AP293" s="33" t="str">
        <f t="shared" si="179"/>
        <v/>
      </c>
      <c r="AQ293" s="58" t="str">
        <f t="shared" si="156"/>
        <v/>
      </c>
      <c r="AR293" s="38">
        <f>IF(Summary!$H$2=1,VLOOKUP('ANR OK vs ML7'!A293,Curves!$C$17:$AR$273,MATCH('ANR OK vs ML7'!$AR$4,Curves!$C$8:$AQ$8,0)),0.1)</f>
        <v>0.1</v>
      </c>
      <c r="AS293" s="35" t="str">
        <f t="shared" si="157"/>
        <v/>
      </c>
      <c r="AT293" s="3" t="str">
        <f t="shared" si="180"/>
        <v/>
      </c>
      <c r="AU293" s="3" t="str">
        <f t="shared" si="158"/>
        <v/>
      </c>
      <c r="AW293" s="32" t="str">
        <f t="shared" si="181"/>
        <v/>
      </c>
      <c r="AX293" s="32" t="str">
        <f t="shared" si="182"/>
        <v/>
      </c>
      <c r="AY293" s="32" t="str">
        <f t="shared" si="183"/>
        <v/>
      </c>
      <c r="BA293" s="32" t="str">
        <f>IF($A294="","",F293*Summary!$Q$7)</f>
        <v/>
      </c>
    </row>
    <row r="294" spans="1:53" ht="12" customHeight="1">
      <c r="A294" s="67" t="str">
        <f t="shared" si="159"/>
        <v/>
      </c>
      <c r="B294" s="69" t="str">
        <f t="shared" si="184"/>
        <v/>
      </c>
      <c r="C294" s="71"/>
      <c r="D294" s="69" t="str">
        <f t="shared" si="185"/>
        <v/>
      </c>
      <c r="E294" s="70" t="str">
        <f t="shared" si="150"/>
        <v/>
      </c>
      <c r="F294" s="70" t="str">
        <f t="shared" si="151"/>
        <v/>
      </c>
      <c r="G294" s="63" t="str">
        <f t="shared" si="160"/>
        <v/>
      </c>
      <c r="H294" s="64" t="str">
        <f t="shared" si="161"/>
        <v/>
      </c>
      <c r="I294" s="43"/>
      <c r="J294" s="63" t="str">
        <f t="shared" si="162"/>
        <v/>
      </c>
      <c r="K294" s="64" t="str">
        <f t="shared" si="163"/>
        <v/>
      </c>
      <c r="L294" s="63" t="str">
        <f t="shared" si="164"/>
        <v/>
      </c>
      <c r="M294" s="64" t="str">
        <f t="shared" si="165"/>
        <v/>
      </c>
      <c r="N294" s="65"/>
      <c r="O294" s="63" t="str">
        <f t="shared" si="166"/>
        <v/>
      </c>
      <c r="P294" s="63" t="str">
        <f t="shared" si="167"/>
        <v/>
      </c>
      <c r="Q294" s="66"/>
      <c r="R294" s="63" t="str">
        <f t="shared" si="168"/>
        <v/>
      </c>
      <c r="S294" s="64" t="str">
        <f t="shared" si="169"/>
        <v/>
      </c>
      <c r="T294" s="63" t="str">
        <f t="shared" si="170"/>
        <v/>
      </c>
      <c r="U294" s="64" t="str">
        <f t="shared" si="171"/>
        <v/>
      </c>
      <c r="V294" s="207" t="str">
        <f>IF($A295="","",IF(AND(MONTH(A294)&gt;3,MONTH(A294)&lt;11),(T294+R294+G294)*Summary!$T$7/(1-Summary!$T$7),(T294+R294+G294)*Summary!$U$7/(1-Summary!$U$7)))</f>
        <v/>
      </c>
      <c r="W294" s="63" t="str">
        <f t="shared" si="172"/>
        <v/>
      </c>
      <c r="X294" s="63" t="str">
        <f t="shared" si="173"/>
        <v/>
      </c>
      <c r="Y294" s="43"/>
      <c r="Z294" s="38" t="str">
        <f t="shared" si="174"/>
        <v/>
      </c>
      <c r="AA294" s="38" t="str">
        <f t="shared" si="174"/>
        <v/>
      </c>
      <c r="AB294" s="38" t="e">
        <f t="shared" si="152"/>
        <v>#VALUE!</v>
      </c>
      <c r="AC294" s="38" t="str">
        <f t="shared" si="174"/>
        <v/>
      </c>
      <c r="AD294" s="38" t="str">
        <f t="shared" si="174"/>
        <v/>
      </c>
      <c r="AE294" s="38" t="e">
        <f t="shared" si="153"/>
        <v>#VALUE!</v>
      </c>
      <c r="AF294" s="238" t="e">
        <f>((Summary!$N$7*(AA294*AD294)*(A294-$D$3))+(Summary!$M$7*Z294*AC294*(DAY(EOMONTH(A294,0))/2)))/(AK294*AB294*AE294)</f>
        <v>#VALUE!</v>
      </c>
      <c r="AG294" s="88" t="str">
        <f>IF($A295="","",Summary!$Q$7)</f>
        <v/>
      </c>
      <c r="AH294" s="88" t="str">
        <f>IF($A295="","",IF(Summary!$R$7="Y",(VLOOKUP($A294,Summary!$AD$6:$AF$9,3)+'Escalating commodity'!C307),'Escalating commodity'!C307))</f>
        <v/>
      </c>
      <c r="AI294" s="88" t="str">
        <f t="shared" si="175"/>
        <v/>
      </c>
      <c r="AJ294" s="236" t="e">
        <f t="shared" si="154"/>
        <v>#VALUE!</v>
      </c>
      <c r="AK294" s="58" t="str">
        <f t="shared" si="176"/>
        <v/>
      </c>
      <c r="AL294" s="26" t="str">
        <f>IF($A295="","",_xll.SPRDOPT(P294,X294,AI294,0,AB294,AE294,AF294,AK294,$AJ$2,0))</f>
        <v/>
      </c>
      <c r="AM294" s="209" t="str">
        <f t="shared" si="155"/>
        <v/>
      </c>
      <c r="AN294" s="89" t="str">
        <f t="shared" si="177"/>
        <v/>
      </c>
      <c r="AO294" s="3" t="str">
        <f t="shared" si="178"/>
        <v/>
      </c>
      <c r="AP294" s="33" t="str">
        <f t="shared" si="179"/>
        <v/>
      </c>
      <c r="AQ294" s="58" t="str">
        <f t="shared" si="156"/>
        <v/>
      </c>
      <c r="AR294" s="38">
        <f>IF(Summary!$H$2=1,VLOOKUP('ANR OK vs ML7'!A294,Curves!$C$17:$AR$273,MATCH('ANR OK vs ML7'!$AR$4,Curves!$C$8:$AQ$8,0)),0.1)</f>
        <v>0.1</v>
      </c>
      <c r="AS294" s="35" t="str">
        <f t="shared" si="157"/>
        <v/>
      </c>
      <c r="AT294" s="3" t="str">
        <f t="shared" si="180"/>
        <v/>
      </c>
      <c r="AU294" s="3" t="str">
        <f t="shared" si="158"/>
        <v/>
      </c>
      <c r="AW294" s="32" t="str">
        <f t="shared" si="181"/>
        <v/>
      </c>
      <c r="AX294" s="32" t="str">
        <f t="shared" si="182"/>
        <v/>
      </c>
      <c r="AY294" s="32" t="str">
        <f t="shared" si="183"/>
        <v/>
      </c>
      <c r="BA294" s="32" t="str">
        <f>IF($A295="","",F294*Summary!$Q$7)</f>
        <v/>
      </c>
    </row>
    <row r="295" spans="1:53" ht="12" customHeight="1">
      <c r="A295" s="67" t="str">
        <f t="shared" si="159"/>
        <v/>
      </c>
      <c r="B295" s="69" t="str">
        <f t="shared" si="184"/>
        <v/>
      </c>
      <c r="C295" s="71"/>
      <c r="D295" s="69" t="str">
        <f t="shared" si="185"/>
        <v/>
      </c>
      <c r="E295" s="70" t="str">
        <f t="shared" si="150"/>
        <v/>
      </c>
      <c r="F295" s="70" t="str">
        <f t="shared" si="151"/>
        <v/>
      </c>
      <c r="G295" s="63" t="str">
        <f t="shared" si="160"/>
        <v/>
      </c>
      <c r="H295" s="64" t="str">
        <f t="shared" si="161"/>
        <v/>
      </c>
      <c r="I295" s="43"/>
      <c r="J295" s="63" t="str">
        <f t="shared" si="162"/>
        <v/>
      </c>
      <c r="K295" s="64" t="str">
        <f t="shared" si="163"/>
        <v/>
      </c>
      <c r="L295" s="63" t="str">
        <f t="shared" si="164"/>
        <v/>
      </c>
      <c r="M295" s="64" t="str">
        <f t="shared" si="165"/>
        <v/>
      </c>
      <c r="N295" s="65"/>
      <c r="O295" s="63" t="str">
        <f t="shared" si="166"/>
        <v/>
      </c>
      <c r="P295" s="63" t="str">
        <f t="shared" si="167"/>
        <v/>
      </c>
      <c r="Q295" s="66"/>
      <c r="R295" s="63" t="str">
        <f t="shared" si="168"/>
        <v/>
      </c>
      <c r="S295" s="64" t="str">
        <f t="shared" si="169"/>
        <v/>
      </c>
      <c r="T295" s="63" t="str">
        <f t="shared" si="170"/>
        <v/>
      </c>
      <c r="U295" s="64" t="str">
        <f t="shared" si="171"/>
        <v/>
      </c>
      <c r="V295" s="207" t="str">
        <f>IF($A296="","",IF(AND(MONTH(A295)&gt;3,MONTH(A295)&lt;11),(T295+R295+G295)*Summary!$T$7/(1-Summary!$T$7),(T295+R295+G295)*Summary!$U$7/(1-Summary!$U$7)))</f>
        <v/>
      </c>
      <c r="W295" s="63" t="str">
        <f t="shared" si="172"/>
        <v/>
      </c>
      <c r="X295" s="63" t="str">
        <f t="shared" si="173"/>
        <v/>
      </c>
      <c r="Y295" s="43"/>
      <c r="Z295" s="38" t="str">
        <f t="shared" si="174"/>
        <v/>
      </c>
      <c r="AA295" s="38" t="str">
        <f t="shared" si="174"/>
        <v/>
      </c>
      <c r="AB295" s="38" t="e">
        <f t="shared" si="152"/>
        <v>#VALUE!</v>
      </c>
      <c r="AC295" s="38" t="str">
        <f t="shared" si="174"/>
        <v/>
      </c>
      <c r="AD295" s="38" t="str">
        <f t="shared" si="174"/>
        <v/>
      </c>
      <c r="AE295" s="38" t="e">
        <f t="shared" si="153"/>
        <v>#VALUE!</v>
      </c>
      <c r="AF295" s="238" t="e">
        <f>((Summary!$N$7*(AA295*AD295)*(A295-$D$3))+(Summary!$M$7*Z295*AC295*(DAY(EOMONTH(A295,0))/2)))/(AK295*AB295*AE295)</f>
        <v>#VALUE!</v>
      </c>
      <c r="AG295" s="88" t="str">
        <f>IF($A296="","",Summary!$Q$7)</f>
        <v/>
      </c>
      <c r="AH295" s="88" t="str">
        <f>IF($A296="","",IF(Summary!$R$7="Y",(VLOOKUP($A295,Summary!$AD$6:$AF$9,3)+'Escalating commodity'!C308),'Escalating commodity'!C308))</f>
        <v/>
      </c>
      <c r="AI295" s="88" t="str">
        <f t="shared" si="175"/>
        <v/>
      </c>
      <c r="AJ295" s="236" t="e">
        <f t="shared" si="154"/>
        <v>#VALUE!</v>
      </c>
      <c r="AK295" s="58" t="str">
        <f t="shared" si="176"/>
        <v/>
      </c>
      <c r="AL295" s="26" t="str">
        <f>IF($A296="","",_xll.SPRDOPT(P295,X295,AI295,0,AB295,AE295,AF295,AK295,$AJ$2,0))</f>
        <v/>
      </c>
      <c r="AM295" s="209" t="str">
        <f t="shared" si="155"/>
        <v/>
      </c>
      <c r="AN295" s="89" t="str">
        <f t="shared" si="177"/>
        <v/>
      </c>
      <c r="AO295" s="3" t="str">
        <f t="shared" si="178"/>
        <v/>
      </c>
      <c r="AP295" s="33" t="str">
        <f t="shared" si="179"/>
        <v/>
      </c>
      <c r="AQ295" s="58" t="str">
        <f t="shared" si="156"/>
        <v/>
      </c>
      <c r="AR295" s="38">
        <f>IF(Summary!$H$2=1,VLOOKUP('ANR OK vs ML7'!A295,Curves!$C$17:$AR$273,MATCH('ANR OK vs ML7'!$AR$4,Curves!$C$8:$AQ$8,0)),0.1)</f>
        <v>0.1</v>
      </c>
      <c r="AS295" s="35" t="str">
        <f t="shared" si="157"/>
        <v/>
      </c>
      <c r="AT295" s="3" t="str">
        <f t="shared" si="180"/>
        <v/>
      </c>
      <c r="AU295" s="3" t="str">
        <f t="shared" si="158"/>
        <v/>
      </c>
      <c r="AW295" s="32" t="str">
        <f t="shared" si="181"/>
        <v/>
      </c>
      <c r="AX295" s="32" t="str">
        <f t="shared" si="182"/>
        <v/>
      </c>
      <c r="AY295" s="32" t="str">
        <f t="shared" si="183"/>
        <v/>
      </c>
      <c r="BA295" s="32" t="str">
        <f>IF($A296="","",F295*Summary!$Q$7)</f>
        <v/>
      </c>
    </row>
    <row r="296" spans="1:53" ht="12" customHeight="1">
      <c r="A296" s="67" t="str">
        <f t="shared" si="159"/>
        <v/>
      </c>
      <c r="B296" s="69" t="str">
        <f t="shared" si="184"/>
        <v/>
      </c>
      <c r="C296" s="71"/>
      <c r="D296" s="69" t="str">
        <f t="shared" si="185"/>
        <v/>
      </c>
      <c r="E296" s="70" t="str">
        <f t="shared" si="150"/>
        <v/>
      </c>
      <c r="F296" s="70" t="str">
        <f t="shared" si="151"/>
        <v/>
      </c>
      <c r="G296" s="63" t="str">
        <f t="shared" si="160"/>
        <v/>
      </c>
      <c r="H296" s="64" t="str">
        <f t="shared" si="161"/>
        <v/>
      </c>
      <c r="I296" s="43"/>
      <c r="J296" s="63" t="str">
        <f t="shared" si="162"/>
        <v/>
      </c>
      <c r="K296" s="64" t="str">
        <f t="shared" si="163"/>
        <v/>
      </c>
      <c r="L296" s="63" t="str">
        <f t="shared" si="164"/>
        <v/>
      </c>
      <c r="M296" s="64" t="str">
        <f t="shared" si="165"/>
        <v/>
      </c>
      <c r="N296" s="65"/>
      <c r="O296" s="63" t="str">
        <f t="shared" si="166"/>
        <v/>
      </c>
      <c r="P296" s="63" t="str">
        <f t="shared" si="167"/>
        <v/>
      </c>
      <c r="Q296" s="66"/>
      <c r="R296" s="63" t="str">
        <f t="shared" si="168"/>
        <v/>
      </c>
      <c r="S296" s="64" t="str">
        <f t="shared" si="169"/>
        <v/>
      </c>
      <c r="T296" s="63" t="str">
        <f t="shared" si="170"/>
        <v/>
      </c>
      <c r="U296" s="64" t="str">
        <f t="shared" si="171"/>
        <v/>
      </c>
      <c r="V296" s="207" t="str">
        <f>IF($A297="","",IF(AND(MONTH(A296)&gt;3,MONTH(A296)&lt;11),(T296+R296+G296)*Summary!$T$7/(1-Summary!$T$7),(T296+R296+G296)*Summary!$U$7/(1-Summary!$U$7)))</f>
        <v/>
      </c>
      <c r="W296" s="63" t="str">
        <f t="shared" si="172"/>
        <v/>
      </c>
      <c r="X296" s="63" t="str">
        <f t="shared" si="173"/>
        <v/>
      </c>
      <c r="Y296" s="43"/>
      <c r="Z296" s="38" t="str">
        <f t="shared" si="174"/>
        <v/>
      </c>
      <c r="AA296" s="38" t="str">
        <f t="shared" si="174"/>
        <v/>
      </c>
      <c r="AB296" s="38" t="e">
        <f t="shared" si="152"/>
        <v>#VALUE!</v>
      </c>
      <c r="AC296" s="38" t="str">
        <f t="shared" si="174"/>
        <v/>
      </c>
      <c r="AD296" s="38" t="str">
        <f t="shared" si="174"/>
        <v/>
      </c>
      <c r="AE296" s="38" t="e">
        <f t="shared" si="153"/>
        <v>#VALUE!</v>
      </c>
      <c r="AF296" s="238" t="e">
        <f>((Summary!$N$7*(AA296*AD296)*(A296-$D$3))+(Summary!$M$7*Z296*AC296*(DAY(EOMONTH(A296,0))/2)))/(AK296*AB296*AE296)</f>
        <v>#VALUE!</v>
      </c>
      <c r="AG296" s="88" t="str">
        <f>IF($A297="","",Summary!$Q$7)</f>
        <v/>
      </c>
      <c r="AH296" s="88" t="str">
        <f>IF($A297="","",IF(Summary!$R$7="Y",(VLOOKUP($A296,Summary!$AD$6:$AF$9,3)+'Escalating commodity'!C309),'Escalating commodity'!C309))</f>
        <v/>
      </c>
      <c r="AI296" s="88" t="str">
        <f t="shared" si="175"/>
        <v/>
      </c>
      <c r="AJ296" s="236" t="e">
        <f t="shared" si="154"/>
        <v>#VALUE!</v>
      </c>
      <c r="AK296" s="58" t="str">
        <f t="shared" si="176"/>
        <v/>
      </c>
      <c r="AL296" s="26" t="str">
        <f>IF($A297="","",_xll.SPRDOPT(P296,X296,AI296,0,AB296,AE296,AF296,AK296,$AJ$2,0))</f>
        <v/>
      </c>
      <c r="AM296" s="209" t="str">
        <f t="shared" si="155"/>
        <v/>
      </c>
      <c r="AN296" s="89" t="str">
        <f t="shared" si="177"/>
        <v/>
      </c>
      <c r="AO296" s="3" t="str">
        <f t="shared" si="178"/>
        <v/>
      </c>
      <c r="AP296" s="33" t="str">
        <f t="shared" si="179"/>
        <v/>
      </c>
      <c r="AQ296" s="58" t="str">
        <f t="shared" si="156"/>
        <v/>
      </c>
      <c r="AR296" s="38">
        <f>IF(Summary!$H$2=1,VLOOKUP('ANR OK vs ML7'!A296,Curves!$C$17:$AR$273,MATCH('ANR OK vs ML7'!$AR$4,Curves!$C$8:$AQ$8,0)),0.1)</f>
        <v>0.1</v>
      </c>
      <c r="AS296" s="35" t="str">
        <f t="shared" si="157"/>
        <v/>
      </c>
      <c r="AT296" s="3" t="str">
        <f t="shared" si="180"/>
        <v/>
      </c>
      <c r="AU296" s="3" t="str">
        <f t="shared" si="158"/>
        <v/>
      </c>
      <c r="AW296" s="32" t="str">
        <f t="shared" si="181"/>
        <v/>
      </c>
      <c r="AX296" s="32" t="str">
        <f t="shared" si="182"/>
        <v/>
      </c>
      <c r="AY296" s="32" t="str">
        <f t="shared" si="183"/>
        <v/>
      </c>
      <c r="BA296" s="32" t="str">
        <f>IF($A297="","",F296*Summary!$Q$7)</f>
        <v/>
      </c>
    </row>
    <row r="297" spans="1:53" ht="12" customHeight="1">
      <c r="A297" s="67" t="str">
        <f t="shared" si="159"/>
        <v/>
      </c>
      <c r="B297" s="69" t="str">
        <f t="shared" si="184"/>
        <v/>
      </c>
      <c r="C297" s="71"/>
      <c r="D297" s="69" t="str">
        <f t="shared" si="185"/>
        <v/>
      </c>
      <c r="E297" s="70" t="str">
        <f t="shared" si="150"/>
        <v/>
      </c>
      <c r="F297" s="70" t="str">
        <f t="shared" si="151"/>
        <v/>
      </c>
      <c r="G297" s="63" t="str">
        <f t="shared" si="160"/>
        <v/>
      </c>
      <c r="H297" s="64" t="str">
        <f t="shared" si="161"/>
        <v/>
      </c>
      <c r="I297" s="43"/>
      <c r="J297" s="63" t="str">
        <f t="shared" si="162"/>
        <v/>
      </c>
      <c r="K297" s="64" t="str">
        <f t="shared" si="163"/>
        <v/>
      </c>
      <c r="L297" s="63" t="str">
        <f t="shared" si="164"/>
        <v/>
      </c>
      <c r="M297" s="64" t="str">
        <f t="shared" si="165"/>
        <v/>
      </c>
      <c r="N297" s="65"/>
      <c r="O297" s="63" t="str">
        <f t="shared" si="166"/>
        <v/>
      </c>
      <c r="P297" s="63" t="str">
        <f t="shared" si="167"/>
        <v/>
      </c>
      <c r="Q297" s="66"/>
      <c r="R297" s="63" t="str">
        <f t="shared" si="168"/>
        <v/>
      </c>
      <c r="S297" s="64" t="str">
        <f t="shared" si="169"/>
        <v/>
      </c>
      <c r="T297" s="63" t="str">
        <f t="shared" si="170"/>
        <v/>
      </c>
      <c r="U297" s="64" t="str">
        <f t="shared" si="171"/>
        <v/>
      </c>
      <c r="V297" s="207" t="str">
        <f>IF($A298="","",IF(AND(MONTH(A297)&gt;3,MONTH(A297)&lt;11),(T297+R297+G297)*Summary!$T$7/(1-Summary!$T$7),(T297+R297+G297)*Summary!$U$7/(1-Summary!$U$7)))</f>
        <v/>
      </c>
      <c r="W297" s="63" t="str">
        <f t="shared" si="172"/>
        <v/>
      </c>
      <c r="X297" s="63" t="str">
        <f t="shared" si="173"/>
        <v/>
      </c>
      <c r="Y297" s="43"/>
      <c r="Z297" s="38" t="str">
        <f t="shared" si="174"/>
        <v/>
      </c>
      <c r="AA297" s="38" t="str">
        <f t="shared" si="174"/>
        <v/>
      </c>
      <c r="AB297" s="38" t="e">
        <f t="shared" si="152"/>
        <v>#VALUE!</v>
      </c>
      <c r="AC297" s="38" t="str">
        <f t="shared" si="174"/>
        <v/>
      </c>
      <c r="AD297" s="38" t="str">
        <f t="shared" si="174"/>
        <v/>
      </c>
      <c r="AE297" s="38" t="e">
        <f t="shared" si="153"/>
        <v>#VALUE!</v>
      </c>
      <c r="AF297" s="238" t="e">
        <f>((Summary!$N$7*(AA297*AD297)*(A297-$D$3))+(Summary!$M$7*Z297*AC297*(DAY(EOMONTH(A297,0))/2)))/(AK297*AB297*AE297)</f>
        <v>#VALUE!</v>
      </c>
      <c r="AG297" s="88" t="str">
        <f>IF($A298="","",Summary!$Q$7)</f>
        <v/>
      </c>
      <c r="AH297" s="88" t="str">
        <f>IF($A298="","",IF(Summary!$R$7="Y",(VLOOKUP($A297,Summary!$AD$6:$AF$9,3)+'Escalating commodity'!C310),'Escalating commodity'!C310))</f>
        <v/>
      </c>
      <c r="AI297" s="88" t="str">
        <f t="shared" si="175"/>
        <v/>
      </c>
      <c r="AJ297" s="236" t="e">
        <f t="shared" si="154"/>
        <v>#VALUE!</v>
      </c>
      <c r="AK297" s="58" t="str">
        <f t="shared" si="176"/>
        <v/>
      </c>
      <c r="AL297" s="26" t="str">
        <f>IF($A298="","",_xll.SPRDOPT(P297,X297,AI297,0,AB297,AE297,AF297,AK297,$AJ$2,0))</f>
        <v/>
      </c>
      <c r="AM297" s="209" t="str">
        <f t="shared" si="155"/>
        <v/>
      </c>
      <c r="AN297" s="89" t="str">
        <f t="shared" si="177"/>
        <v/>
      </c>
      <c r="AO297" s="3" t="str">
        <f t="shared" si="178"/>
        <v/>
      </c>
      <c r="AP297" s="33" t="str">
        <f t="shared" si="179"/>
        <v/>
      </c>
      <c r="AQ297" s="58" t="str">
        <f t="shared" si="156"/>
        <v/>
      </c>
      <c r="AR297" s="38">
        <f>IF(Summary!$H$2=1,VLOOKUP('ANR OK vs ML7'!A297,Curves!$C$17:$AR$273,MATCH('ANR OK vs ML7'!$AR$4,Curves!$C$8:$AQ$8,0)),0.1)</f>
        <v>0.1</v>
      </c>
      <c r="AS297" s="35" t="str">
        <f t="shared" si="157"/>
        <v/>
      </c>
      <c r="AT297" s="3" t="str">
        <f t="shared" si="180"/>
        <v/>
      </c>
      <c r="AU297" s="3" t="str">
        <f t="shared" si="158"/>
        <v/>
      </c>
      <c r="AW297" s="32" t="str">
        <f t="shared" si="181"/>
        <v/>
      </c>
      <c r="AX297" s="32" t="str">
        <f t="shared" si="182"/>
        <v/>
      </c>
      <c r="AY297" s="32" t="str">
        <f t="shared" si="183"/>
        <v/>
      </c>
      <c r="BA297" s="32" t="str">
        <f>IF($A298="","",F297*Summary!$Q$7)</f>
        <v/>
      </c>
    </row>
    <row r="298" spans="1:53" ht="12" customHeight="1">
      <c r="A298" s="67" t="str">
        <f t="shared" si="159"/>
        <v/>
      </c>
      <c r="B298" s="69" t="str">
        <f t="shared" si="184"/>
        <v/>
      </c>
      <c r="C298" s="71"/>
      <c r="D298" s="69" t="str">
        <f t="shared" si="185"/>
        <v/>
      </c>
      <c r="E298" s="70" t="str">
        <f t="shared" si="150"/>
        <v/>
      </c>
      <c r="F298" s="70" t="str">
        <f t="shared" si="151"/>
        <v/>
      </c>
      <c r="G298" s="63" t="str">
        <f t="shared" si="160"/>
        <v/>
      </c>
      <c r="H298" s="64" t="str">
        <f t="shared" si="161"/>
        <v/>
      </c>
      <c r="I298" s="43"/>
      <c r="J298" s="63" t="str">
        <f t="shared" si="162"/>
        <v/>
      </c>
      <c r="K298" s="64" t="str">
        <f t="shared" si="163"/>
        <v/>
      </c>
      <c r="L298" s="63" t="str">
        <f t="shared" si="164"/>
        <v/>
      </c>
      <c r="M298" s="64" t="str">
        <f t="shared" si="165"/>
        <v/>
      </c>
      <c r="N298" s="65"/>
      <c r="O298" s="63" t="str">
        <f t="shared" si="166"/>
        <v/>
      </c>
      <c r="P298" s="63" t="str">
        <f t="shared" si="167"/>
        <v/>
      </c>
      <c r="Q298" s="66"/>
      <c r="R298" s="63" t="str">
        <f t="shared" si="168"/>
        <v/>
      </c>
      <c r="S298" s="64" t="str">
        <f t="shared" si="169"/>
        <v/>
      </c>
      <c r="T298" s="63" t="str">
        <f t="shared" si="170"/>
        <v/>
      </c>
      <c r="U298" s="64" t="str">
        <f t="shared" si="171"/>
        <v/>
      </c>
      <c r="V298" s="207" t="str">
        <f>IF($A299="","",IF(AND(MONTH(A298)&gt;3,MONTH(A298)&lt;11),(T298+R298+G298)*Summary!$T$7/(1-Summary!$T$7),(T298+R298+G298)*Summary!$U$7/(1-Summary!$U$7)))</f>
        <v/>
      </c>
      <c r="W298" s="63" t="str">
        <f t="shared" si="172"/>
        <v/>
      </c>
      <c r="X298" s="63" t="str">
        <f t="shared" si="173"/>
        <v/>
      </c>
      <c r="Y298" s="43"/>
      <c r="Z298" s="38" t="str">
        <f t="shared" si="174"/>
        <v/>
      </c>
      <c r="AA298" s="38" t="str">
        <f t="shared" si="174"/>
        <v/>
      </c>
      <c r="AB298" s="38" t="e">
        <f t="shared" si="152"/>
        <v>#VALUE!</v>
      </c>
      <c r="AC298" s="38" t="str">
        <f t="shared" si="174"/>
        <v/>
      </c>
      <c r="AD298" s="38" t="str">
        <f t="shared" si="174"/>
        <v/>
      </c>
      <c r="AE298" s="38" t="e">
        <f t="shared" si="153"/>
        <v>#VALUE!</v>
      </c>
      <c r="AF298" s="238" t="e">
        <f>((Summary!$N$7*(AA298*AD298)*(A298-$D$3))+(Summary!$M$7*Z298*AC298*(DAY(EOMONTH(A298,0))/2)))/(AK298*AB298*AE298)</f>
        <v>#VALUE!</v>
      </c>
      <c r="AG298" s="88" t="str">
        <f>IF($A299="","",Summary!$Q$7)</f>
        <v/>
      </c>
      <c r="AH298" s="88" t="str">
        <f>IF($A299="","",IF(Summary!$R$7="Y",(VLOOKUP($A298,Summary!$AD$6:$AF$9,3)+'Escalating commodity'!C311),'Escalating commodity'!C311))</f>
        <v/>
      </c>
      <c r="AI298" s="88" t="str">
        <f t="shared" si="175"/>
        <v/>
      </c>
      <c r="AJ298" s="236" t="e">
        <f t="shared" si="154"/>
        <v>#VALUE!</v>
      </c>
      <c r="AK298" s="58" t="str">
        <f t="shared" si="176"/>
        <v/>
      </c>
      <c r="AL298" s="26" t="str">
        <f>IF($A299="","",_xll.SPRDOPT(P298,X298,AI298,0,AB298,AE298,AF298,AK298,$AJ$2,0))</f>
        <v/>
      </c>
      <c r="AM298" s="209" t="str">
        <f t="shared" si="155"/>
        <v/>
      </c>
      <c r="AN298" s="89" t="str">
        <f t="shared" si="177"/>
        <v/>
      </c>
      <c r="AO298" s="3" t="str">
        <f t="shared" si="178"/>
        <v/>
      </c>
      <c r="AP298" s="33" t="str">
        <f t="shared" si="179"/>
        <v/>
      </c>
      <c r="AQ298" s="58" t="str">
        <f t="shared" si="156"/>
        <v/>
      </c>
      <c r="AR298" s="38">
        <f>IF(Summary!$H$2=1,VLOOKUP('ANR OK vs ML7'!A298,Curves!$C$17:$AR$273,MATCH('ANR OK vs ML7'!$AR$4,Curves!$C$8:$AQ$8,0)),0.1)</f>
        <v>0.1</v>
      </c>
      <c r="AS298" s="35" t="str">
        <f t="shared" si="157"/>
        <v/>
      </c>
      <c r="AT298" s="3" t="str">
        <f t="shared" si="180"/>
        <v/>
      </c>
      <c r="AU298" s="3" t="str">
        <f t="shared" si="158"/>
        <v/>
      </c>
      <c r="AW298" s="32" t="str">
        <f t="shared" si="181"/>
        <v/>
      </c>
      <c r="AX298" s="32" t="str">
        <f t="shared" si="182"/>
        <v/>
      </c>
      <c r="AY298" s="32" t="str">
        <f t="shared" si="183"/>
        <v/>
      </c>
      <c r="BA298" s="32" t="str">
        <f>IF($A299="","",F298*Summary!$Q$7)</f>
        <v/>
      </c>
    </row>
    <row r="299" spans="1:53" ht="12" customHeight="1">
      <c r="A299" s="67" t="str">
        <f t="shared" si="159"/>
        <v/>
      </c>
      <c r="B299" s="69" t="str">
        <f t="shared" si="184"/>
        <v/>
      </c>
      <c r="C299" s="71"/>
      <c r="D299" s="69" t="str">
        <f t="shared" si="185"/>
        <v/>
      </c>
      <c r="E299" s="70" t="str">
        <f t="shared" si="150"/>
        <v/>
      </c>
      <c r="F299" s="70" t="str">
        <f t="shared" si="151"/>
        <v/>
      </c>
      <c r="G299" s="63" t="str">
        <f t="shared" si="160"/>
        <v/>
      </c>
      <c r="H299" s="64" t="str">
        <f t="shared" si="161"/>
        <v/>
      </c>
      <c r="I299" s="43"/>
      <c r="J299" s="63" t="str">
        <f t="shared" si="162"/>
        <v/>
      </c>
      <c r="K299" s="64" t="str">
        <f t="shared" si="163"/>
        <v/>
      </c>
      <c r="L299" s="63" t="str">
        <f t="shared" si="164"/>
        <v/>
      </c>
      <c r="M299" s="64" t="str">
        <f t="shared" si="165"/>
        <v/>
      </c>
      <c r="N299" s="65"/>
      <c r="O299" s="63" t="str">
        <f t="shared" si="166"/>
        <v/>
      </c>
      <c r="P299" s="63" t="str">
        <f t="shared" si="167"/>
        <v/>
      </c>
      <c r="Q299" s="66"/>
      <c r="R299" s="63" t="str">
        <f t="shared" si="168"/>
        <v/>
      </c>
      <c r="S299" s="64" t="str">
        <f t="shared" si="169"/>
        <v/>
      </c>
      <c r="T299" s="63" t="str">
        <f t="shared" si="170"/>
        <v/>
      </c>
      <c r="U299" s="64" t="str">
        <f t="shared" si="171"/>
        <v/>
      </c>
      <c r="V299" s="207" t="str">
        <f>IF($A300="","",IF(AND(MONTH(A299)&gt;3,MONTH(A299)&lt;11),(T299+R299+G299)*Summary!$T$7/(1-Summary!$T$7),(T299+R299+G299)*Summary!$U$7/(1-Summary!$U$7)))</f>
        <v/>
      </c>
      <c r="W299" s="63" t="str">
        <f t="shared" si="172"/>
        <v/>
      </c>
      <c r="X299" s="63" t="str">
        <f t="shared" si="173"/>
        <v/>
      </c>
      <c r="Y299" s="43"/>
      <c r="Z299" s="38" t="str">
        <f t="shared" si="174"/>
        <v/>
      </c>
      <c r="AA299" s="38" t="str">
        <f t="shared" si="174"/>
        <v/>
      </c>
      <c r="AB299" s="38" t="e">
        <f t="shared" si="152"/>
        <v>#VALUE!</v>
      </c>
      <c r="AC299" s="38" t="str">
        <f t="shared" si="174"/>
        <v/>
      </c>
      <c r="AD299" s="38" t="str">
        <f t="shared" si="174"/>
        <v/>
      </c>
      <c r="AE299" s="38" t="e">
        <f t="shared" si="153"/>
        <v>#VALUE!</v>
      </c>
      <c r="AF299" s="238" t="e">
        <f>((Summary!$N$7*(AA299*AD299)*(A299-$D$3))+(Summary!$M$7*Z299*AC299*(DAY(EOMONTH(A299,0))/2)))/(AK299*AB299*AE299)</f>
        <v>#VALUE!</v>
      </c>
      <c r="AG299" s="88" t="str">
        <f>IF($A300="","",Summary!$Q$7)</f>
        <v/>
      </c>
      <c r="AH299" s="88" t="str">
        <f>IF($A300="","",IF(Summary!$R$7="Y",(VLOOKUP($A299,Summary!$AD$6:$AF$9,3)+'Escalating commodity'!C312),'Escalating commodity'!C312))</f>
        <v/>
      </c>
      <c r="AI299" s="88" t="str">
        <f t="shared" si="175"/>
        <v/>
      </c>
      <c r="AJ299" s="236" t="e">
        <f t="shared" si="154"/>
        <v>#VALUE!</v>
      </c>
      <c r="AK299" s="58" t="str">
        <f t="shared" si="176"/>
        <v/>
      </c>
      <c r="AL299" s="26" t="str">
        <f>IF($A300="","",_xll.SPRDOPT(P299,X299,AI299,0,AB299,AE299,AF299,AK299,$AJ$2,0))</f>
        <v/>
      </c>
      <c r="AM299" s="209" t="str">
        <f t="shared" si="155"/>
        <v/>
      </c>
      <c r="AN299" s="89" t="str">
        <f t="shared" si="177"/>
        <v/>
      </c>
      <c r="AO299" s="3" t="str">
        <f t="shared" si="178"/>
        <v/>
      </c>
      <c r="AP299" s="33" t="str">
        <f t="shared" si="179"/>
        <v/>
      </c>
      <c r="AQ299" s="58" t="str">
        <f t="shared" si="156"/>
        <v/>
      </c>
      <c r="AR299" s="38">
        <f>IF(Summary!$H$2=1,VLOOKUP('ANR OK vs ML7'!A299,Curves!$C$17:$AR$273,MATCH('ANR OK vs ML7'!$AR$4,Curves!$C$8:$AQ$8,0)),0.1)</f>
        <v>0.1</v>
      </c>
      <c r="AS299" s="35" t="str">
        <f t="shared" si="157"/>
        <v/>
      </c>
      <c r="AT299" s="3" t="str">
        <f t="shared" si="180"/>
        <v/>
      </c>
      <c r="AU299" s="3" t="str">
        <f t="shared" si="158"/>
        <v/>
      </c>
      <c r="AW299" s="32" t="str">
        <f t="shared" si="181"/>
        <v/>
      </c>
      <c r="AX299" s="32" t="str">
        <f t="shared" si="182"/>
        <v/>
      </c>
      <c r="AY299" s="32" t="str">
        <f t="shared" si="183"/>
        <v/>
      </c>
      <c r="BA299" s="32" t="str">
        <f>IF($A300="","",F299*Summary!$Q$7)</f>
        <v/>
      </c>
    </row>
    <row r="300" spans="1:53" ht="12" customHeight="1">
      <c r="A300" s="67" t="str">
        <f t="shared" si="159"/>
        <v/>
      </c>
      <c r="B300" s="69" t="str">
        <f t="shared" si="184"/>
        <v/>
      </c>
      <c r="C300" s="71"/>
      <c r="D300" s="69" t="str">
        <f t="shared" si="185"/>
        <v/>
      </c>
      <c r="E300" s="70" t="str">
        <f t="shared" si="150"/>
        <v/>
      </c>
      <c r="F300" s="70" t="str">
        <f t="shared" si="151"/>
        <v/>
      </c>
      <c r="G300" s="63" t="str">
        <f t="shared" si="160"/>
        <v/>
      </c>
      <c r="H300" s="64" t="str">
        <f t="shared" si="161"/>
        <v/>
      </c>
      <c r="I300" s="43"/>
      <c r="J300" s="63" t="str">
        <f t="shared" si="162"/>
        <v/>
      </c>
      <c r="K300" s="64" t="str">
        <f t="shared" si="163"/>
        <v/>
      </c>
      <c r="L300" s="63" t="str">
        <f t="shared" si="164"/>
        <v/>
      </c>
      <c r="M300" s="64" t="str">
        <f t="shared" si="165"/>
        <v/>
      </c>
      <c r="N300" s="65"/>
      <c r="O300" s="63" t="str">
        <f t="shared" si="166"/>
        <v/>
      </c>
      <c r="P300" s="63" t="str">
        <f t="shared" si="167"/>
        <v/>
      </c>
      <c r="Q300" s="66"/>
      <c r="R300" s="63" t="str">
        <f t="shared" si="168"/>
        <v/>
      </c>
      <c r="S300" s="64" t="str">
        <f t="shared" si="169"/>
        <v/>
      </c>
      <c r="T300" s="63" t="str">
        <f t="shared" si="170"/>
        <v/>
      </c>
      <c r="U300" s="64" t="str">
        <f t="shared" si="171"/>
        <v/>
      </c>
      <c r="V300" s="207" t="str">
        <f>IF($A301="","",IF(AND(MONTH(A300)&gt;3,MONTH(A300)&lt;11),(T300+R300+G300)*Summary!$T$7/(1-Summary!$T$7),(T300+R300+G300)*Summary!$U$7/(1-Summary!$U$7)))</f>
        <v/>
      </c>
      <c r="W300" s="63" t="str">
        <f t="shared" si="172"/>
        <v/>
      </c>
      <c r="X300" s="63" t="str">
        <f t="shared" si="173"/>
        <v/>
      </c>
      <c r="Y300" s="43"/>
      <c r="Z300" s="38" t="str">
        <f t="shared" si="174"/>
        <v/>
      </c>
      <c r="AA300" s="38" t="str">
        <f t="shared" si="174"/>
        <v/>
      </c>
      <c r="AB300" s="38" t="e">
        <f t="shared" si="152"/>
        <v>#VALUE!</v>
      </c>
      <c r="AC300" s="38" t="str">
        <f t="shared" si="174"/>
        <v/>
      </c>
      <c r="AD300" s="38" t="str">
        <f t="shared" si="174"/>
        <v/>
      </c>
      <c r="AE300" s="38" t="e">
        <f t="shared" si="153"/>
        <v>#VALUE!</v>
      </c>
      <c r="AF300" s="238" t="e">
        <f>((Summary!$N$7*(AA300*AD300)*(A300-$D$3))+(Summary!$M$7*Z300*AC300*(DAY(EOMONTH(A300,0))/2)))/(AK300*AB300*AE300)</f>
        <v>#VALUE!</v>
      </c>
      <c r="AG300" s="88" t="str">
        <f>IF($A301="","",Summary!$Q$7)</f>
        <v/>
      </c>
      <c r="AH300" s="88" t="str">
        <f>IF($A301="","",IF(Summary!$R$7="Y",(VLOOKUP($A300,Summary!$AD$6:$AF$9,3)+'Escalating commodity'!C313),'Escalating commodity'!C313))</f>
        <v/>
      </c>
      <c r="AI300" s="88" t="str">
        <f t="shared" si="175"/>
        <v/>
      </c>
      <c r="AJ300" s="236" t="e">
        <f t="shared" si="154"/>
        <v>#VALUE!</v>
      </c>
      <c r="AK300" s="58" t="str">
        <f t="shared" si="176"/>
        <v/>
      </c>
      <c r="AL300" s="26" t="str">
        <f>IF($A301="","",_xll.SPRDOPT(P300,X300,AI300,0,AB300,AE300,AF300,AK300,$AJ$2,0))</f>
        <v/>
      </c>
      <c r="AM300" s="209" t="str">
        <f t="shared" si="155"/>
        <v/>
      </c>
      <c r="AN300" s="89" t="str">
        <f t="shared" si="177"/>
        <v/>
      </c>
      <c r="AO300" s="3" t="str">
        <f t="shared" si="178"/>
        <v/>
      </c>
      <c r="AP300" s="33" t="str">
        <f t="shared" si="179"/>
        <v/>
      </c>
      <c r="AQ300" s="58" t="str">
        <f t="shared" si="156"/>
        <v/>
      </c>
      <c r="AR300" s="38">
        <f>IF(Summary!$H$2=1,VLOOKUP('ANR OK vs ML7'!A300,Curves!$C$17:$AR$273,MATCH('ANR OK vs ML7'!$AR$4,Curves!$C$8:$AQ$8,0)),0.1)</f>
        <v>0.1</v>
      </c>
      <c r="AS300" s="35" t="str">
        <f t="shared" si="157"/>
        <v/>
      </c>
      <c r="AT300" s="3" t="str">
        <f t="shared" si="180"/>
        <v/>
      </c>
      <c r="AU300" s="3" t="str">
        <f t="shared" si="158"/>
        <v/>
      </c>
      <c r="AW300" s="32" t="str">
        <f t="shared" si="181"/>
        <v/>
      </c>
      <c r="AX300" s="32" t="str">
        <f t="shared" si="182"/>
        <v/>
      </c>
      <c r="AY300" s="32" t="str">
        <f t="shared" si="183"/>
        <v/>
      </c>
      <c r="BA300" s="32" t="str">
        <f>IF($A301="","",F300*Summary!$Q$7)</f>
        <v/>
      </c>
    </row>
    <row r="301" spans="1:53" ht="12" customHeight="1">
      <c r="A301" s="67" t="str">
        <f t="shared" si="159"/>
        <v/>
      </c>
      <c r="B301" s="69" t="str">
        <f t="shared" si="184"/>
        <v/>
      </c>
      <c r="C301" s="71"/>
      <c r="D301" s="69" t="str">
        <f t="shared" si="185"/>
        <v/>
      </c>
      <c r="E301" s="70" t="str">
        <f t="shared" si="150"/>
        <v/>
      </c>
      <c r="F301" s="70" t="str">
        <f t="shared" si="151"/>
        <v/>
      </c>
      <c r="G301" s="63" t="str">
        <f t="shared" si="160"/>
        <v/>
      </c>
      <c r="H301" s="64" t="str">
        <f t="shared" si="161"/>
        <v/>
      </c>
      <c r="I301" s="43"/>
      <c r="J301" s="63" t="str">
        <f t="shared" si="162"/>
        <v/>
      </c>
      <c r="K301" s="64" t="str">
        <f t="shared" si="163"/>
        <v/>
      </c>
      <c r="L301" s="63" t="str">
        <f t="shared" si="164"/>
        <v/>
      </c>
      <c r="M301" s="64" t="str">
        <f t="shared" si="165"/>
        <v/>
      </c>
      <c r="N301" s="65"/>
      <c r="O301" s="63" t="str">
        <f t="shared" si="166"/>
        <v/>
      </c>
      <c r="P301" s="63" t="str">
        <f t="shared" si="167"/>
        <v/>
      </c>
      <c r="Q301" s="66"/>
      <c r="R301" s="63" t="str">
        <f t="shared" si="168"/>
        <v/>
      </c>
      <c r="S301" s="64" t="str">
        <f t="shared" si="169"/>
        <v/>
      </c>
      <c r="T301" s="63" t="str">
        <f t="shared" si="170"/>
        <v/>
      </c>
      <c r="U301" s="64" t="str">
        <f t="shared" si="171"/>
        <v/>
      </c>
      <c r="V301" s="207" t="str">
        <f>IF($A302="","",IF(AND(MONTH(A301)&gt;3,MONTH(A301)&lt;11),(T301+R301+G301)*Summary!$T$7/(1-Summary!$T$7),(T301+R301+G301)*Summary!$U$7/(1-Summary!$U$7)))</f>
        <v/>
      </c>
      <c r="W301" s="63" t="str">
        <f t="shared" si="172"/>
        <v/>
      </c>
      <c r="X301" s="63" t="str">
        <f t="shared" si="173"/>
        <v/>
      </c>
      <c r="Y301" s="43"/>
      <c r="Z301" s="38" t="str">
        <f t="shared" si="174"/>
        <v/>
      </c>
      <c r="AA301" s="38" t="str">
        <f t="shared" si="174"/>
        <v/>
      </c>
      <c r="AB301" s="38" t="e">
        <f t="shared" si="152"/>
        <v>#VALUE!</v>
      </c>
      <c r="AC301" s="38" t="str">
        <f t="shared" si="174"/>
        <v/>
      </c>
      <c r="AD301" s="38" t="str">
        <f t="shared" si="174"/>
        <v/>
      </c>
      <c r="AE301" s="38" t="e">
        <f t="shared" si="153"/>
        <v>#VALUE!</v>
      </c>
      <c r="AF301" s="238" t="e">
        <f>((Summary!$N$7*(AA301*AD301)*(A301-$D$3))+(Summary!$M$7*Z301*AC301*(DAY(EOMONTH(A301,0))/2)))/(AK301*AB301*AE301)</f>
        <v>#VALUE!</v>
      </c>
      <c r="AG301" s="88" t="str">
        <f>IF($A302="","",Summary!$Q$7)</f>
        <v/>
      </c>
      <c r="AH301" s="88" t="str">
        <f>IF($A302="","",IF(Summary!$R$7="Y",(VLOOKUP($A301,Summary!$AD$6:$AF$9,3)+'Escalating commodity'!C314),'Escalating commodity'!C314))</f>
        <v/>
      </c>
      <c r="AI301" s="88" t="str">
        <f t="shared" si="175"/>
        <v/>
      </c>
      <c r="AJ301" s="236" t="e">
        <f t="shared" si="154"/>
        <v>#VALUE!</v>
      </c>
      <c r="AK301" s="58" t="str">
        <f t="shared" si="176"/>
        <v/>
      </c>
      <c r="AL301" s="26" t="str">
        <f>IF($A302="","",_xll.SPRDOPT(P301,X301,AI301,0,AB301,AE301,AF301,AK301,$AJ$2,0))</f>
        <v/>
      </c>
      <c r="AM301" s="209" t="str">
        <f t="shared" si="155"/>
        <v/>
      </c>
      <c r="AN301" s="89" t="str">
        <f t="shared" si="177"/>
        <v/>
      </c>
      <c r="AO301" s="3" t="str">
        <f t="shared" si="178"/>
        <v/>
      </c>
      <c r="AP301" s="33" t="str">
        <f t="shared" si="179"/>
        <v/>
      </c>
      <c r="AQ301" s="58" t="str">
        <f t="shared" si="156"/>
        <v/>
      </c>
      <c r="AR301" s="38">
        <f>IF(Summary!$H$2=1,VLOOKUP('ANR OK vs ML7'!A301,Curves!$C$17:$AR$273,MATCH('ANR OK vs ML7'!$AR$4,Curves!$C$8:$AQ$8,0)),0.1)</f>
        <v>0.1</v>
      </c>
      <c r="AS301" s="35" t="str">
        <f t="shared" si="157"/>
        <v/>
      </c>
      <c r="AT301" s="3" t="str">
        <f t="shared" si="180"/>
        <v/>
      </c>
      <c r="AU301" s="3" t="str">
        <f t="shared" si="158"/>
        <v/>
      </c>
      <c r="AW301" s="32" t="str">
        <f t="shared" si="181"/>
        <v/>
      </c>
      <c r="AX301" s="32" t="str">
        <f t="shared" si="182"/>
        <v/>
      </c>
      <c r="AY301" s="32" t="str">
        <f t="shared" si="183"/>
        <v/>
      </c>
      <c r="BA301" s="32" t="str">
        <f>IF($A302="","",F301*Summary!$Q$7)</f>
        <v/>
      </c>
    </row>
    <row r="302" spans="1:53" ht="12" customHeight="1">
      <c r="A302" s="67" t="str">
        <f t="shared" si="159"/>
        <v/>
      </c>
      <c r="B302" s="69" t="str">
        <f t="shared" si="184"/>
        <v/>
      </c>
      <c r="C302" s="71"/>
      <c r="D302" s="69" t="str">
        <f t="shared" si="185"/>
        <v/>
      </c>
      <c r="E302" s="70" t="str">
        <f t="shared" si="150"/>
        <v/>
      </c>
      <c r="F302" s="70" t="str">
        <f t="shared" si="151"/>
        <v/>
      </c>
      <c r="G302" s="63" t="str">
        <f t="shared" si="160"/>
        <v/>
      </c>
      <c r="H302" s="64" t="str">
        <f t="shared" si="161"/>
        <v/>
      </c>
      <c r="I302" s="43"/>
      <c r="J302" s="63" t="str">
        <f t="shared" si="162"/>
        <v/>
      </c>
      <c r="K302" s="64" t="str">
        <f t="shared" si="163"/>
        <v/>
      </c>
      <c r="L302" s="63" t="str">
        <f t="shared" si="164"/>
        <v/>
      </c>
      <c r="M302" s="64" t="str">
        <f t="shared" si="165"/>
        <v/>
      </c>
      <c r="N302" s="65"/>
      <c r="O302" s="63" t="str">
        <f t="shared" si="166"/>
        <v/>
      </c>
      <c r="P302" s="63" t="str">
        <f t="shared" si="167"/>
        <v/>
      </c>
      <c r="Q302" s="66"/>
      <c r="R302" s="63" t="str">
        <f t="shared" si="168"/>
        <v/>
      </c>
      <c r="S302" s="64" t="str">
        <f t="shared" si="169"/>
        <v/>
      </c>
      <c r="T302" s="63" t="str">
        <f t="shared" si="170"/>
        <v/>
      </c>
      <c r="U302" s="64" t="str">
        <f t="shared" si="171"/>
        <v/>
      </c>
      <c r="V302" s="207" t="str">
        <f>IF($A303="","",IF(AND(MONTH(A302)&gt;3,MONTH(A302)&lt;11),(T302+R302+G302)*Summary!$T$7/(1-Summary!$T$7),(T302+R302+G302)*Summary!$U$7/(1-Summary!$U$7)))</f>
        <v/>
      </c>
      <c r="W302" s="63" t="str">
        <f t="shared" si="172"/>
        <v/>
      </c>
      <c r="X302" s="63" t="str">
        <f t="shared" si="173"/>
        <v/>
      </c>
      <c r="Y302" s="43"/>
      <c r="Z302" s="38" t="str">
        <f t="shared" si="174"/>
        <v/>
      </c>
      <c r="AA302" s="38" t="str">
        <f t="shared" si="174"/>
        <v/>
      </c>
      <c r="AB302" s="38" t="e">
        <f t="shared" si="152"/>
        <v>#VALUE!</v>
      </c>
      <c r="AC302" s="38" t="str">
        <f t="shared" si="174"/>
        <v/>
      </c>
      <c r="AD302" s="38" t="str">
        <f t="shared" si="174"/>
        <v/>
      </c>
      <c r="AE302" s="38" t="e">
        <f t="shared" si="153"/>
        <v>#VALUE!</v>
      </c>
      <c r="AF302" s="238" t="e">
        <f>((Summary!$N$7*(AA302*AD302)*(A302-$D$3))+(Summary!$M$7*Z302*AC302*(DAY(EOMONTH(A302,0))/2)))/(AK302*AB302*AE302)</f>
        <v>#VALUE!</v>
      </c>
      <c r="AG302" s="88" t="str">
        <f>IF($A303="","",Summary!$Q$7)</f>
        <v/>
      </c>
      <c r="AH302" s="88" t="str">
        <f>IF($A303="","",IF(Summary!$R$7="Y",(VLOOKUP($A302,Summary!$AD$6:$AF$9,3)+'Escalating commodity'!C315),'Escalating commodity'!C315))</f>
        <v/>
      </c>
      <c r="AI302" s="88" t="str">
        <f t="shared" si="175"/>
        <v/>
      </c>
      <c r="AJ302" s="236" t="e">
        <f t="shared" si="154"/>
        <v>#VALUE!</v>
      </c>
      <c r="AK302" s="58" t="str">
        <f t="shared" si="176"/>
        <v/>
      </c>
      <c r="AL302" s="26" t="str">
        <f>IF($A303="","",_xll.SPRDOPT(P302,X302,AI302,0,AB302,AE302,AF302,AK302,$AJ$2,0))</f>
        <v/>
      </c>
      <c r="AM302" s="209" t="str">
        <f t="shared" si="155"/>
        <v/>
      </c>
      <c r="AN302" s="89" t="str">
        <f t="shared" si="177"/>
        <v/>
      </c>
      <c r="AO302" s="3" t="str">
        <f t="shared" si="178"/>
        <v/>
      </c>
      <c r="AP302" s="33" t="str">
        <f t="shared" si="179"/>
        <v/>
      </c>
      <c r="AQ302" s="58" t="str">
        <f t="shared" si="156"/>
        <v/>
      </c>
      <c r="AR302" s="38">
        <f>IF(Summary!$H$2=1,VLOOKUP('ANR OK vs ML7'!A302,Curves!$C$17:$AR$273,MATCH('ANR OK vs ML7'!$AR$4,Curves!$C$8:$AQ$8,0)),0.1)</f>
        <v>0.1</v>
      </c>
      <c r="AS302" s="35" t="str">
        <f t="shared" si="157"/>
        <v/>
      </c>
      <c r="AT302" s="3" t="str">
        <f t="shared" si="180"/>
        <v/>
      </c>
      <c r="AU302" s="3" t="str">
        <f t="shared" si="158"/>
        <v/>
      </c>
      <c r="AW302" s="32" t="str">
        <f t="shared" si="181"/>
        <v/>
      </c>
      <c r="AX302" s="32" t="str">
        <f t="shared" si="182"/>
        <v/>
      </c>
      <c r="AY302" s="32" t="str">
        <f t="shared" si="183"/>
        <v/>
      </c>
      <c r="BA302" s="32" t="str">
        <f>IF($A303="","",F302*Summary!$Q$7)</f>
        <v/>
      </c>
    </row>
    <row r="303" spans="1:53" ht="12" customHeight="1">
      <c r="A303" s="67" t="str">
        <f t="shared" si="159"/>
        <v/>
      </c>
      <c r="B303" s="69" t="str">
        <f t="shared" si="184"/>
        <v/>
      </c>
      <c r="C303" s="71"/>
      <c r="D303" s="69" t="str">
        <f t="shared" si="185"/>
        <v/>
      </c>
      <c r="E303" s="70" t="str">
        <f t="shared" si="150"/>
        <v/>
      </c>
      <c r="F303" s="70" t="str">
        <f t="shared" si="151"/>
        <v/>
      </c>
      <c r="G303" s="63" t="str">
        <f t="shared" si="160"/>
        <v/>
      </c>
      <c r="H303" s="64" t="str">
        <f t="shared" si="161"/>
        <v/>
      </c>
      <c r="I303" s="43"/>
      <c r="J303" s="63" t="str">
        <f t="shared" si="162"/>
        <v/>
      </c>
      <c r="K303" s="64" t="str">
        <f t="shared" si="163"/>
        <v/>
      </c>
      <c r="L303" s="63" t="str">
        <f t="shared" si="164"/>
        <v/>
      </c>
      <c r="M303" s="64" t="str">
        <f t="shared" si="165"/>
        <v/>
      </c>
      <c r="N303" s="65"/>
      <c r="O303" s="63" t="str">
        <f t="shared" si="166"/>
        <v/>
      </c>
      <c r="P303" s="63" t="str">
        <f t="shared" si="167"/>
        <v/>
      </c>
      <c r="Q303" s="66"/>
      <c r="R303" s="63" t="str">
        <f t="shared" si="168"/>
        <v/>
      </c>
      <c r="S303" s="64" t="str">
        <f t="shared" si="169"/>
        <v/>
      </c>
      <c r="T303" s="63" t="str">
        <f t="shared" si="170"/>
        <v/>
      </c>
      <c r="U303" s="64" t="str">
        <f t="shared" si="171"/>
        <v/>
      </c>
      <c r="V303" s="207" t="str">
        <f>IF($A304="","",IF(AND(MONTH(A303)&gt;3,MONTH(A303)&lt;11),(T303+R303+G303)*Summary!$T$7/(1-Summary!$T$7),(T303+R303+G303)*Summary!$U$7/(1-Summary!$U$7)))</f>
        <v/>
      </c>
      <c r="W303" s="63" t="str">
        <f t="shared" si="172"/>
        <v/>
      </c>
      <c r="X303" s="63" t="str">
        <f t="shared" si="173"/>
        <v/>
      </c>
      <c r="Y303" s="43"/>
      <c r="Z303" s="38" t="str">
        <f t="shared" si="174"/>
        <v/>
      </c>
      <c r="AA303" s="38" t="str">
        <f t="shared" si="174"/>
        <v/>
      </c>
      <c r="AB303" s="38" t="e">
        <f t="shared" si="152"/>
        <v>#VALUE!</v>
      </c>
      <c r="AC303" s="38" t="str">
        <f t="shared" si="174"/>
        <v/>
      </c>
      <c r="AD303" s="38" t="str">
        <f t="shared" si="174"/>
        <v/>
      </c>
      <c r="AE303" s="38" t="e">
        <f t="shared" si="153"/>
        <v>#VALUE!</v>
      </c>
      <c r="AF303" s="238" t="e">
        <f>((Summary!$N$7*(AA303*AD303)*(A303-$D$3))+(Summary!$M$7*Z303*AC303*(DAY(EOMONTH(A303,0))/2)))/(AK303*AB303*AE303)</f>
        <v>#VALUE!</v>
      </c>
      <c r="AG303" s="88" t="str">
        <f>IF($A304="","",Summary!$Q$7)</f>
        <v/>
      </c>
      <c r="AH303" s="88" t="str">
        <f>IF($A304="","",IF(Summary!$R$7="Y",(VLOOKUP($A303,Summary!$AD$6:$AF$9,3)+'Escalating commodity'!C316),'Escalating commodity'!C316))</f>
        <v/>
      </c>
      <c r="AI303" s="88" t="str">
        <f t="shared" si="175"/>
        <v/>
      </c>
      <c r="AJ303" s="236" t="e">
        <f t="shared" si="154"/>
        <v>#VALUE!</v>
      </c>
      <c r="AK303" s="58" t="str">
        <f t="shared" si="176"/>
        <v/>
      </c>
      <c r="AL303" s="26" t="str">
        <f>IF($A304="","",_xll.SPRDOPT(P303,X303,AI303,0,AB303,AE303,AF303,AK303,$AJ$2,0))</f>
        <v/>
      </c>
      <c r="AM303" s="209" t="str">
        <f t="shared" si="155"/>
        <v/>
      </c>
      <c r="AN303" s="89" t="str">
        <f t="shared" si="177"/>
        <v/>
      </c>
      <c r="AO303" s="3" t="str">
        <f t="shared" si="178"/>
        <v/>
      </c>
      <c r="AP303" s="33" t="str">
        <f t="shared" si="179"/>
        <v/>
      </c>
      <c r="AQ303" s="58" t="str">
        <f t="shared" si="156"/>
        <v/>
      </c>
      <c r="AR303" s="38">
        <f>IF(Summary!$H$2=1,VLOOKUP('ANR OK vs ML7'!A303,Curves!$C$17:$AR$273,MATCH('ANR OK vs ML7'!$AR$4,Curves!$C$8:$AQ$8,0)),0.1)</f>
        <v>0.1</v>
      </c>
      <c r="AS303" s="35" t="str">
        <f t="shared" si="157"/>
        <v/>
      </c>
      <c r="AT303" s="3" t="str">
        <f t="shared" si="180"/>
        <v/>
      </c>
      <c r="AU303" s="3" t="str">
        <f t="shared" si="158"/>
        <v/>
      </c>
      <c r="AW303" s="32" t="str">
        <f t="shared" si="181"/>
        <v/>
      </c>
      <c r="AX303" s="32" t="str">
        <f t="shared" si="182"/>
        <v/>
      </c>
      <c r="AY303" s="32" t="str">
        <f t="shared" si="183"/>
        <v/>
      </c>
      <c r="BA303" s="32" t="str">
        <f>IF($A304="","",F303*Summary!$Q$7)</f>
        <v/>
      </c>
    </row>
    <row r="304" spans="1:53" ht="12" customHeight="1">
      <c r="A304" s="67" t="str">
        <f t="shared" si="159"/>
        <v/>
      </c>
      <c r="B304" s="69" t="str">
        <f t="shared" si="184"/>
        <v/>
      </c>
      <c r="C304" s="71"/>
      <c r="D304" s="69" t="str">
        <f t="shared" si="185"/>
        <v/>
      </c>
      <c r="E304" s="70" t="str">
        <f t="shared" si="150"/>
        <v/>
      </c>
      <c r="F304" s="70" t="str">
        <f t="shared" si="151"/>
        <v/>
      </c>
      <c r="G304" s="63" t="str">
        <f t="shared" si="160"/>
        <v/>
      </c>
      <c r="H304" s="64" t="str">
        <f t="shared" si="161"/>
        <v/>
      </c>
      <c r="I304" s="43"/>
      <c r="J304" s="63" t="str">
        <f t="shared" si="162"/>
        <v/>
      </c>
      <c r="K304" s="64" t="str">
        <f t="shared" si="163"/>
        <v/>
      </c>
      <c r="L304" s="63" t="str">
        <f t="shared" si="164"/>
        <v/>
      </c>
      <c r="M304" s="64" t="str">
        <f t="shared" si="165"/>
        <v/>
      </c>
      <c r="N304" s="65"/>
      <c r="O304" s="63" t="str">
        <f t="shared" si="166"/>
        <v/>
      </c>
      <c r="P304" s="63" t="str">
        <f t="shared" si="167"/>
        <v/>
      </c>
      <c r="Q304" s="66"/>
      <c r="R304" s="63" t="str">
        <f t="shared" si="168"/>
        <v/>
      </c>
      <c r="S304" s="64" t="str">
        <f t="shared" si="169"/>
        <v/>
      </c>
      <c r="T304" s="63" t="str">
        <f t="shared" si="170"/>
        <v/>
      </c>
      <c r="U304" s="64" t="str">
        <f t="shared" si="171"/>
        <v/>
      </c>
      <c r="V304" s="207" t="str">
        <f>IF($A305="","",IF(AND(MONTH(A304)&gt;3,MONTH(A304)&lt;11),(T304+R304+G304)*Summary!$T$7/(1-Summary!$T$7),(T304+R304+G304)*Summary!$U$7/(1-Summary!$U$7)))</f>
        <v/>
      </c>
      <c r="W304" s="63" t="str">
        <f t="shared" si="172"/>
        <v/>
      </c>
      <c r="X304" s="63" t="str">
        <f t="shared" si="173"/>
        <v/>
      </c>
      <c r="Y304" s="43"/>
      <c r="Z304" s="38" t="str">
        <f t="shared" si="174"/>
        <v/>
      </c>
      <c r="AA304" s="38" t="str">
        <f t="shared" si="174"/>
        <v/>
      </c>
      <c r="AB304" s="38" t="e">
        <f t="shared" si="152"/>
        <v>#VALUE!</v>
      </c>
      <c r="AC304" s="38" t="str">
        <f t="shared" si="174"/>
        <v/>
      </c>
      <c r="AD304" s="38" t="str">
        <f t="shared" si="174"/>
        <v/>
      </c>
      <c r="AE304" s="38" t="e">
        <f t="shared" si="153"/>
        <v>#VALUE!</v>
      </c>
      <c r="AF304" s="238" t="e">
        <f>((Summary!$N$7*(AA304*AD304)*(A304-$D$3))+(Summary!$M$7*Z304*AC304*(DAY(EOMONTH(A304,0))/2)))/(AK304*AB304*AE304)</f>
        <v>#VALUE!</v>
      </c>
      <c r="AG304" s="88" t="str">
        <f>IF($A305="","",Summary!$Q$7)</f>
        <v/>
      </c>
      <c r="AH304" s="88" t="str">
        <f>IF($A305="","",IF(Summary!$R$7="Y",(VLOOKUP($A304,Summary!$AD$6:$AF$9,3)+'Escalating commodity'!C317),'Escalating commodity'!C317))</f>
        <v/>
      </c>
      <c r="AI304" s="88" t="str">
        <f t="shared" si="175"/>
        <v/>
      </c>
      <c r="AJ304" s="236" t="e">
        <f t="shared" si="154"/>
        <v>#VALUE!</v>
      </c>
      <c r="AK304" s="58" t="str">
        <f t="shared" si="176"/>
        <v/>
      </c>
      <c r="AL304" s="26" t="str">
        <f>IF($A305="","",_xll.SPRDOPT(P304,X304,AI304,0,AB304,AE304,AF304,AK304,$AJ$2,0))</f>
        <v/>
      </c>
      <c r="AM304" s="209" t="str">
        <f t="shared" si="155"/>
        <v/>
      </c>
      <c r="AN304" s="89" t="str">
        <f t="shared" si="177"/>
        <v/>
      </c>
      <c r="AO304" s="3" t="str">
        <f t="shared" si="178"/>
        <v/>
      </c>
      <c r="AP304" s="33" t="str">
        <f t="shared" si="179"/>
        <v/>
      </c>
      <c r="AQ304" s="58" t="str">
        <f t="shared" si="156"/>
        <v/>
      </c>
      <c r="AR304" s="38">
        <f>IF(Summary!$H$2=1,VLOOKUP('ANR OK vs ML7'!A304,Curves!$C$17:$AR$273,MATCH('ANR OK vs ML7'!$AR$4,Curves!$C$8:$AQ$8,0)),0.1)</f>
        <v>0.1</v>
      </c>
      <c r="AS304" s="35" t="str">
        <f t="shared" si="157"/>
        <v/>
      </c>
      <c r="AT304" s="3" t="str">
        <f t="shared" si="180"/>
        <v/>
      </c>
      <c r="AU304" s="3" t="str">
        <f t="shared" si="158"/>
        <v/>
      </c>
      <c r="AW304" s="32" t="str">
        <f t="shared" si="181"/>
        <v/>
      </c>
      <c r="AX304" s="32" t="str">
        <f t="shared" si="182"/>
        <v/>
      </c>
      <c r="AY304" s="32" t="str">
        <f t="shared" si="183"/>
        <v/>
      </c>
      <c r="BA304" s="32" t="str">
        <f>IF($A305="","",F304*Summary!$Q$7)</f>
        <v/>
      </c>
    </row>
    <row r="305" spans="1:53" ht="12" customHeight="1">
      <c r="A305" s="67" t="str">
        <f t="shared" si="159"/>
        <v/>
      </c>
      <c r="B305" s="69" t="str">
        <f t="shared" si="184"/>
        <v/>
      </c>
      <c r="C305" s="71"/>
      <c r="D305" s="69" t="str">
        <f t="shared" si="185"/>
        <v/>
      </c>
      <c r="E305" s="70" t="str">
        <f t="shared" si="150"/>
        <v/>
      </c>
      <c r="F305" s="70" t="str">
        <f t="shared" si="151"/>
        <v/>
      </c>
      <c r="G305" s="63" t="str">
        <f t="shared" si="160"/>
        <v/>
      </c>
      <c r="H305" s="64" t="str">
        <f t="shared" si="161"/>
        <v/>
      </c>
      <c r="I305" s="43"/>
      <c r="J305" s="63" t="str">
        <f t="shared" si="162"/>
        <v/>
      </c>
      <c r="K305" s="64" t="str">
        <f t="shared" si="163"/>
        <v/>
      </c>
      <c r="L305" s="63" t="str">
        <f t="shared" si="164"/>
        <v/>
      </c>
      <c r="M305" s="64" t="str">
        <f t="shared" si="165"/>
        <v/>
      </c>
      <c r="N305" s="65"/>
      <c r="O305" s="63" t="str">
        <f t="shared" si="166"/>
        <v/>
      </c>
      <c r="P305" s="63" t="str">
        <f t="shared" si="167"/>
        <v/>
      </c>
      <c r="Q305" s="66"/>
      <c r="R305" s="63" t="str">
        <f t="shared" si="168"/>
        <v/>
      </c>
      <c r="S305" s="64" t="str">
        <f t="shared" si="169"/>
        <v/>
      </c>
      <c r="T305" s="63" t="str">
        <f t="shared" si="170"/>
        <v/>
      </c>
      <c r="U305" s="64" t="str">
        <f t="shared" si="171"/>
        <v/>
      </c>
      <c r="V305" s="207" t="str">
        <f>IF($A306="","",IF(AND(MONTH(A305)&gt;3,MONTH(A305)&lt;11),(T305+R305+G305)*Summary!$T$7/(1-Summary!$T$7),(T305+R305+G305)*Summary!$U$7/(1-Summary!$U$7)))</f>
        <v/>
      </c>
      <c r="W305" s="63" t="str">
        <f t="shared" si="172"/>
        <v/>
      </c>
      <c r="X305" s="63" t="str">
        <f t="shared" si="173"/>
        <v/>
      </c>
      <c r="Y305" s="43"/>
      <c r="Z305" s="38" t="str">
        <f t="shared" si="174"/>
        <v/>
      </c>
      <c r="AA305" s="38" t="str">
        <f t="shared" si="174"/>
        <v/>
      </c>
      <c r="AB305" s="38" t="e">
        <f t="shared" si="152"/>
        <v>#VALUE!</v>
      </c>
      <c r="AC305" s="38" t="str">
        <f t="shared" si="174"/>
        <v/>
      </c>
      <c r="AD305" s="38" t="str">
        <f t="shared" si="174"/>
        <v/>
      </c>
      <c r="AE305" s="38" t="e">
        <f t="shared" si="153"/>
        <v>#VALUE!</v>
      </c>
      <c r="AF305" s="238" t="e">
        <f>((Summary!$N$7*(AA305*AD305)*(A305-$D$3))+(Summary!$M$7*Z305*AC305*(DAY(EOMONTH(A305,0))/2)))/(AK305*AB305*AE305)</f>
        <v>#VALUE!</v>
      </c>
      <c r="AG305" s="88" t="str">
        <f>IF($A306="","",Summary!$Q$7)</f>
        <v/>
      </c>
      <c r="AH305" s="88" t="str">
        <f>IF($A306="","",IF(Summary!$R$7="Y",(VLOOKUP($A305,Summary!$AD$6:$AF$9,3)+'Escalating commodity'!C318),'Escalating commodity'!C318))</f>
        <v/>
      </c>
      <c r="AI305" s="88" t="str">
        <f t="shared" si="175"/>
        <v/>
      </c>
      <c r="AJ305" s="236" t="e">
        <f t="shared" si="154"/>
        <v>#VALUE!</v>
      </c>
      <c r="AK305" s="58" t="str">
        <f t="shared" si="176"/>
        <v/>
      </c>
      <c r="AL305" s="26" t="str">
        <f>IF($A306="","",_xll.SPRDOPT(P305,X305,AI305,0,AB305,AE305,AF305,AK305,$AJ$2,0))</f>
        <v/>
      </c>
      <c r="AM305" s="209" t="str">
        <f t="shared" si="155"/>
        <v/>
      </c>
      <c r="AN305" s="89" t="str">
        <f t="shared" si="177"/>
        <v/>
      </c>
      <c r="AO305" s="3" t="str">
        <f t="shared" si="178"/>
        <v/>
      </c>
      <c r="AP305" s="33" t="str">
        <f t="shared" si="179"/>
        <v/>
      </c>
      <c r="AQ305" s="58" t="str">
        <f t="shared" si="156"/>
        <v/>
      </c>
      <c r="AR305" s="38">
        <f>IF(Summary!$H$2=1,VLOOKUP('ANR OK vs ML7'!A305,Curves!$C$17:$AR$273,MATCH('ANR OK vs ML7'!$AR$4,Curves!$C$8:$AQ$8,0)),0.1)</f>
        <v>0.1</v>
      </c>
      <c r="AS305" s="35" t="str">
        <f t="shared" si="157"/>
        <v/>
      </c>
      <c r="AT305" s="3" t="str">
        <f t="shared" si="180"/>
        <v/>
      </c>
      <c r="AU305" s="3" t="str">
        <f t="shared" si="158"/>
        <v/>
      </c>
      <c r="AW305" s="32" t="str">
        <f t="shared" si="181"/>
        <v/>
      </c>
      <c r="AX305" s="32" t="str">
        <f t="shared" si="182"/>
        <v/>
      </c>
      <c r="AY305" s="32" t="str">
        <f t="shared" si="183"/>
        <v/>
      </c>
      <c r="BA305" s="32" t="str">
        <f>IF($A306="","",F305*Summary!$Q$7)</f>
        <v/>
      </c>
    </row>
    <row r="306" spans="1:53" ht="12" customHeight="1">
      <c r="A306" s="67" t="str">
        <f t="shared" si="159"/>
        <v/>
      </c>
      <c r="B306" s="69" t="str">
        <f t="shared" si="184"/>
        <v/>
      </c>
      <c r="C306" s="71"/>
      <c r="D306" s="69" t="str">
        <f t="shared" si="185"/>
        <v/>
      </c>
      <c r="E306" s="70" t="str">
        <f t="shared" si="150"/>
        <v/>
      </c>
      <c r="F306" s="70" t="str">
        <f t="shared" si="151"/>
        <v/>
      </c>
      <c r="G306" s="63" t="str">
        <f t="shared" si="160"/>
        <v/>
      </c>
      <c r="H306" s="64" t="str">
        <f t="shared" si="161"/>
        <v/>
      </c>
      <c r="I306" s="43"/>
      <c r="J306" s="63" t="str">
        <f t="shared" si="162"/>
        <v/>
      </c>
      <c r="K306" s="64" t="str">
        <f t="shared" si="163"/>
        <v/>
      </c>
      <c r="L306" s="63" t="str">
        <f t="shared" si="164"/>
        <v/>
      </c>
      <c r="M306" s="64" t="str">
        <f t="shared" si="165"/>
        <v/>
      </c>
      <c r="N306" s="65"/>
      <c r="O306" s="63" t="str">
        <f t="shared" si="166"/>
        <v/>
      </c>
      <c r="P306" s="63" t="str">
        <f t="shared" si="167"/>
        <v/>
      </c>
      <c r="Q306" s="66"/>
      <c r="R306" s="63" t="str">
        <f t="shared" si="168"/>
        <v/>
      </c>
      <c r="S306" s="64" t="str">
        <f t="shared" si="169"/>
        <v/>
      </c>
      <c r="T306" s="63" t="str">
        <f t="shared" si="170"/>
        <v/>
      </c>
      <c r="U306" s="64" t="str">
        <f t="shared" si="171"/>
        <v/>
      </c>
      <c r="V306" s="207" t="str">
        <f>IF($A307="","",IF(AND(MONTH(A306)&gt;3,MONTH(A306)&lt;11),(T306+R306+G306)*Summary!$T$7/(1-Summary!$T$7),(T306+R306+G306)*Summary!$U$7/(1-Summary!$U$7)))</f>
        <v/>
      </c>
      <c r="W306" s="63" t="str">
        <f t="shared" si="172"/>
        <v/>
      </c>
      <c r="X306" s="63" t="str">
        <f t="shared" si="173"/>
        <v/>
      </c>
      <c r="Y306" s="43"/>
      <c r="Z306" s="38" t="str">
        <f t="shared" si="174"/>
        <v/>
      </c>
      <c r="AA306" s="38" t="str">
        <f t="shared" si="174"/>
        <v/>
      </c>
      <c r="AB306" s="38" t="e">
        <f t="shared" si="152"/>
        <v>#VALUE!</v>
      </c>
      <c r="AC306" s="38" t="str">
        <f t="shared" si="174"/>
        <v/>
      </c>
      <c r="AD306" s="38" t="str">
        <f t="shared" si="174"/>
        <v/>
      </c>
      <c r="AE306" s="38" t="e">
        <f t="shared" si="153"/>
        <v>#VALUE!</v>
      </c>
      <c r="AF306" s="238" t="e">
        <f>((Summary!$N$7*(AA306*AD306)*(A306-$D$3))+(Summary!$M$7*Z306*AC306*(DAY(EOMONTH(A306,0))/2)))/(AK306*AB306*AE306)</f>
        <v>#VALUE!</v>
      </c>
      <c r="AG306" s="88" t="str">
        <f>IF($A307="","",Summary!$Q$7)</f>
        <v/>
      </c>
      <c r="AH306" s="88" t="str">
        <f>IF($A307="","",IF(Summary!$R$7="Y",(VLOOKUP($A306,Summary!$AD$6:$AF$9,3)+'Escalating commodity'!C319),'Escalating commodity'!C319))</f>
        <v/>
      </c>
      <c r="AI306" s="88" t="str">
        <f t="shared" si="175"/>
        <v/>
      </c>
      <c r="AJ306" s="236" t="e">
        <f t="shared" si="154"/>
        <v>#VALUE!</v>
      </c>
      <c r="AK306" s="58" t="str">
        <f t="shared" si="176"/>
        <v/>
      </c>
      <c r="AL306" s="26" t="str">
        <f>IF($A307="","",_xll.SPRDOPT(P306,X306,AI306,0,AB306,AE306,AF306,AK306,$AJ$2,0))</f>
        <v/>
      </c>
      <c r="AM306" s="209" t="str">
        <f t="shared" si="155"/>
        <v/>
      </c>
      <c r="AN306" s="89" t="str">
        <f t="shared" si="177"/>
        <v/>
      </c>
      <c r="AO306" s="3" t="str">
        <f t="shared" si="178"/>
        <v/>
      </c>
      <c r="AP306" s="33" t="str">
        <f t="shared" si="179"/>
        <v/>
      </c>
      <c r="AQ306" s="58" t="str">
        <f t="shared" si="156"/>
        <v/>
      </c>
      <c r="AR306" s="38">
        <f>IF(Summary!$H$2=1,VLOOKUP('ANR OK vs ML7'!A306,Curves!$C$17:$AR$273,MATCH('ANR OK vs ML7'!$AR$4,Curves!$C$8:$AQ$8,0)),0.1)</f>
        <v>0.1</v>
      </c>
      <c r="AS306" s="35" t="str">
        <f t="shared" si="157"/>
        <v/>
      </c>
      <c r="AT306" s="3" t="str">
        <f t="shared" si="180"/>
        <v/>
      </c>
      <c r="AU306" s="3" t="str">
        <f t="shared" si="158"/>
        <v/>
      </c>
      <c r="AW306" s="32" t="str">
        <f t="shared" si="181"/>
        <v/>
      </c>
      <c r="AX306" s="32" t="str">
        <f t="shared" si="182"/>
        <v/>
      </c>
      <c r="AY306" s="32" t="str">
        <f t="shared" si="183"/>
        <v/>
      </c>
      <c r="BA306" s="32" t="str">
        <f>IF($A307="","",F306*Summary!$Q$7)</f>
        <v/>
      </c>
    </row>
    <row r="307" spans="1:53" ht="12" customHeight="1">
      <c r="A307" s="67" t="str">
        <f t="shared" si="159"/>
        <v/>
      </c>
      <c r="B307" s="69" t="str">
        <f t="shared" si="184"/>
        <v/>
      </c>
      <c r="C307" s="71"/>
      <c r="D307" s="69" t="str">
        <f t="shared" si="185"/>
        <v/>
      </c>
      <c r="E307" s="70" t="str">
        <f t="shared" si="150"/>
        <v/>
      </c>
      <c r="F307" s="70" t="str">
        <f t="shared" si="151"/>
        <v/>
      </c>
      <c r="G307" s="63" t="str">
        <f t="shared" si="160"/>
        <v/>
      </c>
      <c r="H307" s="64" t="str">
        <f t="shared" si="161"/>
        <v/>
      </c>
      <c r="I307" s="43"/>
      <c r="J307" s="63" t="str">
        <f t="shared" si="162"/>
        <v/>
      </c>
      <c r="K307" s="64" t="str">
        <f t="shared" si="163"/>
        <v/>
      </c>
      <c r="L307" s="63" t="str">
        <f t="shared" si="164"/>
        <v/>
      </c>
      <c r="M307" s="64" t="str">
        <f t="shared" si="165"/>
        <v/>
      </c>
      <c r="N307" s="65"/>
      <c r="O307" s="63" t="str">
        <f t="shared" si="166"/>
        <v/>
      </c>
      <c r="P307" s="63" t="str">
        <f t="shared" si="167"/>
        <v/>
      </c>
      <c r="Q307" s="66"/>
      <c r="R307" s="63" t="str">
        <f t="shared" si="168"/>
        <v/>
      </c>
      <c r="S307" s="64" t="str">
        <f t="shared" si="169"/>
        <v/>
      </c>
      <c r="T307" s="63" t="str">
        <f t="shared" si="170"/>
        <v/>
      </c>
      <c r="U307" s="64" t="str">
        <f t="shared" si="171"/>
        <v/>
      </c>
      <c r="V307" s="207" t="str">
        <f>IF($A308="","",IF(AND(MONTH(A307)&gt;3,MONTH(A307)&lt;11),(T307+R307+G307)*Summary!$T$7/(1-Summary!$T$7),(T307+R307+G307)*Summary!$U$7/(1-Summary!$U$7)))</f>
        <v/>
      </c>
      <c r="W307" s="63" t="str">
        <f t="shared" si="172"/>
        <v/>
      </c>
      <c r="X307" s="63" t="str">
        <f t="shared" si="173"/>
        <v/>
      </c>
      <c r="Y307" s="43"/>
      <c r="Z307" s="38" t="str">
        <f t="shared" si="174"/>
        <v/>
      </c>
      <c r="AA307" s="38" t="str">
        <f t="shared" si="174"/>
        <v/>
      </c>
      <c r="AB307" s="38" t="e">
        <f t="shared" si="152"/>
        <v>#VALUE!</v>
      </c>
      <c r="AC307" s="38" t="str">
        <f t="shared" si="174"/>
        <v/>
      </c>
      <c r="AD307" s="38" t="str">
        <f t="shared" si="174"/>
        <v/>
      </c>
      <c r="AE307" s="38" t="e">
        <f t="shared" si="153"/>
        <v>#VALUE!</v>
      </c>
      <c r="AF307" s="238" t="e">
        <f>((Summary!$N$7*(AA307*AD307)*(A307-$D$3))+(Summary!$M$7*Z307*AC307*(DAY(EOMONTH(A307,0))/2)))/(AK307*AB307*AE307)</f>
        <v>#VALUE!</v>
      </c>
      <c r="AG307" s="88" t="str">
        <f>IF($A308="","",Summary!$Q$7)</f>
        <v/>
      </c>
      <c r="AH307" s="88" t="str">
        <f>IF($A308="","",IF(Summary!$R$7="Y",(VLOOKUP($A307,Summary!$AD$6:$AF$9,3)+'Escalating commodity'!C320),'Escalating commodity'!C320))</f>
        <v/>
      </c>
      <c r="AI307" s="88" t="str">
        <f t="shared" si="175"/>
        <v/>
      </c>
      <c r="AJ307" s="236" t="e">
        <f t="shared" si="154"/>
        <v>#VALUE!</v>
      </c>
      <c r="AK307" s="58" t="str">
        <f t="shared" si="176"/>
        <v/>
      </c>
      <c r="AL307" s="26" t="str">
        <f>IF($A308="","",_xll.SPRDOPT(P307,X307,AI307,0,AB307,AE307,AF307,AK307,$AJ$2,0))</f>
        <v/>
      </c>
      <c r="AM307" s="209" t="str">
        <f t="shared" si="155"/>
        <v/>
      </c>
      <c r="AN307" s="89" t="str">
        <f t="shared" si="177"/>
        <v/>
      </c>
      <c r="AO307" s="3" t="str">
        <f t="shared" si="178"/>
        <v/>
      </c>
      <c r="AP307" s="33" t="str">
        <f t="shared" si="179"/>
        <v/>
      </c>
      <c r="AQ307" s="58" t="str">
        <f t="shared" si="156"/>
        <v/>
      </c>
      <c r="AR307" s="38">
        <f>IF(Summary!$H$2=1,VLOOKUP('ANR OK vs ML7'!A307,Curves!$C$17:$AR$273,MATCH('ANR OK vs ML7'!$AR$4,Curves!$C$8:$AQ$8,0)),0.1)</f>
        <v>0.1</v>
      </c>
      <c r="AS307" s="35" t="str">
        <f t="shared" si="157"/>
        <v/>
      </c>
      <c r="AT307" s="3" t="str">
        <f t="shared" si="180"/>
        <v/>
      </c>
      <c r="AU307" s="3" t="str">
        <f t="shared" si="158"/>
        <v/>
      </c>
      <c r="AW307" s="32" t="str">
        <f t="shared" si="181"/>
        <v/>
      </c>
      <c r="AX307" s="32" t="str">
        <f t="shared" si="182"/>
        <v/>
      </c>
      <c r="AY307" s="32" t="str">
        <f t="shared" si="183"/>
        <v/>
      </c>
      <c r="BA307" s="32" t="str">
        <f>IF($A308="","",F307*Summary!$Q$7)</f>
        <v/>
      </c>
    </row>
    <row r="308" spans="1:53" ht="12" customHeight="1">
      <c r="A308" s="67" t="str">
        <f t="shared" si="159"/>
        <v/>
      </c>
      <c r="B308" s="69" t="str">
        <f t="shared" si="184"/>
        <v/>
      </c>
      <c r="C308" s="71"/>
      <c r="D308" s="69" t="str">
        <f t="shared" si="185"/>
        <v/>
      </c>
      <c r="E308" s="70" t="str">
        <f t="shared" si="150"/>
        <v/>
      </c>
      <c r="F308" s="70" t="str">
        <f t="shared" si="151"/>
        <v/>
      </c>
      <c r="G308" s="63" t="str">
        <f t="shared" si="160"/>
        <v/>
      </c>
      <c r="H308" s="64" t="str">
        <f t="shared" si="161"/>
        <v/>
      </c>
      <c r="I308" s="43"/>
      <c r="J308" s="63" t="str">
        <f t="shared" si="162"/>
        <v/>
      </c>
      <c r="K308" s="64" t="str">
        <f t="shared" si="163"/>
        <v/>
      </c>
      <c r="L308" s="63" t="str">
        <f t="shared" si="164"/>
        <v/>
      </c>
      <c r="M308" s="64" t="str">
        <f t="shared" si="165"/>
        <v/>
      </c>
      <c r="N308" s="65"/>
      <c r="O308" s="63" t="str">
        <f t="shared" si="166"/>
        <v/>
      </c>
      <c r="P308" s="63" t="str">
        <f t="shared" si="167"/>
        <v/>
      </c>
      <c r="Q308" s="66"/>
      <c r="R308" s="63" t="str">
        <f t="shared" si="168"/>
        <v/>
      </c>
      <c r="S308" s="64" t="str">
        <f t="shared" si="169"/>
        <v/>
      </c>
      <c r="T308" s="63" t="str">
        <f t="shared" si="170"/>
        <v/>
      </c>
      <c r="U308" s="64" t="str">
        <f t="shared" si="171"/>
        <v/>
      </c>
      <c r="V308" s="207" t="str">
        <f>IF($A309="","",IF(AND(MONTH(A308)&gt;3,MONTH(A308)&lt;11),(T308+R308+G308)*Summary!$T$7/(1-Summary!$T$7),(T308+R308+G308)*Summary!$U$7/(1-Summary!$U$7)))</f>
        <v/>
      </c>
      <c r="W308" s="63" t="str">
        <f t="shared" si="172"/>
        <v/>
      </c>
      <c r="X308" s="63" t="str">
        <f t="shared" si="173"/>
        <v/>
      </c>
      <c r="Y308" s="43"/>
      <c r="Z308" s="38" t="str">
        <f t="shared" si="174"/>
        <v/>
      </c>
      <c r="AA308" s="38" t="str">
        <f t="shared" si="174"/>
        <v/>
      </c>
      <c r="AB308" s="38" t="e">
        <f t="shared" si="152"/>
        <v>#VALUE!</v>
      </c>
      <c r="AC308" s="38" t="str">
        <f t="shared" si="174"/>
        <v/>
      </c>
      <c r="AD308" s="38" t="str">
        <f t="shared" si="174"/>
        <v/>
      </c>
      <c r="AE308" s="38" t="e">
        <f t="shared" si="153"/>
        <v>#VALUE!</v>
      </c>
      <c r="AF308" s="238" t="e">
        <f>((Summary!$N$7*(AA308*AD308)*(A308-$D$3))+(Summary!$M$7*Z308*AC308*(DAY(EOMONTH(A308,0))/2)))/(AK308*AB308*AE308)</f>
        <v>#VALUE!</v>
      </c>
      <c r="AG308" s="88" t="str">
        <f>IF($A309="","",Summary!$Q$7)</f>
        <v/>
      </c>
      <c r="AH308" s="88" t="str">
        <f>IF($A309="","",IF(Summary!$R$7="Y",(VLOOKUP($A308,Summary!$AD$6:$AF$9,3)+'Escalating commodity'!C321),'Escalating commodity'!C321))</f>
        <v/>
      </c>
      <c r="AI308" s="88" t="str">
        <f t="shared" si="175"/>
        <v/>
      </c>
      <c r="AJ308" s="236" t="e">
        <f t="shared" si="154"/>
        <v>#VALUE!</v>
      </c>
      <c r="AK308" s="58" t="str">
        <f t="shared" si="176"/>
        <v/>
      </c>
      <c r="AL308" s="26" t="str">
        <f>IF($A309="","",_xll.SPRDOPT(P308,X308,AI308,0,AB308,AE308,AF308,AK308,$AJ$2,0))</f>
        <v/>
      </c>
      <c r="AM308" s="209" t="str">
        <f t="shared" si="155"/>
        <v/>
      </c>
      <c r="AN308" s="89" t="str">
        <f t="shared" si="177"/>
        <v/>
      </c>
      <c r="AO308" s="3" t="str">
        <f t="shared" si="178"/>
        <v/>
      </c>
      <c r="AP308" s="33" t="str">
        <f t="shared" si="179"/>
        <v/>
      </c>
      <c r="AQ308" s="58" t="str">
        <f t="shared" si="156"/>
        <v/>
      </c>
      <c r="AR308" s="38">
        <f>IF(Summary!$H$2=1,VLOOKUP('ANR OK vs ML7'!A308,Curves!$C$17:$AR$273,MATCH('ANR OK vs ML7'!$AR$4,Curves!$C$8:$AQ$8,0)),0.1)</f>
        <v>0.1</v>
      </c>
      <c r="AS308" s="35" t="str">
        <f t="shared" si="157"/>
        <v/>
      </c>
      <c r="AT308" s="3" t="str">
        <f t="shared" si="180"/>
        <v/>
      </c>
      <c r="AU308" s="3" t="str">
        <f t="shared" si="158"/>
        <v/>
      </c>
      <c r="AW308" s="32" t="str">
        <f t="shared" si="181"/>
        <v/>
      </c>
      <c r="AX308" s="32" t="str">
        <f t="shared" si="182"/>
        <v/>
      </c>
      <c r="AY308" s="32" t="str">
        <f t="shared" si="183"/>
        <v/>
      </c>
      <c r="BA308" s="32" t="str">
        <f>IF($A309="","",F308*Summary!$Q$7)</f>
        <v/>
      </c>
    </row>
    <row r="309" spans="1:53" ht="12" customHeight="1">
      <c r="A309" s="67" t="str">
        <f t="shared" si="159"/>
        <v/>
      </c>
      <c r="B309" s="69" t="str">
        <f t="shared" si="184"/>
        <v/>
      </c>
      <c r="C309" s="71"/>
      <c r="D309" s="69" t="str">
        <f t="shared" si="185"/>
        <v/>
      </c>
      <c r="E309" s="70" t="str">
        <f t="shared" si="150"/>
        <v/>
      </c>
      <c r="F309" s="70" t="str">
        <f t="shared" si="151"/>
        <v/>
      </c>
      <c r="G309" s="63" t="str">
        <f t="shared" si="160"/>
        <v/>
      </c>
      <c r="H309" s="64" t="str">
        <f t="shared" si="161"/>
        <v/>
      </c>
      <c r="I309" s="43"/>
      <c r="J309" s="63" t="str">
        <f t="shared" si="162"/>
        <v/>
      </c>
      <c r="K309" s="64" t="str">
        <f t="shared" si="163"/>
        <v/>
      </c>
      <c r="L309" s="63" t="str">
        <f t="shared" si="164"/>
        <v/>
      </c>
      <c r="M309" s="64" t="str">
        <f t="shared" si="165"/>
        <v/>
      </c>
      <c r="N309" s="65"/>
      <c r="O309" s="63" t="str">
        <f t="shared" si="166"/>
        <v/>
      </c>
      <c r="P309" s="63" t="str">
        <f t="shared" si="167"/>
        <v/>
      </c>
      <c r="Q309" s="66"/>
      <c r="R309" s="63" t="str">
        <f t="shared" si="168"/>
        <v/>
      </c>
      <c r="S309" s="64" t="str">
        <f t="shared" si="169"/>
        <v/>
      </c>
      <c r="T309" s="63" t="str">
        <f t="shared" si="170"/>
        <v/>
      </c>
      <c r="U309" s="64" t="str">
        <f t="shared" si="171"/>
        <v/>
      </c>
      <c r="V309" s="207" t="str">
        <f>IF($A310="","",IF(AND(MONTH(A309)&gt;3,MONTH(A309)&lt;11),(T309+R309+G309)*Summary!$T$7/(1-Summary!$T$7),(T309+R309+G309)*Summary!$U$7/(1-Summary!$U$7)))</f>
        <v/>
      </c>
      <c r="W309" s="63" t="str">
        <f t="shared" si="172"/>
        <v/>
      </c>
      <c r="X309" s="63" t="str">
        <f t="shared" si="173"/>
        <v/>
      </c>
      <c r="Y309" s="43"/>
      <c r="Z309" s="38" t="str">
        <f t="shared" si="174"/>
        <v/>
      </c>
      <c r="AA309" s="38" t="str">
        <f t="shared" si="174"/>
        <v/>
      </c>
      <c r="AB309" s="38" t="e">
        <f t="shared" si="152"/>
        <v>#VALUE!</v>
      </c>
      <c r="AC309" s="38" t="str">
        <f t="shared" si="174"/>
        <v/>
      </c>
      <c r="AD309" s="38" t="str">
        <f t="shared" si="174"/>
        <v/>
      </c>
      <c r="AE309" s="38" t="e">
        <f t="shared" si="153"/>
        <v>#VALUE!</v>
      </c>
      <c r="AF309" s="238" t="e">
        <f>((Summary!$N$7*(AA309*AD309)*(A309-$D$3))+(Summary!$M$7*Z309*AC309*(DAY(EOMONTH(A309,0))/2)))/(AK309*AB309*AE309)</f>
        <v>#VALUE!</v>
      </c>
      <c r="AG309" s="88" t="str">
        <f>IF($A310="","",Summary!$Q$7)</f>
        <v/>
      </c>
      <c r="AH309" s="88" t="str">
        <f>IF($A310="","",IF(Summary!$R$7="Y",(VLOOKUP($A309,Summary!$AD$6:$AF$9,3)+'Escalating commodity'!C322),'Escalating commodity'!C322))</f>
        <v/>
      </c>
      <c r="AI309" s="88" t="str">
        <f t="shared" si="175"/>
        <v/>
      </c>
      <c r="AJ309" s="236" t="e">
        <f t="shared" si="154"/>
        <v>#VALUE!</v>
      </c>
      <c r="AK309" s="58" t="str">
        <f t="shared" si="176"/>
        <v/>
      </c>
      <c r="AL309" s="26" t="str">
        <f>IF($A310="","",_xll.SPRDOPT(P309,X309,AI309,0,AB309,AE309,AF309,AK309,$AJ$2,0))</f>
        <v/>
      </c>
      <c r="AM309" s="209" t="str">
        <f t="shared" si="155"/>
        <v/>
      </c>
      <c r="AN309" s="89" t="str">
        <f t="shared" si="177"/>
        <v/>
      </c>
      <c r="AO309" s="3" t="str">
        <f t="shared" si="178"/>
        <v/>
      </c>
      <c r="AP309" s="33" t="str">
        <f t="shared" si="179"/>
        <v/>
      </c>
      <c r="AQ309" s="58" t="str">
        <f t="shared" si="156"/>
        <v/>
      </c>
      <c r="AR309" s="38">
        <f>IF(Summary!$H$2=1,VLOOKUP('ANR OK vs ML7'!A309,Curves!$C$17:$AR$273,MATCH('ANR OK vs ML7'!$AR$4,Curves!$C$8:$AQ$8,0)),0.1)</f>
        <v>0.1</v>
      </c>
      <c r="AS309" s="35" t="str">
        <f t="shared" si="157"/>
        <v/>
      </c>
      <c r="AT309" s="3" t="str">
        <f t="shared" si="180"/>
        <v/>
      </c>
      <c r="AU309" s="3" t="str">
        <f t="shared" si="158"/>
        <v/>
      </c>
      <c r="AW309" s="32" t="str">
        <f t="shared" si="181"/>
        <v/>
      </c>
      <c r="AX309" s="32" t="str">
        <f t="shared" si="182"/>
        <v/>
      </c>
      <c r="AY309" s="32" t="str">
        <f t="shared" si="183"/>
        <v/>
      </c>
      <c r="BA309" s="32" t="str">
        <f>IF($A310="","",F309*Summary!$Q$7)</f>
        <v/>
      </c>
    </row>
    <row r="310" spans="1:53" ht="12" customHeight="1">
      <c r="A310" s="67" t="str">
        <f t="shared" si="159"/>
        <v/>
      </c>
      <c r="B310" s="69" t="str">
        <f t="shared" si="184"/>
        <v/>
      </c>
      <c r="C310" s="71"/>
      <c r="D310" s="69" t="str">
        <f t="shared" si="185"/>
        <v/>
      </c>
      <c r="E310" s="70" t="str">
        <f t="shared" si="150"/>
        <v/>
      </c>
      <c r="F310" s="70" t="str">
        <f t="shared" si="151"/>
        <v/>
      </c>
      <c r="G310" s="63" t="str">
        <f t="shared" si="160"/>
        <v/>
      </c>
      <c r="H310" s="64" t="str">
        <f t="shared" si="161"/>
        <v/>
      </c>
      <c r="I310" s="43"/>
      <c r="J310" s="63" t="str">
        <f t="shared" si="162"/>
        <v/>
      </c>
      <c r="K310" s="64" t="str">
        <f t="shared" si="163"/>
        <v/>
      </c>
      <c r="L310" s="63" t="str">
        <f t="shared" si="164"/>
        <v/>
      </c>
      <c r="M310" s="64" t="str">
        <f t="shared" si="165"/>
        <v/>
      </c>
      <c r="N310" s="65"/>
      <c r="O310" s="63" t="str">
        <f t="shared" si="166"/>
        <v/>
      </c>
      <c r="P310" s="63" t="str">
        <f t="shared" si="167"/>
        <v/>
      </c>
      <c r="Q310" s="66"/>
      <c r="R310" s="63" t="str">
        <f t="shared" si="168"/>
        <v/>
      </c>
      <c r="S310" s="64" t="str">
        <f t="shared" si="169"/>
        <v/>
      </c>
      <c r="T310" s="63" t="str">
        <f t="shared" si="170"/>
        <v/>
      </c>
      <c r="U310" s="64" t="str">
        <f t="shared" si="171"/>
        <v/>
      </c>
      <c r="V310" s="207" t="str">
        <f>IF($A311="","",IF(AND(MONTH(A310)&gt;3,MONTH(A310)&lt;11),(T310+R310+G310)*Summary!$T$7/(1-Summary!$T$7),(T310+R310+G310)*Summary!$U$7/(1-Summary!$U$7)))</f>
        <v/>
      </c>
      <c r="W310" s="63" t="str">
        <f t="shared" si="172"/>
        <v/>
      </c>
      <c r="X310" s="63" t="str">
        <f t="shared" si="173"/>
        <v/>
      </c>
      <c r="Y310" s="43"/>
      <c r="Z310" s="38" t="str">
        <f t="shared" si="174"/>
        <v/>
      </c>
      <c r="AA310" s="38" t="str">
        <f t="shared" si="174"/>
        <v/>
      </c>
      <c r="AB310" s="38" t="e">
        <f t="shared" si="152"/>
        <v>#VALUE!</v>
      </c>
      <c r="AC310" s="38" t="str">
        <f t="shared" si="174"/>
        <v/>
      </c>
      <c r="AD310" s="38" t="str">
        <f t="shared" si="174"/>
        <v/>
      </c>
      <c r="AE310" s="38" t="e">
        <f t="shared" si="153"/>
        <v>#VALUE!</v>
      </c>
      <c r="AF310" s="238" t="e">
        <f>((Summary!$N$7*(AA310*AD310)*(A310-$D$3))+(Summary!$M$7*Z310*AC310*(DAY(EOMONTH(A310,0))/2)))/(AK310*AB310*AE310)</f>
        <v>#VALUE!</v>
      </c>
      <c r="AG310" s="88" t="str">
        <f>IF($A311="","",Summary!$Q$7)</f>
        <v/>
      </c>
      <c r="AH310" s="88" t="str">
        <f>IF($A311="","",IF(Summary!$R$7="Y",(VLOOKUP($A310,Summary!$AD$6:$AF$9,3)+'Escalating commodity'!C323),'Escalating commodity'!C323))</f>
        <v/>
      </c>
      <c r="AI310" s="88" t="str">
        <f t="shared" si="175"/>
        <v/>
      </c>
      <c r="AJ310" s="236" t="e">
        <f t="shared" si="154"/>
        <v>#VALUE!</v>
      </c>
      <c r="AK310" s="58" t="str">
        <f t="shared" si="176"/>
        <v/>
      </c>
      <c r="AL310" s="26" t="str">
        <f>IF($A311="","",_xll.SPRDOPT(P310,X310,AI310,0,AB310,AE310,AF310,AK310,$AJ$2,0))</f>
        <v/>
      </c>
      <c r="AM310" s="209" t="str">
        <f t="shared" si="155"/>
        <v/>
      </c>
      <c r="AN310" s="89" t="str">
        <f t="shared" si="177"/>
        <v/>
      </c>
      <c r="AO310" s="3" t="str">
        <f t="shared" si="178"/>
        <v/>
      </c>
      <c r="AP310" s="33" t="str">
        <f t="shared" si="179"/>
        <v/>
      </c>
      <c r="AQ310" s="58" t="str">
        <f t="shared" si="156"/>
        <v/>
      </c>
      <c r="AR310" s="38">
        <f>IF(Summary!$H$2=1,VLOOKUP('ANR OK vs ML7'!A310,Curves!$C$17:$AR$273,MATCH('ANR OK vs ML7'!$AR$4,Curves!$C$8:$AQ$8,0)),0.1)</f>
        <v>0.1</v>
      </c>
      <c r="AS310" s="35" t="str">
        <f t="shared" si="157"/>
        <v/>
      </c>
      <c r="AT310" s="3" t="str">
        <f t="shared" si="180"/>
        <v/>
      </c>
      <c r="AU310" s="3" t="str">
        <f t="shared" si="158"/>
        <v/>
      </c>
      <c r="AW310" s="32" t="str">
        <f t="shared" si="181"/>
        <v/>
      </c>
      <c r="AX310" s="32" t="str">
        <f t="shared" si="182"/>
        <v/>
      </c>
      <c r="AY310" s="32" t="str">
        <f t="shared" si="183"/>
        <v/>
      </c>
      <c r="BA310" s="32" t="str">
        <f>IF($A311="","",F310*Summary!$Q$7)</f>
        <v/>
      </c>
    </row>
    <row r="311" spans="1:53" ht="12" customHeight="1">
      <c r="A311" s="67" t="str">
        <f t="shared" si="159"/>
        <v/>
      </c>
      <c r="B311" s="69" t="str">
        <f t="shared" si="184"/>
        <v/>
      </c>
      <c r="C311" s="71"/>
      <c r="D311" s="69" t="str">
        <f t="shared" si="185"/>
        <v/>
      </c>
      <c r="E311" s="70" t="str">
        <f t="shared" si="150"/>
        <v/>
      </c>
      <c r="F311" s="70" t="str">
        <f t="shared" si="151"/>
        <v/>
      </c>
      <c r="G311" s="63" t="str">
        <f t="shared" si="160"/>
        <v/>
      </c>
      <c r="H311" s="64" t="str">
        <f t="shared" si="161"/>
        <v/>
      </c>
      <c r="I311" s="43"/>
      <c r="J311" s="63" t="str">
        <f t="shared" si="162"/>
        <v/>
      </c>
      <c r="K311" s="64" t="str">
        <f t="shared" si="163"/>
        <v/>
      </c>
      <c r="L311" s="63" t="str">
        <f t="shared" si="164"/>
        <v/>
      </c>
      <c r="M311" s="64" t="str">
        <f t="shared" si="165"/>
        <v/>
      </c>
      <c r="N311" s="65"/>
      <c r="O311" s="63" t="str">
        <f t="shared" si="166"/>
        <v/>
      </c>
      <c r="P311" s="63" t="str">
        <f t="shared" si="167"/>
        <v/>
      </c>
      <c r="Q311" s="66"/>
      <c r="R311" s="63" t="str">
        <f t="shared" si="168"/>
        <v/>
      </c>
      <c r="S311" s="64" t="str">
        <f t="shared" si="169"/>
        <v/>
      </c>
      <c r="T311" s="63" t="str">
        <f t="shared" si="170"/>
        <v/>
      </c>
      <c r="U311" s="64" t="str">
        <f t="shared" si="171"/>
        <v/>
      </c>
      <c r="V311" s="207" t="str">
        <f>IF($A312="","",IF(AND(MONTH(A311)&gt;3,MONTH(A311)&lt;11),(T311+R311+G311)*Summary!$T$7/(1-Summary!$T$7),(T311+R311+G311)*Summary!$U$7/(1-Summary!$U$7)))</f>
        <v/>
      </c>
      <c r="W311" s="63" t="str">
        <f t="shared" si="172"/>
        <v/>
      </c>
      <c r="X311" s="63" t="str">
        <f t="shared" si="173"/>
        <v/>
      </c>
      <c r="Y311" s="43"/>
      <c r="Z311" s="38" t="str">
        <f t="shared" si="174"/>
        <v/>
      </c>
      <c r="AA311" s="38" t="str">
        <f t="shared" si="174"/>
        <v/>
      </c>
      <c r="AB311" s="38" t="e">
        <f t="shared" si="152"/>
        <v>#VALUE!</v>
      </c>
      <c r="AC311" s="38" t="str">
        <f t="shared" si="174"/>
        <v/>
      </c>
      <c r="AD311" s="38" t="str">
        <f t="shared" si="174"/>
        <v/>
      </c>
      <c r="AE311" s="38" t="e">
        <f t="shared" si="153"/>
        <v>#VALUE!</v>
      </c>
      <c r="AF311" s="238" t="e">
        <f>((Summary!$N$7*(AA311*AD311)*(A311-$D$3))+(Summary!$M$7*Z311*AC311*(DAY(EOMONTH(A311,0))/2)))/(AK311*AB311*AE311)</f>
        <v>#VALUE!</v>
      </c>
      <c r="AG311" s="88" t="str">
        <f>IF($A312="","",Summary!$Q$7)</f>
        <v/>
      </c>
      <c r="AH311" s="88" t="str">
        <f>IF($A312="","",IF(Summary!$R$7="Y",(VLOOKUP($A311,Summary!$AD$6:$AF$9,3)+'Escalating commodity'!C324),'Escalating commodity'!C324))</f>
        <v/>
      </c>
      <c r="AI311" s="88" t="str">
        <f t="shared" si="175"/>
        <v/>
      </c>
      <c r="AJ311" s="236" t="e">
        <f t="shared" si="154"/>
        <v>#VALUE!</v>
      </c>
      <c r="AK311" s="58" t="str">
        <f t="shared" si="176"/>
        <v/>
      </c>
      <c r="AL311" s="26" t="str">
        <f>IF($A312="","",_xll.SPRDOPT(P311,X311,AI311,0,AB311,AE311,AF311,AK311,$AJ$2,0))</f>
        <v/>
      </c>
      <c r="AM311" s="209" t="str">
        <f t="shared" si="155"/>
        <v/>
      </c>
      <c r="AN311" s="89" t="str">
        <f t="shared" si="177"/>
        <v/>
      </c>
      <c r="AO311" s="3" t="str">
        <f t="shared" si="178"/>
        <v/>
      </c>
      <c r="AP311" s="33" t="str">
        <f t="shared" si="179"/>
        <v/>
      </c>
      <c r="AQ311" s="58" t="str">
        <f t="shared" si="156"/>
        <v/>
      </c>
      <c r="AR311" s="38">
        <f>IF(Summary!$H$2=1,VLOOKUP('ANR OK vs ML7'!A311,Curves!$C$17:$AR$273,MATCH('ANR OK vs ML7'!$AR$4,Curves!$C$8:$AQ$8,0)),0.1)</f>
        <v>0.1</v>
      </c>
      <c r="AS311" s="35" t="str">
        <f t="shared" si="157"/>
        <v/>
      </c>
      <c r="AT311" s="3" t="str">
        <f t="shared" si="180"/>
        <v/>
      </c>
      <c r="AU311" s="3" t="str">
        <f t="shared" si="158"/>
        <v/>
      </c>
      <c r="AW311" s="32" t="str">
        <f t="shared" si="181"/>
        <v/>
      </c>
      <c r="AX311" s="32" t="str">
        <f t="shared" si="182"/>
        <v/>
      </c>
      <c r="AY311" s="32" t="str">
        <f t="shared" si="183"/>
        <v/>
      </c>
      <c r="BA311" s="32" t="str">
        <f>IF($A312="","",F311*Summary!$Q$7)</f>
        <v/>
      </c>
    </row>
    <row r="312" spans="1:53" ht="12" customHeight="1">
      <c r="A312" s="67" t="str">
        <f t="shared" si="159"/>
        <v/>
      </c>
      <c r="B312" s="69" t="str">
        <f t="shared" si="184"/>
        <v/>
      </c>
      <c r="C312" s="71"/>
      <c r="D312" s="69" t="str">
        <f t="shared" si="185"/>
        <v/>
      </c>
      <c r="E312" s="70" t="str">
        <f t="shared" si="150"/>
        <v/>
      </c>
      <c r="F312" s="70" t="str">
        <f t="shared" si="151"/>
        <v/>
      </c>
      <c r="G312" s="63" t="str">
        <f t="shared" si="160"/>
        <v/>
      </c>
      <c r="H312" s="64" t="str">
        <f t="shared" si="161"/>
        <v/>
      </c>
      <c r="I312" s="43"/>
      <c r="J312" s="63" t="str">
        <f t="shared" si="162"/>
        <v/>
      </c>
      <c r="K312" s="64" t="str">
        <f t="shared" si="163"/>
        <v/>
      </c>
      <c r="L312" s="63" t="str">
        <f t="shared" si="164"/>
        <v/>
      </c>
      <c r="M312" s="64" t="str">
        <f t="shared" si="165"/>
        <v/>
      </c>
      <c r="N312" s="65"/>
      <c r="O312" s="63" t="str">
        <f t="shared" si="166"/>
        <v/>
      </c>
      <c r="P312" s="63" t="str">
        <f t="shared" si="167"/>
        <v/>
      </c>
      <c r="Q312" s="66"/>
      <c r="R312" s="63" t="str">
        <f t="shared" si="168"/>
        <v/>
      </c>
      <c r="S312" s="64" t="str">
        <f t="shared" si="169"/>
        <v/>
      </c>
      <c r="T312" s="63" t="str">
        <f t="shared" si="170"/>
        <v/>
      </c>
      <c r="U312" s="64" t="str">
        <f t="shared" si="171"/>
        <v/>
      </c>
      <c r="V312" s="207" t="str">
        <f>IF($A313="","",IF(AND(MONTH(A312)&gt;3,MONTH(A312)&lt;11),(T312+R312+G312)*Summary!$T$7/(1-Summary!$T$7),(T312+R312+G312)*Summary!$U$7/(1-Summary!$U$7)))</f>
        <v/>
      </c>
      <c r="W312" s="63" t="str">
        <f t="shared" si="172"/>
        <v/>
      </c>
      <c r="X312" s="63" t="str">
        <f t="shared" si="173"/>
        <v/>
      </c>
      <c r="Y312" s="43"/>
      <c r="Z312" s="38" t="str">
        <f t="shared" si="174"/>
        <v/>
      </c>
      <c r="AA312" s="38" t="str">
        <f t="shared" si="174"/>
        <v/>
      </c>
      <c r="AB312" s="38" t="e">
        <f t="shared" si="152"/>
        <v>#VALUE!</v>
      </c>
      <c r="AC312" s="38" t="str">
        <f t="shared" si="174"/>
        <v/>
      </c>
      <c r="AD312" s="38" t="str">
        <f t="shared" si="174"/>
        <v/>
      </c>
      <c r="AE312" s="38" t="e">
        <f t="shared" si="153"/>
        <v>#VALUE!</v>
      </c>
      <c r="AF312" s="238" t="e">
        <f>((Summary!$N$7*(AA312*AD312)*(A312-$D$3))+(Summary!$M$7*Z312*AC312*(DAY(EOMONTH(A312,0))/2)))/(AK312*AB312*AE312)</f>
        <v>#VALUE!</v>
      </c>
      <c r="AG312" s="88" t="str">
        <f>IF($A313="","",Summary!$Q$7)</f>
        <v/>
      </c>
      <c r="AH312" s="88" t="str">
        <f>IF($A313="","",IF(Summary!$R$7="Y",(VLOOKUP($A312,Summary!$AD$6:$AF$9,3)+'Escalating commodity'!C325),'Escalating commodity'!C325))</f>
        <v/>
      </c>
      <c r="AI312" s="88" t="str">
        <f t="shared" si="175"/>
        <v/>
      </c>
      <c r="AJ312" s="236" t="e">
        <f t="shared" si="154"/>
        <v>#VALUE!</v>
      </c>
      <c r="AK312" s="58" t="str">
        <f t="shared" si="176"/>
        <v/>
      </c>
      <c r="AL312" s="26" t="str">
        <f>IF($A313="","",_xll.SPRDOPT(P312,X312,AI312,0,AB312,AE312,AF312,AK312,$AJ$2,0))</f>
        <v/>
      </c>
      <c r="AM312" s="209" t="str">
        <f t="shared" si="155"/>
        <v/>
      </c>
      <c r="AN312" s="89" t="str">
        <f t="shared" si="177"/>
        <v/>
      </c>
      <c r="AO312" s="3" t="str">
        <f t="shared" si="178"/>
        <v/>
      </c>
      <c r="AP312" s="33" t="str">
        <f t="shared" si="179"/>
        <v/>
      </c>
      <c r="AQ312" s="58" t="str">
        <f t="shared" si="156"/>
        <v/>
      </c>
      <c r="AR312" s="38">
        <f>IF(Summary!$H$2=1,VLOOKUP('ANR OK vs ML7'!A312,Curves!$C$17:$AR$273,MATCH('ANR OK vs ML7'!$AR$4,Curves!$C$8:$AQ$8,0)),0.1)</f>
        <v>0.1</v>
      </c>
      <c r="AS312" s="35" t="str">
        <f t="shared" si="157"/>
        <v/>
      </c>
      <c r="AT312" s="3" t="str">
        <f t="shared" si="180"/>
        <v/>
      </c>
      <c r="AU312" s="3" t="str">
        <f t="shared" si="158"/>
        <v/>
      </c>
      <c r="AW312" s="32" t="str">
        <f t="shared" si="181"/>
        <v/>
      </c>
      <c r="AX312" s="32" t="str">
        <f t="shared" si="182"/>
        <v/>
      </c>
      <c r="AY312" s="32" t="str">
        <f t="shared" si="183"/>
        <v/>
      </c>
      <c r="BA312" s="32" t="str">
        <f>IF($A313="","",F312*Summary!$Q$7)</f>
        <v/>
      </c>
    </row>
    <row r="313" spans="1:53" ht="12" customHeight="1">
      <c r="A313" s="67" t="str">
        <f t="shared" si="159"/>
        <v/>
      </c>
      <c r="B313" s="69" t="str">
        <f t="shared" si="184"/>
        <v/>
      </c>
      <c r="C313" s="71"/>
      <c r="D313" s="69" t="str">
        <f t="shared" si="185"/>
        <v/>
      </c>
      <c r="E313" s="70" t="str">
        <f t="shared" si="150"/>
        <v/>
      </c>
      <c r="F313" s="70" t="str">
        <f t="shared" si="151"/>
        <v/>
      </c>
      <c r="G313" s="63" t="str">
        <f t="shared" si="160"/>
        <v/>
      </c>
      <c r="H313" s="64" t="str">
        <f t="shared" si="161"/>
        <v/>
      </c>
      <c r="I313" s="43"/>
      <c r="J313" s="63" t="str">
        <f t="shared" si="162"/>
        <v/>
      </c>
      <c r="K313" s="64" t="str">
        <f t="shared" si="163"/>
        <v/>
      </c>
      <c r="L313" s="63" t="str">
        <f t="shared" si="164"/>
        <v/>
      </c>
      <c r="M313" s="64" t="str">
        <f t="shared" si="165"/>
        <v/>
      </c>
      <c r="N313" s="65"/>
      <c r="O313" s="63" t="str">
        <f t="shared" si="166"/>
        <v/>
      </c>
      <c r="P313" s="63" t="str">
        <f t="shared" si="167"/>
        <v/>
      </c>
      <c r="Q313" s="66"/>
      <c r="R313" s="63" t="str">
        <f t="shared" si="168"/>
        <v/>
      </c>
      <c r="S313" s="64" t="str">
        <f t="shared" si="169"/>
        <v/>
      </c>
      <c r="T313" s="63" t="str">
        <f t="shared" si="170"/>
        <v/>
      </c>
      <c r="U313" s="64" t="str">
        <f t="shared" si="171"/>
        <v/>
      </c>
      <c r="V313" s="207" t="str">
        <f>IF($A314="","",IF(AND(MONTH(A313)&gt;3,MONTH(A313)&lt;11),(T313+R313+G313)*Summary!$T$7/(1-Summary!$T$7),(T313+R313+G313)*Summary!$U$7/(1-Summary!$U$7)))</f>
        <v/>
      </c>
      <c r="W313" s="63" t="str">
        <f t="shared" si="172"/>
        <v/>
      </c>
      <c r="X313" s="63" t="str">
        <f t="shared" si="173"/>
        <v/>
      </c>
      <c r="Y313" s="43"/>
      <c r="Z313" s="38" t="str">
        <f t="shared" si="174"/>
        <v/>
      </c>
      <c r="AA313" s="38" t="str">
        <f t="shared" si="174"/>
        <v/>
      </c>
      <c r="AB313" s="38" t="e">
        <f t="shared" si="152"/>
        <v>#VALUE!</v>
      </c>
      <c r="AC313" s="38" t="str">
        <f t="shared" si="174"/>
        <v/>
      </c>
      <c r="AD313" s="38" t="str">
        <f t="shared" si="174"/>
        <v/>
      </c>
      <c r="AE313" s="38" t="e">
        <f t="shared" si="153"/>
        <v>#VALUE!</v>
      </c>
      <c r="AF313" s="238" t="e">
        <f>((Summary!$N$7*(AA313*AD313)*(A313-$D$3))+(Summary!$M$7*Z313*AC313*(DAY(EOMONTH(A313,0))/2)))/(AK313*AB313*AE313)</f>
        <v>#VALUE!</v>
      </c>
      <c r="AG313" s="88" t="str">
        <f>IF($A314="","",Summary!$Q$7)</f>
        <v/>
      </c>
      <c r="AH313" s="88" t="str">
        <f>IF($A314="","",IF(Summary!$R$7="Y",(VLOOKUP($A313,Summary!$AD$6:$AF$9,3)+'Escalating commodity'!C326),'Escalating commodity'!C326))</f>
        <v/>
      </c>
      <c r="AI313" s="88" t="str">
        <f t="shared" si="175"/>
        <v/>
      </c>
      <c r="AJ313" s="236" t="e">
        <f t="shared" si="154"/>
        <v>#VALUE!</v>
      </c>
      <c r="AK313" s="58" t="str">
        <f t="shared" si="176"/>
        <v/>
      </c>
      <c r="AL313" s="26" t="str">
        <f>IF($A314="","",_xll.SPRDOPT(P313,X313,AI313,0,AB313,AE313,AF313,AK313,$AJ$2,0))</f>
        <v/>
      </c>
      <c r="AM313" s="209" t="str">
        <f t="shared" si="155"/>
        <v/>
      </c>
      <c r="AN313" s="89" t="str">
        <f t="shared" si="177"/>
        <v/>
      </c>
      <c r="AO313" s="3" t="str">
        <f t="shared" si="178"/>
        <v/>
      </c>
      <c r="AP313" s="33" t="str">
        <f t="shared" si="179"/>
        <v/>
      </c>
      <c r="AQ313" s="58" t="str">
        <f t="shared" si="156"/>
        <v/>
      </c>
      <c r="AR313" s="38">
        <f>IF(Summary!$H$2=1,VLOOKUP('ANR OK vs ML7'!A313,Curves!$C$17:$AR$273,MATCH('ANR OK vs ML7'!$AR$4,Curves!$C$8:$AQ$8,0)),0.1)</f>
        <v>0.1</v>
      </c>
      <c r="AS313" s="35" t="str">
        <f t="shared" si="157"/>
        <v/>
      </c>
      <c r="AT313" s="3" t="str">
        <f t="shared" si="180"/>
        <v/>
      </c>
      <c r="AU313" s="3" t="str">
        <f t="shared" si="158"/>
        <v/>
      </c>
      <c r="AW313" s="32" t="str">
        <f t="shared" si="181"/>
        <v/>
      </c>
      <c r="AX313" s="32" t="str">
        <f t="shared" si="182"/>
        <v/>
      </c>
      <c r="AY313" s="32" t="str">
        <f t="shared" si="183"/>
        <v/>
      </c>
      <c r="BA313" s="32" t="str">
        <f>IF($A314="","",F313*Summary!$Q$7)</f>
        <v/>
      </c>
    </row>
    <row r="314" spans="1:53" ht="12" customHeight="1">
      <c r="A314" s="67" t="str">
        <f t="shared" si="159"/>
        <v/>
      </c>
      <c r="B314" s="69" t="str">
        <f t="shared" si="184"/>
        <v/>
      </c>
      <c r="C314" s="71"/>
      <c r="D314" s="69" t="str">
        <f t="shared" si="185"/>
        <v/>
      </c>
      <c r="E314" s="70" t="str">
        <f t="shared" si="150"/>
        <v/>
      </c>
      <c r="F314" s="70" t="str">
        <f t="shared" si="151"/>
        <v/>
      </c>
      <c r="G314" s="63" t="str">
        <f t="shared" si="160"/>
        <v/>
      </c>
      <c r="H314" s="64" t="str">
        <f t="shared" si="161"/>
        <v/>
      </c>
      <c r="I314" s="43"/>
      <c r="J314" s="63" t="str">
        <f t="shared" si="162"/>
        <v/>
      </c>
      <c r="K314" s="64" t="str">
        <f t="shared" si="163"/>
        <v/>
      </c>
      <c r="L314" s="63" t="str">
        <f t="shared" si="164"/>
        <v/>
      </c>
      <c r="M314" s="64" t="str">
        <f t="shared" si="165"/>
        <v/>
      </c>
      <c r="N314" s="65"/>
      <c r="O314" s="63" t="str">
        <f t="shared" si="166"/>
        <v/>
      </c>
      <c r="P314" s="63" t="str">
        <f t="shared" si="167"/>
        <v/>
      </c>
      <c r="Q314" s="66"/>
      <c r="R314" s="63" t="str">
        <f t="shared" si="168"/>
        <v/>
      </c>
      <c r="S314" s="64" t="str">
        <f t="shared" si="169"/>
        <v/>
      </c>
      <c r="T314" s="63" t="str">
        <f t="shared" si="170"/>
        <v/>
      </c>
      <c r="U314" s="64" t="str">
        <f t="shared" si="171"/>
        <v/>
      </c>
      <c r="V314" s="207" t="str">
        <f>IF($A315="","",IF(AND(MONTH(A314)&gt;3,MONTH(A314)&lt;11),(T314+R314+G314)*Summary!$T$7/(1-Summary!$T$7),(T314+R314+G314)*Summary!$U$7/(1-Summary!$U$7)))</f>
        <v/>
      </c>
      <c r="W314" s="63" t="str">
        <f t="shared" si="172"/>
        <v/>
      </c>
      <c r="X314" s="63" t="str">
        <f t="shared" si="173"/>
        <v/>
      </c>
      <c r="Y314" s="43"/>
      <c r="Z314" s="38" t="str">
        <f t="shared" si="174"/>
        <v/>
      </c>
      <c r="AA314" s="38" t="str">
        <f t="shared" si="174"/>
        <v/>
      </c>
      <c r="AB314" s="38" t="e">
        <f t="shared" si="152"/>
        <v>#VALUE!</v>
      </c>
      <c r="AC314" s="38" t="str">
        <f t="shared" si="174"/>
        <v/>
      </c>
      <c r="AD314" s="38" t="str">
        <f t="shared" si="174"/>
        <v/>
      </c>
      <c r="AE314" s="38" t="e">
        <f t="shared" si="153"/>
        <v>#VALUE!</v>
      </c>
      <c r="AF314" s="238" t="e">
        <f>((Summary!$N$7*(AA314*AD314)*(A314-$D$3))+(Summary!$M$7*Z314*AC314*(DAY(EOMONTH(A314,0))/2)))/(AK314*AB314*AE314)</f>
        <v>#VALUE!</v>
      </c>
      <c r="AG314" s="88" t="str">
        <f>IF($A315="","",Summary!$Q$7)</f>
        <v/>
      </c>
      <c r="AH314" s="88" t="str">
        <f>IF($A315="","",IF(Summary!$R$7="Y",(VLOOKUP($A314,Summary!$AD$6:$AF$9,3)+'Escalating commodity'!C327),'Escalating commodity'!C327))</f>
        <v/>
      </c>
      <c r="AI314" s="88" t="str">
        <f t="shared" si="175"/>
        <v/>
      </c>
      <c r="AJ314" s="236" t="e">
        <f t="shared" si="154"/>
        <v>#VALUE!</v>
      </c>
      <c r="AK314" s="58" t="str">
        <f t="shared" si="176"/>
        <v/>
      </c>
      <c r="AL314" s="26" t="str">
        <f>IF($A315="","",_xll.SPRDOPT(P314,X314,AI314,0,AB314,AE314,AF314,AK314,$AJ$2,0))</f>
        <v/>
      </c>
      <c r="AM314" s="209" t="str">
        <f t="shared" si="155"/>
        <v/>
      </c>
      <c r="AN314" s="89" t="str">
        <f t="shared" si="177"/>
        <v/>
      </c>
      <c r="AO314" s="3" t="str">
        <f t="shared" si="178"/>
        <v/>
      </c>
      <c r="AP314" s="33" t="str">
        <f t="shared" si="179"/>
        <v/>
      </c>
      <c r="AQ314" s="58" t="str">
        <f t="shared" si="156"/>
        <v/>
      </c>
      <c r="AR314" s="38">
        <f>IF(Summary!$H$2=1,VLOOKUP('ANR OK vs ML7'!A314,Curves!$C$17:$AR$273,MATCH('ANR OK vs ML7'!$AR$4,Curves!$C$8:$AQ$8,0)),0.1)</f>
        <v>0.1</v>
      </c>
      <c r="AS314" s="35" t="str">
        <f t="shared" si="157"/>
        <v/>
      </c>
      <c r="AT314" s="3" t="str">
        <f t="shared" si="180"/>
        <v/>
      </c>
      <c r="AU314" s="3" t="str">
        <f t="shared" si="158"/>
        <v/>
      </c>
      <c r="AW314" s="32" t="str">
        <f t="shared" si="181"/>
        <v/>
      </c>
      <c r="AX314" s="32" t="str">
        <f t="shared" si="182"/>
        <v/>
      </c>
      <c r="AY314" s="32" t="str">
        <f t="shared" si="183"/>
        <v/>
      </c>
      <c r="BA314" s="32" t="str">
        <f>IF($A315="","",F314*Summary!$Q$7)</f>
        <v/>
      </c>
    </row>
    <row r="315" spans="1:53" ht="12" customHeight="1">
      <c r="A315" s="67" t="str">
        <f t="shared" si="159"/>
        <v/>
      </c>
      <c r="B315" s="69" t="str">
        <f t="shared" si="184"/>
        <v/>
      </c>
      <c r="C315" s="71"/>
      <c r="D315" s="69" t="str">
        <f t="shared" si="185"/>
        <v/>
      </c>
      <c r="E315" s="70" t="str">
        <f t="shared" si="150"/>
        <v/>
      </c>
      <c r="F315" s="70" t="str">
        <f t="shared" si="151"/>
        <v/>
      </c>
      <c r="G315" s="63" t="str">
        <f t="shared" si="160"/>
        <v/>
      </c>
      <c r="H315" s="64" t="str">
        <f t="shared" si="161"/>
        <v/>
      </c>
      <c r="I315" s="43"/>
      <c r="J315" s="63" t="str">
        <f t="shared" si="162"/>
        <v/>
      </c>
      <c r="K315" s="64" t="str">
        <f t="shared" si="163"/>
        <v/>
      </c>
      <c r="L315" s="63" t="str">
        <f t="shared" si="164"/>
        <v/>
      </c>
      <c r="M315" s="64" t="str">
        <f t="shared" si="165"/>
        <v/>
      </c>
      <c r="N315" s="65"/>
      <c r="O315" s="63" t="str">
        <f t="shared" si="166"/>
        <v/>
      </c>
      <c r="P315" s="63" t="str">
        <f t="shared" si="167"/>
        <v/>
      </c>
      <c r="Q315" s="66"/>
      <c r="R315" s="63" t="str">
        <f t="shared" si="168"/>
        <v/>
      </c>
      <c r="S315" s="64" t="str">
        <f t="shared" si="169"/>
        <v/>
      </c>
      <c r="T315" s="63" t="str">
        <f t="shared" si="170"/>
        <v/>
      </c>
      <c r="U315" s="64" t="str">
        <f t="shared" si="171"/>
        <v/>
      </c>
      <c r="V315" s="207" t="str">
        <f>IF($A316="","",IF(AND(MONTH(A315)&gt;3,MONTH(A315)&lt;11),(T315+R315+G315)*Summary!$T$7/(1-Summary!$T$7),(T315+R315+G315)*Summary!$U$7/(1-Summary!$U$7)))</f>
        <v/>
      </c>
      <c r="W315" s="63" t="str">
        <f t="shared" si="172"/>
        <v/>
      </c>
      <c r="X315" s="63" t="str">
        <f t="shared" si="173"/>
        <v/>
      </c>
      <c r="Y315" s="43"/>
      <c r="Z315" s="38" t="str">
        <f t="shared" si="174"/>
        <v/>
      </c>
      <c r="AA315" s="38" t="str">
        <f t="shared" si="174"/>
        <v/>
      </c>
      <c r="AB315" s="38" t="e">
        <f t="shared" si="152"/>
        <v>#VALUE!</v>
      </c>
      <c r="AC315" s="38" t="str">
        <f t="shared" si="174"/>
        <v/>
      </c>
      <c r="AD315" s="38" t="str">
        <f t="shared" si="174"/>
        <v/>
      </c>
      <c r="AE315" s="38" t="e">
        <f t="shared" si="153"/>
        <v>#VALUE!</v>
      </c>
      <c r="AF315" s="238" t="e">
        <f>((Summary!$N$7*(AA315*AD315)*(A315-$D$3))+(Summary!$M$7*Z315*AC315*(DAY(EOMONTH(A315,0))/2)))/(AK315*AB315*AE315)</f>
        <v>#VALUE!</v>
      </c>
      <c r="AG315" s="88" t="str">
        <f>IF($A316="","",Summary!$Q$7)</f>
        <v/>
      </c>
      <c r="AH315" s="88" t="str">
        <f>IF($A316="","",IF(Summary!$R$7="Y",(VLOOKUP($A315,Summary!$AD$6:$AF$9,3)+'Escalating commodity'!C328),'Escalating commodity'!C328))</f>
        <v/>
      </c>
      <c r="AI315" s="88" t="str">
        <f t="shared" si="175"/>
        <v/>
      </c>
      <c r="AJ315" s="236" t="e">
        <f t="shared" si="154"/>
        <v>#VALUE!</v>
      </c>
      <c r="AK315" s="58" t="str">
        <f t="shared" si="176"/>
        <v/>
      </c>
      <c r="AL315" s="26" t="str">
        <f>IF($A316="","",_xll.SPRDOPT(P315,X315,AI315,0,AB315,AE315,AF315,AK315,$AJ$2,0))</f>
        <v/>
      </c>
      <c r="AM315" s="209" t="str">
        <f t="shared" si="155"/>
        <v/>
      </c>
      <c r="AN315" s="89" t="str">
        <f t="shared" si="177"/>
        <v/>
      </c>
      <c r="AO315" s="3" t="str">
        <f t="shared" si="178"/>
        <v/>
      </c>
      <c r="AP315" s="33" t="str">
        <f t="shared" si="179"/>
        <v/>
      </c>
      <c r="AQ315" s="58" t="str">
        <f t="shared" si="156"/>
        <v/>
      </c>
      <c r="AR315" s="38">
        <f>IF(Summary!$H$2=1,VLOOKUP('ANR OK vs ML7'!A315,Curves!$C$17:$AR$273,MATCH('ANR OK vs ML7'!$AR$4,Curves!$C$8:$AQ$8,0)),0.1)</f>
        <v>0.1</v>
      </c>
      <c r="AS315" s="35" t="str">
        <f t="shared" si="157"/>
        <v/>
      </c>
      <c r="AT315" s="3" t="str">
        <f t="shared" si="180"/>
        <v/>
      </c>
      <c r="AU315" s="3" t="str">
        <f t="shared" si="158"/>
        <v/>
      </c>
      <c r="AW315" s="32" t="str">
        <f t="shared" si="181"/>
        <v/>
      </c>
      <c r="AX315" s="32" t="str">
        <f t="shared" si="182"/>
        <v/>
      </c>
      <c r="AY315" s="32" t="str">
        <f t="shared" si="183"/>
        <v/>
      </c>
      <c r="BA315" s="32" t="str">
        <f>IF($A316="","",F315*Summary!$Q$7)</f>
        <v/>
      </c>
    </row>
    <row r="316" spans="1:53" ht="12" customHeight="1">
      <c r="A316" s="67" t="str">
        <f t="shared" si="159"/>
        <v/>
      </c>
      <c r="B316" s="69" t="str">
        <f t="shared" si="184"/>
        <v/>
      </c>
      <c r="C316" s="71"/>
      <c r="D316" s="69" t="str">
        <f t="shared" si="185"/>
        <v/>
      </c>
      <c r="E316" s="70" t="str">
        <f t="shared" si="150"/>
        <v/>
      </c>
      <c r="F316" s="70" t="str">
        <f t="shared" si="151"/>
        <v/>
      </c>
      <c r="G316" s="63" t="str">
        <f t="shared" si="160"/>
        <v/>
      </c>
      <c r="H316" s="64" t="str">
        <f t="shared" si="161"/>
        <v/>
      </c>
      <c r="I316" s="43"/>
      <c r="J316" s="63" t="str">
        <f t="shared" si="162"/>
        <v/>
      </c>
      <c r="K316" s="64" t="str">
        <f t="shared" si="163"/>
        <v/>
      </c>
      <c r="L316" s="63" t="str">
        <f t="shared" si="164"/>
        <v/>
      </c>
      <c r="M316" s="64" t="str">
        <f t="shared" si="165"/>
        <v/>
      </c>
      <c r="N316" s="65"/>
      <c r="O316" s="63" t="str">
        <f t="shared" si="166"/>
        <v/>
      </c>
      <c r="P316" s="63" t="str">
        <f t="shared" si="167"/>
        <v/>
      </c>
      <c r="Q316" s="66"/>
      <c r="R316" s="63" t="str">
        <f t="shared" si="168"/>
        <v/>
      </c>
      <c r="S316" s="64" t="str">
        <f t="shared" si="169"/>
        <v/>
      </c>
      <c r="T316" s="63" t="str">
        <f t="shared" si="170"/>
        <v/>
      </c>
      <c r="U316" s="64" t="str">
        <f t="shared" si="171"/>
        <v/>
      </c>
      <c r="V316" s="207" t="str">
        <f>IF($A317="","",IF(AND(MONTH(A316)&gt;3,MONTH(A316)&lt;11),(T316+R316+G316)*Summary!$T$7/(1-Summary!$T$7),(T316+R316+G316)*Summary!$U$7/(1-Summary!$U$7)))</f>
        <v/>
      </c>
      <c r="W316" s="63" t="str">
        <f t="shared" si="172"/>
        <v/>
      </c>
      <c r="X316" s="63" t="str">
        <f t="shared" si="173"/>
        <v/>
      </c>
      <c r="Y316" s="43"/>
      <c r="Z316" s="38" t="str">
        <f t="shared" si="174"/>
        <v/>
      </c>
      <c r="AA316" s="38" t="str">
        <f t="shared" si="174"/>
        <v/>
      </c>
      <c r="AB316" s="38" t="e">
        <f t="shared" si="152"/>
        <v>#VALUE!</v>
      </c>
      <c r="AC316" s="38" t="str">
        <f t="shared" si="174"/>
        <v/>
      </c>
      <c r="AD316" s="38" t="str">
        <f t="shared" si="174"/>
        <v/>
      </c>
      <c r="AE316" s="38" t="e">
        <f t="shared" si="153"/>
        <v>#VALUE!</v>
      </c>
      <c r="AF316" s="238" t="e">
        <f>((Summary!$N$7*(AA316*AD316)*(A316-$D$3))+(Summary!$M$7*Z316*AC316*(DAY(EOMONTH(A316,0))/2)))/(AK316*AB316*AE316)</f>
        <v>#VALUE!</v>
      </c>
      <c r="AG316" s="88" t="str">
        <f>IF($A317="","",Summary!$Q$7)</f>
        <v/>
      </c>
      <c r="AH316" s="88" t="str">
        <f>IF($A317="","",IF(Summary!$R$7="Y",(VLOOKUP($A316,Summary!$AD$6:$AF$9,3)+'Escalating commodity'!C329),'Escalating commodity'!C329))</f>
        <v/>
      </c>
      <c r="AI316" s="88" t="str">
        <f t="shared" si="175"/>
        <v/>
      </c>
      <c r="AJ316" s="236" t="e">
        <f t="shared" si="154"/>
        <v>#VALUE!</v>
      </c>
      <c r="AK316" s="58" t="str">
        <f t="shared" si="176"/>
        <v/>
      </c>
      <c r="AL316" s="26" t="str">
        <f>IF($A317="","",_xll.SPRDOPT(P316,X316,AI316,0,AB316,AE316,AF316,AK316,$AJ$2,0))</f>
        <v/>
      </c>
      <c r="AM316" s="209" t="str">
        <f t="shared" si="155"/>
        <v/>
      </c>
      <c r="AN316" s="89" t="str">
        <f t="shared" si="177"/>
        <v/>
      </c>
      <c r="AO316" s="3" t="str">
        <f t="shared" si="178"/>
        <v/>
      </c>
      <c r="AP316" s="33" t="str">
        <f t="shared" si="179"/>
        <v/>
      </c>
      <c r="AQ316" s="58" t="str">
        <f t="shared" si="156"/>
        <v/>
      </c>
      <c r="AR316" s="38">
        <f>IF(Summary!$H$2=1,VLOOKUP('ANR OK vs ML7'!A316,Curves!$C$17:$AR$273,MATCH('ANR OK vs ML7'!$AR$4,Curves!$C$8:$AQ$8,0)),0.1)</f>
        <v>0.1</v>
      </c>
      <c r="AS316" s="35" t="str">
        <f t="shared" si="157"/>
        <v/>
      </c>
      <c r="AT316" s="3" t="str">
        <f t="shared" si="180"/>
        <v/>
      </c>
      <c r="AU316" s="3" t="str">
        <f t="shared" si="158"/>
        <v/>
      </c>
      <c r="AW316" s="32" t="str">
        <f t="shared" si="181"/>
        <v/>
      </c>
      <c r="AX316" s="32" t="str">
        <f t="shared" si="182"/>
        <v/>
      </c>
      <c r="AY316" s="32" t="str">
        <f t="shared" si="183"/>
        <v/>
      </c>
      <c r="BA316" s="32" t="str">
        <f>IF($A317="","",F316*Summary!$Q$7)</f>
        <v/>
      </c>
    </row>
    <row r="317" spans="1:53" ht="12" customHeight="1">
      <c r="A317" s="67" t="str">
        <f t="shared" si="159"/>
        <v/>
      </c>
      <c r="B317" s="69" t="str">
        <f t="shared" si="184"/>
        <v/>
      </c>
      <c r="C317" s="71"/>
      <c r="D317" s="69" t="str">
        <f t="shared" si="185"/>
        <v/>
      </c>
      <c r="E317" s="70" t="str">
        <f t="shared" si="150"/>
        <v/>
      </c>
      <c r="F317" s="70" t="str">
        <f t="shared" si="151"/>
        <v/>
      </c>
      <c r="G317" s="63" t="str">
        <f t="shared" si="160"/>
        <v/>
      </c>
      <c r="H317" s="64" t="str">
        <f t="shared" si="161"/>
        <v/>
      </c>
      <c r="I317" s="43"/>
      <c r="J317" s="63" t="str">
        <f t="shared" si="162"/>
        <v/>
      </c>
      <c r="K317" s="64" t="str">
        <f t="shared" si="163"/>
        <v/>
      </c>
      <c r="L317" s="63" t="str">
        <f t="shared" si="164"/>
        <v/>
      </c>
      <c r="M317" s="64" t="str">
        <f t="shared" si="165"/>
        <v/>
      </c>
      <c r="N317" s="65"/>
      <c r="O317" s="63" t="str">
        <f t="shared" si="166"/>
        <v/>
      </c>
      <c r="P317" s="63" t="str">
        <f t="shared" si="167"/>
        <v/>
      </c>
      <c r="Q317" s="66"/>
      <c r="R317" s="63" t="str">
        <f t="shared" si="168"/>
        <v/>
      </c>
      <c r="S317" s="64" t="str">
        <f t="shared" si="169"/>
        <v/>
      </c>
      <c r="T317" s="63" t="str">
        <f t="shared" si="170"/>
        <v/>
      </c>
      <c r="U317" s="64" t="str">
        <f t="shared" si="171"/>
        <v/>
      </c>
      <c r="V317" s="207" t="str">
        <f>IF($A318="","",IF(AND(MONTH(A317)&gt;3,MONTH(A317)&lt;11),(T317+R317+G317)*Summary!$T$7/(1-Summary!$T$7),(T317+R317+G317)*Summary!$U$7/(1-Summary!$U$7)))</f>
        <v/>
      </c>
      <c r="W317" s="63" t="str">
        <f t="shared" si="172"/>
        <v/>
      </c>
      <c r="X317" s="63" t="str">
        <f t="shared" si="173"/>
        <v/>
      </c>
      <c r="Y317" s="43"/>
      <c r="Z317" s="38" t="str">
        <f t="shared" si="174"/>
        <v/>
      </c>
      <c r="AA317" s="38" t="str">
        <f t="shared" si="174"/>
        <v/>
      </c>
      <c r="AB317" s="38" t="e">
        <f t="shared" si="152"/>
        <v>#VALUE!</v>
      </c>
      <c r="AC317" s="38" t="str">
        <f t="shared" si="174"/>
        <v/>
      </c>
      <c r="AD317" s="38" t="str">
        <f t="shared" si="174"/>
        <v/>
      </c>
      <c r="AE317" s="38" t="e">
        <f t="shared" si="153"/>
        <v>#VALUE!</v>
      </c>
      <c r="AF317" s="238" t="e">
        <f>((Summary!$N$7*(AA317*AD317)*(A317-$D$3))+(Summary!$M$7*Z317*AC317*(DAY(EOMONTH(A317,0))/2)))/(AK317*AB317*AE317)</f>
        <v>#VALUE!</v>
      </c>
      <c r="AG317" s="88" t="str">
        <f>IF($A318="","",Summary!$Q$7)</f>
        <v/>
      </c>
      <c r="AH317" s="88" t="str">
        <f>IF($A318="","",IF(Summary!$R$7="Y",(VLOOKUP($A317,Summary!$AD$6:$AF$9,3)+'Escalating commodity'!C330),'Escalating commodity'!C330))</f>
        <v/>
      </c>
      <c r="AI317" s="88" t="str">
        <f t="shared" si="175"/>
        <v/>
      </c>
      <c r="AJ317" s="236" t="e">
        <f t="shared" si="154"/>
        <v>#VALUE!</v>
      </c>
      <c r="AK317" s="58" t="str">
        <f t="shared" si="176"/>
        <v/>
      </c>
      <c r="AL317" s="26" t="str">
        <f>IF($A318="","",_xll.SPRDOPT(P317,X317,AI317,0,AB317,AE317,AF317,AK317,$AJ$2,0))</f>
        <v/>
      </c>
      <c r="AM317" s="209" t="str">
        <f t="shared" si="155"/>
        <v/>
      </c>
      <c r="AN317" s="89" t="str">
        <f t="shared" si="177"/>
        <v/>
      </c>
      <c r="AO317" s="3" t="str">
        <f t="shared" si="178"/>
        <v/>
      </c>
      <c r="AP317" s="33" t="str">
        <f t="shared" si="179"/>
        <v/>
      </c>
      <c r="AQ317" s="58" t="str">
        <f t="shared" si="156"/>
        <v/>
      </c>
      <c r="AR317" s="38">
        <f>IF(Summary!$H$2=1,VLOOKUP('ANR OK vs ML7'!A317,Curves!$C$17:$AR$273,MATCH('ANR OK vs ML7'!$AR$4,Curves!$C$8:$AQ$8,0)),0.1)</f>
        <v>0.1</v>
      </c>
      <c r="AS317" s="35" t="str">
        <f t="shared" si="157"/>
        <v/>
      </c>
      <c r="AT317" s="3" t="str">
        <f t="shared" si="180"/>
        <v/>
      </c>
      <c r="AU317" s="3" t="str">
        <f t="shared" si="158"/>
        <v/>
      </c>
      <c r="AW317" s="32" t="str">
        <f t="shared" si="181"/>
        <v/>
      </c>
      <c r="AX317" s="32" t="str">
        <f t="shared" si="182"/>
        <v/>
      </c>
      <c r="AY317" s="32" t="str">
        <f t="shared" si="183"/>
        <v/>
      </c>
      <c r="BA317" s="32" t="str">
        <f>IF($A318="","",F317*Summary!$Q$7)</f>
        <v/>
      </c>
    </row>
    <row r="318" spans="1:53" ht="12" customHeight="1">
      <c r="A318" s="67" t="str">
        <f t="shared" si="159"/>
        <v/>
      </c>
      <c r="B318" s="69" t="str">
        <f t="shared" si="184"/>
        <v/>
      </c>
      <c r="C318" s="71"/>
      <c r="D318" s="69" t="str">
        <f t="shared" si="185"/>
        <v/>
      </c>
      <c r="E318" s="70" t="str">
        <f t="shared" si="150"/>
        <v/>
      </c>
      <c r="F318" s="70" t="str">
        <f t="shared" si="151"/>
        <v/>
      </c>
      <c r="G318" s="63" t="str">
        <f t="shared" si="160"/>
        <v/>
      </c>
      <c r="H318" s="64" t="str">
        <f t="shared" si="161"/>
        <v/>
      </c>
      <c r="I318" s="43"/>
      <c r="J318" s="63" t="str">
        <f t="shared" si="162"/>
        <v/>
      </c>
      <c r="K318" s="64" t="str">
        <f t="shared" si="163"/>
        <v/>
      </c>
      <c r="L318" s="63" t="str">
        <f t="shared" si="164"/>
        <v/>
      </c>
      <c r="M318" s="64" t="str">
        <f t="shared" si="165"/>
        <v/>
      </c>
      <c r="N318" s="65"/>
      <c r="O318" s="63" t="str">
        <f t="shared" si="166"/>
        <v/>
      </c>
      <c r="P318" s="63" t="str">
        <f t="shared" si="167"/>
        <v/>
      </c>
      <c r="Q318" s="66"/>
      <c r="R318" s="63" t="str">
        <f t="shared" si="168"/>
        <v/>
      </c>
      <c r="S318" s="64" t="str">
        <f t="shared" si="169"/>
        <v/>
      </c>
      <c r="T318" s="63" t="str">
        <f t="shared" si="170"/>
        <v/>
      </c>
      <c r="U318" s="64" t="str">
        <f t="shared" si="171"/>
        <v/>
      </c>
      <c r="V318" s="207" t="str">
        <f>IF($A319="","",IF(AND(MONTH(A318)&gt;3,MONTH(A318)&lt;11),(T318+R318+G318)*Summary!$T$7/(1-Summary!$T$7),(T318+R318+G318)*Summary!$U$7/(1-Summary!$U$7)))</f>
        <v/>
      </c>
      <c r="W318" s="63" t="str">
        <f t="shared" si="172"/>
        <v/>
      </c>
      <c r="X318" s="63" t="str">
        <f t="shared" si="173"/>
        <v/>
      </c>
      <c r="Y318" s="43"/>
      <c r="Z318" s="38" t="str">
        <f t="shared" si="174"/>
        <v/>
      </c>
      <c r="AA318" s="38" t="str">
        <f t="shared" si="174"/>
        <v/>
      </c>
      <c r="AB318" s="38" t="e">
        <f t="shared" si="152"/>
        <v>#VALUE!</v>
      </c>
      <c r="AC318" s="38" t="str">
        <f t="shared" si="174"/>
        <v/>
      </c>
      <c r="AD318" s="38" t="str">
        <f t="shared" si="174"/>
        <v/>
      </c>
      <c r="AE318" s="38" t="e">
        <f t="shared" si="153"/>
        <v>#VALUE!</v>
      </c>
      <c r="AF318" s="238" t="e">
        <f>((Summary!$N$7*(AA318*AD318)*(A318-$D$3))+(Summary!$M$7*Z318*AC318*(DAY(EOMONTH(A318,0))/2)))/(AK318*AB318*AE318)</f>
        <v>#VALUE!</v>
      </c>
      <c r="AG318" s="88" t="str">
        <f>IF($A319="","",Summary!$Q$7)</f>
        <v/>
      </c>
      <c r="AH318" s="88" t="str">
        <f>IF($A319="","",IF(Summary!$R$7="Y",(VLOOKUP($A318,Summary!$AD$6:$AF$9,3)+'Escalating commodity'!C331),'Escalating commodity'!C331))</f>
        <v/>
      </c>
      <c r="AI318" s="88" t="str">
        <f t="shared" si="175"/>
        <v/>
      </c>
      <c r="AJ318" s="236" t="e">
        <f t="shared" si="154"/>
        <v>#VALUE!</v>
      </c>
      <c r="AK318" s="58" t="str">
        <f t="shared" si="176"/>
        <v/>
      </c>
      <c r="AL318" s="26" t="str">
        <f>IF($A319="","",_xll.SPRDOPT(P318,X318,AI318,0,AB318,AE318,AF318,AK318,$AJ$2,0))</f>
        <v/>
      </c>
      <c r="AM318" s="209" t="str">
        <f t="shared" si="155"/>
        <v/>
      </c>
      <c r="AN318" s="89" t="str">
        <f t="shared" si="177"/>
        <v/>
      </c>
      <c r="AO318" s="3" t="str">
        <f t="shared" si="178"/>
        <v/>
      </c>
      <c r="AP318" s="33" t="str">
        <f t="shared" si="179"/>
        <v/>
      </c>
      <c r="AQ318" s="58" t="str">
        <f t="shared" si="156"/>
        <v/>
      </c>
      <c r="AR318" s="38">
        <f>IF(Summary!$H$2=1,VLOOKUP('ANR OK vs ML7'!A318,Curves!$C$17:$AR$273,MATCH('ANR OK vs ML7'!$AR$4,Curves!$C$8:$AQ$8,0)),0.1)</f>
        <v>0.1</v>
      </c>
      <c r="AS318" s="35" t="str">
        <f t="shared" si="157"/>
        <v/>
      </c>
      <c r="AT318" s="3" t="str">
        <f t="shared" si="180"/>
        <v/>
      </c>
      <c r="AU318" s="3" t="str">
        <f t="shared" si="158"/>
        <v/>
      </c>
      <c r="AW318" s="32" t="str">
        <f t="shared" si="181"/>
        <v/>
      </c>
      <c r="AX318" s="32" t="str">
        <f t="shared" si="182"/>
        <v/>
      </c>
      <c r="AY318" s="32" t="str">
        <f t="shared" si="183"/>
        <v/>
      </c>
      <c r="BA318" s="32" t="str">
        <f>IF($A319="","",F318*Summary!$Q$7)</f>
        <v/>
      </c>
    </row>
    <row r="319" spans="1:53" ht="12" customHeight="1">
      <c r="A319" s="67" t="str">
        <f t="shared" si="159"/>
        <v/>
      </c>
      <c r="B319" s="69" t="str">
        <f t="shared" si="184"/>
        <v/>
      </c>
      <c r="C319" s="71"/>
      <c r="D319" s="69" t="str">
        <f t="shared" si="185"/>
        <v/>
      </c>
      <c r="E319" s="70" t="str">
        <f t="shared" si="150"/>
        <v/>
      </c>
      <c r="F319" s="70" t="str">
        <f t="shared" si="151"/>
        <v/>
      </c>
      <c r="G319" s="63" t="str">
        <f t="shared" si="160"/>
        <v/>
      </c>
      <c r="H319" s="64" t="str">
        <f t="shared" si="161"/>
        <v/>
      </c>
      <c r="I319" s="43"/>
      <c r="J319" s="63" t="str">
        <f t="shared" si="162"/>
        <v/>
      </c>
      <c r="K319" s="64" t="str">
        <f t="shared" si="163"/>
        <v/>
      </c>
      <c r="L319" s="63" t="str">
        <f t="shared" si="164"/>
        <v/>
      </c>
      <c r="M319" s="64" t="str">
        <f t="shared" si="165"/>
        <v/>
      </c>
      <c r="N319" s="65"/>
      <c r="O319" s="63" t="str">
        <f t="shared" si="166"/>
        <v/>
      </c>
      <c r="P319" s="63" t="str">
        <f t="shared" si="167"/>
        <v/>
      </c>
      <c r="Q319" s="66"/>
      <c r="R319" s="63" t="str">
        <f t="shared" si="168"/>
        <v/>
      </c>
      <c r="S319" s="64" t="str">
        <f t="shared" si="169"/>
        <v/>
      </c>
      <c r="T319" s="63" t="str">
        <f t="shared" si="170"/>
        <v/>
      </c>
      <c r="U319" s="64" t="str">
        <f t="shared" si="171"/>
        <v/>
      </c>
      <c r="V319" s="207" t="str">
        <f>IF($A320="","",IF(AND(MONTH(A319)&gt;3,MONTH(A319)&lt;11),(T319+R319+G319)*Summary!$T$7/(1-Summary!$T$7),(T319+R319+G319)*Summary!$U$7/(1-Summary!$U$7)))</f>
        <v/>
      </c>
      <c r="W319" s="63" t="str">
        <f t="shared" si="172"/>
        <v/>
      </c>
      <c r="X319" s="63" t="str">
        <f t="shared" si="173"/>
        <v/>
      </c>
      <c r="Y319" s="43"/>
      <c r="Z319" s="38" t="str">
        <f t="shared" si="174"/>
        <v/>
      </c>
      <c r="AA319" s="38" t="str">
        <f t="shared" si="174"/>
        <v/>
      </c>
      <c r="AB319" s="38" t="e">
        <f t="shared" si="152"/>
        <v>#VALUE!</v>
      </c>
      <c r="AC319" s="38" t="str">
        <f t="shared" si="174"/>
        <v/>
      </c>
      <c r="AD319" s="38" t="str">
        <f t="shared" si="174"/>
        <v/>
      </c>
      <c r="AE319" s="38" t="e">
        <f t="shared" si="153"/>
        <v>#VALUE!</v>
      </c>
      <c r="AF319" s="238" t="e">
        <f>((Summary!$N$7*(AA319*AD319)*(A319-$D$3))+(Summary!$M$7*Z319*AC319*(DAY(EOMONTH(A319,0))/2)))/(AK319*AB319*AE319)</f>
        <v>#VALUE!</v>
      </c>
      <c r="AG319" s="88" t="str">
        <f>IF($A320="","",Summary!$Q$7)</f>
        <v/>
      </c>
      <c r="AH319" s="88" t="str">
        <f>IF($A320="","",IF(Summary!$R$7="Y",(VLOOKUP($A319,Summary!$AD$6:$AF$9,3)+'Escalating commodity'!C332),'Escalating commodity'!C332))</f>
        <v/>
      </c>
      <c r="AI319" s="88" t="str">
        <f t="shared" si="175"/>
        <v/>
      </c>
      <c r="AJ319" s="236" t="e">
        <f t="shared" si="154"/>
        <v>#VALUE!</v>
      </c>
      <c r="AK319" s="58" t="str">
        <f t="shared" si="176"/>
        <v/>
      </c>
      <c r="AL319" s="26" t="str">
        <f>IF($A320="","",_xll.SPRDOPT(P319,X319,AI319,0,AB319,AE319,AF319,AK319,$AJ$2,0))</f>
        <v/>
      </c>
      <c r="AM319" s="209" t="str">
        <f t="shared" si="155"/>
        <v/>
      </c>
      <c r="AN319" s="89" t="str">
        <f t="shared" si="177"/>
        <v/>
      </c>
      <c r="AO319" s="3" t="str">
        <f t="shared" si="178"/>
        <v/>
      </c>
      <c r="AP319" s="33" t="str">
        <f t="shared" si="179"/>
        <v/>
      </c>
      <c r="AQ319" s="58" t="str">
        <f t="shared" si="156"/>
        <v/>
      </c>
      <c r="AR319" s="38">
        <f>IF(Summary!$H$2=1,VLOOKUP('ANR OK vs ML7'!A319,Curves!$C$17:$AR$273,MATCH('ANR OK vs ML7'!$AR$4,Curves!$C$8:$AQ$8,0)),0.1)</f>
        <v>0.1</v>
      </c>
      <c r="AS319" s="35" t="str">
        <f t="shared" si="157"/>
        <v/>
      </c>
      <c r="AT319" s="3" t="str">
        <f t="shared" si="180"/>
        <v/>
      </c>
      <c r="AU319" s="3" t="str">
        <f t="shared" si="158"/>
        <v/>
      </c>
      <c r="AW319" s="32" t="str">
        <f t="shared" si="181"/>
        <v/>
      </c>
      <c r="AX319" s="32" t="str">
        <f t="shared" si="182"/>
        <v/>
      </c>
      <c r="AY319" s="32" t="str">
        <f t="shared" si="183"/>
        <v/>
      </c>
      <c r="BA319" s="32" t="str">
        <f>IF($A320="","",F319*Summary!$Q$7)</f>
        <v/>
      </c>
    </row>
    <row r="320" spans="1:53" ht="12" customHeight="1">
      <c r="A320" s="67" t="str">
        <f t="shared" si="159"/>
        <v/>
      </c>
      <c r="B320" s="69" t="str">
        <f t="shared" si="184"/>
        <v/>
      </c>
      <c r="C320" s="71"/>
      <c r="D320" s="69" t="str">
        <f t="shared" si="185"/>
        <v/>
      </c>
      <c r="E320" s="70" t="str">
        <f t="shared" si="150"/>
        <v/>
      </c>
      <c r="F320" s="70" t="str">
        <f t="shared" si="151"/>
        <v/>
      </c>
      <c r="G320" s="63" t="str">
        <f t="shared" si="160"/>
        <v/>
      </c>
      <c r="H320" s="64" t="str">
        <f t="shared" si="161"/>
        <v/>
      </c>
      <c r="I320" s="43"/>
      <c r="J320" s="63" t="str">
        <f t="shared" si="162"/>
        <v/>
      </c>
      <c r="K320" s="64" t="str">
        <f t="shared" si="163"/>
        <v/>
      </c>
      <c r="L320" s="63" t="str">
        <f t="shared" si="164"/>
        <v/>
      </c>
      <c r="M320" s="64" t="str">
        <f t="shared" si="165"/>
        <v/>
      </c>
      <c r="N320" s="65"/>
      <c r="O320" s="63" t="str">
        <f t="shared" si="166"/>
        <v/>
      </c>
      <c r="P320" s="63" t="str">
        <f t="shared" si="167"/>
        <v/>
      </c>
      <c r="Q320" s="66"/>
      <c r="R320" s="63" t="str">
        <f t="shared" si="168"/>
        <v/>
      </c>
      <c r="S320" s="64" t="str">
        <f t="shared" si="169"/>
        <v/>
      </c>
      <c r="T320" s="63" t="str">
        <f t="shared" si="170"/>
        <v/>
      </c>
      <c r="U320" s="64" t="str">
        <f t="shared" si="171"/>
        <v/>
      </c>
      <c r="V320" s="207" t="str">
        <f>IF($A321="","",IF(AND(MONTH(A320)&gt;3,MONTH(A320)&lt;11),(T320+R320+G320)*Summary!$T$7/(1-Summary!$T$7),(T320+R320+G320)*Summary!$U$7/(1-Summary!$U$7)))</f>
        <v/>
      </c>
      <c r="W320" s="63" t="str">
        <f t="shared" si="172"/>
        <v/>
      </c>
      <c r="X320" s="63" t="str">
        <f t="shared" si="173"/>
        <v/>
      </c>
      <c r="Y320" s="43"/>
      <c r="Z320" s="38" t="str">
        <f t="shared" si="174"/>
        <v/>
      </c>
      <c r="AA320" s="38" t="str">
        <f t="shared" si="174"/>
        <v/>
      </c>
      <c r="AB320" s="38" t="e">
        <f t="shared" si="152"/>
        <v>#VALUE!</v>
      </c>
      <c r="AC320" s="38" t="str">
        <f t="shared" si="174"/>
        <v/>
      </c>
      <c r="AD320" s="38" t="str">
        <f t="shared" si="174"/>
        <v/>
      </c>
      <c r="AE320" s="38" t="e">
        <f t="shared" si="153"/>
        <v>#VALUE!</v>
      </c>
      <c r="AF320" s="238" t="e">
        <f>((Summary!$N$7*(AA320*AD320)*(A320-$D$3))+(Summary!$M$7*Z320*AC320*(DAY(EOMONTH(A320,0))/2)))/(AK320*AB320*AE320)</f>
        <v>#VALUE!</v>
      </c>
      <c r="AG320" s="88" t="str">
        <f>IF($A321="","",Summary!$Q$7)</f>
        <v/>
      </c>
      <c r="AH320" s="88" t="str">
        <f>IF($A321="","",IF(Summary!$R$7="Y",(VLOOKUP($A320,Summary!$AD$6:$AF$9,3)+'Escalating commodity'!C333),'Escalating commodity'!C333))</f>
        <v/>
      </c>
      <c r="AI320" s="88" t="str">
        <f t="shared" si="175"/>
        <v/>
      </c>
      <c r="AJ320" s="236" t="e">
        <f t="shared" si="154"/>
        <v>#VALUE!</v>
      </c>
      <c r="AK320" s="58" t="str">
        <f t="shared" si="176"/>
        <v/>
      </c>
      <c r="AL320" s="26" t="str">
        <f>IF($A321="","",_xll.SPRDOPT(P320,X320,AI320,0,AB320,AE320,AF320,AK320,$AJ$2,0))</f>
        <v/>
      </c>
      <c r="AM320" s="209" t="str">
        <f t="shared" si="155"/>
        <v/>
      </c>
      <c r="AN320" s="89" t="str">
        <f t="shared" si="177"/>
        <v/>
      </c>
      <c r="AO320" s="3" t="str">
        <f t="shared" si="178"/>
        <v/>
      </c>
      <c r="AP320" s="33" t="str">
        <f t="shared" si="179"/>
        <v/>
      </c>
      <c r="AQ320" s="58" t="str">
        <f t="shared" si="156"/>
        <v/>
      </c>
      <c r="AR320" s="38">
        <f>IF(Summary!$H$2=1,VLOOKUP('ANR OK vs ML7'!A320,Curves!$C$17:$AR$273,MATCH('ANR OK vs ML7'!$AR$4,Curves!$C$8:$AQ$8,0)),0.1)</f>
        <v>0.1</v>
      </c>
      <c r="AS320" s="35" t="str">
        <f t="shared" si="157"/>
        <v/>
      </c>
      <c r="AT320" s="3" t="str">
        <f t="shared" si="180"/>
        <v/>
      </c>
      <c r="AU320" s="3" t="str">
        <f t="shared" si="158"/>
        <v/>
      </c>
      <c r="AW320" s="32" t="str">
        <f t="shared" si="181"/>
        <v/>
      </c>
      <c r="AX320" s="32" t="str">
        <f t="shared" si="182"/>
        <v/>
      </c>
      <c r="AY320" s="32" t="str">
        <f t="shared" si="183"/>
        <v/>
      </c>
      <c r="BA320" s="32" t="str">
        <f>IF($A321="","",F320*Summary!$Q$7)</f>
        <v/>
      </c>
    </row>
    <row r="321" spans="1:53" ht="12" customHeight="1">
      <c r="A321" s="67" t="str">
        <f t="shared" si="159"/>
        <v/>
      </c>
      <c r="B321" s="69" t="str">
        <f t="shared" si="184"/>
        <v/>
      </c>
      <c r="C321" s="71"/>
      <c r="D321" s="69" t="str">
        <f t="shared" si="185"/>
        <v/>
      </c>
      <c r="E321" s="70" t="str">
        <f t="shared" si="150"/>
        <v/>
      </c>
      <c r="F321" s="70" t="str">
        <f t="shared" si="151"/>
        <v/>
      </c>
      <c r="G321" s="63" t="str">
        <f t="shared" si="160"/>
        <v/>
      </c>
      <c r="H321" s="64" t="str">
        <f t="shared" si="161"/>
        <v/>
      </c>
      <c r="I321" s="43"/>
      <c r="J321" s="63" t="str">
        <f t="shared" si="162"/>
        <v/>
      </c>
      <c r="K321" s="64" t="str">
        <f t="shared" si="163"/>
        <v/>
      </c>
      <c r="L321" s="63" t="str">
        <f t="shared" si="164"/>
        <v/>
      </c>
      <c r="M321" s="64" t="str">
        <f t="shared" si="165"/>
        <v/>
      </c>
      <c r="N321" s="65"/>
      <c r="O321" s="63" t="str">
        <f t="shared" si="166"/>
        <v/>
      </c>
      <c r="P321" s="63" t="str">
        <f t="shared" si="167"/>
        <v/>
      </c>
      <c r="Q321" s="66"/>
      <c r="R321" s="63" t="str">
        <f t="shared" si="168"/>
        <v/>
      </c>
      <c r="S321" s="64" t="str">
        <f t="shared" si="169"/>
        <v/>
      </c>
      <c r="T321" s="63" t="str">
        <f t="shared" si="170"/>
        <v/>
      </c>
      <c r="U321" s="64" t="str">
        <f t="shared" si="171"/>
        <v/>
      </c>
      <c r="V321" s="207" t="str">
        <f>IF($A322="","",IF(AND(MONTH(A321)&gt;3,MONTH(A321)&lt;11),(T321+R321+G321)*Summary!$T$7/(1-Summary!$T$7),(T321+R321+G321)*Summary!$U$7/(1-Summary!$U$7)))</f>
        <v/>
      </c>
      <c r="W321" s="63" t="str">
        <f t="shared" si="172"/>
        <v/>
      </c>
      <c r="X321" s="63" t="str">
        <f t="shared" si="173"/>
        <v/>
      </c>
      <c r="Y321" s="43"/>
      <c r="Z321" s="38" t="str">
        <f t="shared" si="174"/>
        <v/>
      </c>
      <c r="AA321" s="38" t="str">
        <f t="shared" si="174"/>
        <v/>
      </c>
      <c r="AB321" s="38" t="e">
        <f t="shared" si="152"/>
        <v>#VALUE!</v>
      </c>
      <c r="AC321" s="38" t="str">
        <f t="shared" si="174"/>
        <v/>
      </c>
      <c r="AD321" s="38" t="str">
        <f t="shared" si="174"/>
        <v/>
      </c>
      <c r="AE321" s="38" t="e">
        <f t="shared" si="153"/>
        <v>#VALUE!</v>
      </c>
      <c r="AF321" s="238" t="e">
        <f>((Summary!$N$7*(AA321*AD321)*(A321-$D$3))+(Summary!$M$7*Z321*AC321*(DAY(EOMONTH(A321,0))/2)))/(AK321*AB321*AE321)</f>
        <v>#VALUE!</v>
      </c>
      <c r="AG321" s="88" t="str">
        <f>IF($A322="","",Summary!$Q$7)</f>
        <v/>
      </c>
      <c r="AH321" s="88" t="str">
        <f>IF($A322="","",IF(Summary!$R$7="Y",(VLOOKUP($A321,Summary!$AD$6:$AF$9,3)+'Escalating commodity'!C334),'Escalating commodity'!C334))</f>
        <v/>
      </c>
      <c r="AI321" s="88" t="str">
        <f t="shared" si="175"/>
        <v/>
      </c>
      <c r="AJ321" s="236" t="e">
        <f t="shared" si="154"/>
        <v>#VALUE!</v>
      </c>
      <c r="AK321" s="58" t="str">
        <f t="shared" si="176"/>
        <v/>
      </c>
      <c r="AL321" s="26" t="str">
        <f>IF($A322="","",_xll.SPRDOPT(P321,X321,AI321,0,AB321,AE321,AF321,AK321,$AJ$2,0))</f>
        <v/>
      </c>
      <c r="AM321" s="209" t="str">
        <f t="shared" si="155"/>
        <v/>
      </c>
      <c r="AN321" s="89" t="str">
        <f t="shared" si="177"/>
        <v/>
      </c>
      <c r="AO321" s="3" t="str">
        <f t="shared" si="178"/>
        <v/>
      </c>
      <c r="AP321" s="33" t="str">
        <f t="shared" si="179"/>
        <v/>
      </c>
      <c r="AQ321" s="58" t="str">
        <f t="shared" si="156"/>
        <v/>
      </c>
      <c r="AR321" s="38">
        <f>IF(Summary!$H$2=1,VLOOKUP('ANR OK vs ML7'!A321,Curves!$C$17:$AR$273,MATCH('ANR OK vs ML7'!$AR$4,Curves!$C$8:$AQ$8,0)),0.1)</f>
        <v>0.1</v>
      </c>
      <c r="AS321" s="35" t="str">
        <f t="shared" si="157"/>
        <v/>
      </c>
      <c r="AT321" s="3" t="str">
        <f t="shared" si="180"/>
        <v/>
      </c>
      <c r="AU321" s="3" t="str">
        <f t="shared" si="158"/>
        <v/>
      </c>
      <c r="AW321" s="32" t="str">
        <f t="shared" si="181"/>
        <v/>
      </c>
      <c r="AX321" s="32" t="str">
        <f t="shared" si="182"/>
        <v/>
      </c>
      <c r="AY321" s="32" t="str">
        <f t="shared" si="183"/>
        <v/>
      </c>
      <c r="BA321" s="32" t="str">
        <f>IF($A322="","",F321*Summary!$Q$7)</f>
        <v/>
      </c>
    </row>
    <row r="322" spans="1:53" ht="12" customHeight="1">
      <c r="A322" s="67" t="str">
        <f t="shared" si="159"/>
        <v/>
      </c>
      <c r="B322" s="69" t="str">
        <f t="shared" si="184"/>
        <v/>
      </c>
      <c r="C322" s="71"/>
      <c r="D322" s="69" t="str">
        <f t="shared" si="185"/>
        <v/>
      </c>
      <c r="E322" s="70" t="str">
        <f t="shared" si="150"/>
        <v/>
      </c>
      <c r="F322" s="70" t="str">
        <f t="shared" si="151"/>
        <v/>
      </c>
      <c r="G322" s="63" t="str">
        <f t="shared" si="160"/>
        <v/>
      </c>
      <c r="H322" s="64" t="str">
        <f t="shared" si="161"/>
        <v/>
      </c>
      <c r="I322" s="43"/>
      <c r="J322" s="63" t="str">
        <f t="shared" si="162"/>
        <v/>
      </c>
      <c r="K322" s="64" t="str">
        <f t="shared" si="163"/>
        <v/>
      </c>
      <c r="L322" s="63" t="str">
        <f t="shared" si="164"/>
        <v/>
      </c>
      <c r="M322" s="64" t="str">
        <f t="shared" si="165"/>
        <v/>
      </c>
      <c r="N322" s="65"/>
      <c r="O322" s="63" t="str">
        <f t="shared" si="166"/>
        <v/>
      </c>
      <c r="P322" s="63" t="str">
        <f t="shared" si="167"/>
        <v/>
      </c>
      <c r="Q322" s="66"/>
      <c r="R322" s="63" t="str">
        <f t="shared" si="168"/>
        <v/>
      </c>
      <c r="S322" s="64" t="str">
        <f t="shared" si="169"/>
        <v/>
      </c>
      <c r="T322" s="63" t="str">
        <f t="shared" si="170"/>
        <v/>
      </c>
      <c r="U322" s="64" t="str">
        <f t="shared" si="171"/>
        <v/>
      </c>
      <c r="V322" s="207" t="str">
        <f>IF($A323="","",IF(AND(MONTH(A322)&gt;3,MONTH(A322)&lt;11),(T322+R322+G322)*Summary!$T$7/(1-Summary!$T$7),(T322+R322+G322)*Summary!$U$7/(1-Summary!$U$7)))</f>
        <v/>
      </c>
      <c r="W322" s="63" t="str">
        <f t="shared" si="172"/>
        <v/>
      </c>
      <c r="X322" s="63" t="str">
        <f t="shared" si="173"/>
        <v/>
      </c>
      <c r="Y322" s="43"/>
      <c r="Z322" s="38" t="str">
        <f t="shared" si="174"/>
        <v/>
      </c>
      <c r="AA322" s="38" t="str">
        <f t="shared" si="174"/>
        <v/>
      </c>
      <c r="AB322" s="38" t="e">
        <f t="shared" si="152"/>
        <v>#VALUE!</v>
      </c>
      <c r="AC322" s="38" t="str">
        <f t="shared" si="174"/>
        <v/>
      </c>
      <c r="AD322" s="38" t="str">
        <f t="shared" si="174"/>
        <v/>
      </c>
      <c r="AE322" s="38" t="e">
        <f t="shared" si="153"/>
        <v>#VALUE!</v>
      </c>
      <c r="AF322" s="238" t="e">
        <f>((Summary!$N$7*(AA322*AD322)*(A322-$D$3))+(Summary!$M$7*Z322*AC322*(DAY(EOMONTH(A322,0))/2)))/(AK322*AB322*AE322)</f>
        <v>#VALUE!</v>
      </c>
      <c r="AG322" s="88" t="str">
        <f>IF($A323="","",Summary!$Q$7)</f>
        <v/>
      </c>
      <c r="AH322" s="88" t="str">
        <f>IF($A323="","",IF(Summary!$R$7="Y",(VLOOKUP($A322,Summary!$AD$6:$AF$9,3)+'Escalating commodity'!C335),'Escalating commodity'!C335))</f>
        <v/>
      </c>
      <c r="AI322" s="88" t="str">
        <f t="shared" si="175"/>
        <v/>
      </c>
      <c r="AJ322" s="236" t="e">
        <f t="shared" si="154"/>
        <v>#VALUE!</v>
      </c>
      <c r="AK322" s="58" t="str">
        <f t="shared" si="176"/>
        <v/>
      </c>
      <c r="AL322" s="26" t="str">
        <f>IF($A323="","",_xll.SPRDOPT(P322,X322,AI322,0,AB322,AE322,AF322,AK322,$AJ$2,0))</f>
        <v/>
      </c>
      <c r="AM322" s="209" t="str">
        <f t="shared" si="155"/>
        <v/>
      </c>
      <c r="AN322" s="89" t="str">
        <f t="shared" si="177"/>
        <v/>
      </c>
      <c r="AO322" s="3" t="str">
        <f t="shared" si="178"/>
        <v/>
      </c>
      <c r="AP322" s="33" t="str">
        <f t="shared" si="179"/>
        <v/>
      </c>
      <c r="AQ322" s="58" t="str">
        <f t="shared" si="156"/>
        <v/>
      </c>
      <c r="AR322" s="38">
        <f>IF(Summary!$H$2=1,VLOOKUP('ANR OK vs ML7'!A322,Curves!$C$17:$AR$273,MATCH('ANR OK vs ML7'!$AR$4,Curves!$C$8:$AQ$8,0)),0.1)</f>
        <v>0.1</v>
      </c>
      <c r="AS322" s="35" t="str">
        <f t="shared" si="157"/>
        <v/>
      </c>
      <c r="AT322" s="3" t="str">
        <f t="shared" si="180"/>
        <v/>
      </c>
      <c r="AU322" s="3" t="str">
        <f t="shared" si="158"/>
        <v/>
      </c>
      <c r="AW322" s="32" t="str">
        <f t="shared" si="181"/>
        <v/>
      </c>
      <c r="AX322" s="32" t="str">
        <f t="shared" si="182"/>
        <v/>
      </c>
      <c r="AY322" s="32" t="str">
        <f t="shared" si="183"/>
        <v/>
      </c>
      <c r="BA322" s="32" t="str">
        <f>IF($A323="","",F322*Summary!$Q$7)</f>
        <v/>
      </c>
    </row>
    <row r="323" spans="1:53" ht="12" customHeight="1">
      <c r="A323" s="67" t="str">
        <f t="shared" si="159"/>
        <v/>
      </c>
      <c r="B323" s="69" t="str">
        <f t="shared" si="184"/>
        <v/>
      </c>
      <c r="C323" s="71"/>
      <c r="D323" s="69" t="str">
        <f t="shared" si="185"/>
        <v/>
      </c>
      <c r="E323" s="70" t="str">
        <f t="shared" si="150"/>
        <v/>
      </c>
      <c r="F323" s="70" t="str">
        <f t="shared" si="151"/>
        <v/>
      </c>
      <c r="G323" s="63" t="str">
        <f t="shared" si="160"/>
        <v/>
      </c>
      <c r="H323" s="64" t="str">
        <f t="shared" si="161"/>
        <v/>
      </c>
      <c r="I323" s="43"/>
      <c r="J323" s="63" t="str">
        <f t="shared" si="162"/>
        <v/>
      </c>
      <c r="K323" s="64" t="str">
        <f t="shared" si="163"/>
        <v/>
      </c>
      <c r="L323" s="63" t="str">
        <f t="shared" si="164"/>
        <v/>
      </c>
      <c r="M323" s="64" t="str">
        <f t="shared" si="165"/>
        <v/>
      </c>
      <c r="N323" s="65"/>
      <c r="O323" s="63" t="str">
        <f t="shared" si="166"/>
        <v/>
      </c>
      <c r="P323" s="63" t="str">
        <f t="shared" si="167"/>
        <v/>
      </c>
      <c r="Q323" s="66"/>
      <c r="R323" s="63" t="str">
        <f t="shared" si="168"/>
        <v/>
      </c>
      <c r="S323" s="64" t="str">
        <f t="shared" si="169"/>
        <v/>
      </c>
      <c r="T323" s="63" t="str">
        <f t="shared" si="170"/>
        <v/>
      </c>
      <c r="U323" s="64" t="str">
        <f t="shared" si="171"/>
        <v/>
      </c>
      <c r="V323" s="207" t="str">
        <f>IF($A324="","",IF(AND(MONTH(A323)&gt;3,MONTH(A323)&lt;11),(T323+R323+G323)*Summary!$T$7/(1-Summary!$T$7),(T323+R323+G323)*Summary!$U$7/(1-Summary!$U$7)))</f>
        <v/>
      </c>
      <c r="W323" s="63" t="str">
        <f t="shared" si="172"/>
        <v/>
      </c>
      <c r="X323" s="63" t="str">
        <f t="shared" si="173"/>
        <v/>
      </c>
      <c r="Y323" s="43"/>
      <c r="Z323" s="38" t="str">
        <f t="shared" si="174"/>
        <v/>
      </c>
      <c r="AA323" s="38" t="str">
        <f t="shared" si="174"/>
        <v/>
      </c>
      <c r="AB323" s="38" t="e">
        <f t="shared" si="152"/>
        <v>#VALUE!</v>
      </c>
      <c r="AC323" s="38" t="str">
        <f t="shared" si="174"/>
        <v/>
      </c>
      <c r="AD323" s="38" t="str">
        <f t="shared" si="174"/>
        <v/>
      </c>
      <c r="AE323" s="38" t="e">
        <f t="shared" si="153"/>
        <v>#VALUE!</v>
      </c>
      <c r="AF323" s="238" t="e">
        <f>((Summary!$N$7*(AA323*AD323)*(A323-$D$3))+(Summary!$M$7*Z323*AC323*(DAY(EOMONTH(A323,0))/2)))/(AK323*AB323*AE323)</f>
        <v>#VALUE!</v>
      </c>
      <c r="AG323" s="88" t="str">
        <f>IF($A324="","",Summary!$Q$7)</f>
        <v/>
      </c>
      <c r="AH323" s="88" t="str">
        <f>IF($A324="","",IF(Summary!$R$7="Y",(VLOOKUP($A323,Summary!$AD$6:$AF$9,3)+'Escalating commodity'!C336),'Escalating commodity'!C336))</f>
        <v/>
      </c>
      <c r="AI323" s="88" t="str">
        <f t="shared" si="175"/>
        <v/>
      </c>
      <c r="AJ323" s="236" t="e">
        <f t="shared" si="154"/>
        <v>#VALUE!</v>
      </c>
      <c r="AK323" s="58" t="str">
        <f t="shared" si="176"/>
        <v/>
      </c>
      <c r="AL323" s="26" t="str">
        <f>IF($A324="","",_xll.SPRDOPT(P323,X323,AI323,0,AB323,AE323,AF323,AK323,$AJ$2,0))</f>
        <v/>
      </c>
      <c r="AM323" s="209" t="str">
        <f t="shared" si="155"/>
        <v/>
      </c>
      <c r="AN323" s="89" t="str">
        <f t="shared" si="177"/>
        <v/>
      </c>
      <c r="AO323" s="3" t="str">
        <f t="shared" si="178"/>
        <v/>
      </c>
      <c r="AP323" s="33" t="str">
        <f t="shared" si="179"/>
        <v/>
      </c>
      <c r="AQ323" s="58" t="str">
        <f t="shared" si="156"/>
        <v/>
      </c>
      <c r="AR323" s="38">
        <f>IF(Summary!$H$2=1,VLOOKUP('ANR OK vs ML7'!A323,Curves!$C$17:$AR$273,MATCH('ANR OK vs ML7'!$AR$4,Curves!$C$8:$AQ$8,0)),0.1)</f>
        <v>0.1</v>
      </c>
      <c r="AS323" s="35" t="str">
        <f t="shared" si="157"/>
        <v/>
      </c>
      <c r="AT323" s="3" t="str">
        <f t="shared" si="180"/>
        <v/>
      </c>
      <c r="AU323" s="3" t="str">
        <f t="shared" si="158"/>
        <v/>
      </c>
      <c r="AW323" s="32" t="str">
        <f t="shared" si="181"/>
        <v/>
      </c>
      <c r="AX323" s="32" t="str">
        <f t="shared" si="182"/>
        <v/>
      </c>
      <c r="AY323" s="32" t="str">
        <f t="shared" si="183"/>
        <v/>
      </c>
      <c r="BA323" s="32" t="str">
        <f>IF($A324="","",F323*Summary!$Q$7)</f>
        <v/>
      </c>
    </row>
    <row r="324" spans="1:53" ht="12" customHeight="1">
      <c r="A324" s="67" t="str">
        <f t="shared" si="159"/>
        <v/>
      </c>
      <c r="B324" s="69" t="str">
        <f t="shared" si="184"/>
        <v/>
      </c>
      <c r="C324" s="71"/>
      <c r="D324" s="69" t="str">
        <f t="shared" si="185"/>
        <v/>
      </c>
      <c r="E324" s="70" t="str">
        <f t="shared" si="150"/>
        <v/>
      </c>
      <c r="F324" s="70" t="str">
        <f t="shared" si="151"/>
        <v/>
      </c>
      <c r="G324" s="63" t="str">
        <f t="shared" si="160"/>
        <v/>
      </c>
      <c r="H324" s="64" t="str">
        <f t="shared" si="161"/>
        <v/>
      </c>
      <c r="I324" s="43"/>
      <c r="J324" s="63" t="str">
        <f t="shared" si="162"/>
        <v/>
      </c>
      <c r="K324" s="64" t="str">
        <f t="shared" si="163"/>
        <v/>
      </c>
      <c r="L324" s="63" t="str">
        <f t="shared" si="164"/>
        <v/>
      </c>
      <c r="M324" s="64" t="str">
        <f t="shared" si="165"/>
        <v/>
      </c>
      <c r="N324" s="65"/>
      <c r="O324" s="63" t="str">
        <f t="shared" si="166"/>
        <v/>
      </c>
      <c r="P324" s="63" t="str">
        <f t="shared" si="167"/>
        <v/>
      </c>
      <c r="Q324" s="66"/>
      <c r="R324" s="63" t="str">
        <f t="shared" si="168"/>
        <v/>
      </c>
      <c r="S324" s="64" t="str">
        <f t="shared" si="169"/>
        <v/>
      </c>
      <c r="T324" s="63" t="str">
        <f t="shared" si="170"/>
        <v/>
      </c>
      <c r="U324" s="64" t="str">
        <f t="shared" si="171"/>
        <v/>
      </c>
      <c r="V324" s="207" t="str">
        <f>IF($A325="","",IF(AND(MONTH(A324)&gt;3,MONTH(A324)&lt;11),(T324+R324+G324)*Summary!$T$7/(1-Summary!$T$7),(T324+R324+G324)*Summary!$U$7/(1-Summary!$U$7)))</f>
        <v/>
      </c>
      <c r="W324" s="63" t="str">
        <f t="shared" si="172"/>
        <v/>
      </c>
      <c r="X324" s="63" t="str">
        <f t="shared" si="173"/>
        <v/>
      </c>
      <c r="Y324" s="43"/>
      <c r="Z324" s="38" t="str">
        <f t="shared" si="174"/>
        <v/>
      </c>
      <c r="AA324" s="38" t="str">
        <f t="shared" si="174"/>
        <v/>
      </c>
      <c r="AB324" s="38" t="e">
        <f t="shared" si="152"/>
        <v>#VALUE!</v>
      </c>
      <c r="AC324" s="38" t="str">
        <f t="shared" si="174"/>
        <v/>
      </c>
      <c r="AD324" s="38" t="str">
        <f t="shared" si="174"/>
        <v/>
      </c>
      <c r="AE324" s="38" t="e">
        <f t="shared" si="153"/>
        <v>#VALUE!</v>
      </c>
      <c r="AF324" s="238" t="e">
        <f>((Summary!$N$7*(AA324*AD324)*(A324-$D$3))+(Summary!$M$7*Z324*AC324*(DAY(EOMONTH(A324,0))/2)))/(AK324*AB324*AE324)</f>
        <v>#VALUE!</v>
      </c>
      <c r="AG324" s="88" t="str">
        <f>IF($A325="","",Summary!$Q$7)</f>
        <v/>
      </c>
      <c r="AH324" s="88" t="str">
        <f>IF($A325="","",IF(Summary!$R$7="Y",(VLOOKUP($A324,Summary!$AD$6:$AF$9,3)+'Escalating commodity'!C337),'Escalating commodity'!C337))</f>
        <v/>
      </c>
      <c r="AI324" s="88" t="str">
        <f t="shared" si="175"/>
        <v/>
      </c>
      <c r="AJ324" s="236" t="e">
        <f t="shared" si="154"/>
        <v>#VALUE!</v>
      </c>
      <c r="AK324" s="58" t="str">
        <f t="shared" si="176"/>
        <v/>
      </c>
      <c r="AL324" s="26" t="str">
        <f>IF($A325="","",_xll.SPRDOPT(P324,X324,AI324,0,AB324,AE324,AF324,AK324,$AJ$2,0))</f>
        <v/>
      </c>
      <c r="AM324" s="209" t="str">
        <f t="shared" si="155"/>
        <v/>
      </c>
      <c r="AN324" s="89" t="str">
        <f t="shared" si="177"/>
        <v/>
      </c>
      <c r="AO324" s="3" t="str">
        <f t="shared" si="178"/>
        <v/>
      </c>
      <c r="AP324" s="33" t="str">
        <f t="shared" si="179"/>
        <v/>
      </c>
      <c r="AQ324" s="58" t="str">
        <f t="shared" si="156"/>
        <v/>
      </c>
      <c r="AR324" s="38">
        <f>IF(Summary!$H$2=1,VLOOKUP('ANR OK vs ML7'!A324,Curves!$C$17:$AR$273,MATCH('ANR OK vs ML7'!$AR$4,Curves!$C$8:$AQ$8,0)),0.1)</f>
        <v>0.1</v>
      </c>
      <c r="AS324" s="35" t="str">
        <f t="shared" si="157"/>
        <v/>
      </c>
      <c r="AT324" s="3" t="str">
        <f t="shared" si="180"/>
        <v/>
      </c>
      <c r="AU324" s="3" t="str">
        <f t="shared" si="158"/>
        <v/>
      </c>
      <c r="AW324" s="32" t="str">
        <f t="shared" si="181"/>
        <v/>
      </c>
      <c r="AX324" s="32" t="str">
        <f t="shared" si="182"/>
        <v/>
      </c>
      <c r="AY324" s="32" t="str">
        <f t="shared" si="183"/>
        <v/>
      </c>
      <c r="BA324" s="32" t="str">
        <f>IF($A325="","",F324*Summary!$Q$7)</f>
        <v/>
      </c>
    </row>
    <row r="325" spans="1:53" ht="12" customHeight="1">
      <c r="A325" s="67" t="str">
        <f t="shared" si="159"/>
        <v/>
      </c>
      <c r="B325" s="69" t="str">
        <f t="shared" si="184"/>
        <v/>
      </c>
      <c r="C325" s="71"/>
      <c r="D325" s="69" t="str">
        <f t="shared" si="185"/>
        <v/>
      </c>
      <c r="E325" s="70" t="str">
        <f t="shared" si="150"/>
        <v/>
      </c>
      <c r="F325" s="70" t="str">
        <f t="shared" si="151"/>
        <v/>
      </c>
      <c r="G325" s="63" t="str">
        <f t="shared" si="160"/>
        <v/>
      </c>
      <c r="H325" s="64" t="str">
        <f t="shared" si="161"/>
        <v/>
      </c>
      <c r="I325" s="43"/>
      <c r="J325" s="63" t="str">
        <f t="shared" si="162"/>
        <v/>
      </c>
      <c r="K325" s="64" t="str">
        <f t="shared" si="163"/>
        <v/>
      </c>
      <c r="L325" s="63" t="str">
        <f t="shared" si="164"/>
        <v/>
      </c>
      <c r="M325" s="64" t="str">
        <f t="shared" si="165"/>
        <v/>
      </c>
      <c r="N325" s="65"/>
      <c r="O325" s="63" t="str">
        <f t="shared" si="166"/>
        <v/>
      </c>
      <c r="P325" s="63" t="str">
        <f t="shared" si="167"/>
        <v/>
      </c>
      <c r="Q325" s="66"/>
      <c r="R325" s="63" t="str">
        <f t="shared" si="168"/>
        <v/>
      </c>
      <c r="S325" s="64" t="str">
        <f t="shared" si="169"/>
        <v/>
      </c>
      <c r="T325" s="63" t="str">
        <f t="shared" si="170"/>
        <v/>
      </c>
      <c r="U325" s="64" t="str">
        <f t="shared" si="171"/>
        <v/>
      </c>
      <c r="V325" s="207" t="str">
        <f>IF($A326="","",IF(AND(MONTH(A325)&gt;3,MONTH(A325)&lt;11),(T325+R325+G325)*Summary!$T$7/(1-Summary!$T$7),(T325+R325+G325)*Summary!$U$7/(1-Summary!$U$7)))</f>
        <v/>
      </c>
      <c r="W325" s="63" t="str">
        <f t="shared" si="172"/>
        <v/>
      </c>
      <c r="X325" s="63" t="str">
        <f t="shared" si="173"/>
        <v/>
      </c>
      <c r="Y325" s="43"/>
      <c r="Z325" s="38" t="str">
        <f t="shared" si="174"/>
        <v/>
      </c>
      <c r="AA325" s="38" t="str">
        <f t="shared" si="174"/>
        <v/>
      </c>
      <c r="AB325" s="38" t="e">
        <f t="shared" si="152"/>
        <v>#VALUE!</v>
      </c>
      <c r="AC325" s="38" t="str">
        <f t="shared" si="174"/>
        <v/>
      </c>
      <c r="AD325" s="38" t="str">
        <f t="shared" si="174"/>
        <v/>
      </c>
      <c r="AE325" s="38" t="e">
        <f t="shared" si="153"/>
        <v>#VALUE!</v>
      </c>
      <c r="AF325" s="238" t="e">
        <f>((Summary!$N$7*(AA325*AD325)*(A325-$D$3))+(Summary!$M$7*Z325*AC325*(DAY(EOMONTH(A325,0))/2)))/(AK325*AB325*AE325)</f>
        <v>#VALUE!</v>
      </c>
      <c r="AG325" s="88" t="str">
        <f>IF($A326="","",Summary!$Q$7)</f>
        <v/>
      </c>
      <c r="AH325" s="88" t="str">
        <f>IF($A326="","",IF(Summary!$R$7="Y",(VLOOKUP($A325,Summary!$AD$6:$AF$9,3)+'Escalating commodity'!C338),'Escalating commodity'!C338))</f>
        <v/>
      </c>
      <c r="AI325" s="88" t="str">
        <f t="shared" si="175"/>
        <v/>
      </c>
      <c r="AJ325" s="236" t="e">
        <f t="shared" si="154"/>
        <v>#VALUE!</v>
      </c>
      <c r="AK325" s="58" t="str">
        <f t="shared" si="176"/>
        <v/>
      </c>
      <c r="AL325" s="26" t="str">
        <f>IF($A326="","",_xll.SPRDOPT(P325,X325,AI325,0,AB325,AE325,AF325,AK325,$AJ$2,0))</f>
        <v/>
      </c>
      <c r="AM325" s="209" t="str">
        <f t="shared" si="155"/>
        <v/>
      </c>
      <c r="AN325" s="89" t="str">
        <f t="shared" si="177"/>
        <v/>
      </c>
      <c r="AO325" s="3" t="str">
        <f t="shared" si="178"/>
        <v/>
      </c>
      <c r="AP325" s="33" t="str">
        <f t="shared" si="179"/>
        <v/>
      </c>
      <c r="AQ325" s="58" t="str">
        <f t="shared" si="156"/>
        <v/>
      </c>
      <c r="AR325" s="38">
        <f>IF(Summary!$H$2=1,VLOOKUP('ANR OK vs ML7'!A325,Curves!$C$17:$AR$273,MATCH('ANR OK vs ML7'!$AR$4,Curves!$C$8:$AQ$8,0)),0.1)</f>
        <v>0.1</v>
      </c>
      <c r="AS325" s="35" t="str">
        <f t="shared" si="157"/>
        <v/>
      </c>
      <c r="AT325" s="3" t="str">
        <f t="shared" si="180"/>
        <v/>
      </c>
      <c r="AU325" s="3" t="str">
        <f t="shared" si="158"/>
        <v/>
      </c>
      <c r="AW325" s="32" t="str">
        <f t="shared" si="181"/>
        <v/>
      </c>
      <c r="AX325" s="32" t="str">
        <f t="shared" si="182"/>
        <v/>
      </c>
      <c r="AY325" s="32" t="str">
        <f t="shared" si="183"/>
        <v/>
      </c>
      <c r="BA325" s="32" t="str">
        <f>IF($A326="","",F325*Summary!$Q$7)</f>
        <v/>
      </c>
    </row>
    <row r="326" spans="1:53" ht="12" customHeight="1">
      <c r="A326" s="67" t="str">
        <f t="shared" si="159"/>
        <v/>
      </c>
      <c r="B326" s="69" t="str">
        <f t="shared" si="184"/>
        <v/>
      </c>
      <c r="C326" s="71"/>
      <c r="D326" s="69" t="str">
        <f t="shared" si="185"/>
        <v/>
      </c>
      <c r="E326" s="70" t="str">
        <f t="shared" si="150"/>
        <v/>
      </c>
      <c r="F326" s="70" t="str">
        <f t="shared" si="151"/>
        <v/>
      </c>
      <c r="G326" s="63" t="str">
        <f t="shared" si="160"/>
        <v/>
      </c>
      <c r="H326" s="64" t="str">
        <f t="shared" si="161"/>
        <v/>
      </c>
      <c r="I326" s="43"/>
      <c r="J326" s="63" t="str">
        <f t="shared" si="162"/>
        <v/>
      </c>
      <c r="K326" s="64" t="str">
        <f t="shared" si="163"/>
        <v/>
      </c>
      <c r="L326" s="63" t="str">
        <f t="shared" si="164"/>
        <v/>
      </c>
      <c r="M326" s="64" t="str">
        <f t="shared" si="165"/>
        <v/>
      </c>
      <c r="N326" s="65"/>
      <c r="O326" s="63" t="str">
        <f t="shared" si="166"/>
        <v/>
      </c>
      <c r="P326" s="63" t="str">
        <f t="shared" si="167"/>
        <v/>
      </c>
      <c r="Q326" s="66"/>
      <c r="R326" s="63" t="str">
        <f t="shared" si="168"/>
        <v/>
      </c>
      <c r="S326" s="64" t="str">
        <f t="shared" si="169"/>
        <v/>
      </c>
      <c r="T326" s="63" t="str">
        <f t="shared" si="170"/>
        <v/>
      </c>
      <c r="U326" s="64" t="str">
        <f t="shared" si="171"/>
        <v/>
      </c>
      <c r="V326" s="207" t="str">
        <f>IF($A327="","",IF(AND(MONTH(A326)&gt;3,MONTH(A326)&lt;11),(T326+R326+G326)*Summary!$T$7/(1-Summary!$T$7),(T326+R326+G326)*Summary!$U$7/(1-Summary!$U$7)))</f>
        <v/>
      </c>
      <c r="W326" s="63" t="str">
        <f t="shared" si="172"/>
        <v/>
      </c>
      <c r="X326" s="63" t="str">
        <f t="shared" si="173"/>
        <v/>
      </c>
      <c r="Y326" s="43"/>
      <c r="Z326" s="38" t="str">
        <f t="shared" si="174"/>
        <v/>
      </c>
      <c r="AA326" s="38" t="str">
        <f t="shared" si="174"/>
        <v/>
      </c>
      <c r="AB326" s="38" t="e">
        <f t="shared" si="152"/>
        <v>#VALUE!</v>
      </c>
      <c r="AC326" s="38" t="str">
        <f t="shared" si="174"/>
        <v/>
      </c>
      <c r="AD326" s="38" t="str">
        <f t="shared" si="174"/>
        <v/>
      </c>
      <c r="AE326" s="38" t="e">
        <f t="shared" si="153"/>
        <v>#VALUE!</v>
      </c>
      <c r="AF326" s="238" t="e">
        <f>((Summary!$N$7*(AA326*AD326)*(A326-$D$3))+(Summary!$M$7*Z326*AC326*(DAY(EOMONTH(A326,0))/2)))/(AK326*AB326*AE326)</f>
        <v>#VALUE!</v>
      </c>
      <c r="AG326" s="88" t="str">
        <f>IF($A327="","",Summary!$Q$7)</f>
        <v/>
      </c>
      <c r="AH326" s="88" t="str">
        <f>IF($A327="","",IF(Summary!$R$7="Y",(VLOOKUP($A326,Summary!$AD$6:$AF$9,3)+'Escalating commodity'!C339),'Escalating commodity'!C339))</f>
        <v/>
      </c>
      <c r="AI326" s="88" t="str">
        <f t="shared" si="175"/>
        <v/>
      </c>
      <c r="AJ326" s="236" t="e">
        <f t="shared" si="154"/>
        <v>#VALUE!</v>
      </c>
      <c r="AK326" s="58" t="str">
        <f t="shared" si="176"/>
        <v/>
      </c>
      <c r="AL326" s="26" t="str">
        <f>IF($A327="","",_xll.SPRDOPT(P326,X326,AI326,0,AB326,AE326,AF326,AK326,$AJ$2,0))</f>
        <v/>
      </c>
      <c r="AM326" s="209" t="str">
        <f t="shared" si="155"/>
        <v/>
      </c>
      <c r="AN326" s="89" t="str">
        <f t="shared" si="177"/>
        <v/>
      </c>
      <c r="AO326" s="3" t="str">
        <f t="shared" si="178"/>
        <v/>
      </c>
      <c r="AP326" s="33" t="str">
        <f t="shared" si="179"/>
        <v/>
      </c>
      <c r="AQ326" s="58" t="str">
        <f t="shared" si="156"/>
        <v/>
      </c>
      <c r="AR326" s="38">
        <f>IF(Summary!$H$2=1,VLOOKUP('ANR OK vs ML7'!A326,Curves!$C$17:$AR$273,MATCH('ANR OK vs ML7'!$AR$4,Curves!$C$8:$AQ$8,0)),0.1)</f>
        <v>0.1</v>
      </c>
      <c r="AS326" s="35" t="str">
        <f t="shared" si="157"/>
        <v/>
      </c>
      <c r="AT326" s="3" t="str">
        <f t="shared" si="180"/>
        <v/>
      </c>
      <c r="AU326" s="3" t="str">
        <f t="shared" si="158"/>
        <v/>
      </c>
      <c r="AW326" s="32" t="str">
        <f t="shared" si="181"/>
        <v/>
      </c>
      <c r="AX326" s="32" t="str">
        <f t="shared" si="182"/>
        <v/>
      </c>
      <c r="AY326" s="32" t="str">
        <f t="shared" si="183"/>
        <v/>
      </c>
      <c r="BA326" s="32" t="str">
        <f>IF($A327="","",F326*Summary!$Q$7)</f>
        <v/>
      </c>
    </row>
    <row r="327" spans="1:53" ht="12" customHeight="1">
      <c r="A327" s="67" t="str">
        <f t="shared" si="159"/>
        <v/>
      </c>
      <c r="B327" s="69" t="str">
        <f t="shared" si="184"/>
        <v/>
      </c>
      <c r="C327" s="71"/>
      <c r="D327" s="69" t="str">
        <f t="shared" si="185"/>
        <v/>
      </c>
      <c r="E327" s="70" t="str">
        <f t="shared" si="150"/>
        <v/>
      </c>
      <c r="F327" s="70" t="str">
        <f t="shared" si="151"/>
        <v/>
      </c>
      <c r="G327" s="63" t="str">
        <f t="shared" si="160"/>
        <v/>
      </c>
      <c r="H327" s="64" t="str">
        <f t="shared" si="161"/>
        <v/>
      </c>
      <c r="I327" s="43"/>
      <c r="J327" s="63" t="str">
        <f t="shared" si="162"/>
        <v/>
      </c>
      <c r="K327" s="64" t="str">
        <f t="shared" si="163"/>
        <v/>
      </c>
      <c r="L327" s="63" t="str">
        <f t="shared" si="164"/>
        <v/>
      </c>
      <c r="M327" s="64" t="str">
        <f t="shared" si="165"/>
        <v/>
      </c>
      <c r="N327" s="65"/>
      <c r="O327" s="63" t="str">
        <f t="shared" si="166"/>
        <v/>
      </c>
      <c r="P327" s="63" t="str">
        <f t="shared" si="167"/>
        <v/>
      </c>
      <c r="Q327" s="66"/>
      <c r="R327" s="63" t="str">
        <f t="shared" si="168"/>
        <v/>
      </c>
      <c r="S327" s="64" t="str">
        <f t="shared" si="169"/>
        <v/>
      </c>
      <c r="T327" s="63" t="str">
        <f t="shared" si="170"/>
        <v/>
      </c>
      <c r="U327" s="64" t="str">
        <f t="shared" si="171"/>
        <v/>
      </c>
      <c r="V327" s="207" t="str">
        <f>IF($A328="","",IF(AND(MONTH(A327)&gt;3,MONTH(A327)&lt;11),(T327+R327+G327)*Summary!$T$7/(1-Summary!$T$7),(T327+R327+G327)*Summary!$U$7/(1-Summary!$U$7)))</f>
        <v/>
      </c>
      <c r="W327" s="63" t="str">
        <f t="shared" si="172"/>
        <v/>
      </c>
      <c r="X327" s="63" t="str">
        <f t="shared" si="173"/>
        <v/>
      </c>
      <c r="Y327" s="43"/>
      <c r="Z327" s="38" t="str">
        <f t="shared" si="174"/>
        <v/>
      </c>
      <c r="AA327" s="38" t="str">
        <f t="shared" si="174"/>
        <v/>
      </c>
      <c r="AB327" s="38" t="e">
        <f t="shared" si="152"/>
        <v>#VALUE!</v>
      </c>
      <c r="AC327" s="38" t="str">
        <f t="shared" si="174"/>
        <v/>
      </c>
      <c r="AD327" s="38" t="str">
        <f t="shared" si="174"/>
        <v/>
      </c>
      <c r="AE327" s="38" t="e">
        <f t="shared" si="153"/>
        <v>#VALUE!</v>
      </c>
      <c r="AF327" s="238" t="e">
        <f>((Summary!$N$7*(AA327*AD327)*(A327-$D$3))+(Summary!$M$7*Z327*AC327*(DAY(EOMONTH(A327,0))/2)))/(AK327*AB327*AE327)</f>
        <v>#VALUE!</v>
      </c>
      <c r="AG327" s="88" t="str">
        <f>IF($A328="","",Summary!$Q$7)</f>
        <v/>
      </c>
      <c r="AH327" s="88" t="str">
        <f>IF($A328="","",IF(Summary!$R$7="Y",(VLOOKUP($A327,Summary!$AD$6:$AF$9,3)+'Escalating commodity'!C340),'Escalating commodity'!C340))</f>
        <v/>
      </c>
      <c r="AI327" s="88" t="str">
        <f t="shared" si="175"/>
        <v/>
      </c>
      <c r="AJ327" s="236" t="e">
        <f t="shared" si="154"/>
        <v>#VALUE!</v>
      </c>
      <c r="AK327" s="58" t="str">
        <f t="shared" si="176"/>
        <v/>
      </c>
      <c r="AL327" s="26" t="str">
        <f>IF($A328="","",_xll.SPRDOPT(P327,X327,AI327,0,AB327,AE327,AF327,AK327,$AJ$2,0))</f>
        <v/>
      </c>
      <c r="AM327" s="209" t="str">
        <f t="shared" si="155"/>
        <v/>
      </c>
      <c r="AN327" s="89" t="str">
        <f t="shared" si="177"/>
        <v/>
      </c>
      <c r="AO327" s="3" t="str">
        <f t="shared" si="178"/>
        <v/>
      </c>
      <c r="AP327" s="33" t="str">
        <f t="shared" si="179"/>
        <v/>
      </c>
      <c r="AQ327" s="58" t="str">
        <f t="shared" si="156"/>
        <v/>
      </c>
      <c r="AR327" s="38">
        <f>IF(Summary!$H$2=1,VLOOKUP('ANR OK vs ML7'!A327,Curves!$C$17:$AR$273,MATCH('ANR OK vs ML7'!$AR$4,Curves!$C$8:$AQ$8,0)),0.1)</f>
        <v>0.1</v>
      </c>
      <c r="AS327" s="35" t="str">
        <f t="shared" si="157"/>
        <v/>
      </c>
      <c r="AT327" s="3" t="str">
        <f t="shared" si="180"/>
        <v/>
      </c>
      <c r="AU327" s="3" t="str">
        <f t="shared" si="158"/>
        <v/>
      </c>
      <c r="AW327" s="32" t="str">
        <f t="shared" si="181"/>
        <v/>
      </c>
      <c r="AX327" s="32" t="str">
        <f t="shared" si="182"/>
        <v/>
      </c>
      <c r="AY327" s="32" t="str">
        <f t="shared" si="183"/>
        <v/>
      </c>
      <c r="BA327" s="32" t="str">
        <f>IF($A328="","",F327*Summary!$Q$7)</f>
        <v/>
      </c>
    </row>
    <row r="328" spans="1:53" ht="12" customHeight="1">
      <c r="A328" s="67" t="str">
        <f t="shared" si="159"/>
        <v/>
      </c>
      <c r="B328" s="69" t="str">
        <f t="shared" si="184"/>
        <v/>
      </c>
      <c r="C328" s="71"/>
      <c r="D328" s="69" t="str">
        <f t="shared" si="185"/>
        <v/>
      </c>
      <c r="E328" s="70" t="str">
        <f t="shared" si="150"/>
        <v/>
      </c>
      <c r="F328" s="70" t="str">
        <f t="shared" si="151"/>
        <v/>
      </c>
      <c r="G328" s="63" t="str">
        <f t="shared" si="160"/>
        <v/>
      </c>
      <c r="H328" s="64" t="str">
        <f t="shared" si="161"/>
        <v/>
      </c>
      <c r="I328" s="43"/>
      <c r="J328" s="63" t="str">
        <f t="shared" si="162"/>
        <v/>
      </c>
      <c r="K328" s="64" t="str">
        <f t="shared" si="163"/>
        <v/>
      </c>
      <c r="L328" s="63" t="str">
        <f t="shared" si="164"/>
        <v/>
      </c>
      <c r="M328" s="64" t="str">
        <f t="shared" si="165"/>
        <v/>
      </c>
      <c r="N328" s="65"/>
      <c r="O328" s="63" t="str">
        <f t="shared" si="166"/>
        <v/>
      </c>
      <c r="P328" s="63" t="str">
        <f t="shared" si="167"/>
        <v/>
      </c>
      <c r="Q328" s="66"/>
      <c r="R328" s="63" t="str">
        <f t="shared" si="168"/>
        <v/>
      </c>
      <c r="S328" s="64" t="str">
        <f t="shared" si="169"/>
        <v/>
      </c>
      <c r="T328" s="63" t="str">
        <f t="shared" si="170"/>
        <v/>
      </c>
      <c r="U328" s="64" t="str">
        <f t="shared" si="171"/>
        <v/>
      </c>
      <c r="V328" s="207" t="str">
        <f>IF($A329="","",IF(AND(MONTH(A328)&gt;3,MONTH(A328)&lt;11),(T328+R328+G328)*Summary!$T$7/(1-Summary!$T$7),(T328+R328+G328)*Summary!$U$7/(1-Summary!$U$7)))</f>
        <v/>
      </c>
      <c r="W328" s="63" t="str">
        <f t="shared" si="172"/>
        <v/>
      </c>
      <c r="X328" s="63" t="str">
        <f t="shared" si="173"/>
        <v/>
      </c>
      <c r="Y328" s="43"/>
      <c r="Z328" s="38" t="str">
        <f t="shared" si="174"/>
        <v/>
      </c>
      <c r="AA328" s="38" t="str">
        <f t="shared" si="174"/>
        <v/>
      </c>
      <c r="AB328" s="38" t="e">
        <f t="shared" si="152"/>
        <v>#VALUE!</v>
      </c>
      <c r="AC328" s="38" t="str">
        <f t="shared" si="174"/>
        <v/>
      </c>
      <c r="AD328" s="38" t="str">
        <f t="shared" si="174"/>
        <v/>
      </c>
      <c r="AE328" s="38" t="e">
        <f t="shared" si="153"/>
        <v>#VALUE!</v>
      </c>
      <c r="AF328" s="238" t="e">
        <f>((Summary!$N$7*(AA328*AD328)*(A328-$D$3))+(Summary!$M$7*Z328*AC328*(DAY(EOMONTH(A328,0))/2)))/(AK328*AB328*AE328)</f>
        <v>#VALUE!</v>
      </c>
      <c r="AG328" s="88" t="str">
        <f>IF($A329="","",Summary!$Q$7)</f>
        <v/>
      </c>
      <c r="AH328" s="88" t="str">
        <f>IF($A329="","",IF(Summary!$R$7="Y",(VLOOKUP($A328,Summary!$AD$6:$AF$9,3)+'Escalating commodity'!C341),'Escalating commodity'!C341))</f>
        <v/>
      </c>
      <c r="AI328" s="88" t="str">
        <f t="shared" si="175"/>
        <v/>
      </c>
      <c r="AJ328" s="236" t="e">
        <f t="shared" si="154"/>
        <v>#VALUE!</v>
      </c>
      <c r="AK328" s="58" t="str">
        <f t="shared" si="176"/>
        <v/>
      </c>
      <c r="AL328" s="26" t="str">
        <f>IF($A329="","",_xll.SPRDOPT(P328,X328,AI328,0,AB328,AE328,AF328,AK328,$AJ$2,0))</f>
        <v/>
      </c>
      <c r="AM328" s="209" t="str">
        <f t="shared" si="155"/>
        <v/>
      </c>
      <c r="AN328" s="89" t="str">
        <f t="shared" si="177"/>
        <v/>
      </c>
      <c r="AO328" s="3" t="str">
        <f t="shared" si="178"/>
        <v/>
      </c>
      <c r="AP328" s="33" t="str">
        <f t="shared" si="179"/>
        <v/>
      </c>
      <c r="AQ328" s="58" t="str">
        <f t="shared" si="156"/>
        <v/>
      </c>
      <c r="AR328" s="38">
        <f>IF(Summary!$H$2=1,VLOOKUP('ANR OK vs ML7'!A328,Curves!$C$17:$AR$273,MATCH('ANR OK vs ML7'!$AR$4,Curves!$C$8:$AQ$8,0)),0.1)</f>
        <v>0.1</v>
      </c>
      <c r="AS328" s="35" t="str">
        <f t="shared" si="157"/>
        <v/>
      </c>
      <c r="AT328" s="3" t="str">
        <f t="shared" si="180"/>
        <v/>
      </c>
      <c r="AU328" s="3" t="str">
        <f t="shared" si="158"/>
        <v/>
      </c>
      <c r="AW328" s="32" t="str">
        <f t="shared" si="181"/>
        <v/>
      </c>
      <c r="AX328" s="32" t="str">
        <f t="shared" si="182"/>
        <v/>
      </c>
      <c r="AY328" s="32" t="str">
        <f t="shared" si="183"/>
        <v/>
      </c>
      <c r="BA328" s="32" t="str">
        <f>IF($A329="","",F328*Summary!$Q$7)</f>
        <v/>
      </c>
    </row>
    <row r="329" spans="1:53" ht="12" customHeight="1">
      <c r="A329" s="67" t="str">
        <f t="shared" si="159"/>
        <v/>
      </c>
      <c r="B329" s="69" t="str">
        <f t="shared" si="184"/>
        <v/>
      </c>
      <c r="C329" s="71"/>
      <c r="D329" s="69" t="str">
        <f t="shared" si="185"/>
        <v/>
      </c>
      <c r="E329" s="70" t="str">
        <f t="shared" si="150"/>
        <v/>
      </c>
      <c r="F329" s="70" t="str">
        <f t="shared" si="151"/>
        <v/>
      </c>
      <c r="G329" s="63" t="str">
        <f t="shared" si="160"/>
        <v/>
      </c>
      <c r="H329" s="64" t="str">
        <f t="shared" si="161"/>
        <v/>
      </c>
      <c r="I329" s="43"/>
      <c r="J329" s="63" t="str">
        <f t="shared" si="162"/>
        <v/>
      </c>
      <c r="K329" s="64" t="str">
        <f t="shared" si="163"/>
        <v/>
      </c>
      <c r="L329" s="63" t="str">
        <f t="shared" si="164"/>
        <v/>
      </c>
      <c r="M329" s="64" t="str">
        <f t="shared" si="165"/>
        <v/>
      </c>
      <c r="N329" s="65"/>
      <c r="O329" s="63" t="str">
        <f t="shared" si="166"/>
        <v/>
      </c>
      <c r="P329" s="63" t="str">
        <f t="shared" si="167"/>
        <v/>
      </c>
      <c r="Q329" s="66"/>
      <c r="R329" s="63" t="str">
        <f t="shared" si="168"/>
        <v/>
      </c>
      <c r="S329" s="64" t="str">
        <f t="shared" si="169"/>
        <v/>
      </c>
      <c r="T329" s="63" t="str">
        <f t="shared" si="170"/>
        <v/>
      </c>
      <c r="U329" s="64" t="str">
        <f t="shared" si="171"/>
        <v/>
      </c>
      <c r="V329" s="207" t="str">
        <f>IF($A330="","",IF(AND(MONTH(A329)&gt;3,MONTH(A329)&lt;11),(T329+R329+G329)*Summary!$T$7/(1-Summary!$T$7),(T329+R329+G329)*Summary!$U$7/(1-Summary!$U$7)))</f>
        <v/>
      </c>
      <c r="W329" s="63" t="str">
        <f t="shared" si="172"/>
        <v/>
      </c>
      <c r="X329" s="63" t="str">
        <f t="shared" si="173"/>
        <v/>
      </c>
      <c r="Y329" s="43"/>
      <c r="Z329" s="38" t="str">
        <f t="shared" si="174"/>
        <v/>
      </c>
      <c r="AA329" s="38" t="str">
        <f t="shared" si="174"/>
        <v/>
      </c>
      <c r="AB329" s="38" t="e">
        <f t="shared" si="152"/>
        <v>#VALUE!</v>
      </c>
      <c r="AC329" s="38" t="str">
        <f t="shared" si="174"/>
        <v/>
      </c>
      <c r="AD329" s="38" t="str">
        <f t="shared" si="174"/>
        <v/>
      </c>
      <c r="AE329" s="38" t="e">
        <f t="shared" si="153"/>
        <v>#VALUE!</v>
      </c>
      <c r="AF329" s="238" t="e">
        <f>((Summary!$N$7*(AA329*AD329)*(A329-$D$3))+(Summary!$M$7*Z329*AC329*(DAY(EOMONTH(A329,0))/2)))/(AK329*AB329*AE329)</f>
        <v>#VALUE!</v>
      </c>
      <c r="AG329" s="88" t="str">
        <f>IF($A330="","",Summary!$Q$7)</f>
        <v/>
      </c>
      <c r="AH329" s="88" t="str">
        <f>IF($A330="","",IF(Summary!$R$7="Y",(VLOOKUP($A329,Summary!$AD$6:$AF$9,3)+'Escalating commodity'!C342),'Escalating commodity'!C342))</f>
        <v/>
      </c>
      <c r="AI329" s="88" t="str">
        <f t="shared" si="175"/>
        <v/>
      </c>
      <c r="AJ329" s="236" t="e">
        <f t="shared" si="154"/>
        <v>#VALUE!</v>
      </c>
      <c r="AK329" s="58" t="str">
        <f t="shared" si="176"/>
        <v/>
      </c>
      <c r="AL329" s="26" t="str">
        <f>IF($A330="","",_xll.SPRDOPT(P329,X329,AI329,0,AB329,AE329,AF329,AK329,$AJ$2,0))</f>
        <v/>
      </c>
      <c r="AM329" s="209" t="str">
        <f t="shared" si="155"/>
        <v/>
      </c>
      <c r="AN329" s="89" t="str">
        <f t="shared" si="177"/>
        <v/>
      </c>
      <c r="AO329" s="3" t="str">
        <f t="shared" si="178"/>
        <v/>
      </c>
      <c r="AP329" s="33" t="str">
        <f t="shared" si="179"/>
        <v/>
      </c>
      <c r="AQ329" s="58" t="str">
        <f t="shared" si="156"/>
        <v/>
      </c>
      <c r="AR329" s="38">
        <f>IF(Summary!$H$2=1,VLOOKUP('ANR OK vs ML7'!A329,Curves!$C$17:$AR$273,MATCH('ANR OK vs ML7'!$AR$4,Curves!$C$8:$AQ$8,0)),0.1)</f>
        <v>0.1</v>
      </c>
      <c r="AS329" s="35" t="str">
        <f t="shared" si="157"/>
        <v/>
      </c>
      <c r="AT329" s="3" t="str">
        <f t="shared" si="180"/>
        <v/>
      </c>
      <c r="AU329" s="3" t="str">
        <f t="shared" si="158"/>
        <v/>
      </c>
      <c r="AW329" s="32" t="str">
        <f t="shared" si="181"/>
        <v/>
      </c>
      <c r="AX329" s="32" t="str">
        <f t="shared" si="182"/>
        <v/>
      </c>
      <c r="AY329" s="32" t="str">
        <f t="shared" si="183"/>
        <v/>
      </c>
      <c r="BA329" s="32" t="str">
        <f>IF($A330="","",F329*Summary!$Q$7)</f>
        <v/>
      </c>
    </row>
    <row r="330" spans="1:53" ht="12" customHeight="1">
      <c r="A330" s="67" t="str">
        <f t="shared" si="159"/>
        <v/>
      </c>
      <c r="B330" s="69" t="str">
        <f t="shared" si="184"/>
        <v/>
      </c>
      <c r="C330" s="71"/>
      <c r="D330" s="69" t="str">
        <f t="shared" si="185"/>
        <v/>
      </c>
      <c r="E330" s="70" t="str">
        <f t="shared" ref="E330:E393" si="186">IF(A331="","",IF(AND(AT330=1,$H$3=1),D330*AO330,IF($H$3=2,D330,"N/A")))</f>
        <v/>
      </c>
      <c r="F330" s="70" t="str">
        <f t="shared" ref="F330:F393" si="187">IF(A331="","",E330*AS330)</f>
        <v/>
      </c>
      <c r="G330" s="63" t="str">
        <f t="shared" si="160"/>
        <v/>
      </c>
      <c r="H330" s="64" t="str">
        <f t="shared" si="161"/>
        <v/>
      </c>
      <c r="I330" s="43"/>
      <c r="J330" s="63" t="str">
        <f t="shared" si="162"/>
        <v/>
      </c>
      <c r="K330" s="64" t="str">
        <f t="shared" si="163"/>
        <v/>
      </c>
      <c r="L330" s="63" t="str">
        <f t="shared" si="164"/>
        <v/>
      </c>
      <c r="M330" s="64" t="str">
        <f t="shared" si="165"/>
        <v/>
      </c>
      <c r="N330" s="65"/>
      <c r="O330" s="63" t="str">
        <f t="shared" si="166"/>
        <v/>
      </c>
      <c r="P330" s="63" t="str">
        <f t="shared" si="167"/>
        <v/>
      </c>
      <c r="Q330" s="66"/>
      <c r="R330" s="63" t="str">
        <f t="shared" si="168"/>
        <v/>
      </c>
      <c r="S330" s="64" t="str">
        <f t="shared" si="169"/>
        <v/>
      </c>
      <c r="T330" s="63" t="str">
        <f t="shared" si="170"/>
        <v/>
      </c>
      <c r="U330" s="64" t="str">
        <f t="shared" si="171"/>
        <v/>
      </c>
      <c r="V330" s="207" t="str">
        <f>IF($A331="","",IF(AND(MONTH(A330)&gt;3,MONTH(A330)&lt;11),(T330+R330+G330)*Summary!$T$7/(1-Summary!$T$7),(T330+R330+G330)*Summary!$U$7/(1-Summary!$U$7)))</f>
        <v/>
      </c>
      <c r="W330" s="63" t="str">
        <f t="shared" si="172"/>
        <v/>
      </c>
      <c r="X330" s="63" t="str">
        <f t="shared" si="173"/>
        <v/>
      </c>
      <c r="Y330" s="43"/>
      <c r="Z330" s="38" t="str">
        <f t="shared" si="174"/>
        <v/>
      </c>
      <c r="AA330" s="38" t="str">
        <f t="shared" si="174"/>
        <v/>
      </c>
      <c r="AB330" s="38" t="e">
        <f t="shared" ref="AB330:AB393" si="188">SQRT((AA330^2*(A330-$D$3)+Z330^2*(DAY(EOMONTH(A330,0))/2))/AK330)</f>
        <v>#VALUE!</v>
      </c>
      <c r="AC330" s="38" t="str">
        <f t="shared" si="174"/>
        <v/>
      </c>
      <c r="AD330" s="38" t="str">
        <f t="shared" ref="AD330:AD369" si="189">IF($A331="","",VLOOKUP($A330,Table,MATCH(AD$4,Curves,0)))</f>
        <v/>
      </c>
      <c r="AE330" s="38" t="e">
        <f t="shared" ref="AE330:AE393" si="190">SQRT((AD330^2*(A330-$D$3)+AC330^2*(DAY(EOMONTH(A330,0))/2))/AK330)</f>
        <v>#VALUE!</v>
      </c>
      <c r="AF330" s="238" t="e">
        <f>((Summary!$N$7*(AA330*AD330)*(A330-$D$3))+(Summary!$M$7*Z330*AC330*(DAY(EOMONTH(A330,0))/2)))/(AK330*AB330*AE330)</f>
        <v>#VALUE!</v>
      </c>
      <c r="AG330" s="88" t="str">
        <f>IF($A331="","",Summary!$Q$7)</f>
        <v/>
      </c>
      <c r="AH330" s="88" t="str">
        <f>IF($A331="","",IF(Summary!$R$7="Y",(VLOOKUP($A330,Summary!$AD$6:$AF$9,3)+'Escalating commodity'!C343),'Escalating commodity'!C343))</f>
        <v/>
      </c>
      <c r="AI330" s="88" t="str">
        <f t="shared" si="175"/>
        <v/>
      </c>
      <c r="AJ330" s="236" t="e">
        <f t="shared" ref="AJ330:AJ369" si="191">A330+DAY(EOMONTH(A330,0))/2-1</f>
        <v>#VALUE!</v>
      </c>
      <c r="AK330" s="58" t="str">
        <f t="shared" si="176"/>
        <v/>
      </c>
      <c r="AL330" s="26" t="str">
        <f>IF($A331="","",_xll.SPRDOPT(P330,X330,AI330,0,AB330,AE330,AF330,AK330,$AJ$2,0))</f>
        <v/>
      </c>
      <c r="AM330" s="209" t="str">
        <f t="shared" ref="AM330:AM369" si="192">IF($A331="","",MAX(0,O330-W330-AI330))</f>
        <v/>
      </c>
      <c r="AN330" s="89" t="str">
        <f t="shared" si="177"/>
        <v/>
      </c>
      <c r="AO330" s="3" t="str">
        <f t="shared" si="178"/>
        <v/>
      </c>
      <c r="AP330" s="33" t="str">
        <f t="shared" si="179"/>
        <v/>
      </c>
      <c r="AQ330" s="58" t="str">
        <f t="shared" ref="AQ330:AQ393" si="193">IF(A331="","",AP330-$E$1)</f>
        <v/>
      </c>
      <c r="AR330" s="38">
        <f>IF(Summary!$H$2=1,VLOOKUP('ANR OK vs ML7'!A330,Curves!$C$17:$AR$273,MATCH('ANR OK vs ML7'!$AR$4,Curves!$C$8:$AQ$8,0)),0.1)</f>
        <v>0.1</v>
      </c>
      <c r="AS330" s="35" t="str">
        <f t="shared" ref="AS330:AS393" si="194">IF(A331="","",1/(1+CHOOSE(F$3,(AR331+($I$3/10000))/2,(AR330+($I$3/10000))/2))^(2*AQ330/365.25))</f>
        <v/>
      </c>
      <c r="AT330" s="3" t="str">
        <f t="shared" si="180"/>
        <v/>
      </c>
      <c r="AU330" s="3" t="str">
        <f t="shared" ref="AU330:AU393" si="195">IF(A331="","",AO330*AT330)</f>
        <v/>
      </c>
      <c r="AW330" s="32" t="str">
        <f t="shared" si="181"/>
        <v/>
      </c>
      <c r="AX330" s="32" t="str">
        <f t="shared" si="182"/>
        <v/>
      </c>
      <c r="AY330" s="32" t="str">
        <f t="shared" si="183"/>
        <v/>
      </c>
      <c r="BA330" s="32" t="str">
        <f>IF($A331="","",F330*Summary!$Q$7)</f>
        <v/>
      </c>
    </row>
    <row r="331" spans="1:53" ht="12" customHeight="1">
      <c r="A331" s="67" t="str">
        <f t="shared" ref="A331:A394" si="196">IF(A330&lt;mthend,EDATE(A330,1),"")</f>
        <v/>
      </c>
      <c r="B331" s="69" t="str">
        <f t="shared" si="184"/>
        <v/>
      </c>
      <c r="C331" s="71"/>
      <c r="D331" s="69" t="str">
        <f t="shared" si="185"/>
        <v/>
      </c>
      <c r="E331" s="70" t="str">
        <f t="shared" si="186"/>
        <v/>
      </c>
      <c r="F331" s="70" t="str">
        <f t="shared" si="187"/>
        <v/>
      </c>
      <c r="G331" s="63" t="str">
        <f t="shared" ref="G331:G394" si="197">IF($A332="","",VLOOKUP($A331,Table,MATCH(G$4,Curves,0)))</f>
        <v/>
      </c>
      <c r="H331" s="64" t="str">
        <f t="shared" ref="H331:H394" si="198">IF(A332="","",G331)</f>
        <v/>
      </c>
      <c r="I331" s="43"/>
      <c r="J331" s="63" t="str">
        <f t="shared" ref="J331:J394" si="199">IF($A332="","",VLOOKUP($A331,Table,MATCH(J$4,Curves,0)))</f>
        <v/>
      </c>
      <c r="K331" s="64" t="str">
        <f t="shared" ref="K331:K394" si="200">IF(A332="","",J331)</f>
        <v/>
      </c>
      <c r="L331" s="63" t="str">
        <f t="shared" ref="L331:L394" si="201">IF($A332="","",VLOOKUP($A331,Table,MATCH(L$4,Curves,0)))</f>
        <v/>
      </c>
      <c r="M331" s="64" t="str">
        <f t="shared" ref="M331:M394" si="202">IF(A332="","",L331)</f>
        <v/>
      </c>
      <c r="N331" s="65"/>
      <c r="O331" s="63" t="str">
        <f t="shared" ref="O331:O394" si="203">IF(A332="","",L331+J331+G331)</f>
        <v/>
      </c>
      <c r="P331" s="63" t="str">
        <f t="shared" ref="P331:P394" si="204">IF(A332="","",M331+K331+H331)</f>
        <v/>
      </c>
      <c r="Q331" s="66"/>
      <c r="R331" s="63" t="str">
        <f t="shared" ref="R331:R394" si="205">IF($A332="","",VLOOKUP($A331,Table,MATCH(R$4,Curves,0)))</f>
        <v/>
      </c>
      <c r="S331" s="64" t="str">
        <f t="shared" ref="S331:S394" si="206">IF(A332="","",R331)</f>
        <v/>
      </c>
      <c r="T331" s="63" t="str">
        <f t="shared" ref="T331:T394" si="207">IF($A332="","",VLOOKUP($A331,Table,MATCH(T$4,Curves,0)))</f>
        <v/>
      </c>
      <c r="U331" s="64" t="str">
        <f t="shared" ref="U331:U394" si="208">IF(A332="","",T331)</f>
        <v/>
      </c>
      <c r="V331" s="207" t="str">
        <f>IF($A332="","",IF(AND(MONTH(A331)&gt;3,MONTH(A331)&lt;11),(T331+R331+G331)*Summary!$T$7/(1-Summary!$T$7),(T331+R331+G331)*Summary!$U$7/(1-Summary!$U$7)))</f>
        <v/>
      </c>
      <c r="W331" s="63" t="str">
        <f t="shared" ref="W331:W394" si="209">IF($A332="","",(T331+R331+G331+V331))</f>
        <v/>
      </c>
      <c r="X331" s="63" t="str">
        <f t="shared" ref="X331:X394" si="210">IF($A332="","",(U331+S331+H331+V331))</f>
        <v/>
      </c>
      <c r="Y331" s="43"/>
      <c r="Z331" s="38" t="str">
        <f t="shared" ref="Z331:AC369" si="211">IF($A332="","",VLOOKUP($A331,Table,MATCH(Z$4,Curves,0)))</f>
        <v/>
      </c>
      <c r="AA331" s="38" t="str">
        <f t="shared" si="211"/>
        <v/>
      </c>
      <c r="AB331" s="38" t="e">
        <f t="shared" si="188"/>
        <v>#VALUE!</v>
      </c>
      <c r="AC331" s="38" t="str">
        <f t="shared" si="211"/>
        <v/>
      </c>
      <c r="AD331" s="38" t="str">
        <f t="shared" si="189"/>
        <v/>
      </c>
      <c r="AE331" s="38" t="e">
        <f t="shared" si="190"/>
        <v>#VALUE!</v>
      </c>
      <c r="AF331" s="238" t="e">
        <f>((Summary!$N$7*(AA331*AD331)*(A331-$D$3))+(Summary!$M$7*Z331*AC331*(DAY(EOMONTH(A331,0))/2)))/(AK331*AB331*AE331)</f>
        <v>#VALUE!</v>
      </c>
      <c r="AG331" s="88" t="str">
        <f>IF($A332="","",Summary!$Q$7)</f>
        <v/>
      </c>
      <c r="AH331" s="88" t="str">
        <f>IF($A332="","",IF(Summary!$R$7="Y",(VLOOKUP($A331,Summary!$AD$6:$AF$9,3)+'Escalating commodity'!C344),'Escalating commodity'!C344))</f>
        <v/>
      </c>
      <c r="AI331" s="88" t="str">
        <f t="shared" ref="AI331:AI369" si="212">IF($A332="","",AH331)</f>
        <v/>
      </c>
      <c r="AJ331" s="236" t="e">
        <f t="shared" si="191"/>
        <v>#VALUE!</v>
      </c>
      <c r="AK331" s="58" t="str">
        <f t="shared" ref="AK331:AK369" si="213">IF($A332="","",$A331-$E$1)</f>
        <v/>
      </c>
      <c r="AL331" s="26" t="str">
        <f>IF($A332="","",_xll.SPRDOPT(P331,X331,AI331,0,AB331,AE331,AF331,AK331,$AJ$2,0))</f>
        <v/>
      </c>
      <c r="AM331" s="209" t="str">
        <f t="shared" si="192"/>
        <v/>
      </c>
      <c r="AN331" s="89" t="str">
        <f t="shared" ref="AN331:AN369" si="214">IF($A332="","",AL331-AM331)</f>
        <v/>
      </c>
      <c r="AO331" s="3" t="str">
        <f t="shared" ref="AO331:AO394" si="215">IF(A332="","",A332-A331)</f>
        <v/>
      </c>
      <c r="AP331" s="33" t="str">
        <f t="shared" ref="AP331:AP394" si="216">IF(A332="","",CHOOSE(F$3,A332+24,A331))</f>
        <v/>
      </c>
      <c r="AQ331" s="58" t="str">
        <f t="shared" si="193"/>
        <v/>
      </c>
      <c r="AR331" s="38">
        <f>IF(Summary!$H$2=1,VLOOKUP('ANR OK vs ML7'!A331,Curves!$C$17:$AR$273,MATCH('ANR OK vs ML7'!$AR$4,Curves!$C$8:$AQ$8,0)),0.1)</f>
        <v>0.1</v>
      </c>
      <c r="AS331" s="35" t="str">
        <f t="shared" si="194"/>
        <v/>
      </c>
      <c r="AT331" s="3" t="str">
        <f t="shared" ref="AT331:AT394" si="217">IF(A332="","",IF(AND(mthbeg&lt;=A331,mthend&gt;=A331),1,0))</f>
        <v/>
      </c>
      <c r="AU331" s="3" t="str">
        <f t="shared" si="195"/>
        <v/>
      </c>
      <c r="AW331" s="32" t="str">
        <f t="shared" ref="AW331:AW394" si="218">IF($A332="","",AL331*$E331)</f>
        <v/>
      </c>
      <c r="AX331" s="32" t="str">
        <f t="shared" ref="AX331:AX394" si="219">IF($A332="","",AM331*$E331)</f>
        <v/>
      </c>
      <c r="AY331" s="32" t="str">
        <f t="shared" ref="AY331:AY394" si="220">IF($A332="","",AN331*$E331)</f>
        <v/>
      </c>
      <c r="BA331" s="32" t="str">
        <f>IF($A332="","",F331*Summary!$Q$7)</f>
        <v/>
      </c>
    </row>
    <row r="332" spans="1:53" ht="12" customHeight="1">
      <c r="A332" s="67" t="str">
        <f t="shared" si="196"/>
        <v/>
      </c>
      <c r="B332" s="69" t="str">
        <f t="shared" ref="B332:B395" si="221">IF(A332&lt;mthend,B331,"")</f>
        <v/>
      </c>
      <c r="C332" s="71"/>
      <c r="D332" s="69" t="str">
        <f t="shared" ref="D332:D395" si="222">IF(A333&lt;&gt;"",B332+C332,"")</f>
        <v/>
      </c>
      <c r="E332" s="70" t="str">
        <f t="shared" si="186"/>
        <v/>
      </c>
      <c r="F332" s="70" t="str">
        <f t="shared" si="187"/>
        <v/>
      </c>
      <c r="G332" s="63" t="str">
        <f t="shared" si="197"/>
        <v/>
      </c>
      <c r="H332" s="64" t="str">
        <f t="shared" si="198"/>
        <v/>
      </c>
      <c r="I332" s="43"/>
      <c r="J332" s="63" t="str">
        <f t="shared" si="199"/>
        <v/>
      </c>
      <c r="K332" s="64" t="str">
        <f t="shared" si="200"/>
        <v/>
      </c>
      <c r="L332" s="63" t="str">
        <f t="shared" si="201"/>
        <v/>
      </c>
      <c r="M332" s="64" t="str">
        <f t="shared" si="202"/>
        <v/>
      </c>
      <c r="N332" s="65"/>
      <c r="O332" s="63" t="str">
        <f t="shared" si="203"/>
        <v/>
      </c>
      <c r="P332" s="63" t="str">
        <f t="shared" si="204"/>
        <v/>
      </c>
      <c r="Q332" s="66"/>
      <c r="R332" s="63" t="str">
        <f t="shared" si="205"/>
        <v/>
      </c>
      <c r="S332" s="64" t="str">
        <f t="shared" si="206"/>
        <v/>
      </c>
      <c r="T332" s="63" t="str">
        <f t="shared" si="207"/>
        <v/>
      </c>
      <c r="U332" s="64" t="str">
        <f t="shared" si="208"/>
        <v/>
      </c>
      <c r="V332" s="207" t="str">
        <f>IF($A333="","",IF(AND(MONTH(A332)&gt;3,MONTH(A332)&lt;11),(T332+R332+G332)*Summary!$T$7/(1-Summary!$T$7),(T332+R332+G332)*Summary!$U$7/(1-Summary!$U$7)))</f>
        <v/>
      </c>
      <c r="W332" s="63" t="str">
        <f t="shared" si="209"/>
        <v/>
      </c>
      <c r="X332" s="63" t="str">
        <f t="shared" si="210"/>
        <v/>
      </c>
      <c r="Y332" s="43"/>
      <c r="Z332" s="38" t="str">
        <f t="shared" si="211"/>
        <v/>
      </c>
      <c r="AA332" s="38" t="str">
        <f t="shared" si="211"/>
        <v/>
      </c>
      <c r="AB332" s="38" t="e">
        <f t="shared" si="188"/>
        <v>#VALUE!</v>
      </c>
      <c r="AC332" s="38" t="str">
        <f t="shared" si="211"/>
        <v/>
      </c>
      <c r="AD332" s="38" t="str">
        <f t="shared" si="189"/>
        <v/>
      </c>
      <c r="AE332" s="38" t="e">
        <f t="shared" si="190"/>
        <v>#VALUE!</v>
      </c>
      <c r="AF332" s="238" t="e">
        <f>((Summary!$N$7*(AA332*AD332)*(A332-$D$3))+(Summary!$M$7*Z332*AC332*(DAY(EOMONTH(A332,0))/2)))/(AK332*AB332*AE332)</f>
        <v>#VALUE!</v>
      </c>
      <c r="AG332" s="88" t="str">
        <f>IF($A333="","",Summary!$Q$7)</f>
        <v/>
      </c>
      <c r="AH332" s="88" t="str">
        <f>IF($A333="","",IF(Summary!$R$7="Y",(VLOOKUP($A332,Summary!$AD$6:$AF$9,3)+'Escalating commodity'!C345),'Escalating commodity'!C345))</f>
        <v/>
      </c>
      <c r="AI332" s="88" t="str">
        <f t="shared" si="212"/>
        <v/>
      </c>
      <c r="AJ332" s="236" t="e">
        <f t="shared" si="191"/>
        <v>#VALUE!</v>
      </c>
      <c r="AK332" s="58" t="str">
        <f t="shared" si="213"/>
        <v/>
      </c>
      <c r="AL332" s="26" t="str">
        <f>IF($A333="","",_xll.SPRDOPT(P332,X332,AI332,0,AB332,AE332,AF332,AK332,$AJ$2,0))</f>
        <v/>
      </c>
      <c r="AM332" s="209" t="str">
        <f t="shared" si="192"/>
        <v/>
      </c>
      <c r="AN332" s="89" t="str">
        <f t="shared" si="214"/>
        <v/>
      </c>
      <c r="AO332" s="3" t="str">
        <f t="shared" si="215"/>
        <v/>
      </c>
      <c r="AP332" s="33" t="str">
        <f t="shared" si="216"/>
        <v/>
      </c>
      <c r="AQ332" s="58" t="str">
        <f t="shared" si="193"/>
        <v/>
      </c>
      <c r="AR332" s="38">
        <f>IF(Summary!$H$2=1,VLOOKUP('ANR OK vs ML7'!A332,Curves!$C$17:$AR$273,MATCH('ANR OK vs ML7'!$AR$4,Curves!$C$8:$AQ$8,0)),0.1)</f>
        <v>0.1</v>
      </c>
      <c r="AS332" s="35" t="str">
        <f t="shared" si="194"/>
        <v/>
      </c>
      <c r="AT332" s="3" t="str">
        <f t="shared" si="217"/>
        <v/>
      </c>
      <c r="AU332" s="3" t="str">
        <f t="shared" si="195"/>
        <v/>
      </c>
      <c r="AW332" s="32" t="str">
        <f t="shared" si="218"/>
        <v/>
      </c>
      <c r="AX332" s="32" t="str">
        <f t="shared" si="219"/>
        <v/>
      </c>
      <c r="AY332" s="32" t="str">
        <f t="shared" si="220"/>
        <v/>
      </c>
      <c r="BA332" s="32" t="str">
        <f>IF($A333="","",F332*Summary!$Q$7)</f>
        <v/>
      </c>
    </row>
    <row r="333" spans="1:53" ht="12" customHeight="1">
      <c r="A333" s="67" t="str">
        <f t="shared" si="196"/>
        <v/>
      </c>
      <c r="B333" s="69" t="str">
        <f t="shared" si="221"/>
        <v/>
      </c>
      <c r="C333" s="71"/>
      <c r="D333" s="69" t="str">
        <f t="shared" si="222"/>
        <v/>
      </c>
      <c r="E333" s="70" t="str">
        <f t="shared" si="186"/>
        <v/>
      </c>
      <c r="F333" s="70" t="str">
        <f t="shared" si="187"/>
        <v/>
      </c>
      <c r="G333" s="63" t="str">
        <f t="shared" si="197"/>
        <v/>
      </c>
      <c r="H333" s="64" t="str">
        <f t="shared" si="198"/>
        <v/>
      </c>
      <c r="I333" s="43"/>
      <c r="J333" s="63" t="str">
        <f t="shared" si="199"/>
        <v/>
      </c>
      <c r="K333" s="64" t="str">
        <f t="shared" si="200"/>
        <v/>
      </c>
      <c r="L333" s="63" t="str">
        <f t="shared" si="201"/>
        <v/>
      </c>
      <c r="M333" s="64" t="str">
        <f t="shared" si="202"/>
        <v/>
      </c>
      <c r="N333" s="65"/>
      <c r="O333" s="63" t="str">
        <f t="shared" si="203"/>
        <v/>
      </c>
      <c r="P333" s="63" t="str">
        <f t="shared" si="204"/>
        <v/>
      </c>
      <c r="Q333" s="66"/>
      <c r="R333" s="63" t="str">
        <f t="shared" si="205"/>
        <v/>
      </c>
      <c r="S333" s="64" t="str">
        <f t="shared" si="206"/>
        <v/>
      </c>
      <c r="T333" s="63" t="str">
        <f t="shared" si="207"/>
        <v/>
      </c>
      <c r="U333" s="64" t="str">
        <f t="shared" si="208"/>
        <v/>
      </c>
      <c r="V333" s="207" t="str">
        <f>IF($A334="","",IF(AND(MONTH(A333)&gt;3,MONTH(A333)&lt;11),(T333+R333+G333)*Summary!$T$7/(1-Summary!$T$7),(T333+R333+G333)*Summary!$U$7/(1-Summary!$U$7)))</f>
        <v/>
      </c>
      <c r="W333" s="63" t="str">
        <f t="shared" si="209"/>
        <v/>
      </c>
      <c r="X333" s="63" t="str">
        <f t="shared" si="210"/>
        <v/>
      </c>
      <c r="Y333" s="43"/>
      <c r="Z333" s="38" t="str">
        <f t="shared" si="211"/>
        <v/>
      </c>
      <c r="AA333" s="38" t="str">
        <f t="shared" si="211"/>
        <v/>
      </c>
      <c r="AB333" s="38" t="e">
        <f t="shared" si="188"/>
        <v>#VALUE!</v>
      </c>
      <c r="AC333" s="38" t="str">
        <f t="shared" si="211"/>
        <v/>
      </c>
      <c r="AD333" s="38" t="str">
        <f t="shared" si="189"/>
        <v/>
      </c>
      <c r="AE333" s="38" t="e">
        <f t="shared" si="190"/>
        <v>#VALUE!</v>
      </c>
      <c r="AF333" s="238" t="e">
        <f>((Summary!$N$7*(AA333*AD333)*(A333-$D$3))+(Summary!$M$7*Z333*AC333*(DAY(EOMONTH(A333,0))/2)))/(AK333*AB333*AE333)</f>
        <v>#VALUE!</v>
      </c>
      <c r="AG333" s="88" t="str">
        <f>IF($A334="","",Summary!$Q$7)</f>
        <v/>
      </c>
      <c r="AH333" s="88" t="str">
        <f>IF($A334="","",IF(Summary!$R$7="Y",(VLOOKUP($A333,Summary!$AD$6:$AF$9,3)+'Escalating commodity'!C346),'Escalating commodity'!C346))</f>
        <v/>
      </c>
      <c r="AI333" s="88" t="str">
        <f t="shared" si="212"/>
        <v/>
      </c>
      <c r="AJ333" s="236" t="e">
        <f t="shared" si="191"/>
        <v>#VALUE!</v>
      </c>
      <c r="AK333" s="58" t="str">
        <f t="shared" si="213"/>
        <v/>
      </c>
      <c r="AL333" s="26" t="str">
        <f>IF($A334="","",_xll.SPRDOPT(P333,X333,AI333,0,AB333,AE333,AF333,AK333,$AJ$2,0))</f>
        <v/>
      </c>
      <c r="AM333" s="209" t="str">
        <f t="shared" si="192"/>
        <v/>
      </c>
      <c r="AN333" s="89" t="str">
        <f t="shared" si="214"/>
        <v/>
      </c>
      <c r="AO333" s="3" t="str">
        <f t="shared" si="215"/>
        <v/>
      </c>
      <c r="AP333" s="33" t="str">
        <f t="shared" si="216"/>
        <v/>
      </c>
      <c r="AQ333" s="58" t="str">
        <f t="shared" si="193"/>
        <v/>
      </c>
      <c r="AR333" s="38">
        <f>IF(Summary!$H$2=1,VLOOKUP('ANR OK vs ML7'!A333,Curves!$C$17:$AR$273,MATCH('ANR OK vs ML7'!$AR$4,Curves!$C$8:$AQ$8,0)),0.1)</f>
        <v>0.1</v>
      </c>
      <c r="AS333" s="35" t="str">
        <f t="shared" si="194"/>
        <v/>
      </c>
      <c r="AT333" s="3" t="str">
        <f t="shared" si="217"/>
        <v/>
      </c>
      <c r="AU333" s="3" t="str">
        <f t="shared" si="195"/>
        <v/>
      </c>
      <c r="AW333" s="32" t="str">
        <f t="shared" si="218"/>
        <v/>
      </c>
      <c r="AX333" s="32" t="str">
        <f t="shared" si="219"/>
        <v/>
      </c>
      <c r="AY333" s="32" t="str">
        <f t="shared" si="220"/>
        <v/>
      </c>
      <c r="BA333" s="32" t="str">
        <f>IF($A334="","",F333*Summary!$Q$7)</f>
        <v/>
      </c>
    </row>
    <row r="334" spans="1:53" ht="12" customHeight="1">
      <c r="A334" s="67" t="str">
        <f t="shared" si="196"/>
        <v/>
      </c>
      <c r="B334" s="69" t="str">
        <f t="shared" si="221"/>
        <v/>
      </c>
      <c r="C334" s="71"/>
      <c r="D334" s="69" t="str">
        <f t="shared" si="222"/>
        <v/>
      </c>
      <c r="E334" s="70" t="str">
        <f t="shared" si="186"/>
        <v/>
      </c>
      <c r="F334" s="70" t="str">
        <f t="shared" si="187"/>
        <v/>
      </c>
      <c r="G334" s="63" t="str">
        <f t="shared" si="197"/>
        <v/>
      </c>
      <c r="H334" s="64" t="str">
        <f t="shared" si="198"/>
        <v/>
      </c>
      <c r="I334" s="43"/>
      <c r="J334" s="63" t="str">
        <f t="shared" si="199"/>
        <v/>
      </c>
      <c r="K334" s="64" t="str">
        <f t="shared" si="200"/>
        <v/>
      </c>
      <c r="L334" s="63" t="str">
        <f t="shared" si="201"/>
        <v/>
      </c>
      <c r="M334" s="64" t="str">
        <f t="shared" si="202"/>
        <v/>
      </c>
      <c r="N334" s="65"/>
      <c r="O334" s="63" t="str">
        <f t="shared" si="203"/>
        <v/>
      </c>
      <c r="P334" s="63" t="str">
        <f t="shared" si="204"/>
        <v/>
      </c>
      <c r="Q334" s="66"/>
      <c r="R334" s="63" t="str">
        <f t="shared" si="205"/>
        <v/>
      </c>
      <c r="S334" s="64" t="str">
        <f t="shared" si="206"/>
        <v/>
      </c>
      <c r="T334" s="63" t="str">
        <f t="shared" si="207"/>
        <v/>
      </c>
      <c r="U334" s="64" t="str">
        <f t="shared" si="208"/>
        <v/>
      </c>
      <c r="V334" s="207" t="str">
        <f>IF($A335="","",IF(AND(MONTH(A334)&gt;3,MONTH(A334)&lt;11),(T334+R334+G334)*Summary!$T$7/(1-Summary!$T$7),(T334+R334+G334)*Summary!$U$7/(1-Summary!$U$7)))</f>
        <v/>
      </c>
      <c r="W334" s="63" t="str">
        <f t="shared" si="209"/>
        <v/>
      </c>
      <c r="X334" s="63" t="str">
        <f t="shared" si="210"/>
        <v/>
      </c>
      <c r="Y334" s="43"/>
      <c r="Z334" s="38" t="str">
        <f t="shared" si="211"/>
        <v/>
      </c>
      <c r="AA334" s="38" t="str">
        <f t="shared" si="211"/>
        <v/>
      </c>
      <c r="AB334" s="38" t="e">
        <f t="shared" si="188"/>
        <v>#VALUE!</v>
      </c>
      <c r="AC334" s="38" t="str">
        <f t="shared" si="211"/>
        <v/>
      </c>
      <c r="AD334" s="38" t="str">
        <f t="shared" si="189"/>
        <v/>
      </c>
      <c r="AE334" s="38" t="e">
        <f t="shared" si="190"/>
        <v>#VALUE!</v>
      </c>
      <c r="AF334" s="238" t="e">
        <f>((Summary!$N$7*(AA334*AD334)*(A334-$D$3))+(Summary!$M$7*Z334*AC334*(DAY(EOMONTH(A334,0))/2)))/(AK334*AB334*AE334)</f>
        <v>#VALUE!</v>
      </c>
      <c r="AG334" s="88" t="str">
        <f>IF($A335="","",Summary!$Q$7)</f>
        <v/>
      </c>
      <c r="AH334" s="88" t="str">
        <f>IF($A335="","",IF(Summary!$R$7="Y",(VLOOKUP($A334,Summary!$AD$6:$AF$9,3)+'Escalating commodity'!C347),'Escalating commodity'!C347))</f>
        <v/>
      </c>
      <c r="AI334" s="88" t="str">
        <f t="shared" si="212"/>
        <v/>
      </c>
      <c r="AJ334" s="236" t="e">
        <f t="shared" si="191"/>
        <v>#VALUE!</v>
      </c>
      <c r="AK334" s="58" t="str">
        <f t="shared" si="213"/>
        <v/>
      </c>
      <c r="AL334" s="26" t="str">
        <f>IF($A335="","",_xll.SPRDOPT(P334,X334,AI334,0,AB334,AE334,AF334,AK334,$AJ$2,0))</f>
        <v/>
      </c>
      <c r="AM334" s="209" t="str">
        <f t="shared" si="192"/>
        <v/>
      </c>
      <c r="AN334" s="89" t="str">
        <f t="shared" si="214"/>
        <v/>
      </c>
      <c r="AO334" s="3" t="str">
        <f t="shared" si="215"/>
        <v/>
      </c>
      <c r="AP334" s="33" t="str">
        <f t="shared" si="216"/>
        <v/>
      </c>
      <c r="AQ334" s="58" t="str">
        <f t="shared" si="193"/>
        <v/>
      </c>
      <c r="AR334" s="38">
        <f>IF(Summary!$H$2=1,VLOOKUP('ANR OK vs ML7'!A334,Curves!$C$17:$AR$273,MATCH('ANR OK vs ML7'!$AR$4,Curves!$C$8:$AQ$8,0)),0.1)</f>
        <v>0.1</v>
      </c>
      <c r="AS334" s="35" t="str">
        <f t="shared" si="194"/>
        <v/>
      </c>
      <c r="AT334" s="3" t="str">
        <f t="shared" si="217"/>
        <v/>
      </c>
      <c r="AU334" s="3" t="str">
        <f t="shared" si="195"/>
        <v/>
      </c>
      <c r="AW334" s="32" t="str">
        <f t="shared" si="218"/>
        <v/>
      </c>
      <c r="AX334" s="32" t="str">
        <f t="shared" si="219"/>
        <v/>
      </c>
      <c r="AY334" s="32" t="str">
        <f t="shared" si="220"/>
        <v/>
      </c>
      <c r="BA334" s="32" t="str">
        <f>IF($A335="","",F334*Summary!$Q$7)</f>
        <v/>
      </c>
    </row>
    <row r="335" spans="1:53" ht="12" customHeight="1">
      <c r="A335" s="67" t="str">
        <f t="shared" si="196"/>
        <v/>
      </c>
      <c r="B335" s="69" t="str">
        <f t="shared" si="221"/>
        <v/>
      </c>
      <c r="C335" s="71"/>
      <c r="D335" s="69" t="str">
        <f t="shared" si="222"/>
        <v/>
      </c>
      <c r="E335" s="70" t="str">
        <f t="shared" si="186"/>
        <v/>
      </c>
      <c r="F335" s="70" t="str">
        <f t="shared" si="187"/>
        <v/>
      </c>
      <c r="G335" s="63" t="str">
        <f t="shared" si="197"/>
        <v/>
      </c>
      <c r="H335" s="64" t="str">
        <f t="shared" si="198"/>
        <v/>
      </c>
      <c r="I335" s="43"/>
      <c r="J335" s="63" t="str">
        <f t="shared" si="199"/>
        <v/>
      </c>
      <c r="K335" s="64" t="str">
        <f t="shared" si="200"/>
        <v/>
      </c>
      <c r="L335" s="63" t="str">
        <f t="shared" si="201"/>
        <v/>
      </c>
      <c r="M335" s="64" t="str">
        <f t="shared" si="202"/>
        <v/>
      </c>
      <c r="N335" s="65"/>
      <c r="O335" s="63" t="str">
        <f t="shared" si="203"/>
        <v/>
      </c>
      <c r="P335" s="63" t="str">
        <f t="shared" si="204"/>
        <v/>
      </c>
      <c r="Q335" s="66"/>
      <c r="R335" s="63" t="str">
        <f t="shared" si="205"/>
        <v/>
      </c>
      <c r="S335" s="64" t="str">
        <f t="shared" si="206"/>
        <v/>
      </c>
      <c r="T335" s="63" t="str">
        <f t="shared" si="207"/>
        <v/>
      </c>
      <c r="U335" s="64" t="str">
        <f t="shared" si="208"/>
        <v/>
      </c>
      <c r="V335" s="207" t="str">
        <f>IF($A336="","",IF(AND(MONTH(A335)&gt;3,MONTH(A335)&lt;11),(T335+R335+G335)*Summary!$T$7/(1-Summary!$T$7),(T335+R335+G335)*Summary!$U$7/(1-Summary!$U$7)))</f>
        <v/>
      </c>
      <c r="W335" s="63" t="str">
        <f t="shared" si="209"/>
        <v/>
      </c>
      <c r="X335" s="63" t="str">
        <f t="shared" si="210"/>
        <v/>
      </c>
      <c r="Y335" s="43"/>
      <c r="Z335" s="38" t="str">
        <f t="shared" si="211"/>
        <v/>
      </c>
      <c r="AA335" s="38" t="str">
        <f t="shared" si="211"/>
        <v/>
      </c>
      <c r="AB335" s="38" t="e">
        <f t="shared" si="188"/>
        <v>#VALUE!</v>
      </c>
      <c r="AC335" s="38" t="str">
        <f t="shared" si="211"/>
        <v/>
      </c>
      <c r="AD335" s="38" t="str">
        <f t="shared" si="189"/>
        <v/>
      </c>
      <c r="AE335" s="38" t="e">
        <f t="shared" si="190"/>
        <v>#VALUE!</v>
      </c>
      <c r="AF335" s="238" t="e">
        <f>((Summary!$N$7*(AA335*AD335)*(A335-$D$3))+(Summary!$M$7*Z335*AC335*(DAY(EOMONTH(A335,0))/2)))/(AK335*AB335*AE335)</f>
        <v>#VALUE!</v>
      </c>
      <c r="AG335" s="88" t="str">
        <f>IF($A336="","",Summary!$Q$7)</f>
        <v/>
      </c>
      <c r="AH335" s="88" t="str">
        <f>IF($A336="","",IF(Summary!$R$7="Y",(VLOOKUP($A335,Summary!$AD$6:$AF$9,3)+'Escalating commodity'!C348),'Escalating commodity'!C348))</f>
        <v/>
      </c>
      <c r="AI335" s="88" t="str">
        <f t="shared" si="212"/>
        <v/>
      </c>
      <c r="AJ335" s="236" t="e">
        <f t="shared" si="191"/>
        <v>#VALUE!</v>
      </c>
      <c r="AK335" s="58" t="str">
        <f t="shared" si="213"/>
        <v/>
      </c>
      <c r="AL335" s="26" t="str">
        <f>IF($A336="","",_xll.SPRDOPT(P335,X335,AI335,0,AB335,AE335,AF335,AK335,$AJ$2,0))</f>
        <v/>
      </c>
      <c r="AM335" s="209" t="str">
        <f t="shared" si="192"/>
        <v/>
      </c>
      <c r="AN335" s="89" t="str">
        <f t="shared" si="214"/>
        <v/>
      </c>
      <c r="AO335" s="3" t="str">
        <f t="shared" si="215"/>
        <v/>
      </c>
      <c r="AP335" s="33" t="str">
        <f t="shared" si="216"/>
        <v/>
      </c>
      <c r="AQ335" s="58" t="str">
        <f t="shared" si="193"/>
        <v/>
      </c>
      <c r="AR335" s="38">
        <f>IF(Summary!$H$2=1,VLOOKUP('ANR OK vs ML7'!A335,Curves!$C$17:$AR$273,MATCH('ANR OK vs ML7'!$AR$4,Curves!$C$8:$AQ$8,0)),0.1)</f>
        <v>0.1</v>
      </c>
      <c r="AS335" s="35" t="str">
        <f t="shared" si="194"/>
        <v/>
      </c>
      <c r="AT335" s="3" t="str">
        <f t="shared" si="217"/>
        <v/>
      </c>
      <c r="AU335" s="3" t="str">
        <f t="shared" si="195"/>
        <v/>
      </c>
      <c r="AW335" s="32" t="str">
        <f t="shared" si="218"/>
        <v/>
      </c>
      <c r="AX335" s="32" t="str">
        <f t="shared" si="219"/>
        <v/>
      </c>
      <c r="AY335" s="32" t="str">
        <f t="shared" si="220"/>
        <v/>
      </c>
      <c r="BA335" s="32" t="str">
        <f>IF($A336="","",F335*Summary!$Q$7)</f>
        <v/>
      </c>
    </row>
    <row r="336" spans="1:53" ht="12" customHeight="1">
      <c r="A336" s="67" t="str">
        <f t="shared" si="196"/>
        <v/>
      </c>
      <c r="B336" s="69" t="str">
        <f t="shared" si="221"/>
        <v/>
      </c>
      <c r="C336" s="71"/>
      <c r="D336" s="69" t="str">
        <f t="shared" si="222"/>
        <v/>
      </c>
      <c r="E336" s="70" t="str">
        <f t="shared" si="186"/>
        <v/>
      </c>
      <c r="F336" s="70" t="str">
        <f t="shared" si="187"/>
        <v/>
      </c>
      <c r="G336" s="63" t="str">
        <f t="shared" si="197"/>
        <v/>
      </c>
      <c r="H336" s="64" t="str">
        <f t="shared" si="198"/>
        <v/>
      </c>
      <c r="I336" s="43"/>
      <c r="J336" s="63" t="str">
        <f t="shared" si="199"/>
        <v/>
      </c>
      <c r="K336" s="64" t="str">
        <f t="shared" si="200"/>
        <v/>
      </c>
      <c r="L336" s="63" t="str">
        <f t="shared" si="201"/>
        <v/>
      </c>
      <c r="M336" s="64" t="str">
        <f t="shared" si="202"/>
        <v/>
      </c>
      <c r="N336" s="65"/>
      <c r="O336" s="63" t="str">
        <f t="shared" si="203"/>
        <v/>
      </c>
      <c r="P336" s="63" t="str">
        <f t="shared" si="204"/>
        <v/>
      </c>
      <c r="Q336" s="66"/>
      <c r="R336" s="63" t="str">
        <f t="shared" si="205"/>
        <v/>
      </c>
      <c r="S336" s="64" t="str">
        <f t="shared" si="206"/>
        <v/>
      </c>
      <c r="T336" s="63" t="str">
        <f t="shared" si="207"/>
        <v/>
      </c>
      <c r="U336" s="64" t="str">
        <f t="shared" si="208"/>
        <v/>
      </c>
      <c r="V336" s="207" t="str">
        <f>IF($A337="","",IF(AND(MONTH(A336)&gt;3,MONTH(A336)&lt;11),(T336+R336+G336)*Summary!$T$7/(1-Summary!$T$7),(T336+R336+G336)*Summary!$U$7/(1-Summary!$U$7)))</f>
        <v/>
      </c>
      <c r="W336" s="63" t="str">
        <f t="shared" si="209"/>
        <v/>
      </c>
      <c r="X336" s="63" t="str">
        <f t="shared" si="210"/>
        <v/>
      </c>
      <c r="Y336" s="43"/>
      <c r="Z336" s="38" t="str">
        <f t="shared" si="211"/>
        <v/>
      </c>
      <c r="AA336" s="38" t="str">
        <f t="shared" si="211"/>
        <v/>
      </c>
      <c r="AB336" s="38" t="e">
        <f t="shared" si="188"/>
        <v>#VALUE!</v>
      </c>
      <c r="AC336" s="38" t="str">
        <f t="shared" si="211"/>
        <v/>
      </c>
      <c r="AD336" s="38" t="str">
        <f t="shared" si="189"/>
        <v/>
      </c>
      <c r="AE336" s="38" t="e">
        <f t="shared" si="190"/>
        <v>#VALUE!</v>
      </c>
      <c r="AF336" s="238" t="e">
        <f>((Summary!$N$7*(AA336*AD336)*(A336-$D$3))+(Summary!$M$7*Z336*AC336*(DAY(EOMONTH(A336,0))/2)))/(AK336*AB336*AE336)</f>
        <v>#VALUE!</v>
      </c>
      <c r="AG336" s="88" t="str">
        <f>IF($A337="","",Summary!$Q$7)</f>
        <v/>
      </c>
      <c r="AH336" s="88" t="str">
        <f>IF($A337="","",IF(Summary!$R$7="Y",(VLOOKUP($A336,Summary!$AD$6:$AF$9,3)+'Escalating commodity'!C349),'Escalating commodity'!C349))</f>
        <v/>
      </c>
      <c r="AI336" s="88" t="str">
        <f t="shared" si="212"/>
        <v/>
      </c>
      <c r="AJ336" s="236" t="e">
        <f t="shared" si="191"/>
        <v>#VALUE!</v>
      </c>
      <c r="AK336" s="58" t="str">
        <f t="shared" si="213"/>
        <v/>
      </c>
      <c r="AL336" s="26" t="str">
        <f>IF($A337="","",_xll.SPRDOPT(P336,X336,AI336,0,AB336,AE336,AF336,AK336,$AJ$2,0))</f>
        <v/>
      </c>
      <c r="AM336" s="209" t="str">
        <f t="shared" si="192"/>
        <v/>
      </c>
      <c r="AN336" s="89" t="str">
        <f t="shared" si="214"/>
        <v/>
      </c>
      <c r="AO336" s="3" t="str">
        <f t="shared" si="215"/>
        <v/>
      </c>
      <c r="AP336" s="33" t="str">
        <f t="shared" si="216"/>
        <v/>
      </c>
      <c r="AQ336" s="58" t="str">
        <f t="shared" si="193"/>
        <v/>
      </c>
      <c r="AR336" s="38">
        <f>IF(Summary!$H$2=1,VLOOKUP('ANR OK vs ML7'!A336,Curves!$C$17:$AR$273,MATCH('ANR OK vs ML7'!$AR$4,Curves!$C$8:$AQ$8,0)),0.1)</f>
        <v>0.1</v>
      </c>
      <c r="AS336" s="35" t="str">
        <f t="shared" si="194"/>
        <v/>
      </c>
      <c r="AT336" s="3" t="str">
        <f t="shared" si="217"/>
        <v/>
      </c>
      <c r="AU336" s="3" t="str">
        <f t="shared" si="195"/>
        <v/>
      </c>
      <c r="AW336" s="32" t="str">
        <f t="shared" si="218"/>
        <v/>
      </c>
      <c r="AX336" s="32" t="str">
        <f t="shared" si="219"/>
        <v/>
      </c>
      <c r="AY336" s="32" t="str">
        <f t="shared" si="220"/>
        <v/>
      </c>
      <c r="BA336" s="32" t="str">
        <f>IF($A337="","",F336*Summary!$Q$7)</f>
        <v/>
      </c>
    </row>
    <row r="337" spans="1:53" ht="12" customHeight="1">
      <c r="A337" s="67" t="str">
        <f t="shared" si="196"/>
        <v/>
      </c>
      <c r="B337" s="69" t="str">
        <f t="shared" si="221"/>
        <v/>
      </c>
      <c r="C337" s="71"/>
      <c r="D337" s="69" t="str">
        <f t="shared" si="222"/>
        <v/>
      </c>
      <c r="E337" s="70" t="str">
        <f t="shared" si="186"/>
        <v/>
      </c>
      <c r="F337" s="70" t="str">
        <f t="shared" si="187"/>
        <v/>
      </c>
      <c r="G337" s="63" t="str">
        <f t="shared" si="197"/>
        <v/>
      </c>
      <c r="H337" s="64" t="str">
        <f t="shared" si="198"/>
        <v/>
      </c>
      <c r="I337" s="43"/>
      <c r="J337" s="63" t="str">
        <f t="shared" si="199"/>
        <v/>
      </c>
      <c r="K337" s="64" t="str">
        <f t="shared" si="200"/>
        <v/>
      </c>
      <c r="L337" s="63" t="str">
        <f t="shared" si="201"/>
        <v/>
      </c>
      <c r="M337" s="64" t="str">
        <f t="shared" si="202"/>
        <v/>
      </c>
      <c r="N337" s="65"/>
      <c r="O337" s="63" t="str">
        <f t="shared" si="203"/>
        <v/>
      </c>
      <c r="P337" s="63" t="str">
        <f t="shared" si="204"/>
        <v/>
      </c>
      <c r="Q337" s="66"/>
      <c r="R337" s="63" t="str">
        <f t="shared" si="205"/>
        <v/>
      </c>
      <c r="S337" s="64" t="str">
        <f t="shared" si="206"/>
        <v/>
      </c>
      <c r="T337" s="63" t="str">
        <f t="shared" si="207"/>
        <v/>
      </c>
      <c r="U337" s="64" t="str">
        <f t="shared" si="208"/>
        <v/>
      </c>
      <c r="V337" s="207" t="str">
        <f>IF($A338="","",IF(AND(MONTH(A337)&gt;3,MONTH(A337)&lt;11),(T337+R337+G337)*Summary!$T$7/(1-Summary!$T$7),(T337+R337+G337)*Summary!$U$7/(1-Summary!$U$7)))</f>
        <v/>
      </c>
      <c r="W337" s="63" t="str">
        <f t="shared" si="209"/>
        <v/>
      </c>
      <c r="X337" s="63" t="str">
        <f t="shared" si="210"/>
        <v/>
      </c>
      <c r="Y337" s="43"/>
      <c r="Z337" s="38" t="str">
        <f t="shared" si="211"/>
        <v/>
      </c>
      <c r="AA337" s="38" t="str">
        <f t="shared" si="211"/>
        <v/>
      </c>
      <c r="AB337" s="38" t="e">
        <f t="shared" si="188"/>
        <v>#VALUE!</v>
      </c>
      <c r="AC337" s="38" t="str">
        <f t="shared" si="211"/>
        <v/>
      </c>
      <c r="AD337" s="38" t="str">
        <f t="shared" si="189"/>
        <v/>
      </c>
      <c r="AE337" s="38" t="e">
        <f t="shared" si="190"/>
        <v>#VALUE!</v>
      </c>
      <c r="AF337" s="238" t="e">
        <f>((Summary!$N$7*(AA337*AD337)*(A337-$D$3))+(Summary!$M$7*Z337*AC337*(DAY(EOMONTH(A337,0))/2)))/(AK337*AB337*AE337)</f>
        <v>#VALUE!</v>
      </c>
      <c r="AG337" s="88" t="str">
        <f>IF($A338="","",Summary!$Q$7)</f>
        <v/>
      </c>
      <c r="AH337" s="88" t="str">
        <f>IF($A338="","",IF(Summary!$R$7="Y",(VLOOKUP($A337,Summary!$AD$6:$AF$9,3)+'Escalating commodity'!C350),'Escalating commodity'!C350))</f>
        <v/>
      </c>
      <c r="AI337" s="88" t="str">
        <f t="shared" si="212"/>
        <v/>
      </c>
      <c r="AJ337" s="236" t="e">
        <f t="shared" si="191"/>
        <v>#VALUE!</v>
      </c>
      <c r="AK337" s="58" t="str">
        <f t="shared" si="213"/>
        <v/>
      </c>
      <c r="AL337" s="26" t="str">
        <f>IF($A338="","",_xll.SPRDOPT(P337,X337,AI337,0,AB337,AE337,AF337,AK337,$AJ$2,0))</f>
        <v/>
      </c>
      <c r="AM337" s="209" t="str">
        <f t="shared" si="192"/>
        <v/>
      </c>
      <c r="AN337" s="89" t="str">
        <f t="shared" si="214"/>
        <v/>
      </c>
      <c r="AO337" s="3" t="str">
        <f t="shared" si="215"/>
        <v/>
      </c>
      <c r="AP337" s="33" t="str">
        <f t="shared" si="216"/>
        <v/>
      </c>
      <c r="AQ337" s="58" t="str">
        <f t="shared" si="193"/>
        <v/>
      </c>
      <c r="AR337" s="38">
        <f>IF(Summary!$H$2=1,VLOOKUP('ANR OK vs ML7'!A337,Curves!$C$17:$AR$273,MATCH('ANR OK vs ML7'!$AR$4,Curves!$C$8:$AQ$8,0)),0.1)</f>
        <v>0.1</v>
      </c>
      <c r="AS337" s="35" t="str">
        <f t="shared" si="194"/>
        <v/>
      </c>
      <c r="AT337" s="3" t="str">
        <f t="shared" si="217"/>
        <v/>
      </c>
      <c r="AU337" s="3" t="str">
        <f t="shared" si="195"/>
        <v/>
      </c>
      <c r="AW337" s="32" t="str">
        <f t="shared" si="218"/>
        <v/>
      </c>
      <c r="AX337" s="32" t="str">
        <f t="shared" si="219"/>
        <v/>
      </c>
      <c r="AY337" s="32" t="str">
        <f t="shared" si="220"/>
        <v/>
      </c>
      <c r="BA337" s="32" t="str">
        <f>IF($A338="","",F337*Summary!$Q$7)</f>
        <v/>
      </c>
    </row>
    <row r="338" spans="1:53" ht="12" customHeight="1">
      <c r="A338" s="67" t="str">
        <f t="shared" si="196"/>
        <v/>
      </c>
      <c r="B338" s="69" t="str">
        <f t="shared" si="221"/>
        <v/>
      </c>
      <c r="C338" s="71"/>
      <c r="D338" s="69" t="str">
        <f t="shared" si="222"/>
        <v/>
      </c>
      <c r="E338" s="70" t="str">
        <f t="shared" si="186"/>
        <v/>
      </c>
      <c r="F338" s="70" t="str">
        <f t="shared" si="187"/>
        <v/>
      </c>
      <c r="G338" s="63" t="str">
        <f t="shared" si="197"/>
        <v/>
      </c>
      <c r="H338" s="64" t="str">
        <f t="shared" si="198"/>
        <v/>
      </c>
      <c r="I338" s="43"/>
      <c r="J338" s="63" t="str">
        <f t="shared" si="199"/>
        <v/>
      </c>
      <c r="K338" s="64" t="str">
        <f t="shared" si="200"/>
        <v/>
      </c>
      <c r="L338" s="63" t="str">
        <f t="shared" si="201"/>
        <v/>
      </c>
      <c r="M338" s="64" t="str">
        <f t="shared" si="202"/>
        <v/>
      </c>
      <c r="N338" s="65"/>
      <c r="O338" s="63" t="str">
        <f t="shared" si="203"/>
        <v/>
      </c>
      <c r="P338" s="63" t="str">
        <f t="shared" si="204"/>
        <v/>
      </c>
      <c r="Q338" s="66"/>
      <c r="R338" s="63" t="str">
        <f t="shared" si="205"/>
        <v/>
      </c>
      <c r="S338" s="64" t="str">
        <f t="shared" si="206"/>
        <v/>
      </c>
      <c r="T338" s="63" t="str">
        <f t="shared" si="207"/>
        <v/>
      </c>
      <c r="U338" s="64" t="str">
        <f t="shared" si="208"/>
        <v/>
      </c>
      <c r="V338" s="207" t="str">
        <f>IF($A339="","",IF(AND(MONTH(A338)&gt;3,MONTH(A338)&lt;11),(T338+R338+G338)*Summary!$T$7/(1-Summary!$T$7),(T338+R338+G338)*Summary!$U$7/(1-Summary!$U$7)))</f>
        <v/>
      </c>
      <c r="W338" s="63" t="str">
        <f t="shared" si="209"/>
        <v/>
      </c>
      <c r="X338" s="63" t="str">
        <f t="shared" si="210"/>
        <v/>
      </c>
      <c r="Y338" s="43"/>
      <c r="Z338" s="38" t="str">
        <f t="shared" si="211"/>
        <v/>
      </c>
      <c r="AA338" s="38" t="str">
        <f t="shared" si="211"/>
        <v/>
      </c>
      <c r="AB338" s="38" t="e">
        <f t="shared" si="188"/>
        <v>#VALUE!</v>
      </c>
      <c r="AC338" s="38" t="str">
        <f t="shared" si="211"/>
        <v/>
      </c>
      <c r="AD338" s="38" t="str">
        <f t="shared" si="189"/>
        <v/>
      </c>
      <c r="AE338" s="38" t="e">
        <f t="shared" si="190"/>
        <v>#VALUE!</v>
      </c>
      <c r="AF338" s="238" t="e">
        <f>((Summary!$N$7*(AA338*AD338)*(A338-$D$3))+(Summary!$M$7*Z338*AC338*(DAY(EOMONTH(A338,0))/2)))/(AK338*AB338*AE338)</f>
        <v>#VALUE!</v>
      </c>
      <c r="AG338" s="88" t="str">
        <f>IF($A339="","",Summary!$Q$7)</f>
        <v/>
      </c>
      <c r="AH338" s="88" t="str">
        <f>IF($A339="","",IF(Summary!$R$7="Y",(VLOOKUP($A338,Summary!$AD$6:$AF$9,3)+'Escalating commodity'!C351),'Escalating commodity'!C351))</f>
        <v/>
      </c>
      <c r="AI338" s="88" t="str">
        <f t="shared" si="212"/>
        <v/>
      </c>
      <c r="AJ338" s="236" t="e">
        <f t="shared" si="191"/>
        <v>#VALUE!</v>
      </c>
      <c r="AK338" s="58" t="str">
        <f t="shared" si="213"/>
        <v/>
      </c>
      <c r="AL338" s="26" t="str">
        <f>IF($A339="","",_xll.SPRDOPT(P338,X338,AI338,0,AB338,AE338,AF338,AK338,$AJ$2,0))</f>
        <v/>
      </c>
      <c r="AM338" s="209" t="str">
        <f t="shared" si="192"/>
        <v/>
      </c>
      <c r="AN338" s="89" t="str">
        <f t="shared" si="214"/>
        <v/>
      </c>
      <c r="AO338" s="3" t="str">
        <f t="shared" si="215"/>
        <v/>
      </c>
      <c r="AP338" s="33" t="str">
        <f t="shared" si="216"/>
        <v/>
      </c>
      <c r="AQ338" s="58" t="str">
        <f t="shared" si="193"/>
        <v/>
      </c>
      <c r="AR338" s="38">
        <f>IF(Summary!$H$2=1,VLOOKUP('ANR OK vs ML7'!A338,Curves!$C$17:$AR$273,MATCH('ANR OK vs ML7'!$AR$4,Curves!$C$8:$AQ$8,0)),0.1)</f>
        <v>0.1</v>
      </c>
      <c r="AS338" s="35" t="str">
        <f t="shared" si="194"/>
        <v/>
      </c>
      <c r="AT338" s="3" t="str">
        <f t="shared" si="217"/>
        <v/>
      </c>
      <c r="AU338" s="3" t="str">
        <f t="shared" si="195"/>
        <v/>
      </c>
      <c r="AW338" s="32" t="str">
        <f t="shared" si="218"/>
        <v/>
      </c>
      <c r="AX338" s="32" t="str">
        <f t="shared" si="219"/>
        <v/>
      </c>
      <c r="AY338" s="32" t="str">
        <f t="shared" si="220"/>
        <v/>
      </c>
      <c r="BA338" s="32" t="str">
        <f>IF($A339="","",F338*Summary!$Q$7)</f>
        <v/>
      </c>
    </row>
    <row r="339" spans="1:53" ht="12" customHeight="1">
      <c r="A339" s="67" t="str">
        <f t="shared" si="196"/>
        <v/>
      </c>
      <c r="B339" s="69" t="str">
        <f t="shared" si="221"/>
        <v/>
      </c>
      <c r="C339" s="71"/>
      <c r="D339" s="69" t="str">
        <f t="shared" si="222"/>
        <v/>
      </c>
      <c r="E339" s="70" t="str">
        <f t="shared" si="186"/>
        <v/>
      </c>
      <c r="F339" s="70" t="str">
        <f t="shared" si="187"/>
        <v/>
      </c>
      <c r="G339" s="63" t="str">
        <f t="shared" si="197"/>
        <v/>
      </c>
      <c r="H339" s="64" t="str">
        <f t="shared" si="198"/>
        <v/>
      </c>
      <c r="I339" s="43"/>
      <c r="J339" s="63" t="str">
        <f t="shared" si="199"/>
        <v/>
      </c>
      <c r="K339" s="64" t="str">
        <f t="shared" si="200"/>
        <v/>
      </c>
      <c r="L339" s="63" t="str">
        <f t="shared" si="201"/>
        <v/>
      </c>
      <c r="M339" s="64" t="str">
        <f t="shared" si="202"/>
        <v/>
      </c>
      <c r="N339" s="65"/>
      <c r="O339" s="63" t="str">
        <f t="shared" si="203"/>
        <v/>
      </c>
      <c r="P339" s="63" t="str">
        <f t="shared" si="204"/>
        <v/>
      </c>
      <c r="Q339" s="66"/>
      <c r="R339" s="63" t="str">
        <f t="shared" si="205"/>
        <v/>
      </c>
      <c r="S339" s="64" t="str">
        <f t="shared" si="206"/>
        <v/>
      </c>
      <c r="T339" s="63" t="str">
        <f t="shared" si="207"/>
        <v/>
      </c>
      <c r="U339" s="64" t="str">
        <f t="shared" si="208"/>
        <v/>
      </c>
      <c r="V339" s="207" t="str">
        <f>IF($A340="","",IF(AND(MONTH(A339)&gt;3,MONTH(A339)&lt;11),(T339+R339+G339)*Summary!$T$7/(1-Summary!$T$7),(T339+R339+G339)*Summary!$U$7/(1-Summary!$U$7)))</f>
        <v/>
      </c>
      <c r="W339" s="63" t="str">
        <f t="shared" si="209"/>
        <v/>
      </c>
      <c r="X339" s="63" t="str">
        <f t="shared" si="210"/>
        <v/>
      </c>
      <c r="Y339" s="43"/>
      <c r="Z339" s="38" t="str">
        <f t="shared" si="211"/>
        <v/>
      </c>
      <c r="AA339" s="38" t="str">
        <f t="shared" si="211"/>
        <v/>
      </c>
      <c r="AB339" s="38" t="e">
        <f t="shared" si="188"/>
        <v>#VALUE!</v>
      </c>
      <c r="AC339" s="38" t="str">
        <f t="shared" si="211"/>
        <v/>
      </c>
      <c r="AD339" s="38" t="str">
        <f t="shared" si="189"/>
        <v/>
      </c>
      <c r="AE339" s="38" t="e">
        <f t="shared" si="190"/>
        <v>#VALUE!</v>
      </c>
      <c r="AF339" s="238" t="e">
        <f>((Summary!$N$7*(AA339*AD339)*(A339-$D$3))+(Summary!$M$7*Z339*AC339*(DAY(EOMONTH(A339,0))/2)))/(AK339*AB339*AE339)</f>
        <v>#VALUE!</v>
      </c>
      <c r="AG339" s="88" t="str">
        <f>IF($A340="","",Summary!$Q$7)</f>
        <v/>
      </c>
      <c r="AH339" s="88" t="str">
        <f>IF($A340="","",IF(Summary!$R$7="Y",(VLOOKUP($A339,Summary!$AD$6:$AF$9,3)+'Escalating commodity'!C352),'Escalating commodity'!C352))</f>
        <v/>
      </c>
      <c r="AI339" s="88" t="str">
        <f t="shared" si="212"/>
        <v/>
      </c>
      <c r="AJ339" s="236" t="e">
        <f t="shared" si="191"/>
        <v>#VALUE!</v>
      </c>
      <c r="AK339" s="58" t="str">
        <f t="shared" si="213"/>
        <v/>
      </c>
      <c r="AL339" s="26" t="str">
        <f>IF($A340="","",_xll.SPRDOPT(P339,X339,AI339,0,AB339,AE339,AF339,AK339,$AJ$2,0))</f>
        <v/>
      </c>
      <c r="AM339" s="209" t="str">
        <f t="shared" si="192"/>
        <v/>
      </c>
      <c r="AN339" s="89" t="str">
        <f t="shared" si="214"/>
        <v/>
      </c>
      <c r="AO339" s="3" t="str">
        <f t="shared" si="215"/>
        <v/>
      </c>
      <c r="AP339" s="33" t="str">
        <f t="shared" si="216"/>
        <v/>
      </c>
      <c r="AQ339" s="58" t="str">
        <f t="shared" si="193"/>
        <v/>
      </c>
      <c r="AR339" s="38">
        <f>IF(Summary!$H$2=1,VLOOKUP('ANR OK vs ML7'!A339,Curves!$C$17:$AR$273,MATCH('ANR OK vs ML7'!$AR$4,Curves!$C$8:$AQ$8,0)),0.1)</f>
        <v>0.1</v>
      </c>
      <c r="AS339" s="35" t="str">
        <f t="shared" si="194"/>
        <v/>
      </c>
      <c r="AT339" s="3" t="str">
        <f t="shared" si="217"/>
        <v/>
      </c>
      <c r="AU339" s="3" t="str">
        <f t="shared" si="195"/>
        <v/>
      </c>
      <c r="AW339" s="32" t="str">
        <f t="shared" si="218"/>
        <v/>
      </c>
      <c r="AX339" s="32" t="str">
        <f t="shared" si="219"/>
        <v/>
      </c>
      <c r="AY339" s="32" t="str">
        <f t="shared" si="220"/>
        <v/>
      </c>
      <c r="BA339" s="32" t="str">
        <f>IF($A340="","",F339*Summary!$Q$7)</f>
        <v/>
      </c>
    </row>
    <row r="340" spans="1:53" ht="12" customHeight="1">
      <c r="A340" s="67" t="str">
        <f t="shared" si="196"/>
        <v/>
      </c>
      <c r="B340" s="69" t="str">
        <f t="shared" si="221"/>
        <v/>
      </c>
      <c r="C340" s="71"/>
      <c r="D340" s="69" t="str">
        <f t="shared" si="222"/>
        <v/>
      </c>
      <c r="E340" s="70" t="str">
        <f t="shared" si="186"/>
        <v/>
      </c>
      <c r="F340" s="70" t="str">
        <f t="shared" si="187"/>
        <v/>
      </c>
      <c r="G340" s="63" t="str">
        <f t="shared" si="197"/>
        <v/>
      </c>
      <c r="H340" s="64" t="str">
        <f t="shared" si="198"/>
        <v/>
      </c>
      <c r="I340" s="43"/>
      <c r="J340" s="63" t="str">
        <f t="shared" si="199"/>
        <v/>
      </c>
      <c r="K340" s="64" t="str">
        <f t="shared" si="200"/>
        <v/>
      </c>
      <c r="L340" s="63" t="str">
        <f t="shared" si="201"/>
        <v/>
      </c>
      <c r="M340" s="64" t="str">
        <f t="shared" si="202"/>
        <v/>
      </c>
      <c r="N340" s="65"/>
      <c r="O340" s="63" t="str">
        <f t="shared" si="203"/>
        <v/>
      </c>
      <c r="P340" s="63" t="str">
        <f t="shared" si="204"/>
        <v/>
      </c>
      <c r="Q340" s="66"/>
      <c r="R340" s="63" t="str">
        <f t="shared" si="205"/>
        <v/>
      </c>
      <c r="S340" s="64" t="str">
        <f t="shared" si="206"/>
        <v/>
      </c>
      <c r="T340" s="63" t="str">
        <f t="shared" si="207"/>
        <v/>
      </c>
      <c r="U340" s="64" t="str">
        <f t="shared" si="208"/>
        <v/>
      </c>
      <c r="V340" s="207" t="str">
        <f>IF($A341="","",IF(AND(MONTH(A340)&gt;3,MONTH(A340)&lt;11),(T340+R340+G340)*Summary!$T$7/(1-Summary!$T$7),(T340+R340+G340)*Summary!$U$7/(1-Summary!$U$7)))</f>
        <v/>
      </c>
      <c r="W340" s="63" t="str">
        <f t="shared" si="209"/>
        <v/>
      </c>
      <c r="X340" s="63" t="str">
        <f t="shared" si="210"/>
        <v/>
      </c>
      <c r="Y340" s="43"/>
      <c r="Z340" s="38" t="str">
        <f t="shared" si="211"/>
        <v/>
      </c>
      <c r="AA340" s="38" t="str">
        <f t="shared" si="211"/>
        <v/>
      </c>
      <c r="AB340" s="38" t="e">
        <f t="shared" si="188"/>
        <v>#VALUE!</v>
      </c>
      <c r="AC340" s="38" t="str">
        <f t="shared" si="211"/>
        <v/>
      </c>
      <c r="AD340" s="38" t="str">
        <f t="shared" si="189"/>
        <v/>
      </c>
      <c r="AE340" s="38" t="e">
        <f t="shared" si="190"/>
        <v>#VALUE!</v>
      </c>
      <c r="AF340" s="238" t="e">
        <f>((Summary!$N$7*(AA340*AD340)*(A340-$D$3))+(Summary!$M$7*Z340*AC340*(DAY(EOMONTH(A340,0))/2)))/(AK340*AB340*AE340)</f>
        <v>#VALUE!</v>
      </c>
      <c r="AG340" s="88" t="str">
        <f>IF($A341="","",Summary!$Q$7)</f>
        <v/>
      </c>
      <c r="AH340" s="88" t="str">
        <f>IF($A341="","",IF(Summary!$R$7="Y",(VLOOKUP($A340,Summary!$AD$6:$AF$9,3)+'Escalating commodity'!C353),'Escalating commodity'!C353))</f>
        <v/>
      </c>
      <c r="AI340" s="88" t="str">
        <f t="shared" si="212"/>
        <v/>
      </c>
      <c r="AJ340" s="236" t="e">
        <f t="shared" si="191"/>
        <v>#VALUE!</v>
      </c>
      <c r="AK340" s="58" t="str">
        <f t="shared" si="213"/>
        <v/>
      </c>
      <c r="AL340" s="26" t="str">
        <f>IF($A341="","",_xll.SPRDOPT(P340,X340,AI340,0,AB340,AE340,AF340,AK340,$AJ$2,0))</f>
        <v/>
      </c>
      <c r="AM340" s="209" t="str">
        <f t="shared" si="192"/>
        <v/>
      </c>
      <c r="AN340" s="89" t="str">
        <f t="shared" si="214"/>
        <v/>
      </c>
      <c r="AO340" s="3" t="str">
        <f t="shared" si="215"/>
        <v/>
      </c>
      <c r="AP340" s="33" t="str">
        <f t="shared" si="216"/>
        <v/>
      </c>
      <c r="AQ340" s="58" t="str">
        <f t="shared" si="193"/>
        <v/>
      </c>
      <c r="AR340" s="38">
        <f>IF(Summary!$H$2=1,VLOOKUP('ANR OK vs ML7'!A340,Curves!$C$17:$AR$273,MATCH('ANR OK vs ML7'!$AR$4,Curves!$C$8:$AQ$8,0)),0.1)</f>
        <v>0.1</v>
      </c>
      <c r="AS340" s="35" t="str">
        <f t="shared" si="194"/>
        <v/>
      </c>
      <c r="AT340" s="3" t="str">
        <f t="shared" si="217"/>
        <v/>
      </c>
      <c r="AU340" s="3" t="str">
        <f t="shared" si="195"/>
        <v/>
      </c>
      <c r="AW340" s="32" t="str">
        <f t="shared" si="218"/>
        <v/>
      </c>
      <c r="AX340" s="32" t="str">
        <f t="shared" si="219"/>
        <v/>
      </c>
      <c r="AY340" s="32" t="str">
        <f t="shared" si="220"/>
        <v/>
      </c>
      <c r="BA340" s="32" t="str">
        <f>IF($A341="","",F340*Summary!$Q$7)</f>
        <v/>
      </c>
    </row>
    <row r="341" spans="1:53" ht="12" customHeight="1">
      <c r="A341" s="67" t="str">
        <f t="shared" si="196"/>
        <v/>
      </c>
      <c r="B341" s="69" t="str">
        <f t="shared" si="221"/>
        <v/>
      </c>
      <c r="C341" s="71"/>
      <c r="D341" s="69" t="str">
        <f t="shared" si="222"/>
        <v/>
      </c>
      <c r="E341" s="70" t="str">
        <f t="shared" si="186"/>
        <v/>
      </c>
      <c r="F341" s="70" t="str">
        <f t="shared" si="187"/>
        <v/>
      </c>
      <c r="G341" s="63" t="str">
        <f t="shared" si="197"/>
        <v/>
      </c>
      <c r="H341" s="64" t="str">
        <f t="shared" si="198"/>
        <v/>
      </c>
      <c r="I341" s="43"/>
      <c r="J341" s="63" t="str">
        <f t="shared" si="199"/>
        <v/>
      </c>
      <c r="K341" s="64" t="str">
        <f t="shared" si="200"/>
        <v/>
      </c>
      <c r="L341" s="63" t="str">
        <f t="shared" si="201"/>
        <v/>
      </c>
      <c r="M341" s="64" t="str">
        <f t="shared" si="202"/>
        <v/>
      </c>
      <c r="N341" s="65"/>
      <c r="O341" s="63" t="str">
        <f t="shared" si="203"/>
        <v/>
      </c>
      <c r="P341" s="63" t="str">
        <f t="shared" si="204"/>
        <v/>
      </c>
      <c r="Q341" s="66"/>
      <c r="R341" s="63" t="str">
        <f t="shared" si="205"/>
        <v/>
      </c>
      <c r="S341" s="64" t="str">
        <f t="shared" si="206"/>
        <v/>
      </c>
      <c r="T341" s="63" t="str">
        <f t="shared" si="207"/>
        <v/>
      </c>
      <c r="U341" s="64" t="str">
        <f t="shared" si="208"/>
        <v/>
      </c>
      <c r="V341" s="207" t="str">
        <f>IF($A342="","",IF(AND(MONTH(A341)&gt;3,MONTH(A341)&lt;11),(T341+R341+G341)*Summary!$T$7/(1-Summary!$T$7),(T341+R341+G341)*Summary!$U$7/(1-Summary!$U$7)))</f>
        <v/>
      </c>
      <c r="W341" s="63" t="str">
        <f t="shared" si="209"/>
        <v/>
      </c>
      <c r="X341" s="63" t="str">
        <f t="shared" si="210"/>
        <v/>
      </c>
      <c r="Y341" s="43"/>
      <c r="Z341" s="38" t="str">
        <f t="shared" si="211"/>
        <v/>
      </c>
      <c r="AA341" s="38" t="str">
        <f t="shared" si="211"/>
        <v/>
      </c>
      <c r="AB341" s="38" t="e">
        <f t="shared" si="188"/>
        <v>#VALUE!</v>
      </c>
      <c r="AC341" s="38" t="str">
        <f t="shared" si="211"/>
        <v/>
      </c>
      <c r="AD341" s="38" t="str">
        <f t="shared" si="189"/>
        <v/>
      </c>
      <c r="AE341" s="38" t="e">
        <f t="shared" si="190"/>
        <v>#VALUE!</v>
      </c>
      <c r="AF341" s="238" t="e">
        <f>((Summary!$N$7*(AA341*AD341)*(A341-$D$3))+(Summary!$M$7*Z341*AC341*(DAY(EOMONTH(A341,0))/2)))/(AK341*AB341*AE341)</f>
        <v>#VALUE!</v>
      </c>
      <c r="AG341" s="88" t="str">
        <f>IF($A342="","",Summary!$Q$7)</f>
        <v/>
      </c>
      <c r="AH341" s="88" t="str">
        <f>IF($A342="","",IF(Summary!$R$7="Y",(VLOOKUP($A341,Summary!$AD$6:$AF$9,3)+'Escalating commodity'!C354),'Escalating commodity'!C354))</f>
        <v/>
      </c>
      <c r="AI341" s="88" t="str">
        <f t="shared" si="212"/>
        <v/>
      </c>
      <c r="AJ341" s="236" t="e">
        <f t="shared" si="191"/>
        <v>#VALUE!</v>
      </c>
      <c r="AK341" s="58" t="str">
        <f t="shared" si="213"/>
        <v/>
      </c>
      <c r="AL341" s="26" t="str">
        <f>IF($A342="","",_xll.SPRDOPT(P341,X341,AI341,0,AB341,AE341,AF341,AK341,$AJ$2,0))</f>
        <v/>
      </c>
      <c r="AM341" s="209" t="str">
        <f t="shared" si="192"/>
        <v/>
      </c>
      <c r="AN341" s="89" t="str">
        <f t="shared" si="214"/>
        <v/>
      </c>
      <c r="AO341" s="3" t="str">
        <f t="shared" si="215"/>
        <v/>
      </c>
      <c r="AP341" s="33" t="str">
        <f t="shared" si="216"/>
        <v/>
      </c>
      <c r="AQ341" s="58" t="str">
        <f t="shared" si="193"/>
        <v/>
      </c>
      <c r="AR341" s="38">
        <f>IF(Summary!$H$2=1,VLOOKUP('ANR OK vs ML7'!A341,Curves!$C$17:$AR$273,MATCH('ANR OK vs ML7'!$AR$4,Curves!$C$8:$AQ$8,0)),0.1)</f>
        <v>0.1</v>
      </c>
      <c r="AS341" s="35" t="str">
        <f t="shared" si="194"/>
        <v/>
      </c>
      <c r="AT341" s="3" t="str">
        <f t="shared" si="217"/>
        <v/>
      </c>
      <c r="AU341" s="3" t="str">
        <f t="shared" si="195"/>
        <v/>
      </c>
      <c r="AW341" s="32" t="str">
        <f t="shared" si="218"/>
        <v/>
      </c>
      <c r="AX341" s="32" t="str">
        <f t="shared" si="219"/>
        <v/>
      </c>
      <c r="AY341" s="32" t="str">
        <f t="shared" si="220"/>
        <v/>
      </c>
      <c r="BA341" s="32" t="str">
        <f>IF($A342="","",F341*Summary!$Q$7)</f>
        <v/>
      </c>
    </row>
    <row r="342" spans="1:53" ht="12" customHeight="1">
      <c r="A342" s="67" t="str">
        <f t="shared" si="196"/>
        <v/>
      </c>
      <c r="B342" s="69" t="str">
        <f t="shared" si="221"/>
        <v/>
      </c>
      <c r="C342" s="71"/>
      <c r="D342" s="69" t="str">
        <f t="shared" si="222"/>
        <v/>
      </c>
      <c r="E342" s="70" t="str">
        <f t="shared" si="186"/>
        <v/>
      </c>
      <c r="F342" s="70" t="str">
        <f t="shared" si="187"/>
        <v/>
      </c>
      <c r="G342" s="63" t="str">
        <f t="shared" si="197"/>
        <v/>
      </c>
      <c r="H342" s="64" t="str">
        <f t="shared" si="198"/>
        <v/>
      </c>
      <c r="I342" s="43"/>
      <c r="J342" s="63" t="str">
        <f t="shared" si="199"/>
        <v/>
      </c>
      <c r="K342" s="64" t="str">
        <f t="shared" si="200"/>
        <v/>
      </c>
      <c r="L342" s="63" t="str">
        <f t="shared" si="201"/>
        <v/>
      </c>
      <c r="M342" s="64" t="str">
        <f t="shared" si="202"/>
        <v/>
      </c>
      <c r="N342" s="65"/>
      <c r="O342" s="63" t="str">
        <f t="shared" si="203"/>
        <v/>
      </c>
      <c r="P342" s="63" t="str">
        <f t="shared" si="204"/>
        <v/>
      </c>
      <c r="Q342" s="66"/>
      <c r="R342" s="63" t="str">
        <f t="shared" si="205"/>
        <v/>
      </c>
      <c r="S342" s="64" t="str">
        <f t="shared" si="206"/>
        <v/>
      </c>
      <c r="T342" s="63" t="str">
        <f t="shared" si="207"/>
        <v/>
      </c>
      <c r="U342" s="64" t="str">
        <f t="shared" si="208"/>
        <v/>
      </c>
      <c r="V342" s="207" t="str">
        <f>IF($A343="","",IF(AND(MONTH(A342)&gt;3,MONTH(A342)&lt;11),(T342+R342+G342)*Summary!$T$7/(1-Summary!$T$7),(T342+R342+G342)*Summary!$U$7/(1-Summary!$U$7)))</f>
        <v/>
      </c>
      <c r="W342" s="63" t="str">
        <f t="shared" si="209"/>
        <v/>
      </c>
      <c r="X342" s="63" t="str">
        <f t="shared" si="210"/>
        <v/>
      </c>
      <c r="Y342" s="43"/>
      <c r="Z342" s="38" t="str">
        <f t="shared" si="211"/>
        <v/>
      </c>
      <c r="AA342" s="38" t="str">
        <f t="shared" si="211"/>
        <v/>
      </c>
      <c r="AB342" s="38" t="e">
        <f t="shared" si="188"/>
        <v>#VALUE!</v>
      </c>
      <c r="AC342" s="38" t="str">
        <f t="shared" si="211"/>
        <v/>
      </c>
      <c r="AD342" s="38" t="str">
        <f t="shared" si="189"/>
        <v/>
      </c>
      <c r="AE342" s="38" t="e">
        <f t="shared" si="190"/>
        <v>#VALUE!</v>
      </c>
      <c r="AF342" s="238" t="e">
        <f>((Summary!$N$7*(AA342*AD342)*(A342-$D$3))+(Summary!$M$7*Z342*AC342*(DAY(EOMONTH(A342,0))/2)))/(AK342*AB342*AE342)</f>
        <v>#VALUE!</v>
      </c>
      <c r="AG342" s="88" t="str">
        <f>IF($A343="","",Summary!$Q$7)</f>
        <v/>
      </c>
      <c r="AH342" s="88" t="str">
        <f>IF($A343="","",IF(Summary!$R$7="Y",(VLOOKUP($A342,Summary!$AD$6:$AF$9,3)+'Escalating commodity'!C355),'Escalating commodity'!C355))</f>
        <v/>
      </c>
      <c r="AI342" s="88" t="str">
        <f t="shared" si="212"/>
        <v/>
      </c>
      <c r="AJ342" s="236" t="e">
        <f t="shared" si="191"/>
        <v>#VALUE!</v>
      </c>
      <c r="AK342" s="58" t="str">
        <f t="shared" si="213"/>
        <v/>
      </c>
      <c r="AL342" s="26" t="str">
        <f>IF($A343="","",_xll.SPRDOPT(P342,X342,AI342,0,AB342,AE342,AF342,AK342,$AJ$2,0))</f>
        <v/>
      </c>
      <c r="AM342" s="209" t="str">
        <f t="shared" si="192"/>
        <v/>
      </c>
      <c r="AN342" s="89" t="str">
        <f t="shared" si="214"/>
        <v/>
      </c>
      <c r="AO342" s="3" t="str">
        <f t="shared" si="215"/>
        <v/>
      </c>
      <c r="AP342" s="33" t="str">
        <f t="shared" si="216"/>
        <v/>
      </c>
      <c r="AQ342" s="58" t="str">
        <f t="shared" si="193"/>
        <v/>
      </c>
      <c r="AR342" s="38">
        <f>IF(Summary!$H$2=1,VLOOKUP('ANR OK vs ML7'!A342,Curves!$C$17:$AR$273,MATCH('ANR OK vs ML7'!$AR$4,Curves!$C$8:$AQ$8,0)),0.1)</f>
        <v>0.1</v>
      </c>
      <c r="AS342" s="35" t="str">
        <f t="shared" si="194"/>
        <v/>
      </c>
      <c r="AT342" s="3" t="str">
        <f t="shared" si="217"/>
        <v/>
      </c>
      <c r="AU342" s="3" t="str">
        <f t="shared" si="195"/>
        <v/>
      </c>
      <c r="AW342" s="32" t="str">
        <f t="shared" si="218"/>
        <v/>
      </c>
      <c r="AX342" s="32" t="str">
        <f t="shared" si="219"/>
        <v/>
      </c>
      <c r="AY342" s="32" t="str">
        <f t="shared" si="220"/>
        <v/>
      </c>
      <c r="BA342" s="32" t="str">
        <f>IF($A343="","",F342*Summary!$Q$7)</f>
        <v/>
      </c>
    </row>
    <row r="343" spans="1:53" ht="12" customHeight="1">
      <c r="A343" s="67" t="str">
        <f t="shared" si="196"/>
        <v/>
      </c>
      <c r="B343" s="69" t="str">
        <f t="shared" si="221"/>
        <v/>
      </c>
      <c r="C343" s="71"/>
      <c r="D343" s="69" t="str">
        <f t="shared" si="222"/>
        <v/>
      </c>
      <c r="E343" s="70" t="str">
        <f t="shared" si="186"/>
        <v/>
      </c>
      <c r="F343" s="70" t="str">
        <f t="shared" si="187"/>
        <v/>
      </c>
      <c r="G343" s="63" t="str">
        <f t="shared" si="197"/>
        <v/>
      </c>
      <c r="H343" s="64" t="str">
        <f t="shared" si="198"/>
        <v/>
      </c>
      <c r="I343" s="43"/>
      <c r="J343" s="63" t="str">
        <f t="shared" si="199"/>
        <v/>
      </c>
      <c r="K343" s="64" t="str">
        <f t="shared" si="200"/>
        <v/>
      </c>
      <c r="L343" s="63" t="str">
        <f t="shared" si="201"/>
        <v/>
      </c>
      <c r="M343" s="64" t="str">
        <f t="shared" si="202"/>
        <v/>
      </c>
      <c r="N343" s="65"/>
      <c r="O343" s="63" t="str">
        <f t="shared" si="203"/>
        <v/>
      </c>
      <c r="P343" s="63" t="str">
        <f t="shared" si="204"/>
        <v/>
      </c>
      <c r="Q343" s="66"/>
      <c r="R343" s="63" t="str">
        <f t="shared" si="205"/>
        <v/>
      </c>
      <c r="S343" s="64" t="str">
        <f t="shared" si="206"/>
        <v/>
      </c>
      <c r="T343" s="63" t="str">
        <f t="shared" si="207"/>
        <v/>
      </c>
      <c r="U343" s="64" t="str">
        <f t="shared" si="208"/>
        <v/>
      </c>
      <c r="V343" s="207" t="str">
        <f>IF($A344="","",IF(AND(MONTH(A343)&gt;3,MONTH(A343)&lt;11),(T343+R343+G343)*Summary!$T$7/(1-Summary!$T$7),(T343+R343+G343)*Summary!$U$7/(1-Summary!$U$7)))</f>
        <v/>
      </c>
      <c r="W343" s="63" t="str">
        <f t="shared" si="209"/>
        <v/>
      </c>
      <c r="X343" s="63" t="str">
        <f t="shared" si="210"/>
        <v/>
      </c>
      <c r="Y343" s="43"/>
      <c r="Z343" s="38" t="str">
        <f t="shared" si="211"/>
        <v/>
      </c>
      <c r="AA343" s="38" t="str">
        <f t="shared" si="211"/>
        <v/>
      </c>
      <c r="AB343" s="38" t="e">
        <f t="shared" si="188"/>
        <v>#VALUE!</v>
      </c>
      <c r="AC343" s="38" t="str">
        <f t="shared" si="211"/>
        <v/>
      </c>
      <c r="AD343" s="38" t="str">
        <f t="shared" si="189"/>
        <v/>
      </c>
      <c r="AE343" s="38" t="e">
        <f t="shared" si="190"/>
        <v>#VALUE!</v>
      </c>
      <c r="AF343" s="238" t="e">
        <f>((Summary!$N$7*(AA343*AD343)*(A343-$D$3))+(Summary!$M$7*Z343*AC343*(DAY(EOMONTH(A343,0))/2)))/(AK343*AB343*AE343)</f>
        <v>#VALUE!</v>
      </c>
      <c r="AG343" s="88" t="str">
        <f>IF($A344="","",Summary!$Q$7)</f>
        <v/>
      </c>
      <c r="AH343" s="88" t="str">
        <f>IF($A344="","",IF(Summary!$R$7="Y",(VLOOKUP($A343,Summary!$AD$6:$AF$9,3)+'Escalating commodity'!C356),'Escalating commodity'!C356))</f>
        <v/>
      </c>
      <c r="AI343" s="88" t="str">
        <f t="shared" si="212"/>
        <v/>
      </c>
      <c r="AJ343" s="236" t="e">
        <f t="shared" si="191"/>
        <v>#VALUE!</v>
      </c>
      <c r="AK343" s="58" t="str">
        <f t="shared" si="213"/>
        <v/>
      </c>
      <c r="AL343" s="26" t="str">
        <f>IF($A344="","",_xll.SPRDOPT(P343,X343,AI343,0,AB343,AE343,AF343,AK343,$AJ$2,0))</f>
        <v/>
      </c>
      <c r="AM343" s="209" t="str">
        <f t="shared" si="192"/>
        <v/>
      </c>
      <c r="AN343" s="89" t="str">
        <f t="shared" si="214"/>
        <v/>
      </c>
      <c r="AO343" s="3" t="str">
        <f t="shared" si="215"/>
        <v/>
      </c>
      <c r="AP343" s="33" t="str">
        <f t="shared" si="216"/>
        <v/>
      </c>
      <c r="AQ343" s="58" t="str">
        <f t="shared" si="193"/>
        <v/>
      </c>
      <c r="AR343" s="38">
        <f>IF(Summary!$H$2=1,VLOOKUP('ANR OK vs ML7'!A343,Curves!$C$17:$AR$273,MATCH('ANR OK vs ML7'!$AR$4,Curves!$C$8:$AQ$8,0)),0.1)</f>
        <v>0.1</v>
      </c>
      <c r="AS343" s="35" t="str">
        <f t="shared" si="194"/>
        <v/>
      </c>
      <c r="AT343" s="3" t="str">
        <f t="shared" si="217"/>
        <v/>
      </c>
      <c r="AU343" s="3" t="str">
        <f t="shared" si="195"/>
        <v/>
      </c>
      <c r="AW343" s="32" t="str">
        <f t="shared" si="218"/>
        <v/>
      </c>
      <c r="AX343" s="32" t="str">
        <f t="shared" si="219"/>
        <v/>
      </c>
      <c r="AY343" s="32" t="str">
        <f t="shared" si="220"/>
        <v/>
      </c>
      <c r="BA343" s="32" t="str">
        <f>IF($A344="","",F343*Summary!$Q$7)</f>
        <v/>
      </c>
    </row>
    <row r="344" spans="1:53" ht="12" customHeight="1">
      <c r="A344" s="67" t="str">
        <f t="shared" si="196"/>
        <v/>
      </c>
      <c r="B344" s="69" t="str">
        <f t="shared" si="221"/>
        <v/>
      </c>
      <c r="C344" s="71"/>
      <c r="D344" s="69" t="str">
        <f t="shared" si="222"/>
        <v/>
      </c>
      <c r="E344" s="70" t="str">
        <f t="shared" si="186"/>
        <v/>
      </c>
      <c r="F344" s="70" t="str">
        <f t="shared" si="187"/>
        <v/>
      </c>
      <c r="G344" s="63" t="str">
        <f t="shared" si="197"/>
        <v/>
      </c>
      <c r="H344" s="64" t="str">
        <f t="shared" si="198"/>
        <v/>
      </c>
      <c r="I344" s="43"/>
      <c r="J344" s="63" t="str">
        <f t="shared" si="199"/>
        <v/>
      </c>
      <c r="K344" s="64" t="str">
        <f t="shared" si="200"/>
        <v/>
      </c>
      <c r="L344" s="63" t="str">
        <f t="shared" si="201"/>
        <v/>
      </c>
      <c r="M344" s="64" t="str">
        <f t="shared" si="202"/>
        <v/>
      </c>
      <c r="N344" s="65"/>
      <c r="O344" s="63" t="str">
        <f t="shared" si="203"/>
        <v/>
      </c>
      <c r="P344" s="63" t="str">
        <f t="shared" si="204"/>
        <v/>
      </c>
      <c r="Q344" s="66"/>
      <c r="R344" s="63" t="str">
        <f t="shared" si="205"/>
        <v/>
      </c>
      <c r="S344" s="64" t="str">
        <f t="shared" si="206"/>
        <v/>
      </c>
      <c r="T344" s="63" t="str">
        <f t="shared" si="207"/>
        <v/>
      </c>
      <c r="U344" s="64" t="str">
        <f t="shared" si="208"/>
        <v/>
      </c>
      <c r="V344" s="207" t="str">
        <f>IF($A345="","",IF(AND(MONTH(A344)&gt;3,MONTH(A344)&lt;11),(T344+R344+G344)*Summary!$T$7/(1-Summary!$T$7),(T344+R344+G344)*Summary!$U$7/(1-Summary!$U$7)))</f>
        <v/>
      </c>
      <c r="W344" s="63" t="str">
        <f t="shared" si="209"/>
        <v/>
      </c>
      <c r="X344" s="63" t="str">
        <f t="shared" si="210"/>
        <v/>
      </c>
      <c r="Y344" s="43"/>
      <c r="Z344" s="38" t="str">
        <f t="shared" si="211"/>
        <v/>
      </c>
      <c r="AA344" s="38" t="str">
        <f t="shared" si="211"/>
        <v/>
      </c>
      <c r="AB344" s="38" t="e">
        <f t="shared" si="188"/>
        <v>#VALUE!</v>
      </c>
      <c r="AC344" s="38" t="str">
        <f t="shared" si="211"/>
        <v/>
      </c>
      <c r="AD344" s="38" t="str">
        <f t="shared" si="189"/>
        <v/>
      </c>
      <c r="AE344" s="38" t="e">
        <f t="shared" si="190"/>
        <v>#VALUE!</v>
      </c>
      <c r="AF344" s="238" t="e">
        <f>((Summary!$N$7*(AA344*AD344)*(A344-$D$3))+(Summary!$M$7*Z344*AC344*(DAY(EOMONTH(A344,0))/2)))/(AK344*AB344*AE344)</f>
        <v>#VALUE!</v>
      </c>
      <c r="AG344" s="88" t="str">
        <f>IF($A345="","",Summary!$Q$7)</f>
        <v/>
      </c>
      <c r="AH344" s="88" t="str">
        <f>IF($A345="","",IF(Summary!$R$7="Y",(VLOOKUP($A344,Summary!$AD$6:$AF$9,3)+'Escalating commodity'!C357),'Escalating commodity'!C357))</f>
        <v/>
      </c>
      <c r="AI344" s="88" t="str">
        <f t="shared" si="212"/>
        <v/>
      </c>
      <c r="AJ344" s="236" t="e">
        <f t="shared" si="191"/>
        <v>#VALUE!</v>
      </c>
      <c r="AK344" s="58" t="str">
        <f t="shared" si="213"/>
        <v/>
      </c>
      <c r="AL344" s="26" t="str">
        <f>IF($A345="","",_xll.SPRDOPT(P344,X344,AI344,0,AB344,AE344,AF344,AK344,$AJ$2,0))</f>
        <v/>
      </c>
      <c r="AM344" s="209" t="str">
        <f t="shared" si="192"/>
        <v/>
      </c>
      <c r="AN344" s="89" t="str">
        <f t="shared" si="214"/>
        <v/>
      </c>
      <c r="AO344" s="3" t="str">
        <f t="shared" si="215"/>
        <v/>
      </c>
      <c r="AP344" s="33" t="str">
        <f t="shared" si="216"/>
        <v/>
      </c>
      <c r="AQ344" s="58" t="str">
        <f t="shared" si="193"/>
        <v/>
      </c>
      <c r="AR344" s="38">
        <f>IF(Summary!$H$2=1,VLOOKUP('ANR OK vs ML7'!A344,Curves!$C$17:$AR$273,MATCH('ANR OK vs ML7'!$AR$4,Curves!$C$8:$AQ$8,0)),0.1)</f>
        <v>0.1</v>
      </c>
      <c r="AS344" s="35" t="str">
        <f t="shared" si="194"/>
        <v/>
      </c>
      <c r="AT344" s="3" t="str">
        <f t="shared" si="217"/>
        <v/>
      </c>
      <c r="AU344" s="3" t="str">
        <f t="shared" si="195"/>
        <v/>
      </c>
      <c r="AW344" s="32" t="str">
        <f t="shared" si="218"/>
        <v/>
      </c>
      <c r="AX344" s="32" t="str">
        <f t="shared" si="219"/>
        <v/>
      </c>
      <c r="AY344" s="32" t="str">
        <f t="shared" si="220"/>
        <v/>
      </c>
      <c r="BA344" s="32" t="str">
        <f>IF($A345="","",F344*Summary!$Q$7)</f>
        <v/>
      </c>
    </row>
    <row r="345" spans="1:53" ht="12" customHeight="1">
      <c r="A345" s="67" t="str">
        <f t="shared" si="196"/>
        <v/>
      </c>
      <c r="B345" s="69" t="str">
        <f t="shared" si="221"/>
        <v/>
      </c>
      <c r="C345" s="71"/>
      <c r="D345" s="69" t="str">
        <f t="shared" si="222"/>
        <v/>
      </c>
      <c r="E345" s="70" t="str">
        <f t="shared" si="186"/>
        <v/>
      </c>
      <c r="F345" s="70" t="str">
        <f t="shared" si="187"/>
        <v/>
      </c>
      <c r="G345" s="63" t="str">
        <f t="shared" si="197"/>
        <v/>
      </c>
      <c r="H345" s="64" t="str">
        <f t="shared" si="198"/>
        <v/>
      </c>
      <c r="I345" s="43"/>
      <c r="J345" s="63" t="str">
        <f t="shared" si="199"/>
        <v/>
      </c>
      <c r="K345" s="64" t="str">
        <f t="shared" si="200"/>
        <v/>
      </c>
      <c r="L345" s="63" t="str">
        <f t="shared" si="201"/>
        <v/>
      </c>
      <c r="M345" s="64" t="str">
        <f t="shared" si="202"/>
        <v/>
      </c>
      <c r="N345" s="65"/>
      <c r="O345" s="63" t="str">
        <f t="shared" si="203"/>
        <v/>
      </c>
      <c r="P345" s="63" t="str">
        <f t="shared" si="204"/>
        <v/>
      </c>
      <c r="Q345" s="66"/>
      <c r="R345" s="63" t="str">
        <f t="shared" si="205"/>
        <v/>
      </c>
      <c r="S345" s="64" t="str">
        <f t="shared" si="206"/>
        <v/>
      </c>
      <c r="T345" s="63" t="str">
        <f t="shared" si="207"/>
        <v/>
      </c>
      <c r="U345" s="64" t="str">
        <f t="shared" si="208"/>
        <v/>
      </c>
      <c r="V345" s="207" t="str">
        <f>IF($A346="","",IF(AND(MONTH(A345)&gt;3,MONTH(A345)&lt;11),(T345+R345+G345)*Summary!$T$7/(1-Summary!$T$7),(T345+R345+G345)*Summary!$U$7/(1-Summary!$U$7)))</f>
        <v/>
      </c>
      <c r="W345" s="63" t="str">
        <f t="shared" si="209"/>
        <v/>
      </c>
      <c r="X345" s="63" t="str">
        <f t="shared" si="210"/>
        <v/>
      </c>
      <c r="Y345" s="43"/>
      <c r="Z345" s="38" t="str">
        <f t="shared" si="211"/>
        <v/>
      </c>
      <c r="AA345" s="38" t="str">
        <f t="shared" si="211"/>
        <v/>
      </c>
      <c r="AB345" s="38" t="e">
        <f t="shared" si="188"/>
        <v>#VALUE!</v>
      </c>
      <c r="AC345" s="38" t="str">
        <f t="shared" si="211"/>
        <v/>
      </c>
      <c r="AD345" s="38" t="str">
        <f t="shared" si="189"/>
        <v/>
      </c>
      <c r="AE345" s="38" t="e">
        <f t="shared" si="190"/>
        <v>#VALUE!</v>
      </c>
      <c r="AF345" s="238" t="e">
        <f>((Summary!$N$7*(AA345*AD345)*(A345-$D$3))+(Summary!$M$7*Z345*AC345*(DAY(EOMONTH(A345,0))/2)))/(AK345*AB345*AE345)</f>
        <v>#VALUE!</v>
      </c>
      <c r="AG345" s="88" t="str">
        <f>IF($A346="","",Summary!$Q$7)</f>
        <v/>
      </c>
      <c r="AH345" s="88" t="str">
        <f>IF($A346="","",IF(Summary!$R$7="Y",(VLOOKUP($A345,Summary!$AD$6:$AF$9,3)+'Escalating commodity'!C358),'Escalating commodity'!C358))</f>
        <v/>
      </c>
      <c r="AI345" s="88" t="str">
        <f t="shared" si="212"/>
        <v/>
      </c>
      <c r="AJ345" s="236" t="e">
        <f t="shared" si="191"/>
        <v>#VALUE!</v>
      </c>
      <c r="AK345" s="58" t="str">
        <f t="shared" si="213"/>
        <v/>
      </c>
      <c r="AL345" s="26" t="str">
        <f>IF($A346="","",_xll.SPRDOPT(P345,X345,AI345,0,AB345,AE345,AF345,AK345,$AJ$2,0))</f>
        <v/>
      </c>
      <c r="AM345" s="209" t="str">
        <f t="shared" si="192"/>
        <v/>
      </c>
      <c r="AN345" s="89" t="str">
        <f t="shared" si="214"/>
        <v/>
      </c>
      <c r="AO345" s="3" t="str">
        <f t="shared" si="215"/>
        <v/>
      </c>
      <c r="AP345" s="33" t="str">
        <f t="shared" si="216"/>
        <v/>
      </c>
      <c r="AQ345" s="58" t="str">
        <f t="shared" si="193"/>
        <v/>
      </c>
      <c r="AR345" s="38">
        <f>IF(Summary!$H$2=1,VLOOKUP('ANR OK vs ML7'!A345,Curves!$C$17:$AR$273,MATCH('ANR OK vs ML7'!$AR$4,Curves!$C$8:$AQ$8,0)),0.1)</f>
        <v>0.1</v>
      </c>
      <c r="AS345" s="35" t="str">
        <f t="shared" si="194"/>
        <v/>
      </c>
      <c r="AT345" s="3" t="str">
        <f t="shared" si="217"/>
        <v/>
      </c>
      <c r="AU345" s="3" t="str">
        <f t="shared" si="195"/>
        <v/>
      </c>
      <c r="AW345" s="32" t="str">
        <f t="shared" si="218"/>
        <v/>
      </c>
      <c r="AX345" s="32" t="str">
        <f t="shared" si="219"/>
        <v/>
      </c>
      <c r="AY345" s="32" t="str">
        <f t="shared" si="220"/>
        <v/>
      </c>
      <c r="BA345" s="32" t="str">
        <f>IF($A346="","",F345*Summary!$Q$7)</f>
        <v/>
      </c>
    </row>
    <row r="346" spans="1:53" ht="12" customHeight="1">
      <c r="A346" s="67" t="str">
        <f t="shared" si="196"/>
        <v/>
      </c>
      <c r="B346" s="69" t="str">
        <f t="shared" si="221"/>
        <v/>
      </c>
      <c r="C346" s="71"/>
      <c r="D346" s="69" t="str">
        <f t="shared" si="222"/>
        <v/>
      </c>
      <c r="E346" s="70" t="str">
        <f t="shared" si="186"/>
        <v/>
      </c>
      <c r="F346" s="70" t="str">
        <f t="shared" si="187"/>
        <v/>
      </c>
      <c r="G346" s="63" t="str">
        <f t="shared" si="197"/>
        <v/>
      </c>
      <c r="H346" s="64" t="str">
        <f t="shared" si="198"/>
        <v/>
      </c>
      <c r="I346" s="43"/>
      <c r="J346" s="63" t="str">
        <f t="shared" si="199"/>
        <v/>
      </c>
      <c r="K346" s="64" t="str">
        <f t="shared" si="200"/>
        <v/>
      </c>
      <c r="L346" s="63" t="str">
        <f t="shared" si="201"/>
        <v/>
      </c>
      <c r="M346" s="64" t="str">
        <f t="shared" si="202"/>
        <v/>
      </c>
      <c r="N346" s="65"/>
      <c r="O346" s="63" t="str">
        <f t="shared" si="203"/>
        <v/>
      </c>
      <c r="P346" s="63" t="str">
        <f t="shared" si="204"/>
        <v/>
      </c>
      <c r="Q346" s="66"/>
      <c r="R346" s="63" t="str">
        <f t="shared" si="205"/>
        <v/>
      </c>
      <c r="S346" s="64" t="str">
        <f t="shared" si="206"/>
        <v/>
      </c>
      <c r="T346" s="63" t="str">
        <f t="shared" si="207"/>
        <v/>
      </c>
      <c r="U346" s="64" t="str">
        <f t="shared" si="208"/>
        <v/>
      </c>
      <c r="V346" s="207" t="str">
        <f>IF($A347="","",IF(AND(MONTH(A346)&gt;3,MONTH(A346)&lt;11),(T346+R346+G346)*Summary!$T$7/(1-Summary!$T$7),(T346+R346+G346)*Summary!$U$7/(1-Summary!$U$7)))</f>
        <v/>
      </c>
      <c r="W346" s="63" t="str">
        <f t="shared" si="209"/>
        <v/>
      </c>
      <c r="X346" s="63" t="str">
        <f t="shared" si="210"/>
        <v/>
      </c>
      <c r="Y346" s="43"/>
      <c r="Z346" s="38" t="str">
        <f t="shared" si="211"/>
        <v/>
      </c>
      <c r="AA346" s="38" t="str">
        <f t="shared" si="211"/>
        <v/>
      </c>
      <c r="AB346" s="38" t="e">
        <f t="shared" si="188"/>
        <v>#VALUE!</v>
      </c>
      <c r="AC346" s="38" t="str">
        <f t="shared" si="211"/>
        <v/>
      </c>
      <c r="AD346" s="38" t="str">
        <f t="shared" si="189"/>
        <v/>
      </c>
      <c r="AE346" s="38" t="e">
        <f t="shared" si="190"/>
        <v>#VALUE!</v>
      </c>
      <c r="AF346" s="238" t="e">
        <f>((Summary!$N$7*(AA346*AD346)*(A346-$D$3))+(Summary!$M$7*Z346*AC346*(DAY(EOMONTH(A346,0))/2)))/(AK346*AB346*AE346)</f>
        <v>#VALUE!</v>
      </c>
      <c r="AG346" s="88" t="str">
        <f>IF($A347="","",Summary!$Q$7)</f>
        <v/>
      </c>
      <c r="AH346" s="88" t="str">
        <f>IF($A347="","",IF(Summary!$R$7="Y",(VLOOKUP($A346,Summary!$AD$6:$AF$9,3)+'Escalating commodity'!C359),'Escalating commodity'!C359))</f>
        <v/>
      </c>
      <c r="AI346" s="88" t="str">
        <f t="shared" si="212"/>
        <v/>
      </c>
      <c r="AJ346" s="236" t="e">
        <f t="shared" si="191"/>
        <v>#VALUE!</v>
      </c>
      <c r="AK346" s="58" t="str">
        <f t="shared" si="213"/>
        <v/>
      </c>
      <c r="AL346" s="26" t="str">
        <f>IF($A347="","",_xll.SPRDOPT(P346,X346,AI346,0,AB346,AE346,AF346,AK346,$AJ$2,0))</f>
        <v/>
      </c>
      <c r="AM346" s="209" t="str">
        <f t="shared" si="192"/>
        <v/>
      </c>
      <c r="AN346" s="89" t="str">
        <f t="shared" si="214"/>
        <v/>
      </c>
      <c r="AO346" s="3" t="str">
        <f t="shared" si="215"/>
        <v/>
      </c>
      <c r="AP346" s="33" t="str">
        <f t="shared" si="216"/>
        <v/>
      </c>
      <c r="AQ346" s="58" t="str">
        <f t="shared" si="193"/>
        <v/>
      </c>
      <c r="AR346" s="38">
        <f>IF(Summary!$H$2=1,VLOOKUP('ANR OK vs ML7'!A346,Curves!$C$17:$AR$273,MATCH('ANR OK vs ML7'!$AR$4,Curves!$C$8:$AQ$8,0)),0.1)</f>
        <v>0.1</v>
      </c>
      <c r="AS346" s="35" t="str">
        <f t="shared" si="194"/>
        <v/>
      </c>
      <c r="AT346" s="3" t="str">
        <f t="shared" si="217"/>
        <v/>
      </c>
      <c r="AU346" s="3" t="str">
        <f t="shared" si="195"/>
        <v/>
      </c>
      <c r="AW346" s="32" t="str">
        <f t="shared" si="218"/>
        <v/>
      </c>
      <c r="AX346" s="32" t="str">
        <f t="shared" si="219"/>
        <v/>
      </c>
      <c r="AY346" s="32" t="str">
        <f t="shared" si="220"/>
        <v/>
      </c>
      <c r="BA346" s="32" t="str">
        <f>IF($A347="","",F346*Summary!$Q$7)</f>
        <v/>
      </c>
    </row>
    <row r="347" spans="1:53" ht="12" customHeight="1">
      <c r="A347" s="67" t="str">
        <f t="shared" si="196"/>
        <v/>
      </c>
      <c r="B347" s="69" t="str">
        <f t="shared" si="221"/>
        <v/>
      </c>
      <c r="C347" s="71"/>
      <c r="D347" s="69" t="str">
        <f t="shared" si="222"/>
        <v/>
      </c>
      <c r="E347" s="70" t="str">
        <f t="shared" si="186"/>
        <v/>
      </c>
      <c r="F347" s="70" t="str">
        <f t="shared" si="187"/>
        <v/>
      </c>
      <c r="G347" s="63" t="str">
        <f t="shared" si="197"/>
        <v/>
      </c>
      <c r="H347" s="64" t="str">
        <f t="shared" si="198"/>
        <v/>
      </c>
      <c r="I347" s="43"/>
      <c r="J347" s="63" t="str">
        <f t="shared" si="199"/>
        <v/>
      </c>
      <c r="K347" s="64" t="str">
        <f t="shared" si="200"/>
        <v/>
      </c>
      <c r="L347" s="63" t="str">
        <f t="shared" si="201"/>
        <v/>
      </c>
      <c r="M347" s="64" t="str">
        <f t="shared" si="202"/>
        <v/>
      </c>
      <c r="N347" s="65"/>
      <c r="O347" s="63" t="str">
        <f t="shared" si="203"/>
        <v/>
      </c>
      <c r="P347" s="63" t="str">
        <f t="shared" si="204"/>
        <v/>
      </c>
      <c r="Q347" s="66"/>
      <c r="R347" s="63" t="str">
        <f t="shared" si="205"/>
        <v/>
      </c>
      <c r="S347" s="64" t="str">
        <f t="shared" si="206"/>
        <v/>
      </c>
      <c r="T347" s="63" t="str">
        <f t="shared" si="207"/>
        <v/>
      </c>
      <c r="U347" s="64" t="str">
        <f t="shared" si="208"/>
        <v/>
      </c>
      <c r="V347" s="207" t="str">
        <f>IF($A348="","",IF(AND(MONTH(A347)&gt;3,MONTH(A347)&lt;11),(T347+R347+G347)*Summary!$T$7/(1-Summary!$T$7),(T347+R347+G347)*Summary!$U$7/(1-Summary!$U$7)))</f>
        <v/>
      </c>
      <c r="W347" s="63" t="str">
        <f t="shared" si="209"/>
        <v/>
      </c>
      <c r="X347" s="63" t="str">
        <f t="shared" si="210"/>
        <v/>
      </c>
      <c r="Y347" s="43"/>
      <c r="Z347" s="38" t="str">
        <f t="shared" si="211"/>
        <v/>
      </c>
      <c r="AA347" s="38" t="str">
        <f t="shared" si="211"/>
        <v/>
      </c>
      <c r="AB347" s="38" t="e">
        <f t="shared" si="188"/>
        <v>#VALUE!</v>
      </c>
      <c r="AC347" s="38" t="str">
        <f t="shared" si="211"/>
        <v/>
      </c>
      <c r="AD347" s="38" t="str">
        <f t="shared" si="189"/>
        <v/>
      </c>
      <c r="AE347" s="38" t="e">
        <f t="shared" si="190"/>
        <v>#VALUE!</v>
      </c>
      <c r="AF347" s="238" t="e">
        <f>((Summary!$N$7*(AA347*AD347)*(A347-$D$3))+(Summary!$M$7*Z347*AC347*(DAY(EOMONTH(A347,0))/2)))/(AK347*AB347*AE347)</f>
        <v>#VALUE!</v>
      </c>
      <c r="AG347" s="88" t="str">
        <f>IF($A348="","",Summary!$Q$7)</f>
        <v/>
      </c>
      <c r="AH347" s="88" t="str">
        <f>IF($A348="","",IF(Summary!$R$7="Y",(VLOOKUP($A347,Summary!$AD$6:$AF$9,3)+'Escalating commodity'!C360),'Escalating commodity'!C360))</f>
        <v/>
      </c>
      <c r="AI347" s="88" t="str">
        <f t="shared" si="212"/>
        <v/>
      </c>
      <c r="AJ347" s="236" t="e">
        <f t="shared" si="191"/>
        <v>#VALUE!</v>
      </c>
      <c r="AK347" s="58" t="str">
        <f t="shared" si="213"/>
        <v/>
      </c>
      <c r="AL347" s="26" t="str">
        <f>IF($A348="","",_xll.SPRDOPT(P347,X347,AI347,0,AB347,AE347,AF347,AK347,$AJ$2,0))</f>
        <v/>
      </c>
      <c r="AM347" s="209" t="str">
        <f t="shared" si="192"/>
        <v/>
      </c>
      <c r="AN347" s="89" t="str">
        <f t="shared" si="214"/>
        <v/>
      </c>
      <c r="AO347" s="3" t="str">
        <f t="shared" si="215"/>
        <v/>
      </c>
      <c r="AP347" s="33" t="str">
        <f t="shared" si="216"/>
        <v/>
      </c>
      <c r="AQ347" s="58" t="str">
        <f t="shared" si="193"/>
        <v/>
      </c>
      <c r="AR347" s="38">
        <f>IF(Summary!$H$2=1,VLOOKUP('ANR OK vs ML7'!A347,Curves!$C$17:$AR$273,MATCH('ANR OK vs ML7'!$AR$4,Curves!$C$8:$AQ$8,0)),0.1)</f>
        <v>0.1</v>
      </c>
      <c r="AS347" s="35" t="str">
        <f t="shared" si="194"/>
        <v/>
      </c>
      <c r="AT347" s="3" t="str">
        <f t="shared" si="217"/>
        <v/>
      </c>
      <c r="AU347" s="3" t="str">
        <f t="shared" si="195"/>
        <v/>
      </c>
      <c r="AW347" s="32" t="str">
        <f t="shared" si="218"/>
        <v/>
      </c>
      <c r="AX347" s="32" t="str">
        <f t="shared" si="219"/>
        <v/>
      </c>
      <c r="AY347" s="32" t="str">
        <f t="shared" si="220"/>
        <v/>
      </c>
      <c r="BA347" s="32" t="str">
        <f>IF($A348="","",F347*Summary!$Q$7)</f>
        <v/>
      </c>
    </row>
    <row r="348" spans="1:53" ht="12" customHeight="1">
      <c r="A348" s="67" t="str">
        <f t="shared" si="196"/>
        <v/>
      </c>
      <c r="B348" s="69" t="str">
        <f t="shared" si="221"/>
        <v/>
      </c>
      <c r="C348" s="71"/>
      <c r="D348" s="69" t="str">
        <f t="shared" si="222"/>
        <v/>
      </c>
      <c r="E348" s="70" t="str">
        <f t="shared" si="186"/>
        <v/>
      </c>
      <c r="F348" s="70" t="str">
        <f t="shared" si="187"/>
        <v/>
      </c>
      <c r="G348" s="63" t="str">
        <f t="shared" si="197"/>
        <v/>
      </c>
      <c r="H348" s="64" t="str">
        <f t="shared" si="198"/>
        <v/>
      </c>
      <c r="I348" s="43"/>
      <c r="J348" s="63" t="str">
        <f t="shared" si="199"/>
        <v/>
      </c>
      <c r="K348" s="64" t="str">
        <f t="shared" si="200"/>
        <v/>
      </c>
      <c r="L348" s="63" t="str">
        <f t="shared" si="201"/>
        <v/>
      </c>
      <c r="M348" s="64" t="str">
        <f t="shared" si="202"/>
        <v/>
      </c>
      <c r="N348" s="65"/>
      <c r="O348" s="63" t="str">
        <f t="shared" si="203"/>
        <v/>
      </c>
      <c r="P348" s="63" t="str">
        <f t="shared" si="204"/>
        <v/>
      </c>
      <c r="Q348" s="66"/>
      <c r="R348" s="63" t="str">
        <f t="shared" si="205"/>
        <v/>
      </c>
      <c r="S348" s="64" t="str">
        <f t="shared" si="206"/>
        <v/>
      </c>
      <c r="T348" s="63" t="str">
        <f t="shared" si="207"/>
        <v/>
      </c>
      <c r="U348" s="64" t="str">
        <f t="shared" si="208"/>
        <v/>
      </c>
      <c r="V348" s="207" t="str">
        <f>IF($A349="","",IF(AND(MONTH(A348)&gt;3,MONTH(A348)&lt;11),(T348+R348+G348)*Summary!$T$7/(1-Summary!$T$7),(T348+R348+G348)*Summary!$U$7/(1-Summary!$U$7)))</f>
        <v/>
      </c>
      <c r="W348" s="63" t="str">
        <f t="shared" si="209"/>
        <v/>
      </c>
      <c r="X348" s="63" t="str">
        <f t="shared" si="210"/>
        <v/>
      </c>
      <c r="Y348" s="43"/>
      <c r="Z348" s="38" t="str">
        <f t="shared" si="211"/>
        <v/>
      </c>
      <c r="AA348" s="38" t="str">
        <f t="shared" si="211"/>
        <v/>
      </c>
      <c r="AB348" s="38" t="e">
        <f t="shared" si="188"/>
        <v>#VALUE!</v>
      </c>
      <c r="AC348" s="38" t="str">
        <f t="shared" si="211"/>
        <v/>
      </c>
      <c r="AD348" s="38" t="str">
        <f t="shared" si="189"/>
        <v/>
      </c>
      <c r="AE348" s="38" t="e">
        <f t="shared" si="190"/>
        <v>#VALUE!</v>
      </c>
      <c r="AF348" s="238" t="e">
        <f>((Summary!$N$7*(AA348*AD348)*(A348-$D$3))+(Summary!$M$7*Z348*AC348*(DAY(EOMONTH(A348,0))/2)))/(AK348*AB348*AE348)</f>
        <v>#VALUE!</v>
      </c>
      <c r="AG348" s="88" t="str">
        <f>IF($A349="","",Summary!$Q$7)</f>
        <v/>
      </c>
      <c r="AH348" s="88" t="str">
        <f>IF($A349="","",IF(Summary!$R$7="Y",(VLOOKUP($A348,Summary!$AD$6:$AF$9,3)+'Escalating commodity'!C361),'Escalating commodity'!C361))</f>
        <v/>
      </c>
      <c r="AI348" s="88" t="str">
        <f t="shared" si="212"/>
        <v/>
      </c>
      <c r="AJ348" s="236" t="e">
        <f t="shared" si="191"/>
        <v>#VALUE!</v>
      </c>
      <c r="AK348" s="58" t="str">
        <f t="shared" si="213"/>
        <v/>
      </c>
      <c r="AL348" s="26" t="str">
        <f>IF($A349="","",_xll.SPRDOPT(P348,X348,AI348,0,AB348,AE348,AF348,AK348,$AJ$2,0))</f>
        <v/>
      </c>
      <c r="AM348" s="209" t="str">
        <f t="shared" si="192"/>
        <v/>
      </c>
      <c r="AN348" s="89" t="str">
        <f t="shared" si="214"/>
        <v/>
      </c>
      <c r="AO348" s="3" t="str">
        <f t="shared" si="215"/>
        <v/>
      </c>
      <c r="AP348" s="33" t="str">
        <f t="shared" si="216"/>
        <v/>
      </c>
      <c r="AQ348" s="58" t="str">
        <f t="shared" si="193"/>
        <v/>
      </c>
      <c r="AR348" s="38">
        <f>IF(Summary!$H$2=1,VLOOKUP('ANR OK vs ML7'!A348,Curves!$C$17:$AR$273,MATCH('ANR OK vs ML7'!$AR$4,Curves!$C$8:$AQ$8,0)),0.1)</f>
        <v>0.1</v>
      </c>
      <c r="AS348" s="35" t="str">
        <f t="shared" si="194"/>
        <v/>
      </c>
      <c r="AT348" s="3" t="str">
        <f t="shared" si="217"/>
        <v/>
      </c>
      <c r="AU348" s="3" t="str">
        <f t="shared" si="195"/>
        <v/>
      </c>
      <c r="AW348" s="32" t="str">
        <f t="shared" si="218"/>
        <v/>
      </c>
      <c r="AX348" s="32" t="str">
        <f t="shared" si="219"/>
        <v/>
      </c>
      <c r="AY348" s="32" t="str">
        <f t="shared" si="220"/>
        <v/>
      </c>
      <c r="BA348" s="32" t="str">
        <f>IF($A349="","",F348*Summary!$Q$7)</f>
        <v/>
      </c>
    </row>
    <row r="349" spans="1:53" ht="12" customHeight="1">
      <c r="A349" s="67" t="str">
        <f t="shared" si="196"/>
        <v/>
      </c>
      <c r="B349" s="69" t="str">
        <f t="shared" si="221"/>
        <v/>
      </c>
      <c r="C349" s="71"/>
      <c r="D349" s="69" t="str">
        <f t="shared" si="222"/>
        <v/>
      </c>
      <c r="E349" s="70" t="str">
        <f t="shared" si="186"/>
        <v/>
      </c>
      <c r="F349" s="70" t="str">
        <f t="shared" si="187"/>
        <v/>
      </c>
      <c r="G349" s="63" t="str">
        <f t="shared" si="197"/>
        <v/>
      </c>
      <c r="H349" s="64" t="str">
        <f t="shared" si="198"/>
        <v/>
      </c>
      <c r="I349" s="43"/>
      <c r="J349" s="63" t="str">
        <f t="shared" si="199"/>
        <v/>
      </c>
      <c r="K349" s="64" t="str">
        <f t="shared" si="200"/>
        <v/>
      </c>
      <c r="L349" s="63" t="str">
        <f t="shared" si="201"/>
        <v/>
      </c>
      <c r="M349" s="64" t="str">
        <f t="shared" si="202"/>
        <v/>
      </c>
      <c r="N349" s="65"/>
      <c r="O349" s="63" t="str">
        <f t="shared" si="203"/>
        <v/>
      </c>
      <c r="P349" s="63" t="str">
        <f t="shared" si="204"/>
        <v/>
      </c>
      <c r="Q349" s="66"/>
      <c r="R349" s="63" t="str">
        <f t="shared" si="205"/>
        <v/>
      </c>
      <c r="S349" s="64" t="str">
        <f t="shared" si="206"/>
        <v/>
      </c>
      <c r="T349" s="63" t="str">
        <f t="shared" si="207"/>
        <v/>
      </c>
      <c r="U349" s="64" t="str">
        <f t="shared" si="208"/>
        <v/>
      </c>
      <c r="V349" s="207" t="str">
        <f>IF($A350="","",IF(AND(MONTH(A349)&gt;3,MONTH(A349)&lt;11),(T349+R349+G349)*Summary!$T$7/(1-Summary!$T$7),(T349+R349+G349)*Summary!$U$7/(1-Summary!$U$7)))</f>
        <v/>
      </c>
      <c r="W349" s="63" t="str">
        <f t="shared" si="209"/>
        <v/>
      </c>
      <c r="X349" s="63" t="str">
        <f t="shared" si="210"/>
        <v/>
      </c>
      <c r="Y349" s="43"/>
      <c r="Z349" s="38" t="str">
        <f t="shared" si="211"/>
        <v/>
      </c>
      <c r="AA349" s="38" t="str">
        <f t="shared" si="211"/>
        <v/>
      </c>
      <c r="AB349" s="38" t="e">
        <f t="shared" si="188"/>
        <v>#VALUE!</v>
      </c>
      <c r="AC349" s="38" t="str">
        <f t="shared" si="211"/>
        <v/>
      </c>
      <c r="AD349" s="38" t="str">
        <f t="shared" si="189"/>
        <v/>
      </c>
      <c r="AE349" s="38" t="e">
        <f t="shared" si="190"/>
        <v>#VALUE!</v>
      </c>
      <c r="AF349" s="238" t="e">
        <f>((Summary!$N$7*(AA349*AD349)*(A349-$D$3))+(Summary!$M$7*Z349*AC349*(DAY(EOMONTH(A349,0))/2)))/(AK349*AB349*AE349)</f>
        <v>#VALUE!</v>
      </c>
      <c r="AG349" s="88" t="str">
        <f>IF($A350="","",Summary!$Q$7)</f>
        <v/>
      </c>
      <c r="AH349" s="88" t="str">
        <f>IF($A350="","",IF(Summary!$R$7="Y",(VLOOKUP($A349,Summary!$AD$6:$AF$9,3)+'Escalating commodity'!C362),'Escalating commodity'!C362))</f>
        <v/>
      </c>
      <c r="AI349" s="88" t="str">
        <f t="shared" si="212"/>
        <v/>
      </c>
      <c r="AJ349" s="236" t="e">
        <f t="shared" si="191"/>
        <v>#VALUE!</v>
      </c>
      <c r="AK349" s="58" t="str">
        <f t="shared" si="213"/>
        <v/>
      </c>
      <c r="AL349" s="26" t="str">
        <f>IF($A350="","",_xll.SPRDOPT(P349,X349,AI349,0,AB349,AE349,AF349,AK349,$AJ$2,0))</f>
        <v/>
      </c>
      <c r="AM349" s="209" t="str">
        <f t="shared" si="192"/>
        <v/>
      </c>
      <c r="AN349" s="89" t="str">
        <f t="shared" si="214"/>
        <v/>
      </c>
      <c r="AO349" s="3" t="str">
        <f t="shared" si="215"/>
        <v/>
      </c>
      <c r="AP349" s="33" t="str">
        <f t="shared" si="216"/>
        <v/>
      </c>
      <c r="AQ349" s="58" t="str">
        <f t="shared" si="193"/>
        <v/>
      </c>
      <c r="AR349" s="38">
        <f>IF(Summary!$H$2=1,VLOOKUP('ANR OK vs ML7'!A349,Curves!$C$17:$AR$273,MATCH('ANR OK vs ML7'!$AR$4,Curves!$C$8:$AQ$8,0)),0.1)</f>
        <v>0.1</v>
      </c>
      <c r="AS349" s="35" t="str">
        <f t="shared" si="194"/>
        <v/>
      </c>
      <c r="AT349" s="3" t="str">
        <f t="shared" si="217"/>
        <v/>
      </c>
      <c r="AU349" s="3" t="str">
        <f t="shared" si="195"/>
        <v/>
      </c>
      <c r="AW349" s="32" t="str">
        <f t="shared" si="218"/>
        <v/>
      </c>
      <c r="AX349" s="32" t="str">
        <f t="shared" si="219"/>
        <v/>
      </c>
      <c r="AY349" s="32" t="str">
        <f t="shared" si="220"/>
        <v/>
      </c>
      <c r="BA349" s="32" t="str">
        <f>IF($A350="","",F349*Summary!$Q$7)</f>
        <v/>
      </c>
    </row>
    <row r="350" spans="1:53" ht="12" customHeight="1">
      <c r="A350" s="67" t="str">
        <f t="shared" si="196"/>
        <v/>
      </c>
      <c r="B350" s="69" t="str">
        <f t="shared" si="221"/>
        <v/>
      </c>
      <c r="C350" s="71"/>
      <c r="D350" s="69" t="str">
        <f t="shared" si="222"/>
        <v/>
      </c>
      <c r="E350" s="70" t="str">
        <f t="shared" si="186"/>
        <v/>
      </c>
      <c r="F350" s="70" t="str">
        <f t="shared" si="187"/>
        <v/>
      </c>
      <c r="G350" s="63" t="str">
        <f t="shared" si="197"/>
        <v/>
      </c>
      <c r="H350" s="64" t="str">
        <f t="shared" si="198"/>
        <v/>
      </c>
      <c r="I350" s="43"/>
      <c r="J350" s="63" t="str">
        <f t="shared" si="199"/>
        <v/>
      </c>
      <c r="K350" s="64" t="str">
        <f t="shared" si="200"/>
        <v/>
      </c>
      <c r="L350" s="63" t="str">
        <f t="shared" si="201"/>
        <v/>
      </c>
      <c r="M350" s="64" t="str">
        <f t="shared" si="202"/>
        <v/>
      </c>
      <c r="N350" s="65"/>
      <c r="O350" s="63" t="str">
        <f t="shared" si="203"/>
        <v/>
      </c>
      <c r="P350" s="63" t="str">
        <f t="shared" si="204"/>
        <v/>
      </c>
      <c r="Q350" s="66"/>
      <c r="R350" s="63" t="str">
        <f t="shared" si="205"/>
        <v/>
      </c>
      <c r="S350" s="64" t="str">
        <f t="shared" si="206"/>
        <v/>
      </c>
      <c r="T350" s="63" t="str">
        <f t="shared" si="207"/>
        <v/>
      </c>
      <c r="U350" s="64" t="str">
        <f t="shared" si="208"/>
        <v/>
      </c>
      <c r="V350" s="207" t="str">
        <f>IF($A351="","",IF(AND(MONTH(A350)&gt;3,MONTH(A350)&lt;11),(T350+R350+G350)*Summary!$T$7/(1-Summary!$T$7),(T350+R350+G350)*Summary!$U$7/(1-Summary!$U$7)))</f>
        <v/>
      </c>
      <c r="W350" s="63" t="str">
        <f t="shared" si="209"/>
        <v/>
      </c>
      <c r="X350" s="63" t="str">
        <f t="shared" si="210"/>
        <v/>
      </c>
      <c r="Y350" s="43"/>
      <c r="Z350" s="38" t="str">
        <f t="shared" si="211"/>
        <v/>
      </c>
      <c r="AA350" s="38" t="str">
        <f t="shared" si="211"/>
        <v/>
      </c>
      <c r="AB350" s="38" t="e">
        <f t="shared" si="188"/>
        <v>#VALUE!</v>
      </c>
      <c r="AC350" s="38" t="str">
        <f t="shared" si="211"/>
        <v/>
      </c>
      <c r="AD350" s="38" t="str">
        <f t="shared" si="189"/>
        <v/>
      </c>
      <c r="AE350" s="38" t="e">
        <f t="shared" si="190"/>
        <v>#VALUE!</v>
      </c>
      <c r="AF350" s="238" t="e">
        <f>((Summary!$N$7*(AA350*AD350)*(A350-$D$3))+(Summary!$M$7*Z350*AC350*(DAY(EOMONTH(A350,0))/2)))/(AK350*AB350*AE350)</f>
        <v>#VALUE!</v>
      </c>
      <c r="AG350" s="88" t="str">
        <f>IF($A351="","",Summary!$Q$7)</f>
        <v/>
      </c>
      <c r="AH350" s="88" t="str">
        <f>IF($A351="","",IF(Summary!$R$7="Y",(VLOOKUP($A350,Summary!$AD$6:$AF$9,3)+'Escalating commodity'!C363),'Escalating commodity'!C363))</f>
        <v/>
      </c>
      <c r="AI350" s="88" t="str">
        <f t="shared" si="212"/>
        <v/>
      </c>
      <c r="AJ350" s="236" t="e">
        <f t="shared" si="191"/>
        <v>#VALUE!</v>
      </c>
      <c r="AK350" s="58" t="str">
        <f t="shared" si="213"/>
        <v/>
      </c>
      <c r="AL350" s="26" t="str">
        <f>IF($A351="","",_xll.SPRDOPT(P350,X350,AI350,0,AB350,AE350,AF350,AK350,$AJ$2,0))</f>
        <v/>
      </c>
      <c r="AM350" s="209" t="str">
        <f t="shared" si="192"/>
        <v/>
      </c>
      <c r="AN350" s="89" t="str">
        <f t="shared" si="214"/>
        <v/>
      </c>
      <c r="AO350" s="3" t="str">
        <f t="shared" si="215"/>
        <v/>
      </c>
      <c r="AP350" s="33" t="str">
        <f t="shared" si="216"/>
        <v/>
      </c>
      <c r="AQ350" s="58" t="str">
        <f t="shared" si="193"/>
        <v/>
      </c>
      <c r="AR350" s="38">
        <f>IF(Summary!$H$2=1,VLOOKUP('ANR OK vs ML7'!A350,Curves!$C$17:$AR$273,MATCH('ANR OK vs ML7'!$AR$4,Curves!$C$8:$AQ$8,0)),0.1)</f>
        <v>0.1</v>
      </c>
      <c r="AS350" s="35" t="str">
        <f t="shared" si="194"/>
        <v/>
      </c>
      <c r="AT350" s="3" t="str">
        <f t="shared" si="217"/>
        <v/>
      </c>
      <c r="AU350" s="3" t="str">
        <f t="shared" si="195"/>
        <v/>
      </c>
      <c r="AW350" s="32" t="str">
        <f t="shared" si="218"/>
        <v/>
      </c>
      <c r="AX350" s="32" t="str">
        <f t="shared" si="219"/>
        <v/>
      </c>
      <c r="AY350" s="32" t="str">
        <f t="shared" si="220"/>
        <v/>
      </c>
      <c r="BA350" s="32" t="str">
        <f>IF($A351="","",F350*Summary!$Q$7)</f>
        <v/>
      </c>
    </row>
    <row r="351" spans="1:53" ht="12" customHeight="1">
      <c r="A351" s="67" t="str">
        <f t="shared" si="196"/>
        <v/>
      </c>
      <c r="B351" s="69" t="str">
        <f t="shared" si="221"/>
        <v/>
      </c>
      <c r="C351" s="71"/>
      <c r="D351" s="69" t="str">
        <f t="shared" si="222"/>
        <v/>
      </c>
      <c r="E351" s="70" t="str">
        <f t="shared" si="186"/>
        <v/>
      </c>
      <c r="F351" s="70" t="str">
        <f t="shared" si="187"/>
        <v/>
      </c>
      <c r="G351" s="63" t="str">
        <f t="shared" si="197"/>
        <v/>
      </c>
      <c r="H351" s="64" t="str">
        <f t="shared" si="198"/>
        <v/>
      </c>
      <c r="I351" s="43"/>
      <c r="J351" s="63" t="str">
        <f t="shared" si="199"/>
        <v/>
      </c>
      <c r="K351" s="64" t="str">
        <f t="shared" si="200"/>
        <v/>
      </c>
      <c r="L351" s="63" t="str">
        <f t="shared" si="201"/>
        <v/>
      </c>
      <c r="M351" s="64" t="str">
        <f t="shared" si="202"/>
        <v/>
      </c>
      <c r="N351" s="65"/>
      <c r="O351" s="63" t="str">
        <f t="shared" si="203"/>
        <v/>
      </c>
      <c r="P351" s="63" t="str">
        <f t="shared" si="204"/>
        <v/>
      </c>
      <c r="Q351" s="66"/>
      <c r="R351" s="63" t="str">
        <f t="shared" si="205"/>
        <v/>
      </c>
      <c r="S351" s="64" t="str">
        <f t="shared" si="206"/>
        <v/>
      </c>
      <c r="T351" s="63" t="str">
        <f t="shared" si="207"/>
        <v/>
      </c>
      <c r="U351" s="64" t="str">
        <f t="shared" si="208"/>
        <v/>
      </c>
      <c r="V351" s="207" t="str">
        <f>IF($A352="","",IF(AND(MONTH(A351)&gt;3,MONTH(A351)&lt;11),(T351+R351+G351)*Summary!$T$7/(1-Summary!$T$7),(T351+R351+G351)*Summary!$U$7/(1-Summary!$U$7)))</f>
        <v/>
      </c>
      <c r="W351" s="63" t="str">
        <f t="shared" si="209"/>
        <v/>
      </c>
      <c r="X351" s="63" t="str">
        <f t="shared" si="210"/>
        <v/>
      </c>
      <c r="Y351" s="43"/>
      <c r="Z351" s="38" t="str">
        <f t="shared" si="211"/>
        <v/>
      </c>
      <c r="AA351" s="38" t="str">
        <f t="shared" si="211"/>
        <v/>
      </c>
      <c r="AB351" s="38" t="e">
        <f t="shared" si="188"/>
        <v>#VALUE!</v>
      </c>
      <c r="AC351" s="38" t="str">
        <f t="shared" si="211"/>
        <v/>
      </c>
      <c r="AD351" s="38" t="str">
        <f t="shared" si="189"/>
        <v/>
      </c>
      <c r="AE351" s="38" t="e">
        <f t="shared" si="190"/>
        <v>#VALUE!</v>
      </c>
      <c r="AF351" s="238" t="e">
        <f>((Summary!$N$7*(AA351*AD351)*(A351-$D$3))+(Summary!$M$7*Z351*AC351*(DAY(EOMONTH(A351,0))/2)))/(AK351*AB351*AE351)</f>
        <v>#VALUE!</v>
      </c>
      <c r="AG351" s="88" t="str">
        <f>IF($A352="","",Summary!$Q$7)</f>
        <v/>
      </c>
      <c r="AH351" s="88" t="str">
        <f>IF($A352="","",IF(Summary!$R$7="Y",(VLOOKUP($A351,Summary!$AD$6:$AF$9,3)+'Escalating commodity'!C364),'Escalating commodity'!C364))</f>
        <v/>
      </c>
      <c r="AI351" s="88" t="str">
        <f t="shared" si="212"/>
        <v/>
      </c>
      <c r="AJ351" s="236" t="e">
        <f t="shared" si="191"/>
        <v>#VALUE!</v>
      </c>
      <c r="AK351" s="58" t="str">
        <f t="shared" si="213"/>
        <v/>
      </c>
      <c r="AL351" s="26" t="str">
        <f>IF($A352="","",_xll.SPRDOPT(P351,X351,AI351,0,AB351,AE351,AF351,AK351,$AJ$2,0))</f>
        <v/>
      </c>
      <c r="AM351" s="209" t="str">
        <f t="shared" si="192"/>
        <v/>
      </c>
      <c r="AN351" s="89" t="str">
        <f t="shared" si="214"/>
        <v/>
      </c>
      <c r="AO351" s="3" t="str">
        <f t="shared" si="215"/>
        <v/>
      </c>
      <c r="AP351" s="33" t="str">
        <f t="shared" si="216"/>
        <v/>
      </c>
      <c r="AQ351" s="58" t="str">
        <f t="shared" si="193"/>
        <v/>
      </c>
      <c r="AR351" s="38">
        <f>IF(Summary!$H$2=1,VLOOKUP('ANR OK vs ML7'!A351,Curves!$C$17:$AR$273,MATCH('ANR OK vs ML7'!$AR$4,Curves!$C$8:$AQ$8,0)),0.1)</f>
        <v>0.1</v>
      </c>
      <c r="AS351" s="35" t="str">
        <f t="shared" si="194"/>
        <v/>
      </c>
      <c r="AT351" s="3" t="str">
        <f t="shared" si="217"/>
        <v/>
      </c>
      <c r="AU351" s="3" t="str">
        <f t="shared" si="195"/>
        <v/>
      </c>
      <c r="AW351" s="32" t="str">
        <f t="shared" si="218"/>
        <v/>
      </c>
      <c r="AX351" s="32" t="str">
        <f t="shared" si="219"/>
        <v/>
      </c>
      <c r="AY351" s="32" t="str">
        <f t="shared" si="220"/>
        <v/>
      </c>
      <c r="BA351" s="32" t="str">
        <f>IF($A352="","",F351*Summary!$Q$7)</f>
        <v/>
      </c>
    </row>
    <row r="352" spans="1:53" ht="12" customHeight="1">
      <c r="A352" s="67" t="str">
        <f t="shared" si="196"/>
        <v/>
      </c>
      <c r="B352" s="69" t="str">
        <f t="shared" si="221"/>
        <v/>
      </c>
      <c r="C352" s="71"/>
      <c r="D352" s="69" t="str">
        <f t="shared" si="222"/>
        <v/>
      </c>
      <c r="E352" s="70" t="str">
        <f t="shared" si="186"/>
        <v/>
      </c>
      <c r="F352" s="70" t="str">
        <f t="shared" si="187"/>
        <v/>
      </c>
      <c r="G352" s="63" t="str">
        <f t="shared" si="197"/>
        <v/>
      </c>
      <c r="H352" s="64" t="str">
        <f t="shared" si="198"/>
        <v/>
      </c>
      <c r="I352" s="43"/>
      <c r="J352" s="63" t="str">
        <f t="shared" si="199"/>
        <v/>
      </c>
      <c r="K352" s="64" t="str">
        <f t="shared" si="200"/>
        <v/>
      </c>
      <c r="L352" s="63" t="str">
        <f t="shared" si="201"/>
        <v/>
      </c>
      <c r="M352" s="64" t="str">
        <f t="shared" si="202"/>
        <v/>
      </c>
      <c r="N352" s="65"/>
      <c r="O352" s="63" t="str">
        <f t="shared" si="203"/>
        <v/>
      </c>
      <c r="P352" s="63" t="str">
        <f t="shared" si="204"/>
        <v/>
      </c>
      <c r="Q352" s="66"/>
      <c r="R352" s="63" t="str">
        <f t="shared" si="205"/>
        <v/>
      </c>
      <c r="S352" s="64" t="str">
        <f t="shared" si="206"/>
        <v/>
      </c>
      <c r="T352" s="63" t="str">
        <f t="shared" si="207"/>
        <v/>
      </c>
      <c r="U352" s="64" t="str">
        <f t="shared" si="208"/>
        <v/>
      </c>
      <c r="V352" s="207" t="str">
        <f>IF($A353="","",IF(AND(MONTH(A352)&gt;3,MONTH(A352)&lt;11),(T352+R352+G352)*Summary!$T$7/(1-Summary!$T$7),(T352+R352+G352)*Summary!$U$7/(1-Summary!$U$7)))</f>
        <v/>
      </c>
      <c r="W352" s="63" t="str">
        <f t="shared" si="209"/>
        <v/>
      </c>
      <c r="X352" s="63" t="str">
        <f t="shared" si="210"/>
        <v/>
      </c>
      <c r="Y352" s="43"/>
      <c r="Z352" s="38" t="str">
        <f t="shared" si="211"/>
        <v/>
      </c>
      <c r="AA352" s="38" t="str">
        <f t="shared" si="211"/>
        <v/>
      </c>
      <c r="AB352" s="38" t="e">
        <f t="shared" si="188"/>
        <v>#VALUE!</v>
      </c>
      <c r="AC352" s="38" t="str">
        <f t="shared" si="211"/>
        <v/>
      </c>
      <c r="AD352" s="38" t="str">
        <f t="shared" si="189"/>
        <v/>
      </c>
      <c r="AE352" s="38" t="e">
        <f t="shared" si="190"/>
        <v>#VALUE!</v>
      </c>
      <c r="AF352" s="238" t="e">
        <f>((Summary!$N$7*(AA352*AD352)*(A352-$D$3))+(Summary!$M$7*Z352*AC352*(DAY(EOMONTH(A352,0))/2)))/(AK352*AB352*AE352)</f>
        <v>#VALUE!</v>
      </c>
      <c r="AG352" s="88" t="str">
        <f>IF($A353="","",Summary!$Q$7)</f>
        <v/>
      </c>
      <c r="AH352" s="88" t="str">
        <f>IF($A353="","",IF(Summary!$R$7="Y",(VLOOKUP($A352,Summary!$AD$6:$AF$9,3)+'Escalating commodity'!C365),'Escalating commodity'!C365))</f>
        <v/>
      </c>
      <c r="AI352" s="88" t="str">
        <f t="shared" si="212"/>
        <v/>
      </c>
      <c r="AJ352" s="236" t="e">
        <f t="shared" si="191"/>
        <v>#VALUE!</v>
      </c>
      <c r="AK352" s="58" t="str">
        <f t="shared" si="213"/>
        <v/>
      </c>
      <c r="AL352" s="26" t="str">
        <f>IF($A353="","",_xll.SPRDOPT(P352,X352,AI352,0,AB352,AE352,AF352,AK352,$AJ$2,0))</f>
        <v/>
      </c>
      <c r="AM352" s="209" t="str">
        <f t="shared" si="192"/>
        <v/>
      </c>
      <c r="AN352" s="89" t="str">
        <f t="shared" si="214"/>
        <v/>
      </c>
      <c r="AO352" s="3" t="str">
        <f t="shared" si="215"/>
        <v/>
      </c>
      <c r="AP352" s="33" t="str">
        <f t="shared" si="216"/>
        <v/>
      </c>
      <c r="AQ352" s="58" t="str">
        <f t="shared" si="193"/>
        <v/>
      </c>
      <c r="AR352" s="38">
        <f>IF(Summary!$H$2=1,VLOOKUP('ANR OK vs ML7'!A352,Curves!$C$17:$AR$273,MATCH('ANR OK vs ML7'!$AR$4,Curves!$C$8:$AQ$8,0)),0.1)</f>
        <v>0.1</v>
      </c>
      <c r="AS352" s="35" t="str">
        <f t="shared" si="194"/>
        <v/>
      </c>
      <c r="AT352" s="3" t="str">
        <f t="shared" si="217"/>
        <v/>
      </c>
      <c r="AU352" s="3" t="str">
        <f t="shared" si="195"/>
        <v/>
      </c>
      <c r="AW352" s="32" t="str">
        <f t="shared" si="218"/>
        <v/>
      </c>
      <c r="AX352" s="32" t="str">
        <f t="shared" si="219"/>
        <v/>
      </c>
      <c r="AY352" s="32" t="str">
        <f t="shared" si="220"/>
        <v/>
      </c>
      <c r="BA352" s="32" t="str">
        <f>IF($A353="","",F352*Summary!$Q$7)</f>
        <v/>
      </c>
    </row>
    <row r="353" spans="1:53" ht="12" customHeight="1">
      <c r="A353" s="67" t="str">
        <f t="shared" si="196"/>
        <v/>
      </c>
      <c r="B353" s="69" t="str">
        <f t="shared" si="221"/>
        <v/>
      </c>
      <c r="C353" s="71"/>
      <c r="D353" s="69" t="str">
        <f t="shared" si="222"/>
        <v/>
      </c>
      <c r="E353" s="70" t="str">
        <f t="shared" si="186"/>
        <v/>
      </c>
      <c r="F353" s="70" t="str">
        <f t="shared" si="187"/>
        <v/>
      </c>
      <c r="G353" s="63" t="str">
        <f t="shared" si="197"/>
        <v/>
      </c>
      <c r="H353" s="64" t="str">
        <f t="shared" si="198"/>
        <v/>
      </c>
      <c r="I353" s="43"/>
      <c r="J353" s="63" t="str">
        <f t="shared" si="199"/>
        <v/>
      </c>
      <c r="K353" s="64" t="str">
        <f t="shared" si="200"/>
        <v/>
      </c>
      <c r="L353" s="63" t="str">
        <f t="shared" si="201"/>
        <v/>
      </c>
      <c r="M353" s="64" t="str">
        <f t="shared" si="202"/>
        <v/>
      </c>
      <c r="N353" s="65"/>
      <c r="O353" s="63" t="str">
        <f t="shared" si="203"/>
        <v/>
      </c>
      <c r="P353" s="63" t="str">
        <f t="shared" si="204"/>
        <v/>
      </c>
      <c r="Q353" s="66"/>
      <c r="R353" s="63" t="str">
        <f t="shared" si="205"/>
        <v/>
      </c>
      <c r="S353" s="64" t="str">
        <f t="shared" si="206"/>
        <v/>
      </c>
      <c r="T353" s="63" t="str">
        <f t="shared" si="207"/>
        <v/>
      </c>
      <c r="U353" s="64" t="str">
        <f t="shared" si="208"/>
        <v/>
      </c>
      <c r="V353" s="207" t="str">
        <f>IF($A354="","",IF(AND(MONTH(A353)&gt;3,MONTH(A353)&lt;11),(T353+R353+G353)*Summary!$T$7/(1-Summary!$T$7),(T353+R353+G353)*Summary!$U$7/(1-Summary!$U$7)))</f>
        <v/>
      </c>
      <c r="W353" s="63" t="str">
        <f t="shared" si="209"/>
        <v/>
      </c>
      <c r="X353" s="63" t="str">
        <f t="shared" si="210"/>
        <v/>
      </c>
      <c r="Y353" s="43"/>
      <c r="Z353" s="38" t="str">
        <f t="shared" si="211"/>
        <v/>
      </c>
      <c r="AA353" s="38" t="str">
        <f t="shared" si="211"/>
        <v/>
      </c>
      <c r="AB353" s="38" t="e">
        <f t="shared" si="188"/>
        <v>#VALUE!</v>
      </c>
      <c r="AC353" s="38" t="str">
        <f t="shared" si="211"/>
        <v/>
      </c>
      <c r="AD353" s="38" t="str">
        <f t="shared" si="189"/>
        <v/>
      </c>
      <c r="AE353" s="38" t="e">
        <f t="shared" si="190"/>
        <v>#VALUE!</v>
      </c>
      <c r="AF353" s="238" t="e">
        <f>((Summary!$N$7*(AA353*AD353)*(A353-$D$3))+(Summary!$M$7*Z353*AC353*(DAY(EOMONTH(A353,0))/2)))/(AK353*AB353*AE353)</f>
        <v>#VALUE!</v>
      </c>
      <c r="AG353" s="88" t="str">
        <f>IF($A354="","",Summary!$Q$7)</f>
        <v/>
      </c>
      <c r="AH353" s="88" t="str">
        <f>IF($A354="","",IF(Summary!$R$7="Y",(VLOOKUP($A353,Summary!$AD$6:$AF$9,3)+'Escalating commodity'!C366),'Escalating commodity'!C366))</f>
        <v/>
      </c>
      <c r="AI353" s="88" t="str">
        <f t="shared" si="212"/>
        <v/>
      </c>
      <c r="AJ353" s="236" t="e">
        <f t="shared" si="191"/>
        <v>#VALUE!</v>
      </c>
      <c r="AK353" s="58" t="str">
        <f t="shared" si="213"/>
        <v/>
      </c>
      <c r="AL353" s="26" t="str">
        <f>IF($A354="","",_xll.SPRDOPT(P353,X353,AI353,0,AB353,AE353,AF353,AK353,$AJ$2,0))</f>
        <v/>
      </c>
      <c r="AM353" s="209" t="str">
        <f t="shared" si="192"/>
        <v/>
      </c>
      <c r="AN353" s="89" t="str">
        <f t="shared" si="214"/>
        <v/>
      </c>
      <c r="AO353" s="3" t="str">
        <f t="shared" si="215"/>
        <v/>
      </c>
      <c r="AP353" s="33" t="str">
        <f t="shared" si="216"/>
        <v/>
      </c>
      <c r="AQ353" s="58" t="str">
        <f t="shared" si="193"/>
        <v/>
      </c>
      <c r="AR353" s="38">
        <f>IF(Summary!$H$2=1,VLOOKUP('ANR OK vs ML7'!A353,Curves!$C$17:$AR$273,MATCH('ANR OK vs ML7'!$AR$4,Curves!$C$8:$AQ$8,0)),0.1)</f>
        <v>0.1</v>
      </c>
      <c r="AS353" s="35" t="str">
        <f t="shared" si="194"/>
        <v/>
      </c>
      <c r="AT353" s="3" t="str">
        <f t="shared" si="217"/>
        <v/>
      </c>
      <c r="AU353" s="3" t="str">
        <f t="shared" si="195"/>
        <v/>
      </c>
      <c r="AW353" s="32" t="str">
        <f t="shared" si="218"/>
        <v/>
      </c>
      <c r="AX353" s="32" t="str">
        <f t="shared" si="219"/>
        <v/>
      </c>
      <c r="AY353" s="32" t="str">
        <f t="shared" si="220"/>
        <v/>
      </c>
      <c r="BA353" s="32" t="str">
        <f>IF($A354="","",F353*Summary!$Q$7)</f>
        <v/>
      </c>
    </row>
    <row r="354" spans="1:53" ht="12" customHeight="1">
      <c r="A354" s="67" t="str">
        <f t="shared" si="196"/>
        <v/>
      </c>
      <c r="B354" s="69" t="str">
        <f t="shared" si="221"/>
        <v/>
      </c>
      <c r="C354" s="71"/>
      <c r="D354" s="69" t="str">
        <f t="shared" si="222"/>
        <v/>
      </c>
      <c r="E354" s="70" t="str">
        <f t="shared" si="186"/>
        <v/>
      </c>
      <c r="F354" s="70" t="str">
        <f t="shared" si="187"/>
        <v/>
      </c>
      <c r="G354" s="63" t="str">
        <f t="shared" si="197"/>
        <v/>
      </c>
      <c r="H354" s="64" t="str">
        <f t="shared" si="198"/>
        <v/>
      </c>
      <c r="I354" s="43"/>
      <c r="J354" s="63" t="str">
        <f t="shared" si="199"/>
        <v/>
      </c>
      <c r="K354" s="64" t="str">
        <f t="shared" si="200"/>
        <v/>
      </c>
      <c r="L354" s="63" t="str">
        <f t="shared" si="201"/>
        <v/>
      </c>
      <c r="M354" s="64" t="str">
        <f t="shared" si="202"/>
        <v/>
      </c>
      <c r="N354" s="65"/>
      <c r="O354" s="63" t="str">
        <f t="shared" si="203"/>
        <v/>
      </c>
      <c r="P354" s="63" t="str">
        <f t="shared" si="204"/>
        <v/>
      </c>
      <c r="Q354" s="66"/>
      <c r="R354" s="63" t="str">
        <f t="shared" si="205"/>
        <v/>
      </c>
      <c r="S354" s="64" t="str">
        <f t="shared" si="206"/>
        <v/>
      </c>
      <c r="T354" s="63" t="str">
        <f t="shared" si="207"/>
        <v/>
      </c>
      <c r="U354" s="64" t="str">
        <f t="shared" si="208"/>
        <v/>
      </c>
      <c r="V354" s="207" t="str">
        <f>IF($A355="","",IF(AND(MONTH(A354)&gt;3,MONTH(A354)&lt;11),(T354+R354+G354)*Summary!$T$7/(1-Summary!$T$7),(T354+R354+G354)*Summary!$U$7/(1-Summary!$U$7)))</f>
        <v/>
      </c>
      <c r="W354" s="63" t="str">
        <f t="shared" si="209"/>
        <v/>
      </c>
      <c r="X354" s="63" t="str">
        <f t="shared" si="210"/>
        <v/>
      </c>
      <c r="Y354" s="43"/>
      <c r="Z354" s="38" t="str">
        <f t="shared" si="211"/>
        <v/>
      </c>
      <c r="AA354" s="38" t="str">
        <f t="shared" si="211"/>
        <v/>
      </c>
      <c r="AB354" s="38" t="e">
        <f t="shared" si="188"/>
        <v>#VALUE!</v>
      </c>
      <c r="AC354" s="38" t="str">
        <f t="shared" si="211"/>
        <v/>
      </c>
      <c r="AD354" s="38" t="str">
        <f t="shared" si="189"/>
        <v/>
      </c>
      <c r="AE354" s="38" t="e">
        <f t="shared" si="190"/>
        <v>#VALUE!</v>
      </c>
      <c r="AF354" s="238" t="e">
        <f>((Summary!$N$7*(AA354*AD354)*(A354-$D$3))+(Summary!$M$7*Z354*AC354*(DAY(EOMONTH(A354,0))/2)))/(AK354*AB354*AE354)</f>
        <v>#VALUE!</v>
      </c>
      <c r="AG354" s="88" t="str">
        <f>IF($A355="","",Summary!$Q$7)</f>
        <v/>
      </c>
      <c r="AH354" s="88" t="str">
        <f>IF($A355="","",IF(Summary!$R$7="Y",(VLOOKUP($A354,Summary!$AD$6:$AF$9,3)+'Escalating commodity'!C367),'Escalating commodity'!C367))</f>
        <v/>
      </c>
      <c r="AI354" s="88" t="str">
        <f t="shared" si="212"/>
        <v/>
      </c>
      <c r="AJ354" s="236" t="e">
        <f t="shared" si="191"/>
        <v>#VALUE!</v>
      </c>
      <c r="AK354" s="58" t="str">
        <f t="shared" si="213"/>
        <v/>
      </c>
      <c r="AL354" s="26" t="str">
        <f>IF($A355="","",_xll.SPRDOPT(P354,X354,AI354,0,AB354,AE354,AF354,AK354,$AJ$2,0))</f>
        <v/>
      </c>
      <c r="AM354" s="209" t="str">
        <f t="shared" si="192"/>
        <v/>
      </c>
      <c r="AN354" s="89" t="str">
        <f t="shared" si="214"/>
        <v/>
      </c>
      <c r="AO354" s="3" t="str">
        <f t="shared" si="215"/>
        <v/>
      </c>
      <c r="AP354" s="33" t="str">
        <f t="shared" si="216"/>
        <v/>
      </c>
      <c r="AQ354" s="58" t="str">
        <f t="shared" si="193"/>
        <v/>
      </c>
      <c r="AR354" s="38">
        <f>IF(Summary!$H$2=1,VLOOKUP('ANR OK vs ML7'!A354,Curves!$C$17:$AR$273,MATCH('ANR OK vs ML7'!$AR$4,Curves!$C$8:$AQ$8,0)),0.1)</f>
        <v>0.1</v>
      </c>
      <c r="AS354" s="35" t="str">
        <f t="shared" si="194"/>
        <v/>
      </c>
      <c r="AT354" s="3" t="str">
        <f t="shared" si="217"/>
        <v/>
      </c>
      <c r="AU354" s="3" t="str">
        <f t="shared" si="195"/>
        <v/>
      </c>
      <c r="AW354" s="32" t="str">
        <f t="shared" si="218"/>
        <v/>
      </c>
      <c r="AX354" s="32" t="str">
        <f t="shared" si="219"/>
        <v/>
      </c>
      <c r="AY354" s="32" t="str">
        <f t="shared" si="220"/>
        <v/>
      </c>
      <c r="BA354" s="32" t="str">
        <f>IF($A355="","",F354*Summary!$Q$7)</f>
        <v/>
      </c>
    </row>
    <row r="355" spans="1:53" ht="12" customHeight="1">
      <c r="A355" s="67" t="str">
        <f t="shared" si="196"/>
        <v/>
      </c>
      <c r="B355" s="69" t="str">
        <f t="shared" si="221"/>
        <v/>
      </c>
      <c r="C355" s="71"/>
      <c r="D355" s="69" t="str">
        <f t="shared" si="222"/>
        <v/>
      </c>
      <c r="E355" s="70" t="str">
        <f t="shared" si="186"/>
        <v/>
      </c>
      <c r="F355" s="70" t="str">
        <f t="shared" si="187"/>
        <v/>
      </c>
      <c r="G355" s="63" t="str">
        <f t="shared" si="197"/>
        <v/>
      </c>
      <c r="H355" s="64" t="str">
        <f t="shared" si="198"/>
        <v/>
      </c>
      <c r="I355" s="43"/>
      <c r="J355" s="63" t="str">
        <f t="shared" si="199"/>
        <v/>
      </c>
      <c r="K355" s="64" t="str">
        <f t="shared" si="200"/>
        <v/>
      </c>
      <c r="L355" s="63" t="str">
        <f t="shared" si="201"/>
        <v/>
      </c>
      <c r="M355" s="64" t="str">
        <f t="shared" si="202"/>
        <v/>
      </c>
      <c r="N355" s="65"/>
      <c r="O355" s="63" t="str">
        <f t="shared" si="203"/>
        <v/>
      </c>
      <c r="P355" s="63" t="str">
        <f t="shared" si="204"/>
        <v/>
      </c>
      <c r="Q355" s="66"/>
      <c r="R355" s="63" t="str">
        <f t="shared" si="205"/>
        <v/>
      </c>
      <c r="S355" s="64" t="str">
        <f t="shared" si="206"/>
        <v/>
      </c>
      <c r="T355" s="63" t="str">
        <f t="shared" si="207"/>
        <v/>
      </c>
      <c r="U355" s="64" t="str">
        <f t="shared" si="208"/>
        <v/>
      </c>
      <c r="V355" s="207" t="str">
        <f>IF($A356="","",IF(AND(MONTH(A355)&gt;3,MONTH(A355)&lt;11),(T355+R355+G355)*Summary!$T$7/(1-Summary!$T$7),(T355+R355+G355)*Summary!$U$7/(1-Summary!$U$7)))</f>
        <v/>
      </c>
      <c r="W355" s="63" t="str">
        <f t="shared" si="209"/>
        <v/>
      </c>
      <c r="X355" s="63" t="str">
        <f t="shared" si="210"/>
        <v/>
      </c>
      <c r="Y355" s="43"/>
      <c r="Z355" s="38" t="str">
        <f t="shared" si="211"/>
        <v/>
      </c>
      <c r="AA355" s="38" t="str">
        <f t="shared" si="211"/>
        <v/>
      </c>
      <c r="AB355" s="38" t="e">
        <f t="shared" si="188"/>
        <v>#VALUE!</v>
      </c>
      <c r="AC355" s="38" t="str">
        <f t="shared" si="211"/>
        <v/>
      </c>
      <c r="AD355" s="38" t="str">
        <f t="shared" si="189"/>
        <v/>
      </c>
      <c r="AE355" s="38" t="e">
        <f t="shared" si="190"/>
        <v>#VALUE!</v>
      </c>
      <c r="AF355" s="238" t="e">
        <f>((Summary!$N$7*(AA355*AD355)*(A355-$D$3))+(Summary!$M$7*Z355*AC355*(DAY(EOMONTH(A355,0))/2)))/(AK355*AB355*AE355)</f>
        <v>#VALUE!</v>
      </c>
      <c r="AG355" s="88" t="str">
        <f>IF($A356="","",Summary!$Q$7)</f>
        <v/>
      </c>
      <c r="AH355" s="88" t="str">
        <f>IF($A356="","",IF(Summary!$R$7="Y",(VLOOKUP($A355,Summary!$AD$6:$AF$9,3)+'Escalating commodity'!C368),'Escalating commodity'!C368))</f>
        <v/>
      </c>
      <c r="AI355" s="88" t="str">
        <f t="shared" si="212"/>
        <v/>
      </c>
      <c r="AJ355" s="236" t="e">
        <f t="shared" si="191"/>
        <v>#VALUE!</v>
      </c>
      <c r="AK355" s="58" t="str">
        <f t="shared" si="213"/>
        <v/>
      </c>
      <c r="AL355" s="26" t="str">
        <f>IF($A356="","",_xll.SPRDOPT(P355,X355,AI355,0,AB355,AE355,AF355,AK355,$AJ$2,0))</f>
        <v/>
      </c>
      <c r="AM355" s="209" t="str">
        <f t="shared" si="192"/>
        <v/>
      </c>
      <c r="AN355" s="89" t="str">
        <f t="shared" si="214"/>
        <v/>
      </c>
      <c r="AO355" s="3" t="str">
        <f t="shared" si="215"/>
        <v/>
      </c>
      <c r="AP355" s="33" t="str">
        <f t="shared" si="216"/>
        <v/>
      </c>
      <c r="AQ355" s="58" t="str">
        <f t="shared" si="193"/>
        <v/>
      </c>
      <c r="AR355" s="38">
        <f>IF(Summary!$H$2=1,VLOOKUP('ANR OK vs ML7'!A355,Curves!$C$17:$AR$273,MATCH('ANR OK vs ML7'!$AR$4,Curves!$C$8:$AQ$8,0)),0.1)</f>
        <v>0.1</v>
      </c>
      <c r="AS355" s="35" t="str">
        <f t="shared" si="194"/>
        <v/>
      </c>
      <c r="AT355" s="3" t="str">
        <f t="shared" si="217"/>
        <v/>
      </c>
      <c r="AU355" s="3" t="str">
        <f t="shared" si="195"/>
        <v/>
      </c>
      <c r="AW355" s="32" t="str">
        <f t="shared" si="218"/>
        <v/>
      </c>
      <c r="AX355" s="32" t="str">
        <f t="shared" si="219"/>
        <v/>
      </c>
      <c r="AY355" s="32" t="str">
        <f t="shared" si="220"/>
        <v/>
      </c>
      <c r="BA355" s="32" t="str">
        <f>IF($A356="","",F355*Summary!$Q$7)</f>
        <v/>
      </c>
    </row>
    <row r="356" spans="1:53" ht="12" customHeight="1">
      <c r="A356" s="67" t="str">
        <f t="shared" si="196"/>
        <v/>
      </c>
      <c r="B356" s="69" t="str">
        <f t="shared" si="221"/>
        <v/>
      </c>
      <c r="C356" s="71"/>
      <c r="D356" s="69" t="str">
        <f t="shared" si="222"/>
        <v/>
      </c>
      <c r="E356" s="70" t="str">
        <f t="shared" si="186"/>
        <v/>
      </c>
      <c r="F356" s="70" t="str">
        <f t="shared" si="187"/>
        <v/>
      </c>
      <c r="G356" s="63" t="str">
        <f t="shared" si="197"/>
        <v/>
      </c>
      <c r="H356" s="64" t="str">
        <f t="shared" si="198"/>
        <v/>
      </c>
      <c r="I356" s="43"/>
      <c r="J356" s="63" t="str">
        <f t="shared" si="199"/>
        <v/>
      </c>
      <c r="K356" s="64" t="str">
        <f t="shared" si="200"/>
        <v/>
      </c>
      <c r="L356" s="63" t="str">
        <f t="shared" si="201"/>
        <v/>
      </c>
      <c r="M356" s="64" t="str">
        <f t="shared" si="202"/>
        <v/>
      </c>
      <c r="N356" s="65"/>
      <c r="O356" s="63" t="str">
        <f t="shared" si="203"/>
        <v/>
      </c>
      <c r="P356" s="63" t="str">
        <f t="shared" si="204"/>
        <v/>
      </c>
      <c r="Q356" s="66"/>
      <c r="R356" s="63" t="str">
        <f t="shared" si="205"/>
        <v/>
      </c>
      <c r="S356" s="64" t="str">
        <f t="shared" si="206"/>
        <v/>
      </c>
      <c r="T356" s="63" t="str">
        <f t="shared" si="207"/>
        <v/>
      </c>
      <c r="U356" s="64" t="str">
        <f t="shared" si="208"/>
        <v/>
      </c>
      <c r="V356" s="207" t="str">
        <f>IF($A357="","",IF(AND(MONTH(A356)&gt;3,MONTH(A356)&lt;11),(T356+R356+G356)*Summary!$T$7/(1-Summary!$T$7),(T356+R356+G356)*Summary!$U$7/(1-Summary!$U$7)))</f>
        <v/>
      </c>
      <c r="W356" s="63" t="str">
        <f t="shared" si="209"/>
        <v/>
      </c>
      <c r="X356" s="63" t="str">
        <f t="shared" si="210"/>
        <v/>
      </c>
      <c r="Y356" s="43"/>
      <c r="Z356" s="38" t="str">
        <f t="shared" si="211"/>
        <v/>
      </c>
      <c r="AA356" s="38" t="str">
        <f t="shared" si="211"/>
        <v/>
      </c>
      <c r="AB356" s="38" t="e">
        <f t="shared" si="188"/>
        <v>#VALUE!</v>
      </c>
      <c r="AC356" s="38" t="str">
        <f t="shared" si="211"/>
        <v/>
      </c>
      <c r="AD356" s="38" t="str">
        <f t="shared" si="189"/>
        <v/>
      </c>
      <c r="AE356" s="38" t="e">
        <f t="shared" si="190"/>
        <v>#VALUE!</v>
      </c>
      <c r="AF356" s="238" t="e">
        <f>((Summary!$N$7*(AA356*AD356)*(A356-$D$3))+(Summary!$M$7*Z356*AC356*(DAY(EOMONTH(A356,0))/2)))/(AK356*AB356*AE356)</f>
        <v>#VALUE!</v>
      </c>
      <c r="AG356" s="88" t="str">
        <f>IF($A357="","",Summary!$Q$7)</f>
        <v/>
      </c>
      <c r="AH356" s="88" t="str">
        <f>IF($A357="","",IF(Summary!$R$7="Y",(VLOOKUP($A356,Summary!$AD$6:$AF$9,3)+'Escalating commodity'!C369),'Escalating commodity'!C369))</f>
        <v/>
      </c>
      <c r="AI356" s="88" t="str">
        <f t="shared" si="212"/>
        <v/>
      </c>
      <c r="AJ356" s="236" t="e">
        <f t="shared" si="191"/>
        <v>#VALUE!</v>
      </c>
      <c r="AK356" s="58" t="str">
        <f t="shared" si="213"/>
        <v/>
      </c>
      <c r="AL356" s="26" t="str">
        <f>IF($A357="","",_xll.SPRDOPT(P356,X356,AI356,0,AB356,AE356,AF356,AK356,$AJ$2,0))</f>
        <v/>
      </c>
      <c r="AM356" s="209" t="str">
        <f t="shared" si="192"/>
        <v/>
      </c>
      <c r="AN356" s="89" t="str">
        <f t="shared" si="214"/>
        <v/>
      </c>
      <c r="AO356" s="3" t="str">
        <f t="shared" si="215"/>
        <v/>
      </c>
      <c r="AP356" s="33" t="str">
        <f t="shared" si="216"/>
        <v/>
      </c>
      <c r="AQ356" s="58" t="str">
        <f t="shared" si="193"/>
        <v/>
      </c>
      <c r="AR356" s="38">
        <f>IF(Summary!$H$2=1,VLOOKUP('ANR OK vs ML7'!A356,Curves!$C$17:$AR$273,MATCH('ANR OK vs ML7'!$AR$4,Curves!$C$8:$AQ$8,0)),0.1)</f>
        <v>0.1</v>
      </c>
      <c r="AS356" s="35" t="str">
        <f t="shared" si="194"/>
        <v/>
      </c>
      <c r="AT356" s="3" t="str">
        <f t="shared" si="217"/>
        <v/>
      </c>
      <c r="AU356" s="3" t="str">
        <f t="shared" si="195"/>
        <v/>
      </c>
      <c r="AW356" s="32" t="str">
        <f t="shared" si="218"/>
        <v/>
      </c>
      <c r="AX356" s="32" t="str">
        <f t="shared" si="219"/>
        <v/>
      </c>
      <c r="AY356" s="32" t="str">
        <f t="shared" si="220"/>
        <v/>
      </c>
      <c r="BA356" s="32" t="str">
        <f>IF($A357="","",F356*Summary!$Q$7)</f>
        <v/>
      </c>
    </row>
    <row r="357" spans="1:53" ht="12" customHeight="1">
      <c r="A357" s="67" t="str">
        <f t="shared" si="196"/>
        <v/>
      </c>
      <c r="B357" s="69" t="str">
        <f t="shared" si="221"/>
        <v/>
      </c>
      <c r="C357" s="71"/>
      <c r="D357" s="69" t="str">
        <f t="shared" si="222"/>
        <v/>
      </c>
      <c r="E357" s="70" t="str">
        <f t="shared" si="186"/>
        <v/>
      </c>
      <c r="F357" s="70" t="str">
        <f t="shared" si="187"/>
        <v/>
      </c>
      <c r="G357" s="63" t="str">
        <f t="shared" si="197"/>
        <v/>
      </c>
      <c r="H357" s="64" t="str">
        <f t="shared" si="198"/>
        <v/>
      </c>
      <c r="I357" s="43"/>
      <c r="J357" s="63" t="str">
        <f t="shared" si="199"/>
        <v/>
      </c>
      <c r="K357" s="64" t="str">
        <f t="shared" si="200"/>
        <v/>
      </c>
      <c r="L357" s="63" t="str">
        <f t="shared" si="201"/>
        <v/>
      </c>
      <c r="M357" s="64" t="str">
        <f t="shared" si="202"/>
        <v/>
      </c>
      <c r="N357" s="65"/>
      <c r="O357" s="63" t="str">
        <f t="shared" si="203"/>
        <v/>
      </c>
      <c r="P357" s="63" t="str">
        <f t="shared" si="204"/>
        <v/>
      </c>
      <c r="Q357" s="66"/>
      <c r="R357" s="63" t="str">
        <f t="shared" si="205"/>
        <v/>
      </c>
      <c r="S357" s="64" t="str">
        <f t="shared" si="206"/>
        <v/>
      </c>
      <c r="T357" s="63" t="str">
        <f t="shared" si="207"/>
        <v/>
      </c>
      <c r="U357" s="64" t="str">
        <f t="shared" si="208"/>
        <v/>
      </c>
      <c r="V357" s="207" t="str">
        <f>IF($A358="","",IF(AND(MONTH(A357)&gt;3,MONTH(A357)&lt;11),(T357+R357+G357)*Summary!$T$7/(1-Summary!$T$7),(T357+R357+G357)*Summary!$U$7/(1-Summary!$U$7)))</f>
        <v/>
      </c>
      <c r="W357" s="63" t="str">
        <f t="shared" si="209"/>
        <v/>
      </c>
      <c r="X357" s="63" t="str">
        <f t="shared" si="210"/>
        <v/>
      </c>
      <c r="Y357" s="43"/>
      <c r="Z357" s="38" t="str">
        <f t="shared" si="211"/>
        <v/>
      </c>
      <c r="AA357" s="38" t="str">
        <f t="shared" si="211"/>
        <v/>
      </c>
      <c r="AB357" s="38" t="e">
        <f t="shared" si="188"/>
        <v>#VALUE!</v>
      </c>
      <c r="AC357" s="38" t="str">
        <f t="shared" si="211"/>
        <v/>
      </c>
      <c r="AD357" s="38" t="str">
        <f t="shared" si="189"/>
        <v/>
      </c>
      <c r="AE357" s="38" t="e">
        <f t="shared" si="190"/>
        <v>#VALUE!</v>
      </c>
      <c r="AF357" s="238" t="e">
        <f>((Summary!$N$7*(AA357*AD357)*(A357-$D$3))+(Summary!$M$7*Z357*AC357*(DAY(EOMONTH(A357,0))/2)))/(AK357*AB357*AE357)</f>
        <v>#VALUE!</v>
      </c>
      <c r="AG357" s="88" t="str">
        <f>IF($A358="","",Summary!$Q$7)</f>
        <v/>
      </c>
      <c r="AH357" s="88" t="str">
        <f>IF($A358="","",IF(Summary!$R$7="Y",(VLOOKUP($A357,Summary!$AD$6:$AF$9,3)+'Escalating commodity'!C370),'Escalating commodity'!C370))</f>
        <v/>
      </c>
      <c r="AI357" s="88" t="str">
        <f t="shared" si="212"/>
        <v/>
      </c>
      <c r="AJ357" s="236" t="e">
        <f t="shared" si="191"/>
        <v>#VALUE!</v>
      </c>
      <c r="AK357" s="58" t="str">
        <f t="shared" si="213"/>
        <v/>
      </c>
      <c r="AL357" s="26" t="str">
        <f>IF($A358="","",_xll.SPRDOPT(P357,X357,AI357,0,AB357,AE357,AF357,AK357,$AJ$2,0))</f>
        <v/>
      </c>
      <c r="AM357" s="209" t="str">
        <f t="shared" si="192"/>
        <v/>
      </c>
      <c r="AN357" s="89" t="str">
        <f t="shared" si="214"/>
        <v/>
      </c>
      <c r="AO357" s="3" t="str">
        <f t="shared" si="215"/>
        <v/>
      </c>
      <c r="AP357" s="33" t="str">
        <f t="shared" si="216"/>
        <v/>
      </c>
      <c r="AQ357" s="58" t="str">
        <f t="shared" si="193"/>
        <v/>
      </c>
      <c r="AR357" s="38">
        <f>IF(Summary!$H$2=1,VLOOKUP('ANR OK vs ML7'!A357,Curves!$C$17:$AR$273,MATCH('ANR OK vs ML7'!$AR$4,Curves!$C$8:$AQ$8,0)),0.1)</f>
        <v>0.1</v>
      </c>
      <c r="AS357" s="35" t="str">
        <f t="shared" si="194"/>
        <v/>
      </c>
      <c r="AT357" s="3" t="str">
        <f t="shared" si="217"/>
        <v/>
      </c>
      <c r="AU357" s="3" t="str">
        <f t="shared" si="195"/>
        <v/>
      </c>
      <c r="AW357" s="32" t="str">
        <f t="shared" si="218"/>
        <v/>
      </c>
      <c r="AX357" s="32" t="str">
        <f t="shared" si="219"/>
        <v/>
      </c>
      <c r="AY357" s="32" t="str">
        <f t="shared" si="220"/>
        <v/>
      </c>
      <c r="BA357" s="32" t="str">
        <f>IF($A358="","",F357*Summary!$Q$7)</f>
        <v/>
      </c>
    </row>
    <row r="358" spans="1:53" ht="12" customHeight="1">
      <c r="A358" s="67" t="str">
        <f t="shared" si="196"/>
        <v/>
      </c>
      <c r="B358" s="69" t="str">
        <f t="shared" si="221"/>
        <v/>
      </c>
      <c r="C358" s="71"/>
      <c r="D358" s="69" t="str">
        <f t="shared" si="222"/>
        <v/>
      </c>
      <c r="E358" s="70" t="str">
        <f t="shared" si="186"/>
        <v/>
      </c>
      <c r="F358" s="70" t="str">
        <f t="shared" si="187"/>
        <v/>
      </c>
      <c r="G358" s="63" t="str">
        <f t="shared" si="197"/>
        <v/>
      </c>
      <c r="H358" s="64" t="str">
        <f t="shared" si="198"/>
        <v/>
      </c>
      <c r="I358" s="43"/>
      <c r="J358" s="63" t="str">
        <f t="shared" si="199"/>
        <v/>
      </c>
      <c r="K358" s="64" t="str">
        <f t="shared" si="200"/>
        <v/>
      </c>
      <c r="L358" s="63" t="str">
        <f t="shared" si="201"/>
        <v/>
      </c>
      <c r="M358" s="64" t="str">
        <f t="shared" si="202"/>
        <v/>
      </c>
      <c r="N358" s="65"/>
      <c r="O358" s="63" t="str">
        <f t="shared" si="203"/>
        <v/>
      </c>
      <c r="P358" s="63" t="str">
        <f t="shared" si="204"/>
        <v/>
      </c>
      <c r="Q358" s="66"/>
      <c r="R358" s="63" t="str">
        <f t="shared" si="205"/>
        <v/>
      </c>
      <c r="S358" s="64" t="str">
        <f t="shared" si="206"/>
        <v/>
      </c>
      <c r="T358" s="63" t="str">
        <f t="shared" si="207"/>
        <v/>
      </c>
      <c r="U358" s="64" t="str">
        <f t="shared" si="208"/>
        <v/>
      </c>
      <c r="V358" s="207" t="str">
        <f>IF($A359="","",IF(AND(MONTH(A358)&gt;3,MONTH(A358)&lt;11),(T358+R358+G358)*Summary!$T$7/(1-Summary!$T$7),(T358+R358+G358)*Summary!$U$7/(1-Summary!$U$7)))</f>
        <v/>
      </c>
      <c r="W358" s="63" t="str">
        <f t="shared" si="209"/>
        <v/>
      </c>
      <c r="X358" s="63" t="str">
        <f t="shared" si="210"/>
        <v/>
      </c>
      <c r="Y358" s="43"/>
      <c r="Z358" s="38" t="str">
        <f t="shared" si="211"/>
        <v/>
      </c>
      <c r="AA358" s="38" t="str">
        <f t="shared" si="211"/>
        <v/>
      </c>
      <c r="AB358" s="38" t="e">
        <f t="shared" si="188"/>
        <v>#VALUE!</v>
      </c>
      <c r="AC358" s="38" t="str">
        <f t="shared" si="211"/>
        <v/>
      </c>
      <c r="AD358" s="38" t="str">
        <f t="shared" si="189"/>
        <v/>
      </c>
      <c r="AE358" s="38" t="e">
        <f t="shared" si="190"/>
        <v>#VALUE!</v>
      </c>
      <c r="AF358" s="238" t="e">
        <f>((Summary!$N$7*(AA358*AD358)*(A358-$D$3))+(Summary!$M$7*Z358*AC358*(DAY(EOMONTH(A358,0))/2)))/(AK358*AB358*AE358)</f>
        <v>#VALUE!</v>
      </c>
      <c r="AG358" s="88" t="str">
        <f>IF($A359="","",Summary!$Q$7)</f>
        <v/>
      </c>
      <c r="AH358" s="88" t="str">
        <f>IF($A359="","",IF(Summary!$R$7="Y",(VLOOKUP($A358,Summary!$AD$6:$AF$9,3)+'Escalating commodity'!C371),'Escalating commodity'!C371))</f>
        <v/>
      </c>
      <c r="AI358" s="88" t="str">
        <f t="shared" si="212"/>
        <v/>
      </c>
      <c r="AJ358" s="236" t="e">
        <f t="shared" si="191"/>
        <v>#VALUE!</v>
      </c>
      <c r="AK358" s="58" t="str">
        <f t="shared" si="213"/>
        <v/>
      </c>
      <c r="AL358" s="26" t="str">
        <f>IF($A359="","",_xll.SPRDOPT(P358,X358,AI358,0,AB358,AE358,AF358,AK358,$AJ$2,0))</f>
        <v/>
      </c>
      <c r="AM358" s="209" t="str">
        <f t="shared" si="192"/>
        <v/>
      </c>
      <c r="AN358" s="89" t="str">
        <f t="shared" si="214"/>
        <v/>
      </c>
      <c r="AO358" s="3" t="str">
        <f t="shared" si="215"/>
        <v/>
      </c>
      <c r="AP358" s="33" t="str">
        <f t="shared" si="216"/>
        <v/>
      </c>
      <c r="AQ358" s="58" t="str">
        <f t="shared" si="193"/>
        <v/>
      </c>
      <c r="AR358" s="38">
        <f>IF(Summary!$H$2=1,VLOOKUP('ANR OK vs ML7'!A358,Curves!$C$17:$AR$273,MATCH('ANR OK vs ML7'!$AR$4,Curves!$C$8:$AQ$8,0)),0.1)</f>
        <v>0.1</v>
      </c>
      <c r="AS358" s="35" t="str">
        <f t="shared" si="194"/>
        <v/>
      </c>
      <c r="AT358" s="3" t="str">
        <f t="shared" si="217"/>
        <v/>
      </c>
      <c r="AU358" s="3" t="str">
        <f t="shared" si="195"/>
        <v/>
      </c>
      <c r="AW358" s="32" t="str">
        <f t="shared" si="218"/>
        <v/>
      </c>
      <c r="AX358" s="32" t="str">
        <f t="shared" si="219"/>
        <v/>
      </c>
      <c r="AY358" s="32" t="str">
        <f t="shared" si="220"/>
        <v/>
      </c>
      <c r="BA358" s="32" t="str">
        <f>IF($A359="","",F358*Summary!$Q$7)</f>
        <v/>
      </c>
    </row>
    <row r="359" spans="1:53" ht="12" customHeight="1">
      <c r="A359" s="67" t="str">
        <f t="shared" si="196"/>
        <v/>
      </c>
      <c r="B359" s="69" t="str">
        <f t="shared" si="221"/>
        <v/>
      </c>
      <c r="C359" s="71"/>
      <c r="D359" s="69" t="str">
        <f t="shared" si="222"/>
        <v/>
      </c>
      <c r="E359" s="70" t="str">
        <f t="shared" si="186"/>
        <v/>
      </c>
      <c r="F359" s="70" t="str">
        <f t="shared" si="187"/>
        <v/>
      </c>
      <c r="G359" s="63" t="str">
        <f t="shared" si="197"/>
        <v/>
      </c>
      <c r="H359" s="64" t="str">
        <f t="shared" si="198"/>
        <v/>
      </c>
      <c r="I359" s="43"/>
      <c r="J359" s="63" t="str">
        <f t="shared" si="199"/>
        <v/>
      </c>
      <c r="K359" s="64" t="str">
        <f t="shared" si="200"/>
        <v/>
      </c>
      <c r="L359" s="63" t="str">
        <f t="shared" si="201"/>
        <v/>
      </c>
      <c r="M359" s="64" t="str">
        <f t="shared" si="202"/>
        <v/>
      </c>
      <c r="N359" s="65"/>
      <c r="O359" s="63" t="str">
        <f t="shared" si="203"/>
        <v/>
      </c>
      <c r="P359" s="63" t="str">
        <f t="shared" si="204"/>
        <v/>
      </c>
      <c r="Q359" s="66"/>
      <c r="R359" s="63" t="str">
        <f t="shared" si="205"/>
        <v/>
      </c>
      <c r="S359" s="64" t="str">
        <f t="shared" si="206"/>
        <v/>
      </c>
      <c r="T359" s="63" t="str">
        <f t="shared" si="207"/>
        <v/>
      </c>
      <c r="U359" s="64" t="str">
        <f t="shared" si="208"/>
        <v/>
      </c>
      <c r="V359" s="207" t="str">
        <f>IF($A360="","",IF(AND(MONTH(A359)&gt;3,MONTH(A359)&lt;11),(T359+R359+G359)*Summary!$T$7/(1-Summary!$T$7),(T359+R359+G359)*Summary!$U$7/(1-Summary!$U$7)))</f>
        <v/>
      </c>
      <c r="W359" s="63" t="str">
        <f t="shared" si="209"/>
        <v/>
      </c>
      <c r="X359" s="63" t="str">
        <f t="shared" si="210"/>
        <v/>
      </c>
      <c r="Y359" s="43"/>
      <c r="Z359" s="38" t="str">
        <f t="shared" si="211"/>
        <v/>
      </c>
      <c r="AA359" s="38" t="str">
        <f t="shared" si="211"/>
        <v/>
      </c>
      <c r="AB359" s="38" t="e">
        <f t="shared" si="188"/>
        <v>#VALUE!</v>
      </c>
      <c r="AC359" s="38" t="str">
        <f t="shared" si="211"/>
        <v/>
      </c>
      <c r="AD359" s="38" t="str">
        <f t="shared" si="189"/>
        <v/>
      </c>
      <c r="AE359" s="38" t="e">
        <f t="shared" si="190"/>
        <v>#VALUE!</v>
      </c>
      <c r="AF359" s="238" t="e">
        <f>((Summary!$N$7*(AA359*AD359)*(A359-$D$3))+(Summary!$M$7*Z359*AC359*(DAY(EOMONTH(A359,0))/2)))/(AK359*AB359*AE359)</f>
        <v>#VALUE!</v>
      </c>
      <c r="AG359" s="88" t="str">
        <f>IF($A360="","",Summary!$Q$7)</f>
        <v/>
      </c>
      <c r="AH359" s="88" t="str">
        <f>IF($A360="","",IF(Summary!$R$7="Y",(VLOOKUP($A359,Summary!$AD$6:$AF$9,3)+'Escalating commodity'!C372),'Escalating commodity'!C372))</f>
        <v/>
      </c>
      <c r="AI359" s="88" t="str">
        <f t="shared" si="212"/>
        <v/>
      </c>
      <c r="AJ359" s="236" t="e">
        <f t="shared" si="191"/>
        <v>#VALUE!</v>
      </c>
      <c r="AK359" s="58" t="str">
        <f t="shared" si="213"/>
        <v/>
      </c>
      <c r="AL359" s="26" t="str">
        <f>IF($A360="","",_xll.SPRDOPT(P359,X359,AI359,0,AB359,AE359,AF359,AK359,$AJ$2,0))</f>
        <v/>
      </c>
      <c r="AM359" s="209" t="str">
        <f t="shared" si="192"/>
        <v/>
      </c>
      <c r="AN359" s="89" t="str">
        <f t="shared" si="214"/>
        <v/>
      </c>
      <c r="AO359" s="3" t="str">
        <f t="shared" si="215"/>
        <v/>
      </c>
      <c r="AP359" s="33" t="str">
        <f t="shared" si="216"/>
        <v/>
      </c>
      <c r="AQ359" s="58" t="str">
        <f t="shared" si="193"/>
        <v/>
      </c>
      <c r="AR359" s="38">
        <f>IF(Summary!$H$2=1,VLOOKUP('ANR OK vs ML7'!A359,Curves!$C$17:$AR$273,MATCH('ANR OK vs ML7'!$AR$4,Curves!$C$8:$AQ$8,0)),0.1)</f>
        <v>0.1</v>
      </c>
      <c r="AS359" s="35" t="str">
        <f t="shared" si="194"/>
        <v/>
      </c>
      <c r="AT359" s="3" t="str">
        <f t="shared" si="217"/>
        <v/>
      </c>
      <c r="AU359" s="3" t="str">
        <f t="shared" si="195"/>
        <v/>
      </c>
      <c r="AW359" s="32" t="str">
        <f t="shared" si="218"/>
        <v/>
      </c>
      <c r="AX359" s="32" t="str">
        <f t="shared" si="219"/>
        <v/>
      </c>
      <c r="AY359" s="32" t="str">
        <f t="shared" si="220"/>
        <v/>
      </c>
      <c r="BA359" s="32" t="str">
        <f>IF($A360="","",F359*Summary!$Q$7)</f>
        <v/>
      </c>
    </row>
    <row r="360" spans="1:53" ht="12" customHeight="1">
      <c r="A360" s="67" t="str">
        <f t="shared" si="196"/>
        <v/>
      </c>
      <c r="B360" s="69" t="str">
        <f t="shared" si="221"/>
        <v/>
      </c>
      <c r="C360" s="71"/>
      <c r="D360" s="69" t="str">
        <f t="shared" si="222"/>
        <v/>
      </c>
      <c r="E360" s="70" t="str">
        <f t="shared" si="186"/>
        <v/>
      </c>
      <c r="F360" s="70" t="str">
        <f t="shared" si="187"/>
        <v/>
      </c>
      <c r="G360" s="63" t="str">
        <f t="shared" si="197"/>
        <v/>
      </c>
      <c r="H360" s="64" t="str">
        <f t="shared" si="198"/>
        <v/>
      </c>
      <c r="I360" s="43"/>
      <c r="J360" s="63" t="str">
        <f t="shared" si="199"/>
        <v/>
      </c>
      <c r="K360" s="64" t="str">
        <f t="shared" si="200"/>
        <v/>
      </c>
      <c r="L360" s="63" t="str">
        <f t="shared" si="201"/>
        <v/>
      </c>
      <c r="M360" s="64" t="str">
        <f t="shared" si="202"/>
        <v/>
      </c>
      <c r="N360" s="65"/>
      <c r="O360" s="63" t="str">
        <f t="shared" si="203"/>
        <v/>
      </c>
      <c r="P360" s="63" t="str">
        <f t="shared" si="204"/>
        <v/>
      </c>
      <c r="Q360" s="66"/>
      <c r="R360" s="63" t="str">
        <f t="shared" si="205"/>
        <v/>
      </c>
      <c r="S360" s="64" t="str">
        <f t="shared" si="206"/>
        <v/>
      </c>
      <c r="T360" s="63" t="str">
        <f t="shared" si="207"/>
        <v/>
      </c>
      <c r="U360" s="64" t="str">
        <f t="shared" si="208"/>
        <v/>
      </c>
      <c r="V360" s="207" t="str">
        <f>IF($A361="","",IF(AND(MONTH(A360)&gt;3,MONTH(A360)&lt;11),(T360+R360+G360)*Summary!$T$7/(1-Summary!$T$7),(T360+R360+G360)*Summary!$U$7/(1-Summary!$U$7)))</f>
        <v/>
      </c>
      <c r="W360" s="63" t="str">
        <f t="shared" si="209"/>
        <v/>
      </c>
      <c r="X360" s="63" t="str">
        <f t="shared" si="210"/>
        <v/>
      </c>
      <c r="Y360" s="43"/>
      <c r="Z360" s="38" t="str">
        <f t="shared" si="211"/>
        <v/>
      </c>
      <c r="AA360" s="38" t="str">
        <f t="shared" si="211"/>
        <v/>
      </c>
      <c r="AB360" s="38" t="e">
        <f t="shared" si="188"/>
        <v>#VALUE!</v>
      </c>
      <c r="AC360" s="38" t="str">
        <f t="shared" si="211"/>
        <v/>
      </c>
      <c r="AD360" s="38" t="str">
        <f t="shared" si="189"/>
        <v/>
      </c>
      <c r="AE360" s="38" t="e">
        <f t="shared" si="190"/>
        <v>#VALUE!</v>
      </c>
      <c r="AF360" s="238" t="e">
        <f>((Summary!$N$7*(AA360*AD360)*(A360-$D$3))+(Summary!$M$7*Z360*AC360*(DAY(EOMONTH(A360,0))/2)))/(AK360*AB360*AE360)</f>
        <v>#VALUE!</v>
      </c>
      <c r="AG360" s="88" t="str">
        <f>IF($A361="","",Summary!$Q$7)</f>
        <v/>
      </c>
      <c r="AH360" s="88" t="str">
        <f>IF($A361="","",IF(Summary!$R$7="Y",(VLOOKUP($A360,Summary!$AD$6:$AF$9,3)+'Escalating commodity'!C373),'Escalating commodity'!C373))</f>
        <v/>
      </c>
      <c r="AI360" s="88" t="str">
        <f t="shared" si="212"/>
        <v/>
      </c>
      <c r="AJ360" s="236" t="e">
        <f t="shared" si="191"/>
        <v>#VALUE!</v>
      </c>
      <c r="AK360" s="58" t="str">
        <f t="shared" si="213"/>
        <v/>
      </c>
      <c r="AL360" s="26" t="str">
        <f>IF($A361="","",_xll.SPRDOPT(P360,X360,AI360,0,AB360,AE360,AF360,AK360,$AJ$2,0))</f>
        <v/>
      </c>
      <c r="AM360" s="209" t="str">
        <f t="shared" si="192"/>
        <v/>
      </c>
      <c r="AN360" s="89" t="str">
        <f t="shared" si="214"/>
        <v/>
      </c>
      <c r="AO360" s="3" t="str">
        <f t="shared" si="215"/>
        <v/>
      </c>
      <c r="AP360" s="33" t="str">
        <f t="shared" si="216"/>
        <v/>
      </c>
      <c r="AQ360" s="58" t="str">
        <f t="shared" si="193"/>
        <v/>
      </c>
      <c r="AR360" s="38">
        <f>IF(Summary!$H$2=1,VLOOKUP('ANR OK vs ML7'!A360,Curves!$C$17:$AR$273,MATCH('ANR OK vs ML7'!$AR$4,Curves!$C$8:$AQ$8,0)),0.1)</f>
        <v>0.1</v>
      </c>
      <c r="AS360" s="35" t="str">
        <f t="shared" si="194"/>
        <v/>
      </c>
      <c r="AT360" s="3" t="str">
        <f t="shared" si="217"/>
        <v/>
      </c>
      <c r="AU360" s="3" t="str">
        <f t="shared" si="195"/>
        <v/>
      </c>
      <c r="AW360" s="32" t="str">
        <f t="shared" si="218"/>
        <v/>
      </c>
      <c r="AX360" s="32" t="str">
        <f t="shared" si="219"/>
        <v/>
      </c>
      <c r="AY360" s="32" t="str">
        <f t="shared" si="220"/>
        <v/>
      </c>
      <c r="BA360" s="32" t="str">
        <f>IF($A361="","",F360*Summary!$Q$7)</f>
        <v/>
      </c>
    </row>
    <row r="361" spans="1:53" ht="12" customHeight="1">
      <c r="A361" s="67" t="str">
        <f t="shared" si="196"/>
        <v/>
      </c>
      <c r="B361" s="69" t="str">
        <f t="shared" si="221"/>
        <v/>
      </c>
      <c r="C361" s="71"/>
      <c r="D361" s="69" t="str">
        <f t="shared" si="222"/>
        <v/>
      </c>
      <c r="E361" s="70" t="str">
        <f t="shared" si="186"/>
        <v/>
      </c>
      <c r="F361" s="70" t="str">
        <f t="shared" si="187"/>
        <v/>
      </c>
      <c r="G361" s="63" t="str">
        <f t="shared" si="197"/>
        <v/>
      </c>
      <c r="H361" s="64" t="str">
        <f t="shared" si="198"/>
        <v/>
      </c>
      <c r="I361" s="43"/>
      <c r="J361" s="63" t="str">
        <f t="shared" si="199"/>
        <v/>
      </c>
      <c r="K361" s="64" t="str">
        <f t="shared" si="200"/>
        <v/>
      </c>
      <c r="L361" s="63" t="str">
        <f t="shared" si="201"/>
        <v/>
      </c>
      <c r="M361" s="64" t="str">
        <f t="shared" si="202"/>
        <v/>
      </c>
      <c r="N361" s="65"/>
      <c r="O361" s="63" t="str">
        <f t="shared" si="203"/>
        <v/>
      </c>
      <c r="P361" s="63" t="str">
        <f t="shared" si="204"/>
        <v/>
      </c>
      <c r="Q361" s="66"/>
      <c r="R361" s="63" t="str">
        <f t="shared" si="205"/>
        <v/>
      </c>
      <c r="S361" s="64" t="str">
        <f t="shared" si="206"/>
        <v/>
      </c>
      <c r="T361" s="63" t="str">
        <f t="shared" si="207"/>
        <v/>
      </c>
      <c r="U361" s="64" t="str">
        <f t="shared" si="208"/>
        <v/>
      </c>
      <c r="V361" s="207" t="str">
        <f>IF($A362="","",IF(AND(MONTH(A361)&gt;3,MONTH(A361)&lt;11),(T361+R361+G361)*Summary!$T$7/(1-Summary!$T$7),(T361+R361+G361)*Summary!$U$7/(1-Summary!$U$7)))</f>
        <v/>
      </c>
      <c r="W361" s="63" t="str">
        <f t="shared" si="209"/>
        <v/>
      </c>
      <c r="X361" s="63" t="str">
        <f t="shared" si="210"/>
        <v/>
      </c>
      <c r="Y361" s="43"/>
      <c r="Z361" s="38" t="str">
        <f t="shared" si="211"/>
        <v/>
      </c>
      <c r="AA361" s="38" t="str">
        <f t="shared" si="211"/>
        <v/>
      </c>
      <c r="AB361" s="38" t="e">
        <f t="shared" si="188"/>
        <v>#VALUE!</v>
      </c>
      <c r="AC361" s="38" t="str">
        <f t="shared" si="211"/>
        <v/>
      </c>
      <c r="AD361" s="38" t="str">
        <f t="shared" si="189"/>
        <v/>
      </c>
      <c r="AE361" s="38" t="e">
        <f t="shared" si="190"/>
        <v>#VALUE!</v>
      </c>
      <c r="AF361" s="238" t="e">
        <f>((Summary!$N$7*(AA361*AD361)*(A361-$D$3))+(Summary!$M$7*Z361*AC361*(DAY(EOMONTH(A361,0))/2)))/(AK361*AB361*AE361)</f>
        <v>#VALUE!</v>
      </c>
      <c r="AG361" s="88" t="str">
        <f>IF($A362="","",Summary!$Q$7)</f>
        <v/>
      </c>
      <c r="AH361" s="88" t="str">
        <f>IF($A362="","",IF(Summary!$R$7="Y",(VLOOKUP($A361,Summary!$AD$6:$AF$9,3)+'Escalating commodity'!C374),'Escalating commodity'!C374))</f>
        <v/>
      </c>
      <c r="AI361" s="88" t="str">
        <f t="shared" si="212"/>
        <v/>
      </c>
      <c r="AJ361" s="236" t="e">
        <f t="shared" si="191"/>
        <v>#VALUE!</v>
      </c>
      <c r="AK361" s="58" t="str">
        <f t="shared" si="213"/>
        <v/>
      </c>
      <c r="AL361" s="26" t="str">
        <f>IF($A362="","",_xll.SPRDOPT(P361,X361,AI361,0,AB361,AE361,AF361,AK361,$AJ$2,0))</f>
        <v/>
      </c>
      <c r="AM361" s="209" t="str">
        <f t="shared" si="192"/>
        <v/>
      </c>
      <c r="AN361" s="89" t="str">
        <f t="shared" si="214"/>
        <v/>
      </c>
      <c r="AO361" s="3" t="str">
        <f t="shared" si="215"/>
        <v/>
      </c>
      <c r="AP361" s="33" t="str">
        <f t="shared" si="216"/>
        <v/>
      </c>
      <c r="AQ361" s="58" t="str">
        <f t="shared" si="193"/>
        <v/>
      </c>
      <c r="AR361" s="38">
        <f>IF(Summary!$H$2=1,VLOOKUP('ANR OK vs ML7'!A361,Curves!$C$17:$AR$273,MATCH('ANR OK vs ML7'!$AR$4,Curves!$C$8:$AQ$8,0)),0.1)</f>
        <v>0.1</v>
      </c>
      <c r="AS361" s="35" t="str">
        <f t="shared" si="194"/>
        <v/>
      </c>
      <c r="AT361" s="3" t="str">
        <f t="shared" si="217"/>
        <v/>
      </c>
      <c r="AU361" s="3" t="str">
        <f t="shared" si="195"/>
        <v/>
      </c>
      <c r="AW361" s="32" t="str">
        <f t="shared" si="218"/>
        <v/>
      </c>
      <c r="AX361" s="32" t="str">
        <f t="shared" si="219"/>
        <v/>
      </c>
      <c r="AY361" s="32" t="str">
        <f t="shared" si="220"/>
        <v/>
      </c>
      <c r="BA361" s="32" t="str">
        <f>IF($A362="","",F361*Summary!$Q$7)</f>
        <v/>
      </c>
    </row>
    <row r="362" spans="1:53" ht="12" customHeight="1">
      <c r="A362" s="67" t="str">
        <f t="shared" si="196"/>
        <v/>
      </c>
      <c r="B362" s="69" t="str">
        <f t="shared" si="221"/>
        <v/>
      </c>
      <c r="C362" s="71"/>
      <c r="D362" s="69" t="str">
        <f t="shared" si="222"/>
        <v/>
      </c>
      <c r="E362" s="70" t="str">
        <f t="shared" si="186"/>
        <v/>
      </c>
      <c r="F362" s="70" t="str">
        <f t="shared" si="187"/>
        <v/>
      </c>
      <c r="G362" s="63" t="str">
        <f t="shared" si="197"/>
        <v/>
      </c>
      <c r="H362" s="64" t="str">
        <f t="shared" si="198"/>
        <v/>
      </c>
      <c r="I362" s="43"/>
      <c r="J362" s="63" t="str">
        <f t="shared" si="199"/>
        <v/>
      </c>
      <c r="K362" s="64" t="str">
        <f t="shared" si="200"/>
        <v/>
      </c>
      <c r="L362" s="63" t="str">
        <f t="shared" si="201"/>
        <v/>
      </c>
      <c r="M362" s="64" t="str">
        <f t="shared" si="202"/>
        <v/>
      </c>
      <c r="N362" s="65"/>
      <c r="O362" s="63" t="str">
        <f t="shared" si="203"/>
        <v/>
      </c>
      <c r="P362" s="63" t="str">
        <f t="shared" si="204"/>
        <v/>
      </c>
      <c r="Q362" s="66"/>
      <c r="R362" s="63" t="str">
        <f t="shared" si="205"/>
        <v/>
      </c>
      <c r="S362" s="64" t="str">
        <f t="shared" si="206"/>
        <v/>
      </c>
      <c r="T362" s="63" t="str">
        <f t="shared" si="207"/>
        <v/>
      </c>
      <c r="U362" s="64" t="str">
        <f t="shared" si="208"/>
        <v/>
      </c>
      <c r="V362" s="207" t="str">
        <f>IF($A363="","",IF(AND(MONTH(A362)&gt;3,MONTH(A362)&lt;11),(T362+R362+G362)*Summary!$T$7/(1-Summary!$T$7),(T362+R362+G362)*Summary!$U$7/(1-Summary!$U$7)))</f>
        <v/>
      </c>
      <c r="W362" s="63" t="str">
        <f t="shared" si="209"/>
        <v/>
      </c>
      <c r="X362" s="63" t="str">
        <f t="shared" si="210"/>
        <v/>
      </c>
      <c r="Y362" s="43"/>
      <c r="Z362" s="38" t="str">
        <f t="shared" si="211"/>
        <v/>
      </c>
      <c r="AA362" s="38" t="str">
        <f t="shared" si="211"/>
        <v/>
      </c>
      <c r="AB362" s="38" t="e">
        <f t="shared" si="188"/>
        <v>#VALUE!</v>
      </c>
      <c r="AC362" s="38" t="str">
        <f t="shared" si="211"/>
        <v/>
      </c>
      <c r="AD362" s="38" t="str">
        <f t="shared" si="189"/>
        <v/>
      </c>
      <c r="AE362" s="38" t="e">
        <f t="shared" si="190"/>
        <v>#VALUE!</v>
      </c>
      <c r="AF362" s="238" t="e">
        <f>((Summary!$N$7*(AA362*AD362)*(A362-$D$3))+(Summary!$M$7*Z362*AC362*(DAY(EOMONTH(A362,0))/2)))/(AK362*AB362*AE362)</f>
        <v>#VALUE!</v>
      </c>
      <c r="AG362" s="88" t="str">
        <f>IF($A363="","",Summary!$Q$7)</f>
        <v/>
      </c>
      <c r="AH362" s="88" t="str">
        <f>IF($A363="","",IF(Summary!$R$7="Y",(VLOOKUP($A362,Summary!$AD$6:$AF$9,3)+'Escalating commodity'!C375),'Escalating commodity'!C375))</f>
        <v/>
      </c>
      <c r="AI362" s="88" t="str">
        <f t="shared" si="212"/>
        <v/>
      </c>
      <c r="AJ362" s="236" t="e">
        <f t="shared" si="191"/>
        <v>#VALUE!</v>
      </c>
      <c r="AK362" s="58" t="str">
        <f t="shared" si="213"/>
        <v/>
      </c>
      <c r="AL362" s="26" t="str">
        <f>IF($A363="","",_xll.SPRDOPT(P362,X362,AI362,0,AB362,AE362,AF362,AK362,$AJ$2,0))</f>
        <v/>
      </c>
      <c r="AM362" s="209" t="str">
        <f t="shared" si="192"/>
        <v/>
      </c>
      <c r="AN362" s="89" t="str">
        <f t="shared" si="214"/>
        <v/>
      </c>
      <c r="AO362" s="3" t="str">
        <f t="shared" si="215"/>
        <v/>
      </c>
      <c r="AP362" s="33" t="str">
        <f t="shared" si="216"/>
        <v/>
      </c>
      <c r="AQ362" s="58" t="str">
        <f t="shared" si="193"/>
        <v/>
      </c>
      <c r="AR362" s="38">
        <f>IF(Summary!$H$2=1,VLOOKUP('ANR OK vs ML7'!A362,Curves!$C$17:$AR$273,MATCH('ANR OK vs ML7'!$AR$4,Curves!$C$8:$AQ$8,0)),0.1)</f>
        <v>0.1</v>
      </c>
      <c r="AS362" s="35" t="str">
        <f t="shared" si="194"/>
        <v/>
      </c>
      <c r="AT362" s="3" t="str">
        <f t="shared" si="217"/>
        <v/>
      </c>
      <c r="AU362" s="3" t="str">
        <f t="shared" si="195"/>
        <v/>
      </c>
      <c r="AW362" s="32" t="str">
        <f t="shared" si="218"/>
        <v/>
      </c>
      <c r="AX362" s="32" t="str">
        <f t="shared" si="219"/>
        <v/>
      </c>
      <c r="AY362" s="32" t="str">
        <f t="shared" si="220"/>
        <v/>
      </c>
      <c r="BA362" s="32" t="str">
        <f>IF($A363="","",F362*Summary!$Q$7)</f>
        <v/>
      </c>
    </row>
    <row r="363" spans="1:53" ht="12" customHeight="1">
      <c r="A363" s="67" t="str">
        <f t="shared" si="196"/>
        <v/>
      </c>
      <c r="B363" s="69" t="str">
        <f t="shared" si="221"/>
        <v/>
      </c>
      <c r="C363" s="71"/>
      <c r="D363" s="69" t="str">
        <f t="shared" si="222"/>
        <v/>
      </c>
      <c r="E363" s="70" t="str">
        <f t="shared" si="186"/>
        <v/>
      </c>
      <c r="F363" s="70" t="str">
        <f t="shared" si="187"/>
        <v/>
      </c>
      <c r="G363" s="63" t="str">
        <f t="shared" si="197"/>
        <v/>
      </c>
      <c r="H363" s="64" t="str">
        <f t="shared" si="198"/>
        <v/>
      </c>
      <c r="I363" s="43"/>
      <c r="J363" s="63" t="str">
        <f t="shared" si="199"/>
        <v/>
      </c>
      <c r="K363" s="64" t="str">
        <f t="shared" si="200"/>
        <v/>
      </c>
      <c r="L363" s="63" t="str">
        <f t="shared" si="201"/>
        <v/>
      </c>
      <c r="M363" s="64" t="str">
        <f t="shared" si="202"/>
        <v/>
      </c>
      <c r="N363" s="65"/>
      <c r="O363" s="63" t="str">
        <f t="shared" si="203"/>
        <v/>
      </c>
      <c r="P363" s="63" t="str">
        <f t="shared" si="204"/>
        <v/>
      </c>
      <c r="Q363" s="66"/>
      <c r="R363" s="63" t="str">
        <f t="shared" si="205"/>
        <v/>
      </c>
      <c r="S363" s="64" t="str">
        <f t="shared" si="206"/>
        <v/>
      </c>
      <c r="T363" s="63" t="str">
        <f t="shared" si="207"/>
        <v/>
      </c>
      <c r="U363" s="64" t="str">
        <f t="shared" si="208"/>
        <v/>
      </c>
      <c r="V363" s="207" t="str">
        <f>IF($A364="","",IF(AND(MONTH(A363)&gt;3,MONTH(A363)&lt;11),(T363+R363+G363)*Summary!$T$7/(1-Summary!$T$7),(T363+R363+G363)*Summary!$U$7/(1-Summary!$U$7)))</f>
        <v/>
      </c>
      <c r="W363" s="63" t="str">
        <f t="shared" si="209"/>
        <v/>
      </c>
      <c r="X363" s="63" t="str">
        <f t="shared" si="210"/>
        <v/>
      </c>
      <c r="Y363" s="43"/>
      <c r="Z363" s="38" t="str">
        <f t="shared" si="211"/>
        <v/>
      </c>
      <c r="AA363" s="38" t="str">
        <f t="shared" si="211"/>
        <v/>
      </c>
      <c r="AB363" s="38" t="e">
        <f t="shared" si="188"/>
        <v>#VALUE!</v>
      </c>
      <c r="AC363" s="38" t="str">
        <f t="shared" si="211"/>
        <v/>
      </c>
      <c r="AD363" s="38" t="str">
        <f t="shared" si="189"/>
        <v/>
      </c>
      <c r="AE363" s="38" t="e">
        <f t="shared" si="190"/>
        <v>#VALUE!</v>
      </c>
      <c r="AF363" s="238" t="e">
        <f>((Summary!$N$7*(AA363*AD363)*(A363-$D$3))+(Summary!$M$7*Z363*AC363*(DAY(EOMONTH(A363,0))/2)))/(AK363*AB363*AE363)</f>
        <v>#VALUE!</v>
      </c>
      <c r="AG363" s="88" t="str">
        <f>IF($A364="","",Summary!$Q$7)</f>
        <v/>
      </c>
      <c r="AH363" s="88" t="str">
        <f>IF($A364="","",IF(Summary!$R$7="Y",(VLOOKUP($A363,Summary!$AD$6:$AF$9,3)+'Escalating commodity'!C376),'Escalating commodity'!C376))</f>
        <v/>
      </c>
      <c r="AI363" s="88" t="str">
        <f t="shared" si="212"/>
        <v/>
      </c>
      <c r="AJ363" s="236" t="e">
        <f t="shared" si="191"/>
        <v>#VALUE!</v>
      </c>
      <c r="AK363" s="58" t="str">
        <f t="shared" si="213"/>
        <v/>
      </c>
      <c r="AL363" s="26" t="str">
        <f>IF($A364="","",_xll.SPRDOPT(P363,X363,AI363,0,AB363,AE363,AF363,AK363,$AJ$2,0))</f>
        <v/>
      </c>
      <c r="AM363" s="209" t="str">
        <f t="shared" si="192"/>
        <v/>
      </c>
      <c r="AN363" s="89" t="str">
        <f t="shared" si="214"/>
        <v/>
      </c>
      <c r="AO363" s="3" t="str">
        <f t="shared" si="215"/>
        <v/>
      </c>
      <c r="AP363" s="33" t="str">
        <f t="shared" si="216"/>
        <v/>
      </c>
      <c r="AQ363" s="58" t="str">
        <f t="shared" si="193"/>
        <v/>
      </c>
      <c r="AR363" s="38">
        <f>IF(Summary!$H$2=1,VLOOKUP('ANR OK vs ML7'!A363,Curves!$C$17:$AR$273,MATCH('ANR OK vs ML7'!$AR$4,Curves!$C$8:$AQ$8,0)),0.1)</f>
        <v>0.1</v>
      </c>
      <c r="AS363" s="35" t="str">
        <f t="shared" si="194"/>
        <v/>
      </c>
      <c r="AT363" s="3" t="str">
        <f t="shared" si="217"/>
        <v/>
      </c>
      <c r="AU363" s="3" t="str">
        <f t="shared" si="195"/>
        <v/>
      </c>
      <c r="AW363" s="32" t="str">
        <f t="shared" si="218"/>
        <v/>
      </c>
      <c r="AX363" s="32" t="str">
        <f t="shared" si="219"/>
        <v/>
      </c>
      <c r="AY363" s="32" t="str">
        <f t="shared" si="220"/>
        <v/>
      </c>
      <c r="BA363" s="32" t="str">
        <f>IF($A364="","",F363*Summary!$Q$7)</f>
        <v/>
      </c>
    </row>
    <row r="364" spans="1:53" ht="12" customHeight="1">
      <c r="A364" s="67" t="str">
        <f t="shared" si="196"/>
        <v/>
      </c>
      <c r="B364" s="69" t="str">
        <f t="shared" si="221"/>
        <v/>
      </c>
      <c r="C364" s="71"/>
      <c r="D364" s="69" t="str">
        <f t="shared" si="222"/>
        <v/>
      </c>
      <c r="E364" s="70" t="str">
        <f t="shared" si="186"/>
        <v/>
      </c>
      <c r="F364" s="70" t="str">
        <f t="shared" si="187"/>
        <v/>
      </c>
      <c r="G364" s="63" t="str">
        <f t="shared" si="197"/>
        <v/>
      </c>
      <c r="H364" s="64" t="str">
        <f t="shared" si="198"/>
        <v/>
      </c>
      <c r="I364" s="43"/>
      <c r="J364" s="63" t="str">
        <f t="shared" si="199"/>
        <v/>
      </c>
      <c r="K364" s="64" t="str">
        <f t="shared" si="200"/>
        <v/>
      </c>
      <c r="L364" s="63" t="str">
        <f t="shared" si="201"/>
        <v/>
      </c>
      <c r="M364" s="64" t="str">
        <f t="shared" si="202"/>
        <v/>
      </c>
      <c r="N364" s="65"/>
      <c r="O364" s="63" t="str">
        <f t="shared" si="203"/>
        <v/>
      </c>
      <c r="P364" s="63" t="str">
        <f t="shared" si="204"/>
        <v/>
      </c>
      <c r="Q364" s="66"/>
      <c r="R364" s="63" t="str">
        <f t="shared" si="205"/>
        <v/>
      </c>
      <c r="S364" s="64" t="str">
        <f t="shared" si="206"/>
        <v/>
      </c>
      <c r="T364" s="63" t="str">
        <f t="shared" si="207"/>
        <v/>
      </c>
      <c r="U364" s="64" t="str">
        <f t="shared" si="208"/>
        <v/>
      </c>
      <c r="V364" s="207" t="str">
        <f>IF($A365="","",IF(AND(MONTH(A364)&gt;3,MONTH(A364)&lt;11),(T364+R364+G364)*Summary!$T$7/(1-Summary!$T$7),(T364+R364+G364)*Summary!$U$7/(1-Summary!$U$7)))</f>
        <v/>
      </c>
      <c r="W364" s="63" t="str">
        <f t="shared" si="209"/>
        <v/>
      </c>
      <c r="X364" s="63" t="str">
        <f t="shared" si="210"/>
        <v/>
      </c>
      <c r="Y364" s="43"/>
      <c r="Z364" s="38" t="str">
        <f t="shared" si="211"/>
        <v/>
      </c>
      <c r="AA364" s="38" t="str">
        <f t="shared" si="211"/>
        <v/>
      </c>
      <c r="AB364" s="38" t="e">
        <f t="shared" si="188"/>
        <v>#VALUE!</v>
      </c>
      <c r="AC364" s="38" t="str">
        <f t="shared" si="211"/>
        <v/>
      </c>
      <c r="AD364" s="38" t="str">
        <f t="shared" si="189"/>
        <v/>
      </c>
      <c r="AE364" s="38" t="e">
        <f t="shared" si="190"/>
        <v>#VALUE!</v>
      </c>
      <c r="AF364" s="238" t="e">
        <f>((Summary!$N$7*(AA364*AD364)*(A364-$D$3))+(Summary!$M$7*Z364*AC364*(DAY(EOMONTH(A364,0))/2)))/(AK364*AB364*AE364)</f>
        <v>#VALUE!</v>
      </c>
      <c r="AG364" s="88" t="str">
        <f>IF($A365="","",Summary!$Q$7)</f>
        <v/>
      </c>
      <c r="AH364" s="88" t="str">
        <f>IF($A365="","",IF(Summary!$R$7="Y",(VLOOKUP($A364,Summary!$AD$6:$AF$9,3)+'Escalating commodity'!C377),'Escalating commodity'!C377))</f>
        <v/>
      </c>
      <c r="AI364" s="88" t="str">
        <f t="shared" si="212"/>
        <v/>
      </c>
      <c r="AJ364" s="236" t="e">
        <f t="shared" si="191"/>
        <v>#VALUE!</v>
      </c>
      <c r="AK364" s="58" t="str">
        <f t="shared" si="213"/>
        <v/>
      </c>
      <c r="AL364" s="26" t="str">
        <f>IF($A365="","",_xll.SPRDOPT(P364,X364,AI364,0,AB364,AE364,AF364,AK364,$AJ$2,0))</f>
        <v/>
      </c>
      <c r="AM364" s="209" t="str">
        <f t="shared" si="192"/>
        <v/>
      </c>
      <c r="AN364" s="89" t="str">
        <f t="shared" si="214"/>
        <v/>
      </c>
      <c r="AO364" s="3" t="str">
        <f t="shared" si="215"/>
        <v/>
      </c>
      <c r="AP364" s="33" t="str">
        <f t="shared" si="216"/>
        <v/>
      </c>
      <c r="AQ364" s="58" t="str">
        <f t="shared" si="193"/>
        <v/>
      </c>
      <c r="AR364" s="38">
        <f>IF(Summary!$H$2=1,VLOOKUP('ANR OK vs ML7'!A364,Curves!$C$17:$AR$273,MATCH('ANR OK vs ML7'!$AR$4,Curves!$C$8:$AQ$8,0)),0.1)</f>
        <v>0.1</v>
      </c>
      <c r="AS364" s="35" t="str">
        <f t="shared" si="194"/>
        <v/>
      </c>
      <c r="AT364" s="3" t="str">
        <f t="shared" si="217"/>
        <v/>
      </c>
      <c r="AU364" s="3" t="str">
        <f t="shared" si="195"/>
        <v/>
      </c>
      <c r="AW364" s="32" t="str">
        <f t="shared" si="218"/>
        <v/>
      </c>
      <c r="AX364" s="32" t="str">
        <f t="shared" si="219"/>
        <v/>
      </c>
      <c r="AY364" s="32" t="str">
        <f t="shared" si="220"/>
        <v/>
      </c>
      <c r="BA364" s="32" t="str">
        <f>IF($A365="","",F364*Summary!$Q$7)</f>
        <v/>
      </c>
    </row>
    <row r="365" spans="1:53" ht="12" customHeight="1">
      <c r="A365" s="67" t="str">
        <f t="shared" si="196"/>
        <v/>
      </c>
      <c r="B365" s="69" t="str">
        <f t="shared" si="221"/>
        <v/>
      </c>
      <c r="C365" s="71"/>
      <c r="D365" s="69" t="str">
        <f t="shared" si="222"/>
        <v/>
      </c>
      <c r="E365" s="70" t="str">
        <f t="shared" si="186"/>
        <v/>
      </c>
      <c r="F365" s="70" t="str">
        <f t="shared" si="187"/>
        <v/>
      </c>
      <c r="G365" s="63" t="str">
        <f t="shared" si="197"/>
        <v/>
      </c>
      <c r="H365" s="64" t="str">
        <f t="shared" si="198"/>
        <v/>
      </c>
      <c r="I365" s="43"/>
      <c r="J365" s="63" t="str">
        <f t="shared" si="199"/>
        <v/>
      </c>
      <c r="K365" s="64" t="str">
        <f t="shared" si="200"/>
        <v/>
      </c>
      <c r="L365" s="63" t="str">
        <f t="shared" si="201"/>
        <v/>
      </c>
      <c r="M365" s="64" t="str">
        <f t="shared" si="202"/>
        <v/>
      </c>
      <c r="N365" s="65"/>
      <c r="O365" s="63" t="str">
        <f t="shared" si="203"/>
        <v/>
      </c>
      <c r="P365" s="63" t="str">
        <f t="shared" si="204"/>
        <v/>
      </c>
      <c r="Q365" s="66"/>
      <c r="R365" s="63" t="str">
        <f t="shared" si="205"/>
        <v/>
      </c>
      <c r="S365" s="64" t="str">
        <f t="shared" si="206"/>
        <v/>
      </c>
      <c r="T365" s="63" t="str">
        <f t="shared" si="207"/>
        <v/>
      </c>
      <c r="U365" s="64" t="str">
        <f t="shared" si="208"/>
        <v/>
      </c>
      <c r="V365" s="207" t="str">
        <f>IF($A366="","",IF(AND(MONTH(A365)&gt;3,MONTH(A365)&lt;11),(T365+R365+G365)*Summary!$T$7/(1-Summary!$T$7),(T365+R365+G365)*Summary!$U$7/(1-Summary!$U$7)))</f>
        <v/>
      </c>
      <c r="W365" s="63" t="str">
        <f t="shared" si="209"/>
        <v/>
      </c>
      <c r="X365" s="63" t="str">
        <f t="shared" si="210"/>
        <v/>
      </c>
      <c r="Y365" s="43"/>
      <c r="Z365" s="38" t="str">
        <f t="shared" si="211"/>
        <v/>
      </c>
      <c r="AA365" s="38" t="str">
        <f t="shared" si="211"/>
        <v/>
      </c>
      <c r="AB365" s="38" t="e">
        <f t="shared" si="188"/>
        <v>#VALUE!</v>
      </c>
      <c r="AC365" s="38" t="str">
        <f t="shared" si="211"/>
        <v/>
      </c>
      <c r="AD365" s="38" t="str">
        <f t="shared" si="189"/>
        <v/>
      </c>
      <c r="AE365" s="38" t="e">
        <f t="shared" si="190"/>
        <v>#VALUE!</v>
      </c>
      <c r="AF365" s="238" t="e">
        <f>((Summary!$N$7*(AA365*AD365)*(A365-$D$3))+(Summary!$M$7*Z365*AC365*(DAY(EOMONTH(A365,0))/2)))/(AK365*AB365*AE365)</f>
        <v>#VALUE!</v>
      </c>
      <c r="AG365" s="88" t="str">
        <f>IF($A366="","",Summary!$Q$7)</f>
        <v/>
      </c>
      <c r="AH365" s="88" t="str">
        <f>IF($A366="","",IF(Summary!$R$7="Y",(VLOOKUP($A365,Summary!$AD$6:$AF$9,3)+'Escalating commodity'!C378),'Escalating commodity'!C378))</f>
        <v/>
      </c>
      <c r="AI365" s="88" t="str">
        <f t="shared" si="212"/>
        <v/>
      </c>
      <c r="AJ365" s="236" t="e">
        <f t="shared" si="191"/>
        <v>#VALUE!</v>
      </c>
      <c r="AK365" s="58" t="str">
        <f t="shared" si="213"/>
        <v/>
      </c>
      <c r="AL365" s="26" t="str">
        <f>IF($A366="","",_xll.SPRDOPT(P365,X365,AI365,0,AB365,AE365,AF365,AK365,$AJ$2,0))</f>
        <v/>
      </c>
      <c r="AM365" s="209" t="str">
        <f t="shared" si="192"/>
        <v/>
      </c>
      <c r="AN365" s="89" t="str">
        <f t="shared" si="214"/>
        <v/>
      </c>
      <c r="AO365" s="3" t="str">
        <f t="shared" si="215"/>
        <v/>
      </c>
      <c r="AP365" s="33" t="str">
        <f t="shared" si="216"/>
        <v/>
      </c>
      <c r="AQ365" s="58" t="str">
        <f t="shared" si="193"/>
        <v/>
      </c>
      <c r="AR365" s="38">
        <f>IF(Summary!$H$2=1,VLOOKUP('ANR OK vs ML7'!A365,Curves!$C$17:$AR$273,MATCH('ANR OK vs ML7'!$AR$4,Curves!$C$8:$AQ$8,0)),0.1)</f>
        <v>0.1</v>
      </c>
      <c r="AS365" s="35" t="str">
        <f t="shared" si="194"/>
        <v/>
      </c>
      <c r="AT365" s="3" t="str">
        <f t="shared" si="217"/>
        <v/>
      </c>
      <c r="AU365" s="3" t="str">
        <f t="shared" si="195"/>
        <v/>
      </c>
      <c r="AW365" s="32" t="str">
        <f t="shared" si="218"/>
        <v/>
      </c>
      <c r="AX365" s="32" t="str">
        <f t="shared" si="219"/>
        <v/>
      </c>
      <c r="AY365" s="32" t="str">
        <f t="shared" si="220"/>
        <v/>
      </c>
      <c r="BA365" s="32" t="str">
        <f>IF($A366="","",F365*Summary!$Q$7)</f>
        <v/>
      </c>
    </row>
    <row r="366" spans="1:53" ht="12" customHeight="1">
      <c r="A366" s="67" t="str">
        <f t="shared" si="196"/>
        <v/>
      </c>
      <c r="B366" s="69" t="str">
        <f t="shared" si="221"/>
        <v/>
      </c>
      <c r="C366" s="71"/>
      <c r="D366" s="69" t="str">
        <f t="shared" si="222"/>
        <v/>
      </c>
      <c r="E366" s="70" t="str">
        <f t="shared" si="186"/>
        <v/>
      </c>
      <c r="F366" s="70" t="str">
        <f t="shared" si="187"/>
        <v/>
      </c>
      <c r="G366" s="63" t="str">
        <f t="shared" si="197"/>
        <v/>
      </c>
      <c r="H366" s="64" t="str">
        <f t="shared" si="198"/>
        <v/>
      </c>
      <c r="I366" s="43"/>
      <c r="J366" s="63" t="str">
        <f t="shared" si="199"/>
        <v/>
      </c>
      <c r="K366" s="64" t="str">
        <f t="shared" si="200"/>
        <v/>
      </c>
      <c r="L366" s="63" t="str">
        <f t="shared" si="201"/>
        <v/>
      </c>
      <c r="M366" s="64" t="str">
        <f t="shared" si="202"/>
        <v/>
      </c>
      <c r="N366" s="65"/>
      <c r="O366" s="63" t="str">
        <f t="shared" si="203"/>
        <v/>
      </c>
      <c r="P366" s="63" t="str">
        <f t="shared" si="204"/>
        <v/>
      </c>
      <c r="Q366" s="66"/>
      <c r="R366" s="63" t="str">
        <f t="shared" si="205"/>
        <v/>
      </c>
      <c r="S366" s="64" t="str">
        <f t="shared" si="206"/>
        <v/>
      </c>
      <c r="T366" s="63" t="str">
        <f t="shared" si="207"/>
        <v/>
      </c>
      <c r="U366" s="64" t="str">
        <f t="shared" si="208"/>
        <v/>
      </c>
      <c r="V366" s="207" t="str">
        <f>IF($A367="","",IF(AND(MONTH(A366)&gt;3,MONTH(A366)&lt;11),(T366+R366+G366)*Summary!$T$7/(1-Summary!$T$7),(T366+R366+G366)*Summary!$U$7/(1-Summary!$U$7)))</f>
        <v/>
      </c>
      <c r="W366" s="63" t="str">
        <f t="shared" si="209"/>
        <v/>
      </c>
      <c r="X366" s="63" t="str">
        <f t="shared" si="210"/>
        <v/>
      </c>
      <c r="Y366" s="43"/>
      <c r="Z366" s="38" t="str">
        <f t="shared" si="211"/>
        <v/>
      </c>
      <c r="AA366" s="38" t="str">
        <f t="shared" si="211"/>
        <v/>
      </c>
      <c r="AB366" s="38" t="e">
        <f t="shared" si="188"/>
        <v>#VALUE!</v>
      </c>
      <c r="AC366" s="38" t="str">
        <f t="shared" si="211"/>
        <v/>
      </c>
      <c r="AD366" s="38" t="str">
        <f t="shared" si="189"/>
        <v/>
      </c>
      <c r="AE366" s="38" t="e">
        <f t="shared" si="190"/>
        <v>#VALUE!</v>
      </c>
      <c r="AF366" s="238" t="e">
        <f>((Summary!$N$7*(AA366*AD366)*(A366-$D$3))+(Summary!$M$7*Z366*AC366*(DAY(EOMONTH(A366,0))/2)))/(AK366*AB366*AE366)</f>
        <v>#VALUE!</v>
      </c>
      <c r="AG366" s="88" t="str">
        <f>IF($A367="","",Summary!$Q$7)</f>
        <v/>
      </c>
      <c r="AH366" s="88" t="str">
        <f>IF($A367="","",IF(Summary!$R$7="Y",(VLOOKUP($A366,Summary!$AD$6:$AF$9,3)+'Escalating commodity'!C379),'Escalating commodity'!C379))</f>
        <v/>
      </c>
      <c r="AI366" s="88" t="str">
        <f t="shared" si="212"/>
        <v/>
      </c>
      <c r="AJ366" s="236" t="e">
        <f t="shared" si="191"/>
        <v>#VALUE!</v>
      </c>
      <c r="AK366" s="58" t="str">
        <f t="shared" si="213"/>
        <v/>
      </c>
      <c r="AL366" s="26" t="str">
        <f>IF($A367="","",_xll.SPRDOPT(P366,X366,AI366,0,AB366,AE366,AF366,AK366,$AJ$2,0))</f>
        <v/>
      </c>
      <c r="AM366" s="209" t="str">
        <f t="shared" si="192"/>
        <v/>
      </c>
      <c r="AN366" s="89" t="str">
        <f t="shared" si="214"/>
        <v/>
      </c>
      <c r="AO366" s="3" t="str">
        <f t="shared" si="215"/>
        <v/>
      </c>
      <c r="AP366" s="33" t="str">
        <f t="shared" si="216"/>
        <v/>
      </c>
      <c r="AQ366" s="58" t="str">
        <f t="shared" si="193"/>
        <v/>
      </c>
      <c r="AR366" s="38">
        <f>IF(Summary!$H$2=1,VLOOKUP('ANR OK vs ML7'!A366,Curves!$C$17:$AR$273,MATCH('ANR OK vs ML7'!$AR$4,Curves!$C$8:$AQ$8,0)),0.1)</f>
        <v>0.1</v>
      </c>
      <c r="AS366" s="35" t="str">
        <f t="shared" si="194"/>
        <v/>
      </c>
      <c r="AT366" s="3" t="str">
        <f t="shared" si="217"/>
        <v/>
      </c>
      <c r="AU366" s="3" t="str">
        <f t="shared" si="195"/>
        <v/>
      </c>
      <c r="AW366" s="32" t="str">
        <f t="shared" si="218"/>
        <v/>
      </c>
      <c r="AX366" s="32" t="str">
        <f t="shared" si="219"/>
        <v/>
      </c>
      <c r="AY366" s="32" t="str">
        <f t="shared" si="220"/>
        <v/>
      </c>
      <c r="BA366" s="32" t="str">
        <f>IF($A367="","",F366*Summary!$Q$7)</f>
        <v/>
      </c>
    </row>
    <row r="367" spans="1:53" ht="12" customHeight="1">
      <c r="A367" s="67" t="str">
        <f t="shared" si="196"/>
        <v/>
      </c>
      <c r="B367" s="69" t="str">
        <f t="shared" si="221"/>
        <v/>
      </c>
      <c r="C367" s="71"/>
      <c r="D367" s="69" t="str">
        <f t="shared" si="222"/>
        <v/>
      </c>
      <c r="E367" s="70" t="str">
        <f t="shared" si="186"/>
        <v/>
      </c>
      <c r="F367" s="70" t="str">
        <f t="shared" si="187"/>
        <v/>
      </c>
      <c r="G367" s="63" t="str">
        <f t="shared" si="197"/>
        <v/>
      </c>
      <c r="H367" s="64" t="str">
        <f t="shared" si="198"/>
        <v/>
      </c>
      <c r="I367" s="43"/>
      <c r="J367" s="63" t="str">
        <f t="shared" si="199"/>
        <v/>
      </c>
      <c r="K367" s="64" t="str">
        <f t="shared" si="200"/>
        <v/>
      </c>
      <c r="L367" s="63" t="str">
        <f t="shared" si="201"/>
        <v/>
      </c>
      <c r="M367" s="64" t="str">
        <f t="shared" si="202"/>
        <v/>
      </c>
      <c r="N367" s="65"/>
      <c r="O367" s="63" t="str">
        <f t="shared" si="203"/>
        <v/>
      </c>
      <c r="P367" s="63" t="str">
        <f t="shared" si="204"/>
        <v/>
      </c>
      <c r="Q367" s="66"/>
      <c r="R367" s="63" t="str">
        <f t="shared" si="205"/>
        <v/>
      </c>
      <c r="S367" s="64" t="str">
        <f t="shared" si="206"/>
        <v/>
      </c>
      <c r="T367" s="63" t="str">
        <f t="shared" si="207"/>
        <v/>
      </c>
      <c r="U367" s="64" t="str">
        <f t="shared" si="208"/>
        <v/>
      </c>
      <c r="V367" s="207" t="str">
        <f>IF($A368="","",IF(AND(MONTH(A367)&gt;3,MONTH(A367)&lt;11),(T367+R367+G367)*Summary!$T$7/(1-Summary!$T$7),(T367+R367+G367)*Summary!$U$7/(1-Summary!$U$7)))</f>
        <v/>
      </c>
      <c r="W367" s="63" t="str">
        <f t="shared" si="209"/>
        <v/>
      </c>
      <c r="X367" s="63" t="str">
        <f t="shared" si="210"/>
        <v/>
      </c>
      <c r="Y367" s="43"/>
      <c r="Z367" s="38" t="str">
        <f t="shared" si="211"/>
        <v/>
      </c>
      <c r="AA367" s="38" t="str">
        <f t="shared" si="211"/>
        <v/>
      </c>
      <c r="AB367" s="38" t="e">
        <f t="shared" si="188"/>
        <v>#VALUE!</v>
      </c>
      <c r="AC367" s="38" t="str">
        <f t="shared" si="211"/>
        <v/>
      </c>
      <c r="AD367" s="38" t="str">
        <f t="shared" si="189"/>
        <v/>
      </c>
      <c r="AE367" s="38" t="e">
        <f t="shared" si="190"/>
        <v>#VALUE!</v>
      </c>
      <c r="AF367" s="238" t="e">
        <f>((Summary!$N$7*(AA367*AD367)*(A367-$D$3))+(Summary!$M$7*Z367*AC367*(DAY(EOMONTH(A367,0))/2)))/(AK367*AB367*AE367)</f>
        <v>#VALUE!</v>
      </c>
      <c r="AG367" s="88" t="str">
        <f>IF($A368="","",Summary!$Q$7)</f>
        <v/>
      </c>
      <c r="AH367" s="88" t="str">
        <f>IF($A368="","",IF(Summary!$R$7="Y",(VLOOKUP($A367,Summary!$AD$6:$AF$9,3)+'Escalating commodity'!C380),'Escalating commodity'!C380))</f>
        <v/>
      </c>
      <c r="AI367" s="88" t="str">
        <f t="shared" si="212"/>
        <v/>
      </c>
      <c r="AJ367" s="236" t="e">
        <f t="shared" si="191"/>
        <v>#VALUE!</v>
      </c>
      <c r="AK367" s="58" t="str">
        <f t="shared" si="213"/>
        <v/>
      </c>
      <c r="AL367" s="26" t="str">
        <f>IF($A368="","",_xll.SPRDOPT(P367,X367,AI367,0,AB367,AE367,AF367,AK367,$AJ$2,0))</f>
        <v/>
      </c>
      <c r="AM367" s="209" t="str">
        <f t="shared" si="192"/>
        <v/>
      </c>
      <c r="AN367" s="89" t="str">
        <f t="shared" si="214"/>
        <v/>
      </c>
      <c r="AO367" s="3" t="str">
        <f t="shared" si="215"/>
        <v/>
      </c>
      <c r="AP367" s="33" t="str">
        <f t="shared" si="216"/>
        <v/>
      </c>
      <c r="AQ367" s="58" t="str">
        <f t="shared" si="193"/>
        <v/>
      </c>
      <c r="AR367" s="38">
        <f>IF(Summary!$H$2=1,VLOOKUP('ANR OK vs ML7'!A367,Curves!$C$17:$AR$273,MATCH('ANR OK vs ML7'!$AR$4,Curves!$C$8:$AQ$8,0)),0.1)</f>
        <v>0.1</v>
      </c>
      <c r="AS367" s="35" t="str">
        <f t="shared" si="194"/>
        <v/>
      </c>
      <c r="AT367" s="3" t="str">
        <f t="shared" si="217"/>
        <v/>
      </c>
      <c r="AU367" s="3" t="str">
        <f t="shared" si="195"/>
        <v/>
      </c>
      <c r="AW367" s="32" t="str">
        <f t="shared" si="218"/>
        <v/>
      </c>
      <c r="AX367" s="32" t="str">
        <f t="shared" si="219"/>
        <v/>
      </c>
      <c r="AY367" s="32" t="str">
        <f t="shared" si="220"/>
        <v/>
      </c>
      <c r="BA367" s="32" t="str">
        <f>IF($A368="","",F367*Summary!$Q$7)</f>
        <v/>
      </c>
    </row>
    <row r="368" spans="1:53" ht="12" customHeight="1">
      <c r="A368" s="67" t="str">
        <f t="shared" si="196"/>
        <v/>
      </c>
      <c r="B368" s="69" t="str">
        <f t="shared" si="221"/>
        <v/>
      </c>
      <c r="C368" s="71"/>
      <c r="D368" s="69" t="str">
        <f t="shared" si="222"/>
        <v/>
      </c>
      <c r="E368" s="70" t="str">
        <f t="shared" si="186"/>
        <v/>
      </c>
      <c r="F368" s="70" t="str">
        <f t="shared" si="187"/>
        <v/>
      </c>
      <c r="G368" s="63" t="str">
        <f t="shared" si="197"/>
        <v/>
      </c>
      <c r="H368" s="64" t="str">
        <f t="shared" si="198"/>
        <v/>
      </c>
      <c r="I368" s="43"/>
      <c r="J368" s="63" t="str">
        <f t="shared" si="199"/>
        <v/>
      </c>
      <c r="K368" s="64" t="str">
        <f t="shared" si="200"/>
        <v/>
      </c>
      <c r="L368" s="63" t="str">
        <f t="shared" si="201"/>
        <v/>
      </c>
      <c r="M368" s="64" t="str">
        <f t="shared" si="202"/>
        <v/>
      </c>
      <c r="N368" s="65"/>
      <c r="O368" s="63" t="str">
        <f t="shared" si="203"/>
        <v/>
      </c>
      <c r="P368" s="63" t="str">
        <f t="shared" si="204"/>
        <v/>
      </c>
      <c r="Q368" s="66"/>
      <c r="R368" s="63" t="str">
        <f t="shared" si="205"/>
        <v/>
      </c>
      <c r="S368" s="64" t="str">
        <f t="shared" si="206"/>
        <v/>
      </c>
      <c r="T368" s="63" t="str">
        <f t="shared" si="207"/>
        <v/>
      </c>
      <c r="U368" s="64" t="str">
        <f t="shared" si="208"/>
        <v/>
      </c>
      <c r="V368" s="207" t="str">
        <f>IF($A369="","",IF(AND(MONTH(A368)&gt;3,MONTH(A368)&lt;11),(T368+R368+G368)*Summary!$T$7/(1-Summary!$T$7),(T368+R368+G368)*Summary!$U$7/(1-Summary!$U$7)))</f>
        <v/>
      </c>
      <c r="W368" s="63" t="str">
        <f t="shared" si="209"/>
        <v/>
      </c>
      <c r="X368" s="63" t="str">
        <f t="shared" si="210"/>
        <v/>
      </c>
      <c r="Y368" s="43"/>
      <c r="Z368" s="38" t="str">
        <f t="shared" si="211"/>
        <v/>
      </c>
      <c r="AA368" s="38" t="str">
        <f t="shared" si="211"/>
        <v/>
      </c>
      <c r="AB368" s="38" t="e">
        <f t="shared" si="188"/>
        <v>#VALUE!</v>
      </c>
      <c r="AC368" s="38" t="str">
        <f t="shared" si="211"/>
        <v/>
      </c>
      <c r="AD368" s="38" t="str">
        <f t="shared" si="189"/>
        <v/>
      </c>
      <c r="AE368" s="38" t="e">
        <f t="shared" si="190"/>
        <v>#VALUE!</v>
      </c>
      <c r="AF368" s="238" t="e">
        <f>((Summary!$N$7*(AA368*AD368)*(A368-$D$3))+(Summary!$M$7*Z368*AC368*(DAY(EOMONTH(A368,0))/2)))/(AK368*AB368*AE368)</f>
        <v>#VALUE!</v>
      </c>
      <c r="AG368" s="88" t="str">
        <f>IF($A369="","",Summary!$Q$7)</f>
        <v/>
      </c>
      <c r="AH368" s="88" t="str">
        <f>IF($A369="","",IF(Summary!$R$7="Y",(VLOOKUP($A368,Summary!$AD$6:$AF$9,3)+'Escalating commodity'!C381),'Escalating commodity'!C381))</f>
        <v/>
      </c>
      <c r="AI368" s="88" t="str">
        <f t="shared" si="212"/>
        <v/>
      </c>
      <c r="AJ368" s="236" t="e">
        <f t="shared" si="191"/>
        <v>#VALUE!</v>
      </c>
      <c r="AK368" s="58" t="str">
        <f t="shared" si="213"/>
        <v/>
      </c>
      <c r="AL368" s="26" t="str">
        <f>IF($A369="","",_xll.SPRDOPT(P368,X368,AI368,0,AB368,AE368,AF368,AK368,$AJ$2,0))</f>
        <v/>
      </c>
      <c r="AM368" s="209" t="str">
        <f t="shared" si="192"/>
        <v/>
      </c>
      <c r="AN368" s="89" t="str">
        <f t="shared" si="214"/>
        <v/>
      </c>
      <c r="AO368" s="3" t="str">
        <f t="shared" si="215"/>
        <v/>
      </c>
      <c r="AP368" s="33" t="str">
        <f t="shared" si="216"/>
        <v/>
      </c>
      <c r="AQ368" s="58" t="str">
        <f t="shared" si="193"/>
        <v/>
      </c>
      <c r="AR368" s="38">
        <f>IF(Summary!$H$2=1,VLOOKUP('ANR OK vs ML7'!A368,Curves!$C$17:$AR$273,MATCH('ANR OK vs ML7'!$AR$4,Curves!$C$8:$AQ$8,0)),0.1)</f>
        <v>0.1</v>
      </c>
      <c r="AS368" s="35" t="str">
        <f t="shared" si="194"/>
        <v/>
      </c>
      <c r="AT368" s="3" t="str">
        <f t="shared" si="217"/>
        <v/>
      </c>
      <c r="AU368" s="3" t="str">
        <f t="shared" si="195"/>
        <v/>
      </c>
      <c r="AW368" s="32" t="str">
        <f t="shared" si="218"/>
        <v/>
      </c>
      <c r="AX368" s="32" t="str">
        <f t="shared" si="219"/>
        <v/>
      </c>
      <c r="AY368" s="32" t="str">
        <f t="shared" si="220"/>
        <v/>
      </c>
      <c r="BA368" s="32" t="str">
        <f>IF($A369="","",F368*Summary!$Q$7)</f>
        <v/>
      </c>
    </row>
    <row r="369" spans="1:53" ht="12" customHeight="1">
      <c r="A369" s="67" t="str">
        <f t="shared" si="196"/>
        <v/>
      </c>
      <c r="B369" s="69" t="str">
        <f t="shared" si="221"/>
        <v/>
      </c>
      <c r="C369" s="71"/>
      <c r="D369" s="69" t="str">
        <f t="shared" si="222"/>
        <v/>
      </c>
      <c r="E369" s="70" t="str">
        <f t="shared" si="186"/>
        <v/>
      </c>
      <c r="F369" s="70" t="str">
        <f t="shared" si="187"/>
        <v/>
      </c>
      <c r="G369" s="63" t="str">
        <f t="shared" si="197"/>
        <v/>
      </c>
      <c r="H369" s="64" t="str">
        <f t="shared" si="198"/>
        <v/>
      </c>
      <c r="I369" s="43"/>
      <c r="J369" s="63" t="str">
        <f t="shared" si="199"/>
        <v/>
      </c>
      <c r="K369" s="64" t="str">
        <f t="shared" si="200"/>
        <v/>
      </c>
      <c r="L369" s="63" t="str">
        <f t="shared" si="201"/>
        <v/>
      </c>
      <c r="M369" s="64" t="str">
        <f t="shared" si="202"/>
        <v/>
      </c>
      <c r="N369" s="65"/>
      <c r="O369" s="63" t="str">
        <f t="shared" si="203"/>
        <v/>
      </c>
      <c r="P369" s="63" t="str">
        <f t="shared" si="204"/>
        <v/>
      </c>
      <c r="Q369" s="66"/>
      <c r="R369" s="63" t="str">
        <f t="shared" si="205"/>
        <v/>
      </c>
      <c r="S369" s="64" t="str">
        <f t="shared" si="206"/>
        <v/>
      </c>
      <c r="T369" s="63" t="str">
        <f t="shared" si="207"/>
        <v/>
      </c>
      <c r="U369" s="64" t="str">
        <f t="shared" si="208"/>
        <v/>
      </c>
      <c r="V369" s="207" t="str">
        <f>IF($A370="","",IF(AND(MONTH(A369)&gt;3,MONTH(A369)&lt;11),(T369+R369+G369)*Summary!$T$7/(1-Summary!$T$7),(T369+R369+G369)*Summary!$U$7/(1-Summary!$U$7)))</f>
        <v/>
      </c>
      <c r="W369" s="63" t="str">
        <f t="shared" si="209"/>
        <v/>
      </c>
      <c r="X369" s="63" t="str">
        <f t="shared" si="210"/>
        <v/>
      </c>
      <c r="Y369" s="43"/>
      <c r="Z369" s="38" t="str">
        <f t="shared" si="211"/>
        <v/>
      </c>
      <c r="AA369" s="38" t="str">
        <f t="shared" si="211"/>
        <v/>
      </c>
      <c r="AB369" s="38" t="e">
        <f t="shared" si="188"/>
        <v>#VALUE!</v>
      </c>
      <c r="AC369" s="38" t="str">
        <f t="shared" si="211"/>
        <v/>
      </c>
      <c r="AD369" s="38" t="str">
        <f t="shared" si="189"/>
        <v/>
      </c>
      <c r="AE369" s="38" t="e">
        <f t="shared" si="190"/>
        <v>#VALUE!</v>
      </c>
      <c r="AF369" s="238" t="e">
        <f>((Summary!$N$7*(AA369*AD369)*(A369-$D$3))+(Summary!$M$7*Z369*AC369*(DAY(EOMONTH(A369,0))/2)))/(AK369*AB369*AE369)</f>
        <v>#VALUE!</v>
      </c>
      <c r="AG369" s="88" t="str">
        <f>IF($A370="","",Summary!$Q$7)</f>
        <v/>
      </c>
      <c r="AH369" s="88" t="str">
        <f>IF($A370="","",IF(Summary!$R$7="Y",(VLOOKUP($A369,Summary!$AD$6:$AF$9,3)+'Escalating commodity'!C382),'Escalating commodity'!C382))</f>
        <v/>
      </c>
      <c r="AI369" s="88" t="str">
        <f t="shared" si="212"/>
        <v/>
      </c>
      <c r="AJ369" s="236" t="e">
        <f t="shared" si="191"/>
        <v>#VALUE!</v>
      </c>
      <c r="AK369" s="58" t="str">
        <f t="shared" si="213"/>
        <v/>
      </c>
      <c r="AL369" s="26" t="str">
        <f>IF($A370="","",_xll.SPRDOPT(P369,X369,AI369,0,AB369,AE369,AF369,AK369,$AJ$2,0))</f>
        <v/>
      </c>
      <c r="AM369" s="209" t="str">
        <f t="shared" si="192"/>
        <v/>
      </c>
      <c r="AN369" s="89" t="str">
        <f t="shared" si="214"/>
        <v/>
      </c>
      <c r="AO369" s="3" t="str">
        <f t="shared" si="215"/>
        <v/>
      </c>
      <c r="AP369" s="33" t="str">
        <f t="shared" si="216"/>
        <v/>
      </c>
      <c r="AQ369" s="58" t="str">
        <f t="shared" si="193"/>
        <v/>
      </c>
      <c r="AR369" s="38">
        <f>IF(Summary!$H$2=1,VLOOKUP('ANR OK vs ML7'!A369,Curves!$C$17:$AR$273,MATCH('ANR OK vs ML7'!$AR$4,Curves!$C$8:$AQ$8,0)),0.1)</f>
        <v>0.1</v>
      </c>
      <c r="AS369" s="35" t="str">
        <f t="shared" si="194"/>
        <v/>
      </c>
      <c r="AT369" s="3" t="str">
        <f t="shared" si="217"/>
        <v/>
      </c>
      <c r="AU369" s="3" t="str">
        <f t="shared" si="195"/>
        <v/>
      </c>
      <c r="AW369" s="32" t="str">
        <f t="shared" si="218"/>
        <v/>
      </c>
      <c r="AX369" s="32" t="str">
        <f t="shared" si="219"/>
        <v/>
      </c>
      <c r="AY369" s="32" t="str">
        <f t="shared" si="220"/>
        <v/>
      </c>
      <c r="BA369" s="32" t="str">
        <f>IF($A370="","",F369*Summary!$Q$7)</f>
        <v/>
      </c>
    </row>
    <row r="370" spans="1:53">
      <c r="A370" s="67" t="str">
        <f t="shared" si="196"/>
        <v/>
      </c>
      <c r="B370" s="69" t="str">
        <f t="shared" si="221"/>
        <v/>
      </c>
      <c r="C370" s="72"/>
      <c r="D370" s="69" t="str">
        <f t="shared" si="222"/>
        <v/>
      </c>
      <c r="E370" s="70" t="str">
        <f t="shared" si="186"/>
        <v/>
      </c>
      <c r="F370" s="70" t="str">
        <f t="shared" si="187"/>
        <v/>
      </c>
      <c r="G370" s="63" t="str">
        <f t="shared" si="197"/>
        <v/>
      </c>
      <c r="H370" s="64" t="str">
        <f t="shared" si="198"/>
        <v/>
      </c>
      <c r="J370" s="63" t="str">
        <f t="shared" si="199"/>
        <v/>
      </c>
      <c r="K370" s="64" t="str">
        <f t="shared" si="200"/>
        <v/>
      </c>
      <c r="L370" s="63" t="str">
        <f t="shared" si="201"/>
        <v/>
      </c>
      <c r="M370" s="64" t="str">
        <f t="shared" si="202"/>
        <v/>
      </c>
      <c r="O370" s="63" t="str">
        <f t="shared" si="203"/>
        <v/>
      </c>
      <c r="P370" s="63" t="str">
        <f t="shared" si="204"/>
        <v/>
      </c>
      <c r="R370" s="63" t="str">
        <f t="shared" si="205"/>
        <v/>
      </c>
      <c r="S370" s="64" t="str">
        <f t="shared" si="206"/>
        <v/>
      </c>
      <c r="T370" s="63" t="str">
        <f t="shared" si="207"/>
        <v/>
      </c>
      <c r="U370" s="64" t="str">
        <f t="shared" si="208"/>
        <v/>
      </c>
      <c r="V370" s="207" t="str">
        <f>IF($A371="","",IF(AND(MONTH(A370)&gt;3,MONTH(A370)&lt;11),(T370+R370+G370)*Summary!$T$7/(1-Summary!$T$7),(T370+R370+G370)*Summary!$U$7/(1-Summary!$U$7)))</f>
        <v/>
      </c>
      <c r="W370" s="63" t="str">
        <f t="shared" si="209"/>
        <v/>
      </c>
      <c r="X370" s="63" t="str">
        <f t="shared" si="210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5"/>
        <v/>
      </c>
      <c r="AP370" s="33" t="str">
        <f t="shared" si="216"/>
        <v/>
      </c>
      <c r="AQ370" s="58" t="str">
        <f t="shared" si="193"/>
        <v/>
      </c>
      <c r="AR370" s="38">
        <f>IF(Summary!$H$2=1,VLOOKUP('ANR OK vs ML7'!A370,Curves!$C$17:$AR$273,MATCH('ANR OK vs ML7'!$AR$4,Curves!$C$8:$AQ$8,0)),0.1)</f>
        <v>0.1</v>
      </c>
      <c r="AS370" s="35" t="str">
        <f t="shared" si="194"/>
        <v/>
      </c>
      <c r="AT370" s="3" t="str">
        <f t="shared" si="217"/>
        <v/>
      </c>
      <c r="AU370" s="3" t="str">
        <f t="shared" si="195"/>
        <v/>
      </c>
      <c r="AW370" s="32" t="str">
        <f t="shared" si="218"/>
        <v/>
      </c>
      <c r="AX370" s="32" t="str">
        <f t="shared" si="219"/>
        <v/>
      </c>
      <c r="AY370" s="32" t="str">
        <f t="shared" si="220"/>
        <v/>
      </c>
      <c r="BA370" s="32" t="str">
        <f>IF($A371="","",F370*Summary!$Q$7)</f>
        <v/>
      </c>
    </row>
    <row r="371" spans="1:53">
      <c r="A371" s="67" t="str">
        <f t="shared" si="196"/>
        <v/>
      </c>
      <c r="B371" s="69" t="str">
        <f t="shared" si="221"/>
        <v/>
      </c>
      <c r="D371" s="69" t="str">
        <f t="shared" si="222"/>
        <v/>
      </c>
      <c r="E371" s="70" t="str">
        <f t="shared" si="186"/>
        <v/>
      </c>
      <c r="F371" s="70" t="str">
        <f t="shared" si="187"/>
        <v/>
      </c>
      <c r="G371" s="63" t="str">
        <f t="shared" si="197"/>
        <v/>
      </c>
      <c r="H371" s="64" t="str">
        <f t="shared" si="198"/>
        <v/>
      </c>
      <c r="J371" s="63" t="str">
        <f t="shared" si="199"/>
        <v/>
      </c>
      <c r="K371" s="64" t="str">
        <f t="shared" si="200"/>
        <v/>
      </c>
      <c r="L371" s="63" t="str">
        <f t="shared" si="201"/>
        <v/>
      </c>
      <c r="M371" s="64" t="str">
        <f t="shared" si="202"/>
        <v/>
      </c>
      <c r="O371" s="63" t="str">
        <f t="shared" si="203"/>
        <v/>
      </c>
      <c r="P371" s="63" t="str">
        <f t="shared" si="204"/>
        <v/>
      </c>
      <c r="R371" s="63" t="str">
        <f t="shared" si="205"/>
        <v/>
      </c>
      <c r="S371" s="64" t="str">
        <f t="shared" si="206"/>
        <v/>
      </c>
      <c r="T371" s="63" t="str">
        <f t="shared" si="207"/>
        <v/>
      </c>
      <c r="U371" s="64" t="str">
        <f t="shared" si="208"/>
        <v/>
      </c>
      <c r="V371" s="207" t="str">
        <f>IF($A372="","",IF(AND(MONTH(A371)&gt;3,MONTH(A371)&lt;11),(T371+R371+G371)*Summary!$T$7/(1-Summary!$T$7),(T371+R371+G371)*Summary!$U$7/(1-Summary!$U$7)))</f>
        <v/>
      </c>
      <c r="W371" s="63" t="str">
        <f t="shared" si="209"/>
        <v/>
      </c>
      <c r="X371" s="63" t="str">
        <f t="shared" si="210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5"/>
        <v/>
      </c>
      <c r="AP371" s="33" t="str">
        <f t="shared" si="216"/>
        <v/>
      </c>
      <c r="AQ371" s="58" t="str">
        <f t="shared" si="193"/>
        <v/>
      </c>
      <c r="AR371" s="38">
        <f>IF(Summary!$H$2=1,VLOOKUP('ANR OK vs ML7'!A371,Curves!$C$17:$AR$273,MATCH('ANR OK vs ML7'!$AR$4,Curves!$C$8:$AQ$8,0)),0.1)</f>
        <v>0.1</v>
      </c>
      <c r="AS371" s="35" t="str">
        <f t="shared" si="194"/>
        <v/>
      </c>
      <c r="AT371" s="3" t="str">
        <f t="shared" si="217"/>
        <v/>
      </c>
      <c r="AU371" s="3" t="str">
        <f t="shared" si="195"/>
        <v/>
      </c>
      <c r="AW371" s="32" t="str">
        <f t="shared" si="218"/>
        <v/>
      </c>
      <c r="AX371" s="32" t="str">
        <f t="shared" si="219"/>
        <v/>
      </c>
      <c r="AY371" s="32" t="str">
        <f t="shared" si="220"/>
        <v/>
      </c>
      <c r="BA371" s="32" t="str">
        <f>IF($A372="","",F371*Summary!$Q$7)</f>
        <v/>
      </c>
    </row>
    <row r="372" spans="1:53">
      <c r="A372" s="67" t="str">
        <f t="shared" si="196"/>
        <v/>
      </c>
      <c r="B372" s="69" t="str">
        <f t="shared" si="221"/>
        <v/>
      </c>
      <c r="D372" s="69" t="str">
        <f t="shared" si="222"/>
        <v/>
      </c>
      <c r="E372" s="70" t="str">
        <f t="shared" si="186"/>
        <v/>
      </c>
      <c r="F372" s="70" t="str">
        <f t="shared" si="187"/>
        <v/>
      </c>
      <c r="G372" s="63" t="str">
        <f t="shared" si="197"/>
        <v/>
      </c>
      <c r="H372" s="64" t="str">
        <f t="shared" si="198"/>
        <v/>
      </c>
      <c r="J372" s="63" t="str">
        <f t="shared" si="199"/>
        <v/>
      </c>
      <c r="K372" s="64" t="str">
        <f t="shared" si="200"/>
        <v/>
      </c>
      <c r="L372" s="63" t="str">
        <f t="shared" si="201"/>
        <v/>
      </c>
      <c r="M372" s="64" t="str">
        <f t="shared" si="202"/>
        <v/>
      </c>
      <c r="O372" s="63" t="str">
        <f t="shared" si="203"/>
        <v/>
      </c>
      <c r="P372" s="63" t="str">
        <f t="shared" si="204"/>
        <v/>
      </c>
      <c r="R372" s="63" t="str">
        <f t="shared" si="205"/>
        <v/>
      </c>
      <c r="S372" s="64" t="str">
        <f t="shared" si="206"/>
        <v/>
      </c>
      <c r="T372" s="63" t="str">
        <f t="shared" si="207"/>
        <v/>
      </c>
      <c r="U372" s="64" t="str">
        <f t="shared" si="208"/>
        <v/>
      </c>
      <c r="V372" s="207" t="str">
        <f>IF($A373="","",IF(AND(MONTH(A372)&gt;3,MONTH(A372)&lt;11),(T372+R372+G372)*Summary!$T$7/(1-Summary!$T$7),(T372+R372+G372)*Summary!$U$7/(1-Summary!$U$7)))</f>
        <v/>
      </c>
      <c r="W372" s="63" t="str">
        <f t="shared" si="209"/>
        <v/>
      </c>
      <c r="X372" s="63" t="str">
        <f t="shared" si="210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5"/>
        <v/>
      </c>
      <c r="AP372" s="33" t="str">
        <f t="shared" si="216"/>
        <v/>
      </c>
      <c r="AQ372" s="58" t="str">
        <f t="shared" si="193"/>
        <v/>
      </c>
      <c r="AR372" s="38">
        <f>IF(Summary!$H$2=1,VLOOKUP('ANR OK vs ML7'!A372,Curves!$C$17:$AR$273,MATCH('ANR OK vs ML7'!$AR$4,Curves!$C$8:$AQ$8,0)),0.1)</f>
        <v>0.1</v>
      </c>
      <c r="AS372" s="35" t="str">
        <f t="shared" si="194"/>
        <v/>
      </c>
      <c r="AT372" s="3" t="str">
        <f t="shared" si="217"/>
        <v/>
      </c>
      <c r="AU372" s="3" t="str">
        <f t="shared" si="195"/>
        <v/>
      </c>
      <c r="AW372" s="32" t="str">
        <f t="shared" si="218"/>
        <v/>
      </c>
      <c r="AX372" s="32" t="str">
        <f t="shared" si="219"/>
        <v/>
      </c>
      <c r="AY372" s="32" t="str">
        <f t="shared" si="220"/>
        <v/>
      </c>
      <c r="BA372" s="32" t="str">
        <f>IF($A373="","",F372*Summary!$Q$7)</f>
        <v/>
      </c>
    </row>
    <row r="373" spans="1:53">
      <c r="A373" s="67" t="str">
        <f t="shared" si="196"/>
        <v/>
      </c>
      <c r="B373" s="69" t="str">
        <f t="shared" si="221"/>
        <v/>
      </c>
      <c r="D373" s="69" t="str">
        <f t="shared" si="222"/>
        <v/>
      </c>
      <c r="E373" s="70" t="str">
        <f t="shared" si="186"/>
        <v/>
      </c>
      <c r="F373" s="70" t="str">
        <f t="shared" si="187"/>
        <v/>
      </c>
      <c r="G373" s="63" t="str">
        <f t="shared" si="197"/>
        <v/>
      </c>
      <c r="H373" s="64" t="str">
        <f t="shared" si="198"/>
        <v/>
      </c>
      <c r="J373" s="63" t="str">
        <f t="shared" si="199"/>
        <v/>
      </c>
      <c r="K373" s="64" t="str">
        <f t="shared" si="200"/>
        <v/>
      </c>
      <c r="L373" s="63" t="str">
        <f t="shared" si="201"/>
        <v/>
      </c>
      <c r="M373" s="64" t="str">
        <f t="shared" si="202"/>
        <v/>
      </c>
      <c r="O373" s="63" t="str">
        <f t="shared" si="203"/>
        <v/>
      </c>
      <c r="P373" s="63" t="str">
        <f t="shared" si="204"/>
        <v/>
      </c>
      <c r="R373" s="63" t="str">
        <f t="shared" si="205"/>
        <v/>
      </c>
      <c r="S373" s="64" t="str">
        <f t="shared" si="206"/>
        <v/>
      </c>
      <c r="T373" s="63" t="str">
        <f t="shared" si="207"/>
        <v/>
      </c>
      <c r="U373" s="64" t="str">
        <f t="shared" si="208"/>
        <v/>
      </c>
      <c r="V373" s="207" t="str">
        <f>IF($A374="","",IF(AND(MONTH(A373)&gt;3,MONTH(A373)&lt;11),(T373+R373+G373)*Summary!$T$7/(1-Summary!$T$7),(T373+R373+G373)*Summary!$U$7/(1-Summary!$U$7)))</f>
        <v/>
      </c>
      <c r="W373" s="63" t="str">
        <f t="shared" si="209"/>
        <v/>
      </c>
      <c r="X373" s="63" t="str">
        <f t="shared" si="210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5"/>
        <v/>
      </c>
      <c r="AP373" s="33" t="str">
        <f t="shared" si="216"/>
        <v/>
      </c>
      <c r="AQ373" s="58" t="str">
        <f t="shared" si="193"/>
        <v/>
      </c>
      <c r="AR373" s="38">
        <f>IF(Summary!$H$2=1,VLOOKUP('ANR OK vs ML7'!A373,Curves!$C$17:$AR$273,MATCH('ANR OK vs ML7'!$AR$4,Curves!$C$8:$AQ$8,0)),0.1)</f>
        <v>0.1</v>
      </c>
      <c r="AS373" s="35" t="str">
        <f t="shared" si="194"/>
        <v/>
      </c>
      <c r="AT373" s="3" t="str">
        <f t="shared" si="217"/>
        <v/>
      </c>
      <c r="AU373" s="3" t="str">
        <f t="shared" si="195"/>
        <v/>
      </c>
      <c r="AW373" s="32" t="str">
        <f t="shared" si="218"/>
        <v/>
      </c>
      <c r="AX373" s="32" t="str">
        <f t="shared" si="219"/>
        <v/>
      </c>
      <c r="AY373" s="32" t="str">
        <f t="shared" si="220"/>
        <v/>
      </c>
      <c r="BA373" s="32" t="str">
        <f>IF($A374="","",F373*Summary!$Q$7)</f>
        <v/>
      </c>
    </row>
    <row r="374" spans="1:53">
      <c r="A374" s="67" t="str">
        <f t="shared" si="196"/>
        <v/>
      </c>
      <c r="B374" s="69" t="str">
        <f t="shared" si="221"/>
        <v/>
      </c>
      <c r="D374" s="69" t="str">
        <f t="shared" si="222"/>
        <v/>
      </c>
      <c r="E374" s="70" t="str">
        <f t="shared" si="186"/>
        <v/>
      </c>
      <c r="F374" s="70" t="str">
        <f t="shared" si="187"/>
        <v/>
      </c>
      <c r="G374" s="63" t="str">
        <f t="shared" si="197"/>
        <v/>
      </c>
      <c r="H374" s="64" t="str">
        <f t="shared" si="198"/>
        <v/>
      </c>
      <c r="J374" s="63" t="str">
        <f t="shared" si="199"/>
        <v/>
      </c>
      <c r="K374" s="64" t="str">
        <f t="shared" si="200"/>
        <v/>
      </c>
      <c r="L374" s="63" t="str">
        <f t="shared" si="201"/>
        <v/>
      </c>
      <c r="M374" s="64" t="str">
        <f t="shared" si="202"/>
        <v/>
      </c>
      <c r="O374" s="63" t="str">
        <f t="shared" si="203"/>
        <v/>
      </c>
      <c r="P374" s="63" t="str">
        <f t="shared" si="204"/>
        <v/>
      </c>
      <c r="R374" s="63" t="str">
        <f t="shared" si="205"/>
        <v/>
      </c>
      <c r="S374" s="64" t="str">
        <f t="shared" si="206"/>
        <v/>
      </c>
      <c r="T374" s="63" t="str">
        <f t="shared" si="207"/>
        <v/>
      </c>
      <c r="U374" s="64" t="str">
        <f t="shared" si="208"/>
        <v/>
      </c>
      <c r="V374" s="207" t="str">
        <f>IF($A375="","",IF(AND(MONTH(A374)&gt;3,MONTH(A374)&lt;11),(T374+R374+G374)*Summary!$T$7/(1-Summary!$T$7),(T374+R374+G374)*Summary!$U$7/(1-Summary!$U$7)))</f>
        <v/>
      </c>
      <c r="W374" s="63" t="str">
        <f t="shared" si="209"/>
        <v/>
      </c>
      <c r="X374" s="63" t="str">
        <f t="shared" si="210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5"/>
        <v/>
      </c>
      <c r="AP374" s="33" t="str">
        <f t="shared" si="216"/>
        <v/>
      </c>
      <c r="AQ374" s="58" t="str">
        <f t="shared" si="193"/>
        <v/>
      </c>
      <c r="AR374" s="38">
        <f>IF(Summary!$H$2=1,VLOOKUP('ANR OK vs ML7'!A374,Curves!$C$17:$AR$273,MATCH('ANR OK vs ML7'!$AR$4,Curves!$C$8:$AQ$8,0)),0.1)</f>
        <v>0.1</v>
      </c>
      <c r="AS374" s="35" t="str">
        <f t="shared" si="194"/>
        <v/>
      </c>
      <c r="AT374" s="3" t="str">
        <f t="shared" si="217"/>
        <v/>
      </c>
      <c r="AU374" s="3" t="str">
        <f t="shared" si="195"/>
        <v/>
      </c>
      <c r="AW374" s="32" t="str">
        <f t="shared" si="218"/>
        <v/>
      </c>
      <c r="AX374" s="32" t="str">
        <f t="shared" si="219"/>
        <v/>
      </c>
      <c r="AY374" s="32" t="str">
        <f t="shared" si="220"/>
        <v/>
      </c>
      <c r="BA374" s="32" t="str">
        <f>IF($A375="","",F374*Summary!$Q$7)</f>
        <v/>
      </c>
    </row>
    <row r="375" spans="1:53">
      <c r="A375" s="67" t="str">
        <f t="shared" si="196"/>
        <v/>
      </c>
      <c r="B375" s="69" t="str">
        <f t="shared" si="221"/>
        <v/>
      </c>
      <c r="D375" s="69" t="str">
        <f t="shared" si="222"/>
        <v/>
      </c>
      <c r="E375" s="70" t="str">
        <f t="shared" si="186"/>
        <v/>
      </c>
      <c r="F375" s="70" t="str">
        <f t="shared" si="187"/>
        <v/>
      </c>
      <c r="G375" s="63" t="str">
        <f t="shared" si="197"/>
        <v/>
      </c>
      <c r="H375" s="64" t="str">
        <f t="shared" si="198"/>
        <v/>
      </c>
      <c r="J375" s="63" t="str">
        <f t="shared" si="199"/>
        <v/>
      </c>
      <c r="K375" s="64" t="str">
        <f t="shared" si="200"/>
        <v/>
      </c>
      <c r="L375" s="63" t="str">
        <f t="shared" si="201"/>
        <v/>
      </c>
      <c r="M375" s="64" t="str">
        <f t="shared" si="202"/>
        <v/>
      </c>
      <c r="O375" s="63" t="str">
        <f t="shared" si="203"/>
        <v/>
      </c>
      <c r="P375" s="63" t="str">
        <f t="shared" si="204"/>
        <v/>
      </c>
      <c r="R375" s="63" t="str">
        <f t="shared" si="205"/>
        <v/>
      </c>
      <c r="S375" s="64" t="str">
        <f t="shared" si="206"/>
        <v/>
      </c>
      <c r="T375" s="63" t="str">
        <f t="shared" si="207"/>
        <v/>
      </c>
      <c r="U375" s="64" t="str">
        <f t="shared" si="208"/>
        <v/>
      </c>
      <c r="V375" s="207" t="str">
        <f>IF($A376="","",IF(AND(MONTH(A375)&gt;3,MONTH(A375)&lt;11),(T375+R375+G375)*Summary!$T$7/(1-Summary!$T$7),(T375+R375+G375)*Summary!$U$7/(1-Summary!$U$7)))</f>
        <v/>
      </c>
      <c r="W375" s="63" t="str">
        <f t="shared" si="209"/>
        <v/>
      </c>
      <c r="X375" s="63" t="str">
        <f t="shared" si="210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5"/>
        <v/>
      </c>
      <c r="AP375" s="33" t="str">
        <f t="shared" si="216"/>
        <v/>
      </c>
      <c r="AQ375" s="58" t="str">
        <f t="shared" si="193"/>
        <v/>
      </c>
      <c r="AR375" s="38">
        <f>IF(Summary!$H$2=1,VLOOKUP('ANR OK vs ML7'!A375,Curves!$C$17:$AR$273,MATCH('ANR OK vs ML7'!$AR$4,Curves!$C$8:$AQ$8,0)),0.1)</f>
        <v>0.1</v>
      </c>
      <c r="AS375" s="35" t="str">
        <f t="shared" si="194"/>
        <v/>
      </c>
      <c r="AT375" s="3" t="str">
        <f t="shared" si="217"/>
        <v/>
      </c>
      <c r="AU375" s="3" t="str">
        <f t="shared" si="195"/>
        <v/>
      </c>
      <c r="AW375" s="32" t="str">
        <f t="shared" si="218"/>
        <v/>
      </c>
      <c r="AX375" s="32" t="str">
        <f t="shared" si="219"/>
        <v/>
      </c>
      <c r="AY375" s="32" t="str">
        <f t="shared" si="220"/>
        <v/>
      </c>
      <c r="BA375" s="32" t="str">
        <f>IF($A376="","",F375*Summary!$Q$7)</f>
        <v/>
      </c>
    </row>
    <row r="376" spans="1:53">
      <c r="A376" s="67" t="str">
        <f t="shared" si="196"/>
        <v/>
      </c>
      <c r="B376" s="69" t="str">
        <f t="shared" si="221"/>
        <v/>
      </c>
      <c r="D376" s="69" t="str">
        <f t="shared" si="222"/>
        <v/>
      </c>
      <c r="E376" s="70" t="str">
        <f t="shared" si="186"/>
        <v/>
      </c>
      <c r="F376" s="70" t="str">
        <f t="shared" si="187"/>
        <v/>
      </c>
      <c r="G376" s="63" t="str">
        <f t="shared" si="197"/>
        <v/>
      </c>
      <c r="H376" s="64" t="str">
        <f t="shared" si="198"/>
        <v/>
      </c>
      <c r="J376" s="63" t="str">
        <f t="shared" si="199"/>
        <v/>
      </c>
      <c r="K376" s="64" t="str">
        <f t="shared" si="200"/>
        <v/>
      </c>
      <c r="L376" s="63" t="str">
        <f t="shared" si="201"/>
        <v/>
      </c>
      <c r="M376" s="64" t="str">
        <f t="shared" si="202"/>
        <v/>
      </c>
      <c r="O376" s="63" t="str">
        <f t="shared" si="203"/>
        <v/>
      </c>
      <c r="P376" s="63" t="str">
        <f t="shared" si="204"/>
        <v/>
      </c>
      <c r="R376" s="63" t="str">
        <f t="shared" si="205"/>
        <v/>
      </c>
      <c r="S376" s="64" t="str">
        <f t="shared" si="206"/>
        <v/>
      </c>
      <c r="T376" s="63" t="str">
        <f t="shared" si="207"/>
        <v/>
      </c>
      <c r="U376" s="64" t="str">
        <f t="shared" si="208"/>
        <v/>
      </c>
      <c r="V376" s="207" t="str">
        <f>IF($A377="","",IF(AND(MONTH(A376)&gt;3,MONTH(A376)&lt;11),(T376+R376+G376)*Summary!$T$7/(1-Summary!$T$7),(T376+R376+G376)*Summary!$U$7/(1-Summary!$U$7)))</f>
        <v/>
      </c>
      <c r="W376" s="63" t="str">
        <f t="shared" si="209"/>
        <v/>
      </c>
      <c r="X376" s="63" t="str">
        <f t="shared" si="210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5"/>
        <v/>
      </c>
      <c r="AP376" s="33" t="str">
        <f t="shared" si="216"/>
        <v/>
      </c>
      <c r="AQ376" s="58" t="str">
        <f t="shared" si="193"/>
        <v/>
      </c>
      <c r="AR376" s="38">
        <f>IF(Summary!$H$2=1,VLOOKUP('ANR OK vs ML7'!A376,Curves!$C$17:$AR$273,MATCH('ANR OK vs ML7'!$AR$4,Curves!$C$8:$AQ$8,0)),0.1)</f>
        <v>0.1</v>
      </c>
      <c r="AS376" s="35" t="str">
        <f t="shared" si="194"/>
        <v/>
      </c>
      <c r="AT376" s="3" t="str">
        <f t="shared" si="217"/>
        <v/>
      </c>
      <c r="AU376" s="3" t="str">
        <f t="shared" si="195"/>
        <v/>
      </c>
      <c r="AW376" s="32" t="str">
        <f t="shared" si="218"/>
        <v/>
      </c>
      <c r="AX376" s="32" t="str">
        <f t="shared" si="219"/>
        <v/>
      </c>
      <c r="AY376" s="32" t="str">
        <f t="shared" si="220"/>
        <v/>
      </c>
      <c r="BA376" s="32" t="str">
        <f>IF($A377="","",F376*Summary!$Q$7)</f>
        <v/>
      </c>
    </row>
    <row r="377" spans="1:53">
      <c r="A377" s="67" t="str">
        <f t="shared" si="196"/>
        <v/>
      </c>
      <c r="B377" s="69" t="str">
        <f t="shared" si="221"/>
        <v/>
      </c>
      <c r="D377" s="69" t="str">
        <f t="shared" si="222"/>
        <v/>
      </c>
      <c r="E377" s="70" t="str">
        <f t="shared" si="186"/>
        <v/>
      </c>
      <c r="F377" s="70" t="str">
        <f t="shared" si="187"/>
        <v/>
      </c>
      <c r="G377" s="63" t="str">
        <f t="shared" si="197"/>
        <v/>
      </c>
      <c r="H377" s="64" t="str">
        <f t="shared" si="198"/>
        <v/>
      </c>
      <c r="J377" s="63" t="str">
        <f t="shared" si="199"/>
        <v/>
      </c>
      <c r="K377" s="64" t="str">
        <f t="shared" si="200"/>
        <v/>
      </c>
      <c r="L377" s="63" t="str">
        <f t="shared" si="201"/>
        <v/>
      </c>
      <c r="M377" s="64" t="str">
        <f t="shared" si="202"/>
        <v/>
      </c>
      <c r="O377" s="63" t="str">
        <f t="shared" si="203"/>
        <v/>
      </c>
      <c r="P377" s="63" t="str">
        <f t="shared" si="204"/>
        <v/>
      </c>
      <c r="R377" s="63" t="str">
        <f t="shared" si="205"/>
        <v/>
      </c>
      <c r="S377" s="64" t="str">
        <f t="shared" si="206"/>
        <v/>
      </c>
      <c r="T377" s="63" t="str">
        <f t="shared" si="207"/>
        <v/>
      </c>
      <c r="U377" s="64" t="str">
        <f t="shared" si="208"/>
        <v/>
      </c>
      <c r="V377" s="207" t="str">
        <f>IF($A378="","",IF(AND(MONTH(A377)&gt;3,MONTH(A377)&lt;11),(T377+R377+G377)*Summary!$T$7/(1-Summary!$T$7),(T377+R377+G377)*Summary!$U$7/(1-Summary!$U$7)))</f>
        <v/>
      </c>
      <c r="W377" s="63" t="str">
        <f t="shared" si="209"/>
        <v/>
      </c>
      <c r="X377" s="63" t="str">
        <f t="shared" si="210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5"/>
        <v/>
      </c>
      <c r="AP377" s="33" t="str">
        <f t="shared" si="216"/>
        <v/>
      </c>
      <c r="AQ377" s="58" t="str">
        <f t="shared" si="193"/>
        <v/>
      </c>
      <c r="AR377" s="38">
        <f>IF(Summary!$H$2=1,VLOOKUP('ANR OK vs ML7'!A377,Curves!$C$17:$AR$273,MATCH('ANR OK vs ML7'!$AR$4,Curves!$C$8:$AQ$8,0)),0.1)</f>
        <v>0.1</v>
      </c>
      <c r="AS377" s="35" t="str">
        <f t="shared" si="194"/>
        <v/>
      </c>
      <c r="AT377" s="3" t="str">
        <f t="shared" si="217"/>
        <v/>
      </c>
      <c r="AU377" s="3" t="str">
        <f t="shared" si="195"/>
        <v/>
      </c>
      <c r="AW377" s="32" t="str">
        <f t="shared" si="218"/>
        <v/>
      </c>
      <c r="AX377" s="32" t="str">
        <f t="shared" si="219"/>
        <v/>
      </c>
      <c r="AY377" s="32" t="str">
        <f t="shared" si="220"/>
        <v/>
      </c>
      <c r="BA377" s="32" t="str">
        <f>IF($A378="","",F377*Summary!$Q$7)</f>
        <v/>
      </c>
    </row>
    <row r="378" spans="1:53">
      <c r="A378" s="67" t="str">
        <f t="shared" si="196"/>
        <v/>
      </c>
      <c r="B378" s="69" t="str">
        <f t="shared" si="221"/>
        <v/>
      </c>
      <c r="D378" s="69" t="str">
        <f t="shared" si="222"/>
        <v/>
      </c>
      <c r="E378" s="70" t="str">
        <f t="shared" si="186"/>
        <v/>
      </c>
      <c r="F378" s="70" t="str">
        <f t="shared" si="187"/>
        <v/>
      </c>
      <c r="G378" s="63" t="str">
        <f t="shared" si="197"/>
        <v/>
      </c>
      <c r="H378" s="64" t="str">
        <f t="shared" si="198"/>
        <v/>
      </c>
      <c r="J378" s="63" t="str">
        <f t="shared" si="199"/>
        <v/>
      </c>
      <c r="K378" s="64" t="str">
        <f t="shared" si="200"/>
        <v/>
      </c>
      <c r="L378" s="63" t="str">
        <f t="shared" si="201"/>
        <v/>
      </c>
      <c r="M378" s="64" t="str">
        <f t="shared" si="202"/>
        <v/>
      </c>
      <c r="O378" s="63" t="str">
        <f t="shared" si="203"/>
        <v/>
      </c>
      <c r="P378" s="63" t="str">
        <f t="shared" si="204"/>
        <v/>
      </c>
      <c r="R378" s="63" t="str">
        <f t="shared" si="205"/>
        <v/>
      </c>
      <c r="S378" s="64" t="str">
        <f t="shared" si="206"/>
        <v/>
      </c>
      <c r="T378" s="63" t="str">
        <f t="shared" si="207"/>
        <v/>
      </c>
      <c r="U378" s="64" t="str">
        <f t="shared" si="208"/>
        <v/>
      </c>
      <c r="V378" s="207" t="str">
        <f>IF($A379="","",IF(AND(MONTH(A378)&gt;3,MONTH(A378)&lt;11),(T378+R378+G378)*Summary!$T$7/(1-Summary!$T$7),(T378+R378+G378)*Summary!$U$7/(1-Summary!$U$7)))</f>
        <v/>
      </c>
      <c r="W378" s="63" t="str">
        <f t="shared" si="209"/>
        <v/>
      </c>
      <c r="X378" s="63" t="str">
        <f t="shared" si="210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5"/>
        <v/>
      </c>
      <c r="AP378" s="33" t="str">
        <f t="shared" si="216"/>
        <v/>
      </c>
      <c r="AQ378" s="58" t="str">
        <f t="shared" si="193"/>
        <v/>
      </c>
      <c r="AR378" s="38">
        <f>IF(Summary!$H$2=1,VLOOKUP('ANR OK vs ML7'!A378,Curves!$C$17:$AR$273,MATCH('ANR OK vs ML7'!$AR$4,Curves!$C$8:$AQ$8,0)),0.1)</f>
        <v>0.1</v>
      </c>
      <c r="AS378" s="35" t="str">
        <f t="shared" si="194"/>
        <v/>
      </c>
      <c r="AT378" s="3" t="str">
        <f t="shared" si="217"/>
        <v/>
      </c>
      <c r="AU378" s="3" t="str">
        <f t="shared" si="195"/>
        <v/>
      </c>
      <c r="AW378" s="32" t="str">
        <f t="shared" si="218"/>
        <v/>
      </c>
      <c r="AX378" s="32" t="str">
        <f t="shared" si="219"/>
        <v/>
      </c>
      <c r="AY378" s="32" t="str">
        <f t="shared" si="220"/>
        <v/>
      </c>
      <c r="BA378" s="32" t="str">
        <f>IF($A379="","",F378*Summary!$Q$7)</f>
        <v/>
      </c>
    </row>
    <row r="379" spans="1:53">
      <c r="A379" s="67" t="str">
        <f t="shared" si="196"/>
        <v/>
      </c>
      <c r="B379" s="69" t="str">
        <f t="shared" si="221"/>
        <v/>
      </c>
      <c r="D379" s="69" t="str">
        <f t="shared" si="222"/>
        <v/>
      </c>
      <c r="E379" s="70" t="str">
        <f t="shared" si="186"/>
        <v/>
      </c>
      <c r="F379" s="70" t="str">
        <f t="shared" si="187"/>
        <v/>
      </c>
      <c r="G379" s="63" t="str">
        <f t="shared" si="197"/>
        <v/>
      </c>
      <c r="H379" s="64" t="str">
        <f t="shared" si="198"/>
        <v/>
      </c>
      <c r="J379" s="63" t="str">
        <f t="shared" si="199"/>
        <v/>
      </c>
      <c r="K379" s="64" t="str">
        <f t="shared" si="200"/>
        <v/>
      </c>
      <c r="L379" s="63" t="str">
        <f t="shared" si="201"/>
        <v/>
      </c>
      <c r="M379" s="64" t="str">
        <f t="shared" si="202"/>
        <v/>
      </c>
      <c r="O379" s="63" t="str">
        <f t="shared" si="203"/>
        <v/>
      </c>
      <c r="P379" s="63" t="str">
        <f t="shared" si="204"/>
        <v/>
      </c>
      <c r="R379" s="63" t="str">
        <f t="shared" si="205"/>
        <v/>
      </c>
      <c r="S379" s="64" t="str">
        <f t="shared" si="206"/>
        <v/>
      </c>
      <c r="T379" s="63" t="str">
        <f t="shared" si="207"/>
        <v/>
      </c>
      <c r="U379" s="64" t="str">
        <f t="shared" si="208"/>
        <v/>
      </c>
      <c r="V379" s="207" t="str">
        <f>IF($A380="","",IF(AND(MONTH(A379)&gt;3,MONTH(A379)&lt;11),(T379+R379+G379)*Summary!$T$7/(1-Summary!$T$7),(T379+R379+G379)*Summary!$U$7/(1-Summary!$U$7)))</f>
        <v/>
      </c>
      <c r="W379" s="63" t="str">
        <f t="shared" si="209"/>
        <v/>
      </c>
      <c r="X379" s="63" t="str">
        <f t="shared" si="210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5"/>
        <v/>
      </c>
      <c r="AP379" s="33" t="str">
        <f t="shared" si="216"/>
        <v/>
      </c>
      <c r="AQ379" s="58" t="str">
        <f t="shared" si="193"/>
        <v/>
      </c>
      <c r="AR379" s="38">
        <f>IF(Summary!$H$2=1,VLOOKUP('ANR OK vs ML7'!A379,Curves!$C$17:$AR$273,MATCH('ANR OK vs ML7'!$AR$4,Curves!$C$8:$AQ$8,0)),0.1)</f>
        <v>0.1</v>
      </c>
      <c r="AS379" s="35" t="str">
        <f t="shared" si="194"/>
        <v/>
      </c>
      <c r="AT379" s="3" t="str">
        <f t="shared" si="217"/>
        <v/>
      </c>
      <c r="AU379" s="3" t="str">
        <f t="shared" si="195"/>
        <v/>
      </c>
      <c r="AW379" s="32" t="str">
        <f t="shared" si="218"/>
        <v/>
      </c>
      <c r="AX379" s="32" t="str">
        <f t="shared" si="219"/>
        <v/>
      </c>
      <c r="AY379" s="32" t="str">
        <f t="shared" si="220"/>
        <v/>
      </c>
      <c r="BA379" s="32" t="str">
        <f>IF($A380="","",F379*Summary!$Q$7)</f>
        <v/>
      </c>
    </row>
    <row r="380" spans="1:53">
      <c r="A380" s="67" t="str">
        <f t="shared" si="196"/>
        <v/>
      </c>
      <c r="B380" s="69" t="str">
        <f t="shared" si="221"/>
        <v/>
      </c>
      <c r="D380" s="69" t="str">
        <f t="shared" si="222"/>
        <v/>
      </c>
      <c r="E380" s="70" t="str">
        <f t="shared" si="186"/>
        <v/>
      </c>
      <c r="F380" s="70" t="str">
        <f t="shared" si="187"/>
        <v/>
      </c>
      <c r="G380" s="63" t="str">
        <f t="shared" si="197"/>
        <v/>
      </c>
      <c r="H380" s="64" t="str">
        <f t="shared" si="198"/>
        <v/>
      </c>
      <c r="J380" s="63" t="str">
        <f t="shared" si="199"/>
        <v/>
      </c>
      <c r="K380" s="64" t="str">
        <f t="shared" si="200"/>
        <v/>
      </c>
      <c r="L380" s="63" t="str">
        <f t="shared" si="201"/>
        <v/>
      </c>
      <c r="M380" s="64" t="str">
        <f t="shared" si="202"/>
        <v/>
      </c>
      <c r="O380" s="63" t="str">
        <f t="shared" si="203"/>
        <v/>
      </c>
      <c r="P380" s="63" t="str">
        <f t="shared" si="204"/>
        <v/>
      </c>
      <c r="R380" s="63" t="str">
        <f t="shared" si="205"/>
        <v/>
      </c>
      <c r="S380" s="64" t="str">
        <f t="shared" si="206"/>
        <v/>
      </c>
      <c r="T380" s="63" t="str">
        <f t="shared" si="207"/>
        <v/>
      </c>
      <c r="U380" s="64" t="str">
        <f t="shared" si="208"/>
        <v/>
      </c>
      <c r="V380" s="207" t="str">
        <f>IF($A381="","",IF(AND(MONTH(A380)&gt;3,MONTH(A380)&lt;11),(T380+R380+G380)*Summary!$T$7/(1-Summary!$T$7),(T380+R380+G380)*Summary!$U$7/(1-Summary!$U$7)))</f>
        <v/>
      </c>
      <c r="W380" s="63" t="str">
        <f t="shared" si="209"/>
        <v/>
      </c>
      <c r="X380" s="63" t="str">
        <f t="shared" si="210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5"/>
        <v/>
      </c>
      <c r="AP380" s="33" t="str">
        <f t="shared" si="216"/>
        <v/>
      </c>
      <c r="AQ380" s="58" t="str">
        <f t="shared" si="193"/>
        <v/>
      </c>
      <c r="AR380" s="38">
        <f>IF(Summary!$H$2=1,VLOOKUP('ANR OK vs ML7'!A380,Curves!$C$17:$AR$273,MATCH('ANR OK vs ML7'!$AR$4,Curves!$C$8:$AQ$8,0)),0.1)</f>
        <v>0.1</v>
      </c>
      <c r="AS380" s="35" t="str">
        <f t="shared" si="194"/>
        <v/>
      </c>
      <c r="AT380" s="3" t="str">
        <f t="shared" si="217"/>
        <v/>
      </c>
      <c r="AU380" s="3" t="str">
        <f t="shared" si="195"/>
        <v/>
      </c>
      <c r="AW380" s="32" t="str">
        <f t="shared" si="218"/>
        <v/>
      </c>
      <c r="AX380" s="32" t="str">
        <f t="shared" si="219"/>
        <v/>
      </c>
      <c r="AY380" s="32" t="str">
        <f t="shared" si="220"/>
        <v/>
      </c>
      <c r="BA380" s="32" t="str">
        <f>IF($A381="","",F380*Summary!$Q$7)</f>
        <v/>
      </c>
    </row>
    <row r="381" spans="1:53">
      <c r="A381" s="67" t="str">
        <f t="shared" si="196"/>
        <v/>
      </c>
      <c r="B381" s="69" t="str">
        <f t="shared" si="221"/>
        <v/>
      </c>
      <c r="D381" s="69" t="str">
        <f t="shared" si="222"/>
        <v/>
      </c>
      <c r="E381" s="70" t="str">
        <f t="shared" si="186"/>
        <v/>
      </c>
      <c r="F381" s="70" t="str">
        <f t="shared" si="187"/>
        <v/>
      </c>
      <c r="G381" s="63" t="str">
        <f t="shared" si="197"/>
        <v/>
      </c>
      <c r="H381" s="64" t="str">
        <f t="shared" si="198"/>
        <v/>
      </c>
      <c r="J381" s="63" t="str">
        <f t="shared" si="199"/>
        <v/>
      </c>
      <c r="K381" s="64" t="str">
        <f t="shared" si="200"/>
        <v/>
      </c>
      <c r="L381" s="63" t="str">
        <f t="shared" si="201"/>
        <v/>
      </c>
      <c r="M381" s="64" t="str">
        <f t="shared" si="202"/>
        <v/>
      </c>
      <c r="O381" s="63" t="str">
        <f t="shared" si="203"/>
        <v/>
      </c>
      <c r="P381" s="63" t="str">
        <f t="shared" si="204"/>
        <v/>
      </c>
      <c r="R381" s="63" t="str">
        <f t="shared" si="205"/>
        <v/>
      </c>
      <c r="S381" s="64" t="str">
        <f t="shared" si="206"/>
        <v/>
      </c>
      <c r="T381" s="63" t="str">
        <f t="shared" si="207"/>
        <v/>
      </c>
      <c r="U381" s="64" t="str">
        <f t="shared" si="208"/>
        <v/>
      </c>
      <c r="V381" s="207" t="str">
        <f>IF($A382="","",IF(AND(MONTH(A381)&gt;3,MONTH(A381)&lt;11),(T381+R381+G381)*Summary!$T$7/(1-Summary!$T$7),(T381+R381+G381)*Summary!$U$7/(1-Summary!$U$7)))</f>
        <v/>
      </c>
      <c r="W381" s="63" t="str">
        <f t="shared" si="209"/>
        <v/>
      </c>
      <c r="X381" s="63" t="str">
        <f t="shared" si="210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5"/>
        <v/>
      </c>
      <c r="AP381" s="33" t="str">
        <f t="shared" si="216"/>
        <v/>
      </c>
      <c r="AQ381" s="58" t="str">
        <f t="shared" si="193"/>
        <v/>
      </c>
      <c r="AR381" s="38">
        <f>IF(Summary!$H$2=1,VLOOKUP('ANR OK vs ML7'!A381,Curves!$C$17:$AR$273,MATCH('ANR OK vs ML7'!$AR$4,Curves!$C$8:$AQ$8,0)),0.1)</f>
        <v>0.1</v>
      </c>
      <c r="AS381" s="35" t="str">
        <f t="shared" si="194"/>
        <v/>
      </c>
      <c r="AT381" s="3" t="str">
        <f t="shared" si="217"/>
        <v/>
      </c>
      <c r="AU381" s="3" t="str">
        <f t="shared" si="195"/>
        <v/>
      </c>
      <c r="AW381" s="32" t="str">
        <f t="shared" si="218"/>
        <v/>
      </c>
      <c r="AX381" s="32" t="str">
        <f t="shared" si="219"/>
        <v/>
      </c>
      <c r="AY381" s="32" t="str">
        <f t="shared" si="220"/>
        <v/>
      </c>
      <c r="BA381" s="32" t="str">
        <f>IF($A382="","",F381*Summary!$Q$7)</f>
        <v/>
      </c>
    </row>
    <row r="382" spans="1:53">
      <c r="A382" s="67" t="str">
        <f t="shared" si="196"/>
        <v/>
      </c>
      <c r="B382" s="69" t="str">
        <f t="shared" si="221"/>
        <v/>
      </c>
      <c r="D382" s="69" t="str">
        <f t="shared" si="222"/>
        <v/>
      </c>
      <c r="E382" s="70" t="str">
        <f t="shared" si="186"/>
        <v/>
      </c>
      <c r="F382" s="70" t="str">
        <f t="shared" si="187"/>
        <v/>
      </c>
      <c r="G382" s="63" t="str">
        <f t="shared" si="197"/>
        <v/>
      </c>
      <c r="H382" s="64" t="str">
        <f t="shared" si="198"/>
        <v/>
      </c>
      <c r="J382" s="63" t="str">
        <f t="shared" si="199"/>
        <v/>
      </c>
      <c r="K382" s="64" t="str">
        <f t="shared" si="200"/>
        <v/>
      </c>
      <c r="L382" s="63" t="str">
        <f t="shared" si="201"/>
        <v/>
      </c>
      <c r="M382" s="64" t="str">
        <f t="shared" si="202"/>
        <v/>
      </c>
      <c r="O382" s="63" t="str">
        <f t="shared" si="203"/>
        <v/>
      </c>
      <c r="P382" s="63" t="str">
        <f t="shared" si="204"/>
        <v/>
      </c>
      <c r="R382" s="63" t="str">
        <f t="shared" si="205"/>
        <v/>
      </c>
      <c r="S382" s="64" t="str">
        <f t="shared" si="206"/>
        <v/>
      </c>
      <c r="T382" s="63" t="str">
        <f t="shared" si="207"/>
        <v/>
      </c>
      <c r="U382" s="64" t="str">
        <f t="shared" si="208"/>
        <v/>
      </c>
      <c r="V382" s="207" t="str">
        <f>IF($A383="","",IF(AND(MONTH(A382)&gt;3,MONTH(A382)&lt;11),(T382+R382+G382)*Summary!$T$7/(1-Summary!$T$7),(T382+R382+G382)*Summary!$U$7/(1-Summary!$U$7)))</f>
        <v/>
      </c>
      <c r="W382" s="63" t="str">
        <f t="shared" si="209"/>
        <v/>
      </c>
      <c r="X382" s="63" t="str">
        <f t="shared" si="210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5"/>
        <v/>
      </c>
      <c r="AP382" s="33" t="str">
        <f t="shared" si="216"/>
        <v/>
      </c>
      <c r="AQ382" s="58" t="str">
        <f t="shared" si="193"/>
        <v/>
      </c>
      <c r="AR382" s="38">
        <f>IF(Summary!$H$2=1,VLOOKUP('ANR OK vs ML7'!A382,Curves!$C$17:$AR$273,MATCH('ANR OK vs ML7'!$AR$4,Curves!$C$8:$AQ$8,0)),0.1)</f>
        <v>0.1</v>
      </c>
      <c r="AS382" s="35" t="str">
        <f t="shared" si="194"/>
        <v/>
      </c>
      <c r="AT382" s="3" t="str">
        <f t="shared" si="217"/>
        <v/>
      </c>
      <c r="AU382" s="3" t="str">
        <f t="shared" si="195"/>
        <v/>
      </c>
      <c r="AW382" s="32" t="str">
        <f t="shared" si="218"/>
        <v/>
      </c>
      <c r="AX382" s="32" t="str">
        <f t="shared" si="219"/>
        <v/>
      </c>
      <c r="AY382" s="32" t="str">
        <f t="shared" si="220"/>
        <v/>
      </c>
      <c r="BA382" s="32" t="str">
        <f>IF($A383="","",F382*Summary!$Q$7)</f>
        <v/>
      </c>
    </row>
    <row r="383" spans="1:53">
      <c r="A383" s="67" t="str">
        <f t="shared" si="196"/>
        <v/>
      </c>
      <c r="B383" s="69" t="str">
        <f t="shared" si="221"/>
        <v/>
      </c>
      <c r="D383" s="69" t="str">
        <f t="shared" si="222"/>
        <v/>
      </c>
      <c r="E383" s="70" t="str">
        <f t="shared" si="186"/>
        <v/>
      </c>
      <c r="F383" s="70" t="str">
        <f t="shared" si="187"/>
        <v/>
      </c>
      <c r="G383" s="63" t="str">
        <f t="shared" si="197"/>
        <v/>
      </c>
      <c r="H383" s="64" t="str">
        <f t="shared" si="198"/>
        <v/>
      </c>
      <c r="J383" s="63" t="str">
        <f t="shared" si="199"/>
        <v/>
      </c>
      <c r="K383" s="64" t="str">
        <f t="shared" si="200"/>
        <v/>
      </c>
      <c r="L383" s="63" t="str">
        <f t="shared" si="201"/>
        <v/>
      </c>
      <c r="M383" s="64" t="str">
        <f t="shared" si="202"/>
        <v/>
      </c>
      <c r="O383" s="63" t="str">
        <f t="shared" si="203"/>
        <v/>
      </c>
      <c r="P383" s="63" t="str">
        <f t="shared" si="204"/>
        <v/>
      </c>
      <c r="R383" s="63" t="str">
        <f t="shared" si="205"/>
        <v/>
      </c>
      <c r="S383" s="64" t="str">
        <f t="shared" si="206"/>
        <v/>
      </c>
      <c r="T383" s="63" t="str">
        <f t="shared" si="207"/>
        <v/>
      </c>
      <c r="U383" s="64" t="str">
        <f t="shared" si="208"/>
        <v/>
      </c>
      <c r="V383" s="207" t="str">
        <f>IF($A384="","",IF(AND(MONTH(A383)&gt;3,MONTH(A383)&lt;11),(T383+R383+G383)*Summary!$T$7/(1-Summary!$T$7),(T383+R383+G383)*Summary!$U$7/(1-Summary!$U$7)))</f>
        <v/>
      </c>
      <c r="W383" s="63" t="str">
        <f t="shared" si="209"/>
        <v/>
      </c>
      <c r="X383" s="63" t="str">
        <f t="shared" si="210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5"/>
        <v/>
      </c>
      <c r="AP383" s="33" t="str">
        <f t="shared" si="216"/>
        <v/>
      </c>
      <c r="AQ383" s="58" t="str">
        <f t="shared" si="193"/>
        <v/>
      </c>
      <c r="AR383" s="38">
        <f>IF(Summary!$H$2=1,VLOOKUP('ANR OK vs ML7'!A383,Curves!$C$17:$AR$273,MATCH('ANR OK vs ML7'!$AR$4,Curves!$C$8:$AQ$8,0)),0.1)</f>
        <v>0.1</v>
      </c>
      <c r="AS383" s="35" t="str">
        <f t="shared" si="194"/>
        <v/>
      </c>
      <c r="AT383" s="3" t="str">
        <f t="shared" si="217"/>
        <v/>
      </c>
      <c r="AU383" s="3" t="str">
        <f t="shared" si="195"/>
        <v/>
      </c>
      <c r="AW383" s="32" t="str">
        <f t="shared" si="218"/>
        <v/>
      </c>
      <c r="AX383" s="32" t="str">
        <f t="shared" si="219"/>
        <v/>
      </c>
      <c r="AY383" s="32" t="str">
        <f t="shared" si="220"/>
        <v/>
      </c>
      <c r="BA383" s="32" t="str">
        <f>IF($A384="","",F383*Summary!$Q$7)</f>
        <v/>
      </c>
    </row>
    <row r="384" spans="1:53">
      <c r="A384" s="67" t="str">
        <f t="shared" si="196"/>
        <v/>
      </c>
      <c r="B384" s="69" t="str">
        <f t="shared" si="221"/>
        <v/>
      </c>
      <c r="D384" s="69" t="str">
        <f t="shared" si="222"/>
        <v/>
      </c>
      <c r="E384" s="70" t="str">
        <f t="shared" si="186"/>
        <v/>
      </c>
      <c r="F384" s="70" t="str">
        <f t="shared" si="187"/>
        <v/>
      </c>
      <c r="G384" s="63" t="str">
        <f t="shared" si="197"/>
        <v/>
      </c>
      <c r="H384" s="64" t="str">
        <f t="shared" si="198"/>
        <v/>
      </c>
      <c r="J384" s="63" t="str">
        <f t="shared" si="199"/>
        <v/>
      </c>
      <c r="K384" s="64" t="str">
        <f t="shared" si="200"/>
        <v/>
      </c>
      <c r="L384" s="63" t="str">
        <f t="shared" si="201"/>
        <v/>
      </c>
      <c r="M384" s="64" t="str">
        <f t="shared" si="202"/>
        <v/>
      </c>
      <c r="O384" s="63" t="str">
        <f t="shared" si="203"/>
        <v/>
      </c>
      <c r="P384" s="63" t="str">
        <f t="shared" si="204"/>
        <v/>
      </c>
      <c r="R384" s="63" t="str">
        <f t="shared" si="205"/>
        <v/>
      </c>
      <c r="S384" s="64" t="str">
        <f t="shared" si="206"/>
        <v/>
      </c>
      <c r="T384" s="63" t="str">
        <f t="shared" si="207"/>
        <v/>
      </c>
      <c r="U384" s="64" t="str">
        <f t="shared" si="208"/>
        <v/>
      </c>
      <c r="V384" s="207" t="str">
        <f>IF($A385="","",IF(AND(MONTH(A384)&gt;3,MONTH(A384)&lt;11),(T384+R384+G384)*Summary!$T$7/(1-Summary!$T$7),(T384+R384+G384)*Summary!$U$7/(1-Summary!$U$7)))</f>
        <v/>
      </c>
      <c r="W384" s="63" t="str">
        <f t="shared" si="209"/>
        <v/>
      </c>
      <c r="X384" s="63" t="str">
        <f t="shared" si="210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5"/>
        <v/>
      </c>
      <c r="AP384" s="33" t="str">
        <f t="shared" si="216"/>
        <v/>
      </c>
      <c r="AQ384" s="58" t="str">
        <f t="shared" si="193"/>
        <v/>
      </c>
      <c r="AR384" s="38">
        <f>IF(Summary!$H$2=1,VLOOKUP('ANR OK vs ML7'!A384,Curves!$C$17:$AR$273,MATCH('ANR OK vs ML7'!$AR$4,Curves!$C$8:$AQ$8,0)),0.1)</f>
        <v>0.1</v>
      </c>
      <c r="AS384" s="35" t="str">
        <f t="shared" si="194"/>
        <v/>
      </c>
      <c r="AT384" s="3" t="str">
        <f t="shared" si="217"/>
        <v/>
      </c>
      <c r="AU384" s="3" t="str">
        <f t="shared" si="195"/>
        <v/>
      </c>
      <c r="AW384" s="32" t="str">
        <f t="shared" si="218"/>
        <v/>
      </c>
      <c r="AX384" s="32" t="str">
        <f t="shared" si="219"/>
        <v/>
      </c>
      <c r="AY384" s="32" t="str">
        <f t="shared" si="220"/>
        <v/>
      </c>
      <c r="BA384" s="32" t="str">
        <f>IF($A385="","",F384*Summary!$Q$7)</f>
        <v/>
      </c>
    </row>
    <row r="385" spans="1:53">
      <c r="A385" s="67" t="str">
        <f t="shared" si="196"/>
        <v/>
      </c>
      <c r="B385" s="69" t="str">
        <f t="shared" si="221"/>
        <v/>
      </c>
      <c r="D385" s="69" t="str">
        <f t="shared" si="222"/>
        <v/>
      </c>
      <c r="E385" s="70" t="str">
        <f t="shared" si="186"/>
        <v/>
      </c>
      <c r="F385" s="70" t="str">
        <f t="shared" si="187"/>
        <v/>
      </c>
      <c r="G385" s="63" t="str">
        <f t="shared" si="197"/>
        <v/>
      </c>
      <c r="H385" s="64" t="str">
        <f t="shared" si="198"/>
        <v/>
      </c>
      <c r="J385" s="63" t="str">
        <f t="shared" si="199"/>
        <v/>
      </c>
      <c r="K385" s="64" t="str">
        <f t="shared" si="200"/>
        <v/>
      </c>
      <c r="L385" s="63" t="str">
        <f t="shared" si="201"/>
        <v/>
      </c>
      <c r="M385" s="64" t="str">
        <f t="shared" si="202"/>
        <v/>
      </c>
      <c r="O385" s="63" t="str">
        <f t="shared" si="203"/>
        <v/>
      </c>
      <c r="P385" s="63" t="str">
        <f t="shared" si="204"/>
        <v/>
      </c>
      <c r="R385" s="63" t="str">
        <f t="shared" si="205"/>
        <v/>
      </c>
      <c r="S385" s="64" t="str">
        <f t="shared" si="206"/>
        <v/>
      </c>
      <c r="T385" s="63" t="str">
        <f t="shared" si="207"/>
        <v/>
      </c>
      <c r="U385" s="64" t="str">
        <f t="shared" si="208"/>
        <v/>
      </c>
      <c r="V385" s="207" t="str">
        <f>IF($A386="","",IF(AND(MONTH(A385)&gt;3,MONTH(A385)&lt;11),(T385+R385+G385)*Summary!$T$7/(1-Summary!$T$7),(T385+R385+G385)*Summary!$U$7/(1-Summary!$U$7)))</f>
        <v/>
      </c>
      <c r="W385" s="63" t="str">
        <f t="shared" si="209"/>
        <v/>
      </c>
      <c r="X385" s="63" t="str">
        <f t="shared" si="210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5"/>
        <v/>
      </c>
      <c r="AP385" s="33" t="str">
        <f t="shared" si="216"/>
        <v/>
      </c>
      <c r="AQ385" s="58" t="str">
        <f t="shared" si="193"/>
        <v/>
      </c>
      <c r="AR385" s="38">
        <f>IF(Summary!$H$2=1,VLOOKUP('ANR OK vs ML7'!A385,Curves!$C$17:$AR$273,MATCH('ANR OK vs ML7'!$AR$4,Curves!$C$8:$AQ$8,0)),0.1)</f>
        <v>0.1</v>
      </c>
      <c r="AS385" s="35" t="str">
        <f t="shared" si="194"/>
        <v/>
      </c>
      <c r="AT385" s="3" t="str">
        <f t="shared" si="217"/>
        <v/>
      </c>
      <c r="AU385" s="3" t="str">
        <f t="shared" si="195"/>
        <v/>
      </c>
      <c r="AW385" s="32" t="str">
        <f t="shared" si="218"/>
        <v/>
      </c>
      <c r="AX385" s="32" t="str">
        <f t="shared" si="219"/>
        <v/>
      </c>
      <c r="AY385" s="32" t="str">
        <f t="shared" si="220"/>
        <v/>
      </c>
      <c r="BA385" s="32" t="str">
        <f>IF($A386="","",F385*Summary!$Q$7)</f>
        <v/>
      </c>
    </row>
    <row r="386" spans="1:53">
      <c r="A386" s="67" t="str">
        <f t="shared" si="196"/>
        <v/>
      </c>
      <c r="B386" s="69" t="str">
        <f t="shared" si="221"/>
        <v/>
      </c>
      <c r="D386" s="69" t="str">
        <f t="shared" si="222"/>
        <v/>
      </c>
      <c r="E386" s="70" t="str">
        <f t="shared" si="186"/>
        <v/>
      </c>
      <c r="F386" s="70" t="str">
        <f t="shared" si="187"/>
        <v/>
      </c>
      <c r="G386" s="63" t="str">
        <f t="shared" si="197"/>
        <v/>
      </c>
      <c r="H386" s="64" t="str">
        <f t="shared" si="198"/>
        <v/>
      </c>
      <c r="J386" s="63" t="str">
        <f t="shared" si="199"/>
        <v/>
      </c>
      <c r="K386" s="64" t="str">
        <f t="shared" si="200"/>
        <v/>
      </c>
      <c r="L386" s="63" t="str">
        <f t="shared" si="201"/>
        <v/>
      </c>
      <c r="M386" s="64" t="str">
        <f t="shared" si="202"/>
        <v/>
      </c>
      <c r="O386" s="63" t="str">
        <f t="shared" si="203"/>
        <v/>
      </c>
      <c r="P386" s="63" t="str">
        <f t="shared" si="204"/>
        <v/>
      </c>
      <c r="R386" s="63" t="str">
        <f t="shared" si="205"/>
        <v/>
      </c>
      <c r="S386" s="64" t="str">
        <f t="shared" si="206"/>
        <v/>
      </c>
      <c r="T386" s="63" t="str">
        <f t="shared" si="207"/>
        <v/>
      </c>
      <c r="U386" s="64" t="str">
        <f t="shared" si="208"/>
        <v/>
      </c>
      <c r="V386" s="207" t="str">
        <f>IF($A387="","",IF(AND(MONTH(A386)&gt;3,MONTH(A386)&lt;11),(T386+R386+G386)*Summary!$T$7/(1-Summary!$T$7),(T386+R386+G386)*Summary!$U$7/(1-Summary!$U$7)))</f>
        <v/>
      </c>
      <c r="W386" s="63" t="str">
        <f t="shared" si="209"/>
        <v/>
      </c>
      <c r="X386" s="63" t="str">
        <f t="shared" si="210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5"/>
        <v/>
      </c>
      <c r="AP386" s="33" t="str">
        <f t="shared" si="216"/>
        <v/>
      </c>
      <c r="AQ386" s="58" t="str">
        <f t="shared" si="193"/>
        <v/>
      </c>
      <c r="AR386" s="38">
        <f>IF(Summary!$H$2=1,VLOOKUP('ANR OK vs ML7'!A386,Curves!$C$17:$AR$273,MATCH('ANR OK vs ML7'!$AR$4,Curves!$C$8:$AQ$8,0)),0.1)</f>
        <v>0.1</v>
      </c>
      <c r="AS386" s="35" t="str">
        <f t="shared" si="194"/>
        <v/>
      </c>
      <c r="AT386" s="3" t="str">
        <f t="shared" si="217"/>
        <v/>
      </c>
      <c r="AU386" s="3" t="str">
        <f t="shared" si="195"/>
        <v/>
      </c>
      <c r="AW386" s="32" t="str">
        <f t="shared" si="218"/>
        <v/>
      </c>
      <c r="AX386" s="32" t="str">
        <f t="shared" si="219"/>
        <v/>
      </c>
      <c r="AY386" s="32" t="str">
        <f t="shared" si="220"/>
        <v/>
      </c>
      <c r="BA386" s="32" t="str">
        <f>IF($A387="","",F386*Summary!$Q$7)</f>
        <v/>
      </c>
    </row>
    <row r="387" spans="1:53">
      <c r="A387" s="67" t="str">
        <f t="shared" si="196"/>
        <v/>
      </c>
      <c r="B387" s="69" t="str">
        <f t="shared" si="221"/>
        <v/>
      </c>
      <c r="D387" s="69" t="str">
        <f t="shared" si="222"/>
        <v/>
      </c>
      <c r="E387" s="70" t="str">
        <f t="shared" si="186"/>
        <v/>
      </c>
      <c r="F387" s="70" t="str">
        <f t="shared" si="187"/>
        <v/>
      </c>
      <c r="G387" s="63" t="str">
        <f t="shared" si="197"/>
        <v/>
      </c>
      <c r="H387" s="64" t="str">
        <f t="shared" si="198"/>
        <v/>
      </c>
      <c r="J387" s="63" t="str">
        <f t="shared" si="199"/>
        <v/>
      </c>
      <c r="K387" s="64" t="str">
        <f t="shared" si="200"/>
        <v/>
      </c>
      <c r="L387" s="63" t="str">
        <f t="shared" si="201"/>
        <v/>
      </c>
      <c r="M387" s="64" t="str">
        <f t="shared" si="202"/>
        <v/>
      </c>
      <c r="O387" s="63" t="str">
        <f t="shared" si="203"/>
        <v/>
      </c>
      <c r="P387" s="63" t="str">
        <f t="shared" si="204"/>
        <v/>
      </c>
      <c r="R387" s="63" t="str">
        <f t="shared" si="205"/>
        <v/>
      </c>
      <c r="S387" s="64" t="str">
        <f t="shared" si="206"/>
        <v/>
      </c>
      <c r="T387" s="63" t="str">
        <f t="shared" si="207"/>
        <v/>
      </c>
      <c r="U387" s="64" t="str">
        <f t="shared" si="208"/>
        <v/>
      </c>
      <c r="V387" s="207" t="str">
        <f>IF($A388="","",IF(AND(MONTH(A387)&gt;3,MONTH(A387)&lt;11),(T387+R387+G387)*Summary!$T$7/(1-Summary!$T$7),(T387+R387+G387)*Summary!$U$7/(1-Summary!$U$7)))</f>
        <v/>
      </c>
      <c r="W387" s="63" t="str">
        <f t="shared" si="209"/>
        <v/>
      </c>
      <c r="X387" s="63" t="str">
        <f t="shared" si="210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5"/>
        <v/>
      </c>
      <c r="AP387" s="33" t="str">
        <f t="shared" si="216"/>
        <v/>
      </c>
      <c r="AQ387" s="58" t="str">
        <f t="shared" si="193"/>
        <v/>
      </c>
      <c r="AR387" s="38">
        <f>IF(Summary!$H$2=1,VLOOKUP('ANR OK vs ML7'!A387,Curves!$C$17:$AR$273,MATCH('ANR OK vs ML7'!$AR$4,Curves!$C$8:$AQ$8,0)),0.1)</f>
        <v>0.1</v>
      </c>
      <c r="AS387" s="35" t="str">
        <f t="shared" si="194"/>
        <v/>
      </c>
      <c r="AT387" s="3" t="str">
        <f t="shared" si="217"/>
        <v/>
      </c>
      <c r="AU387" s="3" t="str">
        <f t="shared" si="195"/>
        <v/>
      </c>
      <c r="AW387" s="32" t="str">
        <f t="shared" si="218"/>
        <v/>
      </c>
      <c r="AX387" s="32" t="str">
        <f t="shared" si="219"/>
        <v/>
      </c>
      <c r="AY387" s="32" t="str">
        <f t="shared" si="220"/>
        <v/>
      </c>
      <c r="BA387" s="32" t="str">
        <f>IF($A388="","",F387*Summary!$Q$7)</f>
        <v/>
      </c>
    </row>
    <row r="388" spans="1:53">
      <c r="A388" s="67" t="str">
        <f t="shared" si="196"/>
        <v/>
      </c>
      <c r="B388" s="69" t="str">
        <f t="shared" si="221"/>
        <v/>
      </c>
      <c r="D388" s="69" t="str">
        <f t="shared" si="222"/>
        <v/>
      </c>
      <c r="E388" s="70" t="str">
        <f t="shared" si="186"/>
        <v/>
      </c>
      <c r="F388" s="70" t="str">
        <f t="shared" si="187"/>
        <v/>
      </c>
      <c r="G388" s="63" t="str">
        <f t="shared" si="197"/>
        <v/>
      </c>
      <c r="H388" s="64" t="str">
        <f t="shared" si="198"/>
        <v/>
      </c>
      <c r="J388" s="63" t="str">
        <f t="shared" si="199"/>
        <v/>
      </c>
      <c r="K388" s="64" t="str">
        <f t="shared" si="200"/>
        <v/>
      </c>
      <c r="L388" s="63" t="str">
        <f t="shared" si="201"/>
        <v/>
      </c>
      <c r="M388" s="64" t="str">
        <f t="shared" si="202"/>
        <v/>
      </c>
      <c r="O388" s="63" t="str">
        <f t="shared" si="203"/>
        <v/>
      </c>
      <c r="P388" s="63" t="str">
        <f t="shared" si="204"/>
        <v/>
      </c>
      <c r="R388" s="63" t="str">
        <f t="shared" si="205"/>
        <v/>
      </c>
      <c r="S388" s="64" t="str">
        <f t="shared" si="206"/>
        <v/>
      </c>
      <c r="T388" s="63" t="str">
        <f t="shared" si="207"/>
        <v/>
      </c>
      <c r="U388" s="64" t="str">
        <f t="shared" si="208"/>
        <v/>
      </c>
      <c r="V388" s="207" t="str">
        <f>IF($A389="","",IF(AND(MONTH(A388)&gt;3,MONTH(A388)&lt;11),(T388+R388+G388)*Summary!$T$7/(1-Summary!$T$7),(T388+R388+G388)*Summary!$U$7/(1-Summary!$U$7)))</f>
        <v/>
      </c>
      <c r="W388" s="63" t="str">
        <f t="shared" si="209"/>
        <v/>
      </c>
      <c r="X388" s="63" t="str">
        <f t="shared" si="210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5"/>
        <v/>
      </c>
      <c r="AP388" s="33" t="str">
        <f t="shared" si="216"/>
        <v/>
      </c>
      <c r="AQ388" s="58" t="str">
        <f t="shared" si="193"/>
        <v/>
      </c>
      <c r="AR388" s="38">
        <f>IF(Summary!$H$2=1,VLOOKUP('ANR OK vs ML7'!A388,Curves!$C$17:$AR$273,MATCH('ANR OK vs ML7'!$AR$4,Curves!$C$8:$AQ$8,0)),0.1)</f>
        <v>0.1</v>
      </c>
      <c r="AS388" s="35" t="str">
        <f t="shared" si="194"/>
        <v/>
      </c>
      <c r="AT388" s="3" t="str">
        <f t="shared" si="217"/>
        <v/>
      </c>
      <c r="AU388" s="3" t="str">
        <f t="shared" si="195"/>
        <v/>
      </c>
      <c r="AW388" s="32" t="str">
        <f t="shared" si="218"/>
        <v/>
      </c>
      <c r="AX388" s="32" t="str">
        <f t="shared" si="219"/>
        <v/>
      </c>
      <c r="AY388" s="32" t="str">
        <f t="shared" si="220"/>
        <v/>
      </c>
      <c r="BA388" s="32" t="str">
        <f>IF($A389="","",F388*Summary!$Q$7)</f>
        <v/>
      </c>
    </row>
    <row r="389" spans="1:53">
      <c r="A389" s="67" t="str">
        <f t="shared" si="196"/>
        <v/>
      </c>
      <c r="B389" s="69" t="str">
        <f t="shared" si="221"/>
        <v/>
      </c>
      <c r="D389" s="69" t="str">
        <f t="shared" si="222"/>
        <v/>
      </c>
      <c r="E389" s="70" t="str">
        <f t="shared" si="186"/>
        <v/>
      </c>
      <c r="F389" s="70" t="str">
        <f t="shared" si="187"/>
        <v/>
      </c>
      <c r="G389" s="63" t="str">
        <f t="shared" si="197"/>
        <v/>
      </c>
      <c r="H389" s="64" t="str">
        <f t="shared" si="198"/>
        <v/>
      </c>
      <c r="J389" s="63" t="str">
        <f t="shared" si="199"/>
        <v/>
      </c>
      <c r="K389" s="64" t="str">
        <f t="shared" si="200"/>
        <v/>
      </c>
      <c r="L389" s="63" t="str">
        <f t="shared" si="201"/>
        <v/>
      </c>
      <c r="M389" s="64" t="str">
        <f t="shared" si="202"/>
        <v/>
      </c>
      <c r="O389" s="63" t="str">
        <f t="shared" si="203"/>
        <v/>
      </c>
      <c r="P389" s="63" t="str">
        <f t="shared" si="204"/>
        <v/>
      </c>
      <c r="R389" s="63" t="str">
        <f t="shared" si="205"/>
        <v/>
      </c>
      <c r="S389" s="64" t="str">
        <f t="shared" si="206"/>
        <v/>
      </c>
      <c r="T389" s="63" t="str">
        <f t="shared" si="207"/>
        <v/>
      </c>
      <c r="U389" s="64" t="str">
        <f t="shared" si="208"/>
        <v/>
      </c>
      <c r="V389" s="207" t="str">
        <f>IF($A390="","",IF(AND(MONTH(A389)&gt;3,MONTH(A389)&lt;11),(T389+R389+G389)*Summary!$T$7/(1-Summary!$T$7),(T389+R389+G389)*Summary!$U$7/(1-Summary!$U$7)))</f>
        <v/>
      </c>
      <c r="W389" s="63" t="str">
        <f t="shared" si="209"/>
        <v/>
      </c>
      <c r="X389" s="63" t="str">
        <f t="shared" si="210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5"/>
        <v/>
      </c>
      <c r="AP389" s="33" t="str">
        <f t="shared" si="216"/>
        <v/>
      </c>
      <c r="AQ389" s="58" t="str">
        <f t="shared" si="193"/>
        <v/>
      </c>
      <c r="AR389" s="38">
        <f>IF(Summary!$H$2=1,VLOOKUP('ANR OK vs ML7'!A389,Curves!$C$17:$AR$273,MATCH('ANR OK vs ML7'!$AR$4,Curves!$C$8:$AQ$8,0)),0.1)</f>
        <v>0.1</v>
      </c>
      <c r="AS389" s="35" t="str">
        <f t="shared" si="194"/>
        <v/>
      </c>
      <c r="AT389" s="3" t="str">
        <f t="shared" si="217"/>
        <v/>
      </c>
      <c r="AU389" s="3" t="str">
        <f t="shared" si="195"/>
        <v/>
      </c>
      <c r="AW389" s="32" t="str">
        <f t="shared" si="218"/>
        <v/>
      </c>
      <c r="AX389" s="32" t="str">
        <f t="shared" si="219"/>
        <v/>
      </c>
      <c r="AY389" s="32" t="str">
        <f t="shared" si="220"/>
        <v/>
      </c>
      <c r="BA389" s="32" t="str">
        <f>IF($A390="","",F389*Summary!$Q$7)</f>
        <v/>
      </c>
    </row>
    <row r="390" spans="1:53">
      <c r="A390" s="67" t="str">
        <f t="shared" si="196"/>
        <v/>
      </c>
      <c r="B390" s="69" t="str">
        <f t="shared" si="221"/>
        <v/>
      </c>
      <c r="D390" s="69" t="str">
        <f t="shared" si="222"/>
        <v/>
      </c>
      <c r="E390" s="70" t="str">
        <f t="shared" si="186"/>
        <v/>
      </c>
      <c r="F390" s="70" t="str">
        <f t="shared" si="187"/>
        <v/>
      </c>
      <c r="G390" s="63" t="str">
        <f t="shared" si="197"/>
        <v/>
      </c>
      <c r="H390" s="64" t="str">
        <f t="shared" si="198"/>
        <v/>
      </c>
      <c r="J390" s="63" t="str">
        <f t="shared" si="199"/>
        <v/>
      </c>
      <c r="K390" s="64" t="str">
        <f t="shared" si="200"/>
        <v/>
      </c>
      <c r="L390" s="63" t="str">
        <f t="shared" si="201"/>
        <v/>
      </c>
      <c r="M390" s="64" t="str">
        <f t="shared" si="202"/>
        <v/>
      </c>
      <c r="O390" s="63" t="str">
        <f t="shared" si="203"/>
        <v/>
      </c>
      <c r="P390" s="63" t="str">
        <f t="shared" si="204"/>
        <v/>
      </c>
      <c r="R390" s="63" t="str">
        <f t="shared" si="205"/>
        <v/>
      </c>
      <c r="S390" s="64" t="str">
        <f t="shared" si="206"/>
        <v/>
      </c>
      <c r="T390" s="63" t="str">
        <f t="shared" si="207"/>
        <v/>
      </c>
      <c r="U390" s="64" t="str">
        <f t="shared" si="208"/>
        <v/>
      </c>
      <c r="V390" s="207" t="str">
        <f>IF($A391="","",IF(AND(MONTH(A390)&gt;3,MONTH(A390)&lt;11),(T390+R390+G390)*Summary!$T$7/(1-Summary!$T$7),(T390+R390+G390)*Summary!$U$7/(1-Summary!$U$7)))</f>
        <v/>
      </c>
      <c r="W390" s="63" t="str">
        <f t="shared" si="209"/>
        <v/>
      </c>
      <c r="X390" s="63" t="str">
        <f t="shared" si="210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5"/>
        <v/>
      </c>
      <c r="AP390" s="33" t="str">
        <f t="shared" si="216"/>
        <v/>
      </c>
      <c r="AQ390" s="58" t="str">
        <f t="shared" si="193"/>
        <v/>
      </c>
      <c r="AR390" s="38">
        <f>IF(Summary!$H$2=1,VLOOKUP('ANR OK vs ML7'!A390,Curves!$C$17:$AR$273,MATCH('ANR OK vs ML7'!$AR$4,Curves!$C$8:$AQ$8,0)),0.1)</f>
        <v>0.1</v>
      </c>
      <c r="AS390" s="35" t="str">
        <f t="shared" si="194"/>
        <v/>
      </c>
      <c r="AT390" s="3" t="str">
        <f t="shared" si="217"/>
        <v/>
      </c>
      <c r="AU390" s="3" t="str">
        <f t="shared" si="195"/>
        <v/>
      </c>
      <c r="AW390" s="32" t="str">
        <f t="shared" si="218"/>
        <v/>
      </c>
      <c r="AX390" s="32" t="str">
        <f t="shared" si="219"/>
        <v/>
      </c>
      <c r="AY390" s="32" t="str">
        <f t="shared" si="220"/>
        <v/>
      </c>
      <c r="BA390" s="32" t="str">
        <f>IF($A391="","",F390*Summary!$Q$7)</f>
        <v/>
      </c>
    </row>
    <row r="391" spans="1:53">
      <c r="A391" s="67" t="str">
        <f t="shared" si="196"/>
        <v/>
      </c>
      <c r="B391" s="69" t="str">
        <f t="shared" si="221"/>
        <v/>
      </c>
      <c r="D391" s="69" t="str">
        <f t="shared" si="222"/>
        <v/>
      </c>
      <c r="E391" s="70" t="str">
        <f t="shared" si="186"/>
        <v/>
      </c>
      <c r="F391" s="70" t="str">
        <f t="shared" si="187"/>
        <v/>
      </c>
      <c r="G391" s="63" t="str">
        <f t="shared" si="197"/>
        <v/>
      </c>
      <c r="H391" s="64" t="str">
        <f t="shared" si="198"/>
        <v/>
      </c>
      <c r="J391" s="63" t="str">
        <f t="shared" si="199"/>
        <v/>
      </c>
      <c r="K391" s="64" t="str">
        <f t="shared" si="200"/>
        <v/>
      </c>
      <c r="L391" s="63" t="str">
        <f t="shared" si="201"/>
        <v/>
      </c>
      <c r="M391" s="64" t="str">
        <f t="shared" si="202"/>
        <v/>
      </c>
      <c r="O391" s="63" t="str">
        <f t="shared" si="203"/>
        <v/>
      </c>
      <c r="P391" s="63" t="str">
        <f t="shared" si="204"/>
        <v/>
      </c>
      <c r="R391" s="63" t="str">
        <f t="shared" si="205"/>
        <v/>
      </c>
      <c r="S391" s="64" t="str">
        <f t="shared" si="206"/>
        <v/>
      </c>
      <c r="T391" s="63" t="str">
        <f t="shared" si="207"/>
        <v/>
      </c>
      <c r="U391" s="64" t="str">
        <f t="shared" si="208"/>
        <v/>
      </c>
      <c r="V391" s="207" t="str">
        <f>IF($A392="","",IF(AND(MONTH(A391)&gt;3,MONTH(A391)&lt;11),(T391+R391+G391)*Summary!$T$7/(1-Summary!$T$7),(T391+R391+G391)*Summary!$U$7/(1-Summary!$U$7)))</f>
        <v/>
      </c>
      <c r="W391" s="63" t="str">
        <f t="shared" si="209"/>
        <v/>
      </c>
      <c r="X391" s="63" t="str">
        <f t="shared" si="210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5"/>
        <v/>
      </c>
      <c r="AP391" s="33" t="str">
        <f t="shared" si="216"/>
        <v/>
      </c>
      <c r="AQ391" s="58" t="str">
        <f t="shared" si="193"/>
        <v/>
      </c>
      <c r="AR391" s="38">
        <f>IF(Summary!$H$2=1,VLOOKUP('ANR OK vs ML7'!A391,Curves!$C$17:$AR$273,MATCH('ANR OK vs ML7'!$AR$4,Curves!$C$8:$AQ$8,0)),0.1)</f>
        <v>0.1</v>
      </c>
      <c r="AS391" s="35" t="str">
        <f t="shared" si="194"/>
        <v/>
      </c>
      <c r="AT391" s="3" t="str">
        <f t="shared" si="217"/>
        <v/>
      </c>
      <c r="AU391" s="3" t="str">
        <f t="shared" si="195"/>
        <v/>
      </c>
      <c r="AW391" s="32" t="str">
        <f t="shared" si="218"/>
        <v/>
      </c>
      <c r="AX391" s="32" t="str">
        <f t="shared" si="219"/>
        <v/>
      </c>
      <c r="AY391" s="32" t="str">
        <f t="shared" si="220"/>
        <v/>
      </c>
      <c r="BA391" s="32" t="str">
        <f>IF($A392="","",F391*Summary!$Q$7)</f>
        <v/>
      </c>
    </row>
    <row r="392" spans="1:53">
      <c r="A392" s="67" t="str">
        <f t="shared" si="196"/>
        <v/>
      </c>
      <c r="B392" s="69" t="str">
        <f t="shared" si="221"/>
        <v/>
      </c>
      <c r="D392" s="69" t="str">
        <f t="shared" si="222"/>
        <v/>
      </c>
      <c r="E392" s="70" t="str">
        <f t="shared" si="186"/>
        <v/>
      </c>
      <c r="F392" s="70" t="str">
        <f t="shared" si="187"/>
        <v/>
      </c>
      <c r="G392" s="63" t="str">
        <f t="shared" si="197"/>
        <v/>
      </c>
      <c r="H392" s="64" t="str">
        <f t="shared" si="198"/>
        <v/>
      </c>
      <c r="J392" s="63" t="str">
        <f t="shared" si="199"/>
        <v/>
      </c>
      <c r="K392" s="64" t="str">
        <f t="shared" si="200"/>
        <v/>
      </c>
      <c r="L392" s="63" t="str">
        <f t="shared" si="201"/>
        <v/>
      </c>
      <c r="M392" s="64" t="str">
        <f t="shared" si="202"/>
        <v/>
      </c>
      <c r="O392" s="63" t="str">
        <f t="shared" si="203"/>
        <v/>
      </c>
      <c r="P392" s="63" t="str">
        <f t="shared" si="204"/>
        <v/>
      </c>
      <c r="R392" s="63" t="str">
        <f t="shared" si="205"/>
        <v/>
      </c>
      <c r="S392" s="64" t="str">
        <f t="shared" si="206"/>
        <v/>
      </c>
      <c r="T392" s="63" t="str">
        <f t="shared" si="207"/>
        <v/>
      </c>
      <c r="U392" s="64" t="str">
        <f t="shared" si="208"/>
        <v/>
      </c>
      <c r="V392" s="207" t="str">
        <f>IF($A393="","",IF(AND(MONTH(A392)&gt;3,MONTH(A392)&lt;11),(T392+R392+G392)*Summary!$T$7/(1-Summary!$T$7),(T392+R392+G392)*Summary!$U$7/(1-Summary!$U$7)))</f>
        <v/>
      </c>
      <c r="W392" s="63" t="str">
        <f t="shared" si="209"/>
        <v/>
      </c>
      <c r="X392" s="63" t="str">
        <f t="shared" si="210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5"/>
        <v/>
      </c>
      <c r="AP392" s="33" t="str">
        <f t="shared" si="216"/>
        <v/>
      </c>
      <c r="AQ392" s="58" t="str">
        <f t="shared" si="193"/>
        <v/>
      </c>
      <c r="AR392" s="38">
        <f>IF(Summary!$H$2=1,VLOOKUP('ANR OK vs ML7'!A392,Curves!$C$17:$AR$273,MATCH('ANR OK vs ML7'!$AR$4,Curves!$C$8:$AQ$8,0)),0.1)</f>
        <v>0.1</v>
      </c>
      <c r="AS392" s="35" t="str">
        <f t="shared" si="194"/>
        <v/>
      </c>
      <c r="AT392" s="3" t="str">
        <f t="shared" si="217"/>
        <v/>
      </c>
      <c r="AU392" s="3" t="str">
        <f t="shared" si="195"/>
        <v/>
      </c>
      <c r="AW392" s="32" t="str">
        <f t="shared" si="218"/>
        <v/>
      </c>
      <c r="AX392" s="32" t="str">
        <f t="shared" si="219"/>
        <v/>
      </c>
      <c r="AY392" s="32" t="str">
        <f t="shared" si="220"/>
        <v/>
      </c>
      <c r="BA392" s="32" t="str">
        <f>IF($A393="","",F392*Summary!$Q$7)</f>
        <v/>
      </c>
    </row>
    <row r="393" spans="1:53">
      <c r="A393" s="67" t="str">
        <f t="shared" si="196"/>
        <v/>
      </c>
      <c r="B393" s="69" t="str">
        <f t="shared" si="221"/>
        <v/>
      </c>
      <c r="D393" s="69" t="str">
        <f t="shared" si="222"/>
        <v/>
      </c>
      <c r="E393" s="70" t="str">
        <f t="shared" si="186"/>
        <v/>
      </c>
      <c r="F393" s="70" t="str">
        <f t="shared" si="187"/>
        <v/>
      </c>
      <c r="G393" s="63" t="str">
        <f t="shared" si="197"/>
        <v/>
      </c>
      <c r="H393" s="64" t="str">
        <f t="shared" si="198"/>
        <v/>
      </c>
      <c r="J393" s="63" t="str">
        <f t="shared" si="199"/>
        <v/>
      </c>
      <c r="K393" s="64" t="str">
        <f t="shared" si="200"/>
        <v/>
      </c>
      <c r="L393" s="63" t="str">
        <f t="shared" si="201"/>
        <v/>
      </c>
      <c r="M393" s="64" t="str">
        <f t="shared" si="202"/>
        <v/>
      </c>
      <c r="O393" s="63" t="str">
        <f t="shared" si="203"/>
        <v/>
      </c>
      <c r="P393" s="63" t="str">
        <f t="shared" si="204"/>
        <v/>
      </c>
      <c r="R393" s="63" t="str">
        <f t="shared" si="205"/>
        <v/>
      </c>
      <c r="S393" s="64" t="str">
        <f t="shared" si="206"/>
        <v/>
      </c>
      <c r="T393" s="63" t="str">
        <f t="shared" si="207"/>
        <v/>
      </c>
      <c r="U393" s="64" t="str">
        <f t="shared" si="208"/>
        <v/>
      </c>
      <c r="V393" s="207" t="str">
        <f>IF($A394="","",IF(AND(MONTH(A393)&gt;3,MONTH(A393)&lt;11),(T393+R393+G393)*Summary!$T$7/(1-Summary!$T$7),(T393+R393+G393)*Summary!$U$7/(1-Summary!$U$7)))</f>
        <v/>
      </c>
      <c r="W393" s="63" t="str">
        <f t="shared" si="209"/>
        <v/>
      </c>
      <c r="X393" s="63" t="str">
        <f t="shared" si="210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5"/>
        <v/>
      </c>
      <c r="AP393" s="33" t="str">
        <f t="shared" si="216"/>
        <v/>
      </c>
      <c r="AQ393" s="58" t="str">
        <f t="shared" si="193"/>
        <v/>
      </c>
      <c r="AR393" s="38">
        <f>IF(Summary!$H$2=1,VLOOKUP('ANR OK vs ML7'!A393,Curves!$C$17:$AR$273,MATCH('ANR OK vs ML7'!$AR$4,Curves!$C$8:$AQ$8,0)),0.1)</f>
        <v>0.1</v>
      </c>
      <c r="AS393" s="35" t="str">
        <f t="shared" si="194"/>
        <v/>
      </c>
      <c r="AT393" s="3" t="str">
        <f t="shared" si="217"/>
        <v/>
      </c>
      <c r="AU393" s="3" t="str">
        <f t="shared" si="195"/>
        <v/>
      </c>
      <c r="AW393" s="32" t="str">
        <f t="shared" si="218"/>
        <v/>
      </c>
      <c r="AX393" s="32" t="str">
        <f t="shared" si="219"/>
        <v/>
      </c>
      <c r="AY393" s="32" t="str">
        <f t="shared" si="220"/>
        <v/>
      </c>
      <c r="BA393" s="32" t="str">
        <f>IF($A394="","",F393*Summary!$Q$7)</f>
        <v/>
      </c>
    </row>
    <row r="394" spans="1:53">
      <c r="A394" s="67" t="str">
        <f t="shared" si="196"/>
        <v/>
      </c>
      <c r="B394" s="69" t="str">
        <f t="shared" si="221"/>
        <v/>
      </c>
      <c r="D394" s="69" t="str">
        <f t="shared" si="222"/>
        <v/>
      </c>
      <c r="E394" s="70" t="str">
        <f t="shared" ref="E394:E457" si="223">IF(A395="","",IF(AND(AT394=1,$H$3=1),D394*AO394,IF($H$3=2,D394,"N/A")))</f>
        <v/>
      </c>
      <c r="F394" s="70" t="str">
        <f t="shared" ref="F394:F457" si="224">IF(A395="","",E394*AS394)</f>
        <v/>
      </c>
      <c r="G394" s="63" t="str">
        <f t="shared" si="197"/>
        <v/>
      </c>
      <c r="H394" s="64" t="str">
        <f t="shared" si="198"/>
        <v/>
      </c>
      <c r="J394" s="63" t="str">
        <f t="shared" si="199"/>
        <v/>
      </c>
      <c r="K394" s="64" t="str">
        <f t="shared" si="200"/>
        <v/>
      </c>
      <c r="L394" s="63" t="str">
        <f t="shared" si="201"/>
        <v/>
      </c>
      <c r="M394" s="64" t="str">
        <f t="shared" si="202"/>
        <v/>
      </c>
      <c r="O394" s="63" t="str">
        <f t="shared" si="203"/>
        <v/>
      </c>
      <c r="P394" s="63" t="str">
        <f t="shared" si="204"/>
        <v/>
      </c>
      <c r="R394" s="63" t="str">
        <f t="shared" si="205"/>
        <v/>
      </c>
      <c r="S394" s="64" t="str">
        <f t="shared" si="206"/>
        <v/>
      </c>
      <c r="T394" s="63" t="str">
        <f t="shared" si="207"/>
        <v/>
      </c>
      <c r="U394" s="64" t="str">
        <f t="shared" si="208"/>
        <v/>
      </c>
      <c r="V394" s="207" t="str">
        <f>IF($A395="","",IF(AND(MONTH(A394)&gt;3,MONTH(A394)&lt;11),(T394+R394+G394)*Summary!$T$7/(1-Summary!$T$7),(T394+R394+G394)*Summary!$U$7/(1-Summary!$U$7)))</f>
        <v/>
      </c>
      <c r="W394" s="63" t="str">
        <f t="shared" si="209"/>
        <v/>
      </c>
      <c r="X394" s="63" t="str">
        <f t="shared" si="210"/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si="215"/>
        <v/>
      </c>
      <c r="AP394" s="33" t="str">
        <f t="shared" si="216"/>
        <v/>
      </c>
      <c r="AQ394" s="58" t="str">
        <f t="shared" ref="AQ394:AQ457" si="225">IF(A395="","",AP394-$E$1)</f>
        <v/>
      </c>
      <c r="AR394" s="38">
        <f>IF(Summary!$H$2=1,VLOOKUP('ANR OK vs ML7'!A394,Curves!$C$17:$AR$273,MATCH('ANR OK vs ML7'!$AR$4,Curves!$C$8:$AQ$8,0)),0.1)</f>
        <v>0.1</v>
      </c>
      <c r="AS394" s="35" t="str">
        <f t="shared" ref="AS394:AS457" si="226">IF(A395="","",1/(1+CHOOSE(F$3,(AR395+($I$3/10000))/2,(AR394+($I$3/10000))/2))^(2*AQ394/365.25))</f>
        <v/>
      </c>
      <c r="AT394" s="3" t="str">
        <f t="shared" si="217"/>
        <v/>
      </c>
      <c r="AU394" s="3" t="str">
        <f t="shared" ref="AU394:AU457" si="227">IF(A395="","",AO394*AT394)</f>
        <v/>
      </c>
      <c r="AW394" s="32" t="str">
        <f t="shared" si="218"/>
        <v/>
      </c>
      <c r="AX394" s="32" t="str">
        <f t="shared" si="219"/>
        <v/>
      </c>
      <c r="AY394" s="32" t="str">
        <f t="shared" si="220"/>
        <v/>
      </c>
      <c r="BA394" s="32" t="str">
        <f>IF($A395="","",F394*Summary!$Q$7)</f>
        <v/>
      </c>
    </row>
    <row r="395" spans="1:53">
      <c r="A395" s="67" t="str">
        <f t="shared" ref="A395:A458" si="228">IF(A394&lt;mthend,EDATE(A394,1),"")</f>
        <v/>
      </c>
      <c r="B395" s="69" t="str">
        <f t="shared" si="221"/>
        <v/>
      </c>
      <c r="D395" s="69" t="str">
        <f t="shared" si="222"/>
        <v/>
      </c>
      <c r="E395" s="70" t="str">
        <f t="shared" si="223"/>
        <v/>
      </c>
      <c r="F395" s="70" t="str">
        <f t="shared" si="224"/>
        <v/>
      </c>
      <c r="G395" s="63" t="str">
        <f t="shared" ref="G395:G458" si="229">IF($A396="","",VLOOKUP($A395,Table,MATCH(G$4,Curves,0)))</f>
        <v/>
      </c>
      <c r="H395" s="64" t="str">
        <f t="shared" ref="H395:H458" si="230">IF(A396="","",G395)</f>
        <v/>
      </c>
      <c r="J395" s="63" t="str">
        <f t="shared" ref="J395:J458" si="231">IF($A396="","",VLOOKUP($A395,Table,MATCH(J$4,Curves,0)))</f>
        <v/>
      </c>
      <c r="K395" s="64" t="str">
        <f t="shared" ref="K395:K458" si="232">IF(A396="","",J395)</f>
        <v/>
      </c>
      <c r="L395" s="63" t="str">
        <f t="shared" ref="L395:L458" si="233">IF($A396="","",VLOOKUP($A395,Table,MATCH(L$4,Curves,0)))</f>
        <v/>
      </c>
      <c r="M395" s="64" t="str">
        <f t="shared" ref="M395:M458" si="234">IF(A396="","",L395)</f>
        <v/>
      </c>
      <c r="O395" s="63" t="str">
        <f t="shared" ref="O395:O458" si="235">IF(A396="","",L395+J395+G395)</f>
        <v/>
      </c>
      <c r="P395" s="63" t="str">
        <f t="shared" ref="P395:P458" si="236">IF(A396="","",M395+K395+H395)</f>
        <v/>
      </c>
      <c r="R395" s="63" t="str">
        <f t="shared" ref="R395:R458" si="237">IF($A396="","",VLOOKUP($A395,Table,MATCH(R$4,Curves,0)))</f>
        <v/>
      </c>
      <c r="S395" s="64" t="str">
        <f t="shared" ref="S395:S458" si="238">IF(A396="","",R395)</f>
        <v/>
      </c>
      <c r="T395" s="63" t="str">
        <f t="shared" ref="T395:T458" si="239">IF($A396="","",VLOOKUP($A395,Table,MATCH(T$4,Curves,0)))</f>
        <v/>
      </c>
      <c r="U395" s="64" t="str">
        <f t="shared" ref="U395:U458" si="240">IF(A396="","",T395)</f>
        <v/>
      </c>
      <c r="V395" s="207" t="str">
        <f>IF($A396="","",IF(AND(MONTH(A395)&gt;3,MONTH(A395)&lt;11),(T395+R395+G395)*Summary!$T$7/(1-Summary!$T$7),(T395+R395+G395)*Summary!$U$7/(1-Summary!$U$7)))</f>
        <v/>
      </c>
      <c r="W395" s="63" t="str">
        <f t="shared" ref="W395:W458" si="241">IF($A396="","",(T395+R395+G395+V395))</f>
        <v/>
      </c>
      <c r="X395" s="63" t="str">
        <f t="shared" ref="X395:X458" si="242">IF($A396="","",(U395+S395+H395+V395))</f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ref="AO395:AO458" si="243">IF(A396="","",A396-A395)</f>
        <v/>
      </c>
      <c r="AP395" s="33" t="str">
        <f t="shared" ref="AP395:AP458" si="244">IF(A396="","",CHOOSE(F$3,A396+24,A395))</f>
        <v/>
      </c>
      <c r="AQ395" s="58" t="str">
        <f t="shared" si="225"/>
        <v/>
      </c>
      <c r="AR395" s="38">
        <f>IF(Summary!$H$2=1,VLOOKUP('ANR OK vs ML7'!A395,Curves!$C$17:$AR$273,MATCH('ANR OK vs ML7'!$AR$4,Curves!$C$8:$AQ$8,0)),0.1)</f>
        <v>0.1</v>
      </c>
      <c r="AS395" s="35" t="str">
        <f t="shared" si="226"/>
        <v/>
      </c>
      <c r="AT395" s="3" t="str">
        <f t="shared" ref="AT395:AT458" si="245">IF(A396="","",IF(AND(mthbeg&lt;=A395,mthend&gt;=A395),1,0))</f>
        <v/>
      </c>
      <c r="AU395" s="3" t="str">
        <f t="shared" si="227"/>
        <v/>
      </c>
      <c r="AW395" s="32" t="str">
        <f t="shared" ref="AW395:AW458" si="246">IF($A396="","",AL395*$E395)</f>
        <v/>
      </c>
      <c r="AX395" s="32" t="str">
        <f t="shared" ref="AX395:AX458" si="247">IF($A396="","",AM395*$E395)</f>
        <v/>
      </c>
      <c r="AY395" s="32" t="str">
        <f t="shared" ref="AY395:AY458" si="248">IF($A396="","",AN395*$E395)</f>
        <v/>
      </c>
      <c r="BA395" s="32" t="str">
        <f>IF($A396="","",F395*Summary!$Q$7)</f>
        <v/>
      </c>
    </row>
    <row r="396" spans="1:53">
      <c r="A396" s="67" t="str">
        <f t="shared" si="228"/>
        <v/>
      </c>
      <c r="B396" s="69" t="str">
        <f t="shared" ref="B396:B459" si="249">IF(A396&lt;mthend,B395,"")</f>
        <v/>
      </c>
      <c r="D396" s="69" t="str">
        <f t="shared" ref="D396:D459" si="250">IF(A397&lt;&gt;"",B396+C396,"")</f>
        <v/>
      </c>
      <c r="E396" s="70" t="str">
        <f t="shared" si="223"/>
        <v/>
      </c>
      <c r="F396" s="70" t="str">
        <f t="shared" si="224"/>
        <v/>
      </c>
      <c r="G396" s="63" t="str">
        <f t="shared" si="229"/>
        <v/>
      </c>
      <c r="H396" s="64" t="str">
        <f t="shared" si="230"/>
        <v/>
      </c>
      <c r="J396" s="63" t="str">
        <f t="shared" si="231"/>
        <v/>
      </c>
      <c r="K396" s="64" t="str">
        <f t="shared" si="232"/>
        <v/>
      </c>
      <c r="L396" s="63" t="str">
        <f t="shared" si="233"/>
        <v/>
      </c>
      <c r="M396" s="64" t="str">
        <f t="shared" si="234"/>
        <v/>
      </c>
      <c r="O396" s="63" t="str">
        <f t="shared" si="235"/>
        <v/>
      </c>
      <c r="P396" s="63" t="str">
        <f t="shared" si="236"/>
        <v/>
      </c>
      <c r="R396" s="63" t="str">
        <f t="shared" si="237"/>
        <v/>
      </c>
      <c r="S396" s="64" t="str">
        <f t="shared" si="238"/>
        <v/>
      </c>
      <c r="T396" s="63" t="str">
        <f t="shared" si="239"/>
        <v/>
      </c>
      <c r="U396" s="64" t="str">
        <f t="shared" si="240"/>
        <v/>
      </c>
      <c r="V396" s="207" t="str">
        <f>IF($A397="","",IF(AND(MONTH(A396)&gt;3,MONTH(A396)&lt;11),(T396+R396+G396)*Summary!$T$7/(1-Summary!$T$7),(T396+R396+G396)*Summary!$U$7/(1-Summary!$U$7)))</f>
        <v/>
      </c>
      <c r="W396" s="63" t="str">
        <f t="shared" si="241"/>
        <v/>
      </c>
      <c r="X396" s="63" t="str">
        <f t="shared" si="242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3"/>
        <v/>
      </c>
      <c r="AP396" s="33" t="str">
        <f t="shared" si="244"/>
        <v/>
      </c>
      <c r="AQ396" s="58" t="str">
        <f t="shared" si="225"/>
        <v/>
      </c>
      <c r="AR396" s="38">
        <f>IF(Summary!$H$2=1,VLOOKUP('ANR OK vs ML7'!A396,Curves!$C$17:$AR$273,MATCH('ANR OK vs ML7'!$AR$4,Curves!$C$8:$AQ$8,0)),0.1)</f>
        <v>0.1</v>
      </c>
      <c r="AS396" s="35" t="str">
        <f t="shared" si="226"/>
        <v/>
      </c>
      <c r="AT396" s="3" t="str">
        <f t="shared" si="245"/>
        <v/>
      </c>
      <c r="AU396" s="3" t="str">
        <f t="shared" si="227"/>
        <v/>
      </c>
      <c r="AW396" s="32" t="str">
        <f t="shared" si="246"/>
        <v/>
      </c>
      <c r="AX396" s="32" t="str">
        <f t="shared" si="247"/>
        <v/>
      </c>
      <c r="AY396" s="32" t="str">
        <f t="shared" si="248"/>
        <v/>
      </c>
      <c r="BA396" s="32" t="str">
        <f>IF($A397="","",F396*Summary!$Q$7)</f>
        <v/>
      </c>
    </row>
    <row r="397" spans="1:53">
      <c r="A397" s="67" t="str">
        <f t="shared" si="228"/>
        <v/>
      </c>
      <c r="B397" s="69" t="str">
        <f t="shared" si="249"/>
        <v/>
      </c>
      <c r="D397" s="69" t="str">
        <f t="shared" si="250"/>
        <v/>
      </c>
      <c r="E397" s="70" t="str">
        <f t="shared" si="223"/>
        <v/>
      </c>
      <c r="F397" s="70" t="str">
        <f t="shared" si="224"/>
        <v/>
      </c>
      <c r="G397" s="63" t="str">
        <f t="shared" si="229"/>
        <v/>
      </c>
      <c r="H397" s="64" t="str">
        <f t="shared" si="230"/>
        <v/>
      </c>
      <c r="J397" s="63" t="str">
        <f t="shared" si="231"/>
        <v/>
      </c>
      <c r="K397" s="64" t="str">
        <f t="shared" si="232"/>
        <v/>
      </c>
      <c r="L397" s="63" t="str">
        <f t="shared" si="233"/>
        <v/>
      </c>
      <c r="M397" s="64" t="str">
        <f t="shared" si="234"/>
        <v/>
      </c>
      <c r="O397" s="63" t="str">
        <f t="shared" si="235"/>
        <v/>
      </c>
      <c r="P397" s="63" t="str">
        <f t="shared" si="236"/>
        <v/>
      </c>
      <c r="R397" s="63" t="str">
        <f t="shared" si="237"/>
        <v/>
      </c>
      <c r="S397" s="64" t="str">
        <f t="shared" si="238"/>
        <v/>
      </c>
      <c r="T397" s="63" t="str">
        <f t="shared" si="239"/>
        <v/>
      </c>
      <c r="U397" s="64" t="str">
        <f t="shared" si="240"/>
        <v/>
      </c>
      <c r="V397" s="207" t="str">
        <f>IF($A398="","",IF(AND(MONTH(A397)&gt;3,MONTH(A397)&lt;11),(T397+R397+G397)*Summary!$T$7/(1-Summary!$T$7),(T397+R397+G397)*Summary!$U$7/(1-Summary!$U$7)))</f>
        <v/>
      </c>
      <c r="W397" s="63" t="str">
        <f t="shared" si="241"/>
        <v/>
      </c>
      <c r="X397" s="63" t="str">
        <f t="shared" si="242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3"/>
        <v/>
      </c>
      <c r="AP397" s="33" t="str">
        <f t="shared" si="244"/>
        <v/>
      </c>
      <c r="AQ397" s="58" t="str">
        <f t="shared" si="225"/>
        <v/>
      </c>
      <c r="AR397" s="38">
        <f>IF(Summary!$H$2=1,VLOOKUP('ANR OK vs ML7'!A397,Curves!$C$17:$AR$273,MATCH('ANR OK vs ML7'!$AR$4,Curves!$C$8:$AQ$8,0)),0.1)</f>
        <v>0.1</v>
      </c>
      <c r="AS397" s="35" t="str">
        <f t="shared" si="226"/>
        <v/>
      </c>
      <c r="AT397" s="3" t="str">
        <f t="shared" si="245"/>
        <v/>
      </c>
      <c r="AU397" s="3" t="str">
        <f t="shared" si="227"/>
        <v/>
      </c>
      <c r="AW397" s="32" t="str">
        <f t="shared" si="246"/>
        <v/>
      </c>
      <c r="AX397" s="32" t="str">
        <f t="shared" si="247"/>
        <v/>
      </c>
      <c r="AY397" s="32" t="str">
        <f t="shared" si="248"/>
        <v/>
      </c>
      <c r="BA397" s="32" t="str">
        <f>IF($A398="","",F397*Summary!$Q$7)</f>
        <v/>
      </c>
    </row>
    <row r="398" spans="1:53">
      <c r="A398" s="67" t="str">
        <f t="shared" si="228"/>
        <v/>
      </c>
      <c r="B398" s="69" t="str">
        <f t="shared" si="249"/>
        <v/>
      </c>
      <c r="D398" s="69" t="str">
        <f t="shared" si="250"/>
        <v/>
      </c>
      <c r="E398" s="70" t="str">
        <f t="shared" si="223"/>
        <v/>
      </c>
      <c r="F398" s="70" t="str">
        <f t="shared" si="224"/>
        <v/>
      </c>
      <c r="G398" s="63" t="str">
        <f t="shared" si="229"/>
        <v/>
      </c>
      <c r="H398" s="64" t="str">
        <f t="shared" si="230"/>
        <v/>
      </c>
      <c r="J398" s="63" t="str">
        <f t="shared" si="231"/>
        <v/>
      </c>
      <c r="K398" s="64" t="str">
        <f t="shared" si="232"/>
        <v/>
      </c>
      <c r="L398" s="63" t="str">
        <f t="shared" si="233"/>
        <v/>
      </c>
      <c r="M398" s="64" t="str">
        <f t="shared" si="234"/>
        <v/>
      </c>
      <c r="O398" s="63" t="str">
        <f t="shared" si="235"/>
        <v/>
      </c>
      <c r="P398" s="63" t="str">
        <f t="shared" si="236"/>
        <v/>
      </c>
      <c r="R398" s="63" t="str">
        <f t="shared" si="237"/>
        <v/>
      </c>
      <c r="S398" s="64" t="str">
        <f t="shared" si="238"/>
        <v/>
      </c>
      <c r="T398" s="63" t="str">
        <f t="shared" si="239"/>
        <v/>
      </c>
      <c r="U398" s="64" t="str">
        <f t="shared" si="240"/>
        <v/>
      </c>
      <c r="V398" s="207" t="str">
        <f>IF($A399="","",IF(AND(MONTH(A398)&gt;3,MONTH(A398)&lt;11),(T398+R398+G398)*Summary!$T$7/(1-Summary!$T$7),(T398+R398+G398)*Summary!$U$7/(1-Summary!$U$7)))</f>
        <v/>
      </c>
      <c r="W398" s="63" t="str">
        <f t="shared" si="241"/>
        <v/>
      </c>
      <c r="X398" s="63" t="str">
        <f t="shared" si="242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3"/>
        <v/>
      </c>
      <c r="AP398" s="33" t="str">
        <f t="shared" si="244"/>
        <v/>
      </c>
      <c r="AQ398" s="58" t="str">
        <f t="shared" si="225"/>
        <v/>
      </c>
      <c r="AR398" s="38">
        <f>IF(Summary!$H$2=1,VLOOKUP('ANR OK vs ML7'!A398,Curves!$C$17:$AR$273,MATCH('ANR OK vs ML7'!$AR$4,Curves!$C$8:$AQ$8,0)),0.1)</f>
        <v>0.1</v>
      </c>
      <c r="AS398" s="35" t="str">
        <f t="shared" si="226"/>
        <v/>
      </c>
      <c r="AT398" s="3" t="str">
        <f t="shared" si="245"/>
        <v/>
      </c>
      <c r="AU398" s="3" t="str">
        <f t="shared" si="227"/>
        <v/>
      </c>
      <c r="AW398" s="32" t="str">
        <f t="shared" si="246"/>
        <v/>
      </c>
      <c r="AX398" s="32" t="str">
        <f t="shared" si="247"/>
        <v/>
      </c>
      <c r="AY398" s="32" t="str">
        <f t="shared" si="248"/>
        <v/>
      </c>
      <c r="BA398" s="32" t="str">
        <f>IF($A399="","",F398*Summary!$Q$7)</f>
        <v/>
      </c>
    </row>
    <row r="399" spans="1:53">
      <c r="A399" s="67" t="str">
        <f t="shared" si="228"/>
        <v/>
      </c>
      <c r="B399" s="69" t="str">
        <f t="shared" si="249"/>
        <v/>
      </c>
      <c r="D399" s="69" t="str">
        <f t="shared" si="250"/>
        <v/>
      </c>
      <c r="E399" s="70" t="str">
        <f t="shared" si="223"/>
        <v/>
      </c>
      <c r="F399" s="70" t="str">
        <f t="shared" si="224"/>
        <v/>
      </c>
      <c r="G399" s="63" t="str">
        <f t="shared" si="229"/>
        <v/>
      </c>
      <c r="H399" s="64" t="str">
        <f t="shared" si="230"/>
        <v/>
      </c>
      <c r="J399" s="63" t="str">
        <f t="shared" si="231"/>
        <v/>
      </c>
      <c r="K399" s="64" t="str">
        <f t="shared" si="232"/>
        <v/>
      </c>
      <c r="L399" s="63" t="str">
        <f t="shared" si="233"/>
        <v/>
      </c>
      <c r="M399" s="64" t="str">
        <f t="shared" si="234"/>
        <v/>
      </c>
      <c r="O399" s="63" t="str">
        <f t="shared" si="235"/>
        <v/>
      </c>
      <c r="P399" s="63" t="str">
        <f t="shared" si="236"/>
        <v/>
      </c>
      <c r="R399" s="63" t="str">
        <f t="shared" si="237"/>
        <v/>
      </c>
      <c r="S399" s="64" t="str">
        <f t="shared" si="238"/>
        <v/>
      </c>
      <c r="T399" s="63" t="str">
        <f t="shared" si="239"/>
        <v/>
      </c>
      <c r="U399" s="64" t="str">
        <f t="shared" si="240"/>
        <v/>
      </c>
      <c r="V399" s="207" t="str">
        <f>IF($A400="","",IF(AND(MONTH(A399)&gt;3,MONTH(A399)&lt;11),(T399+R399+G399)*Summary!$T$7/(1-Summary!$T$7),(T399+R399+G399)*Summary!$U$7/(1-Summary!$U$7)))</f>
        <v/>
      </c>
      <c r="W399" s="63" t="str">
        <f t="shared" si="241"/>
        <v/>
      </c>
      <c r="X399" s="63" t="str">
        <f t="shared" si="242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3"/>
        <v/>
      </c>
      <c r="AP399" s="33" t="str">
        <f t="shared" si="244"/>
        <v/>
      </c>
      <c r="AQ399" s="58" t="str">
        <f t="shared" si="225"/>
        <v/>
      </c>
      <c r="AR399" s="38">
        <f>IF(Summary!$H$2=1,VLOOKUP('ANR OK vs ML7'!A399,Curves!$C$17:$AR$273,MATCH('ANR OK vs ML7'!$AR$4,Curves!$C$8:$AQ$8,0)),0.1)</f>
        <v>0.1</v>
      </c>
      <c r="AS399" s="35" t="str">
        <f t="shared" si="226"/>
        <v/>
      </c>
      <c r="AT399" s="3" t="str">
        <f t="shared" si="245"/>
        <v/>
      </c>
      <c r="AU399" s="3" t="str">
        <f t="shared" si="227"/>
        <v/>
      </c>
      <c r="AW399" s="32" t="str">
        <f t="shared" si="246"/>
        <v/>
      </c>
      <c r="AX399" s="32" t="str">
        <f t="shared" si="247"/>
        <v/>
      </c>
      <c r="AY399" s="32" t="str">
        <f t="shared" si="248"/>
        <v/>
      </c>
      <c r="BA399" s="32" t="str">
        <f>IF($A400="","",F399*Summary!$Q$7)</f>
        <v/>
      </c>
    </row>
    <row r="400" spans="1:53">
      <c r="A400" s="67" t="str">
        <f t="shared" si="228"/>
        <v/>
      </c>
      <c r="B400" s="69" t="str">
        <f t="shared" si="249"/>
        <v/>
      </c>
      <c r="D400" s="69" t="str">
        <f t="shared" si="250"/>
        <v/>
      </c>
      <c r="E400" s="70" t="str">
        <f t="shared" si="223"/>
        <v/>
      </c>
      <c r="F400" s="70" t="str">
        <f t="shared" si="224"/>
        <v/>
      </c>
      <c r="G400" s="63" t="str">
        <f t="shared" si="229"/>
        <v/>
      </c>
      <c r="H400" s="64" t="str">
        <f t="shared" si="230"/>
        <v/>
      </c>
      <c r="J400" s="63" t="str">
        <f t="shared" si="231"/>
        <v/>
      </c>
      <c r="K400" s="64" t="str">
        <f t="shared" si="232"/>
        <v/>
      </c>
      <c r="L400" s="63" t="str">
        <f t="shared" si="233"/>
        <v/>
      </c>
      <c r="M400" s="64" t="str">
        <f t="shared" si="234"/>
        <v/>
      </c>
      <c r="O400" s="63" t="str">
        <f t="shared" si="235"/>
        <v/>
      </c>
      <c r="P400" s="63" t="str">
        <f t="shared" si="236"/>
        <v/>
      </c>
      <c r="R400" s="63" t="str">
        <f t="shared" si="237"/>
        <v/>
      </c>
      <c r="S400" s="64" t="str">
        <f t="shared" si="238"/>
        <v/>
      </c>
      <c r="T400" s="63" t="str">
        <f t="shared" si="239"/>
        <v/>
      </c>
      <c r="U400" s="64" t="str">
        <f t="shared" si="240"/>
        <v/>
      </c>
      <c r="V400" s="207" t="str">
        <f>IF($A401="","",IF(AND(MONTH(A400)&gt;3,MONTH(A400)&lt;11),(T400+R400+G400)*Summary!$T$7/(1-Summary!$T$7),(T400+R400+G400)*Summary!$U$7/(1-Summary!$U$7)))</f>
        <v/>
      </c>
      <c r="W400" s="63" t="str">
        <f t="shared" si="241"/>
        <v/>
      </c>
      <c r="X400" s="63" t="str">
        <f t="shared" si="242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3"/>
        <v/>
      </c>
      <c r="AP400" s="33" t="str">
        <f t="shared" si="244"/>
        <v/>
      </c>
      <c r="AQ400" s="58" t="str">
        <f t="shared" si="225"/>
        <v/>
      </c>
      <c r="AR400" s="38">
        <f>IF(Summary!$H$2=1,VLOOKUP('ANR OK vs ML7'!A400,Curves!$C$17:$AR$273,MATCH('ANR OK vs ML7'!$AR$4,Curves!$C$8:$AQ$8,0)),0.1)</f>
        <v>0.1</v>
      </c>
      <c r="AS400" s="35" t="str">
        <f t="shared" si="226"/>
        <v/>
      </c>
      <c r="AT400" s="3" t="str">
        <f t="shared" si="245"/>
        <v/>
      </c>
      <c r="AU400" s="3" t="str">
        <f t="shared" si="227"/>
        <v/>
      </c>
      <c r="AW400" s="32" t="str">
        <f t="shared" si="246"/>
        <v/>
      </c>
      <c r="AX400" s="32" t="str">
        <f t="shared" si="247"/>
        <v/>
      </c>
      <c r="AY400" s="32" t="str">
        <f t="shared" si="248"/>
        <v/>
      </c>
      <c r="BA400" s="32" t="str">
        <f>IF($A401="","",F400*Summary!$Q$7)</f>
        <v/>
      </c>
    </row>
    <row r="401" spans="1:53">
      <c r="A401" s="67" t="str">
        <f t="shared" si="228"/>
        <v/>
      </c>
      <c r="B401" s="69" t="str">
        <f t="shared" si="249"/>
        <v/>
      </c>
      <c r="D401" s="69" t="str">
        <f t="shared" si="250"/>
        <v/>
      </c>
      <c r="E401" s="70" t="str">
        <f t="shared" si="223"/>
        <v/>
      </c>
      <c r="F401" s="70" t="str">
        <f t="shared" si="224"/>
        <v/>
      </c>
      <c r="G401" s="63" t="str">
        <f t="shared" si="229"/>
        <v/>
      </c>
      <c r="H401" s="64" t="str">
        <f t="shared" si="230"/>
        <v/>
      </c>
      <c r="J401" s="63" t="str">
        <f t="shared" si="231"/>
        <v/>
      </c>
      <c r="K401" s="64" t="str">
        <f t="shared" si="232"/>
        <v/>
      </c>
      <c r="L401" s="63" t="str">
        <f t="shared" si="233"/>
        <v/>
      </c>
      <c r="M401" s="64" t="str">
        <f t="shared" si="234"/>
        <v/>
      </c>
      <c r="O401" s="63" t="str">
        <f t="shared" si="235"/>
        <v/>
      </c>
      <c r="P401" s="63" t="str">
        <f t="shared" si="236"/>
        <v/>
      </c>
      <c r="R401" s="63" t="str">
        <f t="shared" si="237"/>
        <v/>
      </c>
      <c r="S401" s="64" t="str">
        <f t="shared" si="238"/>
        <v/>
      </c>
      <c r="T401" s="63" t="str">
        <f t="shared" si="239"/>
        <v/>
      </c>
      <c r="U401" s="64" t="str">
        <f t="shared" si="240"/>
        <v/>
      </c>
      <c r="V401" s="207" t="str">
        <f>IF($A402="","",IF(AND(MONTH(A401)&gt;3,MONTH(A401)&lt;11),(T401+R401+G401)*Summary!$T$7/(1-Summary!$T$7),(T401+R401+G401)*Summary!$U$7/(1-Summary!$U$7)))</f>
        <v/>
      </c>
      <c r="W401" s="63" t="str">
        <f t="shared" si="241"/>
        <v/>
      </c>
      <c r="X401" s="63" t="str">
        <f t="shared" si="242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3"/>
        <v/>
      </c>
      <c r="AP401" s="33" t="str">
        <f t="shared" si="244"/>
        <v/>
      </c>
      <c r="AQ401" s="58" t="str">
        <f t="shared" si="225"/>
        <v/>
      </c>
      <c r="AR401" s="38">
        <f>IF(Summary!$H$2=1,VLOOKUP('ANR OK vs ML7'!A401,Curves!$C$17:$AR$273,MATCH('ANR OK vs ML7'!$AR$4,Curves!$C$8:$AQ$8,0)),0.1)</f>
        <v>0.1</v>
      </c>
      <c r="AS401" s="35" t="str">
        <f t="shared" si="226"/>
        <v/>
      </c>
      <c r="AT401" s="3" t="str">
        <f t="shared" si="245"/>
        <v/>
      </c>
      <c r="AU401" s="3" t="str">
        <f t="shared" si="227"/>
        <v/>
      </c>
      <c r="AW401" s="32" t="str">
        <f t="shared" si="246"/>
        <v/>
      </c>
      <c r="AX401" s="32" t="str">
        <f t="shared" si="247"/>
        <v/>
      </c>
      <c r="AY401" s="32" t="str">
        <f t="shared" si="248"/>
        <v/>
      </c>
      <c r="BA401" s="32" t="str">
        <f>IF($A402="","",F401*Summary!$Q$7)</f>
        <v/>
      </c>
    </row>
    <row r="402" spans="1:53">
      <c r="A402" s="67" t="str">
        <f t="shared" si="228"/>
        <v/>
      </c>
      <c r="B402" s="69" t="str">
        <f t="shared" si="249"/>
        <v/>
      </c>
      <c r="D402" s="69" t="str">
        <f t="shared" si="250"/>
        <v/>
      </c>
      <c r="E402" s="70" t="str">
        <f t="shared" si="223"/>
        <v/>
      </c>
      <c r="F402" s="70" t="str">
        <f t="shared" si="224"/>
        <v/>
      </c>
      <c r="G402" s="63" t="str">
        <f t="shared" si="229"/>
        <v/>
      </c>
      <c r="H402" s="64" t="str">
        <f t="shared" si="230"/>
        <v/>
      </c>
      <c r="J402" s="63" t="str">
        <f t="shared" si="231"/>
        <v/>
      </c>
      <c r="K402" s="64" t="str">
        <f t="shared" si="232"/>
        <v/>
      </c>
      <c r="L402" s="63" t="str">
        <f t="shared" si="233"/>
        <v/>
      </c>
      <c r="M402" s="64" t="str">
        <f t="shared" si="234"/>
        <v/>
      </c>
      <c r="O402" s="63" t="str">
        <f t="shared" si="235"/>
        <v/>
      </c>
      <c r="P402" s="63" t="str">
        <f t="shared" si="236"/>
        <v/>
      </c>
      <c r="R402" s="63" t="str">
        <f t="shared" si="237"/>
        <v/>
      </c>
      <c r="S402" s="64" t="str">
        <f t="shared" si="238"/>
        <v/>
      </c>
      <c r="T402" s="63" t="str">
        <f t="shared" si="239"/>
        <v/>
      </c>
      <c r="U402" s="64" t="str">
        <f t="shared" si="240"/>
        <v/>
      </c>
      <c r="V402" s="207" t="str">
        <f>IF($A403="","",IF(AND(MONTH(A402)&gt;3,MONTH(A402)&lt;11),(T402+R402+G402)*Summary!$T$7/(1-Summary!$T$7),(T402+R402+G402)*Summary!$U$7/(1-Summary!$U$7)))</f>
        <v/>
      </c>
      <c r="W402" s="63" t="str">
        <f t="shared" si="241"/>
        <v/>
      </c>
      <c r="X402" s="63" t="str">
        <f t="shared" si="242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3"/>
        <v/>
      </c>
      <c r="AP402" s="33" t="str">
        <f t="shared" si="244"/>
        <v/>
      </c>
      <c r="AQ402" s="58" t="str">
        <f t="shared" si="225"/>
        <v/>
      </c>
      <c r="AR402" s="38">
        <f>IF(Summary!$H$2=1,VLOOKUP('ANR OK vs ML7'!A402,Curves!$C$17:$AR$273,MATCH('ANR OK vs ML7'!$AR$4,Curves!$C$8:$AQ$8,0)),0.1)</f>
        <v>0.1</v>
      </c>
      <c r="AS402" s="35" t="str">
        <f t="shared" si="226"/>
        <v/>
      </c>
      <c r="AT402" s="3" t="str">
        <f t="shared" si="245"/>
        <v/>
      </c>
      <c r="AU402" s="3" t="str">
        <f t="shared" si="227"/>
        <v/>
      </c>
      <c r="AW402" s="32" t="str">
        <f t="shared" si="246"/>
        <v/>
      </c>
      <c r="AX402" s="32" t="str">
        <f t="shared" si="247"/>
        <v/>
      </c>
      <c r="AY402" s="32" t="str">
        <f t="shared" si="248"/>
        <v/>
      </c>
      <c r="BA402" s="32" t="str">
        <f>IF($A403="","",F402*Summary!$Q$7)</f>
        <v/>
      </c>
    </row>
    <row r="403" spans="1:53">
      <c r="A403" s="67" t="str">
        <f t="shared" si="228"/>
        <v/>
      </c>
      <c r="B403" s="69" t="str">
        <f t="shared" si="249"/>
        <v/>
      </c>
      <c r="D403" s="69" t="str">
        <f t="shared" si="250"/>
        <v/>
      </c>
      <c r="E403" s="70" t="str">
        <f t="shared" si="223"/>
        <v/>
      </c>
      <c r="F403" s="70" t="str">
        <f t="shared" si="224"/>
        <v/>
      </c>
      <c r="G403" s="63" t="str">
        <f t="shared" si="229"/>
        <v/>
      </c>
      <c r="H403" s="64" t="str">
        <f t="shared" si="230"/>
        <v/>
      </c>
      <c r="J403" s="63" t="str">
        <f t="shared" si="231"/>
        <v/>
      </c>
      <c r="K403" s="64" t="str">
        <f t="shared" si="232"/>
        <v/>
      </c>
      <c r="L403" s="63" t="str">
        <f t="shared" si="233"/>
        <v/>
      </c>
      <c r="M403" s="64" t="str">
        <f t="shared" si="234"/>
        <v/>
      </c>
      <c r="O403" s="63" t="str">
        <f t="shared" si="235"/>
        <v/>
      </c>
      <c r="P403" s="63" t="str">
        <f t="shared" si="236"/>
        <v/>
      </c>
      <c r="R403" s="63" t="str">
        <f t="shared" si="237"/>
        <v/>
      </c>
      <c r="S403" s="64" t="str">
        <f t="shared" si="238"/>
        <v/>
      </c>
      <c r="T403" s="63" t="str">
        <f t="shared" si="239"/>
        <v/>
      </c>
      <c r="U403" s="64" t="str">
        <f t="shared" si="240"/>
        <v/>
      </c>
      <c r="V403" s="207" t="str">
        <f>IF($A404="","",IF(AND(MONTH(A403)&gt;3,MONTH(A403)&lt;11),(T403+R403+G403)*Summary!$T$7/(1-Summary!$T$7),(T403+R403+G403)*Summary!$U$7/(1-Summary!$U$7)))</f>
        <v/>
      </c>
      <c r="W403" s="63" t="str">
        <f t="shared" si="241"/>
        <v/>
      </c>
      <c r="X403" s="63" t="str">
        <f t="shared" si="242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3"/>
        <v/>
      </c>
      <c r="AP403" s="33" t="str">
        <f t="shared" si="244"/>
        <v/>
      </c>
      <c r="AQ403" s="58" t="str">
        <f t="shared" si="225"/>
        <v/>
      </c>
      <c r="AR403" s="38">
        <f>IF(Summary!$H$2=1,VLOOKUP('ANR OK vs ML7'!A403,Curves!$C$17:$AR$273,MATCH('ANR OK vs ML7'!$AR$4,Curves!$C$8:$AQ$8,0)),0.1)</f>
        <v>0.1</v>
      </c>
      <c r="AS403" s="35" t="str">
        <f t="shared" si="226"/>
        <v/>
      </c>
      <c r="AT403" s="3" t="str">
        <f t="shared" si="245"/>
        <v/>
      </c>
      <c r="AU403" s="3" t="str">
        <f t="shared" si="227"/>
        <v/>
      </c>
      <c r="AW403" s="32" t="str">
        <f t="shared" si="246"/>
        <v/>
      </c>
      <c r="AX403" s="32" t="str">
        <f t="shared" si="247"/>
        <v/>
      </c>
      <c r="AY403" s="32" t="str">
        <f t="shared" si="248"/>
        <v/>
      </c>
      <c r="BA403" s="32" t="str">
        <f>IF($A404="","",F403*Summary!$Q$7)</f>
        <v/>
      </c>
    </row>
    <row r="404" spans="1:53">
      <c r="A404" s="67" t="str">
        <f t="shared" si="228"/>
        <v/>
      </c>
      <c r="B404" s="69" t="str">
        <f t="shared" si="249"/>
        <v/>
      </c>
      <c r="D404" s="69" t="str">
        <f t="shared" si="250"/>
        <v/>
      </c>
      <c r="E404" s="70" t="str">
        <f t="shared" si="223"/>
        <v/>
      </c>
      <c r="F404" s="70" t="str">
        <f t="shared" si="224"/>
        <v/>
      </c>
      <c r="G404" s="63" t="str">
        <f t="shared" si="229"/>
        <v/>
      </c>
      <c r="H404" s="64" t="str">
        <f t="shared" si="230"/>
        <v/>
      </c>
      <c r="J404" s="63" t="str">
        <f t="shared" si="231"/>
        <v/>
      </c>
      <c r="K404" s="64" t="str">
        <f t="shared" si="232"/>
        <v/>
      </c>
      <c r="L404" s="63" t="str">
        <f t="shared" si="233"/>
        <v/>
      </c>
      <c r="M404" s="64" t="str">
        <f t="shared" si="234"/>
        <v/>
      </c>
      <c r="O404" s="63" t="str">
        <f t="shared" si="235"/>
        <v/>
      </c>
      <c r="P404" s="63" t="str">
        <f t="shared" si="236"/>
        <v/>
      </c>
      <c r="R404" s="63" t="str">
        <f t="shared" si="237"/>
        <v/>
      </c>
      <c r="S404" s="64" t="str">
        <f t="shared" si="238"/>
        <v/>
      </c>
      <c r="T404" s="63" t="str">
        <f t="shared" si="239"/>
        <v/>
      </c>
      <c r="U404" s="64" t="str">
        <f t="shared" si="240"/>
        <v/>
      </c>
      <c r="V404" s="207" t="str">
        <f>IF($A405="","",IF(AND(MONTH(A404)&gt;3,MONTH(A404)&lt;11),(T404+R404+G404)*Summary!$T$7/(1-Summary!$T$7),(T404+R404+G404)*Summary!$U$7/(1-Summary!$U$7)))</f>
        <v/>
      </c>
      <c r="W404" s="63" t="str">
        <f t="shared" si="241"/>
        <v/>
      </c>
      <c r="X404" s="63" t="str">
        <f t="shared" si="242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3"/>
        <v/>
      </c>
      <c r="AP404" s="33" t="str">
        <f t="shared" si="244"/>
        <v/>
      </c>
      <c r="AQ404" s="58" t="str">
        <f t="shared" si="225"/>
        <v/>
      </c>
      <c r="AR404" s="38">
        <f>IF(Summary!$H$2=1,VLOOKUP('ANR OK vs ML7'!A404,Curves!$C$17:$AR$273,MATCH('ANR OK vs ML7'!$AR$4,Curves!$C$8:$AQ$8,0)),0.1)</f>
        <v>0.1</v>
      </c>
      <c r="AS404" s="35" t="str">
        <f t="shared" si="226"/>
        <v/>
      </c>
      <c r="AT404" s="3" t="str">
        <f t="shared" si="245"/>
        <v/>
      </c>
      <c r="AU404" s="3" t="str">
        <f t="shared" si="227"/>
        <v/>
      </c>
      <c r="AW404" s="32" t="str">
        <f t="shared" si="246"/>
        <v/>
      </c>
      <c r="AX404" s="32" t="str">
        <f t="shared" si="247"/>
        <v/>
      </c>
      <c r="AY404" s="32" t="str">
        <f t="shared" si="248"/>
        <v/>
      </c>
      <c r="BA404" s="32" t="str">
        <f>IF($A405="","",F404*Summary!$Q$7)</f>
        <v/>
      </c>
    </row>
    <row r="405" spans="1:53">
      <c r="A405" s="67" t="str">
        <f t="shared" si="228"/>
        <v/>
      </c>
      <c r="B405" s="69" t="str">
        <f t="shared" si="249"/>
        <v/>
      </c>
      <c r="D405" s="69" t="str">
        <f t="shared" si="250"/>
        <v/>
      </c>
      <c r="E405" s="70" t="str">
        <f t="shared" si="223"/>
        <v/>
      </c>
      <c r="F405" s="70" t="str">
        <f t="shared" si="224"/>
        <v/>
      </c>
      <c r="G405" s="63" t="str">
        <f t="shared" si="229"/>
        <v/>
      </c>
      <c r="H405" s="64" t="str">
        <f t="shared" si="230"/>
        <v/>
      </c>
      <c r="J405" s="63" t="str">
        <f t="shared" si="231"/>
        <v/>
      </c>
      <c r="K405" s="64" t="str">
        <f t="shared" si="232"/>
        <v/>
      </c>
      <c r="L405" s="63" t="str">
        <f t="shared" si="233"/>
        <v/>
      </c>
      <c r="M405" s="64" t="str">
        <f t="shared" si="234"/>
        <v/>
      </c>
      <c r="O405" s="63" t="str">
        <f t="shared" si="235"/>
        <v/>
      </c>
      <c r="P405" s="63" t="str">
        <f t="shared" si="236"/>
        <v/>
      </c>
      <c r="R405" s="63" t="str">
        <f t="shared" si="237"/>
        <v/>
      </c>
      <c r="S405" s="64" t="str">
        <f t="shared" si="238"/>
        <v/>
      </c>
      <c r="T405" s="63" t="str">
        <f t="shared" si="239"/>
        <v/>
      </c>
      <c r="U405" s="64" t="str">
        <f t="shared" si="240"/>
        <v/>
      </c>
      <c r="V405" s="207" t="str">
        <f>IF($A406="","",IF(AND(MONTH(A405)&gt;3,MONTH(A405)&lt;11),(T405+R405+G405)*Summary!$T$7/(1-Summary!$T$7),(T405+R405+G405)*Summary!$U$7/(1-Summary!$U$7)))</f>
        <v/>
      </c>
      <c r="W405" s="63" t="str">
        <f t="shared" si="241"/>
        <v/>
      </c>
      <c r="X405" s="63" t="str">
        <f t="shared" si="242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3"/>
        <v/>
      </c>
      <c r="AP405" s="33" t="str">
        <f t="shared" si="244"/>
        <v/>
      </c>
      <c r="AQ405" s="58" t="str">
        <f t="shared" si="225"/>
        <v/>
      </c>
      <c r="AR405" s="38">
        <f>IF(Summary!$H$2=1,VLOOKUP('ANR OK vs ML7'!A405,Curves!$C$17:$AR$273,MATCH('ANR OK vs ML7'!$AR$4,Curves!$C$8:$AQ$8,0)),0.1)</f>
        <v>0.1</v>
      </c>
      <c r="AS405" s="35" t="str">
        <f t="shared" si="226"/>
        <v/>
      </c>
      <c r="AT405" s="3" t="str">
        <f t="shared" si="245"/>
        <v/>
      </c>
      <c r="AU405" s="3" t="str">
        <f t="shared" si="227"/>
        <v/>
      </c>
      <c r="AW405" s="32" t="str">
        <f t="shared" si="246"/>
        <v/>
      </c>
      <c r="AX405" s="32" t="str">
        <f t="shared" si="247"/>
        <v/>
      </c>
      <c r="AY405" s="32" t="str">
        <f t="shared" si="248"/>
        <v/>
      </c>
      <c r="BA405" s="32" t="str">
        <f>IF($A406="","",F405*Summary!$Q$7)</f>
        <v/>
      </c>
    </row>
    <row r="406" spans="1:53">
      <c r="A406" s="67" t="str">
        <f t="shared" si="228"/>
        <v/>
      </c>
      <c r="B406" s="69" t="str">
        <f t="shared" si="249"/>
        <v/>
      </c>
      <c r="D406" s="69" t="str">
        <f t="shared" si="250"/>
        <v/>
      </c>
      <c r="E406" s="70" t="str">
        <f t="shared" si="223"/>
        <v/>
      </c>
      <c r="F406" s="70" t="str">
        <f t="shared" si="224"/>
        <v/>
      </c>
      <c r="G406" s="63" t="str">
        <f t="shared" si="229"/>
        <v/>
      </c>
      <c r="H406" s="64" t="str">
        <f t="shared" si="230"/>
        <v/>
      </c>
      <c r="J406" s="63" t="str">
        <f t="shared" si="231"/>
        <v/>
      </c>
      <c r="K406" s="64" t="str">
        <f t="shared" si="232"/>
        <v/>
      </c>
      <c r="L406" s="63" t="str">
        <f t="shared" si="233"/>
        <v/>
      </c>
      <c r="M406" s="64" t="str">
        <f t="shared" si="234"/>
        <v/>
      </c>
      <c r="O406" s="63" t="str">
        <f t="shared" si="235"/>
        <v/>
      </c>
      <c r="P406" s="63" t="str">
        <f t="shared" si="236"/>
        <v/>
      </c>
      <c r="R406" s="63" t="str">
        <f t="shared" si="237"/>
        <v/>
      </c>
      <c r="S406" s="64" t="str">
        <f t="shared" si="238"/>
        <v/>
      </c>
      <c r="T406" s="63" t="str">
        <f t="shared" si="239"/>
        <v/>
      </c>
      <c r="U406" s="64" t="str">
        <f t="shared" si="240"/>
        <v/>
      </c>
      <c r="V406" s="207" t="str">
        <f>IF($A407="","",IF(AND(MONTH(A406)&gt;3,MONTH(A406)&lt;11),(T406+R406+G406)*Summary!$T$7/(1-Summary!$T$7),(T406+R406+G406)*Summary!$U$7/(1-Summary!$U$7)))</f>
        <v/>
      </c>
      <c r="W406" s="63" t="str">
        <f t="shared" si="241"/>
        <v/>
      </c>
      <c r="X406" s="63" t="str">
        <f t="shared" si="242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3"/>
        <v/>
      </c>
      <c r="AP406" s="33" t="str">
        <f t="shared" si="244"/>
        <v/>
      </c>
      <c r="AQ406" s="58" t="str">
        <f t="shared" si="225"/>
        <v/>
      </c>
      <c r="AR406" s="38">
        <f>IF(Summary!$H$2=1,VLOOKUP('ANR OK vs ML7'!A406,Curves!$C$17:$AR$273,MATCH('ANR OK vs ML7'!$AR$4,Curves!$C$8:$AQ$8,0)),0.1)</f>
        <v>0.1</v>
      </c>
      <c r="AS406" s="35" t="str">
        <f t="shared" si="226"/>
        <v/>
      </c>
      <c r="AT406" s="3" t="str">
        <f t="shared" si="245"/>
        <v/>
      </c>
      <c r="AU406" s="3" t="str">
        <f t="shared" si="227"/>
        <v/>
      </c>
      <c r="AW406" s="32" t="str">
        <f t="shared" si="246"/>
        <v/>
      </c>
      <c r="AX406" s="32" t="str">
        <f t="shared" si="247"/>
        <v/>
      </c>
      <c r="AY406" s="32" t="str">
        <f t="shared" si="248"/>
        <v/>
      </c>
      <c r="BA406" s="32" t="str">
        <f>IF($A407="","",F406*Summary!$Q$7)</f>
        <v/>
      </c>
    </row>
    <row r="407" spans="1:53">
      <c r="A407" s="67" t="str">
        <f t="shared" si="228"/>
        <v/>
      </c>
      <c r="B407" s="69" t="str">
        <f t="shared" si="249"/>
        <v/>
      </c>
      <c r="D407" s="69" t="str">
        <f t="shared" si="250"/>
        <v/>
      </c>
      <c r="E407" s="70" t="str">
        <f t="shared" si="223"/>
        <v/>
      </c>
      <c r="F407" s="70" t="str">
        <f t="shared" si="224"/>
        <v/>
      </c>
      <c r="G407" s="63" t="str">
        <f t="shared" si="229"/>
        <v/>
      </c>
      <c r="H407" s="64" t="str">
        <f t="shared" si="230"/>
        <v/>
      </c>
      <c r="J407" s="63" t="str">
        <f t="shared" si="231"/>
        <v/>
      </c>
      <c r="K407" s="64" t="str">
        <f t="shared" si="232"/>
        <v/>
      </c>
      <c r="L407" s="63" t="str">
        <f t="shared" si="233"/>
        <v/>
      </c>
      <c r="M407" s="64" t="str">
        <f t="shared" si="234"/>
        <v/>
      </c>
      <c r="O407" s="63" t="str">
        <f t="shared" si="235"/>
        <v/>
      </c>
      <c r="P407" s="63" t="str">
        <f t="shared" si="236"/>
        <v/>
      </c>
      <c r="R407" s="63" t="str">
        <f t="shared" si="237"/>
        <v/>
      </c>
      <c r="S407" s="64" t="str">
        <f t="shared" si="238"/>
        <v/>
      </c>
      <c r="T407" s="63" t="str">
        <f t="shared" si="239"/>
        <v/>
      </c>
      <c r="U407" s="64" t="str">
        <f t="shared" si="240"/>
        <v/>
      </c>
      <c r="V407" s="207" t="str">
        <f>IF($A408="","",IF(AND(MONTH(A407)&gt;3,MONTH(A407)&lt;11),(T407+R407+G407)*Summary!$T$7/(1-Summary!$T$7),(T407+R407+G407)*Summary!$U$7/(1-Summary!$U$7)))</f>
        <v/>
      </c>
      <c r="W407" s="63" t="str">
        <f t="shared" si="241"/>
        <v/>
      </c>
      <c r="X407" s="63" t="str">
        <f t="shared" si="242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3"/>
        <v/>
      </c>
      <c r="AP407" s="33" t="str">
        <f t="shared" si="244"/>
        <v/>
      </c>
      <c r="AQ407" s="58" t="str">
        <f t="shared" si="225"/>
        <v/>
      </c>
      <c r="AR407" s="38">
        <f>IF(Summary!$H$2=1,VLOOKUP('ANR OK vs ML7'!A407,Curves!$C$17:$AR$273,MATCH('ANR OK vs ML7'!$AR$4,Curves!$C$8:$AQ$8,0)),0.1)</f>
        <v>0.1</v>
      </c>
      <c r="AS407" s="35" t="str">
        <f t="shared" si="226"/>
        <v/>
      </c>
      <c r="AT407" s="3" t="str">
        <f t="shared" si="245"/>
        <v/>
      </c>
      <c r="AU407" s="3" t="str">
        <f t="shared" si="227"/>
        <v/>
      </c>
      <c r="AW407" s="32" t="str">
        <f t="shared" si="246"/>
        <v/>
      </c>
      <c r="AX407" s="32" t="str">
        <f t="shared" si="247"/>
        <v/>
      </c>
      <c r="AY407" s="32" t="str">
        <f t="shared" si="248"/>
        <v/>
      </c>
      <c r="BA407" s="32" t="str">
        <f>IF($A408="","",F407*Summary!$Q$7)</f>
        <v/>
      </c>
    </row>
    <row r="408" spans="1:53">
      <c r="A408" s="67" t="str">
        <f t="shared" si="228"/>
        <v/>
      </c>
      <c r="B408" s="69" t="str">
        <f t="shared" si="249"/>
        <v/>
      </c>
      <c r="D408" s="69" t="str">
        <f t="shared" si="250"/>
        <v/>
      </c>
      <c r="E408" s="70" t="str">
        <f t="shared" si="223"/>
        <v/>
      </c>
      <c r="F408" s="70" t="str">
        <f t="shared" si="224"/>
        <v/>
      </c>
      <c r="G408" s="63" t="str">
        <f t="shared" si="229"/>
        <v/>
      </c>
      <c r="H408" s="64" t="str">
        <f t="shared" si="230"/>
        <v/>
      </c>
      <c r="J408" s="63" t="str">
        <f t="shared" si="231"/>
        <v/>
      </c>
      <c r="K408" s="64" t="str">
        <f t="shared" si="232"/>
        <v/>
      </c>
      <c r="L408" s="63" t="str">
        <f t="shared" si="233"/>
        <v/>
      </c>
      <c r="M408" s="64" t="str">
        <f t="shared" si="234"/>
        <v/>
      </c>
      <c r="O408" s="63" t="str">
        <f t="shared" si="235"/>
        <v/>
      </c>
      <c r="P408" s="63" t="str">
        <f t="shared" si="236"/>
        <v/>
      </c>
      <c r="R408" s="63" t="str">
        <f t="shared" si="237"/>
        <v/>
      </c>
      <c r="S408" s="64" t="str">
        <f t="shared" si="238"/>
        <v/>
      </c>
      <c r="T408" s="63" t="str">
        <f t="shared" si="239"/>
        <v/>
      </c>
      <c r="U408" s="64" t="str">
        <f t="shared" si="240"/>
        <v/>
      </c>
      <c r="V408" s="207" t="str">
        <f>IF($A409="","",IF(AND(MONTH(A408)&gt;3,MONTH(A408)&lt;11),(T408+R408+G408)*Summary!$T$7/(1-Summary!$T$7),(T408+R408+G408)*Summary!$U$7/(1-Summary!$U$7)))</f>
        <v/>
      </c>
      <c r="W408" s="63" t="str">
        <f t="shared" si="241"/>
        <v/>
      </c>
      <c r="X408" s="63" t="str">
        <f t="shared" si="242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3"/>
        <v/>
      </c>
      <c r="AP408" s="33" t="str">
        <f t="shared" si="244"/>
        <v/>
      </c>
      <c r="AQ408" s="58" t="str">
        <f t="shared" si="225"/>
        <v/>
      </c>
      <c r="AR408" s="38">
        <f>IF(Summary!$H$2=1,VLOOKUP('ANR OK vs ML7'!A408,Curves!$C$17:$AR$273,MATCH('ANR OK vs ML7'!$AR$4,Curves!$C$8:$AQ$8,0)),0.1)</f>
        <v>0.1</v>
      </c>
      <c r="AS408" s="35" t="str">
        <f t="shared" si="226"/>
        <v/>
      </c>
      <c r="AT408" s="3" t="str">
        <f t="shared" si="245"/>
        <v/>
      </c>
      <c r="AU408" s="3" t="str">
        <f t="shared" si="227"/>
        <v/>
      </c>
      <c r="AW408" s="32" t="str">
        <f t="shared" si="246"/>
        <v/>
      </c>
      <c r="AX408" s="32" t="str">
        <f t="shared" si="247"/>
        <v/>
      </c>
      <c r="AY408" s="32" t="str">
        <f t="shared" si="248"/>
        <v/>
      </c>
      <c r="BA408" s="32" t="str">
        <f>IF($A409="","",F408*Summary!$Q$7)</f>
        <v/>
      </c>
    </row>
    <row r="409" spans="1:53">
      <c r="A409" s="67" t="str">
        <f t="shared" si="228"/>
        <v/>
      </c>
      <c r="B409" s="69" t="str">
        <f t="shared" si="249"/>
        <v/>
      </c>
      <c r="D409" s="69" t="str">
        <f t="shared" si="250"/>
        <v/>
      </c>
      <c r="E409" s="70" t="str">
        <f t="shared" si="223"/>
        <v/>
      </c>
      <c r="F409" s="70" t="str">
        <f t="shared" si="224"/>
        <v/>
      </c>
      <c r="G409" s="63" t="str">
        <f t="shared" si="229"/>
        <v/>
      </c>
      <c r="H409" s="64" t="str">
        <f t="shared" si="230"/>
        <v/>
      </c>
      <c r="J409" s="63" t="str">
        <f t="shared" si="231"/>
        <v/>
      </c>
      <c r="K409" s="64" t="str">
        <f t="shared" si="232"/>
        <v/>
      </c>
      <c r="L409" s="63" t="str">
        <f t="shared" si="233"/>
        <v/>
      </c>
      <c r="M409" s="64" t="str">
        <f t="shared" si="234"/>
        <v/>
      </c>
      <c r="O409" s="63" t="str">
        <f t="shared" si="235"/>
        <v/>
      </c>
      <c r="P409" s="63" t="str">
        <f t="shared" si="236"/>
        <v/>
      </c>
      <c r="R409" s="63" t="str">
        <f t="shared" si="237"/>
        <v/>
      </c>
      <c r="S409" s="64" t="str">
        <f t="shared" si="238"/>
        <v/>
      </c>
      <c r="T409" s="63" t="str">
        <f t="shared" si="239"/>
        <v/>
      </c>
      <c r="U409" s="64" t="str">
        <f t="shared" si="240"/>
        <v/>
      </c>
      <c r="V409" s="207" t="str">
        <f>IF($A410="","",IF(AND(MONTH(A409)&gt;3,MONTH(A409)&lt;11),(T409+R409+G409)*Summary!$T$7/(1-Summary!$T$7),(T409+R409+G409)*Summary!$U$7/(1-Summary!$U$7)))</f>
        <v/>
      </c>
      <c r="W409" s="63" t="str">
        <f t="shared" si="241"/>
        <v/>
      </c>
      <c r="X409" s="63" t="str">
        <f t="shared" si="242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3"/>
        <v/>
      </c>
      <c r="AP409" s="33" t="str">
        <f t="shared" si="244"/>
        <v/>
      </c>
      <c r="AQ409" s="58" t="str">
        <f t="shared" si="225"/>
        <v/>
      </c>
      <c r="AR409" s="38">
        <f>IF(Summary!$H$2=1,VLOOKUP('ANR OK vs ML7'!A409,Curves!$C$17:$AR$273,MATCH('ANR OK vs ML7'!$AR$4,Curves!$C$8:$AQ$8,0)),0.1)</f>
        <v>0.1</v>
      </c>
      <c r="AS409" s="35" t="str">
        <f t="shared" si="226"/>
        <v/>
      </c>
      <c r="AT409" s="3" t="str">
        <f t="shared" si="245"/>
        <v/>
      </c>
      <c r="AU409" s="3" t="str">
        <f t="shared" si="227"/>
        <v/>
      </c>
      <c r="AW409" s="32" t="str">
        <f t="shared" si="246"/>
        <v/>
      </c>
      <c r="AX409" s="32" t="str">
        <f t="shared" si="247"/>
        <v/>
      </c>
      <c r="AY409" s="32" t="str">
        <f t="shared" si="248"/>
        <v/>
      </c>
      <c r="BA409" s="32" t="str">
        <f>IF($A410="","",F409*Summary!$Q$7)</f>
        <v/>
      </c>
    </row>
    <row r="410" spans="1:53">
      <c r="A410" s="67" t="str">
        <f t="shared" si="228"/>
        <v/>
      </c>
      <c r="B410" s="69" t="str">
        <f t="shared" si="249"/>
        <v/>
      </c>
      <c r="D410" s="69" t="str">
        <f t="shared" si="250"/>
        <v/>
      </c>
      <c r="E410" s="70" t="str">
        <f t="shared" si="223"/>
        <v/>
      </c>
      <c r="F410" s="70" t="str">
        <f t="shared" si="224"/>
        <v/>
      </c>
      <c r="G410" s="63" t="str">
        <f t="shared" si="229"/>
        <v/>
      </c>
      <c r="H410" s="64" t="str">
        <f t="shared" si="230"/>
        <v/>
      </c>
      <c r="J410" s="63" t="str">
        <f t="shared" si="231"/>
        <v/>
      </c>
      <c r="K410" s="64" t="str">
        <f t="shared" si="232"/>
        <v/>
      </c>
      <c r="L410" s="63" t="str">
        <f t="shared" si="233"/>
        <v/>
      </c>
      <c r="M410" s="64" t="str">
        <f t="shared" si="234"/>
        <v/>
      </c>
      <c r="O410" s="63" t="str">
        <f t="shared" si="235"/>
        <v/>
      </c>
      <c r="P410" s="63" t="str">
        <f t="shared" si="236"/>
        <v/>
      </c>
      <c r="R410" s="63" t="str">
        <f t="shared" si="237"/>
        <v/>
      </c>
      <c r="S410" s="64" t="str">
        <f t="shared" si="238"/>
        <v/>
      </c>
      <c r="T410" s="63" t="str">
        <f t="shared" si="239"/>
        <v/>
      </c>
      <c r="U410" s="64" t="str">
        <f t="shared" si="240"/>
        <v/>
      </c>
      <c r="V410" s="207" t="str">
        <f>IF($A411="","",IF(AND(MONTH(A410)&gt;3,MONTH(A410)&lt;11),(T410+R410+G410)*Summary!$T$7/(1-Summary!$T$7),(T410+R410+G410)*Summary!$U$7/(1-Summary!$U$7)))</f>
        <v/>
      </c>
      <c r="W410" s="63" t="str">
        <f t="shared" si="241"/>
        <v/>
      </c>
      <c r="X410" s="63" t="str">
        <f t="shared" si="242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3"/>
        <v/>
      </c>
      <c r="AP410" s="33" t="str">
        <f t="shared" si="244"/>
        <v/>
      </c>
      <c r="AQ410" s="58" t="str">
        <f t="shared" si="225"/>
        <v/>
      </c>
      <c r="AR410" s="38">
        <f>IF(Summary!$H$2=1,VLOOKUP('ANR OK vs ML7'!A410,Curves!$C$17:$AR$273,MATCH('ANR OK vs ML7'!$AR$4,Curves!$C$8:$AQ$8,0)),0.1)</f>
        <v>0.1</v>
      </c>
      <c r="AS410" s="35" t="str">
        <f t="shared" si="226"/>
        <v/>
      </c>
      <c r="AT410" s="3" t="str">
        <f t="shared" si="245"/>
        <v/>
      </c>
      <c r="AU410" s="3" t="str">
        <f t="shared" si="227"/>
        <v/>
      </c>
      <c r="AW410" s="32" t="str">
        <f t="shared" si="246"/>
        <v/>
      </c>
      <c r="AX410" s="32" t="str">
        <f t="shared" si="247"/>
        <v/>
      </c>
      <c r="AY410" s="32" t="str">
        <f t="shared" si="248"/>
        <v/>
      </c>
      <c r="BA410" s="32" t="str">
        <f>IF($A411="","",F410*Summary!$Q$7)</f>
        <v/>
      </c>
    </row>
    <row r="411" spans="1:53">
      <c r="A411" s="67" t="str">
        <f t="shared" si="228"/>
        <v/>
      </c>
      <c r="B411" s="69" t="str">
        <f t="shared" si="249"/>
        <v/>
      </c>
      <c r="D411" s="69" t="str">
        <f t="shared" si="250"/>
        <v/>
      </c>
      <c r="E411" s="70" t="str">
        <f t="shared" si="223"/>
        <v/>
      </c>
      <c r="F411" s="70" t="str">
        <f t="shared" si="224"/>
        <v/>
      </c>
      <c r="G411" s="63" t="str">
        <f t="shared" si="229"/>
        <v/>
      </c>
      <c r="H411" s="64" t="str">
        <f t="shared" si="230"/>
        <v/>
      </c>
      <c r="J411" s="63" t="str">
        <f t="shared" si="231"/>
        <v/>
      </c>
      <c r="K411" s="64" t="str">
        <f t="shared" si="232"/>
        <v/>
      </c>
      <c r="L411" s="63" t="str">
        <f t="shared" si="233"/>
        <v/>
      </c>
      <c r="M411" s="64" t="str">
        <f t="shared" si="234"/>
        <v/>
      </c>
      <c r="O411" s="63" t="str">
        <f t="shared" si="235"/>
        <v/>
      </c>
      <c r="P411" s="63" t="str">
        <f t="shared" si="236"/>
        <v/>
      </c>
      <c r="R411" s="63" t="str">
        <f t="shared" si="237"/>
        <v/>
      </c>
      <c r="S411" s="64" t="str">
        <f t="shared" si="238"/>
        <v/>
      </c>
      <c r="T411" s="63" t="str">
        <f t="shared" si="239"/>
        <v/>
      </c>
      <c r="U411" s="64" t="str">
        <f t="shared" si="240"/>
        <v/>
      </c>
      <c r="V411" s="207" t="str">
        <f>IF($A412="","",IF(AND(MONTH(A411)&gt;3,MONTH(A411)&lt;11),(T411+R411+G411)*Summary!$T$7/(1-Summary!$T$7),(T411+R411+G411)*Summary!$U$7/(1-Summary!$U$7)))</f>
        <v/>
      </c>
      <c r="W411" s="63" t="str">
        <f t="shared" si="241"/>
        <v/>
      </c>
      <c r="X411" s="63" t="str">
        <f t="shared" si="242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3"/>
        <v/>
      </c>
      <c r="AP411" s="33" t="str">
        <f t="shared" si="244"/>
        <v/>
      </c>
      <c r="AQ411" s="58" t="str">
        <f t="shared" si="225"/>
        <v/>
      </c>
      <c r="AR411" s="38">
        <f>IF(Summary!$H$2=1,VLOOKUP('ANR OK vs ML7'!A411,Curves!$C$17:$AR$273,MATCH('ANR OK vs ML7'!$AR$4,Curves!$C$8:$AQ$8,0)),0.1)</f>
        <v>0.1</v>
      </c>
      <c r="AS411" s="35" t="str">
        <f t="shared" si="226"/>
        <v/>
      </c>
      <c r="AT411" s="3" t="str">
        <f t="shared" si="245"/>
        <v/>
      </c>
      <c r="AU411" s="3" t="str">
        <f t="shared" si="227"/>
        <v/>
      </c>
      <c r="AW411" s="32" t="str">
        <f t="shared" si="246"/>
        <v/>
      </c>
      <c r="AX411" s="32" t="str">
        <f t="shared" si="247"/>
        <v/>
      </c>
      <c r="AY411" s="32" t="str">
        <f t="shared" si="248"/>
        <v/>
      </c>
      <c r="BA411" s="32" t="str">
        <f>IF($A412="","",F411*Summary!$Q$7)</f>
        <v/>
      </c>
    </row>
    <row r="412" spans="1:53">
      <c r="A412" s="67" t="str">
        <f t="shared" si="228"/>
        <v/>
      </c>
      <c r="B412" s="69" t="str">
        <f t="shared" si="249"/>
        <v/>
      </c>
      <c r="D412" s="69" t="str">
        <f t="shared" si="250"/>
        <v/>
      </c>
      <c r="E412" s="70" t="str">
        <f t="shared" si="223"/>
        <v/>
      </c>
      <c r="F412" s="70" t="str">
        <f t="shared" si="224"/>
        <v/>
      </c>
      <c r="G412" s="63" t="str">
        <f t="shared" si="229"/>
        <v/>
      </c>
      <c r="H412" s="64" t="str">
        <f t="shared" si="230"/>
        <v/>
      </c>
      <c r="J412" s="63" t="str">
        <f t="shared" si="231"/>
        <v/>
      </c>
      <c r="K412" s="64" t="str">
        <f t="shared" si="232"/>
        <v/>
      </c>
      <c r="L412" s="63" t="str">
        <f t="shared" si="233"/>
        <v/>
      </c>
      <c r="M412" s="64" t="str">
        <f t="shared" si="234"/>
        <v/>
      </c>
      <c r="O412" s="63" t="str">
        <f t="shared" si="235"/>
        <v/>
      </c>
      <c r="P412" s="63" t="str">
        <f t="shared" si="236"/>
        <v/>
      </c>
      <c r="R412" s="63" t="str">
        <f t="shared" si="237"/>
        <v/>
      </c>
      <c r="S412" s="64" t="str">
        <f t="shared" si="238"/>
        <v/>
      </c>
      <c r="T412" s="63" t="str">
        <f t="shared" si="239"/>
        <v/>
      </c>
      <c r="U412" s="64" t="str">
        <f t="shared" si="240"/>
        <v/>
      </c>
      <c r="V412" s="207" t="str">
        <f>IF($A413="","",IF(AND(MONTH(A412)&gt;3,MONTH(A412)&lt;11),(T412+R412+G412)*Summary!$T$7/(1-Summary!$T$7),(T412+R412+G412)*Summary!$U$7/(1-Summary!$U$7)))</f>
        <v/>
      </c>
      <c r="W412" s="63" t="str">
        <f t="shared" si="241"/>
        <v/>
      </c>
      <c r="X412" s="63" t="str">
        <f t="shared" si="242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3"/>
        <v/>
      </c>
      <c r="AP412" s="33" t="str">
        <f t="shared" si="244"/>
        <v/>
      </c>
      <c r="AQ412" s="58" t="str">
        <f t="shared" si="225"/>
        <v/>
      </c>
      <c r="AR412" s="38">
        <f>IF(Summary!$H$2=1,VLOOKUP('ANR OK vs ML7'!A412,Curves!$C$17:$AR$273,MATCH('ANR OK vs ML7'!$AR$4,Curves!$C$8:$AQ$8,0)),0.1)</f>
        <v>0.1</v>
      </c>
      <c r="AS412" s="35" t="str">
        <f t="shared" si="226"/>
        <v/>
      </c>
      <c r="AT412" s="3" t="str">
        <f t="shared" si="245"/>
        <v/>
      </c>
      <c r="AU412" s="3" t="str">
        <f t="shared" si="227"/>
        <v/>
      </c>
      <c r="AW412" s="32" t="str">
        <f t="shared" si="246"/>
        <v/>
      </c>
      <c r="AX412" s="32" t="str">
        <f t="shared" si="247"/>
        <v/>
      </c>
      <c r="AY412" s="32" t="str">
        <f t="shared" si="248"/>
        <v/>
      </c>
      <c r="BA412" s="32" t="str">
        <f>IF($A413="","",F412*Summary!$Q$7)</f>
        <v/>
      </c>
    </row>
    <row r="413" spans="1:53">
      <c r="A413" s="67" t="str">
        <f t="shared" si="228"/>
        <v/>
      </c>
      <c r="B413" s="69" t="str">
        <f t="shared" si="249"/>
        <v/>
      </c>
      <c r="D413" s="69" t="str">
        <f t="shared" si="250"/>
        <v/>
      </c>
      <c r="E413" s="70" t="str">
        <f t="shared" si="223"/>
        <v/>
      </c>
      <c r="F413" s="70" t="str">
        <f t="shared" si="224"/>
        <v/>
      </c>
      <c r="G413" s="63" t="str">
        <f t="shared" si="229"/>
        <v/>
      </c>
      <c r="H413" s="64" t="str">
        <f t="shared" si="230"/>
        <v/>
      </c>
      <c r="J413" s="63" t="str">
        <f t="shared" si="231"/>
        <v/>
      </c>
      <c r="K413" s="64" t="str">
        <f t="shared" si="232"/>
        <v/>
      </c>
      <c r="L413" s="63" t="str">
        <f t="shared" si="233"/>
        <v/>
      </c>
      <c r="M413" s="64" t="str">
        <f t="shared" si="234"/>
        <v/>
      </c>
      <c r="O413" s="63" t="str">
        <f t="shared" si="235"/>
        <v/>
      </c>
      <c r="P413" s="63" t="str">
        <f t="shared" si="236"/>
        <v/>
      </c>
      <c r="R413" s="63" t="str">
        <f t="shared" si="237"/>
        <v/>
      </c>
      <c r="S413" s="64" t="str">
        <f t="shared" si="238"/>
        <v/>
      </c>
      <c r="T413" s="63" t="str">
        <f t="shared" si="239"/>
        <v/>
      </c>
      <c r="U413" s="64" t="str">
        <f t="shared" si="240"/>
        <v/>
      </c>
      <c r="V413" s="207" t="str">
        <f>IF($A414="","",IF(AND(MONTH(A413)&gt;3,MONTH(A413)&lt;11),(T413+R413+G413)*Summary!$T$7/(1-Summary!$T$7),(T413+R413+G413)*Summary!$U$7/(1-Summary!$U$7)))</f>
        <v/>
      </c>
      <c r="W413" s="63" t="str">
        <f t="shared" si="241"/>
        <v/>
      </c>
      <c r="X413" s="63" t="str">
        <f t="shared" si="242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3"/>
        <v/>
      </c>
      <c r="AP413" s="33" t="str">
        <f t="shared" si="244"/>
        <v/>
      </c>
      <c r="AQ413" s="58" t="str">
        <f t="shared" si="225"/>
        <v/>
      </c>
      <c r="AR413" s="38">
        <f>IF(Summary!$H$2=1,VLOOKUP('ANR OK vs ML7'!A413,Curves!$C$17:$AR$273,MATCH('ANR OK vs ML7'!$AR$4,Curves!$C$8:$AQ$8,0)),0.1)</f>
        <v>0.1</v>
      </c>
      <c r="AS413" s="35" t="str">
        <f t="shared" si="226"/>
        <v/>
      </c>
      <c r="AT413" s="3" t="str">
        <f t="shared" si="245"/>
        <v/>
      </c>
      <c r="AU413" s="3" t="str">
        <f t="shared" si="227"/>
        <v/>
      </c>
      <c r="AW413" s="32" t="str">
        <f t="shared" si="246"/>
        <v/>
      </c>
      <c r="AX413" s="32" t="str">
        <f t="shared" si="247"/>
        <v/>
      </c>
      <c r="AY413" s="32" t="str">
        <f t="shared" si="248"/>
        <v/>
      </c>
      <c r="BA413" s="32" t="str">
        <f>IF($A414="","",F413*Summary!$Q$7)</f>
        <v/>
      </c>
    </row>
    <row r="414" spans="1:53">
      <c r="A414" s="67" t="str">
        <f t="shared" si="228"/>
        <v/>
      </c>
      <c r="B414" s="69" t="str">
        <f t="shared" si="249"/>
        <v/>
      </c>
      <c r="D414" s="69" t="str">
        <f t="shared" si="250"/>
        <v/>
      </c>
      <c r="E414" s="70" t="str">
        <f t="shared" si="223"/>
        <v/>
      </c>
      <c r="F414" s="70" t="str">
        <f t="shared" si="224"/>
        <v/>
      </c>
      <c r="G414" s="63" t="str">
        <f t="shared" si="229"/>
        <v/>
      </c>
      <c r="H414" s="64" t="str">
        <f t="shared" si="230"/>
        <v/>
      </c>
      <c r="J414" s="63" t="str">
        <f t="shared" si="231"/>
        <v/>
      </c>
      <c r="K414" s="64" t="str">
        <f t="shared" si="232"/>
        <v/>
      </c>
      <c r="L414" s="63" t="str">
        <f t="shared" si="233"/>
        <v/>
      </c>
      <c r="M414" s="64" t="str">
        <f t="shared" si="234"/>
        <v/>
      </c>
      <c r="O414" s="63" t="str">
        <f t="shared" si="235"/>
        <v/>
      </c>
      <c r="P414" s="63" t="str">
        <f t="shared" si="236"/>
        <v/>
      </c>
      <c r="R414" s="63" t="str">
        <f t="shared" si="237"/>
        <v/>
      </c>
      <c r="S414" s="64" t="str">
        <f t="shared" si="238"/>
        <v/>
      </c>
      <c r="T414" s="63" t="str">
        <f t="shared" si="239"/>
        <v/>
      </c>
      <c r="U414" s="64" t="str">
        <f t="shared" si="240"/>
        <v/>
      </c>
      <c r="V414" s="207" t="str">
        <f>IF($A415="","",IF(AND(MONTH(A414)&gt;3,MONTH(A414)&lt;11),(T414+R414+G414)*Summary!$T$7/(1-Summary!$T$7),(T414+R414+G414)*Summary!$U$7/(1-Summary!$U$7)))</f>
        <v/>
      </c>
      <c r="W414" s="63" t="str">
        <f t="shared" si="241"/>
        <v/>
      </c>
      <c r="X414" s="63" t="str">
        <f t="shared" si="242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3"/>
        <v/>
      </c>
      <c r="AP414" s="33" t="str">
        <f t="shared" si="244"/>
        <v/>
      </c>
      <c r="AQ414" s="58" t="str">
        <f t="shared" si="225"/>
        <v/>
      </c>
      <c r="AR414" s="38">
        <f>IF(Summary!$H$2=1,VLOOKUP('ANR OK vs ML7'!A414,Curves!$C$17:$AR$273,MATCH('ANR OK vs ML7'!$AR$4,Curves!$C$8:$AQ$8,0)),0.1)</f>
        <v>0.1</v>
      </c>
      <c r="AS414" s="35" t="str">
        <f t="shared" si="226"/>
        <v/>
      </c>
      <c r="AT414" s="3" t="str">
        <f t="shared" si="245"/>
        <v/>
      </c>
      <c r="AU414" s="3" t="str">
        <f t="shared" si="227"/>
        <v/>
      </c>
      <c r="AW414" s="32" t="str">
        <f t="shared" si="246"/>
        <v/>
      </c>
      <c r="AX414" s="32" t="str">
        <f t="shared" si="247"/>
        <v/>
      </c>
      <c r="AY414" s="32" t="str">
        <f t="shared" si="248"/>
        <v/>
      </c>
      <c r="BA414" s="32" t="str">
        <f>IF($A415="","",F414*Summary!$Q$7)</f>
        <v/>
      </c>
    </row>
    <row r="415" spans="1:53">
      <c r="A415" s="67" t="str">
        <f t="shared" si="228"/>
        <v/>
      </c>
      <c r="B415" s="69" t="str">
        <f t="shared" si="249"/>
        <v/>
      </c>
      <c r="D415" s="69" t="str">
        <f t="shared" si="250"/>
        <v/>
      </c>
      <c r="E415" s="70" t="str">
        <f t="shared" si="223"/>
        <v/>
      </c>
      <c r="F415" s="70" t="str">
        <f t="shared" si="224"/>
        <v/>
      </c>
      <c r="G415" s="63" t="str">
        <f t="shared" si="229"/>
        <v/>
      </c>
      <c r="H415" s="64" t="str">
        <f t="shared" si="230"/>
        <v/>
      </c>
      <c r="J415" s="63" t="str">
        <f t="shared" si="231"/>
        <v/>
      </c>
      <c r="K415" s="64" t="str">
        <f t="shared" si="232"/>
        <v/>
      </c>
      <c r="L415" s="63" t="str">
        <f t="shared" si="233"/>
        <v/>
      </c>
      <c r="M415" s="64" t="str">
        <f t="shared" si="234"/>
        <v/>
      </c>
      <c r="O415" s="63" t="str">
        <f t="shared" si="235"/>
        <v/>
      </c>
      <c r="P415" s="63" t="str">
        <f t="shared" si="236"/>
        <v/>
      </c>
      <c r="R415" s="63" t="str">
        <f t="shared" si="237"/>
        <v/>
      </c>
      <c r="S415" s="64" t="str">
        <f t="shared" si="238"/>
        <v/>
      </c>
      <c r="T415" s="63" t="str">
        <f t="shared" si="239"/>
        <v/>
      </c>
      <c r="U415" s="64" t="str">
        <f t="shared" si="240"/>
        <v/>
      </c>
      <c r="V415" s="207" t="str">
        <f>IF($A416="","",IF(AND(MONTH(A415)&gt;3,MONTH(A415)&lt;11),(T415+R415+G415)*Summary!$T$7/(1-Summary!$T$7),(T415+R415+G415)*Summary!$U$7/(1-Summary!$U$7)))</f>
        <v/>
      </c>
      <c r="W415" s="63" t="str">
        <f t="shared" si="241"/>
        <v/>
      </c>
      <c r="X415" s="63" t="str">
        <f t="shared" si="242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3"/>
        <v/>
      </c>
      <c r="AP415" s="33" t="str">
        <f t="shared" si="244"/>
        <v/>
      </c>
      <c r="AQ415" s="58" t="str">
        <f t="shared" si="225"/>
        <v/>
      </c>
      <c r="AR415" s="38">
        <f>IF(Summary!$H$2=1,VLOOKUP('ANR OK vs ML7'!A415,Curves!$C$17:$AR$273,MATCH('ANR OK vs ML7'!$AR$4,Curves!$C$8:$AQ$8,0)),0.1)</f>
        <v>0.1</v>
      </c>
      <c r="AS415" s="35" t="str">
        <f t="shared" si="226"/>
        <v/>
      </c>
      <c r="AT415" s="3" t="str">
        <f t="shared" si="245"/>
        <v/>
      </c>
      <c r="AU415" s="3" t="str">
        <f t="shared" si="227"/>
        <v/>
      </c>
      <c r="AW415" s="32" t="str">
        <f t="shared" si="246"/>
        <v/>
      </c>
      <c r="AX415" s="32" t="str">
        <f t="shared" si="247"/>
        <v/>
      </c>
      <c r="AY415" s="32" t="str">
        <f t="shared" si="248"/>
        <v/>
      </c>
      <c r="BA415" s="32" t="str">
        <f>IF($A416="","",F415*Summary!$Q$7)</f>
        <v/>
      </c>
    </row>
    <row r="416" spans="1:53">
      <c r="A416" s="67" t="str">
        <f t="shared" si="228"/>
        <v/>
      </c>
      <c r="B416" s="69" t="str">
        <f t="shared" si="249"/>
        <v/>
      </c>
      <c r="D416" s="69" t="str">
        <f t="shared" si="250"/>
        <v/>
      </c>
      <c r="E416" s="70" t="str">
        <f t="shared" si="223"/>
        <v/>
      </c>
      <c r="F416" s="70" t="str">
        <f t="shared" si="224"/>
        <v/>
      </c>
      <c r="G416" s="63" t="str">
        <f t="shared" si="229"/>
        <v/>
      </c>
      <c r="H416" s="64" t="str">
        <f t="shared" si="230"/>
        <v/>
      </c>
      <c r="J416" s="63" t="str">
        <f t="shared" si="231"/>
        <v/>
      </c>
      <c r="K416" s="64" t="str">
        <f t="shared" si="232"/>
        <v/>
      </c>
      <c r="L416" s="63" t="str">
        <f t="shared" si="233"/>
        <v/>
      </c>
      <c r="M416" s="64" t="str">
        <f t="shared" si="234"/>
        <v/>
      </c>
      <c r="O416" s="63" t="str">
        <f t="shared" si="235"/>
        <v/>
      </c>
      <c r="P416" s="63" t="str">
        <f t="shared" si="236"/>
        <v/>
      </c>
      <c r="R416" s="63" t="str">
        <f t="shared" si="237"/>
        <v/>
      </c>
      <c r="S416" s="64" t="str">
        <f t="shared" si="238"/>
        <v/>
      </c>
      <c r="T416" s="63" t="str">
        <f t="shared" si="239"/>
        <v/>
      </c>
      <c r="U416" s="64" t="str">
        <f t="shared" si="240"/>
        <v/>
      </c>
      <c r="V416" s="207" t="str">
        <f>IF($A417="","",IF(AND(MONTH(A416)&gt;3,MONTH(A416)&lt;11),(T416+R416+G416)*Summary!$T$7/(1-Summary!$T$7),(T416+R416+G416)*Summary!$U$7/(1-Summary!$U$7)))</f>
        <v/>
      </c>
      <c r="W416" s="63" t="str">
        <f t="shared" si="241"/>
        <v/>
      </c>
      <c r="X416" s="63" t="str">
        <f t="shared" si="242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3"/>
        <v/>
      </c>
      <c r="AP416" s="33" t="str">
        <f t="shared" si="244"/>
        <v/>
      </c>
      <c r="AQ416" s="58" t="str">
        <f t="shared" si="225"/>
        <v/>
      </c>
      <c r="AR416" s="38">
        <f>IF(Summary!$H$2=1,VLOOKUP('ANR OK vs ML7'!A416,Curves!$C$17:$AR$273,MATCH('ANR OK vs ML7'!$AR$4,Curves!$C$8:$AQ$8,0)),0.1)</f>
        <v>0.1</v>
      </c>
      <c r="AS416" s="35" t="str">
        <f t="shared" si="226"/>
        <v/>
      </c>
      <c r="AT416" s="3" t="str">
        <f t="shared" si="245"/>
        <v/>
      </c>
      <c r="AU416" s="3" t="str">
        <f t="shared" si="227"/>
        <v/>
      </c>
      <c r="AW416" s="32" t="str">
        <f t="shared" si="246"/>
        <v/>
      </c>
      <c r="AX416" s="32" t="str">
        <f t="shared" si="247"/>
        <v/>
      </c>
      <c r="AY416" s="32" t="str">
        <f t="shared" si="248"/>
        <v/>
      </c>
      <c r="BA416" s="32" t="str">
        <f>IF($A417="","",F416*Summary!$Q$7)</f>
        <v/>
      </c>
    </row>
    <row r="417" spans="1:53">
      <c r="A417" s="67" t="str">
        <f t="shared" si="228"/>
        <v/>
      </c>
      <c r="B417" s="69" t="str">
        <f t="shared" si="249"/>
        <v/>
      </c>
      <c r="D417" s="69" t="str">
        <f t="shared" si="250"/>
        <v/>
      </c>
      <c r="E417" s="70" t="str">
        <f t="shared" si="223"/>
        <v/>
      </c>
      <c r="F417" s="70" t="str">
        <f t="shared" si="224"/>
        <v/>
      </c>
      <c r="G417" s="63" t="str">
        <f t="shared" si="229"/>
        <v/>
      </c>
      <c r="H417" s="64" t="str">
        <f t="shared" si="230"/>
        <v/>
      </c>
      <c r="J417" s="63" t="str">
        <f t="shared" si="231"/>
        <v/>
      </c>
      <c r="K417" s="64" t="str">
        <f t="shared" si="232"/>
        <v/>
      </c>
      <c r="L417" s="63" t="str">
        <f t="shared" si="233"/>
        <v/>
      </c>
      <c r="M417" s="64" t="str">
        <f t="shared" si="234"/>
        <v/>
      </c>
      <c r="O417" s="63" t="str">
        <f t="shared" si="235"/>
        <v/>
      </c>
      <c r="P417" s="63" t="str">
        <f t="shared" si="236"/>
        <v/>
      </c>
      <c r="R417" s="63" t="str">
        <f t="shared" si="237"/>
        <v/>
      </c>
      <c r="S417" s="64" t="str">
        <f t="shared" si="238"/>
        <v/>
      </c>
      <c r="T417" s="63" t="str">
        <f t="shared" si="239"/>
        <v/>
      </c>
      <c r="U417" s="64" t="str">
        <f t="shared" si="240"/>
        <v/>
      </c>
      <c r="V417" s="207" t="str">
        <f>IF($A418="","",IF(AND(MONTH(A417)&gt;3,MONTH(A417)&lt;11),(T417+R417+G417)*Summary!$T$7/(1-Summary!$T$7),(T417+R417+G417)*Summary!$U$7/(1-Summary!$U$7)))</f>
        <v/>
      </c>
      <c r="W417" s="63" t="str">
        <f t="shared" si="241"/>
        <v/>
      </c>
      <c r="X417" s="63" t="str">
        <f t="shared" si="242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3"/>
        <v/>
      </c>
      <c r="AP417" s="33" t="str">
        <f t="shared" si="244"/>
        <v/>
      </c>
      <c r="AQ417" s="58" t="str">
        <f t="shared" si="225"/>
        <v/>
      </c>
      <c r="AR417" s="38">
        <f>IF(Summary!$H$2=1,VLOOKUP('ANR OK vs ML7'!A417,Curves!$C$17:$AR$273,MATCH('ANR OK vs ML7'!$AR$4,Curves!$C$8:$AQ$8,0)),0.1)</f>
        <v>0.1</v>
      </c>
      <c r="AS417" s="35" t="str">
        <f t="shared" si="226"/>
        <v/>
      </c>
      <c r="AT417" s="3" t="str">
        <f t="shared" si="245"/>
        <v/>
      </c>
      <c r="AU417" s="3" t="str">
        <f t="shared" si="227"/>
        <v/>
      </c>
      <c r="AW417" s="32" t="str">
        <f t="shared" si="246"/>
        <v/>
      </c>
      <c r="AX417" s="32" t="str">
        <f t="shared" si="247"/>
        <v/>
      </c>
      <c r="AY417" s="32" t="str">
        <f t="shared" si="248"/>
        <v/>
      </c>
      <c r="BA417" s="32" t="str">
        <f>IF($A418="","",F417*Summary!$Q$7)</f>
        <v/>
      </c>
    </row>
    <row r="418" spans="1:53">
      <c r="A418" s="67" t="str">
        <f t="shared" si="228"/>
        <v/>
      </c>
      <c r="B418" s="69" t="str">
        <f t="shared" si="249"/>
        <v/>
      </c>
      <c r="D418" s="69" t="str">
        <f t="shared" si="250"/>
        <v/>
      </c>
      <c r="E418" s="70" t="str">
        <f t="shared" si="223"/>
        <v/>
      </c>
      <c r="F418" s="70" t="str">
        <f t="shared" si="224"/>
        <v/>
      </c>
      <c r="G418" s="63" t="str">
        <f t="shared" si="229"/>
        <v/>
      </c>
      <c r="H418" s="64" t="str">
        <f t="shared" si="230"/>
        <v/>
      </c>
      <c r="J418" s="63" t="str">
        <f t="shared" si="231"/>
        <v/>
      </c>
      <c r="K418" s="64" t="str">
        <f t="shared" si="232"/>
        <v/>
      </c>
      <c r="L418" s="63" t="str">
        <f t="shared" si="233"/>
        <v/>
      </c>
      <c r="M418" s="64" t="str">
        <f t="shared" si="234"/>
        <v/>
      </c>
      <c r="O418" s="63" t="str">
        <f t="shared" si="235"/>
        <v/>
      </c>
      <c r="P418" s="63" t="str">
        <f t="shared" si="236"/>
        <v/>
      </c>
      <c r="R418" s="63" t="str">
        <f t="shared" si="237"/>
        <v/>
      </c>
      <c r="S418" s="64" t="str">
        <f t="shared" si="238"/>
        <v/>
      </c>
      <c r="T418" s="63" t="str">
        <f t="shared" si="239"/>
        <v/>
      </c>
      <c r="U418" s="64" t="str">
        <f t="shared" si="240"/>
        <v/>
      </c>
      <c r="V418" s="207" t="str">
        <f>IF($A419="","",IF(AND(MONTH(A418)&gt;3,MONTH(A418)&lt;11),(T418+R418+G418)*Summary!$T$7/(1-Summary!$T$7),(T418+R418+G418)*Summary!$U$7/(1-Summary!$U$7)))</f>
        <v/>
      </c>
      <c r="W418" s="63" t="str">
        <f t="shared" si="241"/>
        <v/>
      </c>
      <c r="X418" s="63" t="str">
        <f t="shared" si="242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3"/>
        <v/>
      </c>
      <c r="AP418" s="33" t="str">
        <f t="shared" si="244"/>
        <v/>
      </c>
      <c r="AQ418" s="58" t="str">
        <f t="shared" si="225"/>
        <v/>
      </c>
      <c r="AR418" s="38">
        <f>IF(Summary!$H$2=1,VLOOKUP('ANR OK vs ML7'!A418,Curves!$C$17:$AR$273,MATCH('ANR OK vs ML7'!$AR$4,Curves!$C$8:$AQ$8,0)),0.1)</f>
        <v>0.1</v>
      </c>
      <c r="AS418" s="35" t="str">
        <f t="shared" si="226"/>
        <v/>
      </c>
      <c r="AT418" s="3" t="str">
        <f t="shared" si="245"/>
        <v/>
      </c>
      <c r="AU418" s="3" t="str">
        <f t="shared" si="227"/>
        <v/>
      </c>
      <c r="AW418" s="32" t="str">
        <f t="shared" si="246"/>
        <v/>
      </c>
      <c r="AX418" s="32" t="str">
        <f t="shared" si="247"/>
        <v/>
      </c>
      <c r="AY418" s="32" t="str">
        <f t="shared" si="248"/>
        <v/>
      </c>
      <c r="BA418" s="32" t="str">
        <f>IF($A419="","",F418*Summary!$Q$7)</f>
        <v/>
      </c>
    </row>
    <row r="419" spans="1:53">
      <c r="A419" s="67" t="str">
        <f t="shared" si="228"/>
        <v/>
      </c>
      <c r="B419" s="69" t="str">
        <f t="shared" si="249"/>
        <v/>
      </c>
      <c r="D419" s="69" t="str">
        <f t="shared" si="250"/>
        <v/>
      </c>
      <c r="E419" s="70" t="str">
        <f t="shared" si="223"/>
        <v/>
      </c>
      <c r="F419" s="70" t="str">
        <f t="shared" si="224"/>
        <v/>
      </c>
      <c r="G419" s="63" t="str">
        <f t="shared" si="229"/>
        <v/>
      </c>
      <c r="H419" s="64" t="str">
        <f t="shared" si="230"/>
        <v/>
      </c>
      <c r="J419" s="63" t="str">
        <f t="shared" si="231"/>
        <v/>
      </c>
      <c r="K419" s="64" t="str">
        <f t="shared" si="232"/>
        <v/>
      </c>
      <c r="L419" s="63" t="str">
        <f t="shared" si="233"/>
        <v/>
      </c>
      <c r="M419" s="64" t="str">
        <f t="shared" si="234"/>
        <v/>
      </c>
      <c r="O419" s="63" t="str">
        <f t="shared" si="235"/>
        <v/>
      </c>
      <c r="P419" s="63" t="str">
        <f t="shared" si="236"/>
        <v/>
      </c>
      <c r="R419" s="63" t="str">
        <f t="shared" si="237"/>
        <v/>
      </c>
      <c r="S419" s="64" t="str">
        <f t="shared" si="238"/>
        <v/>
      </c>
      <c r="T419" s="63" t="str">
        <f t="shared" si="239"/>
        <v/>
      </c>
      <c r="U419" s="64" t="str">
        <f t="shared" si="240"/>
        <v/>
      </c>
      <c r="V419" s="207" t="str">
        <f>IF($A420="","",IF(AND(MONTH(A419)&gt;3,MONTH(A419)&lt;11),(T419+R419+G419)*Summary!$T$7/(1-Summary!$T$7),(T419+R419+G419)*Summary!$U$7/(1-Summary!$U$7)))</f>
        <v/>
      </c>
      <c r="W419" s="63" t="str">
        <f t="shared" si="241"/>
        <v/>
      </c>
      <c r="X419" s="63" t="str">
        <f t="shared" si="242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3"/>
        <v/>
      </c>
      <c r="AP419" s="33" t="str">
        <f t="shared" si="244"/>
        <v/>
      </c>
      <c r="AQ419" s="58" t="str">
        <f t="shared" si="225"/>
        <v/>
      </c>
      <c r="AR419" s="38">
        <f>IF(Summary!$H$2=1,VLOOKUP('ANR OK vs ML7'!A419,Curves!$C$17:$AR$273,MATCH('ANR OK vs ML7'!$AR$4,Curves!$C$8:$AQ$8,0)),0.1)</f>
        <v>0.1</v>
      </c>
      <c r="AS419" s="35" t="str">
        <f t="shared" si="226"/>
        <v/>
      </c>
      <c r="AT419" s="3" t="str">
        <f t="shared" si="245"/>
        <v/>
      </c>
      <c r="AU419" s="3" t="str">
        <f t="shared" si="227"/>
        <v/>
      </c>
      <c r="AW419" s="32" t="str">
        <f t="shared" si="246"/>
        <v/>
      </c>
      <c r="AX419" s="32" t="str">
        <f t="shared" si="247"/>
        <v/>
      </c>
      <c r="AY419" s="32" t="str">
        <f t="shared" si="248"/>
        <v/>
      </c>
      <c r="BA419" s="32" t="str">
        <f>IF($A420="","",F419*Summary!$Q$7)</f>
        <v/>
      </c>
    </row>
    <row r="420" spans="1:53">
      <c r="A420" s="67" t="str">
        <f t="shared" si="228"/>
        <v/>
      </c>
      <c r="B420" s="69" t="str">
        <f t="shared" si="249"/>
        <v/>
      </c>
      <c r="D420" s="69" t="str">
        <f t="shared" si="250"/>
        <v/>
      </c>
      <c r="E420" s="70" t="str">
        <f t="shared" si="223"/>
        <v/>
      </c>
      <c r="F420" s="70" t="str">
        <f t="shared" si="224"/>
        <v/>
      </c>
      <c r="G420" s="63" t="str">
        <f t="shared" si="229"/>
        <v/>
      </c>
      <c r="H420" s="64" t="str">
        <f t="shared" si="230"/>
        <v/>
      </c>
      <c r="J420" s="63" t="str">
        <f t="shared" si="231"/>
        <v/>
      </c>
      <c r="K420" s="64" t="str">
        <f t="shared" si="232"/>
        <v/>
      </c>
      <c r="L420" s="63" t="str">
        <f t="shared" si="233"/>
        <v/>
      </c>
      <c r="M420" s="64" t="str">
        <f t="shared" si="234"/>
        <v/>
      </c>
      <c r="O420" s="63" t="str">
        <f t="shared" si="235"/>
        <v/>
      </c>
      <c r="P420" s="63" t="str">
        <f t="shared" si="236"/>
        <v/>
      </c>
      <c r="R420" s="63" t="str">
        <f t="shared" si="237"/>
        <v/>
      </c>
      <c r="S420" s="64" t="str">
        <f t="shared" si="238"/>
        <v/>
      </c>
      <c r="T420" s="63" t="str">
        <f t="shared" si="239"/>
        <v/>
      </c>
      <c r="U420" s="64" t="str">
        <f t="shared" si="240"/>
        <v/>
      </c>
      <c r="V420" s="207" t="str">
        <f>IF($A421="","",IF(AND(MONTH(A420)&gt;3,MONTH(A420)&lt;11),(T420+R420+G420)*Summary!$T$7/(1-Summary!$T$7),(T420+R420+G420)*Summary!$U$7/(1-Summary!$U$7)))</f>
        <v/>
      </c>
      <c r="W420" s="63" t="str">
        <f t="shared" si="241"/>
        <v/>
      </c>
      <c r="X420" s="63" t="str">
        <f t="shared" si="242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3"/>
        <v/>
      </c>
      <c r="AP420" s="33" t="str">
        <f t="shared" si="244"/>
        <v/>
      </c>
      <c r="AQ420" s="58" t="str">
        <f t="shared" si="225"/>
        <v/>
      </c>
      <c r="AR420" s="38">
        <f>IF(Summary!$H$2=1,VLOOKUP('ANR OK vs ML7'!A420,Curves!$C$17:$AR$273,MATCH('ANR OK vs ML7'!$AR$4,Curves!$C$8:$AQ$8,0)),0.1)</f>
        <v>0.1</v>
      </c>
      <c r="AS420" s="35" t="str">
        <f t="shared" si="226"/>
        <v/>
      </c>
      <c r="AT420" s="3" t="str">
        <f t="shared" si="245"/>
        <v/>
      </c>
      <c r="AU420" s="3" t="str">
        <f t="shared" si="227"/>
        <v/>
      </c>
      <c r="AW420" s="32" t="str">
        <f t="shared" si="246"/>
        <v/>
      </c>
      <c r="AX420" s="32" t="str">
        <f t="shared" si="247"/>
        <v/>
      </c>
      <c r="AY420" s="32" t="str">
        <f t="shared" si="248"/>
        <v/>
      </c>
      <c r="BA420" s="32" t="str">
        <f>IF($A421="","",F420*Summary!$Q$7)</f>
        <v/>
      </c>
    </row>
    <row r="421" spans="1:53">
      <c r="A421" s="67" t="str">
        <f t="shared" si="228"/>
        <v/>
      </c>
      <c r="B421" s="69" t="str">
        <f t="shared" si="249"/>
        <v/>
      </c>
      <c r="D421" s="69" t="str">
        <f t="shared" si="250"/>
        <v/>
      </c>
      <c r="E421" s="70" t="str">
        <f t="shared" si="223"/>
        <v/>
      </c>
      <c r="F421" s="70" t="str">
        <f t="shared" si="224"/>
        <v/>
      </c>
      <c r="G421" s="63" t="str">
        <f t="shared" si="229"/>
        <v/>
      </c>
      <c r="H421" s="64" t="str">
        <f t="shared" si="230"/>
        <v/>
      </c>
      <c r="J421" s="63" t="str">
        <f t="shared" si="231"/>
        <v/>
      </c>
      <c r="K421" s="64" t="str">
        <f t="shared" si="232"/>
        <v/>
      </c>
      <c r="L421" s="63" t="str">
        <f t="shared" si="233"/>
        <v/>
      </c>
      <c r="M421" s="64" t="str">
        <f t="shared" si="234"/>
        <v/>
      </c>
      <c r="O421" s="63" t="str">
        <f t="shared" si="235"/>
        <v/>
      </c>
      <c r="P421" s="63" t="str">
        <f t="shared" si="236"/>
        <v/>
      </c>
      <c r="R421" s="63" t="str">
        <f t="shared" si="237"/>
        <v/>
      </c>
      <c r="S421" s="64" t="str">
        <f t="shared" si="238"/>
        <v/>
      </c>
      <c r="T421" s="63" t="str">
        <f t="shared" si="239"/>
        <v/>
      </c>
      <c r="U421" s="64" t="str">
        <f t="shared" si="240"/>
        <v/>
      </c>
      <c r="V421" s="207" t="str">
        <f>IF($A422="","",IF(AND(MONTH(A421)&gt;3,MONTH(A421)&lt;11),(T421+R421+G421)*Summary!$T$7/(1-Summary!$T$7),(T421+R421+G421)*Summary!$U$7/(1-Summary!$U$7)))</f>
        <v/>
      </c>
      <c r="W421" s="63" t="str">
        <f t="shared" si="241"/>
        <v/>
      </c>
      <c r="X421" s="63" t="str">
        <f t="shared" si="242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3"/>
        <v/>
      </c>
      <c r="AP421" s="33" t="str">
        <f t="shared" si="244"/>
        <v/>
      </c>
      <c r="AQ421" s="58" t="str">
        <f t="shared" si="225"/>
        <v/>
      </c>
      <c r="AR421" s="38">
        <f>IF(Summary!$H$2=1,VLOOKUP('ANR OK vs ML7'!A421,Curves!$C$17:$AR$273,MATCH('ANR OK vs ML7'!$AR$4,Curves!$C$8:$AQ$8,0)),0.1)</f>
        <v>0.1</v>
      </c>
      <c r="AS421" s="35" t="str">
        <f t="shared" si="226"/>
        <v/>
      </c>
      <c r="AT421" s="3" t="str">
        <f t="shared" si="245"/>
        <v/>
      </c>
      <c r="AU421" s="3" t="str">
        <f t="shared" si="227"/>
        <v/>
      </c>
      <c r="AW421" s="32" t="str">
        <f t="shared" si="246"/>
        <v/>
      </c>
      <c r="AX421" s="32" t="str">
        <f t="shared" si="247"/>
        <v/>
      </c>
      <c r="AY421" s="32" t="str">
        <f t="shared" si="248"/>
        <v/>
      </c>
      <c r="BA421" s="32" t="str">
        <f>IF($A422="","",F421*Summary!$Q$7)</f>
        <v/>
      </c>
    </row>
    <row r="422" spans="1:53">
      <c r="A422" s="67" t="str">
        <f t="shared" si="228"/>
        <v/>
      </c>
      <c r="B422" s="69" t="str">
        <f t="shared" si="249"/>
        <v/>
      </c>
      <c r="D422" s="69" t="str">
        <f t="shared" si="250"/>
        <v/>
      </c>
      <c r="E422" s="70" t="str">
        <f t="shared" si="223"/>
        <v/>
      </c>
      <c r="F422" s="70" t="str">
        <f t="shared" si="224"/>
        <v/>
      </c>
      <c r="G422" s="63" t="str">
        <f t="shared" si="229"/>
        <v/>
      </c>
      <c r="H422" s="64" t="str">
        <f t="shared" si="230"/>
        <v/>
      </c>
      <c r="J422" s="63" t="str">
        <f t="shared" si="231"/>
        <v/>
      </c>
      <c r="K422" s="64" t="str">
        <f t="shared" si="232"/>
        <v/>
      </c>
      <c r="L422" s="63" t="str">
        <f t="shared" si="233"/>
        <v/>
      </c>
      <c r="M422" s="64" t="str">
        <f t="shared" si="234"/>
        <v/>
      </c>
      <c r="O422" s="63" t="str">
        <f t="shared" si="235"/>
        <v/>
      </c>
      <c r="P422" s="63" t="str">
        <f t="shared" si="236"/>
        <v/>
      </c>
      <c r="R422" s="63" t="str">
        <f t="shared" si="237"/>
        <v/>
      </c>
      <c r="S422" s="64" t="str">
        <f t="shared" si="238"/>
        <v/>
      </c>
      <c r="T422" s="63" t="str">
        <f t="shared" si="239"/>
        <v/>
      </c>
      <c r="U422" s="64" t="str">
        <f t="shared" si="240"/>
        <v/>
      </c>
      <c r="V422" s="207" t="str">
        <f>IF($A423="","",IF(AND(MONTH(A422)&gt;3,MONTH(A422)&lt;11),(T422+R422+G422)*Summary!$T$7/(1-Summary!$T$7),(T422+R422+G422)*Summary!$U$7/(1-Summary!$U$7)))</f>
        <v/>
      </c>
      <c r="W422" s="63" t="str">
        <f t="shared" si="241"/>
        <v/>
      </c>
      <c r="X422" s="63" t="str">
        <f t="shared" si="242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3"/>
        <v/>
      </c>
      <c r="AP422" s="33" t="str">
        <f t="shared" si="244"/>
        <v/>
      </c>
      <c r="AQ422" s="58" t="str">
        <f t="shared" si="225"/>
        <v/>
      </c>
      <c r="AR422" s="38">
        <f>IF(Summary!$H$2=1,VLOOKUP('ANR OK vs ML7'!A422,Curves!$C$17:$AR$273,MATCH('ANR OK vs ML7'!$AR$4,Curves!$C$8:$AQ$8,0)),0.1)</f>
        <v>0.1</v>
      </c>
      <c r="AS422" s="35" t="str">
        <f t="shared" si="226"/>
        <v/>
      </c>
      <c r="AT422" s="3" t="str">
        <f t="shared" si="245"/>
        <v/>
      </c>
      <c r="AU422" s="3" t="str">
        <f t="shared" si="227"/>
        <v/>
      </c>
      <c r="AW422" s="32" t="str">
        <f t="shared" si="246"/>
        <v/>
      </c>
      <c r="AX422" s="32" t="str">
        <f t="shared" si="247"/>
        <v/>
      </c>
      <c r="AY422" s="32" t="str">
        <f t="shared" si="248"/>
        <v/>
      </c>
      <c r="BA422" s="32" t="str">
        <f>IF($A423="","",F422*Summary!$Q$7)</f>
        <v/>
      </c>
    </row>
    <row r="423" spans="1:53">
      <c r="A423" s="67" t="str">
        <f t="shared" si="228"/>
        <v/>
      </c>
      <c r="B423" s="69" t="str">
        <f t="shared" si="249"/>
        <v/>
      </c>
      <c r="D423" s="69" t="str">
        <f t="shared" si="250"/>
        <v/>
      </c>
      <c r="E423" s="70" t="str">
        <f t="shared" si="223"/>
        <v/>
      </c>
      <c r="F423" s="70" t="str">
        <f t="shared" si="224"/>
        <v/>
      </c>
      <c r="G423" s="63" t="str">
        <f t="shared" si="229"/>
        <v/>
      </c>
      <c r="H423" s="64" t="str">
        <f t="shared" si="230"/>
        <v/>
      </c>
      <c r="J423" s="63" t="str">
        <f t="shared" si="231"/>
        <v/>
      </c>
      <c r="K423" s="64" t="str">
        <f t="shared" si="232"/>
        <v/>
      </c>
      <c r="L423" s="63" t="str">
        <f t="shared" si="233"/>
        <v/>
      </c>
      <c r="M423" s="64" t="str">
        <f t="shared" si="234"/>
        <v/>
      </c>
      <c r="O423" s="63" t="str">
        <f t="shared" si="235"/>
        <v/>
      </c>
      <c r="P423" s="63" t="str">
        <f t="shared" si="236"/>
        <v/>
      </c>
      <c r="R423" s="63" t="str">
        <f t="shared" si="237"/>
        <v/>
      </c>
      <c r="S423" s="64" t="str">
        <f t="shared" si="238"/>
        <v/>
      </c>
      <c r="T423" s="63" t="str">
        <f t="shared" si="239"/>
        <v/>
      </c>
      <c r="U423" s="64" t="str">
        <f t="shared" si="240"/>
        <v/>
      </c>
      <c r="V423" s="207" t="str">
        <f>IF($A424="","",IF(AND(MONTH(A423)&gt;3,MONTH(A423)&lt;11),(T423+R423+G423)*Summary!$T$7/(1-Summary!$T$7),(T423+R423+G423)*Summary!$U$7/(1-Summary!$U$7)))</f>
        <v/>
      </c>
      <c r="W423" s="63" t="str">
        <f t="shared" si="241"/>
        <v/>
      </c>
      <c r="X423" s="63" t="str">
        <f t="shared" si="242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3"/>
        <v/>
      </c>
      <c r="AP423" s="33" t="str">
        <f t="shared" si="244"/>
        <v/>
      </c>
      <c r="AQ423" s="58" t="str">
        <f t="shared" si="225"/>
        <v/>
      </c>
      <c r="AR423" s="38">
        <f>IF(Summary!$H$2=1,VLOOKUP('ANR OK vs ML7'!A423,Curves!$C$17:$AR$273,MATCH('ANR OK vs ML7'!$AR$4,Curves!$C$8:$AQ$8,0)),0.1)</f>
        <v>0.1</v>
      </c>
      <c r="AS423" s="35" t="str">
        <f t="shared" si="226"/>
        <v/>
      </c>
      <c r="AT423" s="3" t="str">
        <f t="shared" si="245"/>
        <v/>
      </c>
      <c r="AU423" s="3" t="str">
        <f t="shared" si="227"/>
        <v/>
      </c>
      <c r="AW423" s="32" t="str">
        <f t="shared" si="246"/>
        <v/>
      </c>
      <c r="AX423" s="32" t="str">
        <f t="shared" si="247"/>
        <v/>
      </c>
      <c r="AY423" s="32" t="str">
        <f t="shared" si="248"/>
        <v/>
      </c>
      <c r="BA423" s="32" t="str">
        <f>IF($A424="","",F423*Summary!$Q$7)</f>
        <v/>
      </c>
    </row>
    <row r="424" spans="1:53">
      <c r="A424" s="67" t="str">
        <f t="shared" si="228"/>
        <v/>
      </c>
      <c r="B424" s="69" t="str">
        <f t="shared" si="249"/>
        <v/>
      </c>
      <c r="D424" s="69" t="str">
        <f t="shared" si="250"/>
        <v/>
      </c>
      <c r="E424" s="70" t="str">
        <f t="shared" si="223"/>
        <v/>
      </c>
      <c r="F424" s="70" t="str">
        <f t="shared" si="224"/>
        <v/>
      </c>
      <c r="G424" s="63" t="str">
        <f t="shared" si="229"/>
        <v/>
      </c>
      <c r="H424" s="64" t="str">
        <f t="shared" si="230"/>
        <v/>
      </c>
      <c r="J424" s="63" t="str">
        <f t="shared" si="231"/>
        <v/>
      </c>
      <c r="K424" s="64" t="str">
        <f t="shared" si="232"/>
        <v/>
      </c>
      <c r="L424" s="63" t="str">
        <f t="shared" si="233"/>
        <v/>
      </c>
      <c r="M424" s="64" t="str">
        <f t="shared" si="234"/>
        <v/>
      </c>
      <c r="O424" s="63" t="str">
        <f t="shared" si="235"/>
        <v/>
      </c>
      <c r="P424" s="63" t="str">
        <f t="shared" si="236"/>
        <v/>
      </c>
      <c r="R424" s="63" t="str">
        <f t="shared" si="237"/>
        <v/>
      </c>
      <c r="S424" s="64" t="str">
        <f t="shared" si="238"/>
        <v/>
      </c>
      <c r="T424" s="63" t="str">
        <f t="shared" si="239"/>
        <v/>
      </c>
      <c r="U424" s="64" t="str">
        <f t="shared" si="240"/>
        <v/>
      </c>
      <c r="V424" s="207" t="str">
        <f>IF($A425="","",IF(AND(MONTH(A424)&gt;3,MONTH(A424)&lt;11),(T424+R424+G424)*Summary!$T$7/(1-Summary!$T$7),(T424+R424+G424)*Summary!$U$7/(1-Summary!$U$7)))</f>
        <v/>
      </c>
      <c r="W424" s="63" t="str">
        <f t="shared" si="241"/>
        <v/>
      </c>
      <c r="X424" s="63" t="str">
        <f t="shared" si="242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3"/>
        <v/>
      </c>
      <c r="AP424" s="33" t="str">
        <f t="shared" si="244"/>
        <v/>
      </c>
      <c r="AQ424" s="58" t="str">
        <f t="shared" si="225"/>
        <v/>
      </c>
      <c r="AR424" s="38">
        <f>IF(Summary!$H$2=1,VLOOKUP('ANR OK vs ML7'!A424,Curves!$C$17:$AR$273,MATCH('ANR OK vs ML7'!$AR$4,Curves!$C$8:$AQ$8,0)),0.1)</f>
        <v>0.1</v>
      </c>
      <c r="AS424" s="35" t="str">
        <f t="shared" si="226"/>
        <v/>
      </c>
      <c r="AT424" s="3" t="str">
        <f t="shared" si="245"/>
        <v/>
      </c>
      <c r="AU424" s="3" t="str">
        <f t="shared" si="227"/>
        <v/>
      </c>
      <c r="AW424" s="32" t="str">
        <f t="shared" si="246"/>
        <v/>
      </c>
      <c r="AX424" s="32" t="str">
        <f t="shared" si="247"/>
        <v/>
      </c>
      <c r="AY424" s="32" t="str">
        <f t="shared" si="248"/>
        <v/>
      </c>
      <c r="BA424" s="32" t="str">
        <f>IF($A425="","",F424*Summary!$Q$7)</f>
        <v/>
      </c>
    </row>
    <row r="425" spans="1:53">
      <c r="A425" s="67" t="str">
        <f t="shared" si="228"/>
        <v/>
      </c>
      <c r="B425" s="69" t="str">
        <f t="shared" si="249"/>
        <v/>
      </c>
      <c r="D425" s="69" t="str">
        <f t="shared" si="250"/>
        <v/>
      </c>
      <c r="E425" s="70" t="str">
        <f t="shared" si="223"/>
        <v/>
      </c>
      <c r="F425" s="70" t="str">
        <f t="shared" si="224"/>
        <v/>
      </c>
      <c r="G425" s="63" t="str">
        <f t="shared" si="229"/>
        <v/>
      </c>
      <c r="H425" s="64" t="str">
        <f t="shared" si="230"/>
        <v/>
      </c>
      <c r="J425" s="63" t="str">
        <f t="shared" si="231"/>
        <v/>
      </c>
      <c r="K425" s="64" t="str">
        <f t="shared" si="232"/>
        <v/>
      </c>
      <c r="L425" s="63" t="str">
        <f t="shared" si="233"/>
        <v/>
      </c>
      <c r="M425" s="64" t="str">
        <f t="shared" si="234"/>
        <v/>
      </c>
      <c r="O425" s="63" t="str">
        <f t="shared" si="235"/>
        <v/>
      </c>
      <c r="P425" s="63" t="str">
        <f t="shared" si="236"/>
        <v/>
      </c>
      <c r="R425" s="63" t="str">
        <f t="shared" si="237"/>
        <v/>
      </c>
      <c r="S425" s="64" t="str">
        <f t="shared" si="238"/>
        <v/>
      </c>
      <c r="T425" s="63" t="str">
        <f t="shared" si="239"/>
        <v/>
      </c>
      <c r="U425" s="64" t="str">
        <f t="shared" si="240"/>
        <v/>
      </c>
      <c r="V425" s="207" t="str">
        <f>IF($A426="","",IF(AND(MONTH(A425)&gt;3,MONTH(A425)&lt;11),(T425+R425+G425)*Summary!$T$7/(1-Summary!$T$7),(T425+R425+G425)*Summary!$U$7/(1-Summary!$U$7)))</f>
        <v/>
      </c>
      <c r="W425" s="63" t="str">
        <f t="shared" si="241"/>
        <v/>
      </c>
      <c r="X425" s="63" t="str">
        <f t="shared" si="242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3"/>
        <v/>
      </c>
      <c r="AP425" s="33" t="str">
        <f t="shared" si="244"/>
        <v/>
      </c>
      <c r="AQ425" s="58" t="str">
        <f t="shared" si="225"/>
        <v/>
      </c>
      <c r="AR425" s="38">
        <f>IF(Summary!$H$2=1,VLOOKUP('ANR OK vs ML7'!A425,Curves!$C$17:$AR$273,MATCH('ANR OK vs ML7'!$AR$4,Curves!$C$8:$AQ$8,0)),0.1)</f>
        <v>0.1</v>
      </c>
      <c r="AS425" s="35" t="str">
        <f t="shared" si="226"/>
        <v/>
      </c>
      <c r="AT425" s="3" t="str">
        <f t="shared" si="245"/>
        <v/>
      </c>
      <c r="AU425" s="3" t="str">
        <f t="shared" si="227"/>
        <v/>
      </c>
      <c r="AW425" s="32" t="str">
        <f t="shared" si="246"/>
        <v/>
      </c>
      <c r="AX425" s="32" t="str">
        <f t="shared" si="247"/>
        <v/>
      </c>
      <c r="AY425" s="32" t="str">
        <f t="shared" si="248"/>
        <v/>
      </c>
      <c r="BA425" s="32" t="str">
        <f>IF($A426="","",F425*Summary!$Q$7)</f>
        <v/>
      </c>
    </row>
    <row r="426" spans="1:53">
      <c r="A426" s="67" t="str">
        <f t="shared" si="228"/>
        <v/>
      </c>
      <c r="B426" s="69" t="str">
        <f t="shared" si="249"/>
        <v/>
      </c>
      <c r="D426" s="69" t="str">
        <f t="shared" si="250"/>
        <v/>
      </c>
      <c r="E426" s="70" t="str">
        <f t="shared" si="223"/>
        <v/>
      </c>
      <c r="F426" s="70" t="str">
        <f t="shared" si="224"/>
        <v/>
      </c>
      <c r="G426" s="63" t="str">
        <f t="shared" si="229"/>
        <v/>
      </c>
      <c r="H426" s="64" t="str">
        <f t="shared" si="230"/>
        <v/>
      </c>
      <c r="J426" s="63" t="str">
        <f t="shared" si="231"/>
        <v/>
      </c>
      <c r="K426" s="64" t="str">
        <f t="shared" si="232"/>
        <v/>
      </c>
      <c r="L426" s="63" t="str">
        <f t="shared" si="233"/>
        <v/>
      </c>
      <c r="M426" s="64" t="str">
        <f t="shared" si="234"/>
        <v/>
      </c>
      <c r="O426" s="63" t="str">
        <f t="shared" si="235"/>
        <v/>
      </c>
      <c r="P426" s="63" t="str">
        <f t="shared" si="236"/>
        <v/>
      </c>
      <c r="R426" s="63" t="str">
        <f t="shared" si="237"/>
        <v/>
      </c>
      <c r="S426" s="64" t="str">
        <f t="shared" si="238"/>
        <v/>
      </c>
      <c r="T426" s="63" t="str">
        <f t="shared" si="239"/>
        <v/>
      </c>
      <c r="U426" s="64" t="str">
        <f t="shared" si="240"/>
        <v/>
      </c>
      <c r="V426" s="207" t="str">
        <f>IF($A427="","",IF(AND(MONTH(A426)&gt;3,MONTH(A426)&lt;11),(T426+R426+G426)*Summary!$T$7/(1-Summary!$T$7),(T426+R426+G426)*Summary!$U$7/(1-Summary!$U$7)))</f>
        <v/>
      </c>
      <c r="W426" s="63" t="str">
        <f t="shared" si="241"/>
        <v/>
      </c>
      <c r="X426" s="63" t="str">
        <f t="shared" si="242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3"/>
        <v/>
      </c>
      <c r="AP426" s="33" t="str">
        <f t="shared" si="244"/>
        <v/>
      </c>
      <c r="AQ426" s="58" t="str">
        <f t="shared" si="225"/>
        <v/>
      </c>
      <c r="AR426" s="38">
        <f>IF(Summary!$H$2=1,VLOOKUP('ANR OK vs ML7'!A426,Curves!$C$17:$AR$273,MATCH('ANR OK vs ML7'!$AR$4,Curves!$C$8:$AQ$8,0)),0.1)</f>
        <v>0.1</v>
      </c>
      <c r="AS426" s="35" t="str">
        <f t="shared" si="226"/>
        <v/>
      </c>
      <c r="AT426" s="3" t="str">
        <f t="shared" si="245"/>
        <v/>
      </c>
      <c r="AU426" s="3" t="str">
        <f t="shared" si="227"/>
        <v/>
      </c>
      <c r="AW426" s="32" t="str">
        <f t="shared" si="246"/>
        <v/>
      </c>
      <c r="AX426" s="32" t="str">
        <f t="shared" si="247"/>
        <v/>
      </c>
      <c r="AY426" s="32" t="str">
        <f t="shared" si="248"/>
        <v/>
      </c>
      <c r="BA426" s="32" t="str">
        <f>IF($A427="","",F426*Summary!$Q$7)</f>
        <v/>
      </c>
    </row>
    <row r="427" spans="1:53">
      <c r="A427" s="67" t="str">
        <f t="shared" si="228"/>
        <v/>
      </c>
      <c r="B427" s="69" t="str">
        <f t="shared" si="249"/>
        <v/>
      </c>
      <c r="D427" s="69" t="str">
        <f t="shared" si="250"/>
        <v/>
      </c>
      <c r="E427" s="70" t="str">
        <f t="shared" si="223"/>
        <v/>
      </c>
      <c r="F427" s="70" t="str">
        <f t="shared" si="224"/>
        <v/>
      </c>
      <c r="G427" s="63" t="str">
        <f t="shared" si="229"/>
        <v/>
      </c>
      <c r="H427" s="64" t="str">
        <f t="shared" si="230"/>
        <v/>
      </c>
      <c r="J427" s="63" t="str">
        <f t="shared" si="231"/>
        <v/>
      </c>
      <c r="K427" s="64" t="str">
        <f t="shared" si="232"/>
        <v/>
      </c>
      <c r="L427" s="63" t="str">
        <f t="shared" si="233"/>
        <v/>
      </c>
      <c r="M427" s="64" t="str">
        <f t="shared" si="234"/>
        <v/>
      </c>
      <c r="O427" s="63" t="str">
        <f t="shared" si="235"/>
        <v/>
      </c>
      <c r="P427" s="63" t="str">
        <f t="shared" si="236"/>
        <v/>
      </c>
      <c r="R427" s="63" t="str">
        <f t="shared" si="237"/>
        <v/>
      </c>
      <c r="S427" s="64" t="str">
        <f t="shared" si="238"/>
        <v/>
      </c>
      <c r="T427" s="63" t="str">
        <f t="shared" si="239"/>
        <v/>
      </c>
      <c r="U427" s="64" t="str">
        <f t="shared" si="240"/>
        <v/>
      </c>
      <c r="V427" s="207" t="str">
        <f>IF($A428="","",IF(AND(MONTH(A427)&gt;3,MONTH(A427)&lt;11),(T427+R427+G427)*Summary!$T$7/(1-Summary!$T$7),(T427+R427+G427)*Summary!$U$7/(1-Summary!$U$7)))</f>
        <v/>
      </c>
      <c r="W427" s="63" t="str">
        <f t="shared" si="241"/>
        <v/>
      </c>
      <c r="X427" s="63" t="str">
        <f t="shared" si="242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3"/>
        <v/>
      </c>
      <c r="AP427" s="33" t="str">
        <f t="shared" si="244"/>
        <v/>
      </c>
      <c r="AQ427" s="58" t="str">
        <f t="shared" si="225"/>
        <v/>
      </c>
      <c r="AR427" s="38">
        <f>IF(Summary!$H$2=1,VLOOKUP('ANR OK vs ML7'!A427,Curves!$C$17:$AR$273,MATCH('ANR OK vs ML7'!$AR$4,Curves!$C$8:$AQ$8,0)),0.1)</f>
        <v>0.1</v>
      </c>
      <c r="AS427" s="35" t="str">
        <f t="shared" si="226"/>
        <v/>
      </c>
      <c r="AT427" s="3" t="str">
        <f t="shared" si="245"/>
        <v/>
      </c>
      <c r="AU427" s="3" t="str">
        <f t="shared" si="227"/>
        <v/>
      </c>
      <c r="AW427" s="32" t="str">
        <f t="shared" si="246"/>
        <v/>
      </c>
      <c r="AX427" s="32" t="str">
        <f t="shared" si="247"/>
        <v/>
      </c>
      <c r="AY427" s="32" t="str">
        <f t="shared" si="248"/>
        <v/>
      </c>
      <c r="BA427" s="32" t="str">
        <f>IF($A428="","",F427*Summary!$Q$7)</f>
        <v/>
      </c>
    </row>
    <row r="428" spans="1:53">
      <c r="A428" s="67" t="str">
        <f t="shared" si="228"/>
        <v/>
      </c>
      <c r="B428" s="69" t="str">
        <f t="shared" si="249"/>
        <v/>
      </c>
      <c r="D428" s="69" t="str">
        <f t="shared" si="250"/>
        <v/>
      </c>
      <c r="E428" s="70" t="str">
        <f t="shared" si="223"/>
        <v/>
      </c>
      <c r="F428" s="70" t="str">
        <f t="shared" si="224"/>
        <v/>
      </c>
      <c r="G428" s="63" t="str">
        <f t="shared" si="229"/>
        <v/>
      </c>
      <c r="H428" s="64" t="str">
        <f t="shared" si="230"/>
        <v/>
      </c>
      <c r="J428" s="63" t="str">
        <f t="shared" si="231"/>
        <v/>
      </c>
      <c r="K428" s="64" t="str">
        <f t="shared" si="232"/>
        <v/>
      </c>
      <c r="L428" s="63" t="str">
        <f t="shared" si="233"/>
        <v/>
      </c>
      <c r="M428" s="64" t="str">
        <f t="shared" si="234"/>
        <v/>
      </c>
      <c r="O428" s="63" t="str">
        <f t="shared" si="235"/>
        <v/>
      </c>
      <c r="P428" s="63" t="str">
        <f t="shared" si="236"/>
        <v/>
      </c>
      <c r="R428" s="63" t="str">
        <f t="shared" si="237"/>
        <v/>
      </c>
      <c r="S428" s="64" t="str">
        <f t="shared" si="238"/>
        <v/>
      </c>
      <c r="T428" s="63" t="str">
        <f t="shared" si="239"/>
        <v/>
      </c>
      <c r="U428" s="64" t="str">
        <f t="shared" si="240"/>
        <v/>
      </c>
      <c r="V428" s="207" t="str">
        <f>IF($A429="","",IF(AND(MONTH(A428)&gt;3,MONTH(A428)&lt;11),(T428+R428+G428)*Summary!$T$7/(1-Summary!$T$7),(T428+R428+G428)*Summary!$U$7/(1-Summary!$U$7)))</f>
        <v/>
      </c>
      <c r="W428" s="63" t="str">
        <f t="shared" si="241"/>
        <v/>
      </c>
      <c r="X428" s="63" t="str">
        <f t="shared" si="242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3"/>
        <v/>
      </c>
      <c r="AP428" s="33" t="str">
        <f t="shared" si="244"/>
        <v/>
      </c>
      <c r="AQ428" s="58" t="str">
        <f t="shared" si="225"/>
        <v/>
      </c>
      <c r="AR428" s="38">
        <f>IF(Summary!$H$2=1,VLOOKUP('ANR OK vs ML7'!A428,Curves!$C$17:$AR$273,MATCH('ANR OK vs ML7'!$AR$4,Curves!$C$8:$AQ$8,0)),0.1)</f>
        <v>0.1</v>
      </c>
      <c r="AS428" s="35" t="str">
        <f t="shared" si="226"/>
        <v/>
      </c>
      <c r="AT428" s="3" t="str">
        <f t="shared" si="245"/>
        <v/>
      </c>
      <c r="AU428" s="3" t="str">
        <f t="shared" si="227"/>
        <v/>
      </c>
      <c r="AW428" s="32" t="str">
        <f t="shared" si="246"/>
        <v/>
      </c>
      <c r="AX428" s="32" t="str">
        <f t="shared" si="247"/>
        <v/>
      </c>
      <c r="AY428" s="32" t="str">
        <f t="shared" si="248"/>
        <v/>
      </c>
      <c r="BA428" s="32" t="str">
        <f>IF($A429="","",F428*Summary!$Q$7)</f>
        <v/>
      </c>
    </row>
    <row r="429" spans="1:53">
      <c r="A429" s="67" t="str">
        <f t="shared" si="228"/>
        <v/>
      </c>
      <c r="B429" s="69" t="str">
        <f t="shared" si="249"/>
        <v/>
      </c>
      <c r="D429" s="69" t="str">
        <f t="shared" si="250"/>
        <v/>
      </c>
      <c r="E429" s="70" t="str">
        <f t="shared" si="223"/>
        <v/>
      </c>
      <c r="F429" s="70" t="str">
        <f t="shared" si="224"/>
        <v/>
      </c>
      <c r="G429" s="63" t="str">
        <f t="shared" si="229"/>
        <v/>
      </c>
      <c r="H429" s="64" t="str">
        <f t="shared" si="230"/>
        <v/>
      </c>
      <c r="J429" s="63" t="str">
        <f t="shared" si="231"/>
        <v/>
      </c>
      <c r="K429" s="64" t="str">
        <f t="shared" si="232"/>
        <v/>
      </c>
      <c r="L429" s="63" t="str">
        <f t="shared" si="233"/>
        <v/>
      </c>
      <c r="M429" s="64" t="str">
        <f t="shared" si="234"/>
        <v/>
      </c>
      <c r="O429" s="63" t="str">
        <f t="shared" si="235"/>
        <v/>
      </c>
      <c r="P429" s="63" t="str">
        <f t="shared" si="236"/>
        <v/>
      </c>
      <c r="R429" s="63" t="str">
        <f t="shared" si="237"/>
        <v/>
      </c>
      <c r="S429" s="64" t="str">
        <f t="shared" si="238"/>
        <v/>
      </c>
      <c r="T429" s="63" t="str">
        <f t="shared" si="239"/>
        <v/>
      </c>
      <c r="U429" s="64" t="str">
        <f t="shared" si="240"/>
        <v/>
      </c>
      <c r="V429" s="207" t="str">
        <f>IF($A430="","",IF(AND(MONTH(A429)&gt;3,MONTH(A429)&lt;11),(T429+R429+G429)*Summary!$T$7/(1-Summary!$T$7),(T429+R429+G429)*Summary!$U$7/(1-Summary!$U$7)))</f>
        <v/>
      </c>
      <c r="W429" s="63" t="str">
        <f t="shared" si="241"/>
        <v/>
      </c>
      <c r="X429" s="63" t="str">
        <f t="shared" si="242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3"/>
        <v/>
      </c>
      <c r="AP429" s="33" t="str">
        <f t="shared" si="244"/>
        <v/>
      </c>
      <c r="AQ429" s="58" t="str">
        <f t="shared" si="225"/>
        <v/>
      </c>
      <c r="AR429" s="38">
        <f>IF(Summary!$H$2=1,VLOOKUP('ANR OK vs ML7'!A429,Curves!$C$17:$AR$273,MATCH('ANR OK vs ML7'!$AR$4,Curves!$C$8:$AQ$8,0)),0.1)</f>
        <v>0.1</v>
      </c>
      <c r="AS429" s="35" t="str">
        <f t="shared" si="226"/>
        <v/>
      </c>
      <c r="AT429" s="3" t="str">
        <f t="shared" si="245"/>
        <v/>
      </c>
      <c r="AU429" s="3" t="str">
        <f t="shared" si="227"/>
        <v/>
      </c>
      <c r="AW429" s="32" t="str">
        <f t="shared" si="246"/>
        <v/>
      </c>
      <c r="AX429" s="32" t="str">
        <f t="shared" si="247"/>
        <v/>
      </c>
      <c r="AY429" s="32" t="str">
        <f t="shared" si="248"/>
        <v/>
      </c>
      <c r="BA429" s="32" t="str">
        <f>IF($A430="","",F429*Summary!$Q$7)</f>
        <v/>
      </c>
    </row>
    <row r="430" spans="1:53">
      <c r="A430" s="67" t="str">
        <f t="shared" si="228"/>
        <v/>
      </c>
      <c r="B430" s="69" t="str">
        <f t="shared" si="249"/>
        <v/>
      </c>
      <c r="D430" s="69" t="str">
        <f t="shared" si="250"/>
        <v/>
      </c>
      <c r="E430" s="70" t="str">
        <f t="shared" si="223"/>
        <v/>
      </c>
      <c r="F430" s="70" t="str">
        <f t="shared" si="224"/>
        <v/>
      </c>
      <c r="G430" s="63" t="str">
        <f t="shared" si="229"/>
        <v/>
      </c>
      <c r="H430" s="64" t="str">
        <f t="shared" si="230"/>
        <v/>
      </c>
      <c r="J430" s="63" t="str">
        <f t="shared" si="231"/>
        <v/>
      </c>
      <c r="K430" s="64" t="str">
        <f t="shared" si="232"/>
        <v/>
      </c>
      <c r="L430" s="63" t="str">
        <f t="shared" si="233"/>
        <v/>
      </c>
      <c r="M430" s="64" t="str">
        <f t="shared" si="234"/>
        <v/>
      </c>
      <c r="O430" s="63" t="str">
        <f t="shared" si="235"/>
        <v/>
      </c>
      <c r="P430" s="63" t="str">
        <f t="shared" si="236"/>
        <v/>
      </c>
      <c r="R430" s="63" t="str">
        <f t="shared" si="237"/>
        <v/>
      </c>
      <c r="S430" s="64" t="str">
        <f t="shared" si="238"/>
        <v/>
      </c>
      <c r="T430" s="63" t="str">
        <f t="shared" si="239"/>
        <v/>
      </c>
      <c r="U430" s="64" t="str">
        <f t="shared" si="240"/>
        <v/>
      </c>
      <c r="V430" s="207" t="str">
        <f>IF($A431="","",IF(AND(MONTH(A430)&gt;3,MONTH(A430)&lt;11),(T430+R430+G430)*Summary!$T$7/(1-Summary!$T$7),(T430+R430+G430)*Summary!$U$7/(1-Summary!$U$7)))</f>
        <v/>
      </c>
      <c r="W430" s="63" t="str">
        <f t="shared" si="241"/>
        <v/>
      </c>
      <c r="X430" s="63" t="str">
        <f t="shared" si="242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3"/>
        <v/>
      </c>
      <c r="AP430" s="33" t="str">
        <f t="shared" si="244"/>
        <v/>
      </c>
      <c r="AQ430" s="58" t="str">
        <f t="shared" si="225"/>
        <v/>
      </c>
      <c r="AR430" s="38">
        <f>IF(Summary!$H$2=1,VLOOKUP('ANR OK vs ML7'!A430,Curves!$C$17:$AR$273,MATCH('ANR OK vs ML7'!$AR$4,Curves!$C$8:$AQ$8,0)),0.1)</f>
        <v>0.1</v>
      </c>
      <c r="AS430" s="35" t="str">
        <f t="shared" si="226"/>
        <v/>
      </c>
      <c r="AT430" s="3" t="str">
        <f t="shared" si="245"/>
        <v/>
      </c>
      <c r="AU430" s="3" t="str">
        <f t="shared" si="227"/>
        <v/>
      </c>
      <c r="AW430" s="32" t="str">
        <f t="shared" si="246"/>
        <v/>
      </c>
      <c r="AX430" s="32" t="str">
        <f t="shared" si="247"/>
        <v/>
      </c>
      <c r="AY430" s="32" t="str">
        <f t="shared" si="248"/>
        <v/>
      </c>
      <c r="BA430" s="32" t="str">
        <f>IF($A431="","",F430*Summary!$Q$7)</f>
        <v/>
      </c>
    </row>
    <row r="431" spans="1:53">
      <c r="A431" s="67" t="str">
        <f t="shared" si="228"/>
        <v/>
      </c>
      <c r="B431" s="69" t="str">
        <f t="shared" si="249"/>
        <v/>
      </c>
      <c r="D431" s="69" t="str">
        <f t="shared" si="250"/>
        <v/>
      </c>
      <c r="E431" s="70" t="str">
        <f t="shared" si="223"/>
        <v/>
      </c>
      <c r="F431" s="70" t="str">
        <f t="shared" si="224"/>
        <v/>
      </c>
      <c r="G431" s="63" t="str">
        <f t="shared" si="229"/>
        <v/>
      </c>
      <c r="H431" s="64" t="str">
        <f t="shared" si="230"/>
        <v/>
      </c>
      <c r="J431" s="63" t="str">
        <f t="shared" si="231"/>
        <v/>
      </c>
      <c r="K431" s="64" t="str">
        <f t="shared" si="232"/>
        <v/>
      </c>
      <c r="L431" s="63" t="str">
        <f t="shared" si="233"/>
        <v/>
      </c>
      <c r="M431" s="64" t="str">
        <f t="shared" si="234"/>
        <v/>
      </c>
      <c r="O431" s="63" t="str">
        <f t="shared" si="235"/>
        <v/>
      </c>
      <c r="P431" s="63" t="str">
        <f t="shared" si="236"/>
        <v/>
      </c>
      <c r="R431" s="63" t="str">
        <f t="shared" si="237"/>
        <v/>
      </c>
      <c r="S431" s="64" t="str">
        <f t="shared" si="238"/>
        <v/>
      </c>
      <c r="T431" s="63" t="str">
        <f t="shared" si="239"/>
        <v/>
      </c>
      <c r="U431" s="64" t="str">
        <f t="shared" si="240"/>
        <v/>
      </c>
      <c r="V431" s="207" t="str">
        <f>IF($A432="","",IF(AND(MONTH(A431)&gt;3,MONTH(A431)&lt;11),(T431+R431+G431)*Summary!$T$7/(1-Summary!$T$7),(T431+R431+G431)*Summary!$U$7/(1-Summary!$U$7)))</f>
        <v/>
      </c>
      <c r="W431" s="63" t="str">
        <f t="shared" si="241"/>
        <v/>
      </c>
      <c r="X431" s="63" t="str">
        <f t="shared" si="242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3"/>
        <v/>
      </c>
      <c r="AP431" s="33" t="str">
        <f t="shared" si="244"/>
        <v/>
      </c>
      <c r="AQ431" s="58" t="str">
        <f t="shared" si="225"/>
        <v/>
      </c>
      <c r="AR431" s="38">
        <f>IF(Summary!$H$2=1,VLOOKUP('ANR OK vs ML7'!A431,Curves!$C$17:$AR$273,MATCH('ANR OK vs ML7'!$AR$4,Curves!$C$8:$AQ$8,0)),0.1)</f>
        <v>0.1</v>
      </c>
      <c r="AS431" s="35" t="str">
        <f t="shared" si="226"/>
        <v/>
      </c>
      <c r="AT431" s="3" t="str">
        <f t="shared" si="245"/>
        <v/>
      </c>
      <c r="AU431" s="3" t="str">
        <f t="shared" si="227"/>
        <v/>
      </c>
      <c r="AW431" s="32" t="str">
        <f t="shared" si="246"/>
        <v/>
      </c>
      <c r="AX431" s="32" t="str">
        <f t="shared" si="247"/>
        <v/>
      </c>
      <c r="AY431" s="32" t="str">
        <f t="shared" si="248"/>
        <v/>
      </c>
      <c r="BA431" s="32" t="str">
        <f>IF($A432="","",F431*Summary!$Q$7)</f>
        <v/>
      </c>
    </row>
    <row r="432" spans="1:53">
      <c r="A432" s="67" t="str">
        <f t="shared" si="228"/>
        <v/>
      </c>
      <c r="B432" s="69" t="str">
        <f t="shared" si="249"/>
        <v/>
      </c>
      <c r="D432" s="69" t="str">
        <f t="shared" si="250"/>
        <v/>
      </c>
      <c r="E432" s="70" t="str">
        <f t="shared" si="223"/>
        <v/>
      </c>
      <c r="F432" s="70" t="str">
        <f t="shared" si="224"/>
        <v/>
      </c>
      <c r="G432" s="63" t="str">
        <f t="shared" si="229"/>
        <v/>
      </c>
      <c r="H432" s="64" t="str">
        <f t="shared" si="230"/>
        <v/>
      </c>
      <c r="J432" s="63" t="str">
        <f t="shared" si="231"/>
        <v/>
      </c>
      <c r="K432" s="64" t="str">
        <f t="shared" si="232"/>
        <v/>
      </c>
      <c r="L432" s="63" t="str">
        <f t="shared" si="233"/>
        <v/>
      </c>
      <c r="M432" s="64" t="str">
        <f t="shared" si="234"/>
        <v/>
      </c>
      <c r="O432" s="63" t="str">
        <f t="shared" si="235"/>
        <v/>
      </c>
      <c r="P432" s="63" t="str">
        <f t="shared" si="236"/>
        <v/>
      </c>
      <c r="R432" s="63" t="str">
        <f t="shared" si="237"/>
        <v/>
      </c>
      <c r="S432" s="64" t="str">
        <f t="shared" si="238"/>
        <v/>
      </c>
      <c r="T432" s="63" t="str">
        <f t="shared" si="239"/>
        <v/>
      </c>
      <c r="U432" s="64" t="str">
        <f t="shared" si="240"/>
        <v/>
      </c>
      <c r="V432" s="207" t="str">
        <f>IF($A433="","",IF(AND(MONTH(A432)&gt;3,MONTH(A432)&lt;11),(T432+R432+G432)*Summary!$T$7/(1-Summary!$T$7),(T432+R432+G432)*Summary!$U$7/(1-Summary!$U$7)))</f>
        <v/>
      </c>
      <c r="W432" s="63" t="str">
        <f t="shared" si="241"/>
        <v/>
      </c>
      <c r="X432" s="63" t="str">
        <f t="shared" si="242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3"/>
        <v/>
      </c>
      <c r="AP432" s="33" t="str">
        <f t="shared" si="244"/>
        <v/>
      </c>
      <c r="AQ432" s="58" t="str">
        <f t="shared" si="225"/>
        <v/>
      </c>
      <c r="AR432" s="38">
        <f>IF(Summary!$H$2=1,VLOOKUP('ANR OK vs ML7'!A432,Curves!$C$17:$AR$273,MATCH('ANR OK vs ML7'!$AR$4,Curves!$C$8:$AQ$8,0)),0.1)</f>
        <v>0.1</v>
      </c>
      <c r="AS432" s="35" t="str">
        <f t="shared" si="226"/>
        <v/>
      </c>
      <c r="AT432" s="3" t="str">
        <f t="shared" si="245"/>
        <v/>
      </c>
      <c r="AU432" s="3" t="str">
        <f t="shared" si="227"/>
        <v/>
      </c>
      <c r="AW432" s="32" t="str">
        <f t="shared" si="246"/>
        <v/>
      </c>
      <c r="AX432" s="32" t="str">
        <f t="shared" si="247"/>
        <v/>
      </c>
      <c r="AY432" s="32" t="str">
        <f t="shared" si="248"/>
        <v/>
      </c>
      <c r="BA432" s="32" t="str">
        <f>IF($A433="","",F432*Summary!$Q$7)</f>
        <v/>
      </c>
    </row>
    <row r="433" spans="1:53">
      <c r="A433" s="67" t="str">
        <f t="shared" si="228"/>
        <v/>
      </c>
      <c r="B433" s="69" t="str">
        <f t="shared" si="249"/>
        <v/>
      </c>
      <c r="D433" s="69" t="str">
        <f t="shared" si="250"/>
        <v/>
      </c>
      <c r="E433" s="70" t="str">
        <f t="shared" si="223"/>
        <v/>
      </c>
      <c r="F433" s="70" t="str">
        <f t="shared" si="224"/>
        <v/>
      </c>
      <c r="G433" s="63" t="str">
        <f t="shared" si="229"/>
        <v/>
      </c>
      <c r="H433" s="64" t="str">
        <f t="shared" si="230"/>
        <v/>
      </c>
      <c r="J433" s="63" t="str">
        <f t="shared" si="231"/>
        <v/>
      </c>
      <c r="K433" s="64" t="str">
        <f t="shared" si="232"/>
        <v/>
      </c>
      <c r="L433" s="63" t="str">
        <f t="shared" si="233"/>
        <v/>
      </c>
      <c r="M433" s="64" t="str">
        <f t="shared" si="234"/>
        <v/>
      </c>
      <c r="O433" s="63" t="str">
        <f t="shared" si="235"/>
        <v/>
      </c>
      <c r="P433" s="63" t="str">
        <f t="shared" si="236"/>
        <v/>
      </c>
      <c r="R433" s="63" t="str">
        <f t="shared" si="237"/>
        <v/>
      </c>
      <c r="S433" s="64" t="str">
        <f t="shared" si="238"/>
        <v/>
      </c>
      <c r="T433" s="63" t="str">
        <f t="shared" si="239"/>
        <v/>
      </c>
      <c r="U433" s="64" t="str">
        <f t="shared" si="240"/>
        <v/>
      </c>
      <c r="V433" s="207" t="str">
        <f>IF($A434="","",IF(AND(MONTH(A433)&gt;3,MONTH(A433)&lt;11),(T433+R433+G433)*Summary!$T$7/(1-Summary!$T$7),(T433+R433+G433)*Summary!$U$7/(1-Summary!$U$7)))</f>
        <v/>
      </c>
      <c r="W433" s="63" t="str">
        <f t="shared" si="241"/>
        <v/>
      </c>
      <c r="X433" s="63" t="str">
        <f t="shared" si="242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3"/>
        <v/>
      </c>
      <c r="AP433" s="33" t="str">
        <f t="shared" si="244"/>
        <v/>
      </c>
      <c r="AQ433" s="58" t="str">
        <f t="shared" si="225"/>
        <v/>
      </c>
      <c r="AR433" s="38">
        <f>IF(Summary!$H$2=1,VLOOKUP('ANR OK vs ML7'!A433,Curves!$C$17:$AR$273,MATCH('ANR OK vs ML7'!$AR$4,Curves!$C$8:$AQ$8,0)),0.1)</f>
        <v>0.1</v>
      </c>
      <c r="AS433" s="35" t="str">
        <f t="shared" si="226"/>
        <v/>
      </c>
      <c r="AT433" s="3" t="str">
        <f t="shared" si="245"/>
        <v/>
      </c>
      <c r="AU433" s="3" t="str">
        <f t="shared" si="227"/>
        <v/>
      </c>
      <c r="AW433" s="32" t="str">
        <f t="shared" si="246"/>
        <v/>
      </c>
      <c r="AX433" s="32" t="str">
        <f t="shared" si="247"/>
        <v/>
      </c>
      <c r="AY433" s="32" t="str">
        <f t="shared" si="248"/>
        <v/>
      </c>
      <c r="BA433" s="32" t="str">
        <f>IF($A434="","",F433*Summary!$Q$7)</f>
        <v/>
      </c>
    </row>
    <row r="434" spans="1:53">
      <c r="A434" s="67" t="str">
        <f t="shared" si="228"/>
        <v/>
      </c>
      <c r="B434" s="69" t="str">
        <f t="shared" si="249"/>
        <v/>
      </c>
      <c r="D434" s="69" t="str">
        <f t="shared" si="250"/>
        <v/>
      </c>
      <c r="E434" s="70" t="str">
        <f t="shared" si="223"/>
        <v/>
      </c>
      <c r="F434" s="70" t="str">
        <f t="shared" si="224"/>
        <v/>
      </c>
      <c r="G434" s="63" t="str">
        <f t="shared" si="229"/>
        <v/>
      </c>
      <c r="H434" s="64" t="str">
        <f t="shared" si="230"/>
        <v/>
      </c>
      <c r="J434" s="63" t="str">
        <f t="shared" si="231"/>
        <v/>
      </c>
      <c r="K434" s="64" t="str">
        <f t="shared" si="232"/>
        <v/>
      </c>
      <c r="L434" s="63" t="str">
        <f t="shared" si="233"/>
        <v/>
      </c>
      <c r="M434" s="64" t="str">
        <f t="shared" si="234"/>
        <v/>
      </c>
      <c r="O434" s="63" t="str">
        <f t="shared" si="235"/>
        <v/>
      </c>
      <c r="P434" s="63" t="str">
        <f t="shared" si="236"/>
        <v/>
      </c>
      <c r="R434" s="63" t="str">
        <f t="shared" si="237"/>
        <v/>
      </c>
      <c r="S434" s="64" t="str">
        <f t="shared" si="238"/>
        <v/>
      </c>
      <c r="T434" s="63" t="str">
        <f t="shared" si="239"/>
        <v/>
      </c>
      <c r="U434" s="64" t="str">
        <f t="shared" si="240"/>
        <v/>
      </c>
      <c r="V434" s="207" t="str">
        <f>IF($A435="","",IF(AND(MONTH(A434)&gt;3,MONTH(A434)&lt;11),(T434+R434+G434)*Summary!$T$7/(1-Summary!$T$7),(T434+R434+G434)*Summary!$U$7/(1-Summary!$U$7)))</f>
        <v/>
      </c>
      <c r="W434" s="63" t="str">
        <f t="shared" si="241"/>
        <v/>
      </c>
      <c r="X434" s="63" t="str">
        <f t="shared" si="242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3"/>
        <v/>
      </c>
      <c r="AP434" s="33" t="str">
        <f t="shared" si="244"/>
        <v/>
      </c>
      <c r="AQ434" s="58" t="str">
        <f t="shared" si="225"/>
        <v/>
      </c>
      <c r="AR434" s="38">
        <f>IF(Summary!$H$2=1,VLOOKUP('ANR OK vs ML7'!A434,Curves!$C$17:$AR$273,MATCH('ANR OK vs ML7'!$AR$4,Curves!$C$8:$AQ$8,0)),0.1)</f>
        <v>0.1</v>
      </c>
      <c r="AS434" s="35" t="str">
        <f t="shared" si="226"/>
        <v/>
      </c>
      <c r="AT434" s="3" t="str">
        <f t="shared" si="245"/>
        <v/>
      </c>
      <c r="AU434" s="3" t="str">
        <f t="shared" si="227"/>
        <v/>
      </c>
      <c r="AW434" s="32" t="str">
        <f t="shared" si="246"/>
        <v/>
      </c>
      <c r="AX434" s="32" t="str">
        <f t="shared" si="247"/>
        <v/>
      </c>
      <c r="AY434" s="32" t="str">
        <f t="shared" si="248"/>
        <v/>
      </c>
      <c r="BA434" s="32" t="str">
        <f>IF($A435="","",F434*Summary!$Q$7)</f>
        <v/>
      </c>
    </row>
    <row r="435" spans="1:53">
      <c r="A435" s="67" t="str">
        <f t="shared" si="228"/>
        <v/>
      </c>
      <c r="B435" s="69" t="str">
        <f t="shared" si="249"/>
        <v/>
      </c>
      <c r="D435" s="69" t="str">
        <f t="shared" si="250"/>
        <v/>
      </c>
      <c r="E435" s="70" t="str">
        <f t="shared" si="223"/>
        <v/>
      </c>
      <c r="F435" s="70" t="str">
        <f t="shared" si="224"/>
        <v/>
      </c>
      <c r="G435" s="63" t="str">
        <f t="shared" si="229"/>
        <v/>
      </c>
      <c r="H435" s="64" t="str">
        <f t="shared" si="230"/>
        <v/>
      </c>
      <c r="J435" s="63" t="str">
        <f t="shared" si="231"/>
        <v/>
      </c>
      <c r="K435" s="64" t="str">
        <f t="shared" si="232"/>
        <v/>
      </c>
      <c r="L435" s="63" t="str">
        <f t="shared" si="233"/>
        <v/>
      </c>
      <c r="M435" s="64" t="str">
        <f t="shared" si="234"/>
        <v/>
      </c>
      <c r="O435" s="63" t="str">
        <f t="shared" si="235"/>
        <v/>
      </c>
      <c r="P435" s="63" t="str">
        <f t="shared" si="236"/>
        <v/>
      </c>
      <c r="R435" s="63" t="str">
        <f t="shared" si="237"/>
        <v/>
      </c>
      <c r="S435" s="64" t="str">
        <f t="shared" si="238"/>
        <v/>
      </c>
      <c r="T435" s="63" t="str">
        <f t="shared" si="239"/>
        <v/>
      </c>
      <c r="U435" s="64" t="str">
        <f t="shared" si="240"/>
        <v/>
      </c>
      <c r="V435" s="207" t="str">
        <f>IF($A436="","",IF(AND(MONTH(A435)&gt;3,MONTH(A435)&lt;11),(T435+R435+G435)*Summary!$T$7/(1-Summary!$T$7),(T435+R435+G435)*Summary!$U$7/(1-Summary!$U$7)))</f>
        <v/>
      </c>
      <c r="W435" s="63" t="str">
        <f t="shared" si="241"/>
        <v/>
      </c>
      <c r="X435" s="63" t="str">
        <f t="shared" si="242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3"/>
        <v/>
      </c>
      <c r="AP435" s="33" t="str">
        <f t="shared" si="244"/>
        <v/>
      </c>
      <c r="AQ435" s="58" t="str">
        <f t="shared" si="225"/>
        <v/>
      </c>
      <c r="AR435" s="38">
        <f>IF(Summary!$H$2=1,VLOOKUP('ANR OK vs ML7'!A435,Curves!$C$17:$AR$273,MATCH('ANR OK vs ML7'!$AR$4,Curves!$C$8:$AQ$8,0)),0.1)</f>
        <v>0.1</v>
      </c>
      <c r="AS435" s="35" t="str">
        <f t="shared" si="226"/>
        <v/>
      </c>
      <c r="AT435" s="3" t="str">
        <f t="shared" si="245"/>
        <v/>
      </c>
      <c r="AU435" s="3" t="str">
        <f t="shared" si="227"/>
        <v/>
      </c>
      <c r="AW435" s="32" t="str">
        <f t="shared" si="246"/>
        <v/>
      </c>
      <c r="AX435" s="32" t="str">
        <f t="shared" si="247"/>
        <v/>
      </c>
      <c r="AY435" s="32" t="str">
        <f t="shared" si="248"/>
        <v/>
      </c>
      <c r="BA435" s="32" t="str">
        <f>IF($A436="","",F435*Summary!$Q$7)</f>
        <v/>
      </c>
    </row>
    <row r="436" spans="1:53">
      <c r="A436" s="67" t="str">
        <f t="shared" si="228"/>
        <v/>
      </c>
      <c r="B436" s="69" t="str">
        <f t="shared" si="249"/>
        <v/>
      </c>
      <c r="D436" s="69" t="str">
        <f t="shared" si="250"/>
        <v/>
      </c>
      <c r="E436" s="70" t="str">
        <f t="shared" si="223"/>
        <v/>
      </c>
      <c r="F436" s="70" t="str">
        <f t="shared" si="224"/>
        <v/>
      </c>
      <c r="G436" s="63" t="str">
        <f t="shared" si="229"/>
        <v/>
      </c>
      <c r="H436" s="64" t="str">
        <f t="shared" si="230"/>
        <v/>
      </c>
      <c r="J436" s="63" t="str">
        <f t="shared" si="231"/>
        <v/>
      </c>
      <c r="K436" s="64" t="str">
        <f t="shared" si="232"/>
        <v/>
      </c>
      <c r="L436" s="63" t="str">
        <f t="shared" si="233"/>
        <v/>
      </c>
      <c r="M436" s="64" t="str">
        <f t="shared" si="234"/>
        <v/>
      </c>
      <c r="O436" s="63" t="str">
        <f t="shared" si="235"/>
        <v/>
      </c>
      <c r="P436" s="63" t="str">
        <f t="shared" si="236"/>
        <v/>
      </c>
      <c r="R436" s="63" t="str">
        <f t="shared" si="237"/>
        <v/>
      </c>
      <c r="S436" s="64" t="str">
        <f t="shared" si="238"/>
        <v/>
      </c>
      <c r="T436" s="63" t="str">
        <f t="shared" si="239"/>
        <v/>
      </c>
      <c r="U436" s="64" t="str">
        <f t="shared" si="240"/>
        <v/>
      </c>
      <c r="V436" s="207" t="str">
        <f>IF($A437="","",IF(AND(MONTH(A436)&gt;3,MONTH(A436)&lt;11),(T436+R436+G436)*Summary!$T$7/(1-Summary!$T$7),(T436+R436+G436)*Summary!$U$7/(1-Summary!$U$7)))</f>
        <v/>
      </c>
      <c r="W436" s="63" t="str">
        <f t="shared" si="241"/>
        <v/>
      </c>
      <c r="X436" s="63" t="str">
        <f t="shared" si="242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3"/>
        <v/>
      </c>
      <c r="AP436" s="33" t="str">
        <f t="shared" si="244"/>
        <v/>
      </c>
      <c r="AQ436" s="58" t="str">
        <f t="shared" si="225"/>
        <v/>
      </c>
      <c r="AR436" s="38">
        <f>IF(Summary!$H$2=1,VLOOKUP('ANR OK vs ML7'!A436,Curves!$C$17:$AR$273,MATCH('ANR OK vs ML7'!$AR$4,Curves!$C$8:$AQ$8,0)),0.1)</f>
        <v>0.1</v>
      </c>
      <c r="AS436" s="35" t="str">
        <f t="shared" si="226"/>
        <v/>
      </c>
      <c r="AT436" s="3" t="str">
        <f t="shared" si="245"/>
        <v/>
      </c>
      <c r="AU436" s="3" t="str">
        <f t="shared" si="227"/>
        <v/>
      </c>
      <c r="AW436" s="32" t="str">
        <f t="shared" si="246"/>
        <v/>
      </c>
      <c r="AX436" s="32" t="str">
        <f t="shared" si="247"/>
        <v/>
      </c>
      <c r="AY436" s="32" t="str">
        <f t="shared" si="248"/>
        <v/>
      </c>
      <c r="BA436" s="32" t="str">
        <f>IF($A437="","",F436*Summary!$Q$7)</f>
        <v/>
      </c>
    </row>
    <row r="437" spans="1:53">
      <c r="A437" s="67" t="str">
        <f t="shared" si="228"/>
        <v/>
      </c>
      <c r="B437" s="69" t="str">
        <f t="shared" si="249"/>
        <v/>
      </c>
      <c r="D437" s="69" t="str">
        <f t="shared" si="250"/>
        <v/>
      </c>
      <c r="E437" s="70" t="str">
        <f t="shared" si="223"/>
        <v/>
      </c>
      <c r="F437" s="70" t="str">
        <f t="shared" si="224"/>
        <v/>
      </c>
      <c r="G437" s="63" t="str">
        <f t="shared" si="229"/>
        <v/>
      </c>
      <c r="H437" s="64" t="str">
        <f t="shared" si="230"/>
        <v/>
      </c>
      <c r="J437" s="63" t="str">
        <f t="shared" si="231"/>
        <v/>
      </c>
      <c r="K437" s="64" t="str">
        <f t="shared" si="232"/>
        <v/>
      </c>
      <c r="L437" s="63" t="str">
        <f t="shared" si="233"/>
        <v/>
      </c>
      <c r="M437" s="64" t="str">
        <f t="shared" si="234"/>
        <v/>
      </c>
      <c r="O437" s="63" t="str">
        <f t="shared" si="235"/>
        <v/>
      </c>
      <c r="P437" s="63" t="str">
        <f t="shared" si="236"/>
        <v/>
      </c>
      <c r="R437" s="63" t="str">
        <f t="shared" si="237"/>
        <v/>
      </c>
      <c r="S437" s="64" t="str">
        <f t="shared" si="238"/>
        <v/>
      </c>
      <c r="T437" s="63" t="str">
        <f t="shared" si="239"/>
        <v/>
      </c>
      <c r="U437" s="64" t="str">
        <f t="shared" si="240"/>
        <v/>
      </c>
      <c r="V437" s="207" t="str">
        <f>IF($A438="","",IF(AND(MONTH(A437)&gt;3,MONTH(A437)&lt;11),(T437+R437+G437)*Summary!$T$7/(1-Summary!$T$7),(T437+R437+G437)*Summary!$U$7/(1-Summary!$U$7)))</f>
        <v/>
      </c>
      <c r="W437" s="63" t="str">
        <f t="shared" si="241"/>
        <v/>
      </c>
      <c r="X437" s="63" t="str">
        <f t="shared" si="242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3"/>
        <v/>
      </c>
      <c r="AP437" s="33" t="str">
        <f t="shared" si="244"/>
        <v/>
      </c>
      <c r="AQ437" s="58" t="str">
        <f t="shared" si="225"/>
        <v/>
      </c>
      <c r="AR437" s="38">
        <f>IF(Summary!$H$2=1,VLOOKUP('ANR OK vs ML7'!A437,Curves!$C$17:$AR$273,MATCH('ANR OK vs ML7'!$AR$4,Curves!$C$8:$AQ$8,0)),0.1)</f>
        <v>0.1</v>
      </c>
      <c r="AS437" s="35" t="str">
        <f t="shared" si="226"/>
        <v/>
      </c>
      <c r="AT437" s="3" t="str">
        <f t="shared" si="245"/>
        <v/>
      </c>
      <c r="AU437" s="3" t="str">
        <f t="shared" si="227"/>
        <v/>
      </c>
      <c r="AW437" s="32" t="str">
        <f t="shared" si="246"/>
        <v/>
      </c>
      <c r="AX437" s="32" t="str">
        <f t="shared" si="247"/>
        <v/>
      </c>
      <c r="AY437" s="32" t="str">
        <f t="shared" si="248"/>
        <v/>
      </c>
      <c r="BA437" s="32" t="str">
        <f>IF($A438="","",F437*Summary!$Q$7)</f>
        <v/>
      </c>
    </row>
    <row r="438" spans="1:53">
      <c r="A438" s="67" t="str">
        <f t="shared" si="228"/>
        <v/>
      </c>
      <c r="B438" s="69" t="str">
        <f t="shared" si="249"/>
        <v/>
      </c>
      <c r="D438" s="69" t="str">
        <f t="shared" si="250"/>
        <v/>
      </c>
      <c r="E438" s="70" t="str">
        <f t="shared" si="223"/>
        <v/>
      </c>
      <c r="F438" s="70" t="str">
        <f t="shared" si="224"/>
        <v/>
      </c>
      <c r="G438" s="63" t="str">
        <f t="shared" si="229"/>
        <v/>
      </c>
      <c r="H438" s="64" t="str">
        <f t="shared" si="230"/>
        <v/>
      </c>
      <c r="J438" s="63" t="str">
        <f t="shared" si="231"/>
        <v/>
      </c>
      <c r="K438" s="64" t="str">
        <f t="shared" si="232"/>
        <v/>
      </c>
      <c r="L438" s="63" t="str">
        <f t="shared" si="233"/>
        <v/>
      </c>
      <c r="M438" s="64" t="str">
        <f t="shared" si="234"/>
        <v/>
      </c>
      <c r="O438" s="63" t="str">
        <f t="shared" si="235"/>
        <v/>
      </c>
      <c r="P438" s="63" t="str">
        <f t="shared" si="236"/>
        <v/>
      </c>
      <c r="R438" s="63" t="str">
        <f t="shared" si="237"/>
        <v/>
      </c>
      <c r="S438" s="64" t="str">
        <f t="shared" si="238"/>
        <v/>
      </c>
      <c r="T438" s="63" t="str">
        <f t="shared" si="239"/>
        <v/>
      </c>
      <c r="U438" s="64" t="str">
        <f t="shared" si="240"/>
        <v/>
      </c>
      <c r="V438" s="207" t="str">
        <f>IF($A439="","",IF(AND(MONTH(A438)&gt;3,MONTH(A438)&lt;11),(T438+R438+G438)*Summary!$T$7/(1-Summary!$T$7),(T438+R438+G438)*Summary!$U$7/(1-Summary!$U$7)))</f>
        <v/>
      </c>
      <c r="W438" s="63" t="str">
        <f t="shared" si="241"/>
        <v/>
      </c>
      <c r="X438" s="63" t="str">
        <f t="shared" si="242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3"/>
        <v/>
      </c>
      <c r="AP438" s="33" t="str">
        <f t="shared" si="244"/>
        <v/>
      </c>
      <c r="AQ438" s="58" t="str">
        <f t="shared" si="225"/>
        <v/>
      </c>
      <c r="AR438" s="38">
        <f>IF(Summary!$H$2=1,VLOOKUP('ANR OK vs ML7'!A438,Curves!$C$17:$AR$273,MATCH('ANR OK vs ML7'!$AR$4,Curves!$C$8:$AQ$8,0)),0.1)</f>
        <v>0.1</v>
      </c>
      <c r="AS438" s="35" t="str">
        <f t="shared" si="226"/>
        <v/>
      </c>
      <c r="AT438" s="3" t="str">
        <f t="shared" si="245"/>
        <v/>
      </c>
      <c r="AU438" s="3" t="str">
        <f t="shared" si="227"/>
        <v/>
      </c>
      <c r="AW438" s="32" t="str">
        <f t="shared" si="246"/>
        <v/>
      </c>
      <c r="AX438" s="32" t="str">
        <f t="shared" si="247"/>
        <v/>
      </c>
      <c r="AY438" s="32" t="str">
        <f t="shared" si="248"/>
        <v/>
      </c>
      <c r="BA438" s="32" t="str">
        <f>IF($A439="","",F438*Summary!$Q$7)</f>
        <v/>
      </c>
    </row>
    <row r="439" spans="1:53">
      <c r="A439" s="67" t="str">
        <f t="shared" si="228"/>
        <v/>
      </c>
      <c r="B439" s="69" t="str">
        <f t="shared" si="249"/>
        <v/>
      </c>
      <c r="D439" s="69" t="str">
        <f t="shared" si="250"/>
        <v/>
      </c>
      <c r="E439" s="70" t="str">
        <f t="shared" si="223"/>
        <v/>
      </c>
      <c r="F439" s="70" t="str">
        <f t="shared" si="224"/>
        <v/>
      </c>
      <c r="G439" s="63" t="str">
        <f t="shared" si="229"/>
        <v/>
      </c>
      <c r="H439" s="64" t="str">
        <f t="shared" si="230"/>
        <v/>
      </c>
      <c r="J439" s="63" t="str">
        <f t="shared" si="231"/>
        <v/>
      </c>
      <c r="K439" s="64" t="str">
        <f t="shared" si="232"/>
        <v/>
      </c>
      <c r="L439" s="63" t="str">
        <f t="shared" si="233"/>
        <v/>
      </c>
      <c r="M439" s="64" t="str">
        <f t="shared" si="234"/>
        <v/>
      </c>
      <c r="O439" s="63" t="str">
        <f t="shared" si="235"/>
        <v/>
      </c>
      <c r="P439" s="63" t="str">
        <f t="shared" si="236"/>
        <v/>
      </c>
      <c r="R439" s="63" t="str">
        <f t="shared" si="237"/>
        <v/>
      </c>
      <c r="S439" s="64" t="str">
        <f t="shared" si="238"/>
        <v/>
      </c>
      <c r="T439" s="63" t="str">
        <f t="shared" si="239"/>
        <v/>
      </c>
      <c r="U439" s="64" t="str">
        <f t="shared" si="240"/>
        <v/>
      </c>
      <c r="V439" s="207" t="str">
        <f>IF($A440="","",IF(AND(MONTH(A439)&gt;3,MONTH(A439)&lt;11),(T439+R439+G439)*Summary!$T$7/(1-Summary!$T$7),(T439+R439+G439)*Summary!$U$7/(1-Summary!$U$7)))</f>
        <v/>
      </c>
      <c r="W439" s="63" t="str">
        <f t="shared" si="241"/>
        <v/>
      </c>
      <c r="X439" s="63" t="str">
        <f t="shared" si="242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3"/>
        <v/>
      </c>
      <c r="AP439" s="33" t="str">
        <f t="shared" si="244"/>
        <v/>
      </c>
      <c r="AQ439" s="58" t="str">
        <f t="shared" si="225"/>
        <v/>
      </c>
      <c r="AR439" s="38">
        <f>IF(Summary!$H$2=1,VLOOKUP('ANR OK vs ML7'!A439,Curves!$C$17:$AR$273,MATCH('ANR OK vs ML7'!$AR$4,Curves!$C$8:$AQ$8,0)),0.1)</f>
        <v>0.1</v>
      </c>
      <c r="AS439" s="35" t="str">
        <f t="shared" si="226"/>
        <v/>
      </c>
      <c r="AT439" s="3" t="str">
        <f t="shared" si="245"/>
        <v/>
      </c>
      <c r="AU439" s="3" t="str">
        <f t="shared" si="227"/>
        <v/>
      </c>
      <c r="AW439" s="32" t="str">
        <f t="shared" si="246"/>
        <v/>
      </c>
      <c r="AX439" s="32" t="str">
        <f t="shared" si="247"/>
        <v/>
      </c>
      <c r="AY439" s="32" t="str">
        <f t="shared" si="248"/>
        <v/>
      </c>
      <c r="BA439" s="32" t="str">
        <f>IF($A440="","",F439*Summary!$Q$7)</f>
        <v/>
      </c>
    </row>
    <row r="440" spans="1:53">
      <c r="A440" s="67" t="str">
        <f t="shared" si="228"/>
        <v/>
      </c>
      <c r="B440" s="69" t="str">
        <f t="shared" si="249"/>
        <v/>
      </c>
      <c r="D440" s="69" t="str">
        <f t="shared" si="250"/>
        <v/>
      </c>
      <c r="E440" s="70" t="str">
        <f t="shared" si="223"/>
        <v/>
      </c>
      <c r="F440" s="70" t="str">
        <f t="shared" si="224"/>
        <v/>
      </c>
      <c r="G440" s="63" t="str">
        <f t="shared" si="229"/>
        <v/>
      </c>
      <c r="H440" s="64" t="str">
        <f t="shared" si="230"/>
        <v/>
      </c>
      <c r="J440" s="63" t="str">
        <f t="shared" si="231"/>
        <v/>
      </c>
      <c r="K440" s="64" t="str">
        <f t="shared" si="232"/>
        <v/>
      </c>
      <c r="L440" s="63" t="str">
        <f t="shared" si="233"/>
        <v/>
      </c>
      <c r="M440" s="64" t="str">
        <f t="shared" si="234"/>
        <v/>
      </c>
      <c r="O440" s="63" t="str">
        <f t="shared" si="235"/>
        <v/>
      </c>
      <c r="P440" s="63" t="str">
        <f t="shared" si="236"/>
        <v/>
      </c>
      <c r="R440" s="63" t="str">
        <f t="shared" si="237"/>
        <v/>
      </c>
      <c r="S440" s="64" t="str">
        <f t="shared" si="238"/>
        <v/>
      </c>
      <c r="T440" s="63" t="str">
        <f t="shared" si="239"/>
        <v/>
      </c>
      <c r="U440" s="64" t="str">
        <f t="shared" si="240"/>
        <v/>
      </c>
      <c r="V440" s="207" t="str">
        <f>IF($A441="","",IF(AND(MONTH(A440)&gt;3,MONTH(A440)&lt;11),(T440+R440+G440)*Summary!$T$7/(1-Summary!$T$7),(T440+R440+G440)*Summary!$U$7/(1-Summary!$U$7)))</f>
        <v/>
      </c>
      <c r="W440" s="63" t="str">
        <f t="shared" si="241"/>
        <v/>
      </c>
      <c r="X440" s="63" t="str">
        <f t="shared" si="242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3"/>
        <v/>
      </c>
      <c r="AP440" s="33" t="str">
        <f t="shared" si="244"/>
        <v/>
      </c>
      <c r="AQ440" s="58" t="str">
        <f t="shared" si="225"/>
        <v/>
      </c>
      <c r="AR440" s="38">
        <f>IF(Summary!$H$2=1,VLOOKUP('ANR OK vs ML7'!A440,Curves!$C$17:$AR$273,MATCH('ANR OK vs ML7'!$AR$4,Curves!$C$8:$AQ$8,0)),0.1)</f>
        <v>0.1</v>
      </c>
      <c r="AS440" s="35" t="str">
        <f t="shared" si="226"/>
        <v/>
      </c>
      <c r="AT440" s="3" t="str">
        <f t="shared" si="245"/>
        <v/>
      </c>
      <c r="AU440" s="3" t="str">
        <f t="shared" si="227"/>
        <v/>
      </c>
      <c r="AW440" s="32" t="str">
        <f t="shared" si="246"/>
        <v/>
      </c>
      <c r="AX440" s="32" t="str">
        <f t="shared" si="247"/>
        <v/>
      </c>
      <c r="AY440" s="32" t="str">
        <f t="shared" si="248"/>
        <v/>
      </c>
      <c r="BA440" s="32" t="str">
        <f>IF($A441="","",F440*Summary!$Q$7)</f>
        <v/>
      </c>
    </row>
    <row r="441" spans="1:53">
      <c r="A441" s="67" t="str">
        <f t="shared" si="228"/>
        <v/>
      </c>
      <c r="B441" s="69" t="str">
        <f t="shared" si="249"/>
        <v/>
      </c>
      <c r="D441" s="69" t="str">
        <f t="shared" si="250"/>
        <v/>
      </c>
      <c r="E441" s="70" t="str">
        <f t="shared" si="223"/>
        <v/>
      </c>
      <c r="F441" s="70" t="str">
        <f t="shared" si="224"/>
        <v/>
      </c>
      <c r="G441" s="63" t="str">
        <f t="shared" si="229"/>
        <v/>
      </c>
      <c r="H441" s="64" t="str">
        <f t="shared" si="230"/>
        <v/>
      </c>
      <c r="J441" s="63" t="str">
        <f t="shared" si="231"/>
        <v/>
      </c>
      <c r="K441" s="64" t="str">
        <f t="shared" si="232"/>
        <v/>
      </c>
      <c r="L441" s="63" t="str">
        <f t="shared" si="233"/>
        <v/>
      </c>
      <c r="M441" s="64" t="str">
        <f t="shared" si="234"/>
        <v/>
      </c>
      <c r="O441" s="63" t="str">
        <f t="shared" si="235"/>
        <v/>
      </c>
      <c r="P441" s="63" t="str">
        <f t="shared" si="236"/>
        <v/>
      </c>
      <c r="R441" s="63" t="str">
        <f t="shared" si="237"/>
        <v/>
      </c>
      <c r="S441" s="64" t="str">
        <f t="shared" si="238"/>
        <v/>
      </c>
      <c r="T441" s="63" t="str">
        <f t="shared" si="239"/>
        <v/>
      </c>
      <c r="U441" s="64" t="str">
        <f t="shared" si="240"/>
        <v/>
      </c>
      <c r="V441" s="207" t="str">
        <f>IF($A442="","",IF(AND(MONTH(A441)&gt;3,MONTH(A441)&lt;11),(T441+R441+G441)*Summary!$T$7/(1-Summary!$T$7),(T441+R441+G441)*Summary!$U$7/(1-Summary!$U$7)))</f>
        <v/>
      </c>
      <c r="W441" s="63" t="str">
        <f t="shared" si="241"/>
        <v/>
      </c>
      <c r="X441" s="63" t="str">
        <f t="shared" si="242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3"/>
        <v/>
      </c>
      <c r="AP441" s="33" t="str">
        <f t="shared" si="244"/>
        <v/>
      </c>
      <c r="AQ441" s="58" t="str">
        <f t="shared" si="225"/>
        <v/>
      </c>
      <c r="AR441" s="38">
        <f>IF(Summary!$H$2=1,VLOOKUP('ANR OK vs ML7'!A441,Curves!$C$17:$AR$273,MATCH('ANR OK vs ML7'!$AR$4,Curves!$C$8:$AQ$8,0)),0.1)</f>
        <v>0.1</v>
      </c>
      <c r="AS441" s="35" t="str">
        <f t="shared" si="226"/>
        <v/>
      </c>
      <c r="AT441" s="3" t="str">
        <f t="shared" si="245"/>
        <v/>
      </c>
      <c r="AU441" s="3" t="str">
        <f t="shared" si="227"/>
        <v/>
      </c>
      <c r="AW441" s="32" t="str">
        <f t="shared" si="246"/>
        <v/>
      </c>
      <c r="AX441" s="32" t="str">
        <f t="shared" si="247"/>
        <v/>
      </c>
      <c r="AY441" s="32" t="str">
        <f t="shared" si="248"/>
        <v/>
      </c>
      <c r="BA441" s="32" t="str">
        <f>IF($A442="","",F441*Summary!$Q$7)</f>
        <v/>
      </c>
    </row>
    <row r="442" spans="1:53">
      <c r="A442" s="67" t="str">
        <f t="shared" si="228"/>
        <v/>
      </c>
      <c r="B442" s="69" t="str">
        <f t="shared" si="249"/>
        <v/>
      </c>
      <c r="D442" s="69" t="str">
        <f t="shared" si="250"/>
        <v/>
      </c>
      <c r="E442" s="70" t="str">
        <f t="shared" si="223"/>
        <v/>
      </c>
      <c r="F442" s="70" t="str">
        <f t="shared" si="224"/>
        <v/>
      </c>
      <c r="G442" s="63" t="str">
        <f t="shared" si="229"/>
        <v/>
      </c>
      <c r="H442" s="64" t="str">
        <f t="shared" si="230"/>
        <v/>
      </c>
      <c r="J442" s="63" t="str">
        <f t="shared" si="231"/>
        <v/>
      </c>
      <c r="K442" s="64" t="str">
        <f t="shared" si="232"/>
        <v/>
      </c>
      <c r="L442" s="63" t="str">
        <f t="shared" si="233"/>
        <v/>
      </c>
      <c r="M442" s="64" t="str">
        <f t="shared" si="234"/>
        <v/>
      </c>
      <c r="O442" s="63" t="str">
        <f t="shared" si="235"/>
        <v/>
      </c>
      <c r="P442" s="63" t="str">
        <f t="shared" si="236"/>
        <v/>
      </c>
      <c r="R442" s="63" t="str">
        <f t="shared" si="237"/>
        <v/>
      </c>
      <c r="S442" s="64" t="str">
        <f t="shared" si="238"/>
        <v/>
      </c>
      <c r="T442" s="63" t="str">
        <f t="shared" si="239"/>
        <v/>
      </c>
      <c r="U442" s="64" t="str">
        <f t="shared" si="240"/>
        <v/>
      </c>
      <c r="V442" s="207" t="str">
        <f>IF($A443="","",IF(AND(MONTH(A442)&gt;3,MONTH(A442)&lt;11),(T442+R442+G442)*Summary!$T$7/(1-Summary!$T$7),(T442+R442+G442)*Summary!$U$7/(1-Summary!$U$7)))</f>
        <v/>
      </c>
      <c r="W442" s="63" t="str">
        <f t="shared" si="241"/>
        <v/>
      </c>
      <c r="X442" s="63" t="str">
        <f t="shared" si="242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3"/>
        <v/>
      </c>
      <c r="AP442" s="33" t="str">
        <f t="shared" si="244"/>
        <v/>
      </c>
      <c r="AQ442" s="58" t="str">
        <f t="shared" si="225"/>
        <v/>
      </c>
      <c r="AR442" s="38">
        <f>IF(Summary!$H$2=1,VLOOKUP('ANR OK vs ML7'!A442,Curves!$C$17:$AR$273,MATCH('ANR OK vs ML7'!$AR$4,Curves!$C$8:$AQ$8,0)),0.1)</f>
        <v>0.1</v>
      </c>
      <c r="AS442" s="35" t="str">
        <f t="shared" si="226"/>
        <v/>
      </c>
      <c r="AT442" s="3" t="str">
        <f t="shared" si="245"/>
        <v/>
      </c>
      <c r="AU442" s="3" t="str">
        <f t="shared" si="227"/>
        <v/>
      </c>
      <c r="AW442" s="32" t="str">
        <f t="shared" si="246"/>
        <v/>
      </c>
      <c r="AX442" s="32" t="str">
        <f t="shared" si="247"/>
        <v/>
      </c>
      <c r="AY442" s="32" t="str">
        <f t="shared" si="248"/>
        <v/>
      </c>
      <c r="BA442" s="32" t="str">
        <f>IF($A443="","",F442*Summary!$Q$7)</f>
        <v/>
      </c>
    </row>
    <row r="443" spans="1:53">
      <c r="A443" s="67" t="str">
        <f t="shared" si="228"/>
        <v/>
      </c>
      <c r="B443" s="69" t="str">
        <f t="shared" si="249"/>
        <v/>
      </c>
      <c r="D443" s="69" t="str">
        <f t="shared" si="250"/>
        <v/>
      </c>
      <c r="E443" s="70" t="str">
        <f t="shared" si="223"/>
        <v/>
      </c>
      <c r="F443" s="70" t="str">
        <f t="shared" si="224"/>
        <v/>
      </c>
      <c r="G443" s="63" t="str">
        <f t="shared" si="229"/>
        <v/>
      </c>
      <c r="H443" s="64" t="str">
        <f t="shared" si="230"/>
        <v/>
      </c>
      <c r="J443" s="63" t="str">
        <f t="shared" si="231"/>
        <v/>
      </c>
      <c r="K443" s="64" t="str">
        <f t="shared" si="232"/>
        <v/>
      </c>
      <c r="L443" s="63" t="str">
        <f t="shared" si="233"/>
        <v/>
      </c>
      <c r="M443" s="64" t="str">
        <f t="shared" si="234"/>
        <v/>
      </c>
      <c r="O443" s="63" t="str">
        <f t="shared" si="235"/>
        <v/>
      </c>
      <c r="P443" s="63" t="str">
        <f t="shared" si="236"/>
        <v/>
      </c>
      <c r="R443" s="63" t="str">
        <f t="shared" si="237"/>
        <v/>
      </c>
      <c r="S443" s="64" t="str">
        <f t="shared" si="238"/>
        <v/>
      </c>
      <c r="T443" s="63" t="str">
        <f t="shared" si="239"/>
        <v/>
      </c>
      <c r="U443" s="64" t="str">
        <f t="shared" si="240"/>
        <v/>
      </c>
      <c r="V443" s="207" t="str">
        <f>IF($A444="","",IF(AND(MONTH(A443)&gt;3,MONTH(A443)&lt;11),(T443+R443+G443)*Summary!$T$7/(1-Summary!$T$7),(T443+R443+G443)*Summary!$U$7/(1-Summary!$U$7)))</f>
        <v/>
      </c>
      <c r="W443" s="63" t="str">
        <f t="shared" si="241"/>
        <v/>
      </c>
      <c r="X443" s="63" t="str">
        <f t="shared" si="242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3"/>
        <v/>
      </c>
      <c r="AP443" s="33" t="str">
        <f t="shared" si="244"/>
        <v/>
      </c>
      <c r="AQ443" s="58" t="str">
        <f t="shared" si="225"/>
        <v/>
      </c>
      <c r="AR443" s="38">
        <f>IF(Summary!$H$2=1,VLOOKUP('ANR OK vs ML7'!A443,Curves!$C$17:$AR$273,MATCH('ANR OK vs ML7'!$AR$4,Curves!$C$8:$AQ$8,0)),0.1)</f>
        <v>0.1</v>
      </c>
      <c r="AS443" s="35" t="str">
        <f t="shared" si="226"/>
        <v/>
      </c>
      <c r="AT443" s="3" t="str">
        <f t="shared" si="245"/>
        <v/>
      </c>
      <c r="AU443" s="3" t="str">
        <f t="shared" si="227"/>
        <v/>
      </c>
      <c r="AW443" s="32" t="str">
        <f t="shared" si="246"/>
        <v/>
      </c>
      <c r="AX443" s="32" t="str">
        <f t="shared" si="247"/>
        <v/>
      </c>
      <c r="AY443" s="32" t="str">
        <f t="shared" si="248"/>
        <v/>
      </c>
      <c r="BA443" s="32" t="str">
        <f>IF($A444="","",F443*Summary!$Q$7)</f>
        <v/>
      </c>
    </row>
    <row r="444" spans="1:53">
      <c r="A444" s="67" t="str">
        <f t="shared" si="228"/>
        <v/>
      </c>
      <c r="B444" s="69" t="str">
        <f t="shared" si="249"/>
        <v/>
      </c>
      <c r="D444" s="69" t="str">
        <f t="shared" si="250"/>
        <v/>
      </c>
      <c r="E444" s="70" t="str">
        <f t="shared" si="223"/>
        <v/>
      </c>
      <c r="F444" s="70" t="str">
        <f t="shared" si="224"/>
        <v/>
      </c>
      <c r="G444" s="63" t="str">
        <f t="shared" si="229"/>
        <v/>
      </c>
      <c r="H444" s="64" t="str">
        <f t="shared" si="230"/>
        <v/>
      </c>
      <c r="J444" s="63" t="str">
        <f t="shared" si="231"/>
        <v/>
      </c>
      <c r="K444" s="64" t="str">
        <f t="shared" si="232"/>
        <v/>
      </c>
      <c r="L444" s="63" t="str">
        <f t="shared" si="233"/>
        <v/>
      </c>
      <c r="M444" s="64" t="str">
        <f t="shared" si="234"/>
        <v/>
      </c>
      <c r="O444" s="63" t="str">
        <f t="shared" si="235"/>
        <v/>
      </c>
      <c r="P444" s="63" t="str">
        <f t="shared" si="236"/>
        <v/>
      </c>
      <c r="R444" s="63" t="str">
        <f t="shared" si="237"/>
        <v/>
      </c>
      <c r="S444" s="64" t="str">
        <f t="shared" si="238"/>
        <v/>
      </c>
      <c r="T444" s="63" t="str">
        <f t="shared" si="239"/>
        <v/>
      </c>
      <c r="U444" s="64" t="str">
        <f t="shared" si="240"/>
        <v/>
      </c>
      <c r="V444" s="207" t="str">
        <f>IF($A445="","",IF(AND(MONTH(A444)&gt;3,MONTH(A444)&lt;11),(T444+R444+G444)*Summary!$T$7/(1-Summary!$T$7),(T444+R444+G444)*Summary!$U$7/(1-Summary!$U$7)))</f>
        <v/>
      </c>
      <c r="W444" s="63" t="str">
        <f t="shared" si="241"/>
        <v/>
      </c>
      <c r="X444" s="63" t="str">
        <f t="shared" si="242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3"/>
        <v/>
      </c>
      <c r="AP444" s="33" t="str">
        <f t="shared" si="244"/>
        <v/>
      </c>
      <c r="AQ444" s="58" t="str">
        <f t="shared" si="225"/>
        <v/>
      </c>
      <c r="AR444" s="38">
        <f>IF(Summary!$H$2=1,VLOOKUP('ANR OK vs ML7'!A444,Curves!$C$17:$AR$273,MATCH('ANR OK vs ML7'!$AR$4,Curves!$C$8:$AQ$8,0)),0.1)</f>
        <v>0.1</v>
      </c>
      <c r="AS444" s="35" t="str">
        <f t="shared" si="226"/>
        <v/>
      </c>
      <c r="AT444" s="3" t="str">
        <f t="shared" si="245"/>
        <v/>
      </c>
      <c r="AU444" s="3" t="str">
        <f t="shared" si="227"/>
        <v/>
      </c>
      <c r="AW444" s="32" t="str">
        <f t="shared" si="246"/>
        <v/>
      </c>
      <c r="AX444" s="32" t="str">
        <f t="shared" si="247"/>
        <v/>
      </c>
      <c r="AY444" s="32" t="str">
        <f t="shared" si="248"/>
        <v/>
      </c>
      <c r="BA444" s="32" t="str">
        <f>IF($A445="","",F444*Summary!$Q$7)</f>
        <v/>
      </c>
    </row>
    <row r="445" spans="1:53">
      <c r="A445" s="67" t="str">
        <f t="shared" si="228"/>
        <v/>
      </c>
      <c r="B445" s="69" t="str">
        <f t="shared" si="249"/>
        <v/>
      </c>
      <c r="D445" s="69" t="str">
        <f t="shared" si="250"/>
        <v/>
      </c>
      <c r="E445" s="70" t="str">
        <f t="shared" si="223"/>
        <v/>
      </c>
      <c r="F445" s="70" t="str">
        <f t="shared" si="224"/>
        <v/>
      </c>
      <c r="G445" s="63" t="str">
        <f t="shared" si="229"/>
        <v/>
      </c>
      <c r="H445" s="64" t="str">
        <f t="shared" si="230"/>
        <v/>
      </c>
      <c r="J445" s="63" t="str">
        <f t="shared" si="231"/>
        <v/>
      </c>
      <c r="K445" s="64" t="str">
        <f t="shared" si="232"/>
        <v/>
      </c>
      <c r="L445" s="63" t="str">
        <f t="shared" si="233"/>
        <v/>
      </c>
      <c r="M445" s="64" t="str">
        <f t="shared" si="234"/>
        <v/>
      </c>
      <c r="O445" s="63" t="str">
        <f t="shared" si="235"/>
        <v/>
      </c>
      <c r="P445" s="63" t="str">
        <f t="shared" si="236"/>
        <v/>
      </c>
      <c r="R445" s="63" t="str">
        <f t="shared" si="237"/>
        <v/>
      </c>
      <c r="S445" s="64" t="str">
        <f t="shared" si="238"/>
        <v/>
      </c>
      <c r="T445" s="63" t="str">
        <f t="shared" si="239"/>
        <v/>
      </c>
      <c r="U445" s="64" t="str">
        <f t="shared" si="240"/>
        <v/>
      </c>
      <c r="V445" s="207" t="str">
        <f>IF($A446="","",IF(AND(MONTH(A445)&gt;3,MONTH(A445)&lt;11),(T445+R445+G445)*Summary!$T$7/(1-Summary!$T$7),(T445+R445+G445)*Summary!$U$7/(1-Summary!$U$7)))</f>
        <v/>
      </c>
      <c r="W445" s="63" t="str">
        <f t="shared" si="241"/>
        <v/>
      </c>
      <c r="X445" s="63" t="str">
        <f t="shared" si="242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3"/>
        <v/>
      </c>
      <c r="AP445" s="33" t="str">
        <f t="shared" si="244"/>
        <v/>
      </c>
      <c r="AQ445" s="58" t="str">
        <f t="shared" si="225"/>
        <v/>
      </c>
      <c r="AR445" s="38">
        <f>IF(Summary!$H$2=1,VLOOKUP('ANR OK vs ML7'!A445,Curves!$C$17:$AR$273,MATCH('ANR OK vs ML7'!$AR$4,Curves!$C$8:$AQ$8,0)),0.1)</f>
        <v>0.1</v>
      </c>
      <c r="AS445" s="35" t="str">
        <f t="shared" si="226"/>
        <v/>
      </c>
      <c r="AT445" s="3" t="str">
        <f t="shared" si="245"/>
        <v/>
      </c>
      <c r="AU445" s="3" t="str">
        <f t="shared" si="227"/>
        <v/>
      </c>
      <c r="AW445" s="32" t="str">
        <f t="shared" si="246"/>
        <v/>
      </c>
      <c r="AX445" s="32" t="str">
        <f t="shared" si="247"/>
        <v/>
      </c>
      <c r="AY445" s="32" t="str">
        <f t="shared" si="248"/>
        <v/>
      </c>
      <c r="BA445" s="32" t="str">
        <f>IF($A446="","",F445*Summary!$Q$7)</f>
        <v/>
      </c>
    </row>
    <row r="446" spans="1:53">
      <c r="A446" s="67" t="str">
        <f t="shared" si="228"/>
        <v/>
      </c>
      <c r="B446" s="69" t="str">
        <f t="shared" si="249"/>
        <v/>
      </c>
      <c r="D446" s="69" t="str">
        <f t="shared" si="250"/>
        <v/>
      </c>
      <c r="E446" s="70" t="str">
        <f t="shared" si="223"/>
        <v/>
      </c>
      <c r="F446" s="70" t="str">
        <f t="shared" si="224"/>
        <v/>
      </c>
      <c r="G446" s="63" t="str">
        <f t="shared" si="229"/>
        <v/>
      </c>
      <c r="H446" s="64" t="str">
        <f t="shared" si="230"/>
        <v/>
      </c>
      <c r="J446" s="63" t="str">
        <f t="shared" si="231"/>
        <v/>
      </c>
      <c r="K446" s="64" t="str">
        <f t="shared" si="232"/>
        <v/>
      </c>
      <c r="L446" s="63" t="str">
        <f t="shared" si="233"/>
        <v/>
      </c>
      <c r="M446" s="64" t="str">
        <f t="shared" si="234"/>
        <v/>
      </c>
      <c r="O446" s="63" t="str">
        <f t="shared" si="235"/>
        <v/>
      </c>
      <c r="P446" s="63" t="str">
        <f t="shared" si="236"/>
        <v/>
      </c>
      <c r="R446" s="63" t="str">
        <f t="shared" si="237"/>
        <v/>
      </c>
      <c r="S446" s="64" t="str">
        <f t="shared" si="238"/>
        <v/>
      </c>
      <c r="T446" s="63" t="str">
        <f t="shared" si="239"/>
        <v/>
      </c>
      <c r="U446" s="64" t="str">
        <f t="shared" si="240"/>
        <v/>
      </c>
      <c r="V446" s="207" t="str">
        <f>IF($A447="","",IF(AND(MONTH(A446)&gt;3,MONTH(A446)&lt;11),(T446+R446+G446)*Summary!$T$7/(1-Summary!$T$7),(T446+R446+G446)*Summary!$U$7/(1-Summary!$U$7)))</f>
        <v/>
      </c>
      <c r="W446" s="63" t="str">
        <f t="shared" si="241"/>
        <v/>
      </c>
      <c r="X446" s="63" t="str">
        <f t="shared" si="242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3"/>
        <v/>
      </c>
      <c r="AP446" s="33" t="str">
        <f t="shared" si="244"/>
        <v/>
      </c>
      <c r="AQ446" s="58" t="str">
        <f t="shared" si="225"/>
        <v/>
      </c>
      <c r="AR446" s="38">
        <f>IF(Summary!$H$2=1,VLOOKUP('ANR OK vs ML7'!A446,Curves!$C$17:$AR$273,MATCH('ANR OK vs ML7'!$AR$4,Curves!$C$8:$AQ$8,0)),0.1)</f>
        <v>0.1</v>
      </c>
      <c r="AS446" s="35" t="str">
        <f t="shared" si="226"/>
        <v/>
      </c>
      <c r="AT446" s="3" t="str">
        <f t="shared" si="245"/>
        <v/>
      </c>
      <c r="AU446" s="3" t="str">
        <f t="shared" si="227"/>
        <v/>
      </c>
      <c r="AW446" s="32" t="str">
        <f t="shared" si="246"/>
        <v/>
      </c>
      <c r="AX446" s="32" t="str">
        <f t="shared" si="247"/>
        <v/>
      </c>
      <c r="AY446" s="32" t="str">
        <f t="shared" si="248"/>
        <v/>
      </c>
      <c r="BA446" s="32" t="str">
        <f>IF($A447="","",F446*Summary!$Q$7)</f>
        <v/>
      </c>
    </row>
    <row r="447" spans="1:53">
      <c r="A447" s="67" t="str">
        <f t="shared" si="228"/>
        <v/>
      </c>
      <c r="B447" s="69" t="str">
        <f t="shared" si="249"/>
        <v/>
      </c>
      <c r="D447" s="69" t="str">
        <f t="shared" si="250"/>
        <v/>
      </c>
      <c r="E447" s="70" t="str">
        <f t="shared" si="223"/>
        <v/>
      </c>
      <c r="F447" s="70" t="str">
        <f t="shared" si="224"/>
        <v/>
      </c>
      <c r="G447" s="63" t="str">
        <f t="shared" si="229"/>
        <v/>
      </c>
      <c r="H447" s="64" t="str">
        <f t="shared" si="230"/>
        <v/>
      </c>
      <c r="J447" s="63" t="str">
        <f t="shared" si="231"/>
        <v/>
      </c>
      <c r="K447" s="64" t="str">
        <f t="shared" si="232"/>
        <v/>
      </c>
      <c r="L447" s="63" t="str">
        <f t="shared" si="233"/>
        <v/>
      </c>
      <c r="M447" s="64" t="str">
        <f t="shared" si="234"/>
        <v/>
      </c>
      <c r="O447" s="63" t="str">
        <f t="shared" si="235"/>
        <v/>
      </c>
      <c r="P447" s="63" t="str">
        <f t="shared" si="236"/>
        <v/>
      </c>
      <c r="R447" s="63" t="str">
        <f t="shared" si="237"/>
        <v/>
      </c>
      <c r="S447" s="64" t="str">
        <f t="shared" si="238"/>
        <v/>
      </c>
      <c r="T447" s="63" t="str">
        <f t="shared" si="239"/>
        <v/>
      </c>
      <c r="U447" s="64" t="str">
        <f t="shared" si="240"/>
        <v/>
      </c>
      <c r="V447" s="207" t="str">
        <f>IF($A448="","",IF(AND(MONTH(A447)&gt;3,MONTH(A447)&lt;11),(T447+R447+G447)*Summary!$T$7/(1-Summary!$T$7),(T447+R447+G447)*Summary!$U$7/(1-Summary!$U$7)))</f>
        <v/>
      </c>
      <c r="W447" s="63" t="str">
        <f t="shared" si="241"/>
        <v/>
      </c>
      <c r="X447" s="63" t="str">
        <f t="shared" si="242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3"/>
        <v/>
      </c>
      <c r="AP447" s="33" t="str">
        <f t="shared" si="244"/>
        <v/>
      </c>
      <c r="AQ447" s="58" t="str">
        <f t="shared" si="225"/>
        <v/>
      </c>
      <c r="AR447" s="38">
        <f>IF(Summary!$H$2=1,VLOOKUP('ANR OK vs ML7'!A447,Curves!$C$17:$AR$273,MATCH('ANR OK vs ML7'!$AR$4,Curves!$C$8:$AQ$8,0)),0.1)</f>
        <v>0.1</v>
      </c>
      <c r="AS447" s="35" t="str">
        <f t="shared" si="226"/>
        <v/>
      </c>
      <c r="AT447" s="3" t="str">
        <f t="shared" si="245"/>
        <v/>
      </c>
      <c r="AU447" s="3" t="str">
        <f t="shared" si="227"/>
        <v/>
      </c>
      <c r="AW447" s="32" t="str">
        <f t="shared" si="246"/>
        <v/>
      </c>
      <c r="AX447" s="32" t="str">
        <f t="shared" si="247"/>
        <v/>
      </c>
      <c r="AY447" s="32" t="str">
        <f t="shared" si="248"/>
        <v/>
      </c>
      <c r="BA447" s="32" t="str">
        <f>IF($A448="","",F447*Summary!$Q$7)</f>
        <v/>
      </c>
    </row>
    <row r="448" spans="1:53">
      <c r="A448" s="67" t="str">
        <f t="shared" si="228"/>
        <v/>
      </c>
      <c r="B448" s="69" t="str">
        <f t="shared" si="249"/>
        <v/>
      </c>
      <c r="D448" s="69" t="str">
        <f t="shared" si="250"/>
        <v/>
      </c>
      <c r="E448" s="70" t="str">
        <f t="shared" si="223"/>
        <v/>
      </c>
      <c r="F448" s="70" t="str">
        <f t="shared" si="224"/>
        <v/>
      </c>
      <c r="G448" s="63" t="str">
        <f t="shared" si="229"/>
        <v/>
      </c>
      <c r="H448" s="64" t="str">
        <f t="shared" si="230"/>
        <v/>
      </c>
      <c r="J448" s="63" t="str">
        <f t="shared" si="231"/>
        <v/>
      </c>
      <c r="K448" s="64" t="str">
        <f t="shared" si="232"/>
        <v/>
      </c>
      <c r="L448" s="63" t="str">
        <f t="shared" si="233"/>
        <v/>
      </c>
      <c r="M448" s="64" t="str">
        <f t="shared" si="234"/>
        <v/>
      </c>
      <c r="O448" s="63" t="str">
        <f t="shared" si="235"/>
        <v/>
      </c>
      <c r="P448" s="63" t="str">
        <f t="shared" si="236"/>
        <v/>
      </c>
      <c r="R448" s="63" t="str">
        <f t="shared" si="237"/>
        <v/>
      </c>
      <c r="S448" s="64" t="str">
        <f t="shared" si="238"/>
        <v/>
      </c>
      <c r="T448" s="63" t="str">
        <f t="shared" si="239"/>
        <v/>
      </c>
      <c r="U448" s="64" t="str">
        <f t="shared" si="240"/>
        <v/>
      </c>
      <c r="V448" s="207" t="str">
        <f>IF($A449="","",IF(AND(MONTH(A448)&gt;3,MONTH(A448)&lt;11),(T448+R448+G448)*Summary!$T$7/(1-Summary!$T$7),(T448+R448+G448)*Summary!$U$7/(1-Summary!$U$7)))</f>
        <v/>
      </c>
      <c r="W448" s="63" t="str">
        <f t="shared" si="241"/>
        <v/>
      </c>
      <c r="X448" s="63" t="str">
        <f t="shared" si="242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3"/>
        <v/>
      </c>
      <c r="AP448" s="33" t="str">
        <f t="shared" si="244"/>
        <v/>
      </c>
      <c r="AQ448" s="58" t="str">
        <f t="shared" si="225"/>
        <v/>
      </c>
      <c r="AR448" s="38">
        <f>IF(Summary!$H$2=1,VLOOKUP('ANR OK vs ML7'!A448,Curves!$C$17:$AR$273,MATCH('ANR OK vs ML7'!$AR$4,Curves!$C$8:$AQ$8,0)),0.1)</f>
        <v>0.1</v>
      </c>
      <c r="AS448" s="35" t="str">
        <f t="shared" si="226"/>
        <v/>
      </c>
      <c r="AT448" s="3" t="str">
        <f t="shared" si="245"/>
        <v/>
      </c>
      <c r="AU448" s="3" t="str">
        <f t="shared" si="227"/>
        <v/>
      </c>
      <c r="AW448" s="32" t="str">
        <f t="shared" si="246"/>
        <v/>
      </c>
      <c r="AX448" s="32" t="str">
        <f t="shared" si="247"/>
        <v/>
      </c>
      <c r="AY448" s="32" t="str">
        <f t="shared" si="248"/>
        <v/>
      </c>
      <c r="BA448" s="32" t="str">
        <f>IF($A449="","",F448*Summary!$Q$7)</f>
        <v/>
      </c>
    </row>
    <row r="449" spans="1:53">
      <c r="A449" s="67" t="str">
        <f t="shared" si="228"/>
        <v/>
      </c>
      <c r="B449" s="69" t="str">
        <f t="shared" si="249"/>
        <v/>
      </c>
      <c r="D449" s="69" t="str">
        <f t="shared" si="250"/>
        <v/>
      </c>
      <c r="E449" s="70" t="str">
        <f t="shared" si="223"/>
        <v/>
      </c>
      <c r="F449" s="70" t="str">
        <f t="shared" si="224"/>
        <v/>
      </c>
      <c r="G449" s="63" t="str">
        <f t="shared" si="229"/>
        <v/>
      </c>
      <c r="H449" s="64" t="str">
        <f t="shared" si="230"/>
        <v/>
      </c>
      <c r="J449" s="63" t="str">
        <f t="shared" si="231"/>
        <v/>
      </c>
      <c r="K449" s="64" t="str">
        <f t="shared" si="232"/>
        <v/>
      </c>
      <c r="L449" s="63" t="str">
        <f t="shared" si="233"/>
        <v/>
      </c>
      <c r="M449" s="64" t="str">
        <f t="shared" si="234"/>
        <v/>
      </c>
      <c r="O449" s="63" t="str">
        <f t="shared" si="235"/>
        <v/>
      </c>
      <c r="P449" s="63" t="str">
        <f t="shared" si="236"/>
        <v/>
      </c>
      <c r="R449" s="63" t="str">
        <f t="shared" si="237"/>
        <v/>
      </c>
      <c r="S449" s="64" t="str">
        <f t="shared" si="238"/>
        <v/>
      </c>
      <c r="T449" s="63" t="str">
        <f t="shared" si="239"/>
        <v/>
      </c>
      <c r="U449" s="64" t="str">
        <f t="shared" si="240"/>
        <v/>
      </c>
      <c r="V449" s="207" t="str">
        <f>IF($A450="","",IF(AND(MONTH(A449)&gt;3,MONTH(A449)&lt;11),(T449+R449+G449)*Summary!$T$7/(1-Summary!$T$7),(T449+R449+G449)*Summary!$U$7/(1-Summary!$U$7)))</f>
        <v/>
      </c>
      <c r="W449" s="63" t="str">
        <f t="shared" si="241"/>
        <v/>
      </c>
      <c r="X449" s="63" t="str">
        <f t="shared" si="242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3"/>
        <v/>
      </c>
      <c r="AP449" s="33" t="str">
        <f t="shared" si="244"/>
        <v/>
      </c>
      <c r="AQ449" s="58" t="str">
        <f t="shared" si="225"/>
        <v/>
      </c>
      <c r="AR449" s="38">
        <f>IF(Summary!$H$2=1,VLOOKUP('ANR OK vs ML7'!A449,Curves!$C$17:$AR$273,MATCH('ANR OK vs ML7'!$AR$4,Curves!$C$8:$AQ$8,0)),0.1)</f>
        <v>0.1</v>
      </c>
      <c r="AS449" s="35" t="str">
        <f t="shared" si="226"/>
        <v/>
      </c>
      <c r="AT449" s="3" t="str">
        <f t="shared" si="245"/>
        <v/>
      </c>
      <c r="AU449" s="3" t="str">
        <f t="shared" si="227"/>
        <v/>
      </c>
      <c r="AW449" s="32" t="str">
        <f t="shared" si="246"/>
        <v/>
      </c>
      <c r="AX449" s="32" t="str">
        <f t="shared" si="247"/>
        <v/>
      </c>
      <c r="AY449" s="32" t="str">
        <f t="shared" si="248"/>
        <v/>
      </c>
      <c r="BA449" s="32" t="str">
        <f>IF($A450="","",F449*Summary!$Q$7)</f>
        <v/>
      </c>
    </row>
    <row r="450" spans="1:53">
      <c r="A450" s="67" t="str">
        <f t="shared" si="228"/>
        <v/>
      </c>
      <c r="B450" s="69" t="str">
        <f t="shared" si="249"/>
        <v/>
      </c>
      <c r="D450" s="69" t="str">
        <f t="shared" si="250"/>
        <v/>
      </c>
      <c r="E450" s="70" t="str">
        <f t="shared" si="223"/>
        <v/>
      </c>
      <c r="F450" s="70" t="str">
        <f t="shared" si="224"/>
        <v/>
      </c>
      <c r="G450" s="63" t="str">
        <f t="shared" si="229"/>
        <v/>
      </c>
      <c r="H450" s="64" t="str">
        <f t="shared" si="230"/>
        <v/>
      </c>
      <c r="J450" s="63" t="str">
        <f t="shared" si="231"/>
        <v/>
      </c>
      <c r="K450" s="64" t="str">
        <f t="shared" si="232"/>
        <v/>
      </c>
      <c r="L450" s="63" t="str">
        <f t="shared" si="233"/>
        <v/>
      </c>
      <c r="M450" s="64" t="str">
        <f t="shared" si="234"/>
        <v/>
      </c>
      <c r="O450" s="63" t="str">
        <f t="shared" si="235"/>
        <v/>
      </c>
      <c r="P450" s="63" t="str">
        <f t="shared" si="236"/>
        <v/>
      </c>
      <c r="R450" s="63" t="str">
        <f t="shared" si="237"/>
        <v/>
      </c>
      <c r="S450" s="64" t="str">
        <f t="shared" si="238"/>
        <v/>
      </c>
      <c r="T450" s="63" t="str">
        <f t="shared" si="239"/>
        <v/>
      </c>
      <c r="U450" s="64" t="str">
        <f t="shared" si="240"/>
        <v/>
      </c>
      <c r="V450" s="207" t="str">
        <f>IF($A451="","",IF(AND(MONTH(A450)&gt;3,MONTH(A450)&lt;11),(T450+R450+G450)*Summary!$T$7/(1-Summary!$T$7),(T450+R450+G450)*Summary!$U$7/(1-Summary!$U$7)))</f>
        <v/>
      </c>
      <c r="W450" s="63" t="str">
        <f t="shared" si="241"/>
        <v/>
      </c>
      <c r="X450" s="63" t="str">
        <f t="shared" si="242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3"/>
        <v/>
      </c>
      <c r="AP450" s="33" t="str">
        <f t="shared" si="244"/>
        <v/>
      </c>
      <c r="AQ450" s="58" t="str">
        <f t="shared" si="225"/>
        <v/>
      </c>
      <c r="AR450" s="38">
        <f>IF(Summary!$H$2=1,VLOOKUP('ANR OK vs ML7'!A450,Curves!$C$17:$AR$273,MATCH('ANR OK vs ML7'!$AR$4,Curves!$C$8:$AQ$8,0)),0.1)</f>
        <v>0.1</v>
      </c>
      <c r="AS450" s="35" t="str">
        <f t="shared" si="226"/>
        <v/>
      </c>
      <c r="AT450" s="3" t="str">
        <f t="shared" si="245"/>
        <v/>
      </c>
      <c r="AU450" s="3" t="str">
        <f t="shared" si="227"/>
        <v/>
      </c>
      <c r="AW450" s="32" t="str">
        <f t="shared" si="246"/>
        <v/>
      </c>
      <c r="AX450" s="32" t="str">
        <f t="shared" si="247"/>
        <v/>
      </c>
      <c r="AY450" s="32" t="str">
        <f t="shared" si="248"/>
        <v/>
      </c>
      <c r="BA450" s="32" t="str">
        <f>IF($A451="","",F450*Summary!$Q$7)</f>
        <v/>
      </c>
    </row>
    <row r="451" spans="1:53">
      <c r="A451" s="67" t="str">
        <f t="shared" si="228"/>
        <v/>
      </c>
      <c r="B451" s="69" t="str">
        <f t="shared" si="249"/>
        <v/>
      </c>
      <c r="D451" s="69" t="str">
        <f t="shared" si="250"/>
        <v/>
      </c>
      <c r="E451" s="70" t="str">
        <f t="shared" si="223"/>
        <v/>
      </c>
      <c r="F451" s="70" t="str">
        <f t="shared" si="224"/>
        <v/>
      </c>
      <c r="G451" s="63" t="str">
        <f t="shared" si="229"/>
        <v/>
      </c>
      <c r="H451" s="64" t="str">
        <f t="shared" si="230"/>
        <v/>
      </c>
      <c r="J451" s="63" t="str">
        <f t="shared" si="231"/>
        <v/>
      </c>
      <c r="K451" s="64" t="str">
        <f t="shared" si="232"/>
        <v/>
      </c>
      <c r="L451" s="63" t="str">
        <f t="shared" si="233"/>
        <v/>
      </c>
      <c r="M451" s="64" t="str">
        <f t="shared" si="234"/>
        <v/>
      </c>
      <c r="O451" s="63" t="str">
        <f t="shared" si="235"/>
        <v/>
      </c>
      <c r="P451" s="63" t="str">
        <f t="shared" si="236"/>
        <v/>
      </c>
      <c r="R451" s="63" t="str">
        <f t="shared" si="237"/>
        <v/>
      </c>
      <c r="S451" s="64" t="str">
        <f t="shared" si="238"/>
        <v/>
      </c>
      <c r="T451" s="63" t="str">
        <f t="shared" si="239"/>
        <v/>
      </c>
      <c r="U451" s="64" t="str">
        <f t="shared" si="240"/>
        <v/>
      </c>
      <c r="V451" s="207" t="str">
        <f>IF($A452="","",IF(AND(MONTH(A451)&gt;3,MONTH(A451)&lt;11),(T451+R451+G451)*Summary!$T$7/(1-Summary!$T$7),(T451+R451+G451)*Summary!$U$7/(1-Summary!$U$7)))</f>
        <v/>
      </c>
      <c r="W451" s="63" t="str">
        <f t="shared" si="241"/>
        <v/>
      </c>
      <c r="X451" s="63" t="str">
        <f t="shared" si="242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3"/>
        <v/>
      </c>
      <c r="AP451" s="33" t="str">
        <f t="shared" si="244"/>
        <v/>
      </c>
      <c r="AQ451" s="58" t="str">
        <f t="shared" si="225"/>
        <v/>
      </c>
      <c r="AR451" s="38">
        <f>IF(Summary!$H$2=1,VLOOKUP('ANR OK vs ML7'!A451,Curves!$C$17:$AR$273,MATCH('ANR OK vs ML7'!$AR$4,Curves!$C$8:$AQ$8,0)),0.1)</f>
        <v>0.1</v>
      </c>
      <c r="AS451" s="35" t="str">
        <f t="shared" si="226"/>
        <v/>
      </c>
      <c r="AT451" s="3" t="str">
        <f t="shared" si="245"/>
        <v/>
      </c>
      <c r="AU451" s="3" t="str">
        <f t="shared" si="227"/>
        <v/>
      </c>
      <c r="AW451" s="32" t="str">
        <f t="shared" si="246"/>
        <v/>
      </c>
      <c r="AX451" s="32" t="str">
        <f t="shared" si="247"/>
        <v/>
      </c>
      <c r="AY451" s="32" t="str">
        <f t="shared" si="248"/>
        <v/>
      </c>
      <c r="BA451" s="32" t="str">
        <f>IF($A452="","",F451*Summary!$Q$7)</f>
        <v/>
      </c>
    </row>
    <row r="452" spans="1:53">
      <c r="A452" s="67" t="str">
        <f t="shared" si="228"/>
        <v/>
      </c>
      <c r="B452" s="69" t="str">
        <f t="shared" si="249"/>
        <v/>
      </c>
      <c r="D452" s="69" t="str">
        <f t="shared" si="250"/>
        <v/>
      </c>
      <c r="E452" s="70" t="str">
        <f t="shared" si="223"/>
        <v/>
      </c>
      <c r="F452" s="70" t="str">
        <f t="shared" si="224"/>
        <v/>
      </c>
      <c r="G452" s="63" t="str">
        <f t="shared" si="229"/>
        <v/>
      </c>
      <c r="H452" s="64" t="str">
        <f t="shared" si="230"/>
        <v/>
      </c>
      <c r="J452" s="63" t="str">
        <f t="shared" si="231"/>
        <v/>
      </c>
      <c r="K452" s="64" t="str">
        <f t="shared" si="232"/>
        <v/>
      </c>
      <c r="L452" s="63" t="str">
        <f t="shared" si="233"/>
        <v/>
      </c>
      <c r="M452" s="64" t="str">
        <f t="shared" si="234"/>
        <v/>
      </c>
      <c r="O452" s="63" t="str">
        <f t="shared" si="235"/>
        <v/>
      </c>
      <c r="P452" s="63" t="str">
        <f t="shared" si="236"/>
        <v/>
      </c>
      <c r="R452" s="63" t="str">
        <f t="shared" si="237"/>
        <v/>
      </c>
      <c r="S452" s="64" t="str">
        <f t="shared" si="238"/>
        <v/>
      </c>
      <c r="T452" s="63" t="str">
        <f t="shared" si="239"/>
        <v/>
      </c>
      <c r="U452" s="64" t="str">
        <f t="shared" si="240"/>
        <v/>
      </c>
      <c r="V452" s="207" t="str">
        <f>IF($A453="","",IF(AND(MONTH(A452)&gt;3,MONTH(A452)&lt;11),(T452+R452+G452)*Summary!$T$7/(1-Summary!$T$7),(T452+R452+G452)*Summary!$U$7/(1-Summary!$U$7)))</f>
        <v/>
      </c>
      <c r="W452" s="63" t="str">
        <f t="shared" si="241"/>
        <v/>
      </c>
      <c r="X452" s="63" t="str">
        <f t="shared" si="242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3"/>
        <v/>
      </c>
      <c r="AP452" s="33" t="str">
        <f t="shared" si="244"/>
        <v/>
      </c>
      <c r="AQ452" s="58" t="str">
        <f t="shared" si="225"/>
        <v/>
      </c>
      <c r="AR452" s="38">
        <f>IF(Summary!$H$2=1,VLOOKUP('ANR OK vs ML7'!A452,Curves!$C$17:$AR$273,MATCH('ANR OK vs ML7'!$AR$4,Curves!$C$8:$AQ$8,0)),0.1)</f>
        <v>0.1</v>
      </c>
      <c r="AS452" s="35" t="str">
        <f t="shared" si="226"/>
        <v/>
      </c>
      <c r="AT452" s="3" t="str">
        <f t="shared" si="245"/>
        <v/>
      </c>
      <c r="AU452" s="3" t="str">
        <f t="shared" si="227"/>
        <v/>
      </c>
      <c r="AW452" s="32" t="str">
        <f t="shared" si="246"/>
        <v/>
      </c>
      <c r="AX452" s="32" t="str">
        <f t="shared" si="247"/>
        <v/>
      </c>
      <c r="AY452" s="32" t="str">
        <f t="shared" si="248"/>
        <v/>
      </c>
      <c r="BA452" s="32" t="str">
        <f>IF($A453="","",F452*Summary!$Q$7)</f>
        <v/>
      </c>
    </row>
    <row r="453" spans="1:53">
      <c r="A453" s="67" t="str">
        <f t="shared" si="228"/>
        <v/>
      </c>
      <c r="B453" s="69" t="str">
        <f t="shared" si="249"/>
        <v/>
      </c>
      <c r="D453" s="69" t="str">
        <f t="shared" si="250"/>
        <v/>
      </c>
      <c r="E453" s="70" t="str">
        <f t="shared" si="223"/>
        <v/>
      </c>
      <c r="F453" s="70" t="str">
        <f t="shared" si="224"/>
        <v/>
      </c>
      <c r="G453" s="63" t="str">
        <f t="shared" si="229"/>
        <v/>
      </c>
      <c r="H453" s="64" t="str">
        <f t="shared" si="230"/>
        <v/>
      </c>
      <c r="J453" s="63" t="str">
        <f t="shared" si="231"/>
        <v/>
      </c>
      <c r="K453" s="64" t="str">
        <f t="shared" si="232"/>
        <v/>
      </c>
      <c r="L453" s="63" t="str">
        <f t="shared" si="233"/>
        <v/>
      </c>
      <c r="M453" s="64" t="str">
        <f t="shared" si="234"/>
        <v/>
      </c>
      <c r="O453" s="63" t="str">
        <f t="shared" si="235"/>
        <v/>
      </c>
      <c r="P453" s="63" t="str">
        <f t="shared" si="236"/>
        <v/>
      </c>
      <c r="R453" s="63" t="str">
        <f t="shared" si="237"/>
        <v/>
      </c>
      <c r="S453" s="64" t="str">
        <f t="shared" si="238"/>
        <v/>
      </c>
      <c r="T453" s="63" t="str">
        <f t="shared" si="239"/>
        <v/>
      </c>
      <c r="U453" s="64" t="str">
        <f t="shared" si="240"/>
        <v/>
      </c>
      <c r="V453" s="207" t="str">
        <f>IF($A454="","",IF(AND(MONTH(A453)&gt;3,MONTH(A453)&lt;11),(T453+R453+G453)*Summary!$T$7/(1-Summary!$T$7),(T453+R453+G453)*Summary!$U$7/(1-Summary!$U$7)))</f>
        <v/>
      </c>
      <c r="W453" s="63" t="str">
        <f t="shared" si="241"/>
        <v/>
      </c>
      <c r="X453" s="63" t="str">
        <f t="shared" si="242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3"/>
        <v/>
      </c>
      <c r="AP453" s="33" t="str">
        <f t="shared" si="244"/>
        <v/>
      </c>
      <c r="AQ453" s="58" t="str">
        <f t="shared" si="225"/>
        <v/>
      </c>
      <c r="AR453" s="38">
        <f>IF(Summary!$H$2=1,VLOOKUP('ANR OK vs ML7'!A453,Curves!$C$17:$AR$273,MATCH('ANR OK vs ML7'!$AR$4,Curves!$C$8:$AQ$8,0)),0.1)</f>
        <v>0.1</v>
      </c>
      <c r="AS453" s="35" t="str">
        <f t="shared" si="226"/>
        <v/>
      </c>
      <c r="AT453" s="3" t="str">
        <f t="shared" si="245"/>
        <v/>
      </c>
      <c r="AU453" s="3" t="str">
        <f t="shared" si="227"/>
        <v/>
      </c>
      <c r="AW453" s="32" t="str">
        <f t="shared" si="246"/>
        <v/>
      </c>
      <c r="AX453" s="32" t="str">
        <f t="shared" si="247"/>
        <v/>
      </c>
      <c r="AY453" s="32" t="str">
        <f t="shared" si="248"/>
        <v/>
      </c>
      <c r="BA453" s="32" t="str">
        <f>IF($A454="","",F453*Summary!$Q$7)</f>
        <v/>
      </c>
    </row>
    <row r="454" spans="1:53">
      <c r="A454" s="67" t="str">
        <f t="shared" si="228"/>
        <v/>
      </c>
      <c r="B454" s="69" t="str">
        <f t="shared" si="249"/>
        <v/>
      </c>
      <c r="D454" s="69" t="str">
        <f t="shared" si="250"/>
        <v/>
      </c>
      <c r="E454" s="70" t="str">
        <f t="shared" si="223"/>
        <v/>
      </c>
      <c r="F454" s="70" t="str">
        <f t="shared" si="224"/>
        <v/>
      </c>
      <c r="G454" s="63" t="str">
        <f t="shared" si="229"/>
        <v/>
      </c>
      <c r="H454" s="64" t="str">
        <f t="shared" si="230"/>
        <v/>
      </c>
      <c r="J454" s="63" t="str">
        <f t="shared" si="231"/>
        <v/>
      </c>
      <c r="K454" s="64" t="str">
        <f t="shared" si="232"/>
        <v/>
      </c>
      <c r="L454" s="63" t="str">
        <f t="shared" si="233"/>
        <v/>
      </c>
      <c r="M454" s="64" t="str">
        <f t="shared" si="234"/>
        <v/>
      </c>
      <c r="O454" s="63" t="str">
        <f t="shared" si="235"/>
        <v/>
      </c>
      <c r="P454" s="63" t="str">
        <f t="shared" si="236"/>
        <v/>
      </c>
      <c r="R454" s="63" t="str">
        <f t="shared" si="237"/>
        <v/>
      </c>
      <c r="S454" s="64" t="str">
        <f t="shared" si="238"/>
        <v/>
      </c>
      <c r="T454" s="63" t="str">
        <f t="shared" si="239"/>
        <v/>
      </c>
      <c r="U454" s="64" t="str">
        <f t="shared" si="240"/>
        <v/>
      </c>
      <c r="V454" s="207" t="str">
        <f>IF($A455="","",IF(AND(MONTH(A454)&gt;3,MONTH(A454)&lt;11),(T454+R454+G454)*Summary!$T$7/(1-Summary!$T$7),(T454+R454+G454)*Summary!$U$7/(1-Summary!$U$7)))</f>
        <v/>
      </c>
      <c r="W454" s="63" t="str">
        <f t="shared" si="241"/>
        <v/>
      </c>
      <c r="X454" s="63" t="str">
        <f t="shared" si="242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3"/>
        <v/>
      </c>
      <c r="AP454" s="33" t="str">
        <f t="shared" si="244"/>
        <v/>
      </c>
      <c r="AQ454" s="58" t="str">
        <f t="shared" si="225"/>
        <v/>
      </c>
      <c r="AR454" s="38">
        <f>IF(Summary!$H$2=1,VLOOKUP('ANR OK vs ML7'!A454,Curves!$C$17:$AR$273,MATCH('ANR OK vs ML7'!$AR$4,Curves!$C$8:$AQ$8,0)),0.1)</f>
        <v>0.1</v>
      </c>
      <c r="AS454" s="35" t="str">
        <f t="shared" si="226"/>
        <v/>
      </c>
      <c r="AT454" s="3" t="str">
        <f t="shared" si="245"/>
        <v/>
      </c>
      <c r="AU454" s="3" t="str">
        <f t="shared" si="227"/>
        <v/>
      </c>
      <c r="AW454" s="32" t="str">
        <f t="shared" si="246"/>
        <v/>
      </c>
      <c r="AX454" s="32" t="str">
        <f t="shared" si="247"/>
        <v/>
      </c>
      <c r="AY454" s="32" t="str">
        <f t="shared" si="248"/>
        <v/>
      </c>
      <c r="BA454" s="32" t="str">
        <f>IF($A455="","",F454*Summary!$Q$7)</f>
        <v/>
      </c>
    </row>
    <row r="455" spans="1:53">
      <c r="A455" s="67" t="str">
        <f t="shared" si="228"/>
        <v/>
      </c>
      <c r="B455" s="69" t="str">
        <f t="shared" si="249"/>
        <v/>
      </c>
      <c r="D455" s="69" t="str">
        <f t="shared" si="250"/>
        <v/>
      </c>
      <c r="E455" s="70" t="str">
        <f t="shared" si="223"/>
        <v/>
      </c>
      <c r="F455" s="70" t="str">
        <f t="shared" si="224"/>
        <v/>
      </c>
      <c r="G455" s="63" t="str">
        <f t="shared" si="229"/>
        <v/>
      </c>
      <c r="H455" s="64" t="str">
        <f t="shared" si="230"/>
        <v/>
      </c>
      <c r="J455" s="63" t="str">
        <f t="shared" si="231"/>
        <v/>
      </c>
      <c r="K455" s="64" t="str">
        <f t="shared" si="232"/>
        <v/>
      </c>
      <c r="L455" s="63" t="str">
        <f t="shared" si="233"/>
        <v/>
      </c>
      <c r="M455" s="64" t="str">
        <f t="shared" si="234"/>
        <v/>
      </c>
      <c r="O455" s="63" t="str">
        <f t="shared" si="235"/>
        <v/>
      </c>
      <c r="P455" s="63" t="str">
        <f t="shared" si="236"/>
        <v/>
      </c>
      <c r="R455" s="63" t="str">
        <f t="shared" si="237"/>
        <v/>
      </c>
      <c r="S455" s="64" t="str">
        <f t="shared" si="238"/>
        <v/>
      </c>
      <c r="T455" s="63" t="str">
        <f t="shared" si="239"/>
        <v/>
      </c>
      <c r="U455" s="64" t="str">
        <f t="shared" si="240"/>
        <v/>
      </c>
      <c r="V455" s="207" t="str">
        <f>IF($A456="","",IF(AND(MONTH(A455)&gt;3,MONTH(A455)&lt;11),(T455+R455+G455)*Summary!$T$7/(1-Summary!$T$7),(T455+R455+G455)*Summary!$U$7/(1-Summary!$U$7)))</f>
        <v/>
      </c>
      <c r="W455" s="63" t="str">
        <f t="shared" si="241"/>
        <v/>
      </c>
      <c r="X455" s="63" t="str">
        <f t="shared" si="242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3"/>
        <v/>
      </c>
      <c r="AP455" s="33" t="str">
        <f t="shared" si="244"/>
        <v/>
      </c>
      <c r="AQ455" s="58" t="str">
        <f t="shared" si="225"/>
        <v/>
      </c>
      <c r="AR455" s="38">
        <f>IF(Summary!$H$2=1,VLOOKUP('ANR OK vs ML7'!A455,Curves!$C$17:$AR$273,MATCH('ANR OK vs ML7'!$AR$4,Curves!$C$8:$AQ$8,0)),0.1)</f>
        <v>0.1</v>
      </c>
      <c r="AS455" s="35" t="str">
        <f t="shared" si="226"/>
        <v/>
      </c>
      <c r="AT455" s="3" t="str">
        <f t="shared" si="245"/>
        <v/>
      </c>
      <c r="AU455" s="3" t="str">
        <f t="shared" si="227"/>
        <v/>
      </c>
      <c r="AW455" s="32" t="str">
        <f t="shared" si="246"/>
        <v/>
      </c>
      <c r="AX455" s="32" t="str">
        <f t="shared" si="247"/>
        <v/>
      </c>
      <c r="AY455" s="32" t="str">
        <f t="shared" si="248"/>
        <v/>
      </c>
      <c r="BA455" s="32" t="str">
        <f>IF($A456="","",F455*Summary!$Q$7)</f>
        <v/>
      </c>
    </row>
    <row r="456" spans="1:53">
      <c r="A456" s="67" t="str">
        <f t="shared" si="228"/>
        <v/>
      </c>
      <c r="B456" s="69" t="str">
        <f t="shared" si="249"/>
        <v/>
      </c>
      <c r="D456" s="69" t="str">
        <f t="shared" si="250"/>
        <v/>
      </c>
      <c r="E456" s="70" t="str">
        <f t="shared" si="223"/>
        <v/>
      </c>
      <c r="F456" s="70" t="str">
        <f t="shared" si="224"/>
        <v/>
      </c>
      <c r="G456" s="63" t="str">
        <f t="shared" si="229"/>
        <v/>
      </c>
      <c r="H456" s="64" t="str">
        <f t="shared" si="230"/>
        <v/>
      </c>
      <c r="J456" s="63" t="str">
        <f t="shared" si="231"/>
        <v/>
      </c>
      <c r="K456" s="64" t="str">
        <f t="shared" si="232"/>
        <v/>
      </c>
      <c r="L456" s="63" t="str">
        <f t="shared" si="233"/>
        <v/>
      </c>
      <c r="M456" s="64" t="str">
        <f t="shared" si="234"/>
        <v/>
      </c>
      <c r="O456" s="63" t="str">
        <f t="shared" si="235"/>
        <v/>
      </c>
      <c r="P456" s="63" t="str">
        <f t="shared" si="236"/>
        <v/>
      </c>
      <c r="R456" s="63" t="str">
        <f t="shared" si="237"/>
        <v/>
      </c>
      <c r="S456" s="64" t="str">
        <f t="shared" si="238"/>
        <v/>
      </c>
      <c r="T456" s="63" t="str">
        <f t="shared" si="239"/>
        <v/>
      </c>
      <c r="U456" s="64" t="str">
        <f t="shared" si="240"/>
        <v/>
      </c>
      <c r="V456" s="207" t="str">
        <f>IF($A457="","",IF(AND(MONTH(A456)&gt;3,MONTH(A456)&lt;11),(T456+R456+G456)*Summary!$T$7/(1-Summary!$T$7),(T456+R456+G456)*Summary!$U$7/(1-Summary!$U$7)))</f>
        <v/>
      </c>
      <c r="W456" s="63" t="str">
        <f t="shared" si="241"/>
        <v/>
      </c>
      <c r="X456" s="63" t="str">
        <f t="shared" si="242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3"/>
        <v/>
      </c>
      <c r="AP456" s="33" t="str">
        <f t="shared" si="244"/>
        <v/>
      </c>
      <c r="AQ456" s="58" t="str">
        <f t="shared" si="225"/>
        <v/>
      </c>
      <c r="AR456" s="38">
        <f>IF(Summary!$H$2=1,VLOOKUP('ANR OK vs ML7'!A456,Curves!$C$17:$AR$273,MATCH('ANR OK vs ML7'!$AR$4,Curves!$C$8:$AQ$8,0)),0.1)</f>
        <v>0.1</v>
      </c>
      <c r="AS456" s="35" t="str">
        <f t="shared" si="226"/>
        <v/>
      </c>
      <c r="AT456" s="3" t="str">
        <f t="shared" si="245"/>
        <v/>
      </c>
      <c r="AU456" s="3" t="str">
        <f t="shared" si="227"/>
        <v/>
      </c>
      <c r="AW456" s="32" t="str">
        <f t="shared" si="246"/>
        <v/>
      </c>
      <c r="AX456" s="32" t="str">
        <f t="shared" si="247"/>
        <v/>
      </c>
      <c r="AY456" s="32" t="str">
        <f t="shared" si="248"/>
        <v/>
      </c>
      <c r="BA456" s="32" t="str">
        <f>IF($A457="","",F456*Summary!$Q$7)</f>
        <v/>
      </c>
    </row>
    <row r="457" spans="1:53">
      <c r="A457" s="67" t="str">
        <f t="shared" si="228"/>
        <v/>
      </c>
      <c r="B457" s="69" t="str">
        <f t="shared" si="249"/>
        <v/>
      </c>
      <c r="D457" s="69" t="str">
        <f t="shared" si="250"/>
        <v/>
      </c>
      <c r="E457" s="70" t="str">
        <f t="shared" si="223"/>
        <v/>
      </c>
      <c r="F457" s="70" t="str">
        <f t="shared" si="224"/>
        <v/>
      </c>
      <c r="G457" s="63" t="str">
        <f t="shared" si="229"/>
        <v/>
      </c>
      <c r="H457" s="64" t="str">
        <f t="shared" si="230"/>
        <v/>
      </c>
      <c r="J457" s="63" t="str">
        <f t="shared" si="231"/>
        <v/>
      </c>
      <c r="K457" s="64" t="str">
        <f t="shared" si="232"/>
        <v/>
      </c>
      <c r="L457" s="63" t="str">
        <f t="shared" si="233"/>
        <v/>
      </c>
      <c r="M457" s="64" t="str">
        <f t="shared" si="234"/>
        <v/>
      </c>
      <c r="O457" s="63" t="str">
        <f t="shared" si="235"/>
        <v/>
      </c>
      <c r="P457" s="63" t="str">
        <f t="shared" si="236"/>
        <v/>
      </c>
      <c r="R457" s="63" t="str">
        <f t="shared" si="237"/>
        <v/>
      </c>
      <c r="S457" s="64" t="str">
        <f t="shared" si="238"/>
        <v/>
      </c>
      <c r="T457" s="63" t="str">
        <f t="shared" si="239"/>
        <v/>
      </c>
      <c r="U457" s="64" t="str">
        <f t="shared" si="240"/>
        <v/>
      </c>
      <c r="V457" s="207" t="str">
        <f>IF($A458="","",IF(AND(MONTH(A457)&gt;3,MONTH(A457)&lt;11),(T457+R457+G457)*Summary!$T$7/(1-Summary!$T$7),(T457+R457+G457)*Summary!$U$7/(1-Summary!$U$7)))</f>
        <v/>
      </c>
      <c r="W457" s="63" t="str">
        <f t="shared" si="241"/>
        <v/>
      </c>
      <c r="X457" s="63" t="str">
        <f t="shared" si="242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3"/>
        <v/>
      </c>
      <c r="AP457" s="33" t="str">
        <f t="shared" si="244"/>
        <v/>
      </c>
      <c r="AQ457" s="58" t="str">
        <f t="shared" si="225"/>
        <v/>
      </c>
      <c r="AR457" s="38">
        <f>IF(Summary!$H$2=1,VLOOKUP('ANR OK vs ML7'!A457,Curves!$C$17:$AR$273,MATCH('ANR OK vs ML7'!$AR$4,Curves!$C$8:$AQ$8,0)),0.1)</f>
        <v>0.1</v>
      </c>
      <c r="AS457" s="35" t="str">
        <f t="shared" si="226"/>
        <v/>
      </c>
      <c r="AT457" s="3" t="str">
        <f t="shared" si="245"/>
        <v/>
      </c>
      <c r="AU457" s="3" t="str">
        <f t="shared" si="227"/>
        <v/>
      </c>
      <c r="AW457" s="32" t="str">
        <f t="shared" si="246"/>
        <v/>
      </c>
      <c r="AX457" s="32" t="str">
        <f t="shared" si="247"/>
        <v/>
      </c>
      <c r="AY457" s="32" t="str">
        <f t="shared" si="248"/>
        <v/>
      </c>
      <c r="BA457" s="32" t="str">
        <f>IF($A458="","",F457*Summary!$Q$7)</f>
        <v/>
      </c>
    </row>
    <row r="458" spans="1:53">
      <c r="A458" s="67" t="str">
        <f t="shared" si="228"/>
        <v/>
      </c>
      <c r="B458" s="69" t="str">
        <f t="shared" si="249"/>
        <v/>
      </c>
      <c r="D458" s="69" t="str">
        <f t="shared" si="250"/>
        <v/>
      </c>
      <c r="E458" s="70" t="str">
        <f t="shared" ref="E458:E499" si="251">IF(A459="","",IF(AND(AT458=1,$H$3=1),D458*AO458,IF($H$3=2,D458,"N/A")))</f>
        <v/>
      </c>
      <c r="F458" s="70" t="str">
        <f t="shared" ref="F458:F499" si="252">IF(A459="","",E458*AS458)</f>
        <v/>
      </c>
      <c r="G458" s="63" t="str">
        <f t="shared" si="229"/>
        <v/>
      </c>
      <c r="H458" s="64" t="str">
        <f t="shared" si="230"/>
        <v/>
      </c>
      <c r="J458" s="63" t="str">
        <f t="shared" si="231"/>
        <v/>
      </c>
      <c r="K458" s="64" t="str">
        <f t="shared" si="232"/>
        <v/>
      </c>
      <c r="L458" s="63" t="str">
        <f t="shared" si="233"/>
        <v/>
      </c>
      <c r="M458" s="64" t="str">
        <f t="shared" si="234"/>
        <v/>
      </c>
      <c r="O458" s="63" t="str">
        <f t="shared" si="235"/>
        <v/>
      </c>
      <c r="P458" s="63" t="str">
        <f t="shared" si="236"/>
        <v/>
      </c>
      <c r="R458" s="63" t="str">
        <f t="shared" si="237"/>
        <v/>
      </c>
      <c r="S458" s="64" t="str">
        <f t="shared" si="238"/>
        <v/>
      </c>
      <c r="T458" s="63" t="str">
        <f t="shared" si="239"/>
        <v/>
      </c>
      <c r="U458" s="64" t="str">
        <f t="shared" si="240"/>
        <v/>
      </c>
      <c r="V458" s="207" t="str">
        <f>IF($A459="","",IF(AND(MONTH(A458)&gt;3,MONTH(A458)&lt;11),(T458+R458+G458)*Summary!$T$7/(1-Summary!$T$7),(T458+R458+G458)*Summary!$U$7/(1-Summary!$U$7)))</f>
        <v/>
      </c>
      <c r="W458" s="63" t="str">
        <f t="shared" si="241"/>
        <v/>
      </c>
      <c r="X458" s="63" t="str">
        <f t="shared" si="242"/>
        <v/>
      </c>
      <c r="Y458" s="43"/>
      <c r="Z458" s="38"/>
      <c r="AJ458" s="86"/>
      <c r="AK458" s="86"/>
      <c r="AL458" s="86"/>
      <c r="AM458" s="86"/>
      <c r="AN458" s="86"/>
      <c r="AO458" s="3" t="str">
        <f t="shared" si="243"/>
        <v/>
      </c>
      <c r="AP458" s="33" t="str">
        <f t="shared" si="244"/>
        <v/>
      </c>
      <c r="AQ458" s="58" t="str">
        <f t="shared" ref="AQ458:AQ499" si="253">IF(A459="","",AP458-$E$1)</f>
        <v/>
      </c>
      <c r="AR458" s="38">
        <f>IF(Summary!$H$2=1,VLOOKUP('ANR OK vs ML7'!A458,Curves!$C$17:$AR$273,MATCH('ANR OK vs ML7'!$AR$4,Curves!$C$8:$AQ$8,0)),0.1)</f>
        <v>0.1</v>
      </c>
      <c r="AS458" s="35" t="str">
        <f t="shared" ref="AS458:AS499" si="254">IF(A459="","",1/(1+CHOOSE(F$3,(AR459+($I$3/10000))/2,(AR458+($I$3/10000))/2))^(2*AQ458/365.25))</f>
        <v/>
      </c>
      <c r="AT458" s="3" t="str">
        <f t="shared" si="245"/>
        <v/>
      </c>
      <c r="AU458" s="3" t="str">
        <f t="shared" ref="AU458:AU499" si="255">IF(A459="","",AO458*AT458)</f>
        <v/>
      </c>
      <c r="AW458" s="32" t="str">
        <f t="shared" si="246"/>
        <v/>
      </c>
      <c r="AX458" s="32" t="str">
        <f t="shared" si="247"/>
        <v/>
      </c>
      <c r="AY458" s="32" t="str">
        <f t="shared" si="248"/>
        <v/>
      </c>
      <c r="BA458" s="32" t="str">
        <f>IF($A459="","",F458*Summary!$Q$7)</f>
        <v/>
      </c>
    </row>
    <row r="459" spans="1:53">
      <c r="A459" s="67" t="str">
        <f t="shared" ref="A459:A500" si="256">IF(A458&lt;mthend,EDATE(A458,1),"")</f>
        <v/>
      </c>
      <c r="B459" s="69" t="str">
        <f t="shared" si="249"/>
        <v/>
      </c>
      <c r="D459" s="69" t="str">
        <f t="shared" si="250"/>
        <v/>
      </c>
      <c r="E459" s="70" t="str">
        <f t="shared" si="251"/>
        <v/>
      </c>
      <c r="F459" s="70" t="str">
        <f t="shared" si="252"/>
        <v/>
      </c>
      <c r="G459" s="63" t="str">
        <f t="shared" ref="G459:G499" si="257">IF($A460="","",VLOOKUP($A459,Table,MATCH(G$4,Curves,0)))</f>
        <v/>
      </c>
      <c r="H459" s="64" t="str">
        <f t="shared" ref="H459:H499" si="258">IF(A460="","",G459)</f>
        <v/>
      </c>
      <c r="J459" s="63" t="str">
        <f t="shared" ref="J459:J499" si="259">IF($A460="","",VLOOKUP($A459,Table,MATCH(J$4,Curves,0)))</f>
        <v/>
      </c>
      <c r="K459" s="64" t="str">
        <f t="shared" ref="K459:K499" si="260">IF(A460="","",J459)</f>
        <v/>
      </c>
      <c r="L459" s="63" t="str">
        <f t="shared" ref="L459:L499" si="261">IF($A460="","",VLOOKUP($A459,Table,MATCH(L$4,Curves,0)))</f>
        <v/>
      </c>
      <c r="M459" s="64" t="str">
        <f t="shared" ref="M459:M499" si="262">IF(A460="","",L459)</f>
        <v/>
      </c>
      <c r="O459" s="63" t="str">
        <f t="shared" ref="O459:O499" si="263">IF(A460="","",L459+J459+G459)</f>
        <v/>
      </c>
      <c r="P459" s="63" t="str">
        <f t="shared" ref="P459:P499" si="264">IF(A460="","",M459+K459+H459)</f>
        <v/>
      </c>
      <c r="R459" s="63" t="str">
        <f t="shared" ref="R459:R499" si="265">IF($A460="","",VLOOKUP($A459,Table,MATCH(R$4,Curves,0)))</f>
        <v/>
      </c>
      <c r="S459" s="64" t="str">
        <f t="shared" ref="S459:S499" si="266">IF(A460="","",R459)</f>
        <v/>
      </c>
      <c r="T459" s="63" t="str">
        <f t="shared" ref="T459:T499" si="267">IF($A460="","",VLOOKUP($A459,Table,MATCH(T$4,Curves,0)))</f>
        <v/>
      </c>
      <c r="U459" s="64" t="str">
        <f t="shared" ref="U459:U499" si="268">IF(A460="","",T459)</f>
        <v/>
      </c>
      <c r="V459" s="207" t="str">
        <f>IF($A460="","",IF(AND(MONTH(A459)&gt;3,MONTH(A459)&lt;11),(T459+R459+G459)*Summary!$T$7/(1-Summary!$T$7),(T459+R459+G459)*Summary!$U$7/(1-Summary!$U$7)))</f>
        <v/>
      </c>
      <c r="W459" s="63" t="str">
        <f t="shared" ref="W459:W499" si="269">IF($A460="","",(T459+R459+G459+V459))</f>
        <v/>
      </c>
      <c r="X459" s="63" t="str">
        <f t="shared" ref="X459:X499" si="270">IF($A460="","",(U459+S459+H459+V459))</f>
        <v/>
      </c>
      <c r="Y459" s="43"/>
      <c r="Z459" s="38"/>
      <c r="AJ459" s="86"/>
      <c r="AK459" s="86"/>
      <c r="AL459" s="86"/>
      <c r="AM459" s="86"/>
      <c r="AN459" s="86"/>
      <c r="AO459" s="3" t="str">
        <f t="shared" ref="AO459:AO499" si="271">IF(A460="","",A460-A459)</f>
        <v/>
      </c>
      <c r="AP459" s="33" t="str">
        <f t="shared" ref="AP459:AP499" si="272">IF(A460="","",CHOOSE(F$3,A460+24,A459))</f>
        <v/>
      </c>
      <c r="AQ459" s="58" t="str">
        <f t="shared" si="253"/>
        <v/>
      </c>
      <c r="AR459" s="38">
        <f>IF(Summary!$H$2=1,VLOOKUP('ANR OK vs ML7'!A459,Curves!$C$17:$AR$273,MATCH('ANR OK vs ML7'!$AR$4,Curves!$C$8:$AQ$8,0)),0.1)</f>
        <v>0.1</v>
      </c>
      <c r="AS459" s="35" t="str">
        <f t="shared" si="254"/>
        <v/>
      </c>
      <c r="AT459" s="3" t="str">
        <f t="shared" ref="AT459:AT499" si="273">IF(A460="","",IF(AND(mthbeg&lt;=A459,mthend&gt;=A459),1,0))</f>
        <v/>
      </c>
      <c r="AU459" s="3" t="str">
        <f t="shared" si="255"/>
        <v/>
      </c>
      <c r="AW459" s="32" t="str">
        <f t="shared" ref="AW459:AW501" si="274">IF($A460="","",AL459*$E459)</f>
        <v/>
      </c>
      <c r="AX459" s="32" t="str">
        <f t="shared" ref="AX459:AX501" si="275">IF($A460="","",AM459*$E459)</f>
        <v/>
      </c>
      <c r="AY459" s="32" t="str">
        <f t="shared" ref="AY459:AY501" si="276">IF($A460="","",AN459*$E459)</f>
        <v/>
      </c>
      <c r="BA459" s="32" t="str">
        <f>IF($A460="","",F459*Summary!$Q$7)</f>
        <v/>
      </c>
    </row>
    <row r="460" spans="1:53">
      <c r="A460" s="67" t="str">
        <f t="shared" si="256"/>
        <v/>
      </c>
      <c r="B460" s="69" t="str">
        <f t="shared" ref="B460:B501" si="277">IF(A460&lt;mthend,B459,"")</f>
        <v/>
      </c>
      <c r="D460" s="69" t="str">
        <f t="shared" ref="D460:D499" si="278">IF(A461&lt;&gt;"",B460+C460,"")</f>
        <v/>
      </c>
      <c r="E460" s="70" t="str">
        <f t="shared" si="251"/>
        <v/>
      </c>
      <c r="F460" s="70" t="str">
        <f t="shared" si="252"/>
        <v/>
      </c>
      <c r="G460" s="63" t="str">
        <f t="shared" si="257"/>
        <v/>
      </c>
      <c r="H460" s="64" t="str">
        <f t="shared" si="258"/>
        <v/>
      </c>
      <c r="J460" s="63" t="str">
        <f t="shared" si="259"/>
        <v/>
      </c>
      <c r="K460" s="64" t="str">
        <f t="shared" si="260"/>
        <v/>
      </c>
      <c r="L460" s="63" t="str">
        <f t="shared" si="261"/>
        <v/>
      </c>
      <c r="M460" s="64" t="str">
        <f t="shared" si="262"/>
        <v/>
      </c>
      <c r="O460" s="63" t="str">
        <f t="shared" si="263"/>
        <v/>
      </c>
      <c r="P460" s="63" t="str">
        <f t="shared" si="264"/>
        <v/>
      </c>
      <c r="R460" s="63" t="str">
        <f t="shared" si="265"/>
        <v/>
      </c>
      <c r="S460" s="64" t="str">
        <f t="shared" si="266"/>
        <v/>
      </c>
      <c r="T460" s="63" t="str">
        <f t="shared" si="267"/>
        <v/>
      </c>
      <c r="U460" s="64" t="str">
        <f t="shared" si="268"/>
        <v/>
      </c>
      <c r="V460" s="207" t="str">
        <f>IF($A461="","",IF(AND(MONTH(A460)&gt;3,MONTH(A460)&lt;11),(T460+R460+G460)*Summary!$T$7/(1-Summary!$T$7),(T460+R460+G460)*Summary!$U$7/(1-Summary!$U$7)))</f>
        <v/>
      </c>
      <c r="W460" s="63" t="str">
        <f t="shared" si="269"/>
        <v/>
      </c>
      <c r="X460" s="63" t="str">
        <f t="shared" si="270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71"/>
        <v/>
      </c>
      <c r="AP460" s="33" t="str">
        <f t="shared" si="272"/>
        <v/>
      </c>
      <c r="AQ460" s="58" t="str">
        <f t="shared" si="253"/>
        <v/>
      </c>
      <c r="AR460" s="38">
        <f>IF(Summary!$H$2=1,VLOOKUP('ANR OK vs ML7'!A460,Curves!$C$17:$AR$273,MATCH('ANR OK vs ML7'!$AR$4,Curves!$C$8:$AQ$8,0)),0.1)</f>
        <v>0.1</v>
      </c>
      <c r="AS460" s="35" t="str">
        <f t="shared" si="254"/>
        <v/>
      </c>
      <c r="AT460" s="3" t="str">
        <f t="shared" si="273"/>
        <v/>
      </c>
      <c r="AU460" s="3" t="str">
        <f t="shared" si="255"/>
        <v/>
      </c>
      <c r="AW460" s="32" t="str">
        <f t="shared" si="274"/>
        <v/>
      </c>
      <c r="AX460" s="32" t="str">
        <f t="shared" si="275"/>
        <v/>
      </c>
      <c r="AY460" s="32" t="str">
        <f t="shared" si="276"/>
        <v/>
      </c>
      <c r="BA460" s="32" t="str">
        <f>IF($A461="","",F460*Summary!$Q$7)</f>
        <v/>
      </c>
    </row>
    <row r="461" spans="1:53">
      <c r="A461" s="67" t="str">
        <f t="shared" si="256"/>
        <v/>
      </c>
      <c r="B461" s="69" t="str">
        <f t="shared" si="277"/>
        <v/>
      </c>
      <c r="D461" s="69" t="str">
        <f t="shared" si="278"/>
        <v/>
      </c>
      <c r="E461" s="70" t="str">
        <f t="shared" si="251"/>
        <v/>
      </c>
      <c r="F461" s="70" t="str">
        <f t="shared" si="252"/>
        <v/>
      </c>
      <c r="G461" s="63" t="str">
        <f t="shared" si="257"/>
        <v/>
      </c>
      <c r="H461" s="64" t="str">
        <f t="shared" si="258"/>
        <v/>
      </c>
      <c r="J461" s="63" t="str">
        <f t="shared" si="259"/>
        <v/>
      </c>
      <c r="K461" s="64" t="str">
        <f t="shared" si="260"/>
        <v/>
      </c>
      <c r="L461" s="63" t="str">
        <f t="shared" si="261"/>
        <v/>
      </c>
      <c r="M461" s="64" t="str">
        <f t="shared" si="262"/>
        <v/>
      </c>
      <c r="O461" s="63" t="str">
        <f t="shared" si="263"/>
        <v/>
      </c>
      <c r="P461" s="63" t="str">
        <f t="shared" si="264"/>
        <v/>
      </c>
      <c r="R461" s="63" t="str">
        <f t="shared" si="265"/>
        <v/>
      </c>
      <c r="S461" s="64" t="str">
        <f t="shared" si="266"/>
        <v/>
      </c>
      <c r="T461" s="63" t="str">
        <f t="shared" si="267"/>
        <v/>
      </c>
      <c r="U461" s="64" t="str">
        <f t="shared" si="268"/>
        <v/>
      </c>
      <c r="V461" s="207" t="str">
        <f>IF($A462="","",IF(AND(MONTH(A461)&gt;3,MONTH(A461)&lt;11),(T461+R461+G461)*Summary!$T$7/(1-Summary!$T$7),(T461+R461+G461)*Summary!$U$7/(1-Summary!$U$7)))</f>
        <v/>
      </c>
      <c r="W461" s="63" t="str">
        <f t="shared" si="269"/>
        <v/>
      </c>
      <c r="X461" s="63" t="str">
        <f t="shared" si="270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71"/>
        <v/>
      </c>
      <c r="AP461" s="33" t="str">
        <f t="shared" si="272"/>
        <v/>
      </c>
      <c r="AQ461" s="58" t="str">
        <f t="shared" si="253"/>
        <v/>
      </c>
      <c r="AR461" s="38">
        <f>IF(Summary!$H$2=1,VLOOKUP('ANR OK vs ML7'!A461,Curves!$C$17:$AR$273,MATCH('ANR OK vs ML7'!$AR$4,Curves!$C$8:$AQ$8,0)),0.1)</f>
        <v>0.1</v>
      </c>
      <c r="AS461" s="35" t="str">
        <f t="shared" si="254"/>
        <v/>
      </c>
      <c r="AT461" s="3" t="str">
        <f t="shared" si="273"/>
        <v/>
      </c>
      <c r="AU461" s="3" t="str">
        <f t="shared" si="255"/>
        <v/>
      </c>
      <c r="AW461" s="32" t="str">
        <f t="shared" si="274"/>
        <v/>
      </c>
      <c r="AX461" s="32" t="str">
        <f t="shared" si="275"/>
        <v/>
      </c>
      <c r="AY461" s="32" t="str">
        <f t="shared" si="276"/>
        <v/>
      </c>
      <c r="BA461" s="32" t="str">
        <f>IF($A462="","",F461*Summary!$Q$7)</f>
        <v/>
      </c>
    </row>
    <row r="462" spans="1:53">
      <c r="A462" s="67" t="str">
        <f t="shared" si="256"/>
        <v/>
      </c>
      <c r="B462" s="69" t="str">
        <f t="shared" si="277"/>
        <v/>
      </c>
      <c r="D462" s="69" t="str">
        <f t="shared" si="278"/>
        <v/>
      </c>
      <c r="E462" s="70" t="str">
        <f t="shared" si="251"/>
        <v/>
      </c>
      <c r="F462" s="70" t="str">
        <f t="shared" si="252"/>
        <v/>
      </c>
      <c r="G462" s="63" t="str">
        <f t="shared" si="257"/>
        <v/>
      </c>
      <c r="H462" s="64" t="str">
        <f t="shared" si="258"/>
        <v/>
      </c>
      <c r="J462" s="63" t="str">
        <f t="shared" si="259"/>
        <v/>
      </c>
      <c r="K462" s="64" t="str">
        <f t="shared" si="260"/>
        <v/>
      </c>
      <c r="L462" s="63" t="str">
        <f t="shared" si="261"/>
        <v/>
      </c>
      <c r="M462" s="64" t="str">
        <f t="shared" si="262"/>
        <v/>
      </c>
      <c r="O462" s="63" t="str">
        <f t="shared" si="263"/>
        <v/>
      </c>
      <c r="P462" s="63" t="str">
        <f t="shared" si="264"/>
        <v/>
      </c>
      <c r="R462" s="63" t="str">
        <f t="shared" si="265"/>
        <v/>
      </c>
      <c r="S462" s="64" t="str">
        <f t="shared" si="266"/>
        <v/>
      </c>
      <c r="T462" s="63" t="str">
        <f t="shared" si="267"/>
        <v/>
      </c>
      <c r="U462" s="64" t="str">
        <f t="shared" si="268"/>
        <v/>
      </c>
      <c r="V462" s="207" t="str">
        <f>IF($A463="","",IF(AND(MONTH(A462)&gt;3,MONTH(A462)&lt;11),(T462+R462+G462)*Summary!$T$7/(1-Summary!$T$7),(T462+R462+G462)*Summary!$U$7/(1-Summary!$U$7)))</f>
        <v/>
      </c>
      <c r="W462" s="63" t="str">
        <f t="shared" si="269"/>
        <v/>
      </c>
      <c r="X462" s="63" t="str">
        <f t="shared" si="270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71"/>
        <v/>
      </c>
      <c r="AP462" s="33" t="str">
        <f t="shared" si="272"/>
        <v/>
      </c>
      <c r="AQ462" s="58" t="str">
        <f t="shared" si="253"/>
        <v/>
      </c>
      <c r="AR462" s="38">
        <f>IF(Summary!$H$2=1,VLOOKUP('ANR OK vs ML7'!A462,Curves!$C$17:$AR$273,MATCH('ANR OK vs ML7'!$AR$4,Curves!$C$8:$AQ$8,0)),0.1)</f>
        <v>0.1</v>
      </c>
      <c r="AS462" s="35" t="str">
        <f t="shared" si="254"/>
        <v/>
      </c>
      <c r="AT462" s="3" t="str">
        <f t="shared" si="273"/>
        <v/>
      </c>
      <c r="AU462" s="3" t="str">
        <f t="shared" si="255"/>
        <v/>
      </c>
      <c r="AW462" s="32" t="str">
        <f t="shared" si="274"/>
        <v/>
      </c>
      <c r="AX462" s="32" t="str">
        <f t="shared" si="275"/>
        <v/>
      </c>
      <c r="AY462" s="32" t="str">
        <f t="shared" si="276"/>
        <v/>
      </c>
      <c r="BA462" s="32" t="str">
        <f>IF($A463="","",F462*Summary!$Q$7)</f>
        <v/>
      </c>
    </row>
    <row r="463" spans="1:53">
      <c r="A463" s="67" t="str">
        <f t="shared" si="256"/>
        <v/>
      </c>
      <c r="B463" s="69" t="str">
        <f t="shared" si="277"/>
        <v/>
      </c>
      <c r="D463" s="69" t="str">
        <f t="shared" si="278"/>
        <v/>
      </c>
      <c r="E463" s="70" t="str">
        <f t="shared" si="251"/>
        <v/>
      </c>
      <c r="F463" s="70" t="str">
        <f t="shared" si="252"/>
        <v/>
      </c>
      <c r="G463" s="63" t="str">
        <f t="shared" si="257"/>
        <v/>
      </c>
      <c r="H463" s="64" t="str">
        <f t="shared" si="258"/>
        <v/>
      </c>
      <c r="J463" s="63" t="str">
        <f t="shared" si="259"/>
        <v/>
      </c>
      <c r="K463" s="64" t="str">
        <f t="shared" si="260"/>
        <v/>
      </c>
      <c r="L463" s="63" t="str">
        <f t="shared" si="261"/>
        <v/>
      </c>
      <c r="M463" s="64" t="str">
        <f t="shared" si="262"/>
        <v/>
      </c>
      <c r="O463" s="63" t="str">
        <f t="shared" si="263"/>
        <v/>
      </c>
      <c r="P463" s="63" t="str">
        <f t="shared" si="264"/>
        <v/>
      </c>
      <c r="R463" s="63" t="str">
        <f t="shared" si="265"/>
        <v/>
      </c>
      <c r="S463" s="64" t="str">
        <f t="shared" si="266"/>
        <v/>
      </c>
      <c r="T463" s="63" t="str">
        <f t="shared" si="267"/>
        <v/>
      </c>
      <c r="U463" s="64" t="str">
        <f t="shared" si="268"/>
        <v/>
      </c>
      <c r="V463" s="207" t="str">
        <f>IF($A464="","",IF(AND(MONTH(A463)&gt;3,MONTH(A463)&lt;11),(T463+R463+G463)*Summary!$T$7/(1-Summary!$T$7),(T463+R463+G463)*Summary!$U$7/(1-Summary!$U$7)))</f>
        <v/>
      </c>
      <c r="W463" s="63" t="str">
        <f t="shared" si="269"/>
        <v/>
      </c>
      <c r="X463" s="63" t="str">
        <f t="shared" si="270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71"/>
        <v/>
      </c>
      <c r="AP463" s="33" t="str">
        <f t="shared" si="272"/>
        <v/>
      </c>
      <c r="AQ463" s="58" t="str">
        <f t="shared" si="253"/>
        <v/>
      </c>
      <c r="AR463" s="38">
        <f>IF(Summary!$H$2=1,VLOOKUP('ANR OK vs ML7'!A463,Curves!$C$17:$AR$273,MATCH('ANR OK vs ML7'!$AR$4,Curves!$C$8:$AQ$8,0)),0.1)</f>
        <v>0.1</v>
      </c>
      <c r="AS463" s="35" t="str">
        <f t="shared" si="254"/>
        <v/>
      </c>
      <c r="AT463" s="3" t="str">
        <f t="shared" si="273"/>
        <v/>
      </c>
      <c r="AU463" s="3" t="str">
        <f t="shared" si="255"/>
        <v/>
      </c>
      <c r="AW463" s="32" t="str">
        <f t="shared" si="274"/>
        <v/>
      </c>
      <c r="AX463" s="32" t="str">
        <f t="shared" si="275"/>
        <v/>
      </c>
      <c r="AY463" s="32" t="str">
        <f t="shared" si="276"/>
        <v/>
      </c>
      <c r="BA463" s="32" t="str">
        <f>IF($A464="","",F463*Summary!$Q$7)</f>
        <v/>
      </c>
    </row>
    <row r="464" spans="1:53">
      <c r="A464" s="67" t="str">
        <f t="shared" si="256"/>
        <v/>
      </c>
      <c r="B464" s="69" t="str">
        <f t="shared" si="277"/>
        <v/>
      </c>
      <c r="D464" s="69" t="str">
        <f t="shared" si="278"/>
        <v/>
      </c>
      <c r="E464" s="70" t="str">
        <f t="shared" si="251"/>
        <v/>
      </c>
      <c r="F464" s="70" t="str">
        <f t="shared" si="252"/>
        <v/>
      </c>
      <c r="G464" s="63" t="str">
        <f t="shared" si="257"/>
        <v/>
      </c>
      <c r="H464" s="64" t="str">
        <f t="shared" si="258"/>
        <v/>
      </c>
      <c r="J464" s="63" t="str">
        <f t="shared" si="259"/>
        <v/>
      </c>
      <c r="K464" s="64" t="str">
        <f t="shared" si="260"/>
        <v/>
      </c>
      <c r="L464" s="63" t="str">
        <f t="shared" si="261"/>
        <v/>
      </c>
      <c r="M464" s="64" t="str">
        <f t="shared" si="262"/>
        <v/>
      </c>
      <c r="O464" s="63" t="str">
        <f t="shared" si="263"/>
        <v/>
      </c>
      <c r="P464" s="63" t="str">
        <f t="shared" si="264"/>
        <v/>
      </c>
      <c r="R464" s="63" t="str">
        <f t="shared" si="265"/>
        <v/>
      </c>
      <c r="S464" s="64" t="str">
        <f t="shared" si="266"/>
        <v/>
      </c>
      <c r="T464" s="63" t="str">
        <f t="shared" si="267"/>
        <v/>
      </c>
      <c r="U464" s="64" t="str">
        <f t="shared" si="268"/>
        <v/>
      </c>
      <c r="V464" s="207" t="str">
        <f>IF($A465="","",IF(AND(MONTH(A464)&gt;3,MONTH(A464)&lt;11),(T464+R464+G464)*Summary!$T$7/(1-Summary!$T$7),(T464+R464+G464)*Summary!$U$7/(1-Summary!$U$7)))</f>
        <v/>
      </c>
      <c r="W464" s="63" t="str">
        <f t="shared" si="269"/>
        <v/>
      </c>
      <c r="X464" s="63" t="str">
        <f t="shared" si="270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71"/>
        <v/>
      </c>
      <c r="AP464" s="33" t="str">
        <f t="shared" si="272"/>
        <v/>
      </c>
      <c r="AQ464" s="58" t="str">
        <f t="shared" si="253"/>
        <v/>
      </c>
      <c r="AR464" s="38">
        <f>IF(Summary!$H$2=1,VLOOKUP('ANR OK vs ML7'!A464,Curves!$C$17:$AR$273,MATCH('ANR OK vs ML7'!$AR$4,Curves!$C$8:$AQ$8,0)),0.1)</f>
        <v>0.1</v>
      </c>
      <c r="AS464" s="35" t="str">
        <f t="shared" si="254"/>
        <v/>
      </c>
      <c r="AT464" s="3" t="str">
        <f t="shared" si="273"/>
        <v/>
      </c>
      <c r="AU464" s="3" t="str">
        <f t="shared" si="255"/>
        <v/>
      </c>
      <c r="AW464" s="32" t="str">
        <f t="shared" si="274"/>
        <v/>
      </c>
      <c r="AX464" s="32" t="str">
        <f t="shared" si="275"/>
        <v/>
      </c>
      <c r="AY464" s="32" t="str">
        <f t="shared" si="276"/>
        <v/>
      </c>
      <c r="BA464" s="32" t="str">
        <f>IF($A465="","",F464*Summary!$Q$7)</f>
        <v/>
      </c>
    </row>
    <row r="465" spans="1:53">
      <c r="A465" s="67" t="str">
        <f t="shared" si="256"/>
        <v/>
      </c>
      <c r="B465" s="69" t="str">
        <f t="shared" si="277"/>
        <v/>
      </c>
      <c r="D465" s="69" t="str">
        <f t="shared" si="278"/>
        <v/>
      </c>
      <c r="E465" s="70" t="str">
        <f t="shared" si="251"/>
        <v/>
      </c>
      <c r="F465" s="70" t="str">
        <f t="shared" si="252"/>
        <v/>
      </c>
      <c r="G465" s="63" t="str">
        <f t="shared" si="257"/>
        <v/>
      </c>
      <c r="H465" s="64" t="str">
        <f t="shared" si="258"/>
        <v/>
      </c>
      <c r="J465" s="63" t="str">
        <f t="shared" si="259"/>
        <v/>
      </c>
      <c r="K465" s="64" t="str">
        <f t="shared" si="260"/>
        <v/>
      </c>
      <c r="L465" s="63" t="str">
        <f t="shared" si="261"/>
        <v/>
      </c>
      <c r="M465" s="64" t="str">
        <f t="shared" si="262"/>
        <v/>
      </c>
      <c r="O465" s="63" t="str">
        <f t="shared" si="263"/>
        <v/>
      </c>
      <c r="P465" s="63" t="str">
        <f t="shared" si="264"/>
        <v/>
      </c>
      <c r="R465" s="63" t="str">
        <f t="shared" si="265"/>
        <v/>
      </c>
      <c r="S465" s="64" t="str">
        <f t="shared" si="266"/>
        <v/>
      </c>
      <c r="T465" s="63" t="str">
        <f t="shared" si="267"/>
        <v/>
      </c>
      <c r="U465" s="64" t="str">
        <f t="shared" si="268"/>
        <v/>
      </c>
      <c r="V465" s="207" t="str">
        <f>IF($A466="","",IF(AND(MONTH(A465)&gt;3,MONTH(A465)&lt;11),(T465+R465+G465)*Summary!$T$7/(1-Summary!$T$7),(T465+R465+G465)*Summary!$U$7/(1-Summary!$U$7)))</f>
        <v/>
      </c>
      <c r="W465" s="63" t="str">
        <f t="shared" si="269"/>
        <v/>
      </c>
      <c r="X465" s="63" t="str">
        <f t="shared" si="270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71"/>
        <v/>
      </c>
      <c r="AP465" s="33" t="str">
        <f t="shared" si="272"/>
        <v/>
      </c>
      <c r="AQ465" s="58" t="str">
        <f t="shared" si="253"/>
        <v/>
      </c>
      <c r="AR465" s="38">
        <f>IF(Summary!$H$2=1,VLOOKUP('ANR OK vs ML7'!A465,Curves!$C$17:$AR$273,MATCH('ANR OK vs ML7'!$AR$4,Curves!$C$8:$AQ$8,0)),0.1)</f>
        <v>0.1</v>
      </c>
      <c r="AS465" s="35" t="str">
        <f t="shared" si="254"/>
        <v/>
      </c>
      <c r="AT465" s="3" t="str">
        <f t="shared" si="273"/>
        <v/>
      </c>
      <c r="AU465" s="3" t="str">
        <f t="shared" si="255"/>
        <v/>
      </c>
      <c r="AW465" s="32" t="str">
        <f t="shared" si="274"/>
        <v/>
      </c>
      <c r="AX465" s="32" t="str">
        <f t="shared" si="275"/>
        <v/>
      </c>
      <c r="AY465" s="32" t="str">
        <f t="shared" si="276"/>
        <v/>
      </c>
      <c r="BA465" s="32" t="str">
        <f>IF($A466="","",F465*Summary!$Q$7)</f>
        <v/>
      </c>
    </row>
    <row r="466" spans="1:53">
      <c r="A466" s="67" t="str">
        <f t="shared" si="256"/>
        <v/>
      </c>
      <c r="B466" s="69" t="str">
        <f t="shared" si="277"/>
        <v/>
      </c>
      <c r="D466" s="69" t="str">
        <f t="shared" si="278"/>
        <v/>
      </c>
      <c r="E466" s="70" t="str">
        <f t="shared" si="251"/>
        <v/>
      </c>
      <c r="F466" s="70" t="str">
        <f t="shared" si="252"/>
        <v/>
      </c>
      <c r="G466" s="63" t="str">
        <f t="shared" si="257"/>
        <v/>
      </c>
      <c r="H466" s="64" t="str">
        <f t="shared" si="258"/>
        <v/>
      </c>
      <c r="J466" s="63" t="str">
        <f t="shared" si="259"/>
        <v/>
      </c>
      <c r="K466" s="64" t="str">
        <f t="shared" si="260"/>
        <v/>
      </c>
      <c r="L466" s="63" t="str">
        <f t="shared" si="261"/>
        <v/>
      </c>
      <c r="M466" s="64" t="str">
        <f t="shared" si="262"/>
        <v/>
      </c>
      <c r="O466" s="63" t="str">
        <f t="shared" si="263"/>
        <v/>
      </c>
      <c r="P466" s="63" t="str">
        <f t="shared" si="264"/>
        <v/>
      </c>
      <c r="R466" s="63" t="str">
        <f t="shared" si="265"/>
        <v/>
      </c>
      <c r="S466" s="64" t="str">
        <f t="shared" si="266"/>
        <v/>
      </c>
      <c r="T466" s="63" t="str">
        <f t="shared" si="267"/>
        <v/>
      </c>
      <c r="U466" s="64" t="str">
        <f t="shared" si="268"/>
        <v/>
      </c>
      <c r="V466" s="207" t="str">
        <f>IF($A467="","",IF(AND(MONTH(A466)&gt;3,MONTH(A466)&lt;11),(T466+R466+G466)*Summary!$T$7/(1-Summary!$T$7),(T466+R466+G466)*Summary!$U$7/(1-Summary!$U$7)))</f>
        <v/>
      </c>
      <c r="W466" s="63" t="str">
        <f t="shared" si="269"/>
        <v/>
      </c>
      <c r="X466" s="63" t="str">
        <f t="shared" si="270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71"/>
        <v/>
      </c>
      <c r="AP466" s="33" t="str">
        <f t="shared" si="272"/>
        <v/>
      </c>
      <c r="AQ466" s="58" t="str">
        <f t="shared" si="253"/>
        <v/>
      </c>
      <c r="AR466" s="38">
        <f>IF(Summary!$H$2=1,VLOOKUP('ANR OK vs ML7'!A466,Curves!$C$17:$AR$273,MATCH('ANR OK vs ML7'!$AR$4,Curves!$C$8:$AQ$8,0)),0.1)</f>
        <v>0.1</v>
      </c>
      <c r="AS466" s="35" t="str">
        <f t="shared" si="254"/>
        <v/>
      </c>
      <c r="AT466" s="3" t="str">
        <f t="shared" si="273"/>
        <v/>
      </c>
      <c r="AU466" s="3" t="str">
        <f t="shared" si="255"/>
        <v/>
      </c>
      <c r="AW466" s="32" t="str">
        <f t="shared" si="274"/>
        <v/>
      </c>
      <c r="AX466" s="32" t="str">
        <f t="shared" si="275"/>
        <v/>
      </c>
      <c r="AY466" s="32" t="str">
        <f t="shared" si="276"/>
        <v/>
      </c>
      <c r="BA466" s="32" t="str">
        <f>IF($A467="","",F466*Summary!$Q$7)</f>
        <v/>
      </c>
    </row>
    <row r="467" spans="1:53">
      <c r="A467" s="67" t="str">
        <f t="shared" si="256"/>
        <v/>
      </c>
      <c r="B467" s="69" t="str">
        <f t="shared" si="277"/>
        <v/>
      </c>
      <c r="D467" s="69" t="str">
        <f t="shared" si="278"/>
        <v/>
      </c>
      <c r="E467" s="70" t="str">
        <f t="shared" si="251"/>
        <v/>
      </c>
      <c r="F467" s="70" t="str">
        <f t="shared" si="252"/>
        <v/>
      </c>
      <c r="G467" s="63" t="str">
        <f t="shared" si="257"/>
        <v/>
      </c>
      <c r="H467" s="64" t="str">
        <f t="shared" si="258"/>
        <v/>
      </c>
      <c r="J467" s="63" t="str">
        <f t="shared" si="259"/>
        <v/>
      </c>
      <c r="K467" s="64" t="str">
        <f t="shared" si="260"/>
        <v/>
      </c>
      <c r="L467" s="63" t="str">
        <f t="shared" si="261"/>
        <v/>
      </c>
      <c r="M467" s="64" t="str">
        <f t="shared" si="262"/>
        <v/>
      </c>
      <c r="O467" s="63" t="str">
        <f t="shared" si="263"/>
        <v/>
      </c>
      <c r="P467" s="63" t="str">
        <f t="shared" si="264"/>
        <v/>
      </c>
      <c r="R467" s="63" t="str">
        <f t="shared" si="265"/>
        <v/>
      </c>
      <c r="S467" s="64" t="str">
        <f t="shared" si="266"/>
        <v/>
      </c>
      <c r="T467" s="63" t="str">
        <f t="shared" si="267"/>
        <v/>
      </c>
      <c r="U467" s="64" t="str">
        <f t="shared" si="268"/>
        <v/>
      </c>
      <c r="V467" s="207" t="str">
        <f>IF($A468="","",IF(AND(MONTH(A467)&gt;3,MONTH(A467)&lt;11),(T467+R467+G467)*Summary!$T$7/(1-Summary!$T$7),(T467+R467+G467)*Summary!$U$7/(1-Summary!$U$7)))</f>
        <v/>
      </c>
      <c r="W467" s="63" t="str">
        <f t="shared" si="269"/>
        <v/>
      </c>
      <c r="X467" s="63" t="str">
        <f t="shared" si="270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71"/>
        <v/>
      </c>
      <c r="AP467" s="33" t="str">
        <f t="shared" si="272"/>
        <v/>
      </c>
      <c r="AQ467" s="58" t="str">
        <f t="shared" si="253"/>
        <v/>
      </c>
      <c r="AR467" s="38">
        <f>IF(Summary!$H$2=1,VLOOKUP('ANR OK vs ML7'!A467,Curves!$C$17:$AR$273,MATCH('ANR OK vs ML7'!$AR$4,Curves!$C$8:$AQ$8,0)),0.1)</f>
        <v>0.1</v>
      </c>
      <c r="AS467" s="35" t="str">
        <f t="shared" si="254"/>
        <v/>
      </c>
      <c r="AT467" s="3" t="str">
        <f t="shared" si="273"/>
        <v/>
      </c>
      <c r="AU467" s="3" t="str">
        <f t="shared" si="255"/>
        <v/>
      </c>
      <c r="AW467" s="32" t="str">
        <f t="shared" si="274"/>
        <v/>
      </c>
      <c r="AX467" s="32" t="str">
        <f t="shared" si="275"/>
        <v/>
      </c>
      <c r="AY467" s="32" t="str">
        <f t="shared" si="276"/>
        <v/>
      </c>
      <c r="BA467" s="32" t="str">
        <f>IF($A468="","",F467*Summary!$Q$7)</f>
        <v/>
      </c>
    </row>
    <row r="468" spans="1:53">
      <c r="A468" s="67" t="str">
        <f t="shared" si="256"/>
        <v/>
      </c>
      <c r="B468" s="69" t="str">
        <f t="shared" si="277"/>
        <v/>
      </c>
      <c r="D468" s="69" t="str">
        <f t="shared" si="278"/>
        <v/>
      </c>
      <c r="E468" s="70" t="str">
        <f t="shared" si="251"/>
        <v/>
      </c>
      <c r="F468" s="70" t="str">
        <f t="shared" si="252"/>
        <v/>
      </c>
      <c r="G468" s="63" t="str">
        <f t="shared" si="257"/>
        <v/>
      </c>
      <c r="H468" s="64" t="str">
        <f t="shared" si="258"/>
        <v/>
      </c>
      <c r="J468" s="63" t="str">
        <f t="shared" si="259"/>
        <v/>
      </c>
      <c r="K468" s="64" t="str">
        <f t="shared" si="260"/>
        <v/>
      </c>
      <c r="L468" s="63" t="str">
        <f t="shared" si="261"/>
        <v/>
      </c>
      <c r="M468" s="64" t="str">
        <f t="shared" si="262"/>
        <v/>
      </c>
      <c r="O468" s="63" t="str">
        <f t="shared" si="263"/>
        <v/>
      </c>
      <c r="P468" s="63" t="str">
        <f t="shared" si="264"/>
        <v/>
      </c>
      <c r="R468" s="63" t="str">
        <f t="shared" si="265"/>
        <v/>
      </c>
      <c r="S468" s="64" t="str">
        <f t="shared" si="266"/>
        <v/>
      </c>
      <c r="T468" s="63" t="str">
        <f t="shared" si="267"/>
        <v/>
      </c>
      <c r="U468" s="64" t="str">
        <f t="shared" si="268"/>
        <v/>
      </c>
      <c r="V468" s="207" t="str">
        <f>IF($A469="","",IF(AND(MONTH(A468)&gt;3,MONTH(A468)&lt;11),(T468+R468+G468)*Summary!$T$7/(1-Summary!$T$7),(T468+R468+G468)*Summary!$U$7/(1-Summary!$U$7)))</f>
        <v/>
      </c>
      <c r="W468" s="63" t="str">
        <f t="shared" si="269"/>
        <v/>
      </c>
      <c r="X468" s="63" t="str">
        <f t="shared" si="270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71"/>
        <v/>
      </c>
      <c r="AP468" s="33" t="str">
        <f t="shared" si="272"/>
        <v/>
      </c>
      <c r="AQ468" s="58" t="str">
        <f t="shared" si="253"/>
        <v/>
      </c>
      <c r="AR468" s="38">
        <f>IF(Summary!$H$2=1,VLOOKUP('ANR OK vs ML7'!A468,Curves!$C$17:$AR$273,MATCH('ANR OK vs ML7'!$AR$4,Curves!$C$8:$AQ$8,0)),0.1)</f>
        <v>0.1</v>
      </c>
      <c r="AS468" s="35" t="str">
        <f t="shared" si="254"/>
        <v/>
      </c>
      <c r="AT468" s="3" t="str">
        <f t="shared" si="273"/>
        <v/>
      </c>
      <c r="AU468" s="3" t="str">
        <f t="shared" si="255"/>
        <v/>
      </c>
      <c r="AW468" s="32" t="str">
        <f t="shared" si="274"/>
        <v/>
      </c>
      <c r="AX468" s="32" t="str">
        <f t="shared" si="275"/>
        <v/>
      </c>
      <c r="AY468" s="32" t="str">
        <f t="shared" si="276"/>
        <v/>
      </c>
      <c r="BA468" s="32" t="str">
        <f>IF($A469="","",F468*Summary!$Q$7)</f>
        <v/>
      </c>
    </row>
    <row r="469" spans="1:53">
      <c r="A469" s="67" t="str">
        <f t="shared" si="256"/>
        <v/>
      </c>
      <c r="B469" s="69" t="str">
        <f t="shared" si="277"/>
        <v/>
      </c>
      <c r="D469" s="69" t="str">
        <f t="shared" si="278"/>
        <v/>
      </c>
      <c r="E469" s="70" t="str">
        <f t="shared" si="251"/>
        <v/>
      </c>
      <c r="F469" s="70" t="str">
        <f t="shared" si="252"/>
        <v/>
      </c>
      <c r="G469" s="63" t="str">
        <f t="shared" si="257"/>
        <v/>
      </c>
      <c r="H469" s="64" t="str">
        <f t="shared" si="258"/>
        <v/>
      </c>
      <c r="J469" s="63" t="str">
        <f t="shared" si="259"/>
        <v/>
      </c>
      <c r="K469" s="64" t="str">
        <f t="shared" si="260"/>
        <v/>
      </c>
      <c r="L469" s="63" t="str">
        <f t="shared" si="261"/>
        <v/>
      </c>
      <c r="M469" s="64" t="str">
        <f t="shared" si="262"/>
        <v/>
      </c>
      <c r="O469" s="63" t="str">
        <f t="shared" si="263"/>
        <v/>
      </c>
      <c r="P469" s="63" t="str">
        <f t="shared" si="264"/>
        <v/>
      </c>
      <c r="R469" s="63" t="str">
        <f t="shared" si="265"/>
        <v/>
      </c>
      <c r="S469" s="64" t="str">
        <f t="shared" si="266"/>
        <v/>
      </c>
      <c r="T469" s="63" t="str">
        <f t="shared" si="267"/>
        <v/>
      </c>
      <c r="U469" s="64" t="str">
        <f t="shared" si="268"/>
        <v/>
      </c>
      <c r="V469" s="207" t="str">
        <f>IF($A470="","",IF(AND(MONTH(A469)&gt;3,MONTH(A469)&lt;11),(T469+R469+G469)*Summary!$T$7/(1-Summary!$T$7),(T469+R469+G469)*Summary!$U$7/(1-Summary!$U$7)))</f>
        <v/>
      </c>
      <c r="W469" s="63" t="str">
        <f t="shared" si="269"/>
        <v/>
      </c>
      <c r="X469" s="63" t="str">
        <f t="shared" si="270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71"/>
        <v/>
      </c>
      <c r="AP469" s="33" t="str">
        <f t="shared" si="272"/>
        <v/>
      </c>
      <c r="AQ469" s="58" t="str">
        <f t="shared" si="253"/>
        <v/>
      </c>
      <c r="AR469" s="38">
        <f>IF(Summary!$H$2=1,VLOOKUP('ANR OK vs ML7'!A469,Curves!$C$17:$AR$273,MATCH('ANR OK vs ML7'!$AR$4,Curves!$C$8:$AQ$8,0)),0.1)</f>
        <v>0.1</v>
      </c>
      <c r="AS469" s="35" t="str">
        <f t="shared" si="254"/>
        <v/>
      </c>
      <c r="AT469" s="3" t="str">
        <f t="shared" si="273"/>
        <v/>
      </c>
      <c r="AU469" s="3" t="str">
        <f t="shared" si="255"/>
        <v/>
      </c>
      <c r="AW469" s="32" t="str">
        <f t="shared" si="274"/>
        <v/>
      </c>
      <c r="AX469" s="32" t="str">
        <f t="shared" si="275"/>
        <v/>
      </c>
      <c r="AY469" s="32" t="str">
        <f t="shared" si="276"/>
        <v/>
      </c>
      <c r="BA469" s="32" t="str">
        <f>IF($A470="","",F469*Summary!$Q$7)</f>
        <v/>
      </c>
    </row>
    <row r="470" spans="1:53">
      <c r="A470" s="67" t="str">
        <f t="shared" si="256"/>
        <v/>
      </c>
      <c r="B470" s="69" t="str">
        <f t="shared" si="277"/>
        <v/>
      </c>
      <c r="D470" s="69" t="str">
        <f t="shared" si="278"/>
        <v/>
      </c>
      <c r="E470" s="70" t="str">
        <f t="shared" si="251"/>
        <v/>
      </c>
      <c r="F470" s="70" t="str">
        <f t="shared" si="252"/>
        <v/>
      </c>
      <c r="G470" s="63" t="str">
        <f t="shared" si="257"/>
        <v/>
      </c>
      <c r="H470" s="64" t="str">
        <f t="shared" si="258"/>
        <v/>
      </c>
      <c r="J470" s="63" t="str">
        <f t="shared" si="259"/>
        <v/>
      </c>
      <c r="K470" s="64" t="str">
        <f t="shared" si="260"/>
        <v/>
      </c>
      <c r="L470" s="63" t="str">
        <f t="shared" si="261"/>
        <v/>
      </c>
      <c r="M470" s="64" t="str">
        <f t="shared" si="262"/>
        <v/>
      </c>
      <c r="O470" s="63" t="str">
        <f t="shared" si="263"/>
        <v/>
      </c>
      <c r="P470" s="63" t="str">
        <f t="shared" si="264"/>
        <v/>
      </c>
      <c r="R470" s="63" t="str">
        <f t="shared" si="265"/>
        <v/>
      </c>
      <c r="S470" s="64" t="str">
        <f t="shared" si="266"/>
        <v/>
      </c>
      <c r="T470" s="63" t="str">
        <f t="shared" si="267"/>
        <v/>
      </c>
      <c r="U470" s="64" t="str">
        <f t="shared" si="268"/>
        <v/>
      </c>
      <c r="V470" s="207" t="str">
        <f>IF($A471="","",IF(AND(MONTH(A470)&gt;3,MONTH(A470)&lt;11),(T470+R470+G470)*Summary!$T$7/(1-Summary!$T$7),(T470+R470+G470)*Summary!$U$7/(1-Summary!$U$7)))</f>
        <v/>
      </c>
      <c r="W470" s="63" t="str">
        <f t="shared" si="269"/>
        <v/>
      </c>
      <c r="X470" s="63" t="str">
        <f t="shared" si="270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71"/>
        <v/>
      </c>
      <c r="AP470" s="33" t="str">
        <f t="shared" si="272"/>
        <v/>
      </c>
      <c r="AQ470" s="58" t="str">
        <f t="shared" si="253"/>
        <v/>
      </c>
      <c r="AR470" s="38">
        <f>IF(Summary!$H$2=1,VLOOKUP('ANR OK vs ML7'!A470,Curves!$C$17:$AR$273,MATCH('ANR OK vs ML7'!$AR$4,Curves!$C$8:$AQ$8,0)),0.1)</f>
        <v>0.1</v>
      </c>
      <c r="AS470" s="35" t="str">
        <f t="shared" si="254"/>
        <v/>
      </c>
      <c r="AT470" s="3" t="str">
        <f t="shared" si="273"/>
        <v/>
      </c>
      <c r="AU470" s="3" t="str">
        <f t="shared" si="255"/>
        <v/>
      </c>
      <c r="AW470" s="32" t="str">
        <f t="shared" si="274"/>
        <v/>
      </c>
      <c r="AX470" s="32" t="str">
        <f t="shared" si="275"/>
        <v/>
      </c>
      <c r="AY470" s="32" t="str">
        <f t="shared" si="276"/>
        <v/>
      </c>
      <c r="BA470" s="32" t="str">
        <f>IF($A471="","",F470*Summary!$Q$7)</f>
        <v/>
      </c>
    </row>
    <row r="471" spans="1:53">
      <c r="A471" s="67" t="str">
        <f t="shared" si="256"/>
        <v/>
      </c>
      <c r="B471" s="69" t="str">
        <f t="shared" si="277"/>
        <v/>
      </c>
      <c r="D471" s="69" t="str">
        <f t="shared" si="278"/>
        <v/>
      </c>
      <c r="E471" s="70" t="str">
        <f t="shared" si="251"/>
        <v/>
      </c>
      <c r="F471" s="70" t="str">
        <f t="shared" si="252"/>
        <v/>
      </c>
      <c r="G471" s="63" t="str">
        <f t="shared" si="257"/>
        <v/>
      </c>
      <c r="H471" s="64" t="str">
        <f t="shared" si="258"/>
        <v/>
      </c>
      <c r="J471" s="63" t="str">
        <f t="shared" si="259"/>
        <v/>
      </c>
      <c r="K471" s="64" t="str">
        <f t="shared" si="260"/>
        <v/>
      </c>
      <c r="L471" s="63" t="str">
        <f t="shared" si="261"/>
        <v/>
      </c>
      <c r="M471" s="64" t="str">
        <f t="shared" si="262"/>
        <v/>
      </c>
      <c r="O471" s="63" t="str">
        <f t="shared" si="263"/>
        <v/>
      </c>
      <c r="P471" s="63" t="str">
        <f t="shared" si="264"/>
        <v/>
      </c>
      <c r="R471" s="63" t="str">
        <f t="shared" si="265"/>
        <v/>
      </c>
      <c r="S471" s="64" t="str">
        <f t="shared" si="266"/>
        <v/>
      </c>
      <c r="T471" s="63" t="str">
        <f t="shared" si="267"/>
        <v/>
      </c>
      <c r="U471" s="64" t="str">
        <f t="shared" si="268"/>
        <v/>
      </c>
      <c r="V471" s="207" t="str">
        <f>IF($A472="","",IF(AND(MONTH(A471)&gt;3,MONTH(A471)&lt;11),(T471+R471+G471)*Summary!$T$7/(1-Summary!$T$7),(T471+R471+G471)*Summary!$U$7/(1-Summary!$U$7)))</f>
        <v/>
      </c>
      <c r="W471" s="63" t="str">
        <f t="shared" si="269"/>
        <v/>
      </c>
      <c r="X471" s="63" t="str">
        <f t="shared" si="270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71"/>
        <v/>
      </c>
      <c r="AP471" s="33" t="str">
        <f t="shared" si="272"/>
        <v/>
      </c>
      <c r="AQ471" s="58" t="str">
        <f t="shared" si="253"/>
        <v/>
      </c>
      <c r="AR471" s="38">
        <f>IF(Summary!$H$2=1,VLOOKUP('ANR OK vs ML7'!A471,Curves!$C$17:$AR$273,MATCH('ANR OK vs ML7'!$AR$4,Curves!$C$8:$AQ$8,0)),0.1)</f>
        <v>0.1</v>
      </c>
      <c r="AS471" s="35" t="str">
        <f t="shared" si="254"/>
        <v/>
      </c>
      <c r="AT471" s="3" t="str">
        <f t="shared" si="273"/>
        <v/>
      </c>
      <c r="AU471" s="3" t="str">
        <f t="shared" si="255"/>
        <v/>
      </c>
      <c r="AW471" s="32" t="str">
        <f t="shared" si="274"/>
        <v/>
      </c>
      <c r="AX471" s="32" t="str">
        <f t="shared" si="275"/>
        <v/>
      </c>
      <c r="AY471" s="32" t="str">
        <f t="shared" si="276"/>
        <v/>
      </c>
      <c r="BA471" s="32" t="str">
        <f>IF($A472="","",F471*Summary!$Q$7)</f>
        <v/>
      </c>
    </row>
    <row r="472" spans="1:53">
      <c r="A472" s="67" t="str">
        <f t="shared" si="256"/>
        <v/>
      </c>
      <c r="B472" s="69" t="str">
        <f t="shared" si="277"/>
        <v/>
      </c>
      <c r="D472" s="69" t="str">
        <f t="shared" si="278"/>
        <v/>
      </c>
      <c r="E472" s="70" t="str">
        <f t="shared" si="251"/>
        <v/>
      </c>
      <c r="F472" s="70" t="str">
        <f t="shared" si="252"/>
        <v/>
      </c>
      <c r="G472" s="63" t="str">
        <f t="shared" si="257"/>
        <v/>
      </c>
      <c r="H472" s="64" t="str">
        <f t="shared" si="258"/>
        <v/>
      </c>
      <c r="J472" s="63" t="str">
        <f t="shared" si="259"/>
        <v/>
      </c>
      <c r="K472" s="64" t="str">
        <f t="shared" si="260"/>
        <v/>
      </c>
      <c r="L472" s="63" t="str">
        <f t="shared" si="261"/>
        <v/>
      </c>
      <c r="M472" s="64" t="str">
        <f t="shared" si="262"/>
        <v/>
      </c>
      <c r="O472" s="63" t="str">
        <f t="shared" si="263"/>
        <v/>
      </c>
      <c r="P472" s="63" t="str">
        <f t="shared" si="264"/>
        <v/>
      </c>
      <c r="R472" s="63" t="str">
        <f t="shared" si="265"/>
        <v/>
      </c>
      <c r="S472" s="64" t="str">
        <f t="shared" si="266"/>
        <v/>
      </c>
      <c r="T472" s="63" t="str">
        <f t="shared" si="267"/>
        <v/>
      </c>
      <c r="U472" s="64" t="str">
        <f t="shared" si="268"/>
        <v/>
      </c>
      <c r="V472" s="207" t="str">
        <f>IF($A473="","",IF(AND(MONTH(A472)&gt;3,MONTH(A472)&lt;11),(T472+R472+G472)*Summary!$T$7/(1-Summary!$T$7),(T472+R472+G472)*Summary!$U$7/(1-Summary!$U$7)))</f>
        <v/>
      </c>
      <c r="W472" s="63" t="str">
        <f t="shared" si="269"/>
        <v/>
      </c>
      <c r="X472" s="63" t="str">
        <f t="shared" si="270"/>
        <v/>
      </c>
      <c r="Y472" s="43"/>
      <c r="AJ472" s="86"/>
      <c r="AK472" s="86"/>
      <c r="AL472" s="86"/>
      <c r="AM472" s="86"/>
      <c r="AN472" s="86"/>
      <c r="AO472" s="3" t="str">
        <f t="shared" si="271"/>
        <v/>
      </c>
      <c r="AP472" s="33" t="str">
        <f t="shared" si="272"/>
        <v/>
      </c>
      <c r="AQ472" s="58" t="str">
        <f t="shared" si="253"/>
        <v/>
      </c>
      <c r="AR472" s="38">
        <f>IF(Summary!$H$2=1,VLOOKUP('ANR OK vs ML7'!A472,Curves!$C$17:$AR$273,MATCH('ANR OK vs ML7'!$AR$4,Curves!$C$8:$AQ$8,0)),0.1)</f>
        <v>0.1</v>
      </c>
      <c r="AS472" s="35" t="str">
        <f t="shared" si="254"/>
        <v/>
      </c>
      <c r="AT472" s="3" t="str">
        <f t="shared" si="273"/>
        <v/>
      </c>
      <c r="AU472" s="3" t="str">
        <f t="shared" si="255"/>
        <v/>
      </c>
      <c r="AW472" s="32" t="str">
        <f t="shared" si="274"/>
        <v/>
      </c>
      <c r="AX472" s="32" t="str">
        <f t="shared" si="275"/>
        <v/>
      </c>
      <c r="AY472" s="32" t="str">
        <f t="shared" si="276"/>
        <v/>
      </c>
      <c r="BA472" s="32" t="str">
        <f>IF($A473="","",F472*Summary!$Q$7)</f>
        <v/>
      </c>
    </row>
    <row r="473" spans="1:53">
      <c r="A473" s="67" t="str">
        <f t="shared" si="256"/>
        <v/>
      </c>
      <c r="B473" s="69" t="str">
        <f t="shared" si="277"/>
        <v/>
      </c>
      <c r="D473" s="69" t="str">
        <f t="shared" si="278"/>
        <v/>
      </c>
      <c r="E473" s="70" t="str">
        <f t="shared" si="251"/>
        <v/>
      </c>
      <c r="F473" s="70" t="str">
        <f t="shared" si="252"/>
        <v/>
      </c>
      <c r="G473" s="63" t="str">
        <f t="shared" si="257"/>
        <v/>
      </c>
      <c r="H473" s="64" t="str">
        <f t="shared" si="258"/>
        <v/>
      </c>
      <c r="J473" s="63" t="str">
        <f t="shared" si="259"/>
        <v/>
      </c>
      <c r="K473" s="64" t="str">
        <f t="shared" si="260"/>
        <v/>
      </c>
      <c r="L473" s="63" t="str">
        <f t="shared" si="261"/>
        <v/>
      </c>
      <c r="M473" s="64" t="str">
        <f t="shared" si="262"/>
        <v/>
      </c>
      <c r="O473" s="63" t="str">
        <f t="shared" si="263"/>
        <v/>
      </c>
      <c r="P473" s="63" t="str">
        <f t="shared" si="264"/>
        <v/>
      </c>
      <c r="R473" s="63" t="str">
        <f t="shared" si="265"/>
        <v/>
      </c>
      <c r="S473" s="64" t="str">
        <f t="shared" si="266"/>
        <v/>
      </c>
      <c r="T473" s="63" t="str">
        <f t="shared" si="267"/>
        <v/>
      </c>
      <c r="U473" s="64" t="str">
        <f t="shared" si="268"/>
        <v/>
      </c>
      <c r="V473" s="207" t="str">
        <f>IF($A474="","",IF(AND(MONTH(A473)&gt;3,MONTH(A473)&lt;11),(T473+R473+G473)*Summary!$T$7/(1-Summary!$T$7),(T473+R473+G473)*Summary!$U$7/(1-Summary!$U$7)))</f>
        <v/>
      </c>
      <c r="W473" s="63" t="str">
        <f t="shared" si="269"/>
        <v/>
      </c>
      <c r="X473" s="63" t="str">
        <f t="shared" si="270"/>
        <v/>
      </c>
      <c r="Y473" s="43"/>
      <c r="AJ473" s="86"/>
      <c r="AK473" s="86"/>
      <c r="AL473" s="86"/>
      <c r="AM473" s="86"/>
      <c r="AN473" s="86"/>
      <c r="AO473" s="3" t="str">
        <f t="shared" si="271"/>
        <v/>
      </c>
      <c r="AP473" s="33" t="str">
        <f t="shared" si="272"/>
        <v/>
      </c>
      <c r="AQ473" s="58" t="str">
        <f t="shared" si="253"/>
        <v/>
      </c>
      <c r="AR473" s="38">
        <f>IF(Summary!$H$2=1,VLOOKUP('ANR OK vs ML7'!A473,Curves!$C$17:$AR$273,MATCH('ANR OK vs ML7'!$AR$4,Curves!$C$8:$AQ$8,0)),0.1)</f>
        <v>0.1</v>
      </c>
      <c r="AS473" s="35" t="str">
        <f t="shared" si="254"/>
        <v/>
      </c>
      <c r="AT473" s="3" t="str">
        <f t="shared" si="273"/>
        <v/>
      </c>
      <c r="AU473" s="3" t="str">
        <f t="shared" si="255"/>
        <v/>
      </c>
      <c r="AW473" s="32" t="str">
        <f t="shared" si="274"/>
        <v/>
      </c>
      <c r="AX473" s="32" t="str">
        <f t="shared" si="275"/>
        <v/>
      </c>
      <c r="AY473" s="32" t="str">
        <f t="shared" si="276"/>
        <v/>
      </c>
      <c r="BA473" s="32" t="str">
        <f>IF($A474="","",F473*Summary!$Q$7)</f>
        <v/>
      </c>
    </row>
    <row r="474" spans="1:53">
      <c r="A474" s="67" t="str">
        <f t="shared" si="256"/>
        <v/>
      </c>
      <c r="B474" s="69" t="str">
        <f t="shared" si="277"/>
        <v/>
      </c>
      <c r="D474" s="69" t="str">
        <f t="shared" si="278"/>
        <v/>
      </c>
      <c r="E474" s="70" t="str">
        <f t="shared" si="251"/>
        <v/>
      </c>
      <c r="F474" s="70" t="str">
        <f t="shared" si="252"/>
        <v/>
      </c>
      <c r="G474" s="63" t="str">
        <f t="shared" si="257"/>
        <v/>
      </c>
      <c r="H474" s="64" t="str">
        <f t="shared" si="258"/>
        <v/>
      </c>
      <c r="J474" s="63" t="str">
        <f t="shared" si="259"/>
        <v/>
      </c>
      <c r="K474" s="64" t="str">
        <f t="shared" si="260"/>
        <v/>
      </c>
      <c r="L474" s="63" t="str">
        <f t="shared" si="261"/>
        <v/>
      </c>
      <c r="M474" s="64" t="str">
        <f t="shared" si="262"/>
        <v/>
      </c>
      <c r="O474" s="63" t="str">
        <f t="shared" si="263"/>
        <v/>
      </c>
      <c r="P474" s="63" t="str">
        <f t="shared" si="264"/>
        <v/>
      </c>
      <c r="R474" s="63" t="str">
        <f t="shared" si="265"/>
        <v/>
      </c>
      <c r="S474" s="64" t="str">
        <f t="shared" si="266"/>
        <v/>
      </c>
      <c r="T474" s="63" t="str">
        <f t="shared" si="267"/>
        <v/>
      </c>
      <c r="U474" s="64" t="str">
        <f t="shared" si="268"/>
        <v/>
      </c>
      <c r="V474" s="207" t="str">
        <f>IF($A475="","",IF(AND(MONTH(A474)&gt;3,MONTH(A474)&lt;11),(T474+R474+G474)*Summary!$T$7/(1-Summary!$T$7),(T474+R474+G474)*Summary!$U$7/(1-Summary!$U$7)))</f>
        <v/>
      </c>
      <c r="W474" s="63" t="str">
        <f t="shared" si="269"/>
        <v/>
      </c>
      <c r="X474" s="63" t="str">
        <f t="shared" si="270"/>
        <v/>
      </c>
      <c r="Y474" s="43"/>
      <c r="AJ474" s="86"/>
      <c r="AK474" s="86"/>
      <c r="AL474" s="86"/>
      <c r="AM474" s="86"/>
      <c r="AN474" s="86"/>
      <c r="AO474" s="3" t="str">
        <f t="shared" si="271"/>
        <v/>
      </c>
      <c r="AP474" s="33" t="str">
        <f t="shared" si="272"/>
        <v/>
      </c>
      <c r="AQ474" s="58" t="str">
        <f t="shared" si="253"/>
        <v/>
      </c>
      <c r="AR474" s="38">
        <f>IF(Summary!$H$2=1,VLOOKUP('ANR OK vs ML7'!A474,Curves!$C$17:$AR$273,MATCH('ANR OK vs ML7'!$AR$4,Curves!$C$8:$AQ$8,0)),0.1)</f>
        <v>0.1</v>
      </c>
      <c r="AS474" s="35" t="str">
        <f t="shared" si="254"/>
        <v/>
      </c>
      <c r="AT474" s="3" t="str">
        <f t="shared" si="273"/>
        <v/>
      </c>
      <c r="AU474" s="3" t="str">
        <f t="shared" si="255"/>
        <v/>
      </c>
      <c r="AW474" s="32" t="str">
        <f t="shared" si="274"/>
        <v/>
      </c>
      <c r="AX474" s="32" t="str">
        <f t="shared" si="275"/>
        <v/>
      </c>
      <c r="AY474" s="32" t="str">
        <f t="shared" si="276"/>
        <v/>
      </c>
      <c r="BA474" s="32" t="str">
        <f>IF($A475="","",F474*Summary!$Q$7)</f>
        <v/>
      </c>
    </row>
    <row r="475" spans="1:53">
      <c r="A475" s="67" t="str">
        <f t="shared" si="256"/>
        <v/>
      </c>
      <c r="B475" s="69" t="str">
        <f t="shared" si="277"/>
        <v/>
      </c>
      <c r="D475" s="69" t="str">
        <f t="shared" si="278"/>
        <v/>
      </c>
      <c r="E475" s="70" t="str">
        <f t="shared" si="251"/>
        <v/>
      </c>
      <c r="F475" s="70" t="str">
        <f t="shared" si="252"/>
        <v/>
      </c>
      <c r="G475" s="63" t="str">
        <f t="shared" si="257"/>
        <v/>
      </c>
      <c r="H475" s="64" t="str">
        <f t="shared" si="258"/>
        <v/>
      </c>
      <c r="J475" s="63" t="str">
        <f t="shared" si="259"/>
        <v/>
      </c>
      <c r="K475" s="64" t="str">
        <f t="shared" si="260"/>
        <v/>
      </c>
      <c r="L475" s="63" t="str">
        <f t="shared" si="261"/>
        <v/>
      </c>
      <c r="M475" s="64" t="str">
        <f t="shared" si="262"/>
        <v/>
      </c>
      <c r="O475" s="63" t="str">
        <f t="shared" si="263"/>
        <v/>
      </c>
      <c r="P475" s="63" t="str">
        <f t="shared" si="264"/>
        <v/>
      </c>
      <c r="R475" s="63" t="str">
        <f t="shared" si="265"/>
        <v/>
      </c>
      <c r="S475" s="64" t="str">
        <f t="shared" si="266"/>
        <v/>
      </c>
      <c r="T475" s="63" t="str">
        <f t="shared" si="267"/>
        <v/>
      </c>
      <c r="U475" s="64" t="str">
        <f t="shared" si="268"/>
        <v/>
      </c>
      <c r="V475" s="207" t="str">
        <f>IF($A476="","",IF(AND(MONTH(A475)&gt;3,MONTH(A475)&lt;11),(T475+R475+G475)*Summary!$T$7/(1-Summary!$T$7),(T475+R475+G475)*Summary!$U$7/(1-Summary!$U$7)))</f>
        <v/>
      </c>
      <c r="W475" s="63" t="str">
        <f t="shared" si="269"/>
        <v/>
      </c>
      <c r="X475" s="63" t="str">
        <f t="shared" si="270"/>
        <v/>
      </c>
      <c r="Y475" s="43"/>
      <c r="AJ475" s="86"/>
      <c r="AK475" s="86"/>
      <c r="AL475" s="86"/>
      <c r="AM475" s="86"/>
      <c r="AN475" s="86"/>
      <c r="AO475" s="3" t="str">
        <f t="shared" si="271"/>
        <v/>
      </c>
      <c r="AP475" s="33" t="str">
        <f t="shared" si="272"/>
        <v/>
      </c>
      <c r="AQ475" s="58" t="str">
        <f t="shared" si="253"/>
        <v/>
      </c>
      <c r="AR475" s="38">
        <f>IF(Summary!$H$2=1,VLOOKUP('ANR OK vs ML7'!A475,Curves!$C$17:$AR$273,MATCH('ANR OK vs ML7'!$AR$4,Curves!$C$8:$AQ$8,0)),0.1)</f>
        <v>0.1</v>
      </c>
      <c r="AS475" s="35" t="str">
        <f t="shared" si="254"/>
        <v/>
      </c>
      <c r="AT475" s="3" t="str">
        <f t="shared" si="273"/>
        <v/>
      </c>
      <c r="AU475" s="3" t="str">
        <f t="shared" si="255"/>
        <v/>
      </c>
      <c r="AW475" s="32" t="str">
        <f t="shared" si="274"/>
        <v/>
      </c>
      <c r="AX475" s="32" t="str">
        <f t="shared" si="275"/>
        <v/>
      </c>
      <c r="AY475" s="32" t="str">
        <f t="shared" si="276"/>
        <v/>
      </c>
      <c r="BA475" s="32" t="str">
        <f>IF($A476="","",F475*Summary!$Q$7)</f>
        <v/>
      </c>
    </row>
    <row r="476" spans="1:53">
      <c r="A476" s="67" t="str">
        <f t="shared" si="256"/>
        <v/>
      </c>
      <c r="B476" s="69" t="str">
        <f t="shared" si="277"/>
        <v/>
      </c>
      <c r="D476" s="69" t="str">
        <f t="shared" si="278"/>
        <v/>
      </c>
      <c r="E476" s="70" t="str">
        <f t="shared" si="251"/>
        <v/>
      </c>
      <c r="F476" s="70" t="str">
        <f t="shared" si="252"/>
        <v/>
      </c>
      <c r="G476" s="63" t="str">
        <f t="shared" si="257"/>
        <v/>
      </c>
      <c r="H476" s="64" t="str">
        <f t="shared" si="258"/>
        <v/>
      </c>
      <c r="J476" s="63" t="str">
        <f t="shared" si="259"/>
        <v/>
      </c>
      <c r="K476" s="64" t="str">
        <f t="shared" si="260"/>
        <v/>
      </c>
      <c r="L476" s="63" t="str">
        <f t="shared" si="261"/>
        <v/>
      </c>
      <c r="M476" s="64" t="str">
        <f t="shared" si="262"/>
        <v/>
      </c>
      <c r="O476" s="63" t="str">
        <f t="shared" si="263"/>
        <v/>
      </c>
      <c r="P476" s="63" t="str">
        <f t="shared" si="264"/>
        <v/>
      </c>
      <c r="R476" s="63" t="str">
        <f t="shared" si="265"/>
        <v/>
      </c>
      <c r="S476" s="64" t="str">
        <f t="shared" si="266"/>
        <v/>
      </c>
      <c r="T476" s="63" t="str">
        <f t="shared" si="267"/>
        <v/>
      </c>
      <c r="U476" s="64" t="str">
        <f t="shared" si="268"/>
        <v/>
      </c>
      <c r="V476" s="207" t="str">
        <f>IF($A477="","",IF(AND(MONTH(A476)&gt;3,MONTH(A476)&lt;11),(T476+R476+G476)*Summary!$T$7/(1-Summary!$T$7),(T476+R476+G476)*Summary!$U$7/(1-Summary!$U$7)))</f>
        <v/>
      </c>
      <c r="W476" s="63" t="str">
        <f t="shared" si="269"/>
        <v/>
      </c>
      <c r="X476" s="63" t="str">
        <f t="shared" si="270"/>
        <v/>
      </c>
      <c r="Y476" s="43"/>
      <c r="AJ476" s="86"/>
      <c r="AK476" s="86"/>
      <c r="AL476" s="86"/>
      <c r="AM476" s="86"/>
      <c r="AN476" s="86"/>
      <c r="AO476" s="3" t="str">
        <f t="shared" si="271"/>
        <v/>
      </c>
      <c r="AP476" s="33" t="str">
        <f t="shared" si="272"/>
        <v/>
      </c>
      <c r="AQ476" s="58" t="str">
        <f t="shared" si="253"/>
        <v/>
      </c>
      <c r="AR476" s="38">
        <f>IF(Summary!$H$2=1,VLOOKUP('ANR OK vs ML7'!A476,Curves!$C$17:$AR$273,MATCH('ANR OK vs ML7'!$AR$4,Curves!$C$8:$AQ$8,0)),0.1)</f>
        <v>0.1</v>
      </c>
      <c r="AS476" s="35" t="str">
        <f t="shared" si="254"/>
        <v/>
      </c>
      <c r="AT476" s="3" t="str">
        <f t="shared" si="273"/>
        <v/>
      </c>
      <c r="AU476" s="3" t="str">
        <f t="shared" si="255"/>
        <v/>
      </c>
      <c r="AW476" s="32" t="str">
        <f t="shared" si="274"/>
        <v/>
      </c>
      <c r="AX476" s="32" t="str">
        <f t="shared" si="275"/>
        <v/>
      </c>
      <c r="AY476" s="32" t="str">
        <f t="shared" si="276"/>
        <v/>
      </c>
      <c r="BA476" s="32" t="str">
        <f>IF($A477="","",F476*Summary!$Q$7)</f>
        <v/>
      </c>
    </row>
    <row r="477" spans="1:53">
      <c r="A477" s="67" t="str">
        <f t="shared" si="256"/>
        <v/>
      </c>
      <c r="B477" s="69" t="str">
        <f t="shared" si="277"/>
        <v/>
      </c>
      <c r="D477" s="69" t="str">
        <f t="shared" si="278"/>
        <v/>
      </c>
      <c r="E477" s="70" t="str">
        <f t="shared" si="251"/>
        <v/>
      </c>
      <c r="F477" s="70" t="str">
        <f t="shared" si="252"/>
        <v/>
      </c>
      <c r="G477" s="63" t="str">
        <f t="shared" si="257"/>
        <v/>
      </c>
      <c r="H477" s="64" t="str">
        <f t="shared" si="258"/>
        <v/>
      </c>
      <c r="J477" s="63" t="str">
        <f t="shared" si="259"/>
        <v/>
      </c>
      <c r="K477" s="64" t="str">
        <f t="shared" si="260"/>
        <v/>
      </c>
      <c r="L477" s="63" t="str">
        <f t="shared" si="261"/>
        <v/>
      </c>
      <c r="M477" s="64" t="str">
        <f t="shared" si="262"/>
        <v/>
      </c>
      <c r="O477" s="63" t="str">
        <f t="shared" si="263"/>
        <v/>
      </c>
      <c r="P477" s="63" t="str">
        <f t="shared" si="264"/>
        <v/>
      </c>
      <c r="R477" s="63" t="str">
        <f t="shared" si="265"/>
        <v/>
      </c>
      <c r="S477" s="64" t="str">
        <f t="shared" si="266"/>
        <v/>
      </c>
      <c r="T477" s="63" t="str">
        <f t="shared" si="267"/>
        <v/>
      </c>
      <c r="U477" s="64" t="str">
        <f t="shared" si="268"/>
        <v/>
      </c>
      <c r="V477" s="207" t="str">
        <f>IF($A478="","",IF(AND(MONTH(A477)&gt;3,MONTH(A477)&lt;11),(T477+R477+G477)*Summary!$T$7/(1-Summary!$T$7),(T477+R477+G477)*Summary!$U$7/(1-Summary!$U$7)))</f>
        <v/>
      </c>
      <c r="W477" s="63" t="str">
        <f t="shared" si="269"/>
        <v/>
      </c>
      <c r="X477" s="63" t="str">
        <f t="shared" si="270"/>
        <v/>
      </c>
      <c r="Y477" s="43"/>
      <c r="AJ477" s="86"/>
      <c r="AK477" s="86"/>
      <c r="AL477" s="86"/>
      <c r="AM477" s="86"/>
      <c r="AN477" s="86"/>
      <c r="AO477" s="3" t="str">
        <f t="shared" si="271"/>
        <v/>
      </c>
      <c r="AP477" s="33" t="str">
        <f t="shared" si="272"/>
        <v/>
      </c>
      <c r="AQ477" s="58" t="str">
        <f t="shared" si="253"/>
        <v/>
      </c>
      <c r="AR477" s="38">
        <f>IF(Summary!$H$2=1,VLOOKUP('ANR OK vs ML7'!A477,Curves!$C$17:$AR$273,MATCH('ANR OK vs ML7'!$AR$4,Curves!$C$8:$AQ$8,0)),0.1)</f>
        <v>0.1</v>
      </c>
      <c r="AS477" s="35" t="str">
        <f t="shared" si="254"/>
        <v/>
      </c>
      <c r="AT477" s="3" t="str">
        <f t="shared" si="273"/>
        <v/>
      </c>
      <c r="AU477" s="3" t="str">
        <f t="shared" si="255"/>
        <v/>
      </c>
      <c r="AW477" s="32" t="str">
        <f t="shared" si="274"/>
        <v/>
      </c>
      <c r="AX477" s="32" t="str">
        <f t="shared" si="275"/>
        <v/>
      </c>
      <c r="AY477" s="32" t="str">
        <f t="shared" si="276"/>
        <v/>
      </c>
      <c r="BA477" s="32" t="str">
        <f>IF($A478="","",F477*Summary!$Q$7)</f>
        <v/>
      </c>
    </row>
    <row r="478" spans="1:53">
      <c r="A478" s="67" t="str">
        <f t="shared" si="256"/>
        <v/>
      </c>
      <c r="B478" s="69" t="str">
        <f t="shared" si="277"/>
        <v/>
      </c>
      <c r="D478" s="69" t="str">
        <f t="shared" si="278"/>
        <v/>
      </c>
      <c r="E478" s="70" t="str">
        <f t="shared" si="251"/>
        <v/>
      </c>
      <c r="F478" s="70" t="str">
        <f t="shared" si="252"/>
        <v/>
      </c>
      <c r="G478" s="63" t="str">
        <f t="shared" si="257"/>
        <v/>
      </c>
      <c r="H478" s="64" t="str">
        <f t="shared" si="258"/>
        <v/>
      </c>
      <c r="J478" s="63" t="str">
        <f t="shared" si="259"/>
        <v/>
      </c>
      <c r="K478" s="64" t="str">
        <f t="shared" si="260"/>
        <v/>
      </c>
      <c r="L478" s="63" t="str">
        <f t="shared" si="261"/>
        <v/>
      </c>
      <c r="M478" s="64" t="str">
        <f t="shared" si="262"/>
        <v/>
      </c>
      <c r="O478" s="63" t="str">
        <f t="shared" si="263"/>
        <v/>
      </c>
      <c r="P478" s="63" t="str">
        <f t="shared" si="264"/>
        <v/>
      </c>
      <c r="R478" s="63" t="str">
        <f t="shared" si="265"/>
        <v/>
      </c>
      <c r="S478" s="64" t="str">
        <f t="shared" si="266"/>
        <v/>
      </c>
      <c r="T478" s="63" t="str">
        <f t="shared" si="267"/>
        <v/>
      </c>
      <c r="U478" s="64" t="str">
        <f t="shared" si="268"/>
        <v/>
      </c>
      <c r="V478" s="207" t="str">
        <f>IF($A479="","",IF(AND(MONTH(A478)&gt;3,MONTH(A478)&lt;11),(T478+R478+G478)*Summary!$T$7/(1-Summary!$T$7),(T478+R478+G478)*Summary!$U$7/(1-Summary!$U$7)))</f>
        <v/>
      </c>
      <c r="W478" s="63" t="str">
        <f t="shared" si="269"/>
        <v/>
      </c>
      <c r="X478" s="63" t="str">
        <f t="shared" si="270"/>
        <v/>
      </c>
      <c r="Y478" s="43"/>
      <c r="AJ478" s="86"/>
      <c r="AK478" s="86"/>
      <c r="AL478" s="86"/>
      <c r="AM478" s="86"/>
      <c r="AN478" s="86"/>
      <c r="AO478" s="3" t="str">
        <f t="shared" si="271"/>
        <v/>
      </c>
      <c r="AP478" s="33" t="str">
        <f t="shared" si="272"/>
        <v/>
      </c>
      <c r="AQ478" s="58" t="str">
        <f t="shared" si="253"/>
        <v/>
      </c>
      <c r="AR478" s="38">
        <f>IF(Summary!$H$2=1,VLOOKUP('ANR OK vs ML7'!A478,Curves!$C$17:$AR$273,MATCH('ANR OK vs ML7'!$AR$4,Curves!$C$8:$AQ$8,0)),0.1)</f>
        <v>0.1</v>
      </c>
      <c r="AS478" s="35" t="str">
        <f t="shared" si="254"/>
        <v/>
      </c>
      <c r="AT478" s="3" t="str">
        <f t="shared" si="273"/>
        <v/>
      </c>
      <c r="AU478" s="3" t="str">
        <f t="shared" si="255"/>
        <v/>
      </c>
      <c r="AW478" s="32" t="str">
        <f t="shared" si="274"/>
        <v/>
      </c>
      <c r="AX478" s="32" t="str">
        <f t="shared" si="275"/>
        <v/>
      </c>
      <c r="AY478" s="32" t="str">
        <f t="shared" si="276"/>
        <v/>
      </c>
      <c r="BA478" s="32" t="str">
        <f>IF($A479="","",F478*Summary!$Q$7)</f>
        <v/>
      </c>
    </row>
    <row r="479" spans="1:53">
      <c r="A479" s="67" t="str">
        <f t="shared" si="256"/>
        <v/>
      </c>
      <c r="B479" s="69" t="str">
        <f t="shared" si="277"/>
        <v/>
      </c>
      <c r="D479" s="69" t="str">
        <f t="shared" si="278"/>
        <v/>
      </c>
      <c r="E479" s="70" t="str">
        <f t="shared" si="251"/>
        <v/>
      </c>
      <c r="F479" s="70" t="str">
        <f t="shared" si="252"/>
        <v/>
      </c>
      <c r="G479" s="63" t="str">
        <f t="shared" si="257"/>
        <v/>
      </c>
      <c r="H479" s="64" t="str">
        <f t="shared" si="258"/>
        <v/>
      </c>
      <c r="J479" s="63" t="str">
        <f t="shared" si="259"/>
        <v/>
      </c>
      <c r="K479" s="64" t="str">
        <f t="shared" si="260"/>
        <v/>
      </c>
      <c r="L479" s="63" t="str">
        <f t="shared" si="261"/>
        <v/>
      </c>
      <c r="M479" s="64" t="str">
        <f t="shared" si="262"/>
        <v/>
      </c>
      <c r="O479" s="63" t="str">
        <f t="shared" si="263"/>
        <v/>
      </c>
      <c r="P479" s="63" t="str">
        <f t="shared" si="264"/>
        <v/>
      </c>
      <c r="R479" s="63" t="str">
        <f t="shared" si="265"/>
        <v/>
      </c>
      <c r="S479" s="64" t="str">
        <f t="shared" si="266"/>
        <v/>
      </c>
      <c r="T479" s="63" t="str">
        <f t="shared" si="267"/>
        <v/>
      </c>
      <c r="U479" s="64" t="str">
        <f t="shared" si="268"/>
        <v/>
      </c>
      <c r="V479" s="207" t="str">
        <f>IF($A480="","",IF(AND(MONTH(A479)&gt;3,MONTH(A479)&lt;11),(T479+R479+G479)*Summary!$T$7/(1-Summary!$T$7),(T479+R479+G479)*Summary!$U$7/(1-Summary!$U$7)))</f>
        <v/>
      </c>
      <c r="W479" s="63" t="str">
        <f t="shared" si="269"/>
        <v/>
      </c>
      <c r="X479" s="63" t="str">
        <f t="shared" si="270"/>
        <v/>
      </c>
      <c r="Y479" s="43"/>
      <c r="AJ479" s="86"/>
      <c r="AK479" s="86"/>
      <c r="AL479" s="86"/>
      <c r="AM479" s="86"/>
      <c r="AN479" s="86"/>
      <c r="AO479" s="3" t="str">
        <f t="shared" si="271"/>
        <v/>
      </c>
      <c r="AP479" s="33" t="str">
        <f t="shared" si="272"/>
        <v/>
      </c>
      <c r="AQ479" s="58" t="str">
        <f t="shared" si="253"/>
        <v/>
      </c>
      <c r="AR479" s="38">
        <f>IF(Summary!$H$2=1,VLOOKUP('ANR OK vs ML7'!A479,Curves!$C$17:$AR$273,MATCH('ANR OK vs ML7'!$AR$4,Curves!$C$8:$AQ$8,0)),0.1)</f>
        <v>0.1</v>
      </c>
      <c r="AS479" s="35" t="str">
        <f t="shared" si="254"/>
        <v/>
      </c>
      <c r="AT479" s="3" t="str">
        <f t="shared" si="273"/>
        <v/>
      </c>
      <c r="AU479" s="3" t="str">
        <f t="shared" si="255"/>
        <v/>
      </c>
      <c r="AW479" s="32" t="str">
        <f t="shared" si="274"/>
        <v/>
      </c>
      <c r="AX479" s="32" t="str">
        <f t="shared" si="275"/>
        <v/>
      </c>
      <c r="AY479" s="32" t="str">
        <f t="shared" si="276"/>
        <v/>
      </c>
      <c r="BA479" s="32" t="str">
        <f>IF($A480="","",F479*Summary!$Q$7)</f>
        <v/>
      </c>
    </row>
    <row r="480" spans="1:53">
      <c r="A480" s="67" t="str">
        <f t="shared" si="256"/>
        <v/>
      </c>
      <c r="B480" s="69" t="str">
        <f t="shared" si="277"/>
        <v/>
      </c>
      <c r="D480" s="69" t="str">
        <f t="shared" si="278"/>
        <v/>
      </c>
      <c r="E480" s="70" t="str">
        <f t="shared" si="251"/>
        <v/>
      </c>
      <c r="F480" s="70" t="str">
        <f t="shared" si="252"/>
        <v/>
      </c>
      <c r="G480" s="63" t="str">
        <f t="shared" si="257"/>
        <v/>
      </c>
      <c r="H480" s="64" t="str">
        <f t="shared" si="258"/>
        <v/>
      </c>
      <c r="J480" s="63" t="str">
        <f t="shared" si="259"/>
        <v/>
      </c>
      <c r="K480" s="64" t="str">
        <f t="shared" si="260"/>
        <v/>
      </c>
      <c r="L480" s="63" t="str">
        <f t="shared" si="261"/>
        <v/>
      </c>
      <c r="M480" s="64" t="str">
        <f t="shared" si="262"/>
        <v/>
      </c>
      <c r="O480" s="63" t="str">
        <f t="shared" si="263"/>
        <v/>
      </c>
      <c r="P480" s="63" t="str">
        <f t="shared" si="264"/>
        <v/>
      </c>
      <c r="R480" s="63" t="str">
        <f t="shared" si="265"/>
        <v/>
      </c>
      <c r="S480" s="64" t="str">
        <f t="shared" si="266"/>
        <v/>
      </c>
      <c r="T480" s="63" t="str">
        <f t="shared" si="267"/>
        <v/>
      </c>
      <c r="U480" s="64" t="str">
        <f t="shared" si="268"/>
        <v/>
      </c>
      <c r="V480" s="207" t="str">
        <f>IF($A481="","",IF(AND(MONTH(A480)&gt;3,MONTH(A480)&lt;11),(T480+R480+G480)*Summary!$T$7/(1-Summary!$T$7),(T480+R480+G480)*Summary!$U$7/(1-Summary!$U$7)))</f>
        <v/>
      </c>
      <c r="W480" s="63" t="str">
        <f t="shared" si="269"/>
        <v/>
      </c>
      <c r="X480" s="63" t="str">
        <f t="shared" si="270"/>
        <v/>
      </c>
      <c r="Y480" s="43"/>
      <c r="AJ480" s="86"/>
      <c r="AK480" s="86"/>
      <c r="AL480" s="86"/>
      <c r="AM480" s="86"/>
      <c r="AN480" s="86"/>
      <c r="AO480" s="3" t="str">
        <f t="shared" si="271"/>
        <v/>
      </c>
      <c r="AP480" s="33" t="str">
        <f t="shared" si="272"/>
        <v/>
      </c>
      <c r="AQ480" s="58" t="str">
        <f t="shared" si="253"/>
        <v/>
      </c>
      <c r="AR480" s="38">
        <f>IF(Summary!$H$2=1,VLOOKUP('ANR OK vs ML7'!A480,Curves!$C$17:$AR$273,MATCH('ANR OK vs ML7'!$AR$4,Curves!$C$8:$AQ$8,0)),0.1)</f>
        <v>0.1</v>
      </c>
      <c r="AS480" s="35" t="str">
        <f t="shared" si="254"/>
        <v/>
      </c>
      <c r="AT480" s="3" t="str">
        <f t="shared" si="273"/>
        <v/>
      </c>
      <c r="AU480" s="3" t="str">
        <f t="shared" si="255"/>
        <v/>
      </c>
      <c r="AW480" s="32" t="str">
        <f t="shared" si="274"/>
        <v/>
      </c>
      <c r="AX480" s="32" t="str">
        <f t="shared" si="275"/>
        <v/>
      </c>
      <c r="AY480" s="32" t="str">
        <f t="shared" si="276"/>
        <v/>
      </c>
      <c r="BA480" s="32" t="str">
        <f>IF($A481="","",F480*Summary!$Q$7)</f>
        <v/>
      </c>
    </row>
    <row r="481" spans="1:53">
      <c r="A481" s="67" t="str">
        <f t="shared" si="256"/>
        <v/>
      </c>
      <c r="B481" s="69" t="str">
        <f t="shared" si="277"/>
        <v/>
      </c>
      <c r="D481" s="69" t="str">
        <f t="shared" si="278"/>
        <v/>
      </c>
      <c r="E481" s="70" t="str">
        <f t="shared" si="251"/>
        <v/>
      </c>
      <c r="F481" s="70" t="str">
        <f t="shared" si="252"/>
        <v/>
      </c>
      <c r="G481" s="63" t="str">
        <f t="shared" si="257"/>
        <v/>
      </c>
      <c r="H481" s="64" t="str">
        <f t="shared" si="258"/>
        <v/>
      </c>
      <c r="J481" s="63" t="str">
        <f t="shared" si="259"/>
        <v/>
      </c>
      <c r="K481" s="64" t="str">
        <f t="shared" si="260"/>
        <v/>
      </c>
      <c r="L481" s="63" t="str">
        <f t="shared" si="261"/>
        <v/>
      </c>
      <c r="M481" s="64" t="str">
        <f t="shared" si="262"/>
        <v/>
      </c>
      <c r="O481" s="63" t="str">
        <f t="shared" si="263"/>
        <v/>
      </c>
      <c r="P481" s="63" t="str">
        <f t="shared" si="264"/>
        <v/>
      </c>
      <c r="R481" s="63" t="str">
        <f t="shared" si="265"/>
        <v/>
      </c>
      <c r="S481" s="64" t="str">
        <f t="shared" si="266"/>
        <v/>
      </c>
      <c r="T481" s="63" t="str">
        <f t="shared" si="267"/>
        <v/>
      </c>
      <c r="U481" s="64" t="str">
        <f t="shared" si="268"/>
        <v/>
      </c>
      <c r="V481" s="207" t="str">
        <f>IF($A482="","",IF(AND(MONTH(A481)&gt;3,MONTH(A481)&lt;11),(T481+R481+G481)*Summary!$T$7/(1-Summary!$T$7),(T481+R481+G481)*Summary!$U$7/(1-Summary!$U$7)))</f>
        <v/>
      </c>
      <c r="W481" s="63" t="str">
        <f t="shared" si="269"/>
        <v/>
      </c>
      <c r="X481" s="63" t="str">
        <f t="shared" si="270"/>
        <v/>
      </c>
      <c r="Y481" s="43"/>
      <c r="AJ481" s="86"/>
      <c r="AK481" s="86"/>
      <c r="AL481" s="86"/>
      <c r="AM481" s="86"/>
      <c r="AN481" s="86"/>
      <c r="AO481" s="3" t="str">
        <f t="shared" si="271"/>
        <v/>
      </c>
      <c r="AP481" s="33" t="str">
        <f t="shared" si="272"/>
        <v/>
      </c>
      <c r="AQ481" s="58" t="str">
        <f t="shared" si="253"/>
        <v/>
      </c>
      <c r="AR481" s="38">
        <f>IF(Summary!$H$2=1,VLOOKUP('ANR OK vs ML7'!A481,Curves!$C$17:$AR$273,MATCH('ANR OK vs ML7'!$AR$4,Curves!$C$8:$AQ$8,0)),0.1)</f>
        <v>0.1</v>
      </c>
      <c r="AS481" s="35" t="str">
        <f t="shared" si="254"/>
        <v/>
      </c>
      <c r="AT481" s="3" t="str">
        <f t="shared" si="273"/>
        <v/>
      </c>
      <c r="AU481" s="3" t="str">
        <f t="shared" si="255"/>
        <v/>
      </c>
      <c r="AW481" s="32" t="str">
        <f t="shared" si="274"/>
        <v/>
      </c>
      <c r="AX481" s="32" t="str">
        <f t="shared" si="275"/>
        <v/>
      </c>
      <c r="AY481" s="32" t="str">
        <f t="shared" si="276"/>
        <v/>
      </c>
      <c r="BA481" s="32" t="str">
        <f>IF($A482="","",F481*Summary!$Q$7)</f>
        <v/>
      </c>
    </row>
    <row r="482" spans="1:53">
      <c r="A482" s="67" t="str">
        <f t="shared" si="256"/>
        <v/>
      </c>
      <c r="B482" s="69" t="str">
        <f t="shared" si="277"/>
        <v/>
      </c>
      <c r="D482" s="69" t="str">
        <f t="shared" si="278"/>
        <v/>
      </c>
      <c r="E482" s="70" t="str">
        <f t="shared" si="251"/>
        <v/>
      </c>
      <c r="F482" s="70" t="str">
        <f t="shared" si="252"/>
        <v/>
      </c>
      <c r="G482" s="63" t="str">
        <f t="shared" si="257"/>
        <v/>
      </c>
      <c r="H482" s="64" t="str">
        <f t="shared" si="258"/>
        <v/>
      </c>
      <c r="J482" s="63" t="str">
        <f t="shared" si="259"/>
        <v/>
      </c>
      <c r="K482" s="64" t="str">
        <f t="shared" si="260"/>
        <v/>
      </c>
      <c r="L482" s="63" t="str">
        <f t="shared" si="261"/>
        <v/>
      </c>
      <c r="M482" s="64" t="str">
        <f t="shared" si="262"/>
        <v/>
      </c>
      <c r="O482" s="63" t="str">
        <f t="shared" si="263"/>
        <v/>
      </c>
      <c r="P482" s="63" t="str">
        <f t="shared" si="264"/>
        <v/>
      </c>
      <c r="R482" s="63" t="str">
        <f t="shared" si="265"/>
        <v/>
      </c>
      <c r="S482" s="64" t="str">
        <f t="shared" si="266"/>
        <v/>
      </c>
      <c r="T482" s="63" t="str">
        <f t="shared" si="267"/>
        <v/>
      </c>
      <c r="U482" s="64" t="str">
        <f t="shared" si="268"/>
        <v/>
      </c>
      <c r="V482" s="207" t="str">
        <f>IF($A483="","",IF(AND(MONTH(A482)&gt;3,MONTH(A482)&lt;11),(T482+R482+G482)*Summary!$T$7/(1-Summary!$T$7),(T482+R482+G482)*Summary!$U$7/(1-Summary!$U$7)))</f>
        <v/>
      </c>
      <c r="W482" s="63" t="str">
        <f t="shared" si="269"/>
        <v/>
      </c>
      <c r="X482" s="63" t="str">
        <f t="shared" si="270"/>
        <v/>
      </c>
      <c r="Y482" s="43"/>
      <c r="AJ482" s="86"/>
      <c r="AK482" s="86"/>
      <c r="AL482" s="86"/>
      <c r="AM482" s="86"/>
      <c r="AN482" s="86"/>
      <c r="AO482" s="3" t="str">
        <f t="shared" si="271"/>
        <v/>
      </c>
      <c r="AP482" s="33" t="str">
        <f t="shared" si="272"/>
        <v/>
      </c>
      <c r="AQ482" s="58" t="str">
        <f t="shared" si="253"/>
        <v/>
      </c>
      <c r="AR482" s="38">
        <f>IF(Summary!$H$2=1,VLOOKUP('ANR OK vs ML7'!A482,Curves!$C$17:$AR$273,MATCH('ANR OK vs ML7'!$AR$4,Curves!$C$8:$AQ$8,0)),0.1)</f>
        <v>0.1</v>
      </c>
      <c r="AS482" s="35" t="str">
        <f t="shared" si="254"/>
        <v/>
      </c>
      <c r="AT482" s="3" t="str">
        <f t="shared" si="273"/>
        <v/>
      </c>
      <c r="AU482" s="3" t="str">
        <f t="shared" si="255"/>
        <v/>
      </c>
      <c r="AW482" s="32" t="str">
        <f t="shared" si="274"/>
        <v/>
      </c>
      <c r="AX482" s="32" t="str">
        <f t="shared" si="275"/>
        <v/>
      </c>
      <c r="AY482" s="32" t="str">
        <f t="shared" si="276"/>
        <v/>
      </c>
      <c r="BA482" s="32" t="str">
        <f>IF($A483="","",F482*Summary!$Q$7)</f>
        <v/>
      </c>
    </row>
    <row r="483" spans="1:53">
      <c r="A483" s="67" t="str">
        <f t="shared" si="256"/>
        <v/>
      </c>
      <c r="B483" s="69" t="str">
        <f t="shared" si="277"/>
        <v/>
      </c>
      <c r="D483" s="69" t="str">
        <f t="shared" si="278"/>
        <v/>
      </c>
      <c r="E483" s="70" t="str">
        <f t="shared" si="251"/>
        <v/>
      </c>
      <c r="F483" s="70" t="str">
        <f t="shared" si="252"/>
        <v/>
      </c>
      <c r="G483" s="63" t="str">
        <f t="shared" si="257"/>
        <v/>
      </c>
      <c r="H483" s="64" t="str">
        <f t="shared" si="258"/>
        <v/>
      </c>
      <c r="J483" s="63" t="str">
        <f t="shared" si="259"/>
        <v/>
      </c>
      <c r="K483" s="64" t="str">
        <f t="shared" si="260"/>
        <v/>
      </c>
      <c r="L483" s="63" t="str">
        <f t="shared" si="261"/>
        <v/>
      </c>
      <c r="M483" s="64" t="str">
        <f t="shared" si="262"/>
        <v/>
      </c>
      <c r="O483" s="63" t="str">
        <f t="shared" si="263"/>
        <v/>
      </c>
      <c r="P483" s="63" t="str">
        <f t="shared" si="264"/>
        <v/>
      </c>
      <c r="R483" s="63" t="str">
        <f t="shared" si="265"/>
        <v/>
      </c>
      <c r="S483" s="64" t="str">
        <f t="shared" si="266"/>
        <v/>
      </c>
      <c r="T483" s="63" t="str">
        <f t="shared" si="267"/>
        <v/>
      </c>
      <c r="U483" s="64" t="str">
        <f t="shared" si="268"/>
        <v/>
      </c>
      <c r="V483" s="207" t="str">
        <f>IF($A484="","",IF(AND(MONTH(A483)&gt;3,MONTH(A483)&lt;11),(T483+R483+G483)*Summary!$T$7/(1-Summary!$T$7),(T483+R483+G483)*Summary!$U$7/(1-Summary!$U$7)))</f>
        <v/>
      </c>
      <c r="W483" s="63" t="str">
        <f t="shared" si="269"/>
        <v/>
      </c>
      <c r="X483" s="63" t="str">
        <f t="shared" si="270"/>
        <v/>
      </c>
      <c r="Y483" s="43"/>
      <c r="AJ483" s="86"/>
      <c r="AK483" s="86"/>
      <c r="AL483" s="86"/>
      <c r="AM483" s="86"/>
      <c r="AN483" s="86"/>
      <c r="AO483" s="3" t="str">
        <f t="shared" si="271"/>
        <v/>
      </c>
      <c r="AP483" s="33" t="str">
        <f t="shared" si="272"/>
        <v/>
      </c>
      <c r="AQ483" s="58" t="str">
        <f t="shared" si="253"/>
        <v/>
      </c>
      <c r="AR483" s="38">
        <f>IF(Summary!$H$2=1,VLOOKUP('ANR OK vs ML7'!A483,Curves!$C$17:$AR$273,MATCH('ANR OK vs ML7'!$AR$4,Curves!$C$8:$AQ$8,0)),0.1)</f>
        <v>0.1</v>
      </c>
      <c r="AS483" s="35" t="str">
        <f t="shared" si="254"/>
        <v/>
      </c>
      <c r="AT483" s="3" t="str">
        <f t="shared" si="273"/>
        <v/>
      </c>
      <c r="AU483" s="3" t="str">
        <f t="shared" si="255"/>
        <v/>
      </c>
      <c r="AW483" s="32" t="str">
        <f t="shared" si="274"/>
        <v/>
      </c>
      <c r="AX483" s="32" t="str">
        <f t="shared" si="275"/>
        <v/>
      </c>
      <c r="AY483" s="32" t="str">
        <f t="shared" si="276"/>
        <v/>
      </c>
      <c r="BA483" s="32" t="str">
        <f>IF($A484="","",F483*Summary!$Q$7)</f>
        <v/>
      </c>
    </row>
    <row r="484" spans="1:53">
      <c r="A484" s="67" t="str">
        <f t="shared" si="256"/>
        <v/>
      </c>
      <c r="B484" s="69" t="str">
        <f t="shared" si="277"/>
        <v/>
      </c>
      <c r="D484" s="69" t="str">
        <f t="shared" si="278"/>
        <v/>
      </c>
      <c r="E484" s="70" t="str">
        <f t="shared" si="251"/>
        <v/>
      </c>
      <c r="F484" s="70" t="str">
        <f t="shared" si="252"/>
        <v/>
      </c>
      <c r="G484" s="63" t="str">
        <f t="shared" si="257"/>
        <v/>
      </c>
      <c r="H484" s="64" t="str">
        <f t="shared" si="258"/>
        <v/>
      </c>
      <c r="J484" s="63" t="str">
        <f t="shared" si="259"/>
        <v/>
      </c>
      <c r="K484" s="64" t="str">
        <f t="shared" si="260"/>
        <v/>
      </c>
      <c r="L484" s="63" t="str">
        <f t="shared" si="261"/>
        <v/>
      </c>
      <c r="M484" s="64" t="str">
        <f t="shared" si="262"/>
        <v/>
      </c>
      <c r="O484" s="63" t="str">
        <f t="shared" si="263"/>
        <v/>
      </c>
      <c r="P484" s="63" t="str">
        <f t="shared" si="264"/>
        <v/>
      </c>
      <c r="R484" s="63" t="str">
        <f t="shared" si="265"/>
        <v/>
      </c>
      <c r="S484" s="64" t="str">
        <f t="shared" si="266"/>
        <v/>
      </c>
      <c r="T484" s="63" t="str">
        <f t="shared" si="267"/>
        <v/>
      </c>
      <c r="U484" s="64" t="str">
        <f t="shared" si="268"/>
        <v/>
      </c>
      <c r="V484" s="207" t="str">
        <f>IF($A485="","",IF(AND(MONTH(A484)&gt;3,MONTH(A484)&lt;11),(T484+R484+G484)*Summary!$T$7/(1-Summary!$T$7),(T484+R484+G484)*Summary!$U$7/(1-Summary!$U$7)))</f>
        <v/>
      </c>
      <c r="W484" s="63" t="str">
        <f t="shared" si="269"/>
        <v/>
      </c>
      <c r="X484" s="63" t="str">
        <f t="shared" si="270"/>
        <v/>
      </c>
      <c r="Y484" s="43"/>
      <c r="AJ484" s="86"/>
      <c r="AK484" s="86"/>
      <c r="AL484" s="86"/>
      <c r="AM484" s="86"/>
      <c r="AN484" s="86"/>
      <c r="AO484" s="3" t="str">
        <f t="shared" si="271"/>
        <v/>
      </c>
      <c r="AP484" s="33" t="str">
        <f t="shared" si="272"/>
        <v/>
      </c>
      <c r="AQ484" s="58" t="str">
        <f t="shared" si="253"/>
        <v/>
      </c>
      <c r="AR484" s="38">
        <f>IF(Summary!$H$2=1,VLOOKUP('ANR OK vs ML7'!A484,Curves!$C$17:$AR$273,MATCH('ANR OK vs ML7'!$AR$4,Curves!$C$8:$AQ$8,0)),0.1)</f>
        <v>0.1</v>
      </c>
      <c r="AS484" s="35" t="str">
        <f t="shared" si="254"/>
        <v/>
      </c>
      <c r="AT484" s="3" t="str">
        <f t="shared" si="273"/>
        <v/>
      </c>
      <c r="AU484" s="3" t="str">
        <f t="shared" si="255"/>
        <v/>
      </c>
      <c r="AW484" s="32" t="str">
        <f t="shared" si="274"/>
        <v/>
      </c>
      <c r="AX484" s="32" t="str">
        <f t="shared" si="275"/>
        <v/>
      </c>
      <c r="AY484" s="32" t="str">
        <f t="shared" si="276"/>
        <v/>
      </c>
      <c r="BA484" s="32" t="str">
        <f>IF($A485="","",F484*Summary!$Q$7)</f>
        <v/>
      </c>
    </row>
    <row r="485" spans="1:53">
      <c r="A485" s="67" t="str">
        <f t="shared" si="256"/>
        <v/>
      </c>
      <c r="B485" s="69" t="str">
        <f t="shared" si="277"/>
        <v/>
      </c>
      <c r="D485" s="69" t="str">
        <f t="shared" si="278"/>
        <v/>
      </c>
      <c r="E485" s="70" t="str">
        <f t="shared" si="251"/>
        <v/>
      </c>
      <c r="F485" s="70" t="str">
        <f t="shared" si="252"/>
        <v/>
      </c>
      <c r="G485" s="63" t="str">
        <f t="shared" si="257"/>
        <v/>
      </c>
      <c r="H485" s="64" t="str">
        <f t="shared" si="258"/>
        <v/>
      </c>
      <c r="J485" s="63" t="str">
        <f t="shared" si="259"/>
        <v/>
      </c>
      <c r="K485" s="64" t="str">
        <f t="shared" si="260"/>
        <v/>
      </c>
      <c r="L485" s="63" t="str">
        <f t="shared" si="261"/>
        <v/>
      </c>
      <c r="M485" s="64" t="str">
        <f t="shared" si="262"/>
        <v/>
      </c>
      <c r="O485" s="63" t="str">
        <f t="shared" si="263"/>
        <v/>
      </c>
      <c r="P485" s="63" t="str">
        <f t="shared" si="264"/>
        <v/>
      </c>
      <c r="R485" s="63" t="str">
        <f t="shared" si="265"/>
        <v/>
      </c>
      <c r="S485" s="64" t="str">
        <f t="shared" si="266"/>
        <v/>
      </c>
      <c r="T485" s="63" t="str">
        <f t="shared" si="267"/>
        <v/>
      </c>
      <c r="U485" s="64" t="str">
        <f t="shared" si="268"/>
        <v/>
      </c>
      <c r="V485" s="207" t="str">
        <f>IF($A486="","",IF(AND(MONTH(A485)&gt;3,MONTH(A485)&lt;11),(T485+R485+G485)*Summary!$T$7/(1-Summary!$T$7),(T485+R485+G485)*Summary!$U$7/(1-Summary!$U$7)))</f>
        <v/>
      </c>
      <c r="W485" s="63" t="str">
        <f t="shared" si="269"/>
        <v/>
      </c>
      <c r="X485" s="63" t="str">
        <f t="shared" si="270"/>
        <v/>
      </c>
      <c r="Y485" s="43"/>
      <c r="AJ485" s="86"/>
      <c r="AK485" s="86"/>
      <c r="AL485" s="86"/>
      <c r="AM485" s="86"/>
      <c r="AN485" s="86"/>
      <c r="AO485" s="3" t="str">
        <f t="shared" si="271"/>
        <v/>
      </c>
      <c r="AP485" s="33" t="str">
        <f t="shared" si="272"/>
        <v/>
      </c>
      <c r="AQ485" s="58" t="str">
        <f t="shared" si="253"/>
        <v/>
      </c>
      <c r="AR485" s="38">
        <f>IF(Summary!$H$2=1,VLOOKUP('ANR OK vs ML7'!A485,Curves!$C$17:$AR$273,MATCH('ANR OK vs ML7'!$AR$4,Curves!$C$8:$AQ$8,0)),0.1)</f>
        <v>0.1</v>
      </c>
      <c r="AS485" s="35" t="str">
        <f t="shared" si="254"/>
        <v/>
      </c>
      <c r="AT485" s="3" t="str">
        <f t="shared" si="273"/>
        <v/>
      </c>
      <c r="AU485" s="3" t="str">
        <f t="shared" si="255"/>
        <v/>
      </c>
      <c r="AW485" s="32" t="str">
        <f t="shared" si="274"/>
        <v/>
      </c>
      <c r="AX485" s="32" t="str">
        <f t="shared" si="275"/>
        <v/>
      </c>
      <c r="AY485" s="32" t="str">
        <f t="shared" si="276"/>
        <v/>
      </c>
      <c r="BA485" s="32" t="str">
        <f>IF($A486="","",F485*Summary!$Q$7)</f>
        <v/>
      </c>
    </row>
    <row r="486" spans="1:53">
      <c r="A486" s="67" t="str">
        <f t="shared" si="256"/>
        <v/>
      </c>
      <c r="B486" s="69" t="str">
        <f t="shared" si="277"/>
        <v/>
      </c>
      <c r="D486" s="69" t="str">
        <f t="shared" si="278"/>
        <v/>
      </c>
      <c r="E486" s="70" t="str">
        <f t="shared" si="251"/>
        <v/>
      </c>
      <c r="F486" s="70" t="str">
        <f t="shared" si="252"/>
        <v/>
      </c>
      <c r="G486" s="63" t="str">
        <f t="shared" si="257"/>
        <v/>
      </c>
      <c r="H486" s="64" t="str">
        <f t="shared" si="258"/>
        <v/>
      </c>
      <c r="J486" s="63" t="str">
        <f t="shared" si="259"/>
        <v/>
      </c>
      <c r="K486" s="64" t="str">
        <f t="shared" si="260"/>
        <v/>
      </c>
      <c r="L486" s="63" t="str">
        <f t="shared" si="261"/>
        <v/>
      </c>
      <c r="M486" s="64" t="str">
        <f t="shared" si="262"/>
        <v/>
      </c>
      <c r="O486" s="63" t="str">
        <f t="shared" si="263"/>
        <v/>
      </c>
      <c r="P486" s="63" t="str">
        <f t="shared" si="264"/>
        <v/>
      </c>
      <c r="R486" s="63" t="str">
        <f t="shared" si="265"/>
        <v/>
      </c>
      <c r="S486" s="64" t="str">
        <f t="shared" si="266"/>
        <v/>
      </c>
      <c r="T486" s="63" t="str">
        <f t="shared" si="267"/>
        <v/>
      </c>
      <c r="U486" s="64" t="str">
        <f t="shared" si="268"/>
        <v/>
      </c>
      <c r="V486" s="207" t="str">
        <f>IF($A487="","",IF(AND(MONTH(A486)&gt;3,MONTH(A486)&lt;11),(T486+R486+G486)*Summary!$T$7/(1-Summary!$T$7),(T486+R486+G486)*Summary!$U$7/(1-Summary!$U$7)))</f>
        <v/>
      </c>
      <c r="W486" s="63" t="str">
        <f t="shared" si="269"/>
        <v/>
      </c>
      <c r="X486" s="63" t="str">
        <f t="shared" si="270"/>
        <v/>
      </c>
      <c r="Y486" s="43"/>
      <c r="AJ486" s="86"/>
      <c r="AK486" s="86"/>
      <c r="AL486" s="86"/>
      <c r="AM486" s="86"/>
      <c r="AN486" s="86"/>
      <c r="AO486" s="3" t="str">
        <f t="shared" si="271"/>
        <v/>
      </c>
      <c r="AP486" s="33" t="str">
        <f t="shared" si="272"/>
        <v/>
      </c>
      <c r="AQ486" s="58" t="str">
        <f t="shared" si="253"/>
        <v/>
      </c>
      <c r="AR486" s="38">
        <f>IF(Summary!$H$2=1,VLOOKUP('ANR OK vs ML7'!A486,Curves!$C$17:$AR$273,MATCH('ANR OK vs ML7'!$AR$4,Curves!$C$8:$AQ$8,0)),0.1)</f>
        <v>0.1</v>
      </c>
      <c r="AS486" s="35" t="str">
        <f t="shared" si="254"/>
        <v/>
      </c>
      <c r="AT486" s="3" t="str">
        <f t="shared" si="273"/>
        <v/>
      </c>
      <c r="AU486" s="3" t="str">
        <f t="shared" si="255"/>
        <v/>
      </c>
      <c r="AW486" s="32" t="str">
        <f t="shared" si="274"/>
        <v/>
      </c>
      <c r="AX486" s="32" t="str">
        <f t="shared" si="275"/>
        <v/>
      </c>
      <c r="AY486" s="32" t="str">
        <f t="shared" si="276"/>
        <v/>
      </c>
      <c r="BA486" s="32" t="str">
        <f>IF($A487="","",F486*Summary!$Q$7)</f>
        <v/>
      </c>
    </row>
    <row r="487" spans="1:53">
      <c r="A487" s="67" t="str">
        <f t="shared" si="256"/>
        <v/>
      </c>
      <c r="B487" s="69" t="str">
        <f t="shared" si="277"/>
        <v/>
      </c>
      <c r="D487" s="69" t="str">
        <f t="shared" si="278"/>
        <v/>
      </c>
      <c r="E487" s="70" t="str">
        <f t="shared" si="251"/>
        <v/>
      </c>
      <c r="F487" s="70" t="str">
        <f t="shared" si="252"/>
        <v/>
      </c>
      <c r="G487" s="63" t="str">
        <f t="shared" si="257"/>
        <v/>
      </c>
      <c r="H487" s="64" t="str">
        <f t="shared" si="258"/>
        <v/>
      </c>
      <c r="J487" s="63" t="str">
        <f t="shared" si="259"/>
        <v/>
      </c>
      <c r="K487" s="64" t="str">
        <f t="shared" si="260"/>
        <v/>
      </c>
      <c r="L487" s="63" t="str">
        <f t="shared" si="261"/>
        <v/>
      </c>
      <c r="M487" s="64" t="str">
        <f t="shared" si="262"/>
        <v/>
      </c>
      <c r="O487" s="63" t="str">
        <f t="shared" si="263"/>
        <v/>
      </c>
      <c r="P487" s="63" t="str">
        <f t="shared" si="264"/>
        <v/>
      </c>
      <c r="R487" s="63" t="str">
        <f t="shared" si="265"/>
        <v/>
      </c>
      <c r="S487" s="64" t="str">
        <f t="shared" si="266"/>
        <v/>
      </c>
      <c r="T487" s="63" t="str">
        <f t="shared" si="267"/>
        <v/>
      </c>
      <c r="U487" s="64" t="str">
        <f t="shared" si="268"/>
        <v/>
      </c>
      <c r="V487" s="207" t="str">
        <f>IF($A488="","",IF(AND(MONTH(A487)&gt;3,MONTH(A487)&lt;11),(T487+R487+G487)*Summary!$T$7/(1-Summary!$T$7),(T487+R487+G487)*Summary!$U$7/(1-Summary!$U$7)))</f>
        <v/>
      </c>
      <c r="W487" s="63" t="str">
        <f t="shared" si="269"/>
        <v/>
      </c>
      <c r="X487" s="63" t="str">
        <f t="shared" si="270"/>
        <v/>
      </c>
      <c r="Y487" s="43"/>
      <c r="AJ487" s="86"/>
      <c r="AK487" s="86"/>
      <c r="AL487" s="86"/>
      <c r="AM487" s="86"/>
      <c r="AN487" s="86"/>
      <c r="AO487" s="3" t="str">
        <f t="shared" si="271"/>
        <v/>
      </c>
      <c r="AP487" s="33" t="str">
        <f t="shared" si="272"/>
        <v/>
      </c>
      <c r="AQ487" s="58" t="str">
        <f t="shared" si="253"/>
        <v/>
      </c>
      <c r="AR487" s="38">
        <f>IF(Summary!$H$2=1,VLOOKUP('ANR OK vs ML7'!A487,Curves!$C$17:$AR$273,MATCH('ANR OK vs ML7'!$AR$4,Curves!$C$8:$AQ$8,0)),0.1)</f>
        <v>0.1</v>
      </c>
      <c r="AS487" s="35" t="str">
        <f t="shared" si="254"/>
        <v/>
      </c>
      <c r="AT487" s="3" t="str">
        <f t="shared" si="273"/>
        <v/>
      </c>
      <c r="AU487" s="3" t="str">
        <f t="shared" si="255"/>
        <v/>
      </c>
      <c r="AW487" s="32" t="str">
        <f t="shared" si="274"/>
        <v/>
      </c>
      <c r="AX487" s="32" t="str">
        <f t="shared" si="275"/>
        <v/>
      </c>
      <c r="AY487" s="32" t="str">
        <f t="shared" si="276"/>
        <v/>
      </c>
      <c r="BA487" s="32" t="str">
        <f>IF($A488="","",F487*Summary!$Q$7)</f>
        <v/>
      </c>
    </row>
    <row r="488" spans="1:53">
      <c r="A488" s="67" t="str">
        <f t="shared" si="256"/>
        <v/>
      </c>
      <c r="B488" s="69" t="str">
        <f t="shared" si="277"/>
        <v/>
      </c>
      <c r="D488" s="69" t="str">
        <f t="shared" si="278"/>
        <v/>
      </c>
      <c r="E488" s="70" t="str">
        <f t="shared" si="251"/>
        <v/>
      </c>
      <c r="F488" s="70" t="str">
        <f t="shared" si="252"/>
        <v/>
      </c>
      <c r="G488" s="63" t="str">
        <f t="shared" si="257"/>
        <v/>
      </c>
      <c r="H488" s="64" t="str">
        <f t="shared" si="258"/>
        <v/>
      </c>
      <c r="J488" s="63" t="str">
        <f t="shared" si="259"/>
        <v/>
      </c>
      <c r="K488" s="64" t="str">
        <f t="shared" si="260"/>
        <v/>
      </c>
      <c r="L488" s="63" t="str">
        <f t="shared" si="261"/>
        <v/>
      </c>
      <c r="M488" s="64" t="str">
        <f t="shared" si="262"/>
        <v/>
      </c>
      <c r="O488" s="63" t="str">
        <f t="shared" si="263"/>
        <v/>
      </c>
      <c r="P488" s="63" t="str">
        <f t="shared" si="264"/>
        <v/>
      </c>
      <c r="R488" s="63" t="str">
        <f t="shared" si="265"/>
        <v/>
      </c>
      <c r="S488" s="64" t="str">
        <f t="shared" si="266"/>
        <v/>
      </c>
      <c r="T488" s="63" t="str">
        <f t="shared" si="267"/>
        <v/>
      </c>
      <c r="U488" s="64" t="str">
        <f t="shared" si="268"/>
        <v/>
      </c>
      <c r="V488" s="207" t="str">
        <f>IF($A489="","",IF(AND(MONTH(A488)&gt;3,MONTH(A488)&lt;11),(T488+R488+G488)*Summary!$T$7/(1-Summary!$T$7),(T488+R488+G488)*Summary!$U$7/(1-Summary!$U$7)))</f>
        <v/>
      </c>
      <c r="W488" s="63" t="str">
        <f t="shared" si="269"/>
        <v/>
      </c>
      <c r="X488" s="63" t="str">
        <f t="shared" si="270"/>
        <v/>
      </c>
      <c r="Y488" s="43"/>
      <c r="AJ488" s="86"/>
      <c r="AK488" s="86"/>
      <c r="AL488" s="86"/>
      <c r="AM488" s="86"/>
      <c r="AN488" s="86"/>
      <c r="AO488" s="3" t="str">
        <f t="shared" si="271"/>
        <v/>
      </c>
      <c r="AP488" s="33" t="str">
        <f t="shared" si="272"/>
        <v/>
      </c>
      <c r="AQ488" s="58" t="str">
        <f t="shared" si="253"/>
        <v/>
      </c>
      <c r="AR488" s="38">
        <f>IF(Summary!$H$2=1,VLOOKUP('ANR OK vs ML7'!A488,Curves!$C$17:$AR$273,MATCH('ANR OK vs ML7'!$AR$4,Curves!$C$8:$AQ$8,0)),0.1)</f>
        <v>0.1</v>
      </c>
      <c r="AS488" s="35" t="str">
        <f t="shared" si="254"/>
        <v/>
      </c>
      <c r="AT488" s="3" t="str">
        <f t="shared" si="273"/>
        <v/>
      </c>
      <c r="AU488" s="3" t="str">
        <f t="shared" si="255"/>
        <v/>
      </c>
      <c r="AW488" s="32" t="str">
        <f t="shared" si="274"/>
        <v/>
      </c>
      <c r="AX488" s="32" t="str">
        <f t="shared" si="275"/>
        <v/>
      </c>
      <c r="AY488" s="32" t="str">
        <f t="shared" si="276"/>
        <v/>
      </c>
      <c r="BA488" s="32" t="str">
        <f>IF($A489="","",F488*Summary!$Q$7)</f>
        <v/>
      </c>
    </row>
    <row r="489" spans="1:53">
      <c r="A489" s="67" t="str">
        <f t="shared" si="256"/>
        <v/>
      </c>
      <c r="B489" s="69" t="str">
        <f t="shared" si="277"/>
        <v/>
      </c>
      <c r="D489" s="69" t="str">
        <f t="shared" si="278"/>
        <v/>
      </c>
      <c r="E489" s="70" t="str">
        <f t="shared" si="251"/>
        <v/>
      </c>
      <c r="F489" s="70" t="str">
        <f t="shared" si="252"/>
        <v/>
      </c>
      <c r="G489" s="63" t="str">
        <f t="shared" si="257"/>
        <v/>
      </c>
      <c r="H489" s="64" t="str">
        <f t="shared" si="258"/>
        <v/>
      </c>
      <c r="J489" s="63" t="str">
        <f t="shared" si="259"/>
        <v/>
      </c>
      <c r="K489" s="64" t="str">
        <f t="shared" si="260"/>
        <v/>
      </c>
      <c r="L489" s="63" t="str">
        <f t="shared" si="261"/>
        <v/>
      </c>
      <c r="M489" s="64" t="str">
        <f t="shared" si="262"/>
        <v/>
      </c>
      <c r="O489" s="63" t="str">
        <f t="shared" si="263"/>
        <v/>
      </c>
      <c r="P489" s="63" t="str">
        <f t="shared" si="264"/>
        <v/>
      </c>
      <c r="R489" s="63" t="str">
        <f t="shared" si="265"/>
        <v/>
      </c>
      <c r="S489" s="64" t="str">
        <f t="shared" si="266"/>
        <v/>
      </c>
      <c r="T489" s="63" t="str">
        <f t="shared" si="267"/>
        <v/>
      </c>
      <c r="U489" s="64" t="str">
        <f t="shared" si="268"/>
        <v/>
      </c>
      <c r="V489" s="207" t="str">
        <f>IF($A490="","",IF(AND(MONTH(A489)&gt;3,MONTH(A489)&lt;11),(T489+R489+G489)*Summary!$T$7/(1-Summary!$T$7),(T489+R489+G489)*Summary!$U$7/(1-Summary!$U$7)))</f>
        <v/>
      </c>
      <c r="W489" s="63" t="str">
        <f t="shared" si="269"/>
        <v/>
      </c>
      <c r="X489" s="63" t="str">
        <f t="shared" si="270"/>
        <v/>
      </c>
      <c r="Y489" s="43"/>
      <c r="AJ489" s="86"/>
      <c r="AK489" s="86"/>
      <c r="AL489" s="86"/>
      <c r="AM489" s="86"/>
      <c r="AN489" s="86"/>
      <c r="AO489" s="3" t="str">
        <f t="shared" si="271"/>
        <v/>
      </c>
      <c r="AP489" s="33" t="str">
        <f t="shared" si="272"/>
        <v/>
      </c>
      <c r="AQ489" s="58" t="str">
        <f t="shared" si="253"/>
        <v/>
      </c>
      <c r="AR489" s="38">
        <f>IF(Summary!$H$2=1,VLOOKUP('ANR OK vs ML7'!A489,Curves!$C$17:$AR$273,MATCH('ANR OK vs ML7'!$AR$4,Curves!$C$8:$AQ$8,0)),0.1)</f>
        <v>0.1</v>
      </c>
      <c r="AS489" s="35" t="str">
        <f t="shared" si="254"/>
        <v/>
      </c>
      <c r="AT489" s="3" t="str">
        <f t="shared" si="273"/>
        <v/>
      </c>
      <c r="AU489" s="3" t="str">
        <f t="shared" si="255"/>
        <v/>
      </c>
      <c r="AW489" s="32" t="str">
        <f t="shared" si="274"/>
        <v/>
      </c>
      <c r="AX489" s="32" t="str">
        <f t="shared" si="275"/>
        <v/>
      </c>
      <c r="AY489" s="32" t="str">
        <f t="shared" si="276"/>
        <v/>
      </c>
      <c r="BA489" s="32" t="str">
        <f>IF($A490="","",F489*Summary!$Q$7)</f>
        <v/>
      </c>
    </row>
    <row r="490" spans="1:53">
      <c r="A490" s="67" t="str">
        <f t="shared" si="256"/>
        <v/>
      </c>
      <c r="B490" s="69" t="str">
        <f t="shared" si="277"/>
        <v/>
      </c>
      <c r="D490" s="69" t="str">
        <f t="shared" si="278"/>
        <v/>
      </c>
      <c r="E490" s="70" t="str">
        <f t="shared" si="251"/>
        <v/>
      </c>
      <c r="F490" s="70" t="str">
        <f t="shared" si="252"/>
        <v/>
      </c>
      <c r="G490" s="63" t="str">
        <f t="shared" si="257"/>
        <v/>
      </c>
      <c r="H490" s="64" t="str">
        <f t="shared" si="258"/>
        <v/>
      </c>
      <c r="J490" s="63" t="str">
        <f t="shared" si="259"/>
        <v/>
      </c>
      <c r="K490" s="64" t="str">
        <f t="shared" si="260"/>
        <v/>
      </c>
      <c r="L490" s="63" t="str">
        <f t="shared" si="261"/>
        <v/>
      </c>
      <c r="M490" s="64" t="str">
        <f t="shared" si="262"/>
        <v/>
      </c>
      <c r="O490" s="63" t="str">
        <f t="shared" si="263"/>
        <v/>
      </c>
      <c r="P490" s="63" t="str">
        <f t="shared" si="264"/>
        <v/>
      </c>
      <c r="R490" s="63" t="str">
        <f t="shared" si="265"/>
        <v/>
      </c>
      <c r="S490" s="64" t="str">
        <f t="shared" si="266"/>
        <v/>
      </c>
      <c r="T490" s="63" t="str">
        <f t="shared" si="267"/>
        <v/>
      </c>
      <c r="U490" s="64" t="str">
        <f t="shared" si="268"/>
        <v/>
      </c>
      <c r="V490" s="207" t="str">
        <f>IF($A491="","",IF(AND(MONTH(A490)&gt;3,MONTH(A490)&lt;11),(T490+R490+G490)*Summary!$T$7/(1-Summary!$T$7),(T490+R490+G490)*Summary!$U$7/(1-Summary!$U$7)))</f>
        <v/>
      </c>
      <c r="W490" s="63" t="str">
        <f t="shared" si="269"/>
        <v/>
      </c>
      <c r="X490" s="63" t="str">
        <f t="shared" si="270"/>
        <v/>
      </c>
      <c r="Y490" s="43"/>
      <c r="AJ490" s="86"/>
      <c r="AK490" s="86"/>
      <c r="AL490" s="86"/>
      <c r="AM490" s="86"/>
      <c r="AN490" s="86"/>
      <c r="AO490" s="3" t="str">
        <f t="shared" si="271"/>
        <v/>
      </c>
      <c r="AP490" s="33" t="str">
        <f t="shared" si="272"/>
        <v/>
      </c>
      <c r="AQ490" s="58" t="str">
        <f t="shared" si="253"/>
        <v/>
      </c>
      <c r="AR490" s="38">
        <f>IF(Summary!$H$2=1,VLOOKUP('ANR OK vs ML7'!A490,Curves!$C$17:$AR$273,MATCH('ANR OK vs ML7'!$AR$4,Curves!$C$8:$AQ$8,0)),0.1)</f>
        <v>0.1</v>
      </c>
      <c r="AS490" s="35" t="str">
        <f t="shared" si="254"/>
        <v/>
      </c>
      <c r="AT490" s="3" t="str">
        <f t="shared" si="273"/>
        <v/>
      </c>
      <c r="AU490" s="3" t="str">
        <f t="shared" si="255"/>
        <v/>
      </c>
      <c r="AW490" s="32" t="str">
        <f t="shared" si="274"/>
        <v/>
      </c>
      <c r="AX490" s="32" t="str">
        <f t="shared" si="275"/>
        <v/>
      </c>
      <c r="AY490" s="32" t="str">
        <f t="shared" si="276"/>
        <v/>
      </c>
      <c r="BA490" s="32" t="str">
        <f>IF($A491="","",F490*Summary!$Q$7)</f>
        <v/>
      </c>
    </row>
    <row r="491" spans="1:53">
      <c r="A491" s="67" t="str">
        <f t="shared" si="256"/>
        <v/>
      </c>
      <c r="B491" s="69" t="str">
        <f t="shared" si="277"/>
        <v/>
      </c>
      <c r="D491" s="69" t="str">
        <f t="shared" si="278"/>
        <v/>
      </c>
      <c r="E491" s="70" t="str">
        <f t="shared" si="251"/>
        <v/>
      </c>
      <c r="F491" s="70" t="str">
        <f t="shared" si="252"/>
        <v/>
      </c>
      <c r="G491" s="63" t="str">
        <f t="shared" si="257"/>
        <v/>
      </c>
      <c r="H491" s="64" t="str">
        <f t="shared" si="258"/>
        <v/>
      </c>
      <c r="J491" s="63" t="str">
        <f t="shared" si="259"/>
        <v/>
      </c>
      <c r="K491" s="64" t="str">
        <f t="shared" si="260"/>
        <v/>
      </c>
      <c r="L491" s="63" t="str">
        <f t="shared" si="261"/>
        <v/>
      </c>
      <c r="M491" s="64" t="str">
        <f t="shared" si="262"/>
        <v/>
      </c>
      <c r="O491" s="63" t="str">
        <f t="shared" si="263"/>
        <v/>
      </c>
      <c r="P491" s="63" t="str">
        <f t="shared" si="264"/>
        <v/>
      </c>
      <c r="R491" s="63" t="str">
        <f t="shared" si="265"/>
        <v/>
      </c>
      <c r="S491" s="64" t="str">
        <f t="shared" si="266"/>
        <v/>
      </c>
      <c r="T491" s="63" t="str">
        <f t="shared" si="267"/>
        <v/>
      </c>
      <c r="U491" s="64" t="str">
        <f t="shared" si="268"/>
        <v/>
      </c>
      <c r="V491" s="207" t="str">
        <f>IF($A492="","",IF(AND(MONTH(A491)&gt;3,MONTH(A491)&lt;11),(T491+R491+G491)*Summary!$T$7/(1-Summary!$T$7),(T491+R491+G491)*Summary!$U$7/(1-Summary!$U$7)))</f>
        <v/>
      </c>
      <c r="W491" s="63" t="str">
        <f t="shared" si="269"/>
        <v/>
      </c>
      <c r="X491" s="63" t="str">
        <f t="shared" si="270"/>
        <v/>
      </c>
      <c r="Y491" s="43"/>
      <c r="AJ491" s="86"/>
      <c r="AK491" s="86"/>
      <c r="AL491" s="86"/>
      <c r="AM491" s="86"/>
      <c r="AN491" s="86"/>
      <c r="AO491" s="3" t="str">
        <f t="shared" si="271"/>
        <v/>
      </c>
      <c r="AP491" s="33" t="str">
        <f t="shared" si="272"/>
        <v/>
      </c>
      <c r="AQ491" s="58" t="str">
        <f t="shared" si="253"/>
        <v/>
      </c>
      <c r="AR491" s="38">
        <f>IF(Summary!$H$2=1,VLOOKUP('ANR OK vs ML7'!A491,Curves!$C$17:$AR$273,MATCH('ANR OK vs ML7'!$AR$4,Curves!$C$8:$AQ$8,0)),0.1)</f>
        <v>0.1</v>
      </c>
      <c r="AS491" s="35" t="str">
        <f t="shared" si="254"/>
        <v/>
      </c>
      <c r="AT491" s="3" t="str">
        <f t="shared" si="273"/>
        <v/>
      </c>
      <c r="AU491" s="3" t="str">
        <f t="shared" si="255"/>
        <v/>
      </c>
      <c r="AW491" s="32" t="str">
        <f t="shared" si="274"/>
        <v/>
      </c>
      <c r="AX491" s="32" t="str">
        <f t="shared" si="275"/>
        <v/>
      </c>
      <c r="AY491" s="32" t="str">
        <f t="shared" si="276"/>
        <v/>
      </c>
      <c r="BA491" s="32" t="str">
        <f>IF($A492="","",F491*Summary!$Q$7)</f>
        <v/>
      </c>
    </row>
    <row r="492" spans="1:53">
      <c r="A492" s="67" t="str">
        <f t="shared" si="256"/>
        <v/>
      </c>
      <c r="B492" s="69" t="str">
        <f t="shared" si="277"/>
        <v/>
      </c>
      <c r="D492" s="69" t="str">
        <f t="shared" si="278"/>
        <v/>
      </c>
      <c r="E492" s="70" t="str">
        <f t="shared" si="251"/>
        <v/>
      </c>
      <c r="F492" s="70" t="str">
        <f t="shared" si="252"/>
        <v/>
      </c>
      <c r="G492" s="63" t="str">
        <f t="shared" si="257"/>
        <v/>
      </c>
      <c r="H492" s="64" t="str">
        <f t="shared" si="258"/>
        <v/>
      </c>
      <c r="J492" s="63" t="str">
        <f t="shared" si="259"/>
        <v/>
      </c>
      <c r="K492" s="64" t="str">
        <f t="shared" si="260"/>
        <v/>
      </c>
      <c r="L492" s="63" t="str">
        <f t="shared" si="261"/>
        <v/>
      </c>
      <c r="M492" s="64" t="str">
        <f t="shared" si="262"/>
        <v/>
      </c>
      <c r="O492" s="63" t="str">
        <f t="shared" si="263"/>
        <v/>
      </c>
      <c r="P492" s="63" t="str">
        <f t="shared" si="264"/>
        <v/>
      </c>
      <c r="R492" s="63" t="str">
        <f t="shared" si="265"/>
        <v/>
      </c>
      <c r="S492" s="64" t="str">
        <f t="shared" si="266"/>
        <v/>
      </c>
      <c r="T492" s="63" t="str">
        <f t="shared" si="267"/>
        <v/>
      </c>
      <c r="U492" s="64" t="str">
        <f t="shared" si="268"/>
        <v/>
      </c>
      <c r="V492" s="207" t="str">
        <f>IF($A493="","",IF(AND(MONTH(A492)&gt;3,MONTH(A492)&lt;11),(T492+R492+G492)*Summary!$T$7/(1-Summary!$T$7),(T492+R492+G492)*Summary!$U$7/(1-Summary!$U$7)))</f>
        <v/>
      </c>
      <c r="W492" s="63" t="str">
        <f t="shared" si="269"/>
        <v/>
      </c>
      <c r="X492" s="63" t="str">
        <f t="shared" si="270"/>
        <v/>
      </c>
      <c r="Y492" s="43"/>
      <c r="AJ492" s="86"/>
      <c r="AK492" s="86"/>
      <c r="AL492" s="86"/>
      <c r="AM492" s="86"/>
      <c r="AN492" s="86"/>
      <c r="AO492" s="3" t="str">
        <f t="shared" si="271"/>
        <v/>
      </c>
      <c r="AP492" s="33" t="str">
        <f t="shared" si="272"/>
        <v/>
      </c>
      <c r="AQ492" s="58" t="str">
        <f t="shared" si="253"/>
        <v/>
      </c>
      <c r="AR492" s="38">
        <f>IF(Summary!$H$2=1,VLOOKUP('ANR OK vs ML7'!A492,Curves!$C$17:$AR$273,MATCH('ANR OK vs ML7'!$AR$4,Curves!$C$8:$AQ$8,0)),0.1)</f>
        <v>0.1</v>
      </c>
      <c r="AS492" s="35" t="str">
        <f t="shared" si="254"/>
        <v/>
      </c>
      <c r="AT492" s="3" t="str">
        <f t="shared" si="273"/>
        <v/>
      </c>
      <c r="AU492" s="3" t="str">
        <f t="shared" si="255"/>
        <v/>
      </c>
      <c r="AW492" s="32" t="str">
        <f t="shared" si="274"/>
        <v/>
      </c>
      <c r="AX492" s="32" t="str">
        <f t="shared" si="275"/>
        <v/>
      </c>
      <c r="AY492" s="32" t="str">
        <f t="shared" si="276"/>
        <v/>
      </c>
      <c r="BA492" s="32" t="str">
        <f>IF($A493="","",F492*Summary!$Q$7)</f>
        <v/>
      </c>
    </row>
    <row r="493" spans="1:53">
      <c r="A493" s="67" t="str">
        <f t="shared" si="256"/>
        <v/>
      </c>
      <c r="B493" s="69" t="str">
        <f t="shared" si="277"/>
        <v/>
      </c>
      <c r="D493" s="69" t="str">
        <f t="shared" si="278"/>
        <v/>
      </c>
      <c r="E493" s="70" t="str">
        <f t="shared" si="251"/>
        <v/>
      </c>
      <c r="F493" s="70" t="str">
        <f t="shared" si="252"/>
        <v/>
      </c>
      <c r="G493" s="63" t="str">
        <f t="shared" si="257"/>
        <v/>
      </c>
      <c r="H493" s="64" t="str">
        <f t="shared" si="258"/>
        <v/>
      </c>
      <c r="J493" s="63" t="str">
        <f t="shared" si="259"/>
        <v/>
      </c>
      <c r="K493" s="64" t="str">
        <f t="shared" si="260"/>
        <v/>
      </c>
      <c r="L493" s="63" t="str">
        <f t="shared" si="261"/>
        <v/>
      </c>
      <c r="M493" s="64" t="str">
        <f t="shared" si="262"/>
        <v/>
      </c>
      <c r="O493" s="63" t="str">
        <f t="shared" si="263"/>
        <v/>
      </c>
      <c r="P493" s="63" t="str">
        <f t="shared" si="264"/>
        <v/>
      </c>
      <c r="R493" s="63" t="str">
        <f t="shared" si="265"/>
        <v/>
      </c>
      <c r="S493" s="64" t="str">
        <f t="shared" si="266"/>
        <v/>
      </c>
      <c r="T493" s="63" t="str">
        <f t="shared" si="267"/>
        <v/>
      </c>
      <c r="U493" s="64" t="str">
        <f t="shared" si="268"/>
        <v/>
      </c>
      <c r="V493" s="207" t="str">
        <f>IF($A494="","",IF(AND(MONTH(A493)&gt;3,MONTH(A493)&lt;11),(T493+R493+G493)*Summary!$T$7/(1-Summary!$T$7),(T493+R493+G493)*Summary!$U$7/(1-Summary!$U$7)))</f>
        <v/>
      </c>
      <c r="W493" s="63" t="str">
        <f t="shared" si="269"/>
        <v/>
      </c>
      <c r="X493" s="63" t="str">
        <f t="shared" si="270"/>
        <v/>
      </c>
      <c r="Y493" s="43"/>
      <c r="AJ493" s="86"/>
      <c r="AK493" s="86"/>
      <c r="AL493" s="86"/>
      <c r="AM493" s="86"/>
      <c r="AN493" s="86"/>
      <c r="AO493" s="3" t="str">
        <f t="shared" si="271"/>
        <v/>
      </c>
      <c r="AP493" s="33" t="str">
        <f t="shared" si="272"/>
        <v/>
      </c>
      <c r="AQ493" s="58" t="str">
        <f t="shared" si="253"/>
        <v/>
      </c>
      <c r="AR493" s="38">
        <f>IF(Summary!$H$2=1,VLOOKUP('ANR OK vs ML7'!A493,Curves!$C$17:$AR$273,MATCH('ANR OK vs ML7'!$AR$4,Curves!$C$8:$AQ$8,0)),0.1)</f>
        <v>0.1</v>
      </c>
      <c r="AS493" s="35" t="str">
        <f t="shared" si="254"/>
        <v/>
      </c>
      <c r="AT493" s="3" t="str">
        <f t="shared" si="273"/>
        <v/>
      </c>
      <c r="AU493" s="3" t="str">
        <f t="shared" si="255"/>
        <v/>
      </c>
      <c r="AW493" s="32" t="str">
        <f t="shared" si="274"/>
        <v/>
      </c>
      <c r="AX493" s="32" t="str">
        <f t="shared" si="275"/>
        <v/>
      </c>
      <c r="AY493" s="32" t="str">
        <f t="shared" si="276"/>
        <v/>
      </c>
      <c r="BA493" s="32" t="str">
        <f>IF($A494="","",F493*Summary!$Q$7)</f>
        <v/>
      </c>
    </row>
    <row r="494" spans="1:53">
      <c r="A494" s="67" t="str">
        <f t="shared" si="256"/>
        <v/>
      </c>
      <c r="B494" s="69" t="str">
        <f t="shared" si="277"/>
        <v/>
      </c>
      <c r="D494" s="69" t="str">
        <f t="shared" si="278"/>
        <v/>
      </c>
      <c r="E494" s="70" t="str">
        <f t="shared" si="251"/>
        <v/>
      </c>
      <c r="F494" s="70" t="str">
        <f t="shared" si="252"/>
        <v/>
      </c>
      <c r="G494" s="63" t="str">
        <f t="shared" si="257"/>
        <v/>
      </c>
      <c r="H494" s="64" t="str">
        <f t="shared" si="258"/>
        <v/>
      </c>
      <c r="J494" s="63" t="str">
        <f t="shared" si="259"/>
        <v/>
      </c>
      <c r="K494" s="64" t="str">
        <f t="shared" si="260"/>
        <v/>
      </c>
      <c r="L494" s="63" t="str">
        <f t="shared" si="261"/>
        <v/>
      </c>
      <c r="M494" s="64" t="str">
        <f t="shared" si="262"/>
        <v/>
      </c>
      <c r="O494" s="63" t="str">
        <f t="shared" si="263"/>
        <v/>
      </c>
      <c r="P494" s="63" t="str">
        <f t="shared" si="264"/>
        <v/>
      </c>
      <c r="R494" s="63" t="str">
        <f t="shared" si="265"/>
        <v/>
      </c>
      <c r="S494" s="64" t="str">
        <f t="shared" si="266"/>
        <v/>
      </c>
      <c r="T494" s="63" t="str">
        <f t="shared" si="267"/>
        <v/>
      </c>
      <c r="U494" s="64" t="str">
        <f t="shared" si="268"/>
        <v/>
      </c>
      <c r="V494" s="207" t="str">
        <f>IF($A495="","",IF(AND(MONTH(A494)&gt;3,MONTH(A494)&lt;11),(T494+R494+G494)*Summary!$T$7/(1-Summary!$T$7),(T494+R494+G494)*Summary!$U$7/(1-Summary!$U$7)))</f>
        <v/>
      </c>
      <c r="W494" s="63" t="str">
        <f t="shared" si="269"/>
        <v/>
      </c>
      <c r="X494" s="63" t="str">
        <f t="shared" si="270"/>
        <v/>
      </c>
      <c r="Y494" s="43"/>
      <c r="AJ494" s="86"/>
      <c r="AK494" s="86"/>
      <c r="AL494" s="86"/>
      <c r="AM494" s="86"/>
      <c r="AN494" s="86"/>
      <c r="AO494" s="3" t="str">
        <f t="shared" si="271"/>
        <v/>
      </c>
      <c r="AP494" s="33" t="str">
        <f t="shared" si="272"/>
        <v/>
      </c>
      <c r="AQ494" s="58" t="str">
        <f t="shared" si="253"/>
        <v/>
      </c>
      <c r="AR494" s="38">
        <f>IF(Summary!$H$2=1,VLOOKUP('ANR OK vs ML7'!A494,Curves!$C$17:$AR$273,MATCH('ANR OK vs ML7'!$AR$4,Curves!$C$8:$AQ$8,0)),0.1)</f>
        <v>0.1</v>
      </c>
      <c r="AS494" s="35" t="str">
        <f t="shared" si="254"/>
        <v/>
      </c>
      <c r="AT494" s="3" t="str">
        <f t="shared" si="273"/>
        <v/>
      </c>
      <c r="AU494" s="3" t="str">
        <f t="shared" si="255"/>
        <v/>
      </c>
      <c r="AW494" s="32" t="str">
        <f t="shared" si="274"/>
        <v/>
      </c>
      <c r="AX494" s="32" t="str">
        <f t="shared" si="275"/>
        <v/>
      </c>
      <c r="AY494" s="32" t="str">
        <f t="shared" si="276"/>
        <v/>
      </c>
      <c r="BA494" s="32" t="str">
        <f>IF($A495="","",F494*Summary!$Q$7)</f>
        <v/>
      </c>
    </row>
    <row r="495" spans="1:53">
      <c r="A495" s="67" t="str">
        <f t="shared" si="256"/>
        <v/>
      </c>
      <c r="B495" s="69" t="str">
        <f t="shared" si="277"/>
        <v/>
      </c>
      <c r="D495" s="69" t="str">
        <f t="shared" si="278"/>
        <v/>
      </c>
      <c r="E495" s="70" t="str">
        <f t="shared" si="251"/>
        <v/>
      </c>
      <c r="F495" s="70" t="str">
        <f t="shared" si="252"/>
        <v/>
      </c>
      <c r="G495" s="63" t="str">
        <f t="shared" si="257"/>
        <v/>
      </c>
      <c r="H495" s="64" t="str">
        <f t="shared" si="258"/>
        <v/>
      </c>
      <c r="J495" s="63" t="str">
        <f t="shared" si="259"/>
        <v/>
      </c>
      <c r="K495" s="64" t="str">
        <f t="shared" si="260"/>
        <v/>
      </c>
      <c r="L495" s="63" t="str">
        <f t="shared" si="261"/>
        <v/>
      </c>
      <c r="M495" s="64" t="str">
        <f t="shared" si="262"/>
        <v/>
      </c>
      <c r="O495" s="63" t="str">
        <f t="shared" si="263"/>
        <v/>
      </c>
      <c r="P495" s="63" t="str">
        <f t="shared" si="264"/>
        <v/>
      </c>
      <c r="R495" s="63" t="str">
        <f t="shared" si="265"/>
        <v/>
      </c>
      <c r="S495" s="64" t="str">
        <f t="shared" si="266"/>
        <v/>
      </c>
      <c r="T495" s="63" t="str">
        <f t="shared" si="267"/>
        <v/>
      </c>
      <c r="U495" s="64" t="str">
        <f t="shared" si="268"/>
        <v/>
      </c>
      <c r="V495" s="207" t="str">
        <f>IF($A496="","",IF(AND(MONTH(A495)&gt;3,MONTH(A495)&lt;11),(T495+R495+G495)*Summary!$T$7/(1-Summary!$T$7),(T495+R495+G495)*Summary!$U$7/(1-Summary!$U$7)))</f>
        <v/>
      </c>
      <c r="W495" s="63" t="str">
        <f t="shared" si="269"/>
        <v/>
      </c>
      <c r="X495" s="63" t="str">
        <f t="shared" si="270"/>
        <v/>
      </c>
      <c r="Y495" s="43"/>
      <c r="AJ495" s="86"/>
      <c r="AK495" s="86"/>
      <c r="AL495" s="86"/>
      <c r="AM495" s="86"/>
      <c r="AN495" s="86"/>
      <c r="AO495" s="3" t="str">
        <f t="shared" si="271"/>
        <v/>
      </c>
      <c r="AP495" s="33" t="str">
        <f t="shared" si="272"/>
        <v/>
      </c>
      <c r="AQ495" s="58" t="str">
        <f t="shared" si="253"/>
        <v/>
      </c>
      <c r="AR495" s="38">
        <f>IF(Summary!$H$2=1,VLOOKUP('ANR OK vs ML7'!A495,Curves!$C$17:$AR$273,MATCH('ANR OK vs ML7'!$AR$4,Curves!$C$8:$AQ$8,0)),0.1)</f>
        <v>0.1</v>
      </c>
      <c r="AS495" s="35" t="str">
        <f t="shared" si="254"/>
        <v/>
      </c>
      <c r="AT495" s="3" t="str">
        <f t="shared" si="273"/>
        <v/>
      </c>
      <c r="AU495" s="3" t="str">
        <f t="shared" si="255"/>
        <v/>
      </c>
      <c r="AW495" s="32" t="str">
        <f t="shared" si="274"/>
        <v/>
      </c>
      <c r="AX495" s="32" t="str">
        <f t="shared" si="275"/>
        <v/>
      </c>
      <c r="AY495" s="32" t="str">
        <f t="shared" si="276"/>
        <v/>
      </c>
      <c r="BA495" s="32" t="str">
        <f>IF($A496="","",F495*Summary!$Q$7)</f>
        <v/>
      </c>
    </row>
    <row r="496" spans="1:53">
      <c r="A496" s="67" t="str">
        <f t="shared" si="256"/>
        <v/>
      </c>
      <c r="B496" s="69" t="str">
        <f t="shared" si="277"/>
        <v/>
      </c>
      <c r="D496" s="69" t="str">
        <f t="shared" si="278"/>
        <v/>
      </c>
      <c r="E496" s="70" t="str">
        <f t="shared" si="251"/>
        <v/>
      </c>
      <c r="F496" s="70" t="str">
        <f t="shared" si="252"/>
        <v/>
      </c>
      <c r="G496" s="63" t="str">
        <f t="shared" si="257"/>
        <v/>
      </c>
      <c r="H496" s="64" t="str">
        <f t="shared" si="258"/>
        <v/>
      </c>
      <c r="J496" s="63" t="str">
        <f t="shared" si="259"/>
        <v/>
      </c>
      <c r="K496" s="64" t="str">
        <f t="shared" si="260"/>
        <v/>
      </c>
      <c r="L496" s="63" t="str">
        <f t="shared" si="261"/>
        <v/>
      </c>
      <c r="M496" s="64" t="str">
        <f t="shared" si="262"/>
        <v/>
      </c>
      <c r="O496" s="63" t="str">
        <f t="shared" si="263"/>
        <v/>
      </c>
      <c r="P496" s="63" t="str">
        <f t="shared" si="264"/>
        <v/>
      </c>
      <c r="R496" s="63" t="str">
        <f t="shared" si="265"/>
        <v/>
      </c>
      <c r="S496" s="64" t="str">
        <f t="shared" si="266"/>
        <v/>
      </c>
      <c r="T496" s="63" t="str">
        <f t="shared" si="267"/>
        <v/>
      </c>
      <c r="U496" s="64" t="str">
        <f t="shared" si="268"/>
        <v/>
      </c>
      <c r="V496" s="207" t="str">
        <f>IF($A497="","",IF(AND(MONTH(A496)&gt;3,MONTH(A496)&lt;11),(T496+R496+G496)*Summary!$T$7/(1-Summary!$T$7),(T496+R496+G496)*Summary!$U$7/(1-Summary!$U$7)))</f>
        <v/>
      </c>
      <c r="W496" s="63" t="str">
        <f t="shared" si="269"/>
        <v/>
      </c>
      <c r="X496" s="63" t="str">
        <f t="shared" si="270"/>
        <v/>
      </c>
      <c r="Y496" s="43"/>
      <c r="AJ496" s="86"/>
      <c r="AK496" s="86"/>
      <c r="AL496" s="86"/>
      <c r="AM496" s="86"/>
      <c r="AN496" s="86"/>
      <c r="AO496" s="3" t="str">
        <f t="shared" si="271"/>
        <v/>
      </c>
      <c r="AP496" s="33" t="str">
        <f t="shared" si="272"/>
        <v/>
      </c>
      <c r="AQ496" s="58" t="str">
        <f t="shared" si="253"/>
        <v/>
      </c>
      <c r="AR496" s="38">
        <f>IF(Summary!$H$2=1,VLOOKUP('ANR OK vs ML7'!A496,Curves!$C$17:$AR$273,MATCH('ANR OK vs ML7'!$AR$4,Curves!$C$8:$AQ$8,0)),0.1)</f>
        <v>0.1</v>
      </c>
      <c r="AS496" s="35" t="str">
        <f t="shared" si="254"/>
        <v/>
      </c>
      <c r="AT496" s="3" t="str">
        <f t="shared" si="273"/>
        <v/>
      </c>
      <c r="AU496" s="3" t="str">
        <f t="shared" si="255"/>
        <v/>
      </c>
      <c r="AW496" s="32" t="str">
        <f t="shared" si="274"/>
        <v/>
      </c>
      <c r="AX496" s="32" t="str">
        <f t="shared" si="275"/>
        <v/>
      </c>
      <c r="AY496" s="32" t="str">
        <f t="shared" si="276"/>
        <v/>
      </c>
      <c r="BA496" s="32" t="str">
        <f>IF($A497="","",F496*Summary!$Q$7)</f>
        <v/>
      </c>
    </row>
    <row r="497" spans="1:242">
      <c r="A497" s="67" t="str">
        <f t="shared" si="256"/>
        <v/>
      </c>
      <c r="B497" s="69" t="str">
        <f t="shared" si="277"/>
        <v/>
      </c>
      <c r="D497" s="69" t="str">
        <f t="shared" si="278"/>
        <v/>
      </c>
      <c r="E497" s="70" t="str">
        <f t="shared" si="251"/>
        <v/>
      </c>
      <c r="F497" s="70" t="str">
        <f t="shared" si="252"/>
        <v/>
      </c>
      <c r="G497" s="63" t="str">
        <f t="shared" si="257"/>
        <v/>
      </c>
      <c r="H497" s="64" t="str">
        <f t="shared" si="258"/>
        <v/>
      </c>
      <c r="J497" s="63" t="str">
        <f t="shared" si="259"/>
        <v/>
      </c>
      <c r="K497" s="64" t="str">
        <f t="shared" si="260"/>
        <v/>
      </c>
      <c r="L497" s="63" t="str">
        <f t="shared" si="261"/>
        <v/>
      </c>
      <c r="M497" s="64" t="str">
        <f t="shared" si="262"/>
        <v/>
      </c>
      <c r="O497" s="63" t="str">
        <f t="shared" si="263"/>
        <v/>
      </c>
      <c r="P497" s="63" t="str">
        <f t="shared" si="264"/>
        <v/>
      </c>
      <c r="R497" s="63" t="str">
        <f t="shared" si="265"/>
        <v/>
      </c>
      <c r="S497" s="64" t="str">
        <f t="shared" si="266"/>
        <v/>
      </c>
      <c r="T497" s="63" t="str">
        <f t="shared" si="267"/>
        <v/>
      </c>
      <c r="U497" s="64" t="str">
        <f t="shared" si="268"/>
        <v/>
      </c>
      <c r="V497" s="207" t="str">
        <f>IF($A498="","",IF(AND(MONTH(A497)&gt;3,MONTH(A497)&lt;11),(T497+R497+G497)*Summary!$T$7/(1-Summary!$T$7),(T497+R497+G497)*Summary!$U$7/(1-Summary!$U$7)))</f>
        <v/>
      </c>
      <c r="W497" s="63" t="str">
        <f t="shared" si="269"/>
        <v/>
      </c>
      <c r="X497" s="63" t="str">
        <f t="shared" si="270"/>
        <v/>
      </c>
      <c r="Y497" s="43"/>
      <c r="AJ497" s="86"/>
      <c r="AK497" s="86"/>
      <c r="AL497" s="86"/>
      <c r="AM497" s="86"/>
      <c r="AN497" s="86"/>
      <c r="AO497" s="3" t="str">
        <f t="shared" si="271"/>
        <v/>
      </c>
      <c r="AP497" s="33" t="str">
        <f t="shared" si="272"/>
        <v/>
      </c>
      <c r="AQ497" s="58" t="str">
        <f t="shared" si="253"/>
        <v/>
      </c>
      <c r="AR497" s="38">
        <f>IF(Summary!$H$2=1,VLOOKUP('ANR OK vs ML7'!A497,Curves!$C$17:$AR$273,MATCH('ANR OK vs ML7'!$AR$4,Curves!$C$8:$AQ$8,0)),0.1)</f>
        <v>0.1</v>
      </c>
      <c r="AS497" s="35" t="str">
        <f t="shared" si="254"/>
        <v/>
      </c>
      <c r="AT497" s="3" t="str">
        <f t="shared" si="273"/>
        <v/>
      </c>
      <c r="AU497" s="3" t="str">
        <f t="shared" si="255"/>
        <v/>
      </c>
      <c r="AW497" s="32" t="str">
        <f t="shared" si="274"/>
        <v/>
      </c>
      <c r="AX497" s="32" t="str">
        <f t="shared" si="275"/>
        <v/>
      </c>
      <c r="AY497" s="32" t="str">
        <f t="shared" si="276"/>
        <v/>
      </c>
      <c r="BA497" s="32" t="str">
        <f>IF($A498="","",F497*Summary!$Q$7)</f>
        <v/>
      </c>
    </row>
    <row r="498" spans="1:242">
      <c r="A498" s="67" t="str">
        <f t="shared" si="256"/>
        <v/>
      </c>
      <c r="B498" s="69" t="str">
        <f t="shared" si="277"/>
        <v/>
      </c>
      <c r="D498" s="69" t="str">
        <f t="shared" si="278"/>
        <v/>
      </c>
      <c r="E498" s="70" t="str">
        <f t="shared" si="251"/>
        <v/>
      </c>
      <c r="F498" s="70" t="str">
        <f t="shared" si="252"/>
        <v/>
      </c>
      <c r="G498" s="63" t="str">
        <f t="shared" si="257"/>
        <v/>
      </c>
      <c r="H498" s="64" t="str">
        <f t="shared" si="258"/>
        <v/>
      </c>
      <c r="J498" s="63" t="str">
        <f t="shared" si="259"/>
        <v/>
      </c>
      <c r="K498" s="64" t="str">
        <f t="shared" si="260"/>
        <v/>
      </c>
      <c r="L498" s="63" t="str">
        <f t="shared" si="261"/>
        <v/>
      </c>
      <c r="M498" s="64" t="str">
        <f t="shared" si="262"/>
        <v/>
      </c>
      <c r="O498" s="63" t="str">
        <f t="shared" si="263"/>
        <v/>
      </c>
      <c r="P498" s="63" t="str">
        <f t="shared" si="264"/>
        <v/>
      </c>
      <c r="R498" s="63" t="str">
        <f t="shared" si="265"/>
        <v/>
      </c>
      <c r="S498" s="64" t="str">
        <f t="shared" si="266"/>
        <v/>
      </c>
      <c r="T498" s="63" t="str">
        <f t="shared" si="267"/>
        <v/>
      </c>
      <c r="U498" s="64" t="str">
        <f t="shared" si="268"/>
        <v/>
      </c>
      <c r="V498" s="207" t="str">
        <f>IF($A499="","",IF(AND(MONTH(A498)&gt;3,MONTH(A498)&lt;11),(T498+R498+G498)*Summary!$T$7/(1-Summary!$T$7),(T498+R498+G498)*Summary!$U$7/(1-Summary!$U$7)))</f>
        <v/>
      </c>
      <c r="W498" s="63" t="str">
        <f t="shared" si="269"/>
        <v/>
      </c>
      <c r="X498" s="63" t="str">
        <f t="shared" si="270"/>
        <v/>
      </c>
      <c r="Y498" s="43"/>
      <c r="AJ498" s="86"/>
      <c r="AK498" s="86"/>
      <c r="AL498" s="86"/>
      <c r="AM498" s="86"/>
      <c r="AN498" s="86"/>
      <c r="AO498" s="3" t="str">
        <f t="shared" si="271"/>
        <v/>
      </c>
      <c r="AP498" s="33" t="str">
        <f t="shared" si="272"/>
        <v/>
      </c>
      <c r="AQ498" s="58" t="str">
        <f t="shared" si="253"/>
        <v/>
      </c>
      <c r="AR498" s="38">
        <f>IF(Summary!$H$2=1,VLOOKUP('ANR OK vs ML7'!A498,Curves!$C$17:$AR$273,MATCH('ANR OK vs ML7'!$AR$4,Curves!$C$8:$AQ$8,0)),0.1)</f>
        <v>0.1</v>
      </c>
      <c r="AS498" s="35" t="str">
        <f t="shared" si="254"/>
        <v/>
      </c>
      <c r="AT498" s="3" t="str">
        <f t="shared" si="273"/>
        <v/>
      </c>
      <c r="AU498" s="3" t="str">
        <f t="shared" si="255"/>
        <v/>
      </c>
      <c r="AW498" s="32" t="str">
        <f t="shared" si="274"/>
        <v/>
      </c>
      <c r="AX498" s="32" t="str">
        <f t="shared" si="275"/>
        <v/>
      </c>
      <c r="AY498" s="32" t="str">
        <f t="shared" si="276"/>
        <v/>
      </c>
      <c r="BA498" s="32" t="str">
        <f>IF($A499="","",F498*Summary!$Q$7)</f>
        <v/>
      </c>
    </row>
    <row r="499" spans="1:242">
      <c r="A499" s="67" t="str">
        <f t="shared" si="256"/>
        <v/>
      </c>
      <c r="B499" s="69" t="str">
        <f t="shared" si="277"/>
        <v/>
      </c>
      <c r="D499" s="69" t="str">
        <f t="shared" si="278"/>
        <v/>
      </c>
      <c r="E499" s="70" t="str">
        <f t="shared" si="251"/>
        <v/>
      </c>
      <c r="F499" s="70" t="str">
        <f t="shared" si="252"/>
        <v/>
      </c>
      <c r="G499" s="63" t="str">
        <f t="shared" si="257"/>
        <v/>
      </c>
      <c r="H499" s="64" t="str">
        <f t="shared" si="258"/>
        <v/>
      </c>
      <c r="J499" s="63" t="str">
        <f t="shared" si="259"/>
        <v/>
      </c>
      <c r="K499" s="64" t="str">
        <f t="shared" si="260"/>
        <v/>
      </c>
      <c r="L499" s="63" t="str">
        <f t="shared" si="261"/>
        <v/>
      </c>
      <c r="M499" s="64" t="str">
        <f t="shared" si="262"/>
        <v/>
      </c>
      <c r="O499" s="63" t="str">
        <f t="shared" si="263"/>
        <v/>
      </c>
      <c r="P499" s="63" t="str">
        <f t="shared" si="264"/>
        <v/>
      </c>
      <c r="R499" s="63" t="str">
        <f t="shared" si="265"/>
        <v/>
      </c>
      <c r="S499" s="64" t="str">
        <f t="shared" si="266"/>
        <v/>
      </c>
      <c r="T499" s="63" t="str">
        <f t="shared" si="267"/>
        <v/>
      </c>
      <c r="U499" s="64" t="str">
        <f t="shared" si="268"/>
        <v/>
      </c>
      <c r="V499" s="207" t="str">
        <f>IF($A500="","",IF(AND(MONTH(A499)&gt;3,MONTH(A499)&lt;11),(T499+R499+G499)*Summary!$T$7/(1-Summary!$T$7),(T499+R499+G499)*Summary!$U$7/(1-Summary!$U$7)))</f>
        <v/>
      </c>
      <c r="W499" s="63" t="str">
        <f t="shared" si="269"/>
        <v/>
      </c>
      <c r="X499" s="63" t="str">
        <f t="shared" si="270"/>
        <v/>
      </c>
      <c r="Y499" s="43"/>
      <c r="AJ499" s="86"/>
      <c r="AK499" s="86"/>
      <c r="AL499" s="86"/>
      <c r="AM499" s="86"/>
      <c r="AN499" s="86"/>
      <c r="AO499" s="3" t="str">
        <f t="shared" si="271"/>
        <v/>
      </c>
      <c r="AP499" s="33" t="str">
        <f t="shared" si="272"/>
        <v/>
      </c>
      <c r="AQ499" s="58" t="str">
        <f t="shared" si="253"/>
        <v/>
      </c>
      <c r="AR499" s="38">
        <f>IF(Summary!$H$2=1,VLOOKUP('ANR OK vs ML7'!A499,Curves!$C$17:$AR$273,MATCH('ANR OK vs ML7'!$AR$4,Curves!$C$8:$AQ$8,0)),0.1)</f>
        <v>0.1</v>
      </c>
      <c r="AS499" s="35" t="str">
        <f t="shared" si="254"/>
        <v/>
      </c>
      <c r="AT499" s="3" t="str">
        <f t="shared" si="273"/>
        <v/>
      </c>
      <c r="AU499" s="3" t="str">
        <f t="shared" si="255"/>
        <v/>
      </c>
      <c r="AW499" s="32" t="str">
        <f t="shared" si="274"/>
        <v/>
      </c>
      <c r="AX499" s="32" t="str">
        <f t="shared" si="275"/>
        <v/>
      </c>
      <c r="AY499" s="32" t="str">
        <f t="shared" si="276"/>
        <v/>
      </c>
      <c r="BA499" s="32" t="str">
        <f>IF($A500="","",F499*Summary!$Q$7)</f>
        <v/>
      </c>
    </row>
    <row r="500" spans="1:242">
      <c r="A500" s="67" t="str">
        <f t="shared" si="256"/>
        <v/>
      </c>
      <c r="B500" s="69" t="str">
        <f t="shared" si="277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>
        <f t="shared" si="274"/>
        <v>0</v>
      </c>
      <c r="AX500" s="32">
        <f t="shared" si="275"/>
        <v>0</v>
      </c>
      <c r="AY500" s="32">
        <f t="shared" si="276"/>
        <v>0</v>
      </c>
      <c r="BA500" s="32">
        <f>IF($A501="","",F500*Summary!$Q$7)</f>
        <v>0</v>
      </c>
    </row>
    <row r="501" spans="1:242">
      <c r="A501" s="1">
        <v>0</v>
      </c>
      <c r="B501" s="69" t="str">
        <f t="shared" si="277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74"/>
        <v/>
      </c>
      <c r="AX501" s="32" t="str">
        <f t="shared" si="275"/>
        <v/>
      </c>
      <c r="AY501" s="32" t="str">
        <f t="shared" si="276"/>
        <v/>
      </c>
      <c r="AZ501" s="1">
        <v>0</v>
      </c>
      <c r="BA501" s="32" t="str">
        <f>IF($A502="","",F501*Summary!$Q$7)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" right="0.27" top="0.75" bottom="0.5" header="0.5" footer="0.5"/>
  <pageSetup paperSize="5" scale="53" orientation="landscape" r:id="rId1"/>
  <headerFooter alignWithMargins="0">
    <oddFooter>&amp;L&amp;F / &amp;A&amp;R&amp;D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"/>
  <dimension ref="A1:IH722"/>
  <sheetViews>
    <sheetView showGridLines="0" topLeftCell="P1" zoomScale="80" workbookViewId="0">
      <selection activeCell="AH8" sqref="AH8"/>
    </sheetView>
  </sheetViews>
  <sheetFormatPr defaultRowHeight="12.75"/>
  <cols>
    <col min="1" max="1" width="14.140625" style="1" customWidth="1"/>
    <col min="2" max="2" width="14.5703125" style="1" customWidth="1"/>
    <col min="3" max="3" width="5.140625" style="1" customWidth="1"/>
    <col min="4" max="4" width="16.42578125" style="1" customWidth="1"/>
    <col min="5" max="5" width="14.85546875" style="1" bestFit="1" customWidth="1"/>
    <col min="6" max="6" width="13.85546875" style="1" bestFit="1" customWidth="1"/>
    <col min="7" max="7" width="10.7109375" style="1" customWidth="1"/>
    <col min="8" max="8" width="14.5703125" style="1" bestFit="1" customWidth="1"/>
    <col min="9" max="9" width="10" style="1" customWidth="1"/>
    <col min="10" max="10" width="20.140625" style="1" bestFit="1" customWidth="1"/>
    <col min="11" max="11" width="17.85546875" style="1" bestFit="1" customWidth="1"/>
    <col min="12" max="12" width="19.140625" style="1" bestFit="1" customWidth="1"/>
    <col min="13" max="13" width="15" style="1" bestFit="1" customWidth="1"/>
    <col min="14" max="14" width="1.42578125" style="1" customWidth="1"/>
    <col min="15" max="15" width="15" style="1" bestFit="1" customWidth="1"/>
    <col min="16" max="16" width="16.85546875" style="1" bestFit="1" customWidth="1"/>
    <col min="17" max="17" width="3" style="1" customWidth="1"/>
    <col min="18" max="18" width="20.140625" style="1" customWidth="1"/>
    <col min="19" max="19" width="17.85546875" style="1" customWidth="1"/>
    <col min="20" max="20" width="21.5703125" style="1" customWidth="1"/>
    <col min="21" max="21" width="15" style="1" customWidth="1"/>
    <col min="22" max="22" width="9.5703125" style="1" customWidth="1"/>
    <col min="23" max="23" width="15" style="1" bestFit="1" customWidth="1"/>
    <col min="24" max="24" width="16.85546875" style="1" bestFit="1" customWidth="1"/>
    <col min="25" max="25" width="2" style="1" customWidth="1"/>
    <col min="26" max="26" width="15.140625" style="3" customWidth="1"/>
    <col min="27" max="27" width="19.28515625" style="3" customWidth="1"/>
    <col min="28" max="28" width="15.28515625" style="3" customWidth="1"/>
    <col min="29" max="29" width="20.28515625" style="3" customWidth="1"/>
    <col min="30" max="31" width="15.7109375" style="3" customWidth="1"/>
    <col min="32" max="32" width="16.7109375" style="3" customWidth="1"/>
    <col min="33" max="33" width="13.28515625" style="3" customWidth="1"/>
    <col min="34" max="34" width="14.7109375" style="3" customWidth="1"/>
    <col min="35" max="35" width="14.85546875" style="3" customWidth="1"/>
    <col min="36" max="36" width="12.5703125" style="1" customWidth="1"/>
    <col min="37" max="37" width="10.7109375" style="1" customWidth="1"/>
    <col min="38" max="38" width="10" style="1" customWidth="1"/>
    <col min="39" max="40" width="9.140625" style="1"/>
    <col min="41" max="41" width="8.28515625" style="3" bestFit="1" customWidth="1"/>
    <col min="42" max="42" width="9.85546875" style="3" customWidth="1"/>
    <col min="43" max="43" width="8.5703125" style="3" bestFit="1" customWidth="1"/>
    <col min="44" max="44" width="11.7109375" style="3" bestFit="1" customWidth="1"/>
    <col min="45" max="45" width="10.28515625" style="3" bestFit="1" customWidth="1"/>
    <col min="46" max="46" width="7.5703125" style="3" bestFit="1" customWidth="1"/>
    <col min="47" max="47" width="6.42578125" style="3" bestFit="1" customWidth="1"/>
    <col min="48" max="48" width="1.42578125" style="1" customWidth="1"/>
    <col min="49" max="49" width="14.28515625" style="4" customWidth="1"/>
    <col min="50" max="51" width="14.28515625" style="1" customWidth="1"/>
    <col min="52" max="52" width="9.140625" style="1"/>
    <col min="53" max="53" width="15.5703125" style="1" bestFit="1" customWidth="1"/>
    <col min="54" max="54" width="9.140625" style="1"/>
    <col min="55" max="55" width="16.28515625" style="1" bestFit="1" customWidth="1"/>
    <col min="56" max="16384" width="9.140625" style="1"/>
  </cols>
  <sheetData>
    <row r="1" spans="1:55" ht="13.5" thickBot="1">
      <c r="A1" s="39" t="s">
        <v>62</v>
      </c>
      <c r="C1" s="40"/>
      <c r="D1" s="40" t="s">
        <v>15</v>
      </c>
      <c r="E1" s="57">
        <f ca="1">Summary!D8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Summary!J8</f>
        <v>NG_OMICRON_11</v>
      </c>
      <c r="AA1" s="24" t="str">
        <f>Summary!L8</f>
        <v>MICH/CONS</v>
      </c>
      <c r="AC1" s="24" t="str">
        <f>Summary!I8</f>
        <v>NG_OMICRON_1</v>
      </c>
      <c r="AD1" s="24" t="str">
        <f>Summary!K8</f>
        <v>NG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5" thickBot="1">
      <c r="A3" s="61">
        <f>Summary!E8</f>
        <v>37043</v>
      </c>
      <c r="B3" s="62">
        <f>Summary!F8</f>
        <v>42004</v>
      </c>
      <c r="C3" s="12"/>
      <c r="D3" s="12">
        <f>Summary!C8</f>
        <v>37025</v>
      </c>
      <c r="E3" s="13" t="str">
        <f>CONCATENATE(INT(AT8/12)," Y - ",AT8-INT(AT8/12)*12," M")</f>
        <v>13 Y - 7 M</v>
      </c>
      <c r="F3" s="59">
        <v>2</v>
      </c>
      <c r="G3" s="59">
        <v>1</v>
      </c>
      <c r="H3" s="44">
        <v>1</v>
      </c>
      <c r="I3" s="60">
        <f>Summary!P8</f>
        <v>0</v>
      </c>
      <c r="J3" s="171" t="str">
        <f>Summary!H8</f>
        <v>ML7/CG</v>
      </c>
      <c r="K3" s="60" t="str">
        <f>J3</f>
        <v>ML7/CG</v>
      </c>
      <c r="R3" s="171" t="str">
        <f>Summary!G8</f>
        <v>IF-ANR/LA</v>
      </c>
      <c r="S3" s="60" t="str">
        <f>R3</f>
        <v>IF-ANR/LA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  <c r="AH3" s="214"/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ML7/CG-D</v>
      </c>
      <c r="K4" s="15" t="str">
        <f>J3</f>
        <v>ML7/CG</v>
      </c>
      <c r="L4" s="41" t="str">
        <f>CONCATENATE(K3,"-","I")</f>
        <v>ML7/CG-I</v>
      </c>
      <c r="M4" s="15" t="str">
        <f>K3</f>
        <v>ML7/CG</v>
      </c>
      <c r="O4" s="15" t="str">
        <f>K4</f>
        <v>ML7/CG</v>
      </c>
      <c r="P4" s="15" t="str">
        <f>J4</f>
        <v>ML7/CG-D</v>
      </c>
      <c r="Q4" s="14"/>
      <c r="R4" s="41" t="str">
        <f>CONCATENATE(R3,"-","D")</f>
        <v>IF-ANR/LA-D</v>
      </c>
      <c r="S4" s="15" t="str">
        <f>R3</f>
        <v>IF-ANR/LA</v>
      </c>
      <c r="T4" s="41" t="str">
        <f>CONCATENATE(S3,"-","I")</f>
        <v>IF-ANR/LA-I</v>
      </c>
      <c r="U4" s="15" t="str">
        <f>S3</f>
        <v>IF-ANR/LA</v>
      </c>
      <c r="V4" s="15" t="s">
        <v>111</v>
      </c>
      <c r="W4" s="15" t="str">
        <f>S4</f>
        <v>IF-ANR/LA</v>
      </c>
      <c r="X4" s="15" t="str">
        <f>R4</f>
        <v>IF-ANR/LA-D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MICH/CONS-P</v>
      </c>
      <c r="AB4" s="227" t="s">
        <v>92</v>
      </c>
      <c r="AC4" s="226" t="str">
        <f>IF(AC1="NG",CONCATENATE(AC1,"-","VO"),CONCATENATE(AC1,"-","P"))</f>
        <v>NG_OMICRON_1-P</v>
      </c>
      <c r="AD4" s="227" t="str">
        <f>IF(AD1="NG",CONCATENATE(AD1,"-","VO"),CONCATENATE(AD1,"-","P"))</f>
        <v>NG-VO</v>
      </c>
      <c r="AE4" s="228" t="s">
        <v>93</v>
      </c>
      <c r="AF4" s="15" t="str">
        <f>J3</f>
        <v>ML7/CG</v>
      </c>
      <c r="AG4" s="15" t="s">
        <v>81</v>
      </c>
      <c r="AH4" s="14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IF-ANR/LA</v>
      </c>
      <c r="AG5" s="14" t="s">
        <v>197</v>
      </c>
      <c r="AH5" s="215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5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5" thickBot="1">
      <c r="A8" s="34" t="s">
        <v>31</v>
      </c>
      <c r="B8" s="25"/>
      <c r="C8" s="25"/>
      <c r="D8" s="25">
        <f>SUM(D10:D500)</f>
        <v>13040000</v>
      </c>
      <c r="E8" s="25">
        <f>SUM(E10:E500)</f>
        <v>396960000</v>
      </c>
      <c r="F8" s="25">
        <f ca="1">SUM(F10:F370)</f>
        <v>219799263.7352564</v>
      </c>
      <c r="G8" s="26">
        <f ca="1">SUMPRODUCT(G10:G499,$F$10:$F$499)/SUM($F$10:$F$499)</f>
        <v>4.346838445308677</v>
      </c>
      <c r="H8" s="26">
        <f ca="1">SUMPRODUCT(H10:H499,$F$10:$F$499)/SUM($F$10:$F$499)</f>
        <v>4.346838445308677</v>
      </c>
      <c r="I8" s="26"/>
      <c r="J8" s="26">
        <f ca="1">SUMPRODUCT(J10:J499,$F$10:$F$499)/SUM($F$10:$F$499)</f>
        <v>0.25463336457572333</v>
      </c>
      <c r="K8" s="26">
        <f ca="1">SUMPRODUCT(K10:K499,$F$10:$F$499)/SUM($F$10:$F$499)</f>
        <v>0.25463336457572333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4.6014718098844014</v>
      </c>
      <c r="P8" s="26">
        <f ca="1">SUMPRODUCT(P10:P499,$F$10:$F$499)/SUM($F$10:$F$499)</f>
        <v>4.6014718098844014</v>
      </c>
      <c r="Q8" s="26"/>
      <c r="R8" s="26">
        <f ca="1">SUMPRODUCT(R10:R499,$F$10:$F$499)/SUM($F$10:$F$499)</f>
        <v>-5.75023815916842E-2</v>
      </c>
      <c r="S8" s="26">
        <f ca="1">SUMPRODUCT(S10:S499,$F$10:$F$499)/SUM($F$10:$F$499)</f>
        <v>-5.75023815916842E-2</v>
      </c>
      <c r="T8" s="26">
        <f ca="1">SUMPRODUCT(T10:T499,$F$10:$F$499)/SUM($F$10:$F$499)</f>
        <v>1.7578193468450218E-3</v>
      </c>
      <c r="U8" s="26">
        <f ca="1">SUMPRODUCT(U10:U499,$F$10:$F$499)/SUM($F$10:$F$499)</f>
        <v>1.7578193468450218E-3</v>
      </c>
      <c r="V8" s="207">
        <f ca="1">SUMPRODUCT(V10:V499,F10:F499)/F8</f>
        <v>0.22442109437890423</v>
      </c>
      <c r="W8" s="26">
        <f ca="1">SUMPRODUCT(W10:W499,$F$10:$F$499)/SUM($F$10:$F$499)</f>
        <v>4.5155149774427477</v>
      </c>
      <c r="X8" s="26">
        <f ca="1">SUMPRODUCT(X10:X499,$F$10:$F$499)/SUM($F$10:$F$499)</f>
        <v>4.5155149774427477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SUMPRODUCT(AH10:AH300,F10:F300)/F8</f>
        <v>2.0476035617012087E-2</v>
      </c>
      <c r="AI8" s="26"/>
      <c r="AJ8" s="26"/>
      <c r="AK8" s="26"/>
      <c r="AL8" s="26">
        <f ca="1">AW8/$E8</f>
        <v>8.3289597465398241E-2</v>
      </c>
      <c r="AM8" s="26">
        <f ca="1">BC8/$F8</f>
        <v>6.6851451181854579E-2</v>
      </c>
      <c r="AN8" s="26">
        <f ca="1">AY8/$E8</f>
        <v>2.2070413039860143E-2</v>
      </c>
      <c r="AR8" s="27"/>
      <c r="AS8" s="11"/>
      <c r="AT8" s="28">
        <f>SUM(AT10:AT500)</f>
        <v>163</v>
      </c>
      <c r="AU8" s="28">
        <f>SUM(AU10:AU500)</f>
        <v>4962</v>
      </c>
      <c r="AW8" s="29">
        <f ca="1">SUM(AW10:AW501)</f>
        <v>33062638.609864485</v>
      </c>
      <c r="AX8" s="29">
        <f>SUM(AX10:AX501)</f>
        <v>24301567.449561622</v>
      </c>
      <c r="AY8" s="29">
        <f ca="1">SUM(AY10:AY501)</f>
        <v>8761071.160302883</v>
      </c>
      <c r="BA8" s="29">
        <f ca="1">SUM(BA10:BA501)</f>
        <v>0</v>
      </c>
      <c r="BC8" s="257">
        <f ca="1">SUM(BC10:BC501)</f>
        <v>14693899.749405073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Summary!O8</f>
        <v>80000</v>
      </c>
      <c r="C10" s="68"/>
      <c r="D10" s="69">
        <f t="shared" ref="D10:D73" si="0">IF(A11&lt;&gt;"",B10+C10,"")</f>
        <v>80000</v>
      </c>
      <c r="E10" s="70">
        <f t="shared" ref="E10:E73" si="1">IF(A11="","",IF(AND(AT10=1,$H$3=1),D10*AO10,IF($H$3=2,D10,"N/A")))</f>
        <v>2400000</v>
      </c>
      <c r="F10" s="70">
        <f t="shared" ref="F10:F73" ca="1" si="2">IF(A11="","",E10*AS10)</f>
        <v>2389124.5718509322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0.22500000000000001</v>
      </c>
      <c r="K10" s="64">
        <f t="shared" ref="K10:K73" si="6">IF(A11="","",J10)</f>
        <v>0.22500000000000001</v>
      </c>
      <c r="L10" s="63">
        <f t="shared" ref="L10:L73" si="7">IF($A11="","",VLOOKUP($A10,Table,MATCH(L$4,Curves,0)))</f>
        <v>0</v>
      </c>
      <c r="M10" s="64">
        <f t="shared" ref="M10:M73" si="8">IF(A11="","",L10)</f>
        <v>0</v>
      </c>
      <c r="N10" s="65"/>
      <c r="O10" s="63">
        <f t="shared" ref="O10:O73" si="9">IF(A11="","",L10+J10+G10)</f>
        <v>4.6189999999999998</v>
      </c>
      <c r="P10" s="63">
        <f t="shared" ref="P10:P73" si="10">IF(A11="","",M10+K10+H10)</f>
        <v>4.6189999999999998</v>
      </c>
      <c r="Q10" s="66"/>
      <c r="R10" s="63">
        <f t="shared" ref="R10:R73" si="11">IF($A11="","",VLOOKUP($A10,Table,MATCH(R$4,Curves,0)))</f>
        <v>-8.5000000000000006E-2</v>
      </c>
      <c r="S10" s="64">
        <f t="shared" ref="S10:S73" si="12">IF(A11="","",R10)</f>
        <v>-8.5000000000000006E-2</v>
      </c>
      <c r="T10" s="63">
        <f t="shared" ref="T10:T73" si="13">IF($A11="","",VLOOKUP($A10,Table,MATCH(T$4,Curves,0)))</f>
        <v>-5.0000000000000001E-3</v>
      </c>
      <c r="U10" s="64">
        <f t="shared" ref="U10:U73" si="14">IF(A11="","",T10)</f>
        <v>-5.0000000000000001E-3</v>
      </c>
      <c r="V10" s="207">
        <f>IF($A11="","",IF(AND(MONTH(A10)&gt;3,MONTH(A10)&lt;11),(T10+R10+G10)*Summary!$T$8/(1-Summary!$T$8),(T10+R10+G10)*Summary!$U$8/(1-Summary!$U$8)))</f>
        <v>0.22509607492370831</v>
      </c>
      <c r="W10" s="63">
        <f t="shared" ref="W10:W73" si="15">IF($A11="","",(T10+R10+G10+V10))</f>
        <v>4.529096074923709</v>
      </c>
      <c r="X10" s="63">
        <f t="shared" ref="X10:X73" si="16">IF($A11="","",(U10+S10+H10+V10))</f>
        <v>4.529096074923709</v>
      </c>
      <c r="Y10" s="43"/>
      <c r="Z10" s="38">
        <f t="shared" ref="Z10:Z73" si="17">IF($A11="","",VLOOKUP($A10,Table,MATCH(Z$4,Curves,0)))</f>
        <v>0.53</v>
      </c>
      <c r="AA10" s="38">
        <f t="shared" ref="AA10:AA73" si="18">IF($A11="","",VLOOKUP($A10,Table,MATCH(AA$4,Curves,0)))</f>
        <v>0.55600000000000005</v>
      </c>
      <c r="AB10" s="38">
        <f t="shared" ref="AB10:AB73" ca="1" si="19">SQRT((AA10^2*(A10-$D$3)+Z10^2*(DAY(EOMONTH(A10,0))/2))/AK10)</f>
        <v>0.75840188011680587</v>
      </c>
      <c r="AC10" s="38">
        <f t="shared" ref="AC10:AD73" si="20">IF($A11="","",VLOOKUP($A10,Table,MATCH(AC$4,Curves,0)))</f>
        <v>0.43</v>
      </c>
      <c r="AD10" s="38">
        <f>IF($A11="","",VLOOKUP($A10,Table,MATCH(AD$4,Curves,0)))</f>
        <v>0.54</v>
      </c>
      <c r="AE10" s="38">
        <f t="shared" ref="AE10:AE73" ca="1" si="21">SQRT((AD10^2*(A10-$D$3)+AC10^2*(DAY(EOMONTH(A10,0))/2))/AK10)</f>
        <v>0.68694977982382377</v>
      </c>
      <c r="AF10" s="237">
        <f ca="1">((Summary!$N$8*(AA10*AD10)*(A10-$D$3))+(Summary!$M$8*Z10*AC10*(AJ10-EOMONTH(EDATE(A10,-1),0))))/(AK10*AB10*AE10)</f>
        <v>0.99611046999638719</v>
      </c>
      <c r="AG10" s="88">
        <f>IF($A11="","",Summary!$Q$8)</f>
        <v>0</v>
      </c>
      <c r="AH10" s="88">
        <f>IF($A11="","",IF(Summary!$R$8="Y",(VLOOKUP($A10,Summary!$AD$6:$AF$9,3)+'Escalating commodity'!D23),'Escalating commodity'!D23))</f>
        <v>2.3199999999999998E-2</v>
      </c>
      <c r="AI10" s="88">
        <f>IF($A11="","",AH10)</f>
        <v>2.3199999999999998E-2</v>
      </c>
      <c r="AJ10" s="236">
        <f t="shared" ref="AJ10:AJ73" si="22">A10+DAY(EOMONTH(A10,0))/2-1</f>
        <v>37057</v>
      </c>
      <c r="AK10" s="58">
        <f t="shared" ref="AK10:AK73" ca="1" si="23">IF($A11="","",$A10-$E$1)</f>
        <v>17</v>
      </c>
      <c r="AL10" s="26">
        <f ca="1">IF($A11="","",_xll.SPRDOPT(P10,X10,AI10,0,AB10,AE10,AF10,AK10,$AJ$2,0))</f>
        <v>8.0940251325650553E-2</v>
      </c>
      <c r="AM10" s="89">
        <f t="shared" ref="AM10:AM73" si="24">IF($A11="","",MAX(0,O10-W10-AI10))</f>
        <v>6.6703925076290749E-2</v>
      </c>
      <c r="AN10" s="89">
        <f t="shared" ref="AN10:AN73" ca="1" si="25">IF($A11="","",AL10-AM10)</f>
        <v>1.4236326249359804E-2</v>
      </c>
      <c r="AO10" s="3">
        <f t="shared" ref="AO10:AO73" si="26">IF(A11="","",A11-A10)</f>
        <v>30</v>
      </c>
      <c r="AP10" s="33">
        <f t="shared" ref="AP10:AP73" si="27">IF(A11="","",CHOOSE(F$3,A11+24,A10))</f>
        <v>37043</v>
      </c>
      <c r="AQ10" s="58">
        <f t="shared" ref="AQ10:AQ73" ca="1" si="28">IF(A11="","",AP10-$E$1)</f>
        <v>17</v>
      </c>
      <c r="AR10" s="38">
        <f>'ANR OK vs ML7'!AR10</f>
        <v>0.1</v>
      </c>
      <c r="AS10" s="35">
        <f t="shared" ref="AS10:AS73" ca="1" si="29">IF(A11="","",1/(1+CHOOSE(F$3,(AR11+($I$3/10000))/2,(AR10+($I$3/10000))/2))^(2*AQ10/365.25))</f>
        <v>0.99546857160455515</v>
      </c>
      <c r="AT10" s="3">
        <f t="shared" ref="AT10:AT73" si="30">IF(A11="","",IF(AND(mthbeg&lt;=A10,mthend&gt;=A10),1,0))</f>
        <v>1</v>
      </c>
      <c r="AU10" s="3">
        <f t="shared" ref="AU10:AU73" si="31">IF(A11="","",AO10*AT10)</f>
        <v>30</v>
      </c>
      <c r="AW10" s="32">
        <f t="shared" ref="AW10:AW73" ca="1" si="32">IF($A11="","",AL10*$E10)</f>
        <v>194256.60318156134</v>
      </c>
      <c r="AX10" s="32">
        <f t="shared" ref="AX10:AX73" si="33">IF($A11="","",AM10*$E10)</f>
        <v>160089.4201830978</v>
      </c>
      <c r="AY10" s="32">
        <f t="shared" ref="AY10:AY73" ca="1" si="34">IF($A11="","",AN10*$E10)</f>
        <v>34167.182998463533</v>
      </c>
      <c r="AZ10" s="42"/>
      <c r="BA10" s="32">
        <f ca="1">IF($A11="","",F10*Summary!$Q$8)</f>
        <v>0</v>
      </c>
      <c r="BC10" s="256">
        <f ca="1">IF(A11="","",AM10*F10)</f>
        <v>159363.98643866979</v>
      </c>
    </row>
    <row r="11" spans="1:55">
      <c r="A11" s="67">
        <f t="shared" ref="A11:A74" si="35">IF(A10&lt;mthend,EDATE(A10,1),"")</f>
        <v>37073</v>
      </c>
      <c r="B11" s="69">
        <f>IF(A11&lt;mthend,B10,0)</f>
        <v>80000</v>
      </c>
      <c r="C11" s="71"/>
      <c r="D11" s="69">
        <f t="shared" si="0"/>
        <v>80000</v>
      </c>
      <c r="E11" s="70">
        <f t="shared" si="1"/>
        <v>2480000</v>
      </c>
      <c r="F11" s="70">
        <f t="shared" ca="1" si="2"/>
        <v>2449054.4771551085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0.22500000000000001</v>
      </c>
      <c r="K11" s="64">
        <f t="shared" si="6"/>
        <v>0.22500000000000001</v>
      </c>
      <c r="L11" s="63">
        <f t="shared" si="7"/>
        <v>0</v>
      </c>
      <c r="M11" s="64">
        <f t="shared" si="8"/>
        <v>0</v>
      </c>
      <c r="N11" s="65"/>
      <c r="O11" s="63">
        <f t="shared" si="9"/>
        <v>4.6899999999999995</v>
      </c>
      <c r="P11" s="63">
        <f t="shared" si="10"/>
        <v>4.6899999999999995</v>
      </c>
      <c r="Q11" s="66"/>
      <c r="R11" s="63">
        <f t="shared" si="11"/>
        <v>-8.5000000000000006E-2</v>
      </c>
      <c r="S11" s="64">
        <f t="shared" si="12"/>
        <v>-8.5000000000000006E-2</v>
      </c>
      <c r="T11" s="63">
        <f t="shared" si="13"/>
        <v>-5.0000000000000001E-3</v>
      </c>
      <c r="U11" s="64">
        <f t="shared" si="14"/>
        <v>-5.0000000000000001E-3</v>
      </c>
      <c r="V11" s="207">
        <f>IF($A12="","",IF(AND(MONTH(A11)&gt;3,MONTH(A11)&lt;11),(T11+R11+G11)*Summary!$T$8/(1-Summary!$T$8),(T11+R11+G11)*Summary!$U$8/(1-Summary!$U$8)))</f>
        <v>0.22880932337156687</v>
      </c>
      <c r="W11" s="63">
        <f t="shared" si="15"/>
        <v>4.6038093233715669</v>
      </c>
      <c r="X11" s="63">
        <f t="shared" si="16"/>
        <v>4.6038093233715669</v>
      </c>
      <c r="Y11" s="43"/>
      <c r="Z11" s="38">
        <f t="shared" si="17"/>
        <v>0.57999999999999996</v>
      </c>
      <c r="AA11" s="38">
        <f t="shared" si="18"/>
        <v>0.54100000000000004</v>
      </c>
      <c r="AB11" s="38">
        <f t="shared" ca="1" si="19"/>
        <v>0.64019425243519945</v>
      </c>
      <c r="AC11" s="38">
        <f t="shared" si="20"/>
        <v>0.48</v>
      </c>
      <c r="AD11" s="38">
        <f t="shared" si="20"/>
        <v>0.52500000000000002</v>
      </c>
      <c r="AE11" s="38">
        <f t="shared" ca="1" si="21"/>
        <v>0.5978899066095128</v>
      </c>
      <c r="AF11" s="237">
        <f ca="1">((Summary!$N$8*(AA11*AD11)*(A11-$D$3))+(Summary!$M$8*Z11*AC11*(AJ11-EOMONTH(EDATE(A11,-1),0))))/(AK11*AB11*AE11)</f>
        <v>0.9976125405474946</v>
      </c>
      <c r="AG11" s="88">
        <f>IF($A12="","",Summary!$Q$8)</f>
        <v>0</v>
      </c>
      <c r="AH11" s="88">
        <f>IF($A12="","",IF(Summary!$R$8="Y",(VLOOKUP($A11,Summary!$AD$6:$AF$9,3)+'Escalating commodity'!D24),'Escalating commodity'!D24))</f>
        <v>2.3199999999999998E-2</v>
      </c>
      <c r="AI11" s="88">
        <f t="shared" ref="AI11:AI74" si="36">IF($A12="","",AH11)</f>
        <v>2.3199999999999998E-2</v>
      </c>
      <c r="AJ11" s="236">
        <f t="shared" si="22"/>
        <v>37087.5</v>
      </c>
      <c r="AK11" s="58">
        <f t="shared" ca="1" si="23"/>
        <v>47</v>
      </c>
      <c r="AL11" s="26">
        <f ca="1">IF($A12="","",_xll.SPRDOPT(P11,X11,AI11,0,AB11,AE11,AF11,AK11,$AJ$2,0))</f>
        <v>8.0409047948530529E-2</v>
      </c>
      <c r="AM11" s="89">
        <f t="shared" si="24"/>
        <v>6.2990676628432607E-2</v>
      </c>
      <c r="AN11" s="89">
        <f t="shared" ca="1" si="25"/>
        <v>1.7418371320097922E-2</v>
      </c>
      <c r="AO11" s="3">
        <f t="shared" si="26"/>
        <v>31</v>
      </c>
      <c r="AP11" s="33">
        <f t="shared" si="27"/>
        <v>37073</v>
      </c>
      <c r="AQ11" s="58">
        <f t="shared" ca="1" si="28"/>
        <v>47</v>
      </c>
      <c r="AR11" s="38">
        <f>'ANR OK vs ML7'!AR11</f>
        <v>0.1</v>
      </c>
      <c r="AS11" s="35">
        <f t="shared" ca="1" si="29"/>
        <v>0.98752196659480185</v>
      </c>
      <c r="AT11" s="3">
        <f t="shared" si="30"/>
        <v>1</v>
      </c>
      <c r="AU11" s="3">
        <f t="shared" si="31"/>
        <v>31</v>
      </c>
      <c r="AW11" s="32">
        <f t="shared" ca="1" si="32"/>
        <v>199414.43891235572</v>
      </c>
      <c r="AX11" s="32">
        <f t="shared" si="33"/>
        <v>156216.87803851286</v>
      </c>
      <c r="AY11" s="32">
        <f t="shared" ca="1" si="34"/>
        <v>43197.560873842849</v>
      </c>
      <c r="BA11" s="32">
        <f ca="1">IF($A12="","",F11*Summary!$Q$8)</f>
        <v>0</v>
      </c>
      <c r="BC11" s="256">
        <f t="shared" ref="BC11:BC74" ca="1" si="37">IF(A12="","",AM11*F11)</f>
        <v>154267.59861589252</v>
      </c>
    </row>
    <row r="12" spans="1:55">
      <c r="A12" s="67">
        <f t="shared" si="35"/>
        <v>37104</v>
      </c>
      <c r="B12" s="69">
        <f t="shared" ref="B12:B75" si="38">IF(A12&lt;mthend,B11,0)</f>
        <v>80000</v>
      </c>
      <c r="C12" s="71"/>
      <c r="D12" s="69">
        <f t="shared" si="0"/>
        <v>80000</v>
      </c>
      <c r="E12" s="70">
        <f t="shared" si="1"/>
        <v>2480000</v>
      </c>
      <c r="F12" s="70">
        <f t="shared" ca="1" si="2"/>
        <v>2428855.2374059716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0.22500000000000001</v>
      </c>
      <c r="K12" s="64">
        <f t="shared" si="6"/>
        <v>0.22500000000000001</v>
      </c>
      <c r="L12" s="63">
        <f t="shared" si="7"/>
        <v>0</v>
      </c>
      <c r="M12" s="64">
        <f t="shared" si="8"/>
        <v>0</v>
      </c>
      <c r="N12" s="65"/>
      <c r="O12" s="63">
        <f t="shared" si="9"/>
        <v>4.7530000000000001</v>
      </c>
      <c r="P12" s="63">
        <f t="shared" si="10"/>
        <v>4.7530000000000001</v>
      </c>
      <c r="Q12" s="66"/>
      <c r="R12" s="63">
        <f t="shared" si="11"/>
        <v>-8.5000000000000006E-2</v>
      </c>
      <c r="S12" s="64">
        <f t="shared" si="12"/>
        <v>-8.5000000000000006E-2</v>
      </c>
      <c r="T12" s="63">
        <f t="shared" si="13"/>
        <v>-5.0000000000000001E-3</v>
      </c>
      <c r="U12" s="64">
        <f t="shared" si="14"/>
        <v>-5.0000000000000001E-3</v>
      </c>
      <c r="V12" s="207">
        <f>IF($A13="","",IF(AND(MONTH(A12)&gt;3,MONTH(A12)&lt;11),(T12+R12+G12)*Summary!$T$8/(1-Summary!$T$8),(T12+R12+G12)*Summary!$U$8/(1-Summary!$U$8)))</f>
        <v>0.23210417762811747</v>
      </c>
      <c r="W12" s="63">
        <f t="shared" si="15"/>
        <v>4.6701041776281178</v>
      </c>
      <c r="X12" s="63">
        <f t="shared" si="16"/>
        <v>4.6701041776281178</v>
      </c>
      <c r="Y12" s="43"/>
      <c r="Z12" s="38">
        <f t="shared" si="17"/>
        <v>0.63</v>
      </c>
      <c r="AA12" s="38">
        <f t="shared" si="18"/>
        <v>0.54600000000000004</v>
      </c>
      <c r="AB12" s="38">
        <f t="shared" ca="1" si="19"/>
        <v>0.61709736172354024</v>
      </c>
      <c r="AC12" s="38">
        <f t="shared" si="20"/>
        <v>0.53</v>
      </c>
      <c r="AD12" s="38">
        <f t="shared" si="20"/>
        <v>0.53</v>
      </c>
      <c r="AE12" s="38">
        <f t="shared" ca="1" si="21"/>
        <v>0.5833705116357476</v>
      </c>
      <c r="AF12" s="237">
        <f ca="1">((Summary!$N$8*(AA12*AD12)*(A12-$D$3))+(Summary!$M$8*Z12*AC12*(AJ12-EOMONTH(EDATE(A12,-1),0))))/(AK12*AB12*AE12)</f>
        <v>0.99837834613093523</v>
      </c>
      <c r="AG12" s="88">
        <f>IF($A13="","",Summary!$Q$8)</f>
        <v>0</v>
      </c>
      <c r="AH12" s="88">
        <f>IF($A13="","",IF(Summary!$R$8="Y",(VLOOKUP($A12,Summary!$AD$6:$AF$9,3)+'Escalating commodity'!D25),'Escalating commodity'!D25))</f>
        <v>2.3199999999999998E-2</v>
      </c>
      <c r="AI12" s="88">
        <f t="shared" si="36"/>
        <v>2.3199999999999998E-2</v>
      </c>
      <c r="AJ12" s="236">
        <f t="shared" si="22"/>
        <v>37118.5</v>
      </c>
      <c r="AK12" s="58">
        <f t="shared" ca="1" si="23"/>
        <v>78</v>
      </c>
      <c r="AL12" s="26">
        <f ca="1">IF($A13="","",_xll.SPRDOPT(P12,X12,AI12,0,AB12,AE12,AF12,AK12,$AJ$2,0))</f>
        <v>7.9828489221962243E-2</v>
      </c>
      <c r="AM12" s="89">
        <f t="shared" si="24"/>
        <v>5.9695822371882312E-2</v>
      </c>
      <c r="AN12" s="89">
        <f t="shared" ca="1" si="25"/>
        <v>2.0132666850079931E-2</v>
      </c>
      <c r="AO12" s="3">
        <f t="shared" si="26"/>
        <v>31</v>
      </c>
      <c r="AP12" s="33">
        <f t="shared" si="27"/>
        <v>37104</v>
      </c>
      <c r="AQ12" s="58">
        <f t="shared" ca="1" si="28"/>
        <v>78</v>
      </c>
      <c r="AR12" s="38">
        <f>'ANR OK vs ML7'!AR12</f>
        <v>0.1</v>
      </c>
      <c r="AS12" s="35">
        <f t="shared" ca="1" si="29"/>
        <v>0.97937711185724663</v>
      </c>
      <c r="AT12" s="3">
        <f t="shared" si="30"/>
        <v>1</v>
      </c>
      <c r="AU12" s="3">
        <f t="shared" si="31"/>
        <v>31</v>
      </c>
      <c r="AW12" s="32">
        <f t="shared" ca="1" si="32"/>
        <v>197974.65327046637</v>
      </c>
      <c r="AX12" s="32">
        <f t="shared" si="33"/>
        <v>148045.63948226813</v>
      </c>
      <c r="AY12" s="32">
        <f t="shared" ca="1" si="34"/>
        <v>49929.01378819823</v>
      </c>
      <c r="BA12" s="32">
        <f ca="1">IF($A13="","",F12*Summary!$Q$8)</f>
        <v>0</v>
      </c>
      <c r="BC12" s="256">
        <f t="shared" ca="1" si="37"/>
        <v>144992.51081920293</v>
      </c>
    </row>
    <row r="13" spans="1:55">
      <c r="A13" s="67">
        <f t="shared" si="35"/>
        <v>37135</v>
      </c>
      <c r="B13" s="69">
        <f t="shared" si="38"/>
        <v>80000</v>
      </c>
      <c r="C13" s="71"/>
      <c r="D13" s="69">
        <f t="shared" si="0"/>
        <v>80000</v>
      </c>
      <c r="E13" s="70">
        <f t="shared" si="1"/>
        <v>2400000</v>
      </c>
      <c r="F13" s="70">
        <f t="shared" ca="1" si="2"/>
        <v>2331118.6416334021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0.22500000000000001</v>
      </c>
      <c r="K13" s="64">
        <f t="shared" si="6"/>
        <v>0.22500000000000001</v>
      </c>
      <c r="L13" s="63">
        <f t="shared" si="7"/>
        <v>0</v>
      </c>
      <c r="M13" s="64">
        <f t="shared" si="8"/>
        <v>0</v>
      </c>
      <c r="N13" s="65"/>
      <c r="O13" s="63">
        <f t="shared" si="9"/>
        <v>4.7679999999999998</v>
      </c>
      <c r="P13" s="63">
        <f t="shared" si="10"/>
        <v>4.7679999999999998</v>
      </c>
      <c r="Q13" s="66"/>
      <c r="R13" s="63">
        <f t="shared" si="11"/>
        <v>-8.5000000000000006E-2</v>
      </c>
      <c r="S13" s="64">
        <f t="shared" si="12"/>
        <v>-8.5000000000000006E-2</v>
      </c>
      <c r="T13" s="63">
        <f t="shared" si="13"/>
        <v>-5.0000000000000001E-3</v>
      </c>
      <c r="U13" s="64">
        <f t="shared" si="14"/>
        <v>-5.0000000000000001E-3</v>
      </c>
      <c r="V13" s="207">
        <f>IF($A14="","",IF(AND(MONTH(A13)&gt;3,MONTH(A13)&lt;11),(T13+R13+G13)*Summary!$T$8/(1-Summary!$T$8),(T13+R13+G13)*Summary!$U$8/(1-Summary!$U$8)))</f>
        <v>0.23288866673681996</v>
      </c>
      <c r="W13" s="63">
        <f t="shared" si="15"/>
        <v>4.6858886667368207</v>
      </c>
      <c r="X13" s="63">
        <f t="shared" si="16"/>
        <v>4.6858886667368207</v>
      </c>
      <c r="Y13" s="43"/>
      <c r="Z13" s="38">
        <f t="shared" si="17"/>
        <v>0.63</v>
      </c>
      <c r="AA13" s="38">
        <f t="shared" si="18"/>
        <v>0.55600000000000005</v>
      </c>
      <c r="AB13" s="38">
        <f t="shared" ca="1" si="19"/>
        <v>0.60546789852707228</v>
      </c>
      <c r="AC13" s="38">
        <f t="shared" si="20"/>
        <v>0.53</v>
      </c>
      <c r="AD13" s="38">
        <f t="shared" si="20"/>
        <v>0.54</v>
      </c>
      <c r="AE13" s="38">
        <f t="shared" ca="1" si="21"/>
        <v>0.57700190004934171</v>
      </c>
      <c r="AF13" s="237">
        <f ca="1">((Summary!$N$8*(AA13*AD13)*(A13-$D$3))+(Summary!$M$8*Z13*AC13*(AJ13-EOMONTH(EDATE(A13,-1),0))))/(AK13*AB13*AE13)</f>
        <v>0.99873369726188921</v>
      </c>
      <c r="AG13" s="88">
        <f>IF($A14="","",Summary!$Q$8)</f>
        <v>0</v>
      </c>
      <c r="AH13" s="88">
        <f>IF($A14="","",IF(Summary!$R$8="Y",(VLOOKUP($A13,Summary!$AD$6:$AF$9,3)+'Escalating commodity'!D26),'Escalating commodity'!D26))</f>
        <v>2.3199999999999998E-2</v>
      </c>
      <c r="AI13" s="88">
        <f t="shared" si="36"/>
        <v>2.3199999999999998E-2</v>
      </c>
      <c r="AJ13" s="236">
        <f t="shared" si="22"/>
        <v>37149</v>
      </c>
      <c r="AK13" s="58">
        <f t="shared" ca="1" si="23"/>
        <v>109</v>
      </c>
      <c r="AL13" s="26">
        <f ca="1">IF($A14="","",_xll.SPRDOPT(P13,X13,AI13,0,AB13,AE13,AF13,AK13,$AJ$2,0))</f>
        <v>8.0153541374648016E-2</v>
      </c>
      <c r="AM13" s="89">
        <f t="shared" si="24"/>
        <v>5.89113332631791E-2</v>
      </c>
      <c r="AN13" s="89">
        <f t="shared" ca="1" si="25"/>
        <v>2.1242208111468916E-2</v>
      </c>
      <c r="AO13" s="3">
        <f t="shared" si="26"/>
        <v>30</v>
      </c>
      <c r="AP13" s="33">
        <f t="shared" si="27"/>
        <v>37135</v>
      </c>
      <c r="AQ13" s="58">
        <f t="shared" ca="1" si="28"/>
        <v>109</v>
      </c>
      <c r="AR13" s="38">
        <f>'ANR OK vs ML7'!AR13</f>
        <v>0.1</v>
      </c>
      <c r="AS13" s="35">
        <f t="shared" ca="1" si="29"/>
        <v>0.9712994340139175</v>
      </c>
      <c r="AT13" s="3">
        <f t="shared" si="30"/>
        <v>1</v>
      </c>
      <c r="AU13" s="3">
        <f t="shared" si="31"/>
        <v>30</v>
      </c>
      <c r="AW13" s="32">
        <f t="shared" ca="1" si="32"/>
        <v>192368.49929915523</v>
      </c>
      <c r="AX13" s="32">
        <f t="shared" si="33"/>
        <v>141387.19983162984</v>
      </c>
      <c r="AY13" s="32">
        <f t="shared" ca="1" si="34"/>
        <v>50981.299467525401</v>
      </c>
      <c r="BA13" s="32">
        <f ca="1">IF($A14="","",F13*Summary!$Q$8)</f>
        <v>0</v>
      </c>
      <c r="BC13" s="256">
        <f t="shared" ca="1" si="37"/>
        <v>137329.30717327472</v>
      </c>
    </row>
    <row r="14" spans="1:55">
      <c r="A14" s="67">
        <f t="shared" si="35"/>
        <v>37165</v>
      </c>
      <c r="B14" s="69">
        <f t="shared" si="38"/>
        <v>80000</v>
      </c>
      <c r="C14" s="71"/>
      <c r="D14" s="69">
        <f t="shared" si="0"/>
        <v>80000</v>
      </c>
      <c r="E14" s="70">
        <f t="shared" si="1"/>
        <v>2480000</v>
      </c>
      <c r="F14" s="70">
        <f t="shared" ca="1" si="2"/>
        <v>2389593.499366608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0.22500000000000001</v>
      </c>
      <c r="K14" s="64">
        <f t="shared" si="6"/>
        <v>0.22500000000000001</v>
      </c>
      <c r="L14" s="63">
        <f t="shared" si="7"/>
        <v>0</v>
      </c>
      <c r="M14" s="64">
        <f t="shared" si="8"/>
        <v>0</v>
      </c>
      <c r="N14" s="65"/>
      <c r="O14" s="63">
        <f t="shared" si="9"/>
        <v>4.7880000000000003</v>
      </c>
      <c r="P14" s="63">
        <f t="shared" si="10"/>
        <v>4.7880000000000003</v>
      </c>
      <c r="Q14" s="66"/>
      <c r="R14" s="63">
        <f t="shared" si="11"/>
        <v>-8.5000000000000006E-2</v>
      </c>
      <c r="S14" s="64">
        <f t="shared" si="12"/>
        <v>-8.5000000000000006E-2</v>
      </c>
      <c r="T14" s="63">
        <f t="shared" si="13"/>
        <v>-5.0000000000000001E-3</v>
      </c>
      <c r="U14" s="64">
        <f t="shared" si="14"/>
        <v>-5.0000000000000001E-3</v>
      </c>
      <c r="V14" s="207">
        <f>IF($A15="","",IF(AND(MONTH(A14)&gt;3,MONTH(A14)&lt;11),(T14+R14+G14)*Summary!$T$8/(1-Summary!$T$8),(T14+R14+G14)*Summary!$U$8/(1-Summary!$U$8)))</f>
        <v>0.23393465221508999</v>
      </c>
      <c r="W14" s="63">
        <f t="shared" si="15"/>
        <v>4.7069346522150903</v>
      </c>
      <c r="X14" s="63">
        <f t="shared" si="16"/>
        <v>4.7069346522150903</v>
      </c>
      <c r="Y14" s="43"/>
      <c r="Z14" s="38">
        <f t="shared" si="17"/>
        <v>0.68</v>
      </c>
      <c r="AA14" s="38">
        <f t="shared" si="18"/>
        <v>0.56700000000000006</v>
      </c>
      <c r="AB14" s="38">
        <f t="shared" ca="1" si="19"/>
        <v>0.61266994412297948</v>
      </c>
      <c r="AC14" s="38">
        <f t="shared" si="20"/>
        <v>0.57999999999999996</v>
      </c>
      <c r="AD14" s="38">
        <f t="shared" si="20"/>
        <v>0.55000000000000004</v>
      </c>
      <c r="AE14" s="38">
        <f t="shared" ca="1" si="21"/>
        <v>0.58496879336305896</v>
      </c>
      <c r="AF14" s="237">
        <f ca="1">((Summary!$N$8*(AA14*AD14)*(A14-$D$3))+(Summary!$M$8*Z14*AC14*(AJ14-EOMONTH(EDATE(A14,-1),0))))/(AK14*AB14*AE14)</f>
        <v>0.99902111313899422</v>
      </c>
      <c r="AG14" s="88">
        <f>IF($A15="","",Summary!$Q$8)</f>
        <v>0</v>
      </c>
      <c r="AH14" s="88">
        <f>IF($A15="","",IF(Summary!$R$8="Y",(VLOOKUP($A14,Summary!$AD$6:$AF$9,3)+'Escalating commodity'!D27),'Escalating commodity'!D27))</f>
        <v>2.3199999999999998E-2</v>
      </c>
      <c r="AI14" s="88">
        <f t="shared" si="36"/>
        <v>2.3199999999999998E-2</v>
      </c>
      <c r="AJ14" s="236">
        <f t="shared" si="22"/>
        <v>37179.5</v>
      </c>
      <c r="AK14" s="58">
        <f t="shared" ca="1" si="23"/>
        <v>139</v>
      </c>
      <c r="AL14" s="26">
        <f ca="1">IF($A15="","",_xll.SPRDOPT(P14,X14,AI14,0,AB14,AE14,AF14,AK14,$AJ$2,0))</f>
        <v>8.1882376795268177E-2</v>
      </c>
      <c r="AM14" s="89">
        <f t="shared" si="24"/>
        <v>5.7865347784909926E-2</v>
      </c>
      <c r="AN14" s="89">
        <f t="shared" ca="1" si="25"/>
        <v>2.4017029010358251E-2</v>
      </c>
      <c r="AO14" s="3">
        <f t="shared" si="26"/>
        <v>31</v>
      </c>
      <c r="AP14" s="33">
        <f t="shared" si="27"/>
        <v>37165</v>
      </c>
      <c r="AQ14" s="58">
        <f t="shared" ca="1" si="28"/>
        <v>139</v>
      </c>
      <c r="AR14" s="38">
        <f>'ANR OK vs ML7'!AR14</f>
        <v>0.1</v>
      </c>
      <c r="AS14" s="35">
        <f t="shared" ca="1" si="29"/>
        <v>0.96354576587363217</v>
      </c>
      <c r="AT14" s="3">
        <f t="shared" si="30"/>
        <v>1</v>
      </c>
      <c r="AU14" s="3">
        <f t="shared" si="31"/>
        <v>31</v>
      </c>
      <c r="AW14" s="32">
        <f t="shared" ca="1" si="32"/>
        <v>203068.29445226508</v>
      </c>
      <c r="AX14" s="32">
        <f t="shared" si="33"/>
        <v>143506.06250657662</v>
      </c>
      <c r="AY14" s="32">
        <f t="shared" ca="1" si="34"/>
        <v>59562.231945688465</v>
      </c>
      <c r="BA14" s="32">
        <f ca="1">IF($A15="","",F14*Summary!$Q$8)</f>
        <v>0</v>
      </c>
      <c r="BC14" s="256">
        <f t="shared" ca="1" si="37"/>
        <v>138274.65890540869</v>
      </c>
    </row>
    <row r="15" spans="1:55">
      <c r="A15" s="67">
        <f t="shared" si="35"/>
        <v>37196</v>
      </c>
      <c r="B15" s="69">
        <f t="shared" si="38"/>
        <v>80000</v>
      </c>
      <c r="C15" s="71"/>
      <c r="D15" s="69">
        <f t="shared" si="0"/>
        <v>80000</v>
      </c>
      <c r="E15" s="70">
        <f t="shared" si="1"/>
        <v>2400000</v>
      </c>
      <c r="F15" s="70">
        <f t="shared" ca="1" si="2"/>
        <v>2293436.7872202769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0.25</v>
      </c>
      <c r="K15" s="64">
        <f t="shared" si="6"/>
        <v>0.25</v>
      </c>
      <c r="L15" s="63">
        <f t="shared" si="7"/>
        <v>0</v>
      </c>
      <c r="M15" s="64">
        <f t="shared" si="8"/>
        <v>0</v>
      </c>
      <c r="N15" s="65"/>
      <c r="O15" s="63">
        <f t="shared" si="9"/>
        <v>4.9780000000000006</v>
      </c>
      <c r="P15" s="63">
        <f t="shared" si="10"/>
        <v>4.9780000000000006</v>
      </c>
      <c r="Q15" s="66"/>
      <c r="R15" s="63">
        <f t="shared" si="11"/>
        <v>-0.08</v>
      </c>
      <c r="S15" s="64">
        <f t="shared" si="12"/>
        <v>-0.08</v>
      </c>
      <c r="T15" s="63">
        <f t="shared" si="13"/>
        <v>5.0000000000000001E-3</v>
      </c>
      <c r="U15" s="64">
        <f t="shared" si="14"/>
        <v>5.0000000000000001E-3</v>
      </c>
      <c r="V15" s="207">
        <f>IF($A16="","",IF(AND(MONTH(A15)&gt;3,MONTH(A15)&lt;11),(T15+R15+G15)*Summary!$T$8/(1-Summary!$T$8),(T15+R15+G15)*Summary!$U$8/(1-Summary!$U$8)))</f>
        <v>0.24334852151952016</v>
      </c>
      <c r="W15" s="63">
        <f t="shared" si="15"/>
        <v>4.8963485215195206</v>
      </c>
      <c r="X15" s="63">
        <f t="shared" si="16"/>
        <v>4.8963485215195206</v>
      </c>
      <c r="Y15" s="43"/>
      <c r="Z15" s="38">
        <f t="shared" si="17"/>
        <v>1.05</v>
      </c>
      <c r="AA15" s="38">
        <f t="shared" si="18"/>
        <v>0.57700000000000007</v>
      </c>
      <c r="AB15" s="38">
        <f t="shared" ca="1" si="19"/>
        <v>0.65739395924138133</v>
      </c>
      <c r="AC15" s="38">
        <f t="shared" si="20"/>
        <v>1.05</v>
      </c>
      <c r="AD15" s="38">
        <f t="shared" si="20"/>
        <v>0.56000000000000005</v>
      </c>
      <c r="AE15" s="38">
        <f t="shared" ca="1" si="21"/>
        <v>0.64243608059250445</v>
      </c>
      <c r="AF15" s="237">
        <f ca="1">((Summary!$N$8*(AA15*AD15)*(A15-$D$3))+(Summary!$M$8*Z15*AC15*(AJ15-EOMONTH(EDATE(A15,-1),0))))/(AK15*AB15*AE15)</f>
        <v>0.99984376567724498</v>
      </c>
      <c r="AG15" s="88">
        <f>IF($A16="","",Summary!$Q$8)</f>
        <v>0</v>
      </c>
      <c r="AH15" s="88">
        <f>IF($A16="","",IF(Summary!$R$8="Y",(VLOOKUP($A15,Summary!$AD$6:$AF$9,3)+'Escalating commodity'!D28),'Escalating commodity'!D28))</f>
        <v>2.3199999999999998E-2</v>
      </c>
      <c r="AI15" s="88">
        <f t="shared" si="36"/>
        <v>2.3199999999999998E-2</v>
      </c>
      <c r="AJ15" s="236">
        <f t="shared" si="22"/>
        <v>37210</v>
      </c>
      <c r="AK15" s="58">
        <f t="shared" ca="1" si="23"/>
        <v>170</v>
      </c>
      <c r="AL15" s="26">
        <f ca="1">IF($A16="","",_xll.SPRDOPT(P15,X15,AI15,0,AB15,AE15,AF15,AK15,$AJ$2,0))</f>
        <v>6.7005525703044383E-2</v>
      </c>
      <c r="AM15" s="89">
        <f t="shared" si="24"/>
        <v>5.8451478480480046E-2</v>
      </c>
      <c r="AN15" s="89">
        <f t="shared" ca="1" si="25"/>
        <v>8.5540472225643371E-3</v>
      </c>
      <c r="AO15" s="3">
        <f t="shared" si="26"/>
        <v>30</v>
      </c>
      <c r="AP15" s="33">
        <f t="shared" si="27"/>
        <v>37196</v>
      </c>
      <c r="AQ15" s="58">
        <f t="shared" ca="1" si="28"/>
        <v>170</v>
      </c>
      <c r="AR15" s="38">
        <f>'ANR OK vs ML7'!AR15</f>
        <v>0.1</v>
      </c>
      <c r="AS15" s="35">
        <f t="shared" ca="1" si="29"/>
        <v>0.95559866134178195</v>
      </c>
      <c r="AT15" s="3">
        <f t="shared" si="30"/>
        <v>1</v>
      </c>
      <c r="AU15" s="3">
        <f t="shared" si="31"/>
        <v>30</v>
      </c>
      <c r="AW15" s="32">
        <f t="shared" ca="1" si="32"/>
        <v>160813.26168730651</v>
      </c>
      <c r="AX15" s="32">
        <f t="shared" si="33"/>
        <v>140283.54835315212</v>
      </c>
      <c r="AY15" s="32">
        <f t="shared" ca="1" si="34"/>
        <v>20529.71333415441</v>
      </c>
      <c r="BA15" s="32">
        <f ca="1">IF($A16="","",F15*Summary!$Q$8)</f>
        <v>0</v>
      </c>
      <c r="BC15" s="256">
        <f t="shared" ca="1" si="37"/>
        <v>134054.7710145473</v>
      </c>
    </row>
    <row r="16" spans="1:55">
      <c r="A16" s="67">
        <f t="shared" si="35"/>
        <v>37226</v>
      </c>
      <c r="B16" s="69">
        <f t="shared" si="38"/>
        <v>80000</v>
      </c>
      <c r="C16" s="71"/>
      <c r="D16" s="69">
        <f t="shared" si="0"/>
        <v>80000</v>
      </c>
      <c r="E16" s="70">
        <f t="shared" si="1"/>
        <v>2480000</v>
      </c>
      <c r="F16" s="70">
        <f t="shared" ca="1" si="2"/>
        <v>2350966.4158962495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0.26</v>
      </c>
      <c r="K16" s="64">
        <f t="shared" si="6"/>
        <v>0.26</v>
      </c>
      <c r="L16" s="63">
        <f t="shared" si="7"/>
        <v>0</v>
      </c>
      <c r="M16" s="64">
        <f t="shared" si="8"/>
        <v>0</v>
      </c>
      <c r="N16" s="65"/>
      <c r="O16" s="63">
        <f t="shared" si="9"/>
        <v>5.1449999999999996</v>
      </c>
      <c r="P16" s="63">
        <f t="shared" si="10"/>
        <v>5.1449999999999996</v>
      </c>
      <c r="Q16" s="66"/>
      <c r="R16" s="63">
        <f t="shared" si="11"/>
        <v>-0.08</v>
      </c>
      <c r="S16" s="64">
        <f t="shared" si="12"/>
        <v>-0.08</v>
      </c>
      <c r="T16" s="63">
        <f t="shared" si="13"/>
        <v>5.0000000000000001E-3</v>
      </c>
      <c r="U16" s="64">
        <f t="shared" si="14"/>
        <v>5.0000000000000001E-3</v>
      </c>
      <c r="V16" s="207">
        <f>IF($A17="","",IF(AND(MONTH(A16)&gt;3,MONTH(A16)&lt;11),(T16+R16+G16)*Summary!$T$8/(1-Summary!$T$8),(T16+R16+G16)*Summary!$U$8/(1-Summary!$U$8)))</f>
        <v>0.2515595075239398</v>
      </c>
      <c r="W16" s="63">
        <f t="shared" si="15"/>
        <v>5.0615595075239392</v>
      </c>
      <c r="X16" s="63">
        <f t="shared" si="16"/>
        <v>5.0615595075239392</v>
      </c>
      <c r="Y16" s="43"/>
      <c r="Z16" s="38">
        <f t="shared" si="17"/>
        <v>1.35</v>
      </c>
      <c r="AA16" s="38">
        <f t="shared" si="18"/>
        <v>0.58499999999999996</v>
      </c>
      <c r="AB16" s="38">
        <f t="shared" ca="1" si="19"/>
        <v>0.69654854461121374</v>
      </c>
      <c r="AC16" s="38">
        <f t="shared" si="20"/>
        <v>1.25</v>
      </c>
      <c r="AD16" s="38">
        <f t="shared" si="20"/>
        <v>0.5675</v>
      </c>
      <c r="AE16" s="38">
        <f t="shared" ca="1" si="21"/>
        <v>0.66690350220253003</v>
      </c>
      <c r="AF16" s="237">
        <f ca="1">((Summary!$N$8*(AA16*AD16)*(A16-$D$3))+(Summary!$M$8*Z16*AC16*(AJ16-EOMONTH(EDATE(A16,-1),0))))/(AK16*AB16*AE16)</f>
        <v>0.9997086498059774</v>
      </c>
      <c r="AG16" s="88">
        <f>IF($A17="","",Summary!$Q$8)</f>
        <v>0</v>
      </c>
      <c r="AH16" s="88">
        <f>IF($A17="","",IF(Summary!$R$8="Y",(VLOOKUP($A16,Summary!$AD$6:$AF$9,3)+'Escalating commodity'!D29),'Escalating commodity'!D29))</f>
        <v>2.3199999999999998E-2</v>
      </c>
      <c r="AI16" s="88">
        <f t="shared" si="36"/>
        <v>2.3199999999999998E-2</v>
      </c>
      <c r="AJ16" s="236">
        <f t="shared" si="22"/>
        <v>37240.5</v>
      </c>
      <c r="AK16" s="58">
        <f t="shared" ca="1" si="23"/>
        <v>200</v>
      </c>
      <c r="AL16" s="26">
        <f ca="1">IF($A17="","",_xll.SPRDOPT(P16,X16,AI16,0,AB16,AE16,AF16,AK16,$AJ$2,0))</f>
        <v>9.0185948919761894E-2</v>
      </c>
      <c r="AM16" s="89">
        <f t="shared" si="24"/>
        <v>6.0240492476060337E-2</v>
      </c>
      <c r="AN16" s="89">
        <f t="shared" ca="1" si="25"/>
        <v>2.9945456443701557E-2</v>
      </c>
      <c r="AO16" s="3">
        <f t="shared" si="26"/>
        <v>31</v>
      </c>
      <c r="AP16" s="33">
        <f t="shared" si="27"/>
        <v>37226</v>
      </c>
      <c r="AQ16" s="58">
        <f t="shared" ca="1" si="28"/>
        <v>200</v>
      </c>
      <c r="AR16" s="38">
        <f>'ANR OK vs ML7'!AR16</f>
        <v>0.1</v>
      </c>
      <c r="AS16" s="35">
        <f t="shared" ca="1" si="29"/>
        <v>0.94797032899042311</v>
      </c>
      <c r="AT16" s="3">
        <f t="shared" si="30"/>
        <v>1</v>
      </c>
      <c r="AU16" s="3">
        <f t="shared" si="31"/>
        <v>31</v>
      </c>
      <c r="AW16" s="32">
        <f t="shared" ca="1" si="32"/>
        <v>223661.15332100951</v>
      </c>
      <c r="AX16" s="32">
        <f t="shared" si="33"/>
        <v>149396.42134062963</v>
      </c>
      <c r="AY16" s="32">
        <f t="shared" ca="1" si="34"/>
        <v>74264.73198037986</v>
      </c>
      <c r="BA16" s="32">
        <f ca="1">IF($A17="","",F16*Summary!$Q$8)</f>
        <v>0</v>
      </c>
      <c r="BC16" s="256">
        <f t="shared" ca="1" si="37"/>
        <v>141623.37468826855</v>
      </c>
    </row>
    <row r="17" spans="1:55">
      <c r="A17" s="67">
        <f t="shared" si="35"/>
        <v>37257</v>
      </c>
      <c r="B17" s="69">
        <f t="shared" si="38"/>
        <v>80000</v>
      </c>
      <c r="C17" s="71"/>
      <c r="D17" s="69">
        <f t="shared" si="0"/>
        <v>80000</v>
      </c>
      <c r="E17" s="70">
        <f t="shared" si="1"/>
        <v>2480000</v>
      </c>
      <c r="F17" s="70">
        <f t="shared" ca="1" si="2"/>
        <v>2331576.1839843728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0.26</v>
      </c>
      <c r="K17" s="64">
        <f t="shared" si="6"/>
        <v>0.26</v>
      </c>
      <c r="L17" s="63">
        <f t="shared" si="7"/>
        <v>0</v>
      </c>
      <c r="M17" s="64">
        <f t="shared" si="8"/>
        <v>0</v>
      </c>
      <c r="N17" s="65"/>
      <c r="O17" s="63">
        <f t="shared" si="9"/>
        <v>5.2069999999999999</v>
      </c>
      <c r="P17" s="63">
        <f t="shared" si="10"/>
        <v>5.2069999999999999</v>
      </c>
      <c r="Q17" s="66"/>
      <c r="R17" s="63">
        <f t="shared" si="11"/>
        <v>-0.08</v>
      </c>
      <c r="S17" s="64">
        <f t="shared" si="12"/>
        <v>-0.08</v>
      </c>
      <c r="T17" s="63">
        <f t="shared" si="13"/>
        <v>5.0000000000000001E-3</v>
      </c>
      <c r="U17" s="64">
        <f t="shared" si="14"/>
        <v>5.0000000000000001E-3</v>
      </c>
      <c r="V17" s="207">
        <f>IF($A18="","",IF(AND(MONTH(A17)&gt;3,MONTH(A17)&lt;11),(T17+R17+G17)*Summary!$T$8/(1-Summary!$T$8),(T17+R17+G17)*Summary!$U$8/(1-Summary!$U$8)))</f>
        <v>0.25480206250657689</v>
      </c>
      <c r="W17" s="63">
        <f t="shared" si="15"/>
        <v>5.1268020625065764</v>
      </c>
      <c r="X17" s="63">
        <f t="shared" si="16"/>
        <v>5.1268020625065764</v>
      </c>
      <c r="Y17" s="43"/>
      <c r="Z17" s="38">
        <f t="shared" si="17"/>
        <v>1.35</v>
      </c>
      <c r="AA17" s="38">
        <f t="shared" si="18"/>
        <v>0.59200000000000008</v>
      </c>
      <c r="AB17" s="38">
        <f t="shared" ca="1" si="19"/>
        <v>0.68867272431258764</v>
      </c>
      <c r="AC17" s="38">
        <f t="shared" si="20"/>
        <v>1.25</v>
      </c>
      <c r="AD17" s="38">
        <f t="shared" si="20"/>
        <v>0.57499999999999996</v>
      </c>
      <c r="AE17" s="38">
        <f t="shared" ca="1" si="21"/>
        <v>0.66098362358635676</v>
      </c>
      <c r="AF17" s="237">
        <f ca="1">((Summary!$N$8*(AA17*AD17)*(A17-$D$3))+(Summary!$M$8*Z17*AC17*(AJ17-EOMONTH(EDATE(A17,-1),0))))/(AK17*AB17*AE17)</f>
        <v>0.99971118808399562</v>
      </c>
      <c r="AG17" s="88">
        <f>IF($A18="","",Summary!$Q$8)</f>
        <v>0</v>
      </c>
      <c r="AH17" s="88">
        <f>IF($A18="","",IF(Summary!$R$8="Y",(VLOOKUP($A17,Summary!$AD$6:$AF$9,3)+'Escalating commodity'!D30),'Escalating commodity'!D30))</f>
        <v>2.12E-2</v>
      </c>
      <c r="AI17" s="88">
        <f t="shared" si="36"/>
        <v>2.12E-2</v>
      </c>
      <c r="AJ17" s="236">
        <f t="shared" si="22"/>
        <v>37271.5</v>
      </c>
      <c r="AK17" s="58">
        <f t="shared" ca="1" si="23"/>
        <v>231</v>
      </c>
      <c r="AL17" s="26">
        <f ca="1">IF($A18="","",_xll.SPRDOPT(P17,X17,AI17,0,AB17,AE17,AF17,AK17,$AJ$2,0))</f>
        <v>9.057408661558243E-2</v>
      </c>
      <c r="AM17" s="89">
        <f t="shared" si="24"/>
        <v>5.8997937493423414E-2</v>
      </c>
      <c r="AN17" s="89">
        <f t="shared" ca="1" si="25"/>
        <v>3.1576149122159017E-2</v>
      </c>
      <c r="AO17" s="3">
        <f t="shared" si="26"/>
        <v>31</v>
      </c>
      <c r="AP17" s="33">
        <f t="shared" si="27"/>
        <v>37257</v>
      </c>
      <c r="AQ17" s="58">
        <f t="shared" ca="1" si="28"/>
        <v>231</v>
      </c>
      <c r="AR17" s="38">
        <f>'ANR OK vs ML7'!AR17</f>
        <v>0.1</v>
      </c>
      <c r="AS17" s="35">
        <f t="shared" ca="1" si="29"/>
        <v>0.94015168709047281</v>
      </c>
      <c r="AT17" s="3">
        <f t="shared" si="30"/>
        <v>1</v>
      </c>
      <c r="AU17" s="3">
        <f t="shared" si="31"/>
        <v>31</v>
      </c>
      <c r="AW17" s="32">
        <f t="shared" ca="1" si="32"/>
        <v>224623.73480664444</v>
      </c>
      <c r="AX17" s="32">
        <f t="shared" si="33"/>
        <v>146314.88498369008</v>
      </c>
      <c r="AY17" s="32">
        <f t="shared" ca="1" si="34"/>
        <v>78308.849822954362</v>
      </c>
      <c r="BA17" s="32">
        <f ca="1">IF($A18="","",F17*Summary!$Q$8)</f>
        <v>0</v>
      </c>
      <c r="BC17" s="256">
        <f t="shared" ca="1" si="37"/>
        <v>137558.1859638647</v>
      </c>
    </row>
    <row r="18" spans="1:55">
      <c r="A18" s="67">
        <f t="shared" si="35"/>
        <v>37288</v>
      </c>
      <c r="B18" s="69">
        <f t="shared" si="38"/>
        <v>80000</v>
      </c>
      <c r="C18" s="71"/>
      <c r="D18" s="69">
        <f t="shared" si="0"/>
        <v>80000</v>
      </c>
      <c r="E18" s="70">
        <f t="shared" si="1"/>
        <v>2240000</v>
      </c>
      <c r="F18" s="70">
        <f t="shared" ca="1" si="2"/>
        <v>2088570.4706855877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0.34</v>
      </c>
      <c r="K18" s="64">
        <f t="shared" si="6"/>
        <v>0.34</v>
      </c>
      <c r="L18" s="63">
        <f t="shared" si="7"/>
        <v>0</v>
      </c>
      <c r="M18" s="64">
        <f t="shared" si="8"/>
        <v>0</v>
      </c>
      <c r="N18" s="65"/>
      <c r="O18" s="63">
        <f t="shared" si="9"/>
        <v>5.157</v>
      </c>
      <c r="P18" s="63">
        <f t="shared" si="10"/>
        <v>5.157</v>
      </c>
      <c r="Q18" s="66"/>
      <c r="R18" s="63">
        <f t="shared" si="11"/>
        <v>-0.08</v>
      </c>
      <c r="S18" s="64">
        <f t="shared" si="12"/>
        <v>-0.08</v>
      </c>
      <c r="T18" s="63">
        <f t="shared" si="13"/>
        <v>5.0000000000000001E-3</v>
      </c>
      <c r="U18" s="64">
        <f t="shared" si="14"/>
        <v>5.0000000000000001E-3</v>
      </c>
      <c r="V18" s="207">
        <f>IF($A19="","",IF(AND(MONTH(A18)&gt;3,MONTH(A18)&lt;11),(T18+R18+G18)*Summary!$T$8/(1-Summary!$T$8),(T18+R18+G18)*Summary!$U$8/(1-Summary!$U$8)))</f>
        <v>0.24800315689782174</v>
      </c>
      <c r="W18" s="63">
        <f t="shared" si="15"/>
        <v>4.9900031568978216</v>
      </c>
      <c r="X18" s="63">
        <f t="shared" si="16"/>
        <v>4.9900031568978216</v>
      </c>
      <c r="Y18" s="43"/>
      <c r="Z18" s="38">
        <f t="shared" si="17"/>
        <v>1.35</v>
      </c>
      <c r="AA18" s="38">
        <f t="shared" si="18"/>
        <v>0.58700000000000008</v>
      </c>
      <c r="AB18" s="38">
        <f t="shared" ca="1" si="19"/>
        <v>0.66578498408883335</v>
      </c>
      <c r="AC18" s="38">
        <f t="shared" si="20"/>
        <v>1.25</v>
      </c>
      <c r="AD18" s="38">
        <f t="shared" si="20"/>
        <v>0.56999999999999995</v>
      </c>
      <c r="AE18" s="38">
        <f t="shared" ca="1" si="21"/>
        <v>0.64002534539508005</v>
      </c>
      <c r="AF18" s="237">
        <f ca="1">((Summary!$N$8*(AA18*AD18)*(A18-$D$3))+(Summary!$M$8*Z18*AC18*(AJ18-EOMONTH(EDATE(A18,-1),0))))/(AK18*AB18*AE18)</f>
        <v>0.99973238874171122</v>
      </c>
      <c r="AG18" s="88">
        <f>IF($A19="","",Summary!$Q$8)</f>
        <v>0</v>
      </c>
      <c r="AH18" s="88">
        <f>IF($A19="","",IF(Summary!$R$8="Y",(VLOOKUP($A18,Summary!$AD$6:$AF$9,3)+'Escalating commodity'!D31),'Escalating commodity'!D31))</f>
        <v>2.12E-2</v>
      </c>
      <c r="AI18" s="88">
        <f t="shared" si="36"/>
        <v>2.12E-2</v>
      </c>
      <c r="AJ18" s="236">
        <f t="shared" si="22"/>
        <v>37301</v>
      </c>
      <c r="AK18" s="58">
        <f t="shared" ca="1" si="23"/>
        <v>262</v>
      </c>
      <c r="AL18" s="26">
        <f ca="1">IF($A19="","",_xll.SPRDOPT(P18,X18,AI18,0,AB18,AE18,AF18,AK18,$AJ$2,0))</f>
        <v>0.15693349567989967</v>
      </c>
      <c r="AM18" s="89">
        <f t="shared" si="24"/>
        <v>0.14579684310217844</v>
      </c>
      <c r="AN18" s="89">
        <f t="shared" ca="1" si="25"/>
        <v>1.1136652577721229E-2</v>
      </c>
      <c r="AO18" s="3">
        <f t="shared" si="26"/>
        <v>28</v>
      </c>
      <c r="AP18" s="33">
        <f t="shared" si="27"/>
        <v>37288</v>
      </c>
      <c r="AQ18" s="58">
        <f t="shared" ca="1" si="28"/>
        <v>262</v>
      </c>
      <c r="AR18" s="38">
        <f>'ANR OK vs ML7'!AR18</f>
        <v>0.1</v>
      </c>
      <c r="AS18" s="35">
        <f t="shared" ca="1" si="29"/>
        <v>0.93239753155606597</v>
      </c>
      <c r="AT18" s="3">
        <f t="shared" si="30"/>
        <v>1</v>
      </c>
      <c r="AU18" s="3">
        <f t="shared" si="31"/>
        <v>28</v>
      </c>
      <c r="AW18" s="32">
        <f t="shared" ca="1" si="32"/>
        <v>351531.03032297525</v>
      </c>
      <c r="AX18" s="32">
        <f t="shared" si="33"/>
        <v>326584.92854887969</v>
      </c>
      <c r="AY18" s="32">
        <f t="shared" ca="1" si="34"/>
        <v>24946.101774095554</v>
      </c>
      <c r="BA18" s="32">
        <f ca="1">IF($A19="","",F18*Summary!$Q$8)</f>
        <v>0</v>
      </c>
      <c r="BC18" s="256">
        <f t="shared" ca="1" si="37"/>
        <v>304506.98122238962</v>
      </c>
    </row>
    <row r="19" spans="1:55">
      <c r="A19" s="67">
        <f t="shared" si="35"/>
        <v>37316</v>
      </c>
      <c r="B19" s="69">
        <f t="shared" si="38"/>
        <v>80000</v>
      </c>
      <c r="C19" s="71"/>
      <c r="D19" s="69">
        <f t="shared" si="0"/>
        <v>80000</v>
      </c>
      <c r="E19" s="70">
        <f t="shared" si="1"/>
        <v>2480000</v>
      </c>
      <c r="F19" s="70">
        <f t="shared" ca="1" si="2"/>
        <v>2295112.9324454186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0.34</v>
      </c>
      <c r="K19" s="64">
        <f t="shared" si="6"/>
        <v>0.34</v>
      </c>
      <c r="L19" s="63">
        <f t="shared" si="7"/>
        <v>0</v>
      </c>
      <c r="M19" s="64">
        <f t="shared" si="8"/>
        <v>0</v>
      </c>
      <c r="N19" s="65"/>
      <c r="O19" s="63">
        <f t="shared" si="9"/>
        <v>4.97</v>
      </c>
      <c r="P19" s="63">
        <f t="shared" si="10"/>
        <v>4.97</v>
      </c>
      <c r="Q19" s="66"/>
      <c r="R19" s="63">
        <f t="shared" si="11"/>
        <v>-0.08</v>
      </c>
      <c r="S19" s="64">
        <f t="shared" si="12"/>
        <v>-0.08</v>
      </c>
      <c r="T19" s="63">
        <f t="shared" si="13"/>
        <v>5.0000000000000001E-3</v>
      </c>
      <c r="U19" s="64">
        <f t="shared" si="14"/>
        <v>5.0000000000000001E-3</v>
      </c>
      <c r="V19" s="207">
        <f>IF($A20="","",IF(AND(MONTH(A19)&gt;3,MONTH(A19)&lt;11),(T19+R19+G19)*Summary!$T$8/(1-Summary!$T$8),(T19+R19+G19)*Summary!$U$8/(1-Summary!$U$8)))</f>
        <v>0.23822319267599704</v>
      </c>
      <c r="W19" s="63">
        <f t="shared" si="15"/>
        <v>4.7932231926759972</v>
      </c>
      <c r="X19" s="63">
        <f t="shared" si="16"/>
        <v>4.7932231926759972</v>
      </c>
      <c r="Y19" s="43"/>
      <c r="Z19" s="38">
        <f t="shared" si="17"/>
        <v>1</v>
      </c>
      <c r="AA19" s="38">
        <f t="shared" si="18"/>
        <v>0.53800000000000003</v>
      </c>
      <c r="AB19" s="38">
        <f t="shared" ca="1" si="19"/>
        <v>0.58642165599565788</v>
      </c>
      <c r="AC19" s="38">
        <f t="shared" si="20"/>
        <v>1</v>
      </c>
      <c r="AD19" s="38">
        <f t="shared" si="20"/>
        <v>0.52249999999999996</v>
      </c>
      <c r="AE19" s="38">
        <f t="shared" ca="1" si="21"/>
        <v>0.57218522064462474</v>
      </c>
      <c r="AF19" s="237">
        <f ca="1">((Summary!$N$8*(AA19*AD19)*(A19-$D$3))+(Summary!$M$8*Z19*AC19*(AJ19-EOMONTH(EDATE(A19,-1),0))))/(AK19*AB19*AE19)</f>
        <v>0.99985871026950801</v>
      </c>
      <c r="AG19" s="88">
        <f>IF($A20="","",Summary!$Q$8)</f>
        <v>0</v>
      </c>
      <c r="AH19" s="88">
        <f>IF($A20="","",IF(Summary!$R$8="Y",(VLOOKUP($A19,Summary!$AD$6:$AF$9,3)+'Escalating commodity'!D32),'Escalating commodity'!D32))</f>
        <v>2.12E-2</v>
      </c>
      <c r="AI19" s="88">
        <f t="shared" si="36"/>
        <v>2.12E-2</v>
      </c>
      <c r="AJ19" s="236">
        <f t="shared" si="22"/>
        <v>37330.5</v>
      </c>
      <c r="AK19" s="58">
        <f t="shared" ca="1" si="23"/>
        <v>290</v>
      </c>
      <c r="AL19" s="26">
        <f ca="1">IF($A20="","",_xll.SPRDOPT(P19,X19,AI19,0,AB19,AE19,AF19,AK19,$AJ$2,0))</f>
        <v>0.15743789548453882</v>
      </c>
      <c r="AM19" s="89">
        <f t="shared" si="24"/>
        <v>0.15557680732400259</v>
      </c>
      <c r="AN19" s="89">
        <f t="shared" ca="1" si="25"/>
        <v>1.8610881605362339E-3</v>
      </c>
      <c r="AO19" s="3">
        <f t="shared" si="26"/>
        <v>31</v>
      </c>
      <c r="AP19" s="33">
        <f t="shared" si="27"/>
        <v>37316</v>
      </c>
      <c r="AQ19" s="58">
        <f t="shared" ca="1" si="28"/>
        <v>290</v>
      </c>
      <c r="AR19" s="38">
        <f>'ANR OK vs ML7'!AR19</f>
        <v>0.1</v>
      </c>
      <c r="AS19" s="35">
        <f t="shared" ca="1" si="29"/>
        <v>0.92544876308283008</v>
      </c>
      <c r="AT19" s="3">
        <f t="shared" si="30"/>
        <v>1</v>
      </c>
      <c r="AU19" s="3">
        <f t="shared" si="31"/>
        <v>31</v>
      </c>
      <c r="AW19" s="32">
        <f t="shared" ca="1" si="32"/>
        <v>390445.98080165626</v>
      </c>
      <c r="AX19" s="32">
        <f t="shared" si="33"/>
        <v>385830.48216352641</v>
      </c>
      <c r="AY19" s="32">
        <f t="shared" ca="1" si="34"/>
        <v>4615.4986381298604</v>
      </c>
      <c r="BA19" s="32">
        <f ca="1">IF($A20="","",F19*Summary!$Q$8)</f>
        <v>0</v>
      </c>
      <c r="BC19" s="256">
        <f t="shared" ca="1" si="37"/>
        <v>357066.34247788746</v>
      </c>
    </row>
    <row r="20" spans="1:55">
      <c r="A20" s="67">
        <f t="shared" si="35"/>
        <v>37347</v>
      </c>
      <c r="B20" s="69">
        <f t="shared" si="38"/>
        <v>80000</v>
      </c>
      <c r="C20" s="71"/>
      <c r="D20" s="69">
        <f t="shared" si="0"/>
        <v>80000</v>
      </c>
      <c r="E20" s="70">
        <f t="shared" si="1"/>
        <v>2400000</v>
      </c>
      <c r="F20" s="70">
        <f t="shared" ca="1" si="2"/>
        <v>2202758.0973460712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0.22500000000000001</v>
      </c>
      <c r="K20" s="64">
        <f t="shared" si="6"/>
        <v>0.22500000000000001</v>
      </c>
      <c r="L20" s="63">
        <f t="shared" si="7"/>
        <v>0</v>
      </c>
      <c r="M20" s="64">
        <f t="shared" si="8"/>
        <v>0</v>
      </c>
      <c r="N20" s="65"/>
      <c r="O20" s="63">
        <f t="shared" si="9"/>
        <v>4.5169999999999995</v>
      </c>
      <c r="P20" s="63">
        <f t="shared" si="10"/>
        <v>4.5169999999999995</v>
      </c>
      <c r="Q20" s="66"/>
      <c r="R20" s="63">
        <f t="shared" si="11"/>
        <v>-7.4999999999999997E-2</v>
      </c>
      <c r="S20" s="64">
        <f t="shared" si="12"/>
        <v>-7.4999999999999997E-2</v>
      </c>
      <c r="T20" s="63">
        <f t="shared" si="13"/>
        <v>0</v>
      </c>
      <c r="U20" s="64">
        <f t="shared" si="14"/>
        <v>0</v>
      </c>
      <c r="V20" s="207">
        <f>IF($A21="","",IF(AND(MONTH(A20)&gt;3,MONTH(A20)&lt;11),(T20+R20+G20)*Summary!$T$8/(1-Summary!$T$8),(T20+R20+G20)*Summary!$U$8/(1-Summary!$U$8)))</f>
        <v>0.2205460380932337</v>
      </c>
      <c r="W20" s="63">
        <f t="shared" si="15"/>
        <v>4.4375460380932337</v>
      </c>
      <c r="X20" s="63">
        <f t="shared" si="16"/>
        <v>4.4375460380932337</v>
      </c>
      <c r="Y20" s="43"/>
      <c r="Z20" s="38">
        <f t="shared" si="17"/>
        <v>0.45</v>
      </c>
      <c r="AA20" s="38">
        <f t="shared" si="18"/>
        <v>0.41200000000000003</v>
      </c>
      <c r="AB20" s="38">
        <f t="shared" ca="1" si="19"/>
        <v>0.42395213683883953</v>
      </c>
      <c r="AC20" s="38">
        <f t="shared" si="20"/>
        <v>0.4</v>
      </c>
      <c r="AD20" s="38">
        <f t="shared" si="20"/>
        <v>0.4</v>
      </c>
      <c r="AE20" s="38">
        <f t="shared" ca="1" si="21"/>
        <v>0.40984762763937033</v>
      </c>
      <c r="AF20" s="237">
        <f ca="1">((Summary!$N$8*(AA20*AD20)*(A20-$D$3))+(Summary!$M$8*Z20*AC20*(AJ20-EOMONTH(EDATE(A20,-1),0))))/(AK20*AB20*AE20)</f>
        <v>0.99972548674705708</v>
      </c>
      <c r="AG20" s="88">
        <f>IF($A21="","",Summary!$Q$8)</f>
        <v>0</v>
      </c>
      <c r="AH20" s="88">
        <f>IF($A21="","",IF(Summary!$R$8="Y",(VLOOKUP($A20,Summary!$AD$6:$AF$9,3)+'Escalating commodity'!D33),'Escalating commodity'!D33))</f>
        <v>2.12E-2</v>
      </c>
      <c r="AI20" s="88">
        <f t="shared" si="36"/>
        <v>2.12E-2</v>
      </c>
      <c r="AJ20" s="236">
        <f t="shared" si="22"/>
        <v>37361</v>
      </c>
      <c r="AK20" s="58">
        <f t="shared" ca="1" si="23"/>
        <v>321</v>
      </c>
      <c r="AL20" s="26">
        <f ca="1">IF($A21="","",_xll.SPRDOPT(P20,X20,AI20,0,AB20,AE20,AF20,AK20,$AJ$2,0))</f>
        <v>6.882755754546456E-2</v>
      </c>
      <c r="AM20" s="89">
        <f t="shared" si="24"/>
        <v>5.8253961906765794E-2</v>
      </c>
      <c r="AN20" s="89">
        <f t="shared" ca="1" si="25"/>
        <v>1.0573595638698766E-2</v>
      </c>
      <c r="AO20" s="3">
        <f t="shared" si="26"/>
        <v>30</v>
      </c>
      <c r="AP20" s="33">
        <f t="shared" si="27"/>
        <v>37347</v>
      </c>
      <c r="AQ20" s="58">
        <f t="shared" ca="1" si="28"/>
        <v>321</v>
      </c>
      <c r="AR20" s="38">
        <f>'ANR OK vs ML7'!AR20</f>
        <v>0.1</v>
      </c>
      <c r="AS20" s="35">
        <f t="shared" ca="1" si="29"/>
        <v>0.91781587389419628</v>
      </c>
      <c r="AT20" s="3">
        <f t="shared" si="30"/>
        <v>1</v>
      </c>
      <c r="AU20" s="3">
        <f t="shared" si="31"/>
        <v>30</v>
      </c>
      <c r="AW20" s="32">
        <f t="shared" ca="1" si="32"/>
        <v>165186.13810911495</v>
      </c>
      <c r="AX20" s="32">
        <f t="shared" si="33"/>
        <v>139809.50857623792</v>
      </c>
      <c r="AY20" s="32">
        <f t="shared" ca="1" si="34"/>
        <v>25376.629532877036</v>
      </c>
      <c r="BA20" s="32">
        <f ca="1">IF($A21="","",F20*Summary!$Q$8)</f>
        <v>0</v>
      </c>
      <c r="BC20" s="256">
        <f t="shared" ca="1" si="37"/>
        <v>128319.38629261793</v>
      </c>
    </row>
    <row r="21" spans="1:55">
      <c r="A21" s="67">
        <f t="shared" si="35"/>
        <v>37377</v>
      </c>
      <c r="B21" s="69">
        <f t="shared" si="38"/>
        <v>80000</v>
      </c>
      <c r="C21" s="71"/>
      <c r="D21" s="69">
        <f t="shared" si="0"/>
        <v>80000</v>
      </c>
      <c r="E21" s="70">
        <f t="shared" si="1"/>
        <v>2480000</v>
      </c>
      <c r="F21" s="70">
        <f t="shared" ca="1" si="2"/>
        <v>2258013.0998425228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0.22500000000000001</v>
      </c>
      <c r="K21" s="64">
        <f t="shared" si="6"/>
        <v>0.22500000000000001</v>
      </c>
      <c r="L21" s="63">
        <f t="shared" si="7"/>
        <v>0</v>
      </c>
      <c r="M21" s="64">
        <f t="shared" si="8"/>
        <v>0</v>
      </c>
      <c r="N21" s="65"/>
      <c r="O21" s="63">
        <f t="shared" si="9"/>
        <v>4.4370000000000003</v>
      </c>
      <c r="P21" s="63">
        <f t="shared" si="10"/>
        <v>4.4370000000000003</v>
      </c>
      <c r="Q21" s="66"/>
      <c r="R21" s="63">
        <f t="shared" si="11"/>
        <v>-7.4999999999999997E-2</v>
      </c>
      <c r="S21" s="64">
        <f t="shared" si="12"/>
        <v>-7.4999999999999997E-2</v>
      </c>
      <c r="T21" s="63">
        <f t="shared" si="13"/>
        <v>0</v>
      </c>
      <c r="U21" s="64">
        <f t="shared" si="14"/>
        <v>0</v>
      </c>
      <c r="V21" s="207">
        <f>IF($A22="","",IF(AND(MONTH(A21)&gt;3,MONTH(A21)&lt;11),(T21+R21+G21)*Summary!$T$8/(1-Summary!$T$8),(T21+R21+G21)*Summary!$U$8/(1-Summary!$U$8)))</f>
        <v>0.21636209618015367</v>
      </c>
      <c r="W21" s="63">
        <f t="shared" si="15"/>
        <v>4.3533620961801542</v>
      </c>
      <c r="X21" s="63">
        <f t="shared" si="16"/>
        <v>4.3533620961801542</v>
      </c>
      <c r="Y21" s="43"/>
      <c r="Z21" s="38">
        <f t="shared" si="17"/>
        <v>0.5</v>
      </c>
      <c r="AA21" s="38">
        <f t="shared" si="18"/>
        <v>0.36100000000000004</v>
      </c>
      <c r="AB21" s="38">
        <f t="shared" ca="1" si="19"/>
        <v>0.3764733336375512</v>
      </c>
      <c r="AC21" s="38">
        <f t="shared" si="20"/>
        <v>0.45</v>
      </c>
      <c r="AD21" s="38">
        <f t="shared" si="20"/>
        <v>0.35</v>
      </c>
      <c r="AE21" s="38">
        <f t="shared" ca="1" si="21"/>
        <v>0.36303072947246567</v>
      </c>
      <c r="AF21" s="237">
        <f ca="1">((Summary!$N$8*(AA21*AD21)*(A21-$D$3))+(Summary!$M$8*Z21*AC21*(AJ21-EOMONTH(EDATE(A21,-1),0))))/(AK21*AB21*AE21)</f>
        <v>0.99972056339699089</v>
      </c>
      <c r="AG21" s="88">
        <f>IF($A22="","",Summary!$Q$8)</f>
        <v>0</v>
      </c>
      <c r="AH21" s="88">
        <f>IF($A22="","",IF(Summary!$R$8="Y",(VLOOKUP($A21,Summary!$AD$6:$AF$9,3)+'Escalating commodity'!D34),'Escalating commodity'!D34))</f>
        <v>2.12E-2</v>
      </c>
      <c r="AI21" s="88">
        <f t="shared" si="36"/>
        <v>2.12E-2</v>
      </c>
      <c r="AJ21" s="236">
        <f t="shared" si="22"/>
        <v>37391.5</v>
      </c>
      <c r="AK21" s="58">
        <f t="shared" ca="1" si="23"/>
        <v>351</v>
      </c>
      <c r="AL21" s="26">
        <f ca="1">IF($A22="","",_xll.SPRDOPT(P21,X21,AI21,0,AB21,AE21,AF21,AK21,$AJ$2,0))</f>
        <v>7.1290345736808022E-2</v>
      </c>
      <c r="AM21" s="89">
        <f t="shared" si="24"/>
        <v>6.2437903819846041E-2</v>
      </c>
      <c r="AN21" s="89">
        <f t="shared" ca="1" si="25"/>
        <v>8.8524419169619811E-3</v>
      </c>
      <c r="AO21" s="3">
        <f t="shared" si="26"/>
        <v>31</v>
      </c>
      <c r="AP21" s="33">
        <f t="shared" si="27"/>
        <v>37377</v>
      </c>
      <c r="AQ21" s="58">
        <f t="shared" ca="1" si="28"/>
        <v>351</v>
      </c>
      <c r="AR21" s="38">
        <f>'ANR OK vs ML7'!AR21</f>
        <v>0.1</v>
      </c>
      <c r="AS21" s="35">
        <f t="shared" ca="1" si="29"/>
        <v>0.91048915316230761</v>
      </c>
      <c r="AT21" s="3">
        <f t="shared" si="30"/>
        <v>1</v>
      </c>
      <c r="AU21" s="3">
        <f t="shared" si="31"/>
        <v>31</v>
      </c>
      <c r="AW21" s="32">
        <f t="shared" ca="1" si="32"/>
        <v>176800.0574272839</v>
      </c>
      <c r="AX21" s="32">
        <f t="shared" si="33"/>
        <v>154846.00147321817</v>
      </c>
      <c r="AY21" s="32">
        <f t="shared" ca="1" si="34"/>
        <v>21954.055954065712</v>
      </c>
      <c r="BA21" s="32">
        <f ca="1">IF($A22="","",F21*Summary!$Q$8)</f>
        <v>0</v>
      </c>
      <c r="BC21" s="256">
        <f t="shared" ca="1" si="37"/>
        <v>140985.60475191986</v>
      </c>
    </row>
    <row r="22" spans="1:55">
      <c r="A22" s="67">
        <f t="shared" si="35"/>
        <v>37408</v>
      </c>
      <c r="B22" s="69">
        <f t="shared" si="38"/>
        <v>80000</v>
      </c>
      <c r="C22" s="71"/>
      <c r="D22" s="69">
        <f t="shared" si="0"/>
        <v>80000</v>
      </c>
      <c r="E22" s="70">
        <f t="shared" si="1"/>
        <v>2400000</v>
      </c>
      <c r="F22" s="70">
        <f t="shared" ca="1" si="2"/>
        <v>2167151.1537743933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0.22500000000000001</v>
      </c>
      <c r="K22" s="64">
        <f t="shared" si="6"/>
        <v>0.22500000000000001</v>
      </c>
      <c r="L22" s="63">
        <f t="shared" si="7"/>
        <v>0</v>
      </c>
      <c r="M22" s="64">
        <f t="shared" si="8"/>
        <v>0</v>
      </c>
      <c r="N22" s="65"/>
      <c r="O22" s="63">
        <f t="shared" si="9"/>
        <v>4.4769999999999994</v>
      </c>
      <c r="P22" s="63">
        <f t="shared" si="10"/>
        <v>4.4769999999999994</v>
      </c>
      <c r="Q22" s="66"/>
      <c r="R22" s="63">
        <f t="shared" si="11"/>
        <v>-7.4999999999999997E-2</v>
      </c>
      <c r="S22" s="64">
        <f t="shared" si="12"/>
        <v>-7.4999999999999997E-2</v>
      </c>
      <c r="T22" s="63">
        <f t="shared" si="13"/>
        <v>0</v>
      </c>
      <c r="U22" s="64">
        <f t="shared" si="14"/>
        <v>0</v>
      </c>
      <c r="V22" s="207">
        <f>IF($A23="","",IF(AND(MONTH(A22)&gt;3,MONTH(A22)&lt;11),(T22+R22+G22)*Summary!$T$8/(1-Summary!$T$8),(T22+R22+G22)*Summary!$U$8/(1-Summary!$U$8)))</f>
        <v>0.21845406713669363</v>
      </c>
      <c r="W22" s="63">
        <f t="shared" si="15"/>
        <v>4.3954540671366935</v>
      </c>
      <c r="X22" s="63">
        <f t="shared" si="16"/>
        <v>4.3954540671366935</v>
      </c>
      <c r="Y22" s="43"/>
      <c r="Z22" s="38">
        <f t="shared" si="17"/>
        <v>0.5</v>
      </c>
      <c r="AA22" s="38">
        <f t="shared" si="18"/>
        <v>0.36100000000000004</v>
      </c>
      <c r="AB22" s="38">
        <f t="shared" ca="1" si="19"/>
        <v>0.37480516055273755</v>
      </c>
      <c r="AC22" s="38">
        <f t="shared" si="20"/>
        <v>0.45</v>
      </c>
      <c r="AD22" s="38">
        <f t="shared" si="20"/>
        <v>0.35</v>
      </c>
      <c r="AE22" s="38">
        <f t="shared" ca="1" si="21"/>
        <v>0.36162446171256241</v>
      </c>
      <c r="AF22" s="237">
        <f ca="1">((Summary!$N$8*(AA22*AD22)*(A22-$D$3))+(Summary!$M$8*Z22*AC22*(AJ22-EOMONTH(EDATE(A22,-1),0))))/(AK22*AB22*AE22)</f>
        <v>0.9997377515958864</v>
      </c>
      <c r="AG22" s="88">
        <f>IF($A23="","",Summary!$Q$8)</f>
        <v>0</v>
      </c>
      <c r="AH22" s="88">
        <f>IF($A23="","",IF(Summary!$R$8="Y",(VLOOKUP($A22,Summary!$AD$6:$AF$9,3)+'Escalating commodity'!D35),'Escalating commodity'!D35))</f>
        <v>2.12E-2</v>
      </c>
      <c r="AI22" s="88">
        <f t="shared" si="36"/>
        <v>2.12E-2</v>
      </c>
      <c r="AJ22" s="236">
        <f t="shared" si="22"/>
        <v>37422</v>
      </c>
      <c r="AK22" s="58">
        <f t="shared" ca="1" si="23"/>
        <v>382</v>
      </c>
      <c r="AL22" s="26">
        <f ca="1">IF($A23="","",_xll.SPRDOPT(P22,X22,AI22,0,AB22,AE22,AF22,AK22,$AJ$2,0))</f>
        <v>7.0211796021582673E-2</v>
      </c>
      <c r="AM22" s="89">
        <f t="shared" si="24"/>
        <v>6.0345932863305918E-2</v>
      </c>
      <c r="AN22" s="89">
        <f t="shared" ca="1" si="25"/>
        <v>9.8658631582767553E-3</v>
      </c>
      <c r="AO22" s="3">
        <f t="shared" si="26"/>
        <v>30</v>
      </c>
      <c r="AP22" s="33">
        <f t="shared" si="27"/>
        <v>37408</v>
      </c>
      <c r="AQ22" s="58">
        <f t="shared" ca="1" si="28"/>
        <v>382</v>
      </c>
      <c r="AR22" s="38">
        <f>'ANR OK vs ML7'!AR22</f>
        <v>0.1</v>
      </c>
      <c r="AS22" s="35">
        <f t="shared" ca="1" si="29"/>
        <v>0.90297964740599712</v>
      </c>
      <c r="AT22" s="3">
        <f t="shared" si="30"/>
        <v>1</v>
      </c>
      <c r="AU22" s="3">
        <f t="shared" si="31"/>
        <v>30</v>
      </c>
      <c r="AW22" s="32">
        <f t="shared" ca="1" si="32"/>
        <v>168508.3104517984</v>
      </c>
      <c r="AX22" s="32">
        <f t="shared" si="33"/>
        <v>144830.23887193421</v>
      </c>
      <c r="AY22" s="32">
        <f t="shared" ca="1" si="34"/>
        <v>23678.071579864212</v>
      </c>
      <c r="BA22" s="32">
        <f ca="1">IF($A23="","",F22*Summary!$Q$8)</f>
        <v>0</v>
      </c>
      <c r="BC22" s="256">
        <f t="shared" ca="1" si="37"/>
        <v>130778.7580303055</v>
      </c>
    </row>
    <row r="23" spans="1:55">
      <c r="A23" s="67">
        <f t="shared" si="35"/>
        <v>37438</v>
      </c>
      <c r="B23" s="69">
        <f t="shared" si="38"/>
        <v>80000</v>
      </c>
      <c r="C23" s="71"/>
      <c r="D23" s="69">
        <f t="shared" si="0"/>
        <v>80000</v>
      </c>
      <c r="E23" s="70">
        <f t="shared" si="1"/>
        <v>2480000</v>
      </c>
      <c r="F23" s="70">
        <f t="shared" ca="1" si="2"/>
        <v>2221512.975236434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0.22500000000000001</v>
      </c>
      <c r="K23" s="64">
        <f t="shared" si="6"/>
        <v>0.22500000000000001</v>
      </c>
      <c r="L23" s="63">
        <f t="shared" si="7"/>
        <v>0</v>
      </c>
      <c r="M23" s="64">
        <f t="shared" si="8"/>
        <v>0</v>
      </c>
      <c r="N23" s="65"/>
      <c r="O23" s="63">
        <f t="shared" si="9"/>
        <v>4.5220000000000002</v>
      </c>
      <c r="P23" s="63">
        <f t="shared" si="10"/>
        <v>4.5220000000000002</v>
      </c>
      <c r="Q23" s="66"/>
      <c r="R23" s="63">
        <f t="shared" si="11"/>
        <v>-7.4999999999999997E-2</v>
      </c>
      <c r="S23" s="64">
        <f t="shared" si="12"/>
        <v>-7.4999999999999997E-2</v>
      </c>
      <c r="T23" s="63">
        <f t="shared" si="13"/>
        <v>0</v>
      </c>
      <c r="U23" s="64">
        <f t="shared" si="14"/>
        <v>0</v>
      </c>
      <c r="V23" s="207">
        <f>IF($A24="","",IF(AND(MONTH(A23)&gt;3,MONTH(A23)&lt;11),(T23+R23+G23)*Summary!$T$8/(1-Summary!$T$8),(T23+R23+G23)*Summary!$U$8/(1-Summary!$U$8)))</f>
        <v>0.22080753446280124</v>
      </c>
      <c r="W23" s="63">
        <f t="shared" si="15"/>
        <v>4.4428075344628013</v>
      </c>
      <c r="X23" s="63">
        <f t="shared" si="16"/>
        <v>4.4428075344628013</v>
      </c>
      <c r="Y23" s="43"/>
      <c r="Z23" s="38">
        <f t="shared" si="17"/>
        <v>0.55000000000000004</v>
      </c>
      <c r="AA23" s="38">
        <f t="shared" si="18"/>
        <v>0.36100000000000004</v>
      </c>
      <c r="AB23" s="38">
        <f t="shared" ca="1" si="19"/>
        <v>0.37685245690036928</v>
      </c>
      <c r="AC23" s="38">
        <f t="shared" si="20"/>
        <v>0.5</v>
      </c>
      <c r="AD23" s="38">
        <f t="shared" si="20"/>
        <v>0.35</v>
      </c>
      <c r="AE23" s="38">
        <f t="shared" ca="1" si="21"/>
        <v>0.36359685078794701</v>
      </c>
      <c r="AF23" s="237">
        <f ca="1">((Summary!$N$8*(AA23*AD23)*(A23-$D$3))+(Summary!$M$8*Z23*AC23*(AJ23-EOMONTH(EDATE(A23,-1),0))))/(AK23*AB23*AE23)</f>
        <v>0.99976293166377661</v>
      </c>
      <c r="AG23" s="88">
        <f>IF($A24="","",Summary!$Q$8)</f>
        <v>0</v>
      </c>
      <c r="AH23" s="88">
        <f>IF($A24="","",IF(Summary!$R$8="Y",(VLOOKUP($A23,Summary!$AD$6:$AF$9,3)+'Escalating commodity'!D36),'Escalating commodity'!D36))</f>
        <v>2.12E-2</v>
      </c>
      <c r="AI23" s="88">
        <f t="shared" si="36"/>
        <v>2.12E-2</v>
      </c>
      <c r="AJ23" s="236">
        <f t="shared" si="22"/>
        <v>37452.5</v>
      </c>
      <c r="AK23" s="58">
        <f t="shared" ca="1" si="23"/>
        <v>412</v>
      </c>
      <c r="AL23" s="26">
        <f ca="1">IF($A24="","",_xll.SPRDOPT(P23,X23,AI23,0,AB23,AE23,AF23,AK23,$AJ$2,0))</f>
        <v>6.934575438959141E-2</v>
      </c>
      <c r="AM23" s="89">
        <f t="shared" si="24"/>
        <v>5.7992465537198945E-2</v>
      </c>
      <c r="AN23" s="89">
        <f t="shared" ca="1" si="25"/>
        <v>1.1353288852392465E-2</v>
      </c>
      <c r="AO23" s="3">
        <f t="shared" si="26"/>
        <v>31</v>
      </c>
      <c r="AP23" s="33">
        <f t="shared" si="27"/>
        <v>37438</v>
      </c>
      <c r="AQ23" s="58">
        <f t="shared" ca="1" si="28"/>
        <v>412</v>
      </c>
      <c r="AR23" s="38">
        <f>'ANR OK vs ML7'!AR23</f>
        <v>0.1</v>
      </c>
      <c r="AS23" s="35">
        <f t="shared" ca="1" si="29"/>
        <v>0.89577136098243315</v>
      </c>
      <c r="AT23" s="3">
        <f t="shared" si="30"/>
        <v>1</v>
      </c>
      <c r="AU23" s="3">
        <f t="shared" si="31"/>
        <v>31</v>
      </c>
      <c r="AW23" s="32">
        <f t="shared" ca="1" si="32"/>
        <v>171977.4708861867</v>
      </c>
      <c r="AX23" s="32">
        <f t="shared" si="33"/>
        <v>143821.3145322534</v>
      </c>
      <c r="AY23" s="32">
        <f t="shared" ca="1" si="34"/>
        <v>28156.156353933315</v>
      </c>
      <c r="BA23" s="32">
        <f ca="1">IF($A24="","",F23*Summary!$Q$8)</f>
        <v>0</v>
      </c>
      <c r="BC23" s="256">
        <f t="shared" ca="1" si="37"/>
        <v>128831.01465683919</v>
      </c>
    </row>
    <row r="24" spans="1:55">
      <c r="A24" s="67">
        <f t="shared" si="35"/>
        <v>37469</v>
      </c>
      <c r="B24" s="69">
        <f t="shared" si="38"/>
        <v>80000</v>
      </c>
      <c r="C24" s="71"/>
      <c r="D24" s="69">
        <f t="shared" si="0"/>
        <v>80000</v>
      </c>
      <c r="E24" s="70">
        <f t="shared" si="1"/>
        <v>2480000</v>
      </c>
      <c r="F24" s="70">
        <f t="shared" ca="1" si="2"/>
        <v>2203190.4456189042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0.22500000000000001</v>
      </c>
      <c r="K24" s="64">
        <f t="shared" si="6"/>
        <v>0.22500000000000001</v>
      </c>
      <c r="L24" s="63">
        <f t="shared" si="7"/>
        <v>0</v>
      </c>
      <c r="M24" s="64">
        <f t="shared" si="8"/>
        <v>0</v>
      </c>
      <c r="N24" s="65"/>
      <c r="O24" s="63">
        <f t="shared" si="9"/>
        <v>4.5469999999999997</v>
      </c>
      <c r="P24" s="63">
        <f t="shared" si="10"/>
        <v>4.5469999999999997</v>
      </c>
      <c r="Q24" s="66"/>
      <c r="R24" s="63">
        <f t="shared" si="11"/>
        <v>-7.4999999999999997E-2</v>
      </c>
      <c r="S24" s="64">
        <f t="shared" si="12"/>
        <v>-7.4999999999999997E-2</v>
      </c>
      <c r="T24" s="63">
        <f t="shared" si="13"/>
        <v>0</v>
      </c>
      <c r="U24" s="64">
        <f t="shared" si="14"/>
        <v>0</v>
      </c>
      <c r="V24" s="207">
        <f>IF($A25="","",IF(AND(MONTH(A24)&gt;3,MONTH(A24)&lt;11),(T24+R24+G24)*Summary!$T$8/(1-Summary!$T$8),(T24+R24+G24)*Summary!$U$8/(1-Summary!$U$8)))</f>
        <v>0.22211501631063874</v>
      </c>
      <c r="W24" s="63">
        <f t="shared" si="15"/>
        <v>4.4691150163106386</v>
      </c>
      <c r="X24" s="63">
        <f t="shared" si="16"/>
        <v>4.4691150163106386</v>
      </c>
      <c r="Y24" s="43"/>
      <c r="Z24" s="38">
        <f t="shared" si="17"/>
        <v>0.6</v>
      </c>
      <c r="AA24" s="38">
        <f t="shared" si="18"/>
        <v>0.36100000000000004</v>
      </c>
      <c r="AB24" s="38">
        <f t="shared" ca="1" si="19"/>
        <v>0.37843244459765013</v>
      </c>
      <c r="AC24" s="38">
        <f t="shared" si="20"/>
        <v>0.55000000000000004</v>
      </c>
      <c r="AD24" s="38">
        <f t="shared" si="20"/>
        <v>0.35</v>
      </c>
      <c r="AE24" s="38">
        <f t="shared" ca="1" si="21"/>
        <v>0.36518571916329456</v>
      </c>
      <c r="AF24" s="237">
        <f ca="1">((Summary!$N$8*(AA24*AD24)*(A24-$D$3))+(Summary!$M$8*Z24*AC24*(AJ24-EOMONTH(EDATE(A24,-1),0))))/(AK24*AB24*AE24)</f>
        <v>0.99978799918816219</v>
      </c>
      <c r="AG24" s="88">
        <f>IF($A25="","",Summary!$Q$8)</f>
        <v>0</v>
      </c>
      <c r="AH24" s="88">
        <f>IF($A25="","",IF(Summary!$R$8="Y",(VLOOKUP($A24,Summary!$AD$6:$AF$9,3)+'Escalating commodity'!D37),'Escalating commodity'!D37))</f>
        <v>2.12E-2</v>
      </c>
      <c r="AI24" s="88">
        <f t="shared" si="36"/>
        <v>2.12E-2</v>
      </c>
      <c r="AJ24" s="236">
        <f t="shared" si="22"/>
        <v>37483.5</v>
      </c>
      <c r="AK24" s="58">
        <f t="shared" ca="1" si="23"/>
        <v>443</v>
      </c>
      <c r="AL24" s="26">
        <f ca="1">IF($A25="","",_xll.SPRDOPT(P24,X24,AI24,0,AB24,AE24,AF24,AK24,$AJ$2,0))</f>
        <v>6.9171593478574794E-2</v>
      </c>
      <c r="AM24" s="89">
        <f t="shared" si="24"/>
        <v>5.6684983689361146E-2</v>
      </c>
      <c r="AN24" s="89">
        <f t="shared" ca="1" si="25"/>
        <v>1.2486609789213649E-2</v>
      </c>
      <c r="AO24" s="3">
        <f t="shared" si="26"/>
        <v>31</v>
      </c>
      <c r="AP24" s="33">
        <f t="shared" si="27"/>
        <v>37469</v>
      </c>
      <c r="AQ24" s="58">
        <f t="shared" ca="1" si="28"/>
        <v>443</v>
      </c>
      <c r="AR24" s="38">
        <f>'ANR OK vs ML7'!AR24</f>
        <v>0.1</v>
      </c>
      <c r="AS24" s="35">
        <f t="shared" ca="1" si="29"/>
        <v>0.8883832442011711</v>
      </c>
      <c r="AT24" s="3">
        <f t="shared" si="30"/>
        <v>1</v>
      </c>
      <c r="AU24" s="3">
        <f t="shared" si="31"/>
        <v>31</v>
      </c>
      <c r="AW24" s="32">
        <f t="shared" ca="1" si="32"/>
        <v>171545.5518268655</v>
      </c>
      <c r="AX24" s="32">
        <f t="shared" si="33"/>
        <v>140578.75954961564</v>
      </c>
      <c r="AY24" s="32">
        <f t="shared" ca="1" si="34"/>
        <v>30966.79227724985</v>
      </c>
      <c r="BA24" s="32">
        <f ca="1">IF($A25="","",F24*Summary!$Q$8)</f>
        <v>0</v>
      </c>
      <c r="BC24" s="256">
        <f t="shared" ca="1" si="37"/>
        <v>124887.8144744639</v>
      </c>
    </row>
    <row r="25" spans="1:55">
      <c r="A25" s="67">
        <f t="shared" si="35"/>
        <v>37500</v>
      </c>
      <c r="B25" s="69">
        <f t="shared" si="38"/>
        <v>80000</v>
      </c>
      <c r="C25" s="71"/>
      <c r="D25" s="69">
        <f t="shared" si="0"/>
        <v>80000</v>
      </c>
      <c r="E25" s="70">
        <f t="shared" si="1"/>
        <v>2400000</v>
      </c>
      <c r="F25" s="70">
        <f t="shared" ca="1" si="2"/>
        <v>2114534.5509911873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0.22500000000000001</v>
      </c>
      <c r="K25" s="64">
        <f t="shared" si="6"/>
        <v>0.22500000000000001</v>
      </c>
      <c r="L25" s="63">
        <f t="shared" si="7"/>
        <v>0</v>
      </c>
      <c r="M25" s="64">
        <f t="shared" si="8"/>
        <v>0</v>
      </c>
      <c r="N25" s="65"/>
      <c r="O25" s="63">
        <f t="shared" si="9"/>
        <v>4.5519999999999996</v>
      </c>
      <c r="P25" s="63">
        <f t="shared" si="10"/>
        <v>4.5519999999999996</v>
      </c>
      <c r="Q25" s="66"/>
      <c r="R25" s="63">
        <f t="shared" si="11"/>
        <v>-7.4999999999999997E-2</v>
      </c>
      <c r="S25" s="64">
        <f t="shared" si="12"/>
        <v>-7.4999999999999997E-2</v>
      </c>
      <c r="T25" s="63">
        <f t="shared" si="13"/>
        <v>0</v>
      </c>
      <c r="U25" s="64">
        <f t="shared" si="14"/>
        <v>0</v>
      </c>
      <c r="V25" s="207">
        <f>IF($A26="","",IF(AND(MONTH(A25)&gt;3,MONTH(A25)&lt;11),(T25+R25+G25)*Summary!$T$8/(1-Summary!$T$8),(T25+R25+G25)*Summary!$U$8/(1-Summary!$U$8)))</f>
        <v>0.22237651268020625</v>
      </c>
      <c r="W25" s="63">
        <f t="shared" si="15"/>
        <v>4.4743765126802062</v>
      </c>
      <c r="X25" s="63">
        <f t="shared" si="16"/>
        <v>4.4743765126802062</v>
      </c>
      <c r="Y25" s="43"/>
      <c r="Z25" s="38">
        <f t="shared" si="17"/>
        <v>0.6</v>
      </c>
      <c r="AA25" s="38">
        <f t="shared" si="18"/>
        <v>0.36100000000000004</v>
      </c>
      <c r="AB25" s="38">
        <f t="shared" ca="1" si="19"/>
        <v>0.3768134072480126</v>
      </c>
      <c r="AC25" s="38">
        <f t="shared" si="20"/>
        <v>0.55000000000000004</v>
      </c>
      <c r="AD25" s="38">
        <f t="shared" si="20"/>
        <v>0.35</v>
      </c>
      <c r="AE25" s="38">
        <f t="shared" ca="1" si="21"/>
        <v>0.36377358841550322</v>
      </c>
      <c r="AF25" s="237">
        <f ca="1">((Summary!$N$8*(AA25*AD25)*(A25-$D$3))+(Summary!$M$8*Z25*AC25*(AJ25-EOMONTH(EDATE(A25,-1),0))))/(AK25*AB25*AE25)</f>
        <v>0.99979698803337425</v>
      </c>
      <c r="AG25" s="88">
        <f>IF($A26="","",Summary!$Q$8)</f>
        <v>0</v>
      </c>
      <c r="AH25" s="88">
        <f>IF($A26="","",IF(Summary!$R$8="Y",(VLOOKUP($A25,Summary!$AD$6:$AF$9,3)+'Escalating commodity'!D38),'Escalating commodity'!D38))</f>
        <v>2.12E-2</v>
      </c>
      <c r="AI25" s="88">
        <f t="shared" si="36"/>
        <v>2.12E-2</v>
      </c>
      <c r="AJ25" s="236">
        <f t="shared" si="22"/>
        <v>37514</v>
      </c>
      <c r="AK25" s="58">
        <f t="shared" ca="1" si="23"/>
        <v>474</v>
      </c>
      <c r="AL25" s="26">
        <f ca="1">IF($A26="","",_xll.SPRDOPT(P25,X25,AI25,0,AB25,AE25,AF25,AK25,$AJ$2,0))</f>
        <v>6.9455880836206879E-2</v>
      </c>
      <c r="AM25" s="89">
        <f t="shared" si="24"/>
        <v>5.6423487319793408E-2</v>
      </c>
      <c r="AN25" s="89">
        <f t="shared" ca="1" si="25"/>
        <v>1.3032393516413471E-2</v>
      </c>
      <c r="AO25" s="3">
        <f t="shared" si="26"/>
        <v>30</v>
      </c>
      <c r="AP25" s="33">
        <f t="shared" si="27"/>
        <v>37500</v>
      </c>
      <c r="AQ25" s="58">
        <f t="shared" ca="1" si="28"/>
        <v>474</v>
      </c>
      <c r="AR25" s="38">
        <f>'ANR OK vs ML7'!AR25</f>
        <v>0.1</v>
      </c>
      <c r="AS25" s="35">
        <f t="shared" ca="1" si="29"/>
        <v>0.88105606291299465</v>
      </c>
      <c r="AT25" s="3">
        <f t="shared" si="30"/>
        <v>1</v>
      </c>
      <c r="AU25" s="3">
        <f t="shared" si="31"/>
        <v>30</v>
      </c>
      <c r="AW25" s="32">
        <f t="shared" ca="1" si="32"/>
        <v>166694.1140068965</v>
      </c>
      <c r="AX25" s="32">
        <f t="shared" si="33"/>
        <v>135416.36956750418</v>
      </c>
      <c r="AY25" s="32">
        <f t="shared" ca="1" si="34"/>
        <v>31277.744439392329</v>
      </c>
      <c r="BA25" s="32">
        <f ca="1">IF($A26="","",F25*Summary!$Q$8)</f>
        <v>0</v>
      </c>
      <c r="BC25" s="256">
        <f t="shared" ca="1" si="37"/>
        <v>119309.41342511631</v>
      </c>
    </row>
    <row r="26" spans="1:55">
      <c r="A26" s="67">
        <f t="shared" si="35"/>
        <v>37530</v>
      </c>
      <c r="B26" s="69">
        <f t="shared" si="38"/>
        <v>80000</v>
      </c>
      <c r="C26" s="71"/>
      <c r="D26" s="69">
        <f t="shared" si="0"/>
        <v>80000</v>
      </c>
      <c r="E26" s="70">
        <f t="shared" si="1"/>
        <v>2480000</v>
      </c>
      <c r="F26" s="70">
        <f t="shared" ca="1" si="2"/>
        <v>2167576.5132632228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0.22500000000000001</v>
      </c>
      <c r="K26" s="64">
        <f t="shared" si="6"/>
        <v>0.22500000000000001</v>
      </c>
      <c r="L26" s="63">
        <f t="shared" si="7"/>
        <v>0</v>
      </c>
      <c r="M26" s="64">
        <f t="shared" si="8"/>
        <v>0</v>
      </c>
      <c r="N26" s="65"/>
      <c r="O26" s="63">
        <f t="shared" si="9"/>
        <v>4.5620000000000003</v>
      </c>
      <c r="P26" s="63">
        <f t="shared" si="10"/>
        <v>4.5620000000000003</v>
      </c>
      <c r="Q26" s="66"/>
      <c r="R26" s="63">
        <f t="shared" si="11"/>
        <v>-7.4999999999999997E-2</v>
      </c>
      <c r="S26" s="64">
        <f t="shared" si="12"/>
        <v>-7.4999999999999997E-2</v>
      </c>
      <c r="T26" s="63">
        <f t="shared" si="13"/>
        <v>0</v>
      </c>
      <c r="U26" s="64">
        <f t="shared" si="14"/>
        <v>0</v>
      </c>
      <c r="V26" s="207">
        <f>IF($A27="","",IF(AND(MONTH(A26)&gt;3,MONTH(A26)&lt;11),(T26+R26+G26)*Summary!$T$8/(1-Summary!$T$8),(T26+R26+G26)*Summary!$U$8/(1-Summary!$U$8)))</f>
        <v>0.22289950541934128</v>
      </c>
      <c r="W26" s="63">
        <f t="shared" si="15"/>
        <v>4.4848995054193415</v>
      </c>
      <c r="X26" s="63">
        <f t="shared" si="16"/>
        <v>4.4848995054193415</v>
      </c>
      <c r="Y26" s="43"/>
      <c r="Z26" s="38">
        <f t="shared" si="17"/>
        <v>0.65</v>
      </c>
      <c r="AA26" s="38">
        <f t="shared" si="18"/>
        <v>0.36300000000000004</v>
      </c>
      <c r="AB26" s="38">
        <f t="shared" ca="1" si="19"/>
        <v>0.38082016492811016</v>
      </c>
      <c r="AC26" s="38">
        <f t="shared" si="20"/>
        <v>0.6</v>
      </c>
      <c r="AD26" s="38">
        <f t="shared" si="20"/>
        <v>0.35249999999999998</v>
      </c>
      <c r="AE26" s="38">
        <f t="shared" ca="1" si="21"/>
        <v>0.36820404499407661</v>
      </c>
      <c r="AF26" s="237">
        <f ca="1">((Summary!$N$8*(AA26*AD26)*(A26-$D$3))+(Summary!$M$8*Z26*AC26*(AJ26-EOMONTH(EDATE(A26,-1),0))))/(AK26*AB26*AE26)</f>
        <v>0.99980805289000851</v>
      </c>
      <c r="AG26" s="88">
        <f>IF($A27="","",Summary!$Q$8)</f>
        <v>0</v>
      </c>
      <c r="AH26" s="88">
        <f>IF($A27="","",IF(Summary!$R$8="Y",(VLOOKUP($A26,Summary!$AD$6:$AF$9,3)+'Escalating commodity'!D39),'Escalating commodity'!D39))</f>
        <v>2.12E-2</v>
      </c>
      <c r="AI26" s="88">
        <f t="shared" si="36"/>
        <v>2.12E-2</v>
      </c>
      <c r="AJ26" s="236">
        <f t="shared" si="22"/>
        <v>37544.5</v>
      </c>
      <c r="AK26" s="58">
        <f t="shared" ca="1" si="23"/>
        <v>504</v>
      </c>
      <c r="AL26" s="26">
        <f ca="1">IF($A27="","",_xll.SPRDOPT(P26,X26,AI26,0,AB26,AE26,AF26,AK26,$AJ$2,0))</f>
        <v>6.923628956682322E-2</v>
      </c>
      <c r="AM26" s="89">
        <f t="shared" si="24"/>
        <v>5.5900494580658822E-2</v>
      </c>
      <c r="AN26" s="89">
        <f t="shared" ca="1" si="25"/>
        <v>1.3335794986164398E-2</v>
      </c>
      <c r="AO26" s="3">
        <f t="shared" si="26"/>
        <v>31</v>
      </c>
      <c r="AP26" s="33">
        <f t="shared" si="27"/>
        <v>37530</v>
      </c>
      <c r="AQ26" s="58">
        <f t="shared" ca="1" si="28"/>
        <v>504</v>
      </c>
      <c r="AR26" s="38">
        <f>'ANR OK vs ML7'!AR26</f>
        <v>0.1</v>
      </c>
      <c r="AS26" s="35">
        <f t="shared" ca="1" si="29"/>
        <v>0.87402278760613827</v>
      </c>
      <c r="AT26" s="3">
        <f t="shared" si="30"/>
        <v>1</v>
      </c>
      <c r="AU26" s="3">
        <f t="shared" si="31"/>
        <v>31</v>
      </c>
      <c r="AW26" s="32">
        <f t="shared" ca="1" si="32"/>
        <v>171705.99812572158</v>
      </c>
      <c r="AX26" s="32">
        <f t="shared" si="33"/>
        <v>138633.22656003389</v>
      </c>
      <c r="AY26" s="32">
        <f t="shared" ca="1" si="34"/>
        <v>33072.771565687704</v>
      </c>
      <c r="BA26" s="32">
        <f ca="1">IF($A27="","",F26*Summary!$Q$8)</f>
        <v>0</v>
      </c>
      <c r="BC26" s="256">
        <f t="shared" ca="1" si="37"/>
        <v>121168.59913283413</v>
      </c>
    </row>
    <row r="27" spans="1:55">
      <c r="A27" s="67">
        <f t="shared" si="35"/>
        <v>37561</v>
      </c>
      <c r="B27" s="69">
        <f t="shared" si="38"/>
        <v>80000</v>
      </c>
      <c r="C27" s="71"/>
      <c r="D27" s="69">
        <f t="shared" si="0"/>
        <v>80000</v>
      </c>
      <c r="E27" s="70">
        <f t="shared" si="1"/>
        <v>2400000</v>
      </c>
      <c r="F27" s="70">
        <f t="shared" ca="1" si="2"/>
        <v>2080353.7153705077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0.26</v>
      </c>
      <c r="K27" s="64">
        <f t="shared" si="6"/>
        <v>0.26</v>
      </c>
      <c r="L27" s="63">
        <f t="shared" si="7"/>
        <v>0</v>
      </c>
      <c r="M27" s="64">
        <f t="shared" si="8"/>
        <v>0</v>
      </c>
      <c r="N27" s="65"/>
      <c r="O27" s="63">
        <f t="shared" si="9"/>
        <v>4.7370000000000001</v>
      </c>
      <c r="P27" s="63">
        <f t="shared" si="10"/>
        <v>4.7370000000000001</v>
      </c>
      <c r="Q27" s="66"/>
      <c r="R27" s="63">
        <f t="shared" si="11"/>
        <v>-7.0000000000000007E-2</v>
      </c>
      <c r="S27" s="64">
        <f t="shared" si="12"/>
        <v>-7.0000000000000007E-2</v>
      </c>
      <c r="T27" s="63">
        <f t="shared" si="13"/>
        <v>5.0000000000000001E-3</v>
      </c>
      <c r="U27" s="64">
        <f t="shared" si="14"/>
        <v>5.0000000000000001E-3</v>
      </c>
      <c r="V27" s="207">
        <f>IF($A28="","",IF(AND(MONTH(A27)&gt;3,MONTH(A27)&lt;11),(T27+R27+G27)*Summary!$T$8/(1-Summary!$T$8),(T27+R27+G27)*Summary!$U$8/(1-Summary!$U$8)))</f>
        <v>0.23074439650636641</v>
      </c>
      <c r="W27" s="63">
        <f t="shared" si="15"/>
        <v>4.6427443965063659</v>
      </c>
      <c r="X27" s="63">
        <f t="shared" si="16"/>
        <v>4.6427443965063659</v>
      </c>
      <c r="Y27" s="43"/>
      <c r="Z27" s="38">
        <f t="shared" si="17"/>
        <v>0.8</v>
      </c>
      <c r="AA27" s="38">
        <f t="shared" si="18"/>
        <v>0.36799999999999999</v>
      </c>
      <c r="AB27" s="38">
        <f t="shared" ca="1" si="19"/>
        <v>0.39194521837318985</v>
      </c>
      <c r="AC27" s="38">
        <f t="shared" si="20"/>
        <v>0.8</v>
      </c>
      <c r="AD27" s="38">
        <f t="shared" si="20"/>
        <v>0.35749999999999998</v>
      </c>
      <c r="AE27" s="38">
        <f t="shared" ca="1" si="21"/>
        <v>0.38208515467178356</v>
      </c>
      <c r="AF27" s="237">
        <f ca="1">((Summary!$N$8*(AA27*AD27)*(A27-$D$3))+(Summary!$M$8*Z27*AC27*(AJ27-EOMONTH(EDATE(A27,-1),0))))/(AK27*AB27*AE27)</f>
        <v>0.99986779734682008</v>
      </c>
      <c r="AG27" s="88">
        <f>IF($A28="","",Summary!$Q$8)</f>
        <v>0</v>
      </c>
      <c r="AH27" s="88">
        <f>IF($A28="","",IF(Summary!$R$8="Y",(VLOOKUP($A27,Summary!$AD$6:$AF$9,3)+'Escalating commodity'!D40),'Escalating commodity'!D40))</f>
        <v>2.12E-2</v>
      </c>
      <c r="AI27" s="88">
        <f t="shared" si="36"/>
        <v>2.12E-2</v>
      </c>
      <c r="AJ27" s="236">
        <f t="shared" si="22"/>
        <v>37575</v>
      </c>
      <c r="AK27" s="58">
        <f t="shared" ca="1" si="23"/>
        <v>535</v>
      </c>
      <c r="AL27" s="26">
        <f ca="1">IF($A28="","",_xll.SPRDOPT(P27,X27,AI27,0,AB27,AE27,AF27,AK27,$AJ$2,0))</f>
        <v>7.9991569987210021E-2</v>
      </c>
      <c r="AM27" s="89">
        <f t="shared" si="24"/>
        <v>7.3055603493634158E-2</v>
      </c>
      <c r="AN27" s="89">
        <f t="shared" ca="1" si="25"/>
        <v>6.9359664935758625E-3</v>
      </c>
      <c r="AO27" s="3">
        <f t="shared" si="26"/>
        <v>30</v>
      </c>
      <c r="AP27" s="33">
        <f t="shared" si="27"/>
        <v>37561</v>
      </c>
      <c r="AQ27" s="58">
        <f t="shared" ca="1" si="28"/>
        <v>535</v>
      </c>
      <c r="AR27" s="38">
        <f>'ANR OK vs ML7'!AR27</f>
        <v>0.1</v>
      </c>
      <c r="AS27" s="35">
        <f t="shared" ca="1" si="29"/>
        <v>0.8668140480710449</v>
      </c>
      <c r="AT27" s="3">
        <f t="shared" si="30"/>
        <v>1</v>
      </c>
      <c r="AU27" s="3">
        <f t="shared" si="31"/>
        <v>30</v>
      </c>
      <c r="AW27" s="32">
        <f t="shared" ca="1" si="32"/>
        <v>191979.76796930406</v>
      </c>
      <c r="AX27" s="32">
        <f t="shared" si="33"/>
        <v>175333.44838472197</v>
      </c>
      <c r="AY27" s="32">
        <f t="shared" ca="1" si="34"/>
        <v>16646.31958458207</v>
      </c>
      <c r="BA27" s="32">
        <f ca="1">IF($A28="","",F27*Summary!$Q$8)</f>
        <v>0</v>
      </c>
      <c r="BC27" s="256">
        <f t="shared" ca="1" si="37"/>
        <v>151981.49615661646</v>
      </c>
    </row>
    <row r="28" spans="1:55">
      <c r="A28" s="67">
        <f t="shared" si="35"/>
        <v>37591</v>
      </c>
      <c r="B28" s="69">
        <f t="shared" si="38"/>
        <v>80000</v>
      </c>
      <c r="C28" s="71"/>
      <c r="D28" s="69">
        <f t="shared" si="0"/>
        <v>80000</v>
      </c>
      <c r="E28" s="70">
        <f t="shared" si="1"/>
        <v>2480000</v>
      </c>
      <c r="F28" s="70">
        <f t="shared" ca="1" si="2"/>
        <v>2132538.2697592964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0.25</v>
      </c>
      <c r="K28" s="64">
        <f t="shared" si="6"/>
        <v>0.25</v>
      </c>
      <c r="L28" s="63">
        <f t="shared" si="7"/>
        <v>0</v>
      </c>
      <c r="M28" s="64">
        <f t="shared" si="8"/>
        <v>0</v>
      </c>
      <c r="N28" s="65"/>
      <c r="O28" s="63">
        <f t="shared" si="9"/>
        <v>4.8570000000000002</v>
      </c>
      <c r="P28" s="63">
        <f t="shared" si="10"/>
        <v>4.8570000000000002</v>
      </c>
      <c r="Q28" s="66"/>
      <c r="R28" s="63">
        <f t="shared" si="11"/>
        <v>-7.0000000000000007E-2</v>
      </c>
      <c r="S28" s="64">
        <f t="shared" si="12"/>
        <v>-7.0000000000000007E-2</v>
      </c>
      <c r="T28" s="63">
        <f t="shared" si="13"/>
        <v>5.0000000000000001E-3</v>
      </c>
      <c r="U28" s="64">
        <f t="shared" si="14"/>
        <v>5.0000000000000001E-3</v>
      </c>
      <c r="V28" s="207">
        <f>IF($A29="","",IF(AND(MONTH(A28)&gt;3,MONTH(A28)&lt;11),(T28+R28+G28)*Summary!$T$8/(1-Summary!$T$8),(T28+R28+G28)*Summary!$U$8/(1-Summary!$U$8)))</f>
        <v>0.23754330211512154</v>
      </c>
      <c r="W28" s="63">
        <f t="shared" si="15"/>
        <v>4.7795433021151217</v>
      </c>
      <c r="X28" s="63">
        <f t="shared" si="16"/>
        <v>4.7795433021151217</v>
      </c>
      <c r="Y28" s="43"/>
      <c r="Z28" s="38">
        <f t="shared" si="17"/>
        <v>1.1000000000000001</v>
      </c>
      <c r="AA28" s="38">
        <f t="shared" si="18"/>
        <v>0.373</v>
      </c>
      <c r="AB28" s="38">
        <f t="shared" ca="1" si="19"/>
        <v>0.41541537800517908</v>
      </c>
      <c r="AC28" s="38">
        <f t="shared" si="20"/>
        <v>1</v>
      </c>
      <c r="AD28" s="38">
        <f t="shared" si="20"/>
        <v>0.36249999999999999</v>
      </c>
      <c r="AE28" s="38">
        <f t="shared" ca="1" si="21"/>
        <v>0.39883888445362548</v>
      </c>
      <c r="AF28" s="237">
        <f ca="1">((Summary!$N$8*(AA28*AD28)*(A28-$D$3))+(Summary!$M$8*Z28*AC28*(AJ28-EOMONTH(EDATE(A28,-1),0))))/(AK28*AB28*AE28)</f>
        <v>0.99958628533575866</v>
      </c>
      <c r="AG28" s="88">
        <f>IF($A29="","",Summary!$Q$8)</f>
        <v>0</v>
      </c>
      <c r="AH28" s="88">
        <f>IF($A29="","",IF(Summary!$R$8="Y",(VLOOKUP($A28,Summary!$AD$6:$AF$9,3)+'Escalating commodity'!D41),'Escalating commodity'!D41))</f>
        <v>2.12E-2</v>
      </c>
      <c r="AI28" s="88">
        <f t="shared" si="36"/>
        <v>2.12E-2</v>
      </c>
      <c r="AJ28" s="236">
        <f t="shared" si="22"/>
        <v>37605.5</v>
      </c>
      <c r="AK28" s="58">
        <f t="shared" ca="1" si="23"/>
        <v>565</v>
      </c>
      <c r="AL28" s="26">
        <f ca="1">IF($A29="","",_xll.SPRDOPT(P28,X28,AI28,0,AB28,AE28,AF28,AK28,$AJ$2,0))</f>
        <v>8.4627302085196157E-2</v>
      </c>
      <c r="AM28" s="89">
        <f t="shared" si="24"/>
        <v>5.6256697884878526E-2</v>
      </c>
      <c r="AN28" s="89">
        <f t="shared" ca="1" si="25"/>
        <v>2.8370604200317631E-2</v>
      </c>
      <c r="AO28" s="3">
        <f t="shared" si="26"/>
        <v>31</v>
      </c>
      <c r="AP28" s="33">
        <f t="shared" si="27"/>
        <v>37591</v>
      </c>
      <c r="AQ28" s="58">
        <f t="shared" ca="1" si="28"/>
        <v>565</v>
      </c>
      <c r="AR28" s="38">
        <f>'ANR OK vs ML7'!AR28</f>
        <v>0.1</v>
      </c>
      <c r="AS28" s="35">
        <f t="shared" ca="1" si="29"/>
        <v>0.85989446361261945</v>
      </c>
      <c r="AT28" s="3">
        <f t="shared" si="30"/>
        <v>1</v>
      </c>
      <c r="AU28" s="3">
        <f t="shared" si="31"/>
        <v>31</v>
      </c>
      <c r="AW28" s="32">
        <f t="shared" ca="1" si="32"/>
        <v>209875.70917128646</v>
      </c>
      <c r="AX28" s="32">
        <f t="shared" si="33"/>
        <v>139516.61075449875</v>
      </c>
      <c r="AY28" s="32">
        <f t="shared" ca="1" si="34"/>
        <v>70359.098416787732</v>
      </c>
      <c r="BA28" s="32">
        <f ca="1">IF($A29="","",F28*Summary!$Q$8)</f>
        <v>0</v>
      </c>
      <c r="BC28" s="256">
        <f t="shared" ca="1" si="37"/>
        <v>119969.56116979032</v>
      </c>
    </row>
    <row r="29" spans="1:55">
      <c r="A29" s="67">
        <f t="shared" si="35"/>
        <v>37622</v>
      </c>
      <c r="B29" s="69">
        <f t="shared" si="38"/>
        <v>80000</v>
      </c>
      <c r="C29" s="71"/>
      <c r="D29" s="69">
        <f t="shared" si="0"/>
        <v>80000</v>
      </c>
      <c r="E29" s="70">
        <f t="shared" si="1"/>
        <v>2480000</v>
      </c>
      <c r="F29" s="70">
        <f t="shared" ca="1" si="2"/>
        <v>2114949.5831102696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0.27</v>
      </c>
      <c r="K29" s="64">
        <f t="shared" si="6"/>
        <v>0.27</v>
      </c>
      <c r="L29" s="63">
        <f t="shared" si="7"/>
        <v>0</v>
      </c>
      <c r="M29" s="64">
        <f t="shared" si="8"/>
        <v>0</v>
      </c>
      <c r="N29" s="65"/>
      <c r="O29" s="63">
        <f t="shared" si="9"/>
        <v>4.9209999999999994</v>
      </c>
      <c r="P29" s="63">
        <f t="shared" si="10"/>
        <v>4.9209999999999994</v>
      </c>
      <c r="Q29" s="66"/>
      <c r="R29" s="63">
        <f t="shared" si="11"/>
        <v>-7.0000000000000007E-2</v>
      </c>
      <c r="S29" s="64">
        <f t="shared" si="12"/>
        <v>-7.0000000000000007E-2</v>
      </c>
      <c r="T29" s="63">
        <f t="shared" si="13"/>
        <v>5.0000000000000001E-3</v>
      </c>
      <c r="U29" s="64">
        <f t="shared" si="14"/>
        <v>5.0000000000000001E-3</v>
      </c>
      <c r="V29" s="207">
        <f>IF($A30="","",IF(AND(MONTH(A29)&gt;3,MONTH(A29)&lt;11),(T29+R29+G29)*Summary!$T$8/(1-Summary!$T$8),(T29+R29+G29)*Summary!$U$8/(1-Summary!$U$8)))</f>
        <v>0.23984447016731553</v>
      </c>
      <c r="W29" s="63">
        <f t="shared" si="15"/>
        <v>4.8258444701673149</v>
      </c>
      <c r="X29" s="63">
        <f t="shared" si="16"/>
        <v>4.8258444701673149</v>
      </c>
      <c r="Y29" s="43"/>
      <c r="Z29" s="38">
        <f t="shared" si="17"/>
        <v>1.1000000000000001</v>
      </c>
      <c r="AA29" s="38">
        <f t="shared" si="18"/>
        <v>0.379</v>
      </c>
      <c r="AB29" s="38">
        <f t="shared" ca="1" si="19"/>
        <v>0.41874828858710683</v>
      </c>
      <c r="AC29" s="38">
        <f t="shared" si="20"/>
        <v>1</v>
      </c>
      <c r="AD29" s="38">
        <f t="shared" si="20"/>
        <v>0.36749999999999999</v>
      </c>
      <c r="AE29" s="38">
        <f t="shared" ca="1" si="21"/>
        <v>0.40160872233519118</v>
      </c>
      <c r="AF29" s="237">
        <f ca="1">((Summary!$N$8*(AA29*AD29)*(A29-$D$3))+(Summary!$M$8*Z29*AC29*(AJ29-EOMONTH(EDATE(A29,-1),0))))/(AK29*AB29*AE29)</f>
        <v>0.99962337133754797</v>
      </c>
      <c r="AG29" s="88">
        <f>IF($A30="","",Summary!$Q$8)</f>
        <v>0</v>
      </c>
      <c r="AH29" s="88">
        <f>IF($A30="","",IF(Summary!$R$8="Y",(VLOOKUP($A29,Summary!$AD$6:$AF$9,3)+'Escalating commodity'!D42),'Escalating commodity'!D42))</f>
        <v>2.0686E-2</v>
      </c>
      <c r="AI29" s="88">
        <f t="shared" si="36"/>
        <v>2.0686E-2</v>
      </c>
      <c r="AJ29" s="236">
        <f t="shared" si="22"/>
        <v>37636.5</v>
      </c>
      <c r="AK29" s="58">
        <f t="shared" ca="1" si="23"/>
        <v>596</v>
      </c>
      <c r="AL29" s="26">
        <f ca="1">IF($A30="","",_xll.SPRDOPT(P29,X29,AI29,0,AB29,AE29,AF29,AK29,$AJ$2,0))</f>
        <v>9.9678431849591964E-2</v>
      </c>
      <c r="AM29" s="89">
        <f t="shared" si="24"/>
        <v>7.4469529832684497E-2</v>
      </c>
      <c r="AN29" s="89">
        <f t="shared" ca="1" si="25"/>
        <v>2.5208902016907467E-2</v>
      </c>
      <c r="AO29" s="3">
        <f t="shared" si="26"/>
        <v>31</v>
      </c>
      <c r="AP29" s="33">
        <f t="shared" si="27"/>
        <v>37622</v>
      </c>
      <c r="AQ29" s="58">
        <f t="shared" ca="1" si="28"/>
        <v>596</v>
      </c>
      <c r="AR29" s="38">
        <f>'ANR OK vs ML7'!AR29</f>
        <v>0.1</v>
      </c>
      <c r="AS29" s="35">
        <f t="shared" ca="1" si="29"/>
        <v>0.85280225125414089</v>
      </c>
      <c r="AT29" s="3">
        <f t="shared" si="30"/>
        <v>1</v>
      </c>
      <c r="AU29" s="3">
        <f t="shared" si="31"/>
        <v>31</v>
      </c>
      <c r="AW29" s="32">
        <f t="shared" ca="1" si="32"/>
        <v>247202.51098698808</v>
      </c>
      <c r="AX29" s="32">
        <f t="shared" si="33"/>
        <v>184684.43398505755</v>
      </c>
      <c r="AY29" s="32">
        <f t="shared" ca="1" si="34"/>
        <v>62518.07700193052</v>
      </c>
      <c r="BA29" s="32">
        <f ca="1">IF($A30="","",F29*Summary!$Q$8)</f>
        <v>0</v>
      </c>
      <c r="BC29" s="256">
        <f t="shared" ca="1" si="37"/>
        <v>157499.30107405386</v>
      </c>
    </row>
    <row r="30" spans="1:55">
      <c r="A30" s="67">
        <f t="shared" si="35"/>
        <v>37653</v>
      </c>
      <c r="B30" s="69">
        <f t="shared" si="38"/>
        <v>80000</v>
      </c>
      <c r="C30" s="71"/>
      <c r="D30" s="69">
        <f t="shared" si="0"/>
        <v>80000</v>
      </c>
      <c r="E30" s="70">
        <f t="shared" si="1"/>
        <v>2240000</v>
      </c>
      <c r="F30" s="70">
        <f t="shared" ca="1" si="2"/>
        <v>1894521.515794703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0.33</v>
      </c>
      <c r="K30" s="64">
        <f t="shared" si="6"/>
        <v>0.33</v>
      </c>
      <c r="L30" s="63">
        <f t="shared" si="7"/>
        <v>0</v>
      </c>
      <c r="M30" s="64">
        <f t="shared" si="8"/>
        <v>0</v>
      </c>
      <c r="N30" s="65"/>
      <c r="O30" s="63">
        <f t="shared" si="9"/>
        <v>4.8260000000000005</v>
      </c>
      <c r="P30" s="63">
        <f t="shared" si="10"/>
        <v>4.8260000000000005</v>
      </c>
      <c r="Q30" s="66"/>
      <c r="R30" s="63">
        <f t="shared" si="11"/>
        <v>-7.0000000000000007E-2</v>
      </c>
      <c r="S30" s="64">
        <f t="shared" si="12"/>
        <v>-7.0000000000000007E-2</v>
      </c>
      <c r="T30" s="63">
        <f t="shared" si="13"/>
        <v>5.0000000000000001E-3</v>
      </c>
      <c r="U30" s="64">
        <f t="shared" si="14"/>
        <v>5.0000000000000001E-3</v>
      </c>
      <c r="V30" s="207">
        <f>IF($A31="","",IF(AND(MONTH(A30)&gt;3,MONTH(A30)&lt;11),(T30+R30+G30)*Summary!$T$8/(1-Summary!$T$8),(T30+R30+G30)*Summary!$U$8/(1-Summary!$U$8)))</f>
        <v>0.23173808271072294</v>
      </c>
      <c r="W30" s="63">
        <f t="shared" si="15"/>
        <v>4.6627380827107228</v>
      </c>
      <c r="X30" s="63">
        <f t="shared" si="16"/>
        <v>4.6627380827107228</v>
      </c>
      <c r="Y30" s="43"/>
      <c r="Z30" s="38">
        <f t="shared" si="17"/>
        <v>1.1000000000000001</v>
      </c>
      <c r="AA30" s="38">
        <f t="shared" si="18"/>
        <v>0.371</v>
      </c>
      <c r="AB30" s="38">
        <f t="shared" ca="1" si="19"/>
        <v>0.40605180332766155</v>
      </c>
      <c r="AC30" s="38">
        <f t="shared" si="20"/>
        <v>1</v>
      </c>
      <c r="AD30" s="38">
        <f t="shared" si="20"/>
        <v>0.36</v>
      </c>
      <c r="AE30" s="38">
        <f t="shared" ca="1" si="21"/>
        <v>0.39004518611172656</v>
      </c>
      <c r="AF30" s="237">
        <f ca="1">((Summary!$N$8*(AA30*AD30)*(A30-$D$3))+(Summary!$M$8*Z30*AC30*(AJ30-EOMONTH(EDATE(A30,-1),0))))/(AK30*AB30*AE30)</f>
        <v>0.99963687861708106</v>
      </c>
      <c r="AG30" s="88">
        <f>IF($A31="","",Summary!$Q$8)</f>
        <v>0</v>
      </c>
      <c r="AH30" s="88">
        <f>IF($A31="","",IF(Summary!$R$8="Y",(VLOOKUP($A30,Summary!$AD$6:$AF$9,3)+'Escalating commodity'!D43),'Escalating commodity'!D43))</f>
        <v>2.0686E-2</v>
      </c>
      <c r="AI30" s="88">
        <f t="shared" si="36"/>
        <v>2.0686E-2</v>
      </c>
      <c r="AJ30" s="236">
        <f t="shared" si="22"/>
        <v>37666</v>
      </c>
      <c r="AK30" s="58">
        <f t="shared" ca="1" si="23"/>
        <v>627</v>
      </c>
      <c r="AL30" s="26">
        <f ca="1">IF($A31="","",_xll.SPRDOPT(P30,X30,AI30,0,AB30,AE30,AF30,AK30,$AJ$2,0))</f>
        <v>0.15192711189226965</v>
      </c>
      <c r="AM30" s="89">
        <f t="shared" si="24"/>
        <v>0.14257591728927774</v>
      </c>
      <c r="AN30" s="89">
        <f t="shared" ca="1" si="25"/>
        <v>9.3511946029919135E-3</v>
      </c>
      <c r="AO30" s="3">
        <f t="shared" si="26"/>
        <v>28</v>
      </c>
      <c r="AP30" s="33">
        <f t="shared" si="27"/>
        <v>37653</v>
      </c>
      <c r="AQ30" s="58">
        <f t="shared" ca="1" si="28"/>
        <v>627</v>
      </c>
      <c r="AR30" s="38">
        <f>'ANR OK vs ML7'!AR30</f>
        <v>0.1</v>
      </c>
      <c r="AS30" s="35">
        <f t="shared" ca="1" si="29"/>
        <v>0.84576853383692097</v>
      </c>
      <c r="AT30" s="3">
        <f t="shared" si="30"/>
        <v>1</v>
      </c>
      <c r="AU30" s="3">
        <f t="shared" si="31"/>
        <v>28</v>
      </c>
      <c r="AW30" s="32">
        <f t="shared" ca="1" si="32"/>
        <v>340316.73063868401</v>
      </c>
      <c r="AX30" s="32">
        <f t="shared" si="33"/>
        <v>319370.05472798215</v>
      </c>
      <c r="AY30" s="32">
        <f t="shared" ca="1" si="34"/>
        <v>20946.675910701888</v>
      </c>
      <c r="BA30" s="32">
        <f ca="1">IF($A31="","",F30*Summary!$Q$8)</f>
        <v>0</v>
      </c>
      <c r="BC30" s="256">
        <f t="shared" ca="1" si="37"/>
        <v>270113.14293870266</v>
      </c>
    </row>
    <row r="31" spans="1:55">
      <c r="A31" s="67">
        <f t="shared" si="35"/>
        <v>37681</v>
      </c>
      <c r="B31" s="69">
        <f t="shared" si="38"/>
        <v>80000</v>
      </c>
      <c r="C31" s="71"/>
      <c r="D31" s="69">
        <f t="shared" si="0"/>
        <v>80000</v>
      </c>
      <c r="E31" s="70">
        <f t="shared" si="1"/>
        <v>2480000</v>
      </c>
      <c r="F31" s="70">
        <f t="shared" ca="1" si="2"/>
        <v>2081874.1300451367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0.33</v>
      </c>
      <c r="K31" s="64">
        <f t="shared" si="6"/>
        <v>0.33</v>
      </c>
      <c r="L31" s="63">
        <f t="shared" si="7"/>
        <v>0</v>
      </c>
      <c r="M31" s="64">
        <f t="shared" si="8"/>
        <v>0</v>
      </c>
      <c r="N31" s="65"/>
      <c r="O31" s="63">
        <f t="shared" si="9"/>
        <v>4.6379999999999999</v>
      </c>
      <c r="P31" s="63">
        <f t="shared" si="10"/>
        <v>4.6379999999999999</v>
      </c>
      <c r="Q31" s="66"/>
      <c r="R31" s="63">
        <f t="shared" si="11"/>
        <v>-7.0000000000000007E-2</v>
      </c>
      <c r="S31" s="64">
        <f t="shared" si="12"/>
        <v>-7.0000000000000007E-2</v>
      </c>
      <c r="T31" s="63">
        <f t="shared" si="13"/>
        <v>5.0000000000000001E-3</v>
      </c>
      <c r="U31" s="64">
        <f t="shared" si="14"/>
        <v>5.0000000000000001E-3</v>
      </c>
      <c r="V31" s="207">
        <f>IF($A32="","",IF(AND(MONTH(A31)&gt;3,MONTH(A31)&lt;11),(T31+R31+G31)*Summary!$T$8/(1-Summary!$T$8),(T31+R31+G31)*Summary!$U$8/(1-Summary!$U$8)))</f>
        <v>0.22190581921498473</v>
      </c>
      <c r="W31" s="63">
        <f t="shared" si="15"/>
        <v>4.4649058192149838</v>
      </c>
      <c r="X31" s="63">
        <f t="shared" si="16"/>
        <v>4.4649058192149838</v>
      </c>
      <c r="Y31" s="43"/>
      <c r="Z31" s="38">
        <f t="shared" si="17"/>
        <v>0.75</v>
      </c>
      <c r="AA31" s="38">
        <f t="shared" si="18"/>
        <v>0.34800000000000003</v>
      </c>
      <c r="AB31" s="38">
        <f t="shared" ca="1" si="19"/>
        <v>0.36687867245908901</v>
      </c>
      <c r="AC31" s="38">
        <f t="shared" si="20"/>
        <v>0.75</v>
      </c>
      <c r="AD31" s="38">
        <f t="shared" si="20"/>
        <v>0.33750000000000002</v>
      </c>
      <c r="AE31" s="38">
        <f t="shared" ca="1" si="21"/>
        <v>0.35691906838111886</v>
      </c>
      <c r="AF31" s="237">
        <f ca="1">((Summary!$N$8*(AA31*AD31)*(A31-$D$3))+(Summary!$M$8*Z31*AC31*(AJ31-EOMONTH(EDATE(A31,-1),0))))/(AK31*AB31*AE31)</f>
        <v>0.99986730991625195</v>
      </c>
      <c r="AG31" s="88">
        <f>IF($A32="","",Summary!$Q$8)</f>
        <v>0</v>
      </c>
      <c r="AH31" s="88">
        <f>IF($A32="","",IF(Summary!$R$8="Y",(VLOOKUP($A31,Summary!$AD$6:$AF$9,3)+'Escalating commodity'!D44),'Escalating commodity'!D44))</f>
        <v>2.0686E-2</v>
      </c>
      <c r="AI31" s="88">
        <f t="shared" si="36"/>
        <v>2.0686E-2</v>
      </c>
      <c r="AJ31" s="236">
        <f t="shared" si="22"/>
        <v>37695.5</v>
      </c>
      <c r="AK31" s="58">
        <f t="shared" ca="1" si="23"/>
        <v>655</v>
      </c>
      <c r="AL31" s="26">
        <f ca="1">IF($A32="","",_xll.SPRDOPT(P31,X31,AI31,0,AB31,AE31,AF31,AK31,$AJ$2,0))</f>
        <v>0.15384211666158409</v>
      </c>
      <c r="AM31" s="89">
        <f t="shared" si="24"/>
        <v>0.15240818078501614</v>
      </c>
      <c r="AN31" s="89">
        <f t="shared" ca="1" si="25"/>
        <v>1.4339358765679544E-3</v>
      </c>
      <c r="AO31" s="3">
        <f t="shared" si="26"/>
        <v>31</v>
      </c>
      <c r="AP31" s="33">
        <f t="shared" si="27"/>
        <v>37681</v>
      </c>
      <c r="AQ31" s="58">
        <f t="shared" ca="1" si="28"/>
        <v>655</v>
      </c>
      <c r="AR31" s="38">
        <f>'ANR OK vs ML7'!AR31</f>
        <v>0.1</v>
      </c>
      <c r="AS31" s="35">
        <f t="shared" ca="1" si="29"/>
        <v>0.83946537501820029</v>
      </c>
      <c r="AT31" s="3">
        <f t="shared" si="30"/>
        <v>1</v>
      </c>
      <c r="AU31" s="3">
        <f t="shared" si="31"/>
        <v>31</v>
      </c>
      <c r="AW31" s="32">
        <f t="shared" ca="1" si="32"/>
        <v>381528.44932072854</v>
      </c>
      <c r="AX31" s="32">
        <f t="shared" si="33"/>
        <v>377972.28834684001</v>
      </c>
      <c r="AY31" s="32">
        <f t="shared" ca="1" si="34"/>
        <v>3556.1609738885268</v>
      </c>
      <c r="BA31" s="32">
        <f ca="1">IF($A32="","",F31*Summary!$Q$8)</f>
        <v>0</v>
      </c>
      <c r="BC31" s="256">
        <f t="shared" ca="1" si="37"/>
        <v>317294.64878356736</v>
      </c>
    </row>
    <row r="32" spans="1:55">
      <c r="A32" s="67">
        <f t="shared" si="35"/>
        <v>37712</v>
      </c>
      <c r="B32" s="69">
        <f t="shared" si="38"/>
        <v>80000</v>
      </c>
      <c r="C32" s="71"/>
      <c r="D32" s="69">
        <f t="shared" si="0"/>
        <v>80000</v>
      </c>
      <c r="E32" s="70">
        <f t="shared" si="1"/>
        <v>2400000</v>
      </c>
      <c r="F32" s="70">
        <f t="shared" ca="1" si="2"/>
        <v>1998099.9770351353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0.22500000000000001</v>
      </c>
      <c r="K32" s="64">
        <f t="shared" si="6"/>
        <v>0.22500000000000001</v>
      </c>
      <c r="L32" s="63">
        <f t="shared" si="7"/>
        <v>0</v>
      </c>
      <c r="M32" s="64">
        <f t="shared" si="8"/>
        <v>0</v>
      </c>
      <c r="N32" s="65"/>
      <c r="O32" s="63">
        <f t="shared" si="9"/>
        <v>4.2050000000000001</v>
      </c>
      <c r="P32" s="63">
        <f t="shared" si="10"/>
        <v>4.2050000000000001</v>
      </c>
      <c r="Q32" s="66"/>
      <c r="R32" s="63">
        <f t="shared" si="11"/>
        <v>-5.7500000000000002E-2</v>
      </c>
      <c r="S32" s="64">
        <f t="shared" si="12"/>
        <v>-5.7500000000000002E-2</v>
      </c>
      <c r="T32" s="63">
        <f t="shared" si="13"/>
        <v>0</v>
      </c>
      <c r="U32" s="64">
        <f t="shared" si="14"/>
        <v>0</v>
      </c>
      <c r="V32" s="207">
        <f>IF($A33="","",IF(AND(MONTH(A32)&gt;3,MONTH(A32)&lt;11),(T32+R32+G32)*Summary!$T$8/(1-Summary!$T$8),(T32+R32+G32)*Summary!$U$8/(1-Summary!$U$8)))</f>
        <v>0.20514390192570767</v>
      </c>
      <c r="W32" s="63">
        <f t="shared" si="15"/>
        <v>4.1276439019257074</v>
      </c>
      <c r="X32" s="63">
        <f t="shared" si="16"/>
        <v>4.1276439019257074</v>
      </c>
      <c r="Y32" s="43"/>
      <c r="Z32" s="38">
        <f t="shared" si="17"/>
        <v>0.45</v>
      </c>
      <c r="AA32" s="38">
        <f t="shared" si="18"/>
        <v>0.33</v>
      </c>
      <c r="AB32" s="38">
        <f t="shared" ca="1" si="19"/>
        <v>0.33687770618027368</v>
      </c>
      <c r="AC32" s="38">
        <f t="shared" si="20"/>
        <v>0.4</v>
      </c>
      <c r="AD32" s="38">
        <f t="shared" si="20"/>
        <v>0.32</v>
      </c>
      <c r="AE32" s="38">
        <f t="shared" ca="1" si="21"/>
        <v>0.32564983250583551</v>
      </c>
      <c r="AF32" s="237">
        <f ca="1">((Summary!$N$8*(AA32*AD32)*(A32-$D$3))+(Summary!$M$8*Z32*AC32*(AJ32-EOMONTH(EDATE(A32,-1),0))))/(AK32*AB32*AE32)</f>
        <v>0.99977258778681866</v>
      </c>
      <c r="AG32" s="88">
        <f>IF($A33="","",Summary!$Q$8)</f>
        <v>0</v>
      </c>
      <c r="AH32" s="88">
        <f>IF($A33="","",IF(Summary!$R$8="Y",(VLOOKUP($A32,Summary!$AD$6:$AF$9,3)+'Escalating commodity'!D45),'Escalating commodity'!D45))</f>
        <v>2.0686E-2</v>
      </c>
      <c r="AI32" s="88">
        <f t="shared" si="36"/>
        <v>2.0686E-2</v>
      </c>
      <c r="AJ32" s="236">
        <f t="shared" si="22"/>
        <v>37726</v>
      </c>
      <c r="AK32" s="58">
        <f t="shared" ca="1" si="23"/>
        <v>686</v>
      </c>
      <c r="AL32" s="26">
        <f ca="1">IF($A33="","",_xll.SPRDOPT(P32,X32,AI32,0,AB32,AE32,AF32,AK32,$AJ$2,0))</f>
        <v>6.9248577401423192E-2</v>
      </c>
      <c r="AM32" s="89">
        <f t="shared" si="24"/>
        <v>5.6670098074292671E-2</v>
      </c>
      <c r="AN32" s="89">
        <f t="shared" ca="1" si="25"/>
        <v>1.2578479327130521E-2</v>
      </c>
      <c r="AO32" s="3">
        <f t="shared" si="26"/>
        <v>30</v>
      </c>
      <c r="AP32" s="33">
        <f t="shared" si="27"/>
        <v>37712</v>
      </c>
      <c r="AQ32" s="58">
        <f t="shared" ca="1" si="28"/>
        <v>686</v>
      </c>
      <c r="AR32" s="38">
        <f>'ANR OK vs ML7'!AR32</f>
        <v>0.1</v>
      </c>
      <c r="AS32" s="35">
        <f t="shared" ca="1" si="29"/>
        <v>0.83254165709797301</v>
      </c>
      <c r="AT32" s="3">
        <f t="shared" si="30"/>
        <v>1</v>
      </c>
      <c r="AU32" s="3">
        <f t="shared" si="31"/>
        <v>30</v>
      </c>
      <c r="AW32" s="32">
        <f t="shared" ca="1" si="32"/>
        <v>166196.58576341567</v>
      </c>
      <c r="AX32" s="32">
        <f t="shared" si="33"/>
        <v>136008.2353783024</v>
      </c>
      <c r="AY32" s="32">
        <f t="shared" ca="1" si="34"/>
        <v>30188.350385113248</v>
      </c>
      <c r="BA32" s="32">
        <f ca="1">IF($A33="","",F32*Summary!$Q$8)</f>
        <v>0</v>
      </c>
      <c r="BC32" s="256">
        <f t="shared" ca="1" si="37"/>
        <v>113232.52166082305</v>
      </c>
    </row>
    <row r="33" spans="1:55">
      <c r="A33" s="67">
        <f t="shared" si="35"/>
        <v>37742</v>
      </c>
      <c r="B33" s="69">
        <f t="shared" si="38"/>
        <v>80000</v>
      </c>
      <c r="C33" s="71"/>
      <c r="D33" s="69">
        <f t="shared" si="0"/>
        <v>80000</v>
      </c>
      <c r="E33" s="70">
        <f t="shared" si="1"/>
        <v>2480000</v>
      </c>
      <c r="F33" s="70">
        <f t="shared" ca="1" si="2"/>
        <v>2048221.2406238401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0.22500000000000001</v>
      </c>
      <c r="K33" s="64">
        <f t="shared" si="6"/>
        <v>0.22500000000000001</v>
      </c>
      <c r="L33" s="63">
        <f t="shared" si="7"/>
        <v>0</v>
      </c>
      <c r="M33" s="64">
        <f t="shared" si="8"/>
        <v>0</v>
      </c>
      <c r="N33" s="65"/>
      <c r="O33" s="63">
        <f t="shared" si="9"/>
        <v>4.165</v>
      </c>
      <c r="P33" s="63">
        <f t="shared" si="10"/>
        <v>4.165</v>
      </c>
      <c r="Q33" s="66"/>
      <c r="R33" s="63">
        <f t="shared" si="11"/>
        <v>-5.7500000000000002E-2</v>
      </c>
      <c r="S33" s="64">
        <f t="shared" si="12"/>
        <v>-5.7500000000000002E-2</v>
      </c>
      <c r="T33" s="63">
        <f t="shared" si="13"/>
        <v>0</v>
      </c>
      <c r="U33" s="64">
        <f t="shared" si="14"/>
        <v>0</v>
      </c>
      <c r="V33" s="207">
        <f>IF($A34="","",IF(AND(MONTH(A33)&gt;3,MONTH(A33)&lt;11),(T33+R33+G33)*Summary!$T$8/(1-Summary!$T$8),(T33+R33+G33)*Summary!$U$8/(1-Summary!$U$8)))</f>
        <v>0.20305193096916763</v>
      </c>
      <c r="W33" s="63">
        <f t="shared" si="15"/>
        <v>4.0855519309691672</v>
      </c>
      <c r="X33" s="63">
        <f t="shared" si="16"/>
        <v>4.0855519309691672</v>
      </c>
      <c r="Y33" s="43"/>
      <c r="Z33" s="38">
        <f t="shared" si="17"/>
        <v>0.5</v>
      </c>
      <c r="AA33" s="38">
        <f t="shared" si="18"/>
        <v>0.32700000000000001</v>
      </c>
      <c r="AB33" s="38">
        <f t="shared" ca="1" si="19"/>
        <v>0.33539581594282797</v>
      </c>
      <c r="AC33" s="38">
        <f t="shared" si="20"/>
        <v>0.45</v>
      </c>
      <c r="AD33" s="38">
        <f t="shared" si="20"/>
        <v>0.3175</v>
      </c>
      <c r="AE33" s="38">
        <f t="shared" ca="1" si="21"/>
        <v>0.3245470226365274</v>
      </c>
      <c r="AF33" s="237">
        <f ca="1">((Summary!$N$8*(AA33*AD33)*(A33-$D$3))+(Summary!$M$8*Z33*AC33*(AJ33-EOMONTH(EDATE(A33,-1),0))))/(AK33*AB33*AE33)</f>
        <v>0.99978138449916576</v>
      </c>
      <c r="AG33" s="88">
        <f>IF($A34="","",Summary!$Q$8)</f>
        <v>0</v>
      </c>
      <c r="AH33" s="88">
        <f>IF($A34="","",IF(Summary!$R$8="Y",(VLOOKUP($A33,Summary!$AD$6:$AF$9,3)+'Escalating commodity'!D46),'Escalating commodity'!D46))</f>
        <v>2.0686E-2</v>
      </c>
      <c r="AI33" s="88">
        <f t="shared" si="36"/>
        <v>2.0686E-2</v>
      </c>
      <c r="AJ33" s="236">
        <f t="shared" si="22"/>
        <v>37756.5</v>
      </c>
      <c r="AK33" s="58">
        <f t="shared" ca="1" si="23"/>
        <v>716</v>
      </c>
      <c r="AL33" s="26">
        <f ca="1">IF($A34="","",_xll.SPRDOPT(P33,X33,AI33,0,AB33,AE33,AF33,AK33,$AJ$2,0))</f>
        <v>7.0453044464864417E-2</v>
      </c>
      <c r="AM33" s="89">
        <f t="shared" si="24"/>
        <v>5.8762069030832795E-2</v>
      </c>
      <c r="AN33" s="89">
        <f t="shared" ca="1" si="25"/>
        <v>1.1690975434031622E-2</v>
      </c>
      <c r="AO33" s="3">
        <f t="shared" si="26"/>
        <v>31</v>
      </c>
      <c r="AP33" s="33">
        <f t="shared" si="27"/>
        <v>37742</v>
      </c>
      <c r="AQ33" s="58">
        <f t="shared" ca="1" si="28"/>
        <v>716</v>
      </c>
      <c r="AR33" s="38">
        <f>'ANR OK vs ML7'!AR33</f>
        <v>0.1</v>
      </c>
      <c r="AS33" s="35">
        <f t="shared" ca="1" si="29"/>
        <v>0.825895661541871</v>
      </c>
      <c r="AT33" s="3">
        <f t="shared" si="30"/>
        <v>1</v>
      </c>
      <c r="AU33" s="3">
        <f t="shared" si="31"/>
        <v>31</v>
      </c>
      <c r="AW33" s="32">
        <f t="shared" ca="1" si="32"/>
        <v>174723.55027286377</v>
      </c>
      <c r="AX33" s="32">
        <f t="shared" si="33"/>
        <v>145729.93119646533</v>
      </c>
      <c r="AY33" s="32">
        <f t="shared" ca="1" si="34"/>
        <v>28993.619076398423</v>
      </c>
      <c r="BA33" s="32">
        <f ca="1">IF($A34="","",F33*Summary!$Q$8)</f>
        <v>0</v>
      </c>
      <c r="BC33" s="256">
        <f t="shared" ca="1" si="37"/>
        <v>120357.71793195608</v>
      </c>
    </row>
    <row r="34" spans="1:55">
      <c r="A34" s="67">
        <f t="shared" si="35"/>
        <v>37773</v>
      </c>
      <c r="B34" s="69">
        <f t="shared" si="38"/>
        <v>80000</v>
      </c>
      <c r="C34" s="71"/>
      <c r="D34" s="69">
        <f t="shared" si="0"/>
        <v>80000</v>
      </c>
      <c r="E34" s="70">
        <f t="shared" si="1"/>
        <v>2400000</v>
      </c>
      <c r="F34" s="70">
        <f t="shared" ca="1" si="2"/>
        <v>1965801.2724163306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0.22500000000000001</v>
      </c>
      <c r="K34" s="64">
        <f t="shared" si="6"/>
        <v>0.22500000000000001</v>
      </c>
      <c r="L34" s="63">
        <f t="shared" si="7"/>
        <v>0</v>
      </c>
      <c r="M34" s="64">
        <f t="shared" si="8"/>
        <v>0</v>
      </c>
      <c r="N34" s="65"/>
      <c r="O34" s="63">
        <f t="shared" si="9"/>
        <v>4.1950000000000003</v>
      </c>
      <c r="P34" s="63">
        <f t="shared" si="10"/>
        <v>4.1950000000000003</v>
      </c>
      <c r="Q34" s="66"/>
      <c r="R34" s="63">
        <f t="shared" si="11"/>
        <v>-5.7500000000000002E-2</v>
      </c>
      <c r="S34" s="64">
        <f t="shared" si="12"/>
        <v>-5.7500000000000002E-2</v>
      </c>
      <c r="T34" s="63">
        <f t="shared" si="13"/>
        <v>0</v>
      </c>
      <c r="U34" s="64">
        <f t="shared" si="14"/>
        <v>0</v>
      </c>
      <c r="V34" s="207">
        <f>IF($A35="","",IF(AND(MONTH(A34)&gt;3,MONTH(A34)&lt;11),(T34+R34+G34)*Summary!$T$8/(1-Summary!$T$8),(T34+R34+G34)*Summary!$U$8/(1-Summary!$U$8)))</f>
        <v>0.20462090918657266</v>
      </c>
      <c r="W34" s="63">
        <f t="shared" si="15"/>
        <v>4.117120909186573</v>
      </c>
      <c r="X34" s="63">
        <f t="shared" si="16"/>
        <v>4.117120909186573</v>
      </c>
      <c r="Y34" s="43"/>
      <c r="Z34" s="38">
        <f t="shared" si="17"/>
        <v>0.5</v>
      </c>
      <c r="AA34" s="38">
        <f t="shared" si="18"/>
        <v>0.32700000000000001</v>
      </c>
      <c r="AB34" s="38">
        <f t="shared" ca="1" si="19"/>
        <v>0.33480176955864255</v>
      </c>
      <c r="AC34" s="38">
        <f t="shared" si="20"/>
        <v>0.45</v>
      </c>
      <c r="AD34" s="38">
        <f t="shared" si="20"/>
        <v>0.3175</v>
      </c>
      <c r="AE34" s="38">
        <f t="shared" ca="1" si="21"/>
        <v>0.32404855066189947</v>
      </c>
      <c r="AF34" s="237">
        <f ca="1">((Summary!$N$8*(AA34*AD34)*(A34-$D$3))+(Summary!$M$8*Z34*AC34*(AJ34-EOMONTH(EDATE(A34,-1),0))))/(AK34*AB34*AE34)</f>
        <v>0.99978923704752654</v>
      </c>
      <c r="AG34" s="88">
        <f>IF($A35="","",Summary!$Q$8)</f>
        <v>0</v>
      </c>
      <c r="AH34" s="88">
        <f>IF($A35="","",IF(Summary!$R$8="Y",(VLOOKUP($A34,Summary!$AD$6:$AF$9,3)+'Escalating commodity'!D47),'Escalating commodity'!D47))</f>
        <v>2.0686E-2</v>
      </c>
      <c r="AI34" s="88">
        <f t="shared" si="36"/>
        <v>2.0686E-2</v>
      </c>
      <c r="AJ34" s="236">
        <f t="shared" si="22"/>
        <v>37787</v>
      </c>
      <c r="AK34" s="58">
        <f t="shared" ca="1" si="23"/>
        <v>747</v>
      </c>
      <c r="AL34" s="26">
        <f ca="1">IF($A35="","",_xll.SPRDOPT(P34,X34,AI34,0,AB34,AE34,AF34,AK34,$AJ$2,0))</f>
        <v>6.9675528467870368E-2</v>
      </c>
      <c r="AM34" s="89">
        <f t="shared" si="24"/>
        <v>5.7193090813427258E-2</v>
      </c>
      <c r="AN34" s="89">
        <f t="shared" ca="1" si="25"/>
        <v>1.248243765444311E-2</v>
      </c>
      <c r="AO34" s="3">
        <f t="shared" si="26"/>
        <v>30</v>
      </c>
      <c r="AP34" s="33">
        <f t="shared" si="27"/>
        <v>37773</v>
      </c>
      <c r="AQ34" s="58">
        <f t="shared" ca="1" si="28"/>
        <v>747</v>
      </c>
      <c r="AR34" s="38">
        <f>'ANR OK vs ML7'!AR34</f>
        <v>0.1</v>
      </c>
      <c r="AS34" s="35">
        <f t="shared" ca="1" si="29"/>
        <v>0.8190838635068044</v>
      </c>
      <c r="AT34" s="3">
        <f t="shared" si="30"/>
        <v>1</v>
      </c>
      <c r="AU34" s="3">
        <f t="shared" si="31"/>
        <v>30</v>
      </c>
      <c r="AW34" s="32">
        <f t="shared" ca="1" si="32"/>
        <v>167221.26832288888</v>
      </c>
      <c r="AX34" s="32">
        <f t="shared" si="33"/>
        <v>137263.41795222543</v>
      </c>
      <c r="AY34" s="32">
        <f t="shared" ca="1" si="34"/>
        <v>29957.850370663462</v>
      </c>
      <c r="BA34" s="32">
        <f ca="1">IF($A35="","",F34*Summary!$Q$8)</f>
        <v>0</v>
      </c>
      <c r="BC34" s="256">
        <f t="shared" ca="1" si="37"/>
        <v>112430.25069445805</v>
      </c>
    </row>
    <row r="35" spans="1:55">
      <c r="A35" s="67">
        <f t="shared" si="35"/>
        <v>37803</v>
      </c>
      <c r="B35" s="69">
        <f t="shared" si="38"/>
        <v>80000</v>
      </c>
      <c r="C35" s="71"/>
      <c r="D35" s="69">
        <f t="shared" si="0"/>
        <v>80000</v>
      </c>
      <c r="E35" s="70">
        <f t="shared" si="1"/>
        <v>2480000</v>
      </c>
      <c r="F35" s="70">
        <f t="shared" ca="1" si="2"/>
        <v>2015112.3403659889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0.22500000000000001</v>
      </c>
      <c r="K35" s="64">
        <f t="shared" si="6"/>
        <v>0.22500000000000001</v>
      </c>
      <c r="L35" s="63">
        <f t="shared" si="7"/>
        <v>0</v>
      </c>
      <c r="M35" s="64">
        <f t="shared" si="8"/>
        <v>0</v>
      </c>
      <c r="N35" s="65"/>
      <c r="O35" s="63">
        <f t="shared" si="9"/>
        <v>4.2349999999999994</v>
      </c>
      <c r="P35" s="63">
        <f t="shared" si="10"/>
        <v>4.2349999999999994</v>
      </c>
      <c r="Q35" s="66"/>
      <c r="R35" s="63">
        <f t="shared" si="11"/>
        <v>-5.7500000000000002E-2</v>
      </c>
      <c r="S35" s="64">
        <f t="shared" si="12"/>
        <v>-5.7500000000000002E-2</v>
      </c>
      <c r="T35" s="63">
        <f t="shared" si="13"/>
        <v>0</v>
      </c>
      <c r="U35" s="64">
        <f t="shared" si="14"/>
        <v>0</v>
      </c>
      <c r="V35" s="207">
        <f>IF($A36="","",IF(AND(MONTH(A35)&gt;3,MONTH(A35)&lt;11),(T35+R35+G35)*Summary!$T$8/(1-Summary!$T$8),(T35+R35+G35)*Summary!$U$8/(1-Summary!$U$8)))</f>
        <v>0.20671288014311268</v>
      </c>
      <c r="W35" s="63">
        <f t="shared" si="15"/>
        <v>4.1592128801431123</v>
      </c>
      <c r="X35" s="63">
        <f t="shared" si="16"/>
        <v>4.1592128801431123</v>
      </c>
      <c r="Y35" s="43"/>
      <c r="Z35" s="38">
        <f t="shared" si="17"/>
        <v>0.55000000000000004</v>
      </c>
      <c r="AA35" s="38">
        <f t="shared" si="18"/>
        <v>0.32700000000000001</v>
      </c>
      <c r="AB35" s="38">
        <f t="shared" ca="1" si="19"/>
        <v>0.33630498813583637</v>
      </c>
      <c r="AC35" s="38">
        <f t="shared" si="20"/>
        <v>0.5</v>
      </c>
      <c r="AD35" s="38">
        <f t="shared" si="20"/>
        <v>0.3175</v>
      </c>
      <c r="AE35" s="38">
        <f t="shared" ca="1" si="21"/>
        <v>0.32545831954432775</v>
      </c>
      <c r="AF35" s="237">
        <f ca="1">((Summary!$N$8*(AA35*AD35)*(A35-$D$3))+(Summary!$M$8*Z35*AC35*(AJ35-EOMONTH(EDATE(A35,-1),0))))/(AK35*AB35*AE35)</f>
        <v>0.99980184026674612</v>
      </c>
      <c r="AG35" s="88">
        <f>IF($A36="","",Summary!$Q$8)</f>
        <v>0</v>
      </c>
      <c r="AH35" s="88">
        <f>IF($A36="","",IF(Summary!$R$8="Y",(VLOOKUP($A35,Summary!$AD$6:$AF$9,3)+'Escalating commodity'!D48),'Escalating commodity'!D48))</f>
        <v>2.0686E-2</v>
      </c>
      <c r="AI35" s="88">
        <f t="shared" si="36"/>
        <v>2.0686E-2</v>
      </c>
      <c r="AJ35" s="236">
        <f t="shared" si="22"/>
        <v>37817.5</v>
      </c>
      <c r="AK35" s="58">
        <f t="shared" ca="1" si="23"/>
        <v>777</v>
      </c>
      <c r="AL35" s="26">
        <f ca="1">IF($A36="","",_xll.SPRDOPT(P35,X35,AI35,0,AB35,AE35,AF35,AK35,$AJ$2,0))</f>
        <v>6.8794613827883502E-2</v>
      </c>
      <c r="AM35" s="89">
        <f t="shared" si="24"/>
        <v>5.5101119856887135E-2</v>
      </c>
      <c r="AN35" s="89">
        <f t="shared" ca="1" si="25"/>
        <v>1.3693493970996368E-2</v>
      </c>
      <c r="AO35" s="3">
        <f t="shared" si="26"/>
        <v>31</v>
      </c>
      <c r="AP35" s="33">
        <f t="shared" si="27"/>
        <v>37803</v>
      </c>
      <c r="AQ35" s="58">
        <f t="shared" ca="1" si="28"/>
        <v>777</v>
      </c>
      <c r="AR35" s="38">
        <f>'ANR OK vs ML7'!AR35</f>
        <v>0.1</v>
      </c>
      <c r="AS35" s="35">
        <f t="shared" ca="1" si="29"/>
        <v>0.81254529853467294</v>
      </c>
      <c r="AT35" s="3">
        <f t="shared" si="30"/>
        <v>1</v>
      </c>
      <c r="AU35" s="3">
        <f t="shared" si="31"/>
        <v>31</v>
      </c>
      <c r="AW35" s="32">
        <f t="shared" ca="1" si="32"/>
        <v>170610.64229315109</v>
      </c>
      <c r="AX35" s="32">
        <f t="shared" si="33"/>
        <v>136650.7772450801</v>
      </c>
      <c r="AY35" s="32">
        <f t="shared" ca="1" si="34"/>
        <v>33959.865048070991</v>
      </c>
      <c r="BA35" s="32">
        <f ca="1">IF($A36="","",F35*Summary!$Q$8)</f>
        <v>0</v>
      </c>
      <c r="BC35" s="256">
        <f t="shared" ca="1" si="37"/>
        <v>111034.94659159869</v>
      </c>
    </row>
    <row r="36" spans="1:55">
      <c r="A36" s="67">
        <f t="shared" si="35"/>
        <v>37834</v>
      </c>
      <c r="B36" s="69">
        <f t="shared" si="38"/>
        <v>80000</v>
      </c>
      <c r="C36" s="71"/>
      <c r="D36" s="69">
        <f t="shared" si="0"/>
        <v>80000</v>
      </c>
      <c r="E36" s="70">
        <f t="shared" si="1"/>
        <v>2480000</v>
      </c>
      <c r="F36" s="70">
        <f t="shared" ca="1" si="2"/>
        <v>1998492.1558563409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0.22500000000000001</v>
      </c>
      <c r="K36" s="64">
        <f t="shared" si="6"/>
        <v>0.22500000000000001</v>
      </c>
      <c r="L36" s="63">
        <f t="shared" si="7"/>
        <v>0</v>
      </c>
      <c r="M36" s="64">
        <f t="shared" si="8"/>
        <v>0</v>
      </c>
      <c r="N36" s="65"/>
      <c r="O36" s="63">
        <f t="shared" si="9"/>
        <v>4.2809999999999997</v>
      </c>
      <c r="P36" s="63">
        <f t="shared" si="10"/>
        <v>4.2809999999999997</v>
      </c>
      <c r="Q36" s="66"/>
      <c r="R36" s="63">
        <f t="shared" si="11"/>
        <v>-5.7500000000000002E-2</v>
      </c>
      <c r="S36" s="64">
        <f t="shared" si="12"/>
        <v>-5.7500000000000002E-2</v>
      </c>
      <c r="T36" s="63">
        <f t="shared" si="13"/>
        <v>0</v>
      </c>
      <c r="U36" s="64">
        <f t="shared" si="14"/>
        <v>0</v>
      </c>
      <c r="V36" s="207">
        <f>IF($A37="","",IF(AND(MONTH(A36)&gt;3,MONTH(A36)&lt;11),(T36+R36+G36)*Summary!$T$8/(1-Summary!$T$8),(T36+R36+G36)*Summary!$U$8/(1-Summary!$U$8)))</f>
        <v>0.20911864674313374</v>
      </c>
      <c r="W36" s="63">
        <f t="shared" si="15"/>
        <v>4.2076186467431338</v>
      </c>
      <c r="X36" s="63">
        <f t="shared" si="16"/>
        <v>4.2076186467431338</v>
      </c>
      <c r="Y36" s="43"/>
      <c r="Z36" s="38">
        <f t="shared" si="17"/>
        <v>0.6</v>
      </c>
      <c r="AA36" s="38">
        <f t="shared" si="18"/>
        <v>0.32700000000000001</v>
      </c>
      <c r="AB36" s="38">
        <f t="shared" ca="1" si="19"/>
        <v>0.33759040043423411</v>
      </c>
      <c r="AC36" s="38">
        <f t="shared" si="20"/>
        <v>0.55000000000000004</v>
      </c>
      <c r="AD36" s="38">
        <f t="shared" si="20"/>
        <v>0.3175</v>
      </c>
      <c r="AE36" s="38">
        <f t="shared" ca="1" si="21"/>
        <v>0.32670157426348229</v>
      </c>
      <c r="AF36" s="237">
        <f ca="1">((Summary!$N$8*(AA36*AD36)*(A36-$D$3))+(Summary!$M$8*Z36*AC36*(AJ36-EOMONTH(EDATE(A36,-1),0))))/(AK36*AB36*AE36)</f>
        <v>0.9998161991291149</v>
      </c>
      <c r="AG36" s="88">
        <f>IF($A37="","",Summary!$Q$8)</f>
        <v>0</v>
      </c>
      <c r="AH36" s="88">
        <f>IF($A37="","",IF(Summary!$R$8="Y",(VLOOKUP($A36,Summary!$AD$6:$AF$9,3)+'Escalating commodity'!D49),'Escalating commodity'!D49))</f>
        <v>2.0686E-2</v>
      </c>
      <c r="AI36" s="88">
        <f t="shared" si="36"/>
        <v>2.0686E-2</v>
      </c>
      <c r="AJ36" s="236">
        <f t="shared" si="22"/>
        <v>37848.5</v>
      </c>
      <c r="AK36" s="58">
        <f t="shared" ca="1" si="23"/>
        <v>808</v>
      </c>
      <c r="AL36" s="26">
        <f ca="1">IF($A37="","",_xll.SPRDOPT(P36,X36,AI36,0,AB36,AE36,AF36,AK36,$AJ$2,0))</f>
        <v>6.7759241281993024E-2</v>
      </c>
      <c r="AM36" s="89">
        <f t="shared" si="24"/>
        <v>5.2695353256865904E-2</v>
      </c>
      <c r="AN36" s="89">
        <f t="shared" ca="1" si="25"/>
        <v>1.506388802512712E-2</v>
      </c>
      <c r="AO36" s="3">
        <f t="shared" si="26"/>
        <v>31</v>
      </c>
      <c r="AP36" s="33">
        <f t="shared" si="27"/>
        <v>37834</v>
      </c>
      <c r="AQ36" s="58">
        <f t="shared" ca="1" si="28"/>
        <v>808</v>
      </c>
      <c r="AR36" s="38">
        <f>'ANR OK vs ML7'!AR36</f>
        <v>0.1</v>
      </c>
      <c r="AS36" s="35">
        <f t="shared" ca="1" si="29"/>
        <v>0.80584361123239556</v>
      </c>
      <c r="AT36" s="3">
        <f t="shared" si="30"/>
        <v>1</v>
      </c>
      <c r="AU36" s="3">
        <f t="shared" si="31"/>
        <v>31</v>
      </c>
      <c r="AW36" s="32">
        <f t="shared" ca="1" si="32"/>
        <v>168042.91837934271</v>
      </c>
      <c r="AX36" s="32">
        <f t="shared" si="33"/>
        <v>130684.47607702744</v>
      </c>
      <c r="AY36" s="32">
        <f t="shared" ca="1" si="34"/>
        <v>37358.442302315256</v>
      </c>
      <c r="BA36" s="32">
        <f ca="1">IF($A37="","",F36*Summary!$Q$8)</f>
        <v>0</v>
      </c>
      <c r="BC36" s="256">
        <f t="shared" ca="1" si="37"/>
        <v>105311.25013392539</v>
      </c>
    </row>
    <row r="37" spans="1:55">
      <c r="A37" s="67">
        <f t="shared" si="35"/>
        <v>37865</v>
      </c>
      <c r="B37" s="69">
        <f t="shared" si="38"/>
        <v>80000</v>
      </c>
      <c r="C37" s="71"/>
      <c r="D37" s="69">
        <f t="shared" si="0"/>
        <v>80000</v>
      </c>
      <c r="E37" s="70">
        <f t="shared" si="1"/>
        <v>2400000</v>
      </c>
      <c r="F37" s="70">
        <f t="shared" ca="1" si="2"/>
        <v>1918073.2749846301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0.22500000000000001</v>
      </c>
      <c r="K37" s="64">
        <f t="shared" si="6"/>
        <v>0.22500000000000001</v>
      </c>
      <c r="L37" s="63">
        <f t="shared" si="7"/>
        <v>0</v>
      </c>
      <c r="M37" s="64">
        <f t="shared" si="8"/>
        <v>0</v>
      </c>
      <c r="N37" s="65"/>
      <c r="O37" s="63">
        <f t="shared" si="9"/>
        <v>4.29</v>
      </c>
      <c r="P37" s="63">
        <f t="shared" si="10"/>
        <v>4.29</v>
      </c>
      <c r="Q37" s="66"/>
      <c r="R37" s="63">
        <f t="shared" si="11"/>
        <v>-5.7500000000000002E-2</v>
      </c>
      <c r="S37" s="64">
        <f t="shared" si="12"/>
        <v>-5.7500000000000002E-2</v>
      </c>
      <c r="T37" s="63">
        <f t="shared" si="13"/>
        <v>0</v>
      </c>
      <c r="U37" s="64">
        <f t="shared" si="14"/>
        <v>0</v>
      </c>
      <c r="V37" s="207">
        <f>IF($A38="","",IF(AND(MONTH(A37)&gt;3,MONTH(A37)&lt;11),(T37+R37+G37)*Summary!$T$8/(1-Summary!$T$8),(T37+R37+G37)*Summary!$U$8/(1-Summary!$U$8)))</f>
        <v>0.20958934020835526</v>
      </c>
      <c r="W37" s="63">
        <f t="shared" si="15"/>
        <v>4.2170893402083554</v>
      </c>
      <c r="X37" s="63">
        <f t="shared" si="16"/>
        <v>4.2170893402083554</v>
      </c>
      <c r="Y37" s="43"/>
      <c r="Z37" s="38">
        <f t="shared" si="17"/>
        <v>0.6</v>
      </c>
      <c r="AA37" s="38">
        <f t="shared" si="18"/>
        <v>0.32700000000000001</v>
      </c>
      <c r="AB37" s="38">
        <f t="shared" ca="1" si="19"/>
        <v>0.33688674916654826</v>
      </c>
      <c r="AC37" s="38">
        <f t="shared" si="20"/>
        <v>0.55000000000000004</v>
      </c>
      <c r="AD37" s="38">
        <f t="shared" si="20"/>
        <v>0.3175</v>
      </c>
      <c r="AE37" s="38">
        <f t="shared" ca="1" si="21"/>
        <v>0.32608990256222181</v>
      </c>
      <c r="AF37" s="237">
        <f ca="1">((Summary!$N$8*(AA37*AD37)*(A37-$D$3))+(Summary!$M$8*Z37*AC37*(AJ37-EOMONTH(EDATE(A37,-1),0))))/(AK37*AB37*AE37)</f>
        <v>0.99982126049556741</v>
      </c>
      <c r="AG37" s="88">
        <f>IF($A38="","",Summary!$Q$8)</f>
        <v>0</v>
      </c>
      <c r="AH37" s="88">
        <f>IF($A38="","",IF(Summary!$R$8="Y",(VLOOKUP($A37,Summary!$AD$6:$AF$9,3)+'Escalating commodity'!D50),'Escalating commodity'!D50))</f>
        <v>2.0686E-2</v>
      </c>
      <c r="AI37" s="88">
        <f t="shared" si="36"/>
        <v>2.0686E-2</v>
      </c>
      <c r="AJ37" s="236">
        <f t="shared" si="22"/>
        <v>37879</v>
      </c>
      <c r="AK37" s="58">
        <f t="shared" ca="1" si="23"/>
        <v>839</v>
      </c>
      <c r="AL37" s="26">
        <f ca="1">IF($A38="","",_xll.SPRDOPT(P37,X37,AI37,0,AB37,AE37,AF37,AK37,$AJ$2,0))</f>
        <v>6.7782615086616912E-2</v>
      </c>
      <c r="AM37" s="89">
        <f t="shared" si="24"/>
        <v>5.2224659791644687E-2</v>
      </c>
      <c r="AN37" s="89">
        <f t="shared" ca="1" si="25"/>
        <v>1.5557955294972226E-2</v>
      </c>
      <c r="AO37" s="3">
        <f t="shared" si="26"/>
        <v>30</v>
      </c>
      <c r="AP37" s="33">
        <f t="shared" si="27"/>
        <v>37865</v>
      </c>
      <c r="AQ37" s="58">
        <f t="shared" ca="1" si="28"/>
        <v>839</v>
      </c>
      <c r="AR37" s="38">
        <f>'ANR OK vs ML7'!AR37</f>
        <v>0.1</v>
      </c>
      <c r="AS37" s="35">
        <f t="shared" ca="1" si="29"/>
        <v>0.79919719791026256</v>
      </c>
      <c r="AT37" s="3">
        <f t="shared" si="30"/>
        <v>1</v>
      </c>
      <c r="AU37" s="3">
        <f t="shared" si="31"/>
        <v>30</v>
      </c>
      <c r="AW37" s="32">
        <f t="shared" ca="1" si="32"/>
        <v>162678.27620788058</v>
      </c>
      <c r="AX37" s="32">
        <f t="shared" si="33"/>
        <v>125339.18349994725</v>
      </c>
      <c r="AY37" s="32">
        <f t="shared" ca="1" si="34"/>
        <v>37339.092707933341</v>
      </c>
      <c r="BA37" s="32">
        <f ca="1">IF($A38="","",F37*Summary!$Q$8)</f>
        <v>0</v>
      </c>
      <c r="BC37" s="256">
        <f t="shared" ca="1" si="37"/>
        <v>100170.72424151805</v>
      </c>
    </row>
    <row r="38" spans="1:55">
      <c r="A38" s="67">
        <f t="shared" si="35"/>
        <v>37895</v>
      </c>
      <c r="B38" s="69">
        <f t="shared" si="38"/>
        <v>80000</v>
      </c>
      <c r="C38" s="71"/>
      <c r="D38" s="69">
        <f t="shared" si="0"/>
        <v>80000</v>
      </c>
      <c r="E38" s="70">
        <f t="shared" si="1"/>
        <v>2480000</v>
      </c>
      <c r="F38" s="70">
        <f t="shared" ca="1" si="2"/>
        <v>1966187.1117810281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0.22500000000000001</v>
      </c>
      <c r="K38" s="64">
        <f t="shared" si="6"/>
        <v>0.22500000000000001</v>
      </c>
      <c r="L38" s="63">
        <f t="shared" si="7"/>
        <v>0</v>
      </c>
      <c r="M38" s="64">
        <f t="shared" si="8"/>
        <v>0</v>
      </c>
      <c r="N38" s="65"/>
      <c r="O38" s="63">
        <f t="shared" si="9"/>
        <v>4.3109999999999999</v>
      </c>
      <c r="P38" s="63">
        <f t="shared" si="10"/>
        <v>4.3109999999999999</v>
      </c>
      <c r="Q38" s="66"/>
      <c r="R38" s="63">
        <f t="shared" si="11"/>
        <v>-5.7500000000000002E-2</v>
      </c>
      <c r="S38" s="64">
        <f t="shared" si="12"/>
        <v>-5.7500000000000002E-2</v>
      </c>
      <c r="T38" s="63">
        <f t="shared" si="13"/>
        <v>0</v>
      </c>
      <c r="U38" s="64">
        <f t="shared" si="14"/>
        <v>0</v>
      </c>
      <c r="V38" s="207">
        <f>IF($A39="","",IF(AND(MONTH(A38)&gt;3,MONTH(A38)&lt;11),(T38+R38+G38)*Summary!$T$8/(1-Summary!$T$8),(T38+R38+G38)*Summary!$U$8/(1-Summary!$U$8)))</f>
        <v>0.21068762496053878</v>
      </c>
      <c r="W38" s="63">
        <f t="shared" si="15"/>
        <v>4.2391876249605387</v>
      </c>
      <c r="X38" s="63">
        <f t="shared" si="16"/>
        <v>4.2391876249605387</v>
      </c>
      <c r="Y38" s="43"/>
      <c r="Z38" s="38">
        <f t="shared" si="17"/>
        <v>0.65</v>
      </c>
      <c r="AA38" s="38">
        <f t="shared" si="18"/>
        <v>0.33</v>
      </c>
      <c r="AB38" s="38">
        <f t="shared" ca="1" si="19"/>
        <v>0.3414107164842145</v>
      </c>
      <c r="AC38" s="38">
        <f t="shared" si="20"/>
        <v>0.6</v>
      </c>
      <c r="AD38" s="38">
        <f t="shared" si="20"/>
        <v>0.32</v>
      </c>
      <c r="AE38" s="38">
        <f t="shared" ca="1" si="21"/>
        <v>0.33005910130873817</v>
      </c>
      <c r="AF38" s="237">
        <f ca="1">((Summary!$N$8*(AA38*AD38)*(A38-$D$3))+(Summary!$M$8*Z38*AC38*(AJ38-EOMONTH(EDATE(A38,-1),0))))/(AK38*AB38*AE38)</f>
        <v>0.99983586341795039</v>
      </c>
      <c r="AG38" s="88">
        <f>IF($A39="","",Summary!$Q$8)</f>
        <v>0</v>
      </c>
      <c r="AH38" s="88">
        <f>IF($A39="","",IF(Summary!$R$8="Y",(VLOOKUP($A38,Summary!$AD$6:$AF$9,3)+'Escalating commodity'!D51),'Escalating commodity'!D51))</f>
        <v>2.0686E-2</v>
      </c>
      <c r="AI38" s="88">
        <f t="shared" si="36"/>
        <v>2.0686E-2</v>
      </c>
      <c r="AJ38" s="236">
        <f t="shared" si="22"/>
        <v>37909.5</v>
      </c>
      <c r="AK38" s="58">
        <f t="shared" ca="1" si="23"/>
        <v>869</v>
      </c>
      <c r="AL38" s="26">
        <f ca="1">IF($A39="","",_xll.SPRDOPT(P38,X38,AI38,0,AB38,AE38,AF38,AK38,$AJ$2,0))</f>
        <v>6.8694405137358958E-2</v>
      </c>
      <c r="AM38" s="89">
        <f t="shared" si="24"/>
        <v>5.1126375039461255E-2</v>
      </c>
      <c r="AN38" s="89">
        <f t="shared" ca="1" si="25"/>
        <v>1.7568030097897702E-2</v>
      </c>
      <c r="AO38" s="3">
        <f t="shared" si="26"/>
        <v>31</v>
      </c>
      <c r="AP38" s="33">
        <f t="shared" si="27"/>
        <v>37895</v>
      </c>
      <c r="AQ38" s="58">
        <f t="shared" ca="1" si="28"/>
        <v>869</v>
      </c>
      <c r="AR38" s="38">
        <f>'ANR OK vs ML7'!AR38</f>
        <v>0.1</v>
      </c>
      <c r="AS38" s="35">
        <f t="shared" ca="1" si="29"/>
        <v>0.79281738378267264</v>
      </c>
      <c r="AT38" s="3">
        <f t="shared" si="30"/>
        <v>1</v>
      </c>
      <c r="AU38" s="3">
        <f t="shared" si="31"/>
        <v>31</v>
      </c>
      <c r="AW38" s="32">
        <f t="shared" ca="1" si="32"/>
        <v>170362.12474065021</v>
      </c>
      <c r="AX38" s="32">
        <f t="shared" si="33"/>
        <v>126793.41009786392</v>
      </c>
      <c r="AY38" s="32">
        <f t="shared" ca="1" si="34"/>
        <v>43568.714642786304</v>
      </c>
      <c r="BA38" s="32">
        <f ca="1">IF($A39="","",F38*Summary!$Q$8)</f>
        <v>0</v>
      </c>
      <c r="BC38" s="256">
        <f t="shared" ca="1" si="37"/>
        <v>100524.01967467197</v>
      </c>
    </row>
    <row r="39" spans="1:55">
      <c r="A39" s="67">
        <f t="shared" si="35"/>
        <v>37926</v>
      </c>
      <c r="B39" s="69">
        <f t="shared" si="38"/>
        <v>80000</v>
      </c>
      <c r="C39" s="71"/>
      <c r="D39" s="69">
        <f t="shared" si="0"/>
        <v>80000</v>
      </c>
      <c r="E39" s="70">
        <f t="shared" si="1"/>
        <v>2400000</v>
      </c>
      <c r="F39" s="70">
        <f t="shared" ca="1" si="2"/>
        <v>1887068.1787141832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0.32</v>
      </c>
      <c r="K39" s="64">
        <f t="shared" si="6"/>
        <v>0.32</v>
      </c>
      <c r="L39" s="63">
        <f t="shared" si="7"/>
        <v>0</v>
      </c>
      <c r="M39" s="64">
        <f t="shared" si="8"/>
        <v>0</v>
      </c>
      <c r="N39" s="65"/>
      <c r="O39" s="63">
        <f t="shared" si="9"/>
        <v>4.5190000000000001</v>
      </c>
      <c r="P39" s="63">
        <f t="shared" si="10"/>
        <v>4.5190000000000001</v>
      </c>
      <c r="Q39" s="66"/>
      <c r="R39" s="63">
        <f t="shared" si="11"/>
        <v>-0.06</v>
      </c>
      <c r="S39" s="64">
        <f t="shared" si="12"/>
        <v>-0.06</v>
      </c>
      <c r="T39" s="63">
        <f t="shared" si="13"/>
        <v>5.0000000000000001E-3</v>
      </c>
      <c r="U39" s="64">
        <f t="shared" si="14"/>
        <v>5.0000000000000001E-3</v>
      </c>
      <c r="V39" s="207">
        <f>IF($A40="","",IF(AND(MONTH(A39)&gt;3,MONTH(A39)&lt;11),(T39+R39+G39)*Summary!$T$8/(1-Summary!$T$8),(T39+R39+G39)*Summary!$U$8/(1-Summary!$U$8)))</f>
        <v>0.21672819109754815</v>
      </c>
      <c r="W39" s="63">
        <f t="shared" si="15"/>
        <v>4.3607281910975484</v>
      </c>
      <c r="X39" s="63">
        <f t="shared" si="16"/>
        <v>4.3607281910975484</v>
      </c>
      <c r="Y39" s="43"/>
      <c r="Z39" s="38">
        <f t="shared" si="17"/>
        <v>0.8</v>
      </c>
      <c r="AA39" s="38">
        <f t="shared" si="18"/>
        <v>0.33</v>
      </c>
      <c r="AB39" s="38">
        <f t="shared" ca="1" si="19"/>
        <v>0.34595905345382522</v>
      </c>
      <c r="AC39" s="38">
        <f t="shared" si="20"/>
        <v>0.8</v>
      </c>
      <c r="AD39" s="38">
        <f t="shared" si="20"/>
        <v>0.32</v>
      </c>
      <c r="AE39" s="38">
        <f t="shared" ca="1" si="21"/>
        <v>0.33642301414208342</v>
      </c>
      <c r="AF39" s="237">
        <f ca="1">((Summary!$N$8*(AA39*AD39)*(A39-$D$3))+(Summary!$M$8*Z39*AC39*(AJ39-EOMONTH(EDATE(A39,-1),0))))/(AK39*AB39*AE39)</f>
        <v>0.99986975298581482</v>
      </c>
      <c r="AG39" s="88">
        <f>IF($A40="","",Summary!$Q$8)</f>
        <v>0</v>
      </c>
      <c r="AH39" s="88">
        <f>IF($A40="","",IF(Summary!$R$8="Y",(VLOOKUP($A39,Summary!$AD$6:$AF$9,3)+'Escalating commodity'!D52),'Escalating commodity'!D52))</f>
        <v>2.0686E-2</v>
      </c>
      <c r="AI39" s="88">
        <f t="shared" si="36"/>
        <v>2.0686E-2</v>
      </c>
      <c r="AJ39" s="236">
        <f t="shared" si="22"/>
        <v>37940</v>
      </c>
      <c r="AK39" s="58">
        <f t="shared" ca="1" si="23"/>
        <v>900</v>
      </c>
      <c r="AL39" s="26">
        <f ca="1">IF($A40="","",_xll.SPRDOPT(P39,X39,AI39,0,AB39,AE39,AF39,AK39,$AJ$2,0))</f>
        <v>0.14040532009966059</v>
      </c>
      <c r="AM39" s="89">
        <f t="shared" si="24"/>
        <v>0.13758580890245173</v>
      </c>
      <c r="AN39" s="89">
        <f t="shared" ca="1" si="25"/>
        <v>2.8195111972088571E-3</v>
      </c>
      <c r="AO39" s="3">
        <f t="shared" si="26"/>
        <v>30</v>
      </c>
      <c r="AP39" s="33">
        <f t="shared" si="27"/>
        <v>37926</v>
      </c>
      <c r="AQ39" s="58">
        <f t="shared" ca="1" si="28"/>
        <v>900</v>
      </c>
      <c r="AR39" s="38">
        <f>'ANR OK vs ML7'!AR39</f>
        <v>0.1</v>
      </c>
      <c r="AS39" s="35">
        <f t="shared" ca="1" si="29"/>
        <v>0.7862784077975763</v>
      </c>
      <c r="AT39" s="3">
        <f t="shared" si="30"/>
        <v>1</v>
      </c>
      <c r="AU39" s="3">
        <f t="shared" si="31"/>
        <v>30</v>
      </c>
      <c r="AW39" s="32">
        <f t="shared" ca="1" si="32"/>
        <v>336972.76823918539</v>
      </c>
      <c r="AX39" s="32">
        <f t="shared" si="33"/>
        <v>330205.94136588415</v>
      </c>
      <c r="AY39" s="32">
        <f t="shared" ca="1" si="34"/>
        <v>6766.8268733012574</v>
      </c>
      <c r="BA39" s="32">
        <f ca="1">IF($A40="","",F39*Summary!$Q$8)</f>
        <v>0</v>
      </c>
      <c r="BC39" s="256">
        <f t="shared" ca="1" si="37"/>
        <v>259633.80182246724</v>
      </c>
    </row>
    <row r="40" spans="1:55">
      <c r="A40" s="67">
        <f t="shared" si="35"/>
        <v>37956</v>
      </c>
      <c r="B40" s="69">
        <f t="shared" si="38"/>
        <v>80000</v>
      </c>
      <c r="C40" s="71"/>
      <c r="D40" s="69">
        <f t="shared" si="0"/>
        <v>80000</v>
      </c>
      <c r="E40" s="70">
        <f t="shared" si="1"/>
        <v>2480000</v>
      </c>
      <c r="F40" s="70">
        <f t="shared" ca="1" si="2"/>
        <v>1934404.269341408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0.32</v>
      </c>
      <c r="K40" s="64">
        <f t="shared" si="6"/>
        <v>0.32</v>
      </c>
      <c r="L40" s="63">
        <f t="shared" si="7"/>
        <v>0</v>
      </c>
      <c r="M40" s="64">
        <f t="shared" si="8"/>
        <v>0</v>
      </c>
      <c r="N40" s="65"/>
      <c r="O40" s="63">
        <f t="shared" si="9"/>
        <v>4.6570000000000009</v>
      </c>
      <c r="P40" s="63">
        <f t="shared" si="10"/>
        <v>4.6570000000000009</v>
      </c>
      <c r="Q40" s="66"/>
      <c r="R40" s="63">
        <f t="shared" si="11"/>
        <v>-0.06</v>
      </c>
      <c r="S40" s="64">
        <f t="shared" si="12"/>
        <v>-0.06</v>
      </c>
      <c r="T40" s="63">
        <f t="shared" si="13"/>
        <v>5.0000000000000001E-3</v>
      </c>
      <c r="U40" s="64">
        <f t="shared" si="14"/>
        <v>5.0000000000000001E-3</v>
      </c>
      <c r="V40" s="207">
        <f>IF($A41="","",IF(AND(MONTH(A40)&gt;3,MONTH(A40)&lt;11),(T40+R40+G40)*Summary!$T$8/(1-Summary!$T$8),(T40+R40+G40)*Summary!$U$8/(1-Summary!$U$8)))</f>
        <v>0.22394549089761132</v>
      </c>
      <c r="W40" s="63">
        <f t="shared" si="15"/>
        <v>4.505945490897612</v>
      </c>
      <c r="X40" s="63">
        <f t="shared" si="16"/>
        <v>4.505945490897612</v>
      </c>
      <c r="Y40" s="43"/>
      <c r="Z40" s="38">
        <f t="shared" si="17"/>
        <v>1.1000000000000001</v>
      </c>
      <c r="AA40" s="38">
        <f t="shared" si="18"/>
        <v>0.33</v>
      </c>
      <c r="AB40" s="38">
        <f t="shared" ca="1" si="19"/>
        <v>0.35942142874467048</v>
      </c>
      <c r="AC40" s="38">
        <f t="shared" si="20"/>
        <v>1</v>
      </c>
      <c r="AD40" s="38">
        <f t="shared" si="20"/>
        <v>0.32</v>
      </c>
      <c r="AE40" s="38">
        <f t="shared" ca="1" si="21"/>
        <v>0.34521989252293733</v>
      </c>
      <c r="AF40" s="237">
        <f ca="1">((Summary!$N$8*(AA40*AD40)*(A40-$D$3))+(Summary!$M$8*Z40*AC40*(AJ40-EOMONTH(EDATE(A40,-1),0))))/(AK40*AB40*AE40)</f>
        <v>0.99965250777565462</v>
      </c>
      <c r="AG40" s="88">
        <f>IF($A41="","",Summary!$Q$8)</f>
        <v>0</v>
      </c>
      <c r="AH40" s="88">
        <f>IF($A41="","",IF(Summary!$R$8="Y",(VLOOKUP($A40,Summary!$AD$6:$AF$9,3)+'Escalating commodity'!D53),'Escalating commodity'!D53))</f>
        <v>2.0686E-2</v>
      </c>
      <c r="AI40" s="88">
        <f t="shared" si="36"/>
        <v>2.0686E-2</v>
      </c>
      <c r="AJ40" s="236">
        <f t="shared" si="22"/>
        <v>37970.5</v>
      </c>
      <c r="AK40" s="58">
        <f t="shared" ca="1" si="23"/>
        <v>930</v>
      </c>
      <c r="AL40" s="26">
        <f ca="1">IF($A41="","",_xll.SPRDOPT(P40,X40,AI40,0,AB40,AE40,AF40,AK40,$AJ$2,0))</f>
        <v>0.14272343827475892</v>
      </c>
      <c r="AM40" s="89">
        <f t="shared" si="24"/>
        <v>0.13036850910238892</v>
      </c>
      <c r="AN40" s="89">
        <f t="shared" ca="1" si="25"/>
        <v>1.2354929172369994E-2</v>
      </c>
      <c r="AO40" s="3">
        <f t="shared" si="26"/>
        <v>31</v>
      </c>
      <c r="AP40" s="33">
        <f t="shared" si="27"/>
        <v>37956</v>
      </c>
      <c r="AQ40" s="58">
        <f t="shared" ca="1" si="28"/>
        <v>930</v>
      </c>
      <c r="AR40" s="38">
        <f>'ANR OK vs ML7'!AR40</f>
        <v>0.1</v>
      </c>
      <c r="AS40" s="35">
        <f t="shared" ca="1" si="29"/>
        <v>0.78000172150863223</v>
      </c>
      <c r="AT40" s="3">
        <f t="shared" si="30"/>
        <v>1</v>
      </c>
      <c r="AU40" s="3">
        <f t="shared" si="31"/>
        <v>31</v>
      </c>
      <c r="AW40" s="32">
        <f t="shared" ca="1" si="32"/>
        <v>353954.12692140212</v>
      </c>
      <c r="AX40" s="32">
        <f t="shared" si="33"/>
        <v>323313.90257392451</v>
      </c>
      <c r="AY40" s="32">
        <f t="shared" ca="1" si="34"/>
        <v>30640.224347477586</v>
      </c>
      <c r="BA40" s="32">
        <f ca="1">IF($A41="","",F40*Summary!$Q$8)</f>
        <v>0</v>
      </c>
      <c r="BC40" s="256">
        <f t="shared" ca="1" si="37"/>
        <v>252185.40059533535</v>
      </c>
    </row>
    <row r="41" spans="1:55">
      <c r="A41" s="67">
        <f t="shared" si="35"/>
        <v>37987</v>
      </c>
      <c r="B41" s="69">
        <f t="shared" si="38"/>
        <v>80000</v>
      </c>
      <c r="C41" s="71"/>
      <c r="D41" s="69">
        <f t="shared" si="0"/>
        <v>80000</v>
      </c>
      <c r="E41" s="70">
        <f t="shared" si="1"/>
        <v>2480000</v>
      </c>
      <c r="F41" s="70">
        <f t="shared" ca="1" si="2"/>
        <v>1918449.7464948725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0.32</v>
      </c>
      <c r="K41" s="64">
        <f t="shared" si="6"/>
        <v>0.32</v>
      </c>
      <c r="L41" s="63">
        <f t="shared" si="7"/>
        <v>0</v>
      </c>
      <c r="M41" s="64">
        <f t="shared" si="8"/>
        <v>0</v>
      </c>
      <c r="N41" s="65"/>
      <c r="O41" s="63">
        <f t="shared" si="9"/>
        <v>4.7140000000000004</v>
      </c>
      <c r="P41" s="63">
        <f t="shared" si="10"/>
        <v>4.7140000000000004</v>
      </c>
      <c r="Q41" s="66"/>
      <c r="R41" s="63">
        <f t="shared" si="11"/>
        <v>-0.06</v>
      </c>
      <c r="S41" s="64">
        <f t="shared" si="12"/>
        <v>-0.06</v>
      </c>
      <c r="T41" s="63">
        <f t="shared" si="13"/>
        <v>5.0000000000000001E-3</v>
      </c>
      <c r="U41" s="64">
        <f t="shared" si="14"/>
        <v>5.0000000000000001E-3</v>
      </c>
      <c r="V41" s="207">
        <f>IF($A42="","",IF(AND(MONTH(A41)&gt;3,MONTH(A41)&lt;11),(T41+R41+G41)*Summary!$T$8/(1-Summary!$T$8),(T41+R41+G41)*Summary!$U$8/(1-Summary!$U$8)))</f>
        <v>0.22692654951068084</v>
      </c>
      <c r="W41" s="63">
        <f t="shared" si="15"/>
        <v>4.5659265495106816</v>
      </c>
      <c r="X41" s="63">
        <f t="shared" si="16"/>
        <v>4.5659265495106816</v>
      </c>
      <c r="Y41" s="43"/>
      <c r="Z41" s="38">
        <f t="shared" si="17"/>
        <v>1.1000000000000001</v>
      </c>
      <c r="AA41" s="38">
        <f t="shared" si="18"/>
        <v>0.33200000000000002</v>
      </c>
      <c r="AB41" s="38">
        <f t="shared" ca="1" si="19"/>
        <v>0.36035375150355342</v>
      </c>
      <c r="AC41" s="38">
        <f t="shared" si="20"/>
        <v>1</v>
      </c>
      <c r="AD41" s="38">
        <f t="shared" si="20"/>
        <v>0.32250000000000001</v>
      </c>
      <c r="AE41" s="38">
        <f t="shared" ca="1" si="21"/>
        <v>0.34676145888094967</v>
      </c>
      <c r="AF41" s="237">
        <f ca="1">((Summary!$N$8*(AA41*AD41)*(A41-$D$3))+(Summary!$M$8*Z41*AC41*(AJ41-EOMONTH(EDATE(A41,-1),0))))/(AK41*AB41*AE41)</f>
        <v>0.9996465974452251</v>
      </c>
      <c r="AG41" s="88">
        <f>IF($A42="","",Summary!$Q$8)</f>
        <v>0</v>
      </c>
      <c r="AH41" s="88">
        <f>IF($A42="","",IF(Summary!$R$8="Y",(VLOOKUP($A41,Summary!$AD$6:$AF$9,3)+'Escalating commodity'!D54),'Escalating commodity'!D54))</f>
        <v>2.0023199999999998E-2</v>
      </c>
      <c r="AI41" s="88">
        <f t="shared" si="36"/>
        <v>2.0023199999999998E-2</v>
      </c>
      <c r="AJ41" s="236">
        <f t="shared" si="22"/>
        <v>38001.5</v>
      </c>
      <c r="AK41" s="58">
        <f t="shared" ca="1" si="23"/>
        <v>961</v>
      </c>
      <c r="AL41" s="26">
        <f ca="1">IF($A42="","",_xll.SPRDOPT(P41,X41,AI41,0,AB41,AE41,AF41,AK41,$AJ$2,0))</f>
        <v>0.14076603098497276</v>
      </c>
      <c r="AM41" s="89">
        <f t="shared" si="24"/>
        <v>0.12805025048931887</v>
      </c>
      <c r="AN41" s="89">
        <f t="shared" ca="1" si="25"/>
        <v>1.2715780495653889E-2</v>
      </c>
      <c r="AO41" s="3">
        <f t="shared" si="26"/>
        <v>31</v>
      </c>
      <c r="AP41" s="33">
        <f t="shared" si="27"/>
        <v>37987</v>
      </c>
      <c r="AQ41" s="58">
        <f t="shared" ca="1" si="28"/>
        <v>961</v>
      </c>
      <c r="AR41" s="38">
        <f>'ANR OK vs ML7'!AR41</f>
        <v>0.1</v>
      </c>
      <c r="AS41" s="35">
        <f t="shared" ca="1" si="29"/>
        <v>0.77356844616728726</v>
      </c>
      <c r="AT41" s="3">
        <f t="shared" si="30"/>
        <v>1</v>
      </c>
      <c r="AU41" s="3">
        <f t="shared" si="31"/>
        <v>31</v>
      </c>
      <c r="AW41" s="32">
        <f t="shared" ca="1" si="32"/>
        <v>349099.75684273243</v>
      </c>
      <c r="AX41" s="32">
        <f t="shared" si="33"/>
        <v>317564.62121351081</v>
      </c>
      <c r="AY41" s="32">
        <f t="shared" ca="1" si="34"/>
        <v>31535.135629221644</v>
      </c>
      <c r="BA41" s="32">
        <f ca="1">IF($A42="","",F41*Summary!$Q$8)</f>
        <v>0</v>
      </c>
      <c r="BC41" s="256">
        <f t="shared" ca="1" si="37"/>
        <v>245657.97058983872</v>
      </c>
    </row>
    <row r="42" spans="1:55">
      <c r="A42" s="67">
        <f t="shared" si="35"/>
        <v>38018</v>
      </c>
      <c r="B42" s="69">
        <f t="shared" si="38"/>
        <v>80000</v>
      </c>
      <c r="C42" s="71"/>
      <c r="D42" s="69">
        <f t="shared" si="0"/>
        <v>80000</v>
      </c>
      <c r="E42" s="70">
        <f t="shared" si="1"/>
        <v>2320000</v>
      </c>
      <c r="F42" s="70">
        <f t="shared" ca="1" si="2"/>
        <v>1779876.6959334116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0.32</v>
      </c>
      <c r="K42" s="64">
        <f t="shared" si="6"/>
        <v>0.32</v>
      </c>
      <c r="L42" s="63">
        <f t="shared" si="7"/>
        <v>0</v>
      </c>
      <c r="M42" s="64">
        <f t="shared" si="8"/>
        <v>0</v>
      </c>
      <c r="N42" s="65"/>
      <c r="O42" s="63">
        <f t="shared" si="9"/>
        <v>4.5940000000000003</v>
      </c>
      <c r="P42" s="63">
        <f t="shared" si="10"/>
        <v>4.5940000000000003</v>
      </c>
      <c r="Q42" s="66"/>
      <c r="R42" s="63">
        <f t="shared" si="11"/>
        <v>-0.06</v>
      </c>
      <c r="S42" s="64">
        <f t="shared" si="12"/>
        <v>-0.06</v>
      </c>
      <c r="T42" s="63">
        <f t="shared" si="13"/>
        <v>5.0000000000000001E-3</v>
      </c>
      <c r="U42" s="64">
        <f t="shared" si="14"/>
        <v>5.0000000000000001E-3</v>
      </c>
      <c r="V42" s="207">
        <f>IF($A43="","",IF(AND(MONTH(A42)&gt;3,MONTH(A42)&lt;11),(T42+R42+G42)*Summary!$T$8/(1-Summary!$T$8),(T42+R42+G42)*Summary!$U$8/(1-Summary!$U$8)))</f>
        <v>0.22065063664106072</v>
      </c>
      <c r="W42" s="63">
        <f t="shared" si="15"/>
        <v>4.4396506366410611</v>
      </c>
      <c r="X42" s="63">
        <f t="shared" si="16"/>
        <v>4.4396506366410611</v>
      </c>
      <c r="Y42" s="43"/>
      <c r="Z42" s="38">
        <f t="shared" si="17"/>
        <v>1.1000000000000001</v>
      </c>
      <c r="AA42" s="38">
        <f t="shared" si="18"/>
        <v>0.31900000000000001</v>
      </c>
      <c r="AB42" s="38">
        <f t="shared" ca="1" si="19"/>
        <v>0.34576013880826356</v>
      </c>
      <c r="AC42" s="38">
        <f t="shared" si="20"/>
        <v>1</v>
      </c>
      <c r="AD42" s="38">
        <f t="shared" si="20"/>
        <v>0.31</v>
      </c>
      <c r="AE42" s="38">
        <f t="shared" ca="1" si="21"/>
        <v>0.33288708368434927</v>
      </c>
      <c r="AF42" s="237">
        <f ca="1">((Summary!$N$8*(AA42*AD42)*(A42-$D$3))+(Summary!$M$8*Z42*AC42*(AJ42-EOMONTH(EDATE(A42,-1),0))))/(AK42*AB42*AE42)</f>
        <v>0.99964668095379483</v>
      </c>
      <c r="AG42" s="88">
        <f>IF($A43="","",Summary!$Q$8)</f>
        <v>0</v>
      </c>
      <c r="AH42" s="88">
        <f>IF($A43="","",IF(Summary!$R$8="Y",(VLOOKUP($A42,Summary!$AD$6:$AF$9,3)+'Escalating commodity'!D55),'Escalating commodity'!D55))</f>
        <v>2.0023199999999998E-2</v>
      </c>
      <c r="AI42" s="88">
        <f t="shared" si="36"/>
        <v>2.0023199999999998E-2</v>
      </c>
      <c r="AJ42" s="236">
        <f t="shared" si="22"/>
        <v>38031.5</v>
      </c>
      <c r="AK42" s="58">
        <f t="shared" ca="1" si="23"/>
        <v>992</v>
      </c>
      <c r="AL42" s="26">
        <f ca="1">IF($A43="","",_xll.SPRDOPT(P42,X42,AI42,0,AB42,AE42,AF42,AK42,$AJ$2,0))</f>
        <v>0.144257002854633</v>
      </c>
      <c r="AM42" s="89">
        <f t="shared" si="24"/>
        <v>0.13432616335893924</v>
      </c>
      <c r="AN42" s="89">
        <f t="shared" ca="1" si="25"/>
        <v>9.9308394956937607E-3</v>
      </c>
      <c r="AO42" s="3">
        <f t="shared" si="26"/>
        <v>29</v>
      </c>
      <c r="AP42" s="33">
        <f t="shared" si="27"/>
        <v>38018</v>
      </c>
      <c r="AQ42" s="58">
        <f t="shared" ca="1" si="28"/>
        <v>992</v>
      </c>
      <c r="AR42" s="38">
        <f>'ANR OK vs ML7'!AR42</f>
        <v>0.1</v>
      </c>
      <c r="AS42" s="35">
        <f t="shared" ca="1" si="29"/>
        <v>0.76718823100578082</v>
      </c>
      <c r="AT42" s="3">
        <f t="shared" si="30"/>
        <v>1</v>
      </c>
      <c r="AU42" s="3">
        <f t="shared" si="31"/>
        <v>29</v>
      </c>
      <c r="AW42" s="32">
        <f t="shared" ca="1" si="32"/>
        <v>334676.24662274856</v>
      </c>
      <c r="AX42" s="32">
        <f t="shared" si="33"/>
        <v>311636.69899273902</v>
      </c>
      <c r="AY42" s="32">
        <f t="shared" ca="1" si="34"/>
        <v>23039.547630009525</v>
      </c>
      <c r="BA42" s="32">
        <f ca="1">IF($A43="","",F42*Summary!$Q$8)</f>
        <v>0</v>
      </c>
      <c r="BC42" s="256">
        <f t="shared" ca="1" si="37"/>
        <v>239084.00781672046</v>
      </c>
    </row>
    <row r="43" spans="1:55">
      <c r="A43" s="67">
        <f t="shared" si="35"/>
        <v>38047</v>
      </c>
      <c r="B43" s="69">
        <f t="shared" si="38"/>
        <v>80000</v>
      </c>
      <c r="C43" s="71"/>
      <c r="D43" s="69">
        <f t="shared" si="0"/>
        <v>80000</v>
      </c>
      <c r="E43" s="70">
        <f t="shared" si="1"/>
        <v>2480000</v>
      </c>
      <c r="F43" s="70">
        <f t="shared" ca="1" si="2"/>
        <v>1887942.8808374845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0.32</v>
      </c>
      <c r="K43" s="64">
        <f t="shared" si="6"/>
        <v>0.32</v>
      </c>
      <c r="L43" s="63">
        <f t="shared" si="7"/>
        <v>0</v>
      </c>
      <c r="M43" s="64">
        <f t="shared" si="8"/>
        <v>0</v>
      </c>
      <c r="N43" s="65"/>
      <c r="O43" s="63">
        <f t="shared" si="9"/>
        <v>4.4550000000000001</v>
      </c>
      <c r="P43" s="63">
        <f t="shared" si="10"/>
        <v>4.4550000000000001</v>
      </c>
      <c r="Q43" s="66"/>
      <c r="R43" s="63">
        <f t="shared" si="11"/>
        <v>-0.06</v>
      </c>
      <c r="S43" s="64">
        <f t="shared" si="12"/>
        <v>-0.06</v>
      </c>
      <c r="T43" s="63">
        <f t="shared" si="13"/>
        <v>5.0000000000000001E-3</v>
      </c>
      <c r="U43" s="64">
        <f t="shared" si="14"/>
        <v>5.0000000000000001E-3</v>
      </c>
      <c r="V43" s="207">
        <f>IF($A44="","",IF(AND(MONTH(A43)&gt;3,MONTH(A43)&lt;11),(T43+R43+G43)*Summary!$T$8/(1-Summary!$T$8),(T43+R43+G43)*Summary!$U$8/(1-Summary!$U$8)))</f>
        <v>0.21338103756708407</v>
      </c>
      <c r="W43" s="63">
        <f t="shared" si="15"/>
        <v>4.2933810375670838</v>
      </c>
      <c r="X43" s="63">
        <f t="shared" si="16"/>
        <v>4.2933810375670838</v>
      </c>
      <c r="Y43" s="43"/>
      <c r="Z43" s="38">
        <f t="shared" si="17"/>
        <v>0.75</v>
      </c>
      <c r="AA43" s="38">
        <f t="shared" si="18"/>
        <v>0.312</v>
      </c>
      <c r="AB43" s="38">
        <f t="shared" ca="1" si="19"/>
        <v>0.32554379729447308</v>
      </c>
      <c r="AC43" s="38">
        <f t="shared" si="20"/>
        <v>0.75</v>
      </c>
      <c r="AD43" s="38">
        <f t="shared" si="20"/>
        <v>0.30249999999999999</v>
      </c>
      <c r="AE43" s="38">
        <f t="shared" ca="1" si="21"/>
        <v>0.31644161590751407</v>
      </c>
      <c r="AF43" s="237">
        <f ca="1">((Summary!$N$8*(AA43*AD43)*(A43-$D$3))+(Summary!$M$8*Z43*AC43*(AJ43-EOMONTH(EDATE(A43,-1),0))))/(AK43*AB43*AE43)</f>
        <v>0.99987194573375615</v>
      </c>
      <c r="AG43" s="88">
        <f>IF($A44="","",Summary!$Q$8)</f>
        <v>0</v>
      </c>
      <c r="AH43" s="88">
        <f>IF($A44="","",IF(Summary!$R$8="Y",(VLOOKUP($A43,Summary!$AD$6:$AF$9,3)+'Escalating commodity'!D56),'Escalating commodity'!D56))</f>
        <v>2.0023199999999998E-2</v>
      </c>
      <c r="AI43" s="88">
        <f t="shared" si="36"/>
        <v>2.0023199999999998E-2</v>
      </c>
      <c r="AJ43" s="236">
        <f t="shared" si="22"/>
        <v>38061.5</v>
      </c>
      <c r="AK43" s="58">
        <f t="shared" ca="1" si="23"/>
        <v>1021</v>
      </c>
      <c r="AL43" s="26">
        <f ca="1">IF($A44="","",_xll.SPRDOPT(P43,X43,AI43,0,AB43,AE43,AF43,AK43,$AJ$2,0))</f>
        <v>0.14412335373215104</v>
      </c>
      <c r="AM43" s="89">
        <f t="shared" si="24"/>
        <v>0.1415957624329163</v>
      </c>
      <c r="AN43" s="89">
        <f t="shared" ca="1" si="25"/>
        <v>2.5275912992347438E-3</v>
      </c>
      <c r="AO43" s="3">
        <f t="shared" si="26"/>
        <v>31</v>
      </c>
      <c r="AP43" s="33">
        <f t="shared" si="27"/>
        <v>38047</v>
      </c>
      <c r="AQ43" s="58">
        <f t="shared" ca="1" si="28"/>
        <v>1021</v>
      </c>
      <c r="AR43" s="38">
        <f>'ANR OK vs ML7'!AR43</f>
        <v>0.1</v>
      </c>
      <c r="AS43" s="35">
        <f t="shared" ca="1" si="29"/>
        <v>0.76126729066027599</v>
      </c>
      <c r="AT43" s="3">
        <f t="shared" si="30"/>
        <v>1</v>
      </c>
      <c r="AU43" s="3">
        <f t="shared" si="31"/>
        <v>31</v>
      </c>
      <c r="AW43" s="32">
        <f t="shared" ca="1" si="32"/>
        <v>357425.91725573462</v>
      </c>
      <c r="AX43" s="32">
        <f t="shared" si="33"/>
        <v>351157.49083363242</v>
      </c>
      <c r="AY43" s="32">
        <f t="shared" ca="1" si="34"/>
        <v>6268.4264221021649</v>
      </c>
      <c r="BA43" s="32">
        <f ca="1">IF($A44="","",F43*Summary!$Q$8)</f>
        <v>0</v>
      </c>
      <c r="BC43" s="256">
        <f t="shared" ca="1" si="37"/>
        <v>267324.71164198004</v>
      </c>
    </row>
    <row r="44" spans="1:55">
      <c r="A44" s="67">
        <f t="shared" si="35"/>
        <v>38078</v>
      </c>
      <c r="B44" s="69">
        <f t="shared" si="38"/>
        <v>80000</v>
      </c>
      <c r="C44" s="71"/>
      <c r="D44" s="69">
        <f t="shared" si="0"/>
        <v>80000</v>
      </c>
      <c r="E44" s="70">
        <f t="shared" si="1"/>
        <v>2400000</v>
      </c>
      <c r="F44" s="70">
        <f t="shared" ca="1" si="2"/>
        <v>1811972.4782608435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0.215</v>
      </c>
      <c r="K44" s="64">
        <f t="shared" si="6"/>
        <v>0.215</v>
      </c>
      <c r="L44" s="63">
        <f t="shared" si="7"/>
        <v>0</v>
      </c>
      <c r="M44" s="64">
        <f t="shared" si="8"/>
        <v>0</v>
      </c>
      <c r="N44" s="65"/>
      <c r="O44" s="63">
        <f t="shared" si="9"/>
        <v>4.1749999999999998</v>
      </c>
      <c r="P44" s="63">
        <f t="shared" si="10"/>
        <v>4.1749999999999998</v>
      </c>
      <c r="Q44" s="66"/>
      <c r="R44" s="63">
        <f t="shared" si="11"/>
        <v>-5.7500000000000002E-2</v>
      </c>
      <c r="S44" s="64">
        <f t="shared" si="12"/>
        <v>-5.7500000000000002E-2</v>
      </c>
      <c r="T44" s="63">
        <f t="shared" si="13"/>
        <v>0</v>
      </c>
      <c r="U44" s="64">
        <f t="shared" si="14"/>
        <v>0</v>
      </c>
      <c r="V44" s="207">
        <f>IF($A45="","",IF(AND(MONTH(A44)&gt;3,MONTH(A44)&lt;11),(T44+R44+G44)*Summary!$T$8/(1-Summary!$T$8),(T44+R44+G44)*Summary!$U$8/(1-Summary!$U$8)))</f>
        <v>0.20409791644743763</v>
      </c>
      <c r="W44" s="63">
        <f t="shared" si="15"/>
        <v>4.1065979164474378</v>
      </c>
      <c r="X44" s="63">
        <f t="shared" si="16"/>
        <v>4.1065979164474378</v>
      </c>
      <c r="Y44" s="43"/>
      <c r="Z44" s="38">
        <f t="shared" si="17"/>
        <v>0.45</v>
      </c>
      <c r="AA44" s="38">
        <f t="shared" si="18"/>
        <v>0.29899999999999999</v>
      </c>
      <c r="AB44" s="38">
        <f t="shared" ca="1" si="19"/>
        <v>0.30392982636393578</v>
      </c>
      <c r="AC44" s="38">
        <f t="shared" si="20"/>
        <v>0.4</v>
      </c>
      <c r="AD44" s="38">
        <f t="shared" si="20"/>
        <v>0.28999999999999998</v>
      </c>
      <c r="AE44" s="38">
        <f t="shared" ca="1" si="21"/>
        <v>0.29404304410591359</v>
      </c>
      <c r="AF44" s="237">
        <f ca="1">((Summary!$N$8*(AA44*AD44)*(A44-$D$3))+(Summary!$M$8*Z44*AC44*(AJ44-EOMONTH(EDATE(A44,-1),0))))/(AK44*AB44*AE44)</f>
        <v>0.99979672129896235</v>
      </c>
      <c r="AG44" s="88">
        <f>IF($A45="","",Summary!$Q$8)</f>
        <v>0</v>
      </c>
      <c r="AH44" s="88">
        <f>IF($A45="","",IF(Summary!$R$8="Y",(VLOOKUP($A44,Summary!$AD$6:$AF$9,3)+'Escalating commodity'!D57),'Escalating commodity'!D57))</f>
        <v>2.0023199999999998E-2</v>
      </c>
      <c r="AI44" s="88">
        <f t="shared" si="36"/>
        <v>2.0023199999999998E-2</v>
      </c>
      <c r="AJ44" s="236">
        <f t="shared" si="22"/>
        <v>38092</v>
      </c>
      <c r="AK44" s="58">
        <f t="shared" ca="1" si="23"/>
        <v>1052</v>
      </c>
      <c r="AL44" s="26">
        <f ca="1">IF($A45="","",_xll.SPRDOPT(P44,X44,AI44,0,AB44,AE44,AF44,AK44,$AJ$2,0))</f>
        <v>6.5185661076220786E-2</v>
      </c>
      <c r="AM44" s="89">
        <f t="shared" si="24"/>
        <v>4.8378883552562056E-2</v>
      </c>
      <c r="AN44" s="89">
        <f t="shared" ca="1" si="25"/>
        <v>1.6806777523658729E-2</v>
      </c>
      <c r="AO44" s="3">
        <f t="shared" si="26"/>
        <v>30</v>
      </c>
      <c r="AP44" s="33">
        <f t="shared" si="27"/>
        <v>38078</v>
      </c>
      <c r="AQ44" s="58">
        <f t="shared" ca="1" si="28"/>
        <v>1052</v>
      </c>
      <c r="AR44" s="38">
        <f>'ANR OK vs ML7'!AR44</f>
        <v>0.1</v>
      </c>
      <c r="AS44" s="35">
        <f t="shared" ca="1" si="29"/>
        <v>0.75498853260868481</v>
      </c>
      <c r="AT44" s="3">
        <f t="shared" si="30"/>
        <v>1</v>
      </c>
      <c r="AU44" s="3">
        <f t="shared" si="31"/>
        <v>30</v>
      </c>
      <c r="AW44" s="32">
        <f t="shared" ca="1" si="32"/>
        <v>156445.58658292989</v>
      </c>
      <c r="AX44" s="32">
        <f t="shared" si="33"/>
        <v>116109.32052614893</v>
      </c>
      <c r="AY44" s="32">
        <f t="shared" ca="1" si="34"/>
        <v>40336.266056780951</v>
      </c>
      <c r="BA44" s="32">
        <f ca="1">IF($A45="","",F44*Summary!$Q$8)</f>
        <v>0</v>
      </c>
      <c r="BC44" s="256">
        <f t="shared" ca="1" si="37"/>
        <v>87661.20552622863</v>
      </c>
    </row>
    <row r="45" spans="1:55">
      <c r="A45" s="67">
        <f t="shared" si="35"/>
        <v>38108</v>
      </c>
      <c r="B45" s="69">
        <f t="shared" si="38"/>
        <v>80000</v>
      </c>
      <c r="C45" s="71"/>
      <c r="D45" s="69">
        <f t="shared" si="0"/>
        <v>80000</v>
      </c>
      <c r="E45" s="70">
        <f t="shared" si="1"/>
        <v>2480000</v>
      </c>
      <c r="F45" s="70">
        <f t="shared" ca="1" si="2"/>
        <v>1857424.8336195331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0.215</v>
      </c>
      <c r="K45" s="64">
        <f t="shared" si="6"/>
        <v>0.215</v>
      </c>
      <c r="L45" s="63">
        <f t="shared" si="7"/>
        <v>0</v>
      </c>
      <c r="M45" s="64">
        <f t="shared" si="8"/>
        <v>0</v>
      </c>
      <c r="N45" s="65"/>
      <c r="O45" s="63">
        <f t="shared" si="9"/>
        <v>4.1450000000000005</v>
      </c>
      <c r="P45" s="63">
        <f t="shared" si="10"/>
        <v>4.1450000000000005</v>
      </c>
      <c r="Q45" s="66"/>
      <c r="R45" s="63">
        <f t="shared" si="11"/>
        <v>-5.7500000000000002E-2</v>
      </c>
      <c r="S45" s="64">
        <f t="shared" si="12"/>
        <v>-5.7500000000000002E-2</v>
      </c>
      <c r="T45" s="63">
        <f t="shared" si="13"/>
        <v>0</v>
      </c>
      <c r="U45" s="64">
        <f t="shared" si="14"/>
        <v>0</v>
      </c>
      <c r="V45" s="207">
        <f>IF($A46="","",IF(AND(MONTH(A45)&gt;3,MONTH(A45)&lt;11),(T45+R45+G45)*Summary!$T$8/(1-Summary!$T$8),(T45+R45+G45)*Summary!$U$8/(1-Summary!$U$8)))</f>
        <v>0.20252893823003262</v>
      </c>
      <c r="W45" s="63">
        <f t="shared" si="15"/>
        <v>4.0750289382300329</v>
      </c>
      <c r="X45" s="63">
        <f t="shared" si="16"/>
        <v>4.0750289382300329</v>
      </c>
      <c r="Y45" s="43"/>
      <c r="Z45" s="38">
        <f t="shared" si="17"/>
        <v>0.5</v>
      </c>
      <c r="AA45" s="38">
        <f t="shared" si="18"/>
        <v>0.29600000000000004</v>
      </c>
      <c r="AB45" s="38">
        <f t="shared" ca="1" si="19"/>
        <v>0.30212299952037203</v>
      </c>
      <c r="AC45" s="38">
        <f t="shared" si="20"/>
        <v>0.45</v>
      </c>
      <c r="AD45" s="38">
        <f t="shared" si="20"/>
        <v>0.28749999999999998</v>
      </c>
      <c r="AE45" s="38">
        <f t="shared" ca="1" si="21"/>
        <v>0.29263205583405172</v>
      </c>
      <c r="AF45" s="237">
        <f ca="1">((Summary!$N$8*(AA45*AD45)*(A45-$D$3))+(Summary!$M$8*Z45*AC45*(AJ45-EOMONTH(EDATE(A45,-1),0))))/(AK45*AB45*AE45)</f>
        <v>0.99980156399614661</v>
      </c>
      <c r="AG45" s="88">
        <f>IF($A46="","",Summary!$Q$8)</f>
        <v>0</v>
      </c>
      <c r="AH45" s="88">
        <f>IF($A46="","",IF(Summary!$R$8="Y",(VLOOKUP($A45,Summary!$AD$6:$AF$9,3)+'Escalating commodity'!D58),'Escalating commodity'!D58))</f>
        <v>2.0023199999999998E-2</v>
      </c>
      <c r="AI45" s="88">
        <f t="shared" si="36"/>
        <v>2.0023199999999998E-2</v>
      </c>
      <c r="AJ45" s="236">
        <f t="shared" si="22"/>
        <v>38122.5</v>
      </c>
      <c r="AK45" s="58">
        <f t="shared" ca="1" si="23"/>
        <v>1082</v>
      </c>
      <c r="AL45" s="26">
        <f ca="1">IF($A46="","",_xll.SPRDOPT(P45,X45,AI45,0,AB45,AE45,AF45,AK45,$AJ$2,0))</f>
        <v>6.5559052871619825E-2</v>
      </c>
      <c r="AM45" s="89">
        <f t="shared" si="24"/>
        <v>4.9947861769967593E-2</v>
      </c>
      <c r="AN45" s="89">
        <f t="shared" ca="1" si="25"/>
        <v>1.5611191101652232E-2</v>
      </c>
      <c r="AO45" s="3">
        <f t="shared" si="26"/>
        <v>31</v>
      </c>
      <c r="AP45" s="33">
        <f t="shared" si="27"/>
        <v>38108</v>
      </c>
      <c r="AQ45" s="58">
        <f t="shared" ca="1" si="28"/>
        <v>1082</v>
      </c>
      <c r="AR45" s="38">
        <f>'ANR OK vs ML7'!AR45</f>
        <v>0.1</v>
      </c>
      <c r="AS45" s="35">
        <f t="shared" ca="1" si="29"/>
        <v>0.74896162645948916</v>
      </c>
      <c r="AT45" s="3">
        <f t="shared" si="30"/>
        <v>1</v>
      </c>
      <c r="AU45" s="3">
        <f t="shared" si="31"/>
        <v>31</v>
      </c>
      <c r="AW45" s="32">
        <f t="shared" ca="1" si="32"/>
        <v>162586.45112161717</v>
      </c>
      <c r="AX45" s="32">
        <f t="shared" si="33"/>
        <v>123870.69718951963</v>
      </c>
      <c r="AY45" s="32">
        <f t="shared" ca="1" si="34"/>
        <v>38715.753932097534</v>
      </c>
      <c r="BA45" s="32">
        <f ca="1">IF($A46="","",F45*Summary!$Q$8)</f>
        <v>0</v>
      </c>
      <c r="BC45" s="256">
        <f t="shared" ca="1" si="37"/>
        <v>92774.39883773349</v>
      </c>
    </row>
    <row r="46" spans="1:55">
      <c r="A46" s="67">
        <f t="shared" si="35"/>
        <v>38139</v>
      </c>
      <c r="B46" s="69">
        <f t="shared" si="38"/>
        <v>80000</v>
      </c>
      <c r="C46" s="71"/>
      <c r="D46" s="69">
        <f t="shared" si="0"/>
        <v>80000</v>
      </c>
      <c r="E46" s="70">
        <f t="shared" si="1"/>
        <v>2400000</v>
      </c>
      <c r="F46" s="70">
        <f t="shared" ca="1" si="2"/>
        <v>1782682.4704907665</v>
      </c>
      <c r="G46" s="63">
        <f t="shared" si="3"/>
        <v>4</v>
      </c>
      <c r="H46" s="64">
        <f t="shared" si="4"/>
        <v>4</v>
      </c>
      <c r="I46" s="43"/>
      <c r="J46" s="63">
        <f t="shared" si="5"/>
        <v>0.215</v>
      </c>
      <c r="K46" s="64">
        <f t="shared" si="6"/>
        <v>0.215</v>
      </c>
      <c r="L46" s="63">
        <f t="shared" si="7"/>
        <v>0</v>
      </c>
      <c r="M46" s="64">
        <f t="shared" si="8"/>
        <v>0</v>
      </c>
      <c r="N46" s="65"/>
      <c r="O46" s="63">
        <f t="shared" si="9"/>
        <v>4.2149999999999999</v>
      </c>
      <c r="P46" s="63">
        <f t="shared" si="10"/>
        <v>4.2149999999999999</v>
      </c>
      <c r="Q46" s="66"/>
      <c r="R46" s="63">
        <f t="shared" si="11"/>
        <v>-5.7500000000000002E-2</v>
      </c>
      <c r="S46" s="64">
        <f t="shared" si="12"/>
        <v>-5.7500000000000002E-2</v>
      </c>
      <c r="T46" s="63">
        <f t="shared" si="13"/>
        <v>0</v>
      </c>
      <c r="U46" s="64">
        <f t="shared" si="14"/>
        <v>0</v>
      </c>
      <c r="V46" s="207">
        <f>IF($A47="","",IF(AND(MONTH(A46)&gt;3,MONTH(A46)&lt;11),(T46+R46+G46)*Summary!$T$8/(1-Summary!$T$8),(T46+R46+G46)*Summary!$U$8/(1-Summary!$U$8)))</f>
        <v>0.2061898874039777</v>
      </c>
      <c r="W46" s="63">
        <f t="shared" si="15"/>
        <v>4.1486898874039779</v>
      </c>
      <c r="X46" s="63">
        <f t="shared" si="16"/>
        <v>4.1486898874039779</v>
      </c>
      <c r="Y46" s="43"/>
      <c r="Z46" s="38">
        <f t="shared" si="17"/>
        <v>0.5</v>
      </c>
      <c r="AA46" s="38">
        <f t="shared" si="18"/>
        <v>0.29600000000000004</v>
      </c>
      <c r="AB46" s="38">
        <f t="shared" ca="1" si="19"/>
        <v>0.30176811099289347</v>
      </c>
      <c r="AC46" s="38">
        <f t="shared" si="20"/>
        <v>0.45</v>
      </c>
      <c r="AD46" s="38">
        <f t="shared" si="20"/>
        <v>0.28749999999999998</v>
      </c>
      <c r="AE46" s="38">
        <f t="shared" ca="1" si="21"/>
        <v>0.29233478220644721</v>
      </c>
      <c r="AF46" s="237">
        <f ca="1">((Summary!$N$8*(AA46*AD46)*(A46-$D$3))+(Summary!$M$8*Z46*AC46*(AJ46-EOMONTH(EDATE(A46,-1),0))))/(AK46*AB46*AE46)</f>
        <v>0.99980698099332344</v>
      </c>
      <c r="AG46" s="88">
        <f>IF($A47="","",Summary!$Q$8)</f>
        <v>0</v>
      </c>
      <c r="AH46" s="88">
        <f>IF($A47="","",IF(Summary!$R$8="Y",(VLOOKUP($A46,Summary!$AD$6:$AF$9,3)+'Escalating commodity'!D59),'Escalating commodity'!D59))</f>
        <v>2.0023199999999998E-2</v>
      </c>
      <c r="AI46" s="88">
        <f t="shared" si="36"/>
        <v>2.0023199999999998E-2</v>
      </c>
      <c r="AJ46" s="236">
        <f t="shared" si="22"/>
        <v>38153</v>
      </c>
      <c r="AK46" s="58">
        <f t="shared" ca="1" si="23"/>
        <v>1113</v>
      </c>
      <c r="AL46" s="26">
        <f ca="1">IF($A47="","",_xll.SPRDOPT(P46,X46,AI46,0,AB46,AE46,AF46,AK46,$AJ$2,0))</f>
        <v>6.3578297597790684E-2</v>
      </c>
      <c r="AM46" s="89">
        <f t="shared" si="24"/>
        <v>4.6286912596021933E-2</v>
      </c>
      <c r="AN46" s="89">
        <f t="shared" ca="1" si="25"/>
        <v>1.7291385001768751E-2</v>
      </c>
      <c r="AO46" s="3">
        <f t="shared" si="26"/>
        <v>30</v>
      </c>
      <c r="AP46" s="33">
        <f t="shared" si="27"/>
        <v>38139</v>
      </c>
      <c r="AQ46" s="58">
        <f t="shared" ca="1" si="28"/>
        <v>1113</v>
      </c>
      <c r="AR46" s="38">
        <f>'ANR OK vs ML7'!AR46</f>
        <v>0.1</v>
      </c>
      <c r="AS46" s="35">
        <f t="shared" ca="1" si="29"/>
        <v>0.742784362704486</v>
      </c>
      <c r="AT46" s="3">
        <f t="shared" si="30"/>
        <v>1</v>
      </c>
      <c r="AU46" s="3">
        <f t="shared" si="31"/>
        <v>30</v>
      </c>
      <c r="AW46" s="32">
        <f t="shared" ca="1" si="32"/>
        <v>152587.91423469764</v>
      </c>
      <c r="AX46" s="32">
        <f t="shared" si="33"/>
        <v>111088.59023045264</v>
      </c>
      <c r="AY46" s="32">
        <f t="shared" ca="1" si="34"/>
        <v>41499.324004245005</v>
      </c>
      <c r="BA46" s="32">
        <f ca="1">IF($A47="","",F46*Summary!$Q$8)</f>
        <v>0</v>
      </c>
      <c r="BC46" s="256">
        <f t="shared" ca="1" si="37"/>
        <v>82514.867698066562</v>
      </c>
    </row>
    <row r="47" spans="1:55">
      <c r="A47" s="67">
        <f t="shared" si="35"/>
        <v>38169</v>
      </c>
      <c r="B47" s="69">
        <f t="shared" si="38"/>
        <v>80000</v>
      </c>
      <c r="C47" s="71"/>
      <c r="D47" s="69">
        <f t="shared" si="0"/>
        <v>80000</v>
      </c>
      <c r="E47" s="70">
        <f t="shared" si="1"/>
        <v>2480000</v>
      </c>
      <c r="F47" s="70">
        <f t="shared" ca="1" si="2"/>
        <v>1827400.1017531485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0.215</v>
      </c>
      <c r="K47" s="64">
        <f t="shared" si="6"/>
        <v>0.215</v>
      </c>
      <c r="L47" s="63">
        <f t="shared" si="7"/>
        <v>0</v>
      </c>
      <c r="M47" s="64">
        <f t="shared" si="8"/>
        <v>0</v>
      </c>
      <c r="N47" s="65"/>
      <c r="O47" s="63">
        <f t="shared" si="9"/>
        <v>4.2699999999999996</v>
      </c>
      <c r="P47" s="63">
        <f t="shared" si="10"/>
        <v>4.2699999999999996</v>
      </c>
      <c r="Q47" s="66"/>
      <c r="R47" s="63">
        <f t="shared" si="11"/>
        <v>-5.7500000000000002E-2</v>
      </c>
      <c r="S47" s="64">
        <f t="shared" si="12"/>
        <v>-5.7500000000000002E-2</v>
      </c>
      <c r="T47" s="63">
        <f t="shared" si="13"/>
        <v>0</v>
      </c>
      <c r="U47" s="64">
        <f t="shared" si="14"/>
        <v>0</v>
      </c>
      <c r="V47" s="207">
        <f>IF($A48="","",IF(AND(MONTH(A47)&gt;3,MONTH(A47)&lt;11),(T47+R47+G47)*Summary!$T$8/(1-Summary!$T$8),(T47+R47+G47)*Summary!$U$8/(1-Summary!$U$8)))</f>
        <v>0.20906634746922023</v>
      </c>
      <c r="W47" s="63">
        <f t="shared" si="15"/>
        <v>4.2065663474692201</v>
      </c>
      <c r="X47" s="63">
        <f t="shared" si="16"/>
        <v>4.2065663474692201</v>
      </c>
      <c r="Y47" s="43"/>
      <c r="Z47" s="38">
        <f t="shared" si="17"/>
        <v>0.55000000000000004</v>
      </c>
      <c r="AA47" s="38">
        <f t="shared" si="18"/>
        <v>0.29600000000000004</v>
      </c>
      <c r="AB47" s="38">
        <f t="shared" ca="1" si="19"/>
        <v>0.30297656328545031</v>
      </c>
      <c r="AC47" s="38">
        <f t="shared" si="20"/>
        <v>0.5</v>
      </c>
      <c r="AD47" s="38">
        <f t="shared" si="20"/>
        <v>0.28749999999999998</v>
      </c>
      <c r="AE47" s="38">
        <f t="shared" ca="1" si="21"/>
        <v>0.29345999114734445</v>
      </c>
      <c r="AF47" s="237">
        <f ca="1">((Summary!$N$8*(AA47*AD47)*(A47-$D$3))+(Summary!$M$8*Z47*AC47*(AJ47-EOMONTH(EDATE(A47,-1),0))))/(AK47*AB47*AE47)</f>
        <v>0.99981619380715347</v>
      </c>
      <c r="AG47" s="88">
        <f>IF($A48="","",Summary!$Q$8)</f>
        <v>0</v>
      </c>
      <c r="AH47" s="88">
        <f>IF($A48="","",IF(Summary!$R$8="Y",(VLOOKUP($A47,Summary!$AD$6:$AF$9,3)+'Escalating commodity'!D60),'Escalating commodity'!D60))</f>
        <v>2.0023199999999998E-2</v>
      </c>
      <c r="AI47" s="88">
        <f t="shared" si="36"/>
        <v>2.0023199999999998E-2</v>
      </c>
      <c r="AJ47" s="236">
        <f t="shared" si="22"/>
        <v>38183.5</v>
      </c>
      <c r="AK47" s="58">
        <f t="shared" ca="1" si="23"/>
        <v>1143</v>
      </c>
      <c r="AL47" s="26">
        <f ca="1">IF($A48="","",_xll.SPRDOPT(P47,X47,AI47,0,AB47,AE47,AF47,AK47,$AJ$2,0))</f>
        <v>6.2338010489912277E-2</v>
      </c>
      <c r="AM47" s="89">
        <f t="shared" si="24"/>
        <v>4.3410452530779485E-2</v>
      </c>
      <c r="AN47" s="89">
        <f t="shared" ca="1" si="25"/>
        <v>1.8927557959132792E-2</v>
      </c>
      <c r="AO47" s="3">
        <f t="shared" si="26"/>
        <v>31</v>
      </c>
      <c r="AP47" s="33">
        <f t="shared" si="27"/>
        <v>38169</v>
      </c>
      <c r="AQ47" s="58">
        <f t="shared" ca="1" si="28"/>
        <v>1143</v>
      </c>
      <c r="AR47" s="38">
        <f>'ANR OK vs ML7'!AR47</f>
        <v>0.1</v>
      </c>
      <c r="AS47" s="35">
        <f t="shared" ca="1" si="29"/>
        <v>0.73685487973917274</v>
      </c>
      <c r="AT47" s="3">
        <f t="shared" si="30"/>
        <v>1</v>
      </c>
      <c r="AU47" s="3">
        <f t="shared" si="31"/>
        <v>31</v>
      </c>
      <c r="AW47" s="32">
        <f t="shared" ca="1" si="32"/>
        <v>154598.26601498245</v>
      </c>
      <c r="AX47" s="32">
        <f t="shared" si="33"/>
        <v>107657.92227633312</v>
      </c>
      <c r="AY47" s="32">
        <f t="shared" ca="1" si="34"/>
        <v>46940.343738649324</v>
      </c>
      <c r="BA47" s="32">
        <f ca="1">IF($A48="","",F47*Summary!$Q$8)</f>
        <v>0</v>
      </c>
      <c r="BC47" s="256">
        <f t="shared" ca="1" si="37"/>
        <v>79328.265371896647</v>
      </c>
    </row>
    <row r="48" spans="1:55">
      <c r="A48" s="67">
        <f t="shared" si="35"/>
        <v>38200</v>
      </c>
      <c r="B48" s="69">
        <f t="shared" si="38"/>
        <v>80000</v>
      </c>
      <c r="C48" s="71"/>
      <c r="D48" s="69">
        <f t="shared" si="0"/>
        <v>80000</v>
      </c>
      <c r="E48" s="70">
        <f t="shared" si="1"/>
        <v>2480000</v>
      </c>
      <c r="F48" s="70">
        <f t="shared" ca="1" si="2"/>
        <v>1812328.1247443778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0.215</v>
      </c>
      <c r="K48" s="64">
        <f t="shared" si="6"/>
        <v>0.215</v>
      </c>
      <c r="L48" s="63">
        <f t="shared" si="7"/>
        <v>0</v>
      </c>
      <c r="M48" s="64">
        <f t="shared" si="8"/>
        <v>0</v>
      </c>
      <c r="N48" s="65"/>
      <c r="O48" s="63">
        <f t="shared" si="9"/>
        <v>4.3259999999999996</v>
      </c>
      <c r="P48" s="63">
        <f t="shared" si="10"/>
        <v>4.3259999999999996</v>
      </c>
      <c r="Q48" s="66"/>
      <c r="R48" s="63">
        <f t="shared" si="11"/>
        <v>-5.7500000000000002E-2</v>
      </c>
      <c r="S48" s="64">
        <f t="shared" si="12"/>
        <v>-5.7500000000000002E-2</v>
      </c>
      <c r="T48" s="63">
        <f t="shared" si="13"/>
        <v>0</v>
      </c>
      <c r="U48" s="64">
        <f t="shared" si="14"/>
        <v>0</v>
      </c>
      <c r="V48" s="207">
        <f>IF($A49="","",IF(AND(MONTH(A48)&gt;3,MONTH(A48)&lt;11),(T48+R48+G48)*Summary!$T$8/(1-Summary!$T$8),(T48+R48+G48)*Summary!$U$8/(1-Summary!$U$8)))</f>
        <v>0.2119951068083763</v>
      </c>
      <c r="W48" s="63">
        <f t="shared" si="15"/>
        <v>4.265495106808376</v>
      </c>
      <c r="X48" s="63">
        <f t="shared" si="16"/>
        <v>4.265495106808376</v>
      </c>
      <c r="Y48" s="43"/>
      <c r="Z48" s="38">
        <f t="shared" si="17"/>
        <v>0.6</v>
      </c>
      <c r="AA48" s="38">
        <f t="shared" si="18"/>
        <v>0.29600000000000004</v>
      </c>
      <c r="AB48" s="38">
        <f t="shared" ca="1" si="19"/>
        <v>0.30404541039839283</v>
      </c>
      <c r="AC48" s="38">
        <f t="shared" si="20"/>
        <v>0.55000000000000004</v>
      </c>
      <c r="AD48" s="38">
        <f t="shared" si="20"/>
        <v>0.28749999999999998</v>
      </c>
      <c r="AE48" s="38">
        <f t="shared" ca="1" si="21"/>
        <v>0.29448341242914072</v>
      </c>
      <c r="AF48" s="237">
        <f ca="1">((Summary!$N$8*(AA48*AD48)*(A48-$D$3))+(Summary!$M$8*Z48*AC48*(AJ48-EOMONTH(EDATE(A48,-1),0))))/(AK48*AB48*AE48)</f>
        <v>0.99982732680503728</v>
      </c>
      <c r="AG48" s="88">
        <f>IF($A49="","",Summary!$Q$8)</f>
        <v>0</v>
      </c>
      <c r="AH48" s="88">
        <f>IF($A49="","",IF(Summary!$R$8="Y",(VLOOKUP($A48,Summary!$AD$6:$AF$9,3)+'Escalating commodity'!D61),'Escalating commodity'!D61))</f>
        <v>2.0023199999999998E-2</v>
      </c>
      <c r="AI48" s="88">
        <f t="shared" si="36"/>
        <v>2.0023199999999998E-2</v>
      </c>
      <c r="AJ48" s="236">
        <f t="shared" si="22"/>
        <v>38214.5</v>
      </c>
      <c r="AK48" s="58">
        <f t="shared" ca="1" si="23"/>
        <v>1174</v>
      </c>
      <c r="AL48" s="26">
        <f ca="1">IF($A49="","",_xll.SPRDOPT(P48,X48,AI48,0,AB48,AE48,AF48,AK48,$AJ$2,0))</f>
        <v>6.108073296002095E-2</v>
      </c>
      <c r="AM48" s="89">
        <f t="shared" si="24"/>
        <v>4.0481693191623667E-2</v>
      </c>
      <c r="AN48" s="89">
        <f t="shared" ca="1" si="25"/>
        <v>2.0599039768397283E-2</v>
      </c>
      <c r="AO48" s="3">
        <f t="shared" si="26"/>
        <v>31</v>
      </c>
      <c r="AP48" s="33">
        <f t="shared" si="27"/>
        <v>38200</v>
      </c>
      <c r="AQ48" s="58">
        <f t="shared" ca="1" si="28"/>
        <v>1174</v>
      </c>
      <c r="AR48" s="38">
        <f>'ANR OK vs ML7'!AR48</f>
        <v>0.1</v>
      </c>
      <c r="AS48" s="35">
        <f t="shared" ca="1" si="29"/>
        <v>0.73077746965499102</v>
      </c>
      <c r="AT48" s="3">
        <f t="shared" si="30"/>
        <v>1</v>
      </c>
      <c r="AU48" s="3">
        <f t="shared" si="31"/>
        <v>31</v>
      </c>
      <c r="AW48" s="32">
        <f t="shared" ca="1" si="32"/>
        <v>151480.21774085195</v>
      </c>
      <c r="AX48" s="32">
        <f t="shared" si="33"/>
        <v>100394.59911522669</v>
      </c>
      <c r="AY48" s="32">
        <f t="shared" ca="1" si="34"/>
        <v>51085.618625625262</v>
      </c>
      <c r="BA48" s="32">
        <f ca="1">IF($A49="","",F48*Summary!$Q$8)</f>
        <v>0</v>
      </c>
      <c r="BC48" s="256">
        <f t="shared" ca="1" si="37"/>
        <v>73366.111108452562</v>
      </c>
    </row>
    <row r="49" spans="1:55">
      <c r="A49" s="67">
        <f t="shared" si="35"/>
        <v>38231</v>
      </c>
      <c r="B49" s="69">
        <f t="shared" si="38"/>
        <v>80000</v>
      </c>
      <c r="C49" s="71"/>
      <c r="D49" s="69">
        <f t="shared" si="0"/>
        <v>80000</v>
      </c>
      <c r="E49" s="70">
        <f t="shared" si="1"/>
        <v>2400000</v>
      </c>
      <c r="F49" s="70">
        <f t="shared" ca="1" si="2"/>
        <v>1739400.443173459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0.215</v>
      </c>
      <c r="K49" s="64">
        <f t="shared" si="6"/>
        <v>0.215</v>
      </c>
      <c r="L49" s="63">
        <f t="shared" si="7"/>
        <v>0</v>
      </c>
      <c r="M49" s="64">
        <f t="shared" si="8"/>
        <v>0</v>
      </c>
      <c r="N49" s="65"/>
      <c r="O49" s="63">
        <f t="shared" si="9"/>
        <v>4.34</v>
      </c>
      <c r="P49" s="63">
        <f t="shared" si="10"/>
        <v>4.34</v>
      </c>
      <c r="Q49" s="66"/>
      <c r="R49" s="63">
        <f t="shared" si="11"/>
        <v>-5.7500000000000002E-2</v>
      </c>
      <c r="S49" s="64">
        <f t="shared" si="12"/>
        <v>-5.7500000000000002E-2</v>
      </c>
      <c r="T49" s="63">
        <f t="shared" si="13"/>
        <v>0</v>
      </c>
      <c r="U49" s="64">
        <f t="shared" si="14"/>
        <v>0</v>
      </c>
      <c r="V49" s="207">
        <f>IF($A50="","",IF(AND(MONTH(A49)&gt;3,MONTH(A49)&lt;11),(T49+R49+G49)*Summary!$T$8/(1-Summary!$T$8),(T49+R49+G49)*Summary!$U$8/(1-Summary!$U$8)))</f>
        <v>0.21272729664316531</v>
      </c>
      <c r="W49" s="63">
        <f t="shared" si="15"/>
        <v>4.2802272966431651</v>
      </c>
      <c r="X49" s="63">
        <f t="shared" si="16"/>
        <v>4.2802272966431651</v>
      </c>
      <c r="Y49" s="43"/>
      <c r="Z49" s="38">
        <f t="shared" si="17"/>
        <v>0.6</v>
      </c>
      <c r="AA49" s="38">
        <f t="shared" si="18"/>
        <v>0.29600000000000004</v>
      </c>
      <c r="AB49" s="38">
        <f t="shared" ca="1" si="19"/>
        <v>0.30359518799591323</v>
      </c>
      <c r="AC49" s="38">
        <f t="shared" si="20"/>
        <v>0.55000000000000004</v>
      </c>
      <c r="AD49" s="38">
        <f t="shared" si="20"/>
        <v>0.28749999999999998</v>
      </c>
      <c r="AE49" s="38">
        <f t="shared" ca="1" si="21"/>
        <v>0.29409251021458427</v>
      </c>
      <c r="AF49" s="237">
        <f ca="1">((Summary!$N$8*(AA49*AD49)*(A49-$D$3))+(Summary!$M$8*Z49*AC49*(AJ49-EOMONTH(EDATE(A49,-1),0))))/(AK49*AB49*AE49)</f>
        <v>0.999831083015285</v>
      </c>
      <c r="AG49" s="88">
        <f>IF($A50="","",Summary!$Q$8)</f>
        <v>0</v>
      </c>
      <c r="AH49" s="88">
        <f>IF($A50="","",IF(Summary!$R$8="Y",(VLOOKUP($A49,Summary!$AD$6:$AF$9,3)+'Escalating commodity'!D62),'Escalating commodity'!D62))</f>
        <v>2.0023199999999998E-2</v>
      </c>
      <c r="AI49" s="88">
        <f t="shared" si="36"/>
        <v>2.0023199999999998E-2</v>
      </c>
      <c r="AJ49" s="236">
        <f t="shared" si="22"/>
        <v>38245</v>
      </c>
      <c r="AK49" s="58">
        <f t="shared" ca="1" si="23"/>
        <v>1205</v>
      </c>
      <c r="AL49" s="26">
        <f ca="1">IF($A50="","",_xll.SPRDOPT(P49,X49,AI49,0,AB49,AE49,AF49,AK49,$AJ$2,0))</f>
        <v>6.0929377245005759E-2</v>
      </c>
      <c r="AM49" s="89">
        <f t="shared" si="24"/>
        <v>3.9749503356834713E-2</v>
      </c>
      <c r="AN49" s="89">
        <f t="shared" ca="1" si="25"/>
        <v>2.1179873888171045E-2</v>
      </c>
      <c r="AO49" s="3">
        <f t="shared" si="26"/>
        <v>30</v>
      </c>
      <c r="AP49" s="33">
        <f t="shared" si="27"/>
        <v>38231</v>
      </c>
      <c r="AQ49" s="58">
        <f t="shared" ca="1" si="28"/>
        <v>1205</v>
      </c>
      <c r="AR49" s="38">
        <f>'ANR OK vs ML7'!AR49</f>
        <v>0.1</v>
      </c>
      <c r="AS49" s="35">
        <f t="shared" ca="1" si="29"/>
        <v>0.72475018465560792</v>
      </c>
      <c r="AT49" s="3">
        <f t="shared" si="30"/>
        <v>1</v>
      </c>
      <c r="AU49" s="3">
        <f t="shared" si="31"/>
        <v>30</v>
      </c>
      <c r="AW49" s="32">
        <f t="shared" ca="1" si="32"/>
        <v>146230.50538801381</v>
      </c>
      <c r="AX49" s="32">
        <f t="shared" si="33"/>
        <v>95398.808056403315</v>
      </c>
      <c r="AY49" s="32">
        <f t="shared" ca="1" si="34"/>
        <v>50831.697331610507</v>
      </c>
      <c r="BA49" s="32">
        <f ca="1">IF($A50="","",F49*Summary!$Q$8)</f>
        <v>0</v>
      </c>
      <c r="BC49" s="256">
        <f t="shared" ca="1" si="37"/>
        <v>69140.303754803201</v>
      </c>
    </row>
    <row r="50" spans="1:55">
      <c r="A50" s="67">
        <f t="shared" si="35"/>
        <v>38261</v>
      </c>
      <c r="B50" s="69">
        <f t="shared" si="38"/>
        <v>80000</v>
      </c>
      <c r="C50" s="71"/>
      <c r="D50" s="69">
        <f t="shared" si="0"/>
        <v>80000</v>
      </c>
      <c r="E50" s="70">
        <f t="shared" si="1"/>
        <v>2480000</v>
      </c>
      <c r="F50" s="70">
        <f t="shared" ca="1" si="2"/>
        <v>1783032.3680523981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0.215</v>
      </c>
      <c r="K50" s="64">
        <f t="shared" si="6"/>
        <v>0.215</v>
      </c>
      <c r="L50" s="63">
        <f t="shared" si="7"/>
        <v>0</v>
      </c>
      <c r="M50" s="64">
        <f t="shared" si="8"/>
        <v>0</v>
      </c>
      <c r="N50" s="65"/>
      <c r="O50" s="63">
        <f t="shared" si="9"/>
        <v>4.3710000000000004</v>
      </c>
      <c r="P50" s="63">
        <f t="shared" si="10"/>
        <v>4.3710000000000004</v>
      </c>
      <c r="Q50" s="66"/>
      <c r="R50" s="63">
        <f t="shared" si="11"/>
        <v>-5.7500000000000002E-2</v>
      </c>
      <c r="S50" s="64">
        <f t="shared" si="12"/>
        <v>-5.7500000000000002E-2</v>
      </c>
      <c r="T50" s="63">
        <f t="shared" si="13"/>
        <v>0</v>
      </c>
      <c r="U50" s="64">
        <f t="shared" si="14"/>
        <v>0</v>
      </c>
      <c r="V50" s="207">
        <f>IF($A51="","",IF(AND(MONTH(A50)&gt;3,MONTH(A50)&lt;11),(T50+R50+G50)*Summary!$T$8/(1-Summary!$T$8),(T50+R50+G50)*Summary!$U$8/(1-Summary!$U$8)))</f>
        <v>0.21434857413448388</v>
      </c>
      <c r="W50" s="63">
        <f t="shared" si="15"/>
        <v>4.3128485741344846</v>
      </c>
      <c r="X50" s="63">
        <f t="shared" si="16"/>
        <v>4.3128485741344846</v>
      </c>
      <c r="Y50" s="43"/>
      <c r="Z50" s="38">
        <f t="shared" si="17"/>
        <v>0.65</v>
      </c>
      <c r="AA50" s="38">
        <f t="shared" si="18"/>
        <v>0.29600000000000004</v>
      </c>
      <c r="AB50" s="38">
        <f t="shared" ca="1" si="19"/>
        <v>0.30494192186136371</v>
      </c>
      <c r="AC50" s="38">
        <f t="shared" si="20"/>
        <v>0.6</v>
      </c>
      <c r="AD50" s="38">
        <f t="shared" si="20"/>
        <v>0.28749999999999998</v>
      </c>
      <c r="AE50" s="38">
        <f t="shared" ca="1" si="21"/>
        <v>0.29536654644887189</v>
      </c>
      <c r="AF50" s="237">
        <f ca="1">((Summary!$N$8*(AA50*AD50)*(A50-$D$3))+(Summary!$M$8*Z50*AC50*(AJ50-EOMONTH(EDATE(A50,-1),0))))/(AK50*AB50*AE50)</f>
        <v>0.99983884144213842</v>
      </c>
      <c r="AG50" s="88">
        <f>IF($A51="","",Summary!$Q$8)</f>
        <v>0</v>
      </c>
      <c r="AH50" s="88">
        <f>IF($A51="","",IF(Summary!$R$8="Y",(VLOOKUP($A50,Summary!$AD$6:$AF$9,3)+'Escalating commodity'!D63),'Escalating commodity'!D63))</f>
        <v>2.0023199999999998E-2</v>
      </c>
      <c r="AI50" s="88">
        <f t="shared" si="36"/>
        <v>2.0023199999999998E-2</v>
      </c>
      <c r="AJ50" s="236">
        <f t="shared" si="22"/>
        <v>38275.5</v>
      </c>
      <c r="AK50" s="58">
        <f t="shared" ca="1" si="23"/>
        <v>1235</v>
      </c>
      <c r="AL50" s="26">
        <f ca="1">IF($A51="","",_xll.SPRDOPT(P50,X50,AI50,0,AB50,AE50,AF50,AK50,$AJ$2,0))</f>
        <v>6.0632231757871961E-2</v>
      </c>
      <c r="AM50" s="89">
        <f t="shared" si="24"/>
        <v>3.8128225865515807E-2</v>
      </c>
      <c r="AN50" s="89">
        <f t="shared" ca="1" si="25"/>
        <v>2.2504005892356155E-2</v>
      </c>
      <c r="AO50" s="3">
        <f t="shared" si="26"/>
        <v>31</v>
      </c>
      <c r="AP50" s="33">
        <f t="shared" si="27"/>
        <v>38261</v>
      </c>
      <c r="AQ50" s="58">
        <f t="shared" ca="1" si="28"/>
        <v>1235</v>
      </c>
      <c r="AR50" s="38">
        <f>'ANR OK vs ML7'!AR50</f>
        <v>0.1</v>
      </c>
      <c r="AS50" s="35">
        <f t="shared" ca="1" si="29"/>
        <v>0.71896466453725727</v>
      </c>
      <c r="AT50" s="3">
        <f t="shared" si="30"/>
        <v>1</v>
      </c>
      <c r="AU50" s="3">
        <f t="shared" si="31"/>
        <v>31</v>
      </c>
      <c r="AW50" s="32">
        <f t="shared" ca="1" si="32"/>
        <v>150367.93475952247</v>
      </c>
      <c r="AX50" s="32">
        <f t="shared" si="33"/>
        <v>94558.0001464792</v>
      </c>
      <c r="AY50" s="32">
        <f t="shared" ca="1" si="34"/>
        <v>55809.93461304326</v>
      </c>
      <c r="BA50" s="32">
        <f ca="1">IF($A51="","",F50*Summary!$Q$8)</f>
        <v>0</v>
      </c>
      <c r="BC50" s="256">
        <f t="shared" ca="1" si="37"/>
        <v>67983.860854627346</v>
      </c>
    </row>
    <row r="51" spans="1:55">
      <c r="A51" s="67">
        <f t="shared" si="35"/>
        <v>38292</v>
      </c>
      <c r="B51" s="69">
        <f t="shared" si="38"/>
        <v>80000</v>
      </c>
      <c r="C51" s="71"/>
      <c r="D51" s="69">
        <f t="shared" si="0"/>
        <v>80000</v>
      </c>
      <c r="E51" s="70">
        <f t="shared" si="1"/>
        <v>2400000</v>
      </c>
      <c r="F51" s="70">
        <f t="shared" ca="1" si="2"/>
        <v>1711283.5412298231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0.31</v>
      </c>
      <c r="K51" s="64">
        <f t="shared" si="6"/>
        <v>0.31</v>
      </c>
      <c r="L51" s="63">
        <f t="shared" si="7"/>
        <v>0</v>
      </c>
      <c r="M51" s="64">
        <f t="shared" si="8"/>
        <v>0</v>
      </c>
      <c r="N51" s="65"/>
      <c r="O51" s="63">
        <f t="shared" si="9"/>
        <v>4.5990000000000002</v>
      </c>
      <c r="P51" s="63">
        <f t="shared" si="10"/>
        <v>4.5990000000000002</v>
      </c>
      <c r="Q51" s="66"/>
      <c r="R51" s="63">
        <f t="shared" si="11"/>
        <v>-5.2499999999999998E-2</v>
      </c>
      <c r="S51" s="64">
        <f t="shared" si="12"/>
        <v>-5.2499999999999998E-2</v>
      </c>
      <c r="T51" s="63">
        <f t="shared" si="13"/>
        <v>5.0000000000000001E-3</v>
      </c>
      <c r="U51" s="64">
        <f t="shared" si="14"/>
        <v>5.0000000000000001E-3</v>
      </c>
      <c r="V51" s="207">
        <f>IF($A52="","",IF(AND(MONTH(A51)&gt;3,MONTH(A51)&lt;11),(T51+R51+G51)*Summary!$T$8/(1-Summary!$T$8),(T51+R51+G51)*Summary!$U$8/(1-Summary!$U$8)))</f>
        <v>0.22182737030411448</v>
      </c>
      <c r="W51" s="63">
        <f t="shared" si="15"/>
        <v>4.463327370304115</v>
      </c>
      <c r="X51" s="63">
        <f t="shared" si="16"/>
        <v>4.463327370304115</v>
      </c>
      <c r="Y51" s="43"/>
      <c r="Z51" s="38">
        <f t="shared" si="17"/>
        <v>0.8</v>
      </c>
      <c r="AA51" s="38">
        <f t="shared" si="18"/>
        <v>0.29600000000000004</v>
      </c>
      <c r="AB51" s="38">
        <f t="shared" ca="1" si="19"/>
        <v>0.30865538281334493</v>
      </c>
      <c r="AC51" s="38">
        <f t="shared" si="20"/>
        <v>0.8</v>
      </c>
      <c r="AD51" s="38">
        <f t="shared" si="20"/>
        <v>0.28749999999999998</v>
      </c>
      <c r="AE51" s="38">
        <f t="shared" ca="1" si="21"/>
        <v>0.30050703433634296</v>
      </c>
      <c r="AF51" s="237">
        <f ca="1">((Summary!$N$8*(AA51*AD51)*(A51-$D$3))+(Summary!$M$8*Z51*AC51*(AJ51-EOMONTH(EDATE(A51,-1),0))))/(AK51*AB51*AE51)</f>
        <v>0.99987631180450476</v>
      </c>
      <c r="AG51" s="88">
        <f>IF($A52="","",Summary!$Q$8)</f>
        <v>0</v>
      </c>
      <c r="AH51" s="88">
        <f>IF($A52="","",IF(Summary!$R$8="Y",(VLOOKUP($A51,Summary!$AD$6:$AF$9,3)+'Escalating commodity'!D64),'Escalating commodity'!D64))</f>
        <v>2.0023199999999998E-2</v>
      </c>
      <c r="AI51" s="88">
        <f t="shared" si="36"/>
        <v>2.0023199999999998E-2</v>
      </c>
      <c r="AJ51" s="236">
        <f t="shared" si="22"/>
        <v>38306</v>
      </c>
      <c r="AK51" s="58">
        <f t="shared" ca="1" si="23"/>
        <v>1266</v>
      </c>
      <c r="AL51" s="26">
        <f ca="1">IF($A52="","",_xll.SPRDOPT(P51,X51,AI51,0,AB51,AE51,AF51,AK51,$AJ$2,0))</f>
        <v>0.12066680218255485</v>
      </c>
      <c r="AM51" s="89">
        <f t="shared" si="24"/>
        <v>0.11564942969588524</v>
      </c>
      <c r="AN51" s="89">
        <f t="shared" ca="1" si="25"/>
        <v>5.0173724866696134E-3</v>
      </c>
      <c r="AO51" s="3">
        <f t="shared" si="26"/>
        <v>30</v>
      </c>
      <c r="AP51" s="33">
        <f t="shared" si="27"/>
        <v>38292</v>
      </c>
      <c r="AQ51" s="58">
        <f t="shared" ca="1" si="28"/>
        <v>1266</v>
      </c>
      <c r="AR51" s="38">
        <f>'ANR OK vs ML7'!AR51</f>
        <v>0.1</v>
      </c>
      <c r="AS51" s="35">
        <f t="shared" ca="1" si="29"/>
        <v>0.71303480884575965</v>
      </c>
      <c r="AT51" s="3">
        <f t="shared" si="30"/>
        <v>1</v>
      </c>
      <c r="AU51" s="3">
        <f t="shared" si="31"/>
        <v>30</v>
      </c>
      <c r="AW51" s="32">
        <f t="shared" ca="1" si="32"/>
        <v>289600.32523813163</v>
      </c>
      <c r="AX51" s="32">
        <f t="shared" si="33"/>
        <v>277558.63127012458</v>
      </c>
      <c r="AY51" s="32">
        <f t="shared" ca="1" si="34"/>
        <v>12041.693968007072</v>
      </c>
      <c r="BA51" s="32">
        <f ca="1">IF($A52="","",F51*Summary!$Q$8)</f>
        <v>0</v>
      </c>
      <c r="BC51" s="256">
        <f t="shared" ca="1" si="37"/>
        <v>197908.96559118395</v>
      </c>
    </row>
    <row r="52" spans="1:55">
      <c r="A52" s="67">
        <f t="shared" si="35"/>
        <v>38322</v>
      </c>
      <c r="B52" s="69">
        <f t="shared" si="38"/>
        <v>80000</v>
      </c>
      <c r="C52" s="71"/>
      <c r="D52" s="69">
        <f t="shared" si="0"/>
        <v>80000</v>
      </c>
      <c r="E52" s="70">
        <f t="shared" si="1"/>
        <v>2480000</v>
      </c>
      <c r="F52" s="70">
        <f t="shared" ca="1" si="2"/>
        <v>1754210.1687413575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0.31</v>
      </c>
      <c r="K52" s="64">
        <f t="shared" si="6"/>
        <v>0.31</v>
      </c>
      <c r="L52" s="63">
        <f t="shared" si="7"/>
        <v>0</v>
      </c>
      <c r="M52" s="64">
        <f t="shared" si="8"/>
        <v>0</v>
      </c>
      <c r="N52" s="65"/>
      <c r="O52" s="63">
        <f t="shared" si="9"/>
        <v>4.7370000000000001</v>
      </c>
      <c r="P52" s="63">
        <f t="shared" si="10"/>
        <v>4.7370000000000001</v>
      </c>
      <c r="Q52" s="66"/>
      <c r="R52" s="63">
        <f t="shared" si="11"/>
        <v>-5.2499999999999998E-2</v>
      </c>
      <c r="S52" s="64">
        <f t="shared" si="12"/>
        <v>-5.2499999999999998E-2</v>
      </c>
      <c r="T52" s="63">
        <f t="shared" si="13"/>
        <v>5.0000000000000001E-3</v>
      </c>
      <c r="U52" s="64">
        <f t="shared" si="14"/>
        <v>5.0000000000000001E-3</v>
      </c>
      <c r="V52" s="207">
        <f>IF($A53="","",IF(AND(MONTH(A52)&gt;3,MONTH(A52)&lt;11),(T52+R52+G52)*Summary!$T$8/(1-Summary!$T$8),(T52+R52+G52)*Summary!$U$8/(1-Summary!$U$8)))</f>
        <v>0.22904467010417764</v>
      </c>
      <c r="W52" s="63">
        <f t="shared" si="15"/>
        <v>4.6085446701041777</v>
      </c>
      <c r="X52" s="63">
        <f t="shared" si="16"/>
        <v>4.6085446701041777</v>
      </c>
      <c r="Y52" s="43"/>
      <c r="Z52" s="38">
        <f t="shared" si="17"/>
        <v>1.1000000000000001</v>
      </c>
      <c r="AA52" s="38">
        <f t="shared" si="18"/>
        <v>0.29899999999999999</v>
      </c>
      <c r="AB52" s="38">
        <f t="shared" ca="1" si="19"/>
        <v>0.3223994926645673</v>
      </c>
      <c r="AC52" s="38">
        <f t="shared" si="20"/>
        <v>1</v>
      </c>
      <c r="AD52" s="38">
        <f t="shared" si="20"/>
        <v>0.28999999999999998</v>
      </c>
      <c r="AE52" s="38">
        <f t="shared" ca="1" si="21"/>
        <v>0.31003994664965112</v>
      </c>
      <c r="AF52" s="237">
        <f ca="1">((Summary!$N$8*(AA52*AD52)*(A52-$D$3))+(Summary!$M$8*Z52*AC52*(AJ52-EOMONTH(EDATE(A52,-1),0))))/(AK52*AB52*AE52)</f>
        <v>0.99967356738032609</v>
      </c>
      <c r="AG52" s="88">
        <f>IF($A53="","",Summary!$Q$8)</f>
        <v>0</v>
      </c>
      <c r="AH52" s="88">
        <f>IF($A53="","",IF(Summary!$R$8="Y",(VLOOKUP($A52,Summary!$AD$6:$AF$9,3)+'Escalating commodity'!D65),'Escalating commodity'!D65))</f>
        <v>2.0023199999999998E-2</v>
      </c>
      <c r="AI52" s="88">
        <f t="shared" si="36"/>
        <v>2.0023199999999998E-2</v>
      </c>
      <c r="AJ52" s="236">
        <f t="shared" si="22"/>
        <v>38336.5</v>
      </c>
      <c r="AK52" s="58">
        <f t="shared" ca="1" si="23"/>
        <v>1296</v>
      </c>
      <c r="AL52" s="26">
        <f ca="1">IF($A53="","",_xll.SPRDOPT(P52,X52,AI52,0,AB52,AE52,AF52,AK52,$AJ$2,0))</f>
        <v>0.12642717478585705</v>
      </c>
      <c r="AM52" s="89">
        <f t="shared" si="24"/>
        <v>0.10843212989582243</v>
      </c>
      <c r="AN52" s="89">
        <f t="shared" ca="1" si="25"/>
        <v>1.7995044890034617E-2</v>
      </c>
      <c r="AO52" s="3">
        <f t="shared" si="26"/>
        <v>31</v>
      </c>
      <c r="AP52" s="33">
        <f t="shared" si="27"/>
        <v>38322</v>
      </c>
      <c r="AQ52" s="58">
        <f t="shared" ca="1" si="28"/>
        <v>1296</v>
      </c>
      <c r="AR52" s="38">
        <f>'ANR OK vs ML7'!AR52</f>
        <v>0.1</v>
      </c>
      <c r="AS52" s="35">
        <f t="shared" ca="1" si="29"/>
        <v>0.70734280997635379</v>
      </c>
      <c r="AT52" s="3">
        <f t="shared" si="30"/>
        <v>1</v>
      </c>
      <c r="AU52" s="3">
        <f t="shared" si="31"/>
        <v>31</v>
      </c>
      <c r="AW52" s="32">
        <f t="shared" ca="1" si="32"/>
        <v>313539.3934689255</v>
      </c>
      <c r="AX52" s="32">
        <f t="shared" si="33"/>
        <v>268911.68214163964</v>
      </c>
      <c r="AY52" s="32">
        <f t="shared" ca="1" si="34"/>
        <v>44627.711327285848</v>
      </c>
      <c r="BA52" s="32">
        <f ca="1">IF($A53="","",F52*Summary!$Q$8)</f>
        <v>0</v>
      </c>
      <c r="BC52" s="256">
        <f t="shared" ca="1" si="37"/>
        <v>190212.74488153547</v>
      </c>
    </row>
    <row r="53" spans="1:55">
      <c r="A53" s="67">
        <f t="shared" si="35"/>
        <v>38353</v>
      </c>
      <c r="B53" s="69">
        <f t="shared" si="38"/>
        <v>80000</v>
      </c>
      <c r="C53" s="71"/>
      <c r="D53" s="69">
        <f t="shared" si="0"/>
        <v>80000</v>
      </c>
      <c r="E53" s="70">
        <f t="shared" si="1"/>
        <v>2480000</v>
      </c>
      <c r="F53" s="70">
        <f t="shared" ca="1" si="2"/>
        <v>1739741.8455173101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0.31</v>
      </c>
      <c r="K53" s="64">
        <f t="shared" si="6"/>
        <v>0.31</v>
      </c>
      <c r="L53" s="63">
        <f t="shared" si="7"/>
        <v>0</v>
      </c>
      <c r="M53" s="64">
        <f t="shared" si="8"/>
        <v>0</v>
      </c>
      <c r="N53" s="65"/>
      <c r="O53" s="63">
        <f t="shared" si="9"/>
        <v>4.7240000000000002</v>
      </c>
      <c r="P53" s="63">
        <f t="shared" si="10"/>
        <v>4.7240000000000002</v>
      </c>
      <c r="Q53" s="66"/>
      <c r="R53" s="63">
        <f t="shared" si="11"/>
        <v>-5.2499999999999998E-2</v>
      </c>
      <c r="S53" s="64">
        <f t="shared" si="12"/>
        <v>-5.2499999999999998E-2</v>
      </c>
      <c r="T53" s="63">
        <f t="shared" si="13"/>
        <v>5.0000000000000001E-3</v>
      </c>
      <c r="U53" s="64">
        <f t="shared" si="14"/>
        <v>5.0000000000000001E-3</v>
      </c>
      <c r="V53" s="207">
        <f>IF($A54="","",IF(AND(MONTH(A53)&gt;3,MONTH(A53)&lt;11),(T53+R53+G53)*Summary!$T$8/(1-Summary!$T$8),(T53+R53+G53)*Summary!$U$8/(1-Summary!$U$8)))</f>
        <v>0.22836477954330212</v>
      </c>
      <c r="W53" s="63">
        <f t="shared" si="15"/>
        <v>4.5948647795433022</v>
      </c>
      <c r="X53" s="63">
        <f t="shared" si="16"/>
        <v>4.5948647795433022</v>
      </c>
      <c r="Y53" s="43"/>
      <c r="Z53" s="38">
        <f t="shared" si="17"/>
        <v>1.1000000000000001</v>
      </c>
      <c r="AA53" s="38">
        <f t="shared" si="18"/>
        <v>0.30099999999999999</v>
      </c>
      <c r="AB53" s="38">
        <f t="shared" ca="1" si="19"/>
        <v>0.32373238736413956</v>
      </c>
      <c r="AC53" s="38">
        <f t="shared" si="20"/>
        <v>1</v>
      </c>
      <c r="AD53" s="38">
        <f t="shared" si="20"/>
        <v>0.29249999999999998</v>
      </c>
      <c r="AE53" s="38">
        <f t="shared" ca="1" si="21"/>
        <v>0.31193141189563484</v>
      </c>
      <c r="AF53" s="237">
        <f ca="1">((Summary!$N$8*(AA53*AD53)*(A53-$D$3))+(Summary!$M$8*Z53*AC53*(AJ53-EOMONTH(EDATE(A53,-1),0))))/(AK53*AB53*AE53)</f>
        <v>0.99966594137795051</v>
      </c>
      <c r="AG53" s="88">
        <f>IF($A54="","",Summary!$Q$8)</f>
        <v>0</v>
      </c>
      <c r="AH53" s="88">
        <f>IF($A54="","",IF(Summary!$R$8="Y",(VLOOKUP($A53,Summary!$AD$6:$AF$9,3)+'Escalating commodity'!D66),'Escalating commodity'!D66))</f>
        <v>2.0023199999999998E-2</v>
      </c>
      <c r="AI53" s="88">
        <f t="shared" si="36"/>
        <v>2.0023199999999998E-2</v>
      </c>
      <c r="AJ53" s="236">
        <f t="shared" si="22"/>
        <v>38367.5</v>
      </c>
      <c r="AK53" s="58">
        <f t="shared" ca="1" si="23"/>
        <v>1327</v>
      </c>
      <c r="AL53" s="26">
        <f ca="1">IF($A54="","",_xll.SPRDOPT(P53,X53,AI53,0,AB53,AE53,AF53,AK53,$AJ$2,0))</f>
        <v>0.1263193880821796</v>
      </c>
      <c r="AM53" s="89">
        <f t="shared" si="24"/>
        <v>0.10911202045669802</v>
      </c>
      <c r="AN53" s="89">
        <f t="shared" ca="1" si="25"/>
        <v>1.7207367625481584E-2</v>
      </c>
      <c r="AO53" s="3">
        <f t="shared" si="26"/>
        <v>31</v>
      </c>
      <c r="AP53" s="33">
        <f t="shared" si="27"/>
        <v>38353</v>
      </c>
      <c r="AQ53" s="58">
        <f t="shared" ca="1" si="28"/>
        <v>1327</v>
      </c>
      <c r="AR53" s="38">
        <f>'ANR OK vs ML7'!AR53</f>
        <v>0.1</v>
      </c>
      <c r="AS53" s="35">
        <f t="shared" ca="1" si="29"/>
        <v>0.70150880867633469</v>
      </c>
      <c r="AT53" s="3">
        <f t="shared" si="30"/>
        <v>1</v>
      </c>
      <c r="AU53" s="3">
        <f t="shared" si="31"/>
        <v>31</v>
      </c>
      <c r="AW53" s="32">
        <f t="shared" ca="1" si="32"/>
        <v>313272.08244380541</v>
      </c>
      <c r="AX53" s="32">
        <f t="shared" si="33"/>
        <v>270597.81073261111</v>
      </c>
      <c r="AY53" s="32">
        <f t="shared" ca="1" si="34"/>
        <v>42674.271711194328</v>
      </c>
      <c r="BA53" s="32">
        <f ca="1">IF($A54="","",F53*Summary!$Q$8)</f>
        <v>0</v>
      </c>
      <c r="BC53" s="256">
        <f t="shared" ca="1" si="37"/>
        <v>189826.7478374583</v>
      </c>
    </row>
    <row r="54" spans="1:55">
      <c r="A54" s="67">
        <f t="shared" si="35"/>
        <v>38384</v>
      </c>
      <c r="B54" s="69">
        <f t="shared" si="38"/>
        <v>80000</v>
      </c>
      <c r="C54" s="71"/>
      <c r="D54" s="69">
        <f t="shared" si="0"/>
        <v>80000</v>
      </c>
      <c r="E54" s="70">
        <f t="shared" si="1"/>
        <v>2240000</v>
      </c>
      <c r="F54" s="70">
        <f t="shared" ca="1" si="2"/>
        <v>1558419.351734061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0.31</v>
      </c>
      <c r="K54" s="64">
        <f t="shared" si="6"/>
        <v>0.31</v>
      </c>
      <c r="L54" s="63">
        <f t="shared" si="7"/>
        <v>0</v>
      </c>
      <c r="M54" s="64">
        <f t="shared" si="8"/>
        <v>0</v>
      </c>
      <c r="N54" s="65"/>
      <c r="O54" s="63">
        <f t="shared" si="9"/>
        <v>4.6040000000000001</v>
      </c>
      <c r="P54" s="63">
        <f t="shared" si="10"/>
        <v>4.6040000000000001</v>
      </c>
      <c r="Q54" s="66"/>
      <c r="R54" s="63">
        <f t="shared" si="11"/>
        <v>-5.2499999999999998E-2</v>
      </c>
      <c r="S54" s="64">
        <f t="shared" si="12"/>
        <v>-5.2499999999999998E-2</v>
      </c>
      <c r="T54" s="63">
        <f t="shared" si="13"/>
        <v>5.0000000000000001E-3</v>
      </c>
      <c r="U54" s="64">
        <f t="shared" si="14"/>
        <v>5.0000000000000001E-3</v>
      </c>
      <c r="V54" s="207">
        <f>IF($A55="","",IF(AND(MONTH(A54)&gt;3,MONTH(A54)&lt;11),(T54+R54+G54)*Summary!$T$8/(1-Summary!$T$8),(T54+R54+G54)*Summary!$U$8/(1-Summary!$U$8)))</f>
        <v>0.22208886667368199</v>
      </c>
      <c r="W54" s="63">
        <f t="shared" si="15"/>
        <v>4.4685888666736826</v>
      </c>
      <c r="X54" s="63">
        <f t="shared" si="16"/>
        <v>4.4685888666736826</v>
      </c>
      <c r="Y54" s="43"/>
      <c r="Z54" s="38">
        <f t="shared" si="17"/>
        <v>1.1000000000000001</v>
      </c>
      <c r="AA54" s="38">
        <f t="shared" si="18"/>
        <v>0.29400000000000004</v>
      </c>
      <c r="AB54" s="38">
        <f t="shared" ca="1" si="19"/>
        <v>0.31460113840966919</v>
      </c>
      <c r="AC54" s="38">
        <f t="shared" si="20"/>
        <v>1</v>
      </c>
      <c r="AD54" s="38">
        <f t="shared" si="20"/>
        <v>0.28499999999999998</v>
      </c>
      <c r="AE54" s="38">
        <f t="shared" ca="1" si="21"/>
        <v>0.30264515620504168</v>
      </c>
      <c r="AF54" s="237">
        <f ca="1">((Summary!$N$8*(AA54*AD54)*(A54-$D$3))+(Summary!$M$8*Z54*AC54*(AJ54-EOMONTH(EDATE(A54,-1),0))))/(AK54*AB54*AE54)</f>
        <v>0.99969553759605112</v>
      </c>
      <c r="AG54" s="88">
        <f>IF($A55="","",Summary!$Q$8)</f>
        <v>0</v>
      </c>
      <c r="AH54" s="88">
        <f>IF($A55="","",IF(Summary!$R$8="Y",(VLOOKUP($A54,Summary!$AD$6:$AF$9,3)+'Escalating commodity'!D67),'Escalating commodity'!D67))</f>
        <v>2.0023199999999998E-2</v>
      </c>
      <c r="AI54" s="88">
        <f t="shared" si="36"/>
        <v>2.0023199999999998E-2</v>
      </c>
      <c r="AJ54" s="236">
        <f t="shared" si="22"/>
        <v>38397</v>
      </c>
      <c r="AK54" s="58">
        <f t="shared" ca="1" si="23"/>
        <v>1358</v>
      </c>
      <c r="AL54" s="26">
        <f ca="1">IF($A55="","",_xll.SPRDOPT(P54,X54,AI54,0,AB54,AE54,AF54,AK54,$AJ$2,0))</f>
        <v>0.13038979733752351</v>
      </c>
      <c r="AM54" s="89">
        <f t="shared" si="24"/>
        <v>0.1153879333263175</v>
      </c>
      <c r="AN54" s="89">
        <f t="shared" ca="1" si="25"/>
        <v>1.5001864011206012E-2</v>
      </c>
      <c r="AO54" s="3">
        <f t="shared" si="26"/>
        <v>28</v>
      </c>
      <c r="AP54" s="33">
        <f t="shared" si="27"/>
        <v>38384</v>
      </c>
      <c r="AQ54" s="58">
        <f t="shared" ca="1" si="28"/>
        <v>1358</v>
      </c>
      <c r="AR54" s="38">
        <f>'ANR OK vs ML7'!AR54</f>
        <v>0.1</v>
      </c>
      <c r="AS54" s="35">
        <f t="shared" ca="1" si="29"/>
        <v>0.69572292488127729</v>
      </c>
      <c r="AT54" s="3">
        <f t="shared" si="30"/>
        <v>1</v>
      </c>
      <c r="AU54" s="3">
        <f t="shared" si="31"/>
        <v>28</v>
      </c>
      <c r="AW54" s="32">
        <f t="shared" ca="1" si="32"/>
        <v>292073.14603605267</v>
      </c>
      <c r="AX54" s="32">
        <f t="shared" si="33"/>
        <v>258468.9706509512</v>
      </c>
      <c r="AY54" s="32">
        <f t="shared" ca="1" si="34"/>
        <v>33604.175385101466</v>
      </c>
      <c r="BA54" s="32">
        <f ca="1">IF($A55="","",F54*Summary!$Q$8)</f>
        <v>0</v>
      </c>
      <c r="BC54" s="256">
        <f t="shared" ca="1" si="37"/>
        <v>179822.78825233277</v>
      </c>
    </row>
    <row r="55" spans="1:55">
      <c r="A55" s="67">
        <f t="shared" si="35"/>
        <v>38412</v>
      </c>
      <c r="B55" s="69">
        <f t="shared" si="38"/>
        <v>80000</v>
      </c>
      <c r="C55" s="71"/>
      <c r="D55" s="69">
        <f t="shared" si="0"/>
        <v>80000</v>
      </c>
      <c r="E55" s="70">
        <f t="shared" si="1"/>
        <v>2480000</v>
      </c>
      <c r="F55" s="70">
        <f t="shared" ca="1" si="2"/>
        <v>1712534.2230678748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0.31</v>
      </c>
      <c r="K55" s="64">
        <f t="shared" si="6"/>
        <v>0.31</v>
      </c>
      <c r="L55" s="63">
        <f t="shared" si="7"/>
        <v>0</v>
      </c>
      <c r="M55" s="64">
        <f t="shared" si="8"/>
        <v>0</v>
      </c>
      <c r="N55" s="65"/>
      <c r="O55" s="63">
        <f t="shared" si="9"/>
        <v>4.4649999999999999</v>
      </c>
      <c r="P55" s="63">
        <f t="shared" si="10"/>
        <v>4.4649999999999999</v>
      </c>
      <c r="Q55" s="66"/>
      <c r="R55" s="63">
        <f t="shared" si="11"/>
        <v>-5.2499999999999998E-2</v>
      </c>
      <c r="S55" s="64">
        <f t="shared" si="12"/>
        <v>-5.2499999999999998E-2</v>
      </c>
      <c r="T55" s="63">
        <f t="shared" si="13"/>
        <v>5.0000000000000001E-3</v>
      </c>
      <c r="U55" s="64">
        <f t="shared" si="14"/>
        <v>5.0000000000000001E-3</v>
      </c>
      <c r="V55" s="207">
        <f>IF($A56="","",IF(AND(MONTH(A55)&gt;3,MONTH(A55)&lt;11),(T55+R55+G55)*Summary!$T$8/(1-Summary!$T$8),(T55+R55+G55)*Summary!$U$8/(1-Summary!$U$8)))</f>
        <v>0.21481926759970535</v>
      </c>
      <c r="W55" s="63">
        <f t="shared" si="15"/>
        <v>4.3223192675997053</v>
      </c>
      <c r="X55" s="63">
        <f t="shared" si="16"/>
        <v>4.3223192675997053</v>
      </c>
      <c r="Y55" s="43"/>
      <c r="Z55" s="38">
        <f t="shared" si="17"/>
        <v>0.75</v>
      </c>
      <c r="AA55" s="38">
        <f t="shared" si="18"/>
        <v>0.28800000000000003</v>
      </c>
      <c r="AB55" s="38">
        <f t="shared" ca="1" si="19"/>
        <v>0.29882173376685406</v>
      </c>
      <c r="AC55" s="38">
        <f t="shared" si="20"/>
        <v>0.75</v>
      </c>
      <c r="AD55" s="38">
        <f t="shared" si="20"/>
        <v>0.28000000000000003</v>
      </c>
      <c r="AE55" s="38">
        <f t="shared" ca="1" si="21"/>
        <v>0.2911136377295816</v>
      </c>
      <c r="AF55" s="237">
        <f ca="1">((Summary!$N$8*(AA55*AD55)*(A55-$D$3))+(Summary!$M$8*Z55*AC55*(AJ55-EOMONTH(EDATE(A55,-1),0))))/(AK55*AB55*AE55)</f>
        <v>0.99988061380876925</v>
      </c>
      <c r="AG55" s="88">
        <f>IF($A56="","",Summary!$Q$8)</f>
        <v>0</v>
      </c>
      <c r="AH55" s="88">
        <f>IF($A56="","",IF(Summary!$R$8="Y",(VLOOKUP($A55,Summary!$AD$6:$AF$9,3)+'Escalating commodity'!D68),'Escalating commodity'!D68))</f>
        <v>2.0023199999999998E-2</v>
      </c>
      <c r="AI55" s="88">
        <f t="shared" si="36"/>
        <v>2.0023199999999998E-2</v>
      </c>
      <c r="AJ55" s="236">
        <f t="shared" si="22"/>
        <v>38426.5</v>
      </c>
      <c r="AK55" s="58">
        <f t="shared" ca="1" si="23"/>
        <v>1386</v>
      </c>
      <c r="AL55" s="26">
        <f ca="1">IF($A56="","",_xll.SPRDOPT(P55,X55,AI55,0,AB55,AE55,AF55,AK55,$AJ$2,0))</f>
        <v>0.12657863396747582</v>
      </c>
      <c r="AM55" s="89">
        <f t="shared" si="24"/>
        <v>0.12265753240029456</v>
      </c>
      <c r="AN55" s="89">
        <f t="shared" ca="1" si="25"/>
        <v>3.9211015671812566E-3</v>
      </c>
      <c r="AO55" s="3">
        <f t="shared" si="26"/>
        <v>31</v>
      </c>
      <c r="AP55" s="33">
        <f t="shared" si="27"/>
        <v>38412</v>
      </c>
      <c r="AQ55" s="58">
        <f t="shared" ca="1" si="28"/>
        <v>1386</v>
      </c>
      <c r="AR55" s="38">
        <f>'ANR OK vs ML7'!AR55</f>
        <v>0.1</v>
      </c>
      <c r="AS55" s="35">
        <f t="shared" ca="1" si="29"/>
        <v>0.69053799317253017</v>
      </c>
      <c r="AT55" s="3">
        <f t="shared" si="30"/>
        <v>1</v>
      </c>
      <c r="AU55" s="3">
        <f t="shared" si="31"/>
        <v>31</v>
      </c>
      <c r="AW55" s="32">
        <f t="shared" ca="1" si="32"/>
        <v>313915.01223934005</v>
      </c>
      <c r="AX55" s="32">
        <f t="shared" si="33"/>
        <v>304190.6803527305</v>
      </c>
      <c r="AY55" s="32">
        <f t="shared" ca="1" si="34"/>
        <v>9724.331886609516</v>
      </c>
      <c r="BA55" s="32">
        <f ca="1">IF($A56="","",F55*Summary!$Q$8)</f>
        <v>0</v>
      </c>
      <c r="BC55" s="256">
        <f t="shared" ca="1" si="37"/>
        <v>210055.22195256111</v>
      </c>
    </row>
    <row r="56" spans="1:55">
      <c r="A56" s="67">
        <f t="shared" si="35"/>
        <v>38443</v>
      </c>
      <c r="B56" s="69">
        <f t="shared" si="38"/>
        <v>80000</v>
      </c>
      <c r="C56" s="71"/>
      <c r="D56" s="69">
        <f t="shared" si="0"/>
        <v>80000</v>
      </c>
      <c r="E56" s="70">
        <f t="shared" si="1"/>
        <v>2400000</v>
      </c>
      <c r="F56" s="70">
        <f t="shared" ca="1" si="2"/>
        <v>1643622.2259554262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0.215</v>
      </c>
      <c r="K56" s="64">
        <f t="shared" si="6"/>
        <v>0.215</v>
      </c>
      <c r="L56" s="63">
        <f t="shared" si="7"/>
        <v>0</v>
      </c>
      <c r="M56" s="64">
        <f t="shared" si="8"/>
        <v>0</v>
      </c>
      <c r="N56" s="65"/>
      <c r="O56" s="63">
        <f t="shared" si="9"/>
        <v>4.1950000000000003</v>
      </c>
      <c r="P56" s="63">
        <f t="shared" si="10"/>
        <v>4.1950000000000003</v>
      </c>
      <c r="Q56" s="66"/>
      <c r="R56" s="63">
        <f t="shared" si="11"/>
        <v>-5.5E-2</v>
      </c>
      <c r="S56" s="64">
        <f t="shared" si="12"/>
        <v>-5.5E-2</v>
      </c>
      <c r="T56" s="63">
        <f t="shared" si="13"/>
        <v>0</v>
      </c>
      <c r="U56" s="64">
        <f t="shared" si="14"/>
        <v>0</v>
      </c>
      <c r="V56" s="207">
        <f>IF($A57="","",IF(AND(MONTH(A56)&gt;3,MONTH(A56)&lt;11),(T56+R56+G56)*Summary!$T$8/(1-Summary!$T$8),(T56+R56+G56)*Summary!$U$8/(1-Summary!$U$8)))</f>
        <v>0.2052746501104914</v>
      </c>
      <c r="W56" s="63">
        <f t="shared" si="15"/>
        <v>4.1302746501104917</v>
      </c>
      <c r="X56" s="63">
        <f t="shared" si="16"/>
        <v>4.1302746501104917</v>
      </c>
      <c r="Y56" s="43"/>
      <c r="Z56" s="38">
        <f t="shared" si="17"/>
        <v>0.45</v>
      </c>
      <c r="AA56" s="38">
        <f t="shared" si="18"/>
        <v>0.27800000000000002</v>
      </c>
      <c r="AB56" s="38">
        <f t="shared" ca="1" si="19"/>
        <v>0.28192579492865472</v>
      </c>
      <c r="AC56" s="38">
        <f t="shared" si="20"/>
        <v>0.4</v>
      </c>
      <c r="AD56" s="38">
        <f t="shared" si="20"/>
        <v>0.27</v>
      </c>
      <c r="AE56" s="38">
        <f t="shared" ca="1" si="21"/>
        <v>0.27321267511470071</v>
      </c>
      <c r="AF56" s="237">
        <f ca="1">((Summary!$N$8*(AA56*AD56)*(A56-$D$3))+(Summary!$M$8*Z56*AC56*(AJ56-EOMONTH(EDATE(A56,-1),0))))/(AK56*AB56*AE56)</f>
        <v>0.99980776763954127</v>
      </c>
      <c r="AG56" s="88">
        <f>IF($A57="","",Summary!$Q$8)</f>
        <v>0</v>
      </c>
      <c r="AH56" s="88">
        <f>IF($A57="","",IF(Summary!$R$8="Y",(VLOOKUP($A56,Summary!$AD$6:$AF$9,3)+'Escalating commodity'!D69),'Escalating commodity'!D69))</f>
        <v>2.0023199999999998E-2</v>
      </c>
      <c r="AI56" s="88">
        <f t="shared" si="36"/>
        <v>2.0023199999999998E-2</v>
      </c>
      <c r="AJ56" s="236">
        <f t="shared" si="22"/>
        <v>38457</v>
      </c>
      <c r="AK56" s="58">
        <f t="shared" ca="1" si="23"/>
        <v>1417</v>
      </c>
      <c r="AL56" s="26">
        <f ca="1">IF($A57="","",_xll.SPRDOPT(P56,X56,AI56,0,AB56,AE56,AF56,AK56,$AJ$2,0))</f>
        <v>6.3646666030517246E-2</v>
      </c>
      <c r="AM56" s="89">
        <f t="shared" si="24"/>
        <v>4.4702149889508623E-2</v>
      </c>
      <c r="AN56" s="89">
        <f t="shared" ca="1" si="25"/>
        <v>1.8944516141008623E-2</v>
      </c>
      <c r="AO56" s="3">
        <f t="shared" si="26"/>
        <v>30</v>
      </c>
      <c r="AP56" s="33">
        <f t="shared" si="27"/>
        <v>38443</v>
      </c>
      <c r="AQ56" s="58">
        <f t="shared" ca="1" si="28"/>
        <v>1417</v>
      </c>
      <c r="AR56" s="38">
        <f>'ANR OK vs ML7'!AR56</f>
        <v>0.1</v>
      </c>
      <c r="AS56" s="35">
        <f t="shared" ca="1" si="29"/>
        <v>0.68484259414809423</v>
      </c>
      <c r="AT56" s="3">
        <f t="shared" si="30"/>
        <v>1</v>
      </c>
      <c r="AU56" s="3">
        <f t="shared" si="31"/>
        <v>30</v>
      </c>
      <c r="AW56" s="32">
        <f t="shared" ca="1" si="32"/>
        <v>152751.9984732414</v>
      </c>
      <c r="AX56" s="32">
        <f t="shared" si="33"/>
        <v>107285.1597348207</v>
      </c>
      <c r="AY56" s="32">
        <f t="shared" ca="1" si="34"/>
        <v>45466.838738420694</v>
      </c>
      <c r="BA56" s="32">
        <f ca="1">IF($A57="","",F56*Summary!$Q$8)</f>
        <v>0</v>
      </c>
      <c r="BC56" s="256">
        <f t="shared" ca="1" si="37"/>
        <v>73473.447106387277</v>
      </c>
    </row>
    <row r="57" spans="1:55">
      <c r="A57" s="67">
        <f t="shared" si="35"/>
        <v>38473</v>
      </c>
      <c r="B57" s="69">
        <f t="shared" si="38"/>
        <v>80000</v>
      </c>
      <c r="C57" s="71"/>
      <c r="D57" s="69">
        <f t="shared" si="0"/>
        <v>80000</v>
      </c>
      <c r="E57" s="70">
        <f t="shared" si="1"/>
        <v>2480000</v>
      </c>
      <c r="F57" s="70">
        <f t="shared" ca="1" si="2"/>
        <v>1684851.6057533307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0.215</v>
      </c>
      <c r="K57" s="64">
        <f t="shared" si="6"/>
        <v>0.215</v>
      </c>
      <c r="L57" s="63">
        <f t="shared" si="7"/>
        <v>0</v>
      </c>
      <c r="M57" s="64">
        <f t="shared" si="8"/>
        <v>0</v>
      </c>
      <c r="N57" s="65"/>
      <c r="O57" s="63">
        <f t="shared" si="9"/>
        <v>4.165</v>
      </c>
      <c r="P57" s="63">
        <f t="shared" si="10"/>
        <v>4.165</v>
      </c>
      <c r="Q57" s="66"/>
      <c r="R57" s="63">
        <f t="shared" si="11"/>
        <v>-5.5E-2</v>
      </c>
      <c r="S57" s="64">
        <f t="shared" si="12"/>
        <v>-5.5E-2</v>
      </c>
      <c r="T57" s="63">
        <f t="shared" si="13"/>
        <v>0</v>
      </c>
      <c r="U57" s="64">
        <f t="shared" si="14"/>
        <v>0</v>
      </c>
      <c r="V57" s="207">
        <f>IF($A58="","",IF(AND(MONTH(A57)&gt;3,MONTH(A57)&lt;11),(T57+R57+G57)*Summary!$T$8/(1-Summary!$T$8),(T57+R57+G57)*Summary!$U$8/(1-Summary!$U$8)))</f>
        <v>0.20370567189308642</v>
      </c>
      <c r="W57" s="63">
        <f t="shared" si="15"/>
        <v>4.0987056718930868</v>
      </c>
      <c r="X57" s="63">
        <f t="shared" si="16"/>
        <v>4.0987056718930868</v>
      </c>
      <c r="Y57" s="43"/>
      <c r="Z57" s="38">
        <f t="shared" si="17"/>
        <v>0.5</v>
      </c>
      <c r="AA57" s="38">
        <f t="shared" si="18"/>
        <v>0.27</v>
      </c>
      <c r="AB57" s="38">
        <f t="shared" ca="1" si="19"/>
        <v>0.27500606263342936</v>
      </c>
      <c r="AC57" s="38">
        <f t="shared" si="20"/>
        <v>0.45</v>
      </c>
      <c r="AD57" s="38">
        <f t="shared" si="20"/>
        <v>0.26250000000000001</v>
      </c>
      <c r="AE57" s="38">
        <f t="shared" ca="1" si="21"/>
        <v>0.2666889820195335</v>
      </c>
      <c r="AF57" s="237">
        <f ca="1">((Summary!$N$8*(AA57*AD57)*(A57-$D$3))+(Summary!$M$8*Z57*AC57*(AJ57-EOMONTH(EDATE(A57,-1),0))))/(AK57*AB57*AE57)</f>
        <v>0.9998085698971968</v>
      </c>
      <c r="AG57" s="88">
        <f>IF($A58="","",Summary!$Q$8)</f>
        <v>0</v>
      </c>
      <c r="AH57" s="88">
        <f>IF($A58="","",IF(Summary!$R$8="Y",(VLOOKUP($A57,Summary!$AD$6:$AF$9,3)+'Escalating commodity'!D70),'Escalating commodity'!D70))</f>
        <v>2.0023199999999998E-2</v>
      </c>
      <c r="AI57" s="88">
        <f t="shared" si="36"/>
        <v>2.0023199999999998E-2</v>
      </c>
      <c r="AJ57" s="236">
        <f t="shared" si="22"/>
        <v>38487.5</v>
      </c>
      <c r="AK57" s="58">
        <f t="shared" ca="1" si="23"/>
        <v>1447</v>
      </c>
      <c r="AL57" s="26">
        <f ca="1">IF($A58="","",_xll.SPRDOPT(P57,X57,AI57,0,AB57,AE57,AF57,AK57,$AJ$2,0))</f>
        <v>6.3681571766401962E-2</v>
      </c>
      <c r="AM57" s="89">
        <f t="shared" si="24"/>
        <v>4.6271128106913272E-2</v>
      </c>
      <c r="AN57" s="89">
        <f t="shared" ca="1" si="25"/>
        <v>1.741044365948869E-2</v>
      </c>
      <c r="AO57" s="3">
        <f t="shared" si="26"/>
        <v>31</v>
      </c>
      <c r="AP57" s="33">
        <f t="shared" si="27"/>
        <v>38473</v>
      </c>
      <c r="AQ57" s="58">
        <f t="shared" ca="1" si="28"/>
        <v>1447</v>
      </c>
      <c r="AR57" s="38">
        <f>'ANR OK vs ML7'!AR57</f>
        <v>0.1</v>
      </c>
      <c r="AS57" s="35">
        <f t="shared" ca="1" si="29"/>
        <v>0.67937564748118173</v>
      </c>
      <c r="AT57" s="3">
        <f t="shared" si="30"/>
        <v>1</v>
      </c>
      <c r="AU57" s="3">
        <f t="shared" si="31"/>
        <v>31</v>
      </c>
      <c r="AW57" s="32">
        <f t="shared" ca="1" si="32"/>
        <v>157930.29798067687</v>
      </c>
      <c r="AX57" s="32">
        <f t="shared" si="33"/>
        <v>114752.39770514492</v>
      </c>
      <c r="AY57" s="32">
        <f t="shared" ca="1" si="34"/>
        <v>43177.900275531953</v>
      </c>
      <c r="BA57" s="32">
        <f ca="1">IF($A58="","",F57*Summary!$Q$8)</f>
        <v>0</v>
      </c>
      <c r="BC57" s="256">
        <f t="shared" ca="1" si="37"/>
        <v>77959.984490950897</v>
      </c>
    </row>
    <row r="58" spans="1:55">
      <c r="A58" s="67">
        <f t="shared" si="35"/>
        <v>38504</v>
      </c>
      <c r="B58" s="69">
        <f t="shared" si="38"/>
        <v>80000</v>
      </c>
      <c r="C58" s="71"/>
      <c r="D58" s="69">
        <f t="shared" si="0"/>
        <v>80000</v>
      </c>
      <c r="E58" s="70">
        <f t="shared" si="1"/>
        <v>2400000</v>
      </c>
      <c r="F58" s="70">
        <f t="shared" ca="1" si="2"/>
        <v>1617053.5510186446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0.215</v>
      </c>
      <c r="K58" s="64">
        <f t="shared" si="6"/>
        <v>0.215</v>
      </c>
      <c r="L58" s="63">
        <f t="shared" si="7"/>
        <v>0</v>
      </c>
      <c r="M58" s="64">
        <f t="shared" si="8"/>
        <v>0</v>
      </c>
      <c r="N58" s="65"/>
      <c r="O58" s="63">
        <f t="shared" si="9"/>
        <v>4.2349999999999994</v>
      </c>
      <c r="P58" s="63">
        <f t="shared" si="10"/>
        <v>4.2349999999999994</v>
      </c>
      <c r="Q58" s="66"/>
      <c r="R58" s="63">
        <f t="shared" si="11"/>
        <v>-5.5E-2</v>
      </c>
      <c r="S58" s="64">
        <f t="shared" si="12"/>
        <v>-5.5E-2</v>
      </c>
      <c r="T58" s="63">
        <f t="shared" si="13"/>
        <v>0</v>
      </c>
      <c r="U58" s="64">
        <f t="shared" si="14"/>
        <v>0</v>
      </c>
      <c r="V58" s="207">
        <f>IF($A59="","",IF(AND(MONTH(A58)&gt;3,MONTH(A58)&lt;11),(T58+R58+G58)*Summary!$T$8/(1-Summary!$T$8),(T58+R58+G58)*Summary!$U$8/(1-Summary!$U$8)))</f>
        <v>0.20736662106703144</v>
      </c>
      <c r="W58" s="63">
        <f t="shared" si="15"/>
        <v>4.1723666210670309</v>
      </c>
      <c r="X58" s="63">
        <f t="shared" si="16"/>
        <v>4.1723666210670309</v>
      </c>
      <c r="Y58" s="43"/>
      <c r="Z58" s="38">
        <f t="shared" si="17"/>
        <v>0.5</v>
      </c>
      <c r="AA58" s="38">
        <f t="shared" si="18"/>
        <v>0.26500000000000001</v>
      </c>
      <c r="AB58" s="38">
        <f t="shared" ca="1" si="19"/>
        <v>0.26983277410473233</v>
      </c>
      <c r="AC58" s="38">
        <f t="shared" si="20"/>
        <v>0.45</v>
      </c>
      <c r="AD58" s="38">
        <f t="shared" si="20"/>
        <v>0.25750000000000001</v>
      </c>
      <c r="AE58" s="38">
        <f t="shared" ca="1" si="21"/>
        <v>0.26154589315966598</v>
      </c>
      <c r="AF58" s="237">
        <f ca="1">((Summary!$N$8*(AA58*AD58)*(A58-$D$3))+(Summary!$M$8*Z58*AC58*(AJ58-EOMONTH(EDATE(A58,-1),0))))/(AK58*AB58*AE58)</f>
        <v>0.99981122898441277</v>
      </c>
      <c r="AG58" s="88">
        <f>IF($A59="","",Summary!$Q$8)</f>
        <v>0</v>
      </c>
      <c r="AH58" s="88">
        <f>IF($A59="","",IF(Summary!$R$8="Y",(VLOOKUP($A58,Summary!$AD$6:$AF$9,3)+'Escalating commodity'!D71),'Escalating commodity'!D71))</f>
        <v>2.0023199999999998E-2</v>
      </c>
      <c r="AI58" s="88">
        <f t="shared" si="36"/>
        <v>2.0023199999999998E-2</v>
      </c>
      <c r="AJ58" s="236">
        <f t="shared" si="22"/>
        <v>38518</v>
      </c>
      <c r="AK58" s="58">
        <f t="shared" ca="1" si="23"/>
        <v>1478</v>
      </c>
      <c r="AL58" s="26">
        <f ca="1">IF($A59="","",_xll.SPRDOPT(P58,X58,AI58,0,AB58,AE58,AF58,AK58,$AJ$2,0))</f>
        <v>6.1516722610126778E-2</v>
      </c>
      <c r="AM58" s="89">
        <f t="shared" si="24"/>
        <v>4.26101789329685E-2</v>
      </c>
      <c r="AN58" s="89">
        <f t="shared" ca="1" si="25"/>
        <v>1.8906543677158279E-2</v>
      </c>
      <c r="AO58" s="3">
        <f t="shared" si="26"/>
        <v>30</v>
      </c>
      <c r="AP58" s="33">
        <f t="shared" si="27"/>
        <v>38504</v>
      </c>
      <c r="AQ58" s="58">
        <f t="shared" ca="1" si="28"/>
        <v>1478</v>
      </c>
      <c r="AR58" s="38">
        <f>'ANR OK vs ML7'!AR58</f>
        <v>0.1</v>
      </c>
      <c r="AS58" s="35">
        <f t="shared" ca="1" si="29"/>
        <v>0.67377231292443529</v>
      </c>
      <c r="AT58" s="3">
        <f t="shared" si="30"/>
        <v>1</v>
      </c>
      <c r="AU58" s="3">
        <f t="shared" si="31"/>
        <v>30</v>
      </c>
      <c r="AW58" s="32">
        <f t="shared" ca="1" si="32"/>
        <v>147640.13426430427</v>
      </c>
      <c r="AX58" s="32">
        <f t="shared" si="33"/>
        <v>102264.4294391244</v>
      </c>
      <c r="AY58" s="32">
        <f t="shared" ca="1" si="34"/>
        <v>45375.70482517987</v>
      </c>
      <c r="BA58" s="32">
        <f ca="1">IF($A59="","",F58*Summary!$Q$8)</f>
        <v>0</v>
      </c>
      <c r="BC58" s="256">
        <f t="shared" ca="1" si="37"/>
        <v>68902.941153096559</v>
      </c>
    </row>
    <row r="59" spans="1:55">
      <c r="A59" s="67">
        <f t="shared" si="35"/>
        <v>38534</v>
      </c>
      <c r="B59" s="69">
        <f t="shared" si="38"/>
        <v>80000</v>
      </c>
      <c r="C59" s="71"/>
      <c r="D59" s="69">
        <f t="shared" si="0"/>
        <v>80000</v>
      </c>
      <c r="E59" s="70">
        <f t="shared" si="1"/>
        <v>2480000</v>
      </c>
      <c r="F59" s="70">
        <f t="shared" ca="1" si="2"/>
        <v>1657616.4698911631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0.215</v>
      </c>
      <c r="K59" s="64">
        <f t="shared" si="6"/>
        <v>0.215</v>
      </c>
      <c r="L59" s="63">
        <f t="shared" si="7"/>
        <v>0</v>
      </c>
      <c r="M59" s="64">
        <f t="shared" si="8"/>
        <v>0</v>
      </c>
      <c r="N59" s="65"/>
      <c r="O59" s="63">
        <f t="shared" si="9"/>
        <v>4.29</v>
      </c>
      <c r="P59" s="63">
        <f t="shared" si="10"/>
        <v>4.29</v>
      </c>
      <c r="Q59" s="66"/>
      <c r="R59" s="63">
        <f t="shared" si="11"/>
        <v>-5.5E-2</v>
      </c>
      <c r="S59" s="64">
        <f t="shared" si="12"/>
        <v>-5.5E-2</v>
      </c>
      <c r="T59" s="63">
        <f t="shared" si="13"/>
        <v>0</v>
      </c>
      <c r="U59" s="64">
        <f t="shared" si="14"/>
        <v>0</v>
      </c>
      <c r="V59" s="207">
        <f>IF($A60="","",IF(AND(MONTH(A59)&gt;3,MONTH(A59)&lt;11),(T59+R59+G59)*Summary!$T$8/(1-Summary!$T$8),(T59+R59+G59)*Summary!$U$8/(1-Summary!$U$8)))</f>
        <v>0.21024308113227405</v>
      </c>
      <c r="W59" s="63">
        <f t="shared" si="15"/>
        <v>4.2302430811322749</v>
      </c>
      <c r="X59" s="63">
        <f t="shared" si="16"/>
        <v>4.2302430811322749</v>
      </c>
      <c r="Y59" s="43"/>
      <c r="Z59" s="38">
        <f t="shared" si="17"/>
        <v>0.55000000000000004</v>
      </c>
      <c r="AA59" s="38">
        <f t="shared" si="18"/>
        <v>0.26500000000000001</v>
      </c>
      <c r="AB59" s="38">
        <f t="shared" ca="1" si="19"/>
        <v>0.27088894212484432</v>
      </c>
      <c r="AC59" s="38">
        <f t="shared" si="20"/>
        <v>0.5</v>
      </c>
      <c r="AD59" s="38">
        <f t="shared" si="20"/>
        <v>0.25750000000000001</v>
      </c>
      <c r="AE59" s="38">
        <f t="shared" ca="1" si="21"/>
        <v>0.26252590026322842</v>
      </c>
      <c r="AF59" s="237">
        <f ca="1">((Summary!$N$8*(AA59*AD59)*(A59-$D$3))+(Summary!$M$8*Z59*AC59*(AJ59-EOMONTH(EDATE(A59,-1),0))))/(AK59*AB59*AE59)</f>
        <v>0.99981931001129265</v>
      </c>
      <c r="AG59" s="88">
        <f>IF($A60="","",Summary!$Q$8)</f>
        <v>0</v>
      </c>
      <c r="AH59" s="88">
        <f>IF($A60="","",IF(Summary!$R$8="Y",(VLOOKUP($A59,Summary!$AD$6:$AF$9,3)+'Escalating commodity'!D72),'Escalating commodity'!D72))</f>
        <v>2.0023199999999998E-2</v>
      </c>
      <c r="AI59" s="88">
        <f t="shared" si="36"/>
        <v>2.0023199999999998E-2</v>
      </c>
      <c r="AJ59" s="236">
        <f t="shared" si="22"/>
        <v>38548.5</v>
      </c>
      <c r="AK59" s="58">
        <f t="shared" ca="1" si="23"/>
        <v>1508</v>
      </c>
      <c r="AL59" s="26">
        <f ca="1">IF($A60="","",_xll.SPRDOPT(P59,X59,AI59,0,AB59,AE59,AF59,AK59,$AJ$2,0))</f>
        <v>6.0366498218296767E-2</v>
      </c>
      <c r="AM59" s="89">
        <f t="shared" si="24"/>
        <v>3.9733718867725164E-2</v>
      </c>
      <c r="AN59" s="89">
        <f t="shared" ca="1" si="25"/>
        <v>2.0632779350571603E-2</v>
      </c>
      <c r="AO59" s="3">
        <f t="shared" si="26"/>
        <v>31</v>
      </c>
      <c r="AP59" s="33">
        <f t="shared" si="27"/>
        <v>38534</v>
      </c>
      <c r="AQ59" s="58">
        <f t="shared" ca="1" si="28"/>
        <v>1508</v>
      </c>
      <c r="AR59" s="38">
        <f>'ANR OK vs ML7'!AR59</f>
        <v>0.1</v>
      </c>
      <c r="AS59" s="35">
        <f t="shared" ca="1" si="29"/>
        <v>0.66839373785933998</v>
      </c>
      <c r="AT59" s="3">
        <f t="shared" si="30"/>
        <v>1</v>
      </c>
      <c r="AU59" s="3">
        <f t="shared" si="31"/>
        <v>31</v>
      </c>
      <c r="AW59" s="32">
        <f t="shared" ca="1" si="32"/>
        <v>149708.91558137597</v>
      </c>
      <c r="AX59" s="32">
        <f t="shared" si="33"/>
        <v>98539.622791958405</v>
      </c>
      <c r="AY59" s="32">
        <f t="shared" ca="1" si="34"/>
        <v>51169.292789417574</v>
      </c>
      <c r="BA59" s="32">
        <f ca="1">IF($A60="","",F59*Summary!$Q$8)</f>
        <v>0</v>
      </c>
      <c r="BC59" s="256">
        <f t="shared" ca="1" si="37"/>
        <v>65863.26680516648</v>
      </c>
    </row>
    <row r="60" spans="1:55">
      <c r="A60" s="67">
        <f t="shared" si="35"/>
        <v>38565</v>
      </c>
      <c r="B60" s="69">
        <f t="shared" si="38"/>
        <v>80000</v>
      </c>
      <c r="C60" s="71"/>
      <c r="D60" s="69">
        <f t="shared" si="0"/>
        <v>80000</v>
      </c>
      <c r="E60" s="70">
        <f t="shared" si="1"/>
        <v>2480000</v>
      </c>
      <c r="F60" s="70">
        <f t="shared" ca="1" si="2"/>
        <v>1643944.8293458929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0.215</v>
      </c>
      <c r="K60" s="64">
        <f t="shared" si="6"/>
        <v>0.215</v>
      </c>
      <c r="L60" s="63">
        <f t="shared" si="7"/>
        <v>0</v>
      </c>
      <c r="M60" s="64">
        <f t="shared" si="8"/>
        <v>0</v>
      </c>
      <c r="N60" s="65"/>
      <c r="O60" s="63">
        <f t="shared" si="9"/>
        <v>4.3460000000000001</v>
      </c>
      <c r="P60" s="63">
        <f t="shared" si="10"/>
        <v>4.3460000000000001</v>
      </c>
      <c r="Q60" s="66"/>
      <c r="R60" s="63">
        <f t="shared" si="11"/>
        <v>-5.5E-2</v>
      </c>
      <c r="S60" s="64">
        <f t="shared" si="12"/>
        <v>-5.5E-2</v>
      </c>
      <c r="T60" s="63">
        <f t="shared" si="13"/>
        <v>0</v>
      </c>
      <c r="U60" s="64">
        <f t="shared" si="14"/>
        <v>0</v>
      </c>
      <c r="V60" s="207">
        <f>IF($A61="","",IF(AND(MONTH(A60)&gt;3,MONTH(A60)&lt;11),(T60+R60+G60)*Summary!$T$8/(1-Summary!$T$8),(T60+R60+G60)*Summary!$U$8/(1-Summary!$U$8)))</f>
        <v>0.21317184047143012</v>
      </c>
      <c r="W60" s="63">
        <f t="shared" si="15"/>
        <v>4.2891718404714307</v>
      </c>
      <c r="X60" s="63">
        <f t="shared" si="16"/>
        <v>4.2891718404714307</v>
      </c>
      <c r="Y60" s="43"/>
      <c r="Z60" s="38">
        <f t="shared" si="17"/>
        <v>0.6</v>
      </c>
      <c r="AA60" s="38">
        <f t="shared" si="18"/>
        <v>0.26500000000000001</v>
      </c>
      <c r="AB60" s="38">
        <f t="shared" ca="1" si="19"/>
        <v>0.27183885166317612</v>
      </c>
      <c r="AC60" s="38">
        <f t="shared" si="20"/>
        <v>0.55000000000000004</v>
      </c>
      <c r="AD60" s="38">
        <f t="shared" si="20"/>
        <v>0.25750000000000001</v>
      </c>
      <c r="AE60" s="38">
        <f t="shared" ca="1" si="21"/>
        <v>0.2634311203439943</v>
      </c>
      <c r="AF60" s="237">
        <f ca="1">((Summary!$N$8*(AA60*AD60)*(A60-$D$3))+(Summary!$M$8*Z60*AC60*(AJ60-EOMONTH(EDATE(A60,-1),0))))/(AK60*AB60*AE60)</f>
        <v>0.99982941361859312</v>
      </c>
      <c r="AG60" s="88">
        <f>IF($A61="","",Summary!$Q$8)</f>
        <v>0</v>
      </c>
      <c r="AH60" s="88">
        <f>IF($A61="","",IF(Summary!$R$8="Y",(VLOOKUP($A60,Summary!$AD$6:$AF$9,3)+'Escalating commodity'!D73),'Escalating commodity'!D73))</f>
        <v>2.0023199999999998E-2</v>
      </c>
      <c r="AI60" s="88">
        <f t="shared" si="36"/>
        <v>2.0023199999999998E-2</v>
      </c>
      <c r="AJ60" s="236">
        <f t="shared" si="22"/>
        <v>38579.5</v>
      </c>
      <c r="AK60" s="58">
        <f t="shared" ca="1" si="23"/>
        <v>1539</v>
      </c>
      <c r="AL60" s="26">
        <f ca="1">IF($A61="","",_xll.SPRDOPT(P60,X60,AI60,0,AB60,AE60,AF60,AK60,$AJ$2,0))</f>
        <v>5.9198329563335039E-2</v>
      </c>
      <c r="AM60" s="89">
        <f t="shared" si="24"/>
        <v>3.6804959528569346E-2</v>
      </c>
      <c r="AN60" s="89">
        <f t="shared" ca="1" si="25"/>
        <v>2.2393370034765693E-2</v>
      </c>
      <c r="AO60" s="3">
        <f t="shared" si="26"/>
        <v>31</v>
      </c>
      <c r="AP60" s="33">
        <f t="shared" si="27"/>
        <v>38565</v>
      </c>
      <c r="AQ60" s="58">
        <f t="shared" ca="1" si="28"/>
        <v>1539</v>
      </c>
      <c r="AR60" s="38">
        <f>'ANR OK vs ML7'!AR60</f>
        <v>0.1</v>
      </c>
      <c r="AS60" s="35">
        <f t="shared" ca="1" si="29"/>
        <v>0.66288097957495684</v>
      </c>
      <c r="AT60" s="3">
        <f t="shared" si="30"/>
        <v>1</v>
      </c>
      <c r="AU60" s="3">
        <f t="shared" si="31"/>
        <v>31</v>
      </c>
      <c r="AW60" s="32">
        <f t="shared" ca="1" si="32"/>
        <v>146811.85731707088</v>
      </c>
      <c r="AX60" s="32">
        <f t="shared" si="33"/>
        <v>91276.29963085198</v>
      </c>
      <c r="AY60" s="32">
        <f t="shared" ca="1" si="34"/>
        <v>55535.557686218919</v>
      </c>
      <c r="BA60" s="32">
        <f ca="1">IF($A61="","",F60*Summary!$Q$8)</f>
        <v>0</v>
      </c>
      <c r="BC60" s="256">
        <f t="shared" ca="1" si="37"/>
        <v>60505.322911276431</v>
      </c>
    </row>
    <row r="61" spans="1:55">
      <c r="A61" s="67">
        <f t="shared" si="35"/>
        <v>38596</v>
      </c>
      <c r="B61" s="69">
        <f t="shared" si="38"/>
        <v>80000</v>
      </c>
      <c r="C61" s="71"/>
      <c r="D61" s="69">
        <f t="shared" si="0"/>
        <v>80000</v>
      </c>
      <c r="E61" s="70">
        <f t="shared" si="1"/>
        <v>2400000</v>
      </c>
      <c r="F61" s="70">
        <f t="shared" ca="1" si="2"/>
        <v>1577792.8542163312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0.215</v>
      </c>
      <c r="K61" s="64">
        <f t="shared" si="6"/>
        <v>0.215</v>
      </c>
      <c r="L61" s="63">
        <f t="shared" si="7"/>
        <v>0</v>
      </c>
      <c r="M61" s="64">
        <f t="shared" si="8"/>
        <v>0</v>
      </c>
      <c r="N61" s="65"/>
      <c r="O61" s="63">
        <f t="shared" si="9"/>
        <v>4.3599999999999994</v>
      </c>
      <c r="P61" s="63">
        <f t="shared" si="10"/>
        <v>4.3599999999999994</v>
      </c>
      <c r="Q61" s="66"/>
      <c r="R61" s="63">
        <f t="shared" si="11"/>
        <v>-5.5E-2</v>
      </c>
      <c r="S61" s="64">
        <f t="shared" si="12"/>
        <v>-5.5E-2</v>
      </c>
      <c r="T61" s="63">
        <f t="shared" si="13"/>
        <v>0</v>
      </c>
      <c r="U61" s="64">
        <f t="shared" si="14"/>
        <v>0</v>
      </c>
      <c r="V61" s="207">
        <f>IF($A62="","",IF(AND(MONTH(A61)&gt;3,MONTH(A61)&lt;11),(T61+R61+G61)*Summary!$T$8/(1-Summary!$T$8),(T61+R61+G61)*Summary!$U$8/(1-Summary!$U$8)))</f>
        <v>0.2139040303062191</v>
      </c>
      <c r="W61" s="63">
        <f t="shared" si="15"/>
        <v>4.303904030306219</v>
      </c>
      <c r="X61" s="63">
        <f t="shared" si="16"/>
        <v>4.303904030306219</v>
      </c>
      <c r="Y61" s="43"/>
      <c r="Z61" s="38">
        <f t="shared" si="17"/>
        <v>0.6</v>
      </c>
      <c r="AA61" s="38">
        <f t="shared" si="18"/>
        <v>0.26500000000000001</v>
      </c>
      <c r="AB61" s="38">
        <f t="shared" ca="1" si="19"/>
        <v>0.27149441936294555</v>
      </c>
      <c r="AC61" s="38">
        <f t="shared" si="20"/>
        <v>0.55000000000000004</v>
      </c>
      <c r="AD61" s="38">
        <f t="shared" si="20"/>
        <v>0.25750000000000001</v>
      </c>
      <c r="AE61" s="38">
        <f t="shared" ca="1" si="21"/>
        <v>0.26313230639507151</v>
      </c>
      <c r="AF61" s="237">
        <f ca="1">((Summary!$N$8*(AA61*AD61)*(A61-$D$3))+(Summary!$M$8*Z61*AC61*(AJ61-EOMONTH(EDATE(A61,-1),0))))/(AK61*AB61*AE61)</f>
        <v>0.99983270724993367</v>
      </c>
      <c r="AG61" s="88">
        <f>IF($A62="","",Summary!$Q$8)</f>
        <v>0</v>
      </c>
      <c r="AH61" s="88">
        <f>IF($A62="","",IF(Summary!$R$8="Y",(VLOOKUP($A61,Summary!$AD$6:$AF$9,3)+'Escalating commodity'!D74),'Escalating commodity'!D74))</f>
        <v>2.0023199999999998E-2</v>
      </c>
      <c r="AI61" s="88">
        <f t="shared" si="36"/>
        <v>2.0023199999999998E-2</v>
      </c>
      <c r="AJ61" s="236">
        <f t="shared" si="22"/>
        <v>38610</v>
      </c>
      <c r="AK61" s="58">
        <f t="shared" ca="1" si="23"/>
        <v>1570</v>
      </c>
      <c r="AL61" s="26">
        <f ca="1">IF($A62="","",_xll.SPRDOPT(P61,X61,AI61,0,AB61,AE61,AF61,AK61,$AJ$2,0))</f>
        <v>5.8959958486818849E-2</v>
      </c>
      <c r="AM61" s="89">
        <f t="shared" si="24"/>
        <v>3.6072769693780392E-2</v>
      </c>
      <c r="AN61" s="89">
        <f t="shared" ca="1" si="25"/>
        <v>2.2887188793038457E-2</v>
      </c>
      <c r="AO61" s="3">
        <f t="shared" si="26"/>
        <v>30</v>
      </c>
      <c r="AP61" s="33">
        <f t="shared" si="27"/>
        <v>38596</v>
      </c>
      <c r="AQ61" s="58">
        <f t="shared" ca="1" si="28"/>
        <v>1570</v>
      </c>
      <c r="AR61" s="38">
        <f>'ANR OK vs ML7'!AR61</f>
        <v>0.1</v>
      </c>
      <c r="AS61" s="35">
        <f t="shared" ca="1" si="29"/>
        <v>0.65741368925680466</v>
      </c>
      <c r="AT61" s="3">
        <f t="shared" si="30"/>
        <v>1</v>
      </c>
      <c r="AU61" s="3">
        <f t="shared" si="31"/>
        <v>30</v>
      </c>
      <c r="AW61" s="32">
        <f t="shared" ca="1" si="32"/>
        <v>141503.90036836523</v>
      </c>
      <c r="AX61" s="32">
        <f t="shared" si="33"/>
        <v>86574.647265072941</v>
      </c>
      <c r="AY61" s="32">
        <f t="shared" ca="1" si="34"/>
        <v>54929.2531032923</v>
      </c>
      <c r="BA61" s="32">
        <f ca="1">IF($A62="","",F61*Summary!$Q$8)</f>
        <v>0</v>
      </c>
      <c r="BC61" s="256">
        <f t="shared" ca="1" si="37"/>
        <v>56915.358254638137</v>
      </c>
    </row>
    <row r="62" spans="1:55">
      <c r="A62" s="67">
        <f t="shared" si="35"/>
        <v>38626</v>
      </c>
      <c r="B62" s="69">
        <f t="shared" si="38"/>
        <v>80000</v>
      </c>
      <c r="C62" s="71"/>
      <c r="D62" s="69">
        <f t="shared" si="0"/>
        <v>80000</v>
      </c>
      <c r="E62" s="70">
        <f t="shared" si="1"/>
        <v>2480000</v>
      </c>
      <c r="F62" s="70">
        <f t="shared" ca="1" si="2"/>
        <v>1617370.9396191926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0.215</v>
      </c>
      <c r="K62" s="64">
        <f t="shared" si="6"/>
        <v>0.215</v>
      </c>
      <c r="L62" s="63">
        <f t="shared" si="7"/>
        <v>0</v>
      </c>
      <c r="M62" s="64">
        <f t="shared" si="8"/>
        <v>0</v>
      </c>
      <c r="N62" s="65"/>
      <c r="O62" s="63">
        <f t="shared" si="9"/>
        <v>4.391</v>
      </c>
      <c r="P62" s="63">
        <f t="shared" si="10"/>
        <v>4.391</v>
      </c>
      <c r="Q62" s="66"/>
      <c r="R62" s="63">
        <f t="shared" si="11"/>
        <v>-5.5E-2</v>
      </c>
      <c r="S62" s="64">
        <f t="shared" si="12"/>
        <v>-5.5E-2</v>
      </c>
      <c r="T62" s="63">
        <f t="shared" si="13"/>
        <v>0</v>
      </c>
      <c r="U62" s="64">
        <f t="shared" si="14"/>
        <v>0</v>
      </c>
      <c r="V62" s="207">
        <f>IF($A63="","",IF(AND(MONTH(A62)&gt;3,MONTH(A62)&lt;11),(T62+R62+G62)*Summary!$T$8/(1-Summary!$T$8),(T62+R62+G62)*Summary!$U$8/(1-Summary!$U$8)))</f>
        <v>0.21552530779753762</v>
      </c>
      <c r="W62" s="63">
        <f t="shared" si="15"/>
        <v>4.3365253077975376</v>
      </c>
      <c r="X62" s="63">
        <f t="shared" si="16"/>
        <v>4.3365253077975376</v>
      </c>
      <c r="Y62" s="43"/>
      <c r="Z62" s="38">
        <f t="shared" si="17"/>
        <v>0.65</v>
      </c>
      <c r="AA62" s="38">
        <f t="shared" si="18"/>
        <v>0.26500000000000001</v>
      </c>
      <c r="AB62" s="38">
        <f t="shared" ca="1" si="19"/>
        <v>0.27269370981927693</v>
      </c>
      <c r="AC62" s="38">
        <f t="shared" si="20"/>
        <v>0.6</v>
      </c>
      <c r="AD62" s="38">
        <f t="shared" si="20"/>
        <v>0.25750000000000001</v>
      </c>
      <c r="AE62" s="38">
        <f t="shared" ca="1" si="21"/>
        <v>0.26426348859850085</v>
      </c>
      <c r="AF62" s="237">
        <f ca="1">((Summary!$N$8*(AA62*AD62)*(A62-$D$3))+(Summary!$M$8*Z62*AC62*(AJ62-EOMONTH(EDATE(A62,-1),0))))/(AK62*AB62*AE62)</f>
        <v>0.99983978387684458</v>
      </c>
      <c r="AG62" s="88">
        <f>IF($A63="","",Summary!$Q$8)</f>
        <v>0</v>
      </c>
      <c r="AH62" s="88">
        <f>IF($A63="","",IF(Summary!$R$8="Y",(VLOOKUP($A62,Summary!$AD$6:$AF$9,3)+'Escalating commodity'!D75),'Escalating commodity'!D75))</f>
        <v>2.0023199999999998E-2</v>
      </c>
      <c r="AI62" s="88">
        <f t="shared" si="36"/>
        <v>2.0023199999999998E-2</v>
      </c>
      <c r="AJ62" s="236">
        <f t="shared" si="22"/>
        <v>38640.5</v>
      </c>
      <c r="AK62" s="58">
        <f t="shared" ca="1" si="23"/>
        <v>1600</v>
      </c>
      <c r="AL62" s="26">
        <f ca="1">IF($A63="","",_xll.SPRDOPT(P62,X62,AI62,0,AB62,AE62,AF62,AK62,$AJ$2,0))</f>
        <v>5.85727605479891E-2</v>
      </c>
      <c r="AM62" s="89">
        <f t="shared" si="24"/>
        <v>3.4451492202462373E-2</v>
      </c>
      <c r="AN62" s="89">
        <f t="shared" ca="1" si="25"/>
        <v>2.4121268345526727E-2</v>
      </c>
      <c r="AO62" s="3">
        <f t="shared" si="26"/>
        <v>31</v>
      </c>
      <c r="AP62" s="33">
        <f t="shared" si="27"/>
        <v>38626</v>
      </c>
      <c r="AQ62" s="58">
        <f t="shared" ca="1" si="28"/>
        <v>1600</v>
      </c>
      <c r="AR62" s="38">
        <f>'ANR OK vs ML7'!AR62</f>
        <v>0.1</v>
      </c>
      <c r="AS62" s="35">
        <f t="shared" ca="1" si="29"/>
        <v>0.65216570145935182</v>
      </c>
      <c r="AT62" s="3">
        <f t="shared" si="30"/>
        <v>1</v>
      </c>
      <c r="AU62" s="3">
        <f t="shared" si="31"/>
        <v>31</v>
      </c>
      <c r="AW62" s="32">
        <f t="shared" ca="1" si="32"/>
        <v>145260.44615901296</v>
      </c>
      <c r="AX62" s="32">
        <f t="shared" si="33"/>
        <v>85439.700662106683</v>
      </c>
      <c r="AY62" s="32">
        <f t="shared" ca="1" si="34"/>
        <v>59820.745496906282</v>
      </c>
      <c r="BA62" s="32">
        <f ca="1">IF($A63="","",F62*Summary!$Q$8)</f>
        <v>0</v>
      </c>
      <c r="BC62" s="256">
        <f t="shared" ca="1" si="37"/>
        <v>55720.84231477986</v>
      </c>
    </row>
    <row r="63" spans="1:55">
      <c r="A63" s="67">
        <f t="shared" si="35"/>
        <v>38657</v>
      </c>
      <c r="B63" s="69">
        <f t="shared" si="38"/>
        <v>80000</v>
      </c>
      <c r="C63" s="71"/>
      <c r="D63" s="69">
        <f t="shared" si="0"/>
        <v>80000</v>
      </c>
      <c r="E63" s="70">
        <f t="shared" si="1"/>
        <v>2400000</v>
      </c>
      <c r="F63" s="70">
        <f t="shared" ca="1" si="2"/>
        <v>1552288.291915294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0.33500000000000002</v>
      </c>
      <c r="K63" s="64">
        <f t="shared" si="6"/>
        <v>0.33500000000000002</v>
      </c>
      <c r="L63" s="63">
        <f t="shared" si="7"/>
        <v>0</v>
      </c>
      <c r="M63" s="64">
        <f t="shared" si="8"/>
        <v>0</v>
      </c>
      <c r="N63" s="65"/>
      <c r="O63" s="63">
        <f t="shared" si="9"/>
        <v>4.6440000000000001</v>
      </c>
      <c r="P63" s="63">
        <f t="shared" si="10"/>
        <v>4.6440000000000001</v>
      </c>
      <c r="Q63" s="66"/>
      <c r="R63" s="63">
        <f t="shared" si="11"/>
        <v>-0.06</v>
      </c>
      <c r="S63" s="64">
        <f t="shared" si="12"/>
        <v>-0.06</v>
      </c>
      <c r="T63" s="63">
        <f t="shared" si="13"/>
        <v>5.0000000000000001E-3</v>
      </c>
      <c r="U63" s="64">
        <f t="shared" si="14"/>
        <v>5.0000000000000001E-3</v>
      </c>
      <c r="V63" s="207">
        <f>IF($A64="","",IF(AND(MONTH(A63)&gt;3,MONTH(A63)&lt;11),(T63+R63+G63)*Summary!$T$8/(1-Summary!$T$8),(T63+R63+G63)*Summary!$U$8/(1-Summary!$U$8)))</f>
        <v>0.22248111122803327</v>
      </c>
      <c r="W63" s="63">
        <f t="shared" si="15"/>
        <v>4.4764811112280336</v>
      </c>
      <c r="X63" s="63">
        <f t="shared" si="16"/>
        <v>4.4764811112280336</v>
      </c>
      <c r="Y63" s="43"/>
      <c r="Z63" s="38">
        <f t="shared" si="17"/>
        <v>0.8</v>
      </c>
      <c r="AA63" s="38">
        <f t="shared" si="18"/>
        <v>0.26500000000000001</v>
      </c>
      <c r="AB63" s="38">
        <f t="shared" ca="1" si="19"/>
        <v>0.27596017093258302</v>
      </c>
      <c r="AC63" s="38">
        <f t="shared" si="20"/>
        <v>0.8</v>
      </c>
      <c r="AD63" s="38">
        <f t="shared" si="20"/>
        <v>0.25750000000000001</v>
      </c>
      <c r="AE63" s="38">
        <f t="shared" ca="1" si="21"/>
        <v>0.26876172211471072</v>
      </c>
      <c r="AF63" s="237">
        <f ca="1">((Summary!$N$8*(AA63*AD63)*(A63-$D$3))+(Summary!$M$8*Z63*AC63*(AJ63-EOMONTH(EDATE(A63,-1),0))))/(AK63*AB63*AE63)</f>
        <v>0.99987782598370756</v>
      </c>
      <c r="AG63" s="88">
        <f>IF($A64="","",Summary!$Q$8)</f>
        <v>0</v>
      </c>
      <c r="AH63" s="88">
        <f>IF($A64="","",IF(Summary!$R$8="Y",(VLOOKUP($A63,Summary!$AD$6:$AF$9,3)+'Escalating commodity'!D76),'Escalating commodity'!D76))</f>
        <v>2.0023199999999998E-2</v>
      </c>
      <c r="AI63" s="88">
        <f t="shared" si="36"/>
        <v>2.0023199999999998E-2</v>
      </c>
      <c r="AJ63" s="236">
        <f t="shared" si="22"/>
        <v>38671</v>
      </c>
      <c r="AK63" s="58">
        <f t="shared" ca="1" si="23"/>
        <v>1631</v>
      </c>
      <c r="AL63" s="26">
        <f ca="1">IF($A64="","",_xll.SPRDOPT(P63,X63,AI63,0,AB63,AE63,AF63,AK63,$AJ$2,0))</f>
        <v>0.15033939072446162</v>
      </c>
      <c r="AM63" s="89">
        <f t="shared" si="24"/>
        <v>0.14749568877196653</v>
      </c>
      <c r="AN63" s="89">
        <f t="shared" ca="1" si="25"/>
        <v>2.8437019524950868E-3</v>
      </c>
      <c r="AO63" s="3">
        <f t="shared" si="26"/>
        <v>30</v>
      </c>
      <c r="AP63" s="33">
        <f t="shared" si="27"/>
        <v>38657</v>
      </c>
      <c r="AQ63" s="58">
        <f t="shared" ca="1" si="28"/>
        <v>1631</v>
      </c>
      <c r="AR63" s="38">
        <f>'ANR OK vs ML7'!AR63</f>
        <v>0.1</v>
      </c>
      <c r="AS63" s="35">
        <f t="shared" ca="1" si="29"/>
        <v>0.64678678829803915</v>
      </c>
      <c r="AT63" s="3">
        <f t="shared" si="30"/>
        <v>1</v>
      </c>
      <c r="AU63" s="3">
        <f t="shared" si="31"/>
        <v>30</v>
      </c>
      <c r="AW63" s="32">
        <f t="shared" ca="1" si="32"/>
        <v>360814.53773870791</v>
      </c>
      <c r="AX63" s="32">
        <f t="shared" si="33"/>
        <v>353989.65305271966</v>
      </c>
      <c r="AY63" s="32">
        <f t="shared" ca="1" si="34"/>
        <v>6824.8846859882087</v>
      </c>
      <c r="BA63" s="32">
        <f ca="1">IF($A64="","",F63*Summary!$Q$8)</f>
        <v>0</v>
      </c>
      <c r="BC63" s="256">
        <f t="shared" ca="1" si="37"/>
        <v>228955.83078870573</v>
      </c>
    </row>
    <row r="64" spans="1:55">
      <c r="A64" s="67">
        <f t="shared" si="35"/>
        <v>38687</v>
      </c>
      <c r="B64" s="69">
        <f t="shared" si="38"/>
        <v>80000</v>
      </c>
      <c r="C64" s="71"/>
      <c r="D64" s="69">
        <f t="shared" si="0"/>
        <v>80000</v>
      </c>
      <c r="E64" s="70">
        <f t="shared" si="1"/>
        <v>2480000</v>
      </c>
      <c r="F64" s="70">
        <f t="shared" ca="1" si="2"/>
        <v>1591226.609086086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0.33500000000000002</v>
      </c>
      <c r="K64" s="64">
        <f t="shared" si="6"/>
        <v>0.33500000000000002</v>
      </c>
      <c r="L64" s="63">
        <f t="shared" si="7"/>
        <v>0</v>
      </c>
      <c r="M64" s="64">
        <f t="shared" si="8"/>
        <v>0</v>
      </c>
      <c r="N64" s="65"/>
      <c r="O64" s="63">
        <f t="shared" si="9"/>
        <v>4.782</v>
      </c>
      <c r="P64" s="63">
        <f t="shared" si="10"/>
        <v>4.782</v>
      </c>
      <c r="Q64" s="66"/>
      <c r="R64" s="63">
        <f t="shared" si="11"/>
        <v>-0.06</v>
      </c>
      <c r="S64" s="64">
        <f t="shared" si="12"/>
        <v>-0.06</v>
      </c>
      <c r="T64" s="63">
        <f t="shared" si="13"/>
        <v>5.0000000000000001E-3</v>
      </c>
      <c r="U64" s="64">
        <f t="shared" si="14"/>
        <v>5.0000000000000001E-3</v>
      </c>
      <c r="V64" s="207">
        <f>IF($A65="","",IF(AND(MONTH(A64)&gt;3,MONTH(A64)&lt;11),(T64+R64+G64)*Summary!$T$8/(1-Summary!$T$8),(T64+R64+G64)*Summary!$U$8/(1-Summary!$U$8)))</f>
        <v>0.22969841102809641</v>
      </c>
      <c r="W64" s="63">
        <f t="shared" si="15"/>
        <v>4.6216984110280972</v>
      </c>
      <c r="X64" s="63">
        <f t="shared" si="16"/>
        <v>4.6216984110280972</v>
      </c>
      <c r="Y64" s="43"/>
      <c r="Z64" s="38">
        <f t="shared" si="17"/>
        <v>1.1000000000000001</v>
      </c>
      <c r="AA64" s="38">
        <f t="shared" si="18"/>
        <v>0.26800000000000002</v>
      </c>
      <c r="AB64" s="38">
        <f t="shared" ca="1" si="19"/>
        <v>0.2883723845122963</v>
      </c>
      <c r="AC64" s="38">
        <f t="shared" si="20"/>
        <v>1</v>
      </c>
      <c r="AD64" s="38">
        <f t="shared" si="20"/>
        <v>0.26</v>
      </c>
      <c r="AE64" s="38">
        <f t="shared" ca="1" si="21"/>
        <v>0.27743904961134697</v>
      </c>
      <c r="AF64" s="237">
        <f ca="1">((Summary!$N$8*(AA64*AD64)*(A64-$D$3))+(Summary!$M$8*Z64*AC64*(AJ64-EOMONTH(EDATE(A64,-1),0))))/(AK64*AB64*AE64)</f>
        <v>0.99967650836868771</v>
      </c>
      <c r="AG64" s="88">
        <f>IF($A65="","",Summary!$Q$8)</f>
        <v>0</v>
      </c>
      <c r="AH64" s="88">
        <f>IF($A65="","",IF(Summary!$R$8="Y",(VLOOKUP($A64,Summary!$AD$6:$AF$9,3)+'Escalating commodity'!D77),'Escalating commodity'!D77))</f>
        <v>2.0023199999999998E-2</v>
      </c>
      <c r="AI64" s="88">
        <f t="shared" si="36"/>
        <v>2.0023199999999998E-2</v>
      </c>
      <c r="AJ64" s="236">
        <f t="shared" si="22"/>
        <v>38701.5</v>
      </c>
      <c r="AK64" s="58">
        <f t="shared" ca="1" si="23"/>
        <v>1661</v>
      </c>
      <c r="AL64" s="26">
        <f ca="1">IF($A65="","",_xll.SPRDOPT(P64,X64,AI64,0,AB64,AE64,AF64,AK64,$AJ$2,0))</f>
        <v>0.1529502981195959</v>
      </c>
      <c r="AM64" s="89">
        <f t="shared" si="24"/>
        <v>0.14027838897190284</v>
      </c>
      <c r="AN64" s="89">
        <f t="shared" ca="1" si="25"/>
        <v>1.2671909147693061E-2</v>
      </c>
      <c r="AO64" s="3">
        <f t="shared" si="26"/>
        <v>31</v>
      </c>
      <c r="AP64" s="33">
        <f t="shared" si="27"/>
        <v>38687</v>
      </c>
      <c r="AQ64" s="58">
        <f t="shared" ca="1" si="28"/>
        <v>1661</v>
      </c>
      <c r="AR64" s="38">
        <f>'ANR OK vs ML7'!AR64</f>
        <v>0.1</v>
      </c>
      <c r="AS64" s="35">
        <f t="shared" ca="1" si="29"/>
        <v>0.64162363269600242</v>
      </c>
      <c r="AT64" s="3">
        <f t="shared" si="30"/>
        <v>1</v>
      </c>
      <c r="AU64" s="3">
        <f t="shared" si="31"/>
        <v>31</v>
      </c>
      <c r="AW64" s="32">
        <f t="shared" ca="1" si="32"/>
        <v>379316.73933659785</v>
      </c>
      <c r="AX64" s="32">
        <f t="shared" si="33"/>
        <v>347890.40465031902</v>
      </c>
      <c r="AY64" s="32">
        <f t="shared" ca="1" si="34"/>
        <v>31426.334686278791</v>
      </c>
      <c r="BA64" s="32">
        <f ca="1">IF($A65="","",F64*Summary!$Q$8)</f>
        <v>0</v>
      </c>
      <c r="BC64" s="256">
        <f t="shared" ca="1" si="37"/>
        <v>223214.70521181996</v>
      </c>
    </row>
    <row r="65" spans="1:55">
      <c r="A65" s="67">
        <f t="shared" si="35"/>
        <v>38718</v>
      </c>
      <c r="B65" s="69">
        <f t="shared" si="38"/>
        <v>80000</v>
      </c>
      <c r="C65" s="71"/>
      <c r="D65" s="69">
        <f t="shared" si="0"/>
        <v>80000</v>
      </c>
      <c r="E65" s="70">
        <f t="shared" si="1"/>
        <v>2480000</v>
      </c>
      <c r="F65" s="70">
        <f t="shared" ca="1" si="2"/>
        <v>1578102.5368892632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0.33500000000000002</v>
      </c>
      <c r="K65" s="64">
        <f t="shared" si="6"/>
        <v>0.33500000000000002</v>
      </c>
      <c r="L65" s="63">
        <f t="shared" si="7"/>
        <v>0</v>
      </c>
      <c r="M65" s="64">
        <f t="shared" si="8"/>
        <v>0</v>
      </c>
      <c r="N65" s="65"/>
      <c r="O65" s="63">
        <f t="shared" si="9"/>
        <v>4.7789999999999999</v>
      </c>
      <c r="P65" s="63">
        <f t="shared" si="10"/>
        <v>4.7789999999999999</v>
      </c>
      <c r="Q65" s="66"/>
      <c r="R65" s="63">
        <f t="shared" si="11"/>
        <v>-0.06</v>
      </c>
      <c r="S65" s="64">
        <f t="shared" si="12"/>
        <v>-0.06</v>
      </c>
      <c r="T65" s="63">
        <f t="shared" si="13"/>
        <v>5.0000000000000001E-3</v>
      </c>
      <c r="U65" s="64">
        <f t="shared" si="14"/>
        <v>5.0000000000000001E-3</v>
      </c>
      <c r="V65" s="207">
        <f>IF($A66="","",IF(AND(MONTH(A65)&gt;3,MONTH(A65)&lt;11),(T65+R65+G65)*Summary!$T$8/(1-Summary!$T$8),(T65+R65+G65)*Summary!$U$8/(1-Summary!$U$8)))</f>
        <v>0.22954151320635591</v>
      </c>
      <c r="W65" s="63">
        <f t="shared" si="15"/>
        <v>4.6185415132063561</v>
      </c>
      <c r="X65" s="63">
        <f t="shared" si="16"/>
        <v>4.6185415132063561</v>
      </c>
      <c r="Y65" s="43"/>
      <c r="Z65" s="38">
        <f t="shared" si="17"/>
        <v>1.1000000000000001</v>
      </c>
      <c r="AA65" s="38">
        <f t="shared" si="18"/>
        <v>0.27</v>
      </c>
      <c r="AB65" s="38">
        <f t="shared" ca="1" si="19"/>
        <v>0.28987514635237915</v>
      </c>
      <c r="AC65" s="38">
        <f t="shared" si="20"/>
        <v>1</v>
      </c>
      <c r="AD65" s="38">
        <f t="shared" si="20"/>
        <v>0.26250000000000001</v>
      </c>
      <c r="AE65" s="38">
        <f t="shared" ca="1" si="21"/>
        <v>0.27947760417468981</v>
      </c>
      <c r="AF65" s="237">
        <f ca="1">((Summary!$N$8*(AA65*AD65)*(A65-$D$3))+(Summary!$M$8*Z65*AC65*(AJ65-EOMONTH(EDATE(A65,-1),0))))/(AK65*AB65*AE65)</f>
        <v>0.99966693680805874</v>
      </c>
      <c r="AG65" s="88">
        <f>IF($A66="","",Summary!$Q$8)</f>
        <v>0</v>
      </c>
      <c r="AH65" s="88">
        <f>IF($A66="","",IF(Summary!$R$8="Y",(VLOOKUP($A65,Summary!$AD$6:$AF$9,3)+'Escalating commodity'!D78),'Escalating commodity'!D78))</f>
        <v>2.0023199999999998E-2</v>
      </c>
      <c r="AI65" s="88">
        <f t="shared" si="36"/>
        <v>2.0023199999999998E-2</v>
      </c>
      <c r="AJ65" s="236">
        <f t="shared" si="22"/>
        <v>38732.5</v>
      </c>
      <c r="AK65" s="58">
        <f t="shared" ca="1" si="23"/>
        <v>1692</v>
      </c>
      <c r="AL65" s="26">
        <f ca="1">IF($A66="","",_xll.SPRDOPT(P65,X65,AI65,0,AB65,AE65,AF65,AK65,$AJ$2,0))</f>
        <v>0.15252024438536899</v>
      </c>
      <c r="AM65" s="89">
        <f t="shared" si="24"/>
        <v>0.14043528679364384</v>
      </c>
      <c r="AN65" s="89">
        <f t="shared" ca="1" si="25"/>
        <v>1.2084957591725148E-2</v>
      </c>
      <c r="AO65" s="3">
        <f t="shared" si="26"/>
        <v>31</v>
      </c>
      <c r="AP65" s="33">
        <f t="shared" si="27"/>
        <v>38718</v>
      </c>
      <c r="AQ65" s="58">
        <f t="shared" ca="1" si="28"/>
        <v>1692</v>
      </c>
      <c r="AR65" s="38">
        <f>'ANR OK vs ML7'!AR65</f>
        <v>0.1</v>
      </c>
      <c r="AS65" s="35">
        <f t="shared" ca="1" si="29"/>
        <v>0.63633166810050934</v>
      </c>
      <c r="AT65" s="3">
        <f t="shared" si="30"/>
        <v>1</v>
      </c>
      <c r="AU65" s="3">
        <f t="shared" si="31"/>
        <v>31</v>
      </c>
      <c r="AW65" s="32">
        <f t="shared" ca="1" si="32"/>
        <v>378250.20607571508</v>
      </c>
      <c r="AX65" s="32">
        <f t="shared" si="33"/>
        <v>348279.5112482367</v>
      </c>
      <c r="AY65" s="32">
        <f t="shared" ca="1" si="34"/>
        <v>29970.694827478368</v>
      </c>
      <c r="BA65" s="32">
        <f ca="1">IF($A66="","",F65*Summary!$Q$8)</f>
        <v>0</v>
      </c>
      <c r="BC65" s="256">
        <f t="shared" ca="1" si="37"/>
        <v>221621.28235782057</v>
      </c>
    </row>
    <row r="66" spans="1:55">
      <c r="A66" s="67">
        <f t="shared" si="35"/>
        <v>38749</v>
      </c>
      <c r="B66" s="69">
        <f t="shared" si="38"/>
        <v>80000</v>
      </c>
      <c r="C66" s="71"/>
      <c r="D66" s="69">
        <f t="shared" si="0"/>
        <v>80000</v>
      </c>
      <c r="E66" s="70">
        <f t="shared" si="1"/>
        <v>2240000</v>
      </c>
      <c r="F66" s="70">
        <f t="shared" ca="1" si="2"/>
        <v>1413626.7049307877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0.33500000000000002</v>
      </c>
      <c r="K66" s="64">
        <f t="shared" si="6"/>
        <v>0.33500000000000002</v>
      </c>
      <c r="L66" s="63">
        <f t="shared" si="7"/>
        <v>0</v>
      </c>
      <c r="M66" s="64">
        <f t="shared" si="8"/>
        <v>0</v>
      </c>
      <c r="N66" s="65"/>
      <c r="O66" s="63">
        <f t="shared" si="9"/>
        <v>4.6589999999999998</v>
      </c>
      <c r="P66" s="63">
        <f t="shared" si="10"/>
        <v>4.6589999999999998</v>
      </c>
      <c r="Q66" s="66"/>
      <c r="R66" s="63">
        <f t="shared" si="11"/>
        <v>-0.06</v>
      </c>
      <c r="S66" s="64">
        <f t="shared" si="12"/>
        <v>-0.06</v>
      </c>
      <c r="T66" s="63">
        <f t="shared" si="13"/>
        <v>5.0000000000000001E-3</v>
      </c>
      <c r="U66" s="64">
        <f t="shared" si="14"/>
        <v>5.0000000000000001E-3</v>
      </c>
      <c r="V66" s="207">
        <f>IF($A67="","",IF(AND(MONTH(A66)&gt;3,MONTH(A66)&lt;11),(T66+R66+G66)*Summary!$T$8/(1-Summary!$T$8),(T66+R66+G66)*Summary!$U$8/(1-Summary!$U$8)))</f>
        <v>0.22326560033673576</v>
      </c>
      <c r="W66" s="63">
        <f t="shared" si="15"/>
        <v>4.4922656003367356</v>
      </c>
      <c r="X66" s="63">
        <f t="shared" si="16"/>
        <v>4.4922656003367356</v>
      </c>
      <c r="Y66" s="43"/>
      <c r="Z66" s="38">
        <f t="shared" si="17"/>
        <v>1.1000000000000001</v>
      </c>
      <c r="AA66" s="38">
        <f t="shared" si="18"/>
        <v>0.26300000000000001</v>
      </c>
      <c r="AB66" s="38">
        <f t="shared" ca="1" si="19"/>
        <v>0.28114201647932996</v>
      </c>
      <c r="AC66" s="38">
        <f t="shared" si="20"/>
        <v>1</v>
      </c>
      <c r="AD66" s="38">
        <f t="shared" si="20"/>
        <v>0.255</v>
      </c>
      <c r="AE66" s="38">
        <f t="shared" ca="1" si="21"/>
        <v>0.27053299641156031</v>
      </c>
      <c r="AF66" s="237">
        <f ca="1">((Summary!$N$8*(AA66*AD66)*(A66-$D$3))+(Summary!$M$8*Z66*AC66*(AJ66-EOMONTH(EDATE(A66,-1),0))))/(AK66*AB66*AE66)</f>
        <v>0.99969654649622197</v>
      </c>
      <c r="AG66" s="88">
        <f>IF($A67="","",Summary!$Q$8)</f>
        <v>0</v>
      </c>
      <c r="AH66" s="88">
        <f>IF($A67="","",IF(Summary!$R$8="Y",(VLOOKUP($A66,Summary!$AD$6:$AF$9,3)+'Escalating commodity'!D79),'Escalating commodity'!D79))</f>
        <v>2.0023199999999998E-2</v>
      </c>
      <c r="AI66" s="88">
        <f t="shared" si="36"/>
        <v>2.0023199999999998E-2</v>
      </c>
      <c r="AJ66" s="236">
        <f t="shared" si="22"/>
        <v>38762</v>
      </c>
      <c r="AK66" s="58">
        <f t="shared" ca="1" si="23"/>
        <v>1723</v>
      </c>
      <c r="AL66" s="26">
        <f ca="1">IF($A67="","",_xll.SPRDOPT(P66,X66,AI66,0,AB66,AE66,AF66,AK66,$AJ$2,0))</f>
        <v>0.15710102920961835</v>
      </c>
      <c r="AM66" s="89">
        <f t="shared" si="24"/>
        <v>0.14671119966326421</v>
      </c>
      <c r="AN66" s="89">
        <f t="shared" ca="1" si="25"/>
        <v>1.0389829546354146E-2</v>
      </c>
      <c r="AO66" s="3">
        <f t="shared" si="26"/>
        <v>28</v>
      </c>
      <c r="AP66" s="33">
        <f t="shared" si="27"/>
        <v>38749</v>
      </c>
      <c r="AQ66" s="58">
        <f t="shared" ca="1" si="28"/>
        <v>1723</v>
      </c>
      <c r="AR66" s="38">
        <f>'ANR OK vs ML7'!AR66</f>
        <v>0.1</v>
      </c>
      <c r="AS66" s="35">
        <f t="shared" ca="1" si="29"/>
        <v>0.63108335041553021</v>
      </c>
      <c r="AT66" s="3">
        <f t="shared" si="30"/>
        <v>1</v>
      </c>
      <c r="AU66" s="3">
        <f t="shared" si="31"/>
        <v>28</v>
      </c>
      <c r="AW66" s="32">
        <f t="shared" ca="1" si="32"/>
        <v>351906.30542954511</v>
      </c>
      <c r="AX66" s="32">
        <f t="shared" si="33"/>
        <v>328633.08724571182</v>
      </c>
      <c r="AY66" s="32">
        <f t="shared" ca="1" si="34"/>
        <v>23273.218183833287</v>
      </c>
      <c r="BA66" s="32">
        <f ca="1">IF($A67="","",F66*Summary!$Q$8)</f>
        <v>0</v>
      </c>
      <c r="BC66" s="256">
        <f t="shared" ca="1" si="37"/>
        <v>207394.86975642308</v>
      </c>
    </row>
    <row r="67" spans="1:55">
      <c r="A67" s="67">
        <f t="shared" si="35"/>
        <v>38777</v>
      </c>
      <c r="B67" s="69">
        <f t="shared" si="38"/>
        <v>80000</v>
      </c>
      <c r="C67" s="71"/>
      <c r="D67" s="69">
        <f t="shared" si="0"/>
        <v>80000</v>
      </c>
      <c r="E67" s="70">
        <f t="shared" si="1"/>
        <v>2480000</v>
      </c>
      <c r="F67" s="70">
        <f t="shared" ca="1" si="2"/>
        <v>1553422.7729801459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0.33500000000000002</v>
      </c>
      <c r="K67" s="64">
        <f t="shared" si="6"/>
        <v>0.33500000000000002</v>
      </c>
      <c r="L67" s="63">
        <f t="shared" si="7"/>
        <v>0</v>
      </c>
      <c r="M67" s="64">
        <f t="shared" si="8"/>
        <v>0</v>
      </c>
      <c r="N67" s="65"/>
      <c r="O67" s="63">
        <f t="shared" si="9"/>
        <v>4.5199999999999996</v>
      </c>
      <c r="P67" s="63">
        <f t="shared" si="10"/>
        <v>4.5199999999999996</v>
      </c>
      <c r="Q67" s="66"/>
      <c r="R67" s="63">
        <f t="shared" si="11"/>
        <v>-0.06</v>
      </c>
      <c r="S67" s="64">
        <f t="shared" si="12"/>
        <v>-0.06</v>
      </c>
      <c r="T67" s="63">
        <f t="shared" si="13"/>
        <v>5.0000000000000001E-3</v>
      </c>
      <c r="U67" s="64">
        <f t="shared" si="14"/>
        <v>5.0000000000000001E-3</v>
      </c>
      <c r="V67" s="207">
        <f>IF($A68="","",IF(AND(MONTH(A67)&gt;3,MONTH(A67)&lt;11),(T67+R67+G67)*Summary!$T$8/(1-Summary!$T$8),(T67+R67+G67)*Summary!$U$8/(1-Summary!$U$8)))</f>
        <v>0.21599600126275911</v>
      </c>
      <c r="W67" s="63">
        <f t="shared" si="15"/>
        <v>4.3459960012627592</v>
      </c>
      <c r="X67" s="63">
        <f t="shared" si="16"/>
        <v>4.3459960012627592</v>
      </c>
      <c r="Y67" s="43"/>
      <c r="Z67" s="38">
        <f t="shared" si="17"/>
        <v>0.75</v>
      </c>
      <c r="AA67" s="38">
        <f t="shared" si="18"/>
        <v>0.25800000000000001</v>
      </c>
      <c r="AB67" s="38">
        <f t="shared" ca="1" si="19"/>
        <v>0.26754684149307079</v>
      </c>
      <c r="AC67" s="38">
        <f t="shared" si="20"/>
        <v>0.75</v>
      </c>
      <c r="AD67" s="38">
        <f t="shared" si="20"/>
        <v>0.25</v>
      </c>
      <c r="AE67" s="38">
        <f t="shared" ca="1" si="21"/>
        <v>0.25983647056074827</v>
      </c>
      <c r="AF67" s="237">
        <f ca="1">((Summary!$N$8*(AA67*AD67)*(A67-$D$3))+(Summary!$M$8*Z67*AC67*(AJ67-EOMONTH(EDATE(A67,-1),0))))/(AK67*AB67*AE67)</f>
        <v>0.999874176541376</v>
      </c>
      <c r="AG67" s="88">
        <f>IF($A68="","",Summary!$Q$8)</f>
        <v>0</v>
      </c>
      <c r="AH67" s="88">
        <f>IF($A68="","",IF(Summary!$R$8="Y",(VLOOKUP($A67,Summary!$AD$6:$AF$9,3)+'Escalating commodity'!D80),'Escalating commodity'!D80))</f>
        <v>2.0023199999999998E-2</v>
      </c>
      <c r="AI67" s="88">
        <f t="shared" si="36"/>
        <v>2.0023199999999998E-2</v>
      </c>
      <c r="AJ67" s="236">
        <f t="shared" si="22"/>
        <v>38791.5</v>
      </c>
      <c r="AK67" s="58">
        <f t="shared" ca="1" si="23"/>
        <v>1751</v>
      </c>
      <c r="AL67" s="26">
        <f ca="1">IF($A68="","",_xll.SPRDOPT(P67,X67,AI67,0,AB67,AE67,AF67,AK67,$AJ$2,0))</f>
        <v>0.15698839395889716</v>
      </c>
      <c r="AM67" s="89">
        <f t="shared" si="24"/>
        <v>0.15398079873724038</v>
      </c>
      <c r="AN67" s="89">
        <f t="shared" ca="1" si="25"/>
        <v>3.0075952216567781E-3</v>
      </c>
      <c r="AO67" s="3">
        <f t="shared" si="26"/>
        <v>31</v>
      </c>
      <c r="AP67" s="33">
        <f t="shared" si="27"/>
        <v>38777</v>
      </c>
      <c r="AQ67" s="58">
        <f t="shared" ca="1" si="28"/>
        <v>1751</v>
      </c>
      <c r="AR67" s="38">
        <f>'ANR OK vs ML7'!AR67</f>
        <v>0.1</v>
      </c>
      <c r="AS67" s="35">
        <f t="shared" ca="1" si="29"/>
        <v>0.6263801503952201</v>
      </c>
      <c r="AT67" s="3">
        <f t="shared" si="30"/>
        <v>1</v>
      </c>
      <c r="AU67" s="3">
        <f t="shared" si="31"/>
        <v>31</v>
      </c>
      <c r="AW67" s="32">
        <f t="shared" ca="1" si="32"/>
        <v>389331.21701806498</v>
      </c>
      <c r="AX67" s="32">
        <f t="shared" si="33"/>
        <v>381872.38086835615</v>
      </c>
      <c r="AY67" s="32">
        <f t="shared" ca="1" si="34"/>
        <v>7458.8361497088099</v>
      </c>
      <c r="BA67" s="32">
        <f ca="1">IF($A68="","",F67*Summary!$Q$8)</f>
        <v>0</v>
      </c>
      <c r="BC67" s="256">
        <f t="shared" ca="1" si="37"/>
        <v>239197.2793601017</v>
      </c>
    </row>
    <row r="68" spans="1:55">
      <c r="A68" s="67">
        <f t="shared" si="35"/>
        <v>38808</v>
      </c>
      <c r="B68" s="69">
        <f t="shared" si="38"/>
        <v>80000</v>
      </c>
      <c r="C68" s="71"/>
      <c r="D68" s="69">
        <f t="shared" si="0"/>
        <v>80000</v>
      </c>
      <c r="E68" s="70">
        <f t="shared" si="1"/>
        <v>2400000</v>
      </c>
      <c r="F68" s="70">
        <f t="shared" ca="1" si="2"/>
        <v>1490913.3853112389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0.21</v>
      </c>
      <c r="K68" s="64">
        <f t="shared" si="6"/>
        <v>0.21</v>
      </c>
      <c r="L68" s="63">
        <f t="shared" si="7"/>
        <v>0</v>
      </c>
      <c r="M68" s="64">
        <f t="shared" si="8"/>
        <v>0</v>
      </c>
      <c r="N68" s="65"/>
      <c r="O68" s="63">
        <f t="shared" si="9"/>
        <v>4.22</v>
      </c>
      <c r="P68" s="63">
        <f t="shared" si="10"/>
        <v>4.22</v>
      </c>
      <c r="Q68" s="66"/>
      <c r="R68" s="63">
        <f t="shared" si="11"/>
        <v>-5.7500000000000002E-2</v>
      </c>
      <c r="S68" s="64">
        <f t="shared" si="12"/>
        <v>-5.7500000000000002E-2</v>
      </c>
      <c r="T68" s="63">
        <f t="shared" si="13"/>
        <v>0</v>
      </c>
      <c r="U68" s="64">
        <f t="shared" si="14"/>
        <v>0</v>
      </c>
      <c r="V68" s="207">
        <f>IF($A69="","",IF(AND(MONTH(A68)&gt;3,MONTH(A68)&lt;11),(T68+R68+G68)*Summary!$T$8/(1-Summary!$T$8),(T68+R68+G68)*Summary!$U$8/(1-Summary!$U$8)))</f>
        <v>0.20671288014311268</v>
      </c>
      <c r="W68" s="63">
        <f t="shared" si="15"/>
        <v>4.1592128801431123</v>
      </c>
      <c r="X68" s="63">
        <f t="shared" si="16"/>
        <v>4.1592128801431123</v>
      </c>
      <c r="Y68" s="43"/>
      <c r="Z68" s="38">
        <f t="shared" si="17"/>
        <v>0.45</v>
      </c>
      <c r="AA68" s="38">
        <f t="shared" si="18"/>
        <v>0.252</v>
      </c>
      <c r="AB68" s="38">
        <f t="shared" ca="1" si="19"/>
        <v>0.25542940672166514</v>
      </c>
      <c r="AC68" s="38">
        <f t="shared" si="20"/>
        <v>0.4</v>
      </c>
      <c r="AD68" s="38">
        <f t="shared" si="20"/>
        <v>0.245</v>
      </c>
      <c r="AE68" s="38">
        <f t="shared" ca="1" si="21"/>
        <v>0.24780130227594058</v>
      </c>
      <c r="AF68" s="237">
        <f ca="1">((Summary!$N$8*(AA68*AD68)*(A68-$D$3))+(Summary!$M$8*Z68*AC68*(AJ68-EOMONTH(EDATE(A68,-1),0))))/(AK68*AB68*AE68)</f>
        <v>0.99980853197830122</v>
      </c>
      <c r="AG68" s="88">
        <f>IF($A69="","",Summary!$Q$8)</f>
        <v>0</v>
      </c>
      <c r="AH68" s="88">
        <f>IF($A69="","",IF(Summary!$R$8="Y",(VLOOKUP($A68,Summary!$AD$6:$AF$9,3)+'Escalating commodity'!D81),'Escalating commodity'!D81))</f>
        <v>2.0023199999999998E-2</v>
      </c>
      <c r="AI68" s="88">
        <f t="shared" si="36"/>
        <v>2.0023199999999998E-2</v>
      </c>
      <c r="AJ68" s="236">
        <f t="shared" si="22"/>
        <v>38822</v>
      </c>
      <c r="AK68" s="58">
        <f t="shared" ca="1" si="23"/>
        <v>1782</v>
      </c>
      <c r="AL68" s="26">
        <f ca="1">IF($A69="","",_xll.SPRDOPT(P68,X68,AI68,0,AB68,AE68,AF68,AK68,$AJ$2,0))</f>
        <v>6.0811245103729164E-2</v>
      </c>
      <c r="AM68" s="89">
        <f t="shared" si="24"/>
        <v>4.0763919856887453E-2</v>
      </c>
      <c r="AN68" s="89">
        <f t="shared" ca="1" si="25"/>
        <v>2.0047325246841712E-2</v>
      </c>
      <c r="AO68" s="3">
        <f t="shared" si="26"/>
        <v>30</v>
      </c>
      <c r="AP68" s="33">
        <f t="shared" si="27"/>
        <v>38808</v>
      </c>
      <c r="AQ68" s="58">
        <f t="shared" ca="1" si="28"/>
        <v>1782</v>
      </c>
      <c r="AR68" s="38">
        <f>'ANR OK vs ML7'!AR68</f>
        <v>0.1</v>
      </c>
      <c r="AS68" s="35">
        <f t="shared" ca="1" si="29"/>
        <v>0.62121391054634956</v>
      </c>
      <c r="AT68" s="3">
        <f t="shared" si="30"/>
        <v>1</v>
      </c>
      <c r="AU68" s="3">
        <f t="shared" si="31"/>
        <v>30</v>
      </c>
      <c r="AW68" s="32">
        <f t="shared" ca="1" si="32"/>
        <v>145946.98824894999</v>
      </c>
      <c r="AX68" s="32">
        <f t="shared" si="33"/>
        <v>97833.407656529889</v>
      </c>
      <c r="AY68" s="32">
        <f t="shared" ca="1" si="34"/>
        <v>48113.580592420105</v>
      </c>
      <c r="BA68" s="32">
        <f ca="1">IF($A69="","",F68*Summary!$Q$8)</f>
        <v>0</v>
      </c>
      <c r="BC68" s="256">
        <f t="shared" ca="1" si="37"/>
        <v>60775.473752388105</v>
      </c>
    </row>
    <row r="69" spans="1:55">
      <c r="A69" s="67">
        <f t="shared" si="35"/>
        <v>38838</v>
      </c>
      <c r="B69" s="69">
        <f t="shared" si="38"/>
        <v>80000</v>
      </c>
      <c r="C69" s="71"/>
      <c r="D69" s="69">
        <f t="shared" si="0"/>
        <v>80000</v>
      </c>
      <c r="E69" s="70">
        <f t="shared" si="1"/>
        <v>2480000</v>
      </c>
      <c r="F69" s="70">
        <f t="shared" ca="1" si="2"/>
        <v>1528312.145949831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0.21</v>
      </c>
      <c r="K69" s="64">
        <f t="shared" si="6"/>
        <v>0.21</v>
      </c>
      <c r="L69" s="63">
        <f t="shared" si="7"/>
        <v>0</v>
      </c>
      <c r="M69" s="64">
        <f t="shared" si="8"/>
        <v>0</v>
      </c>
      <c r="N69" s="65"/>
      <c r="O69" s="63">
        <f t="shared" si="9"/>
        <v>4.1900000000000004</v>
      </c>
      <c r="P69" s="63">
        <f t="shared" si="10"/>
        <v>4.1900000000000004</v>
      </c>
      <c r="Q69" s="66"/>
      <c r="R69" s="63">
        <f t="shared" si="11"/>
        <v>-5.7500000000000002E-2</v>
      </c>
      <c r="S69" s="64">
        <f t="shared" si="12"/>
        <v>-5.7500000000000002E-2</v>
      </c>
      <c r="T69" s="63">
        <f t="shared" si="13"/>
        <v>0</v>
      </c>
      <c r="U69" s="64">
        <f t="shared" si="14"/>
        <v>0</v>
      </c>
      <c r="V69" s="207">
        <f>IF($A70="","",IF(AND(MONTH(A69)&gt;3,MONTH(A69)&lt;11),(T69+R69+G69)*Summary!$T$8/(1-Summary!$T$8),(T69+R69+G69)*Summary!$U$8/(1-Summary!$U$8)))</f>
        <v>0.20514390192570767</v>
      </c>
      <c r="W69" s="63">
        <f t="shared" si="15"/>
        <v>4.1276439019257074</v>
      </c>
      <c r="X69" s="63">
        <f t="shared" si="16"/>
        <v>4.1276439019257074</v>
      </c>
      <c r="Y69" s="43"/>
      <c r="Z69" s="38">
        <f t="shared" si="17"/>
        <v>0.5</v>
      </c>
      <c r="AA69" s="38">
        <f t="shared" si="18"/>
        <v>0.245</v>
      </c>
      <c r="AB69" s="38">
        <f t="shared" ca="1" si="19"/>
        <v>0.24939255672732771</v>
      </c>
      <c r="AC69" s="38">
        <f t="shared" si="20"/>
        <v>0.45</v>
      </c>
      <c r="AD69" s="38">
        <f t="shared" si="20"/>
        <v>0.23749999999999999</v>
      </c>
      <c r="AE69" s="38">
        <f t="shared" ca="1" si="21"/>
        <v>0.24118370853728266</v>
      </c>
      <c r="AF69" s="237">
        <f ca="1">((Summary!$N$8*(AA69*AD69)*(A69-$D$3))+(Summary!$M$8*Z69*AC69*(AJ69-EOMONTH(EDATE(A69,-1),0))))/(AK69*AB69*AE69)</f>
        <v>0.99981774565748838</v>
      </c>
      <c r="AG69" s="88">
        <f>IF($A70="","",Summary!$Q$8)</f>
        <v>0</v>
      </c>
      <c r="AH69" s="88">
        <f>IF($A70="","",IF(Summary!$R$8="Y",(VLOOKUP($A69,Summary!$AD$6:$AF$9,3)+'Escalating commodity'!D82),'Escalating commodity'!D82))</f>
        <v>2.0023199999999998E-2</v>
      </c>
      <c r="AI69" s="88">
        <f t="shared" si="36"/>
        <v>2.0023199999999998E-2</v>
      </c>
      <c r="AJ69" s="236">
        <f t="shared" si="22"/>
        <v>38852.5</v>
      </c>
      <c r="AK69" s="58">
        <f t="shared" ca="1" si="23"/>
        <v>1812</v>
      </c>
      <c r="AL69" s="26">
        <f ca="1">IF($A70="","",_xll.SPRDOPT(P69,X69,AI69,0,AB69,AE69,AF69,AK69,$AJ$2,0))</f>
        <v>6.3310659286043791E-2</v>
      </c>
      <c r="AM69" s="89">
        <f t="shared" si="24"/>
        <v>4.2332898074292989E-2</v>
      </c>
      <c r="AN69" s="89">
        <f t="shared" ca="1" si="25"/>
        <v>2.0977761211750802E-2</v>
      </c>
      <c r="AO69" s="3">
        <f t="shared" si="26"/>
        <v>31</v>
      </c>
      <c r="AP69" s="33">
        <f t="shared" si="27"/>
        <v>38838</v>
      </c>
      <c r="AQ69" s="58">
        <f t="shared" ca="1" si="28"/>
        <v>1812</v>
      </c>
      <c r="AR69" s="38">
        <f>'ANR OK vs ML7'!AR69</f>
        <v>0.1</v>
      </c>
      <c r="AS69" s="35">
        <f t="shared" ca="1" si="29"/>
        <v>0.61625489756041574</v>
      </c>
      <c r="AT69" s="3">
        <f t="shared" si="30"/>
        <v>1</v>
      </c>
      <c r="AU69" s="3">
        <f t="shared" si="31"/>
        <v>31</v>
      </c>
      <c r="AW69" s="32">
        <f t="shared" ca="1" si="32"/>
        <v>157010.43502938861</v>
      </c>
      <c r="AX69" s="32">
        <f t="shared" si="33"/>
        <v>104985.58722424661</v>
      </c>
      <c r="AY69" s="32">
        <f t="shared" ca="1" si="34"/>
        <v>52024.847805141988</v>
      </c>
      <c r="BA69" s="32">
        <f ca="1">IF($A70="","",F69*Summary!$Q$8)</f>
        <v>0</v>
      </c>
      <c r="BC69" s="256">
        <f t="shared" ca="1" si="37"/>
        <v>64697.882300198187</v>
      </c>
    </row>
    <row r="70" spans="1:55">
      <c r="A70" s="67">
        <f t="shared" si="35"/>
        <v>38869</v>
      </c>
      <c r="B70" s="69">
        <f t="shared" si="38"/>
        <v>80000</v>
      </c>
      <c r="C70" s="71"/>
      <c r="D70" s="69">
        <f t="shared" si="0"/>
        <v>80000</v>
      </c>
      <c r="E70" s="70">
        <f t="shared" si="1"/>
        <v>2400000</v>
      </c>
      <c r="F70" s="70">
        <f t="shared" ca="1" si="2"/>
        <v>1466813.2043403932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0.21</v>
      </c>
      <c r="K70" s="64">
        <f t="shared" si="6"/>
        <v>0.21</v>
      </c>
      <c r="L70" s="63">
        <f t="shared" si="7"/>
        <v>0</v>
      </c>
      <c r="M70" s="64">
        <f t="shared" si="8"/>
        <v>0</v>
      </c>
      <c r="N70" s="65"/>
      <c r="O70" s="63">
        <f t="shared" si="9"/>
        <v>4.26</v>
      </c>
      <c r="P70" s="63">
        <f t="shared" si="10"/>
        <v>4.26</v>
      </c>
      <c r="Q70" s="66"/>
      <c r="R70" s="63">
        <f t="shared" si="11"/>
        <v>-5.7500000000000002E-2</v>
      </c>
      <c r="S70" s="64">
        <f t="shared" si="12"/>
        <v>-5.7500000000000002E-2</v>
      </c>
      <c r="T70" s="63">
        <f t="shared" si="13"/>
        <v>0</v>
      </c>
      <c r="U70" s="64">
        <f t="shared" si="14"/>
        <v>0</v>
      </c>
      <c r="V70" s="207">
        <f>IF($A71="","",IF(AND(MONTH(A70)&gt;3,MONTH(A70)&lt;11),(T70+R70+G70)*Summary!$T$8/(1-Summary!$T$8),(T70+R70+G70)*Summary!$U$8/(1-Summary!$U$8)))</f>
        <v>0.20880485109965274</v>
      </c>
      <c r="W70" s="63">
        <f t="shared" si="15"/>
        <v>4.2013048510996525</v>
      </c>
      <c r="X70" s="63">
        <f t="shared" si="16"/>
        <v>4.2013048510996525</v>
      </c>
      <c r="Y70" s="43"/>
      <c r="Z70" s="38">
        <f t="shared" si="17"/>
        <v>0.5</v>
      </c>
      <c r="AA70" s="38">
        <f t="shared" si="18"/>
        <v>0.245</v>
      </c>
      <c r="AB70" s="38">
        <f t="shared" ca="1" si="19"/>
        <v>0.24918325620096746</v>
      </c>
      <c r="AC70" s="38">
        <f t="shared" si="20"/>
        <v>0.45</v>
      </c>
      <c r="AD70" s="38">
        <f t="shared" si="20"/>
        <v>0.23749999999999999</v>
      </c>
      <c r="AE70" s="38">
        <f t="shared" ca="1" si="21"/>
        <v>0.24100826484208396</v>
      </c>
      <c r="AF70" s="237">
        <f ca="1">((Summary!$N$8*(AA70*AD70)*(A70-$D$3))+(Summary!$M$8*Z70*AC70*(AJ70-EOMONTH(EDATE(A70,-1),0))))/(AK70*AB70*AE70)</f>
        <v>0.99982148837348195</v>
      </c>
      <c r="AG70" s="88">
        <f>IF($A71="","",Summary!$Q$8)</f>
        <v>0</v>
      </c>
      <c r="AH70" s="88">
        <f>IF($A71="","",IF(Summary!$R$8="Y",(VLOOKUP($A70,Summary!$AD$6:$AF$9,3)+'Escalating commodity'!D83),'Escalating commodity'!D83))</f>
        <v>2.0023199999999998E-2</v>
      </c>
      <c r="AI70" s="88">
        <f t="shared" si="36"/>
        <v>2.0023199999999998E-2</v>
      </c>
      <c r="AJ70" s="236">
        <f t="shared" si="22"/>
        <v>38883</v>
      </c>
      <c r="AK70" s="58">
        <f t="shared" ca="1" si="23"/>
        <v>1843</v>
      </c>
      <c r="AL70" s="26">
        <f ca="1">IF($A71="","",_xll.SPRDOPT(P70,X70,AI70,0,AB70,AE70,AF70,AK70,$AJ$2,0))</f>
        <v>6.1572717377025819E-2</v>
      </c>
      <c r="AM70" s="89">
        <f t="shared" si="24"/>
        <v>3.8671948900347329E-2</v>
      </c>
      <c r="AN70" s="89">
        <f t="shared" ca="1" si="25"/>
        <v>2.290076847667849E-2</v>
      </c>
      <c r="AO70" s="3">
        <f t="shared" si="26"/>
        <v>30</v>
      </c>
      <c r="AP70" s="33">
        <f t="shared" si="27"/>
        <v>38869</v>
      </c>
      <c r="AQ70" s="58">
        <f t="shared" ca="1" si="28"/>
        <v>1843</v>
      </c>
      <c r="AR70" s="38">
        <f>'ANR OK vs ML7'!AR70</f>
        <v>0.1</v>
      </c>
      <c r="AS70" s="35">
        <f t="shared" ca="1" si="29"/>
        <v>0.61117216847516387</v>
      </c>
      <c r="AT70" s="3">
        <f t="shared" si="30"/>
        <v>1</v>
      </c>
      <c r="AU70" s="3">
        <f t="shared" si="31"/>
        <v>30</v>
      </c>
      <c r="AW70" s="32">
        <f t="shared" ca="1" si="32"/>
        <v>147774.52170486195</v>
      </c>
      <c r="AX70" s="32">
        <f t="shared" si="33"/>
        <v>92812.677360833593</v>
      </c>
      <c r="AY70" s="32">
        <f t="shared" ca="1" si="34"/>
        <v>54961.844344028374</v>
      </c>
      <c r="BA70" s="32">
        <f ca="1">IF($A71="","",F70*Summary!$Q$8)</f>
        <v>0</v>
      </c>
      <c r="BC70" s="256">
        <f t="shared" ca="1" si="37"/>
        <v>56724.52528460641</v>
      </c>
    </row>
    <row r="71" spans="1:55">
      <c r="A71" s="67">
        <f t="shared" si="35"/>
        <v>38899</v>
      </c>
      <c r="B71" s="69">
        <f t="shared" si="38"/>
        <v>80000</v>
      </c>
      <c r="C71" s="71"/>
      <c r="D71" s="69">
        <f t="shared" si="0"/>
        <v>80000</v>
      </c>
      <c r="E71" s="70">
        <f t="shared" si="1"/>
        <v>2480000</v>
      </c>
      <c r="F71" s="70">
        <f t="shared" ca="1" si="2"/>
        <v>1503607.4248974782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0.21</v>
      </c>
      <c r="K71" s="64">
        <f t="shared" si="6"/>
        <v>0.21</v>
      </c>
      <c r="L71" s="63">
        <f t="shared" si="7"/>
        <v>0</v>
      </c>
      <c r="M71" s="64">
        <f t="shared" si="8"/>
        <v>0</v>
      </c>
      <c r="N71" s="65"/>
      <c r="O71" s="63">
        <f t="shared" si="9"/>
        <v>4.3150000000000004</v>
      </c>
      <c r="P71" s="63">
        <f t="shared" si="10"/>
        <v>4.3150000000000004</v>
      </c>
      <c r="Q71" s="66"/>
      <c r="R71" s="63">
        <f t="shared" si="11"/>
        <v>-5.7500000000000002E-2</v>
      </c>
      <c r="S71" s="64">
        <f t="shared" si="12"/>
        <v>-5.7500000000000002E-2</v>
      </c>
      <c r="T71" s="63">
        <f t="shared" si="13"/>
        <v>0</v>
      </c>
      <c r="U71" s="64">
        <f t="shared" si="14"/>
        <v>0</v>
      </c>
      <c r="V71" s="207">
        <f>IF($A72="","",IF(AND(MONTH(A71)&gt;3,MONTH(A71)&lt;11),(T71+R71+G71)*Summary!$T$8/(1-Summary!$T$8),(T71+R71+G71)*Summary!$U$8/(1-Summary!$U$8)))</f>
        <v>0.21168131116489533</v>
      </c>
      <c r="W71" s="63">
        <f t="shared" si="15"/>
        <v>4.2591813111648955</v>
      </c>
      <c r="X71" s="63">
        <f t="shared" si="16"/>
        <v>4.2591813111648955</v>
      </c>
      <c r="Y71" s="43"/>
      <c r="Z71" s="38">
        <f t="shared" si="17"/>
        <v>0.55000000000000004</v>
      </c>
      <c r="AA71" s="38">
        <f t="shared" si="18"/>
        <v>0.245</v>
      </c>
      <c r="AB71" s="38">
        <f t="shared" ca="1" si="19"/>
        <v>0.25012073966394183</v>
      </c>
      <c r="AC71" s="38">
        <f t="shared" si="20"/>
        <v>0.5</v>
      </c>
      <c r="AD71" s="38">
        <f t="shared" si="20"/>
        <v>0.23749999999999999</v>
      </c>
      <c r="AE71" s="38">
        <f t="shared" ca="1" si="21"/>
        <v>0.24187856234382632</v>
      </c>
      <c r="AF71" s="237">
        <f ca="1">((Summary!$N$8*(AA71*AD71)*(A71-$D$3))+(Summary!$M$8*Z71*AC71*(AJ71-EOMONTH(EDATE(A71,-1),0))))/(AK71*AB71*AE71)</f>
        <v>0.99982909596845237</v>
      </c>
      <c r="AG71" s="88">
        <f>IF($A72="","",Summary!$Q$8)</f>
        <v>0</v>
      </c>
      <c r="AH71" s="88">
        <f>IF($A72="","",IF(Summary!$R$8="Y",(VLOOKUP($A71,Summary!$AD$6:$AF$9,3)+'Escalating commodity'!D84),'Escalating commodity'!D84))</f>
        <v>2.0023199999999998E-2</v>
      </c>
      <c r="AI71" s="88">
        <f t="shared" si="36"/>
        <v>2.0023199999999998E-2</v>
      </c>
      <c r="AJ71" s="236">
        <f t="shared" si="22"/>
        <v>38913.5</v>
      </c>
      <c r="AK71" s="58">
        <f t="shared" ca="1" si="23"/>
        <v>1873</v>
      </c>
      <c r="AL71" s="26">
        <f ca="1">IF($A72="","",_xll.SPRDOPT(P71,X71,AI71,0,AB71,AE71,AF71,AK71,$AJ$2,0))</f>
        <v>6.0525698674151585E-2</v>
      </c>
      <c r="AM71" s="89">
        <f t="shared" si="24"/>
        <v>3.5795488835104881E-2</v>
      </c>
      <c r="AN71" s="89">
        <f t="shared" ca="1" si="25"/>
        <v>2.4730209839046703E-2</v>
      </c>
      <c r="AO71" s="3">
        <f t="shared" si="26"/>
        <v>31</v>
      </c>
      <c r="AP71" s="33">
        <f t="shared" si="27"/>
        <v>38899</v>
      </c>
      <c r="AQ71" s="58">
        <f t="shared" ca="1" si="28"/>
        <v>1873</v>
      </c>
      <c r="AR71" s="38">
        <f>'ANR OK vs ML7'!AR71</f>
        <v>0.1</v>
      </c>
      <c r="AS71" s="35">
        <f t="shared" ca="1" si="29"/>
        <v>0.60629331649091867</v>
      </c>
      <c r="AT71" s="3">
        <f t="shared" si="30"/>
        <v>1</v>
      </c>
      <c r="AU71" s="3">
        <f t="shared" si="31"/>
        <v>31</v>
      </c>
      <c r="AW71" s="32">
        <f t="shared" ca="1" si="32"/>
        <v>150103.73271189592</v>
      </c>
      <c r="AX71" s="32">
        <f t="shared" si="33"/>
        <v>88772.812311060101</v>
      </c>
      <c r="AY71" s="32">
        <f t="shared" ca="1" si="34"/>
        <v>61330.920400835821</v>
      </c>
      <c r="BA71" s="32">
        <f ca="1">IF($A72="","",F71*Summary!$Q$8)</f>
        <v>0</v>
      </c>
      <c r="BC71" s="256">
        <f t="shared" ca="1" si="37"/>
        <v>53822.362790298481</v>
      </c>
    </row>
    <row r="72" spans="1:55">
      <c r="A72" s="67">
        <f t="shared" si="35"/>
        <v>38930</v>
      </c>
      <c r="B72" s="69">
        <f t="shared" si="38"/>
        <v>80000</v>
      </c>
      <c r="C72" s="71"/>
      <c r="D72" s="69">
        <f t="shared" si="0"/>
        <v>80000</v>
      </c>
      <c r="E72" s="70">
        <f t="shared" si="1"/>
        <v>2480000</v>
      </c>
      <c r="F72" s="70">
        <f t="shared" ca="1" si="2"/>
        <v>1491206.0156403976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0.21</v>
      </c>
      <c r="K72" s="64">
        <f t="shared" si="6"/>
        <v>0.21</v>
      </c>
      <c r="L72" s="63">
        <f t="shared" si="7"/>
        <v>0</v>
      </c>
      <c r="M72" s="64">
        <f t="shared" si="8"/>
        <v>0</v>
      </c>
      <c r="N72" s="65"/>
      <c r="O72" s="63">
        <f t="shared" si="9"/>
        <v>4.3710000000000004</v>
      </c>
      <c r="P72" s="63">
        <f t="shared" si="10"/>
        <v>4.3710000000000004</v>
      </c>
      <c r="Q72" s="66"/>
      <c r="R72" s="63">
        <f t="shared" si="11"/>
        <v>-5.7500000000000002E-2</v>
      </c>
      <c r="S72" s="64">
        <f t="shared" si="12"/>
        <v>-5.7500000000000002E-2</v>
      </c>
      <c r="T72" s="63">
        <f t="shared" si="13"/>
        <v>0</v>
      </c>
      <c r="U72" s="64">
        <f t="shared" si="14"/>
        <v>0</v>
      </c>
      <c r="V72" s="207">
        <f>IF($A73="","",IF(AND(MONTH(A72)&gt;3,MONTH(A72)&lt;11),(T72+R72+G72)*Summary!$T$8/(1-Summary!$T$8),(T72+R72+G72)*Summary!$U$8/(1-Summary!$U$8)))</f>
        <v>0.21461007050405137</v>
      </c>
      <c r="W72" s="63">
        <f t="shared" si="15"/>
        <v>4.3181100705040514</v>
      </c>
      <c r="X72" s="63">
        <f t="shared" si="16"/>
        <v>4.3181100705040514</v>
      </c>
      <c r="Y72" s="43"/>
      <c r="Z72" s="38">
        <f t="shared" si="17"/>
        <v>0.6</v>
      </c>
      <c r="AA72" s="38">
        <f t="shared" si="18"/>
        <v>0.245</v>
      </c>
      <c r="AB72" s="38">
        <f t="shared" ca="1" si="19"/>
        <v>0.25097250447848202</v>
      </c>
      <c r="AC72" s="38">
        <f t="shared" si="20"/>
        <v>0.55000000000000004</v>
      </c>
      <c r="AD72" s="38">
        <f t="shared" si="20"/>
        <v>0.23749999999999999</v>
      </c>
      <c r="AE72" s="38">
        <f t="shared" ca="1" si="21"/>
        <v>0.24269003669869746</v>
      </c>
      <c r="AF72" s="237">
        <f ca="1">((Summary!$N$8*(AA72*AD72)*(A72-$D$3))+(Summary!$M$8*Z72*AC72*(AJ72-EOMONTH(EDATE(A72,-1),0))))/(AK72*AB72*AE72)</f>
        <v>0.99983848095972139</v>
      </c>
      <c r="AG72" s="88">
        <f>IF($A73="","",Summary!$Q$8)</f>
        <v>0</v>
      </c>
      <c r="AH72" s="88">
        <f>IF($A73="","",IF(Summary!$R$8="Y",(VLOOKUP($A72,Summary!$AD$6:$AF$9,3)+'Escalating commodity'!D85),'Escalating commodity'!D85))</f>
        <v>2.0023199999999998E-2</v>
      </c>
      <c r="AI72" s="88">
        <f t="shared" si="36"/>
        <v>2.0023199999999998E-2</v>
      </c>
      <c r="AJ72" s="236">
        <f t="shared" si="22"/>
        <v>38944.5</v>
      </c>
      <c r="AK72" s="58">
        <f t="shared" ca="1" si="23"/>
        <v>1904</v>
      </c>
      <c r="AL72" s="26">
        <f ca="1">IF($A73="","",_xll.SPRDOPT(P72,X72,AI72,0,AB72,AE72,AF72,AK72,$AJ$2,0))</f>
        <v>5.9328452693105584E-2</v>
      </c>
      <c r="AM72" s="89">
        <f t="shared" si="24"/>
        <v>3.2866729495949064E-2</v>
      </c>
      <c r="AN72" s="89">
        <f t="shared" ca="1" si="25"/>
        <v>2.646172319715652E-2</v>
      </c>
      <c r="AO72" s="3">
        <f t="shared" si="26"/>
        <v>31</v>
      </c>
      <c r="AP72" s="33">
        <f t="shared" si="27"/>
        <v>38930</v>
      </c>
      <c r="AQ72" s="58">
        <f t="shared" ca="1" si="28"/>
        <v>1904</v>
      </c>
      <c r="AR72" s="38">
        <f>'ANR OK vs ML7'!AR72</f>
        <v>0.1</v>
      </c>
      <c r="AS72" s="35">
        <f t="shared" ca="1" si="29"/>
        <v>0.60129274824209578</v>
      </c>
      <c r="AT72" s="3">
        <f t="shared" si="30"/>
        <v>1</v>
      </c>
      <c r="AU72" s="3">
        <f t="shared" si="31"/>
        <v>31</v>
      </c>
      <c r="AW72" s="32">
        <f t="shared" ca="1" si="32"/>
        <v>147134.56267890186</v>
      </c>
      <c r="AX72" s="32">
        <f t="shared" si="33"/>
        <v>81509.489149953675</v>
      </c>
      <c r="AY72" s="32">
        <f t="shared" ca="1" si="34"/>
        <v>65625.073528948167</v>
      </c>
      <c r="BA72" s="32">
        <f ca="1">IF($A73="","",F72*Summary!$Q$8)</f>
        <v>0</v>
      </c>
      <c r="BC72" s="256">
        <f t="shared" ca="1" si="37"/>
        <v>49011.064738784939</v>
      </c>
    </row>
    <row r="73" spans="1:55">
      <c r="A73" s="67">
        <f t="shared" si="35"/>
        <v>38961</v>
      </c>
      <c r="B73" s="69">
        <f t="shared" si="38"/>
        <v>80000</v>
      </c>
      <c r="C73" s="71"/>
      <c r="D73" s="69">
        <f t="shared" si="0"/>
        <v>80000</v>
      </c>
      <c r="E73" s="70">
        <f t="shared" si="1"/>
        <v>2400000</v>
      </c>
      <c r="F73" s="70">
        <f t="shared" ca="1" si="2"/>
        <v>1431200.216480491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0.21</v>
      </c>
      <c r="K73" s="64">
        <f t="shared" si="6"/>
        <v>0.21</v>
      </c>
      <c r="L73" s="63">
        <f t="shared" si="7"/>
        <v>0</v>
      </c>
      <c r="M73" s="64">
        <f t="shared" si="8"/>
        <v>0</v>
      </c>
      <c r="N73" s="65"/>
      <c r="O73" s="63">
        <f t="shared" si="9"/>
        <v>4.3849999999999998</v>
      </c>
      <c r="P73" s="63">
        <f t="shared" si="10"/>
        <v>4.3849999999999998</v>
      </c>
      <c r="Q73" s="66"/>
      <c r="R73" s="63">
        <f t="shared" si="11"/>
        <v>-5.7500000000000002E-2</v>
      </c>
      <c r="S73" s="64">
        <f t="shared" si="12"/>
        <v>-5.7500000000000002E-2</v>
      </c>
      <c r="T73" s="63">
        <f t="shared" si="13"/>
        <v>0</v>
      </c>
      <c r="U73" s="64">
        <f t="shared" si="14"/>
        <v>0</v>
      </c>
      <c r="V73" s="207">
        <f>IF($A74="","",IF(AND(MONTH(A73)&gt;3,MONTH(A73)&lt;11),(T73+R73+G73)*Summary!$T$8/(1-Summary!$T$8),(T73+R73+G73)*Summary!$U$8/(1-Summary!$U$8)))</f>
        <v>0.21534226033884035</v>
      </c>
      <c r="W73" s="63">
        <f t="shared" si="15"/>
        <v>4.3328422603388397</v>
      </c>
      <c r="X73" s="63">
        <f t="shared" si="16"/>
        <v>4.3328422603388397</v>
      </c>
      <c r="Y73" s="43"/>
      <c r="Z73" s="38">
        <f t="shared" si="17"/>
        <v>0.6</v>
      </c>
      <c r="AA73" s="38">
        <f t="shared" si="18"/>
        <v>0.245</v>
      </c>
      <c r="AB73" s="38">
        <f t="shared" ca="1" si="19"/>
        <v>0.25069247764193731</v>
      </c>
      <c r="AC73" s="38">
        <f t="shared" si="20"/>
        <v>0.55000000000000004</v>
      </c>
      <c r="AD73" s="38">
        <f t="shared" si="20"/>
        <v>0.23749999999999999</v>
      </c>
      <c r="AE73" s="38">
        <f t="shared" ca="1" si="21"/>
        <v>0.24244661630368436</v>
      </c>
      <c r="AF73" s="237">
        <f ca="1">((Summary!$N$8*(AA73*AD73)*(A73-$D$3))+(Summary!$M$8*Z73*AC73*(AJ73-EOMONTH(EDATE(A73,-1),0))))/(AK73*AB73*AE73)</f>
        <v>0.99984116201934192</v>
      </c>
      <c r="AG73" s="88">
        <f>IF($A74="","",Summary!$Q$8)</f>
        <v>0</v>
      </c>
      <c r="AH73" s="88">
        <f>IF($A74="","",IF(Summary!$R$8="Y",(VLOOKUP($A73,Summary!$AD$6:$AF$9,3)+'Escalating commodity'!D86),'Escalating commodity'!D86))</f>
        <v>2.0023199999999998E-2</v>
      </c>
      <c r="AI73" s="88">
        <f t="shared" si="36"/>
        <v>2.0023199999999998E-2</v>
      </c>
      <c r="AJ73" s="236">
        <f t="shared" si="22"/>
        <v>38975</v>
      </c>
      <c r="AK73" s="58">
        <f t="shared" ca="1" si="23"/>
        <v>1935</v>
      </c>
      <c r="AL73" s="26">
        <f ca="1">IF($A74="","",_xll.SPRDOPT(P73,X73,AI73,0,AB73,AE73,AF73,AK73,$AJ$2,0))</f>
        <v>5.9066042465008954E-2</v>
      </c>
      <c r="AM73" s="89">
        <f t="shared" si="24"/>
        <v>3.2134539661160109E-2</v>
      </c>
      <c r="AN73" s="89">
        <f t="shared" ca="1" si="25"/>
        <v>2.6931502803848845E-2</v>
      </c>
      <c r="AO73" s="3">
        <f t="shared" si="26"/>
        <v>30</v>
      </c>
      <c r="AP73" s="33">
        <f t="shared" si="27"/>
        <v>38961</v>
      </c>
      <c r="AQ73" s="58">
        <f t="shared" ca="1" si="28"/>
        <v>1935</v>
      </c>
      <c r="AR73" s="38">
        <f>'ANR OK vs ML7'!AR73</f>
        <v>0.1</v>
      </c>
      <c r="AS73" s="35">
        <f t="shared" ca="1" si="29"/>
        <v>0.59633342353353791</v>
      </c>
      <c r="AT73" s="3">
        <f t="shared" si="30"/>
        <v>1</v>
      </c>
      <c r="AU73" s="3">
        <f t="shared" si="31"/>
        <v>30</v>
      </c>
      <c r="AW73" s="32">
        <f t="shared" ca="1" si="32"/>
        <v>141758.50191602149</v>
      </c>
      <c r="AX73" s="32">
        <f t="shared" si="33"/>
        <v>77122.89518678427</v>
      </c>
      <c r="AY73" s="32">
        <f t="shared" ca="1" si="34"/>
        <v>64635.606729237224</v>
      </c>
      <c r="BA73" s="32">
        <f ca="1">IF($A74="","",F73*Summary!$Q$8)</f>
        <v>0</v>
      </c>
      <c r="BC73" s="256">
        <f t="shared" ca="1" si="37"/>
        <v>45990.960119553274</v>
      </c>
    </row>
    <row r="74" spans="1:55">
      <c r="A74" s="67">
        <f t="shared" si="35"/>
        <v>38991</v>
      </c>
      <c r="B74" s="69">
        <f t="shared" si="38"/>
        <v>80000</v>
      </c>
      <c r="C74" s="71"/>
      <c r="D74" s="69">
        <f t="shared" ref="D74:D137" si="39">IF(A75&lt;&gt;"",B74+C74,"")</f>
        <v>80000</v>
      </c>
      <c r="E74" s="70">
        <f t="shared" ref="E74:E137" si="40">IF(A75="","",IF(AND(AT74=1,$H$3=1),D74*AO74,IF($H$3=2,D74,"N/A")))</f>
        <v>2480000</v>
      </c>
      <c r="F74" s="70">
        <f t="shared" ref="F74:F137" ca="1" si="41">IF(A75="","",E74*AS74)</f>
        <v>1467101.1043854454</v>
      </c>
      <c r="G74" s="63">
        <f t="shared" ref="G74:G137" si="42">IF($A75="","",VLOOKUP($A74,Table,MATCH(G$4,Curves,0)))</f>
        <v>4.2060000000000004</v>
      </c>
      <c r="H74" s="64">
        <f t="shared" ref="H74:H137" si="43">IF(A75="","",G74)</f>
        <v>4.2060000000000004</v>
      </c>
      <c r="I74" s="43"/>
      <c r="J74" s="63">
        <f t="shared" ref="J74:J137" si="44">IF($A75="","",VLOOKUP($A74,Table,MATCH(J$4,Curves,0)))</f>
        <v>0.21</v>
      </c>
      <c r="K74" s="64">
        <f t="shared" ref="K74:K137" si="45">IF(A75="","",J74)</f>
        <v>0.21</v>
      </c>
      <c r="L74" s="63">
        <f t="shared" ref="L74:L137" si="46">IF($A75="","",VLOOKUP($A74,Table,MATCH(L$4,Curves,0)))</f>
        <v>0</v>
      </c>
      <c r="M74" s="64">
        <f t="shared" ref="M74:M137" si="47">IF(A75="","",L74)</f>
        <v>0</v>
      </c>
      <c r="N74" s="65"/>
      <c r="O74" s="63">
        <f t="shared" ref="O74:O137" si="48">IF(A75="","",L74+J74+G74)</f>
        <v>4.4160000000000004</v>
      </c>
      <c r="P74" s="63">
        <f t="shared" ref="P74:P137" si="49">IF(A75="","",M74+K74+H74)</f>
        <v>4.4160000000000004</v>
      </c>
      <c r="Q74" s="66"/>
      <c r="R74" s="63">
        <f t="shared" ref="R74:R137" si="50">IF($A75="","",VLOOKUP($A74,Table,MATCH(R$4,Curves,0)))</f>
        <v>-5.7500000000000002E-2</v>
      </c>
      <c r="S74" s="64">
        <f t="shared" ref="S74:S137" si="51">IF(A75="","",R74)</f>
        <v>-5.7500000000000002E-2</v>
      </c>
      <c r="T74" s="63">
        <f t="shared" ref="T74:T137" si="52">IF($A75="","",VLOOKUP($A74,Table,MATCH(T$4,Curves,0)))</f>
        <v>0</v>
      </c>
      <c r="U74" s="64">
        <f t="shared" ref="U74:U137" si="53">IF(A75="","",T74)</f>
        <v>0</v>
      </c>
      <c r="V74" s="207">
        <f>IF($A75="","",IF(AND(MONTH(A74)&gt;3,MONTH(A74)&lt;11),(T74+R74+G74)*Summary!$T$8/(1-Summary!$T$8),(T74+R74+G74)*Summary!$U$8/(1-Summary!$U$8)))</f>
        <v>0.2169635378301589</v>
      </c>
      <c r="W74" s="63">
        <f t="shared" ref="W74:W137" si="54">IF($A75="","",(T74+R74+G74+V74))</f>
        <v>4.3654635378301592</v>
      </c>
      <c r="X74" s="63">
        <f t="shared" ref="X74:X137" si="55">IF($A75="","",(U74+S74+H74+V74))</f>
        <v>4.3654635378301592</v>
      </c>
      <c r="Y74" s="43"/>
      <c r="Z74" s="38">
        <f t="shared" ref="Z74:Z137" si="56">IF($A75="","",VLOOKUP($A74,Table,MATCH(Z$4,Curves,0)))</f>
        <v>0.65</v>
      </c>
      <c r="AA74" s="38">
        <f t="shared" ref="AA74:AA137" si="57">IF($A75="","",VLOOKUP($A74,Table,MATCH(AA$4,Curves,0)))</f>
        <v>0.245</v>
      </c>
      <c r="AB74" s="38">
        <f t="shared" ref="AB74:AB137" ca="1" si="58">SQRT((AA74^2*(A74-$D$3)+Z74^2*(DAY(EOMONTH(A74,0))/2))/AK74)</f>
        <v>0.25177022118354098</v>
      </c>
      <c r="AC74" s="38">
        <f t="shared" ref="AC74:AD137" si="59">IF($A75="","",VLOOKUP($A74,Table,MATCH(AC$4,Curves,0)))</f>
        <v>0.6</v>
      </c>
      <c r="AD74" s="38">
        <f t="shared" si="59"/>
        <v>0.23749999999999999</v>
      </c>
      <c r="AE74" s="38">
        <f t="shared" ref="AE74:AE137" ca="1" si="60">SQRT((AD74^2*(A74-$D$3)+AC74^2*(DAY(EOMONTH(A74,0))/2))/AK74)</f>
        <v>0.2434638579486213</v>
      </c>
      <c r="AF74" s="237">
        <f ca="1">((Summary!$N$8*(AA74*AD74)*(A74-$D$3))+(Summary!$M$8*Z74*AC74*(AJ74-EOMONTH(EDATE(A74,-1),0))))/(AK74*AB74*AE74)</f>
        <v>0.99984790042465688</v>
      </c>
      <c r="AG74" s="88">
        <f>IF($A75="","",Summary!$Q$8)</f>
        <v>0</v>
      </c>
      <c r="AH74" s="88">
        <f>IF($A75="","",IF(Summary!$R$8="Y",(VLOOKUP($A74,Summary!$AD$6:$AF$9,3)+'Escalating commodity'!D87),'Escalating commodity'!D87))</f>
        <v>2.0023199999999998E-2</v>
      </c>
      <c r="AI74" s="88">
        <f t="shared" si="36"/>
        <v>2.0023199999999998E-2</v>
      </c>
      <c r="AJ74" s="236">
        <f t="shared" ref="AJ74:AJ137" si="61">A74+DAY(EOMONTH(A74,0))/2-1</f>
        <v>39005.5</v>
      </c>
      <c r="AK74" s="58">
        <f t="shared" ref="AK74:AK137" ca="1" si="62">IF($A75="","",$A74-$E$1)</f>
        <v>1965</v>
      </c>
      <c r="AL74" s="26">
        <f ca="1">IF($A75="","",_xll.SPRDOPT(P74,X74,AI74,0,AB74,AE74,AF74,AK74,$AJ$2,0))</f>
        <v>5.8633101584247518E-2</v>
      </c>
      <c r="AM74" s="89">
        <f t="shared" ref="AM74:AM137" si="63">IF($A75="","",MAX(0,O74-W74-AI74))</f>
        <v>3.0513262169841203E-2</v>
      </c>
      <c r="AN74" s="89">
        <f t="shared" ref="AN74:AN137" ca="1" si="64">IF($A75="","",AL74-AM74)</f>
        <v>2.8119839414406315E-2</v>
      </c>
      <c r="AO74" s="3">
        <f t="shared" ref="AO74:AO137" si="65">IF(A75="","",A75-A74)</f>
        <v>31</v>
      </c>
      <c r="AP74" s="33">
        <f t="shared" ref="AP74:AP137" si="66">IF(A75="","",CHOOSE(F$3,A75+24,A74))</f>
        <v>38991</v>
      </c>
      <c r="AQ74" s="58">
        <f t="shared" ref="AQ74:AQ137" ca="1" si="67">IF(A75="","",AP74-$E$1)</f>
        <v>1965</v>
      </c>
      <c r="AR74" s="38">
        <f>'ANR OK vs ML7'!AR74</f>
        <v>0.1</v>
      </c>
      <c r="AS74" s="35">
        <f t="shared" ref="AS74:AS137" ca="1" si="68">IF(A75="","",1/(1+CHOOSE(F$3,(AR75+($I$3/10000))/2,(AR74+($I$3/10000))/2))^(2*AQ74/365.25))</f>
        <v>0.59157302596187311</v>
      </c>
      <c r="AT74" s="3">
        <f t="shared" ref="AT74:AT137" si="69">IF(A75="","",IF(AND(mthbeg&lt;=A74,mthend&gt;=A74),1,0))</f>
        <v>1</v>
      </c>
      <c r="AU74" s="3">
        <f t="shared" ref="AU74:AU137" si="70">IF(A75="","",AO74*AT74)</f>
        <v>31</v>
      </c>
      <c r="AW74" s="32">
        <f t="shared" ref="AW74:AW137" ca="1" si="71">IF($A75="","",AL74*$E74)</f>
        <v>145410.09192893383</v>
      </c>
      <c r="AX74" s="32">
        <f t="shared" ref="AX74:AX137" si="72">IF($A75="","",AM74*$E74)</f>
        <v>75672.890181206181</v>
      </c>
      <c r="AY74" s="32">
        <f t="shared" ref="AY74:AY137" ca="1" si="73">IF($A75="","",AN74*$E74)</f>
        <v>69737.201747727668</v>
      </c>
      <c r="BA74" s="32">
        <f ca="1">IF($A75="","",F74*Summary!$Q$8)</f>
        <v>0</v>
      </c>
      <c r="BC74" s="256">
        <f t="shared" ca="1" si="37"/>
        <v>44766.04062777666</v>
      </c>
    </row>
    <row r="75" spans="1:55">
      <c r="A75" s="67">
        <f t="shared" ref="A75:A138" si="74">IF(A74&lt;mthend,EDATE(A74,1),"")</f>
        <v>39022</v>
      </c>
      <c r="B75" s="69">
        <f t="shared" si="38"/>
        <v>80000</v>
      </c>
      <c r="C75" s="71"/>
      <c r="D75" s="69">
        <f t="shared" si="39"/>
        <v>80000</v>
      </c>
      <c r="E75" s="70">
        <f t="shared" si="40"/>
        <v>2400000</v>
      </c>
      <c r="F75" s="70">
        <f t="shared" ca="1" si="41"/>
        <v>1408065.2815053831</v>
      </c>
      <c r="G75" s="63">
        <f t="shared" si="42"/>
        <v>4.3390000000000004</v>
      </c>
      <c r="H75" s="64">
        <f t="shared" si="43"/>
        <v>4.3390000000000004</v>
      </c>
      <c r="I75" s="43"/>
      <c r="J75" s="63">
        <f t="shared" si="44"/>
        <v>0.32500000000000001</v>
      </c>
      <c r="K75" s="64">
        <f t="shared" si="45"/>
        <v>0.32500000000000001</v>
      </c>
      <c r="L75" s="63">
        <f t="shared" si="46"/>
        <v>0</v>
      </c>
      <c r="M75" s="64">
        <f t="shared" si="47"/>
        <v>0</v>
      </c>
      <c r="N75" s="65"/>
      <c r="O75" s="63">
        <f t="shared" si="48"/>
        <v>4.6640000000000006</v>
      </c>
      <c r="P75" s="63">
        <f t="shared" si="49"/>
        <v>4.6640000000000006</v>
      </c>
      <c r="Q75" s="66"/>
      <c r="R75" s="63">
        <f t="shared" si="50"/>
        <v>-5.7500000000000002E-2</v>
      </c>
      <c r="S75" s="64">
        <f t="shared" si="51"/>
        <v>-5.7500000000000002E-2</v>
      </c>
      <c r="T75" s="63">
        <f t="shared" si="52"/>
        <v>5.0000000000000001E-3</v>
      </c>
      <c r="U75" s="64">
        <f t="shared" si="53"/>
        <v>5.0000000000000001E-3</v>
      </c>
      <c r="V75" s="207">
        <f>IF($A76="","",IF(AND(MONTH(A75)&gt;3,MONTH(A75)&lt;11),(T75+R75+G75)*Summary!$T$8/(1-Summary!$T$8),(T75+R75+G75)*Summary!$U$8/(1-Summary!$U$8)))</f>
        <v>0.22418083763022204</v>
      </c>
      <c r="W75" s="63">
        <f t="shared" si="54"/>
        <v>4.5106808376302219</v>
      </c>
      <c r="X75" s="63">
        <f t="shared" si="55"/>
        <v>4.5106808376302219</v>
      </c>
      <c r="Y75" s="43"/>
      <c r="Z75" s="38">
        <f t="shared" si="56"/>
        <v>0.8</v>
      </c>
      <c r="AA75" s="38">
        <f t="shared" si="57"/>
        <v>0.24700000000000003</v>
      </c>
      <c r="AB75" s="38">
        <f t="shared" ca="1" si="58"/>
        <v>0.25661096015123652</v>
      </c>
      <c r="AC75" s="38">
        <f t="shared" si="59"/>
        <v>0.8</v>
      </c>
      <c r="AD75" s="38">
        <f t="shared" si="59"/>
        <v>0.24</v>
      </c>
      <c r="AE75" s="38">
        <f t="shared" ca="1" si="60"/>
        <v>0.24987692361222116</v>
      </c>
      <c r="AF75" s="237">
        <f ca="1">((Summary!$N$8*(AA75*AD75)*(A75-$D$3))+(Summary!$M$8*Z75*AC75*(AJ75-EOMONTH(EDATE(A75,-1),0))))/(AK75*AB75*AE75)</f>
        <v>0.99987882906729664</v>
      </c>
      <c r="AG75" s="88">
        <f>IF($A76="","",Summary!$Q$8)</f>
        <v>0</v>
      </c>
      <c r="AH75" s="88">
        <f>IF($A76="","",IF(Summary!$R$8="Y",(VLOOKUP($A75,Summary!$AD$6:$AF$9,3)+'Escalating commodity'!D88),'Escalating commodity'!D88))</f>
        <v>2.0023199999999998E-2</v>
      </c>
      <c r="AI75" s="88">
        <f t="shared" ref="AI75:AI138" si="75">IF($A76="","",AH75)</f>
        <v>2.0023199999999998E-2</v>
      </c>
      <c r="AJ75" s="236">
        <f t="shared" si="61"/>
        <v>39036</v>
      </c>
      <c r="AK75" s="58">
        <f t="shared" ca="1" si="62"/>
        <v>1996</v>
      </c>
      <c r="AL75" s="26">
        <f ca="1">IF($A76="","",_xll.SPRDOPT(P75,X75,AI75,0,AB75,AE75,AF75,AK75,$AJ$2,0))</f>
        <v>0.13750200761328793</v>
      </c>
      <c r="AM75" s="89">
        <f t="shared" si="63"/>
        <v>0.13329596236977873</v>
      </c>
      <c r="AN75" s="89">
        <f t="shared" ca="1" si="64"/>
        <v>4.2060452435092044E-3</v>
      </c>
      <c r="AO75" s="3">
        <f t="shared" si="65"/>
        <v>30</v>
      </c>
      <c r="AP75" s="33">
        <f t="shared" si="66"/>
        <v>39022</v>
      </c>
      <c r="AQ75" s="58">
        <f t="shared" ca="1" si="67"/>
        <v>1996</v>
      </c>
      <c r="AR75" s="38">
        <f>'ANR OK vs ML7'!AR75</f>
        <v>0.1</v>
      </c>
      <c r="AS75" s="35">
        <f t="shared" ca="1" si="68"/>
        <v>0.5866938672939096</v>
      </c>
      <c r="AT75" s="3">
        <f t="shared" si="69"/>
        <v>1</v>
      </c>
      <c r="AU75" s="3">
        <f t="shared" si="70"/>
        <v>30</v>
      </c>
      <c r="AW75" s="32">
        <f t="shared" ca="1" si="71"/>
        <v>330004.81827189104</v>
      </c>
      <c r="AX75" s="32">
        <f t="shared" si="72"/>
        <v>319910.30968746892</v>
      </c>
      <c r="AY75" s="32">
        <f t="shared" ca="1" si="73"/>
        <v>10094.50858442209</v>
      </c>
      <c r="BA75" s="32">
        <f ca="1">IF($A76="","",F75*Summary!$Q$8)</f>
        <v>0</v>
      </c>
      <c r="BC75" s="256">
        <f t="shared" ref="BC75:BC138" ca="1" si="76">IF(A76="","",AM75*F75)</f>
        <v>187689.41677773342</v>
      </c>
    </row>
    <row r="76" spans="1:55">
      <c r="A76" s="67">
        <f t="shared" si="74"/>
        <v>39052</v>
      </c>
      <c r="B76" s="69">
        <f t="shared" ref="B76:B139" si="77">IF(A76&lt;mthend,B75,0)</f>
        <v>80000</v>
      </c>
      <c r="C76" s="71"/>
      <c r="D76" s="69">
        <f t="shared" si="39"/>
        <v>80000</v>
      </c>
      <c r="E76" s="70">
        <f t="shared" si="40"/>
        <v>2480000</v>
      </c>
      <c r="F76" s="70">
        <f t="shared" ca="1" si="41"/>
        <v>1443385.8420056419</v>
      </c>
      <c r="G76" s="63">
        <f t="shared" si="42"/>
        <v>4.4770000000000003</v>
      </c>
      <c r="H76" s="64">
        <f t="shared" si="43"/>
        <v>4.4770000000000003</v>
      </c>
      <c r="I76" s="43"/>
      <c r="J76" s="63">
        <f t="shared" si="44"/>
        <v>0.32500000000000001</v>
      </c>
      <c r="K76" s="64">
        <f t="shared" si="45"/>
        <v>0.32500000000000001</v>
      </c>
      <c r="L76" s="63">
        <f t="shared" si="46"/>
        <v>0</v>
      </c>
      <c r="M76" s="64">
        <f t="shared" si="47"/>
        <v>0</v>
      </c>
      <c r="N76" s="65"/>
      <c r="O76" s="63">
        <f t="shared" si="48"/>
        <v>4.8020000000000005</v>
      </c>
      <c r="P76" s="63">
        <f t="shared" si="49"/>
        <v>4.8020000000000005</v>
      </c>
      <c r="Q76" s="66"/>
      <c r="R76" s="63">
        <f t="shared" si="50"/>
        <v>-5.7500000000000002E-2</v>
      </c>
      <c r="S76" s="64">
        <f t="shared" si="51"/>
        <v>-5.7500000000000002E-2</v>
      </c>
      <c r="T76" s="63">
        <f t="shared" si="52"/>
        <v>5.0000000000000001E-3</v>
      </c>
      <c r="U76" s="64">
        <f t="shared" si="53"/>
        <v>5.0000000000000001E-3</v>
      </c>
      <c r="V76" s="207">
        <f>IF($A77="","",IF(AND(MONTH(A76)&gt;3,MONTH(A76)&lt;11),(T76+R76+G76)*Summary!$T$8/(1-Summary!$T$8),(T76+R76+G76)*Summary!$U$8/(1-Summary!$U$8)))</f>
        <v>0.23139813743028517</v>
      </c>
      <c r="W76" s="63">
        <f t="shared" si="54"/>
        <v>4.6558981374302855</v>
      </c>
      <c r="X76" s="63">
        <f t="shared" si="55"/>
        <v>4.6558981374302855</v>
      </c>
      <c r="Y76" s="43"/>
      <c r="Z76" s="38">
        <f t="shared" si="56"/>
        <v>1.1000000000000001</v>
      </c>
      <c r="AA76" s="38">
        <f t="shared" si="57"/>
        <v>0.252</v>
      </c>
      <c r="AB76" s="38">
        <f t="shared" ca="1" si="58"/>
        <v>0.26980085522612834</v>
      </c>
      <c r="AC76" s="38">
        <f t="shared" si="59"/>
        <v>1</v>
      </c>
      <c r="AD76" s="38">
        <f t="shared" si="59"/>
        <v>0.245</v>
      </c>
      <c r="AE76" s="38">
        <f t="shared" ca="1" si="60"/>
        <v>0.2602021719476576</v>
      </c>
      <c r="AF76" s="237">
        <f ca="1">((Summary!$N$8*(AA76*AD76)*(A76-$D$3))+(Summary!$M$8*Z76*AC76*(AJ76-EOMONTH(EDATE(A76,-1),0))))/(AK76*AB76*AE76)</f>
        <v>0.99967416534949438</v>
      </c>
      <c r="AG76" s="88">
        <f>IF($A77="","",Summary!$Q$8)</f>
        <v>0</v>
      </c>
      <c r="AH76" s="88">
        <f>IF($A77="","",IF(Summary!$R$8="Y",(VLOOKUP($A76,Summary!$AD$6:$AF$9,3)+'Escalating commodity'!D89),'Escalating commodity'!D89))</f>
        <v>2.0023199999999998E-2</v>
      </c>
      <c r="AI76" s="88">
        <f t="shared" si="75"/>
        <v>2.0023199999999998E-2</v>
      </c>
      <c r="AJ76" s="236">
        <f t="shared" si="61"/>
        <v>39066.5</v>
      </c>
      <c r="AK76" s="58">
        <f t="shared" ca="1" si="62"/>
        <v>2026</v>
      </c>
      <c r="AL76" s="26">
        <f ca="1">IF($A77="","",_xll.SPRDOPT(P76,X76,AI76,0,AB76,AE76,AF76,AK76,$AJ$2,0))</f>
        <v>0.14096291793155236</v>
      </c>
      <c r="AM76" s="89">
        <f t="shared" si="63"/>
        <v>0.12607866256971503</v>
      </c>
      <c r="AN76" s="89">
        <f t="shared" ca="1" si="64"/>
        <v>1.4884255361837323E-2</v>
      </c>
      <c r="AO76" s="3">
        <f t="shared" si="65"/>
        <v>31</v>
      </c>
      <c r="AP76" s="33">
        <f t="shared" si="66"/>
        <v>39052</v>
      </c>
      <c r="AQ76" s="58">
        <f t="shared" ca="1" si="67"/>
        <v>2026</v>
      </c>
      <c r="AR76" s="38">
        <f>'ANR OK vs ML7'!AR76</f>
        <v>0.1</v>
      </c>
      <c r="AS76" s="35">
        <f t="shared" ca="1" si="68"/>
        <v>0.5820104201635653</v>
      </c>
      <c r="AT76" s="3">
        <f t="shared" si="69"/>
        <v>1</v>
      </c>
      <c r="AU76" s="3">
        <f t="shared" si="70"/>
        <v>31</v>
      </c>
      <c r="AW76" s="32">
        <f t="shared" ca="1" si="71"/>
        <v>349588.03647024982</v>
      </c>
      <c r="AX76" s="32">
        <f t="shared" si="72"/>
        <v>312675.08317289327</v>
      </c>
      <c r="AY76" s="32">
        <f t="shared" ca="1" si="73"/>
        <v>36912.953297356558</v>
      </c>
      <c r="BA76" s="32">
        <f ca="1">IF($A77="","",F76*Summary!$Q$8)</f>
        <v>0</v>
      </c>
      <c r="BC76" s="256">
        <f t="shared" ca="1" si="76"/>
        <v>181980.15653213335</v>
      </c>
    </row>
    <row r="77" spans="1:55">
      <c r="A77" s="67">
        <f t="shared" si="74"/>
        <v>39083</v>
      </c>
      <c r="B77" s="69">
        <f t="shared" si="77"/>
        <v>80000</v>
      </c>
      <c r="C77" s="71"/>
      <c r="D77" s="69">
        <f t="shared" si="39"/>
        <v>80000</v>
      </c>
      <c r="E77" s="70">
        <f t="shared" si="40"/>
        <v>2480000</v>
      </c>
      <c r="F77" s="70">
        <f t="shared" ca="1" si="41"/>
        <v>1431481.1265551921</v>
      </c>
      <c r="G77" s="63">
        <f t="shared" si="42"/>
        <v>4.484</v>
      </c>
      <c r="H77" s="64">
        <f t="shared" si="43"/>
        <v>4.484</v>
      </c>
      <c r="I77" s="43"/>
      <c r="J77" s="63">
        <f t="shared" si="44"/>
        <v>0.32500000000000001</v>
      </c>
      <c r="K77" s="64">
        <f t="shared" si="45"/>
        <v>0.32500000000000001</v>
      </c>
      <c r="L77" s="63">
        <f t="shared" si="46"/>
        <v>0</v>
      </c>
      <c r="M77" s="64">
        <f t="shared" si="47"/>
        <v>0</v>
      </c>
      <c r="N77" s="65"/>
      <c r="O77" s="63">
        <f t="shared" si="48"/>
        <v>4.8090000000000002</v>
      </c>
      <c r="P77" s="63">
        <f t="shared" si="49"/>
        <v>4.8090000000000002</v>
      </c>
      <c r="Q77" s="66"/>
      <c r="R77" s="63">
        <f t="shared" si="50"/>
        <v>-5.7500000000000002E-2</v>
      </c>
      <c r="S77" s="64">
        <f t="shared" si="51"/>
        <v>-5.7500000000000002E-2</v>
      </c>
      <c r="T77" s="63">
        <f t="shared" si="52"/>
        <v>5.0000000000000001E-3</v>
      </c>
      <c r="U77" s="64">
        <f t="shared" si="53"/>
        <v>5.0000000000000001E-3</v>
      </c>
      <c r="V77" s="207">
        <f>IF($A78="","",IF(AND(MONTH(A77)&gt;3,MONTH(A77)&lt;11),(T77+R77+G77)*Summary!$T$8/(1-Summary!$T$8),(T77+R77+G77)*Summary!$U$8/(1-Summary!$U$8)))</f>
        <v>0.23176423234767965</v>
      </c>
      <c r="W77" s="63">
        <f t="shared" si="54"/>
        <v>4.6632642323476796</v>
      </c>
      <c r="X77" s="63">
        <f t="shared" si="55"/>
        <v>4.6632642323476796</v>
      </c>
      <c r="Y77" s="43"/>
      <c r="Z77" s="38">
        <f t="shared" si="56"/>
        <v>1.1000000000000001</v>
      </c>
      <c r="AA77" s="38">
        <f t="shared" si="57"/>
        <v>0.255</v>
      </c>
      <c r="AB77" s="38">
        <f t="shared" ca="1" si="58"/>
        <v>0.27234951556606718</v>
      </c>
      <c r="AC77" s="38">
        <f t="shared" si="59"/>
        <v>1</v>
      </c>
      <c r="AD77" s="38">
        <f t="shared" si="59"/>
        <v>0.2475</v>
      </c>
      <c r="AE77" s="38">
        <f t="shared" ca="1" si="60"/>
        <v>0.26233809276375519</v>
      </c>
      <c r="AF77" s="237">
        <f ca="1">((Summary!$N$8*(AA77*AD77)*(A77-$D$3))+(Summary!$M$8*Z77*AC77*(AJ77-EOMONTH(EDATE(A77,-1),0))))/(AK77*AB77*AE77)</f>
        <v>0.99969187335769594</v>
      </c>
      <c r="AG77" s="88">
        <f>IF($A78="","",Summary!$Q$8)</f>
        <v>0</v>
      </c>
      <c r="AH77" s="88">
        <f>IF($A78="","",IF(Summary!$R$8="Y",(VLOOKUP($A77,Summary!$AD$6:$AF$9,3)+'Escalating commodity'!D90),'Escalating commodity'!D90))</f>
        <v>2.0023199999999998E-2</v>
      </c>
      <c r="AI77" s="88">
        <f t="shared" si="75"/>
        <v>2.0023199999999998E-2</v>
      </c>
      <c r="AJ77" s="236">
        <f t="shared" si="61"/>
        <v>39097.5</v>
      </c>
      <c r="AK77" s="58">
        <f t="shared" ca="1" si="62"/>
        <v>2057</v>
      </c>
      <c r="AL77" s="26">
        <f ca="1">IF($A78="","",_xll.SPRDOPT(P77,X77,AI77,0,AB77,AE77,AF77,AK77,$AJ$2,0))</f>
        <v>0.1419606358580818</v>
      </c>
      <c r="AM77" s="89">
        <f t="shared" si="63"/>
        <v>0.12571256765232056</v>
      </c>
      <c r="AN77" s="89">
        <f t="shared" ca="1" si="64"/>
        <v>1.6248068205761246E-2</v>
      </c>
      <c r="AO77" s="3">
        <f t="shared" si="65"/>
        <v>31</v>
      </c>
      <c r="AP77" s="33">
        <f t="shared" si="66"/>
        <v>39083</v>
      </c>
      <c r="AQ77" s="58">
        <f t="shared" ca="1" si="67"/>
        <v>2057</v>
      </c>
      <c r="AR77" s="38">
        <f>'ANR OK vs ML7'!AR77</f>
        <v>0.1</v>
      </c>
      <c r="AS77" s="35">
        <f t="shared" ca="1" si="68"/>
        <v>0.57721013167548063</v>
      </c>
      <c r="AT77" s="3">
        <f t="shared" si="69"/>
        <v>1</v>
      </c>
      <c r="AU77" s="3">
        <f t="shared" si="70"/>
        <v>31</v>
      </c>
      <c r="AW77" s="32">
        <f t="shared" ca="1" si="71"/>
        <v>352062.37692804285</v>
      </c>
      <c r="AX77" s="32">
        <f t="shared" si="72"/>
        <v>311767.16777775501</v>
      </c>
      <c r="AY77" s="32">
        <f t="shared" ca="1" si="73"/>
        <v>40295.20915028789</v>
      </c>
      <c r="BA77" s="32">
        <f ca="1">IF($A78="","",F77*Summary!$Q$8)</f>
        <v>0</v>
      </c>
      <c r="BC77" s="256">
        <f t="shared" ca="1" si="76"/>
        <v>179955.16796508961</v>
      </c>
    </row>
    <row r="78" spans="1:55">
      <c r="A78" s="67">
        <f t="shared" si="74"/>
        <v>39114</v>
      </c>
      <c r="B78" s="69">
        <f t="shared" si="77"/>
        <v>80000</v>
      </c>
      <c r="C78" s="71"/>
      <c r="D78" s="69">
        <f t="shared" si="39"/>
        <v>80000</v>
      </c>
      <c r="E78" s="70">
        <f t="shared" si="40"/>
        <v>2240000</v>
      </c>
      <c r="F78" s="70">
        <f t="shared" ca="1" si="41"/>
        <v>1282286.7341001078</v>
      </c>
      <c r="G78" s="63">
        <f t="shared" si="42"/>
        <v>4.3639999999999999</v>
      </c>
      <c r="H78" s="64">
        <f t="shared" si="43"/>
        <v>4.3639999999999999</v>
      </c>
      <c r="I78" s="43"/>
      <c r="J78" s="63">
        <f t="shared" si="44"/>
        <v>0.32500000000000001</v>
      </c>
      <c r="K78" s="64">
        <f t="shared" si="45"/>
        <v>0.32500000000000001</v>
      </c>
      <c r="L78" s="63">
        <f t="shared" si="46"/>
        <v>0</v>
      </c>
      <c r="M78" s="64">
        <f t="shared" si="47"/>
        <v>0</v>
      </c>
      <c r="N78" s="65"/>
      <c r="O78" s="63">
        <f t="shared" si="48"/>
        <v>4.6890000000000001</v>
      </c>
      <c r="P78" s="63">
        <f t="shared" si="49"/>
        <v>4.6890000000000001</v>
      </c>
      <c r="Q78" s="66"/>
      <c r="R78" s="63">
        <f t="shared" si="50"/>
        <v>-5.7500000000000002E-2</v>
      </c>
      <c r="S78" s="64">
        <f t="shared" si="51"/>
        <v>-5.7500000000000002E-2</v>
      </c>
      <c r="T78" s="63">
        <f t="shared" si="52"/>
        <v>5.0000000000000001E-3</v>
      </c>
      <c r="U78" s="64">
        <f t="shared" si="53"/>
        <v>5.0000000000000001E-3</v>
      </c>
      <c r="V78" s="207">
        <f>IF($A79="","",IF(AND(MONTH(A78)&gt;3,MONTH(A78)&lt;11),(T78+R78+G78)*Summary!$T$8/(1-Summary!$T$8),(T78+R78+G78)*Summary!$U$8/(1-Summary!$U$8)))</f>
        <v>0.22548831947805953</v>
      </c>
      <c r="W78" s="63">
        <f t="shared" si="54"/>
        <v>4.5369883194780591</v>
      </c>
      <c r="X78" s="63">
        <f t="shared" si="55"/>
        <v>4.5369883194780591</v>
      </c>
      <c r="Y78" s="43"/>
      <c r="Z78" s="38">
        <f t="shared" si="56"/>
        <v>1.1000000000000001</v>
      </c>
      <c r="AA78" s="38">
        <f t="shared" si="57"/>
        <v>0.24200000000000002</v>
      </c>
      <c r="AB78" s="38">
        <f t="shared" ca="1" si="58"/>
        <v>0.2582732558989484</v>
      </c>
      <c r="AC78" s="38">
        <f t="shared" si="59"/>
        <v>1</v>
      </c>
      <c r="AD78" s="38">
        <f t="shared" si="59"/>
        <v>0.23499999999999999</v>
      </c>
      <c r="AE78" s="38">
        <f t="shared" ca="1" si="60"/>
        <v>0.24891048511001129</v>
      </c>
      <c r="AF78" s="237">
        <f ca="1">((Summary!$N$8*(AA78*AD78)*(A78-$D$3))+(Summary!$M$8*Z78*AC78*(AJ78-EOMONTH(EDATE(A78,-1),0))))/(AK78*AB78*AE78)</f>
        <v>0.99969051833983491</v>
      </c>
      <c r="AG78" s="88">
        <f>IF($A79="","",Summary!$Q$8)</f>
        <v>0</v>
      </c>
      <c r="AH78" s="88">
        <f>IF($A79="","",IF(Summary!$R$8="Y",(VLOOKUP($A78,Summary!$AD$6:$AF$9,3)+'Escalating commodity'!D91),'Escalating commodity'!D91))</f>
        <v>2.0023199999999998E-2</v>
      </c>
      <c r="AI78" s="88">
        <f t="shared" si="75"/>
        <v>2.0023199999999998E-2</v>
      </c>
      <c r="AJ78" s="236">
        <f t="shared" si="61"/>
        <v>39127</v>
      </c>
      <c r="AK78" s="58">
        <f t="shared" ca="1" si="62"/>
        <v>2088</v>
      </c>
      <c r="AL78" s="26">
        <f ca="1">IF($A79="","",_xll.SPRDOPT(P78,X78,AI78,0,AB78,AE78,AF78,AK78,$AJ$2,0))</f>
        <v>0.14433208296707103</v>
      </c>
      <c r="AM78" s="89">
        <f t="shared" si="63"/>
        <v>0.13198848052194093</v>
      </c>
      <c r="AN78" s="89">
        <f t="shared" ca="1" si="64"/>
        <v>1.2343602445130109E-2</v>
      </c>
      <c r="AO78" s="3">
        <f t="shared" si="65"/>
        <v>28</v>
      </c>
      <c r="AP78" s="33">
        <f t="shared" si="66"/>
        <v>39114</v>
      </c>
      <c r="AQ78" s="58">
        <f t="shared" ca="1" si="67"/>
        <v>2088</v>
      </c>
      <c r="AR78" s="38">
        <f>'ANR OK vs ML7'!AR78</f>
        <v>0.1</v>
      </c>
      <c r="AS78" s="35">
        <f t="shared" ca="1" si="68"/>
        <v>0.57244943486611954</v>
      </c>
      <c r="AT78" s="3">
        <f t="shared" si="69"/>
        <v>1</v>
      </c>
      <c r="AU78" s="3">
        <f t="shared" si="70"/>
        <v>28</v>
      </c>
      <c r="AW78" s="32">
        <f t="shared" ca="1" si="71"/>
        <v>323303.86584623915</v>
      </c>
      <c r="AX78" s="32">
        <f t="shared" si="72"/>
        <v>295654.19636914768</v>
      </c>
      <c r="AY78" s="32">
        <f t="shared" ca="1" si="73"/>
        <v>27649.669477091444</v>
      </c>
      <c r="BA78" s="32">
        <f ca="1">IF($A79="","",F78*Summary!$Q$8)</f>
        <v>0</v>
      </c>
      <c r="BC78" s="256">
        <f t="shared" ca="1" si="76"/>
        <v>169247.07762731533</v>
      </c>
    </row>
    <row r="79" spans="1:55">
      <c r="A79" s="67">
        <f t="shared" si="74"/>
        <v>39142</v>
      </c>
      <c r="B79" s="69">
        <f t="shared" si="77"/>
        <v>80000</v>
      </c>
      <c r="C79" s="71"/>
      <c r="D79" s="69">
        <f t="shared" si="39"/>
        <v>80000</v>
      </c>
      <c r="E79" s="70">
        <f t="shared" si="40"/>
        <v>2480000</v>
      </c>
      <c r="F79" s="70">
        <f t="shared" ca="1" si="41"/>
        <v>1409094.3580037782</v>
      </c>
      <c r="G79" s="63">
        <f t="shared" si="42"/>
        <v>4.2249999999999996</v>
      </c>
      <c r="H79" s="64">
        <f t="shared" si="43"/>
        <v>4.2249999999999996</v>
      </c>
      <c r="I79" s="43"/>
      <c r="J79" s="63">
        <f t="shared" si="44"/>
        <v>0.32500000000000001</v>
      </c>
      <c r="K79" s="64">
        <f t="shared" si="45"/>
        <v>0.32500000000000001</v>
      </c>
      <c r="L79" s="63">
        <f t="shared" si="46"/>
        <v>0</v>
      </c>
      <c r="M79" s="64">
        <f t="shared" si="47"/>
        <v>0</v>
      </c>
      <c r="N79" s="65"/>
      <c r="O79" s="63">
        <f t="shared" si="48"/>
        <v>4.55</v>
      </c>
      <c r="P79" s="63">
        <f t="shared" si="49"/>
        <v>4.55</v>
      </c>
      <c r="Q79" s="66"/>
      <c r="R79" s="63">
        <f t="shared" si="50"/>
        <v>-5.7500000000000002E-2</v>
      </c>
      <c r="S79" s="64">
        <f t="shared" si="51"/>
        <v>-5.7500000000000002E-2</v>
      </c>
      <c r="T79" s="63">
        <f t="shared" si="52"/>
        <v>5.0000000000000001E-3</v>
      </c>
      <c r="U79" s="64">
        <f t="shared" si="53"/>
        <v>5.0000000000000001E-3</v>
      </c>
      <c r="V79" s="207">
        <f>IF($A80="","",IF(AND(MONTH(A79)&gt;3,MONTH(A79)&lt;11),(T79+R79+G79)*Summary!$T$8/(1-Summary!$T$8),(T79+R79+G79)*Summary!$U$8/(1-Summary!$U$8)))</f>
        <v>0.21821872040408288</v>
      </c>
      <c r="W79" s="63">
        <f t="shared" si="54"/>
        <v>4.3907187204040827</v>
      </c>
      <c r="X79" s="63">
        <f t="shared" si="55"/>
        <v>4.3907187204040827</v>
      </c>
      <c r="Y79" s="43"/>
      <c r="Z79" s="38">
        <f t="shared" si="56"/>
        <v>0.75</v>
      </c>
      <c r="AA79" s="38">
        <f t="shared" si="57"/>
        <v>0.23400000000000001</v>
      </c>
      <c r="AB79" s="38">
        <f t="shared" ca="1" si="58"/>
        <v>0.24269789734602457</v>
      </c>
      <c r="AC79" s="38">
        <f t="shared" si="59"/>
        <v>0.75</v>
      </c>
      <c r="AD79" s="38">
        <f t="shared" si="59"/>
        <v>0.22750000000000001</v>
      </c>
      <c r="AE79" s="38">
        <f t="shared" ca="1" si="60"/>
        <v>0.23643413823928378</v>
      </c>
      <c r="AF79" s="237">
        <f ca="1">((Summary!$N$8*(AA79*AD79)*(A79-$D$3))+(Summary!$M$8*Z79*AC79*(AJ79-EOMONTH(EDATE(A79,-1),0))))/(AK79*AB79*AE79)</f>
        <v>0.99988073521169973</v>
      </c>
      <c r="AG79" s="88">
        <f>IF($A80="","",Summary!$Q$8)</f>
        <v>0</v>
      </c>
      <c r="AH79" s="88">
        <f>IF($A80="","",IF(Summary!$R$8="Y",(VLOOKUP($A79,Summary!$AD$6:$AF$9,3)+'Escalating commodity'!D92),'Escalating commodity'!D92))</f>
        <v>2.0023199999999998E-2</v>
      </c>
      <c r="AI79" s="88">
        <f t="shared" si="75"/>
        <v>2.0023199999999998E-2</v>
      </c>
      <c r="AJ79" s="236">
        <f t="shared" si="61"/>
        <v>39156.5</v>
      </c>
      <c r="AK79" s="58">
        <f t="shared" ca="1" si="62"/>
        <v>2116</v>
      </c>
      <c r="AL79" s="26">
        <f ca="1">IF($A80="","",_xll.SPRDOPT(P79,X79,AI79,0,AB79,AE79,AF79,AK79,$AJ$2,0))</f>
        <v>0.1423319816488369</v>
      </c>
      <c r="AM79" s="89">
        <f t="shared" si="63"/>
        <v>0.1392580795959171</v>
      </c>
      <c r="AN79" s="89">
        <f t="shared" ca="1" si="64"/>
        <v>3.0739020529197969E-3</v>
      </c>
      <c r="AO79" s="3">
        <f t="shared" si="65"/>
        <v>31</v>
      </c>
      <c r="AP79" s="33">
        <f t="shared" si="66"/>
        <v>39142</v>
      </c>
      <c r="AQ79" s="58">
        <f t="shared" ca="1" si="67"/>
        <v>2116</v>
      </c>
      <c r="AR79" s="38">
        <f>'ANR OK vs ML7'!AR79</f>
        <v>0.1</v>
      </c>
      <c r="AS79" s="35">
        <f t="shared" ca="1" si="68"/>
        <v>0.56818320887249119</v>
      </c>
      <c r="AT79" s="3">
        <f t="shared" si="69"/>
        <v>1</v>
      </c>
      <c r="AU79" s="3">
        <f t="shared" si="70"/>
        <v>31</v>
      </c>
      <c r="AW79" s="32">
        <f t="shared" ca="1" si="71"/>
        <v>352983.3144891155</v>
      </c>
      <c r="AX79" s="32">
        <f t="shared" si="72"/>
        <v>345360.0373978744</v>
      </c>
      <c r="AY79" s="32">
        <f t="shared" ca="1" si="73"/>
        <v>7623.2770912410961</v>
      </c>
      <c r="BA79" s="32">
        <f ca="1">IF($A80="","",F79*Summary!$Q$8)</f>
        <v>0</v>
      </c>
      <c r="BC79" s="256">
        <f t="shared" ca="1" si="76"/>
        <v>196227.77426504783</v>
      </c>
    </row>
    <row r="80" spans="1:55">
      <c r="A80" s="67">
        <f t="shared" si="74"/>
        <v>39173</v>
      </c>
      <c r="B80" s="69">
        <f t="shared" si="77"/>
        <v>80000</v>
      </c>
      <c r="C80" s="71"/>
      <c r="D80" s="69">
        <f t="shared" si="39"/>
        <v>80000</v>
      </c>
      <c r="E80" s="70">
        <f t="shared" si="40"/>
        <v>2400000</v>
      </c>
      <c r="F80" s="70">
        <f t="shared" ca="1" si="41"/>
        <v>1352392.713725995</v>
      </c>
      <c r="G80" s="63">
        <f t="shared" si="42"/>
        <v>4.05</v>
      </c>
      <c r="H80" s="64">
        <f t="shared" si="43"/>
        <v>4.05</v>
      </c>
      <c r="I80" s="43"/>
      <c r="J80" s="63">
        <f t="shared" si="44"/>
        <v>0.21</v>
      </c>
      <c r="K80" s="64">
        <f t="shared" si="45"/>
        <v>0.21</v>
      </c>
      <c r="L80" s="63">
        <f t="shared" si="46"/>
        <v>0</v>
      </c>
      <c r="M80" s="64">
        <f t="shared" si="47"/>
        <v>0</v>
      </c>
      <c r="N80" s="65"/>
      <c r="O80" s="63">
        <f t="shared" si="48"/>
        <v>4.26</v>
      </c>
      <c r="P80" s="63">
        <f t="shared" si="49"/>
        <v>4.26</v>
      </c>
      <c r="Q80" s="66"/>
      <c r="R80" s="63">
        <f t="shared" si="50"/>
        <v>-5.5E-2</v>
      </c>
      <c r="S80" s="64">
        <f t="shared" si="51"/>
        <v>-5.5E-2</v>
      </c>
      <c r="T80" s="63">
        <f t="shared" si="52"/>
        <v>0</v>
      </c>
      <c r="U80" s="64">
        <f t="shared" si="53"/>
        <v>0</v>
      </c>
      <c r="V80" s="207">
        <f>IF($A81="","",IF(AND(MONTH(A80)&gt;3,MONTH(A80)&lt;11),(T80+R80+G80)*Summary!$T$8/(1-Summary!$T$8),(T80+R80+G80)*Summary!$U$8/(1-Summary!$U$8)))</f>
        <v>0.20893559928443647</v>
      </c>
      <c r="W80" s="63">
        <f t="shared" si="54"/>
        <v>4.2039355992844358</v>
      </c>
      <c r="X80" s="63">
        <f t="shared" si="55"/>
        <v>4.2039355992844358</v>
      </c>
      <c r="Y80" s="43"/>
      <c r="Z80" s="38">
        <f t="shared" si="56"/>
        <v>0.45</v>
      </c>
      <c r="AA80" s="38">
        <f t="shared" si="57"/>
        <v>0.23400000000000001</v>
      </c>
      <c r="AB80" s="38">
        <f t="shared" ca="1" si="58"/>
        <v>0.23705752103935193</v>
      </c>
      <c r="AC80" s="38">
        <f t="shared" si="59"/>
        <v>0.4</v>
      </c>
      <c r="AD80" s="38">
        <f t="shared" si="59"/>
        <v>0.22750000000000001</v>
      </c>
      <c r="AE80" s="38">
        <f t="shared" ca="1" si="60"/>
        <v>0.2299960763926891</v>
      </c>
      <c r="AF80" s="237">
        <f ca="1">((Summary!$N$8*(AA80*AD80)*(A80-$D$3))+(Summary!$M$8*Z80*AC80*(AJ80-EOMONTH(EDATE(A80,-1),0))))/(AK80*AB80*AE80)</f>
        <v>0.99981178463496967</v>
      </c>
      <c r="AG80" s="88">
        <f>IF($A81="","",Summary!$Q$8)</f>
        <v>0</v>
      </c>
      <c r="AH80" s="88">
        <f>IF($A81="","",IF(Summary!$R$8="Y",(VLOOKUP($A80,Summary!$AD$6:$AF$9,3)+'Escalating commodity'!D93),'Escalating commodity'!D93))</f>
        <v>2.0023199999999998E-2</v>
      </c>
      <c r="AI80" s="88">
        <f t="shared" si="75"/>
        <v>2.0023199999999998E-2</v>
      </c>
      <c r="AJ80" s="236">
        <f t="shared" si="61"/>
        <v>39187</v>
      </c>
      <c r="AK80" s="58">
        <f t="shared" ca="1" si="62"/>
        <v>2147</v>
      </c>
      <c r="AL80" s="26">
        <f ca="1">IF($A81="","",_xll.SPRDOPT(P80,X80,AI80,0,AB80,AE80,AF80,AK80,$AJ$2,0))</f>
        <v>5.8522694644215216E-2</v>
      </c>
      <c r="AM80" s="89">
        <f t="shared" si="63"/>
        <v>3.6041200715563958E-2</v>
      </c>
      <c r="AN80" s="89">
        <f t="shared" ca="1" si="64"/>
        <v>2.2481493928651258E-2</v>
      </c>
      <c r="AO80" s="3">
        <f t="shared" si="65"/>
        <v>30</v>
      </c>
      <c r="AP80" s="33">
        <f t="shared" si="66"/>
        <v>39173</v>
      </c>
      <c r="AQ80" s="58">
        <f t="shared" ca="1" si="67"/>
        <v>2147</v>
      </c>
      <c r="AR80" s="38">
        <f>'ANR OK vs ML7'!AR80</f>
        <v>0.1</v>
      </c>
      <c r="AS80" s="35">
        <f t="shared" ca="1" si="68"/>
        <v>0.56349696405249794</v>
      </c>
      <c r="AT80" s="3">
        <f t="shared" si="69"/>
        <v>1</v>
      </c>
      <c r="AU80" s="3">
        <f t="shared" si="70"/>
        <v>30</v>
      </c>
      <c r="AW80" s="32">
        <f t="shared" ca="1" si="71"/>
        <v>140454.46714611651</v>
      </c>
      <c r="AX80" s="32">
        <f t="shared" si="72"/>
        <v>86498.881717353492</v>
      </c>
      <c r="AY80" s="32">
        <f t="shared" ca="1" si="73"/>
        <v>53955.585428763021</v>
      </c>
      <c r="BA80" s="32">
        <f ca="1">IF($A81="","",F80*Summary!$Q$8)</f>
        <v>0</v>
      </c>
      <c r="BC80" s="256">
        <f t="shared" ca="1" si="76"/>
        <v>48741.857241664817</v>
      </c>
    </row>
    <row r="81" spans="1:55">
      <c r="A81" s="67">
        <f t="shared" si="74"/>
        <v>39203</v>
      </c>
      <c r="B81" s="69">
        <f t="shared" si="77"/>
        <v>80000</v>
      </c>
      <c r="C81" s="71"/>
      <c r="D81" s="69">
        <f t="shared" si="39"/>
        <v>80000</v>
      </c>
      <c r="E81" s="70">
        <f t="shared" si="40"/>
        <v>2480000</v>
      </c>
      <c r="F81" s="70">
        <f t="shared" ca="1" si="41"/>
        <v>1386316.7577974456</v>
      </c>
      <c r="G81" s="63">
        <f t="shared" si="42"/>
        <v>4.0199999999999996</v>
      </c>
      <c r="H81" s="64">
        <f t="shared" si="43"/>
        <v>4.0199999999999996</v>
      </c>
      <c r="I81" s="43"/>
      <c r="J81" s="63">
        <f t="shared" si="44"/>
        <v>0.21</v>
      </c>
      <c r="K81" s="64">
        <f t="shared" si="45"/>
        <v>0.21</v>
      </c>
      <c r="L81" s="63">
        <f t="shared" si="46"/>
        <v>0</v>
      </c>
      <c r="M81" s="64">
        <f t="shared" si="47"/>
        <v>0</v>
      </c>
      <c r="N81" s="65"/>
      <c r="O81" s="63">
        <f t="shared" si="48"/>
        <v>4.2299999999999995</v>
      </c>
      <c r="P81" s="63">
        <f t="shared" si="49"/>
        <v>4.2299999999999995</v>
      </c>
      <c r="Q81" s="66"/>
      <c r="R81" s="63">
        <f t="shared" si="50"/>
        <v>-5.5E-2</v>
      </c>
      <c r="S81" s="64">
        <f t="shared" si="51"/>
        <v>-5.5E-2</v>
      </c>
      <c r="T81" s="63">
        <f t="shared" si="52"/>
        <v>0</v>
      </c>
      <c r="U81" s="64">
        <f t="shared" si="53"/>
        <v>0</v>
      </c>
      <c r="V81" s="207">
        <f>IF($A82="","",IF(AND(MONTH(A81)&gt;3,MONTH(A81)&lt;11),(T81+R81+G81)*Summary!$T$8/(1-Summary!$T$8),(T81+R81+G81)*Summary!$U$8/(1-Summary!$U$8)))</f>
        <v>0.20736662106703144</v>
      </c>
      <c r="W81" s="63">
        <f t="shared" si="54"/>
        <v>4.1723666210670309</v>
      </c>
      <c r="X81" s="63">
        <f t="shared" si="55"/>
        <v>4.1723666210670309</v>
      </c>
      <c r="Y81" s="43"/>
      <c r="Z81" s="38">
        <f t="shared" si="56"/>
        <v>0.5</v>
      </c>
      <c r="AA81" s="38">
        <f t="shared" si="57"/>
        <v>0.23400000000000001</v>
      </c>
      <c r="AB81" s="38">
        <f t="shared" ca="1" si="58"/>
        <v>0.23782582804067731</v>
      </c>
      <c r="AC81" s="38">
        <f t="shared" si="59"/>
        <v>0.45</v>
      </c>
      <c r="AD81" s="38">
        <f t="shared" si="59"/>
        <v>0.22750000000000001</v>
      </c>
      <c r="AE81" s="38">
        <f t="shared" ca="1" si="60"/>
        <v>0.2306985084291967</v>
      </c>
      <c r="AF81" s="237">
        <f ca="1">((Summary!$N$8*(AA81*AD81)*(A81-$D$3))+(Summary!$M$8*Z81*AC81*(AJ81-EOMONTH(EDATE(A81,-1),0))))/(AK81*AB81*AE81)</f>
        <v>0.99981844571775447</v>
      </c>
      <c r="AG81" s="88">
        <f>IF($A82="","",Summary!$Q$8)</f>
        <v>0</v>
      </c>
      <c r="AH81" s="88">
        <f>IF($A82="","",IF(Summary!$R$8="Y",(VLOOKUP($A81,Summary!$AD$6:$AF$9,3)+'Escalating commodity'!D94),'Escalating commodity'!D94))</f>
        <v>2.0023199999999998E-2</v>
      </c>
      <c r="AI81" s="88">
        <f t="shared" si="75"/>
        <v>2.0023199999999998E-2</v>
      </c>
      <c r="AJ81" s="236">
        <f t="shared" si="61"/>
        <v>39217.5</v>
      </c>
      <c r="AK81" s="58">
        <f t="shared" ca="1" si="62"/>
        <v>2177</v>
      </c>
      <c r="AL81" s="26">
        <f ca="1">IF($A82="","",_xll.SPRDOPT(P81,X81,AI81,0,AB81,AE81,AF81,AK81,$AJ$2,0))</f>
        <v>5.9715007947757276E-2</v>
      </c>
      <c r="AM81" s="89">
        <f t="shared" si="63"/>
        <v>3.7610178932968606E-2</v>
      </c>
      <c r="AN81" s="89">
        <f t="shared" ca="1" si="64"/>
        <v>2.210482901478867E-2</v>
      </c>
      <c r="AO81" s="3">
        <f t="shared" si="65"/>
        <v>31</v>
      </c>
      <c r="AP81" s="33">
        <f t="shared" si="66"/>
        <v>39203</v>
      </c>
      <c r="AQ81" s="58">
        <f t="shared" ca="1" si="67"/>
        <v>2177</v>
      </c>
      <c r="AR81" s="38">
        <f>'ANR OK vs ML7'!AR81</f>
        <v>0.1</v>
      </c>
      <c r="AS81" s="35">
        <f t="shared" ca="1" si="68"/>
        <v>0.55899869266026037</v>
      </c>
      <c r="AT81" s="3">
        <f t="shared" si="69"/>
        <v>1</v>
      </c>
      <c r="AU81" s="3">
        <f t="shared" si="70"/>
        <v>31</v>
      </c>
      <c r="AW81" s="32">
        <f t="shared" ca="1" si="71"/>
        <v>148093.21971043805</v>
      </c>
      <c r="AX81" s="32">
        <f t="shared" si="72"/>
        <v>93273.243753762144</v>
      </c>
      <c r="AY81" s="32">
        <f t="shared" ca="1" si="73"/>
        <v>54819.975956675902</v>
      </c>
      <c r="BA81" s="32">
        <f ca="1">IF($A82="","",F81*Summary!$Q$8)</f>
        <v>0</v>
      </c>
      <c r="BC81" s="256">
        <f t="shared" ca="1" si="76"/>
        <v>52139.621318534832</v>
      </c>
    </row>
    <row r="82" spans="1:55">
      <c r="A82" s="67">
        <f t="shared" si="74"/>
        <v>39234</v>
      </c>
      <c r="B82" s="69">
        <f t="shared" si="77"/>
        <v>80000</v>
      </c>
      <c r="C82" s="71"/>
      <c r="D82" s="69">
        <f t="shared" si="39"/>
        <v>80000</v>
      </c>
      <c r="E82" s="70">
        <f t="shared" si="40"/>
        <v>2400000</v>
      </c>
      <c r="F82" s="70">
        <f t="shared" ca="1" si="41"/>
        <v>1330531.6790974503</v>
      </c>
      <c r="G82" s="63">
        <f t="shared" si="42"/>
        <v>4.09</v>
      </c>
      <c r="H82" s="64">
        <f t="shared" si="43"/>
        <v>4.09</v>
      </c>
      <c r="I82" s="43"/>
      <c r="J82" s="63">
        <f t="shared" si="44"/>
        <v>0.21</v>
      </c>
      <c r="K82" s="64">
        <f t="shared" si="45"/>
        <v>0.21</v>
      </c>
      <c r="L82" s="63">
        <f t="shared" si="46"/>
        <v>0</v>
      </c>
      <c r="M82" s="64">
        <f t="shared" si="47"/>
        <v>0</v>
      </c>
      <c r="N82" s="65"/>
      <c r="O82" s="63">
        <f t="shared" si="48"/>
        <v>4.3</v>
      </c>
      <c r="P82" s="63">
        <f t="shared" si="49"/>
        <v>4.3</v>
      </c>
      <c r="Q82" s="66"/>
      <c r="R82" s="63">
        <f t="shared" si="50"/>
        <v>-5.5E-2</v>
      </c>
      <c r="S82" s="64">
        <f t="shared" si="51"/>
        <v>-5.5E-2</v>
      </c>
      <c r="T82" s="63">
        <f t="shared" si="52"/>
        <v>0</v>
      </c>
      <c r="U82" s="64">
        <f t="shared" si="53"/>
        <v>0</v>
      </c>
      <c r="V82" s="207">
        <f>IF($A83="","",IF(AND(MONTH(A82)&gt;3,MONTH(A82)&lt;11),(T82+R82+G82)*Summary!$T$8/(1-Summary!$T$8),(T82+R82+G82)*Summary!$U$8/(1-Summary!$U$8)))</f>
        <v>0.21102757024097654</v>
      </c>
      <c r="W82" s="63">
        <f t="shared" si="54"/>
        <v>4.2460275702409769</v>
      </c>
      <c r="X82" s="63">
        <f t="shared" si="55"/>
        <v>4.2460275702409769</v>
      </c>
      <c r="Y82" s="43"/>
      <c r="Z82" s="38">
        <f t="shared" si="56"/>
        <v>0.5</v>
      </c>
      <c r="AA82" s="38">
        <f t="shared" si="57"/>
        <v>0.224</v>
      </c>
      <c r="AB82" s="38">
        <f t="shared" ca="1" si="58"/>
        <v>0.22780933739181666</v>
      </c>
      <c r="AC82" s="38">
        <f t="shared" si="59"/>
        <v>0.45</v>
      </c>
      <c r="AD82" s="38">
        <f t="shared" si="59"/>
        <v>0.2175</v>
      </c>
      <c r="AE82" s="38">
        <f t="shared" ca="1" si="60"/>
        <v>0.22068836462281219</v>
      </c>
      <c r="AF82" s="237">
        <f ca="1">((Summary!$N$8*(AA82*AD82)*(A82-$D$3))+(Summary!$M$8*Z82*AC82*(AJ82-EOMONTH(EDATE(A82,-1),0))))/(AK82*AB82*AE82)</f>
        <v>0.99981807023627556</v>
      </c>
      <c r="AG82" s="88">
        <f>IF($A83="","",Summary!$Q$8)</f>
        <v>0</v>
      </c>
      <c r="AH82" s="88">
        <f>IF($A83="","",IF(Summary!$R$8="Y",(VLOOKUP($A82,Summary!$AD$6:$AF$9,3)+'Escalating commodity'!D95),'Escalating commodity'!D95))</f>
        <v>2.0023199999999998E-2</v>
      </c>
      <c r="AI82" s="88">
        <f t="shared" si="75"/>
        <v>2.0023199999999998E-2</v>
      </c>
      <c r="AJ82" s="236">
        <f t="shared" si="61"/>
        <v>39248</v>
      </c>
      <c r="AK82" s="58">
        <f t="shared" ca="1" si="62"/>
        <v>2208</v>
      </c>
      <c r="AL82" s="26">
        <f ca="1">IF($A83="","",_xll.SPRDOPT(P82,X82,AI82,0,AB82,AE82,AF82,AK82,$AJ$2,0))</f>
        <v>5.7616334130607849E-2</v>
      </c>
      <c r="AM82" s="89">
        <f t="shared" si="63"/>
        <v>3.3949229759022946E-2</v>
      </c>
      <c r="AN82" s="89">
        <f t="shared" ca="1" si="64"/>
        <v>2.3667104371584903E-2</v>
      </c>
      <c r="AO82" s="3">
        <f t="shared" si="65"/>
        <v>30</v>
      </c>
      <c r="AP82" s="33">
        <f t="shared" si="66"/>
        <v>39234</v>
      </c>
      <c r="AQ82" s="58">
        <f t="shared" ca="1" si="67"/>
        <v>2208</v>
      </c>
      <c r="AR82" s="38">
        <f>'ANR OK vs ML7'!AR82</f>
        <v>0.1</v>
      </c>
      <c r="AS82" s="35">
        <f t="shared" ca="1" si="68"/>
        <v>0.55438819962393759</v>
      </c>
      <c r="AT82" s="3">
        <f t="shared" si="69"/>
        <v>1</v>
      </c>
      <c r="AU82" s="3">
        <f t="shared" si="70"/>
        <v>30</v>
      </c>
      <c r="AW82" s="32">
        <f t="shared" ca="1" si="71"/>
        <v>138279.20191345885</v>
      </c>
      <c r="AX82" s="32">
        <f t="shared" si="72"/>
        <v>81478.151421655071</v>
      </c>
      <c r="AY82" s="32">
        <f t="shared" ca="1" si="73"/>
        <v>56801.05049180377</v>
      </c>
      <c r="BA82" s="32">
        <f ca="1">IF($A83="","",F82*Summary!$Q$8)</f>
        <v>0</v>
      </c>
      <c r="BC82" s="256">
        <f t="shared" ca="1" si="76"/>
        <v>45170.525675337929</v>
      </c>
    </row>
    <row r="83" spans="1:55">
      <c r="A83" s="67">
        <f t="shared" si="74"/>
        <v>39264</v>
      </c>
      <c r="B83" s="69">
        <f t="shared" si="77"/>
        <v>80000</v>
      </c>
      <c r="C83" s="71"/>
      <c r="D83" s="69">
        <f t="shared" si="39"/>
        <v>80000</v>
      </c>
      <c r="E83" s="70">
        <f t="shared" si="40"/>
        <v>2480000</v>
      </c>
      <c r="F83" s="70">
        <f t="shared" ca="1" si="41"/>
        <v>1363907.3508694503</v>
      </c>
      <c r="G83" s="63">
        <f t="shared" si="42"/>
        <v>4.1449999999999996</v>
      </c>
      <c r="H83" s="64">
        <f t="shared" si="43"/>
        <v>4.1449999999999996</v>
      </c>
      <c r="I83" s="43"/>
      <c r="J83" s="63">
        <f t="shared" si="44"/>
        <v>0.21</v>
      </c>
      <c r="K83" s="64">
        <f t="shared" si="45"/>
        <v>0.21</v>
      </c>
      <c r="L83" s="63">
        <f t="shared" si="46"/>
        <v>0</v>
      </c>
      <c r="M83" s="64">
        <f t="shared" si="47"/>
        <v>0</v>
      </c>
      <c r="N83" s="65"/>
      <c r="O83" s="63">
        <f t="shared" si="48"/>
        <v>4.3549999999999995</v>
      </c>
      <c r="P83" s="63">
        <f t="shared" si="49"/>
        <v>4.3549999999999995</v>
      </c>
      <c r="Q83" s="66"/>
      <c r="R83" s="63">
        <f t="shared" si="50"/>
        <v>-5.5E-2</v>
      </c>
      <c r="S83" s="64">
        <f t="shared" si="51"/>
        <v>-5.5E-2</v>
      </c>
      <c r="T83" s="63">
        <f t="shared" si="52"/>
        <v>0</v>
      </c>
      <c r="U83" s="64">
        <f t="shared" si="53"/>
        <v>0</v>
      </c>
      <c r="V83" s="207">
        <f>IF($A84="","",IF(AND(MONTH(A83)&gt;3,MONTH(A83)&lt;11),(T83+R83+G83)*Summary!$T$8/(1-Summary!$T$8),(T83+R83+G83)*Summary!$U$8/(1-Summary!$U$8)))</f>
        <v>0.2139040303062191</v>
      </c>
      <c r="W83" s="63">
        <f t="shared" si="54"/>
        <v>4.303904030306219</v>
      </c>
      <c r="X83" s="63">
        <f t="shared" si="55"/>
        <v>4.303904030306219</v>
      </c>
      <c r="Y83" s="43"/>
      <c r="Z83" s="38">
        <f t="shared" si="56"/>
        <v>0.55000000000000004</v>
      </c>
      <c r="AA83" s="38">
        <f t="shared" si="57"/>
        <v>0.224</v>
      </c>
      <c r="AB83" s="38">
        <f t="shared" ca="1" si="58"/>
        <v>0.22867768271898889</v>
      </c>
      <c r="AC83" s="38">
        <f t="shared" si="59"/>
        <v>0.5</v>
      </c>
      <c r="AD83" s="38">
        <f t="shared" si="59"/>
        <v>0.2175</v>
      </c>
      <c r="AE83" s="38">
        <f t="shared" ca="1" si="60"/>
        <v>0.22149231226458982</v>
      </c>
      <c r="AF83" s="237">
        <f ca="1">((Summary!$N$8*(AA83*AD83)*(A83-$D$3))+(Summary!$M$8*Z83*AC83*(AJ83-EOMONTH(EDATE(A83,-1),0))))/(AK83*AB83*AE83)</f>
        <v>0.99982525045915815</v>
      </c>
      <c r="AG83" s="88">
        <f>IF($A84="","",Summary!$Q$8)</f>
        <v>0</v>
      </c>
      <c r="AH83" s="88">
        <f>IF($A84="","",IF(Summary!$R$8="Y",(VLOOKUP($A83,Summary!$AD$6:$AF$9,3)+'Escalating commodity'!D96),'Escalating commodity'!D96))</f>
        <v>2.0023199999999998E-2</v>
      </c>
      <c r="AI83" s="88">
        <f t="shared" si="75"/>
        <v>2.0023199999999998E-2</v>
      </c>
      <c r="AJ83" s="236">
        <f t="shared" si="61"/>
        <v>39278.5</v>
      </c>
      <c r="AK83" s="58">
        <f t="shared" ca="1" si="62"/>
        <v>2238</v>
      </c>
      <c r="AL83" s="26">
        <f ca="1">IF($A84="","",_xll.SPRDOPT(P83,X83,AI83,0,AB83,AE83,AF83,AK83,$AJ$2,0))</f>
        <v>5.6515710177548341E-2</v>
      </c>
      <c r="AM83" s="89">
        <f t="shared" si="63"/>
        <v>3.1072769693780498E-2</v>
      </c>
      <c r="AN83" s="89">
        <f t="shared" ca="1" si="64"/>
        <v>2.5442940483767842E-2</v>
      </c>
      <c r="AO83" s="3">
        <f t="shared" si="65"/>
        <v>31</v>
      </c>
      <c r="AP83" s="33">
        <f t="shared" si="66"/>
        <v>39264</v>
      </c>
      <c r="AQ83" s="58">
        <f t="shared" ca="1" si="67"/>
        <v>2238</v>
      </c>
      <c r="AR83" s="38">
        <f>'ANR OK vs ML7'!AR83</f>
        <v>0.1</v>
      </c>
      <c r="AS83" s="35">
        <f t="shared" ca="1" si="68"/>
        <v>0.54996264147961704</v>
      </c>
      <c r="AT83" s="3">
        <f t="shared" si="69"/>
        <v>1</v>
      </c>
      <c r="AU83" s="3">
        <f t="shared" si="70"/>
        <v>31</v>
      </c>
      <c r="AW83" s="32">
        <f t="shared" ca="1" si="71"/>
        <v>140158.96124031988</v>
      </c>
      <c r="AX83" s="32">
        <f t="shared" si="72"/>
        <v>77060.468840575631</v>
      </c>
      <c r="AY83" s="32">
        <f t="shared" ca="1" si="73"/>
        <v>63098.492399744253</v>
      </c>
      <c r="BA83" s="32">
        <f ca="1">IF($A84="","",F83*Summary!$Q$8)</f>
        <v>0</v>
      </c>
      <c r="BC83" s="256">
        <f t="shared" ca="1" si="76"/>
        <v>42380.378997220701</v>
      </c>
    </row>
    <row r="84" spans="1:55">
      <c r="A84" s="67">
        <f t="shared" si="74"/>
        <v>39295</v>
      </c>
      <c r="B84" s="69">
        <f t="shared" si="77"/>
        <v>80000</v>
      </c>
      <c r="C84" s="71"/>
      <c r="D84" s="69">
        <f t="shared" si="39"/>
        <v>80000</v>
      </c>
      <c r="E84" s="70">
        <f t="shared" si="40"/>
        <v>2480000</v>
      </c>
      <c r="F84" s="70">
        <f t="shared" ca="1" si="41"/>
        <v>1352658.1557891411</v>
      </c>
      <c r="G84" s="63">
        <f t="shared" si="42"/>
        <v>4.2010000000000005</v>
      </c>
      <c r="H84" s="64">
        <f t="shared" si="43"/>
        <v>4.2010000000000005</v>
      </c>
      <c r="I84" s="43"/>
      <c r="J84" s="63">
        <f t="shared" si="44"/>
        <v>0.21</v>
      </c>
      <c r="K84" s="64">
        <f t="shared" si="45"/>
        <v>0.21</v>
      </c>
      <c r="L84" s="63">
        <f t="shared" si="46"/>
        <v>0</v>
      </c>
      <c r="M84" s="64">
        <f t="shared" si="47"/>
        <v>0</v>
      </c>
      <c r="N84" s="65"/>
      <c r="O84" s="63">
        <f t="shared" si="48"/>
        <v>4.4110000000000005</v>
      </c>
      <c r="P84" s="63">
        <f t="shared" si="49"/>
        <v>4.4110000000000005</v>
      </c>
      <c r="Q84" s="66"/>
      <c r="R84" s="63">
        <f t="shared" si="50"/>
        <v>-5.5E-2</v>
      </c>
      <c r="S84" s="64">
        <f t="shared" si="51"/>
        <v>-5.5E-2</v>
      </c>
      <c r="T84" s="63">
        <f t="shared" si="52"/>
        <v>0</v>
      </c>
      <c r="U84" s="64">
        <f t="shared" si="53"/>
        <v>0</v>
      </c>
      <c r="V84" s="207">
        <f>IF($A85="","",IF(AND(MONTH(A84)&gt;3,MONTH(A84)&lt;11),(T84+R84+G84)*Summary!$T$8/(1-Summary!$T$8),(T84+R84+G84)*Summary!$U$8/(1-Summary!$U$8)))</f>
        <v>0.2168327896453752</v>
      </c>
      <c r="W84" s="63">
        <f t="shared" si="54"/>
        <v>4.3628327896453758</v>
      </c>
      <c r="X84" s="63">
        <f t="shared" si="55"/>
        <v>4.3628327896453758</v>
      </c>
      <c r="Y84" s="43"/>
      <c r="Z84" s="38">
        <f t="shared" si="56"/>
        <v>0.6</v>
      </c>
      <c r="AA84" s="38">
        <f t="shared" si="57"/>
        <v>0.224</v>
      </c>
      <c r="AB84" s="38">
        <f t="shared" ca="1" si="58"/>
        <v>0.22947188683765182</v>
      </c>
      <c r="AC84" s="38">
        <f t="shared" si="59"/>
        <v>0.55000000000000004</v>
      </c>
      <c r="AD84" s="38">
        <f t="shared" si="59"/>
        <v>0.2175</v>
      </c>
      <c r="AE84" s="38">
        <f t="shared" ca="1" si="60"/>
        <v>0.22224657005713169</v>
      </c>
      <c r="AF84" s="237">
        <f ca="1">((Summary!$N$8*(AA84*AD84)*(A84-$D$3))+(Summary!$M$8*Z84*AC84*(AJ84-EOMONTH(EDATE(A84,-1),0))))/(AK84*AB84*AE84)</f>
        <v>0.9998344123632833</v>
      </c>
      <c r="AG84" s="88">
        <f>IF($A85="","",Summary!$Q$8)</f>
        <v>0</v>
      </c>
      <c r="AH84" s="88">
        <f>IF($A85="","",IF(Summary!$R$8="Y",(VLOOKUP($A84,Summary!$AD$6:$AF$9,3)+'Escalating commodity'!D97),'Escalating commodity'!D97))</f>
        <v>2.0023199999999998E-2</v>
      </c>
      <c r="AI84" s="88">
        <f t="shared" si="75"/>
        <v>2.0023199999999998E-2</v>
      </c>
      <c r="AJ84" s="236">
        <f t="shared" si="61"/>
        <v>39309.5</v>
      </c>
      <c r="AK84" s="58">
        <f t="shared" ca="1" si="62"/>
        <v>2269</v>
      </c>
      <c r="AL84" s="26">
        <f ca="1">IF($A85="","",_xll.SPRDOPT(P84,X84,AI84,0,AB84,AE84,AF84,AK84,$AJ$2,0))</f>
        <v>5.5258463489342838E-2</v>
      </c>
      <c r="AM84" s="89">
        <f t="shared" si="63"/>
        <v>2.8144010354624681E-2</v>
      </c>
      <c r="AN84" s="89">
        <f t="shared" ca="1" si="64"/>
        <v>2.7114453134718157E-2</v>
      </c>
      <c r="AO84" s="3">
        <f t="shared" si="65"/>
        <v>31</v>
      </c>
      <c r="AP84" s="33">
        <f t="shared" si="66"/>
        <v>39295</v>
      </c>
      <c r="AQ84" s="58">
        <f t="shared" ca="1" si="67"/>
        <v>2269</v>
      </c>
      <c r="AR84" s="38">
        <f>'ANR OK vs ML7'!AR84</f>
        <v>0.1</v>
      </c>
      <c r="AS84" s="35">
        <f t="shared" ca="1" si="68"/>
        <v>0.54542667572142789</v>
      </c>
      <c r="AT84" s="3">
        <f t="shared" si="69"/>
        <v>1</v>
      </c>
      <c r="AU84" s="3">
        <f t="shared" si="70"/>
        <v>31</v>
      </c>
      <c r="AW84" s="32">
        <f t="shared" ca="1" si="71"/>
        <v>137040.98945357025</v>
      </c>
      <c r="AX84" s="32">
        <f t="shared" si="72"/>
        <v>69797.145679469206</v>
      </c>
      <c r="AY84" s="32">
        <f t="shared" ca="1" si="73"/>
        <v>67243.843774101028</v>
      </c>
      <c r="BA84" s="32">
        <f ca="1">IF($A85="","",F84*Summary!$Q$8)</f>
        <v>0</v>
      </c>
      <c r="BC84" s="256">
        <f t="shared" ca="1" si="76"/>
        <v>38069.225142797113</v>
      </c>
    </row>
    <row r="85" spans="1:55">
      <c r="A85" s="67">
        <f t="shared" si="74"/>
        <v>39326</v>
      </c>
      <c r="B85" s="69">
        <f t="shared" si="77"/>
        <v>80000</v>
      </c>
      <c r="C85" s="71"/>
      <c r="D85" s="69">
        <f t="shared" si="39"/>
        <v>80000</v>
      </c>
      <c r="E85" s="70">
        <f t="shared" si="40"/>
        <v>2400000</v>
      </c>
      <c r="F85" s="70">
        <f t="shared" ca="1" si="41"/>
        <v>1298227.4917648712</v>
      </c>
      <c r="G85" s="63">
        <f t="shared" si="42"/>
        <v>4.2149999999999999</v>
      </c>
      <c r="H85" s="64">
        <f t="shared" si="43"/>
        <v>4.2149999999999999</v>
      </c>
      <c r="I85" s="43"/>
      <c r="J85" s="63">
        <f t="shared" si="44"/>
        <v>0.21</v>
      </c>
      <c r="K85" s="64">
        <f t="shared" si="45"/>
        <v>0.21</v>
      </c>
      <c r="L85" s="63">
        <f t="shared" si="46"/>
        <v>0</v>
      </c>
      <c r="M85" s="64">
        <f t="shared" si="47"/>
        <v>0</v>
      </c>
      <c r="N85" s="65"/>
      <c r="O85" s="63">
        <f t="shared" si="48"/>
        <v>4.4249999999999998</v>
      </c>
      <c r="P85" s="63">
        <f t="shared" si="49"/>
        <v>4.4249999999999998</v>
      </c>
      <c r="Q85" s="66"/>
      <c r="R85" s="63">
        <f t="shared" si="50"/>
        <v>-5.5E-2</v>
      </c>
      <c r="S85" s="64">
        <f t="shared" si="51"/>
        <v>-5.5E-2</v>
      </c>
      <c r="T85" s="63">
        <f t="shared" si="52"/>
        <v>0</v>
      </c>
      <c r="U85" s="64">
        <f t="shared" si="53"/>
        <v>0</v>
      </c>
      <c r="V85" s="207">
        <f>IF($A86="","",IF(AND(MONTH(A85)&gt;3,MONTH(A85)&lt;11),(T85+R85+G85)*Summary!$T$8/(1-Summary!$T$8),(T85+R85+G85)*Summary!$U$8/(1-Summary!$U$8)))</f>
        <v>0.21756497948016418</v>
      </c>
      <c r="W85" s="63">
        <f t="shared" si="54"/>
        <v>4.3775649794801641</v>
      </c>
      <c r="X85" s="63">
        <f t="shared" si="55"/>
        <v>4.3775649794801641</v>
      </c>
      <c r="Y85" s="43"/>
      <c r="Z85" s="38">
        <f t="shared" si="56"/>
        <v>0.6</v>
      </c>
      <c r="AA85" s="38">
        <f t="shared" si="57"/>
        <v>0.224</v>
      </c>
      <c r="AB85" s="38">
        <f t="shared" ca="1" si="58"/>
        <v>0.22922836155050805</v>
      </c>
      <c r="AC85" s="38">
        <f t="shared" si="59"/>
        <v>0.55000000000000004</v>
      </c>
      <c r="AD85" s="38">
        <f t="shared" si="59"/>
        <v>0.2175</v>
      </c>
      <c r="AE85" s="38">
        <f t="shared" ca="1" si="60"/>
        <v>0.22203523148757073</v>
      </c>
      <c r="AF85" s="237">
        <f ca="1">((Summary!$N$8*(AA85*AD85)*(A85-$D$3))+(Summary!$M$8*Z85*AC85*(AJ85-EOMONTH(EDATE(A85,-1),0))))/(AK85*AB85*AE85)</f>
        <v>0.99983712293476756</v>
      </c>
      <c r="AG85" s="88">
        <f>IF($A86="","",Summary!$Q$8)</f>
        <v>0</v>
      </c>
      <c r="AH85" s="88">
        <f>IF($A86="","",IF(Summary!$R$8="Y",(VLOOKUP($A85,Summary!$AD$6:$AF$9,3)+'Escalating commodity'!D98),'Escalating commodity'!D98))</f>
        <v>2.0023199999999998E-2</v>
      </c>
      <c r="AI85" s="88">
        <f t="shared" si="75"/>
        <v>2.0023199999999998E-2</v>
      </c>
      <c r="AJ85" s="236">
        <f t="shared" si="61"/>
        <v>39340</v>
      </c>
      <c r="AK85" s="58">
        <f t="shared" ca="1" si="62"/>
        <v>2300</v>
      </c>
      <c r="AL85" s="26">
        <f ca="1">IF($A86="","",_xll.SPRDOPT(P85,X85,AI85,0,AB85,AE85,AF85,AK85,$AJ$2,0))</f>
        <v>5.4938488361489415E-2</v>
      </c>
      <c r="AM85" s="89">
        <f t="shared" si="63"/>
        <v>2.7411820519835726E-2</v>
      </c>
      <c r="AN85" s="89">
        <f t="shared" ca="1" si="64"/>
        <v>2.7526667841653689E-2</v>
      </c>
      <c r="AO85" s="3">
        <f t="shared" si="65"/>
        <v>30</v>
      </c>
      <c r="AP85" s="33">
        <f t="shared" si="66"/>
        <v>39326</v>
      </c>
      <c r="AQ85" s="58">
        <f t="shared" ca="1" si="67"/>
        <v>2300</v>
      </c>
      <c r="AR85" s="38">
        <f>'ANR OK vs ML7'!AR85</f>
        <v>0.1</v>
      </c>
      <c r="AS85" s="35">
        <f t="shared" ca="1" si="68"/>
        <v>0.5409281215686963</v>
      </c>
      <c r="AT85" s="3">
        <f t="shared" si="69"/>
        <v>1</v>
      </c>
      <c r="AU85" s="3">
        <f t="shared" si="70"/>
        <v>30</v>
      </c>
      <c r="AW85" s="32">
        <f t="shared" ca="1" si="71"/>
        <v>131852.37206757459</v>
      </c>
      <c r="AX85" s="32">
        <f t="shared" si="72"/>
        <v>65788.369247605748</v>
      </c>
      <c r="AY85" s="32">
        <f t="shared" ca="1" si="73"/>
        <v>66064.002819968853</v>
      </c>
      <c r="BA85" s="32">
        <f ca="1">IF($A86="","",F85*Summary!$Q$8)</f>
        <v>0</v>
      </c>
      <c r="BC85" s="256">
        <f t="shared" ca="1" si="76"/>
        <v>35586.778998175163</v>
      </c>
    </row>
    <row r="86" spans="1:55">
      <c r="A86" s="67">
        <f t="shared" si="74"/>
        <v>39356</v>
      </c>
      <c r="B86" s="69">
        <f t="shared" si="77"/>
        <v>80000</v>
      </c>
      <c r="C86" s="71"/>
      <c r="D86" s="69">
        <f t="shared" si="39"/>
        <v>80000</v>
      </c>
      <c r="E86" s="70">
        <f t="shared" si="40"/>
        <v>2480000</v>
      </c>
      <c r="F86" s="70">
        <f t="shared" ca="1" si="41"/>
        <v>1330792.8303668974</v>
      </c>
      <c r="G86" s="63">
        <f t="shared" si="42"/>
        <v>4.2460000000000004</v>
      </c>
      <c r="H86" s="64">
        <f t="shared" si="43"/>
        <v>4.2460000000000004</v>
      </c>
      <c r="I86" s="43"/>
      <c r="J86" s="63">
        <f t="shared" si="44"/>
        <v>0.21</v>
      </c>
      <c r="K86" s="64">
        <f t="shared" si="45"/>
        <v>0.21</v>
      </c>
      <c r="L86" s="63">
        <f t="shared" si="46"/>
        <v>0</v>
      </c>
      <c r="M86" s="64">
        <f t="shared" si="47"/>
        <v>0</v>
      </c>
      <c r="N86" s="65"/>
      <c r="O86" s="63">
        <f t="shared" si="48"/>
        <v>4.4560000000000004</v>
      </c>
      <c r="P86" s="63">
        <f t="shared" si="49"/>
        <v>4.4560000000000004</v>
      </c>
      <c r="Q86" s="66"/>
      <c r="R86" s="63">
        <f t="shared" si="50"/>
        <v>-5.5E-2</v>
      </c>
      <c r="S86" s="64">
        <f t="shared" si="51"/>
        <v>-5.5E-2</v>
      </c>
      <c r="T86" s="63">
        <f t="shared" si="52"/>
        <v>0</v>
      </c>
      <c r="U86" s="64">
        <f t="shared" si="53"/>
        <v>0</v>
      </c>
      <c r="V86" s="207">
        <f>IF($A87="","",IF(AND(MONTH(A86)&gt;3,MONTH(A86)&lt;11),(T86+R86+G86)*Summary!$T$8/(1-Summary!$T$8),(T86+R86+G86)*Summary!$U$8/(1-Summary!$U$8)))</f>
        <v>0.21918625697148275</v>
      </c>
      <c r="W86" s="63">
        <f t="shared" si="54"/>
        <v>4.4101862569714836</v>
      </c>
      <c r="X86" s="63">
        <f t="shared" si="55"/>
        <v>4.4101862569714836</v>
      </c>
      <c r="Y86" s="43"/>
      <c r="Z86" s="38">
        <f t="shared" si="56"/>
        <v>0.65</v>
      </c>
      <c r="AA86" s="38">
        <f t="shared" si="57"/>
        <v>0.224</v>
      </c>
      <c r="AB86" s="38">
        <f t="shared" ca="1" si="58"/>
        <v>0.23023500403184802</v>
      </c>
      <c r="AC86" s="38">
        <f t="shared" si="59"/>
        <v>0.6</v>
      </c>
      <c r="AD86" s="38">
        <f t="shared" si="59"/>
        <v>0.2175</v>
      </c>
      <c r="AE86" s="38">
        <f t="shared" ca="1" si="60"/>
        <v>0.22298296548614585</v>
      </c>
      <c r="AF86" s="237">
        <f ca="1">((Summary!$N$8*(AA86*AD86)*(A86-$D$3))+(Summary!$M$8*Z86*AC86*(AJ86-EOMONTH(EDATE(A86,-1),0))))/(AK86*AB86*AE86)</f>
        <v>0.99984363432650358</v>
      </c>
      <c r="AG86" s="88">
        <f>IF($A87="","",Summary!$Q$8)</f>
        <v>0</v>
      </c>
      <c r="AH86" s="88">
        <f>IF($A87="","",IF(Summary!$R$8="Y",(VLOOKUP($A86,Summary!$AD$6:$AF$9,3)+'Escalating commodity'!D99),'Escalating commodity'!D99))</f>
        <v>2.0023199999999998E-2</v>
      </c>
      <c r="AI86" s="88">
        <f t="shared" si="75"/>
        <v>2.0023199999999998E-2</v>
      </c>
      <c r="AJ86" s="236">
        <f t="shared" si="61"/>
        <v>39370.5</v>
      </c>
      <c r="AK86" s="58">
        <f t="shared" ca="1" si="62"/>
        <v>2330</v>
      </c>
      <c r="AL86" s="26">
        <f ca="1">IF($A87="","",_xll.SPRDOPT(P86,X86,AI86,0,AB86,AE86,AF86,AK86,$AJ$2,0))</f>
        <v>5.4609393650176599E-2</v>
      </c>
      <c r="AM86" s="89">
        <f t="shared" si="63"/>
        <v>2.579054302851682E-2</v>
      </c>
      <c r="AN86" s="89">
        <f t="shared" ca="1" si="64"/>
        <v>2.8818850621659779E-2</v>
      </c>
      <c r="AO86" s="3">
        <f t="shared" si="65"/>
        <v>31</v>
      </c>
      <c r="AP86" s="33">
        <f t="shared" si="66"/>
        <v>39356</v>
      </c>
      <c r="AQ86" s="58">
        <f t="shared" ca="1" si="67"/>
        <v>2330</v>
      </c>
      <c r="AR86" s="38">
        <f>'ANR OK vs ML7'!AR86</f>
        <v>0.1</v>
      </c>
      <c r="AS86" s="35">
        <f t="shared" ca="1" si="68"/>
        <v>0.53661001224471672</v>
      </c>
      <c r="AT86" s="3">
        <f t="shared" si="69"/>
        <v>1</v>
      </c>
      <c r="AU86" s="3">
        <f t="shared" si="70"/>
        <v>31</v>
      </c>
      <c r="AW86" s="32">
        <f t="shared" ca="1" si="71"/>
        <v>135431.29625243795</v>
      </c>
      <c r="AX86" s="32">
        <f t="shared" si="72"/>
        <v>63960.546710721712</v>
      </c>
      <c r="AY86" s="32">
        <f t="shared" ca="1" si="73"/>
        <v>71470.749541716257</v>
      </c>
      <c r="BA86" s="32">
        <f ca="1">IF($A87="","",F86*Summary!$Q$8)</f>
        <v>0</v>
      </c>
      <c r="BC86" s="256">
        <f t="shared" ca="1" si="76"/>
        <v>34321.869753619154</v>
      </c>
    </row>
    <row r="87" spans="1:55">
      <c r="A87" s="67">
        <f t="shared" si="74"/>
        <v>39387</v>
      </c>
      <c r="B87" s="69">
        <f t="shared" si="77"/>
        <v>80000</v>
      </c>
      <c r="C87" s="71"/>
      <c r="D87" s="69">
        <f t="shared" si="39"/>
        <v>80000</v>
      </c>
      <c r="E87" s="70">
        <f t="shared" si="40"/>
        <v>2400000</v>
      </c>
      <c r="F87" s="70">
        <f t="shared" ca="1" si="41"/>
        <v>1277242.0221855438</v>
      </c>
      <c r="G87" s="63">
        <f t="shared" si="42"/>
        <v>4.3790000000000004</v>
      </c>
      <c r="H87" s="64">
        <f t="shared" si="43"/>
        <v>4.3790000000000004</v>
      </c>
      <c r="I87" s="43"/>
      <c r="J87" s="63">
        <f t="shared" si="44"/>
        <v>0.32500000000000001</v>
      </c>
      <c r="K87" s="64">
        <f t="shared" si="45"/>
        <v>0.32500000000000001</v>
      </c>
      <c r="L87" s="63">
        <f t="shared" si="46"/>
        <v>0</v>
      </c>
      <c r="M87" s="64">
        <f t="shared" si="47"/>
        <v>0</v>
      </c>
      <c r="N87" s="65"/>
      <c r="O87" s="63">
        <f t="shared" si="48"/>
        <v>4.7040000000000006</v>
      </c>
      <c r="P87" s="63">
        <f t="shared" si="49"/>
        <v>4.7040000000000006</v>
      </c>
      <c r="Q87" s="66"/>
      <c r="R87" s="63">
        <f t="shared" si="50"/>
        <v>-5.5E-2</v>
      </c>
      <c r="S87" s="64">
        <f t="shared" si="51"/>
        <v>-5.5E-2</v>
      </c>
      <c r="T87" s="63">
        <f t="shared" si="52"/>
        <v>5.0000000000000001E-3</v>
      </c>
      <c r="U87" s="64">
        <f t="shared" si="53"/>
        <v>5.0000000000000001E-3</v>
      </c>
      <c r="V87" s="207">
        <f>IF($A88="","",IF(AND(MONTH(A87)&gt;3,MONTH(A87)&lt;11),(T87+R87+G87)*Summary!$T$8/(1-Summary!$T$8),(T87+R87+G87)*Summary!$U$8/(1-Summary!$U$8)))</f>
        <v>0.22640355677154586</v>
      </c>
      <c r="W87" s="63">
        <f t="shared" si="54"/>
        <v>4.5554035567715463</v>
      </c>
      <c r="X87" s="63">
        <f t="shared" si="55"/>
        <v>4.5554035567715463</v>
      </c>
      <c r="Y87" s="43"/>
      <c r="Z87" s="38">
        <f t="shared" si="56"/>
        <v>0.8</v>
      </c>
      <c r="AA87" s="38">
        <f t="shared" si="57"/>
        <v>0.224</v>
      </c>
      <c r="AB87" s="38">
        <f t="shared" ca="1" si="58"/>
        <v>0.23294489844047916</v>
      </c>
      <c r="AC87" s="38">
        <f t="shared" si="59"/>
        <v>0.8</v>
      </c>
      <c r="AD87" s="38">
        <f t="shared" si="59"/>
        <v>0.2175</v>
      </c>
      <c r="AE87" s="38">
        <f t="shared" ca="1" si="60"/>
        <v>0.2266988315556934</v>
      </c>
      <c r="AF87" s="237">
        <f ca="1">((Summary!$N$8*(AA87*AD87)*(A87-$D$3))+(Summary!$M$8*Z87*AC87*(AJ87-EOMONTH(EDATE(A87,-1),0))))/(AK87*AB87*AE87)</f>
        <v>0.99987688808805553</v>
      </c>
      <c r="AG87" s="88">
        <f>IF($A88="","",Summary!$Q$8)</f>
        <v>0</v>
      </c>
      <c r="AH87" s="88">
        <f>IF($A88="","",IF(Summary!$R$8="Y",(VLOOKUP($A87,Summary!$AD$6:$AF$9,3)+'Escalating commodity'!D100),'Escalating commodity'!D100))</f>
        <v>2.0023199999999998E-2</v>
      </c>
      <c r="AI87" s="88">
        <f t="shared" si="75"/>
        <v>2.0023199999999998E-2</v>
      </c>
      <c r="AJ87" s="236">
        <f t="shared" si="61"/>
        <v>39401</v>
      </c>
      <c r="AK87" s="58">
        <f t="shared" ca="1" si="62"/>
        <v>2361</v>
      </c>
      <c r="AL87" s="26">
        <f ca="1">IF($A88="","",_xll.SPRDOPT(P87,X87,AI87,0,AB87,AE87,AF87,AK87,$AJ$2,0))</f>
        <v>0.1333569045077502</v>
      </c>
      <c r="AM87" s="89">
        <f t="shared" si="63"/>
        <v>0.12857324322845434</v>
      </c>
      <c r="AN87" s="89">
        <f t="shared" ca="1" si="64"/>
        <v>4.7836612792958588E-3</v>
      </c>
      <c r="AO87" s="3">
        <f t="shared" si="65"/>
        <v>30</v>
      </c>
      <c r="AP87" s="33">
        <f t="shared" si="66"/>
        <v>39387</v>
      </c>
      <c r="AQ87" s="58">
        <f t="shared" ca="1" si="67"/>
        <v>2361</v>
      </c>
      <c r="AR87" s="38">
        <f>'ANR OK vs ML7'!AR87</f>
        <v>0.1</v>
      </c>
      <c r="AS87" s="35">
        <f t="shared" ca="1" si="68"/>
        <v>0.53218417591064326</v>
      </c>
      <c r="AT87" s="3">
        <f t="shared" si="69"/>
        <v>1</v>
      </c>
      <c r="AU87" s="3">
        <f t="shared" si="70"/>
        <v>30</v>
      </c>
      <c r="AW87" s="32">
        <f t="shared" ca="1" si="71"/>
        <v>320056.57081860048</v>
      </c>
      <c r="AX87" s="32">
        <f t="shared" si="72"/>
        <v>308575.78374829044</v>
      </c>
      <c r="AY87" s="32">
        <f t="shared" ca="1" si="73"/>
        <v>11480.787070310062</v>
      </c>
      <c r="BA87" s="32">
        <f ca="1">IF($A88="","",F87*Summary!$Q$8)</f>
        <v>0</v>
      </c>
      <c r="BC87" s="256">
        <f t="shared" ca="1" si="76"/>
        <v>164219.14918006479</v>
      </c>
    </row>
    <row r="88" spans="1:55">
      <c r="A88" s="67">
        <f t="shared" si="74"/>
        <v>39417</v>
      </c>
      <c r="B88" s="69">
        <f t="shared" si="77"/>
        <v>80000</v>
      </c>
      <c r="C88" s="71"/>
      <c r="D88" s="69">
        <f t="shared" si="39"/>
        <v>80000</v>
      </c>
      <c r="E88" s="70">
        <f t="shared" si="40"/>
        <v>2480000</v>
      </c>
      <c r="F88" s="70">
        <f t="shared" ca="1" si="41"/>
        <v>1309280.951566607</v>
      </c>
      <c r="G88" s="63">
        <f t="shared" si="42"/>
        <v>4.5170000000000003</v>
      </c>
      <c r="H88" s="64">
        <f t="shared" si="43"/>
        <v>4.5170000000000003</v>
      </c>
      <c r="I88" s="43"/>
      <c r="J88" s="63">
        <f t="shared" si="44"/>
        <v>0.32500000000000001</v>
      </c>
      <c r="K88" s="64">
        <f t="shared" si="45"/>
        <v>0.32500000000000001</v>
      </c>
      <c r="L88" s="63">
        <f t="shared" si="46"/>
        <v>0</v>
      </c>
      <c r="M88" s="64">
        <f t="shared" si="47"/>
        <v>0</v>
      </c>
      <c r="N88" s="65"/>
      <c r="O88" s="63">
        <f t="shared" si="48"/>
        <v>4.8420000000000005</v>
      </c>
      <c r="P88" s="63">
        <f t="shared" si="49"/>
        <v>4.8420000000000005</v>
      </c>
      <c r="Q88" s="66"/>
      <c r="R88" s="63">
        <f t="shared" si="50"/>
        <v>-5.5E-2</v>
      </c>
      <c r="S88" s="64">
        <f t="shared" si="51"/>
        <v>-5.5E-2</v>
      </c>
      <c r="T88" s="63">
        <f t="shared" si="52"/>
        <v>5.0000000000000001E-3</v>
      </c>
      <c r="U88" s="64">
        <f t="shared" si="53"/>
        <v>5.0000000000000001E-3</v>
      </c>
      <c r="V88" s="207">
        <f>IF($A89="","",IF(AND(MONTH(A88)&gt;3,MONTH(A88)&lt;11),(T88+R88+G88)*Summary!$T$8/(1-Summary!$T$8),(T88+R88+G88)*Summary!$U$8/(1-Summary!$U$8)))</f>
        <v>0.233620856571609</v>
      </c>
      <c r="W88" s="63">
        <f t="shared" si="54"/>
        <v>4.7006208565716099</v>
      </c>
      <c r="X88" s="63">
        <f t="shared" si="55"/>
        <v>4.7006208565716099</v>
      </c>
      <c r="Y88" s="43"/>
      <c r="Z88" s="38">
        <f t="shared" si="56"/>
        <v>1.1000000000000001</v>
      </c>
      <c r="AA88" s="38">
        <f t="shared" si="57"/>
        <v>0.224</v>
      </c>
      <c r="AB88" s="38">
        <f t="shared" ca="1" si="58"/>
        <v>0.24091696430270976</v>
      </c>
      <c r="AC88" s="38">
        <f t="shared" si="59"/>
        <v>1</v>
      </c>
      <c r="AD88" s="38">
        <f t="shared" si="59"/>
        <v>0.2175</v>
      </c>
      <c r="AE88" s="38">
        <f t="shared" ca="1" si="60"/>
        <v>0.23196697691104223</v>
      </c>
      <c r="AF88" s="237">
        <f ca="1">((Summary!$N$8*(AA88*AD88)*(A88-$D$3))+(Summary!$M$8*Z88*AC88*(AJ88-EOMONTH(EDATE(A88,-1),0))))/(AK88*AB88*AE88)</f>
        <v>0.99967128882026968</v>
      </c>
      <c r="AG88" s="88">
        <f>IF($A89="","",Summary!$Q$8)</f>
        <v>0</v>
      </c>
      <c r="AH88" s="88">
        <f>IF($A89="","",IF(Summary!$R$8="Y",(VLOOKUP($A88,Summary!$AD$6:$AF$9,3)+'Escalating commodity'!D101),'Escalating commodity'!D101))</f>
        <v>2.0023199999999998E-2</v>
      </c>
      <c r="AI88" s="88">
        <f t="shared" si="75"/>
        <v>2.0023199999999998E-2</v>
      </c>
      <c r="AJ88" s="236">
        <f t="shared" si="61"/>
        <v>39431.5</v>
      </c>
      <c r="AK88" s="58">
        <f t="shared" ca="1" si="62"/>
        <v>2391</v>
      </c>
      <c r="AL88" s="26">
        <f ca="1">IF($A89="","",_xll.SPRDOPT(P88,X88,AI88,0,AB88,AE88,AF88,AK88,$AJ$2,0))</f>
        <v>0.13736838869911897</v>
      </c>
      <c r="AM88" s="89">
        <f t="shared" si="63"/>
        <v>0.12135594342839065</v>
      </c>
      <c r="AN88" s="89">
        <f t="shared" ca="1" si="64"/>
        <v>1.6012445270728315E-2</v>
      </c>
      <c r="AO88" s="3">
        <f t="shared" si="65"/>
        <v>31</v>
      </c>
      <c r="AP88" s="33">
        <f t="shared" si="66"/>
        <v>39417</v>
      </c>
      <c r="AQ88" s="58">
        <f t="shared" ca="1" si="67"/>
        <v>2391</v>
      </c>
      <c r="AR88" s="38">
        <f>'ANR OK vs ML7'!AR88</f>
        <v>0.1</v>
      </c>
      <c r="AS88" s="35">
        <f t="shared" ca="1" si="68"/>
        <v>0.52793586756718025</v>
      </c>
      <c r="AT88" s="3">
        <f t="shared" si="69"/>
        <v>1</v>
      </c>
      <c r="AU88" s="3">
        <f t="shared" si="70"/>
        <v>31</v>
      </c>
      <c r="AW88" s="32">
        <f t="shared" ca="1" si="71"/>
        <v>340673.60397381504</v>
      </c>
      <c r="AX88" s="32">
        <f t="shared" si="72"/>
        <v>300962.73970240878</v>
      </c>
      <c r="AY88" s="32">
        <f t="shared" ca="1" si="73"/>
        <v>39710.864271406223</v>
      </c>
      <c r="BA88" s="32">
        <f ca="1">IF($A89="","",F88*Summary!$Q$8)</f>
        <v>0</v>
      </c>
      <c r="BC88" s="256">
        <f t="shared" ca="1" si="76"/>
        <v>158889.02509018662</v>
      </c>
    </row>
    <row r="89" spans="1:55">
      <c r="A89" s="67">
        <f t="shared" si="74"/>
        <v>39448</v>
      </c>
      <c r="B89" s="69">
        <f t="shared" si="77"/>
        <v>80000</v>
      </c>
      <c r="C89" s="71"/>
      <c r="D89" s="69">
        <f t="shared" si="39"/>
        <v>80000</v>
      </c>
      <c r="E89" s="70">
        <f t="shared" si="40"/>
        <v>2480000</v>
      </c>
      <c r="F89" s="70">
        <f t="shared" ca="1" si="41"/>
        <v>1298482.3025016857</v>
      </c>
      <c r="G89" s="63">
        <f t="shared" si="42"/>
        <v>4.5339999999999998</v>
      </c>
      <c r="H89" s="64">
        <f t="shared" si="43"/>
        <v>4.5339999999999998</v>
      </c>
      <c r="I89" s="43"/>
      <c r="J89" s="63">
        <f t="shared" si="44"/>
        <v>0.32500000000000001</v>
      </c>
      <c r="K89" s="64">
        <f t="shared" si="45"/>
        <v>0.32500000000000001</v>
      </c>
      <c r="L89" s="63">
        <f t="shared" si="46"/>
        <v>0</v>
      </c>
      <c r="M89" s="64">
        <f t="shared" si="47"/>
        <v>0</v>
      </c>
      <c r="N89" s="65"/>
      <c r="O89" s="63">
        <f t="shared" si="48"/>
        <v>4.859</v>
      </c>
      <c r="P89" s="63">
        <f t="shared" si="49"/>
        <v>4.859</v>
      </c>
      <c r="Q89" s="66"/>
      <c r="R89" s="63">
        <f t="shared" si="50"/>
        <v>-5.5E-2</v>
      </c>
      <c r="S89" s="64">
        <f t="shared" si="51"/>
        <v>-5.5E-2</v>
      </c>
      <c r="T89" s="63">
        <f t="shared" si="52"/>
        <v>5.0000000000000001E-3</v>
      </c>
      <c r="U89" s="64">
        <f t="shared" si="53"/>
        <v>5.0000000000000001E-3</v>
      </c>
      <c r="V89" s="207">
        <f>IF($A90="","",IF(AND(MONTH(A89)&gt;3,MONTH(A89)&lt;11),(T89+R89+G89)*Summary!$T$8/(1-Summary!$T$8),(T89+R89+G89)*Summary!$U$8/(1-Summary!$U$8)))</f>
        <v>0.23450994422813848</v>
      </c>
      <c r="W89" s="63">
        <f t="shared" si="54"/>
        <v>4.7185099442281384</v>
      </c>
      <c r="X89" s="63">
        <f t="shared" si="55"/>
        <v>4.7185099442281384</v>
      </c>
      <c r="Y89" s="43"/>
      <c r="Z89" s="38">
        <f t="shared" si="56"/>
        <v>1.1000000000000001</v>
      </c>
      <c r="AA89" s="38">
        <f t="shared" si="57"/>
        <v>0.224</v>
      </c>
      <c r="AB89" s="38">
        <f t="shared" ca="1" si="58"/>
        <v>0.24070794979250545</v>
      </c>
      <c r="AC89" s="38">
        <f t="shared" si="59"/>
        <v>1</v>
      </c>
      <c r="AD89" s="38">
        <f t="shared" si="59"/>
        <v>0.2175</v>
      </c>
      <c r="AE89" s="38">
        <f t="shared" ca="1" si="60"/>
        <v>0.23178751387767932</v>
      </c>
      <c r="AF89" s="237">
        <f ca="1">((Summary!$N$8*(AA89*AD89)*(A89-$D$3))+(Summary!$M$8*Z89*AC89*(AJ89-EOMONTH(EDATE(A89,-1),0))))/(AK89*AB89*AE89)</f>
        <v>0.99967345434103372</v>
      </c>
      <c r="AG89" s="88">
        <f>IF($A90="","",Summary!$Q$8)</f>
        <v>0</v>
      </c>
      <c r="AH89" s="88">
        <f>IF($A90="","",IF(Summary!$R$8="Y",(VLOOKUP($A89,Summary!$AD$6:$AF$9,3)+'Escalating commodity'!D102),'Escalating commodity'!D102))</f>
        <v>2.0023199999999998E-2</v>
      </c>
      <c r="AI89" s="88">
        <f t="shared" si="75"/>
        <v>2.0023199999999998E-2</v>
      </c>
      <c r="AJ89" s="236">
        <f t="shared" si="61"/>
        <v>39462.5</v>
      </c>
      <c r="AK89" s="58">
        <f t="shared" ca="1" si="62"/>
        <v>2422</v>
      </c>
      <c r="AL89" s="26">
        <f ca="1">IF($A90="","",_xll.SPRDOPT(P89,X89,AI89,0,AB89,AE89,AF89,AK89,$AJ$2,0))</f>
        <v>0.13691181216973425</v>
      </c>
      <c r="AM89" s="89">
        <f t="shared" si="63"/>
        <v>0.12046685577186159</v>
      </c>
      <c r="AN89" s="89">
        <f t="shared" ca="1" si="64"/>
        <v>1.6444956397872662E-2</v>
      </c>
      <c r="AO89" s="3">
        <f t="shared" si="65"/>
        <v>31</v>
      </c>
      <c r="AP89" s="33">
        <f t="shared" si="66"/>
        <v>39448</v>
      </c>
      <c r="AQ89" s="58">
        <f t="shared" ca="1" si="67"/>
        <v>2422</v>
      </c>
      <c r="AR89" s="38">
        <f>'ANR OK vs ML7'!AR89</f>
        <v>0.1</v>
      </c>
      <c r="AS89" s="35">
        <f t="shared" ca="1" si="68"/>
        <v>0.52358157358938939</v>
      </c>
      <c r="AT89" s="3">
        <f t="shared" si="69"/>
        <v>1</v>
      </c>
      <c r="AU89" s="3">
        <f t="shared" si="70"/>
        <v>31</v>
      </c>
      <c r="AW89" s="32">
        <f t="shared" ca="1" si="71"/>
        <v>339541.29418094095</v>
      </c>
      <c r="AX89" s="32">
        <f t="shared" si="72"/>
        <v>298757.80231421674</v>
      </c>
      <c r="AY89" s="32">
        <f t="shared" ca="1" si="73"/>
        <v>40783.491866724202</v>
      </c>
      <c r="BA89" s="32">
        <f ca="1">IF($A90="","",F89*Summary!$Q$8)</f>
        <v>0</v>
      </c>
      <c r="BC89" s="256">
        <f t="shared" ca="1" si="76"/>
        <v>156424.0802577853</v>
      </c>
    </row>
    <row r="90" spans="1:55">
      <c r="A90" s="67">
        <f t="shared" si="74"/>
        <v>39479</v>
      </c>
      <c r="B90" s="69">
        <f t="shared" si="77"/>
        <v>80000</v>
      </c>
      <c r="C90" s="71"/>
      <c r="D90" s="69">
        <f t="shared" si="39"/>
        <v>80000</v>
      </c>
      <c r="E90" s="70">
        <f t="shared" si="40"/>
        <v>2320000</v>
      </c>
      <c r="F90" s="70">
        <f t="shared" ca="1" si="41"/>
        <v>1204690.6073652976</v>
      </c>
      <c r="G90" s="63">
        <f t="shared" si="42"/>
        <v>4.4140000000000006</v>
      </c>
      <c r="H90" s="64">
        <f t="shared" si="43"/>
        <v>4.4140000000000006</v>
      </c>
      <c r="I90" s="43"/>
      <c r="J90" s="63">
        <f t="shared" si="44"/>
        <v>0.32500000000000001</v>
      </c>
      <c r="K90" s="64">
        <f t="shared" si="45"/>
        <v>0.32500000000000001</v>
      </c>
      <c r="L90" s="63">
        <f t="shared" si="46"/>
        <v>0</v>
      </c>
      <c r="M90" s="64">
        <f t="shared" si="47"/>
        <v>0</v>
      </c>
      <c r="N90" s="65"/>
      <c r="O90" s="63">
        <f t="shared" si="48"/>
        <v>4.7390000000000008</v>
      </c>
      <c r="P90" s="63">
        <f t="shared" si="49"/>
        <v>4.7390000000000008</v>
      </c>
      <c r="Q90" s="66"/>
      <c r="R90" s="63">
        <f t="shared" si="50"/>
        <v>-5.5E-2</v>
      </c>
      <c r="S90" s="64">
        <f t="shared" si="51"/>
        <v>-5.5E-2</v>
      </c>
      <c r="T90" s="63">
        <f t="shared" si="52"/>
        <v>5.0000000000000001E-3</v>
      </c>
      <c r="U90" s="64">
        <f t="shared" si="53"/>
        <v>5.0000000000000001E-3</v>
      </c>
      <c r="V90" s="207">
        <f>IF($A91="","",IF(AND(MONTH(A90)&gt;3,MONTH(A90)&lt;11),(T90+R90+G90)*Summary!$T$8/(1-Summary!$T$8),(T90+R90+G90)*Summary!$U$8/(1-Summary!$U$8)))</f>
        <v>0.22823403135851841</v>
      </c>
      <c r="W90" s="63">
        <f t="shared" si="54"/>
        <v>4.5922340313585188</v>
      </c>
      <c r="X90" s="63">
        <f t="shared" si="55"/>
        <v>4.5922340313585188</v>
      </c>
      <c r="Y90" s="43"/>
      <c r="Z90" s="38">
        <f t="shared" si="56"/>
        <v>1.1000000000000001</v>
      </c>
      <c r="AA90" s="38">
        <f t="shared" si="57"/>
        <v>0.224</v>
      </c>
      <c r="AB90" s="38">
        <f t="shared" ca="1" si="58"/>
        <v>0.23947634814492985</v>
      </c>
      <c r="AC90" s="38">
        <f t="shared" si="59"/>
        <v>1</v>
      </c>
      <c r="AD90" s="38">
        <f t="shared" si="59"/>
        <v>0.2175</v>
      </c>
      <c r="AE90" s="38">
        <f t="shared" ca="1" si="60"/>
        <v>0.2307307181296547</v>
      </c>
      <c r="AF90" s="237">
        <f ca="1">((Summary!$N$8*(AA90*AD90)*(A90-$D$3))+(Summary!$M$8*Z90*AC90*(AJ90-EOMONTH(EDATE(A90,-1),0))))/(AK90*AB90*AE90)</f>
        <v>0.99968653763216042</v>
      </c>
      <c r="AG90" s="88">
        <f>IF($A91="","",Summary!$Q$8)</f>
        <v>0</v>
      </c>
      <c r="AH90" s="88">
        <f>IF($A91="","",IF(Summary!$R$8="Y",(VLOOKUP($A90,Summary!$AD$6:$AF$9,3)+'Escalating commodity'!D103),'Escalating commodity'!D103))</f>
        <v>2.0023199999999998E-2</v>
      </c>
      <c r="AI90" s="88">
        <f t="shared" si="75"/>
        <v>2.0023199999999998E-2</v>
      </c>
      <c r="AJ90" s="236">
        <f t="shared" si="61"/>
        <v>39492.5</v>
      </c>
      <c r="AK90" s="58">
        <f t="shared" ca="1" si="62"/>
        <v>2453</v>
      </c>
      <c r="AL90" s="26">
        <f ca="1">IF($A91="","",_xll.SPRDOPT(P90,X90,AI90,0,AB90,AE90,AF90,AK90,$AJ$2,0))</f>
        <v>0.14056215655123991</v>
      </c>
      <c r="AM90" s="89">
        <f t="shared" si="63"/>
        <v>0.12674276864148196</v>
      </c>
      <c r="AN90" s="89">
        <f t="shared" ca="1" si="64"/>
        <v>1.3819387909757952E-2</v>
      </c>
      <c r="AO90" s="3">
        <f t="shared" si="65"/>
        <v>29</v>
      </c>
      <c r="AP90" s="33">
        <f t="shared" si="66"/>
        <v>39479</v>
      </c>
      <c r="AQ90" s="58">
        <f t="shared" ca="1" si="67"/>
        <v>2453</v>
      </c>
      <c r="AR90" s="38">
        <f>'ANR OK vs ML7'!AR90</f>
        <v>0.1</v>
      </c>
      <c r="AS90" s="35">
        <f t="shared" ca="1" si="68"/>
        <v>0.51926319282986966</v>
      </c>
      <c r="AT90" s="3">
        <f t="shared" si="69"/>
        <v>1</v>
      </c>
      <c r="AU90" s="3">
        <f t="shared" si="70"/>
        <v>29</v>
      </c>
      <c r="AW90" s="32">
        <f t="shared" ca="1" si="71"/>
        <v>326104.20319887658</v>
      </c>
      <c r="AX90" s="32">
        <f t="shared" si="72"/>
        <v>294043.22324823815</v>
      </c>
      <c r="AY90" s="32">
        <f t="shared" ca="1" si="73"/>
        <v>32060.979950638448</v>
      </c>
      <c r="BA90" s="32">
        <f ca="1">IF($A91="","",F90*Summary!$Q$8)</f>
        <v>0</v>
      </c>
      <c r="BC90" s="256">
        <f t="shared" ca="1" si="76"/>
        <v>152685.82293386629</v>
      </c>
    </row>
    <row r="91" spans="1:55">
      <c r="A91" s="67">
        <f t="shared" si="74"/>
        <v>39508</v>
      </c>
      <c r="B91" s="69">
        <f t="shared" si="77"/>
        <v>80000</v>
      </c>
      <c r="C91" s="71"/>
      <c r="D91" s="69">
        <f t="shared" si="39"/>
        <v>80000</v>
      </c>
      <c r="E91" s="70">
        <f t="shared" si="40"/>
        <v>2480000</v>
      </c>
      <c r="F91" s="70">
        <f t="shared" ca="1" si="41"/>
        <v>1277834.055012644</v>
      </c>
      <c r="G91" s="63">
        <f t="shared" si="42"/>
        <v>4.2750000000000004</v>
      </c>
      <c r="H91" s="64">
        <f t="shared" si="43"/>
        <v>4.2750000000000004</v>
      </c>
      <c r="I91" s="43"/>
      <c r="J91" s="63">
        <f t="shared" si="44"/>
        <v>0.32500000000000001</v>
      </c>
      <c r="K91" s="64">
        <f t="shared" si="45"/>
        <v>0.32500000000000001</v>
      </c>
      <c r="L91" s="63">
        <f t="shared" si="46"/>
        <v>0</v>
      </c>
      <c r="M91" s="64">
        <f t="shared" si="47"/>
        <v>0</v>
      </c>
      <c r="N91" s="65"/>
      <c r="O91" s="63">
        <f t="shared" si="48"/>
        <v>4.6000000000000005</v>
      </c>
      <c r="P91" s="63">
        <f t="shared" si="49"/>
        <v>4.6000000000000005</v>
      </c>
      <c r="Q91" s="66"/>
      <c r="R91" s="63">
        <f t="shared" si="50"/>
        <v>-5.5E-2</v>
      </c>
      <c r="S91" s="64">
        <f t="shared" si="51"/>
        <v>-5.5E-2</v>
      </c>
      <c r="T91" s="63">
        <f t="shared" si="52"/>
        <v>5.0000000000000001E-3</v>
      </c>
      <c r="U91" s="64">
        <f t="shared" si="53"/>
        <v>5.0000000000000001E-3</v>
      </c>
      <c r="V91" s="207">
        <f>IF($A92="","",IF(AND(MONTH(A91)&gt;3,MONTH(A91)&lt;11),(T91+R91+G91)*Summary!$T$8/(1-Summary!$T$8),(T91+R91+G91)*Summary!$U$8/(1-Summary!$U$8)))</f>
        <v>0.22096443228454177</v>
      </c>
      <c r="W91" s="63">
        <f t="shared" si="54"/>
        <v>4.4459644322845424</v>
      </c>
      <c r="X91" s="63">
        <f t="shared" si="55"/>
        <v>4.4459644322845424</v>
      </c>
      <c r="Y91" s="43"/>
      <c r="Z91" s="38">
        <f t="shared" si="56"/>
        <v>0.75</v>
      </c>
      <c r="AA91" s="38">
        <f t="shared" si="57"/>
        <v>0.21100000000000002</v>
      </c>
      <c r="AB91" s="38">
        <f t="shared" ca="1" si="58"/>
        <v>0.21920704745401151</v>
      </c>
      <c r="AC91" s="38">
        <f t="shared" si="59"/>
        <v>0.75</v>
      </c>
      <c r="AD91" s="38">
        <f t="shared" si="59"/>
        <v>0.20499999999999999</v>
      </c>
      <c r="AE91" s="38">
        <f t="shared" ca="1" si="60"/>
        <v>0.21343552659501844</v>
      </c>
      <c r="AF91" s="237">
        <f ca="1">((Summary!$N$8*(AA91*AD91)*(A91-$D$3))+(Summary!$M$8*Z91*AC91*(AJ91-EOMONTH(EDATE(A91,-1),0))))/(AK91*AB91*AE91)</f>
        <v>0.99987861328035321</v>
      </c>
      <c r="AG91" s="88">
        <f>IF($A92="","",Summary!$Q$8)</f>
        <v>0</v>
      </c>
      <c r="AH91" s="88">
        <f>IF($A92="","",IF(Summary!$R$8="Y",(VLOOKUP($A91,Summary!$AD$6:$AF$9,3)+'Escalating commodity'!D104),'Escalating commodity'!D104))</f>
        <v>2.0023199999999998E-2</v>
      </c>
      <c r="AI91" s="88">
        <f t="shared" si="75"/>
        <v>2.0023199999999998E-2</v>
      </c>
      <c r="AJ91" s="236">
        <f t="shared" si="61"/>
        <v>39522.5</v>
      </c>
      <c r="AK91" s="58">
        <f t="shared" ca="1" si="62"/>
        <v>2482</v>
      </c>
      <c r="AL91" s="26">
        <f ca="1">IF($A92="","",_xll.SPRDOPT(P91,X91,AI91,0,AB91,AE91,AF91,AK91,$AJ$2,0))</f>
        <v>0.13742645058928593</v>
      </c>
      <c r="AM91" s="89">
        <f t="shared" si="63"/>
        <v>0.13401236771545813</v>
      </c>
      <c r="AN91" s="89">
        <f t="shared" ca="1" si="64"/>
        <v>3.4140828738278006E-3</v>
      </c>
      <c r="AO91" s="3">
        <f t="shared" si="65"/>
        <v>31</v>
      </c>
      <c r="AP91" s="33">
        <f t="shared" si="66"/>
        <v>39508</v>
      </c>
      <c r="AQ91" s="58">
        <f t="shared" ca="1" si="67"/>
        <v>2482</v>
      </c>
      <c r="AR91" s="38">
        <f>'ANR OK vs ML7'!AR91</f>
        <v>0.1</v>
      </c>
      <c r="AS91" s="35">
        <f t="shared" ca="1" si="68"/>
        <v>0.51525566734380812</v>
      </c>
      <c r="AT91" s="3">
        <f t="shared" si="69"/>
        <v>1</v>
      </c>
      <c r="AU91" s="3">
        <f t="shared" si="70"/>
        <v>31</v>
      </c>
      <c r="AW91" s="32">
        <f t="shared" ca="1" si="71"/>
        <v>340817.59746142913</v>
      </c>
      <c r="AX91" s="32">
        <f t="shared" si="72"/>
        <v>332350.67193433619</v>
      </c>
      <c r="AY91" s="32">
        <f t="shared" ca="1" si="73"/>
        <v>8466.9255270929461</v>
      </c>
      <c r="BA91" s="32">
        <f ca="1">IF($A92="","",F91*Summary!$Q$8)</f>
        <v>0</v>
      </c>
      <c r="BC91" s="256">
        <f t="shared" ca="1" si="76"/>
        <v>171245.56725968941</v>
      </c>
    </row>
    <row r="92" spans="1:55">
      <c r="A92" s="67">
        <f t="shared" si="74"/>
        <v>39539</v>
      </c>
      <c r="B92" s="69">
        <f t="shared" si="77"/>
        <v>80000</v>
      </c>
      <c r="C92" s="71"/>
      <c r="D92" s="69">
        <f t="shared" si="39"/>
        <v>80000</v>
      </c>
      <c r="E92" s="70">
        <f t="shared" si="40"/>
        <v>2400000</v>
      </c>
      <c r="F92" s="70">
        <f t="shared" ca="1" si="41"/>
        <v>1226414.2961996084</v>
      </c>
      <c r="G92" s="63">
        <f t="shared" si="42"/>
        <v>4.0999999999999996</v>
      </c>
      <c r="H92" s="64">
        <f t="shared" si="43"/>
        <v>4.0999999999999996</v>
      </c>
      <c r="I92" s="43"/>
      <c r="J92" s="63">
        <f t="shared" si="44"/>
        <v>0.21</v>
      </c>
      <c r="K92" s="64">
        <f t="shared" si="45"/>
        <v>0.21</v>
      </c>
      <c r="L92" s="63">
        <f t="shared" si="46"/>
        <v>0</v>
      </c>
      <c r="M92" s="64">
        <f t="shared" si="47"/>
        <v>0</v>
      </c>
      <c r="N92" s="65"/>
      <c r="O92" s="63">
        <f t="shared" si="48"/>
        <v>4.3099999999999996</v>
      </c>
      <c r="P92" s="63">
        <f t="shared" si="49"/>
        <v>4.3099999999999996</v>
      </c>
      <c r="Q92" s="66"/>
      <c r="R92" s="63">
        <f t="shared" si="50"/>
        <v>-5.2499999999999998E-2</v>
      </c>
      <c r="S92" s="64">
        <f t="shared" si="51"/>
        <v>-5.2499999999999998E-2</v>
      </c>
      <c r="T92" s="63">
        <f t="shared" si="52"/>
        <v>0</v>
      </c>
      <c r="U92" s="64">
        <f t="shared" si="53"/>
        <v>0</v>
      </c>
      <c r="V92" s="207">
        <f>IF($A93="","",IF(AND(MONTH(A92)&gt;3,MONTH(A92)&lt;11),(T92+R92+G92)*Summary!$T$8/(1-Summary!$T$8),(T92+R92+G92)*Summary!$U$8/(1-Summary!$U$8)))</f>
        <v>0.21168131116489525</v>
      </c>
      <c r="W92" s="63">
        <f t="shared" si="54"/>
        <v>4.2591813111648946</v>
      </c>
      <c r="X92" s="63">
        <f t="shared" si="55"/>
        <v>4.2591813111648946</v>
      </c>
      <c r="Y92" s="43"/>
      <c r="Z92" s="38">
        <f t="shared" si="56"/>
        <v>0.45</v>
      </c>
      <c r="AA92" s="38">
        <f t="shared" si="57"/>
        <v>0.21100000000000002</v>
      </c>
      <c r="AB92" s="38">
        <f t="shared" ca="1" si="58"/>
        <v>0.21388649082869432</v>
      </c>
      <c r="AC92" s="38">
        <f t="shared" si="59"/>
        <v>0.4</v>
      </c>
      <c r="AD92" s="38">
        <f t="shared" si="59"/>
        <v>0.20499999999999999</v>
      </c>
      <c r="AE92" s="38">
        <f t="shared" ca="1" si="60"/>
        <v>0.20735659349127436</v>
      </c>
      <c r="AF92" s="237">
        <f ca="1">((Summary!$N$8*(AA92*AD92)*(A92-$D$3))+(Summary!$M$8*Z92*AC92*(AJ92-EOMONTH(EDATE(A92,-1),0))))/(AK92*AB92*AE92)</f>
        <v>0.99980889158529174</v>
      </c>
      <c r="AG92" s="88">
        <f>IF($A93="","",Summary!$Q$8)</f>
        <v>0</v>
      </c>
      <c r="AH92" s="88">
        <f>IF($A93="","",IF(Summary!$R$8="Y",(VLOOKUP($A92,Summary!$AD$6:$AF$9,3)+'Escalating commodity'!D105),'Escalating commodity'!D105))</f>
        <v>2.0023199999999998E-2</v>
      </c>
      <c r="AI92" s="88">
        <f t="shared" si="75"/>
        <v>2.0023199999999998E-2</v>
      </c>
      <c r="AJ92" s="236">
        <f t="shared" si="61"/>
        <v>39553</v>
      </c>
      <c r="AK92" s="58">
        <f t="shared" ca="1" si="62"/>
        <v>2513</v>
      </c>
      <c r="AL92" s="26">
        <f ca="1">IF($A93="","",_xll.SPRDOPT(P92,X92,AI92,0,AB92,AE92,AF92,AK92,$AJ$2,0))</f>
        <v>5.5274140944094698E-2</v>
      </c>
      <c r="AM92" s="89">
        <f t="shared" si="63"/>
        <v>3.0795488835104988E-2</v>
      </c>
      <c r="AN92" s="89">
        <f t="shared" ca="1" si="64"/>
        <v>2.447865210898971E-2</v>
      </c>
      <c r="AO92" s="3">
        <f t="shared" si="65"/>
        <v>30</v>
      </c>
      <c r="AP92" s="33">
        <f t="shared" si="66"/>
        <v>39539</v>
      </c>
      <c r="AQ92" s="58">
        <f t="shared" ca="1" si="67"/>
        <v>2513</v>
      </c>
      <c r="AR92" s="38">
        <f>'ANR OK vs ML7'!AR92</f>
        <v>0.1</v>
      </c>
      <c r="AS92" s="35">
        <f t="shared" ca="1" si="68"/>
        <v>0.51100595674983684</v>
      </c>
      <c r="AT92" s="3">
        <f t="shared" si="69"/>
        <v>1</v>
      </c>
      <c r="AU92" s="3">
        <f t="shared" si="70"/>
        <v>30</v>
      </c>
      <c r="AW92" s="32">
        <f t="shared" ca="1" si="71"/>
        <v>132657.93826582728</v>
      </c>
      <c r="AX92" s="32">
        <f t="shared" si="72"/>
        <v>73909.173204251972</v>
      </c>
      <c r="AY92" s="32">
        <f t="shared" ca="1" si="73"/>
        <v>58748.765061575301</v>
      </c>
      <c r="BA92" s="32">
        <f ca="1">IF($A93="","",F92*Summary!$Q$8)</f>
        <v>0</v>
      </c>
      <c r="BC92" s="256">
        <f t="shared" ca="1" si="76"/>
        <v>37768.027765828178</v>
      </c>
    </row>
    <row r="93" spans="1:55">
      <c r="A93" s="67">
        <f t="shared" si="74"/>
        <v>39569</v>
      </c>
      <c r="B93" s="69">
        <f t="shared" si="77"/>
        <v>80000</v>
      </c>
      <c r="C93" s="71"/>
      <c r="D93" s="69">
        <f t="shared" si="39"/>
        <v>80000</v>
      </c>
      <c r="E93" s="70">
        <f t="shared" si="40"/>
        <v>2480000</v>
      </c>
      <c r="F93" s="70">
        <f t="shared" ca="1" si="41"/>
        <v>1257178.2394032849</v>
      </c>
      <c r="G93" s="63">
        <f t="shared" si="42"/>
        <v>4.07</v>
      </c>
      <c r="H93" s="64">
        <f t="shared" si="43"/>
        <v>4.07</v>
      </c>
      <c r="I93" s="43"/>
      <c r="J93" s="63">
        <f t="shared" si="44"/>
        <v>0.21</v>
      </c>
      <c r="K93" s="64">
        <f t="shared" si="45"/>
        <v>0.21</v>
      </c>
      <c r="L93" s="63">
        <f t="shared" si="46"/>
        <v>0</v>
      </c>
      <c r="M93" s="64">
        <f t="shared" si="47"/>
        <v>0</v>
      </c>
      <c r="N93" s="65"/>
      <c r="O93" s="63">
        <f t="shared" si="48"/>
        <v>4.28</v>
      </c>
      <c r="P93" s="63">
        <f t="shared" si="49"/>
        <v>4.28</v>
      </c>
      <c r="Q93" s="66"/>
      <c r="R93" s="63">
        <f t="shared" si="50"/>
        <v>-5.2499999999999998E-2</v>
      </c>
      <c r="S93" s="64">
        <f t="shared" si="51"/>
        <v>-5.2499999999999998E-2</v>
      </c>
      <c r="T93" s="63">
        <f t="shared" si="52"/>
        <v>0</v>
      </c>
      <c r="U93" s="64">
        <f t="shared" si="53"/>
        <v>0</v>
      </c>
      <c r="V93" s="207">
        <f>IF($A94="","",IF(AND(MONTH(A93)&gt;3,MONTH(A93)&lt;11),(T93+R93+G93)*Summary!$T$8/(1-Summary!$T$8),(T93+R93+G93)*Summary!$U$8/(1-Summary!$U$8)))</f>
        <v>0.21011233294749027</v>
      </c>
      <c r="W93" s="63">
        <f t="shared" si="54"/>
        <v>4.2276123329474906</v>
      </c>
      <c r="X93" s="63">
        <f t="shared" si="55"/>
        <v>4.2276123329474906</v>
      </c>
      <c r="Y93" s="43"/>
      <c r="Z93" s="38">
        <f t="shared" si="56"/>
        <v>0.5</v>
      </c>
      <c r="AA93" s="38">
        <f t="shared" si="57"/>
        <v>0.21100000000000002</v>
      </c>
      <c r="AB93" s="38">
        <f t="shared" ca="1" si="58"/>
        <v>0.21462128988789062</v>
      </c>
      <c r="AC93" s="38">
        <f t="shared" si="59"/>
        <v>0.45</v>
      </c>
      <c r="AD93" s="38">
        <f t="shared" si="59"/>
        <v>0.20499999999999999</v>
      </c>
      <c r="AE93" s="38">
        <f t="shared" ca="1" si="60"/>
        <v>0.20802835456633897</v>
      </c>
      <c r="AF93" s="237">
        <f ca="1">((Summary!$N$8*(AA93*AD93)*(A93-$D$3))+(Summary!$M$8*Z93*AC93*(AJ93-EOMONTH(EDATE(A93,-1),0))))/(AK93*AB93*AE93)</f>
        <v>0.9998158940725822</v>
      </c>
      <c r="AG93" s="88">
        <f>IF($A94="","",Summary!$Q$8)</f>
        <v>0</v>
      </c>
      <c r="AH93" s="88">
        <f>IF($A94="","",IF(Summary!$R$8="Y",(VLOOKUP($A93,Summary!$AD$6:$AF$9,3)+'Escalating commodity'!D106),'Escalating commodity'!D106))</f>
        <v>2.0023199999999998E-2</v>
      </c>
      <c r="AI93" s="88">
        <f t="shared" si="75"/>
        <v>2.0023199999999998E-2</v>
      </c>
      <c r="AJ93" s="236">
        <f t="shared" si="61"/>
        <v>39583.5</v>
      </c>
      <c r="AK93" s="58">
        <f t="shared" ca="1" si="62"/>
        <v>2543</v>
      </c>
      <c r="AL93" s="26">
        <f ca="1">IF($A94="","",_xll.SPRDOPT(P93,X93,AI93,0,AB93,AE93,AF93,AK93,$AJ$2,0))</f>
        <v>5.6423335153924586E-2</v>
      </c>
      <c r="AM93" s="89">
        <f t="shared" si="63"/>
        <v>3.2364467052509636E-2</v>
      </c>
      <c r="AN93" s="89">
        <f t="shared" ca="1" si="64"/>
        <v>2.405886810141495E-2</v>
      </c>
      <c r="AO93" s="3">
        <f t="shared" si="65"/>
        <v>31</v>
      </c>
      <c r="AP93" s="33">
        <f t="shared" si="66"/>
        <v>39569</v>
      </c>
      <c r="AQ93" s="58">
        <f t="shared" ca="1" si="67"/>
        <v>2543</v>
      </c>
      <c r="AR93" s="38">
        <f>'ANR OK vs ML7'!AR93</f>
        <v>0.1</v>
      </c>
      <c r="AS93" s="35">
        <f t="shared" ca="1" si="68"/>
        <v>0.5069267094368084</v>
      </c>
      <c r="AT93" s="3">
        <f t="shared" si="69"/>
        <v>1</v>
      </c>
      <c r="AU93" s="3">
        <f t="shared" si="70"/>
        <v>31</v>
      </c>
      <c r="AW93" s="32">
        <f t="shared" ca="1" si="71"/>
        <v>139929.87118173297</v>
      </c>
      <c r="AX93" s="32">
        <f t="shared" si="72"/>
        <v>80263.878290223904</v>
      </c>
      <c r="AY93" s="32">
        <f t="shared" ca="1" si="73"/>
        <v>59665.992891509079</v>
      </c>
      <c r="BA93" s="32">
        <f ca="1">IF($A94="","",F93*Summary!$Q$8)</f>
        <v>0</v>
      </c>
      <c r="BC93" s="256">
        <f t="shared" ca="1" si="76"/>
        <v>40687.903708299687</v>
      </c>
    </row>
    <row r="94" spans="1:55">
      <c r="A94" s="67">
        <f t="shared" si="74"/>
        <v>39600</v>
      </c>
      <c r="B94" s="69">
        <f t="shared" si="77"/>
        <v>80000</v>
      </c>
      <c r="C94" s="71"/>
      <c r="D94" s="69">
        <f t="shared" si="39"/>
        <v>80000</v>
      </c>
      <c r="E94" s="70">
        <f t="shared" si="40"/>
        <v>2400000</v>
      </c>
      <c r="F94" s="70">
        <f t="shared" ca="1" si="41"/>
        <v>1206589.666026694</v>
      </c>
      <c r="G94" s="63">
        <f t="shared" si="42"/>
        <v>4.1399999999999997</v>
      </c>
      <c r="H94" s="64">
        <f t="shared" si="43"/>
        <v>4.1399999999999997</v>
      </c>
      <c r="I94" s="43"/>
      <c r="J94" s="63">
        <f t="shared" si="44"/>
        <v>0.21</v>
      </c>
      <c r="K94" s="64">
        <f t="shared" si="45"/>
        <v>0.21</v>
      </c>
      <c r="L94" s="63">
        <f t="shared" si="46"/>
        <v>0</v>
      </c>
      <c r="M94" s="64">
        <f t="shared" si="47"/>
        <v>0</v>
      </c>
      <c r="N94" s="65"/>
      <c r="O94" s="63">
        <f t="shared" si="48"/>
        <v>4.3499999999999996</v>
      </c>
      <c r="P94" s="63">
        <f t="shared" si="49"/>
        <v>4.3499999999999996</v>
      </c>
      <c r="Q94" s="66"/>
      <c r="R94" s="63">
        <f t="shared" si="50"/>
        <v>-5.2499999999999998E-2</v>
      </c>
      <c r="S94" s="64">
        <f t="shared" si="51"/>
        <v>-5.2499999999999998E-2</v>
      </c>
      <c r="T94" s="63">
        <f t="shared" si="52"/>
        <v>0</v>
      </c>
      <c r="U94" s="64">
        <f t="shared" si="53"/>
        <v>0</v>
      </c>
      <c r="V94" s="207">
        <f>IF($A95="","",IF(AND(MONTH(A94)&gt;3,MONTH(A94)&lt;11),(T94+R94+G94)*Summary!$T$8/(1-Summary!$T$8),(T94+R94+G94)*Summary!$U$8/(1-Summary!$U$8)))</f>
        <v>0.21377328212143532</v>
      </c>
      <c r="W94" s="63">
        <f t="shared" si="54"/>
        <v>4.3012732821214348</v>
      </c>
      <c r="X94" s="63">
        <f t="shared" si="55"/>
        <v>4.3012732821214348</v>
      </c>
      <c r="Y94" s="43"/>
      <c r="Z94" s="38">
        <f t="shared" si="56"/>
        <v>0.5</v>
      </c>
      <c r="AA94" s="38">
        <f t="shared" si="57"/>
        <v>0.21100000000000002</v>
      </c>
      <c r="AB94" s="38">
        <f t="shared" ca="1" si="58"/>
        <v>0.21446485232474083</v>
      </c>
      <c r="AC94" s="38">
        <f t="shared" si="59"/>
        <v>0.45</v>
      </c>
      <c r="AD94" s="38">
        <f t="shared" si="59"/>
        <v>0.20499999999999999</v>
      </c>
      <c r="AE94" s="38">
        <f t="shared" ca="1" si="60"/>
        <v>0.20789756289792491</v>
      </c>
      <c r="AF94" s="237">
        <f ca="1">((Summary!$N$8*(AA94*AD94)*(A94-$D$3))+(Summary!$M$8*Z94*AC94*(AJ94-EOMONTH(EDATE(A94,-1),0))))/(AK94*AB94*AE94)</f>
        <v>0.99981936526124071</v>
      </c>
      <c r="AG94" s="88">
        <f>IF($A95="","",Summary!$Q$8)</f>
        <v>0</v>
      </c>
      <c r="AH94" s="88">
        <f>IF($A95="","",IF(Summary!$R$8="Y",(VLOOKUP($A94,Summary!$AD$6:$AF$9,3)+'Escalating commodity'!D107),'Escalating commodity'!D107))</f>
        <v>2.0023199999999998E-2</v>
      </c>
      <c r="AI94" s="88">
        <f t="shared" si="75"/>
        <v>2.0023199999999998E-2</v>
      </c>
      <c r="AJ94" s="236">
        <f t="shared" si="61"/>
        <v>39614</v>
      </c>
      <c r="AK94" s="58">
        <f t="shared" ca="1" si="62"/>
        <v>2574</v>
      </c>
      <c r="AL94" s="26">
        <f ca="1">IF($A95="","",_xll.SPRDOPT(P94,X94,AI94,0,AB94,AE94,AF94,AK94,$AJ$2,0))</f>
        <v>5.4584161382752912E-2</v>
      </c>
      <c r="AM94" s="89">
        <f t="shared" si="63"/>
        <v>2.8703517878564865E-2</v>
      </c>
      <c r="AN94" s="89">
        <f t="shared" ca="1" si="64"/>
        <v>2.5880643504188047E-2</v>
      </c>
      <c r="AO94" s="3">
        <f t="shared" si="65"/>
        <v>30</v>
      </c>
      <c r="AP94" s="33">
        <f t="shared" si="66"/>
        <v>39600</v>
      </c>
      <c r="AQ94" s="58">
        <f t="shared" ca="1" si="67"/>
        <v>2574</v>
      </c>
      <c r="AR94" s="38">
        <f>'ANR OK vs ML7'!AR94</f>
        <v>0.1</v>
      </c>
      <c r="AS94" s="35">
        <f t="shared" ca="1" si="68"/>
        <v>0.50274569417778914</v>
      </c>
      <c r="AT94" s="3">
        <f t="shared" si="69"/>
        <v>1</v>
      </c>
      <c r="AU94" s="3">
        <f t="shared" si="70"/>
        <v>30</v>
      </c>
      <c r="AW94" s="32">
        <f t="shared" ca="1" si="71"/>
        <v>131001.98731860699</v>
      </c>
      <c r="AX94" s="32">
        <f t="shared" si="72"/>
        <v>68888.442908555677</v>
      </c>
      <c r="AY94" s="32">
        <f t="shared" ca="1" si="73"/>
        <v>62113.544410051312</v>
      </c>
      <c r="BA94" s="32">
        <f ca="1">IF($A95="","",F94*Summary!$Q$8)</f>
        <v>0</v>
      </c>
      <c r="BC94" s="256">
        <f t="shared" ca="1" si="76"/>
        <v>34633.368050888821</v>
      </c>
    </row>
    <row r="95" spans="1:55">
      <c r="A95" s="67">
        <f t="shared" si="74"/>
        <v>39630</v>
      </c>
      <c r="B95" s="69">
        <f t="shared" si="77"/>
        <v>80000</v>
      </c>
      <c r="C95" s="71"/>
      <c r="D95" s="69">
        <f t="shared" si="39"/>
        <v>80000</v>
      </c>
      <c r="E95" s="70">
        <f t="shared" si="40"/>
        <v>2480000</v>
      </c>
      <c r="F95" s="70">
        <f t="shared" ca="1" si="41"/>
        <v>1236856.3190417585</v>
      </c>
      <c r="G95" s="63">
        <f t="shared" si="42"/>
        <v>4.1950000000000003</v>
      </c>
      <c r="H95" s="64">
        <f t="shared" si="43"/>
        <v>4.1950000000000003</v>
      </c>
      <c r="I95" s="43"/>
      <c r="J95" s="63">
        <f t="shared" si="44"/>
        <v>0.21</v>
      </c>
      <c r="K95" s="64">
        <f t="shared" si="45"/>
        <v>0.21</v>
      </c>
      <c r="L95" s="63">
        <f t="shared" si="46"/>
        <v>0</v>
      </c>
      <c r="M95" s="64">
        <f t="shared" si="47"/>
        <v>0</v>
      </c>
      <c r="N95" s="65"/>
      <c r="O95" s="63">
        <f t="shared" si="48"/>
        <v>4.4050000000000002</v>
      </c>
      <c r="P95" s="63">
        <f t="shared" si="49"/>
        <v>4.4050000000000002</v>
      </c>
      <c r="Q95" s="66"/>
      <c r="R95" s="63">
        <f t="shared" si="50"/>
        <v>-5.2499999999999998E-2</v>
      </c>
      <c r="S95" s="64">
        <f t="shared" si="51"/>
        <v>-5.2499999999999998E-2</v>
      </c>
      <c r="T95" s="63">
        <f t="shared" si="52"/>
        <v>0</v>
      </c>
      <c r="U95" s="64">
        <f t="shared" si="53"/>
        <v>0</v>
      </c>
      <c r="V95" s="207">
        <f>IF($A96="","",IF(AND(MONTH(A95)&gt;3,MONTH(A95)&lt;11),(T95+R95+G95)*Summary!$T$8/(1-Summary!$T$8),(T95+R95+G95)*Summary!$U$8/(1-Summary!$U$8)))</f>
        <v>0.2166497421866779</v>
      </c>
      <c r="W95" s="63">
        <f t="shared" si="54"/>
        <v>4.3591497421866778</v>
      </c>
      <c r="X95" s="63">
        <f t="shared" si="55"/>
        <v>4.3591497421866778</v>
      </c>
      <c r="Y95" s="43"/>
      <c r="Z95" s="38">
        <f t="shared" si="56"/>
        <v>0.55000000000000004</v>
      </c>
      <c r="AA95" s="38">
        <f t="shared" si="57"/>
        <v>0.20900000000000002</v>
      </c>
      <c r="AB95" s="38">
        <f t="shared" ca="1" si="58"/>
        <v>0.21330346883177548</v>
      </c>
      <c r="AC95" s="38">
        <f t="shared" si="59"/>
        <v>0.5</v>
      </c>
      <c r="AD95" s="38">
        <f t="shared" si="59"/>
        <v>0.20250000000000001</v>
      </c>
      <c r="AE95" s="38">
        <f t="shared" ca="1" si="60"/>
        <v>0.20617975808970518</v>
      </c>
      <c r="AF95" s="237">
        <f ca="1">((Summary!$N$8*(AA95*AD95)*(A95-$D$3))+(Summary!$M$8*Z95*AC95*(AJ95-EOMONTH(EDATE(A95,-1),0))))/(AK95*AB95*AE95)</f>
        <v>0.99983096794608928</v>
      </c>
      <c r="AG95" s="88">
        <f>IF($A96="","",Summary!$Q$8)</f>
        <v>0</v>
      </c>
      <c r="AH95" s="88">
        <f>IF($A96="","",IF(Summary!$R$8="Y",(VLOOKUP($A95,Summary!$AD$6:$AF$9,3)+'Escalating commodity'!D108),'Escalating commodity'!D108))</f>
        <v>2.0023199999999998E-2</v>
      </c>
      <c r="AI95" s="88">
        <f t="shared" si="75"/>
        <v>2.0023199999999998E-2</v>
      </c>
      <c r="AJ95" s="236">
        <f t="shared" si="61"/>
        <v>39644.5</v>
      </c>
      <c r="AK95" s="58">
        <f t="shared" ca="1" si="62"/>
        <v>2604</v>
      </c>
      <c r="AL95" s="26">
        <f ca="1">IF($A96="","",_xll.SPRDOPT(P95,X95,AI95,0,AB95,AE95,AF95,AK95,$AJ$2,0))</f>
        <v>5.5373403227129199E-2</v>
      </c>
      <c r="AM95" s="89">
        <f t="shared" si="63"/>
        <v>2.5827057813322417E-2</v>
      </c>
      <c r="AN95" s="89">
        <f t="shared" ca="1" si="64"/>
        <v>2.9546345413806782E-2</v>
      </c>
      <c r="AO95" s="3">
        <f t="shared" si="65"/>
        <v>31</v>
      </c>
      <c r="AP95" s="33">
        <f t="shared" si="66"/>
        <v>39630</v>
      </c>
      <c r="AQ95" s="58">
        <f t="shared" ca="1" si="67"/>
        <v>2604</v>
      </c>
      <c r="AR95" s="38">
        <f>'ANR OK vs ML7'!AR95</f>
        <v>0.1</v>
      </c>
      <c r="AS95" s="35">
        <f t="shared" ca="1" si="68"/>
        <v>0.49873238671038655</v>
      </c>
      <c r="AT95" s="3">
        <f t="shared" si="69"/>
        <v>1</v>
      </c>
      <c r="AU95" s="3">
        <f t="shared" si="70"/>
        <v>31</v>
      </c>
      <c r="AW95" s="32">
        <f t="shared" ca="1" si="71"/>
        <v>137326.04000328042</v>
      </c>
      <c r="AX95" s="32">
        <f t="shared" si="72"/>
        <v>64051.103377039595</v>
      </c>
      <c r="AY95" s="32">
        <f t="shared" ca="1" si="73"/>
        <v>73274.936626240815</v>
      </c>
      <c r="BA95" s="32">
        <f ca="1">IF($A96="","",F95*Summary!$Q$8)</f>
        <v>0</v>
      </c>
      <c r="BC95" s="256">
        <f t="shared" ca="1" si="76"/>
        <v>31944.359658664653</v>
      </c>
    </row>
    <row r="96" spans="1:55">
      <c r="A96" s="67">
        <f t="shared" si="74"/>
        <v>39661</v>
      </c>
      <c r="B96" s="69">
        <f t="shared" si="77"/>
        <v>80000</v>
      </c>
      <c r="C96" s="71"/>
      <c r="D96" s="69">
        <f t="shared" si="39"/>
        <v>80000</v>
      </c>
      <c r="E96" s="70">
        <f t="shared" si="40"/>
        <v>2480000</v>
      </c>
      <c r="F96" s="70">
        <f t="shared" ca="1" si="41"/>
        <v>1226655.0117386312</v>
      </c>
      <c r="G96" s="63">
        <f t="shared" si="42"/>
        <v>4.2510000000000003</v>
      </c>
      <c r="H96" s="64">
        <f t="shared" si="43"/>
        <v>4.2510000000000003</v>
      </c>
      <c r="I96" s="43"/>
      <c r="J96" s="63">
        <f t="shared" si="44"/>
        <v>0.21</v>
      </c>
      <c r="K96" s="64">
        <f t="shared" si="45"/>
        <v>0.21</v>
      </c>
      <c r="L96" s="63">
        <f t="shared" si="46"/>
        <v>0</v>
      </c>
      <c r="M96" s="64">
        <f t="shared" si="47"/>
        <v>0</v>
      </c>
      <c r="N96" s="65"/>
      <c r="O96" s="63">
        <f t="shared" si="48"/>
        <v>4.4610000000000003</v>
      </c>
      <c r="P96" s="63">
        <f t="shared" si="49"/>
        <v>4.4610000000000003</v>
      </c>
      <c r="Q96" s="66"/>
      <c r="R96" s="63">
        <f t="shared" si="50"/>
        <v>-5.2499999999999998E-2</v>
      </c>
      <c r="S96" s="64">
        <f t="shared" si="51"/>
        <v>-5.2499999999999998E-2</v>
      </c>
      <c r="T96" s="63">
        <f t="shared" si="52"/>
        <v>0</v>
      </c>
      <c r="U96" s="64">
        <f t="shared" si="53"/>
        <v>0</v>
      </c>
      <c r="V96" s="207">
        <f>IF($A97="","",IF(AND(MONTH(A96)&gt;3,MONTH(A96)&lt;11),(T96+R96+G96)*Summary!$T$8/(1-Summary!$T$8),(T96+R96+G96)*Summary!$U$8/(1-Summary!$U$8)))</f>
        <v>0.21957850152583394</v>
      </c>
      <c r="W96" s="63">
        <f t="shared" si="54"/>
        <v>4.4180785015258337</v>
      </c>
      <c r="X96" s="63">
        <f t="shared" si="55"/>
        <v>4.4180785015258337</v>
      </c>
      <c r="Y96" s="43"/>
      <c r="Z96" s="38">
        <f t="shared" si="56"/>
        <v>0.6</v>
      </c>
      <c r="AA96" s="38">
        <f t="shared" si="57"/>
        <v>0.20900000000000002</v>
      </c>
      <c r="AB96" s="38">
        <f t="shared" ca="1" si="58"/>
        <v>0.21404491184895064</v>
      </c>
      <c r="AC96" s="38">
        <f t="shared" si="59"/>
        <v>0.55000000000000004</v>
      </c>
      <c r="AD96" s="38">
        <f t="shared" si="59"/>
        <v>0.20250000000000001</v>
      </c>
      <c r="AE96" s="38">
        <f t="shared" ca="1" si="60"/>
        <v>0.20688456662815236</v>
      </c>
      <c r="AF96" s="237">
        <f ca="1">((Summary!$N$8*(AA96*AD96)*(A96-$D$3))+(Summary!$M$8*Z96*AC96*(AJ96-EOMONTH(EDATE(A96,-1),0))))/(AK96*AB96*AE96)</f>
        <v>0.99984001516694399</v>
      </c>
      <c r="AG96" s="88">
        <f>IF($A97="","",Summary!$Q$8)</f>
        <v>0</v>
      </c>
      <c r="AH96" s="88">
        <f>IF($A97="","",IF(Summary!$R$8="Y",(VLOOKUP($A96,Summary!$AD$6:$AF$9,3)+'Escalating commodity'!D109),'Escalating commodity'!D109))</f>
        <v>2.0023199999999998E-2</v>
      </c>
      <c r="AI96" s="88">
        <f t="shared" si="75"/>
        <v>2.0023199999999998E-2</v>
      </c>
      <c r="AJ96" s="236">
        <f t="shared" si="61"/>
        <v>39675.5</v>
      </c>
      <c r="AK96" s="58">
        <f t="shared" ca="1" si="62"/>
        <v>2635</v>
      </c>
      <c r="AL96" s="26">
        <f ca="1">IF($A97="","",_xll.SPRDOPT(P96,X96,AI96,0,AB96,AE96,AF96,AK96,$AJ$2,0))</f>
        <v>5.4417016297279103E-2</v>
      </c>
      <c r="AM96" s="89">
        <f t="shared" si="63"/>
        <v>2.2898298474166599E-2</v>
      </c>
      <c r="AN96" s="89">
        <f t="shared" ca="1" si="64"/>
        <v>3.1518717823112503E-2</v>
      </c>
      <c r="AO96" s="3">
        <f t="shared" si="65"/>
        <v>31</v>
      </c>
      <c r="AP96" s="33">
        <f t="shared" si="66"/>
        <v>39661</v>
      </c>
      <c r="AQ96" s="58">
        <f t="shared" ca="1" si="67"/>
        <v>2635</v>
      </c>
      <c r="AR96" s="38">
        <f>'ANR OK vs ML7'!AR96</f>
        <v>0.1</v>
      </c>
      <c r="AS96" s="35">
        <f t="shared" ca="1" si="68"/>
        <v>0.49461895634622222</v>
      </c>
      <c r="AT96" s="3">
        <f t="shared" si="69"/>
        <v>1</v>
      </c>
      <c r="AU96" s="3">
        <f t="shared" si="70"/>
        <v>31</v>
      </c>
      <c r="AW96" s="32">
        <f t="shared" ca="1" si="71"/>
        <v>134954.20041725217</v>
      </c>
      <c r="AX96" s="32">
        <f t="shared" si="72"/>
        <v>56787.78021593317</v>
      </c>
      <c r="AY96" s="32">
        <f t="shared" ca="1" si="73"/>
        <v>78166.420201319008</v>
      </c>
      <c r="BA96" s="32">
        <f ca="1">IF($A97="","",F96*Summary!$Q$8)</f>
        <v>0</v>
      </c>
      <c r="BC96" s="256">
        <f t="shared" ca="1" si="76"/>
        <v>28088.312583623509</v>
      </c>
    </row>
    <row r="97" spans="1:55">
      <c r="A97" s="67">
        <f t="shared" si="74"/>
        <v>39692</v>
      </c>
      <c r="B97" s="69">
        <f t="shared" si="77"/>
        <v>80000</v>
      </c>
      <c r="C97" s="71"/>
      <c r="D97" s="69">
        <f t="shared" si="39"/>
        <v>80000</v>
      </c>
      <c r="E97" s="70">
        <f t="shared" si="40"/>
        <v>2400000</v>
      </c>
      <c r="F97" s="70">
        <f t="shared" ca="1" si="41"/>
        <v>1177294.6862699394</v>
      </c>
      <c r="G97" s="63">
        <f t="shared" si="42"/>
        <v>4.2649999999999997</v>
      </c>
      <c r="H97" s="64">
        <f t="shared" si="43"/>
        <v>4.2649999999999997</v>
      </c>
      <c r="I97" s="43"/>
      <c r="J97" s="63">
        <f t="shared" si="44"/>
        <v>0.21</v>
      </c>
      <c r="K97" s="64">
        <f t="shared" si="45"/>
        <v>0.21</v>
      </c>
      <c r="L97" s="63">
        <f t="shared" si="46"/>
        <v>0</v>
      </c>
      <c r="M97" s="64">
        <f t="shared" si="47"/>
        <v>0</v>
      </c>
      <c r="N97" s="65"/>
      <c r="O97" s="63">
        <f t="shared" si="48"/>
        <v>4.4749999999999996</v>
      </c>
      <c r="P97" s="63">
        <f t="shared" si="49"/>
        <v>4.4749999999999996</v>
      </c>
      <c r="Q97" s="66"/>
      <c r="R97" s="63">
        <f t="shared" si="50"/>
        <v>-5.2499999999999998E-2</v>
      </c>
      <c r="S97" s="64">
        <f t="shared" si="51"/>
        <v>-5.2499999999999998E-2</v>
      </c>
      <c r="T97" s="63">
        <f t="shared" si="52"/>
        <v>0</v>
      </c>
      <c r="U97" s="64">
        <f t="shared" si="53"/>
        <v>0</v>
      </c>
      <c r="V97" s="207">
        <f>IF($A98="","",IF(AND(MONTH(A97)&gt;3,MONTH(A97)&lt;11),(T97+R97+G97)*Summary!$T$8/(1-Summary!$T$8),(T97+R97+G97)*Summary!$U$8/(1-Summary!$U$8)))</f>
        <v>0.22031069136062292</v>
      </c>
      <c r="W97" s="63">
        <f t="shared" si="54"/>
        <v>4.432810691360622</v>
      </c>
      <c r="X97" s="63">
        <f t="shared" si="55"/>
        <v>4.432810691360622</v>
      </c>
      <c r="Y97" s="43"/>
      <c r="Z97" s="38">
        <f t="shared" si="56"/>
        <v>0.6</v>
      </c>
      <c r="AA97" s="38">
        <f t="shared" si="57"/>
        <v>0.20900000000000002</v>
      </c>
      <c r="AB97" s="38">
        <f t="shared" ca="1" si="58"/>
        <v>0.21382911599618964</v>
      </c>
      <c r="AC97" s="38">
        <f t="shared" si="59"/>
        <v>0.55000000000000004</v>
      </c>
      <c r="AD97" s="38">
        <f t="shared" si="59"/>
        <v>0.20250000000000001</v>
      </c>
      <c r="AE97" s="38">
        <f t="shared" ca="1" si="60"/>
        <v>0.20669692592306863</v>
      </c>
      <c r="AF97" s="237">
        <f ca="1">((Summary!$N$8*(AA97*AD97)*(A97-$D$3))+(Summary!$M$8*Z97*AC97*(AJ97-EOMONTH(EDATE(A97,-1),0))))/(AK97*AB97*AE97)</f>
        <v>0.9998423971628132</v>
      </c>
      <c r="AG97" s="88">
        <f>IF($A98="","",Summary!$Q$8)</f>
        <v>0</v>
      </c>
      <c r="AH97" s="88">
        <f>IF($A98="","",IF(Summary!$R$8="Y",(VLOOKUP($A97,Summary!$AD$6:$AF$9,3)+'Escalating commodity'!D110),'Escalating commodity'!D110))</f>
        <v>2.0023199999999998E-2</v>
      </c>
      <c r="AI97" s="88">
        <f t="shared" si="75"/>
        <v>2.0023199999999998E-2</v>
      </c>
      <c r="AJ97" s="236">
        <f t="shared" si="61"/>
        <v>39706</v>
      </c>
      <c r="AK97" s="58">
        <f t="shared" ca="1" si="62"/>
        <v>2666</v>
      </c>
      <c r="AL97" s="26">
        <f ca="1">IF($A98="","",_xll.SPRDOPT(P97,X97,AI97,0,AB97,AE97,AF97,AK97,$AJ$2,0))</f>
        <v>5.4174388140913604E-2</v>
      </c>
      <c r="AM97" s="89">
        <f t="shared" si="63"/>
        <v>2.2166108639377645E-2</v>
      </c>
      <c r="AN97" s="89">
        <f t="shared" ca="1" si="64"/>
        <v>3.2008279501535959E-2</v>
      </c>
      <c r="AO97" s="3">
        <f t="shared" si="65"/>
        <v>30</v>
      </c>
      <c r="AP97" s="33">
        <f t="shared" si="66"/>
        <v>39692</v>
      </c>
      <c r="AQ97" s="58">
        <f t="shared" ca="1" si="67"/>
        <v>2666</v>
      </c>
      <c r="AR97" s="38">
        <f>'ANR OK vs ML7'!AR97</f>
        <v>0.1</v>
      </c>
      <c r="AS97" s="35">
        <f t="shared" ca="1" si="68"/>
        <v>0.49053945261247472</v>
      </c>
      <c r="AT97" s="3">
        <f t="shared" si="69"/>
        <v>1</v>
      </c>
      <c r="AU97" s="3">
        <f t="shared" si="70"/>
        <v>30</v>
      </c>
      <c r="AW97" s="32">
        <f t="shared" ca="1" si="71"/>
        <v>130018.53153819265</v>
      </c>
      <c r="AX97" s="32">
        <f t="shared" si="72"/>
        <v>53198.660734506346</v>
      </c>
      <c r="AY97" s="32">
        <f t="shared" ca="1" si="73"/>
        <v>76819.870803686295</v>
      </c>
      <c r="BA97" s="32">
        <f ca="1">IF($A98="","",F97*Summary!$Q$8)</f>
        <v>0</v>
      </c>
      <c r="BC97" s="256">
        <f t="shared" ca="1" si="76"/>
        <v>26096.041916421498</v>
      </c>
    </row>
    <row r="98" spans="1:55">
      <c r="A98" s="67">
        <f t="shared" si="74"/>
        <v>39722</v>
      </c>
      <c r="B98" s="69">
        <f t="shared" si="77"/>
        <v>80000</v>
      </c>
      <c r="C98" s="71"/>
      <c r="D98" s="69">
        <f t="shared" si="39"/>
        <v>80000</v>
      </c>
      <c r="E98" s="70">
        <f t="shared" si="40"/>
        <v>2480000</v>
      </c>
      <c r="F98" s="70">
        <f t="shared" ca="1" si="41"/>
        <v>1206826.4904690841</v>
      </c>
      <c r="G98" s="63">
        <f t="shared" si="42"/>
        <v>4.2960000000000003</v>
      </c>
      <c r="H98" s="64">
        <f t="shared" si="43"/>
        <v>4.2960000000000003</v>
      </c>
      <c r="I98" s="43"/>
      <c r="J98" s="63">
        <f t="shared" si="44"/>
        <v>0.21</v>
      </c>
      <c r="K98" s="64">
        <f t="shared" si="45"/>
        <v>0.21</v>
      </c>
      <c r="L98" s="63">
        <f t="shared" si="46"/>
        <v>0</v>
      </c>
      <c r="M98" s="64">
        <f t="shared" si="47"/>
        <v>0</v>
      </c>
      <c r="N98" s="65"/>
      <c r="O98" s="63">
        <f t="shared" si="48"/>
        <v>4.5060000000000002</v>
      </c>
      <c r="P98" s="63">
        <f t="shared" si="49"/>
        <v>4.5060000000000002</v>
      </c>
      <c r="Q98" s="66"/>
      <c r="R98" s="63">
        <f t="shared" si="50"/>
        <v>-5.2499999999999998E-2</v>
      </c>
      <c r="S98" s="64">
        <f t="shared" si="51"/>
        <v>-5.2499999999999998E-2</v>
      </c>
      <c r="T98" s="63">
        <f t="shared" si="52"/>
        <v>0</v>
      </c>
      <c r="U98" s="64">
        <f t="shared" si="53"/>
        <v>0</v>
      </c>
      <c r="V98" s="207">
        <f>IF($A99="","",IF(AND(MONTH(A98)&gt;3,MONTH(A98)&lt;11),(T98+R98+G98)*Summary!$T$8/(1-Summary!$T$8),(T98+R98+G98)*Summary!$U$8/(1-Summary!$U$8)))</f>
        <v>0.2219319688519415</v>
      </c>
      <c r="W98" s="63">
        <f t="shared" si="54"/>
        <v>4.4654319688519415</v>
      </c>
      <c r="X98" s="63">
        <f t="shared" si="55"/>
        <v>4.4654319688519415</v>
      </c>
      <c r="Y98" s="43"/>
      <c r="Z98" s="38">
        <f t="shared" si="56"/>
        <v>0.65</v>
      </c>
      <c r="AA98" s="38">
        <f t="shared" si="57"/>
        <v>0.20900000000000002</v>
      </c>
      <c r="AB98" s="38">
        <f t="shared" ca="1" si="58"/>
        <v>0.21477025800616717</v>
      </c>
      <c r="AC98" s="38">
        <f t="shared" si="59"/>
        <v>0.6</v>
      </c>
      <c r="AD98" s="38">
        <f t="shared" si="59"/>
        <v>0.20250000000000001</v>
      </c>
      <c r="AE98" s="38">
        <f t="shared" ca="1" si="60"/>
        <v>0.207584182853772</v>
      </c>
      <c r="AF98" s="237">
        <f ca="1">((Summary!$N$8*(AA98*AD98)*(A98-$D$3))+(Summary!$M$8*Z98*AC98*(AJ98-EOMONTH(EDATE(A98,-1),0))))/(AK98*AB98*AE98)</f>
        <v>0.9998489692488528</v>
      </c>
      <c r="AG98" s="88">
        <f>IF($A99="","",Summary!$Q$8)</f>
        <v>0</v>
      </c>
      <c r="AH98" s="88">
        <f>IF($A99="","",IF(Summary!$R$8="Y",(VLOOKUP($A98,Summary!$AD$6:$AF$9,3)+'Escalating commodity'!D111),'Escalating commodity'!D111))</f>
        <v>2.0023199999999998E-2</v>
      </c>
      <c r="AI98" s="88">
        <f t="shared" si="75"/>
        <v>2.0023199999999998E-2</v>
      </c>
      <c r="AJ98" s="236">
        <f t="shared" si="61"/>
        <v>39736.5</v>
      </c>
      <c r="AK98" s="58">
        <f t="shared" ca="1" si="62"/>
        <v>2696</v>
      </c>
      <c r="AL98" s="26">
        <f ca="1">IF($A99="","",_xll.SPRDOPT(P98,X98,AI98,0,AB98,AE98,AF98,AK98,$AJ$2,0))</f>
        <v>5.3883077389538542E-2</v>
      </c>
      <c r="AM98" s="89">
        <f t="shared" si="63"/>
        <v>2.0544831148058738E-2</v>
      </c>
      <c r="AN98" s="89">
        <f t="shared" ca="1" si="64"/>
        <v>3.3338246241479803E-2</v>
      </c>
      <c r="AO98" s="3">
        <f t="shared" si="65"/>
        <v>31</v>
      </c>
      <c r="AP98" s="33">
        <f t="shared" si="66"/>
        <v>39722</v>
      </c>
      <c r="AQ98" s="58">
        <f t="shared" ca="1" si="67"/>
        <v>2696</v>
      </c>
      <c r="AR98" s="38">
        <f>'ANR OK vs ML7'!AR98</f>
        <v>0.1</v>
      </c>
      <c r="AS98" s="35">
        <f t="shared" ca="1" si="68"/>
        <v>0.48662358486656621</v>
      </c>
      <c r="AT98" s="3">
        <f t="shared" si="69"/>
        <v>1</v>
      </c>
      <c r="AU98" s="3">
        <f t="shared" si="70"/>
        <v>31</v>
      </c>
      <c r="AW98" s="32">
        <f t="shared" ca="1" si="71"/>
        <v>133630.03192605558</v>
      </c>
      <c r="AX98" s="32">
        <f t="shared" si="72"/>
        <v>50951.181247185668</v>
      </c>
      <c r="AY98" s="32">
        <f t="shared" ca="1" si="73"/>
        <v>82678.850678869916</v>
      </c>
      <c r="BA98" s="32">
        <f ca="1">IF($A99="","",F98*Summary!$Q$8)</f>
        <v>0</v>
      </c>
      <c r="BC98" s="256">
        <f t="shared" ca="1" si="76"/>
        <v>24794.04647169165</v>
      </c>
    </row>
    <row r="99" spans="1:55">
      <c r="A99" s="67">
        <f t="shared" si="74"/>
        <v>39753</v>
      </c>
      <c r="B99" s="69">
        <f t="shared" si="77"/>
        <v>80000</v>
      </c>
      <c r="C99" s="71"/>
      <c r="D99" s="69">
        <f t="shared" si="39"/>
        <v>80000</v>
      </c>
      <c r="E99" s="70">
        <f t="shared" si="40"/>
        <v>2400000</v>
      </c>
      <c r="F99" s="70">
        <f t="shared" ca="1" si="41"/>
        <v>1158264.0602961858</v>
      </c>
      <c r="G99" s="63">
        <f t="shared" si="42"/>
        <v>4.4290000000000003</v>
      </c>
      <c r="H99" s="64">
        <f t="shared" si="43"/>
        <v>4.4290000000000003</v>
      </c>
      <c r="I99" s="43"/>
      <c r="J99" s="63">
        <f t="shared" si="44"/>
        <v>0.32500000000000001</v>
      </c>
      <c r="K99" s="64">
        <f t="shared" si="45"/>
        <v>0.32500000000000001</v>
      </c>
      <c r="L99" s="63">
        <f t="shared" si="46"/>
        <v>0</v>
      </c>
      <c r="M99" s="64">
        <f t="shared" si="47"/>
        <v>0</v>
      </c>
      <c r="N99" s="65"/>
      <c r="O99" s="63">
        <f t="shared" si="48"/>
        <v>4.7540000000000004</v>
      </c>
      <c r="P99" s="63">
        <f t="shared" si="49"/>
        <v>4.7540000000000004</v>
      </c>
      <c r="Q99" s="66"/>
      <c r="R99" s="63">
        <f t="shared" si="50"/>
        <v>-5.2499999999999998E-2</v>
      </c>
      <c r="S99" s="64">
        <f t="shared" si="51"/>
        <v>-5.2499999999999998E-2</v>
      </c>
      <c r="T99" s="63">
        <f t="shared" si="52"/>
        <v>5.0000000000000001E-3</v>
      </c>
      <c r="U99" s="64">
        <f t="shared" si="53"/>
        <v>5.0000000000000001E-3</v>
      </c>
      <c r="V99" s="207">
        <f>IF($A100="","",IF(AND(MONTH(A99)&gt;3,MONTH(A99)&lt;11),(T99+R99+G99)*Summary!$T$8/(1-Summary!$T$8),(T99+R99+G99)*Summary!$U$8/(1-Summary!$U$8)))</f>
        <v>0.22914926865200461</v>
      </c>
      <c r="W99" s="63">
        <f t="shared" si="54"/>
        <v>4.6106492686520042</v>
      </c>
      <c r="X99" s="63">
        <f t="shared" si="55"/>
        <v>4.6106492686520042</v>
      </c>
      <c r="Y99" s="43"/>
      <c r="Z99" s="38">
        <f t="shared" si="56"/>
        <v>0.8</v>
      </c>
      <c r="AA99" s="38">
        <f t="shared" si="57"/>
        <v>0.20900000000000002</v>
      </c>
      <c r="AB99" s="38">
        <f t="shared" ca="1" si="58"/>
        <v>0.21729558210802868</v>
      </c>
      <c r="AC99" s="38">
        <f t="shared" si="59"/>
        <v>0.8</v>
      </c>
      <c r="AD99" s="38">
        <f t="shared" si="59"/>
        <v>0.20250000000000001</v>
      </c>
      <c r="AE99" s="38">
        <f t="shared" ca="1" si="60"/>
        <v>0.21104890230445739</v>
      </c>
      <c r="AF99" s="237">
        <f ca="1">((Summary!$N$8*(AA99*AD99)*(A99-$D$3))+(Summary!$M$8*Z99*AC99*(AJ99-EOMONTH(EDATE(A99,-1),0))))/(AK99*AB99*AE99)</f>
        <v>0.99987230603881327</v>
      </c>
      <c r="AG99" s="88">
        <f>IF($A100="","",Summary!$Q$8)</f>
        <v>0</v>
      </c>
      <c r="AH99" s="88">
        <f>IF($A100="","",IF(Summary!$R$8="Y",(VLOOKUP($A99,Summary!$AD$6:$AF$9,3)+'Escalating commodity'!D112),'Escalating commodity'!D112))</f>
        <v>2.0023199999999998E-2</v>
      </c>
      <c r="AI99" s="88">
        <f t="shared" si="75"/>
        <v>2.0023199999999998E-2</v>
      </c>
      <c r="AJ99" s="236">
        <f t="shared" si="61"/>
        <v>39767</v>
      </c>
      <c r="AK99" s="58">
        <f t="shared" ca="1" si="62"/>
        <v>2727</v>
      </c>
      <c r="AL99" s="26">
        <f ca="1">IF($A100="","",_xll.SPRDOPT(P99,X99,AI99,0,AB99,AE99,AF99,AK99,$AJ$2,0))</f>
        <v>0.12966406406118278</v>
      </c>
      <c r="AM99" s="89">
        <f t="shared" si="63"/>
        <v>0.12332753134799626</v>
      </c>
      <c r="AN99" s="89">
        <f t="shared" ca="1" si="64"/>
        <v>6.3365327131865157E-3</v>
      </c>
      <c r="AO99" s="3">
        <f t="shared" si="65"/>
        <v>30</v>
      </c>
      <c r="AP99" s="33">
        <f t="shared" si="66"/>
        <v>39753</v>
      </c>
      <c r="AQ99" s="58">
        <f t="shared" ca="1" si="67"/>
        <v>2727</v>
      </c>
      <c r="AR99" s="38">
        <f>'ANR OK vs ML7'!AR99</f>
        <v>0.1</v>
      </c>
      <c r="AS99" s="35">
        <f t="shared" ca="1" si="68"/>
        <v>0.48261002512341078</v>
      </c>
      <c r="AT99" s="3">
        <f t="shared" si="69"/>
        <v>1</v>
      </c>
      <c r="AU99" s="3">
        <f t="shared" si="70"/>
        <v>30</v>
      </c>
      <c r="AW99" s="32">
        <f t="shared" ca="1" si="71"/>
        <v>311193.75374683866</v>
      </c>
      <c r="AX99" s="32">
        <f t="shared" si="72"/>
        <v>295986.07523519103</v>
      </c>
      <c r="AY99" s="32">
        <f t="shared" ca="1" si="73"/>
        <v>15207.678511647639</v>
      </c>
      <c r="BA99" s="32">
        <f ca="1">IF($A100="","",F99*Summary!$Q$8)</f>
        <v>0</v>
      </c>
      <c r="BC99" s="256">
        <f t="shared" ca="1" si="76"/>
        <v>142845.84720543528</v>
      </c>
    </row>
    <row r="100" spans="1:55">
      <c r="A100" s="67">
        <f t="shared" si="74"/>
        <v>39783</v>
      </c>
      <c r="B100" s="69">
        <f t="shared" si="77"/>
        <v>80000</v>
      </c>
      <c r="C100" s="71"/>
      <c r="D100" s="69">
        <f t="shared" si="39"/>
        <v>80000</v>
      </c>
      <c r="E100" s="70">
        <f t="shared" si="40"/>
        <v>2480000</v>
      </c>
      <c r="F100" s="70">
        <f t="shared" ca="1" si="41"/>
        <v>1187318.4914751358</v>
      </c>
      <c r="G100" s="63">
        <f t="shared" si="42"/>
        <v>4.5670000000000002</v>
      </c>
      <c r="H100" s="64">
        <f t="shared" si="43"/>
        <v>4.5670000000000002</v>
      </c>
      <c r="I100" s="43"/>
      <c r="J100" s="63">
        <f t="shared" si="44"/>
        <v>0.32500000000000001</v>
      </c>
      <c r="K100" s="64">
        <f t="shared" si="45"/>
        <v>0.32500000000000001</v>
      </c>
      <c r="L100" s="63">
        <f t="shared" si="46"/>
        <v>0</v>
      </c>
      <c r="M100" s="64">
        <f t="shared" si="47"/>
        <v>0</v>
      </c>
      <c r="N100" s="65"/>
      <c r="O100" s="63">
        <f t="shared" si="48"/>
        <v>4.8920000000000003</v>
      </c>
      <c r="P100" s="63">
        <f t="shared" si="49"/>
        <v>4.8920000000000003</v>
      </c>
      <c r="Q100" s="66"/>
      <c r="R100" s="63">
        <f t="shared" si="50"/>
        <v>-5.2499999999999998E-2</v>
      </c>
      <c r="S100" s="64">
        <f t="shared" si="51"/>
        <v>-5.2499999999999998E-2</v>
      </c>
      <c r="T100" s="63">
        <f t="shared" si="52"/>
        <v>5.0000000000000001E-3</v>
      </c>
      <c r="U100" s="64">
        <f t="shared" si="53"/>
        <v>5.0000000000000001E-3</v>
      </c>
      <c r="V100" s="207">
        <f>IF($A101="","",IF(AND(MONTH(A100)&gt;3,MONTH(A100)&lt;11),(T100+R100+G100)*Summary!$T$8/(1-Summary!$T$8),(T100+R100+G100)*Summary!$U$8/(1-Summary!$U$8)))</f>
        <v>0.23636656845206774</v>
      </c>
      <c r="W100" s="63">
        <f t="shared" si="54"/>
        <v>4.7558665684520678</v>
      </c>
      <c r="X100" s="63">
        <f t="shared" si="55"/>
        <v>4.7558665684520678</v>
      </c>
      <c r="Y100" s="43"/>
      <c r="Z100" s="38">
        <f t="shared" si="56"/>
        <v>1.1000000000000001</v>
      </c>
      <c r="AA100" s="38">
        <f t="shared" si="57"/>
        <v>0.21100000000000002</v>
      </c>
      <c r="AB100" s="38">
        <f t="shared" ca="1" si="58"/>
        <v>0.22658294822548014</v>
      </c>
      <c r="AC100" s="38">
        <f t="shared" si="59"/>
        <v>1</v>
      </c>
      <c r="AD100" s="38">
        <f t="shared" si="59"/>
        <v>0.20499999999999999</v>
      </c>
      <c r="AE100" s="38">
        <f t="shared" ca="1" si="60"/>
        <v>0.21831696217629232</v>
      </c>
      <c r="AF100" s="237">
        <f ca="1">((Summary!$N$8*(AA100*AD100)*(A100-$D$3))+(Summary!$M$8*Z100*AC100*(AJ100-EOMONTH(EDATE(A100,-1),0))))/(AK100*AB100*AE100)</f>
        <v>0.99967087892023776</v>
      </c>
      <c r="AG100" s="88">
        <f>IF($A101="","",Summary!$Q$8)</f>
        <v>0</v>
      </c>
      <c r="AH100" s="88">
        <f>IF($A101="","",IF(Summary!$R$8="Y",(VLOOKUP($A100,Summary!$AD$6:$AF$9,3)+'Escalating commodity'!D113),'Escalating commodity'!D113))</f>
        <v>2.0023199999999998E-2</v>
      </c>
      <c r="AI100" s="88">
        <f t="shared" si="75"/>
        <v>2.0023199999999998E-2</v>
      </c>
      <c r="AJ100" s="236">
        <f t="shared" si="61"/>
        <v>39797.5</v>
      </c>
      <c r="AK100" s="58">
        <f t="shared" ca="1" si="62"/>
        <v>2757</v>
      </c>
      <c r="AL100" s="26">
        <f ca="1">IF($A101="","",_xll.SPRDOPT(P100,X100,AI100,0,AB100,AE100,AF100,AK100,$AJ$2,0))</f>
        <v>0.13347439083929874</v>
      </c>
      <c r="AM100" s="89">
        <f t="shared" si="63"/>
        <v>0.11611023154793257</v>
      </c>
      <c r="AN100" s="89">
        <f t="shared" ca="1" si="64"/>
        <v>1.7364159291366171E-2</v>
      </c>
      <c r="AO100" s="3">
        <f t="shared" si="65"/>
        <v>31</v>
      </c>
      <c r="AP100" s="33">
        <f t="shared" si="66"/>
        <v>39783</v>
      </c>
      <c r="AQ100" s="58">
        <f t="shared" ca="1" si="67"/>
        <v>2757</v>
      </c>
      <c r="AR100" s="38">
        <f>'ANR OK vs ML7'!AR100</f>
        <v>0.1</v>
      </c>
      <c r="AS100" s="35">
        <f t="shared" ca="1" si="68"/>
        <v>0.47875745623997412</v>
      </c>
      <c r="AT100" s="3">
        <f t="shared" si="69"/>
        <v>1</v>
      </c>
      <c r="AU100" s="3">
        <f t="shared" si="70"/>
        <v>31</v>
      </c>
      <c r="AW100" s="32">
        <f t="shared" ca="1" si="71"/>
        <v>331016.48928146088</v>
      </c>
      <c r="AX100" s="32">
        <f t="shared" si="72"/>
        <v>287953.37423887278</v>
      </c>
      <c r="AY100" s="32">
        <f t="shared" ca="1" si="73"/>
        <v>43063.115042588106</v>
      </c>
      <c r="BA100" s="32">
        <f ca="1">IF($A101="","",F100*Summary!$Q$8)</f>
        <v>0</v>
      </c>
      <c r="BC100" s="256">
        <f t="shared" ca="1" si="76"/>
        <v>137859.82496632001</v>
      </c>
    </row>
    <row r="101" spans="1:55">
      <c r="A101" s="67">
        <f t="shared" si="74"/>
        <v>39814</v>
      </c>
      <c r="B101" s="69">
        <f t="shared" si="77"/>
        <v>80000</v>
      </c>
      <c r="C101" s="71"/>
      <c r="D101" s="69">
        <f t="shared" si="39"/>
        <v>80000</v>
      </c>
      <c r="E101" s="70">
        <f t="shared" si="40"/>
        <v>2480000</v>
      </c>
      <c r="F101" s="70">
        <f t="shared" ca="1" si="41"/>
        <v>1177525.7608145466</v>
      </c>
      <c r="G101" s="63">
        <f t="shared" si="42"/>
        <v>4.5890000000000004</v>
      </c>
      <c r="H101" s="64">
        <f t="shared" si="43"/>
        <v>4.5890000000000004</v>
      </c>
      <c r="I101" s="43"/>
      <c r="J101" s="63">
        <f t="shared" si="44"/>
        <v>0.32500000000000001</v>
      </c>
      <c r="K101" s="64">
        <f t="shared" si="45"/>
        <v>0.32500000000000001</v>
      </c>
      <c r="L101" s="63">
        <f t="shared" si="46"/>
        <v>0</v>
      </c>
      <c r="M101" s="64">
        <f t="shared" si="47"/>
        <v>0</v>
      </c>
      <c r="N101" s="65"/>
      <c r="O101" s="63">
        <f t="shared" si="48"/>
        <v>4.9140000000000006</v>
      </c>
      <c r="P101" s="63">
        <f t="shared" si="49"/>
        <v>4.9140000000000006</v>
      </c>
      <c r="Q101" s="66"/>
      <c r="R101" s="63">
        <f t="shared" si="50"/>
        <v>-5.2499999999999998E-2</v>
      </c>
      <c r="S101" s="64">
        <f t="shared" si="51"/>
        <v>-5.2499999999999998E-2</v>
      </c>
      <c r="T101" s="63">
        <f t="shared" si="52"/>
        <v>5.0000000000000001E-3</v>
      </c>
      <c r="U101" s="64">
        <f t="shared" si="53"/>
        <v>5.0000000000000001E-3</v>
      </c>
      <c r="V101" s="207">
        <f>IF($A102="","",IF(AND(MONTH(A101)&gt;3,MONTH(A101)&lt;11),(T101+R101+G101)*Summary!$T$8/(1-Summary!$T$8),(T101+R101+G101)*Summary!$U$8/(1-Summary!$U$8)))</f>
        <v>0.23751715247816479</v>
      </c>
      <c r="W101" s="63">
        <f t="shared" si="54"/>
        <v>4.7790171524781648</v>
      </c>
      <c r="X101" s="63">
        <f t="shared" si="55"/>
        <v>4.7790171524781648</v>
      </c>
      <c r="Y101" s="43"/>
      <c r="Z101" s="38">
        <f t="shared" si="56"/>
        <v>1.1000000000000001</v>
      </c>
      <c r="AA101" s="38">
        <f t="shared" si="57"/>
        <v>0.21100000000000002</v>
      </c>
      <c r="AB101" s="38">
        <f t="shared" ca="1" si="58"/>
        <v>0.22641557647644769</v>
      </c>
      <c r="AC101" s="38">
        <f t="shared" si="59"/>
        <v>1</v>
      </c>
      <c r="AD101" s="38">
        <f t="shared" si="59"/>
        <v>0.20499999999999999</v>
      </c>
      <c r="AE101" s="38">
        <f t="shared" ca="1" si="60"/>
        <v>0.21817335863697543</v>
      </c>
      <c r="AF101" s="237">
        <f ca="1">((Summary!$N$8*(AA101*AD101)*(A101-$D$3))+(Summary!$M$8*Z101*AC101*(AJ101-EOMONTH(EDATE(A101,-1),0))))/(AK101*AB101*AE101)</f>
        <v>0.99967277653257569</v>
      </c>
      <c r="AG101" s="88">
        <f>IF($A102="","",Summary!$Q$8)</f>
        <v>0</v>
      </c>
      <c r="AH101" s="88">
        <f>IF($A102="","",IF(Summary!$R$8="Y",(VLOOKUP($A101,Summary!$AD$6:$AF$9,3)+'Escalating commodity'!D114),'Escalating commodity'!D114))</f>
        <v>2.0023199999999998E-2</v>
      </c>
      <c r="AI101" s="88">
        <f t="shared" si="75"/>
        <v>2.0023199999999998E-2</v>
      </c>
      <c r="AJ101" s="236">
        <f t="shared" si="61"/>
        <v>39828.5</v>
      </c>
      <c r="AK101" s="58">
        <f t="shared" ca="1" si="62"/>
        <v>2788</v>
      </c>
      <c r="AL101" s="26">
        <f ca="1">IF($A102="","",_xll.SPRDOPT(P101,X101,AI101,0,AB101,AE101,AF101,AK101,$AJ$2,0))</f>
        <v>0.13283068486415722</v>
      </c>
      <c r="AM101" s="89">
        <f t="shared" si="63"/>
        <v>0.11495964752183577</v>
      </c>
      <c r="AN101" s="89">
        <f t="shared" ca="1" si="64"/>
        <v>1.7871037342321455E-2</v>
      </c>
      <c r="AO101" s="3">
        <f t="shared" si="65"/>
        <v>31</v>
      </c>
      <c r="AP101" s="33">
        <f t="shared" si="66"/>
        <v>39814</v>
      </c>
      <c r="AQ101" s="58">
        <f t="shared" ca="1" si="67"/>
        <v>2788</v>
      </c>
      <c r="AR101" s="38">
        <f>'ANR OK vs ML7'!AR101</f>
        <v>0.1</v>
      </c>
      <c r="AS101" s="35">
        <f t="shared" ca="1" si="68"/>
        <v>0.4748087745219946</v>
      </c>
      <c r="AT101" s="3">
        <f t="shared" si="69"/>
        <v>1</v>
      </c>
      <c r="AU101" s="3">
        <f t="shared" si="70"/>
        <v>31</v>
      </c>
      <c r="AW101" s="32">
        <f t="shared" ca="1" si="71"/>
        <v>329420.09846310993</v>
      </c>
      <c r="AX101" s="32">
        <f t="shared" si="72"/>
        <v>285099.92585415271</v>
      </c>
      <c r="AY101" s="32">
        <f t="shared" ca="1" si="73"/>
        <v>44320.172608957211</v>
      </c>
      <c r="BA101" s="32">
        <f ca="1">IF($A102="","",F101*Summary!$Q$8)</f>
        <v>0</v>
      </c>
      <c r="BC101" s="256">
        <f t="shared" ca="1" si="76"/>
        <v>135367.94641112178</v>
      </c>
    </row>
    <row r="102" spans="1:55">
      <c r="A102" s="67">
        <f t="shared" si="74"/>
        <v>39845</v>
      </c>
      <c r="B102" s="69">
        <f t="shared" si="77"/>
        <v>80000</v>
      </c>
      <c r="C102" s="71"/>
      <c r="D102" s="69">
        <f t="shared" si="39"/>
        <v>80000</v>
      </c>
      <c r="E102" s="70">
        <f t="shared" si="40"/>
        <v>2240000</v>
      </c>
      <c r="F102" s="70">
        <f t="shared" ca="1" si="41"/>
        <v>1054799.5598008418</v>
      </c>
      <c r="G102" s="63">
        <f t="shared" si="42"/>
        <v>4.4690000000000003</v>
      </c>
      <c r="H102" s="64">
        <f t="shared" si="43"/>
        <v>4.4690000000000003</v>
      </c>
      <c r="I102" s="43"/>
      <c r="J102" s="63">
        <f t="shared" si="44"/>
        <v>0.32500000000000001</v>
      </c>
      <c r="K102" s="64">
        <f t="shared" si="45"/>
        <v>0.32500000000000001</v>
      </c>
      <c r="L102" s="63">
        <f t="shared" si="46"/>
        <v>0</v>
      </c>
      <c r="M102" s="64">
        <f t="shared" si="47"/>
        <v>0</v>
      </c>
      <c r="N102" s="65"/>
      <c r="O102" s="63">
        <f t="shared" si="48"/>
        <v>4.7940000000000005</v>
      </c>
      <c r="P102" s="63">
        <f t="shared" si="49"/>
        <v>4.7940000000000005</v>
      </c>
      <c r="Q102" s="66"/>
      <c r="R102" s="63">
        <f t="shared" si="50"/>
        <v>-5.2499999999999998E-2</v>
      </c>
      <c r="S102" s="64">
        <f t="shared" si="51"/>
        <v>-5.2499999999999998E-2</v>
      </c>
      <c r="T102" s="63">
        <f t="shared" si="52"/>
        <v>5.0000000000000001E-3</v>
      </c>
      <c r="U102" s="64">
        <f t="shared" si="53"/>
        <v>5.0000000000000001E-3</v>
      </c>
      <c r="V102" s="207">
        <f>IF($A103="","",IF(AND(MONTH(A102)&gt;3,MONTH(A102)&lt;11),(T102+R102+G102)*Summary!$T$8/(1-Summary!$T$8),(T102+R102+G102)*Summary!$U$8/(1-Summary!$U$8)))</f>
        <v>0.23124123960854467</v>
      </c>
      <c r="W102" s="63">
        <f t="shared" si="54"/>
        <v>4.6527412396085444</v>
      </c>
      <c r="X102" s="63">
        <f t="shared" si="55"/>
        <v>4.6527412396085444</v>
      </c>
      <c r="Y102" s="43"/>
      <c r="Z102" s="38">
        <f t="shared" si="56"/>
        <v>1.1000000000000001</v>
      </c>
      <c r="AA102" s="38">
        <f t="shared" si="57"/>
        <v>0.20900000000000002</v>
      </c>
      <c r="AB102" s="38">
        <f t="shared" ca="1" si="58"/>
        <v>0.22294779285706515</v>
      </c>
      <c r="AC102" s="38">
        <f t="shared" si="59"/>
        <v>1</v>
      </c>
      <c r="AD102" s="38">
        <f t="shared" si="59"/>
        <v>0.20250000000000001</v>
      </c>
      <c r="AE102" s="38">
        <f t="shared" ca="1" si="60"/>
        <v>0.21444602231824297</v>
      </c>
      <c r="AF102" s="237">
        <f ca="1">((Summary!$N$8*(AA102*AD102)*(A102-$D$3))+(Summary!$M$8*Z102*AC102*(AJ102-EOMONTH(EDATE(A102,-1),0))))/(AK102*AB102*AE102)</f>
        <v>0.9997059691300112</v>
      </c>
      <c r="AG102" s="88">
        <f>IF($A103="","",Summary!$Q$8)</f>
        <v>0</v>
      </c>
      <c r="AH102" s="88">
        <f>IF($A103="","",IF(Summary!$R$8="Y",(VLOOKUP($A102,Summary!$AD$6:$AF$9,3)+'Escalating commodity'!D115),'Escalating commodity'!D115))</f>
        <v>2.0023199999999998E-2</v>
      </c>
      <c r="AI102" s="88">
        <f t="shared" si="75"/>
        <v>2.0023199999999998E-2</v>
      </c>
      <c r="AJ102" s="236">
        <f t="shared" si="61"/>
        <v>39858</v>
      </c>
      <c r="AK102" s="58">
        <f t="shared" ca="1" si="62"/>
        <v>2819</v>
      </c>
      <c r="AL102" s="26">
        <f ca="1">IF($A103="","",_xll.SPRDOPT(P102,X102,AI102,0,AB102,AE102,AF102,AK102,$AJ$2,0))</f>
        <v>0.13726743673790848</v>
      </c>
      <c r="AM102" s="89">
        <f t="shared" si="63"/>
        <v>0.12123556039145614</v>
      </c>
      <c r="AN102" s="89">
        <f t="shared" ca="1" si="64"/>
        <v>1.6031876346452339E-2</v>
      </c>
      <c r="AO102" s="3">
        <f t="shared" si="65"/>
        <v>28</v>
      </c>
      <c r="AP102" s="33">
        <f t="shared" si="66"/>
        <v>39845</v>
      </c>
      <c r="AQ102" s="58">
        <f t="shared" ca="1" si="67"/>
        <v>2819</v>
      </c>
      <c r="AR102" s="38">
        <f>'ANR OK vs ML7'!AR102</f>
        <v>0.1</v>
      </c>
      <c r="AS102" s="35">
        <f t="shared" ca="1" si="68"/>
        <v>0.47089266062537583</v>
      </c>
      <c r="AT102" s="3">
        <f t="shared" si="69"/>
        <v>1</v>
      </c>
      <c r="AU102" s="3">
        <f t="shared" si="70"/>
        <v>28</v>
      </c>
      <c r="AW102" s="32">
        <f t="shared" ca="1" si="71"/>
        <v>307479.058292915</v>
      </c>
      <c r="AX102" s="32">
        <f t="shared" si="72"/>
        <v>271567.65527686174</v>
      </c>
      <c r="AY102" s="32">
        <f t="shared" ca="1" si="73"/>
        <v>35911.403016053242</v>
      </c>
      <c r="BA102" s="32">
        <f ca="1">IF($A103="","",F102*Summary!$Q$8)</f>
        <v>0</v>
      </c>
      <c r="BC102" s="256">
        <f t="shared" ca="1" si="76"/>
        <v>127879.21573311632</v>
      </c>
    </row>
    <row r="103" spans="1:55">
      <c r="A103" s="67">
        <f t="shared" si="74"/>
        <v>39873</v>
      </c>
      <c r="B103" s="69">
        <f t="shared" si="77"/>
        <v>80000</v>
      </c>
      <c r="C103" s="71"/>
      <c r="D103" s="69">
        <f t="shared" si="39"/>
        <v>80000</v>
      </c>
      <c r="E103" s="70">
        <f t="shared" si="40"/>
        <v>2480000</v>
      </c>
      <c r="F103" s="70">
        <f t="shared" ca="1" si="41"/>
        <v>1159110.5709935536</v>
      </c>
      <c r="G103" s="63">
        <f t="shared" si="42"/>
        <v>4.33</v>
      </c>
      <c r="H103" s="64">
        <f t="shared" si="43"/>
        <v>4.33</v>
      </c>
      <c r="I103" s="43"/>
      <c r="J103" s="63">
        <f t="shared" si="44"/>
        <v>0.32500000000000001</v>
      </c>
      <c r="K103" s="64">
        <f t="shared" si="45"/>
        <v>0.32500000000000001</v>
      </c>
      <c r="L103" s="63">
        <f t="shared" si="46"/>
        <v>0</v>
      </c>
      <c r="M103" s="64">
        <f t="shared" si="47"/>
        <v>0</v>
      </c>
      <c r="N103" s="65"/>
      <c r="O103" s="63">
        <f t="shared" si="48"/>
        <v>4.6550000000000002</v>
      </c>
      <c r="P103" s="63">
        <f t="shared" si="49"/>
        <v>4.6550000000000002</v>
      </c>
      <c r="Q103" s="66"/>
      <c r="R103" s="63">
        <f t="shared" si="50"/>
        <v>-5.2499999999999998E-2</v>
      </c>
      <c r="S103" s="64">
        <f t="shared" si="51"/>
        <v>-5.2499999999999998E-2</v>
      </c>
      <c r="T103" s="63">
        <f t="shared" si="52"/>
        <v>5.0000000000000001E-3</v>
      </c>
      <c r="U103" s="64">
        <f t="shared" si="53"/>
        <v>5.0000000000000001E-3</v>
      </c>
      <c r="V103" s="207">
        <f>IF($A104="","",IF(AND(MONTH(A103)&gt;3,MONTH(A103)&lt;11),(T103+R103+G103)*Summary!$T$8/(1-Summary!$T$8),(T103+R103+G103)*Summary!$U$8/(1-Summary!$U$8)))</f>
        <v>0.223971640534568</v>
      </c>
      <c r="W103" s="63">
        <f t="shared" si="54"/>
        <v>4.5064716405345679</v>
      </c>
      <c r="X103" s="63">
        <f t="shared" si="55"/>
        <v>4.5064716405345679</v>
      </c>
      <c r="Y103" s="43"/>
      <c r="Z103" s="38">
        <f t="shared" si="56"/>
        <v>0.75</v>
      </c>
      <c r="AA103" s="38">
        <f t="shared" si="57"/>
        <v>0.19800000000000001</v>
      </c>
      <c r="AB103" s="38">
        <f t="shared" ca="1" si="58"/>
        <v>0.20562150769243787</v>
      </c>
      <c r="AC103" s="38">
        <f t="shared" si="59"/>
        <v>0.75</v>
      </c>
      <c r="AD103" s="38">
        <f t="shared" si="59"/>
        <v>0.1925</v>
      </c>
      <c r="AE103" s="38">
        <f t="shared" ca="1" si="60"/>
        <v>0.20032897951900192</v>
      </c>
      <c r="AF103" s="237">
        <f ca="1">((Summary!$N$8*(AA103*AD103)*(A103-$D$3))+(Summary!$M$8*Z103*AC103*(AJ103-EOMONTH(EDATE(A103,-1),0))))/(AK103*AB103*AE103)</f>
        <v>0.99988012889563793</v>
      </c>
      <c r="AG103" s="88">
        <f>IF($A104="","",Summary!$Q$8)</f>
        <v>0</v>
      </c>
      <c r="AH103" s="88">
        <f>IF($A104="","",IF(Summary!$R$8="Y",(VLOOKUP($A103,Summary!$AD$6:$AF$9,3)+'Escalating commodity'!D116),'Escalating commodity'!D116))</f>
        <v>2.0023199999999998E-2</v>
      </c>
      <c r="AI103" s="88">
        <f t="shared" si="75"/>
        <v>2.0023199999999998E-2</v>
      </c>
      <c r="AJ103" s="236">
        <f t="shared" si="61"/>
        <v>39887.5</v>
      </c>
      <c r="AK103" s="58">
        <f t="shared" ca="1" si="62"/>
        <v>2847</v>
      </c>
      <c r="AL103" s="26">
        <f ca="1">IF($A104="","",_xll.SPRDOPT(P103,X103,AI103,0,AB103,AE103,AF103,AK103,$AJ$2,0))</f>
        <v>0.13228624756034438</v>
      </c>
      <c r="AM103" s="89">
        <f t="shared" si="63"/>
        <v>0.12850515946543231</v>
      </c>
      <c r="AN103" s="89">
        <f t="shared" ca="1" si="64"/>
        <v>3.7810880949120662E-3</v>
      </c>
      <c r="AO103" s="3">
        <f t="shared" si="65"/>
        <v>31</v>
      </c>
      <c r="AP103" s="33">
        <f t="shared" si="66"/>
        <v>39873</v>
      </c>
      <c r="AQ103" s="58">
        <f t="shared" ca="1" si="67"/>
        <v>2847</v>
      </c>
      <c r="AR103" s="38">
        <f>'ANR OK vs ML7'!AR103</f>
        <v>0.1</v>
      </c>
      <c r="AS103" s="35">
        <f t="shared" ca="1" si="68"/>
        <v>0.4673832947554652</v>
      </c>
      <c r="AT103" s="3">
        <f t="shared" si="69"/>
        <v>1</v>
      </c>
      <c r="AU103" s="3">
        <f t="shared" si="70"/>
        <v>31</v>
      </c>
      <c r="AW103" s="32">
        <f t="shared" ca="1" si="71"/>
        <v>328069.89394965407</v>
      </c>
      <c r="AX103" s="32">
        <f t="shared" si="72"/>
        <v>318692.7954742721</v>
      </c>
      <c r="AY103" s="32">
        <f t="shared" ca="1" si="73"/>
        <v>9377.0984753819248</v>
      </c>
      <c r="BA103" s="32">
        <f ca="1">IF($A104="","",F103*Summary!$Q$8)</f>
        <v>0</v>
      </c>
      <c r="BC103" s="256">
        <f t="shared" ca="1" si="76"/>
        <v>148951.6887635949</v>
      </c>
    </row>
    <row r="104" spans="1:55">
      <c r="A104" s="67">
        <f t="shared" si="74"/>
        <v>39904</v>
      </c>
      <c r="B104" s="69">
        <f t="shared" si="77"/>
        <v>80000</v>
      </c>
      <c r="C104" s="71"/>
      <c r="D104" s="69">
        <f t="shared" si="39"/>
        <v>80000</v>
      </c>
      <c r="E104" s="70">
        <f t="shared" si="40"/>
        <v>2400000</v>
      </c>
      <c r="F104" s="70">
        <f t="shared" ca="1" si="41"/>
        <v>1112468.2188318409</v>
      </c>
      <c r="G104" s="63">
        <f t="shared" si="42"/>
        <v>4.1550000000000002</v>
      </c>
      <c r="H104" s="64">
        <f t="shared" si="43"/>
        <v>4.1550000000000002</v>
      </c>
      <c r="I104" s="43"/>
      <c r="J104" s="63">
        <f t="shared" si="44"/>
        <v>0.21</v>
      </c>
      <c r="K104" s="64">
        <f t="shared" si="45"/>
        <v>0.21</v>
      </c>
      <c r="L104" s="63">
        <f t="shared" si="46"/>
        <v>0</v>
      </c>
      <c r="M104" s="64">
        <f t="shared" si="47"/>
        <v>0</v>
      </c>
      <c r="N104" s="65"/>
      <c r="O104" s="63">
        <f t="shared" si="48"/>
        <v>4.3650000000000002</v>
      </c>
      <c r="P104" s="63">
        <f t="shared" si="49"/>
        <v>4.3650000000000002</v>
      </c>
      <c r="Q104" s="66"/>
      <c r="R104" s="63">
        <f t="shared" si="50"/>
        <v>-0.05</v>
      </c>
      <c r="S104" s="64">
        <f t="shared" si="51"/>
        <v>-0.05</v>
      </c>
      <c r="T104" s="63">
        <f t="shared" si="52"/>
        <v>0</v>
      </c>
      <c r="U104" s="64">
        <f t="shared" si="53"/>
        <v>0</v>
      </c>
      <c r="V104" s="207">
        <f>IF($A105="","",IF(AND(MONTH(A104)&gt;3,MONTH(A104)&lt;11),(T104+R104+G104)*Summary!$T$8/(1-Summary!$T$8),(T104+R104+G104)*Summary!$U$8/(1-Summary!$U$8)))</f>
        <v>0.21468851941492162</v>
      </c>
      <c r="W104" s="63">
        <f t="shared" si="54"/>
        <v>4.3196885194149219</v>
      </c>
      <c r="X104" s="63">
        <f t="shared" si="55"/>
        <v>4.3196885194149219</v>
      </c>
      <c r="Y104" s="43"/>
      <c r="Z104" s="38">
        <f t="shared" si="56"/>
        <v>0.45</v>
      </c>
      <c r="AA104" s="38">
        <f t="shared" si="57"/>
        <v>0.19600000000000001</v>
      </c>
      <c r="AB104" s="38">
        <f t="shared" ca="1" si="58"/>
        <v>0.19870774667661584</v>
      </c>
      <c r="AC104" s="38">
        <f t="shared" si="59"/>
        <v>0.4</v>
      </c>
      <c r="AD104" s="38">
        <f t="shared" si="59"/>
        <v>0.19</v>
      </c>
      <c r="AE104" s="38">
        <f t="shared" ca="1" si="60"/>
        <v>0.19221460889363595</v>
      </c>
      <c r="AF104" s="237">
        <f ca="1">((Summary!$N$8*(AA104*AD104)*(A104-$D$3))+(Summary!$M$8*Z104*AC104*(AJ104-EOMONTH(EDATE(A104,-1),0))))/(AK104*AB104*AE104)</f>
        <v>0.99981237968488268</v>
      </c>
      <c r="AG104" s="88">
        <f>IF($A105="","",Summary!$Q$8)</f>
        <v>0</v>
      </c>
      <c r="AH104" s="88">
        <f>IF($A105="","",IF(Summary!$R$8="Y",(VLOOKUP($A104,Summary!$AD$6:$AF$9,3)+'Escalating commodity'!D117),'Escalating commodity'!D117))</f>
        <v>2.0023199999999998E-2</v>
      </c>
      <c r="AI104" s="88">
        <f t="shared" si="75"/>
        <v>2.0023199999999998E-2</v>
      </c>
      <c r="AJ104" s="236">
        <f t="shared" si="61"/>
        <v>39918</v>
      </c>
      <c r="AK104" s="58">
        <f t="shared" ca="1" si="62"/>
        <v>2878</v>
      </c>
      <c r="AL104" s="26">
        <f ca="1">IF($A105="","",_xll.SPRDOPT(P104,X104,AI104,0,AB104,AE104,AF104,AK104,$AJ$2,0))</f>
        <v>5.3606262222619598E-2</v>
      </c>
      <c r="AM104" s="89">
        <f t="shared" si="63"/>
        <v>2.5288280585078281E-2</v>
      </c>
      <c r="AN104" s="89">
        <f t="shared" ca="1" si="64"/>
        <v>2.8317981637541317E-2</v>
      </c>
      <c r="AO104" s="3">
        <f t="shared" si="65"/>
        <v>30</v>
      </c>
      <c r="AP104" s="33">
        <f t="shared" si="66"/>
        <v>39904</v>
      </c>
      <c r="AQ104" s="58">
        <f t="shared" ca="1" si="67"/>
        <v>2878</v>
      </c>
      <c r="AR104" s="38">
        <f>'ANR OK vs ML7'!AR104</f>
        <v>0.1</v>
      </c>
      <c r="AS104" s="35">
        <f t="shared" ca="1" si="68"/>
        <v>0.46352842451326709</v>
      </c>
      <c r="AT104" s="3">
        <f t="shared" si="69"/>
        <v>1</v>
      </c>
      <c r="AU104" s="3">
        <f t="shared" si="70"/>
        <v>30</v>
      </c>
      <c r="AW104" s="32">
        <f t="shared" ca="1" si="71"/>
        <v>128655.02933428704</v>
      </c>
      <c r="AX104" s="32">
        <f t="shared" si="72"/>
        <v>60691.873404187871</v>
      </c>
      <c r="AY104" s="32">
        <f t="shared" ca="1" si="73"/>
        <v>67963.155930099165</v>
      </c>
      <c r="BA104" s="32">
        <f ca="1">IF($A105="","",F104*Summary!$Q$8)</f>
        <v>0</v>
      </c>
      <c r="BC104" s="256">
        <f t="shared" ca="1" si="76"/>
        <v>28132.40845980186</v>
      </c>
    </row>
    <row r="105" spans="1:55">
      <c r="A105" s="67">
        <f t="shared" si="74"/>
        <v>39934</v>
      </c>
      <c r="B105" s="69">
        <f t="shared" si="77"/>
        <v>80000</v>
      </c>
      <c r="C105" s="71"/>
      <c r="D105" s="69">
        <f t="shared" si="39"/>
        <v>80000</v>
      </c>
      <c r="E105" s="70">
        <f t="shared" si="40"/>
        <v>2480000</v>
      </c>
      <c r="F105" s="70">
        <f t="shared" ca="1" si="41"/>
        <v>1140373.8859510932</v>
      </c>
      <c r="G105" s="63">
        <f t="shared" si="42"/>
        <v>4.125</v>
      </c>
      <c r="H105" s="64">
        <f t="shared" si="43"/>
        <v>4.125</v>
      </c>
      <c r="I105" s="43"/>
      <c r="J105" s="63">
        <f t="shared" si="44"/>
        <v>0.21</v>
      </c>
      <c r="K105" s="64">
        <f t="shared" si="45"/>
        <v>0.21</v>
      </c>
      <c r="L105" s="63">
        <f t="shared" si="46"/>
        <v>0</v>
      </c>
      <c r="M105" s="64">
        <f t="shared" si="47"/>
        <v>0</v>
      </c>
      <c r="N105" s="65"/>
      <c r="O105" s="63">
        <f t="shared" si="48"/>
        <v>4.335</v>
      </c>
      <c r="P105" s="63">
        <f t="shared" si="49"/>
        <v>4.335</v>
      </c>
      <c r="Q105" s="66"/>
      <c r="R105" s="63">
        <f t="shared" si="50"/>
        <v>-0.05</v>
      </c>
      <c r="S105" s="64">
        <f t="shared" si="51"/>
        <v>-0.05</v>
      </c>
      <c r="T105" s="63">
        <f t="shared" si="52"/>
        <v>0</v>
      </c>
      <c r="U105" s="64">
        <f t="shared" si="53"/>
        <v>0</v>
      </c>
      <c r="V105" s="207">
        <f>IF($A106="","",IF(AND(MONTH(A105)&gt;3,MONTH(A105)&lt;11),(T105+R105+G105)*Summary!$T$8/(1-Summary!$T$8),(T105+R105+G105)*Summary!$U$8/(1-Summary!$U$8)))</f>
        <v>0.21311954119751658</v>
      </c>
      <c r="W105" s="63">
        <f t="shared" si="54"/>
        <v>4.288119541197517</v>
      </c>
      <c r="X105" s="63">
        <f t="shared" si="55"/>
        <v>4.288119541197517</v>
      </c>
      <c r="Y105" s="43"/>
      <c r="Z105" s="38">
        <f t="shared" si="56"/>
        <v>0.5</v>
      </c>
      <c r="AA105" s="38">
        <f t="shared" si="57"/>
        <v>0.19600000000000001</v>
      </c>
      <c r="AB105" s="38">
        <f t="shared" ca="1" si="58"/>
        <v>0.19940346386917693</v>
      </c>
      <c r="AC105" s="38">
        <f t="shared" si="59"/>
        <v>0.45</v>
      </c>
      <c r="AD105" s="38">
        <f t="shared" si="59"/>
        <v>0.19</v>
      </c>
      <c r="AE105" s="38">
        <f t="shared" ca="1" si="60"/>
        <v>0.19285166345934676</v>
      </c>
      <c r="AF105" s="237">
        <f ca="1">((Summary!$N$8*(AA105*AD105)*(A105-$D$3))+(Summary!$M$8*Z105*AC105*(AJ105-EOMONTH(EDATE(A105,-1),0))))/(AK105*AB105*AE105)</f>
        <v>0.99981976261472272</v>
      </c>
      <c r="AG105" s="88">
        <f>IF($A106="","",Summary!$Q$8)</f>
        <v>0</v>
      </c>
      <c r="AH105" s="88">
        <f>IF($A106="","",IF(Summary!$R$8="Y",(VLOOKUP($A105,Summary!$AD$6:$AF$9,3)+'Escalating commodity'!D118),'Escalating commodity'!D118))</f>
        <v>2.0023199999999998E-2</v>
      </c>
      <c r="AI105" s="88">
        <f t="shared" si="75"/>
        <v>2.0023199999999998E-2</v>
      </c>
      <c r="AJ105" s="236">
        <f t="shared" si="61"/>
        <v>39948.5</v>
      </c>
      <c r="AK105" s="58">
        <f t="shared" ca="1" si="62"/>
        <v>2908</v>
      </c>
      <c r="AL105" s="26">
        <f ca="1">IF($A106="","",_xll.SPRDOPT(P105,X105,AI105,0,AB105,AE105,AF105,AK105,$AJ$2,0))</f>
        <v>5.4708210050519138E-2</v>
      </c>
      <c r="AM105" s="89">
        <f t="shared" si="63"/>
        <v>2.6857258802482929E-2</v>
      </c>
      <c r="AN105" s="89">
        <f t="shared" ca="1" si="64"/>
        <v>2.7850951248036208E-2</v>
      </c>
      <c r="AO105" s="3">
        <f t="shared" si="65"/>
        <v>31</v>
      </c>
      <c r="AP105" s="33">
        <f t="shared" si="66"/>
        <v>39934</v>
      </c>
      <c r="AQ105" s="58">
        <f t="shared" ca="1" si="67"/>
        <v>2908</v>
      </c>
      <c r="AR105" s="38">
        <f>'ANR OK vs ML7'!AR105</f>
        <v>0.1</v>
      </c>
      <c r="AS105" s="35">
        <f t="shared" ca="1" si="68"/>
        <v>0.45982817981898916</v>
      </c>
      <c r="AT105" s="3">
        <f t="shared" si="69"/>
        <v>1</v>
      </c>
      <c r="AU105" s="3">
        <f t="shared" si="70"/>
        <v>31</v>
      </c>
      <c r="AW105" s="32">
        <f t="shared" ca="1" si="71"/>
        <v>135676.36092528747</v>
      </c>
      <c r="AX105" s="32">
        <f t="shared" si="72"/>
        <v>66606.001830157664</v>
      </c>
      <c r="AY105" s="32">
        <f t="shared" ca="1" si="73"/>
        <v>69070.359095129796</v>
      </c>
      <c r="BA105" s="32">
        <f ca="1">IF($A106="","",F105*Summary!$Q$8)</f>
        <v>0</v>
      </c>
      <c r="BC105" s="256">
        <f t="shared" ca="1" si="76"/>
        <v>30627.316586581663</v>
      </c>
    </row>
    <row r="106" spans="1:55">
      <c r="A106" s="67">
        <f t="shared" si="74"/>
        <v>39965</v>
      </c>
      <c r="B106" s="69">
        <f t="shared" si="77"/>
        <v>80000</v>
      </c>
      <c r="C106" s="71"/>
      <c r="D106" s="69">
        <f t="shared" si="39"/>
        <v>80000</v>
      </c>
      <c r="E106" s="70">
        <f t="shared" si="40"/>
        <v>2400000</v>
      </c>
      <c r="F106" s="70">
        <f t="shared" ca="1" si="41"/>
        <v>1094485.4938376823</v>
      </c>
      <c r="G106" s="63">
        <f t="shared" si="42"/>
        <v>4.1950000000000003</v>
      </c>
      <c r="H106" s="64">
        <f t="shared" si="43"/>
        <v>4.1950000000000003</v>
      </c>
      <c r="I106" s="43"/>
      <c r="J106" s="63">
        <f t="shared" si="44"/>
        <v>0.21</v>
      </c>
      <c r="K106" s="64">
        <f t="shared" si="45"/>
        <v>0.21</v>
      </c>
      <c r="L106" s="63">
        <f t="shared" si="46"/>
        <v>0</v>
      </c>
      <c r="M106" s="64">
        <f t="shared" si="47"/>
        <v>0</v>
      </c>
      <c r="N106" s="65"/>
      <c r="O106" s="63">
        <f t="shared" si="48"/>
        <v>4.4050000000000002</v>
      </c>
      <c r="P106" s="63">
        <f t="shared" si="49"/>
        <v>4.4050000000000002</v>
      </c>
      <c r="Q106" s="66"/>
      <c r="R106" s="63">
        <f t="shared" si="50"/>
        <v>-0.05</v>
      </c>
      <c r="S106" s="64">
        <f t="shared" si="51"/>
        <v>-0.05</v>
      </c>
      <c r="T106" s="63">
        <f t="shared" si="52"/>
        <v>0</v>
      </c>
      <c r="U106" s="64">
        <f t="shared" si="53"/>
        <v>0</v>
      </c>
      <c r="V106" s="207">
        <f>IF($A107="","",IF(AND(MONTH(A106)&gt;3,MONTH(A106)&lt;11),(T106+R106+G106)*Summary!$T$8/(1-Summary!$T$8),(T106+R106+G106)*Summary!$U$8/(1-Summary!$U$8)))</f>
        <v>0.21678049037146169</v>
      </c>
      <c r="W106" s="63">
        <f t="shared" si="54"/>
        <v>4.3617804903714621</v>
      </c>
      <c r="X106" s="63">
        <f t="shared" si="55"/>
        <v>4.3617804903714621</v>
      </c>
      <c r="Y106" s="43"/>
      <c r="Z106" s="38">
        <f t="shared" si="56"/>
        <v>0.5</v>
      </c>
      <c r="AA106" s="38">
        <f t="shared" si="57"/>
        <v>0.19600000000000001</v>
      </c>
      <c r="AB106" s="38">
        <f t="shared" ca="1" si="58"/>
        <v>0.19926117361726642</v>
      </c>
      <c r="AC106" s="38">
        <f t="shared" si="59"/>
        <v>0.45</v>
      </c>
      <c r="AD106" s="38">
        <f t="shared" si="59"/>
        <v>0.19</v>
      </c>
      <c r="AE106" s="38">
        <f t="shared" ca="1" si="60"/>
        <v>0.19273245157585406</v>
      </c>
      <c r="AF106" s="237">
        <f ca="1">((Summary!$N$8*(AA106*AD106)*(A106-$D$3))+(Summary!$M$8*Z106*AC106*(AJ106-EOMONTH(EDATE(A106,-1),0))))/(AK106*AB106*AE106)</f>
        <v>0.999822961406441</v>
      </c>
      <c r="AG106" s="88">
        <f>IF($A107="","",Summary!$Q$8)</f>
        <v>0</v>
      </c>
      <c r="AH106" s="88">
        <f>IF($A107="","",IF(Summary!$R$8="Y",(VLOOKUP($A106,Summary!$AD$6:$AF$9,3)+'Escalating commodity'!D119),'Escalating commodity'!D119))</f>
        <v>2.0023199999999998E-2</v>
      </c>
      <c r="AI106" s="88">
        <f t="shared" si="75"/>
        <v>2.0023199999999998E-2</v>
      </c>
      <c r="AJ106" s="236">
        <f t="shared" si="61"/>
        <v>39979</v>
      </c>
      <c r="AK106" s="58">
        <f t="shared" ca="1" si="62"/>
        <v>2939</v>
      </c>
      <c r="AL106" s="26">
        <f ca="1">IF($A107="","",_xll.SPRDOPT(P106,X106,AI106,0,AB106,AE106,AF106,AK106,$AJ$2,0))</f>
        <v>5.3129277451134577E-2</v>
      </c>
      <c r="AM106" s="89">
        <f t="shared" si="63"/>
        <v>2.3196309628538157E-2</v>
      </c>
      <c r="AN106" s="89">
        <f t="shared" ca="1" si="64"/>
        <v>2.9932967822596419E-2</v>
      </c>
      <c r="AO106" s="3">
        <f t="shared" si="65"/>
        <v>30</v>
      </c>
      <c r="AP106" s="33">
        <f t="shared" si="66"/>
        <v>39965</v>
      </c>
      <c r="AQ106" s="58">
        <f t="shared" ca="1" si="67"/>
        <v>2939</v>
      </c>
      <c r="AR106" s="38">
        <f>'ANR OK vs ML7'!AR106</f>
        <v>0.1</v>
      </c>
      <c r="AS106" s="35">
        <f t="shared" ca="1" si="68"/>
        <v>0.45603562243236767</v>
      </c>
      <c r="AT106" s="3">
        <f t="shared" si="69"/>
        <v>1</v>
      </c>
      <c r="AU106" s="3">
        <f t="shared" si="70"/>
        <v>30</v>
      </c>
      <c r="AW106" s="32">
        <f t="shared" ca="1" si="71"/>
        <v>127510.26588272299</v>
      </c>
      <c r="AX106" s="32">
        <f t="shared" si="72"/>
        <v>55671.143108491575</v>
      </c>
      <c r="AY106" s="32">
        <f t="shared" ca="1" si="73"/>
        <v>71839.122774231408</v>
      </c>
      <c r="BA106" s="32">
        <f ca="1">IF($A107="","",F106*Summary!$Q$8)</f>
        <v>0</v>
      </c>
      <c r="BC106" s="256">
        <f t="shared" ca="1" si="76"/>
        <v>25388.02439900237</v>
      </c>
    </row>
    <row r="107" spans="1:55">
      <c r="A107" s="67">
        <f t="shared" si="74"/>
        <v>39995</v>
      </c>
      <c r="B107" s="69">
        <f t="shared" si="77"/>
        <v>80000</v>
      </c>
      <c r="C107" s="71"/>
      <c r="D107" s="69">
        <f t="shared" si="39"/>
        <v>80000</v>
      </c>
      <c r="E107" s="70">
        <f t="shared" si="40"/>
        <v>2480000</v>
      </c>
      <c r="F107" s="70">
        <f t="shared" ca="1" si="41"/>
        <v>1121940.0739693791</v>
      </c>
      <c r="G107" s="63">
        <f t="shared" si="42"/>
        <v>4.25</v>
      </c>
      <c r="H107" s="64">
        <f t="shared" si="43"/>
        <v>4.25</v>
      </c>
      <c r="I107" s="43"/>
      <c r="J107" s="63">
        <f t="shared" si="44"/>
        <v>0.21</v>
      </c>
      <c r="K107" s="64">
        <f t="shared" si="45"/>
        <v>0.21</v>
      </c>
      <c r="L107" s="63">
        <f t="shared" si="46"/>
        <v>0</v>
      </c>
      <c r="M107" s="64">
        <f t="shared" si="47"/>
        <v>0</v>
      </c>
      <c r="N107" s="65"/>
      <c r="O107" s="63">
        <f t="shared" si="48"/>
        <v>4.46</v>
      </c>
      <c r="P107" s="63">
        <f t="shared" si="49"/>
        <v>4.46</v>
      </c>
      <c r="Q107" s="66"/>
      <c r="R107" s="63">
        <f t="shared" si="50"/>
        <v>-0.05</v>
      </c>
      <c r="S107" s="64">
        <f t="shared" si="51"/>
        <v>-0.05</v>
      </c>
      <c r="T107" s="63">
        <f t="shared" si="52"/>
        <v>0</v>
      </c>
      <c r="U107" s="64">
        <f t="shared" si="53"/>
        <v>0</v>
      </c>
      <c r="V107" s="207">
        <f>IF($A108="","",IF(AND(MONTH(A107)&gt;3,MONTH(A107)&lt;11),(T107+R107+G107)*Summary!$T$8/(1-Summary!$T$8),(T107+R107+G107)*Summary!$U$8/(1-Summary!$U$8)))</f>
        <v>0.21965695043670419</v>
      </c>
      <c r="W107" s="63">
        <f t="shared" si="54"/>
        <v>4.4196569504367043</v>
      </c>
      <c r="X107" s="63">
        <f t="shared" si="55"/>
        <v>4.4196569504367043</v>
      </c>
      <c r="Y107" s="43"/>
      <c r="Z107" s="38">
        <f t="shared" si="56"/>
        <v>0.55000000000000004</v>
      </c>
      <c r="AA107" s="38">
        <f t="shared" si="57"/>
        <v>0.19600000000000001</v>
      </c>
      <c r="AB107" s="38">
        <f t="shared" ca="1" si="58"/>
        <v>0.20002043512980958</v>
      </c>
      <c r="AC107" s="38">
        <f t="shared" si="59"/>
        <v>0.5</v>
      </c>
      <c r="AD107" s="38">
        <f t="shared" si="59"/>
        <v>0.19</v>
      </c>
      <c r="AE107" s="38">
        <f t="shared" ca="1" si="60"/>
        <v>0.19343555057522088</v>
      </c>
      <c r="AF107" s="237">
        <f ca="1">((Summary!$N$8*(AA107*AD107)*(A107-$D$3))+(Summary!$M$8*Z107*AC107*(AJ107-EOMONTH(EDATE(A107,-1),0))))/(AK107*AB107*AE107)</f>
        <v>0.9998300193795373</v>
      </c>
      <c r="AG107" s="88">
        <f>IF($A108="","",Summary!$Q$8)</f>
        <v>0</v>
      </c>
      <c r="AH107" s="88">
        <f>IF($A108="","",IF(Summary!$R$8="Y",(VLOOKUP($A107,Summary!$AD$6:$AF$9,3)+'Escalating commodity'!D120),'Escalating commodity'!D120))</f>
        <v>2.0023199999999998E-2</v>
      </c>
      <c r="AI107" s="88">
        <f t="shared" si="75"/>
        <v>2.0023199999999998E-2</v>
      </c>
      <c r="AJ107" s="236">
        <f t="shared" si="61"/>
        <v>40009.5</v>
      </c>
      <c r="AK107" s="58">
        <f t="shared" ca="1" si="62"/>
        <v>2969</v>
      </c>
      <c r="AL107" s="26">
        <f ca="1">IF($A108="","",_xll.SPRDOPT(P107,X107,AI107,0,AB107,AE107,AF107,AK107,$AJ$2,0))</f>
        <v>5.2295558326519866E-2</v>
      </c>
      <c r="AM107" s="89">
        <f t="shared" si="63"/>
        <v>2.031984956329571E-2</v>
      </c>
      <c r="AN107" s="89">
        <f t="shared" ca="1" si="64"/>
        <v>3.1975708763224156E-2</v>
      </c>
      <c r="AO107" s="3">
        <f t="shared" si="65"/>
        <v>31</v>
      </c>
      <c r="AP107" s="33">
        <f t="shared" si="66"/>
        <v>39995</v>
      </c>
      <c r="AQ107" s="58">
        <f t="shared" ca="1" si="67"/>
        <v>2969</v>
      </c>
      <c r="AR107" s="38">
        <f>'ANR OK vs ML7'!AR107</f>
        <v>0.1</v>
      </c>
      <c r="AS107" s="35">
        <f t="shared" ca="1" si="68"/>
        <v>0.45239519111668508</v>
      </c>
      <c r="AT107" s="3">
        <f t="shared" si="69"/>
        <v>1</v>
      </c>
      <c r="AU107" s="3">
        <f t="shared" si="70"/>
        <v>31</v>
      </c>
      <c r="AW107" s="32">
        <f t="shared" ca="1" si="71"/>
        <v>129692.98464976926</v>
      </c>
      <c r="AX107" s="32">
        <f t="shared" si="72"/>
        <v>50393.226916973363</v>
      </c>
      <c r="AY107" s="32">
        <f t="shared" ca="1" si="73"/>
        <v>79299.757732795901</v>
      </c>
      <c r="BA107" s="32">
        <f ca="1">IF($A108="","",F107*Summary!$Q$8)</f>
        <v>0</v>
      </c>
      <c r="BC107" s="256">
        <f t="shared" ca="1" si="76"/>
        <v>22797.653522090644</v>
      </c>
    </row>
    <row r="108" spans="1:55">
      <c r="A108" s="67">
        <f t="shared" si="74"/>
        <v>40026</v>
      </c>
      <c r="B108" s="69">
        <f t="shared" si="77"/>
        <v>80000</v>
      </c>
      <c r="C108" s="71"/>
      <c r="D108" s="69">
        <f t="shared" si="39"/>
        <v>80000</v>
      </c>
      <c r="E108" s="70">
        <f t="shared" si="40"/>
        <v>2480000</v>
      </c>
      <c r="F108" s="70">
        <f t="shared" ca="1" si="41"/>
        <v>1112686.5695048326</v>
      </c>
      <c r="G108" s="63">
        <f t="shared" si="42"/>
        <v>4.306</v>
      </c>
      <c r="H108" s="64">
        <f t="shared" si="43"/>
        <v>4.306</v>
      </c>
      <c r="I108" s="43"/>
      <c r="J108" s="63">
        <f t="shared" si="44"/>
        <v>0.21</v>
      </c>
      <c r="K108" s="64">
        <f t="shared" si="45"/>
        <v>0.21</v>
      </c>
      <c r="L108" s="63">
        <f t="shared" si="46"/>
        <v>0</v>
      </c>
      <c r="M108" s="64">
        <f t="shared" si="47"/>
        <v>0</v>
      </c>
      <c r="N108" s="65"/>
      <c r="O108" s="63">
        <f t="shared" si="48"/>
        <v>4.516</v>
      </c>
      <c r="P108" s="63">
        <f t="shared" si="49"/>
        <v>4.516</v>
      </c>
      <c r="Q108" s="66"/>
      <c r="R108" s="63">
        <f t="shared" si="50"/>
        <v>-0.05</v>
      </c>
      <c r="S108" s="64">
        <f t="shared" si="51"/>
        <v>-0.05</v>
      </c>
      <c r="T108" s="63">
        <f t="shared" si="52"/>
        <v>0</v>
      </c>
      <c r="U108" s="64">
        <f t="shared" si="53"/>
        <v>0</v>
      </c>
      <c r="V108" s="207">
        <f>IF($A109="","",IF(AND(MONTH(A108)&gt;3,MONTH(A108)&lt;11),(T108+R108+G108)*Summary!$T$8/(1-Summary!$T$8),(T108+R108+G108)*Summary!$U$8/(1-Summary!$U$8)))</f>
        <v>0.22258570977586026</v>
      </c>
      <c r="W108" s="63">
        <f t="shared" si="54"/>
        <v>4.4785857097758601</v>
      </c>
      <c r="X108" s="63">
        <f t="shared" si="55"/>
        <v>4.4785857097758601</v>
      </c>
      <c r="Y108" s="43"/>
      <c r="Z108" s="38">
        <f t="shared" si="56"/>
        <v>0.6</v>
      </c>
      <c r="AA108" s="38">
        <f t="shared" si="57"/>
        <v>0.19600000000000001</v>
      </c>
      <c r="AB108" s="38">
        <f t="shared" ca="1" si="58"/>
        <v>0.20072071475892403</v>
      </c>
      <c r="AC108" s="38">
        <f t="shared" si="59"/>
        <v>0.55000000000000004</v>
      </c>
      <c r="AD108" s="38">
        <f t="shared" si="59"/>
        <v>0.19</v>
      </c>
      <c r="AE108" s="38">
        <f t="shared" ca="1" si="60"/>
        <v>0.19410036063851091</v>
      </c>
      <c r="AF108" s="237">
        <f ca="1">((Summary!$N$8*(AA108*AD108)*(A108-$D$3))+(Summary!$M$8*Z108*AC108*(AJ108-EOMONTH(EDATE(A108,-1),0))))/(AK108*AB108*AE108)</f>
        <v>0.99983893644079869</v>
      </c>
      <c r="AG108" s="88">
        <f>IF($A109="","",Summary!$Q$8)</f>
        <v>0</v>
      </c>
      <c r="AH108" s="88">
        <f>IF($A109="","",IF(Summary!$R$8="Y",(VLOOKUP($A108,Summary!$AD$6:$AF$9,3)+'Escalating commodity'!D121),'Escalating commodity'!D121))</f>
        <v>2.0023199999999998E-2</v>
      </c>
      <c r="AI108" s="88">
        <f t="shared" si="75"/>
        <v>2.0023199999999998E-2</v>
      </c>
      <c r="AJ108" s="236">
        <f t="shared" si="61"/>
        <v>40040.5</v>
      </c>
      <c r="AK108" s="58">
        <f t="shared" ca="1" si="62"/>
        <v>3000</v>
      </c>
      <c r="AL108" s="26">
        <f ca="1">IF($A109="","",_xll.SPRDOPT(P108,X108,AI108,0,AB108,AE108,AF108,AK108,$AJ$2,0))</f>
        <v>5.130879325832282E-2</v>
      </c>
      <c r="AM108" s="89">
        <f t="shared" si="63"/>
        <v>1.7391090224139892E-2</v>
      </c>
      <c r="AN108" s="89">
        <f t="shared" ca="1" si="64"/>
        <v>3.3917703034182928E-2</v>
      </c>
      <c r="AO108" s="3">
        <f t="shared" si="65"/>
        <v>31</v>
      </c>
      <c r="AP108" s="33">
        <f t="shared" si="66"/>
        <v>40026</v>
      </c>
      <c r="AQ108" s="58">
        <f t="shared" ca="1" si="67"/>
        <v>3000</v>
      </c>
      <c r="AR108" s="38">
        <f>'ANR OK vs ML7'!AR108</f>
        <v>0.1</v>
      </c>
      <c r="AS108" s="35">
        <f t="shared" ca="1" si="68"/>
        <v>0.44866393931646481</v>
      </c>
      <c r="AT108" s="3">
        <f t="shared" si="69"/>
        <v>1</v>
      </c>
      <c r="AU108" s="3">
        <f t="shared" si="70"/>
        <v>31</v>
      </c>
      <c r="AW108" s="32">
        <f t="shared" ca="1" si="71"/>
        <v>127245.8072806406</v>
      </c>
      <c r="AX108" s="32">
        <f t="shared" si="72"/>
        <v>43129.90375586693</v>
      </c>
      <c r="AY108" s="32">
        <f t="shared" ca="1" si="73"/>
        <v>84115.903524773661</v>
      </c>
      <c r="BA108" s="32">
        <f ca="1">IF($A109="","",F108*Summary!$Q$8)</f>
        <v>0</v>
      </c>
      <c r="BC108" s="256">
        <f t="shared" ca="1" si="76"/>
        <v>19350.832521447246</v>
      </c>
    </row>
    <row r="109" spans="1:55">
      <c r="A109" s="67">
        <f t="shared" si="74"/>
        <v>40057</v>
      </c>
      <c r="B109" s="69">
        <f t="shared" si="77"/>
        <v>80000</v>
      </c>
      <c r="C109" s="71"/>
      <c r="D109" s="69">
        <f t="shared" si="39"/>
        <v>80000</v>
      </c>
      <c r="E109" s="70">
        <f t="shared" si="40"/>
        <v>2400000</v>
      </c>
      <c r="F109" s="70">
        <f t="shared" ca="1" si="41"/>
        <v>1067912.3088612026</v>
      </c>
      <c r="G109" s="63">
        <f t="shared" si="42"/>
        <v>4.32</v>
      </c>
      <c r="H109" s="64">
        <f t="shared" si="43"/>
        <v>4.32</v>
      </c>
      <c r="I109" s="43"/>
      <c r="J109" s="63">
        <f t="shared" si="44"/>
        <v>0.21</v>
      </c>
      <c r="K109" s="64">
        <f t="shared" si="45"/>
        <v>0.21</v>
      </c>
      <c r="L109" s="63">
        <f t="shared" si="46"/>
        <v>0</v>
      </c>
      <c r="M109" s="64">
        <f t="shared" si="47"/>
        <v>0</v>
      </c>
      <c r="N109" s="65"/>
      <c r="O109" s="63">
        <f t="shared" si="48"/>
        <v>4.53</v>
      </c>
      <c r="P109" s="63">
        <f t="shared" si="49"/>
        <v>4.53</v>
      </c>
      <c r="Q109" s="66"/>
      <c r="R109" s="63">
        <f t="shared" si="50"/>
        <v>-0.05</v>
      </c>
      <c r="S109" s="64">
        <f t="shared" si="51"/>
        <v>-0.05</v>
      </c>
      <c r="T109" s="63">
        <f t="shared" si="52"/>
        <v>0</v>
      </c>
      <c r="U109" s="64">
        <f t="shared" si="53"/>
        <v>0</v>
      </c>
      <c r="V109" s="207">
        <f>IF($A110="","",IF(AND(MONTH(A109)&gt;3,MONTH(A109)&lt;11),(T109+R109+G109)*Summary!$T$8/(1-Summary!$T$8),(T109+R109+G109)*Summary!$U$8/(1-Summary!$U$8)))</f>
        <v>0.22331789961064927</v>
      </c>
      <c r="W109" s="63">
        <f t="shared" si="54"/>
        <v>4.4933178996106493</v>
      </c>
      <c r="X109" s="63">
        <f t="shared" si="55"/>
        <v>4.4933178996106493</v>
      </c>
      <c r="Y109" s="43"/>
      <c r="Z109" s="38">
        <f t="shared" si="56"/>
        <v>0.6</v>
      </c>
      <c r="AA109" s="38">
        <f t="shared" si="57"/>
        <v>0.19600000000000001</v>
      </c>
      <c r="AB109" s="38">
        <f t="shared" ca="1" si="58"/>
        <v>0.20052497250752138</v>
      </c>
      <c r="AC109" s="38">
        <f t="shared" si="59"/>
        <v>0.55000000000000004</v>
      </c>
      <c r="AD109" s="38">
        <f t="shared" si="59"/>
        <v>0.19</v>
      </c>
      <c r="AE109" s="38">
        <f t="shared" ca="1" si="60"/>
        <v>0.19393024762419858</v>
      </c>
      <c r="AF109" s="237">
        <f ca="1">((Summary!$N$8*(AA109*AD109)*(A109-$D$3))+(Summary!$M$8*Z109*AC109*(AJ109-EOMONTH(EDATE(A109,-1),0))))/(AK109*AB109*AE109)</f>
        <v>0.99984128602819555</v>
      </c>
      <c r="AG109" s="88">
        <f>IF($A110="","",Summary!$Q$8)</f>
        <v>0</v>
      </c>
      <c r="AH109" s="88">
        <f>IF($A110="","",IF(Summary!$R$8="Y",(VLOOKUP($A109,Summary!$AD$6:$AF$9,3)+'Escalating commodity'!D122),'Escalating commodity'!D122))</f>
        <v>2.0023199999999998E-2</v>
      </c>
      <c r="AI109" s="88">
        <f t="shared" si="75"/>
        <v>2.0023199999999998E-2</v>
      </c>
      <c r="AJ109" s="236">
        <f t="shared" si="61"/>
        <v>40071</v>
      </c>
      <c r="AK109" s="58">
        <f t="shared" ca="1" si="62"/>
        <v>3031</v>
      </c>
      <c r="AL109" s="26">
        <f ca="1">IF($A110="","",_xll.SPRDOPT(P109,X109,AI109,0,AB109,AE109,AF109,AK109,$AJ$2,0))</f>
        <v>5.1034757314229282E-2</v>
      </c>
      <c r="AM109" s="89">
        <f t="shared" si="63"/>
        <v>1.6658900389350938E-2</v>
      </c>
      <c r="AN109" s="89">
        <f t="shared" ca="1" si="64"/>
        <v>3.4375856924878344E-2</v>
      </c>
      <c r="AO109" s="3">
        <f t="shared" si="65"/>
        <v>30</v>
      </c>
      <c r="AP109" s="33">
        <f t="shared" si="66"/>
        <v>40057</v>
      </c>
      <c r="AQ109" s="58">
        <f t="shared" ca="1" si="67"/>
        <v>3031</v>
      </c>
      <c r="AR109" s="38">
        <f>'ANR OK vs ML7'!AR109</f>
        <v>0.1</v>
      </c>
      <c r="AS109" s="35">
        <f t="shared" ca="1" si="68"/>
        <v>0.44496346202550108</v>
      </c>
      <c r="AT109" s="3">
        <f t="shared" si="69"/>
        <v>1</v>
      </c>
      <c r="AU109" s="3">
        <f t="shared" si="70"/>
        <v>30</v>
      </c>
      <c r="AW109" s="32">
        <f t="shared" ca="1" si="71"/>
        <v>122483.41755415028</v>
      </c>
      <c r="AX109" s="32">
        <f t="shared" si="72"/>
        <v>39981.360934442251</v>
      </c>
      <c r="AY109" s="32">
        <f t="shared" ca="1" si="73"/>
        <v>82502.056619708019</v>
      </c>
      <c r="BA109" s="32">
        <f ca="1">IF($A110="","",F109*Summary!$Q$8)</f>
        <v>0</v>
      </c>
      <c r="BC109" s="256">
        <f t="shared" ca="1" si="76"/>
        <v>17790.244777880547</v>
      </c>
    </row>
    <row r="110" spans="1:55">
      <c r="A110" s="67">
        <f t="shared" si="74"/>
        <v>40087</v>
      </c>
      <c r="B110" s="69">
        <f t="shared" si="77"/>
        <v>80000</v>
      </c>
      <c r="C110" s="71"/>
      <c r="D110" s="69">
        <f t="shared" si="39"/>
        <v>80000</v>
      </c>
      <c r="E110" s="70">
        <f t="shared" si="40"/>
        <v>2480000</v>
      </c>
      <c r="F110" s="70">
        <f t="shared" ca="1" si="41"/>
        <v>1094700.3149355922</v>
      </c>
      <c r="G110" s="63">
        <f t="shared" si="42"/>
        <v>4.351</v>
      </c>
      <c r="H110" s="64">
        <f t="shared" si="43"/>
        <v>4.351</v>
      </c>
      <c r="I110" s="43"/>
      <c r="J110" s="63">
        <f t="shared" si="44"/>
        <v>0.21</v>
      </c>
      <c r="K110" s="64">
        <f t="shared" si="45"/>
        <v>0.21</v>
      </c>
      <c r="L110" s="63">
        <f t="shared" si="46"/>
        <v>0</v>
      </c>
      <c r="M110" s="64">
        <f t="shared" si="47"/>
        <v>0</v>
      </c>
      <c r="N110" s="65"/>
      <c r="O110" s="63">
        <f t="shared" si="48"/>
        <v>4.5609999999999999</v>
      </c>
      <c r="P110" s="63">
        <f t="shared" si="49"/>
        <v>4.5609999999999999</v>
      </c>
      <c r="Q110" s="66"/>
      <c r="R110" s="63">
        <f t="shared" si="50"/>
        <v>-0.05</v>
      </c>
      <c r="S110" s="64">
        <f t="shared" si="51"/>
        <v>-0.05</v>
      </c>
      <c r="T110" s="63">
        <f t="shared" si="52"/>
        <v>0</v>
      </c>
      <c r="U110" s="64">
        <f t="shared" si="53"/>
        <v>0</v>
      </c>
      <c r="V110" s="207">
        <f>IF($A111="","",IF(AND(MONTH(A110)&gt;3,MONTH(A110)&lt;11),(T110+R110+G110)*Summary!$T$8/(1-Summary!$T$8),(T110+R110+G110)*Summary!$U$8/(1-Summary!$U$8)))</f>
        <v>0.22493917710196781</v>
      </c>
      <c r="W110" s="63">
        <f t="shared" si="54"/>
        <v>4.5259391771019679</v>
      </c>
      <c r="X110" s="63">
        <f t="shared" si="55"/>
        <v>4.5259391771019679</v>
      </c>
      <c r="Y110" s="43"/>
      <c r="Z110" s="38">
        <f t="shared" si="56"/>
        <v>0.65</v>
      </c>
      <c r="AA110" s="38">
        <f t="shared" si="57"/>
        <v>0.19600000000000001</v>
      </c>
      <c r="AB110" s="38">
        <f t="shared" ca="1" si="58"/>
        <v>0.20141490851174315</v>
      </c>
      <c r="AC110" s="38">
        <f t="shared" si="59"/>
        <v>0.6</v>
      </c>
      <c r="AD110" s="38">
        <f t="shared" si="59"/>
        <v>0.19</v>
      </c>
      <c r="AE110" s="38">
        <f t="shared" ca="1" si="60"/>
        <v>0.19476839377406432</v>
      </c>
      <c r="AF110" s="237">
        <f ca="1">((Summary!$N$8*(AA110*AD110)*(A110-$D$3))+(Summary!$M$8*Z110*AC110*(AJ110-EOMONTH(EDATE(A110,-1),0))))/(AK110*AB110*AE110)</f>
        <v>0.9998477501472196</v>
      </c>
      <c r="AG110" s="88">
        <f>IF($A111="","",Summary!$Q$8)</f>
        <v>0</v>
      </c>
      <c r="AH110" s="88">
        <f>IF($A111="","",IF(Summary!$R$8="Y",(VLOOKUP($A110,Summary!$AD$6:$AF$9,3)+'Escalating commodity'!D123),'Escalating commodity'!D123))</f>
        <v>2.0023199999999998E-2</v>
      </c>
      <c r="AI110" s="88">
        <f t="shared" si="75"/>
        <v>2.0023199999999998E-2</v>
      </c>
      <c r="AJ110" s="236">
        <f t="shared" si="61"/>
        <v>40101.5</v>
      </c>
      <c r="AK110" s="58">
        <f t="shared" ca="1" si="62"/>
        <v>3061</v>
      </c>
      <c r="AL110" s="26">
        <f ca="1">IF($A111="","",_xll.SPRDOPT(P110,X110,AI110,0,AB110,AE110,AF110,AK110,$AJ$2,0))</f>
        <v>5.0715191261333392E-2</v>
      </c>
      <c r="AM110" s="89">
        <f t="shared" si="63"/>
        <v>1.5037622898032031E-2</v>
      </c>
      <c r="AN110" s="89">
        <f t="shared" ca="1" si="64"/>
        <v>3.5677568363301361E-2</v>
      </c>
      <c r="AO110" s="3">
        <f t="shared" si="65"/>
        <v>31</v>
      </c>
      <c r="AP110" s="33">
        <f t="shared" si="66"/>
        <v>40087</v>
      </c>
      <c r="AQ110" s="58">
        <f t="shared" ca="1" si="67"/>
        <v>3061</v>
      </c>
      <c r="AR110" s="38">
        <f>'ANR OK vs ML7'!AR110</f>
        <v>0.1</v>
      </c>
      <c r="AS110" s="35">
        <f t="shared" ca="1" si="68"/>
        <v>0.44141141731273881</v>
      </c>
      <c r="AT110" s="3">
        <f t="shared" si="69"/>
        <v>1</v>
      </c>
      <c r="AU110" s="3">
        <f t="shared" si="70"/>
        <v>31</v>
      </c>
      <c r="AW110" s="32">
        <f t="shared" ca="1" si="71"/>
        <v>125773.67432810682</v>
      </c>
      <c r="AX110" s="32">
        <f t="shared" si="72"/>
        <v>37293.304787119436</v>
      </c>
      <c r="AY110" s="32">
        <f t="shared" ca="1" si="73"/>
        <v>88480.369540987376</v>
      </c>
      <c r="BA110" s="32">
        <f ca="1">IF($A111="","",F110*Summary!$Q$8)</f>
        <v>0</v>
      </c>
      <c r="BC110" s="256">
        <f t="shared" ca="1" si="76"/>
        <v>16461.690522358338</v>
      </c>
    </row>
    <row r="111" spans="1:55">
      <c r="A111" s="67">
        <f t="shared" si="74"/>
        <v>40118</v>
      </c>
      <c r="B111" s="69">
        <f t="shared" si="77"/>
        <v>80000</v>
      </c>
      <c r="C111" s="71"/>
      <c r="D111" s="69">
        <f t="shared" si="39"/>
        <v>80000</v>
      </c>
      <c r="E111" s="70">
        <f t="shared" si="40"/>
        <v>2400000</v>
      </c>
      <c r="F111" s="70">
        <f t="shared" ca="1" si="41"/>
        <v>1050649.8171845477</v>
      </c>
      <c r="G111" s="63">
        <f t="shared" si="42"/>
        <v>4.484</v>
      </c>
      <c r="H111" s="64">
        <f t="shared" si="43"/>
        <v>4.484</v>
      </c>
      <c r="I111" s="43"/>
      <c r="J111" s="63">
        <f t="shared" si="44"/>
        <v>0.32500000000000001</v>
      </c>
      <c r="K111" s="64">
        <f t="shared" si="45"/>
        <v>0.32500000000000001</v>
      </c>
      <c r="L111" s="63">
        <f t="shared" si="46"/>
        <v>0</v>
      </c>
      <c r="M111" s="64">
        <f t="shared" si="47"/>
        <v>0</v>
      </c>
      <c r="N111" s="65"/>
      <c r="O111" s="63">
        <f t="shared" si="48"/>
        <v>4.8090000000000002</v>
      </c>
      <c r="P111" s="63">
        <f t="shared" si="49"/>
        <v>4.8090000000000002</v>
      </c>
      <c r="Q111" s="66"/>
      <c r="R111" s="63">
        <f t="shared" si="50"/>
        <v>-4.9500000000000002E-2</v>
      </c>
      <c r="S111" s="64">
        <f t="shared" si="51"/>
        <v>-4.9500000000000002E-2</v>
      </c>
      <c r="T111" s="63">
        <f t="shared" si="52"/>
        <v>5.0000000000000001E-3</v>
      </c>
      <c r="U111" s="64">
        <f t="shared" si="53"/>
        <v>5.0000000000000001E-3</v>
      </c>
      <c r="V111" s="207">
        <f>IF($A112="","",IF(AND(MONTH(A111)&gt;3,MONTH(A111)&lt;11),(T111+R111+G111)*Summary!$T$8/(1-Summary!$T$8),(T111+R111+G111)*Summary!$U$8/(1-Summary!$U$8)))</f>
        <v>0.23218262653898766</v>
      </c>
      <c r="W111" s="63">
        <f t="shared" si="54"/>
        <v>4.6716826265389875</v>
      </c>
      <c r="X111" s="63">
        <f t="shared" si="55"/>
        <v>4.6716826265389875</v>
      </c>
      <c r="Y111" s="43"/>
      <c r="Z111" s="38">
        <f t="shared" si="56"/>
        <v>0.8</v>
      </c>
      <c r="AA111" s="38">
        <f t="shared" si="57"/>
        <v>0.19600000000000001</v>
      </c>
      <c r="AB111" s="38">
        <f t="shared" ca="1" si="58"/>
        <v>0.20379698443979222</v>
      </c>
      <c r="AC111" s="38">
        <f t="shared" si="59"/>
        <v>0.8</v>
      </c>
      <c r="AD111" s="38">
        <f t="shared" si="59"/>
        <v>0.19</v>
      </c>
      <c r="AE111" s="38">
        <f t="shared" ca="1" si="60"/>
        <v>0.1980314667849499</v>
      </c>
      <c r="AF111" s="237">
        <f ca="1">((Summary!$N$8*(AA111*AD111)*(A111-$D$3))+(Summary!$M$8*Z111*AC111*(AJ111-EOMONTH(EDATE(A111,-1),0))))/(AK111*AB111*AE111)</f>
        <v>0.99987337326828085</v>
      </c>
      <c r="AG111" s="88">
        <f>IF($A112="","",Summary!$Q$8)</f>
        <v>0</v>
      </c>
      <c r="AH111" s="88">
        <f>IF($A112="","",IF(Summary!$R$8="Y",(VLOOKUP($A111,Summary!$AD$6:$AF$9,3)+'Escalating commodity'!D124),'Escalating commodity'!D124))</f>
        <v>2.0023199999999998E-2</v>
      </c>
      <c r="AI111" s="88">
        <f t="shared" si="75"/>
        <v>2.0023199999999998E-2</v>
      </c>
      <c r="AJ111" s="236">
        <f t="shared" si="61"/>
        <v>40132</v>
      </c>
      <c r="AK111" s="58">
        <f t="shared" ca="1" si="62"/>
        <v>3092</v>
      </c>
      <c r="AL111" s="26">
        <f ca="1">IF($A112="","",_xll.SPRDOPT(P111,X111,AI111,0,AB111,AE111,AF111,AK111,$AJ$2,0))</f>
        <v>0.124231656630076</v>
      </c>
      <c r="AM111" s="89">
        <f t="shared" si="63"/>
        <v>0.1172941734610127</v>
      </c>
      <c r="AN111" s="89">
        <f t="shared" ca="1" si="64"/>
        <v>6.9374831690632993E-3</v>
      </c>
      <c r="AO111" s="3">
        <f t="shared" si="65"/>
        <v>30</v>
      </c>
      <c r="AP111" s="33">
        <f t="shared" si="66"/>
        <v>40118</v>
      </c>
      <c r="AQ111" s="58">
        <f t="shared" ca="1" si="67"/>
        <v>3092</v>
      </c>
      <c r="AR111" s="38">
        <f>'ANR OK vs ML7'!AR111</f>
        <v>0.1</v>
      </c>
      <c r="AS111" s="35">
        <f t="shared" ca="1" si="68"/>
        <v>0.43777075716022817</v>
      </c>
      <c r="AT111" s="3">
        <f t="shared" si="69"/>
        <v>1</v>
      </c>
      <c r="AU111" s="3">
        <f t="shared" si="70"/>
        <v>30</v>
      </c>
      <c r="AW111" s="32">
        <f t="shared" ca="1" si="71"/>
        <v>298155.97591218242</v>
      </c>
      <c r="AX111" s="32">
        <f t="shared" si="72"/>
        <v>281506.01630643051</v>
      </c>
      <c r="AY111" s="32">
        <f t="shared" ca="1" si="73"/>
        <v>16649.959605751919</v>
      </c>
      <c r="BA111" s="32">
        <f ca="1">IF($A112="","",F111*Summary!$Q$8)</f>
        <v>0</v>
      </c>
      <c r="BC111" s="256">
        <f t="shared" ca="1" si="76"/>
        <v>123235.10190362562</v>
      </c>
    </row>
    <row r="112" spans="1:55">
      <c r="A112" s="67">
        <f t="shared" si="74"/>
        <v>40148</v>
      </c>
      <c r="B112" s="69">
        <f t="shared" si="77"/>
        <v>80000</v>
      </c>
      <c r="C112" s="71"/>
      <c r="D112" s="69">
        <f t="shared" si="39"/>
        <v>80000</v>
      </c>
      <c r="E112" s="70">
        <f t="shared" si="40"/>
        <v>2480000</v>
      </c>
      <c r="F112" s="70">
        <f t="shared" ca="1" si="41"/>
        <v>1077004.8029368971</v>
      </c>
      <c r="G112" s="63">
        <f t="shared" si="42"/>
        <v>4.6219999999999999</v>
      </c>
      <c r="H112" s="64">
        <f t="shared" si="43"/>
        <v>4.6219999999999999</v>
      </c>
      <c r="I112" s="43"/>
      <c r="J112" s="63">
        <f t="shared" si="44"/>
        <v>0.32500000000000001</v>
      </c>
      <c r="K112" s="64">
        <f t="shared" si="45"/>
        <v>0.32500000000000001</v>
      </c>
      <c r="L112" s="63">
        <f t="shared" si="46"/>
        <v>0</v>
      </c>
      <c r="M112" s="64">
        <f t="shared" si="47"/>
        <v>0</v>
      </c>
      <c r="N112" s="65"/>
      <c r="O112" s="63">
        <f t="shared" si="48"/>
        <v>4.9470000000000001</v>
      </c>
      <c r="P112" s="63">
        <f t="shared" si="49"/>
        <v>4.9470000000000001</v>
      </c>
      <c r="Q112" s="66"/>
      <c r="R112" s="63">
        <f t="shared" si="50"/>
        <v>-4.9500000000000002E-2</v>
      </c>
      <c r="S112" s="64">
        <f t="shared" si="51"/>
        <v>-4.9500000000000002E-2</v>
      </c>
      <c r="T112" s="63">
        <f t="shared" si="52"/>
        <v>5.0000000000000001E-3</v>
      </c>
      <c r="U112" s="64">
        <f t="shared" si="53"/>
        <v>5.0000000000000001E-3</v>
      </c>
      <c r="V112" s="207">
        <f>IF($A113="","",IF(AND(MONTH(A112)&gt;3,MONTH(A112)&lt;11),(T112+R112+G112)*Summary!$T$8/(1-Summary!$T$8),(T112+R112+G112)*Summary!$U$8/(1-Summary!$U$8)))</f>
        <v>0.23939992633905083</v>
      </c>
      <c r="W112" s="63">
        <f t="shared" si="54"/>
        <v>4.8168999263390502</v>
      </c>
      <c r="X112" s="63">
        <f t="shared" si="55"/>
        <v>4.8168999263390502</v>
      </c>
      <c r="Y112" s="43"/>
      <c r="Z112" s="38">
        <f t="shared" si="56"/>
        <v>1.1000000000000001</v>
      </c>
      <c r="AA112" s="38">
        <f t="shared" si="57"/>
        <v>0.19600000000000001</v>
      </c>
      <c r="AB112" s="38">
        <f t="shared" ca="1" si="58"/>
        <v>0.21079770398447162</v>
      </c>
      <c r="AC112" s="38">
        <f t="shared" si="59"/>
        <v>1</v>
      </c>
      <c r="AD112" s="38">
        <f t="shared" si="59"/>
        <v>0.19</v>
      </c>
      <c r="AE112" s="38">
        <f t="shared" ca="1" si="60"/>
        <v>0.20267296138386356</v>
      </c>
      <c r="AF112" s="237">
        <f ca="1">((Summary!$N$8*(AA112*AD112)*(A112-$D$3))+(Summary!$M$8*Z112*AC112*(AJ112-EOMONTH(EDATE(A112,-1),0))))/(AK112*AB112*AE112)</f>
        <v>0.99968286239997606</v>
      </c>
      <c r="AG112" s="88">
        <f>IF($A113="","",Summary!$Q$8)</f>
        <v>0</v>
      </c>
      <c r="AH112" s="88">
        <f>IF($A113="","",IF(Summary!$R$8="Y",(VLOOKUP($A112,Summary!$AD$6:$AF$9,3)+'Escalating commodity'!D125),'Escalating commodity'!D125))</f>
        <v>2.0023199999999998E-2</v>
      </c>
      <c r="AI112" s="88">
        <f t="shared" si="75"/>
        <v>2.0023199999999998E-2</v>
      </c>
      <c r="AJ112" s="236">
        <f t="shared" si="61"/>
        <v>40162.5</v>
      </c>
      <c r="AK112" s="58">
        <f t="shared" ca="1" si="62"/>
        <v>3122</v>
      </c>
      <c r="AL112" s="26">
        <f ca="1">IF($A113="","",_xll.SPRDOPT(P112,X112,AI112,0,AB112,AE112,AF112,AK112,$AJ$2,0))</f>
        <v>0.1299673212964261</v>
      </c>
      <c r="AM112" s="89">
        <f t="shared" si="63"/>
        <v>0.1100768736609499</v>
      </c>
      <c r="AN112" s="89">
        <f t="shared" ca="1" si="64"/>
        <v>1.9890447635476205E-2</v>
      </c>
      <c r="AO112" s="3">
        <f t="shared" si="65"/>
        <v>31</v>
      </c>
      <c r="AP112" s="33">
        <f t="shared" si="66"/>
        <v>40148</v>
      </c>
      <c r="AQ112" s="58">
        <f t="shared" ca="1" si="67"/>
        <v>3122</v>
      </c>
      <c r="AR112" s="38">
        <f>'ANR OK vs ML7'!AR112</f>
        <v>0.1</v>
      </c>
      <c r="AS112" s="35">
        <f t="shared" ca="1" si="68"/>
        <v>0.43427613021649081</v>
      </c>
      <c r="AT112" s="3">
        <f t="shared" si="69"/>
        <v>1</v>
      </c>
      <c r="AU112" s="3">
        <f t="shared" si="70"/>
        <v>31</v>
      </c>
      <c r="AW112" s="32">
        <f t="shared" ca="1" si="71"/>
        <v>322318.95681513671</v>
      </c>
      <c r="AX112" s="32">
        <f t="shared" si="72"/>
        <v>272990.64667915576</v>
      </c>
      <c r="AY112" s="32">
        <f t="shared" ca="1" si="73"/>
        <v>49328.310135980988</v>
      </c>
      <c r="BA112" s="32">
        <f ca="1">IF($A113="","",F112*Summary!$Q$8)</f>
        <v>0</v>
      </c>
      <c r="BC112" s="256">
        <f t="shared" ca="1" si="76"/>
        <v>118553.32162512107</v>
      </c>
    </row>
    <row r="113" spans="1:55">
      <c r="A113" s="67">
        <f t="shared" si="74"/>
        <v>40179</v>
      </c>
      <c r="B113" s="69">
        <f t="shared" si="77"/>
        <v>80000</v>
      </c>
      <c r="C113" s="71"/>
      <c r="D113" s="69">
        <f t="shared" si="39"/>
        <v>80000</v>
      </c>
      <c r="E113" s="70">
        <f t="shared" si="40"/>
        <v>2480000</v>
      </c>
      <c r="F113" s="70">
        <f t="shared" ca="1" si="41"/>
        <v>1068121.9142839811</v>
      </c>
      <c r="G113" s="63">
        <f t="shared" si="42"/>
        <v>4.649</v>
      </c>
      <c r="H113" s="64">
        <f t="shared" si="43"/>
        <v>4.649</v>
      </c>
      <c r="I113" s="43"/>
      <c r="J113" s="63">
        <f t="shared" si="44"/>
        <v>0.32500000000000001</v>
      </c>
      <c r="K113" s="64">
        <f t="shared" si="45"/>
        <v>0.32500000000000001</v>
      </c>
      <c r="L113" s="63">
        <f t="shared" si="46"/>
        <v>0</v>
      </c>
      <c r="M113" s="64">
        <f t="shared" si="47"/>
        <v>0</v>
      </c>
      <c r="N113" s="65"/>
      <c r="O113" s="63">
        <f t="shared" si="48"/>
        <v>4.9740000000000002</v>
      </c>
      <c r="P113" s="63">
        <f t="shared" si="49"/>
        <v>4.9740000000000002</v>
      </c>
      <c r="Q113" s="66"/>
      <c r="R113" s="63">
        <f t="shared" si="50"/>
        <v>-4.9500000000000002E-2</v>
      </c>
      <c r="S113" s="64">
        <f t="shared" si="51"/>
        <v>-4.9500000000000002E-2</v>
      </c>
      <c r="T113" s="63">
        <f t="shared" si="52"/>
        <v>5.0000000000000001E-3</v>
      </c>
      <c r="U113" s="64">
        <f t="shared" si="53"/>
        <v>5.0000000000000001E-3</v>
      </c>
      <c r="V113" s="207">
        <f>IF($A114="","",IF(AND(MONTH(A113)&gt;3,MONTH(A113)&lt;11),(T113+R113+G113)*Summary!$T$8/(1-Summary!$T$8),(T113+R113+G113)*Summary!$U$8/(1-Summary!$U$8)))</f>
        <v>0.24081200673471537</v>
      </c>
      <c r="W113" s="63">
        <f t="shared" si="54"/>
        <v>4.8453120067347148</v>
      </c>
      <c r="X113" s="63">
        <f t="shared" si="55"/>
        <v>4.8453120067347148</v>
      </c>
      <c r="Y113" s="43"/>
      <c r="Z113" s="38">
        <f t="shared" si="56"/>
        <v>1.1000000000000001</v>
      </c>
      <c r="AA113" s="38">
        <f t="shared" si="57"/>
        <v>0.19600000000000001</v>
      </c>
      <c r="AB113" s="38">
        <f t="shared" ca="1" si="58"/>
        <v>0.21065727415660349</v>
      </c>
      <c r="AC113" s="38">
        <f t="shared" si="59"/>
        <v>1</v>
      </c>
      <c r="AD113" s="38">
        <f t="shared" si="59"/>
        <v>0.19</v>
      </c>
      <c r="AE113" s="38">
        <f t="shared" ca="1" si="60"/>
        <v>0.20255222159688707</v>
      </c>
      <c r="AF113" s="237">
        <f ca="1">((Summary!$N$8*(AA113*AD113)*(A113-$D$3))+(Summary!$M$8*Z113*AC113*(AJ113-EOMONTH(EDATE(A113,-1),0))))/(AK113*AB113*AE113)</f>
        <v>0.99968443868968904</v>
      </c>
      <c r="AG113" s="88">
        <f>IF($A114="","",Summary!$Q$8)</f>
        <v>0</v>
      </c>
      <c r="AH113" s="88">
        <f>IF($A114="","",IF(Summary!$R$8="Y",(VLOOKUP($A113,Summary!$AD$6:$AF$9,3)+'Escalating commodity'!D126),'Escalating commodity'!D126))</f>
        <v>2.0023199999999998E-2</v>
      </c>
      <c r="AI113" s="88">
        <f t="shared" si="75"/>
        <v>2.0023199999999998E-2</v>
      </c>
      <c r="AJ113" s="236">
        <f t="shared" si="61"/>
        <v>40193.5</v>
      </c>
      <c r="AK113" s="58">
        <f t="shared" ca="1" si="62"/>
        <v>3153</v>
      </c>
      <c r="AL113" s="26">
        <f ca="1">IF($A114="","",_xll.SPRDOPT(P113,X113,AI113,0,AB113,AE113,AF113,AK113,$AJ$2,0))</f>
        <v>0.12915791752422612</v>
      </c>
      <c r="AM113" s="89">
        <f t="shared" si="63"/>
        <v>0.10866479326528536</v>
      </c>
      <c r="AN113" s="89">
        <f t="shared" ca="1" si="64"/>
        <v>2.0493124258940759E-2</v>
      </c>
      <c r="AO113" s="3">
        <f t="shared" si="65"/>
        <v>31</v>
      </c>
      <c r="AP113" s="33">
        <f t="shared" si="66"/>
        <v>40179</v>
      </c>
      <c r="AQ113" s="58">
        <f t="shared" ca="1" si="67"/>
        <v>3153</v>
      </c>
      <c r="AR113" s="38">
        <f>'ANR OK vs ML7'!AR113</f>
        <v>0.1</v>
      </c>
      <c r="AS113" s="35">
        <f t="shared" ca="1" si="68"/>
        <v>0.43069432027579885</v>
      </c>
      <c r="AT113" s="3">
        <f t="shared" si="69"/>
        <v>1</v>
      </c>
      <c r="AU113" s="3">
        <f t="shared" si="70"/>
        <v>31</v>
      </c>
      <c r="AW113" s="32">
        <f t="shared" ca="1" si="71"/>
        <v>320311.63546008075</v>
      </c>
      <c r="AX113" s="32">
        <f t="shared" si="72"/>
        <v>269488.68729790772</v>
      </c>
      <c r="AY113" s="32">
        <f t="shared" ca="1" si="73"/>
        <v>50822.948162173081</v>
      </c>
      <c r="BA113" s="32">
        <f ca="1">IF($A114="","",F113*Summary!$Q$8)</f>
        <v>0</v>
      </c>
      <c r="BC113" s="256">
        <f t="shared" ca="1" si="76"/>
        <v>116067.24699778965</v>
      </c>
    </row>
    <row r="114" spans="1:55">
      <c r="A114" s="67">
        <f t="shared" si="74"/>
        <v>40210</v>
      </c>
      <c r="B114" s="69">
        <f t="shared" si="77"/>
        <v>80000</v>
      </c>
      <c r="C114" s="71"/>
      <c r="D114" s="69">
        <f t="shared" si="39"/>
        <v>80000</v>
      </c>
      <c r="E114" s="70">
        <f t="shared" si="40"/>
        <v>2240000</v>
      </c>
      <c r="F114" s="70">
        <f t="shared" ca="1" si="41"/>
        <v>956798.19711206923</v>
      </c>
      <c r="G114" s="63">
        <f t="shared" si="42"/>
        <v>4.5289999999999999</v>
      </c>
      <c r="H114" s="64">
        <f t="shared" si="43"/>
        <v>4.5289999999999999</v>
      </c>
      <c r="I114" s="43"/>
      <c r="J114" s="63">
        <f t="shared" si="44"/>
        <v>0.32500000000000001</v>
      </c>
      <c r="K114" s="64">
        <f t="shared" si="45"/>
        <v>0.32500000000000001</v>
      </c>
      <c r="L114" s="63">
        <f t="shared" si="46"/>
        <v>0</v>
      </c>
      <c r="M114" s="64">
        <f t="shared" si="47"/>
        <v>0</v>
      </c>
      <c r="N114" s="65"/>
      <c r="O114" s="63">
        <f t="shared" si="48"/>
        <v>4.8540000000000001</v>
      </c>
      <c r="P114" s="63">
        <f t="shared" si="49"/>
        <v>4.8540000000000001</v>
      </c>
      <c r="Q114" s="66"/>
      <c r="R114" s="63">
        <f t="shared" si="50"/>
        <v>-4.9500000000000002E-2</v>
      </c>
      <c r="S114" s="64">
        <f t="shared" si="51"/>
        <v>-4.9500000000000002E-2</v>
      </c>
      <c r="T114" s="63">
        <f t="shared" si="52"/>
        <v>5.0000000000000001E-3</v>
      </c>
      <c r="U114" s="64">
        <f t="shared" si="53"/>
        <v>5.0000000000000001E-3</v>
      </c>
      <c r="V114" s="207">
        <f>IF($A115="","",IF(AND(MONTH(A114)&gt;3,MONTH(A114)&lt;11),(T114+R114+G114)*Summary!$T$8/(1-Summary!$T$8),(T114+R114+G114)*Summary!$U$8/(1-Summary!$U$8)))</f>
        <v>0.23453609386509522</v>
      </c>
      <c r="W114" s="63">
        <f t="shared" si="54"/>
        <v>4.7190360938650953</v>
      </c>
      <c r="X114" s="63">
        <f t="shared" si="55"/>
        <v>4.7190360938650953</v>
      </c>
      <c r="Y114" s="43"/>
      <c r="Z114" s="38">
        <f t="shared" si="56"/>
        <v>1.1000000000000001</v>
      </c>
      <c r="AA114" s="38">
        <f t="shared" si="57"/>
        <v>0.191</v>
      </c>
      <c r="AB114" s="38">
        <f t="shared" ca="1" si="58"/>
        <v>0.20448180691517887</v>
      </c>
      <c r="AC114" s="38">
        <f t="shared" si="59"/>
        <v>1</v>
      </c>
      <c r="AD114" s="38">
        <f t="shared" si="59"/>
        <v>0.185</v>
      </c>
      <c r="AE114" s="38">
        <f t="shared" ca="1" si="60"/>
        <v>0.19655211518172999</v>
      </c>
      <c r="AF114" s="237">
        <f ca="1">((Summary!$N$8*(AA114*AD114)*(A114-$D$3))+(Summary!$M$8*Z114*AC114*(AJ114-EOMONTH(EDATE(A114,-1),0))))/(AK114*AB114*AE114)</f>
        <v>0.99969930873990709</v>
      </c>
      <c r="AG114" s="88">
        <f>IF($A115="","",Summary!$Q$8)</f>
        <v>0</v>
      </c>
      <c r="AH114" s="88">
        <f>IF($A115="","",IF(Summary!$R$8="Y",(VLOOKUP($A114,Summary!$AD$6:$AF$9,3)+'Escalating commodity'!D127),'Escalating commodity'!D127))</f>
        <v>2.0023199999999998E-2</v>
      </c>
      <c r="AI114" s="88">
        <f t="shared" si="75"/>
        <v>2.0023199999999998E-2</v>
      </c>
      <c r="AJ114" s="236">
        <f t="shared" si="61"/>
        <v>40223</v>
      </c>
      <c r="AK114" s="58">
        <f t="shared" ca="1" si="62"/>
        <v>3184</v>
      </c>
      <c r="AL114" s="26">
        <f ca="1">IF($A115="","",_xll.SPRDOPT(P114,X114,AI114,0,AB114,AE114,AF114,AK114,$AJ$2,0))</f>
        <v>0.13219510346860688</v>
      </c>
      <c r="AM114" s="89">
        <f t="shared" si="63"/>
        <v>0.11494070613490484</v>
      </c>
      <c r="AN114" s="89">
        <f t="shared" ca="1" si="64"/>
        <v>1.7254397333702043E-2</v>
      </c>
      <c r="AO114" s="3">
        <f t="shared" si="65"/>
        <v>28</v>
      </c>
      <c r="AP114" s="33">
        <f t="shared" si="66"/>
        <v>40210</v>
      </c>
      <c r="AQ114" s="58">
        <f t="shared" ca="1" si="67"/>
        <v>3184</v>
      </c>
      <c r="AR114" s="38">
        <f>'ANR OK vs ML7'!AR114</f>
        <v>0.1</v>
      </c>
      <c r="AS114" s="35">
        <f t="shared" ca="1" si="68"/>
        <v>0.42714205228217378</v>
      </c>
      <c r="AT114" s="3">
        <f t="shared" si="69"/>
        <v>1</v>
      </c>
      <c r="AU114" s="3">
        <f t="shared" si="70"/>
        <v>28</v>
      </c>
      <c r="AW114" s="32">
        <f t="shared" ca="1" si="71"/>
        <v>296117.03176967939</v>
      </c>
      <c r="AX114" s="32">
        <f t="shared" si="72"/>
        <v>257467.18174218683</v>
      </c>
      <c r="AY114" s="32">
        <f t="shared" ca="1" si="73"/>
        <v>38649.850027492575</v>
      </c>
      <c r="BA114" s="32">
        <f ca="1">IF($A115="","",F114*Summary!$Q$8)</f>
        <v>0</v>
      </c>
      <c r="BC114" s="256">
        <f t="shared" ca="1" si="76"/>
        <v>109975.06040466511</v>
      </c>
    </row>
    <row r="115" spans="1:55">
      <c r="A115" s="67">
        <f t="shared" si="74"/>
        <v>40238</v>
      </c>
      <c r="B115" s="69">
        <f t="shared" si="77"/>
        <v>80000</v>
      </c>
      <c r="C115" s="71"/>
      <c r="D115" s="69">
        <f t="shared" si="39"/>
        <v>80000</v>
      </c>
      <c r="E115" s="70">
        <f t="shared" si="40"/>
        <v>2480000</v>
      </c>
      <c r="F115" s="70">
        <f t="shared" ca="1" si="41"/>
        <v>1051417.6786247159</v>
      </c>
      <c r="G115" s="63">
        <f t="shared" si="42"/>
        <v>4.3899999999999997</v>
      </c>
      <c r="H115" s="64">
        <f t="shared" si="43"/>
        <v>4.3899999999999997</v>
      </c>
      <c r="I115" s="43"/>
      <c r="J115" s="63">
        <f t="shared" si="44"/>
        <v>0.32500000000000001</v>
      </c>
      <c r="K115" s="64">
        <f t="shared" si="45"/>
        <v>0.32500000000000001</v>
      </c>
      <c r="L115" s="63">
        <f t="shared" si="46"/>
        <v>0</v>
      </c>
      <c r="M115" s="64">
        <f t="shared" si="47"/>
        <v>0</v>
      </c>
      <c r="N115" s="65"/>
      <c r="O115" s="63">
        <f t="shared" si="48"/>
        <v>4.7149999999999999</v>
      </c>
      <c r="P115" s="63">
        <f t="shared" si="49"/>
        <v>4.7149999999999999</v>
      </c>
      <c r="Q115" s="66"/>
      <c r="R115" s="63">
        <f t="shared" si="50"/>
        <v>-4.9500000000000002E-2</v>
      </c>
      <c r="S115" s="64">
        <f t="shared" si="51"/>
        <v>-4.9500000000000002E-2</v>
      </c>
      <c r="T115" s="63">
        <f t="shared" si="52"/>
        <v>5.0000000000000001E-3</v>
      </c>
      <c r="U115" s="64">
        <f t="shared" si="53"/>
        <v>5.0000000000000001E-3</v>
      </c>
      <c r="V115" s="207">
        <f>IF($A116="","",IF(AND(MONTH(A115)&gt;3,MONTH(A115)&lt;11),(T115+R115+G115)*Summary!$T$8/(1-Summary!$T$8),(T115+R115+G115)*Summary!$U$8/(1-Summary!$U$8)))</f>
        <v>0.22726649479111857</v>
      </c>
      <c r="W115" s="63">
        <f t="shared" si="54"/>
        <v>4.572766494791118</v>
      </c>
      <c r="X115" s="63">
        <f t="shared" si="55"/>
        <v>4.572766494791118</v>
      </c>
      <c r="Y115" s="43"/>
      <c r="Z115" s="38">
        <f t="shared" si="56"/>
        <v>0.75</v>
      </c>
      <c r="AA115" s="38">
        <f t="shared" si="57"/>
        <v>0.188</v>
      </c>
      <c r="AB115" s="38">
        <f t="shared" ca="1" si="58"/>
        <v>0.19511390006226961</v>
      </c>
      <c r="AC115" s="38">
        <f t="shared" si="59"/>
        <v>0.75</v>
      </c>
      <c r="AD115" s="38">
        <f t="shared" si="59"/>
        <v>0.1825</v>
      </c>
      <c r="AE115" s="38">
        <f t="shared" ca="1" si="60"/>
        <v>0.18981846480177084</v>
      </c>
      <c r="AF115" s="237">
        <f ca="1">((Summary!$N$8*(AA115*AD115)*(A115-$D$3))+(Summary!$M$8*Z115*AC115*(AJ115-EOMONTH(EDATE(A115,-1),0))))/(AK115*AB115*AE115)</f>
        <v>0.99987739138422438</v>
      </c>
      <c r="AG115" s="88">
        <f>IF($A116="","",Summary!$Q$8)</f>
        <v>0</v>
      </c>
      <c r="AH115" s="88">
        <f>IF($A116="","",IF(Summary!$R$8="Y",(VLOOKUP($A115,Summary!$AD$6:$AF$9,3)+'Escalating commodity'!D128),'Escalating commodity'!D128))</f>
        <v>2.0023199999999998E-2</v>
      </c>
      <c r="AI115" s="88">
        <f t="shared" si="75"/>
        <v>2.0023199999999998E-2</v>
      </c>
      <c r="AJ115" s="236">
        <f t="shared" si="61"/>
        <v>40252.5</v>
      </c>
      <c r="AK115" s="58">
        <f t="shared" ca="1" si="62"/>
        <v>3212</v>
      </c>
      <c r="AL115" s="26">
        <f ca="1">IF($A116="","",_xll.SPRDOPT(P115,X115,AI115,0,AB115,AE115,AF115,AK115,$AJ$2,0))</f>
        <v>0.12734513384021748</v>
      </c>
      <c r="AM115" s="89">
        <f t="shared" si="63"/>
        <v>0.1222103052088819</v>
      </c>
      <c r="AN115" s="89">
        <f t="shared" ca="1" si="64"/>
        <v>5.1348286313355751E-3</v>
      </c>
      <c r="AO115" s="3">
        <f t="shared" si="65"/>
        <v>31</v>
      </c>
      <c r="AP115" s="33">
        <f t="shared" si="66"/>
        <v>40238</v>
      </c>
      <c r="AQ115" s="58">
        <f t="shared" ca="1" si="67"/>
        <v>3212</v>
      </c>
      <c r="AR115" s="38">
        <f>'ANR OK vs ML7'!AR115</f>
        <v>0.1</v>
      </c>
      <c r="AS115" s="35">
        <f t="shared" ca="1" si="68"/>
        <v>0.42395874138093387</v>
      </c>
      <c r="AT115" s="3">
        <f t="shared" si="69"/>
        <v>1</v>
      </c>
      <c r="AU115" s="3">
        <f t="shared" si="70"/>
        <v>31</v>
      </c>
      <c r="AW115" s="32">
        <f t="shared" ca="1" si="71"/>
        <v>315815.93192373932</v>
      </c>
      <c r="AX115" s="32">
        <f t="shared" si="72"/>
        <v>303081.55691802711</v>
      </c>
      <c r="AY115" s="32">
        <f t="shared" ca="1" si="73"/>
        <v>12734.375005712227</v>
      </c>
      <c r="BA115" s="32">
        <f ca="1">IF($A116="","",F115*Summary!$Q$8)</f>
        <v>0</v>
      </c>
      <c r="BC115" s="256">
        <f t="shared" ca="1" si="76"/>
        <v>128494.07540674064</v>
      </c>
    </row>
    <row r="116" spans="1:55">
      <c r="A116" s="67">
        <f t="shared" si="74"/>
        <v>40269</v>
      </c>
      <c r="B116" s="69">
        <f t="shared" si="77"/>
        <v>80000</v>
      </c>
      <c r="C116" s="71"/>
      <c r="D116" s="69">
        <f t="shared" si="39"/>
        <v>80000</v>
      </c>
      <c r="E116" s="70">
        <f t="shared" si="40"/>
        <v>2400000</v>
      </c>
      <c r="F116" s="70">
        <f t="shared" ca="1" si="41"/>
        <v>1009108.8645540889</v>
      </c>
      <c r="G116" s="63">
        <f t="shared" si="42"/>
        <v>4.2149999999999999</v>
      </c>
      <c r="H116" s="64">
        <f t="shared" si="43"/>
        <v>4.2149999999999999</v>
      </c>
      <c r="I116" s="43"/>
      <c r="J116" s="63">
        <f t="shared" si="44"/>
        <v>0.21</v>
      </c>
      <c r="K116" s="64">
        <f t="shared" si="45"/>
        <v>0.21</v>
      </c>
      <c r="L116" s="63">
        <f t="shared" si="46"/>
        <v>0</v>
      </c>
      <c r="M116" s="64">
        <f t="shared" si="47"/>
        <v>0</v>
      </c>
      <c r="N116" s="65"/>
      <c r="O116" s="63">
        <f t="shared" si="48"/>
        <v>4.4249999999999998</v>
      </c>
      <c r="P116" s="63">
        <f t="shared" si="49"/>
        <v>4.4249999999999998</v>
      </c>
      <c r="Q116" s="66"/>
      <c r="R116" s="63">
        <f t="shared" si="50"/>
        <v>-4.7E-2</v>
      </c>
      <c r="S116" s="64">
        <f t="shared" si="51"/>
        <v>-4.7E-2</v>
      </c>
      <c r="T116" s="63">
        <f t="shared" si="52"/>
        <v>0</v>
      </c>
      <c r="U116" s="64">
        <f t="shared" si="53"/>
        <v>0</v>
      </c>
      <c r="V116" s="207">
        <f>IF($A117="","",IF(AND(MONTH(A116)&gt;3,MONTH(A116)&lt;11),(T116+R116+G116)*Summary!$T$8/(1-Summary!$T$8),(T116+R116+G116)*Summary!$U$8/(1-Summary!$U$8)))</f>
        <v>0.21798337367147216</v>
      </c>
      <c r="W116" s="63">
        <f t="shared" si="54"/>
        <v>4.385983373671472</v>
      </c>
      <c r="X116" s="63">
        <f t="shared" si="55"/>
        <v>4.385983373671472</v>
      </c>
      <c r="Y116" s="43"/>
      <c r="Z116" s="38">
        <f t="shared" si="56"/>
        <v>0.45</v>
      </c>
      <c r="AA116" s="38">
        <f t="shared" si="57"/>
        <v>0.188</v>
      </c>
      <c r="AB116" s="38">
        <f t="shared" ca="1" si="58"/>
        <v>0.19050336295766723</v>
      </c>
      <c r="AC116" s="38">
        <f t="shared" si="59"/>
        <v>0.4</v>
      </c>
      <c r="AD116" s="38">
        <f t="shared" si="59"/>
        <v>0.1825</v>
      </c>
      <c r="AE116" s="38">
        <f t="shared" ca="1" si="60"/>
        <v>0.18454423779005116</v>
      </c>
      <c r="AF116" s="237">
        <f ca="1">((Summary!$N$8*(AA116*AD116)*(A116-$D$3))+(Summary!$M$8*Z116*AC116*(AJ116-EOMONTH(EDATE(A116,-1),0))))/(AK116*AB116*AE116)</f>
        <v>0.99981261340078242</v>
      </c>
      <c r="AG116" s="88">
        <f>IF($A117="","",Summary!$Q$8)</f>
        <v>0</v>
      </c>
      <c r="AH116" s="88">
        <f>IF($A117="","",IF(Summary!$R$8="Y",(VLOOKUP($A116,Summary!$AD$6:$AF$9,3)+'Escalating commodity'!D129),'Escalating commodity'!D129))</f>
        <v>2.0023199999999998E-2</v>
      </c>
      <c r="AI116" s="88">
        <f t="shared" si="75"/>
        <v>2.0023199999999998E-2</v>
      </c>
      <c r="AJ116" s="236">
        <f t="shared" si="61"/>
        <v>40283</v>
      </c>
      <c r="AK116" s="58">
        <f t="shared" ca="1" si="62"/>
        <v>3243</v>
      </c>
      <c r="AL116" s="26">
        <f ca="1">IF($A117="","",_xll.SPRDOPT(P116,X116,AI116,0,AB116,AE116,AF116,AK116,$AJ$2,0))</f>
        <v>4.9917937391302007E-2</v>
      </c>
      <c r="AM116" s="89">
        <f t="shared" si="63"/>
        <v>1.8993426328527872E-2</v>
      </c>
      <c r="AN116" s="89">
        <f t="shared" ca="1" si="64"/>
        <v>3.0924511062774135E-2</v>
      </c>
      <c r="AO116" s="3">
        <f t="shared" si="65"/>
        <v>30</v>
      </c>
      <c r="AP116" s="33">
        <f t="shared" si="66"/>
        <v>40269</v>
      </c>
      <c r="AQ116" s="58">
        <f t="shared" ca="1" si="67"/>
        <v>3243</v>
      </c>
      <c r="AR116" s="38">
        <f>'ANR OK vs ML7'!AR116</f>
        <v>0.1</v>
      </c>
      <c r="AS116" s="35">
        <f t="shared" ca="1" si="68"/>
        <v>0.42046202689753703</v>
      </c>
      <c r="AT116" s="3">
        <f t="shared" si="69"/>
        <v>1</v>
      </c>
      <c r="AU116" s="3">
        <f t="shared" si="70"/>
        <v>30</v>
      </c>
      <c r="AW116" s="32">
        <f t="shared" ca="1" si="71"/>
        <v>119803.04973912482</v>
      </c>
      <c r="AX116" s="32">
        <f t="shared" si="72"/>
        <v>45584.223188466894</v>
      </c>
      <c r="AY116" s="32">
        <f t="shared" ca="1" si="73"/>
        <v>74218.826550657919</v>
      </c>
      <c r="BA116" s="32">
        <f ca="1">IF($A117="","",F116*Summary!$Q$8)</f>
        <v>0</v>
      </c>
      <c r="BC116" s="256">
        <f t="shared" ca="1" si="76"/>
        <v>19166.434876372499</v>
      </c>
    </row>
    <row r="117" spans="1:55">
      <c r="A117" s="67">
        <f t="shared" si="74"/>
        <v>40299</v>
      </c>
      <c r="B117" s="69">
        <f t="shared" si="77"/>
        <v>80000</v>
      </c>
      <c r="C117" s="71"/>
      <c r="D117" s="69">
        <f t="shared" si="39"/>
        <v>80000</v>
      </c>
      <c r="E117" s="70">
        <f t="shared" si="40"/>
        <v>2480000</v>
      </c>
      <c r="F117" s="70">
        <f t="shared" ca="1" si="41"/>
        <v>1034421.817845377</v>
      </c>
      <c r="G117" s="63">
        <f t="shared" si="42"/>
        <v>4.1849999999999996</v>
      </c>
      <c r="H117" s="64">
        <f t="shared" si="43"/>
        <v>4.1849999999999996</v>
      </c>
      <c r="I117" s="43"/>
      <c r="J117" s="63">
        <f t="shared" si="44"/>
        <v>0.21</v>
      </c>
      <c r="K117" s="64">
        <f t="shared" si="45"/>
        <v>0.21</v>
      </c>
      <c r="L117" s="63">
        <f t="shared" si="46"/>
        <v>0</v>
      </c>
      <c r="M117" s="64">
        <f t="shared" si="47"/>
        <v>0</v>
      </c>
      <c r="N117" s="65"/>
      <c r="O117" s="63">
        <f t="shared" si="48"/>
        <v>4.3949999999999996</v>
      </c>
      <c r="P117" s="63">
        <f t="shared" si="49"/>
        <v>4.3949999999999996</v>
      </c>
      <c r="Q117" s="66"/>
      <c r="R117" s="63">
        <f t="shared" si="50"/>
        <v>-4.7E-2</v>
      </c>
      <c r="S117" s="64">
        <f t="shared" si="51"/>
        <v>-4.7E-2</v>
      </c>
      <c r="T117" s="63">
        <f t="shared" si="52"/>
        <v>0</v>
      </c>
      <c r="U117" s="64">
        <f t="shared" si="53"/>
        <v>0</v>
      </c>
      <c r="V117" s="207">
        <f>IF($A118="","",IF(AND(MONTH(A117)&gt;3,MONTH(A117)&lt;11),(T117+R117+G117)*Summary!$T$8/(1-Summary!$T$8),(T117+R117+G117)*Summary!$U$8/(1-Summary!$U$8)))</f>
        <v>0.21641439545406713</v>
      </c>
      <c r="W117" s="63">
        <f t="shared" si="54"/>
        <v>4.3544143954540671</v>
      </c>
      <c r="X117" s="63">
        <f t="shared" si="55"/>
        <v>4.3544143954540671</v>
      </c>
      <c r="Y117" s="43"/>
      <c r="Z117" s="38">
        <f t="shared" si="56"/>
        <v>0.5</v>
      </c>
      <c r="AA117" s="38">
        <f t="shared" si="57"/>
        <v>0.188</v>
      </c>
      <c r="AB117" s="38">
        <f t="shared" ca="1" si="58"/>
        <v>0.19115106008778923</v>
      </c>
      <c r="AC117" s="38">
        <f t="shared" si="59"/>
        <v>0.45</v>
      </c>
      <c r="AD117" s="38">
        <f t="shared" si="59"/>
        <v>0.1825</v>
      </c>
      <c r="AE117" s="38">
        <f t="shared" ca="1" si="60"/>
        <v>0.18513618945657728</v>
      </c>
      <c r="AF117" s="237">
        <f ca="1">((Summary!$N$8*(AA117*AD117)*(A117-$D$3))+(Summary!$M$8*Z117*AC117*(AJ117-EOMONTH(EDATE(A117,-1),0))))/(AK117*AB117*AE117)</f>
        <v>0.9998193793421124</v>
      </c>
      <c r="AG117" s="88">
        <f>IF($A118="","",Summary!$Q$8)</f>
        <v>0</v>
      </c>
      <c r="AH117" s="88">
        <f>IF($A118="","",IF(Summary!$R$8="Y",(VLOOKUP($A117,Summary!$AD$6:$AF$9,3)+'Escalating commodity'!D130),'Escalating commodity'!D130))</f>
        <v>2.0023199999999998E-2</v>
      </c>
      <c r="AI117" s="88">
        <f t="shared" si="75"/>
        <v>2.0023199999999998E-2</v>
      </c>
      <c r="AJ117" s="236">
        <f t="shared" si="61"/>
        <v>40313.5</v>
      </c>
      <c r="AK117" s="58">
        <f t="shared" ca="1" si="62"/>
        <v>3273</v>
      </c>
      <c r="AL117" s="26">
        <f ca="1">IF($A118="","",_xll.SPRDOPT(P117,X117,AI117,0,AB117,AE117,AF117,AK117,$AJ$2,0))</f>
        <v>5.0926178747723733E-2</v>
      </c>
      <c r="AM117" s="89">
        <f t="shared" si="63"/>
        <v>2.0562404545932521E-2</v>
      </c>
      <c r="AN117" s="89">
        <f t="shared" ca="1" si="64"/>
        <v>3.0363774201791212E-2</v>
      </c>
      <c r="AO117" s="3">
        <f t="shared" si="65"/>
        <v>31</v>
      </c>
      <c r="AP117" s="33">
        <f t="shared" si="66"/>
        <v>40299</v>
      </c>
      <c r="AQ117" s="58">
        <f t="shared" ca="1" si="67"/>
        <v>3273</v>
      </c>
      <c r="AR117" s="38">
        <f>'ANR OK vs ML7'!AR117</f>
        <v>0.1</v>
      </c>
      <c r="AS117" s="35">
        <f t="shared" ca="1" si="68"/>
        <v>0.41710557171184559</v>
      </c>
      <c r="AT117" s="3">
        <f t="shared" si="69"/>
        <v>1</v>
      </c>
      <c r="AU117" s="3">
        <f t="shared" si="70"/>
        <v>31</v>
      </c>
      <c r="AW117" s="32">
        <f t="shared" ca="1" si="71"/>
        <v>126296.92329435486</v>
      </c>
      <c r="AX117" s="32">
        <f t="shared" si="72"/>
        <v>50994.763273912649</v>
      </c>
      <c r="AY117" s="32">
        <f t="shared" ca="1" si="73"/>
        <v>75302.160020442199</v>
      </c>
      <c r="BA117" s="32">
        <f ca="1">IF($A118="","",F117*Summary!$Q$8)</f>
        <v>0</v>
      </c>
      <c r="BC117" s="256">
        <f t="shared" ca="1" si="76"/>
        <v>21270.199889675561</v>
      </c>
    </row>
    <row r="118" spans="1:55">
      <c r="A118" s="67">
        <f t="shared" si="74"/>
        <v>40330</v>
      </c>
      <c r="B118" s="69">
        <f t="shared" si="77"/>
        <v>80000</v>
      </c>
      <c r="C118" s="71"/>
      <c r="D118" s="69">
        <f t="shared" si="39"/>
        <v>80000</v>
      </c>
      <c r="E118" s="70">
        <f t="shared" si="40"/>
        <v>2400000</v>
      </c>
      <c r="F118" s="70">
        <f t="shared" ca="1" si="41"/>
        <v>992796.91344100574</v>
      </c>
      <c r="G118" s="63">
        <f t="shared" si="42"/>
        <v>4.2549999999999999</v>
      </c>
      <c r="H118" s="64">
        <f t="shared" si="43"/>
        <v>4.2549999999999999</v>
      </c>
      <c r="I118" s="43"/>
      <c r="J118" s="63">
        <f t="shared" si="44"/>
        <v>0.21</v>
      </c>
      <c r="K118" s="64">
        <f t="shared" si="45"/>
        <v>0.21</v>
      </c>
      <c r="L118" s="63">
        <f t="shared" si="46"/>
        <v>0</v>
      </c>
      <c r="M118" s="64">
        <f t="shared" si="47"/>
        <v>0</v>
      </c>
      <c r="N118" s="65"/>
      <c r="O118" s="63">
        <f t="shared" si="48"/>
        <v>4.4649999999999999</v>
      </c>
      <c r="P118" s="63">
        <f t="shared" si="49"/>
        <v>4.4649999999999999</v>
      </c>
      <c r="Q118" s="66"/>
      <c r="R118" s="63">
        <f t="shared" si="50"/>
        <v>-4.7E-2</v>
      </c>
      <c r="S118" s="64">
        <f t="shared" si="51"/>
        <v>-4.7E-2</v>
      </c>
      <c r="T118" s="63">
        <f t="shared" si="52"/>
        <v>0</v>
      </c>
      <c r="U118" s="64">
        <f t="shared" si="53"/>
        <v>0</v>
      </c>
      <c r="V118" s="207">
        <f>IF($A119="","",IF(AND(MONTH(A118)&gt;3,MONTH(A118)&lt;11),(T118+R118+G118)*Summary!$T$8/(1-Summary!$T$8),(T118+R118+G118)*Summary!$U$8/(1-Summary!$U$8)))</f>
        <v>0.2200753446280122</v>
      </c>
      <c r="W118" s="63">
        <f t="shared" si="54"/>
        <v>4.4280753446280121</v>
      </c>
      <c r="X118" s="63">
        <f t="shared" si="55"/>
        <v>4.4280753446280121</v>
      </c>
      <c r="Y118" s="43"/>
      <c r="Z118" s="38">
        <f t="shared" si="56"/>
        <v>0.5</v>
      </c>
      <c r="AA118" s="38">
        <f t="shared" si="57"/>
        <v>0.188</v>
      </c>
      <c r="AB118" s="38">
        <f t="shared" ca="1" si="58"/>
        <v>0.19102273485117999</v>
      </c>
      <c r="AC118" s="38">
        <f t="shared" si="59"/>
        <v>0.45</v>
      </c>
      <c r="AD118" s="38">
        <f t="shared" si="59"/>
        <v>0.1825</v>
      </c>
      <c r="AE118" s="38">
        <f t="shared" ca="1" si="60"/>
        <v>0.18502883769252035</v>
      </c>
      <c r="AF118" s="237">
        <f ca="1">((Summary!$N$8*(AA118*AD118)*(A118-$D$3))+(Summary!$M$8*Z118*AC118*(AJ118-EOMONTH(EDATE(A118,-1),0))))/(AK118*AB118*AE118)</f>
        <v>0.99982251507230002</v>
      </c>
      <c r="AG118" s="88">
        <f>IF($A119="","",Summary!$Q$8)</f>
        <v>0</v>
      </c>
      <c r="AH118" s="88">
        <f>IF($A119="","",IF(Summary!$R$8="Y",(VLOOKUP($A118,Summary!$AD$6:$AF$9,3)+'Escalating commodity'!D131),'Escalating commodity'!D131))</f>
        <v>2.0023199999999998E-2</v>
      </c>
      <c r="AI118" s="88">
        <f t="shared" si="75"/>
        <v>2.0023199999999998E-2</v>
      </c>
      <c r="AJ118" s="236">
        <f t="shared" si="61"/>
        <v>40344</v>
      </c>
      <c r="AK118" s="58">
        <f t="shared" ca="1" si="62"/>
        <v>3304</v>
      </c>
      <c r="AL118" s="26">
        <f ca="1">IF($A119="","",_xll.SPRDOPT(P118,X118,AI118,0,AB118,AE118,AF118,AK118,$AJ$2,0))</f>
        <v>4.9397216752529616E-2</v>
      </c>
      <c r="AM118" s="89">
        <f t="shared" si="63"/>
        <v>1.6901455371987749E-2</v>
      </c>
      <c r="AN118" s="89">
        <f t="shared" ca="1" si="64"/>
        <v>3.2495761380541867E-2</v>
      </c>
      <c r="AO118" s="3">
        <f t="shared" si="65"/>
        <v>30</v>
      </c>
      <c r="AP118" s="33">
        <f t="shared" si="66"/>
        <v>40330</v>
      </c>
      <c r="AQ118" s="58">
        <f t="shared" ca="1" si="67"/>
        <v>3304</v>
      </c>
      <c r="AR118" s="38">
        <f>'ANR OK vs ML7'!AR118</f>
        <v>0.1</v>
      </c>
      <c r="AS118" s="35">
        <f t="shared" ca="1" si="68"/>
        <v>0.41366538060041907</v>
      </c>
      <c r="AT118" s="3">
        <f t="shared" si="69"/>
        <v>1</v>
      </c>
      <c r="AU118" s="3">
        <f t="shared" si="70"/>
        <v>30</v>
      </c>
      <c r="AW118" s="32">
        <f t="shared" ca="1" si="71"/>
        <v>118553.32020607108</v>
      </c>
      <c r="AX118" s="32">
        <f t="shared" si="72"/>
        <v>40563.492892770599</v>
      </c>
      <c r="AY118" s="32">
        <f t="shared" ca="1" si="73"/>
        <v>77989.827313300484</v>
      </c>
      <c r="BA118" s="32">
        <f ca="1">IF($A119="","",F118*Summary!$Q$8)</f>
        <v>0</v>
      </c>
      <c r="BC118" s="256">
        <f t="shared" ca="1" si="76"/>
        <v>16779.712725970341</v>
      </c>
    </row>
    <row r="119" spans="1:55">
      <c r="A119" s="67">
        <f t="shared" si="74"/>
        <v>40360</v>
      </c>
      <c r="B119" s="69">
        <f t="shared" si="77"/>
        <v>80000</v>
      </c>
      <c r="C119" s="71"/>
      <c r="D119" s="69">
        <f t="shared" si="39"/>
        <v>80000</v>
      </c>
      <c r="E119" s="70">
        <f t="shared" si="40"/>
        <v>2480000</v>
      </c>
      <c r="F119" s="70">
        <f t="shared" ca="1" si="41"/>
        <v>1017700.6902092061</v>
      </c>
      <c r="G119" s="63">
        <f t="shared" si="42"/>
        <v>4.3099999999999996</v>
      </c>
      <c r="H119" s="64">
        <f t="shared" si="43"/>
        <v>4.3099999999999996</v>
      </c>
      <c r="I119" s="43"/>
      <c r="J119" s="63">
        <f t="shared" si="44"/>
        <v>0.21</v>
      </c>
      <c r="K119" s="64">
        <f t="shared" si="45"/>
        <v>0.21</v>
      </c>
      <c r="L119" s="63">
        <f t="shared" si="46"/>
        <v>0</v>
      </c>
      <c r="M119" s="64">
        <f t="shared" si="47"/>
        <v>0</v>
      </c>
      <c r="N119" s="65"/>
      <c r="O119" s="63">
        <f t="shared" si="48"/>
        <v>4.5199999999999996</v>
      </c>
      <c r="P119" s="63">
        <f t="shared" si="49"/>
        <v>4.5199999999999996</v>
      </c>
      <c r="Q119" s="66"/>
      <c r="R119" s="63">
        <f t="shared" si="50"/>
        <v>-4.7E-2</v>
      </c>
      <c r="S119" s="64">
        <f t="shared" si="51"/>
        <v>-4.7E-2</v>
      </c>
      <c r="T119" s="63">
        <f t="shared" si="52"/>
        <v>0</v>
      </c>
      <c r="U119" s="64">
        <f t="shared" si="53"/>
        <v>0</v>
      </c>
      <c r="V119" s="207">
        <f>IF($A120="","",IF(AND(MONTH(A119)&gt;3,MONTH(A119)&lt;11),(T119+R119+G119)*Summary!$T$8/(1-Summary!$T$8),(T119+R119+G119)*Summary!$U$8/(1-Summary!$U$8)))</f>
        <v>0.22295180469325476</v>
      </c>
      <c r="W119" s="63">
        <f t="shared" si="54"/>
        <v>4.4859518046932543</v>
      </c>
      <c r="X119" s="63">
        <f t="shared" si="55"/>
        <v>4.4859518046932543</v>
      </c>
      <c r="Y119" s="43"/>
      <c r="Z119" s="38">
        <f t="shared" si="56"/>
        <v>0.55000000000000004</v>
      </c>
      <c r="AA119" s="38">
        <f t="shared" si="57"/>
        <v>0.188</v>
      </c>
      <c r="AB119" s="38">
        <f t="shared" ca="1" si="58"/>
        <v>0.19173143928693018</v>
      </c>
      <c r="AC119" s="38">
        <f t="shared" si="59"/>
        <v>0.5</v>
      </c>
      <c r="AD119" s="38">
        <f t="shared" si="59"/>
        <v>0.1825</v>
      </c>
      <c r="AE119" s="38">
        <f t="shared" ca="1" si="60"/>
        <v>0.18568389112552358</v>
      </c>
      <c r="AF119" s="237">
        <f ca="1">((Summary!$N$8*(AA119*AD119)*(A119-$D$3))+(Summary!$M$8*Z119*AC119*(AJ119-EOMONTH(EDATE(A119,-1),0))))/(AK119*AB119*AE119)</f>
        <v>0.99982903826112934</v>
      </c>
      <c r="AG119" s="88">
        <f>IF($A120="","",Summary!$Q$8)</f>
        <v>0</v>
      </c>
      <c r="AH119" s="88">
        <f>IF($A120="","",IF(Summary!$R$8="Y",(VLOOKUP($A119,Summary!$AD$6:$AF$9,3)+'Escalating commodity'!D132),'Escalating commodity'!D132))</f>
        <v>2.0023199999999998E-2</v>
      </c>
      <c r="AI119" s="88">
        <f t="shared" si="75"/>
        <v>2.0023199999999998E-2</v>
      </c>
      <c r="AJ119" s="236">
        <f t="shared" si="61"/>
        <v>40374.5</v>
      </c>
      <c r="AK119" s="58">
        <f t="shared" ca="1" si="62"/>
        <v>3334</v>
      </c>
      <c r="AL119" s="26">
        <f ca="1">IF($A120="","",_xll.SPRDOPT(P119,X119,AI119,0,AB119,AE119,AF119,AK119,$AJ$2,0))</f>
        <v>4.8529721168793269E-2</v>
      </c>
      <c r="AM119" s="89">
        <f t="shared" si="63"/>
        <v>1.4024995306745301E-2</v>
      </c>
      <c r="AN119" s="89">
        <f t="shared" ca="1" si="64"/>
        <v>3.4504725862047968E-2</v>
      </c>
      <c r="AO119" s="3">
        <f t="shared" si="65"/>
        <v>31</v>
      </c>
      <c r="AP119" s="33">
        <f t="shared" si="66"/>
        <v>40360</v>
      </c>
      <c r="AQ119" s="58">
        <f t="shared" ca="1" si="67"/>
        <v>3334</v>
      </c>
      <c r="AR119" s="38">
        <f>'ANR OK vs ML7'!AR119</f>
        <v>0.1</v>
      </c>
      <c r="AS119" s="35">
        <f t="shared" ca="1" si="68"/>
        <v>0.41036318153597018</v>
      </c>
      <c r="AT119" s="3">
        <f t="shared" si="69"/>
        <v>1</v>
      </c>
      <c r="AU119" s="3">
        <f t="shared" si="70"/>
        <v>31</v>
      </c>
      <c r="AW119" s="32">
        <f t="shared" ca="1" si="71"/>
        <v>120353.7084986073</v>
      </c>
      <c r="AX119" s="32">
        <f t="shared" si="72"/>
        <v>34781.988360728348</v>
      </c>
      <c r="AY119" s="32">
        <f t="shared" ca="1" si="73"/>
        <v>85571.720137878961</v>
      </c>
      <c r="BA119" s="32">
        <f ca="1">IF($A120="","",F119*Summary!$Q$8)</f>
        <v>0</v>
      </c>
      <c r="BC119" s="256">
        <f t="shared" ca="1" si="76"/>
        <v>14273.247403855568</v>
      </c>
    </row>
    <row r="120" spans="1:55">
      <c r="A120" s="67">
        <f t="shared" si="74"/>
        <v>40391</v>
      </c>
      <c r="B120" s="69">
        <f t="shared" si="77"/>
        <v>80000</v>
      </c>
      <c r="C120" s="71"/>
      <c r="D120" s="69">
        <f t="shared" si="39"/>
        <v>80000</v>
      </c>
      <c r="E120" s="70">
        <f t="shared" si="40"/>
        <v>2480000</v>
      </c>
      <c r="F120" s="70">
        <f t="shared" ca="1" si="41"/>
        <v>1009306.9282793869</v>
      </c>
      <c r="G120" s="63">
        <f t="shared" si="42"/>
        <v>4.3660000000000005</v>
      </c>
      <c r="H120" s="64">
        <f t="shared" si="43"/>
        <v>4.3660000000000005</v>
      </c>
      <c r="I120" s="43"/>
      <c r="J120" s="63">
        <f t="shared" si="44"/>
        <v>0.21</v>
      </c>
      <c r="K120" s="64">
        <f t="shared" si="45"/>
        <v>0.21</v>
      </c>
      <c r="L120" s="63">
        <f t="shared" si="46"/>
        <v>0</v>
      </c>
      <c r="M120" s="64">
        <f t="shared" si="47"/>
        <v>0</v>
      </c>
      <c r="N120" s="65"/>
      <c r="O120" s="63">
        <f t="shared" si="48"/>
        <v>4.5760000000000005</v>
      </c>
      <c r="P120" s="63">
        <f t="shared" si="49"/>
        <v>4.5760000000000005</v>
      </c>
      <c r="Q120" s="66"/>
      <c r="R120" s="63">
        <f t="shared" si="50"/>
        <v>-4.7E-2</v>
      </c>
      <c r="S120" s="64">
        <f t="shared" si="51"/>
        <v>-4.7E-2</v>
      </c>
      <c r="T120" s="63">
        <f t="shared" si="52"/>
        <v>0</v>
      </c>
      <c r="U120" s="64">
        <f t="shared" si="53"/>
        <v>0</v>
      </c>
      <c r="V120" s="207">
        <f>IF($A121="","",IF(AND(MONTH(A120)&gt;3,MONTH(A120)&lt;11),(T120+R120+G120)*Summary!$T$8/(1-Summary!$T$8),(T120+R120+G120)*Summary!$U$8/(1-Summary!$U$8)))</f>
        <v>0.22588056403241086</v>
      </c>
      <c r="W120" s="63">
        <f t="shared" si="54"/>
        <v>4.5448805640324119</v>
      </c>
      <c r="X120" s="63">
        <f t="shared" si="55"/>
        <v>4.5448805640324119</v>
      </c>
      <c r="Y120" s="43"/>
      <c r="Z120" s="38">
        <f t="shared" si="56"/>
        <v>0.6</v>
      </c>
      <c r="AA120" s="38">
        <f t="shared" si="57"/>
        <v>0.188</v>
      </c>
      <c r="AB120" s="38">
        <f t="shared" ca="1" si="58"/>
        <v>0.19238698000201107</v>
      </c>
      <c r="AC120" s="38">
        <f t="shared" si="59"/>
        <v>0.55000000000000004</v>
      </c>
      <c r="AD120" s="38">
        <f t="shared" si="59"/>
        <v>0.1825</v>
      </c>
      <c r="AE120" s="38">
        <f t="shared" ca="1" si="60"/>
        <v>0.18630495339957662</v>
      </c>
      <c r="AF120" s="237">
        <f ca="1">((Summary!$N$8*(AA120*AD120)*(A120-$D$3))+(Summary!$M$8*Z120*AC120*(AJ120-EOMONTH(EDATE(A120,-1),0))))/(AK120*AB120*AE120)</f>
        <v>0.99983751781913999</v>
      </c>
      <c r="AG120" s="88">
        <f>IF($A121="","",Summary!$Q$8)</f>
        <v>0</v>
      </c>
      <c r="AH120" s="88">
        <f>IF($A121="","",IF(Summary!$R$8="Y",(VLOOKUP($A120,Summary!$AD$6:$AF$9,3)+'Escalating commodity'!D133),'Escalating commodity'!D133))</f>
        <v>2.0023199999999998E-2</v>
      </c>
      <c r="AI120" s="88">
        <f t="shared" si="75"/>
        <v>2.0023199999999998E-2</v>
      </c>
      <c r="AJ120" s="236">
        <f t="shared" si="61"/>
        <v>40405.5</v>
      </c>
      <c r="AK120" s="58">
        <f t="shared" ca="1" si="62"/>
        <v>3365</v>
      </c>
      <c r="AL120" s="26">
        <f ca="1">IF($A121="","",_xll.SPRDOPT(P120,X120,AI120,0,AB120,AE120,AF120,AK120,$AJ$2,0))</f>
        <v>4.7503546340270618E-2</v>
      </c>
      <c r="AM120" s="89">
        <f t="shared" si="63"/>
        <v>1.1096235967588595E-2</v>
      </c>
      <c r="AN120" s="89">
        <f t="shared" ca="1" si="64"/>
        <v>3.6407310372682022E-2</v>
      </c>
      <c r="AO120" s="3">
        <f t="shared" si="65"/>
        <v>31</v>
      </c>
      <c r="AP120" s="33">
        <f t="shared" si="66"/>
        <v>40391</v>
      </c>
      <c r="AQ120" s="58">
        <f t="shared" ca="1" si="67"/>
        <v>3365</v>
      </c>
      <c r="AR120" s="38">
        <f>'ANR OK vs ML7'!AR120</f>
        <v>0.1</v>
      </c>
      <c r="AS120" s="35">
        <f t="shared" ca="1" si="68"/>
        <v>0.40697860011265602</v>
      </c>
      <c r="AT120" s="3">
        <f t="shared" si="69"/>
        <v>1</v>
      </c>
      <c r="AU120" s="3">
        <f t="shared" si="70"/>
        <v>31</v>
      </c>
      <c r="AW120" s="32">
        <f t="shared" ca="1" si="71"/>
        <v>117808.79492387113</v>
      </c>
      <c r="AX120" s="32">
        <f t="shared" si="72"/>
        <v>27518.665199619718</v>
      </c>
      <c r="AY120" s="32">
        <f t="shared" ca="1" si="73"/>
        <v>90290.129724251412</v>
      </c>
      <c r="BA120" s="32">
        <f ca="1">IF($A121="","",F120*Summary!$Q$8)</f>
        <v>0</v>
      </c>
      <c r="BC120" s="256">
        <f t="shared" ca="1" si="76"/>
        <v>11199.507839910097</v>
      </c>
    </row>
    <row r="121" spans="1:55">
      <c r="A121" s="67">
        <f t="shared" si="74"/>
        <v>40422</v>
      </c>
      <c r="B121" s="69">
        <f t="shared" si="77"/>
        <v>80000</v>
      </c>
      <c r="C121" s="71"/>
      <c r="D121" s="69">
        <f t="shared" si="39"/>
        <v>80000</v>
      </c>
      <c r="E121" s="70">
        <f t="shared" si="40"/>
        <v>2400000</v>
      </c>
      <c r="F121" s="70">
        <f t="shared" ca="1" si="41"/>
        <v>968692.64145797433</v>
      </c>
      <c r="G121" s="63">
        <f t="shared" si="42"/>
        <v>4.38</v>
      </c>
      <c r="H121" s="64">
        <f t="shared" si="43"/>
        <v>4.38</v>
      </c>
      <c r="I121" s="43"/>
      <c r="J121" s="63">
        <f t="shared" si="44"/>
        <v>0.21</v>
      </c>
      <c r="K121" s="64">
        <f t="shared" si="45"/>
        <v>0.21</v>
      </c>
      <c r="L121" s="63">
        <f t="shared" si="46"/>
        <v>0</v>
      </c>
      <c r="M121" s="64">
        <f t="shared" si="47"/>
        <v>0</v>
      </c>
      <c r="N121" s="65"/>
      <c r="O121" s="63">
        <f t="shared" si="48"/>
        <v>4.59</v>
      </c>
      <c r="P121" s="63">
        <f t="shared" si="49"/>
        <v>4.59</v>
      </c>
      <c r="Q121" s="66"/>
      <c r="R121" s="63">
        <f t="shared" si="50"/>
        <v>-4.7E-2</v>
      </c>
      <c r="S121" s="64">
        <f t="shared" si="51"/>
        <v>-4.7E-2</v>
      </c>
      <c r="T121" s="63">
        <f t="shared" si="52"/>
        <v>0</v>
      </c>
      <c r="U121" s="64">
        <f t="shared" si="53"/>
        <v>0</v>
      </c>
      <c r="V121" s="207">
        <f>IF($A122="","",IF(AND(MONTH(A121)&gt;3,MONTH(A121)&lt;11),(T121+R121+G121)*Summary!$T$8/(1-Summary!$T$8),(T121+R121+G121)*Summary!$U$8/(1-Summary!$U$8)))</f>
        <v>0.22661275386719984</v>
      </c>
      <c r="W121" s="63">
        <f t="shared" si="54"/>
        <v>4.5596127538672002</v>
      </c>
      <c r="X121" s="63">
        <f t="shared" si="55"/>
        <v>4.5596127538672002</v>
      </c>
      <c r="Y121" s="43"/>
      <c r="Z121" s="38">
        <f t="shared" si="56"/>
        <v>0.6</v>
      </c>
      <c r="AA121" s="38">
        <f t="shared" si="57"/>
        <v>0.188</v>
      </c>
      <c r="AB121" s="38">
        <f t="shared" ca="1" si="58"/>
        <v>0.19220955633200831</v>
      </c>
      <c r="AC121" s="38">
        <f t="shared" si="59"/>
        <v>0.55000000000000004</v>
      </c>
      <c r="AD121" s="38">
        <f t="shared" si="59"/>
        <v>0.1825</v>
      </c>
      <c r="AE121" s="38">
        <f t="shared" ca="1" si="60"/>
        <v>0.18615098236689534</v>
      </c>
      <c r="AF121" s="237">
        <f ca="1">((Summary!$N$8*(AA121*AD121)*(A121-$D$3))+(Summary!$M$8*Z121*AC121*(AJ121-EOMONTH(EDATE(A121,-1),0))))/(AK121*AB121*AE121)</f>
        <v>0.99983986845705164</v>
      </c>
      <c r="AG121" s="88">
        <f>IF($A122="","",Summary!$Q$8)</f>
        <v>0</v>
      </c>
      <c r="AH121" s="88">
        <f>IF($A122="","",IF(Summary!$R$8="Y",(VLOOKUP($A121,Summary!$AD$6:$AF$9,3)+'Escalating commodity'!D134),'Escalating commodity'!D134))</f>
        <v>2.0023199999999998E-2</v>
      </c>
      <c r="AI121" s="88">
        <f t="shared" si="75"/>
        <v>2.0023199999999998E-2</v>
      </c>
      <c r="AJ121" s="236">
        <f t="shared" si="61"/>
        <v>40436</v>
      </c>
      <c r="AK121" s="58">
        <f t="shared" ca="1" si="62"/>
        <v>3396</v>
      </c>
      <c r="AL121" s="26">
        <f ca="1">IF($A122="","",_xll.SPRDOPT(P121,X121,AI121,0,AB121,AE121,AF121,AK121,$AJ$2,0))</f>
        <v>4.7198001535071685E-2</v>
      </c>
      <c r="AM121" s="89">
        <f t="shared" si="63"/>
        <v>1.0364046132799641E-2</v>
      </c>
      <c r="AN121" s="89">
        <f t="shared" ca="1" si="64"/>
        <v>3.6833955402272044E-2</v>
      </c>
      <c r="AO121" s="3">
        <f t="shared" si="65"/>
        <v>30</v>
      </c>
      <c r="AP121" s="33">
        <f t="shared" si="66"/>
        <v>40422</v>
      </c>
      <c r="AQ121" s="58">
        <f t="shared" ca="1" si="67"/>
        <v>3396</v>
      </c>
      <c r="AR121" s="38">
        <f>'ANR OK vs ML7'!AR121</f>
        <v>0.1</v>
      </c>
      <c r="AS121" s="35">
        <f t="shared" ca="1" si="68"/>
        <v>0.40362193394082263</v>
      </c>
      <c r="AT121" s="3">
        <f t="shared" si="69"/>
        <v>1</v>
      </c>
      <c r="AU121" s="3">
        <f t="shared" si="70"/>
        <v>30</v>
      </c>
      <c r="AW121" s="32">
        <f t="shared" ca="1" si="71"/>
        <v>113275.20368417204</v>
      </c>
      <c r="AX121" s="32">
        <f t="shared" si="72"/>
        <v>24873.71071871914</v>
      </c>
      <c r="AY121" s="32">
        <f t="shared" ca="1" si="73"/>
        <v>88401.492965452911</v>
      </c>
      <c r="BA121" s="32">
        <f ca="1">IF($A122="","",F121*Summary!$Q$8)</f>
        <v>0</v>
      </c>
      <c r="BC121" s="256">
        <f t="shared" ca="1" si="76"/>
        <v>10039.575224573988</v>
      </c>
    </row>
    <row r="122" spans="1:55">
      <c r="A122" s="67">
        <f t="shared" si="74"/>
        <v>40452</v>
      </c>
      <c r="B122" s="69">
        <f t="shared" si="77"/>
        <v>80000</v>
      </c>
      <c r="C122" s="71"/>
      <c r="D122" s="69">
        <f t="shared" si="39"/>
        <v>80000</v>
      </c>
      <c r="E122" s="70">
        <f t="shared" si="40"/>
        <v>2480000</v>
      </c>
      <c r="F122" s="70">
        <f t="shared" ca="1" si="41"/>
        <v>992991.77552382695</v>
      </c>
      <c r="G122" s="63">
        <f t="shared" si="42"/>
        <v>4.4110000000000005</v>
      </c>
      <c r="H122" s="64">
        <f t="shared" si="43"/>
        <v>4.4110000000000005</v>
      </c>
      <c r="I122" s="43"/>
      <c r="J122" s="63">
        <f t="shared" si="44"/>
        <v>0.21</v>
      </c>
      <c r="K122" s="64">
        <f t="shared" si="45"/>
        <v>0.21</v>
      </c>
      <c r="L122" s="63">
        <f t="shared" si="46"/>
        <v>0</v>
      </c>
      <c r="M122" s="64">
        <f t="shared" si="47"/>
        <v>0</v>
      </c>
      <c r="N122" s="65"/>
      <c r="O122" s="63">
        <f t="shared" si="48"/>
        <v>4.6210000000000004</v>
      </c>
      <c r="P122" s="63">
        <f t="shared" si="49"/>
        <v>4.6210000000000004</v>
      </c>
      <c r="Q122" s="66"/>
      <c r="R122" s="63">
        <f t="shared" si="50"/>
        <v>-4.7E-2</v>
      </c>
      <c r="S122" s="64">
        <f t="shared" si="51"/>
        <v>-4.7E-2</v>
      </c>
      <c r="T122" s="63">
        <f t="shared" si="52"/>
        <v>0</v>
      </c>
      <c r="U122" s="64">
        <f t="shared" si="53"/>
        <v>0</v>
      </c>
      <c r="V122" s="207">
        <f>IF($A123="","",IF(AND(MONTH(A122)&gt;3,MONTH(A122)&lt;11),(T122+R122+G122)*Summary!$T$8/(1-Summary!$T$8),(T122+R122+G122)*Summary!$U$8/(1-Summary!$U$8)))</f>
        <v>0.22823403135851841</v>
      </c>
      <c r="W122" s="63">
        <f t="shared" si="54"/>
        <v>4.5922340313585188</v>
      </c>
      <c r="X122" s="63">
        <f t="shared" si="55"/>
        <v>4.5922340313585188</v>
      </c>
      <c r="Y122" s="43"/>
      <c r="Z122" s="38">
        <f t="shared" si="56"/>
        <v>0.65</v>
      </c>
      <c r="AA122" s="38">
        <f t="shared" si="57"/>
        <v>0.188</v>
      </c>
      <c r="AB122" s="38">
        <f t="shared" ca="1" si="58"/>
        <v>0.19304352385298032</v>
      </c>
      <c r="AC122" s="38">
        <f t="shared" si="59"/>
        <v>0.6</v>
      </c>
      <c r="AD122" s="38">
        <f t="shared" si="59"/>
        <v>0.1825</v>
      </c>
      <c r="AE122" s="38">
        <f t="shared" ca="1" si="60"/>
        <v>0.18693499713879991</v>
      </c>
      <c r="AF122" s="237">
        <f ca="1">((Summary!$N$8*(AA122*AD122)*(A122-$D$3))+(Summary!$M$8*Z122*AC122*(AJ122-EOMONTH(EDATE(A122,-1),0))))/(AK122*AB122*AE122)</f>
        <v>0.99984593584598325</v>
      </c>
      <c r="AG122" s="88">
        <f>IF($A123="","",Summary!$Q$8)</f>
        <v>0</v>
      </c>
      <c r="AH122" s="88">
        <f>IF($A123="","",IF(Summary!$R$8="Y",(VLOOKUP($A122,Summary!$AD$6:$AF$9,3)+'Escalating commodity'!D135),'Escalating commodity'!D135))</f>
        <v>2.0023199999999998E-2</v>
      </c>
      <c r="AI122" s="88">
        <f t="shared" si="75"/>
        <v>2.0023199999999998E-2</v>
      </c>
      <c r="AJ122" s="236">
        <f t="shared" si="61"/>
        <v>40466.5</v>
      </c>
      <c r="AK122" s="58">
        <f t="shared" ca="1" si="62"/>
        <v>3426</v>
      </c>
      <c r="AL122" s="26">
        <f ca="1">IF($A123="","",_xll.SPRDOPT(P122,X122,AI122,0,AB122,AE122,AF122,AK122,$AJ$2,0))</f>
        <v>4.6846486215147642E-2</v>
      </c>
      <c r="AM122" s="89">
        <f t="shared" si="63"/>
        <v>8.7427686414816227E-3</v>
      </c>
      <c r="AN122" s="89">
        <f t="shared" ca="1" si="64"/>
        <v>3.810371757366602E-2</v>
      </c>
      <c r="AO122" s="3">
        <f t="shared" si="65"/>
        <v>31</v>
      </c>
      <c r="AP122" s="33">
        <f t="shared" si="66"/>
        <v>40452</v>
      </c>
      <c r="AQ122" s="58">
        <f t="shared" ca="1" si="67"/>
        <v>3426</v>
      </c>
      <c r="AR122" s="38">
        <f>'ANR OK vs ML7'!AR122</f>
        <v>0.1</v>
      </c>
      <c r="AS122" s="35">
        <f t="shared" ca="1" si="68"/>
        <v>0.4003999094854141</v>
      </c>
      <c r="AT122" s="3">
        <f t="shared" si="69"/>
        <v>1</v>
      </c>
      <c r="AU122" s="3">
        <f t="shared" si="70"/>
        <v>31</v>
      </c>
      <c r="AW122" s="32">
        <f t="shared" ca="1" si="71"/>
        <v>116179.28581356615</v>
      </c>
      <c r="AX122" s="32">
        <f t="shared" si="72"/>
        <v>21682.066230874425</v>
      </c>
      <c r="AY122" s="32">
        <f t="shared" ca="1" si="73"/>
        <v>94497.21958269173</v>
      </c>
      <c r="BA122" s="32">
        <f ca="1">IF($A123="","",F122*Summary!$Q$8)</f>
        <v>0</v>
      </c>
      <c r="BC122" s="256">
        <f t="shared" ca="1" si="76"/>
        <v>8681.4973562988725</v>
      </c>
    </row>
    <row r="123" spans="1:55">
      <c r="A123" s="67">
        <f t="shared" si="74"/>
        <v>40483</v>
      </c>
      <c r="B123" s="69">
        <f t="shared" si="77"/>
        <v>80000</v>
      </c>
      <c r="C123" s="71"/>
      <c r="D123" s="69">
        <f t="shared" si="39"/>
        <v>80000</v>
      </c>
      <c r="E123" s="70">
        <f t="shared" si="40"/>
        <v>2400000</v>
      </c>
      <c r="F123" s="70">
        <f t="shared" ca="1" si="41"/>
        <v>953034.00682884699</v>
      </c>
      <c r="G123" s="63">
        <f t="shared" si="42"/>
        <v>4.5440000000000005</v>
      </c>
      <c r="H123" s="64">
        <f t="shared" si="43"/>
        <v>4.5440000000000005</v>
      </c>
      <c r="I123" s="43"/>
      <c r="J123" s="63">
        <f t="shared" si="44"/>
        <v>0.32500000000000001</v>
      </c>
      <c r="K123" s="64">
        <f t="shared" si="45"/>
        <v>0.32500000000000001</v>
      </c>
      <c r="L123" s="63">
        <f t="shared" si="46"/>
        <v>0</v>
      </c>
      <c r="M123" s="64">
        <f t="shared" si="47"/>
        <v>0</v>
      </c>
      <c r="N123" s="65"/>
      <c r="O123" s="63">
        <f t="shared" si="48"/>
        <v>4.8690000000000007</v>
      </c>
      <c r="P123" s="63">
        <f t="shared" si="49"/>
        <v>4.8690000000000007</v>
      </c>
      <c r="Q123" s="66"/>
      <c r="R123" s="63">
        <f t="shared" si="50"/>
        <v>-4.65E-2</v>
      </c>
      <c r="S123" s="64">
        <f t="shared" si="51"/>
        <v>-4.65E-2</v>
      </c>
      <c r="T123" s="63">
        <f t="shared" si="52"/>
        <v>5.0000000000000001E-3</v>
      </c>
      <c r="U123" s="64">
        <f t="shared" si="53"/>
        <v>5.0000000000000001E-3</v>
      </c>
      <c r="V123" s="207">
        <f>IF($A124="","",IF(AND(MONTH(A123)&gt;3,MONTH(A123)&lt;11),(T123+R123+G123)*Summary!$T$8/(1-Summary!$T$8),(T123+R123+G123)*Summary!$U$8/(1-Summary!$U$8)))</f>
        <v>0.23547748079553829</v>
      </c>
      <c r="W123" s="63">
        <f t="shared" si="54"/>
        <v>4.7379774807955384</v>
      </c>
      <c r="X123" s="63">
        <f t="shared" si="55"/>
        <v>4.7379774807955384</v>
      </c>
      <c r="Y123" s="43"/>
      <c r="Z123" s="38">
        <f t="shared" si="56"/>
        <v>0.8</v>
      </c>
      <c r="AA123" s="38">
        <f t="shared" si="57"/>
        <v>0.188</v>
      </c>
      <c r="AB123" s="38">
        <f t="shared" ca="1" si="58"/>
        <v>0.19527211308500719</v>
      </c>
      <c r="AC123" s="38">
        <f t="shared" si="59"/>
        <v>0.8</v>
      </c>
      <c r="AD123" s="38">
        <f t="shared" si="59"/>
        <v>0.1825</v>
      </c>
      <c r="AE123" s="38">
        <f t="shared" ca="1" si="60"/>
        <v>0.18998120615605099</v>
      </c>
      <c r="AF123" s="237">
        <f ca="1">((Summary!$N$8*(AA123*AD123)*(A123-$D$3))+(Summary!$M$8*Z123*AC123*(AJ123-EOMONTH(EDATE(A123,-1),0))))/(AK123*AB123*AE123)</f>
        <v>0.99987696059869247</v>
      </c>
      <c r="AG123" s="88">
        <f>IF($A124="","",Summary!$Q$8)</f>
        <v>0</v>
      </c>
      <c r="AH123" s="88">
        <f>IF($A124="","",IF(Summary!$R$8="Y",(VLOOKUP($A123,Summary!$AD$6:$AF$9,3)+'Escalating commodity'!D136),'Escalating commodity'!D136))</f>
        <v>2.0023199999999998E-2</v>
      </c>
      <c r="AI123" s="88">
        <f t="shared" si="75"/>
        <v>2.0023199999999998E-2</v>
      </c>
      <c r="AJ123" s="236">
        <f t="shared" si="61"/>
        <v>40497</v>
      </c>
      <c r="AK123" s="58">
        <f t="shared" ca="1" si="62"/>
        <v>3457</v>
      </c>
      <c r="AL123" s="26">
        <f ca="1">IF($A124="","",_xll.SPRDOPT(P123,X123,AI123,0,AB123,AE123,AF123,AK123,$AJ$2,0))</f>
        <v>0.11861414450578413</v>
      </c>
      <c r="AM123" s="89">
        <f t="shared" si="63"/>
        <v>0.11099931920446229</v>
      </c>
      <c r="AN123" s="89">
        <f t="shared" ca="1" si="64"/>
        <v>7.6148253013218342E-3</v>
      </c>
      <c r="AO123" s="3">
        <f t="shared" si="65"/>
        <v>30</v>
      </c>
      <c r="AP123" s="33">
        <f t="shared" si="66"/>
        <v>40483</v>
      </c>
      <c r="AQ123" s="58">
        <f t="shared" ca="1" si="67"/>
        <v>3457</v>
      </c>
      <c r="AR123" s="38">
        <f>'ANR OK vs ML7'!AR123</f>
        <v>0.1</v>
      </c>
      <c r="AS123" s="35">
        <f t="shared" ca="1" si="68"/>
        <v>0.39709750284535289</v>
      </c>
      <c r="AT123" s="3">
        <f t="shared" si="69"/>
        <v>1</v>
      </c>
      <c r="AU123" s="3">
        <f t="shared" si="70"/>
        <v>30</v>
      </c>
      <c r="AW123" s="32">
        <f t="shared" ca="1" si="71"/>
        <v>284673.94681388192</v>
      </c>
      <c r="AX123" s="32">
        <f t="shared" si="72"/>
        <v>266398.36609070952</v>
      </c>
      <c r="AY123" s="32">
        <f t="shared" ca="1" si="73"/>
        <v>18275.580723172403</v>
      </c>
      <c r="BA123" s="32">
        <f ca="1">IF($A124="","",F123*Summary!$Q$8)</f>
        <v>0</v>
      </c>
      <c r="BC123" s="256">
        <f t="shared" ca="1" si="76"/>
        <v>105786.12593670288</v>
      </c>
    </row>
    <row r="124" spans="1:55">
      <c r="A124" s="67">
        <f t="shared" si="74"/>
        <v>40513</v>
      </c>
      <c r="B124" s="69">
        <f t="shared" si="77"/>
        <v>80000</v>
      </c>
      <c r="C124" s="71"/>
      <c r="D124" s="69">
        <f t="shared" si="39"/>
        <v>80000</v>
      </c>
      <c r="E124" s="70">
        <f t="shared" si="40"/>
        <v>2480000</v>
      </c>
      <c r="F124" s="70">
        <f t="shared" ca="1" si="41"/>
        <v>976940.35246433772</v>
      </c>
      <c r="G124" s="63">
        <f t="shared" si="42"/>
        <v>4.6820000000000004</v>
      </c>
      <c r="H124" s="64">
        <f t="shared" si="43"/>
        <v>4.6820000000000004</v>
      </c>
      <c r="I124" s="43"/>
      <c r="J124" s="63">
        <f t="shared" si="44"/>
        <v>0.32500000000000001</v>
      </c>
      <c r="K124" s="64">
        <f t="shared" si="45"/>
        <v>0.32500000000000001</v>
      </c>
      <c r="L124" s="63">
        <f t="shared" si="46"/>
        <v>0</v>
      </c>
      <c r="M124" s="64">
        <f t="shared" si="47"/>
        <v>0</v>
      </c>
      <c r="N124" s="65"/>
      <c r="O124" s="63">
        <f t="shared" si="48"/>
        <v>5.0070000000000006</v>
      </c>
      <c r="P124" s="63">
        <f t="shared" si="49"/>
        <v>5.0070000000000006</v>
      </c>
      <c r="Q124" s="66"/>
      <c r="R124" s="63">
        <f t="shared" si="50"/>
        <v>-4.65E-2</v>
      </c>
      <c r="S124" s="64">
        <f t="shared" si="51"/>
        <v>-4.65E-2</v>
      </c>
      <c r="T124" s="63">
        <f t="shared" si="52"/>
        <v>5.0000000000000001E-3</v>
      </c>
      <c r="U124" s="64">
        <f t="shared" si="53"/>
        <v>5.0000000000000001E-3</v>
      </c>
      <c r="V124" s="207">
        <f>IF($A125="","",IF(AND(MONTH(A124)&gt;3,MONTH(A124)&lt;11),(T124+R124+G124)*Summary!$T$8/(1-Summary!$T$8),(T124+R124+G124)*Summary!$U$8/(1-Summary!$U$8)))</f>
        <v>0.2426947805956014</v>
      </c>
      <c r="W124" s="63">
        <f t="shared" si="54"/>
        <v>4.883194780595602</v>
      </c>
      <c r="X124" s="63">
        <f t="shared" si="55"/>
        <v>4.883194780595602</v>
      </c>
      <c r="Y124" s="43"/>
      <c r="Z124" s="38">
        <f t="shared" si="56"/>
        <v>1.1000000000000001</v>
      </c>
      <c r="AA124" s="38">
        <f t="shared" si="57"/>
        <v>0.188</v>
      </c>
      <c r="AB124" s="38">
        <f t="shared" ca="1" si="58"/>
        <v>0.20182340010357128</v>
      </c>
      <c r="AC124" s="38">
        <f t="shared" si="59"/>
        <v>1</v>
      </c>
      <c r="AD124" s="38">
        <f t="shared" si="59"/>
        <v>0.1825</v>
      </c>
      <c r="AE124" s="38">
        <f t="shared" ca="1" si="60"/>
        <v>0.19432159756639789</v>
      </c>
      <c r="AF124" s="237">
        <f ca="1">((Summary!$N$8*(AA124*AD124)*(A124-$D$3))+(Summary!$M$8*Z124*AC124*(AJ124-EOMONTH(EDATE(A124,-1),0))))/(AK124*AB124*AE124)</f>
        <v>0.99967749499466918</v>
      </c>
      <c r="AG124" s="88">
        <f>IF($A125="","",Summary!$Q$8)</f>
        <v>0</v>
      </c>
      <c r="AH124" s="88">
        <f>IF($A125="","",IF(Summary!$R$8="Y",(VLOOKUP($A124,Summary!$AD$6:$AF$9,3)+'Escalating commodity'!D137),'Escalating commodity'!D137))</f>
        <v>2.0023199999999998E-2</v>
      </c>
      <c r="AI124" s="88">
        <f t="shared" si="75"/>
        <v>2.0023199999999998E-2</v>
      </c>
      <c r="AJ124" s="236">
        <f t="shared" si="61"/>
        <v>40527.5</v>
      </c>
      <c r="AK124" s="58">
        <f t="shared" ca="1" si="62"/>
        <v>3487</v>
      </c>
      <c r="AL124" s="26">
        <f ca="1">IF($A125="","",_xll.SPRDOPT(P124,X124,AI124,0,AB124,AE124,AF124,AK124,$AJ$2,0))</f>
        <v>0.12507268886486783</v>
      </c>
      <c r="AM124" s="89">
        <f t="shared" si="63"/>
        <v>0.1037820194043986</v>
      </c>
      <c r="AN124" s="89">
        <f t="shared" ca="1" si="64"/>
        <v>2.129066946046923E-2</v>
      </c>
      <c r="AO124" s="3">
        <f t="shared" si="65"/>
        <v>31</v>
      </c>
      <c r="AP124" s="33">
        <f t="shared" si="66"/>
        <v>40513</v>
      </c>
      <c r="AQ124" s="58">
        <f t="shared" ca="1" si="67"/>
        <v>3487</v>
      </c>
      <c r="AR124" s="38">
        <f>'ANR OK vs ML7'!AR124</f>
        <v>0.1</v>
      </c>
      <c r="AS124" s="35">
        <f t="shared" ca="1" si="68"/>
        <v>0.39392756147755553</v>
      </c>
      <c r="AT124" s="3">
        <f t="shared" si="69"/>
        <v>1</v>
      </c>
      <c r="AU124" s="3">
        <f t="shared" si="70"/>
        <v>31</v>
      </c>
      <c r="AW124" s="32">
        <f t="shared" ca="1" si="71"/>
        <v>310180.26838487224</v>
      </c>
      <c r="AX124" s="32">
        <f t="shared" si="72"/>
        <v>257379.40812290853</v>
      </c>
      <c r="AY124" s="32">
        <f t="shared" ca="1" si="73"/>
        <v>52800.860261963695</v>
      </c>
      <c r="BA124" s="32">
        <f ca="1">IF($A125="","",F124*Summary!$Q$8)</f>
        <v>0</v>
      </c>
      <c r="BC124" s="256">
        <f t="shared" ca="1" si="76"/>
        <v>101388.8426163939</v>
      </c>
    </row>
    <row r="125" spans="1:55">
      <c r="A125" s="67">
        <f t="shared" si="74"/>
        <v>40544</v>
      </c>
      <c r="B125" s="69">
        <f t="shared" si="77"/>
        <v>80000</v>
      </c>
      <c r="C125" s="71"/>
      <c r="D125" s="69">
        <f t="shared" si="39"/>
        <v>80000</v>
      </c>
      <c r="E125" s="70">
        <f t="shared" si="40"/>
        <v>2480000</v>
      </c>
      <c r="F125" s="70">
        <f t="shared" ca="1" si="41"/>
        <v>968882.77245372243</v>
      </c>
      <c r="G125" s="63">
        <f t="shared" si="42"/>
        <v>4.7140000000000004</v>
      </c>
      <c r="H125" s="64">
        <f t="shared" si="43"/>
        <v>4.7140000000000004</v>
      </c>
      <c r="I125" s="43"/>
      <c r="J125" s="63">
        <f t="shared" si="44"/>
        <v>0.32500000000000001</v>
      </c>
      <c r="K125" s="64">
        <f t="shared" si="45"/>
        <v>0.32500000000000001</v>
      </c>
      <c r="L125" s="63">
        <f t="shared" si="46"/>
        <v>0</v>
      </c>
      <c r="M125" s="64">
        <f t="shared" si="47"/>
        <v>0</v>
      </c>
      <c r="N125" s="65"/>
      <c r="O125" s="63">
        <f t="shared" si="48"/>
        <v>5.0390000000000006</v>
      </c>
      <c r="P125" s="63">
        <f t="shared" si="49"/>
        <v>5.0390000000000006</v>
      </c>
      <c r="Q125" s="66"/>
      <c r="R125" s="63">
        <f t="shared" si="50"/>
        <v>-4.65E-2</v>
      </c>
      <c r="S125" s="64">
        <f t="shared" si="51"/>
        <v>-4.65E-2</v>
      </c>
      <c r="T125" s="63">
        <f t="shared" si="52"/>
        <v>5.0000000000000001E-3</v>
      </c>
      <c r="U125" s="64">
        <f t="shared" si="53"/>
        <v>5.0000000000000001E-3</v>
      </c>
      <c r="V125" s="207">
        <f>IF($A126="","",IF(AND(MONTH(A125)&gt;3,MONTH(A125)&lt;11),(T125+R125+G125)*Summary!$T$8/(1-Summary!$T$8),(T125+R125+G125)*Summary!$U$8/(1-Summary!$U$8)))</f>
        <v>0.24436835736083343</v>
      </c>
      <c r="W125" s="63">
        <f t="shared" si="54"/>
        <v>4.9168683573608334</v>
      </c>
      <c r="X125" s="63">
        <f t="shared" si="55"/>
        <v>4.9168683573608334</v>
      </c>
      <c r="Y125" s="43"/>
      <c r="Z125" s="38">
        <f t="shared" si="56"/>
        <v>1.1000000000000001</v>
      </c>
      <c r="AA125" s="38">
        <f t="shared" si="57"/>
        <v>0.188</v>
      </c>
      <c r="AB125" s="38">
        <f t="shared" ca="1" si="58"/>
        <v>0.20170572793603508</v>
      </c>
      <c r="AC125" s="38">
        <f t="shared" si="59"/>
        <v>1</v>
      </c>
      <c r="AD125" s="38">
        <f t="shared" si="59"/>
        <v>0.1825</v>
      </c>
      <c r="AE125" s="38">
        <f t="shared" ca="1" si="60"/>
        <v>0.19422057005449003</v>
      </c>
      <c r="AF125" s="237">
        <f ca="1">((Summary!$N$8*(AA125*AD125)*(A125-$D$3))+(Summary!$M$8*Z125*AC125*(AJ125-EOMONTH(EDATE(A125,-1),0))))/(AK125*AB125*AE125)</f>
        <v>0.99967895561720888</v>
      </c>
      <c r="AG125" s="88">
        <f>IF($A126="","",Summary!$Q$8)</f>
        <v>0</v>
      </c>
      <c r="AH125" s="88">
        <f>IF($A126="","",IF(Summary!$R$8="Y",(VLOOKUP($A125,Summary!$AD$6:$AF$9,3)+'Escalating commodity'!D138),'Escalating commodity'!D138))</f>
        <v>2.0023199999999998E-2</v>
      </c>
      <c r="AI125" s="88">
        <f t="shared" si="75"/>
        <v>2.0023199999999998E-2</v>
      </c>
      <c r="AJ125" s="236">
        <f t="shared" si="61"/>
        <v>40558.5</v>
      </c>
      <c r="AK125" s="58">
        <f t="shared" ca="1" si="62"/>
        <v>3518</v>
      </c>
      <c r="AL125" s="26">
        <f ca="1">IF($A126="","",_xll.SPRDOPT(P125,X125,AI125,0,AB125,AE125,AF125,AK125,$AJ$2,0))</f>
        <v>0.12421368997696075</v>
      </c>
      <c r="AM125" s="89">
        <f t="shared" si="63"/>
        <v>0.10210844263916721</v>
      </c>
      <c r="AN125" s="89">
        <f t="shared" ca="1" si="64"/>
        <v>2.2105247337793538E-2</v>
      </c>
      <c r="AO125" s="3">
        <f t="shared" si="65"/>
        <v>31</v>
      </c>
      <c r="AP125" s="33">
        <f t="shared" si="66"/>
        <v>40544</v>
      </c>
      <c r="AQ125" s="58">
        <f t="shared" ca="1" si="67"/>
        <v>3518</v>
      </c>
      <c r="AR125" s="38">
        <f>'ANR OK vs ML7'!AR125</f>
        <v>0.1</v>
      </c>
      <c r="AS125" s="35">
        <f t="shared" ca="1" si="68"/>
        <v>0.39067853727972679</v>
      </c>
      <c r="AT125" s="3">
        <f t="shared" si="69"/>
        <v>1</v>
      </c>
      <c r="AU125" s="3">
        <f t="shared" si="70"/>
        <v>31</v>
      </c>
      <c r="AW125" s="32">
        <f t="shared" ca="1" si="71"/>
        <v>308049.95114286267</v>
      </c>
      <c r="AX125" s="32">
        <f t="shared" si="72"/>
        <v>253228.9377451347</v>
      </c>
      <c r="AY125" s="32">
        <f t="shared" ca="1" si="73"/>
        <v>54821.013397727977</v>
      </c>
      <c r="BA125" s="32">
        <f ca="1">IF($A126="","",F125*Summary!$Q$8)</f>
        <v>0</v>
      </c>
      <c r="BC125" s="256">
        <f t="shared" ca="1" si="76"/>
        <v>98931.110995168216</v>
      </c>
    </row>
    <row r="126" spans="1:55">
      <c r="A126" s="67">
        <f t="shared" si="74"/>
        <v>40575</v>
      </c>
      <c r="B126" s="69">
        <f t="shared" si="77"/>
        <v>80000</v>
      </c>
      <c r="C126" s="71"/>
      <c r="D126" s="69">
        <f t="shared" si="39"/>
        <v>80000</v>
      </c>
      <c r="E126" s="70">
        <f t="shared" si="40"/>
        <v>2240000</v>
      </c>
      <c r="F126" s="70">
        <f t="shared" ca="1" si="41"/>
        <v>867902.13504616555</v>
      </c>
      <c r="G126" s="63">
        <f t="shared" si="42"/>
        <v>4.5940000000000003</v>
      </c>
      <c r="H126" s="64">
        <f t="shared" si="43"/>
        <v>4.5940000000000003</v>
      </c>
      <c r="I126" s="43"/>
      <c r="J126" s="63">
        <f t="shared" si="44"/>
        <v>0.32500000000000001</v>
      </c>
      <c r="K126" s="64">
        <f t="shared" si="45"/>
        <v>0.32500000000000001</v>
      </c>
      <c r="L126" s="63">
        <f t="shared" si="46"/>
        <v>0</v>
      </c>
      <c r="M126" s="64">
        <f t="shared" si="47"/>
        <v>0</v>
      </c>
      <c r="N126" s="65"/>
      <c r="O126" s="63">
        <f t="shared" si="48"/>
        <v>4.9190000000000005</v>
      </c>
      <c r="P126" s="63">
        <f t="shared" si="49"/>
        <v>4.9190000000000005</v>
      </c>
      <c r="Q126" s="66"/>
      <c r="R126" s="63">
        <f t="shared" si="50"/>
        <v>-4.65E-2</v>
      </c>
      <c r="S126" s="64">
        <f t="shared" si="51"/>
        <v>-4.65E-2</v>
      </c>
      <c r="T126" s="63">
        <f t="shared" si="52"/>
        <v>5.0000000000000001E-3</v>
      </c>
      <c r="U126" s="64">
        <f t="shared" si="53"/>
        <v>5.0000000000000001E-3</v>
      </c>
      <c r="V126" s="207">
        <f>IF($A127="","",IF(AND(MONTH(A126)&gt;3,MONTH(A126)&lt;11),(T126+R126+G126)*Summary!$T$8/(1-Summary!$T$8),(T126+R126+G126)*Summary!$U$8/(1-Summary!$U$8)))</f>
        <v>0.23809244449121331</v>
      </c>
      <c r="W126" s="63">
        <f t="shared" si="54"/>
        <v>4.7905924444912138</v>
      </c>
      <c r="X126" s="63">
        <f t="shared" si="55"/>
        <v>4.7905924444912138</v>
      </c>
      <c r="Y126" s="43"/>
      <c r="Z126" s="38">
        <f t="shared" si="56"/>
        <v>1.1000000000000001</v>
      </c>
      <c r="AA126" s="38">
        <f t="shared" si="57"/>
        <v>0.188</v>
      </c>
      <c r="AB126" s="38">
        <f t="shared" ca="1" si="58"/>
        <v>0.20031758386137119</v>
      </c>
      <c r="AC126" s="38">
        <f t="shared" si="59"/>
        <v>1</v>
      </c>
      <c r="AD126" s="38">
        <f t="shared" si="59"/>
        <v>0.1825</v>
      </c>
      <c r="AE126" s="38">
        <f t="shared" ca="1" si="60"/>
        <v>0.19302955178254289</v>
      </c>
      <c r="AF126" s="237">
        <f ca="1">((Summary!$N$8*(AA126*AD126)*(A126-$D$3))+(Summary!$M$8*Z126*AC126*(AJ126-EOMONTH(EDATE(A126,-1),0))))/(AK126*AB126*AE126)</f>
        <v>0.99969670975582603</v>
      </c>
      <c r="AG126" s="88">
        <f>IF($A127="","",Summary!$Q$8)</f>
        <v>0</v>
      </c>
      <c r="AH126" s="88">
        <f>IF($A127="","",IF(Summary!$R$8="Y",(VLOOKUP($A126,Summary!$AD$6:$AF$9,3)+'Escalating commodity'!D139),'Escalating commodity'!D139))</f>
        <v>2.0023199999999998E-2</v>
      </c>
      <c r="AI126" s="88">
        <f t="shared" si="75"/>
        <v>2.0023199999999998E-2</v>
      </c>
      <c r="AJ126" s="236">
        <f t="shared" si="61"/>
        <v>40588</v>
      </c>
      <c r="AK126" s="58">
        <f t="shared" ca="1" si="62"/>
        <v>3549</v>
      </c>
      <c r="AL126" s="26">
        <f ca="1">IF($A127="","",_xll.SPRDOPT(P126,X126,AI126,0,AB126,AE126,AF126,AK126,$AJ$2,0))</f>
        <v>0.12711942575809876</v>
      </c>
      <c r="AM126" s="89">
        <f t="shared" si="63"/>
        <v>0.10838435550878669</v>
      </c>
      <c r="AN126" s="89">
        <f t="shared" ca="1" si="64"/>
        <v>1.8735070249312064E-2</v>
      </c>
      <c r="AO126" s="3">
        <f t="shared" si="65"/>
        <v>28</v>
      </c>
      <c r="AP126" s="33">
        <f t="shared" si="66"/>
        <v>40575</v>
      </c>
      <c r="AQ126" s="58">
        <f t="shared" ca="1" si="67"/>
        <v>3549</v>
      </c>
      <c r="AR126" s="38">
        <f>'ANR OK vs ML7'!AR126</f>
        <v>0.1</v>
      </c>
      <c r="AS126" s="35">
        <f t="shared" ca="1" si="68"/>
        <v>0.38745631028846678</v>
      </c>
      <c r="AT126" s="3">
        <f t="shared" si="69"/>
        <v>1</v>
      </c>
      <c r="AU126" s="3">
        <f t="shared" si="70"/>
        <v>28</v>
      </c>
      <c r="AW126" s="32">
        <f t="shared" ca="1" si="71"/>
        <v>284747.51369814121</v>
      </c>
      <c r="AX126" s="32">
        <f t="shared" si="72"/>
        <v>242780.95633968219</v>
      </c>
      <c r="AY126" s="32">
        <f t="shared" ca="1" si="73"/>
        <v>41966.557358459024</v>
      </c>
      <c r="BA126" s="32">
        <f ca="1">IF($A127="","",F126*Summary!$Q$8)</f>
        <v>0</v>
      </c>
      <c r="BC126" s="256">
        <f t="shared" ca="1" si="76"/>
        <v>94067.01355167861</v>
      </c>
    </row>
    <row r="127" spans="1:55">
      <c r="A127" s="67">
        <f t="shared" si="74"/>
        <v>40603</v>
      </c>
      <c r="B127" s="69">
        <f t="shared" si="77"/>
        <v>80000</v>
      </c>
      <c r="C127" s="71"/>
      <c r="D127" s="69">
        <f t="shared" si="39"/>
        <v>80000</v>
      </c>
      <c r="E127" s="70">
        <f t="shared" si="40"/>
        <v>2480000</v>
      </c>
      <c r="F127" s="70">
        <f t="shared" ca="1" si="41"/>
        <v>953730.5263094994</v>
      </c>
      <c r="G127" s="63">
        <f t="shared" si="42"/>
        <v>4.4550000000000001</v>
      </c>
      <c r="H127" s="64">
        <f t="shared" si="43"/>
        <v>4.4550000000000001</v>
      </c>
      <c r="I127" s="43"/>
      <c r="J127" s="63">
        <f t="shared" si="44"/>
        <v>0.32500000000000001</v>
      </c>
      <c r="K127" s="64">
        <f t="shared" si="45"/>
        <v>0.32500000000000001</v>
      </c>
      <c r="L127" s="63">
        <f t="shared" si="46"/>
        <v>0</v>
      </c>
      <c r="M127" s="64">
        <f t="shared" si="47"/>
        <v>0</v>
      </c>
      <c r="N127" s="65"/>
      <c r="O127" s="63">
        <f t="shared" si="48"/>
        <v>4.78</v>
      </c>
      <c r="P127" s="63">
        <f t="shared" si="49"/>
        <v>4.78</v>
      </c>
      <c r="Q127" s="66"/>
      <c r="R127" s="63">
        <f t="shared" si="50"/>
        <v>-4.65E-2</v>
      </c>
      <c r="S127" s="64">
        <f t="shared" si="51"/>
        <v>-4.65E-2</v>
      </c>
      <c r="T127" s="63">
        <f t="shared" si="52"/>
        <v>5.0000000000000001E-3</v>
      </c>
      <c r="U127" s="64">
        <f t="shared" si="53"/>
        <v>5.0000000000000001E-3</v>
      </c>
      <c r="V127" s="207">
        <f>IF($A128="","",IF(AND(MONTH(A127)&gt;3,MONTH(A127)&lt;11),(T127+R127+G127)*Summary!$T$8/(1-Summary!$T$8),(T127+R127+G127)*Summary!$U$8/(1-Summary!$U$8)))</f>
        <v>0.23082284541723666</v>
      </c>
      <c r="W127" s="63">
        <f t="shared" si="54"/>
        <v>4.6443228454172365</v>
      </c>
      <c r="X127" s="63">
        <f t="shared" si="55"/>
        <v>4.6443228454172365</v>
      </c>
      <c r="Y127" s="43"/>
      <c r="Z127" s="38">
        <f t="shared" si="56"/>
        <v>0.75</v>
      </c>
      <c r="AA127" s="38">
        <f t="shared" si="57"/>
        <v>0.185</v>
      </c>
      <c r="AB127" s="38">
        <f t="shared" ca="1" si="58"/>
        <v>0.19149938813368908</v>
      </c>
      <c r="AC127" s="38">
        <f t="shared" si="59"/>
        <v>0.75</v>
      </c>
      <c r="AD127" s="38">
        <f t="shared" si="59"/>
        <v>0.18</v>
      </c>
      <c r="AE127" s="38">
        <f t="shared" ca="1" si="60"/>
        <v>0.18667218713963701</v>
      </c>
      <c r="AF127" s="237">
        <f ca="1">((Summary!$N$8*(AA127*AD127)*(A127-$D$3))+(Summary!$M$8*Z127*AC127*(AJ127-EOMONTH(EDATE(A127,-1),0))))/(AK127*AB127*AE127)</f>
        <v>0.99988297145396998</v>
      </c>
      <c r="AG127" s="88">
        <f>IF($A128="","",Summary!$Q$8)</f>
        <v>0</v>
      </c>
      <c r="AH127" s="88">
        <f>IF($A128="","",IF(Summary!$R$8="Y",(VLOOKUP($A127,Summary!$AD$6:$AF$9,3)+'Escalating commodity'!D140),'Escalating commodity'!D140))</f>
        <v>2.0023199999999998E-2</v>
      </c>
      <c r="AI127" s="88">
        <f t="shared" si="75"/>
        <v>2.0023199999999998E-2</v>
      </c>
      <c r="AJ127" s="236">
        <f t="shared" si="61"/>
        <v>40617.5</v>
      </c>
      <c r="AK127" s="58">
        <f t="shared" ca="1" si="62"/>
        <v>3577</v>
      </c>
      <c r="AL127" s="26">
        <f ca="1">IF($A128="","",_xll.SPRDOPT(P127,X127,AI127,0,AB127,AE127,AF127,AK127,$AJ$2,0))</f>
        <v>0.12135128273669001</v>
      </c>
      <c r="AM127" s="89">
        <f t="shared" si="63"/>
        <v>0.11565395458276376</v>
      </c>
      <c r="AN127" s="89">
        <f t="shared" ca="1" si="64"/>
        <v>5.6973281539262483E-3</v>
      </c>
      <c r="AO127" s="3">
        <f t="shared" si="65"/>
        <v>31</v>
      </c>
      <c r="AP127" s="33">
        <f t="shared" si="66"/>
        <v>40603</v>
      </c>
      <c r="AQ127" s="58">
        <f t="shared" ca="1" si="67"/>
        <v>3577</v>
      </c>
      <c r="AR127" s="38">
        <f>'ANR OK vs ML7'!AR127</f>
        <v>0.1</v>
      </c>
      <c r="AS127" s="35">
        <f t="shared" ca="1" si="68"/>
        <v>0.38456876060866912</v>
      </c>
      <c r="AT127" s="3">
        <f t="shared" si="69"/>
        <v>1</v>
      </c>
      <c r="AU127" s="3">
        <f t="shared" si="70"/>
        <v>31</v>
      </c>
      <c r="AW127" s="32">
        <f t="shared" ca="1" si="71"/>
        <v>300951.18118699122</v>
      </c>
      <c r="AX127" s="32">
        <f t="shared" si="72"/>
        <v>286821.80736525409</v>
      </c>
      <c r="AY127" s="32">
        <f t="shared" ca="1" si="73"/>
        <v>14129.373821737096</v>
      </c>
      <c r="BA127" s="32">
        <f ca="1">IF($A128="","",F127*Summary!$Q$8)</f>
        <v>0</v>
      </c>
      <c r="BC127" s="256">
        <f t="shared" ca="1" si="76"/>
        <v>110302.70697399422</v>
      </c>
    </row>
    <row r="128" spans="1:55">
      <c r="A128" s="67">
        <f t="shared" si="74"/>
        <v>40634</v>
      </c>
      <c r="B128" s="69">
        <f t="shared" si="77"/>
        <v>80000</v>
      </c>
      <c r="C128" s="71"/>
      <c r="D128" s="69">
        <f t="shared" si="39"/>
        <v>80000</v>
      </c>
      <c r="E128" s="70">
        <f t="shared" si="40"/>
        <v>2400000</v>
      </c>
      <c r="F128" s="70">
        <f t="shared" ca="1" si="41"/>
        <v>915352.62157054699</v>
      </c>
      <c r="G128" s="63">
        <f t="shared" si="42"/>
        <v>4.28</v>
      </c>
      <c r="H128" s="64">
        <f t="shared" si="43"/>
        <v>4.28</v>
      </c>
      <c r="I128" s="43"/>
      <c r="J128" s="63">
        <f t="shared" si="44"/>
        <v>0.21</v>
      </c>
      <c r="K128" s="64">
        <f t="shared" si="45"/>
        <v>0.21</v>
      </c>
      <c r="L128" s="63">
        <f t="shared" si="46"/>
        <v>0</v>
      </c>
      <c r="M128" s="64">
        <f t="shared" si="47"/>
        <v>0</v>
      </c>
      <c r="N128" s="65"/>
      <c r="O128" s="63">
        <f t="shared" si="48"/>
        <v>4.49</v>
      </c>
      <c r="P128" s="63">
        <f t="shared" si="49"/>
        <v>4.49</v>
      </c>
      <c r="Q128" s="66"/>
      <c r="R128" s="63">
        <f t="shared" si="50"/>
        <v>-4.4000000000000004E-2</v>
      </c>
      <c r="S128" s="64">
        <f t="shared" si="51"/>
        <v>-4.4000000000000004E-2</v>
      </c>
      <c r="T128" s="63">
        <f t="shared" si="52"/>
        <v>0</v>
      </c>
      <c r="U128" s="64">
        <f t="shared" si="53"/>
        <v>0</v>
      </c>
      <c r="V128" s="207">
        <f>IF($A129="","",IF(AND(MONTH(A128)&gt;3,MONTH(A128)&lt;11),(T128+R128+G128)*Summary!$T$8/(1-Summary!$T$8),(T128+R128+G128)*Summary!$U$8/(1-Summary!$U$8)))</f>
        <v>0.22153972429759025</v>
      </c>
      <c r="W128" s="63">
        <f t="shared" si="54"/>
        <v>4.4575397242975905</v>
      </c>
      <c r="X128" s="63">
        <f t="shared" si="55"/>
        <v>4.4575397242975905</v>
      </c>
      <c r="Y128" s="43"/>
      <c r="Z128" s="38">
        <f t="shared" si="56"/>
        <v>0.45</v>
      </c>
      <c r="AA128" s="38">
        <f t="shared" si="57"/>
        <v>0.185</v>
      </c>
      <c r="AB128" s="38">
        <f t="shared" ca="1" si="58"/>
        <v>0.18728685224054825</v>
      </c>
      <c r="AC128" s="38">
        <f t="shared" si="59"/>
        <v>0.4</v>
      </c>
      <c r="AD128" s="38">
        <f t="shared" si="59"/>
        <v>0.18</v>
      </c>
      <c r="AE128" s="38">
        <f t="shared" ca="1" si="60"/>
        <v>0.18186304878785139</v>
      </c>
      <c r="AF128" s="237">
        <f ca="1">((Summary!$N$8*(AA128*AD128)*(A128-$D$3))+(Summary!$M$8*Z128*AC128*(AJ128-EOMONTH(EDATE(A128,-1),0))))/(AK128*AB128*AE128)</f>
        <v>0.99981437912855387</v>
      </c>
      <c r="AG128" s="88">
        <f>IF($A129="","",Summary!$Q$8)</f>
        <v>0</v>
      </c>
      <c r="AH128" s="88">
        <f>IF($A129="","",IF(Summary!$R$8="Y",(VLOOKUP($A128,Summary!$AD$6:$AF$9,3)+'Escalating commodity'!D141),'Escalating commodity'!D141))</f>
        <v>2.0023199999999998E-2</v>
      </c>
      <c r="AI128" s="88">
        <f t="shared" si="75"/>
        <v>2.0023199999999998E-2</v>
      </c>
      <c r="AJ128" s="236">
        <f t="shared" si="61"/>
        <v>40648</v>
      </c>
      <c r="AK128" s="58">
        <f t="shared" ca="1" si="62"/>
        <v>3608</v>
      </c>
      <c r="AL128" s="26">
        <f ca="1">IF($A129="","",_xll.SPRDOPT(P128,X128,AI128,0,AB128,AE128,AF128,AK128,$AJ$2,0))</f>
        <v>4.5875412035279076E-2</v>
      </c>
      <c r="AM128" s="89">
        <f t="shared" si="63"/>
        <v>1.2437075702409726E-2</v>
      </c>
      <c r="AN128" s="89">
        <f t="shared" ca="1" si="64"/>
        <v>3.3438336332869349E-2</v>
      </c>
      <c r="AO128" s="3">
        <f t="shared" si="65"/>
        <v>30</v>
      </c>
      <c r="AP128" s="33">
        <f t="shared" si="66"/>
        <v>40634</v>
      </c>
      <c r="AQ128" s="58">
        <f t="shared" ca="1" si="67"/>
        <v>3608</v>
      </c>
      <c r="AR128" s="38">
        <f>'ANR OK vs ML7'!AR128</f>
        <v>0.1</v>
      </c>
      <c r="AS128" s="35">
        <f t="shared" ca="1" si="68"/>
        <v>0.38139692565439459</v>
      </c>
      <c r="AT128" s="3">
        <f t="shared" si="69"/>
        <v>1</v>
      </c>
      <c r="AU128" s="3">
        <f t="shared" si="70"/>
        <v>30</v>
      </c>
      <c r="AW128" s="32">
        <f t="shared" ca="1" si="71"/>
        <v>110100.98888466979</v>
      </c>
      <c r="AX128" s="32">
        <f t="shared" si="72"/>
        <v>29848.981685783343</v>
      </c>
      <c r="AY128" s="32">
        <f t="shared" ca="1" si="73"/>
        <v>80252.007198886437</v>
      </c>
      <c r="BA128" s="32">
        <f ca="1">IF($A129="","",F128*Summary!$Q$8)</f>
        <v>0</v>
      </c>
      <c r="BC128" s="256">
        <f t="shared" ca="1" si="76"/>
        <v>11384.309848872095</v>
      </c>
    </row>
    <row r="129" spans="1:55">
      <c r="A129" s="67">
        <f t="shared" si="74"/>
        <v>40664</v>
      </c>
      <c r="B129" s="69">
        <f t="shared" si="77"/>
        <v>80000</v>
      </c>
      <c r="C129" s="71"/>
      <c r="D129" s="69">
        <f t="shared" si="39"/>
        <v>80000</v>
      </c>
      <c r="E129" s="70">
        <f t="shared" si="40"/>
        <v>2480000</v>
      </c>
      <c r="F129" s="70">
        <f t="shared" ca="1" si="41"/>
        <v>938313.74991730088</v>
      </c>
      <c r="G129" s="63">
        <f t="shared" si="42"/>
        <v>4.25</v>
      </c>
      <c r="H129" s="64">
        <f t="shared" si="43"/>
        <v>4.25</v>
      </c>
      <c r="I129" s="43"/>
      <c r="J129" s="63">
        <f t="shared" si="44"/>
        <v>0.21</v>
      </c>
      <c r="K129" s="64">
        <f t="shared" si="45"/>
        <v>0.21</v>
      </c>
      <c r="L129" s="63">
        <f t="shared" si="46"/>
        <v>0</v>
      </c>
      <c r="M129" s="64">
        <f t="shared" si="47"/>
        <v>0</v>
      </c>
      <c r="N129" s="65"/>
      <c r="O129" s="63">
        <f t="shared" si="48"/>
        <v>4.46</v>
      </c>
      <c r="P129" s="63">
        <f t="shared" si="49"/>
        <v>4.46</v>
      </c>
      <c r="Q129" s="66"/>
      <c r="R129" s="63">
        <f t="shared" si="50"/>
        <v>-4.4000000000000004E-2</v>
      </c>
      <c r="S129" s="64">
        <f t="shared" si="51"/>
        <v>-4.4000000000000004E-2</v>
      </c>
      <c r="T129" s="63">
        <f t="shared" si="52"/>
        <v>0</v>
      </c>
      <c r="U129" s="64">
        <f t="shared" si="53"/>
        <v>0</v>
      </c>
      <c r="V129" s="207">
        <f>IF($A130="","",IF(AND(MONTH(A129)&gt;3,MONTH(A129)&lt;11),(T129+R129+G129)*Summary!$T$8/(1-Summary!$T$8),(T129+R129+G129)*Summary!$U$8/(1-Summary!$U$8)))</f>
        <v>0.21997074608018524</v>
      </c>
      <c r="W129" s="63">
        <f t="shared" si="54"/>
        <v>4.4259707460801856</v>
      </c>
      <c r="X129" s="63">
        <f t="shared" si="55"/>
        <v>4.4259707460801856</v>
      </c>
      <c r="Y129" s="43"/>
      <c r="Z129" s="38">
        <f t="shared" si="56"/>
        <v>0.5</v>
      </c>
      <c r="AA129" s="38">
        <f t="shared" si="57"/>
        <v>0.185</v>
      </c>
      <c r="AB129" s="38">
        <f t="shared" ca="1" si="58"/>
        <v>0.187881753573899</v>
      </c>
      <c r="AC129" s="38">
        <f t="shared" si="59"/>
        <v>0.45</v>
      </c>
      <c r="AD129" s="38">
        <f t="shared" si="59"/>
        <v>0.18</v>
      </c>
      <c r="AE129" s="38">
        <f t="shared" ca="1" si="60"/>
        <v>0.18240524662602633</v>
      </c>
      <c r="AF129" s="237">
        <f ca="1">((Summary!$N$8*(AA129*AD129)*(A129-$D$3))+(Summary!$M$8*Z129*AC129*(AJ129-EOMONTH(EDATE(A129,-1),0))))/(AK129*AB129*AE129)</f>
        <v>0.99982013701615935</v>
      </c>
      <c r="AG129" s="88">
        <f>IF($A130="","",Summary!$Q$8)</f>
        <v>0</v>
      </c>
      <c r="AH129" s="88">
        <f>IF($A130="","",IF(Summary!$R$8="Y",(VLOOKUP($A129,Summary!$AD$6:$AF$9,3)+'Escalating commodity'!D142),'Escalating commodity'!D142))</f>
        <v>2.0023199999999998E-2</v>
      </c>
      <c r="AI129" s="88">
        <f t="shared" si="75"/>
        <v>2.0023199999999998E-2</v>
      </c>
      <c r="AJ129" s="236">
        <f t="shared" si="61"/>
        <v>40678.5</v>
      </c>
      <c r="AK129" s="58">
        <f t="shared" ca="1" si="62"/>
        <v>3638</v>
      </c>
      <c r="AL129" s="26">
        <f ca="1">IF($A130="","",_xll.SPRDOPT(P129,X129,AI129,0,AB129,AE129,AF129,AK129,$AJ$2,0))</f>
        <v>4.6873424769378169E-2</v>
      </c>
      <c r="AM129" s="89">
        <f t="shared" si="63"/>
        <v>1.4006053919814375E-2</v>
      </c>
      <c r="AN129" s="89">
        <f t="shared" ca="1" si="64"/>
        <v>3.2867370849563794E-2</v>
      </c>
      <c r="AO129" s="3">
        <f t="shared" si="65"/>
        <v>31</v>
      </c>
      <c r="AP129" s="33">
        <f t="shared" si="66"/>
        <v>40664</v>
      </c>
      <c r="AQ129" s="58">
        <f t="shared" ca="1" si="67"/>
        <v>3638</v>
      </c>
      <c r="AR129" s="38">
        <f>'ANR OK vs ML7'!AR129</f>
        <v>0.1</v>
      </c>
      <c r="AS129" s="35">
        <f t="shared" ca="1" si="68"/>
        <v>0.3783523185150407</v>
      </c>
      <c r="AT129" s="3">
        <f t="shared" si="69"/>
        <v>1</v>
      </c>
      <c r="AU129" s="3">
        <f t="shared" si="70"/>
        <v>31</v>
      </c>
      <c r="AW129" s="32">
        <f t="shared" ca="1" si="71"/>
        <v>116246.09342805787</v>
      </c>
      <c r="AX129" s="32">
        <f t="shared" si="72"/>
        <v>34735.01372113965</v>
      </c>
      <c r="AY129" s="32">
        <f t="shared" ca="1" si="73"/>
        <v>81511.079706918215</v>
      </c>
      <c r="BA129" s="32">
        <f ca="1">IF($A130="","",F129*Summary!$Q$8)</f>
        <v>0</v>
      </c>
      <c r="BC129" s="256">
        <f t="shared" ca="1" si="76"/>
        <v>13142.072975044937</v>
      </c>
    </row>
    <row r="130" spans="1:55">
      <c r="A130" s="67">
        <f t="shared" si="74"/>
        <v>40695</v>
      </c>
      <c r="B130" s="69">
        <f t="shared" si="77"/>
        <v>80000</v>
      </c>
      <c r="C130" s="71"/>
      <c r="D130" s="69">
        <f t="shared" si="39"/>
        <v>80000</v>
      </c>
      <c r="E130" s="70">
        <f t="shared" si="40"/>
        <v>2400000</v>
      </c>
      <c r="F130" s="70">
        <f t="shared" ca="1" si="41"/>
        <v>900556.21283927583</v>
      </c>
      <c r="G130" s="63">
        <f t="shared" si="42"/>
        <v>4.32</v>
      </c>
      <c r="H130" s="64">
        <f t="shared" si="43"/>
        <v>4.32</v>
      </c>
      <c r="I130" s="43"/>
      <c r="J130" s="63">
        <f t="shared" si="44"/>
        <v>0.21</v>
      </c>
      <c r="K130" s="64">
        <f t="shared" si="45"/>
        <v>0.21</v>
      </c>
      <c r="L130" s="63">
        <f t="shared" si="46"/>
        <v>0</v>
      </c>
      <c r="M130" s="64">
        <f t="shared" si="47"/>
        <v>0</v>
      </c>
      <c r="N130" s="65"/>
      <c r="O130" s="63">
        <f t="shared" si="48"/>
        <v>4.53</v>
      </c>
      <c r="P130" s="63">
        <f t="shared" si="49"/>
        <v>4.53</v>
      </c>
      <c r="Q130" s="66"/>
      <c r="R130" s="63">
        <f t="shared" si="50"/>
        <v>-4.4000000000000004E-2</v>
      </c>
      <c r="S130" s="64">
        <f t="shared" si="51"/>
        <v>-4.4000000000000004E-2</v>
      </c>
      <c r="T130" s="63">
        <f t="shared" si="52"/>
        <v>0</v>
      </c>
      <c r="U130" s="64">
        <f t="shared" si="53"/>
        <v>0</v>
      </c>
      <c r="V130" s="207">
        <f>IF($A131="","",IF(AND(MONTH(A130)&gt;3,MONTH(A130)&lt;11),(T130+R130+G130)*Summary!$T$8/(1-Summary!$T$8),(T130+R130+G130)*Summary!$U$8/(1-Summary!$U$8)))</f>
        <v>0.22363169525413032</v>
      </c>
      <c r="W130" s="63">
        <f t="shared" si="54"/>
        <v>4.4996316952541306</v>
      </c>
      <c r="X130" s="63">
        <f t="shared" si="55"/>
        <v>4.4996316952541306</v>
      </c>
      <c r="Y130" s="43"/>
      <c r="Z130" s="38">
        <f t="shared" si="56"/>
        <v>0.5</v>
      </c>
      <c r="AA130" s="38">
        <f t="shared" si="57"/>
        <v>0.185</v>
      </c>
      <c r="AB130" s="38">
        <f t="shared" ca="1" si="58"/>
        <v>0.18776689009245071</v>
      </c>
      <c r="AC130" s="38">
        <f t="shared" si="59"/>
        <v>0.45</v>
      </c>
      <c r="AD130" s="38">
        <f t="shared" si="59"/>
        <v>0.18</v>
      </c>
      <c r="AE130" s="38">
        <f t="shared" ca="1" si="60"/>
        <v>0.18230938813132377</v>
      </c>
      <c r="AF130" s="237">
        <f ca="1">((Summary!$N$8*(AA130*AD130)*(A130-$D$3))+(Summary!$M$8*Z130*AC130*(AJ130-EOMONTH(EDATE(A130,-1),0))))/(AK130*AB130*AE130)</f>
        <v>0.99982318900719203</v>
      </c>
      <c r="AG130" s="88">
        <f>IF($A131="","",Summary!$Q$8)</f>
        <v>0</v>
      </c>
      <c r="AH130" s="88">
        <f>IF($A131="","",IF(Summary!$R$8="Y",(VLOOKUP($A130,Summary!$AD$6:$AF$9,3)+'Escalating commodity'!D143),'Escalating commodity'!D143))</f>
        <v>2.0023199999999998E-2</v>
      </c>
      <c r="AI130" s="88">
        <f t="shared" si="75"/>
        <v>2.0023199999999998E-2</v>
      </c>
      <c r="AJ130" s="236">
        <f t="shared" si="61"/>
        <v>40709</v>
      </c>
      <c r="AK130" s="58">
        <f t="shared" ca="1" si="62"/>
        <v>3669</v>
      </c>
      <c r="AL130" s="26">
        <f ca="1">IF($A131="","",_xll.SPRDOPT(P130,X130,AI130,0,AB130,AE130,AF130,AK130,$AJ$2,0))</f>
        <v>4.5289157518380384E-2</v>
      </c>
      <c r="AM130" s="89">
        <f t="shared" si="63"/>
        <v>1.0345104745869603E-2</v>
      </c>
      <c r="AN130" s="89">
        <f t="shared" ca="1" si="64"/>
        <v>3.4944052772510781E-2</v>
      </c>
      <c r="AO130" s="3">
        <f t="shared" si="65"/>
        <v>30</v>
      </c>
      <c r="AP130" s="33">
        <f t="shared" si="66"/>
        <v>40695</v>
      </c>
      <c r="AQ130" s="58">
        <f t="shared" ca="1" si="67"/>
        <v>3669</v>
      </c>
      <c r="AR130" s="38">
        <f>'ANR OK vs ML7'!AR130</f>
        <v>0.1</v>
      </c>
      <c r="AS130" s="35">
        <f t="shared" ca="1" si="68"/>
        <v>0.37523175534969827</v>
      </c>
      <c r="AT130" s="3">
        <f t="shared" si="69"/>
        <v>1</v>
      </c>
      <c r="AU130" s="3">
        <f t="shared" si="70"/>
        <v>30</v>
      </c>
      <c r="AW130" s="32">
        <f t="shared" ca="1" si="71"/>
        <v>108693.97804411293</v>
      </c>
      <c r="AX130" s="32">
        <f t="shared" si="72"/>
        <v>24828.251390087047</v>
      </c>
      <c r="AY130" s="32">
        <f t="shared" ca="1" si="73"/>
        <v>83865.726654025872</v>
      </c>
      <c r="BA130" s="32">
        <f ca="1">IF($A131="","",F130*Summary!$Q$8)</f>
        <v>0</v>
      </c>
      <c r="BC130" s="256">
        <f t="shared" ca="1" si="76"/>
        <v>9316.3483513659485</v>
      </c>
    </row>
    <row r="131" spans="1:55">
      <c r="A131" s="67">
        <f t="shared" si="74"/>
        <v>40725</v>
      </c>
      <c r="B131" s="69">
        <f t="shared" si="77"/>
        <v>80000</v>
      </c>
      <c r="C131" s="71"/>
      <c r="D131" s="69">
        <f t="shared" si="39"/>
        <v>80000</v>
      </c>
      <c r="E131" s="70">
        <f t="shared" si="40"/>
        <v>2480000</v>
      </c>
      <c r="F131" s="70">
        <f t="shared" ca="1" si="41"/>
        <v>923146.18122871523</v>
      </c>
      <c r="G131" s="63">
        <f t="shared" si="42"/>
        <v>4.375</v>
      </c>
      <c r="H131" s="64">
        <f t="shared" si="43"/>
        <v>4.375</v>
      </c>
      <c r="I131" s="43"/>
      <c r="J131" s="63">
        <f t="shared" si="44"/>
        <v>0.21</v>
      </c>
      <c r="K131" s="64">
        <f t="shared" si="45"/>
        <v>0.21</v>
      </c>
      <c r="L131" s="63">
        <f t="shared" si="46"/>
        <v>0</v>
      </c>
      <c r="M131" s="64">
        <f t="shared" si="47"/>
        <v>0</v>
      </c>
      <c r="N131" s="65"/>
      <c r="O131" s="63">
        <f t="shared" si="48"/>
        <v>4.585</v>
      </c>
      <c r="P131" s="63">
        <f t="shared" si="49"/>
        <v>4.585</v>
      </c>
      <c r="Q131" s="66"/>
      <c r="R131" s="63">
        <f t="shared" si="50"/>
        <v>-4.4000000000000004E-2</v>
      </c>
      <c r="S131" s="64">
        <f t="shared" si="51"/>
        <v>-4.4000000000000004E-2</v>
      </c>
      <c r="T131" s="63">
        <f t="shared" si="52"/>
        <v>0</v>
      </c>
      <c r="U131" s="64">
        <f t="shared" si="53"/>
        <v>0</v>
      </c>
      <c r="V131" s="207">
        <f>IF($A132="","",IF(AND(MONTH(A131)&gt;3,MONTH(A131)&lt;11),(T131+R131+G131)*Summary!$T$8/(1-Summary!$T$8),(T131+R131+G131)*Summary!$U$8/(1-Summary!$U$8)))</f>
        <v>0.22650815531937285</v>
      </c>
      <c r="W131" s="63">
        <f t="shared" si="54"/>
        <v>4.5575081553193737</v>
      </c>
      <c r="X131" s="63">
        <f t="shared" si="55"/>
        <v>4.5575081553193737</v>
      </c>
      <c r="Y131" s="43"/>
      <c r="Z131" s="38">
        <f t="shared" si="56"/>
        <v>0.55000000000000004</v>
      </c>
      <c r="AA131" s="38">
        <f t="shared" si="57"/>
        <v>0.185</v>
      </c>
      <c r="AB131" s="38">
        <f t="shared" ca="1" si="58"/>
        <v>0.18841927931482555</v>
      </c>
      <c r="AC131" s="38">
        <f t="shared" si="59"/>
        <v>0.5</v>
      </c>
      <c r="AD131" s="38">
        <f t="shared" si="59"/>
        <v>0.18</v>
      </c>
      <c r="AE131" s="38">
        <f t="shared" ca="1" si="60"/>
        <v>0.18291074203345759</v>
      </c>
      <c r="AF131" s="237">
        <f ca="1">((Summary!$N$8*(AA131*AD131)*(A131-$D$3))+(Summary!$M$8*Z131*AC131*(AJ131-EOMONTH(EDATE(A131,-1),0))))/(AK131*AB131*AE131)</f>
        <v>0.99982880090658321</v>
      </c>
      <c r="AG131" s="88">
        <f>IF($A132="","",Summary!$Q$8)</f>
        <v>0</v>
      </c>
      <c r="AH131" s="88">
        <f>IF($A132="","",IF(Summary!$R$8="Y",(VLOOKUP($A131,Summary!$AD$6:$AF$9,3)+'Escalating commodity'!D144),'Escalating commodity'!D144))</f>
        <v>2.0023199999999998E-2</v>
      </c>
      <c r="AI131" s="88">
        <f t="shared" si="75"/>
        <v>2.0023199999999998E-2</v>
      </c>
      <c r="AJ131" s="236">
        <f t="shared" si="61"/>
        <v>40739.5</v>
      </c>
      <c r="AK131" s="58">
        <f t="shared" ca="1" si="62"/>
        <v>3699</v>
      </c>
      <c r="AL131" s="26">
        <f ca="1">IF($A132="","",_xll.SPRDOPT(P131,X131,AI131,0,AB131,AE131,AF131,AK131,$AJ$2,0))</f>
        <v>4.4375542394126867E-2</v>
      </c>
      <c r="AM131" s="89">
        <f t="shared" si="63"/>
        <v>7.4686446806262671E-3</v>
      </c>
      <c r="AN131" s="89">
        <f t="shared" ca="1" si="64"/>
        <v>3.69068977135006E-2</v>
      </c>
      <c r="AO131" s="3">
        <f t="shared" si="65"/>
        <v>31</v>
      </c>
      <c r="AP131" s="33">
        <f t="shared" si="66"/>
        <v>40725</v>
      </c>
      <c r="AQ131" s="58">
        <f t="shared" ca="1" si="67"/>
        <v>3699</v>
      </c>
      <c r="AR131" s="38">
        <f>'ANR OK vs ML7'!AR131</f>
        <v>0.1</v>
      </c>
      <c r="AS131" s="35">
        <f t="shared" ca="1" si="68"/>
        <v>0.3722363633986755</v>
      </c>
      <c r="AT131" s="3">
        <f t="shared" si="69"/>
        <v>1</v>
      </c>
      <c r="AU131" s="3">
        <f t="shared" si="70"/>
        <v>31</v>
      </c>
      <c r="AW131" s="32">
        <f t="shared" ca="1" si="71"/>
        <v>110051.34513743463</v>
      </c>
      <c r="AX131" s="32">
        <f t="shared" si="72"/>
        <v>18522.238807953141</v>
      </c>
      <c r="AY131" s="32">
        <f t="shared" ca="1" si="73"/>
        <v>91529.106329481481</v>
      </c>
      <c r="BA131" s="32">
        <f ca="1">IF($A132="","",F131*Summary!$Q$8)</f>
        <v>0</v>
      </c>
      <c r="BC131" s="256">
        <f t="shared" ca="1" si="76"/>
        <v>6894.6508158742963</v>
      </c>
    </row>
    <row r="132" spans="1:55">
      <c r="A132" s="67">
        <f t="shared" si="74"/>
        <v>40756</v>
      </c>
      <c r="B132" s="69">
        <f t="shared" si="77"/>
        <v>80000</v>
      </c>
      <c r="C132" s="71"/>
      <c r="D132" s="69">
        <f t="shared" si="39"/>
        <v>80000</v>
      </c>
      <c r="E132" s="70">
        <f t="shared" si="40"/>
        <v>2480000</v>
      </c>
      <c r="F132" s="70">
        <f t="shared" ca="1" si="41"/>
        <v>915532.28320722259</v>
      </c>
      <c r="G132" s="63">
        <f t="shared" si="42"/>
        <v>4.431</v>
      </c>
      <c r="H132" s="64">
        <f t="shared" si="43"/>
        <v>4.431</v>
      </c>
      <c r="I132" s="43"/>
      <c r="J132" s="63">
        <f t="shared" si="44"/>
        <v>0.21</v>
      </c>
      <c r="K132" s="64">
        <f t="shared" si="45"/>
        <v>0.21</v>
      </c>
      <c r="L132" s="63">
        <f t="shared" si="46"/>
        <v>0</v>
      </c>
      <c r="M132" s="64">
        <f t="shared" si="47"/>
        <v>0</v>
      </c>
      <c r="N132" s="65"/>
      <c r="O132" s="63">
        <f t="shared" si="48"/>
        <v>4.641</v>
      </c>
      <c r="P132" s="63">
        <f t="shared" si="49"/>
        <v>4.641</v>
      </c>
      <c r="Q132" s="66"/>
      <c r="R132" s="63">
        <f t="shared" si="50"/>
        <v>-4.4000000000000004E-2</v>
      </c>
      <c r="S132" s="64">
        <f t="shared" si="51"/>
        <v>-4.4000000000000004E-2</v>
      </c>
      <c r="T132" s="63">
        <f t="shared" si="52"/>
        <v>0</v>
      </c>
      <c r="U132" s="64">
        <f t="shared" si="53"/>
        <v>0</v>
      </c>
      <c r="V132" s="207">
        <f>IF($A133="","",IF(AND(MONTH(A132)&gt;3,MONTH(A132)&lt;11),(T132+R132+G132)*Summary!$T$8/(1-Summary!$T$8),(T132+R132+G132)*Summary!$U$8/(1-Summary!$U$8)))</f>
        <v>0.22943691465852892</v>
      </c>
      <c r="W132" s="63">
        <f t="shared" si="54"/>
        <v>4.6164369146585296</v>
      </c>
      <c r="X132" s="63">
        <f t="shared" si="55"/>
        <v>4.6164369146585296</v>
      </c>
      <c r="Y132" s="43"/>
      <c r="Z132" s="38">
        <f t="shared" si="56"/>
        <v>0.6</v>
      </c>
      <c r="AA132" s="38">
        <f t="shared" si="57"/>
        <v>0.185</v>
      </c>
      <c r="AB132" s="38">
        <f t="shared" ca="1" si="58"/>
        <v>0.18902421579124717</v>
      </c>
      <c r="AC132" s="38">
        <f t="shared" si="59"/>
        <v>0.55000000000000004</v>
      </c>
      <c r="AD132" s="38">
        <f t="shared" si="59"/>
        <v>0.18</v>
      </c>
      <c r="AE132" s="38">
        <f t="shared" ca="1" si="60"/>
        <v>0.18348221674208595</v>
      </c>
      <c r="AF132" s="237">
        <f ca="1">((Summary!$N$8*(AA132*AD132)*(A132-$D$3))+(Summary!$M$8*Z132*AC132*(AJ132-EOMONTH(EDATE(A132,-1),0))))/(AK132*AB132*AE132)</f>
        <v>0.99983646727371411</v>
      </c>
      <c r="AG132" s="88">
        <f>IF($A133="","",Summary!$Q$8)</f>
        <v>0</v>
      </c>
      <c r="AH132" s="88">
        <f>IF($A133="","",IF(Summary!$R$8="Y",(VLOOKUP($A132,Summary!$AD$6:$AF$9,3)+'Escalating commodity'!D145),'Escalating commodity'!D145))</f>
        <v>2.0023199999999998E-2</v>
      </c>
      <c r="AI132" s="88">
        <f t="shared" si="75"/>
        <v>2.0023199999999998E-2</v>
      </c>
      <c r="AJ132" s="236">
        <f t="shared" si="61"/>
        <v>40770.5</v>
      </c>
      <c r="AK132" s="58">
        <f t="shared" ca="1" si="62"/>
        <v>3730</v>
      </c>
      <c r="AL132" s="26">
        <f ca="1">IF($A133="","",_xll.SPRDOPT(P132,X132,AI132,0,AB132,AE132,AF132,AK132,$AJ$2,0))</f>
        <v>4.3561641179037394E-2</v>
      </c>
      <c r="AM132" s="89">
        <f t="shared" si="63"/>
        <v>4.5398853414704496E-3</v>
      </c>
      <c r="AN132" s="89">
        <f t="shared" ca="1" si="64"/>
        <v>3.9021755837566945E-2</v>
      </c>
      <c r="AO132" s="3">
        <f t="shared" si="65"/>
        <v>31</v>
      </c>
      <c r="AP132" s="33">
        <f t="shared" si="66"/>
        <v>40756</v>
      </c>
      <c r="AQ132" s="58">
        <f t="shared" ca="1" si="67"/>
        <v>3730</v>
      </c>
      <c r="AR132" s="38">
        <f>'ANR OK vs ML7'!AR132</f>
        <v>0.1</v>
      </c>
      <c r="AS132" s="35">
        <f t="shared" ca="1" si="68"/>
        <v>0.36916624322871877</v>
      </c>
      <c r="AT132" s="3">
        <f t="shared" si="69"/>
        <v>1</v>
      </c>
      <c r="AU132" s="3">
        <f t="shared" si="70"/>
        <v>31</v>
      </c>
      <c r="AW132" s="32">
        <f t="shared" ca="1" si="71"/>
        <v>108032.87012401274</v>
      </c>
      <c r="AX132" s="32">
        <f t="shared" si="72"/>
        <v>11258.915646846715</v>
      </c>
      <c r="AY132" s="32">
        <f t="shared" ca="1" si="73"/>
        <v>96773.954477166029</v>
      </c>
      <c r="BA132" s="32">
        <f ca="1">IF($A133="","",F132*Summary!$Q$8)</f>
        <v>0</v>
      </c>
      <c r="BC132" s="256">
        <f t="shared" ca="1" si="76"/>
        <v>4156.4115921754419</v>
      </c>
    </row>
    <row r="133" spans="1:55">
      <c r="A133" s="67">
        <f t="shared" si="74"/>
        <v>40787</v>
      </c>
      <c r="B133" s="69">
        <f t="shared" si="77"/>
        <v>80000</v>
      </c>
      <c r="C133" s="71"/>
      <c r="D133" s="69">
        <f t="shared" si="39"/>
        <v>80000</v>
      </c>
      <c r="E133" s="70">
        <f t="shared" si="40"/>
        <v>2400000</v>
      </c>
      <c r="F133" s="70">
        <f t="shared" ca="1" si="41"/>
        <v>878691.46729423804</v>
      </c>
      <c r="G133" s="63">
        <f t="shared" si="42"/>
        <v>4.4450000000000003</v>
      </c>
      <c r="H133" s="64">
        <f t="shared" si="43"/>
        <v>4.4450000000000003</v>
      </c>
      <c r="I133" s="43"/>
      <c r="J133" s="63">
        <f t="shared" si="44"/>
        <v>0.21</v>
      </c>
      <c r="K133" s="64">
        <f t="shared" si="45"/>
        <v>0.21</v>
      </c>
      <c r="L133" s="63">
        <f t="shared" si="46"/>
        <v>0</v>
      </c>
      <c r="M133" s="64">
        <f t="shared" si="47"/>
        <v>0</v>
      </c>
      <c r="N133" s="65"/>
      <c r="O133" s="63">
        <f t="shared" si="48"/>
        <v>4.6550000000000002</v>
      </c>
      <c r="P133" s="63">
        <f t="shared" si="49"/>
        <v>4.6550000000000002</v>
      </c>
      <c r="Q133" s="66"/>
      <c r="R133" s="63">
        <f t="shared" si="50"/>
        <v>-4.4000000000000004E-2</v>
      </c>
      <c r="S133" s="64">
        <f t="shared" si="51"/>
        <v>-4.4000000000000004E-2</v>
      </c>
      <c r="T133" s="63">
        <f t="shared" si="52"/>
        <v>0</v>
      </c>
      <c r="U133" s="64">
        <f t="shared" si="53"/>
        <v>0</v>
      </c>
      <c r="V133" s="207">
        <f>IF($A134="","",IF(AND(MONTH(A133)&gt;3,MONTH(A133)&lt;11),(T133+R133+G133)*Summary!$T$8/(1-Summary!$T$8),(T133+R133+G133)*Summary!$U$8/(1-Summary!$U$8)))</f>
        <v>0.23016910449331793</v>
      </c>
      <c r="W133" s="63">
        <f t="shared" si="54"/>
        <v>4.6311691044933188</v>
      </c>
      <c r="X133" s="63">
        <f t="shared" si="55"/>
        <v>4.6311691044933188</v>
      </c>
      <c r="Y133" s="43"/>
      <c r="Z133" s="38">
        <f t="shared" si="56"/>
        <v>0.6</v>
      </c>
      <c r="AA133" s="38">
        <f t="shared" si="57"/>
        <v>0.185</v>
      </c>
      <c r="AB133" s="38">
        <f t="shared" ca="1" si="58"/>
        <v>0.18886473553200039</v>
      </c>
      <c r="AC133" s="38">
        <f t="shared" si="59"/>
        <v>0.55000000000000004</v>
      </c>
      <c r="AD133" s="38">
        <f t="shared" si="59"/>
        <v>0.18</v>
      </c>
      <c r="AE133" s="38">
        <f t="shared" ca="1" si="60"/>
        <v>0.18334414574160443</v>
      </c>
      <c r="AF133" s="237">
        <f ca="1">((Summary!$N$8*(AA133*AD133)*(A133-$D$3))+(Summary!$M$8*Z133*AC133*(AJ133-EOMONTH(EDATE(A133,-1),0))))/(AK133*AB133*AE133)</f>
        <v>0.99983882259111434</v>
      </c>
      <c r="AG133" s="88">
        <f>IF($A134="","",Summary!$Q$8)</f>
        <v>0</v>
      </c>
      <c r="AH133" s="88">
        <f>IF($A134="","",IF(Summary!$R$8="Y",(VLOOKUP($A133,Summary!$AD$6:$AF$9,3)+'Escalating commodity'!D146),'Escalating commodity'!D146))</f>
        <v>2.0023199999999998E-2</v>
      </c>
      <c r="AI133" s="88">
        <f t="shared" si="75"/>
        <v>2.0023199999999998E-2</v>
      </c>
      <c r="AJ133" s="236">
        <f t="shared" si="61"/>
        <v>40801</v>
      </c>
      <c r="AK133" s="58">
        <f t="shared" ca="1" si="62"/>
        <v>3761</v>
      </c>
      <c r="AL133" s="26">
        <f ca="1">IF($A134="","",_xll.SPRDOPT(P133,X133,AI133,0,AB133,AE133,AF133,AK133,$AJ$2,0))</f>
        <v>4.3297068939339198E-2</v>
      </c>
      <c r="AM133" s="89">
        <f t="shared" si="63"/>
        <v>3.8076955066814952E-3</v>
      </c>
      <c r="AN133" s="89">
        <f t="shared" ca="1" si="64"/>
        <v>3.9489373432657703E-2</v>
      </c>
      <c r="AO133" s="3">
        <f t="shared" si="65"/>
        <v>30</v>
      </c>
      <c r="AP133" s="33">
        <f t="shared" si="66"/>
        <v>40787</v>
      </c>
      <c r="AQ133" s="58">
        <f t="shared" ca="1" si="67"/>
        <v>3761</v>
      </c>
      <c r="AR133" s="38">
        <f>'ANR OK vs ML7'!AR133</f>
        <v>0.1</v>
      </c>
      <c r="AS133" s="35">
        <f t="shared" ca="1" si="68"/>
        <v>0.3661214447059325</v>
      </c>
      <c r="AT133" s="3">
        <f t="shared" si="69"/>
        <v>1</v>
      </c>
      <c r="AU133" s="3">
        <f t="shared" si="70"/>
        <v>30</v>
      </c>
      <c r="AW133" s="32">
        <f t="shared" ca="1" si="71"/>
        <v>103912.96545441408</v>
      </c>
      <c r="AX133" s="32">
        <f t="shared" si="72"/>
        <v>9138.469216035588</v>
      </c>
      <c r="AY133" s="32">
        <f t="shared" ca="1" si="73"/>
        <v>94774.496238378488</v>
      </c>
      <c r="BA133" s="32">
        <f ca="1">IF($A134="","",F133*Summary!$Q$8)</f>
        <v>0</v>
      </c>
      <c r="BC133" s="256">
        <f t="shared" ca="1" si="76"/>
        <v>3345.7895517756401</v>
      </c>
    </row>
    <row r="134" spans="1:55">
      <c r="A134" s="67">
        <f t="shared" si="74"/>
        <v>40817</v>
      </c>
      <c r="B134" s="69">
        <f t="shared" si="77"/>
        <v>80000</v>
      </c>
      <c r="C134" s="71"/>
      <c r="D134" s="69">
        <f t="shared" si="39"/>
        <v>80000</v>
      </c>
      <c r="E134" s="70">
        <f t="shared" si="40"/>
        <v>2480000</v>
      </c>
      <c r="F134" s="70">
        <f t="shared" ca="1" si="41"/>
        <v>900732.97029788152</v>
      </c>
      <c r="G134" s="63">
        <f t="shared" si="42"/>
        <v>4.476</v>
      </c>
      <c r="H134" s="64">
        <f t="shared" si="43"/>
        <v>4.476</v>
      </c>
      <c r="I134" s="43"/>
      <c r="J134" s="63">
        <f t="shared" si="44"/>
        <v>0.21</v>
      </c>
      <c r="K134" s="64">
        <f t="shared" si="45"/>
        <v>0.21</v>
      </c>
      <c r="L134" s="63">
        <f t="shared" si="46"/>
        <v>0</v>
      </c>
      <c r="M134" s="64">
        <f t="shared" si="47"/>
        <v>0</v>
      </c>
      <c r="N134" s="65"/>
      <c r="O134" s="63">
        <f t="shared" si="48"/>
        <v>4.6859999999999999</v>
      </c>
      <c r="P134" s="63">
        <f t="shared" si="49"/>
        <v>4.6859999999999999</v>
      </c>
      <c r="Q134" s="66"/>
      <c r="R134" s="63">
        <f t="shared" si="50"/>
        <v>-4.4000000000000004E-2</v>
      </c>
      <c r="S134" s="64">
        <f t="shared" si="51"/>
        <v>-4.4000000000000004E-2</v>
      </c>
      <c r="T134" s="63">
        <f t="shared" si="52"/>
        <v>0</v>
      </c>
      <c r="U134" s="64">
        <f t="shared" si="53"/>
        <v>0</v>
      </c>
      <c r="V134" s="207">
        <f>IF($A135="","",IF(AND(MONTH(A134)&gt;3,MONTH(A134)&lt;11),(T134+R134+G134)*Summary!$T$8/(1-Summary!$T$8),(T134+R134+G134)*Summary!$U$8/(1-Summary!$U$8)))</f>
        <v>0.23179038198463645</v>
      </c>
      <c r="W134" s="63">
        <f t="shared" si="54"/>
        <v>4.6637903819846365</v>
      </c>
      <c r="X134" s="63">
        <f t="shared" si="55"/>
        <v>4.6637903819846365</v>
      </c>
      <c r="Y134" s="43"/>
      <c r="Z134" s="38">
        <f t="shared" si="56"/>
        <v>0.65</v>
      </c>
      <c r="AA134" s="38">
        <f t="shared" si="57"/>
        <v>0.185</v>
      </c>
      <c r="AB134" s="38">
        <f t="shared" ca="1" si="58"/>
        <v>0.189635108946036</v>
      </c>
      <c r="AC134" s="38">
        <f t="shared" si="59"/>
        <v>0.6</v>
      </c>
      <c r="AD134" s="38">
        <f t="shared" si="59"/>
        <v>0.18</v>
      </c>
      <c r="AE134" s="38">
        <f t="shared" ca="1" si="60"/>
        <v>0.18406643829374797</v>
      </c>
      <c r="AF134" s="237">
        <f ca="1">((Summary!$N$8*(AA134*AD134)*(A134-$D$3))+(Summary!$M$8*Z134*AC134*(AJ134-EOMONTH(EDATE(A134,-1),0))))/(AK134*AB134*AE134)</f>
        <v>0.99984415280256922</v>
      </c>
      <c r="AG134" s="88">
        <f>IF($A135="","",Summary!$Q$8)</f>
        <v>0</v>
      </c>
      <c r="AH134" s="88">
        <f>IF($A135="","",IF(Summary!$R$8="Y",(VLOOKUP($A134,Summary!$AD$6:$AF$9,3)+'Escalating commodity'!D147),'Escalating commodity'!D147))</f>
        <v>2.0023199999999998E-2</v>
      </c>
      <c r="AI134" s="88">
        <f t="shared" si="75"/>
        <v>2.0023199999999998E-2</v>
      </c>
      <c r="AJ134" s="236">
        <f t="shared" si="61"/>
        <v>40831.5</v>
      </c>
      <c r="AK134" s="58">
        <f t="shared" ca="1" si="62"/>
        <v>3791</v>
      </c>
      <c r="AL134" s="26">
        <f ca="1">IF($A135="","",_xll.SPRDOPT(P134,X134,AI134,0,AB134,AE134,AF134,AK134,$AJ$2,0))</f>
        <v>4.308625019314586E-2</v>
      </c>
      <c r="AM134" s="89">
        <f t="shared" si="63"/>
        <v>2.1864180153634769E-3</v>
      </c>
      <c r="AN134" s="89">
        <f t="shared" ca="1" si="64"/>
        <v>4.0899832177782383E-2</v>
      </c>
      <c r="AO134" s="3">
        <f t="shared" si="65"/>
        <v>31</v>
      </c>
      <c r="AP134" s="33">
        <f t="shared" si="66"/>
        <v>40817</v>
      </c>
      <c r="AQ134" s="58">
        <f t="shared" ca="1" si="67"/>
        <v>3791</v>
      </c>
      <c r="AR134" s="38">
        <f>'ANR OK vs ML7'!AR134</f>
        <v>0.1</v>
      </c>
      <c r="AS134" s="35">
        <f t="shared" ca="1" si="68"/>
        <v>0.36319877834591996</v>
      </c>
      <c r="AT134" s="3">
        <f t="shared" si="69"/>
        <v>1</v>
      </c>
      <c r="AU134" s="3">
        <f t="shared" si="70"/>
        <v>31</v>
      </c>
      <c r="AW134" s="32">
        <f t="shared" ca="1" si="71"/>
        <v>106853.90047900174</v>
      </c>
      <c r="AX134" s="32">
        <f t="shared" si="72"/>
        <v>5422.3166781014224</v>
      </c>
      <c r="AY134" s="32">
        <f t="shared" ca="1" si="73"/>
        <v>101431.58380090031</v>
      </c>
      <c r="BA134" s="32">
        <f ca="1">IF($A135="","",F134*Summary!$Q$8)</f>
        <v>0</v>
      </c>
      <c r="BC134" s="256">
        <f t="shared" ca="1" si="76"/>
        <v>1969.3787932911437</v>
      </c>
    </row>
    <row r="135" spans="1:55">
      <c r="A135" s="67">
        <f t="shared" si="74"/>
        <v>40848</v>
      </c>
      <c r="B135" s="69">
        <f t="shared" si="77"/>
        <v>80000</v>
      </c>
      <c r="C135" s="71"/>
      <c r="D135" s="69">
        <f t="shared" si="39"/>
        <v>80000</v>
      </c>
      <c r="E135" s="70">
        <f t="shared" si="40"/>
        <v>2400000</v>
      </c>
      <c r="F135" s="70">
        <f t="shared" ca="1" si="41"/>
        <v>864487.67545229348</v>
      </c>
      <c r="G135" s="63">
        <f t="shared" si="42"/>
        <v>4.609</v>
      </c>
      <c r="H135" s="64">
        <f t="shared" si="43"/>
        <v>4.609</v>
      </c>
      <c r="I135" s="43"/>
      <c r="J135" s="63">
        <f t="shared" si="44"/>
        <v>0.32500000000000001</v>
      </c>
      <c r="K135" s="64">
        <f t="shared" si="45"/>
        <v>0.32500000000000001</v>
      </c>
      <c r="L135" s="63">
        <f t="shared" si="46"/>
        <v>0</v>
      </c>
      <c r="M135" s="64">
        <f t="shared" si="47"/>
        <v>0</v>
      </c>
      <c r="N135" s="65"/>
      <c r="O135" s="63">
        <f t="shared" si="48"/>
        <v>4.9340000000000002</v>
      </c>
      <c r="P135" s="63">
        <f t="shared" si="49"/>
        <v>4.9340000000000002</v>
      </c>
      <c r="Q135" s="66"/>
      <c r="R135" s="63">
        <f t="shared" si="50"/>
        <v>-4.3500000000000004E-2</v>
      </c>
      <c r="S135" s="64">
        <f t="shared" si="51"/>
        <v>-4.3500000000000004E-2</v>
      </c>
      <c r="T135" s="63">
        <f t="shared" si="52"/>
        <v>5.0000000000000001E-3</v>
      </c>
      <c r="U135" s="64">
        <f t="shared" si="53"/>
        <v>5.0000000000000001E-3</v>
      </c>
      <c r="V135" s="207">
        <f>IF($A136="","",IF(AND(MONTH(A135)&gt;3,MONTH(A135)&lt;11),(T135+R135+G135)*Summary!$T$8/(1-Summary!$T$8),(T135+R135+G135)*Summary!$U$8/(1-Summary!$U$8)))</f>
        <v>0.23903383142165632</v>
      </c>
      <c r="W135" s="63">
        <f t="shared" si="54"/>
        <v>4.809533831421656</v>
      </c>
      <c r="X135" s="63">
        <f t="shared" si="55"/>
        <v>4.809533831421656</v>
      </c>
      <c r="Y135" s="43"/>
      <c r="Z135" s="38">
        <f t="shared" si="56"/>
        <v>0.8</v>
      </c>
      <c r="AA135" s="38">
        <f t="shared" si="57"/>
        <v>0.185</v>
      </c>
      <c r="AB135" s="38">
        <f t="shared" ca="1" si="58"/>
        <v>0.19169175432471219</v>
      </c>
      <c r="AC135" s="38">
        <f t="shared" si="59"/>
        <v>0.8</v>
      </c>
      <c r="AD135" s="38">
        <f t="shared" si="59"/>
        <v>0.18</v>
      </c>
      <c r="AE135" s="38">
        <f t="shared" ca="1" si="60"/>
        <v>0.18686961009590092</v>
      </c>
      <c r="AF135" s="237">
        <f ca="1">((Summary!$N$8*(AA135*AD135)*(A135-$D$3))+(Summary!$M$8*Z135*AC135*(AJ135-EOMONTH(EDATE(A135,-1),0))))/(AK135*AB135*AE135)</f>
        <v>0.99988253924667481</v>
      </c>
      <c r="AG135" s="88">
        <f>IF($A136="","",Summary!$Q$8)</f>
        <v>0</v>
      </c>
      <c r="AH135" s="88">
        <f>IF($A136="","",IF(Summary!$R$8="Y",(VLOOKUP($A135,Summary!$AD$6:$AF$9,3)+'Escalating commodity'!D148),'Escalating commodity'!D148))</f>
        <v>2.0023199999999998E-2</v>
      </c>
      <c r="AI135" s="88">
        <f t="shared" si="75"/>
        <v>2.0023199999999998E-2</v>
      </c>
      <c r="AJ135" s="236">
        <f t="shared" si="61"/>
        <v>40862</v>
      </c>
      <c r="AK135" s="58">
        <f t="shared" ca="1" si="62"/>
        <v>3822</v>
      </c>
      <c r="AL135" s="26">
        <f ca="1">IF($A136="","",_xll.SPRDOPT(P135,X135,AI135,0,AB135,AE135,AF135,AK135,$AJ$2,0))</f>
        <v>0.11271278439019174</v>
      </c>
      <c r="AM135" s="89">
        <f t="shared" si="63"/>
        <v>0.10444296857834415</v>
      </c>
      <c r="AN135" s="89">
        <f t="shared" ca="1" si="64"/>
        <v>8.269815811847589E-3</v>
      </c>
      <c r="AO135" s="3">
        <f t="shared" si="65"/>
        <v>30</v>
      </c>
      <c r="AP135" s="33">
        <f t="shared" si="66"/>
        <v>40848</v>
      </c>
      <c r="AQ135" s="58">
        <f t="shared" ca="1" si="67"/>
        <v>3822</v>
      </c>
      <c r="AR135" s="38">
        <f>'ANR OK vs ML7'!AR135</f>
        <v>0.1</v>
      </c>
      <c r="AS135" s="35">
        <f t="shared" ca="1" si="68"/>
        <v>0.3602031981051223</v>
      </c>
      <c r="AT135" s="3">
        <f t="shared" si="69"/>
        <v>1</v>
      </c>
      <c r="AU135" s="3">
        <f t="shared" si="70"/>
        <v>30</v>
      </c>
      <c r="AW135" s="32">
        <f t="shared" ca="1" si="71"/>
        <v>270510.68253646017</v>
      </c>
      <c r="AX135" s="32">
        <f t="shared" si="72"/>
        <v>250663.12458802597</v>
      </c>
      <c r="AY135" s="32">
        <f t="shared" ca="1" si="73"/>
        <v>19847.557948434212</v>
      </c>
      <c r="BA135" s="32">
        <f ca="1">IF($A136="","",F135*Summary!$Q$8)</f>
        <v>0</v>
      </c>
      <c r="BC135" s="256">
        <f t="shared" ca="1" si="76"/>
        <v>90289.659123629666</v>
      </c>
    </row>
    <row r="136" spans="1:55">
      <c r="A136" s="67">
        <f t="shared" si="74"/>
        <v>40878</v>
      </c>
      <c r="B136" s="69">
        <f t="shared" si="77"/>
        <v>80000</v>
      </c>
      <c r="C136" s="71"/>
      <c r="D136" s="69">
        <f t="shared" si="39"/>
        <v>80000</v>
      </c>
      <c r="E136" s="70">
        <f t="shared" si="40"/>
        <v>2480000</v>
      </c>
      <c r="F136" s="70">
        <f t="shared" ca="1" si="41"/>
        <v>886172.88397465425</v>
      </c>
      <c r="G136" s="63">
        <f t="shared" si="42"/>
        <v>4.7469999999999999</v>
      </c>
      <c r="H136" s="64">
        <f t="shared" si="43"/>
        <v>4.7469999999999999</v>
      </c>
      <c r="I136" s="43"/>
      <c r="J136" s="63">
        <f t="shared" si="44"/>
        <v>0.32500000000000001</v>
      </c>
      <c r="K136" s="64">
        <f t="shared" si="45"/>
        <v>0.32500000000000001</v>
      </c>
      <c r="L136" s="63">
        <f t="shared" si="46"/>
        <v>0</v>
      </c>
      <c r="M136" s="64">
        <f t="shared" si="47"/>
        <v>0</v>
      </c>
      <c r="N136" s="65"/>
      <c r="O136" s="63">
        <f t="shared" si="48"/>
        <v>5.0720000000000001</v>
      </c>
      <c r="P136" s="63">
        <f t="shared" si="49"/>
        <v>5.0720000000000001</v>
      </c>
      <c r="Q136" s="66"/>
      <c r="R136" s="63">
        <f t="shared" si="50"/>
        <v>-4.3500000000000004E-2</v>
      </c>
      <c r="S136" s="64">
        <f t="shared" si="51"/>
        <v>-4.3500000000000004E-2</v>
      </c>
      <c r="T136" s="63">
        <f t="shared" si="52"/>
        <v>5.0000000000000001E-3</v>
      </c>
      <c r="U136" s="64">
        <f t="shared" si="53"/>
        <v>5.0000000000000001E-3</v>
      </c>
      <c r="V136" s="207">
        <f>IF($A137="","",IF(AND(MONTH(A136)&gt;3,MONTH(A136)&lt;11),(T136+R136+G136)*Summary!$T$8/(1-Summary!$T$8),(T136+R136+G136)*Summary!$U$8/(1-Summary!$U$8)))</f>
        <v>0.24625113122171946</v>
      </c>
      <c r="W136" s="63">
        <f t="shared" si="54"/>
        <v>4.9547511312217196</v>
      </c>
      <c r="X136" s="63">
        <f t="shared" si="55"/>
        <v>4.9547511312217196</v>
      </c>
      <c r="Y136" s="43"/>
      <c r="Z136" s="38">
        <f t="shared" si="56"/>
        <v>1.1000000000000001</v>
      </c>
      <c r="AA136" s="38">
        <f t="shared" si="57"/>
        <v>0.185</v>
      </c>
      <c r="AB136" s="38">
        <f t="shared" ca="1" si="58"/>
        <v>0.19774423953155443</v>
      </c>
      <c r="AC136" s="38">
        <f t="shared" si="59"/>
        <v>1</v>
      </c>
      <c r="AD136" s="38">
        <f t="shared" si="59"/>
        <v>0.18</v>
      </c>
      <c r="AE136" s="38">
        <f t="shared" ca="1" si="60"/>
        <v>0.19087245718472365</v>
      </c>
      <c r="AF136" s="237">
        <f ca="1">((Summary!$N$8*(AA136*AD136)*(A136-$D$3))+(Summary!$M$8*Z136*AC136*(AJ136-EOMONTH(EDATE(A136,-1),0))))/(AK136*AB136*AE136)</f>
        <v>0.99967298497829671</v>
      </c>
      <c r="AG136" s="88">
        <f>IF($A137="","",Summary!$Q$8)</f>
        <v>0</v>
      </c>
      <c r="AH136" s="88">
        <f>IF($A137="","",IF(Summary!$R$8="Y",(VLOOKUP($A136,Summary!$AD$6:$AF$9,3)+'Escalating commodity'!D149),'Escalating commodity'!D149))</f>
        <v>2.0023199999999998E-2</v>
      </c>
      <c r="AI136" s="88">
        <f t="shared" si="75"/>
        <v>2.0023199999999998E-2</v>
      </c>
      <c r="AJ136" s="236">
        <f t="shared" si="61"/>
        <v>40892.5</v>
      </c>
      <c r="AK136" s="58">
        <f t="shared" ca="1" si="62"/>
        <v>3852</v>
      </c>
      <c r="AL136" s="26">
        <f ca="1">IF($A137="","",_xll.SPRDOPT(P136,X136,AI136,0,AB136,AE136,AF136,AK136,$AJ$2,0))</f>
        <v>0.12014926691454271</v>
      </c>
      <c r="AM136" s="89">
        <f t="shared" si="63"/>
        <v>9.7225668778280455E-2</v>
      </c>
      <c r="AN136" s="89">
        <f t="shared" ca="1" si="64"/>
        <v>2.2923598136262255E-2</v>
      </c>
      <c r="AO136" s="3">
        <f t="shared" si="65"/>
        <v>31</v>
      </c>
      <c r="AP136" s="33">
        <f t="shared" si="66"/>
        <v>40878</v>
      </c>
      <c r="AQ136" s="58">
        <f t="shared" ca="1" si="67"/>
        <v>3852</v>
      </c>
      <c r="AR136" s="38">
        <f>'ANR OK vs ML7'!AR136</f>
        <v>0.1</v>
      </c>
      <c r="AS136" s="35">
        <f t="shared" ca="1" si="68"/>
        <v>0.35732777579623154</v>
      </c>
      <c r="AT136" s="3">
        <f t="shared" si="69"/>
        <v>1</v>
      </c>
      <c r="AU136" s="3">
        <f t="shared" si="70"/>
        <v>31</v>
      </c>
      <c r="AW136" s="32">
        <f t="shared" ca="1" si="71"/>
        <v>297970.18194806593</v>
      </c>
      <c r="AX136" s="32">
        <f t="shared" si="72"/>
        <v>241119.65857013554</v>
      </c>
      <c r="AY136" s="32">
        <f t="shared" ca="1" si="73"/>
        <v>56850.523377930389</v>
      </c>
      <c r="BA136" s="32">
        <f ca="1">IF($A137="","",F136*Summary!$Q$8)</f>
        <v>0</v>
      </c>
      <c r="BC136" s="256">
        <f t="shared" ca="1" si="76"/>
        <v>86158.751297613286</v>
      </c>
    </row>
    <row r="137" spans="1:55">
      <c r="A137" s="67">
        <f t="shared" si="74"/>
        <v>40909</v>
      </c>
      <c r="B137" s="69">
        <f t="shared" si="77"/>
        <v>80000</v>
      </c>
      <c r="C137" s="71"/>
      <c r="D137" s="69">
        <f t="shared" si="39"/>
        <v>80000</v>
      </c>
      <c r="E137" s="70">
        <f t="shared" si="40"/>
        <v>2480000</v>
      </c>
      <c r="F137" s="70">
        <f t="shared" ca="1" si="41"/>
        <v>878863.93323078146</v>
      </c>
      <c r="G137" s="63">
        <f t="shared" si="42"/>
        <v>4.7890000000000006</v>
      </c>
      <c r="H137" s="64">
        <f t="shared" si="43"/>
        <v>4.7890000000000006</v>
      </c>
      <c r="I137" s="43"/>
      <c r="J137" s="63">
        <f t="shared" si="44"/>
        <v>0.32500000000000001</v>
      </c>
      <c r="K137" s="64">
        <f t="shared" si="45"/>
        <v>0.32500000000000001</v>
      </c>
      <c r="L137" s="63">
        <f t="shared" si="46"/>
        <v>0</v>
      </c>
      <c r="M137" s="64">
        <f t="shared" si="47"/>
        <v>0</v>
      </c>
      <c r="N137" s="65"/>
      <c r="O137" s="63">
        <f t="shared" si="48"/>
        <v>5.1140000000000008</v>
      </c>
      <c r="P137" s="63">
        <f t="shared" si="49"/>
        <v>5.1140000000000008</v>
      </c>
      <c r="Q137" s="66"/>
      <c r="R137" s="63">
        <f t="shared" si="50"/>
        <v>-4.3500000000000004E-2</v>
      </c>
      <c r="S137" s="64">
        <f t="shared" si="51"/>
        <v>-4.3500000000000004E-2</v>
      </c>
      <c r="T137" s="63">
        <f t="shared" si="52"/>
        <v>5.0000000000000001E-3</v>
      </c>
      <c r="U137" s="64">
        <f t="shared" si="53"/>
        <v>5.0000000000000001E-3</v>
      </c>
      <c r="V137" s="207">
        <f>IF($A138="","",IF(AND(MONTH(A137)&gt;3,MONTH(A137)&lt;11),(T137+R137+G137)*Summary!$T$8/(1-Summary!$T$8),(T137+R137+G137)*Summary!$U$8/(1-Summary!$U$8)))</f>
        <v>0.24844770072608652</v>
      </c>
      <c r="W137" s="63">
        <f t="shared" si="54"/>
        <v>4.9989477007260872</v>
      </c>
      <c r="X137" s="63">
        <f t="shared" si="55"/>
        <v>4.9989477007260872</v>
      </c>
      <c r="Y137" s="43"/>
      <c r="Z137" s="38">
        <f t="shared" si="56"/>
        <v>1.1000000000000001</v>
      </c>
      <c r="AA137" s="38">
        <f t="shared" si="57"/>
        <v>0.185</v>
      </c>
      <c r="AB137" s="38">
        <f t="shared" ca="1" si="58"/>
        <v>0.19764574973903362</v>
      </c>
      <c r="AC137" s="38">
        <f t="shared" si="59"/>
        <v>1</v>
      </c>
      <c r="AD137" s="38">
        <f t="shared" si="59"/>
        <v>0.18</v>
      </c>
      <c r="AE137" s="38">
        <f t="shared" ca="1" si="60"/>
        <v>0.19078811025096448</v>
      </c>
      <c r="AF137" s="237">
        <f ca="1">((Summary!$N$8*(AA137*AD137)*(A137-$D$3))+(Summary!$M$8*Z137*AC137*(AJ137-EOMONTH(EDATE(A137,-1),0))))/(AK137*AB137*AE137)</f>
        <v>0.99967436320357062</v>
      </c>
      <c r="AG137" s="88">
        <f>IF($A138="","",Summary!$Q$8)</f>
        <v>0</v>
      </c>
      <c r="AH137" s="88">
        <f>IF($A138="","",IF(Summary!$R$8="Y",(VLOOKUP($A137,Summary!$AD$6:$AF$9,3)+'Escalating commodity'!D150),'Escalating commodity'!D150))</f>
        <v>2.0023199999999998E-2</v>
      </c>
      <c r="AI137" s="88">
        <f t="shared" si="75"/>
        <v>2.0023199999999998E-2</v>
      </c>
      <c r="AJ137" s="236">
        <f t="shared" si="61"/>
        <v>40923.5</v>
      </c>
      <c r="AK137" s="58">
        <f t="shared" ca="1" si="62"/>
        <v>3883</v>
      </c>
      <c r="AL137" s="26">
        <f ca="1">IF($A138="","",_xll.SPRDOPT(P137,X137,AI137,0,AB137,AE137,AF137,AK137,$AJ$2,0))</f>
        <v>0.11896983459664548</v>
      </c>
      <c r="AM137" s="89">
        <f t="shared" si="63"/>
        <v>9.5029099273913592E-2</v>
      </c>
      <c r="AN137" s="89">
        <f t="shared" ca="1" si="64"/>
        <v>2.3940735322731888E-2</v>
      </c>
      <c r="AO137" s="3">
        <f t="shared" si="65"/>
        <v>31</v>
      </c>
      <c r="AP137" s="33">
        <f t="shared" si="66"/>
        <v>40909</v>
      </c>
      <c r="AQ137" s="58">
        <f t="shared" ca="1" si="67"/>
        <v>3883</v>
      </c>
      <c r="AR137" s="38">
        <f>'ANR OK vs ML7'!AR137</f>
        <v>0.1</v>
      </c>
      <c r="AS137" s="35">
        <f t="shared" ca="1" si="68"/>
        <v>0.35438061823821831</v>
      </c>
      <c r="AT137" s="3">
        <f t="shared" si="69"/>
        <v>1</v>
      </c>
      <c r="AU137" s="3">
        <f t="shared" si="70"/>
        <v>31</v>
      </c>
      <c r="AW137" s="32">
        <f t="shared" ca="1" si="71"/>
        <v>295045.18979968078</v>
      </c>
      <c r="AX137" s="32">
        <f t="shared" si="72"/>
        <v>235672.16619930571</v>
      </c>
      <c r="AY137" s="32">
        <f t="shared" ca="1" si="73"/>
        <v>59373.023600375083</v>
      </c>
      <c r="BA137" s="32">
        <f ca="1">IF($A138="","",F137*Summary!$Q$8)</f>
        <v>0</v>
      </c>
      <c r="BC137" s="256">
        <f t="shared" ca="1" si="76"/>
        <v>83517.647959250098</v>
      </c>
    </row>
    <row r="138" spans="1:55">
      <c r="A138" s="67">
        <f t="shared" si="74"/>
        <v>40940</v>
      </c>
      <c r="B138" s="69">
        <f t="shared" si="77"/>
        <v>80000</v>
      </c>
      <c r="C138" s="71"/>
      <c r="D138" s="69">
        <f t="shared" ref="D138:D201" si="78">IF(A139&lt;&gt;"",B138+C138,"")</f>
        <v>80000</v>
      </c>
      <c r="E138" s="70">
        <f t="shared" ref="E138:E201" si="79">IF(A139="","",IF(AND(AT138=1,$H$3=1),D138*AO138,IF($H$3=2,D138,"N/A")))</f>
        <v>2320000</v>
      </c>
      <c r="F138" s="70">
        <f t="shared" ref="F138:F201" ca="1" si="80">IF(A139="","",E138*AS138)</f>
        <v>815382.02213107934</v>
      </c>
      <c r="G138" s="63">
        <f t="shared" ref="G138:G201" si="81">IF($A139="","",VLOOKUP($A138,Table,MATCH(G$4,Curves,0)))</f>
        <v>4.6690000000000005</v>
      </c>
      <c r="H138" s="64">
        <f t="shared" ref="H138:H201" si="82">IF(A139="","",G138)</f>
        <v>4.6690000000000005</v>
      </c>
      <c r="I138" s="43"/>
      <c r="J138" s="63">
        <f t="shared" ref="J138:J201" si="83">IF($A139="","",VLOOKUP($A138,Table,MATCH(J$4,Curves,0)))</f>
        <v>0.32500000000000001</v>
      </c>
      <c r="K138" s="64">
        <f t="shared" ref="K138:K201" si="84">IF(A139="","",J138)</f>
        <v>0.32500000000000001</v>
      </c>
      <c r="L138" s="63">
        <f t="shared" ref="L138:L201" si="85">IF($A139="","",VLOOKUP($A138,Table,MATCH(L$4,Curves,0)))</f>
        <v>0</v>
      </c>
      <c r="M138" s="64">
        <f t="shared" ref="M138:M201" si="86">IF(A139="","",L138)</f>
        <v>0</v>
      </c>
      <c r="N138" s="65"/>
      <c r="O138" s="63">
        <f t="shared" ref="O138:O201" si="87">IF(A139="","",L138+J138+G138)</f>
        <v>4.9940000000000007</v>
      </c>
      <c r="P138" s="63">
        <f t="shared" ref="P138:P201" si="88">IF(A139="","",M138+K138+H138)</f>
        <v>4.9940000000000007</v>
      </c>
      <c r="Q138" s="66"/>
      <c r="R138" s="63">
        <f t="shared" ref="R138:R201" si="89">IF($A139="","",VLOOKUP($A138,Table,MATCH(R$4,Curves,0)))</f>
        <v>-4.3500000000000004E-2</v>
      </c>
      <c r="S138" s="64">
        <f t="shared" ref="S138:S201" si="90">IF(A139="","",R138)</f>
        <v>-4.3500000000000004E-2</v>
      </c>
      <c r="T138" s="63">
        <f t="shared" ref="T138:T201" si="91">IF($A139="","",VLOOKUP($A138,Table,MATCH(T$4,Curves,0)))</f>
        <v>5.0000000000000001E-3</v>
      </c>
      <c r="U138" s="64">
        <f t="shared" ref="U138:U201" si="92">IF(A139="","",T138)</f>
        <v>5.0000000000000001E-3</v>
      </c>
      <c r="V138" s="207">
        <f>IF($A139="","",IF(AND(MONTH(A138)&gt;3,MONTH(A138)&lt;11),(T138+R138+G138)*Summary!$T$8/(1-Summary!$T$8),(T138+R138+G138)*Summary!$U$8/(1-Summary!$U$8)))</f>
        <v>0.2421717878564664</v>
      </c>
      <c r="W138" s="63">
        <f t="shared" ref="W138:W201" si="93">IF($A139="","",(T138+R138+G138+V138))</f>
        <v>4.8726717878564667</v>
      </c>
      <c r="X138" s="63">
        <f t="shared" ref="X138:X201" si="94">IF($A139="","",(U138+S138+H138+V138))</f>
        <v>4.8726717878564667</v>
      </c>
      <c r="Y138" s="43"/>
      <c r="Z138" s="38">
        <f t="shared" ref="Z138:Z201" si="95">IF($A139="","",VLOOKUP($A138,Table,MATCH(Z$4,Curves,0)))</f>
        <v>1.1000000000000001</v>
      </c>
      <c r="AA138" s="38">
        <f t="shared" ref="AA138:AA201" si="96">IF($A139="","",VLOOKUP($A138,Table,MATCH(AA$4,Curves,0)))</f>
        <v>0.18</v>
      </c>
      <c r="AB138" s="38">
        <f t="shared" ref="AB138:AB201" ca="1" si="97">SQRT((AA138^2*(A138-$D$3)+Z138^2*(DAY(EOMONTH(A138,0))/2))/AK138)</f>
        <v>0.19207005088139056</v>
      </c>
      <c r="AC138" s="38">
        <f t="shared" ref="AC138:AD201" si="98">IF($A139="","",VLOOKUP($A138,Table,MATCH(AC$4,Curves,0)))</f>
        <v>1</v>
      </c>
      <c r="AD138" s="38">
        <f t="shared" si="98"/>
        <v>0.17499999999999999</v>
      </c>
      <c r="AE138" s="38">
        <f t="shared" ref="AE138:AE201" ca="1" si="99">SQRT((AD138^2*(A138-$D$3)+AC138^2*(DAY(EOMONTH(A138,0))/2))/AK138)</f>
        <v>0.18530373566307246</v>
      </c>
      <c r="AF138" s="237">
        <f ca="1">((Summary!$N$8*(AA138*AD138)*(A138-$D$3))+(Summary!$M$8*Z138*AC138*(AJ138-EOMONTH(EDATE(A138,-1),0))))/(AK138*AB138*AE138)</f>
        <v>0.99968290739094867</v>
      </c>
      <c r="AG138" s="88">
        <f>IF($A139="","",Summary!$Q$8)</f>
        <v>0</v>
      </c>
      <c r="AH138" s="88">
        <f>IF($A139="","",IF(Summary!$R$8="Y",(VLOOKUP($A138,Summary!$AD$6:$AF$9,3)+'Escalating commodity'!D151),'Escalating commodity'!D151))</f>
        <v>2.0023199999999998E-2</v>
      </c>
      <c r="AI138" s="88">
        <f t="shared" si="75"/>
        <v>2.0023199999999998E-2</v>
      </c>
      <c r="AJ138" s="236">
        <f t="shared" ref="AJ138:AJ201" si="100">A138+DAY(EOMONTH(A138,0))/2-1</f>
        <v>40953.5</v>
      </c>
      <c r="AK138" s="58">
        <f t="shared" ref="AK138:AK201" ca="1" si="101">IF($A139="","",$A138-$E$1)</f>
        <v>3914</v>
      </c>
      <c r="AL138" s="26">
        <f ca="1">IF($A139="","",_xll.SPRDOPT(P138,X138,AI138,0,AB138,AE138,AF138,AK138,$AJ$2,0))</f>
        <v>0.12173539766402643</v>
      </c>
      <c r="AM138" s="89">
        <f t="shared" ref="AM138:AM201" si="102">IF($A139="","",MAX(0,O138-W138-AI138))</f>
        <v>0.10130501214353396</v>
      </c>
      <c r="AN138" s="89">
        <f t="shared" ref="AN138:AN201" ca="1" si="103">IF($A139="","",AL138-AM138)</f>
        <v>2.0430385520492464E-2</v>
      </c>
      <c r="AO138" s="3">
        <f t="shared" ref="AO138:AO201" si="104">IF(A139="","",A139-A138)</f>
        <v>29</v>
      </c>
      <c r="AP138" s="33">
        <f t="shared" ref="AP138:AP201" si="105">IF(A139="","",CHOOSE(F$3,A139+24,A138))</f>
        <v>40940</v>
      </c>
      <c r="AQ138" s="58">
        <f t="shared" ref="AQ138:AQ201" ca="1" si="106">IF(A139="","",AP138-$E$1)</f>
        <v>3914</v>
      </c>
      <c r="AR138" s="38">
        <f>'ANR OK vs ML7'!AR138</f>
        <v>0.1</v>
      </c>
      <c r="AS138" s="35">
        <f t="shared" ref="AS138:AS201" ca="1" si="107">IF(A139="","",1/(1+CHOOSE(F$3,(AR139+($I$3/10000))/2,(AR138+($I$3/10000))/2))^(2*AQ138/365.25))</f>
        <v>0.351457768159948</v>
      </c>
      <c r="AT138" s="3">
        <f t="shared" ref="AT138:AT201" si="108">IF(A139="","",IF(AND(mthbeg&lt;=A138,mthend&gt;=A138),1,0))</f>
        <v>1</v>
      </c>
      <c r="AU138" s="3">
        <f t="shared" ref="AU138:AU201" si="109">IF(A139="","",AO138*AT138)</f>
        <v>29</v>
      </c>
      <c r="AW138" s="32">
        <f t="shared" ref="AW138:AW201" ca="1" si="110">IF($A139="","",AL138*$E138)</f>
        <v>282426.1225805413</v>
      </c>
      <c r="AX138" s="32">
        <f t="shared" ref="AX138:AX201" si="111">IF($A139="","",AM138*$E138)</f>
        <v>235027.62817299878</v>
      </c>
      <c r="AY138" s="32">
        <f t="shared" ref="AY138:AY201" ca="1" si="112">IF($A139="","",AN138*$E138)</f>
        <v>47398.494407542516</v>
      </c>
      <c r="BA138" s="32">
        <f ca="1">IF($A139="","",F138*Summary!$Q$8)</f>
        <v>0</v>
      </c>
      <c r="BC138" s="256">
        <f t="shared" ca="1" si="76"/>
        <v>82602.285653608269</v>
      </c>
    </row>
    <row r="139" spans="1:55">
      <c r="A139" s="67">
        <f t="shared" ref="A139:A202" si="113">IF(A138&lt;mthend,EDATE(A138,1),"")</f>
        <v>40969</v>
      </c>
      <c r="B139" s="69">
        <f t="shared" si="77"/>
        <v>80000</v>
      </c>
      <c r="C139" s="71"/>
      <c r="D139" s="69">
        <f t="shared" si="78"/>
        <v>80000</v>
      </c>
      <c r="E139" s="70">
        <f t="shared" si="79"/>
        <v>2480000</v>
      </c>
      <c r="F139" s="70">
        <f t="shared" ca="1" si="80"/>
        <v>864888.38657328824</v>
      </c>
      <c r="G139" s="63">
        <f t="shared" si="81"/>
        <v>4.53</v>
      </c>
      <c r="H139" s="64">
        <f t="shared" si="82"/>
        <v>4.53</v>
      </c>
      <c r="I139" s="43"/>
      <c r="J139" s="63">
        <f t="shared" si="83"/>
        <v>0.32500000000000001</v>
      </c>
      <c r="K139" s="64">
        <f t="shared" si="84"/>
        <v>0.32500000000000001</v>
      </c>
      <c r="L139" s="63">
        <f t="shared" si="85"/>
        <v>0</v>
      </c>
      <c r="M139" s="64">
        <f t="shared" si="86"/>
        <v>0</v>
      </c>
      <c r="N139" s="65"/>
      <c r="O139" s="63">
        <f t="shared" si="87"/>
        <v>4.8550000000000004</v>
      </c>
      <c r="P139" s="63">
        <f t="shared" si="88"/>
        <v>4.8550000000000004</v>
      </c>
      <c r="Q139" s="66"/>
      <c r="R139" s="63">
        <f t="shared" si="89"/>
        <v>-4.3500000000000004E-2</v>
      </c>
      <c r="S139" s="64">
        <f t="shared" si="90"/>
        <v>-4.3500000000000004E-2</v>
      </c>
      <c r="T139" s="63">
        <f t="shared" si="91"/>
        <v>5.0000000000000001E-3</v>
      </c>
      <c r="U139" s="64">
        <f t="shared" si="92"/>
        <v>5.0000000000000001E-3</v>
      </c>
      <c r="V139" s="207">
        <f>IF($A140="","",IF(AND(MONTH(A139)&gt;3,MONTH(A139)&lt;11),(T139+R139+G139)*Summary!$T$8/(1-Summary!$T$8),(T139+R139+G139)*Summary!$U$8/(1-Summary!$U$8)))</f>
        <v>0.23490218878248975</v>
      </c>
      <c r="W139" s="63">
        <f t="shared" si="93"/>
        <v>4.7264021887824903</v>
      </c>
      <c r="X139" s="63">
        <f t="shared" si="94"/>
        <v>4.7264021887824903</v>
      </c>
      <c r="Y139" s="43"/>
      <c r="Z139" s="38">
        <f t="shared" si="95"/>
        <v>0.75</v>
      </c>
      <c r="AA139" s="38">
        <f t="shared" si="96"/>
        <v>0.17499999999999999</v>
      </c>
      <c r="AB139" s="38">
        <f t="shared" ca="1" si="97"/>
        <v>0.18122903737208357</v>
      </c>
      <c r="AC139" s="38">
        <f t="shared" si="98"/>
        <v>0.75</v>
      </c>
      <c r="AD139" s="38">
        <f t="shared" si="98"/>
        <v>0.17</v>
      </c>
      <c r="AE139" s="38">
        <f t="shared" ca="1" si="99"/>
        <v>0.17640444014441065</v>
      </c>
      <c r="AF139" s="237">
        <f ca="1">((Summary!$N$8*(AA139*AD139)*(A139-$D$3))+(Summary!$M$8*Z139*AC139*(AJ139-EOMONTH(EDATE(A139,-1),0))))/(AK139*AB139*AE139)</f>
        <v>0.99987986854242661</v>
      </c>
      <c r="AG139" s="88">
        <f>IF($A140="","",Summary!$Q$8)</f>
        <v>0</v>
      </c>
      <c r="AH139" s="88">
        <f>IF($A140="","",IF(Summary!$R$8="Y",(VLOOKUP($A139,Summary!$AD$6:$AF$9,3)+'Escalating commodity'!D152),'Escalating commodity'!D152))</f>
        <v>2.0023199999999998E-2</v>
      </c>
      <c r="AI139" s="88">
        <f t="shared" ref="AI139:AI202" si="114">IF($A140="","",AH139)</f>
        <v>2.0023199999999998E-2</v>
      </c>
      <c r="AJ139" s="236">
        <f t="shared" si="100"/>
        <v>40983.5</v>
      </c>
      <c r="AK139" s="58">
        <f t="shared" ca="1" si="101"/>
        <v>3943</v>
      </c>
      <c r="AL139" s="26">
        <f ca="1">IF($A140="","",_xll.SPRDOPT(P139,X139,AI139,0,AB139,AE139,AF139,AK139,$AJ$2,0))</f>
        <v>0.11594238977762535</v>
      </c>
      <c r="AM139" s="89">
        <f t="shared" si="102"/>
        <v>0.10857461121751014</v>
      </c>
      <c r="AN139" s="89">
        <f t="shared" ca="1" si="103"/>
        <v>7.3677785601152096E-3</v>
      </c>
      <c r="AO139" s="3">
        <f t="shared" si="104"/>
        <v>31</v>
      </c>
      <c r="AP139" s="33">
        <f t="shared" si="105"/>
        <v>40969</v>
      </c>
      <c r="AQ139" s="58">
        <f t="shared" ca="1" si="106"/>
        <v>3943</v>
      </c>
      <c r="AR139" s="38">
        <f>'ANR OK vs ML7'!AR139</f>
        <v>0.1</v>
      </c>
      <c r="AS139" s="35">
        <f t="shared" ca="1" si="107"/>
        <v>0.34874531716664847</v>
      </c>
      <c r="AT139" s="3">
        <f t="shared" si="108"/>
        <v>1</v>
      </c>
      <c r="AU139" s="3">
        <f t="shared" si="109"/>
        <v>31</v>
      </c>
      <c r="AW139" s="32">
        <f t="shared" ca="1" si="110"/>
        <v>287537.12664851086</v>
      </c>
      <c r="AX139" s="32">
        <f t="shared" si="111"/>
        <v>269265.03581942513</v>
      </c>
      <c r="AY139" s="32">
        <f t="shared" ca="1" si="112"/>
        <v>18272.090829085719</v>
      </c>
      <c r="BA139" s="32">
        <f ca="1">IF($A140="","",F139*Summary!$Q$8)</f>
        <v>0</v>
      </c>
      <c r="BC139" s="256">
        <f t="shared" ref="BC139:BC173" ca="1" si="115">IF(A140="","",AM139*F139)</f>
        <v>93904.920318734381</v>
      </c>
    </row>
    <row r="140" spans="1:55">
      <c r="A140" s="67">
        <f t="shared" si="113"/>
        <v>41000</v>
      </c>
      <c r="B140" s="69">
        <f t="shared" ref="B140:B203" si="116">IF(A140&lt;mthend,B139,0)</f>
        <v>80000</v>
      </c>
      <c r="C140" s="71"/>
      <c r="D140" s="69">
        <f t="shared" si="78"/>
        <v>80000</v>
      </c>
      <c r="E140" s="70">
        <f t="shared" si="79"/>
        <v>2400000</v>
      </c>
      <c r="F140" s="70">
        <f t="shared" ca="1" si="80"/>
        <v>830085.46982260386</v>
      </c>
      <c r="G140" s="63">
        <f t="shared" si="81"/>
        <v>4.3550000000000004</v>
      </c>
      <c r="H140" s="64">
        <f t="shared" si="82"/>
        <v>4.3550000000000004</v>
      </c>
      <c r="I140" s="43"/>
      <c r="J140" s="63">
        <f t="shared" si="83"/>
        <v>0.21</v>
      </c>
      <c r="K140" s="64">
        <f t="shared" si="84"/>
        <v>0.21</v>
      </c>
      <c r="L140" s="63">
        <f t="shared" si="85"/>
        <v>0</v>
      </c>
      <c r="M140" s="64">
        <f t="shared" si="86"/>
        <v>0</v>
      </c>
      <c r="N140" s="65"/>
      <c r="O140" s="63">
        <f t="shared" si="87"/>
        <v>4.5650000000000004</v>
      </c>
      <c r="P140" s="63">
        <f t="shared" si="88"/>
        <v>4.5650000000000004</v>
      </c>
      <c r="Q140" s="66"/>
      <c r="R140" s="63">
        <f t="shared" si="89"/>
        <v>-4.1000000000000002E-2</v>
      </c>
      <c r="S140" s="64">
        <f t="shared" si="90"/>
        <v>-4.1000000000000002E-2</v>
      </c>
      <c r="T140" s="63">
        <f t="shared" si="91"/>
        <v>0</v>
      </c>
      <c r="U140" s="64">
        <f t="shared" si="92"/>
        <v>0</v>
      </c>
      <c r="V140" s="207">
        <f>IF($A141="","",IF(AND(MONTH(A140)&gt;3,MONTH(A140)&lt;11),(T140+R140+G140)*Summary!$T$8/(1-Summary!$T$8),(T140+R140+G140)*Summary!$U$8/(1-Summary!$U$8)))</f>
        <v>0.22561906766284331</v>
      </c>
      <c r="W140" s="63">
        <f t="shared" si="93"/>
        <v>4.5396190676628434</v>
      </c>
      <c r="X140" s="63">
        <f t="shared" si="94"/>
        <v>4.5396190676628434</v>
      </c>
      <c r="Y140" s="43"/>
      <c r="Z140" s="38">
        <f t="shared" si="95"/>
        <v>0.45</v>
      </c>
      <c r="AA140" s="38">
        <f t="shared" si="96"/>
        <v>0.17499999999999999</v>
      </c>
      <c r="AB140" s="38">
        <f t="shared" ca="1" si="97"/>
        <v>0.17719212615751137</v>
      </c>
      <c r="AC140" s="38">
        <f t="shared" si="98"/>
        <v>0.4</v>
      </c>
      <c r="AD140" s="38">
        <f t="shared" si="98"/>
        <v>0.17</v>
      </c>
      <c r="AE140" s="38">
        <f t="shared" ca="1" si="99"/>
        <v>0.17178823529452317</v>
      </c>
      <c r="AF140" s="237">
        <f ca="1">((Summary!$N$8*(AA140*AD140)*(A140-$D$3))+(Summary!$M$8*Z140*AC140*(AJ140-EOMONTH(EDATE(A140,-1),0))))/(AK140*AB140*AE140)</f>
        <v>0.99981615861763518</v>
      </c>
      <c r="AG140" s="88">
        <f>IF($A141="","",Summary!$Q$8)</f>
        <v>0</v>
      </c>
      <c r="AH140" s="88">
        <f>IF($A141="","",IF(Summary!$R$8="Y",(VLOOKUP($A140,Summary!$AD$6:$AF$9,3)+'Escalating commodity'!D153),'Escalating commodity'!D153))</f>
        <v>2.0023199999999998E-2</v>
      </c>
      <c r="AI140" s="88">
        <f t="shared" si="114"/>
        <v>2.0023199999999998E-2</v>
      </c>
      <c r="AJ140" s="236">
        <f t="shared" si="100"/>
        <v>41014</v>
      </c>
      <c r="AK140" s="58">
        <f t="shared" ca="1" si="101"/>
        <v>3974</v>
      </c>
      <c r="AL140" s="26">
        <f ca="1">IF($A141="","",_xll.SPRDOPT(P140,X140,AI140,0,AB140,AE140,AF140,AK140,$AJ$2,0))</f>
        <v>4.3628839561498725E-2</v>
      </c>
      <c r="AM140" s="89">
        <f t="shared" si="102"/>
        <v>5.3577323371569938E-3</v>
      </c>
      <c r="AN140" s="89">
        <f t="shared" ca="1" si="103"/>
        <v>3.8271107224341731E-2</v>
      </c>
      <c r="AO140" s="3">
        <f t="shared" si="104"/>
        <v>30</v>
      </c>
      <c r="AP140" s="33">
        <f t="shared" si="105"/>
        <v>41000</v>
      </c>
      <c r="AQ140" s="58">
        <f t="shared" ca="1" si="106"/>
        <v>3974</v>
      </c>
      <c r="AR140" s="38">
        <f>'ANR OK vs ML7'!AR140</f>
        <v>0.1</v>
      </c>
      <c r="AS140" s="35">
        <f t="shared" ca="1" si="107"/>
        <v>0.34586894575941829</v>
      </c>
      <c r="AT140" s="3">
        <f t="shared" si="108"/>
        <v>1</v>
      </c>
      <c r="AU140" s="3">
        <f t="shared" si="109"/>
        <v>30</v>
      </c>
      <c r="AW140" s="32">
        <f t="shared" ca="1" si="110"/>
        <v>104709.21494759693</v>
      </c>
      <c r="AX140" s="32">
        <f t="shared" si="111"/>
        <v>12858.557609176785</v>
      </c>
      <c r="AY140" s="32">
        <f t="shared" ca="1" si="112"/>
        <v>91850.657338420162</v>
      </c>
      <c r="BA140" s="32">
        <f ca="1">IF($A141="","",F140*Summary!$Q$8)</f>
        <v>0</v>
      </c>
      <c r="BC140" s="256">
        <f t="shared" ca="1" si="115"/>
        <v>4447.3757642727205</v>
      </c>
    </row>
    <row r="141" spans="1:55">
      <c r="A141" s="67">
        <f t="shared" si="113"/>
        <v>41030</v>
      </c>
      <c r="B141" s="69">
        <f t="shared" si="116"/>
        <v>80000</v>
      </c>
      <c r="C141" s="71"/>
      <c r="D141" s="69">
        <f t="shared" si="78"/>
        <v>80000</v>
      </c>
      <c r="E141" s="70">
        <f t="shared" si="79"/>
        <v>2480000</v>
      </c>
      <c r="F141" s="70">
        <f t="shared" ca="1" si="80"/>
        <v>850907.71751406719</v>
      </c>
      <c r="G141" s="63">
        <f t="shared" si="81"/>
        <v>4.3250000000000002</v>
      </c>
      <c r="H141" s="64">
        <f t="shared" si="82"/>
        <v>4.3250000000000002</v>
      </c>
      <c r="I141" s="43"/>
      <c r="J141" s="63">
        <f t="shared" si="83"/>
        <v>0.21</v>
      </c>
      <c r="K141" s="64">
        <f t="shared" si="84"/>
        <v>0.21</v>
      </c>
      <c r="L141" s="63">
        <f t="shared" si="85"/>
        <v>0</v>
      </c>
      <c r="M141" s="64">
        <f t="shared" si="86"/>
        <v>0</v>
      </c>
      <c r="N141" s="65"/>
      <c r="O141" s="63">
        <f t="shared" si="87"/>
        <v>4.5350000000000001</v>
      </c>
      <c r="P141" s="63">
        <f t="shared" si="88"/>
        <v>4.5350000000000001</v>
      </c>
      <c r="Q141" s="66"/>
      <c r="R141" s="63">
        <f t="shared" si="89"/>
        <v>-4.1000000000000002E-2</v>
      </c>
      <c r="S141" s="64">
        <f t="shared" si="90"/>
        <v>-4.1000000000000002E-2</v>
      </c>
      <c r="T141" s="63">
        <f t="shared" si="91"/>
        <v>0</v>
      </c>
      <c r="U141" s="64">
        <f t="shared" si="92"/>
        <v>0</v>
      </c>
      <c r="V141" s="207">
        <f>IF($A142="","",IF(AND(MONTH(A141)&gt;3,MONTH(A141)&lt;11),(T141+R141+G141)*Summary!$T$8/(1-Summary!$T$8),(T141+R141+G141)*Summary!$U$8/(1-Summary!$U$8)))</f>
        <v>0.22405008944543825</v>
      </c>
      <c r="W141" s="63">
        <f t="shared" si="93"/>
        <v>4.5080500894454385</v>
      </c>
      <c r="X141" s="63">
        <f t="shared" si="94"/>
        <v>4.5080500894454385</v>
      </c>
      <c r="Y141" s="43"/>
      <c r="Z141" s="38">
        <f t="shared" si="95"/>
        <v>0.5</v>
      </c>
      <c r="AA141" s="38">
        <f t="shared" si="96"/>
        <v>0.17499999999999999</v>
      </c>
      <c r="AB141" s="38">
        <f t="shared" ca="1" si="97"/>
        <v>0.17776510011580118</v>
      </c>
      <c r="AC141" s="38">
        <f t="shared" si="98"/>
        <v>0.45</v>
      </c>
      <c r="AD141" s="38">
        <f t="shared" si="98"/>
        <v>0.17</v>
      </c>
      <c r="AE141" s="38">
        <f t="shared" ca="1" si="99"/>
        <v>0.17231111797739976</v>
      </c>
      <c r="AF141" s="237">
        <f ca="1">((Summary!$N$8*(AA141*AD141)*(A141-$D$3))+(Summary!$M$8*Z141*AC141*(AJ141-EOMONTH(EDATE(A141,-1),0))))/(AK141*AB141*AE141)</f>
        <v>0.99982224437306222</v>
      </c>
      <c r="AG141" s="88">
        <f>IF($A142="","",Summary!$Q$8)</f>
        <v>0</v>
      </c>
      <c r="AH141" s="88">
        <f>IF($A142="","",IF(Summary!$R$8="Y",(VLOOKUP($A141,Summary!$AD$6:$AF$9,3)+'Escalating commodity'!D154),'Escalating commodity'!D154))</f>
        <v>2.0023199999999998E-2</v>
      </c>
      <c r="AI141" s="88">
        <f t="shared" si="114"/>
        <v>2.0023199999999998E-2</v>
      </c>
      <c r="AJ141" s="236">
        <f t="shared" si="100"/>
        <v>41044.5</v>
      </c>
      <c r="AK141" s="58">
        <f t="shared" ca="1" si="101"/>
        <v>4004</v>
      </c>
      <c r="AL141" s="26">
        <f ca="1">IF($A142="","",_xll.SPRDOPT(P141,X141,AI141,0,AB141,AE141,AF141,AK141,$AJ$2,0))</f>
        <v>4.4528148667961842E-2</v>
      </c>
      <c r="AM141" s="89">
        <f t="shared" si="102"/>
        <v>6.9267105545616423E-3</v>
      </c>
      <c r="AN141" s="89">
        <f t="shared" ca="1" si="103"/>
        <v>3.76014381134002E-2</v>
      </c>
      <c r="AO141" s="3">
        <f t="shared" si="104"/>
        <v>31</v>
      </c>
      <c r="AP141" s="33">
        <f t="shared" si="105"/>
        <v>41030</v>
      </c>
      <c r="AQ141" s="58">
        <f t="shared" ca="1" si="106"/>
        <v>4004</v>
      </c>
      <c r="AR141" s="38">
        <f>'ANR OK vs ML7'!AR141</f>
        <v>0.1</v>
      </c>
      <c r="AS141" s="35">
        <f t="shared" ca="1" si="107"/>
        <v>0.34310795061051097</v>
      </c>
      <c r="AT141" s="3">
        <f t="shared" si="108"/>
        <v>1</v>
      </c>
      <c r="AU141" s="3">
        <f t="shared" si="109"/>
        <v>31</v>
      </c>
      <c r="AW141" s="32">
        <f t="shared" ca="1" si="110"/>
        <v>110429.80869654537</v>
      </c>
      <c r="AX141" s="32">
        <f t="shared" si="111"/>
        <v>17178.242175312873</v>
      </c>
      <c r="AY141" s="32">
        <f t="shared" ca="1" si="112"/>
        <v>93251.566521232497</v>
      </c>
      <c r="BA141" s="32">
        <f ca="1">IF($A142="","",F141*Summary!$Q$8)</f>
        <v>0</v>
      </c>
      <c r="BC141" s="256">
        <f t="shared" ca="1" si="115"/>
        <v>5893.9914678626455</v>
      </c>
    </row>
    <row r="142" spans="1:55">
      <c r="A142" s="67">
        <f t="shared" si="113"/>
        <v>41061</v>
      </c>
      <c r="B142" s="69">
        <f t="shared" si="116"/>
        <v>80000</v>
      </c>
      <c r="C142" s="71"/>
      <c r="D142" s="69">
        <f t="shared" si="78"/>
        <v>80000</v>
      </c>
      <c r="E142" s="70">
        <f t="shared" si="79"/>
        <v>2400000</v>
      </c>
      <c r="F142" s="70">
        <f t="shared" ca="1" si="80"/>
        <v>816667.37978391408</v>
      </c>
      <c r="G142" s="63">
        <f t="shared" si="81"/>
        <v>4.3949999999999996</v>
      </c>
      <c r="H142" s="64">
        <f t="shared" si="82"/>
        <v>4.3949999999999996</v>
      </c>
      <c r="I142" s="43"/>
      <c r="J142" s="63">
        <f t="shared" si="83"/>
        <v>0.21</v>
      </c>
      <c r="K142" s="64">
        <f t="shared" si="84"/>
        <v>0.21</v>
      </c>
      <c r="L142" s="63">
        <f t="shared" si="85"/>
        <v>0</v>
      </c>
      <c r="M142" s="64">
        <f t="shared" si="86"/>
        <v>0</v>
      </c>
      <c r="N142" s="65"/>
      <c r="O142" s="63">
        <f t="shared" si="87"/>
        <v>4.6049999999999995</v>
      </c>
      <c r="P142" s="63">
        <f t="shared" si="88"/>
        <v>4.6049999999999995</v>
      </c>
      <c r="Q142" s="66"/>
      <c r="R142" s="63">
        <f t="shared" si="89"/>
        <v>-4.1000000000000002E-2</v>
      </c>
      <c r="S142" s="64">
        <f t="shared" si="90"/>
        <v>-4.1000000000000002E-2</v>
      </c>
      <c r="T142" s="63">
        <f t="shared" si="91"/>
        <v>0</v>
      </c>
      <c r="U142" s="64">
        <f t="shared" si="92"/>
        <v>0</v>
      </c>
      <c r="V142" s="207">
        <f>IF($A143="","",IF(AND(MONTH(A142)&gt;3,MONTH(A142)&lt;11),(T142+R142+G142)*Summary!$T$8/(1-Summary!$T$8),(T142+R142+G142)*Summary!$U$8/(1-Summary!$U$8)))</f>
        <v>0.2277110386193833</v>
      </c>
      <c r="W142" s="63">
        <f t="shared" si="93"/>
        <v>4.5817110386193827</v>
      </c>
      <c r="X142" s="63">
        <f t="shared" si="94"/>
        <v>4.5817110386193827</v>
      </c>
      <c r="Y142" s="43"/>
      <c r="Z142" s="38">
        <f t="shared" si="95"/>
        <v>0.5</v>
      </c>
      <c r="AA142" s="38">
        <f t="shared" si="96"/>
        <v>0.17499999999999999</v>
      </c>
      <c r="AB142" s="38">
        <f t="shared" ca="1" si="97"/>
        <v>0.17765685426869776</v>
      </c>
      <c r="AC142" s="38">
        <f t="shared" si="98"/>
        <v>0.45</v>
      </c>
      <c r="AD142" s="38">
        <f t="shared" si="98"/>
        <v>0.17</v>
      </c>
      <c r="AE142" s="38">
        <f t="shared" ca="1" si="99"/>
        <v>0.17222064462109379</v>
      </c>
      <c r="AF142" s="237">
        <f ca="1">((Summary!$N$8*(AA142*AD142)*(A142-$D$3))+(Summary!$M$8*Z142*AC142*(AJ142-EOMONTH(EDATE(A142,-1),0))))/(AK142*AB142*AE142)</f>
        <v>0.9998251583030795</v>
      </c>
      <c r="AG142" s="88">
        <f>IF($A143="","",Summary!$Q$8)</f>
        <v>0</v>
      </c>
      <c r="AH142" s="88">
        <f>IF($A143="","",IF(Summary!$R$8="Y",(VLOOKUP($A142,Summary!$AD$6:$AF$9,3)+'Escalating commodity'!D155),'Escalating commodity'!D155))</f>
        <v>2.0023199999999998E-2</v>
      </c>
      <c r="AI142" s="88">
        <f t="shared" si="114"/>
        <v>2.0023199999999998E-2</v>
      </c>
      <c r="AJ142" s="236">
        <f t="shared" si="100"/>
        <v>41075</v>
      </c>
      <c r="AK142" s="58">
        <f t="shared" ca="1" si="101"/>
        <v>4035</v>
      </c>
      <c r="AL142" s="26">
        <f ca="1">IF($A143="","",_xll.SPRDOPT(P142,X142,AI142,0,AB142,AE142,AF142,AK142,$AJ$2,0))</f>
        <v>4.3250816392823493E-2</v>
      </c>
      <c r="AM142" s="89">
        <f t="shared" si="102"/>
        <v>3.2657613806168703E-3</v>
      </c>
      <c r="AN142" s="89">
        <f t="shared" ca="1" si="103"/>
        <v>3.9985055012206623E-2</v>
      </c>
      <c r="AO142" s="3">
        <f t="shared" si="104"/>
        <v>30</v>
      </c>
      <c r="AP142" s="33">
        <f t="shared" si="105"/>
        <v>41061</v>
      </c>
      <c r="AQ142" s="58">
        <f t="shared" ca="1" si="106"/>
        <v>4035</v>
      </c>
      <c r="AR142" s="38">
        <f>'ANR OK vs ML7'!AR142</f>
        <v>0.1</v>
      </c>
      <c r="AS142" s="35">
        <f t="shared" ca="1" si="107"/>
        <v>0.3402780749099642</v>
      </c>
      <c r="AT142" s="3">
        <f t="shared" si="108"/>
        <v>1</v>
      </c>
      <c r="AU142" s="3">
        <f t="shared" si="109"/>
        <v>30</v>
      </c>
      <c r="AW142" s="32">
        <f t="shared" ca="1" si="110"/>
        <v>103801.95934277639</v>
      </c>
      <c r="AX142" s="32">
        <f t="shared" si="111"/>
        <v>7837.8273134804886</v>
      </c>
      <c r="AY142" s="32">
        <f t="shared" ca="1" si="112"/>
        <v>95964.132029295899</v>
      </c>
      <c r="BA142" s="32">
        <f ca="1">IF($A143="","",F142*Summary!$Q$8)</f>
        <v>0</v>
      </c>
      <c r="BC142" s="256">
        <f t="shared" ca="1" si="115"/>
        <v>2667.0407897078771</v>
      </c>
    </row>
    <row r="143" spans="1:55">
      <c r="A143" s="67">
        <f t="shared" si="113"/>
        <v>41091</v>
      </c>
      <c r="B143" s="69">
        <f t="shared" si="116"/>
        <v>80000</v>
      </c>
      <c r="C143" s="71"/>
      <c r="D143" s="69">
        <f t="shared" si="78"/>
        <v>80000</v>
      </c>
      <c r="E143" s="70">
        <f t="shared" si="79"/>
        <v>2480000</v>
      </c>
      <c r="F143" s="70">
        <f t="shared" ca="1" si="80"/>
        <v>837153.041901374</v>
      </c>
      <c r="G143" s="63">
        <f t="shared" si="81"/>
        <v>4.45</v>
      </c>
      <c r="H143" s="64">
        <f t="shared" si="82"/>
        <v>4.45</v>
      </c>
      <c r="I143" s="43"/>
      <c r="J143" s="63">
        <f t="shared" si="83"/>
        <v>0.21</v>
      </c>
      <c r="K143" s="64">
        <f t="shared" si="84"/>
        <v>0.21</v>
      </c>
      <c r="L143" s="63">
        <f t="shared" si="85"/>
        <v>0</v>
      </c>
      <c r="M143" s="64">
        <f t="shared" si="86"/>
        <v>0</v>
      </c>
      <c r="N143" s="65"/>
      <c r="O143" s="63">
        <f t="shared" si="87"/>
        <v>4.66</v>
      </c>
      <c r="P143" s="63">
        <f t="shared" si="88"/>
        <v>4.66</v>
      </c>
      <c r="Q143" s="66"/>
      <c r="R143" s="63">
        <f t="shared" si="89"/>
        <v>-4.1000000000000002E-2</v>
      </c>
      <c r="S143" s="64">
        <f t="shared" si="90"/>
        <v>-4.1000000000000002E-2</v>
      </c>
      <c r="T143" s="63">
        <f t="shared" si="91"/>
        <v>0</v>
      </c>
      <c r="U143" s="64">
        <f t="shared" si="92"/>
        <v>0</v>
      </c>
      <c r="V143" s="207">
        <f>IF($A144="","",IF(AND(MONTH(A143)&gt;3,MONTH(A143)&lt;11),(T143+R143+G143)*Summary!$T$8/(1-Summary!$T$8),(T143+R143+G143)*Summary!$U$8/(1-Summary!$U$8)))</f>
        <v>0.23058749868462589</v>
      </c>
      <c r="W143" s="63">
        <f t="shared" si="93"/>
        <v>4.6395874986846257</v>
      </c>
      <c r="X143" s="63">
        <f t="shared" si="94"/>
        <v>4.6395874986846257</v>
      </c>
      <c r="Y143" s="43"/>
      <c r="Z143" s="38">
        <f t="shared" si="95"/>
        <v>0.55000000000000004</v>
      </c>
      <c r="AA143" s="38">
        <f t="shared" si="96"/>
        <v>0.17499999999999999</v>
      </c>
      <c r="AB143" s="38">
        <f t="shared" ca="1" si="97"/>
        <v>0.17828622453733939</v>
      </c>
      <c r="AC143" s="38">
        <f t="shared" si="98"/>
        <v>0.5</v>
      </c>
      <c r="AD143" s="38">
        <f t="shared" si="98"/>
        <v>0.17</v>
      </c>
      <c r="AE143" s="38">
        <f t="shared" ca="1" si="99"/>
        <v>0.17280153067519408</v>
      </c>
      <c r="AF143" s="237">
        <f ca="1">((Summary!$N$8*(AA143*AD143)*(A143-$D$3))+(Summary!$M$8*Z143*AC143*(AJ143-EOMONTH(EDATE(A143,-1),0))))/(AK143*AB143*AE143)</f>
        <v>0.99983107800608839</v>
      </c>
      <c r="AG143" s="88">
        <f>IF($A144="","",Summary!$Q$8)</f>
        <v>0</v>
      </c>
      <c r="AH143" s="88">
        <f>IF($A144="","",IF(Summary!$R$8="Y",(VLOOKUP($A143,Summary!$AD$6:$AF$9,3)+'Escalating commodity'!D156),'Escalating commodity'!D156))</f>
        <v>2.0023199999999998E-2</v>
      </c>
      <c r="AI143" s="88">
        <f t="shared" si="114"/>
        <v>2.0023199999999998E-2</v>
      </c>
      <c r="AJ143" s="236">
        <f t="shared" si="100"/>
        <v>41105.5</v>
      </c>
      <c r="AK143" s="58">
        <f t="shared" ca="1" si="101"/>
        <v>4065</v>
      </c>
      <c r="AL143" s="26">
        <f ca="1">IF($A144="","",_xll.SPRDOPT(P143,X143,AI143,0,AB143,AE143,AF143,AK143,$AJ$2,0))</f>
        <v>4.2617836933338968E-2</v>
      </c>
      <c r="AM143" s="89">
        <f t="shared" si="102"/>
        <v>3.8930131537442264E-4</v>
      </c>
      <c r="AN143" s="89">
        <f t="shared" ca="1" si="103"/>
        <v>4.2228535617964545E-2</v>
      </c>
      <c r="AO143" s="3">
        <f t="shared" si="104"/>
        <v>31</v>
      </c>
      <c r="AP143" s="33">
        <f t="shared" si="105"/>
        <v>41091</v>
      </c>
      <c r="AQ143" s="58">
        <f t="shared" ca="1" si="106"/>
        <v>4065</v>
      </c>
      <c r="AR143" s="38">
        <f>'ANR OK vs ML7'!AR143</f>
        <v>0.1</v>
      </c>
      <c r="AS143" s="35">
        <f t="shared" ca="1" si="107"/>
        <v>0.33756171044410244</v>
      </c>
      <c r="AT143" s="3">
        <f t="shared" si="108"/>
        <v>1</v>
      </c>
      <c r="AU143" s="3">
        <f t="shared" si="109"/>
        <v>31</v>
      </c>
      <c r="AW143" s="32">
        <f t="shared" ca="1" si="110"/>
        <v>105692.23559468063</v>
      </c>
      <c r="AX143" s="32">
        <f t="shared" si="111"/>
        <v>965.46726212856811</v>
      </c>
      <c r="AY143" s="32">
        <f t="shared" ca="1" si="112"/>
        <v>104726.76833255208</v>
      </c>
      <c r="BA143" s="32">
        <f ca="1">IF($A144="","",F143*Summary!$Q$8)</f>
        <v>0</v>
      </c>
      <c r="BC143" s="256">
        <f t="shared" ca="1" si="115"/>
        <v>325.90478038190406</v>
      </c>
    </row>
    <row r="144" spans="1:55">
      <c r="A144" s="67">
        <f t="shared" si="113"/>
        <v>41122</v>
      </c>
      <c r="B144" s="69">
        <f t="shared" si="116"/>
        <v>80000</v>
      </c>
      <c r="C144" s="71"/>
      <c r="D144" s="69">
        <f t="shared" si="78"/>
        <v>80000</v>
      </c>
      <c r="E144" s="70">
        <f t="shared" si="79"/>
        <v>2480000</v>
      </c>
      <c r="F144" s="70">
        <f t="shared" ca="1" si="80"/>
        <v>830248.39557446656</v>
      </c>
      <c r="G144" s="63">
        <f t="shared" si="81"/>
        <v>4.5060000000000002</v>
      </c>
      <c r="H144" s="64">
        <f t="shared" si="82"/>
        <v>4.5060000000000002</v>
      </c>
      <c r="I144" s="43"/>
      <c r="J144" s="63">
        <f t="shared" si="83"/>
        <v>0.21</v>
      </c>
      <c r="K144" s="64">
        <f t="shared" si="84"/>
        <v>0.21</v>
      </c>
      <c r="L144" s="63">
        <f t="shared" si="85"/>
        <v>0</v>
      </c>
      <c r="M144" s="64">
        <f t="shared" si="86"/>
        <v>0</v>
      </c>
      <c r="N144" s="65"/>
      <c r="O144" s="63">
        <f t="shared" si="87"/>
        <v>4.7160000000000002</v>
      </c>
      <c r="P144" s="63">
        <f t="shared" si="88"/>
        <v>4.7160000000000002</v>
      </c>
      <c r="Q144" s="66"/>
      <c r="R144" s="63">
        <f t="shared" si="89"/>
        <v>-4.1000000000000002E-2</v>
      </c>
      <c r="S144" s="64">
        <f t="shared" si="90"/>
        <v>-4.1000000000000002E-2</v>
      </c>
      <c r="T144" s="63">
        <f t="shared" si="91"/>
        <v>0</v>
      </c>
      <c r="U144" s="64">
        <f t="shared" si="92"/>
        <v>0</v>
      </c>
      <c r="V144" s="207">
        <f>IF($A145="","",IF(AND(MONTH(A144)&gt;3,MONTH(A144)&lt;11),(T144+R144+G144)*Summary!$T$8/(1-Summary!$T$8),(T144+R144+G144)*Summary!$U$8/(1-Summary!$U$8)))</f>
        <v>0.23351625802378195</v>
      </c>
      <c r="W144" s="63">
        <f t="shared" si="93"/>
        <v>4.6985162580237816</v>
      </c>
      <c r="X144" s="63">
        <f t="shared" si="94"/>
        <v>4.6985162580237816</v>
      </c>
      <c r="Y144" s="43"/>
      <c r="Z144" s="38">
        <f t="shared" si="95"/>
        <v>0.6</v>
      </c>
      <c r="AA144" s="38">
        <f t="shared" si="96"/>
        <v>0.17499999999999999</v>
      </c>
      <c r="AB144" s="38">
        <f t="shared" ca="1" si="97"/>
        <v>0.17887085143795964</v>
      </c>
      <c r="AC144" s="38">
        <f t="shared" si="98"/>
        <v>0.55000000000000004</v>
      </c>
      <c r="AD144" s="38">
        <f t="shared" si="98"/>
        <v>0.17</v>
      </c>
      <c r="AE144" s="38">
        <f t="shared" ca="1" si="99"/>
        <v>0.17335446351199399</v>
      </c>
      <c r="AF144" s="237">
        <f ca="1">((Summary!$N$8*(AA144*AD144)*(A144-$D$3))+(Summary!$M$8*Z144*AC144*(AJ144-EOMONTH(EDATE(A144,-1),0))))/(AK144*AB144*AE144)</f>
        <v>0.99983895365489062</v>
      </c>
      <c r="AG144" s="88">
        <f>IF($A145="","",Summary!$Q$8)</f>
        <v>0</v>
      </c>
      <c r="AH144" s="88">
        <f>IF($A145="","",IF(Summary!$R$8="Y",(VLOOKUP($A144,Summary!$AD$6:$AF$9,3)+'Escalating commodity'!D157),'Escalating commodity'!D157))</f>
        <v>2.0023199999999998E-2</v>
      </c>
      <c r="AI144" s="88">
        <f t="shared" si="114"/>
        <v>2.0023199999999998E-2</v>
      </c>
      <c r="AJ144" s="236">
        <f t="shared" si="100"/>
        <v>41136.5</v>
      </c>
      <c r="AK144" s="58">
        <f t="shared" ca="1" si="101"/>
        <v>4096</v>
      </c>
      <c r="AL144" s="26">
        <f ca="1">IF($A145="","",_xll.SPRDOPT(P144,X144,AI144,0,AB144,AE144,AF144,AK144,$AJ$2,0))</f>
        <v>4.1827547691959059E-2</v>
      </c>
      <c r="AM144" s="89">
        <f t="shared" si="102"/>
        <v>0</v>
      </c>
      <c r="AN144" s="89">
        <f t="shared" ca="1" si="103"/>
        <v>4.1827547691959059E-2</v>
      </c>
      <c r="AO144" s="3">
        <f t="shared" si="104"/>
        <v>31</v>
      </c>
      <c r="AP144" s="33">
        <f t="shared" si="105"/>
        <v>41122</v>
      </c>
      <c r="AQ144" s="58">
        <f t="shared" ca="1" si="106"/>
        <v>4096</v>
      </c>
      <c r="AR144" s="38">
        <f>'ANR OK vs ML7'!AR144</f>
        <v>0.1</v>
      </c>
      <c r="AS144" s="35">
        <f t="shared" ca="1" si="107"/>
        <v>0.334777578860672</v>
      </c>
      <c r="AT144" s="3">
        <f t="shared" si="108"/>
        <v>1</v>
      </c>
      <c r="AU144" s="3">
        <f t="shared" si="109"/>
        <v>31</v>
      </c>
      <c r="AW144" s="32">
        <f t="shared" ca="1" si="110"/>
        <v>103732.31827605846</v>
      </c>
      <c r="AX144" s="32">
        <f t="shared" si="111"/>
        <v>0</v>
      </c>
      <c r="AY144" s="32">
        <f t="shared" ca="1" si="112"/>
        <v>103732.31827605846</v>
      </c>
      <c r="BA144" s="32">
        <f ca="1">IF($A145="","",F144*Summary!$Q$8)</f>
        <v>0</v>
      </c>
      <c r="BC144" s="256">
        <f t="shared" ca="1" si="115"/>
        <v>0</v>
      </c>
    </row>
    <row r="145" spans="1:55">
      <c r="A145" s="67">
        <f t="shared" si="113"/>
        <v>41153</v>
      </c>
      <c r="B145" s="69">
        <f t="shared" si="116"/>
        <v>80000</v>
      </c>
      <c r="C145" s="71"/>
      <c r="D145" s="69">
        <f t="shared" si="78"/>
        <v>80000</v>
      </c>
      <c r="E145" s="70">
        <f t="shared" si="79"/>
        <v>2400000</v>
      </c>
      <c r="F145" s="70">
        <f t="shared" ca="1" si="80"/>
        <v>796839.38437470898</v>
      </c>
      <c r="G145" s="63">
        <f t="shared" si="81"/>
        <v>4.5199999999999996</v>
      </c>
      <c r="H145" s="64">
        <f t="shared" si="82"/>
        <v>4.5199999999999996</v>
      </c>
      <c r="I145" s="43"/>
      <c r="J145" s="63">
        <f t="shared" si="83"/>
        <v>0.21</v>
      </c>
      <c r="K145" s="64">
        <f t="shared" si="84"/>
        <v>0.21</v>
      </c>
      <c r="L145" s="63">
        <f t="shared" si="85"/>
        <v>0</v>
      </c>
      <c r="M145" s="64">
        <f t="shared" si="86"/>
        <v>0</v>
      </c>
      <c r="N145" s="65"/>
      <c r="O145" s="63">
        <f t="shared" si="87"/>
        <v>4.7299999999999995</v>
      </c>
      <c r="P145" s="63">
        <f t="shared" si="88"/>
        <v>4.7299999999999995</v>
      </c>
      <c r="Q145" s="66"/>
      <c r="R145" s="63">
        <f t="shared" si="89"/>
        <v>-4.1000000000000002E-2</v>
      </c>
      <c r="S145" s="64">
        <f t="shared" si="90"/>
        <v>-4.1000000000000002E-2</v>
      </c>
      <c r="T145" s="63">
        <f t="shared" si="91"/>
        <v>0</v>
      </c>
      <c r="U145" s="64">
        <f t="shared" si="92"/>
        <v>0</v>
      </c>
      <c r="V145" s="207">
        <f>IF($A146="","",IF(AND(MONTH(A145)&gt;3,MONTH(A145)&lt;11),(T145+R145+G145)*Summary!$T$8/(1-Summary!$T$8),(T145+R145+G145)*Summary!$U$8/(1-Summary!$U$8)))</f>
        <v>0.23424844785857094</v>
      </c>
      <c r="W145" s="63">
        <f t="shared" si="93"/>
        <v>4.7132484478585699</v>
      </c>
      <c r="X145" s="63">
        <f t="shared" si="94"/>
        <v>4.7132484478585699</v>
      </c>
      <c r="Y145" s="43"/>
      <c r="Z145" s="38">
        <f t="shared" si="95"/>
        <v>0.6</v>
      </c>
      <c r="AA145" s="38">
        <f t="shared" si="96"/>
        <v>0.17499999999999999</v>
      </c>
      <c r="AB145" s="38">
        <f t="shared" ca="1" si="97"/>
        <v>0.17872010841109204</v>
      </c>
      <c r="AC145" s="38">
        <f t="shared" si="98"/>
        <v>0.55000000000000004</v>
      </c>
      <c r="AD145" s="38">
        <f t="shared" si="98"/>
        <v>0.17</v>
      </c>
      <c r="AE145" s="38">
        <f t="shared" ca="1" si="99"/>
        <v>0.17322375584919517</v>
      </c>
      <c r="AF145" s="237">
        <f ca="1">((Summary!$N$8*(AA145*AD145)*(A145-$D$3))+(Summary!$M$8*Z145*AC145*(AJ145-EOMONTH(EDATE(A145,-1),0))))/(AK145*AB145*AE145)</f>
        <v>0.99984117302699393</v>
      </c>
      <c r="AG145" s="88">
        <f>IF($A146="","",Summary!$Q$8)</f>
        <v>0</v>
      </c>
      <c r="AH145" s="88">
        <f>IF($A146="","",IF(Summary!$R$8="Y",(VLOOKUP($A145,Summary!$AD$6:$AF$9,3)+'Escalating commodity'!D158),'Escalating commodity'!D158))</f>
        <v>2.0023199999999998E-2</v>
      </c>
      <c r="AI145" s="88">
        <f t="shared" si="114"/>
        <v>2.0023199999999998E-2</v>
      </c>
      <c r="AJ145" s="236">
        <f t="shared" si="100"/>
        <v>41167</v>
      </c>
      <c r="AK145" s="58">
        <f t="shared" ca="1" si="101"/>
        <v>4127</v>
      </c>
      <c r="AL145" s="26">
        <f ca="1">IF($A146="","",_xll.SPRDOPT(P145,X145,AI145,0,AB145,AE145,AF145,AK145,$AJ$2,0))</f>
        <v>4.156200186430551E-2</v>
      </c>
      <c r="AM145" s="89">
        <f t="shared" si="102"/>
        <v>0</v>
      </c>
      <c r="AN145" s="89">
        <f t="shared" ca="1" si="103"/>
        <v>4.156200186430551E-2</v>
      </c>
      <c r="AO145" s="3">
        <f t="shared" si="104"/>
        <v>30</v>
      </c>
      <c r="AP145" s="33">
        <f t="shared" si="105"/>
        <v>41153</v>
      </c>
      <c r="AQ145" s="58">
        <f t="shared" ca="1" si="106"/>
        <v>4127</v>
      </c>
      <c r="AR145" s="38">
        <f>'ANR OK vs ML7'!AR145</f>
        <v>0.1</v>
      </c>
      <c r="AS145" s="35">
        <f t="shared" ca="1" si="107"/>
        <v>0.33201641015612876</v>
      </c>
      <c r="AT145" s="3">
        <f t="shared" si="108"/>
        <v>1</v>
      </c>
      <c r="AU145" s="3">
        <f t="shared" si="109"/>
        <v>30</v>
      </c>
      <c r="AW145" s="32">
        <f t="shared" ca="1" si="110"/>
        <v>99748.804474333228</v>
      </c>
      <c r="AX145" s="32">
        <f t="shared" si="111"/>
        <v>0</v>
      </c>
      <c r="AY145" s="32">
        <f t="shared" ca="1" si="112"/>
        <v>99748.804474333228</v>
      </c>
      <c r="BA145" s="32">
        <f ca="1">IF($A146="","",F145*Summary!$Q$8)</f>
        <v>0</v>
      </c>
      <c r="BC145" s="256">
        <f t="shared" ca="1" si="115"/>
        <v>0</v>
      </c>
    </row>
    <row r="146" spans="1:55">
      <c r="A146" s="67">
        <f t="shared" si="113"/>
        <v>41183</v>
      </c>
      <c r="B146" s="69">
        <f t="shared" si="116"/>
        <v>80000</v>
      </c>
      <c r="C146" s="71"/>
      <c r="D146" s="69">
        <f t="shared" si="78"/>
        <v>80000</v>
      </c>
      <c r="E146" s="70">
        <f t="shared" si="79"/>
        <v>2480000</v>
      </c>
      <c r="F146" s="70">
        <f t="shared" ca="1" si="80"/>
        <v>816827.67188841419</v>
      </c>
      <c r="G146" s="63">
        <f t="shared" si="81"/>
        <v>4.5510000000000002</v>
      </c>
      <c r="H146" s="64">
        <f t="shared" si="82"/>
        <v>4.5510000000000002</v>
      </c>
      <c r="I146" s="43"/>
      <c r="J146" s="63">
        <f t="shared" si="83"/>
        <v>0.21</v>
      </c>
      <c r="K146" s="64">
        <f t="shared" si="84"/>
        <v>0.21</v>
      </c>
      <c r="L146" s="63">
        <f t="shared" si="85"/>
        <v>0</v>
      </c>
      <c r="M146" s="64">
        <f t="shared" si="86"/>
        <v>0</v>
      </c>
      <c r="N146" s="65"/>
      <c r="O146" s="63">
        <f t="shared" si="87"/>
        <v>4.7610000000000001</v>
      </c>
      <c r="P146" s="63">
        <f t="shared" si="88"/>
        <v>4.7610000000000001</v>
      </c>
      <c r="Q146" s="66"/>
      <c r="R146" s="63">
        <f t="shared" si="89"/>
        <v>-4.1000000000000002E-2</v>
      </c>
      <c r="S146" s="64">
        <f t="shared" si="90"/>
        <v>-4.1000000000000002E-2</v>
      </c>
      <c r="T146" s="63">
        <f t="shared" si="91"/>
        <v>0</v>
      </c>
      <c r="U146" s="64">
        <f t="shared" si="92"/>
        <v>0</v>
      </c>
      <c r="V146" s="207">
        <f>IF($A147="","",IF(AND(MONTH(A146)&gt;3,MONTH(A146)&lt;11),(T146+R146+G146)*Summary!$T$8/(1-Summary!$T$8),(T146+R146+G146)*Summary!$U$8/(1-Summary!$U$8)))</f>
        <v>0.23586972534988948</v>
      </c>
      <c r="W146" s="63">
        <f t="shared" si="93"/>
        <v>4.7458697253498894</v>
      </c>
      <c r="X146" s="63">
        <f t="shared" si="94"/>
        <v>4.7458697253498894</v>
      </c>
      <c r="Y146" s="43"/>
      <c r="Z146" s="38">
        <f t="shared" si="95"/>
        <v>0.65</v>
      </c>
      <c r="AA146" s="38">
        <f t="shared" si="96"/>
        <v>0.17499999999999999</v>
      </c>
      <c r="AB146" s="38">
        <f t="shared" ca="1" si="97"/>
        <v>0.17946509943396358</v>
      </c>
      <c r="AC146" s="38">
        <f t="shared" si="98"/>
        <v>0.6</v>
      </c>
      <c r="AD146" s="38">
        <f t="shared" si="98"/>
        <v>0.17</v>
      </c>
      <c r="AE146" s="38">
        <f t="shared" ca="1" si="99"/>
        <v>0.17392316205097849</v>
      </c>
      <c r="AF146" s="237">
        <f ca="1">((Summary!$N$8*(AA146*AD146)*(A146-$D$3))+(Summary!$M$8*Z146*AC146*(AJ146-EOMONTH(EDATE(A146,-1),0))))/(AK146*AB146*AE146)</f>
        <v>0.99984676321842125</v>
      </c>
      <c r="AG146" s="88">
        <f>IF($A147="","",Summary!$Q$8)</f>
        <v>0</v>
      </c>
      <c r="AH146" s="88">
        <f>IF($A147="","",IF(Summary!$R$8="Y",(VLOOKUP($A146,Summary!$AD$6:$AF$9,3)+'Escalating commodity'!D159),'Escalating commodity'!D159))</f>
        <v>2.0023199999999998E-2</v>
      </c>
      <c r="AI146" s="88">
        <f t="shared" si="114"/>
        <v>2.0023199999999998E-2</v>
      </c>
      <c r="AJ146" s="236">
        <f t="shared" si="100"/>
        <v>41197.5</v>
      </c>
      <c r="AK146" s="58">
        <f t="shared" ca="1" si="101"/>
        <v>4157</v>
      </c>
      <c r="AL146" s="26">
        <f ca="1">IF($A147="","",_xll.SPRDOPT(P146,X146,AI146,0,AB146,AE146,AF146,AK146,$AJ$2,0))</f>
        <v>4.1348666624484567E-2</v>
      </c>
      <c r="AM146" s="89">
        <f t="shared" si="102"/>
        <v>0</v>
      </c>
      <c r="AN146" s="89">
        <f t="shared" ca="1" si="103"/>
        <v>4.1348666624484567E-2</v>
      </c>
      <c r="AO146" s="3">
        <f t="shared" si="104"/>
        <v>31</v>
      </c>
      <c r="AP146" s="33">
        <f t="shared" si="105"/>
        <v>41183</v>
      </c>
      <c r="AQ146" s="58">
        <f t="shared" ca="1" si="106"/>
        <v>4157</v>
      </c>
      <c r="AR146" s="38">
        <f>'ANR OK vs ML7'!AR146</f>
        <v>0.1</v>
      </c>
      <c r="AS146" s="35">
        <f t="shared" ca="1" si="107"/>
        <v>0.32936599672919925</v>
      </c>
      <c r="AT146" s="3">
        <f t="shared" si="108"/>
        <v>1</v>
      </c>
      <c r="AU146" s="3">
        <f t="shared" si="109"/>
        <v>31</v>
      </c>
      <c r="AW146" s="32">
        <f t="shared" ca="1" si="110"/>
        <v>102544.69322872172</v>
      </c>
      <c r="AX146" s="32">
        <f t="shared" si="111"/>
        <v>0</v>
      </c>
      <c r="AY146" s="32">
        <f t="shared" ca="1" si="112"/>
        <v>102544.69322872172</v>
      </c>
      <c r="BA146" s="32">
        <f ca="1">IF($A147="","",F146*Summary!$Q$8)</f>
        <v>0</v>
      </c>
      <c r="BC146" s="256">
        <f t="shared" ca="1" si="115"/>
        <v>0</v>
      </c>
    </row>
    <row r="147" spans="1:55">
      <c r="A147" s="67">
        <f t="shared" si="113"/>
        <v>41214</v>
      </c>
      <c r="B147" s="69">
        <f t="shared" si="116"/>
        <v>80000</v>
      </c>
      <c r="C147" s="71"/>
      <c r="D147" s="69">
        <f t="shared" si="78"/>
        <v>80000</v>
      </c>
      <c r="E147" s="70">
        <f t="shared" si="79"/>
        <v>2400000</v>
      </c>
      <c r="F147" s="70">
        <f t="shared" ca="1" si="80"/>
        <v>783958.70763162698</v>
      </c>
      <c r="G147" s="63">
        <f t="shared" si="81"/>
        <v>4.6840000000000002</v>
      </c>
      <c r="H147" s="64">
        <f t="shared" si="82"/>
        <v>4.6840000000000002</v>
      </c>
      <c r="I147" s="43"/>
      <c r="J147" s="63">
        <f t="shared" si="83"/>
        <v>0.32500000000000001</v>
      </c>
      <c r="K147" s="64">
        <f t="shared" si="84"/>
        <v>0.32500000000000001</v>
      </c>
      <c r="L147" s="63">
        <f t="shared" si="85"/>
        <v>0</v>
      </c>
      <c r="M147" s="64">
        <f t="shared" si="86"/>
        <v>0</v>
      </c>
      <c r="N147" s="65"/>
      <c r="O147" s="63">
        <f t="shared" si="87"/>
        <v>5.0090000000000003</v>
      </c>
      <c r="P147" s="63">
        <f t="shared" si="88"/>
        <v>5.0090000000000003</v>
      </c>
      <c r="Q147" s="66"/>
      <c r="R147" s="63">
        <f t="shared" si="89"/>
        <v>-4.0500000000000001E-2</v>
      </c>
      <c r="S147" s="64">
        <f t="shared" si="90"/>
        <v>-4.0500000000000001E-2</v>
      </c>
      <c r="T147" s="63">
        <f t="shared" si="91"/>
        <v>5.0000000000000001E-3</v>
      </c>
      <c r="U147" s="64">
        <f t="shared" si="92"/>
        <v>5.0000000000000001E-3</v>
      </c>
      <c r="V147" s="207">
        <f>IF($A148="","",IF(AND(MONTH(A147)&gt;3,MONTH(A147)&lt;11),(T147+R147+G147)*Summary!$T$8/(1-Summary!$T$8),(T147+R147+G147)*Summary!$U$8/(1-Summary!$U$8)))</f>
        <v>0.24311317478690941</v>
      </c>
      <c r="W147" s="63">
        <f t="shared" si="93"/>
        <v>4.8916131747869098</v>
      </c>
      <c r="X147" s="63">
        <f t="shared" si="94"/>
        <v>4.8916131747869098</v>
      </c>
      <c r="Y147" s="43"/>
      <c r="Z147" s="38">
        <f t="shared" si="95"/>
        <v>0.8</v>
      </c>
      <c r="AA147" s="38">
        <f t="shared" si="96"/>
        <v>0.17499999999999999</v>
      </c>
      <c r="AB147" s="38">
        <f t="shared" ca="1" si="97"/>
        <v>0.18145130523093392</v>
      </c>
      <c r="AC147" s="38">
        <f t="shared" si="98"/>
        <v>0.8</v>
      </c>
      <c r="AD147" s="38">
        <f t="shared" si="98"/>
        <v>0.17</v>
      </c>
      <c r="AE147" s="38">
        <f t="shared" ca="1" si="99"/>
        <v>0.17663285164117143</v>
      </c>
      <c r="AF147" s="237">
        <f ca="1">((Summary!$N$8*(AA147*AD147)*(A147-$D$3))+(Summary!$M$8*Z147*AC147*(AJ147-EOMONTH(EDATE(A147,-1),0))))/(AK147*AB147*AE147)</f>
        <v>0.99987925379062459</v>
      </c>
      <c r="AG147" s="88">
        <f>IF($A148="","",Summary!$Q$8)</f>
        <v>0</v>
      </c>
      <c r="AH147" s="88">
        <f>IF($A148="","",IF(Summary!$R$8="Y",(VLOOKUP($A147,Summary!$AD$6:$AF$9,3)+'Escalating commodity'!D160),'Escalating commodity'!D160))</f>
        <v>2.0023199999999998E-2</v>
      </c>
      <c r="AI147" s="88">
        <f t="shared" si="114"/>
        <v>2.0023199999999998E-2</v>
      </c>
      <c r="AJ147" s="236">
        <f t="shared" si="100"/>
        <v>41228</v>
      </c>
      <c r="AK147" s="58">
        <f t="shared" ca="1" si="101"/>
        <v>4188</v>
      </c>
      <c r="AL147" s="26">
        <f ca="1">IF($A148="","",_xll.SPRDOPT(P147,X147,AI147,0,AB147,AE147,AF147,AK147,$AJ$2,0))</f>
        <v>0.10763898974716068</v>
      </c>
      <c r="AM147" s="89">
        <f t="shared" si="102"/>
        <v>9.7363625213090527E-2</v>
      </c>
      <c r="AN147" s="89">
        <f t="shared" ca="1" si="103"/>
        <v>1.0275364534070158E-2</v>
      </c>
      <c r="AO147" s="3">
        <f t="shared" si="104"/>
        <v>30</v>
      </c>
      <c r="AP147" s="33">
        <f t="shared" si="105"/>
        <v>41214</v>
      </c>
      <c r="AQ147" s="58">
        <f t="shared" ca="1" si="106"/>
        <v>4188</v>
      </c>
      <c r="AR147" s="38">
        <f>'ANR OK vs ML7'!AR147</f>
        <v>0.1</v>
      </c>
      <c r="AS147" s="35">
        <f t="shared" ca="1" si="107"/>
        <v>0.32664946151317792</v>
      </c>
      <c r="AT147" s="3">
        <f t="shared" si="108"/>
        <v>1</v>
      </c>
      <c r="AU147" s="3">
        <f t="shared" si="109"/>
        <v>30</v>
      </c>
      <c r="AW147" s="32">
        <f t="shared" ca="1" si="110"/>
        <v>258333.57539318563</v>
      </c>
      <c r="AX147" s="32">
        <f t="shared" si="111"/>
        <v>233672.70051141726</v>
      </c>
      <c r="AY147" s="32">
        <f t="shared" ca="1" si="112"/>
        <v>24660.874881768381</v>
      </c>
      <c r="BA147" s="32">
        <f ca="1">IF($A148="","",F147*Summary!$Q$8)</f>
        <v>0</v>
      </c>
      <c r="BC147" s="256">
        <f t="shared" ca="1" si="115"/>
        <v>76329.061792384542</v>
      </c>
    </row>
    <row r="148" spans="1:55">
      <c r="A148" s="67">
        <f t="shared" si="113"/>
        <v>41244</v>
      </c>
      <c r="B148" s="69">
        <f t="shared" si="116"/>
        <v>80000</v>
      </c>
      <c r="C148" s="71"/>
      <c r="D148" s="69">
        <f t="shared" si="78"/>
        <v>80000</v>
      </c>
      <c r="E148" s="70">
        <f t="shared" si="79"/>
        <v>2480000</v>
      </c>
      <c r="F148" s="70">
        <f t="shared" ca="1" si="80"/>
        <v>803623.89029489388</v>
      </c>
      <c r="G148" s="63">
        <f t="shared" si="81"/>
        <v>4.8220000000000001</v>
      </c>
      <c r="H148" s="64">
        <f t="shared" si="82"/>
        <v>4.8220000000000001</v>
      </c>
      <c r="I148" s="43"/>
      <c r="J148" s="63">
        <f t="shared" si="83"/>
        <v>0.32500000000000001</v>
      </c>
      <c r="K148" s="64">
        <f t="shared" si="84"/>
        <v>0.32500000000000001</v>
      </c>
      <c r="L148" s="63">
        <f t="shared" si="85"/>
        <v>0</v>
      </c>
      <c r="M148" s="64">
        <f t="shared" si="86"/>
        <v>0</v>
      </c>
      <c r="N148" s="65"/>
      <c r="O148" s="63">
        <f t="shared" si="87"/>
        <v>5.1470000000000002</v>
      </c>
      <c r="P148" s="63">
        <f t="shared" si="88"/>
        <v>5.1470000000000002</v>
      </c>
      <c r="Q148" s="66"/>
      <c r="R148" s="63">
        <f t="shared" si="89"/>
        <v>-4.0500000000000001E-2</v>
      </c>
      <c r="S148" s="64">
        <f t="shared" si="90"/>
        <v>-4.0500000000000001E-2</v>
      </c>
      <c r="T148" s="63">
        <f t="shared" si="91"/>
        <v>5.0000000000000001E-3</v>
      </c>
      <c r="U148" s="64">
        <f t="shared" si="92"/>
        <v>5.0000000000000001E-3</v>
      </c>
      <c r="V148" s="207">
        <f>IF($A149="","",IF(AND(MONTH(A148)&gt;3,MONTH(A148)&lt;11),(T148+R148+G148)*Summary!$T$8/(1-Summary!$T$8),(T148+R148+G148)*Summary!$U$8/(1-Summary!$U$8)))</f>
        <v>0.25033047458697255</v>
      </c>
      <c r="W148" s="63">
        <f t="shared" si="93"/>
        <v>5.0368304745869725</v>
      </c>
      <c r="X148" s="63">
        <f t="shared" si="94"/>
        <v>5.0368304745869725</v>
      </c>
      <c r="Y148" s="43"/>
      <c r="Z148" s="38">
        <f t="shared" si="95"/>
        <v>1.1000000000000001</v>
      </c>
      <c r="AA148" s="38">
        <f t="shared" si="96"/>
        <v>0.17499999999999999</v>
      </c>
      <c r="AB148" s="38">
        <f t="shared" ca="1" si="97"/>
        <v>0.18729303418530693</v>
      </c>
      <c r="AC148" s="38">
        <f t="shared" si="98"/>
        <v>1</v>
      </c>
      <c r="AD148" s="38">
        <f t="shared" si="98"/>
        <v>0.17</v>
      </c>
      <c r="AE148" s="38">
        <f t="shared" ca="1" si="99"/>
        <v>0.18050368125711017</v>
      </c>
      <c r="AF148" s="237">
        <f ca="1">((Summary!$N$8*(AA148*AD148)*(A148-$D$3))+(Summary!$M$8*Z148*AC148*(AJ148-EOMONTH(EDATE(A148,-1),0))))/(AK148*AB148*AE148)</f>
        <v>0.99968040279379455</v>
      </c>
      <c r="AG148" s="88">
        <f>IF($A149="","",Summary!$Q$8)</f>
        <v>0</v>
      </c>
      <c r="AH148" s="88">
        <f>IF($A149="","",IF(Summary!$R$8="Y",(VLOOKUP($A148,Summary!$AD$6:$AF$9,3)+'Escalating commodity'!D161),'Escalating commodity'!D161))</f>
        <v>2.0023199999999998E-2</v>
      </c>
      <c r="AI148" s="88">
        <f t="shared" si="114"/>
        <v>2.0023199999999998E-2</v>
      </c>
      <c r="AJ148" s="236">
        <f t="shared" si="100"/>
        <v>41258.5</v>
      </c>
      <c r="AK148" s="58">
        <f t="shared" ca="1" si="101"/>
        <v>4218</v>
      </c>
      <c r="AL148" s="26">
        <f ca="1">IF($A149="","",_xll.SPRDOPT(P148,X148,AI148,0,AB148,AE148,AF148,AK148,$AJ$2,0))</f>
        <v>0.11631052945095022</v>
      </c>
      <c r="AM148" s="89">
        <f t="shared" si="102"/>
        <v>9.0146325413027723E-2</v>
      </c>
      <c r="AN148" s="89">
        <f t="shared" ca="1" si="103"/>
        <v>2.6164204037922495E-2</v>
      </c>
      <c r="AO148" s="3">
        <f t="shared" si="104"/>
        <v>31</v>
      </c>
      <c r="AP148" s="33">
        <f t="shared" si="105"/>
        <v>41244</v>
      </c>
      <c r="AQ148" s="58">
        <f t="shared" ca="1" si="106"/>
        <v>4218</v>
      </c>
      <c r="AR148" s="38">
        <f>'ANR OK vs ML7'!AR148</f>
        <v>0.1</v>
      </c>
      <c r="AS148" s="35">
        <f t="shared" ca="1" si="107"/>
        <v>0.32404189124794108</v>
      </c>
      <c r="AT148" s="3">
        <f t="shared" si="108"/>
        <v>1</v>
      </c>
      <c r="AU148" s="3">
        <f t="shared" si="109"/>
        <v>31</v>
      </c>
      <c r="AW148" s="32">
        <f t="shared" ca="1" si="110"/>
        <v>288450.11303835653</v>
      </c>
      <c r="AX148" s="32">
        <f t="shared" si="111"/>
        <v>223562.88702430876</v>
      </c>
      <c r="AY148" s="32">
        <f t="shared" ca="1" si="112"/>
        <v>64887.226014047788</v>
      </c>
      <c r="BA148" s="32">
        <f ca="1">IF($A149="","",F148*Summary!$Q$8)</f>
        <v>0</v>
      </c>
      <c r="BC148" s="256">
        <f t="shared" ca="1" si="115"/>
        <v>72443.7407242068</v>
      </c>
    </row>
    <row r="149" spans="1:55">
      <c r="A149" s="67">
        <f t="shared" si="113"/>
        <v>41275</v>
      </c>
      <c r="B149" s="69">
        <f t="shared" si="116"/>
        <v>80000</v>
      </c>
      <c r="C149" s="71"/>
      <c r="D149" s="69">
        <f t="shared" si="78"/>
        <v>80000</v>
      </c>
      <c r="E149" s="70">
        <f t="shared" si="79"/>
        <v>2480000</v>
      </c>
      <c r="F149" s="70">
        <f t="shared" ca="1" si="80"/>
        <v>796995.78472206218</v>
      </c>
      <c r="G149" s="63">
        <f t="shared" si="81"/>
        <v>4.8690000000000007</v>
      </c>
      <c r="H149" s="64">
        <f t="shared" si="82"/>
        <v>4.8690000000000007</v>
      </c>
      <c r="I149" s="43"/>
      <c r="J149" s="63">
        <f t="shared" si="83"/>
        <v>0.32500000000000001</v>
      </c>
      <c r="K149" s="64">
        <f t="shared" si="84"/>
        <v>0.32500000000000001</v>
      </c>
      <c r="L149" s="63">
        <f t="shared" si="85"/>
        <v>0</v>
      </c>
      <c r="M149" s="64">
        <f t="shared" si="86"/>
        <v>0</v>
      </c>
      <c r="N149" s="65"/>
      <c r="O149" s="63">
        <f t="shared" si="87"/>
        <v>5.1940000000000008</v>
      </c>
      <c r="P149" s="63">
        <f t="shared" si="88"/>
        <v>5.1940000000000008</v>
      </c>
      <c r="Q149" s="66"/>
      <c r="R149" s="63">
        <f t="shared" si="89"/>
        <v>-4.0500000000000001E-2</v>
      </c>
      <c r="S149" s="64">
        <f t="shared" si="90"/>
        <v>-4.0500000000000001E-2</v>
      </c>
      <c r="T149" s="63">
        <f t="shared" si="91"/>
        <v>5.0000000000000001E-3</v>
      </c>
      <c r="U149" s="64">
        <f t="shared" si="92"/>
        <v>5.0000000000000001E-3</v>
      </c>
      <c r="V149" s="207">
        <f>IF($A150="","",IF(AND(MONTH(A149)&gt;3,MONTH(A149)&lt;11),(T149+R149+G149)*Summary!$T$8/(1-Summary!$T$8),(T149+R149+G149)*Summary!$U$8/(1-Summary!$U$8)))</f>
        <v>0.2527885404609071</v>
      </c>
      <c r="W149" s="63">
        <f t="shared" si="93"/>
        <v>5.0862885404609077</v>
      </c>
      <c r="X149" s="63">
        <f t="shared" si="94"/>
        <v>5.0862885404609077</v>
      </c>
      <c r="Y149" s="43"/>
      <c r="Z149" s="38">
        <f t="shared" si="95"/>
        <v>1.1000000000000001</v>
      </c>
      <c r="AA149" s="38">
        <f t="shared" si="96"/>
        <v>0.17499999999999999</v>
      </c>
      <c r="AB149" s="38">
        <f t="shared" ca="1" si="97"/>
        <v>0.18720626949490024</v>
      </c>
      <c r="AC149" s="38">
        <f t="shared" si="98"/>
        <v>1</v>
      </c>
      <c r="AD149" s="38">
        <f t="shared" si="98"/>
        <v>0.17</v>
      </c>
      <c r="AE149" s="38">
        <f t="shared" ca="1" si="99"/>
        <v>0.18042926247522789</v>
      </c>
      <c r="AF149" s="237">
        <f ca="1">((Summary!$N$8*(AA149*AD149)*(A149-$D$3))+(Summary!$M$8*Z149*AC149*(AJ149-EOMONTH(EDATE(A149,-1),0))))/(AK149*AB149*AE149)</f>
        <v>0.99968161293153679</v>
      </c>
      <c r="AG149" s="88">
        <f>IF($A150="","",Summary!$Q$8)</f>
        <v>0</v>
      </c>
      <c r="AH149" s="88">
        <f>IF($A150="","",IF(Summary!$R$8="Y",(VLOOKUP($A149,Summary!$AD$6:$AF$9,3)+'Escalating commodity'!D162),'Escalating commodity'!D162))</f>
        <v>2.0023199999999998E-2</v>
      </c>
      <c r="AI149" s="88">
        <f t="shared" si="114"/>
        <v>2.0023199999999998E-2</v>
      </c>
      <c r="AJ149" s="236">
        <f t="shared" si="100"/>
        <v>41289.5</v>
      </c>
      <c r="AK149" s="58">
        <f t="shared" ca="1" si="101"/>
        <v>4249</v>
      </c>
      <c r="AL149" s="26">
        <f ca="1">IF($A150="","",_xll.SPRDOPT(P149,X149,AI149,0,AB149,AE149,AF149,AK149,$AJ$2,0))</f>
        <v>0.11500057541088585</v>
      </c>
      <c r="AM149" s="89">
        <f t="shared" si="102"/>
        <v>8.7688259539093122E-2</v>
      </c>
      <c r="AN149" s="89">
        <f t="shared" ca="1" si="103"/>
        <v>2.7312315871792725E-2</v>
      </c>
      <c r="AO149" s="3">
        <f t="shared" si="104"/>
        <v>31</v>
      </c>
      <c r="AP149" s="33">
        <f t="shared" si="105"/>
        <v>41275</v>
      </c>
      <c r="AQ149" s="58">
        <f t="shared" ca="1" si="106"/>
        <v>4249</v>
      </c>
      <c r="AR149" s="38">
        <f>'ANR OK vs ML7'!AR149</f>
        <v>0.1</v>
      </c>
      <c r="AS149" s="35">
        <f t="shared" ca="1" si="107"/>
        <v>0.32136926803308957</v>
      </c>
      <c r="AT149" s="3">
        <f t="shared" si="108"/>
        <v>1</v>
      </c>
      <c r="AU149" s="3">
        <f t="shared" si="109"/>
        <v>31</v>
      </c>
      <c r="AW149" s="32">
        <f t="shared" ca="1" si="110"/>
        <v>285201.42701899691</v>
      </c>
      <c r="AX149" s="32">
        <f t="shared" si="111"/>
        <v>217466.88365695093</v>
      </c>
      <c r="AY149" s="32">
        <f t="shared" ca="1" si="112"/>
        <v>67734.543362045952</v>
      </c>
      <c r="BA149" s="32">
        <f ca="1">IF($A150="","",F149*Summary!$Q$8)</f>
        <v>0</v>
      </c>
      <c r="BC149" s="256">
        <f t="shared" ca="1" si="115"/>
        <v>69887.173222271376</v>
      </c>
    </row>
    <row r="150" spans="1:55">
      <c r="A150" s="67">
        <f t="shared" si="113"/>
        <v>41306</v>
      </c>
      <c r="B150" s="69">
        <f t="shared" si="116"/>
        <v>80000</v>
      </c>
      <c r="C150" s="71"/>
      <c r="D150" s="69">
        <f t="shared" si="78"/>
        <v>80000</v>
      </c>
      <c r="E150" s="70">
        <f t="shared" si="79"/>
        <v>2240000</v>
      </c>
      <c r="F150" s="70">
        <f t="shared" ca="1" si="80"/>
        <v>713929.86112374149</v>
      </c>
      <c r="G150" s="63">
        <f t="shared" si="81"/>
        <v>4.7490000000000006</v>
      </c>
      <c r="H150" s="64">
        <f t="shared" si="82"/>
        <v>4.7490000000000006</v>
      </c>
      <c r="I150" s="43"/>
      <c r="J150" s="63">
        <f t="shared" si="83"/>
        <v>0.32500000000000001</v>
      </c>
      <c r="K150" s="64">
        <f t="shared" si="84"/>
        <v>0.32500000000000001</v>
      </c>
      <c r="L150" s="63">
        <f t="shared" si="85"/>
        <v>0</v>
      </c>
      <c r="M150" s="64">
        <f t="shared" si="86"/>
        <v>0</v>
      </c>
      <c r="N150" s="65"/>
      <c r="O150" s="63">
        <f t="shared" si="87"/>
        <v>5.0740000000000007</v>
      </c>
      <c r="P150" s="63">
        <f t="shared" si="88"/>
        <v>5.0740000000000007</v>
      </c>
      <c r="Q150" s="66"/>
      <c r="R150" s="63">
        <f t="shared" si="89"/>
        <v>-4.0500000000000001E-2</v>
      </c>
      <c r="S150" s="64">
        <f t="shared" si="90"/>
        <v>-4.0500000000000001E-2</v>
      </c>
      <c r="T150" s="63">
        <f t="shared" si="91"/>
        <v>5.0000000000000001E-3</v>
      </c>
      <c r="U150" s="64">
        <f t="shared" si="92"/>
        <v>5.0000000000000001E-3</v>
      </c>
      <c r="V150" s="207">
        <f>IF($A151="","",IF(AND(MONTH(A150)&gt;3,MONTH(A150)&lt;11),(T150+R150+G150)*Summary!$T$8/(1-Summary!$T$8),(T150+R150+G150)*Summary!$U$8/(1-Summary!$U$8)))</f>
        <v>0.246512627591287</v>
      </c>
      <c r="W150" s="63">
        <f t="shared" si="93"/>
        <v>4.9600126275912881</v>
      </c>
      <c r="X150" s="63">
        <f t="shared" si="94"/>
        <v>4.9600126275912881</v>
      </c>
      <c r="Y150" s="43"/>
      <c r="Z150" s="38">
        <f t="shared" si="95"/>
        <v>1.1000000000000001</v>
      </c>
      <c r="AA150" s="38">
        <f t="shared" si="96"/>
        <v>0.17499999999999999</v>
      </c>
      <c r="AB150" s="38">
        <f t="shared" ca="1" si="97"/>
        <v>0.18598413722429508</v>
      </c>
      <c r="AC150" s="38">
        <f t="shared" si="98"/>
        <v>1</v>
      </c>
      <c r="AD150" s="38">
        <f t="shared" si="98"/>
        <v>0.17</v>
      </c>
      <c r="AE150" s="38">
        <f t="shared" ca="1" si="99"/>
        <v>0.17938166119710169</v>
      </c>
      <c r="AF150" s="237">
        <f ca="1">((Summary!$N$8*(AA150*AD150)*(A150-$D$3))+(Summary!$M$8*Z150*AC150*(AJ150-EOMONTH(EDATE(A150,-1),0))))/(AK150*AB150*AE150)</f>
        <v>0.99969913770681973</v>
      </c>
      <c r="AG150" s="88">
        <f>IF($A151="","",Summary!$Q$8)</f>
        <v>0</v>
      </c>
      <c r="AH150" s="88">
        <f>IF($A151="","",IF(Summary!$R$8="Y",(VLOOKUP($A150,Summary!$AD$6:$AF$9,3)+'Escalating commodity'!D163),'Escalating commodity'!D163))</f>
        <v>2.0023199999999998E-2</v>
      </c>
      <c r="AI150" s="88">
        <f t="shared" si="114"/>
        <v>2.0023199999999998E-2</v>
      </c>
      <c r="AJ150" s="236">
        <f t="shared" si="100"/>
        <v>41319</v>
      </c>
      <c r="AK150" s="58">
        <f t="shared" ca="1" si="101"/>
        <v>4280</v>
      </c>
      <c r="AL150" s="26">
        <f ca="1">IF($A151="","",_xll.SPRDOPT(P150,X150,AI150,0,AB150,AE150,AF150,AK150,$AJ$2,0))</f>
        <v>0.11745920400037339</v>
      </c>
      <c r="AM150" s="89">
        <f t="shared" si="102"/>
        <v>9.3964172408712604E-2</v>
      </c>
      <c r="AN150" s="89">
        <f t="shared" ca="1" si="103"/>
        <v>2.3495031591660789E-2</v>
      </c>
      <c r="AO150" s="3">
        <f t="shared" si="104"/>
        <v>28</v>
      </c>
      <c r="AP150" s="33">
        <f t="shared" si="105"/>
        <v>41306</v>
      </c>
      <c r="AQ150" s="58">
        <f t="shared" ca="1" si="106"/>
        <v>4280</v>
      </c>
      <c r="AR150" s="38">
        <f>'ANR OK vs ML7'!AR150</f>
        <v>0.1</v>
      </c>
      <c r="AS150" s="35">
        <f t="shared" ca="1" si="107"/>
        <v>0.3187186880016703</v>
      </c>
      <c r="AT150" s="3">
        <f t="shared" si="108"/>
        <v>1</v>
      </c>
      <c r="AU150" s="3">
        <f t="shared" si="109"/>
        <v>28</v>
      </c>
      <c r="AW150" s="32">
        <f t="shared" ca="1" si="110"/>
        <v>263108.6169608364</v>
      </c>
      <c r="AX150" s="32">
        <f t="shared" si="111"/>
        <v>210479.74619551623</v>
      </c>
      <c r="AY150" s="32">
        <f t="shared" ca="1" si="112"/>
        <v>52628.870765320171</v>
      </c>
      <c r="BA150" s="32">
        <f ca="1">IF($A151="","",F150*Summary!$Q$8)</f>
        <v>0</v>
      </c>
      <c r="BC150" s="256">
        <f t="shared" ca="1" si="115"/>
        <v>67083.828558359484</v>
      </c>
    </row>
    <row r="151" spans="1:55">
      <c r="A151" s="67">
        <f t="shared" si="113"/>
        <v>41334</v>
      </c>
      <c r="B151" s="69">
        <f t="shared" si="116"/>
        <v>80000</v>
      </c>
      <c r="C151" s="71"/>
      <c r="D151" s="69">
        <f t="shared" si="78"/>
        <v>80000</v>
      </c>
      <c r="E151" s="70">
        <f t="shared" si="79"/>
        <v>2480000</v>
      </c>
      <c r="F151" s="70">
        <f t="shared" ca="1" si="80"/>
        <v>784531.65939198388</v>
      </c>
      <c r="G151" s="63">
        <f t="shared" si="81"/>
        <v>4.6100000000000003</v>
      </c>
      <c r="H151" s="64">
        <f t="shared" si="82"/>
        <v>4.6100000000000003</v>
      </c>
      <c r="I151" s="43"/>
      <c r="J151" s="63">
        <f t="shared" si="83"/>
        <v>0.32500000000000001</v>
      </c>
      <c r="K151" s="64">
        <f t="shared" si="84"/>
        <v>0.32500000000000001</v>
      </c>
      <c r="L151" s="63">
        <f t="shared" si="85"/>
        <v>0</v>
      </c>
      <c r="M151" s="64">
        <f t="shared" si="86"/>
        <v>0</v>
      </c>
      <c r="N151" s="65"/>
      <c r="O151" s="63">
        <f t="shared" si="87"/>
        <v>4.9350000000000005</v>
      </c>
      <c r="P151" s="63">
        <f t="shared" si="88"/>
        <v>4.9350000000000005</v>
      </c>
      <c r="Q151" s="66"/>
      <c r="R151" s="63">
        <f t="shared" si="89"/>
        <v>-4.0500000000000001E-2</v>
      </c>
      <c r="S151" s="64">
        <f t="shared" si="90"/>
        <v>-4.0500000000000001E-2</v>
      </c>
      <c r="T151" s="63">
        <f t="shared" si="91"/>
        <v>5.0000000000000001E-3</v>
      </c>
      <c r="U151" s="64">
        <f t="shared" si="92"/>
        <v>5.0000000000000001E-3</v>
      </c>
      <c r="V151" s="207">
        <f>IF($A152="","",IF(AND(MONTH(A151)&gt;3,MONTH(A151)&lt;11),(T151+R151+G151)*Summary!$T$8/(1-Summary!$T$8),(T151+R151+G151)*Summary!$U$8/(1-Summary!$U$8)))</f>
        <v>0.23924302851731033</v>
      </c>
      <c r="W151" s="63">
        <f t="shared" si="93"/>
        <v>4.8137430285173108</v>
      </c>
      <c r="X151" s="63">
        <f t="shared" si="94"/>
        <v>4.8137430285173108</v>
      </c>
      <c r="Y151" s="43"/>
      <c r="Z151" s="38">
        <f t="shared" si="95"/>
        <v>0.75</v>
      </c>
      <c r="AA151" s="38">
        <f t="shared" si="96"/>
        <v>0.17499999999999999</v>
      </c>
      <c r="AB151" s="38">
        <f t="shared" ca="1" si="97"/>
        <v>0.18070960085771351</v>
      </c>
      <c r="AC151" s="38">
        <f t="shared" si="98"/>
        <v>0.75</v>
      </c>
      <c r="AD151" s="38">
        <f t="shared" si="98"/>
        <v>0.17</v>
      </c>
      <c r="AE151" s="38">
        <f t="shared" ca="1" si="99"/>
        <v>0.17587086007729316</v>
      </c>
      <c r="AF151" s="237">
        <f ca="1">((Summary!$N$8*(AA151*AD151)*(A151-$D$3))+(Summary!$M$8*Z151*AC151*(AJ151-EOMONTH(EDATE(A151,-1),0))))/(AK151*AB151*AE151)</f>
        <v>0.99988131838640049</v>
      </c>
      <c r="AG151" s="88">
        <f>IF($A152="","",Summary!$Q$8)</f>
        <v>0</v>
      </c>
      <c r="AH151" s="88">
        <f>IF($A152="","",IF(Summary!$R$8="Y",(VLOOKUP($A151,Summary!$AD$6:$AF$9,3)+'Escalating commodity'!D164),'Escalating commodity'!D164))</f>
        <v>2.0023199999999998E-2</v>
      </c>
      <c r="AI151" s="88">
        <f t="shared" si="114"/>
        <v>2.0023199999999998E-2</v>
      </c>
      <c r="AJ151" s="236">
        <f t="shared" si="100"/>
        <v>41348.5</v>
      </c>
      <c r="AK151" s="58">
        <f t="shared" ca="1" si="101"/>
        <v>4308</v>
      </c>
      <c r="AL151" s="26">
        <f ca="1">IF($A152="","",_xll.SPRDOPT(P151,X151,AI151,0,AB151,AE151,AF151,AK151,$AJ$2,0))</f>
        <v>0.11090996571817735</v>
      </c>
      <c r="AM151" s="89">
        <f t="shared" si="102"/>
        <v>0.10123377148268967</v>
      </c>
      <c r="AN151" s="89">
        <f t="shared" ca="1" si="103"/>
        <v>9.676194235487684E-3</v>
      </c>
      <c r="AO151" s="3">
        <f t="shared" si="104"/>
        <v>31</v>
      </c>
      <c r="AP151" s="33">
        <f t="shared" si="105"/>
        <v>41334</v>
      </c>
      <c r="AQ151" s="58">
        <f t="shared" ca="1" si="106"/>
        <v>4308</v>
      </c>
      <c r="AR151" s="38">
        <f>'ANR OK vs ML7'!AR151</f>
        <v>0.1</v>
      </c>
      <c r="AS151" s="35">
        <f t="shared" ca="1" si="107"/>
        <v>0.31634341104515479</v>
      </c>
      <c r="AT151" s="3">
        <f t="shared" si="108"/>
        <v>1</v>
      </c>
      <c r="AU151" s="3">
        <f t="shared" si="109"/>
        <v>31</v>
      </c>
      <c r="AW151" s="32">
        <f t="shared" ca="1" si="110"/>
        <v>275056.7149810798</v>
      </c>
      <c r="AX151" s="32">
        <f t="shared" si="111"/>
        <v>251059.75327707038</v>
      </c>
      <c r="AY151" s="32">
        <f t="shared" ca="1" si="112"/>
        <v>23996.961704009456</v>
      </c>
      <c r="BA151" s="32">
        <f ca="1">IF($A152="","",F151*Summary!$Q$8)</f>
        <v>0</v>
      </c>
      <c r="BC151" s="256">
        <f t="shared" ca="1" si="115"/>
        <v>79421.098727823424</v>
      </c>
    </row>
    <row r="152" spans="1:55">
      <c r="A152" s="67">
        <f t="shared" si="113"/>
        <v>41365</v>
      </c>
      <c r="B152" s="69">
        <f t="shared" si="116"/>
        <v>80000</v>
      </c>
      <c r="C152" s="71"/>
      <c r="D152" s="69">
        <f t="shared" si="78"/>
        <v>80000</v>
      </c>
      <c r="E152" s="70">
        <f t="shared" si="79"/>
        <v>2400000</v>
      </c>
      <c r="F152" s="70">
        <f t="shared" ca="1" si="80"/>
        <v>752962.27951133309</v>
      </c>
      <c r="G152" s="63">
        <f t="shared" si="81"/>
        <v>4.4349999999999996</v>
      </c>
      <c r="H152" s="64">
        <f t="shared" si="82"/>
        <v>4.4349999999999996</v>
      </c>
      <c r="I152" s="43"/>
      <c r="J152" s="63">
        <f t="shared" si="83"/>
        <v>0.21</v>
      </c>
      <c r="K152" s="64">
        <f t="shared" si="84"/>
        <v>0.21</v>
      </c>
      <c r="L152" s="63">
        <f t="shared" si="85"/>
        <v>0</v>
      </c>
      <c r="M152" s="64">
        <f t="shared" si="86"/>
        <v>0</v>
      </c>
      <c r="N152" s="65"/>
      <c r="O152" s="63">
        <f t="shared" si="87"/>
        <v>4.6449999999999996</v>
      </c>
      <c r="P152" s="63">
        <f t="shared" si="88"/>
        <v>4.6449999999999996</v>
      </c>
      <c r="Q152" s="66"/>
      <c r="R152" s="63">
        <f t="shared" si="89"/>
        <v>-3.7999999999999999E-2</v>
      </c>
      <c r="S152" s="64">
        <f t="shared" si="90"/>
        <v>-3.7999999999999999E-2</v>
      </c>
      <c r="T152" s="63">
        <f t="shared" si="91"/>
        <v>0</v>
      </c>
      <c r="U152" s="64">
        <f t="shared" si="92"/>
        <v>0</v>
      </c>
      <c r="V152" s="207">
        <f>IF($A153="","",IF(AND(MONTH(A152)&gt;3,MONTH(A152)&lt;11),(T152+R152+G152)*Summary!$T$8/(1-Summary!$T$8),(T152+R152+G152)*Summary!$U$8/(1-Summary!$U$8)))</f>
        <v>0.22995990739766387</v>
      </c>
      <c r="W152" s="63">
        <f t="shared" si="93"/>
        <v>4.6269599073976631</v>
      </c>
      <c r="X152" s="63">
        <f t="shared" si="94"/>
        <v>4.6269599073976631</v>
      </c>
      <c r="Y152" s="43"/>
      <c r="Z152" s="38">
        <f t="shared" si="95"/>
        <v>0.45</v>
      </c>
      <c r="AA152" s="38">
        <f t="shared" si="96"/>
        <v>0.17499999999999999</v>
      </c>
      <c r="AB152" s="38">
        <f t="shared" ca="1" si="97"/>
        <v>0.17700876862875486</v>
      </c>
      <c r="AC152" s="38">
        <f t="shared" si="98"/>
        <v>0.4</v>
      </c>
      <c r="AD152" s="38">
        <f t="shared" si="98"/>
        <v>0.17</v>
      </c>
      <c r="AE152" s="38">
        <f t="shared" ca="1" si="99"/>
        <v>0.17163852527979043</v>
      </c>
      <c r="AF152" s="237">
        <f ca="1">((Summary!$N$8*(AA152*AD152)*(A152-$D$3))+(Summary!$M$8*Z152*AC152*(AJ152-EOMONTH(EDATE(A152,-1),0))))/(AK152*AB152*AE152)</f>
        <v>0.9998229159979809</v>
      </c>
      <c r="AG152" s="88">
        <f>IF($A153="","",Summary!$Q$8)</f>
        <v>0</v>
      </c>
      <c r="AH152" s="88">
        <f>IF($A153="","",IF(Summary!$R$8="Y",(VLOOKUP($A152,Summary!$AD$6:$AF$9,3)+'Escalating commodity'!D165),'Escalating commodity'!D165))</f>
        <v>2.0023199999999998E-2</v>
      </c>
      <c r="AI152" s="88">
        <f t="shared" si="114"/>
        <v>2.0023199999999998E-2</v>
      </c>
      <c r="AJ152" s="236">
        <f t="shared" si="100"/>
        <v>41379</v>
      </c>
      <c r="AK152" s="58">
        <f t="shared" ca="1" si="101"/>
        <v>4339</v>
      </c>
      <c r="AL152" s="26">
        <f ca="1">IF($A153="","",_xll.SPRDOPT(P152,X152,AI152,0,AB152,AE152,AF152,AK152,$AJ$2,0))</f>
        <v>4.215930226361983E-2</v>
      </c>
      <c r="AM152" s="89">
        <f t="shared" si="102"/>
        <v>0</v>
      </c>
      <c r="AN152" s="89">
        <f t="shared" ca="1" si="103"/>
        <v>4.215930226361983E-2</v>
      </c>
      <c r="AO152" s="3">
        <f t="shared" si="104"/>
        <v>30</v>
      </c>
      <c r="AP152" s="33">
        <f t="shared" si="105"/>
        <v>41365</v>
      </c>
      <c r="AQ152" s="58">
        <f t="shared" ca="1" si="106"/>
        <v>4339</v>
      </c>
      <c r="AR152" s="38">
        <f>'ANR OK vs ML7'!AR152</f>
        <v>0.1</v>
      </c>
      <c r="AS152" s="35">
        <f t="shared" ca="1" si="107"/>
        <v>0.31373428312972212</v>
      </c>
      <c r="AT152" s="3">
        <f t="shared" si="108"/>
        <v>1</v>
      </c>
      <c r="AU152" s="3">
        <f t="shared" si="109"/>
        <v>30</v>
      </c>
      <c r="AW152" s="32">
        <f t="shared" ca="1" si="110"/>
        <v>101182.32543268759</v>
      </c>
      <c r="AX152" s="32">
        <f t="shared" si="111"/>
        <v>0</v>
      </c>
      <c r="AY152" s="32">
        <f t="shared" ca="1" si="112"/>
        <v>101182.32543268759</v>
      </c>
      <c r="BA152" s="32">
        <f ca="1">IF($A153="","",F152*Summary!$Q$8)</f>
        <v>0</v>
      </c>
      <c r="BC152" s="256">
        <f t="shared" ca="1" si="115"/>
        <v>0</v>
      </c>
    </row>
    <row r="153" spans="1:55">
      <c r="A153" s="67">
        <f t="shared" si="113"/>
        <v>41395</v>
      </c>
      <c r="B153" s="69">
        <f t="shared" si="116"/>
        <v>80000</v>
      </c>
      <c r="C153" s="71"/>
      <c r="D153" s="69">
        <f t="shared" si="78"/>
        <v>80000</v>
      </c>
      <c r="E153" s="70">
        <f t="shared" si="79"/>
        <v>2480000</v>
      </c>
      <c r="F153" s="70">
        <f t="shared" ca="1" si="80"/>
        <v>771849.9334413124</v>
      </c>
      <c r="G153" s="63">
        <f t="shared" si="81"/>
        <v>4.4050000000000002</v>
      </c>
      <c r="H153" s="64">
        <f t="shared" si="82"/>
        <v>4.4050000000000002</v>
      </c>
      <c r="I153" s="43"/>
      <c r="J153" s="63">
        <f t="shared" si="83"/>
        <v>0.21</v>
      </c>
      <c r="K153" s="64">
        <f t="shared" si="84"/>
        <v>0.21</v>
      </c>
      <c r="L153" s="63">
        <f t="shared" si="85"/>
        <v>0</v>
      </c>
      <c r="M153" s="64">
        <f t="shared" si="86"/>
        <v>0</v>
      </c>
      <c r="N153" s="65"/>
      <c r="O153" s="63">
        <f t="shared" si="87"/>
        <v>4.6150000000000002</v>
      </c>
      <c r="P153" s="63">
        <f t="shared" si="88"/>
        <v>4.6150000000000002</v>
      </c>
      <c r="Q153" s="66"/>
      <c r="R153" s="63">
        <f t="shared" si="89"/>
        <v>-3.7999999999999999E-2</v>
      </c>
      <c r="S153" s="64">
        <f t="shared" si="90"/>
        <v>-3.7999999999999999E-2</v>
      </c>
      <c r="T153" s="63">
        <f t="shared" si="91"/>
        <v>0</v>
      </c>
      <c r="U153" s="64">
        <f t="shared" si="92"/>
        <v>0</v>
      </c>
      <c r="V153" s="207">
        <f>IF($A154="","",IF(AND(MONTH(A153)&gt;3,MONTH(A153)&lt;11),(T153+R153+G153)*Summary!$T$8/(1-Summary!$T$8),(T153+R153+G153)*Summary!$U$8/(1-Summary!$U$8)))</f>
        <v>0.22839092918025886</v>
      </c>
      <c r="W153" s="63">
        <f t="shared" si="93"/>
        <v>4.595390929180259</v>
      </c>
      <c r="X153" s="63">
        <f t="shared" si="94"/>
        <v>4.595390929180259</v>
      </c>
      <c r="Y153" s="43"/>
      <c r="Z153" s="38">
        <f t="shared" si="95"/>
        <v>0.5</v>
      </c>
      <c r="AA153" s="38">
        <f t="shared" si="96"/>
        <v>0.17499999999999999</v>
      </c>
      <c r="AB153" s="38">
        <f t="shared" ca="1" si="97"/>
        <v>0.17753574361499511</v>
      </c>
      <c r="AC153" s="38">
        <f t="shared" si="98"/>
        <v>0.45</v>
      </c>
      <c r="AD153" s="38">
        <f t="shared" si="98"/>
        <v>0.17</v>
      </c>
      <c r="AE153" s="38">
        <f t="shared" ca="1" si="99"/>
        <v>0.17211922789353332</v>
      </c>
      <c r="AF153" s="237">
        <f ca="1">((Summary!$N$8*(AA153*AD153)*(A153-$D$3))+(Summary!$M$8*Z153*AC153*(AJ153-EOMONTH(EDATE(A153,-1),0))))/(AK153*AB153*AE153)</f>
        <v>0.99982839218893704</v>
      </c>
      <c r="AG153" s="88">
        <f>IF($A154="","",Summary!$Q$8)</f>
        <v>0</v>
      </c>
      <c r="AH153" s="88">
        <f>IF($A154="","",IF(Summary!$R$8="Y",(VLOOKUP($A153,Summary!$AD$6:$AF$9,3)+'Escalating commodity'!D166),'Escalating commodity'!D166))</f>
        <v>2.0023199999999998E-2</v>
      </c>
      <c r="AI153" s="88">
        <f t="shared" si="114"/>
        <v>2.0023199999999998E-2</v>
      </c>
      <c r="AJ153" s="236">
        <f t="shared" si="100"/>
        <v>41409.5</v>
      </c>
      <c r="AK153" s="58">
        <f t="shared" ca="1" si="101"/>
        <v>4369</v>
      </c>
      <c r="AL153" s="26">
        <f ca="1">IF($A154="","",_xll.SPRDOPT(P153,X153,AI153,0,AB153,AE153,AF153,AK153,$AJ$2,0))</f>
        <v>4.3011814654120788E-2</v>
      </c>
      <c r="AM153" s="89">
        <f t="shared" si="102"/>
        <v>0</v>
      </c>
      <c r="AN153" s="89">
        <f t="shared" ca="1" si="103"/>
        <v>4.3011814654120788E-2</v>
      </c>
      <c r="AO153" s="3">
        <f t="shared" si="104"/>
        <v>31</v>
      </c>
      <c r="AP153" s="33">
        <f t="shared" si="105"/>
        <v>41395</v>
      </c>
      <c r="AQ153" s="58">
        <f t="shared" ca="1" si="106"/>
        <v>4369</v>
      </c>
      <c r="AR153" s="38">
        <f>'ANR OK vs ML7'!AR153</f>
        <v>0.1</v>
      </c>
      <c r="AS153" s="35">
        <f t="shared" ca="1" si="107"/>
        <v>0.31122981187149695</v>
      </c>
      <c r="AT153" s="3">
        <f t="shared" si="108"/>
        <v>1</v>
      </c>
      <c r="AU153" s="3">
        <f t="shared" si="109"/>
        <v>31</v>
      </c>
      <c r="AW153" s="32">
        <f t="shared" ca="1" si="110"/>
        <v>106669.30034221955</v>
      </c>
      <c r="AX153" s="32">
        <f t="shared" si="111"/>
        <v>0</v>
      </c>
      <c r="AY153" s="32">
        <f t="shared" ca="1" si="112"/>
        <v>106669.30034221955</v>
      </c>
      <c r="BA153" s="32">
        <f ca="1">IF($A154="","",F153*Summary!$Q$8)</f>
        <v>0</v>
      </c>
      <c r="BC153" s="256">
        <f t="shared" ca="1" si="115"/>
        <v>0</v>
      </c>
    </row>
    <row r="154" spans="1:55">
      <c r="A154" s="67">
        <f t="shared" si="113"/>
        <v>41426</v>
      </c>
      <c r="B154" s="69">
        <f t="shared" si="116"/>
        <v>80000</v>
      </c>
      <c r="C154" s="71"/>
      <c r="D154" s="69">
        <f t="shared" si="78"/>
        <v>80000</v>
      </c>
      <c r="E154" s="70">
        <f t="shared" si="79"/>
        <v>2400000</v>
      </c>
      <c r="F154" s="70">
        <f t="shared" ca="1" si="80"/>
        <v>740790.86339874926</v>
      </c>
      <c r="G154" s="63">
        <f t="shared" si="81"/>
        <v>4.4749999999999996</v>
      </c>
      <c r="H154" s="64">
        <f t="shared" si="82"/>
        <v>4.4749999999999996</v>
      </c>
      <c r="I154" s="43"/>
      <c r="J154" s="63">
        <f t="shared" si="83"/>
        <v>0.21</v>
      </c>
      <c r="K154" s="64">
        <f t="shared" si="84"/>
        <v>0.21</v>
      </c>
      <c r="L154" s="63">
        <f t="shared" si="85"/>
        <v>0</v>
      </c>
      <c r="M154" s="64">
        <f t="shared" si="86"/>
        <v>0</v>
      </c>
      <c r="N154" s="65"/>
      <c r="O154" s="63">
        <f t="shared" si="87"/>
        <v>4.6849999999999996</v>
      </c>
      <c r="P154" s="63">
        <f t="shared" si="88"/>
        <v>4.6849999999999996</v>
      </c>
      <c r="Q154" s="66"/>
      <c r="R154" s="63">
        <f t="shared" si="89"/>
        <v>-3.7999999999999999E-2</v>
      </c>
      <c r="S154" s="64">
        <f t="shared" si="90"/>
        <v>-3.7999999999999999E-2</v>
      </c>
      <c r="T154" s="63">
        <f t="shared" si="91"/>
        <v>0</v>
      </c>
      <c r="U154" s="64">
        <f t="shared" si="92"/>
        <v>0</v>
      </c>
      <c r="V154" s="207">
        <f>IF($A155="","",IF(AND(MONTH(A154)&gt;3,MONTH(A154)&lt;11),(T154+R154+G154)*Summary!$T$8/(1-Summary!$T$8),(T154+R154+G154)*Summary!$U$8/(1-Summary!$U$8)))</f>
        <v>0.23205187835420388</v>
      </c>
      <c r="W154" s="63">
        <f t="shared" si="93"/>
        <v>4.6690518783542032</v>
      </c>
      <c r="X154" s="63">
        <f t="shared" si="94"/>
        <v>4.6690518783542032</v>
      </c>
      <c r="Y154" s="43"/>
      <c r="Z154" s="38">
        <f t="shared" si="95"/>
        <v>0.5</v>
      </c>
      <c r="AA154" s="38">
        <f t="shared" si="96"/>
        <v>0.17499999999999999</v>
      </c>
      <c r="AB154" s="38">
        <f t="shared" ca="1" si="97"/>
        <v>0.17743796931475928</v>
      </c>
      <c r="AC154" s="38">
        <f t="shared" si="98"/>
        <v>0.45</v>
      </c>
      <c r="AD154" s="38">
        <f t="shared" si="98"/>
        <v>0.17</v>
      </c>
      <c r="AE154" s="38">
        <f t="shared" ca="1" si="99"/>
        <v>0.17203752233425443</v>
      </c>
      <c r="AF154" s="237">
        <f ca="1">((Summary!$N$8*(AA154*AD154)*(A154-$D$3))+(Summary!$M$8*Z154*AC154*(AJ154-EOMONTH(EDATE(A154,-1),0))))/(AK154*AB154*AE154)</f>
        <v>0.99983104668768408</v>
      </c>
      <c r="AG154" s="88">
        <f>IF($A155="","",Summary!$Q$8)</f>
        <v>0</v>
      </c>
      <c r="AH154" s="88">
        <f>IF($A155="","",IF(Summary!$R$8="Y",(VLOOKUP($A154,Summary!$AD$6:$AF$9,3)+'Escalating commodity'!D167),'Escalating commodity'!D167))</f>
        <v>2.0023199999999998E-2</v>
      </c>
      <c r="AI154" s="88">
        <f t="shared" si="114"/>
        <v>2.0023199999999998E-2</v>
      </c>
      <c r="AJ154" s="236">
        <f t="shared" si="100"/>
        <v>41440</v>
      </c>
      <c r="AK154" s="58">
        <f t="shared" ca="1" si="101"/>
        <v>4400</v>
      </c>
      <c r="AL154" s="26">
        <f ca="1">IF($A155="","",_xll.SPRDOPT(P154,X154,AI154,0,AB154,AE154,AF154,AK154,$AJ$2,0))</f>
        <v>4.1759582673600158E-2</v>
      </c>
      <c r="AM154" s="89">
        <f t="shared" si="102"/>
        <v>0</v>
      </c>
      <c r="AN154" s="89">
        <f t="shared" ca="1" si="103"/>
        <v>4.1759582673600158E-2</v>
      </c>
      <c r="AO154" s="3">
        <f t="shared" si="104"/>
        <v>30</v>
      </c>
      <c r="AP154" s="33">
        <f t="shared" si="105"/>
        <v>41426</v>
      </c>
      <c r="AQ154" s="58">
        <f t="shared" ca="1" si="106"/>
        <v>4400</v>
      </c>
      <c r="AR154" s="38">
        <f>'ANR OK vs ML7'!AR154</f>
        <v>0.1</v>
      </c>
      <c r="AS154" s="35">
        <f t="shared" ca="1" si="107"/>
        <v>0.30866285974947888</v>
      </c>
      <c r="AT154" s="3">
        <f t="shared" si="108"/>
        <v>1</v>
      </c>
      <c r="AU154" s="3">
        <f t="shared" si="109"/>
        <v>30</v>
      </c>
      <c r="AW154" s="32">
        <f t="shared" ca="1" si="110"/>
        <v>100222.99841664037</v>
      </c>
      <c r="AX154" s="32">
        <f t="shared" si="111"/>
        <v>0</v>
      </c>
      <c r="AY154" s="32">
        <f t="shared" ca="1" si="112"/>
        <v>100222.99841664037</v>
      </c>
      <c r="BA154" s="32">
        <f ca="1">IF($A155="","",F154*Summary!$Q$8)</f>
        <v>0</v>
      </c>
      <c r="BC154" s="256">
        <f t="shared" ca="1" si="115"/>
        <v>0</v>
      </c>
    </row>
    <row r="155" spans="1:55">
      <c r="A155" s="67">
        <f t="shared" si="113"/>
        <v>41456</v>
      </c>
      <c r="B155" s="69">
        <f t="shared" si="116"/>
        <v>80000</v>
      </c>
      <c r="C155" s="71"/>
      <c r="D155" s="69">
        <f t="shared" si="78"/>
        <v>80000</v>
      </c>
      <c r="E155" s="70">
        <f t="shared" si="79"/>
        <v>2480000</v>
      </c>
      <c r="F155" s="70">
        <f t="shared" ca="1" si="80"/>
        <v>759373.20389985235</v>
      </c>
      <c r="G155" s="63">
        <f t="shared" si="81"/>
        <v>4.53</v>
      </c>
      <c r="H155" s="64">
        <f t="shared" si="82"/>
        <v>4.53</v>
      </c>
      <c r="I155" s="43"/>
      <c r="J155" s="63">
        <f t="shared" si="83"/>
        <v>0.21</v>
      </c>
      <c r="K155" s="64">
        <f t="shared" si="84"/>
        <v>0.21</v>
      </c>
      <c r="L155" s="63">
        <f t="shared" si="85"/>
        <v>0</v>
      </c>
      <c r="M155" s="64">
        <f t="shared" si="86"/>
        <v>0</v>
      </c>
      <c r="N155" s="65"/>
      <c r="O155" s="63">
        <f t="shared" si="87"/>
        <v>4.74</v>
      </c>
      <c r="P155" s="63">
        <f t="shared" si="88"/>
        <v>4.74</v>
      </c>
      <c r="Q155" s="66"/>
      <c r="R155" s="63">
        <f t="shared" si="89"/>
        <v>-3.7999999999999999E-2</v>
      </c>
      <c r="S155" s="64">
        <f t="shared" si="90"/>
        <v>-3.7999999999999999E-2</v>
      </c>
      <c r="T155" s="63">
        <f t="shared" si="91"/>
        <v>0</v>
      </c>
      <c r="U155" s="64">
        <f t="shared" si="92"/>
        <v>0</v>
      </c>
      <c r="V155" s="207">
        <f>IF($A156="","",IF(AND(MONTH(A155)&gt;3,MONTH(A155)&lt;11),(T155+R155+G155)*Summary!$T$8/(1-Summary!$T$8),(T155+R155+G155)*Summary!$U$8/(1-Summary!$U$8)))</f>
        <v>0.23492833841944649</v>
      </c>
      <c r="W155" s="63">
        <f t="shared" si="93"/>
        <v>4.7269283384194463</v>
      </c>
      <c r="X155" s="63">
        <f t="shared" si="94"/>
        <v>4.7269283384194463</v>
      </c>
      <c r="Y155" s="43"/>
      <c r="Z155" s="38">
        <f t="shared" si="95"/>
        <v>0.55000000000000004</v>
      </c>
      <c r="AA155" s="38">
        <f t="shared" si="96"/>
        <v>0.17499999999999999</v>
      </c>
      <c r="AB155" s="38">
        <f t="shared" ca="1" si="97"/>
        <v>0.1780177566155379</v>
      </c>
      <c r="AC155" s="38">
        <f t="shared" si="98"/>
        <v>0.5</v>
      </c>
      <c r="AD155" s="38">
        <f t="shared" si="98"/>
        <v>0.17</v>
      </c>
      <c r="AE155" s="38">
        <f t="shared" ca="1" si="99"/>
        <v>0.17257242402825754</v>
      </c>
      <c r="AF155" s="237">
        <f ca="1">((Summary!$N$8*(AA155*AD155)*(A155-$D$3))+(Summary!$M$8*Z155*AC155*(AJ155-EOMONTH(EDATE(A155,-1),0))))/(AK155*AB155*AE155)</f>
        <v>0.9998363898917777</v>
      </c>
      <c r="AG155" s="88">
        <f>IF($A156="","",Summary!$Q$8)</f>
        <v>0</v>
      </c>
      <c r="AH155" s="88">
        <f>IF($A156="","",IF(Summary!$R$8="Y",(VLOOKUP($A155,Summary!$AD$6:$AF$9,3)+'Escalating commodity'!D168),'Escalating commodity'!D168))</f>
        <v>2.0023199999999998E-2</v>
      </c>
      <c r="AI155" s="88">
        <f t="shared" si="114"/>
        <v>2.0023199999999998E-2</v>
      </c>
      <c r="AJ155" s="236">
        <f t="shared" si="100"/>
        <v>41470.5</v>
      </c>
      <c r="AK155" s="58">
        <f t="shared" ca="1" si="101"/>
        <v>4430</v>
      </c>
      <c r="AL155" s="26">
        <f ca="1">IF($A156="","",_xll.SPRDOPT(P155,X155,AI155,0,AB155,AE155,AF155,AK155,$AJ$2,0))</f>
        <v>4.1108397875551095E-2</v>
      </c>
      <c r="AM155" s="89">
        <f t="shared" si="102"/>
        <v>0</v>
      </c>
      <c r="AN155" s="89">
        <f t="shared" ca="1" si="103"/>
        <v>4.1108397875551095E-2</v>
      </c>
      <c r="AO155" s="3">
        <f t="shared" si="104"/>
        <v>31</v>
      </c>
      <c r="AP155" s="33">
        <f t="shared" si="105"/>
        <v>41456</v>
      </c>
      <c r="AQ155" s="58">
        <f t="shared" ca="1" si="106"/>
        <v>4430</v>
      </c>
      <c r="AR155" s="38">
        <f>'ANR OK vs ML7'!AR155</f>
        <v>0.1</v>
      </c>
      <c r="AS155" s="35">
        <f t="shared" ca="1" si="107"/>
        <v>0.30619887254026307</v>
      </c>
      <c r="AT155" s="3">
        <f t="shared" si="108"/>
        <v>1</v>
      </c>
      <c r="AU155" s="3">
        <f t="shared" si="109"/>
        <v>31</v>
      </c>
      <c r="AW155" s="32">
        <f t="shared" ca="1" si="110"/>
        <v>101948.82673136672</v>
      </c>
      <c r="AX155" s="32">
        <f t="shared" si="111"/>
        <v>0</v>
      </c>
      <c r="AY155" s="32">
        <f t="shared" ca="1" si="112"/>
        <v>101948.82673136672</v>
      </c>
      <c r="BA155" s="32">
        <f ca="1">IF($A156="","",F155*Summary!$Q$8)</f>
        <v>0</v>
      </c>
      <c r="BC155" s="256">
        <f t="shared" ca="1" si="115"/>
        <v>0</v>
      </c>
    </row>
    <row r="156" spans="1:55">
      <c r="A156" s="67">
        <f t="shared" si="113"/>
        <v>41487</v>
      </c>
      <c r="B156" s="69">
        <f t="shared" si="116"/>
        <v>80000</v>
      </c>
      <c r="C156" s="71"/>
      <c r="D156" s="69">
        <f t="shared" si="78"/>
        <v>80000</v>
      </c>
      <c r="E156" s="70">
        <f t="shared" si="79"/>
        <v>2480000</v>
      </c>
      <c r="F156" s="70">
        <f t="shared" ca="1" si="80"/>
        <v>753110.06784153939</v>
      </c>
      <c r="G156" s="63">
        <f t="shared" si="81"/>
        <v>4.5860000000000003</v>
      </c>
      <c r="H156" s="64">
        <f t="shared" si="82"/>
        <v>4.5860000000000003</v>
      </c>
      <c r="I156" s="43"/>
      <c r="J156" s="63">
        <f t="shared" si="83"/>
        <v>0.21</v>
      </c>
      <c r="K156" s="64">
        <f t="shared" si="84"/>
        <v>0.21</v>
      </c>
      <c r="L156" s="63">
        <f t="shared" si="85"/>
        <v>0</v>
      </c>
      <c r="M156" s="64">
        <f t="shared" si="86"/>
        <v>0</v>
      </c>
      <c r="N156" s="65"/>
      <c r="O156" s="63">
        <f t="shared" si="87"/>
        <v>4.7960000000000003</v>
      </c>
      <c r="P156" s="63">
        <f t="shared" si="88"/>
        <v>4.7960000000000003</v>
      </c>
      <c r="Q156" s="66"/>
      <c r="R156" s="63">
        <f t="shared" si="89"/>
        <v>-3.7999999999999999E-2</v>
      </c>
      <c r="S156" s="64">
        <f t="shared" si="90"/>
        <v>-3.7999999999999999E-2</v>
      </c>
      <c r="T156" s="63">
        <f t="shared" si="91"/>
        <v>0</v>
      </c>
      <c r="U156" s="64">
        <f t="shared" si="92"/>
        <v>0</v>
      </c>
      <c r="V156" s="207">
        <f>IF($A157="","",IF(AND(MONTH(A156)&gt;3,MONTH(A156)&lt;11),(T156+R156+G156)*Summary!$T$8/(1-Summary!$T$8),(T156+R156+G156)*Summary!$U$8/(1-Summary!$U$8)))</f>
        <v>0.23785709775860253</v>
      </c>
      <c r="W156" s="63">
        <f t="shared" si="93"/>
        <v>4.785857097758603</v>
      </c>
      <c r="X156" s="63">
        <f t="shared" si="94"/>
        <v>4.785857097758603</v>
      </c>
      <c r="Y156" s="43"/>
      <c r="Z156" s="38">
        <f t="shared" si="95"/>
        <v>0.6</v>
      </c>
      <c r="AA156" s="38">
        <f t="shared" si="96"/>
        <v>0.17499999999999999</v>
      </c>
      <c r="AB156" s="38">
        <f t="shared" ca="1" si="97"/>
        <v>0.17855728960581285</v>
      </c>
      <c r="AC156" s="38">
        <f t="shared" si="98"/>
        <v>0.55000000000000004</v>
      </c>
      <c r="AD156" s="38">
        <f t="shared" si="98"/>
        <v>0.17</v>
      </c>
      <c r="AE156" s="38">
        <f t="shared" ca="1" si="99"/>
        <v>0.17308244262059172</v>
      </c>
      <c r="AF156" s="237">
        <f ca="1">((Summary!$N$8*(AA156*AD156)*(A156-$D$3))+(Summary!$M$8*Z156*AC156*(AJ156-EOMONTH(EDATE(A156,-1),0))))/(AK156*AB156*AE156)</f>
        <v>0.99984356349566095</v>
      </c>
      <c r="AG156" s="88">
        <f>IF($A157="","",Summary!$Q$8)</f>
        <v>0</v>
      </c>
      <c r="AH156" s="88">
        <f>IF($A157="","",IF(Summary!$R$8="Y",(VLOOKUP($A156,Summary!$AD$6:$AF$9,3)+'Escalating commodity'!D169),'Escalating commodity'!D169))</f>
        <v>2.0023199999999998E-2</v>
      </c>
      <c r="AI156" s="88">
        <f t="shared" si="114"/>
        <v>2.0023199999999998E-2</v>
      </c>
      <c r="AJ156" s="236">
        <f t="shared" si="100"/>
        <v>41501.5</v>
      </c>
      <c r="AK156" s="58">
        <f t="shared" ca="1" si="101"/>
        <v>4461</v>
      </c>
      <c r="AL156" s="26">
        <f ca="1">IF($A157="","",_xll.SPRDOPT(P156,X156,AI156,0,AB156,AE156,AF156,AK156,$AJ$2,0))</f>
        <v>4.0300704297151144E-2</v>
      </c>
      <c r="AM156" s="89">
        <f t="shared" si="102"/>
        <v>0</v>
      </c>
      <c r="AN156" s="89">
        <f t="shared" ca="1" si="103"/>
        <v>4.0300704297151144E-2</v>
      </c>
      <c r="AO156" s="3">
        <f t="shared" si="104"/>
        <v>31</v>
      </c>
      <c r="AP156" s="33">
        <f t="shared" si="105"/>
        <v>41487</v>
      </c>
      <c r="AQ156" s="58">
        <f t="shared" ca="1" si="106"/>
        <v>4461</v>
      </c>
      <c r="AR156" s="38">
        <f>'ANR OK vs ML7'!AR156</f>
        <v>0.1</v>
      </c>
      <c r="AS156" s="35">
        <f t="shared" ca="1" si="107"/>
        <v>0.30367341445223361</v>
      </c>
      <c r="AT156" s="3">
        <f t="shared" si="108"/>
        <v>1</v>
      </c>
      <c r="AU156" s="3">
        <f t="shared" si="109"/>
        <v>31</v>
      </c>
      <c r="AW156" s="32">
        <f t="shared" ca="1" si="110"/>
        <v>99945.746656934833</v>
      </c>
      <c r="AX156" s="32">
        <f t="shared" si="111"/>
        <v>0</v>
      </c>
      <c r="AY156" s="32">
        <f t="shared" ca="1" si="112"/>
        <v>99945.746656934833</v>
      </c>
      <c r="BA156" s="32">
        <f ca="1">IF($A157="","",F156*Summary!$Q$8)</f>
        <v>0</v>
      </c>
      <c r="BC156" s="256">
        <f t="shared" ca="1" si="115"/>
        <v>0</v>
      </c>
    </row>
    <row r="157" spans="1:55">
      <c r="A157" s="67">
        <f t="shared" si="113"/>
        <v>41518</v>
      </c>
      <c r="B157" s="69">
        <f t="shared" si="116"/>
        <v>80000</v>
      </c>
      <c r="C157" s="71"/>
      <c r="D157" s="69">
        <f t="shared" si="78"/>
        <v>80000</v>
      </c>
      <c r="E157" s="70">
        <f t="shared" si="79"/>
        <v>2400000</v>
      </c>
      <c r="F157" s="70">
        <f t="shared" ca="1" si="80"/>
        <v>722805.08583219838</v>
      </c>
      <c r="G157" s="63">
        <f t="shared" si="81"/>
        <v>4.5999999999999996</v>
      </c>
      <c r="H157" s="64">
        <f t="shared" si="82"/>
        <v>4.5999999999999996</v>
      </c>
      <c r="I157" s="43"/>
      <c r="J157" s="63">
        <f t="shared" si="83"/>
        <v>0.21</v>
      </c>
      <c r="K157" s="64">
        <f t="shared" si="84"/>
        <v>0.21</v>
      </c>
      <c r="L157" s="63">
        <f t="shared" si="85"/>
        <v>0</v>
      </c>
      <c r="M157" s="64">
        <f t="shared" si="86"/>
        <v>0</v>
      </c>
      <c r="N157" s="65"/>
      <c r="O157" s="63">
        <f t="shared" si="87"/>
        <v>4.8099999999999996</v>
      </c>
      <c r="P157" s="63">
        <f t="shared" si="88"/>
        <v>4.8099999999999996</v>
      </c>
      <c r="Q157" s="66"/>
      <c r="R157" s="63">
        <f t="shared" si="89"/>
        <v>-3.7999999999999999E-2</v>
      </c>
      <c r="S157" s="64">
        <f t="shared" si="90"/>
        <v>-3.7999999999999999E-2</v>
      </c>
      <c r="T157" s="63">
        <f t="shared" si="91"/>
        <v>0</v>
      </c>
      <c r="U157" s="64">
        <f t="shared" si="92"/>
        <v>0</v>
      </c>
      <c r="V157" s="207">
        <f>IF($A158="","",IF(AND(MONTH(A157)&gt;3,MONTH(A157)&lt;11),(T157+R157+G157)*Summary!$T$8/(1-Summary!$T$8),(T157+R157+G157)*Summary!$U$8/(1-Summary!$U$8)))</f>
        <v>0.23858928759339151</v>
      </c>
      <c r="W157" s="63">
        <f t="shared" si="93"/>
        <v>4.8005892875933913</v>
      </c>
      <c r="X157" s="63">
        <f t="shared" si="94"/>
        <v>4.8005892875933913</v>
      </c>
      <c r="Y157" s="43"/>
      <c r="Z157" s="38">
        <f t="shared" si="95"/>
        <v>0.6</v>
      </c>
      <c r="AA157" s="38">
        <f t="shared" si="96"/>
        <v>0.17499999999999999</v>
      </c>
      <c r="AB157" s="38">
        <f t="shared" ca="1" si="97"/>
        <v>0.17842072415655233</v>
      </c>
      <c r="AC157" s="38">
        <f t="shared" si="98"/>
        <v>0.55000000000000004</v>
      </c>
      <c r="AD157" s="38">
        <f t="shared" si="98"/>
        <v>0.17</v>
      </c>
      <c r="AE157" s="38">
        <f t="shared" ca="1" si="99"/>
        <v>0.17296405053730815</v>
      </c>
      <c r="AF157" s="237">
        <f ca="1">((Summary!$N$8*(AA157*AD157)*(A157-$D$3))+(Summary!$M$8*Z157*AC157*(AJ157-EOMONTH(EDATE(A157,-1),0))))/(AK157*AB157*AE157)</f>
        <v>0.99984559846143817</v>
      </c>
      <c r="AG157" s="88">
        <f>IF($A158="","",Summary!$Q$8)</f>
        <v>0</v>
      </c>
      <c r="AH157" s="88">
        <f>IF($A158="","",IF(Summary!$R$8="Y",(VLOOKUP($A157,Summary!$AD$6:$AF$9,3)+'Escalating commodity'!D170),'Escalating commodity'!D170))</f>
        <v>2.0023199999999998E-2</v>
      </c>
      <c r="AI157" s="88">
        <f t="shared" si="114"/>
        <v>2.0023199999999998E-2</v>
      </c>
      <c r="AJ157" s="236">
        <f t="shared" si="100"/>
        <v>41532</v>
      </c>
      <c r="AK157" s="58">
        <f t="shared" ca="1" si="101"/>
        <v>4492</v>
      </c>
      <c r="AL157" s="26">
        <f ca="1">IF($A158="","",_xll.SPRDOPT(P157,X157,AI157,0,AB157,AE157,AF157,AK157,$AJ$2,0))</f>
        <v>4.002943327451372E-2</v>
      </c>
      <c r="AM157" s="89">
        <f t="shared" si="102"/>
        <v>0</v>
      </c>
      <c r="AN157" s="89">
        <f t="shared" ca="1" si="103"/>
        <v>4.002943327451372E-2</v>
      </c>
      <c r="AO157" s="3">
        <f t="shared" si="104"/>
        <v>30</v>
      </c>
      <c r="AP157" s="33">
        <f t="shared" si="105"/>
        <v>41518</v>
      </c>
      <c r="AQ157" s="58">
        <f t="shared" ca="1" si="106"/>
        <v>4492</v>
      </c>
      <c r="AR157" s="38">
        <f>'ANR OK vs ML7'!AR157</f>
        <v>0.1</v>
      </c>
      <c r="AS157" s="35">
        <f t="shared" ca="1" si="107"/>
        <v>0.30116878576341599</v>
      </c>
      <c r="AT157" s="3">
        <f t="shared" si="108"/>
        <v>1</v>
      </c>
      <c r="AU157" s="3">
        <f t="shared" si="109"/>
        <v>30</v>
      </c>
      <c r="AW157" s="32">
        <f t="shared" ca="1" si="110"/>
        <v>96070.639858832932</v>
      </c>
      <c r="AX157" s="32">
        <f t="shared" si="111"/>
        <v>0</v>
      </c>
      <c r="AY157" s="32">
        <f t="shared" ca="1" si="112"/>
        <v>96070.639858832932</v>
      </c>
      <c r="BA157" s="32">
        <f ca="1">IF($A158="","",F157*Summary!$Q$8)</f>
        <v>0</v>
      </c>
      <c r="BC157" s="256">
        <f t="shared" ca="1" si="115"/>
        <v>0</v>
      </c>
    </row>
    <row r="158" spans="1:55">
      <c r="A158" s="67">
        <f t="shared" si="113"/>
        <v>41548</v>
      </c>
      <c r="B158" s="69">
        <f t="shared" si="116"/>
        <v>80000</v>
      </c>
      <c r="C158" s="71"/>
      <c r="D158" s="69">
        <f t="shared" si="78"/>
        <v>80000</v>
      </c>
      <c r="E158" s="70">
        <f t="shared" si="79"/>
        <v>2480000</v>
      </c>
      <c r="F158" s="70">
        <f t="shared" ca="1" si="80"/>
        <v>740936.26277360891</v>
      </c>
      <c r="G158" s="63">
        <f t="shared" si="81"/>
        <v>4.6310000000000002</v>
      </c>
      <c r="H158" s="64">
        <f t="shared" si="82"/>
        <v>4.6310000000000002</v>
      </c>
      <c r="I158" s="43"/>
      <c r="J158" s="63">
        <f t="shared" si="83"/>
        <v>0.21</v>
      </c>
      <c r="K158" s="64">
        <f t="shared" si="84"/>
        <v>0.21</v>
      </c>
      <c r="L158" s="63">
        <f t="shared" si="85"/>
        <v>0</v>
      </c>
      <c r="M158" s="64">
        <f t="shared" si="86"/>
        <v>0</v>
      </c>
      <c r="N158" s="65"/>
      <c r="O158" s="63">
        <f t="shared" si="87"/>
        <v>4.8410000000000002</v>
      </c>
      <c r="P158" s="63">
        <f t="shared" si="88"/>
        <v>4.8410000000000002</v>
      </c>
      <c r="Q158" s="66"/>
      <c r="R158" s="63">
        <f t="shared" si="89"/>
        <v>-3.7999999999999999E-2</v>
      </c>
      <c r="S158" s="64">
        <f t="shared" si="90"/>
        <v>-3.7999999999999999E-2</v>
      </c>
      <c r="T158" s="63">
        <f t="shared" si="91"/>
        <v>0</v>
      </c>
      <c r="U158" s="64">
        <f t="shared" si="92"/>
        <v>0</v>
      </c>
      <c r="V158" s="207">
        <f>IF($A159="","",IF(AND(MONTH(A158)&gt;3,MONTH(A158)&lt;11),(T158+R158+G158)*Summary!$T$8/(1-Summary!$T$8),(T158+R158+G158)*Summary!$U$8/(1-Summary!$U$8)))</f>
        <v>0.24021056508471009</v>
      </c>
      <c r="W158" s="63">
        <f t="shared" si="93"/>
        <v>4.8332105650847099</v>
      </c>
      <c r="X158" s="63">
        <f t="shared" si="94"/>
        <v>4.8332105650847099</v>
      </c>
      <c r="Y158" s="43"/>
      <c r="Z158" s="38">
        <f t="shared" si="95"/>
        <v>0.65</v>
      </c>
      <c r="AA158" s="38">
        <f t="shared" si="96"/>
        <v>0.17499999999999999</v>
      </c>
      <c r="AB158" s="38">
        <f t="shared" ca="1" si="97"/>
        <v>0.17910882207739828</v>
      </c>
      <c r="AC158" s="38">
        <f t="shared" si="98"/>
        <v>0.6</v>
      </c>
      <c r="AD158" s="38">
        <f t="shared" si="98"/>
        <v>0.17</v>
      </c>
      <c r="AE158" s="38">
        <f t="shared" ca="1" si="99"/>
        <v>0.17360978730636872</v>
      </c>
      <c r="AF158" s="237">
        <f ca="1">((Summary!$N$8*(AA158*AD158)*(A158-$D$3))+(Summary!$M$8*Z158*AC158*(AJ158-EOMONTH(EDATE(A158,-1),0))))/(AK158*AB158*AE158)</f>
        <v>0.99985067270023398</v>
      </c>
      <c r="AG158" s="88">
        <f>IF($A159="","",Summary!$Q$8)</f>
        <v>0</v>
      </c>
      <c r="AH158" s="88">
        <f>IF($A159="","",IF(Summary!$R$8="Y",(VLOOKUP($A158,Summary!$AD$6:$AF$9,3)+'Escalating commodity'!D171),'Escalating commodity'!D171))</f>
        <v>2.0023199999999998E-2</v>
      </c>
      <c r="AI158" s="88">
        <f t="shared" si="114"/>
        <v>2.0023199999999998E-2</v>
      </c>
      <c r="AJ158" s="236">
        <f t="shared" si="100"/>
        <v>41562.5</v>
      </c>
      <c r="AK158" s="58">
        <f t="shared" ca="1" si="101"/>
        <v>4522</v>
      </c>
      <c r="AL158" s="26">
        <f ca="1">IF($A159="","",_xll.SPRDOPT(P158,X158,AI158,0,AB158,AE158,AF158,AK158,$AJ$2,0))</f>
        <v>3.9793826318902478E-2</v>
      </c>
      <c r="AM158" s="89">
        <f t="shared" si="102"/>
        <v>0</v>
      </c>
      <c r="AN158" s="89">
        <f t="shared" ca="1" si="103"/>
        <v>3.9793826318902478E-2</v>
      </c>
      <c r="AO158" s="3">
        <f t="shared" si="104"/>
        <v>31</v>
      </c>
      <c r="AP158" s="33">
        <f t="shared" si="105"/>
        <v>41548</v>
      </c>
      <c r="AQ158" s="58">
        <f t="shared" ca="1" si="106"/>
        <v>4522</v>
      </c>
      <c r="AR158" s="38">
        <f>'ANR OK vs ML7'!AR158</f>
        <v>0.1</v>
      </c>
      <c r="AS158" s="35">
        <f t="shared" ca="1" si="107"/>
        <v>0.29876462208613264</v>
      </c>
      <c r="AT158" s="3">
        <f t="shared" si="108"/>
        <v>1</v>
      </c>
      <c r="AU158" s="3">
        <f t="shared" si="109"/>
        <v>31</v>
      </c>
      <c r="AW158" s="32">
        <f t="shared" ca="1" si="110"/>
        <v>98688.689270878152</v>
      </c>
      <c r="AX158" s="32">
        <f t="shared" si="111"/>
        <v>0</v>
      </c>
      <c r="AY158" s="32">
        <f t="shared" ca="1" si="112"/>
        <v>98688.689270878152</v>
      </c>
      <c r="BA158" s="32">
        <f ca="1">IF($A159="","",F158*Summary!$Q$8)</f>
        <v>0</v>
      </c>
      <c r="BC158" s="256">
        <f t="shared" ca="1" si="115"/>
        <v>0</v>
      </c>
    </row>
    <row r="159" spans="1:55">
      <c r="A159" s="67">
        <f t="shared" si="113"/>
        <v>41579</v>
      </c>
      <c r="B159" s="69">
        <f t="shared" si="116"/>
        <v>80000</v>
      </c>
      <c r="C159" s="71"/>
      <c r="D159" s="69">
        <f t="shared" si="78"/>
        <v>80000</v>
      </c>
      <c r="E159" s="70">
        <f t="shared" si="79"/>
        <v>2400000</v>
      </c>
      <c r="F159" s="70">
        <f t="shared" ca="1" si="80"/>
        <v>711121.15197874582</v>
      </c>
      <c r="G159" s="63">
        <f t="shared" si="81"/>
        <v>4.7640000000000002</v>
      </c>
      <c r="H159" s="64">
        <f t="shared" si="82"/>
        <v>4.7640000000000002</v>
      </c>
      <c r="I159" s="43"/>
      <c r="J159" s="63">
        <f t="shared" si="83"/>
        <v>0.32500000000000001</v>
      </c>
      <c r="K159" s="64">
        <f t="shared" si="84"/>
        <v>0.32500000000000001</v>
      </c>
      <c r="L159" s="63">
        <f t="shared" si="85"/>
        <v>0</v>
      </c>
      <c r="M159" s="64">
        <f t="shared" si="86"/>
        <v>0</v>
      </c>
      <c r="N159" s="65"/>
      <c r="O159" s="63">
        <f t="shared" si="87"/>
        <v>5.0890000000000004</v>
      </c>
      <c r="P159" s="63">
        <f t="shared" si="88"/>
        <v>5.0890000000000004</v>
      </c>
      <c r="Q159" s="66"/>
      <c r="R159" s="63">
        <f t="shared" si="89"/>
        <v>-3.7499999999999999E-2</v>
      </c>
      <c r="S159" s="64">
        <f t="shared" si="90"/>
        <v>-3.7499999999999999E-2</v>
      </c>
      <c r="T159" s="63">
        <f t="shared" si="91"/>
        <v>5.0000000000000001E-3</v>
      </c>
      <c r="U159" s="64">
        <f t="shared" si="92"/>
        <v>5.0000000000000001E-3</v>
      </c>
      <c r="V159" s="207">
        <f>IF($A160="","",IF(AND(MONTH(A159)&gt;3,MONTH(A159)&lt;11),(T159+R159+G159)*Summary!$T$8/(1-Summary!$T$8),(T159+R159+G159)*Summary!$U$8/(1-Summary!$U$8)))</f>
        <v>0.24745401452172999</v>
      </c>
      <c r="W159" s="63">
        <f t="shared" si="93"/>
        <v>4.9789540145217304</v>
      </c>
      <c r="X159" s="63">
        <f t="shared" si="94"/>
        <v>4.9789540145217304</v>
      </c>
      <c r="Y159" s="43"/>
      <c r="Z159" s="38">
        <f t="shared" si="95"/>
        <v>0.8</v>
      </c>
      <c r="AA159" s="38">
        <f t="shared" si="96"/>
        <v>0.17499999999999999</v>
      </c>
      <c r="AB159" s="38">
        <f t="shared" ca="1" si="97"/>
        <v>0.18094260477971288</v>
      </c>
      <c r="AC159" s="38">
        <f t="shared" si="98"/>
        <v>0.8</v>
      </c>
      <c r="AD159" s="38">
        <f t="shared" si="98"/>
        <v>0.17</v>
      </c>
      <c r="AE159" s="38">
        <f t="shared" ca="1" si="99"/>
        <v>0.17611032721959655</v>
      </c>
      <c r="AF159" s="237">
        <f ca="1">((Summary!$N$8*(AA159*AD159)*(A159-$D$3))+(Summary!$M$8*Z159*AC159*(AJ159-EOMONTH(EDATE(A159,-1),0))))/(AK159*AB159*AE159)</f>
        <v>0.9998806576853887</v>
      </c>
      <c r="AG159" s="88">
        <f>IF($A160="","",Summary!$Q$8)</f>
        <v>0</v>
      </c>
      <c r="AH159" s="88">
        <f>IF($A160="","",IF(Summary!$R$8="Y",(VLOOKUP($A159,Summary!$AD$6:$AF$9,3)+'Escalating commodity'!D172),'Escalating commodity'!D172))</f>
        <v>2.0023199999999998E-2</v>
      </c>
      <c r="AI159" s="88">
        <f t="shared" si="114"/>
        <v>2.0023199999999998E-2</v>
      </c>
      <c r="AJ159" s="236">
        <f t="shared" si="100"/>
        <v>41593</v>
      </c>
      <c r="AK159" s="58">
        <f t="shared" ca="1" si="101"/>
        <v>4553</v>
      </c>
      <c r="AL159" s="26">
        <f ca="1">IF($A160="","",_xll.SPRDOPT(P159,X159,AI159,0,AB159,AE159,AF159,AK159,$AJ$2,0))</f>
        <v>0.10325926022740045</v>
      </c>
      <c r="AM159" s="89">
        <f t="shared" si="102"/>
        <v>9.0022785478270057E-2</v>
      </c>
      <c r="AN159" s="89">
        <f t="shared" ca="1" si="103"/>
        <v>1.3236474749130395E-2</v>
      </c>
      <c r="AO159" s="3">
        <f t="shared" si="104"/>
        <v>30</v>
      </c>
      <c r="AP159" s="33">
        <f t="shared" si="105"/>
        <v>41579</v>
      </c>
      <c r="AQ159" s="58">
        <f t="shared" ca="1" si="106"/>
        <v>4553</v>
      </c>
      <c r="AR159" s="38">
        <f>'ANR OK vs ML7'!AR159</f>
        <v>0.1</v>
      </c>
      <c r="AS159" s="35">
        <f t="shared" ca="1" si="107"/>
        <v>0.29630047999114412</v>
      </c>
      <c r="AT159" s="3">
        <f t="shared" si="108"/>
        <v>1</v>
      </c>
      <c r="AU159" s="3">
        <f t="shared" si="109"/>
        <v>30</v>
      </c>
      <c r="AW159" s="32">
        <f t="shared" ca="1" si="110"/>
        <v>247822.22454576107</v>
      </c>
      <c r="AX159" s="32">
        <f t="shared" si="111"/>
        <v>216054.68514784813</v>
      </c>
      <c r="AY159" s="32">
        <f t="shared" ca="1" si="112"/>
        <v>31767.539397912948</v>
      </c>
      <c r="BA159" s="32">
        <f ca="1">IF($A160="","",F159*Summary!$Q$8)</f>
        <v>0</v>
      </c>
      <c r="BC159" s="256">
        <f t="shared" ca="1" si="115"/>
        <v>64017.106913642914</v>
      </c>
    </row>
    <row r="160" spans="1:55">
      <c r="A160" s="67">
        <f t="shared" si="113"/>
        <v>41609</v>
      </c>
      <c r="B160" s="69">
        <f t="shared" si="116"/>
        <v>80000</v>
      </c>
      <c r="C160" s="71"/>
      <c r="D160" s="69">
        <f t="shared" si="78"/>
        <v>80000</v>
      </c>
      <c r="E160" s="70">
        <f t="shared" si="79"/>
        <v>2480000</v>
      </c>
      <c r="F160" s="70">
        <f t="shared" ca="1" si="80"/>
        <v>728959.24372164137</v>
      </c>
      <c r="G160" s="63">
        <f t="shared" si="81"/>
        <v>4.9020000000000001</v>
      </c>
      <c r="H160" s="64">
        <f t="shared" si="82"/>
        <v>4.9020000000000001</v>
      </c>
      <c r="I160" s="43"/>
      <c r="J160" s="63">
        <f t="shared" si="83"/>
        <v>0.32500000000000001</v>
      </c>
      <c r="K160" s="64">
        <f t="shared" si="84"/>
        <v>0.32500000000000001</v>
      </c>
      <c r="L160" s="63">
        <f t="shared" si="85"/>
        <v>0</v>
      </c>
      <c r="M160" s="64">
        <f t="shared" si="86"/>
        <v>0</v>
      </c>
      <c r="N160" s="65"/>
      <c r="O160" s="63">
        <f t="shared" si="87"/>
        <v>5.2270000000000003</v>
      </c>
      <c r="P160" s="63">
        <f t="shared" si="88"/>
        <v>5.2270000000000003</v>
      </c>
      <c r="Q160" s="66"/>
      <c r="R160" s="63">
        <f t="shared" si="89"/>
        <v>-3.7499999999999999E-2</v>
      </c>
      <c r="S160" s="64">
        <f t="shared" si="90"/>
        <v>-3.7499999999999999E-2</v>
      </c>
      <c r="T160" s="63">
        <f t="shared" si="91"/>
        <v>5.0000000000000001E-3</v>
      </c>
      <c r="U160" s="64">
        <f t="shared" si="92"/>
        <v>5.0000000000000001E-3</v>
      </c>
      <c r="V160" s="207">
        <f>IF($A161="","",IF(AND(MONTH(A160)&gt;3,MONTH(A160)&lt;11),(T160+R160+G160)*Summary!$T$8/(1-Summary!$T$8),(T160+R160+G160)*Summary!$U$8/(1-Summary!$U$8)))</f>
        <v>0.25467131432179313</v>
      </c>
      <c r="W160" s="63">
        <f t="shared" si="93"/>
        <v>5.124171314321794</v>
      </c>
      <c r="X160" s="63">
        <f t="shared" si="94"/>
        <v>5.124171314321794</v>
      </c>
      <c r="Y160" s="43"/>
      <c r="Z160" s="38">
        <f t="shared" si="95"/>
        <v>1.1000000000000001</v>
      </c>
      <c r="AA160" s="38">
        <f t="shared" si="96"/>
        <v>0.17499999999999999</v>
      </c>
      <c r="AB160" s="38">
        <f t="shared" ca="1" si="97"/>
        <v>0.18634371447895093</v>
      </c>
      <c r="AC160" s="38">
        <f t="shared" si="98"/>
        <v>1</v>
      </c>
      <c r="AD160" s="38">
        <f t="shared" si="98"/>
        <v>0.17</v>
      </c>
      <c r="AE160" s="38">
        <f t="shared" ca="1" si="99"/>
        <v>0.17968964929365669</v>
      </c>
      <c r="AF160" s="237">
        <f ca="1">((Summary!$N$8*(AA160*AD160)*(A160-$D$3))+(Summary!$M$8*Z160*AC160*(AJ160-EOMONTH(EDATE(A160,-1),0))))/(AK160*AB160*AE160)</f>
        <v>0.99969387186778824</v>
      </c>
      <c r="AG160" s="88">
        <f>IF($A161="","",Summary!$Q$8)</f>
        <v>0</v>
      </c>
      <c r="AH160" s="88">
        <f>IF($A161="","",IF(Summary!$R$8="Y",(VLOOKUP($A160,Summary!$AD$6:$AF$9,3)+'Escalating commodity'!D173),'Escalating commodity'!D173))</f>
        <v>2.0023199999999998E-2</v>
      </c>
      <c r="AI160" s="88">
        <f t="shared" si="114"/>
        <v>2.0023199999999998E-2</v>
      </c>
      <c r="AJ160" s="236">
        <f t="shared" si="100"/>
        <v>41623.5</v>
      </c>
      <c r="AK160" s="58">
        <f t="shared" ca="1" si="101"/>
        <v>4583</v>
      </c>
      <c r="AL160" s="26">
        <f ca="1">IF($A161="","",_xll.SPRDOPT(P160,X160,AI160,0,AB160,AE160,AF160,AK160,$AJ$2,0))</f>
        <v>0.1126423505565619</v>
      </c>
      <c r="AM160" s="89">
        <f t="shared" si="102"/>
        <v>8.2805485678206364E-2</v>
      </c>
      <c r="AN160" s="89">
        <f t="shared" ca="1" si="103"/>
        <v>2.9836864878355532E-2</v>
      </c>
      <c r="AO160" s="3">
        <f t="shared" si="104"/>
        <v>31</v>
      </c>
      <c r="AP160" s="33">
        <f t="shared" si="105"/>
        <v>41609</v>
      </c>
      <c r="AQ160" s="58">
        <f t="shared" ca="1" si="106"/>
        <v>4583</v>
      </c>
      <c r="AR160" s="38">
        <f>'ANR OK vs ML7'!AR160</f>
        <v>0.1</v>
      </c>
      <c r="AS160" s="35">
        <f t="shared" ca="1" si="107"/>
        <v>0.29393517892001669</v>
      </c>
      <c r="AT160" s="3">
        <f t="shared" si="108"/>
        <v>1</v>
      </c>
      <c r="AU160" s="3">
        <f t="shared" si="109"/>
        <v>31</v>
      </c>
      <c r="AW160" s="32">
        <f t="shared" ca="1" si="110"/>
        <v>279353.02938027348</v>
      </c>
      <c r="AX160" s="32">
        <f t="shared" si="111"/>
        <v>205357.60448195177</v>
      </c>
      <c r="AY160" s="32">
        <f t="shared" ca="1" si="112"/>
        <v>73995.424898321726</v>
      </c>
      <c r="BA160" s="32">
        <f ca="1">IF($A161="","",F160*Summary!$Q$8)</f>
        <v>0</v>
      </c>
      <c r="BC160" s="256">
        <f t="shared" ca="1" si="115"/>
        <v>60361.824215988519</v>
      </c>
    </row>
    <row r="161" spans="1:55">
      <c r="A161" s="67">
        <f t="shared" si="113"/>
        <v>41640</v>
      </c>
      <c r="B161" s="69">
        <f t="shared" si="116"/>
        <v>80000</v>
      </c>
      <c r="C161" s="71"/>
      <c r="D161" s="69">
        <f t="shared" si="78"/>
        <v>80000</v>
      </c>
      <c r="E161" s="70">
        <f t="shared" si="79"/>
        <v>2480000</v>
      </c>
      <c r="F161" s="70">
        <f t="shared" ca="1" si="80"/>
        <v>722946.95503282966</v>
      </c>
      <c r="G161" s="63">
        <f t="shared" si="81"/>
        <v>4.9540000000000006</v>
      </c>
      <c r="H161" s="64">
        <f t="shared" si="82"/>
        <v>4.9540000000000006</v>
      </c>
      <c r="I161" s="43"/>
      <c r="J161" s="63">
        <f t="shared" si="83"/>
        <v>0.32500000000000001</v>
      </c>
      <c r="K161" s="64">
        <f t="shared" si="84"/>
        <v>0.32500000000000001</v>
      </c>
      <c r="L161" s="63">
        <f t="shared" si="85"/>
        <v>0</v>
      </c>
      <c r="M161" s="64">
        <f t="shared" si="86"/>
        <v>0</v>
      </c>
      <c r="N161" s="65"/>
      <c r="O161" s="63">
        <f t="shared" si="87"/>
        <v>5.2790000000000008</v>
      </c>
      <c r="P161" s="63">
        <f t="shared" si="88"/>
        <v>5.2790000000000008</v>
      </c>
      <c r="Q161" s="66"/>
      <c r="R161" s="63">
        <f t="shared" si="89"/>
        <v>-3.7499999999999999E-2</v>
      </c>
      <c r="S161" s="64">
        <f t="shared" si="90"/>
        <v>-3.7499999999999999E-2</v>
      </c>
      <c r="T161" s="63">
        <f t="shared" si="91"/>
        <v>5.0000000000000001E-3</v>
      </c>
      <c r="U161" s="64">
        <f t="shared" si="92"/>
        <v>5.0000000000000001E-3</v>
      </c>
      <c r="V161" s="207">
        <f>IF($A162="","",IF(AND(MONTH(A161)&gt;3,MONTH(A161)&lt;11),(T161+R161+G161)*Summary!$T$8/(1-Summary!$T$8),(T161+R161+G161)*Summary!$U$8/(1-Summary!$U$8)))</f>
        <v>0.25739087656529519</v>
      </c>
      <c r="W161" s="63">
        <f t="shared" si="93"/>
        <v>5.1788908765652959</v>
      </c>
      <c r="X161" s="63">
        <f t="shared" si="94"/>
        <v>5.1788908765652959</v>
      </c>
      <c r="Y161" s="43"/>
      <c r="Z161" s="38">
        <f t="shared" si="95"/>
        <v>1.1000000000000001</v>
      </c>
      <c r="AA161" s="38">
        <f t="shared" si="96"/>
        <v>0.17499999999999999</v>
      </c>
      <c r="AB161" s="38">
        <f t="shared" ca="1" si="97"/>
        <v>0.18626980480489749</v>
      </c>
      <c r="AC161" s="38">
        <f t="shared" si="98"/>
        <v>1</v>
      </c>
      <c r="AD161" s="38">
        <f t="shared" si="98"/>
        <v>0.17</v>
      </c>
      <c r="AE161" s="38">
        <f t="shared" ca="1" si="99"/>
        <v>0.17962629173204137</v>
      </c>
      <c r="AF161" s="237">
        <f ca="1">((Summary!$N$8*(AA161*AD161)*(A161-$D$3))+(Summary!$M$8*Z161*AC161*(AJ161-EOMONTH(EDATE(A161,-1),0))))/(AK161*AB161*AE161)</f>
        <v>0.99969494185217267</v>
      </c>
      <c r="AG161" s="88">
        <f>IF($A162="","",Summary!$Q$8)</f>
        <v>0</v>
      </c>
      <c r="AH161" s="88">
        <f>IF($A162="","",IF(Summary!$R$8="Y",(VLOOKUP($A161,Summary!$AD$6:$AF$9,3)+'Escalating commodity'!D174),'Escalating commodity'!D174))</f>
        <v>2.0023199999999998E-2</v>
      </c>
      <c r="AI161" s="88">
        <f t="shared" si="114"/>
        <v>2.0023199999999998E-2</v>
      </c>
      <c r="AJ161" s="236">
        <f t="shared" si="100"/>
        <v>41654.5</v>
      </c>
      <c r="AK161" s="58">
        <f t="shared" ca="1" si="101"/>
        <v>4614</v>
      </c>
      <c r="AL161" s="26">
        <f ca="1">IF($A162="","",_xll.SPRDOPT(P161,X161,AI161,0,AB161,AE161,AF161,AK161,$AJ$2,0))</f>
        <v>0.11139622627362494</v>
      </c>
      <c r="AM161" s="89">
        <f t="shared" si="102"/>
        <v>8.0085923434704914E-2</v>
      </c>
      <c r="AN161" s="89">
        <f t="shared" ca="1" si="103"/>
        <v>3.1310302838920029E-2</v>
      </c>
      <c r="AO161" s="3">
        <f t="shared" si="104"/>
        <v>31</v>
      </c>
      <c r="AP161" s="33">
        <f t="shared" si="105"/>
        <v>41640</v>
      </c>
      <c r="AQ161" s="58">
        <f t="shared" ca="1" si="106"/>
        <v>4614</v>
      </c>
      <c r="AR161" s="38">
        <f>'ANR OK vs ML7'!AR161</f>
        <v>0.1</v>
      </c>
      <c r="AS161" s="35">
        <f t="shared" ca="1" si="107"/>
        <v>0.29151086896485068</v>
      </c>
      <c r="AT161" s="3">
        <f t="shared" si="108"/>
        <v>1</v>
      </c>
      <c r="AU161" s="3">
        <f t="shared" si="109"/>
        <v>31</v>
      </c>
      <c r="AW161" s="32">
        <f t="shared" ca="1" si="110"/>
        <v>276262.64115858986</v>
      </c>
      <c r="AX161" s="32">
        <f t="shared" si="111"/>
        <v>198613.09011806818</v>
      </c>
      <c r="AY161" s="32">
        <f t="shared" ca="1" si="112"/>
        <v>77649.551040521677</v>
      </c>
      <c r="BA161" s="32">
        <f ca="1">IF($A162="","",F161*Summary!$Q$8)</f>
        <v>0</v>
      </c>
      <c r="BC161" s="256">
        <f t="shared" ca="1" si="115"/>
        <v>57897.874488112255</v>
      </c>
    </row>
    <row r="162" spans="1:55">
      <c r="A162" s="67">
        <f t="shared" si="113"/>
        <v>41671</v>
      </c>
      <c r="B162" s="69">
        <f t="shared" si="116"/>
        <v>80000</v>
      </c>
      <c r="C162" s="71"/>
      <c r="D162" s="69">
        <f t="shared" si="78"/>
        <v>80000</v>
      </c>
      <c r="E162" s="70">
        <f t="shared" si="79"/>
        <v>2240000</v>
      </c>
      <c r="F162" s="70">
        <f t="shared" ca="1" si="80"/>
        <v>647598.68132353073</v>
      </c>
      <c r="G162" s="63">
        <f t="shared" si="81"/>
        <v>4.8340000000000005</v>
      </c>
      <c r="H162" s="64">
        <f t="shared" si="82"/>
        <v>4.8340000000000005</v>
      </c>
      <c r="I162" s="43"/>
      <c r="J162" s="63">
        <f t="shared" si="83"/>
        <v>0.32500000000000001</v>
      </c>
      <c r="K162" s="64">
        <f t="shared" si="84"/>
        <v>0.32500000000000001</v>
      </c>
      <c r="L162" s="63">
        <f t="shared" si="85"/>
        <v>0</v>
      </c>
      <c r="M162" s="64">
        <f t="shared" si="86"/>
        <v>0</v>
      </c>
      <c r="N162" s="65"/>
      <c r="O162" s="63">
        <f t="shared" si="87"/>
        <v>5.1590000000000007</v>
      </c>
      <c r="P162" s="63">
        <f t="shared" si="88"/>
        <v>5.1590000000000007</v>
      </c>
      <c r="Q162" s="66"/>
      <c r="R162" s="63">
        <f t="shared" si="89"/>
        <v>-3.7499999999999999E-2</v>
      </c>
      <c r="S162" s="64">
        <f t="shared" si="90"/>
        <v>-3.7499999999999999E-2</v>
      </c>
      <c r="T162" s="63">
        <f t="shared" si="91"/>
        <v>5.0000000000000001E-3</v>
      </c>
      <c r="U162" s="64">
        <f t="shared" si="92"/>
        <v>5.0000000000000001E-3</v>
      </c>
      <c r="V162" s="207">
        <f>IF($A163="","",IF(AND(MONTH(A162)&gt;3,MONTH(A162)&lt;11),(T162+R162+G162)*Summary!$T$8/(1-Summary!$T$8),(T162+R162+G162)*Summary!$U$8/(1-Summary!$U$8)))</f>
        <v>0.2511149636956751</v>
      </c>
      <c r="W162" s="63">
        <f t="shared" si="93"/>
        <v>5.0526149636956763</v>
      </c>
      <c r="X162" s="63">
        <f t="shared" si="94"/>
        <v>5.0526149636956763</v>
      </c>
      <c r="Y162" s="43"/>
      <c r="Z162" s="38">
        <f t="shared" si="95"/>
        <v>1.1000000000000001</v>
      </c>
      <c r="AA162" s="38">
        <f t="shared" si="96"/>
        <v>0.17499999999999999</v>
      </c>
      <c r="AB162" s="38">
        <f t="shared" ca="1" si="97"/>
        <v>0.18514460644592706</v>
      </c>
      <c r="AC162" s="38">
        <f t="shared" si="98"/>
        <v>1</v>
      </c>
      <c r="AD162" s="38">
        <f t="shared" si="98"/>
        <v>0.17</v>
      </c>
      <c r="AE162" s="38">
        <f t="shared" ca="1" si="99"/>
        <v>0.1786622939661667</v>
      </c>
      <c r="AF162" s="237">
        <f ca="1">((Summary!$N$8*(AA162*AD162)*(A162-$D$3))+(Summary!$M$8*Z162*AC162*(AJ162-EOMONTH(EDATE(A162,-1),0))))/(AK162*AB162*AE162)</f>
        <v>0.99971165101068671</v>
      </c>
      <c r="AG162" s="88">
        <f>IF($A163="","",Summary!$Q$8)</f>
        <v>0</v>
      </c>
      <c r="AH162" s="88">
        <f>IF($A163="","",IF(Summary!$R$8="Y",(VLOOKUP($A162,Summary!$AD$6:$AF$9,3)+'Escalating commodity'!D175),'Escalating commodity'!D175))</f>
        <v>2.0023199999999998E-2</v>
      </c>
      <c r="AI162" s="88">
        <f t="shared" si="114"/>
        <v>2.0023199999999998E-2</v>
      </c>
      <c r="AJ162" s="236">
        <f t="shared" si="100"/>
        <v>41684</v>
      </c>
      <c r="AK162" s="58">
        <f t="shared" ca="1" si="101"/>
        <v>4645</v>
      </c>
      <c r="AL162" s="26">
        <f ca="1">IF($A163="","",_xll.SPRDOPT(P162,X162,AI162,0,AB162,AE162,AF162,AK162,$AJ$2,0))</f>
        <v>0.11356710819039127</v>
      </c>
      <c r="AM162" s="89">
        <f t="shared" si="102"/>
        <v>8.6361836304324396E-2</v>
      </c>
      <c r="AN162" s="89">
        <f t="shared" ca="1" si="103"/>
        <v>2.7205271886066876E-2</v>
      </c>
      <c r="AO162" s="3">
        <f t="shared" si="104"/>
        <v>28</v>
      </c>
      <c r="AP162" s="33">
        <f t="shared" si="105"/>
        <v>41671</v>
      </c>
      <c r="AQ162" s="58">
        <f t="shared" ca="1" si="106"/>
        <v>4645</v>
      </c>
      <c r="AR162" s="38">
        <f>'ANR OK vs ML7'!AR162</f>
        <v>0.1</v>
      </c>
      <c r="AS162" s="35">
        <f t="shared" ca="1" si="107"/>
        <v>0.28910655416229053</v>
      </c>
      <c r="AT162" s="3">
        <f t="shared" si="108"/>
        <v>1</v>
      </c>
      <c r="AU162" s="3">
        <f t="shared" si="109"/>
        <v>28</v>
      </c>
      <c r="AW162" s="32">
        <f t="shared" ca="1" si="110"/>
        <v>254390.32234647646</v>
      </c>
      <c r="AX162" s="32">
        <f t="shared" si="111"/>
        <v>193450.51332168665</v>
      </c>
      <c r="AY162" s="32">
        <f t="shared" ca="1" si="112"/>
        <v>60939.8090247898</v>
      </c>
      <c r="BA162" s="32">
        <f ca="1">IF($A163="","",F162*Summary!$Q$8)</f>
        <v>0</v>
      </c>
      <c r="BC162" s="256">
        <f t="shared" ca="1" si="115"/>
        <v>55927.811307359101</v>
      </c>
    </row>
    <row r="163" spans="1:55">
      <c r="A163" s="67">
        <f t="shared" si="113"/>
        <v>41699</v>
      </c>
      <c r="B163" s="69">
        <f t="shared" si="116"/>
        <v>80000</v>
      </c>
      <c r="C163" s="71"/>
      <c r="D163" s="69">
        <f t="shared" si="78"/>
        <v>80000</v>
      </c>
      <c r="E163" s="70">
        <f t="shared" si="79"/>
        <v>2480000</v>
      </c>
      <c r="F163" s="70">
        <f t="shared" ca="1" si="80"/>
        <v>711640.87082603562</v>
      </c>
      <c r="G163" s="63">
        <f t="shared" si="81"/>
        <v>4.6950000000000003</v>
      </c>
      <c r="H163" s="64">
        <f t="shared" si="82"/>
        <v>4.6950000000000003</v>
      </c>
      <c r="I163" s="43"/>
      <c r="J163" s="63">
        <f t="shared" si="83"/>
        <v>0.32500000000000001</v>
      </c>
      <c r="K163" s="64">
        <f t="shared" si="84"/>
        <v>0.32500000000000001</v>
      </c>
      <c r="L163" s="63">
        <f t="shared" si="85"/>
        <v>0</v>
      </c>
      <c r="M163" s="64">
        <f t="shared" si="86"/>
        <v>0</v>
      </c>
      <c r="N163" s="65"/>
      <c r="O163" s="63">
        <f t="shared" si="87"/>
        <v>5.0200000000000005</v>
      </c>
      <c r="P163" s="63">
        <f t="shared" si="88"/>
        <v>5.0200000000000005</v>
      </c>
      <c r="Q163" s="66"/>
      <c r="R163" s="63">
        <f t="shared" si="89"/>
        <v>-3.7499999999999999E-2</v>
      </c>
      <c r="S163" s="64">
        <f t="shared" si="90"/>
        <v>-3.7499999999999999E-2</v>
      </c>
      <c r="T163" s="63">
        <f t="shared" si="91"/>
        <v>5.0000000000000001E-3</v>
      </c>
      <c r="U163" s="64">
        <f t="shared" si="92"/>
        <v>5.0000000000000001E-3</v>
      </c>
      <c r="V163" s="207">
        <f>IF($A164="","",IF(AND(MONTH(A163)&gt;3,MONTH(A163)&lt;11),(T163+R163+G163)*Summary!$T$8/(1-Summary!$T$8),(T163+R163+G163)*Summary!$U$8/(1-Summary!$U$8)))</f>
        <v>0.24384536462169842</v>
      </c>
      <c r="W163" s="63">
        <f t="shared" si="93"/>
        <v>4.906345364621699</v>
      </c>
      <c r="X163" s="63">
        <f t="shared" si="94"/>
        <v>4.906345364621699</v>
      </c>
      <c r="Y163" s="43"/>
      <c r="Z163" s="38">
        <f t="shared" si="95"/>
        <v>0.75</v>
      </c>
      <c r="AA163" s="38">
        <f t="shared" si="96"/>
        <v>0.17499999999999999</v>
      </c>
      <c r="AB163" s="38">
        <f t="shared" ca="1" si="97"/>
        <v>0.18027014466862976</v>
      </c>
      <c r="AC163" s="38">
        <f t="shared" si="98"/>
        <v>0.75</v>
      </c>
      <c r="AD163" s="38">
        <f t="shared" si="98"/>
        <v>0.17</v>
      </c>
      <c r="AE163" s="38">
        <f t="shared" ca="1" si="99"/>
        <v>0.17541937155562332</v>
      </c>
      <c r="AF163" s="237">
        <f ca="1">((Summary!$N$8*(AA163*AD163)*(A163-$D$3))+(Summary!$M$8*Z163*AC163*(AJ163-EOMONTH(EDATE(A163,-1),0))))/(AK163*AB163*AE163)</f>
        <v>0.99988257514147905</v>
      </c>
      <c r="AG163" s="88">
        <f>IF($A164="","",Summary!$Q$8)</f>
        <v>0</v>
      </c>
      <c r="AH163" s="88">
        <f>IF($A164="","",IF(Summary!$R$8="Y",(VLOOKUP($A163,Summary!$AD$6:$AF$9,3)+'Escalating commodity'!D176),'Escalating commodity'!D176))</f>
        <v>2.0023199999999998E-2</v>
      </c>
      <c r="AI163" s="88">
        <f t="shared" si="114"/>
        <v>2.0023199999999998E-2</v>
      </c>
      <c r="AJ163" s="236">
        <f t="shared" si="100"/>
        <v>41713.5</v>
      </c>
      <c r="AK163" s="58">
        <f t="shared" ca="1" si="101"/>
        <v>4673</v>
      </c>
      <c r="AL163" s="26">
        <f ca="1">IF($A164="","",_xll.SPRDOPT(P163,X163,AI163,0,AB163,AE163,AF163,AK163,$AJ$2,0))</f>
        <v>0.10625502320960085</v>
      </c>
      <c r="AM163" s="89">
        <f t="shared" si="102"/>
        <v>9.3631435378301459E-2</v>
      </c>
      <c r="AN163" s="89">
        <f t="shared" ca="1" si="103"/>
        <v>1.2623587831299396E-2</v>
      </c>
      <c r="AO163" s="3">
        <f t="shared" si="104"/>
        <v>31</v>
      </c>
      <c r="AP163" s="33">
        <f t="shared" si="105"/>
        <v>41699</v>
      </c>
      <c r="AQ163" s="58">
        <f t="shared" ca="1" si="106"/>
        <v>4673</v>
      </c>
      <c r="AR163" s="38">
        <f>'ANR OK vs ML7'!AR163</f>
        <v>0.1</v>
      </c>
      <c r="AS163" s="35">
        <f t="shared" ca="1" si="107"/>
        <v>0.2869519640427563</v>
      </c>
      <c r="AT163" s="3">
        <f t="shared" si="108"/>
        <v>1</v>
      </c>
      <c r="AU163" s="3">
        <f t="shared" si="109"/>
        <v>31</v>
      </c>
      <c r="AW163" s="32">
        <f t="shared" ca="1" si="110"/>
        <v>263512.45755981014</v>
      </c>
      <c r="AX163" s="32">
        <f t="shared" si="111"/>
        <v>232205.95973818761</v>
      </c>
      <c r="AY163" s="32">
        <f t="shared" ca="1" si="112"/>
        <v>31306.497821622503</v>
      </c>
      <c r="BA163" s="32">
        <f ca="1">IF($A164="","",F163*Summary!$Q$8)</f>
        <v>0</v>
      </c>
      <c r="BC163" s="256">
        <f t="shared" ca="1" si="115"/>
        <v>66631.956209306125</v>
      </c>
    </row>
    <row r="164" spans="1:55">
      <c r="A164" s="67">
        <f t="shared" si="113"/>
        <v>41730</v>
      </c>
      <c r="B164" s="69">
        <f t="shared" si="116"/>
        <v>80000</v>
      </c>
      <c r="C164" s="71"/>
      <c r="D164" s="69">
        <f t="shared" si="78"/>
        <v>80000</v>
      </c>
      <c r="E164" s="70">
        <f t="shared" si="79"/>
        <v>2400000</v>
      </c>
      <c r="F164" s="70">
        <f t="shared" ca="1" si="80"/>
        <v>683004.60010228225</v>
      </c>
      <c r="G164" s="63">
        <f t="shared" si="81"/>
        <v>4.5199999999999996</v>
      </c>
      <c r="H164" s="64">
        <f t="shared" si="82"/>
        <v>4.5199999999999996</v>
      </c>
      <c r="I164" s="43"/>
      <c r="J164" s="63">
        <f t="shared" si="83"/>
        <v>0.21</v>
      </c>
      <c r="K164" s="64">
        <f t="shared" si="84"/>
        <v>0.21</v>
      </c>
      <c r="L164" s="63">
        <f t="shared" si="85"/>
        <v>0</v>
      </c>
      <c r="M164" s="64">
        <f t="shared" si="86"/>
        <v>0</v>
      </c>
      <c r="N164" s="65"/>
      <c r="O164" s="63">
        <f t="shared" si="87"/>
        <v>4.7299999999999995</v>
      </c>
      <c r="P164" s="63">
        <f t="shared" si="88"/>
        <v>4.7299999999999995</v>
      </c>
      <c r="Q164" s="66"/>
      <c r="R164" s="63">
        <f t="shared" si="89"/>
        <v>-3.5000000000000003E-2</v>
      </c>
      <c r="S164" s="64">
        <f t="shared" si="90"/>
        <v>-3.5000000000000003E-2</v>
      </c>
      <c r="T164" s="63">
        <f t="shared" si="91"/>
        <v>0</v>
      </c>
      <c r="U164" s="64">
        <f t="shared" si="92"/>
        <v>0</v>
      </c>
      <c r="V164" s="207">
        <f>IF($A165="","",IF(AND(MONTH(A164)&gt;3,MONTH(A164)&lt;11),(T164+R164+G164)*Summary!$T$8/(1-Summary!$T$8),(T164+R164+G164)*Summary!$U$8/(1-Summary!$U$8)))</f>
        <v>0.23456224350205196</v>
      </c>
      <c r="W164" s="63">
        <f t="shared" si="93"/>
        <v>4.7195622435020512</v>
      </c>
      <c r="X164" s="63">
        <f t="shared" si="94"/>
        <v>4.7195622435020512</v>
      </c>
      <c r="Y164" s="43"/>
      <c r="Z164" s="38">
        <f t="shared" si="95"/>
        <v>0.45</v>
      </c>
      <c r="AA164" s="38">
        <f t="shared" si="96"/>
        <v>0.17499999999999999</v>
      </c>
      <c r="AB164" s="38">
        <f t="shared" ca="1" si="97"/>
        <v>0.17685371768069505</v>
      </c>
      <c r="AC164" s="38">
        <f t="shared" si="98"/>
        <v>0.4</v>
      </c>
      <c r="AD164" s="38">
        <f t="shared" si="98"/>
        <v>0.17</v>
      </c>
      <c r="AE164" s="38">
        <f t="shared" ca="1" si="99"/>
        <v>0.17151194649095339</v>
      </c>
      <c r="AF164" s="237">
        <f ca="1">((Summary!$N$8*(AA164*AD164)*(A164-$D$3))+(Summary!$M$8*Z164*AC164*(AJ164-EOMONTH(EDATE(A164,-1),0))))/(AK164*AB164*AE164)</f>
        <v>0.99982866578509066</v>
      </c>
      <c r="AG164" s="88">
        <f>IF($A165="","",Summary!$Q$8)</f>
        <v>0</v>
      </c>
      <c r="AH164" s="88">
        <f>IF($A165="","",IF(Summary!$R$8="Y",(VLOOKUP($A164,Summary!$AD$6:$AF$9,3)+'Escalating commodity'!D177),'Escalating commodity'!D177))</f>
        <v>2.0023199999999998E-2</v>
      </c>
      <c r="AI164" s="88">
        <f t="shared" si="114"/>
        <v>2.0023199999999998E-2</v>
      </c>
      <c r="AJ164" s="236">
        <f t="shared" si="100"/>
        <v>41744</v>
      </c>
      <c r="AK164" s="58">
        <f t="shared" ca="1" si="101"/>
        <v>4704</v>
      </c>
      <c r="AL164" s="26">
        <f ca="1">IF($A165="","",_xll.SPRDOPT(P164,X164,AI164,0,AB164,AE164,AF164,AK164,$AJ$2,0))</f>
        <v>4.0484484912924598E-2</v>
      </c>
      <c r="AM164" s="89">
        <f t="shared" si="102"/>
        <v>0</v>
      </c>
      <c r="AN164" s="89">
        <f t="shared" ca="1" si="103"/>
        <v>4.0484484912924598E-2</v>
      </c>
      <c r="AO164" s="3">
        <f t="shared" si="104"/>
        <v>30</v>
      </c>
      <c r="AP164" s="33">
        <f t="shared" si="105"/>
        <v>41730</v>
      </c>
      <c r="AQ164" s="58">
        <f t="shared" ca="1" si="106"/>
        <v>4704</v>
      </c>
      <c r="AR164" s="38">
        <f>'ANR OK vs ML7'!AR164</f>
        <v>0.1</v>
      </c>
      <c r="AS164" s="35">
        <f t="shared" ca="1" si="107"/>
        <v>0.28458525004261759</v>
      </c>
      <c r="AT164" s="3">
        <f t="shared" si="108"/>
        <v>1</v>
      </c>
      <c r="AU164" s="3">
        <f t="shared" si="109"/>
        <v>30</v>
      </c>
      <c r="AW164" s="32">
        <f t="shared" ca="1" si="110"/>
        <v>97162.763791019039</v>
      </c>
      <c r="AX164" s="32">
        <f t="shared" si="111"/>
        <v>0</v>
      </c>
      <c r="AY164" s="32">
        <f t="shared" ca="1" si="112"/>
        <v>97162.763791019039</v>
      </c>
      <c r="BA164" s="32">
        <f ca="1">IF($A165="","",F164*Summary!$Q$8)</f>
        <v>0</v>
      </c>
      <c r="BC164" s="256">
        <f t="shared" ca="1" si="115"/>
        <v>0</v>
      </c>
    </row>
    <row r="165" spans="1:55">
      <c r="A165" s="67">
        <f t="shared" si="113"/>
        <v>41760</v>
      </c>
      <c r="B165" s="69">
        <f t="shared" si="116"/>
        <v>80000</v>
      </c>
      <c r="C165" s="71"/>
      <c r="D165" s="69">
        <f t="shared" si="78"/>
        <v>80000</v>
      </c>
      <c r="E165" s="70">
        <f t="shared" si="79"/>
        <v>2480000</v>
      </c>
      <c r="F165" s="70">
        <f t="shared" ca="1" si="80"/>
        <v>700137.4032590196</v>
      </c>
      <c r="G165" s="63">
        <f t="shared" si="81"/>
        <v>4.49</v>
      </c>
      <c r="H165" s="64">
        <f t="shared" si="82"/>
        <v>4.49</v>
      </c>
      <c r="I165" s="43"/>
      <c r="J165" s="63">
        <f t="shared" si="83"/>
        <v>0.21</v>
      </c>
      <c r="K165" s="64">
        <f t="shared" si="84"/>
        <v>0.21</v>
      </c>
      <c r="L165" s="63">
        <f t="shared" si="85"/>
        <v>0</v>
      </c>
      <c r="M165" s="64">
        <f t="shared" si="86"/>
        <v>0</v>
      </c>
      <c r="N165" s="65"/>
      <c r="O165" s="63">
        <f t="shared" si="87"/>
        <v>4.7</v>
      </c>
      <c r="P165" s="63">
        <f t="shared" si="88"/>
        <v>4.7</v>
      </c>
      <c r="Q165" s="66"/>
      <c r="R165" s="63">
        <f t="shared" si="89"/>
        <v>-3.5000000000000003E-2</v>
      </c>
      <c r="S165" s="64">
        <f t="shared" si="90"/>
        <v>-3.5000000000000003E-2</v>
      </c>
      <c r="T165" s="63">
        <f t="shared" si="91"/>
        <v>0</v>
      </c>
      <c r="U165" s="64">
        <f t="shared" si="92"/>
        <v>0</v>
      </c>
      <c r="V165" s="207">
        <f>IF($A166="","",IF(AND(MONTH(A165)&gt;3,MONTH(A165)&lt;11),(T165+R165+G165)*Summary!$T$8/(1-Summary!$T$8),(T165+R165+G165)*Summary!$U$8/(1-Summary!$U$8)))</f>
        <v>0.23299326528464695</v>
      </c>
      <c r="W165" s="63">
        <f t="shared" si="93"/>
        <v>4.6879932652846472</v>
      </c>
      <c r="X165" s="63">
        <f t="shared" si="94"/>
        <v>4.6879932652846472</v>
      </c>
      <c r="Y165" s="43"/>
      <c r="Z165" s="38">
        <f t="shared" si="95"/>
        <v>0.5</v>
      </c>
      <c r="AA165" s="38">
        <f t="shared" si="96"/>
        <v>0.17499999999999999</v>
      </c>
      <c r="AB165" s="38">
        <f t="shared" ca="1" si="97"/>
        <v>0.17734152317728363</v>
      </c>
      <c r="AC165" s="38">
        <f t="shared" si="98"/>
        <v>0.45</v>
      </c>
      <c r="AD165" s="38">
        <f t="shared" si="98"/>
        <v>0.17</v>
      </c>
      <c r="AE165" s="38">
        <f t="shared" ca="1" si="99"/>
        <v>0.17195676080824421</v>
      </c>
      <c r="AF165" s="237">
        <f ca="1">((Summary!$N$8*(AA165*AD165)*(A165-$D$3))+(Summary!$M$8*Z165*AC165*(AJ165-EOMONTH(EDATE(A165,-1),0))))/(AK165*AB165*AE165)</f>
        <v>0.99983363970660744</v>
      </c>
      <c r="AG165" s="88">
        <f>IF($A166="","",Summary!$Q$8)</f>
        <v>0</v>
      </c>
      <c r="AH165" s="88">
        <f>IF($A166="","",IF(Summary!$R$8="Y",(VLOOKUP($A165,Summary!$AD$6:$AF$9,3)+'Escalating commodity'!D178),'Escalating commodity'!D178))</f>
        <v>2.0023199999999998E-2</v>
      </c>
      <c r="AI165" s="88">
        <f t="shared" si="114"/>
        <v>2.0023199999999998E-2</v>
      </c>
      <c r="AJ165" s="236">
        <f t="shared" si="100"/>
        <v>41774.5</v>
      </c>
      <c r="AK165" s="58">
        <f t="shared" ca="1" si="101"/>
        <v>4734</v>
      </c>
      <c r="AL165" s="26">
        <f ca="1">IF($A166="","",_xll.SPRDOPT(P165,X165,AI165,0,AB165,AE165,AF165,AK165,$AJ$2,0))</f>
        <v>4.1318618985522956E-2</v>
      </c>
      <c r="AM165" s="89">
        <f t="shared" si="102"/>
        <v>0</v>
      </c>
      <c r="AN165" s="89">
        <f t="shared" ca="1" si="103"/>
        <v>4.1318618985522956E-2</v>
      </c>
      <c r="AO165" s="3">
        <f t="shared" si="104"/>
        <v>31</v>
      </c>
      <c r="AP165" s="33">
        <f t="shared" si="105"/>
        <v>41760</v>
      </c>
      <c r="AQ165" s="58">
        <f t="shared" ca="1" si="106"/>
        <v>4734</v>
      </c>
      <c r="AR165" s="38">
        <f>'ANR OK vs ML7'!AR165</f>
        <v>0.1</v>
      </c>
      <c r="AS165" s="35">
        <f t="shared" ca="1" si="107"/>
        <v>0.28231346905605631</v>
      </c>
      <c r="AT165" s="3">
        <f t="shared" si="108"/>
        <v>1</v>
      </c>
      <c r="AU165" s="3">
        <f t="shared" si="109"/>
        <v>31</v>
      </c>
      <c r="AW165" s="32">
        <f t="shared" ca="1" si="110"/>
        <v>102470.17508409693</v>
      </c>
      <c r="AX165" s="32">
        <f t="shared" si="111"/>
        <v>0</v>
      </c>
      <c r="AY165" s="32">
        <f t="shared" ca="1" si="112"/>
        <v>102470.17508409693</v>
      </c>
      <c r="BA165" s="32">
        <f ca="1">IF($A166="","",F165*Summary!$Q$8)</f>
        <v>0</v>
      </c>
      <c r="BC165" s="256">
        <f t="shared" ca="1" si="115"/>
        <v>0</v>
      </c>
    </row>
    <row r="166" spans="1:55">
      <c r="A166" s="67">
        <f t="shared" si="113"/>
        <v>41791</v>
      </c>
      <c r="B166" s="69">
        <f t="shared" si="116"/>
        <v>80000</v>
      </c>
      <c r="C166" s="71"/>
      <c r="D166" s="69">
        <f t="shared" si="78"/>
        <v>80000</v>
      </c>
      <c r="E166" s="70">
        <f t="shared" si="79"/>
        <v>2400000</v>
      </c>
      <c r="F166" s="70">
        <f t="shared" ca="1" si="80"/>
        <v>671964.02951745992</v>
      </c>
      <c r="G166" s="63">
        <f t="shared" si="81"/>
        <v>4.5599999999999996</v>
      </c>
      <c r="H166" s="64">
        <f t="shared" si="82"/>
        <v>4.5599999999999996</v>
      </c>
      <c r="I166" s="43"/>
      <c r="J166" s="63">
        <f t="shared" si="83"/>
        <v>0.21</v>
      </c>
      <c r="K166" s="64">
        <f t="shared" si="84"/>
        <v>0.21</v>
      </c>
      <c r="L166" s="63">
        <f t="shared" si="85"/>
        <v>0</v>
      </c>
      <c r="M166" s="64">
        <f t="shared" si="86"/>
        <v>0</v>
      </c>
      <c r="N166" s="65"/>
      <c r="O166" s="63">
        <f t="shared" si="87"/>
        <v>4.7699999999999996</v>
      </c>
      <c r="P166" s="63">
        <f t="shared" si="88"/>
        <v>4.7699999999999996</v>
      </c>
      <c r="Q166" s="66"/>
      <c r="R166" s="63">
        <f t="shared" si="89"/>
        <v>-3.5000000000000003E-2</v>
      </c>
      <c r="S166" s="64">
        <f t="shared" si="90"/>
        <v>-3.5000000000000003E-2</v>
      </c>
      <c r="T166" s="63">
        <f t="shared" si="91"/>
        <v>0</v>
      </c>
      <c r="U166" s="64">
        <f t="shared" si="92"/>
        <v>0</v>
      </c>
      <c r="V166" s="207">
        <f>IF($A167="","",IF(AND(MONTH(A166)&gt;3,MONTH(A166)&lt;11),(T166+R166+G166)*Summary!$T$8/(1-Summary!$T$8),(T166+R166+G166)*Summary!$U$8/(1-Summary!$U$8)))</f>
        <v>0.23665421445859197</v>
      </c>
      <c r="W166" s="63">
        <f t="shared" si="93"/>
        <v>4.7616542144585914</v>
      </c>
      <c r="X166" s="63">
        <f t="shared" si="94"/>
        <v>4.7616542144585914</v>
      </c>
      <c r="Y166" s="43"/>
      <c r="Z166" s="38">
        <f t="shared" si="95"/>
        <v>0.5</v>
      </c>
      <c r="AA166" s="38">
        <f t="shared" si="96"/>
        <v>0.17499999999999999</v>
      </c>
      <c r="AB166" s="38">
        <f t="shared" ca="1" si="97"/>
        <v>0.17725240627395036</v>
      </c>
      <c r="AC166" s="38">
        <f t="shared" si="98"/>
        <v>0.45</v>
      </c>
      <c r="AD166" s="38">
        <f t="shared" si="98"/>
        <v>0.17</v>
      </c>
      <c r="AE166" s="38">
        <f t="shared" ca="1" si="99"/>
        <v>0.17188230190537249</v>
      </c>
      <c r="AF166" s="237">
        <f ca="1">((Summary!$N$8*(AA166*AD166)*(A166-$D$3))+(Summary!$M$8*Z166*AC166*(AJ166-EOMONTH(EDATE(A166,-1),0))))/(AK166*AB166*AE166)</f>
        <v>0.9998360766414921</v>
      </c>
      <c r="AG166" s="88">
        <f>IF($A167="","",Summary!$Q$8)</f>
        <v>0</v>
      </c>
      <c r="AH166" s="88">
        <f>IF($A167="","",IF(Summary!$R$8="Y",(VLOOKUP($A166,Summary!$AD$6:$AF$9,3)+'Escalating commodity'!D179),'Escalating commodity'!D179))</f>
        <v>2.0023199999999998E-2</v>
      </c>
      <c r="AI166" s="88">
        <f t="shared" si="114"/>
        <v>2.0023199999999998E-2</v>
      </c>
      <c r="AJ166" s="236">
        <f t="shared" si="100"/>
        <v>41805</v>
      </c>
      <c r="AK166" s="58">
        <f t="shared" ca="1" si="101"/>
        <v>4765</v>
      </c>
      <c r="AL166" s="26">
        <f ca="1">IF($A167="","",_xll.SPRDOPT(P166,X166,AI166,0,AB166,AE166,AF166,AK166,$AJ$2,0))</f>
        <v>4.0060416878237054E-2</v>
      </c>
      <c r="AM166" s="89">
        <f t="shared" si="102"/>
        <v>0</v>
      </c>
      <c r="AN166" s="89">
        <f t="shared" ca="1" si="103"/>
        <v>4.0060416878237054E-2</v>
      </c>
      <c r="AO166" s="3">
        <f t="shared" si="104"/>
        <v>30</v>
      </c>
      <c r="AP166" s="33">
        <f t="shared" si="105"/>
        <v>41791</v>
      </c>
      <c r="AQ166" s="58">
        <f t="shared" ca="1" si="106"/>
        <v>4765</v>
      </c>
      <c r="AR166" s="38">
        <f>'ANR OK vs ML7'!AR166</f>
        <v>0.1</v>
      </c>
      <c r="AS166" s="35">
        <f t="shared" ca="1" si="107"/>
        <v>0.27998501229894163</v>
      </c>
      <c r="AT166" s="3">
        <f t="shared" si="108"/>
        <v>1</v>
      </c>
      <c r="AU166" s="3">
        <f t="shared" si="109"/>
        <v>30</v>
      </c>
      <c r="AW166" s="32">
        <f t="shared" ca="1" si="110"/>
        <v>96145.000507768927</v>
      </c>
      <c r="AX166" s="32">
        <f t="shared" si="111"/>
        <v>0</v>
      </c>
      <c r="AY166" s="32">
        <f t="shared" ca="1" si="112"/>
        <v>96145.000507768927</v>
      </c>
      <c r="BA166" s="32">
        <f ca="1">IF($A167="","",F166*Summary!$Q$8)</f>
        <v>0</v>
      </c>
      <c r="BC166" s="256">
        <f t="shared" ca="1" si="115"/>
        <v>0</v>
      </c>
    </row>
    <row r="167" spans="1:55">
      <c r="A167" s="67">
        <f t="shared" si="113"/>
        <v>41821</v>
      </c>
      <c r="B167" s="69">
        <f t="shared" si="116"/>
        <v>80000</v>
      </c>
      <c r="C167" s="71"/>
      <c r="D167" s="69">
        <f t="shared" si="78"/>
        <v>80000</v>
      </c>
      <c r="E167" s="70">
        <f t="shared" si="79"/>
        <v>2480000</v>
      </c>
      <c r="F167" s="70">
        <f t="shared" ca="1" si="80"/>
        <v>688819.88589735341</v>
      </c>
      <c r="G167" s="63">
        <f t="shared" si="81"/>
        <v>4.6150000000000002</v>
      </c>
      <c r="H167" s="64">
        <f t="shared" si="82"/>
        <v>4.6150000000000002</v>
      </c>
      <c r="I167" s="43"/>
      <c r="J167" s="63">
        <f t="shared" si="83"/>
        <v>0.21</v>
      </c>
      <c r="K167" s="64">
        <f t="shared" si="84"/>
        <v>0.21</v>
      </c>
      <c r="L167" s="63">
        <f t="shared" si="85"/>
        <v>0</v>
      </c>
      <c r="M167" s="64">
        <f t="shared" si="86"/>
        <v>0</v>
      </c>
      <c r="N167" s="65"/>
      <c r="O167" s="63">
        <f t="shared" si="87"/>
        <v>4.8250000000000002</v>
      </c>
      <c r="P167" s="63">
        <f t="shared" si="88"/>
        <v>4.8250000000000002</v>
      </c>
      <c r="Q167" s="66"/>
      <c r="R167" s="63">
        <f t="shared" si="89"/>
        <v>-3.5000000000000003E-2</v>
      </c>
      <c r="S167" s="64">
        <f t="shared" si="90"/>
        <v>-3.5000000000000003E-2</v>
      </c>
      <c r="T167" s="63">
        <f t="shared" si="91"/>
        <v>0</v>
      </c>
      <c r="U167" s="64">
        <f t="shared" si="92"/>
        <v>0</v>
      </c>
      <c r="V167" s="207">
        <f>IF($A168="","",IF(AND(MONTH(A167)&gt;3,MONTH(A167)&lt;11),(T167+R167+G167)*Summary!$T$8/(1-Summary!$T$8),(T167+R167+G167)*Summary!$U$8/(1-Summary!$U$8)))</f>
        <v>0.23953067452383456</v>
      </c>
      <c r="W167" s="63">
        <f t="shared" si="93"/>
        <v>4.8195306745238344</v>
      </c>
      <c r="X167" s="63">
        <f t="shared" si="94"/>
        <v>4.8195306745238344</v>
      </c>
      <c r="Y167" s="43"/>
      <c r="Z167" s="38">
        <f t="shared" si="95"/>
        <v>0.55000000000000004</v>
      </c>
      <c r="AA167" s="38">
        <f t="shared" si="96"/>
        <v>0.17499999999999999</v>
      </c>
      <c r="AB167" s="38">
        <f t="shared" ca="1" si="97"/>
        <v>0.17778984325005182</v>
      </c>
      <c r="AC167" s="38">
        <f t="shared" si="98"/>
        <v>0.5</v>
      </c>
      <c r="AD167" s="38">
        <f t="shared" si="98"/>
        <v>0.17</v>
      </c>
      <c r="AE167" s="38">
        <f t="shared" ca="1" si="99"/>
        <v>0.17237795852121468</v>
      </c>
      <c r="AF167" s="237">
        <f ca="1">((Summary!$N$8*(AA167*AD167)*(A167-$D$3))+(Summary!$M$8*Z167*AC167*(AJ167-EOMONTH(EDATE(A167,-1),0))))/(AK167*AB167*AE167)</f>
        <v>0.99984094239128973</v>
      </c>
      <c r="AG167" s="88">
        <f>IF($A168="","",Summary!$Q$8)</f>
        <v>0</v>
      </c>
      <c r="AH167" s="88">
        <f>IF($A168="","",IF(Summary!$R$8="Y",(VLOOKUP($A167,Summary!$AD$6:$AF$9,3)+'Escalating commodity'!D180),'Escalating commodity'!D180))</f>
        <v>2.0023199999999998E-2</v>
      </c>
      <c r="AI167" s="88">
        <f t="shared" si="114"/>
        <v>2.0023199999999998E-2</v>
      </c>
      <c r="AJ167" s="236">
        <f t="shared" si="100"/>
        <v>41835.5</v>
      </c>
      <c r="AK167" s="58">
        <f t="shared" ca="1" si="101"/>
        <v>4795</v>
      </c>
      <c r="AL167" s="26">
        <f ca="1">IF($A168="","",_xll.SPRDOPT(P167,X167,AI167,0,AB167,AE167,AF167,AK167,$AJ$2,0))</f>
        <v>3.961361279788661E-2</v>
      </c>
      <c r="AM167" s="89">
        <f t="shared" si="102"/>
        <v>0</v>
      </c>
      <c r="AN167" s="89">
        <f t="shared" ca="1" si="103"/>
        <v>3.961361279788661E-2</v>
      </c>
      <c r="AO167" s="3">
        <f t="shared" si="104"/>
        <v>31</v>
      </c>
      <c r="AP167" s="33">
        <f t="shared" si="105"/>
        <v>41821</v>
      </c>
      <c r="AQ167" s="58">
        <f t="shared" ca="1" si="106"/>
        <v>4795</v>
      </c>
      <c r="AR167" s="38">
        <f>'ANR OK vs ML7'!AR167</f>
        <v>0.1</v>
      </c>
      <c r="AS167" s="35">
        <f t="shared" ca="1" si="107"/>
        <v>0.27774995399086833</v>
      </c>
      <c r="AT167" s="3">
        <f t="shared" si="108"/>
        <v>1</v>
      </c>
      <c r="AU167" s="3">
        <f t="shared" si="109"/>
        <v>31</v>
      </c>
      <c r="AW167" s="32">
        <f t="shared" ca="1" si="110"/>
        <v>98241.759738758788</v>
      </c>
      <c r="AX167" s="32">
        <f t="shared" si="111"/>
        <v>0</v>
      </c>
      <c r="AY167" s="32">
        <f t="shared" ca="1" si="112"/>
        <v>98241.759738758788</v>
      </c>
      <c r="BA167" s="32">
        <f ca="1">IF($A168="","",F167*Summary!$Q$8)</f>
        <v>0</v>
      </c>
      <c r="BC167" s="256">
        <f t="shared" ca="1" si="115"/>
        <v>0</v>
      </c>
    </row>
    <row r="168" spans="1:55">
      <c r="A168" s="67">
        <f t="shared" si="113"/>
        <v>41852</v>
      </c>
      <c r="B168" s="69">
        <f t="shared" si="116"/>
        <v>80000</v>
      </c>
      <c r="C168" s="71"/>
      <c r="D168" s="69">
        <f t="shared" si="78"/>
        <v>80000</v>
      </c>
      <c r="E168" s="70">
        <f t="shared" si="79"/>
        <v>2480000</v>
      </c>
      <c r="F168" s="70">
        <f t="shared" ca="1" si="80"/>
        <v>683138.6574277539</v>
      </c>
      <c r="G168" s="63">
        <f t="shared" si="81"/>
        <v>4.6710000000000003</v>
      </c>
      <c r="H168" s="64">
        <f t="shared" si="82"/>
        <v>4.6710000000000003</v>
      </c>
      <c r="I168" s="43"/>
      <c r="J168" s="63">
        <f t="shared" si="83"/>
        <v>0.21</v>
      </c>
      <c r="K168" s="64">
        <f t="shared" si="84"/>
        <v>0.21</v>
      </c>
      <c r="L168" s="63">
        <f t="shared" si="85"/>
        <v>0</v>
      </c>
      <c r="M168" s="64">
        <f t="shared" si="86"/>
        <v>0</v>
      </c>
      <c r="N168" s="65"/>
      <c r="O168" s="63">
        <f t="shared" si="87"/>
        <v>4.8810000000000002</v>
      </c>
      <c r="P168" s="63">
        <f t="shared" si="88"/>
        <v>4.8810000000000002</v>
      </c>
      <c r="Q168" s="66"/>
      <c r="R168" s="63">
        <f t="shared" si="89"/>
        <v>-3.5000000000000003E-2</v>
      </c>
      <c r="S168" s="64">
        <f t="shared" si="90"/>
        <v>-3.5000000000000003E-2</v>
      </c>
      <c r="T168" s="63">
        <f t="shared" si="91"/>
        <v>0</v>
      </c>
      <c r="U168" s="64">
        <f t="shared" si="92"/>
        <v>0</v>
      </c>
      <c r="V168" s="207">
        <f>IF($A169="","",IF(AND(MONTH(A168)&gt;3,MONTH(A168)&lt;11),(T168+R168+G168)*Summary!$T$8/(1-Summary!$T$8),(T168+R168+G168)*Summary!$U$8/(1-Summary!$U$8)))</f>
        <v>0.24245943386299063</v>
      </c>
      <c r="W168" s="63">
        <f t="shared" si="93"/>
        <v>4.8784594338629912</v>
      </c>
      <c r="X168" s="63">
        <f t="shared" si="94"/>
        <v>4.8784594338629912</v>
      </c>
      <c r="Y168" s="43"/>
      <c r="Z168" s="38">
        <f t="shared" si="95"/>
        <v>0.6</v>
      </c>
      <c r="AA168" s="38">
        <f t="shared" si="96"/>
        <v>0.17499999999999999</v>
      </c>
      <c r="AB168" s="38">
        <f t="shared" ca="1" si="97"/>
        <v>0.17829072573854279</v>
      </c>
      <c r="AC168" s="38">
        <f t="shared" si="98"/>
        <v>0.55000000000000004</v>
      </c>
      <c r="AD168" s="38">
        <f t="shared" si="98"/>
        <v>0.17</v>
      </c>
      <c r="AE168" s="38">
        <f t="shared" ca="1" si="99"/>
        <v>0.17285123284076132</v>
      </c>
      <c r="AF168" s="237">
        <f ca="1">((Summary!$N$8*(AA168*AD168)*(A168-$D$3))+(Summary!$M$8*Z168*AC168*(AJ168-EOMONTH(EDATE(A168,-1),0))))/(AK168*AB168*AE168)</f>
        <v>0.9998475270336864</v>
      </c>
      <c r="AG168" s="88">
        <f>IF($A169="","",Summary!$Q$8)</f>
        <v>0</v>
      </c>
      <c r="AH168" s="88">
        <f>IF($A169="","",IF(Summary!$R$8="Y",(VLOOKUP($A168,Summary!$AD$6:$AF$9,3)+'Escalating commodity'!D181),'Escalating commodity'!D181))</f>
        <v>2.0023199999999998E-2</v>
      </c>
      <c r="AI168" s="88">
        <f t="shared" si="114"/>
        <v>2.0023199999999998E-2</v>
      </c>
      <c r="AJ168" s="236">
        <f t="shared" si="100"/>
        <v>41866.5</v>
      </c>
      <c r="AK168" s="58">
        <f t="shared" ca="1" si="101"/>
        <v>4826</v>
      </c>
      <c r="AL168" s="26">
        <f ca="1">IF($A169="","",_xll.SPRDOPT(P168,X168,AI168,0,AB168,AE168,AF168,AK168,$AJ$2,0))</f>
        <v>3.9039406978221426E-2</v>
      </c>
      <c r="AM168" s="89">
        <f t="shared" si="102"/>
        <v>0</v>
      </c>
      <c r="AN168" s="89">
        <f t="shared" ca="1" si="103"/>
        <v>3.9039406978221426E-2</v>
      </c>
      <c r="AO168" s="3">
        <f t="shared" si="104"/>
        <v>31</v>
      </c>
      <c r="AP168" s="33">
        <f t="shared" si="105"/>
        <v>41852</v>
      </c>
      <c r="AQ168" s="58">
        <f t="shared" ca="1" si="106"/>
        <v>4826</v>
      </c>
      <c r="AR168" s="38">
        <f>'ANR OK vs ML7'!AR168</f>
        <v>0.1</v>
      </c>
      <c r="AS168" s="35">
        <f t="shared" ca="1" si="107"/>
        <v>0.27545913605957817</v>
      </c>
      <c r="AT168" s="3">
        <f t="shared" si="108"/>
        <v>1</v>
      </c>
      <c r="AU168" s="3">
        <f t="shared" si="109"/>
        <v>31</v>
      </c>
      <c r="AW168" s="32">
        <f t="shared" ca="1" si="110"/>
        <v>96817.729305989138</v>
      </c>
      <c r="AX168" s="32">
        <f t="shared" si="111"/>
        <v>0</v>
      </c>
      <c r="AY168" s="32">
        <f t="shared" ca="1" si="112"/>
        <v>96817.729305989138</v>
      </c>
      <c r="BA168" s="32">
        <f ca="1">IF($A169="","",F168*Summary!$Q$8)</f>
        <v>0</v>
      </c>
      <c r="BC168" s="256">
        <f t="shared" ca="1" si="115"/>
        <v>0</v>
      </c>
    </row>
    <row r="169" spans="1:55">
      <c r="A169" s="67">
        <f t="shared" si="113"/>
        <v>41883</v>
      </c>
      <c r="B169" s="69">
        <f t="shared" si="116"/>
        <v>80000</v>
      </c>
      <c r="C169" s="71"/>
      <c r="D169" s="69">
        <f t="shared" si="78"/>
        <v>80000</v>
      </c>
      <c r="E169" s="70">
        <f t="shared" si="79"/>
        <v>2400000</v>
      </c>
      <c r="F169" s="70">
        <f t="shared" ca="1" si="80"/>
        <v>655649.30944629887</v>
      </c>
      <c r="G169" s="63">
        <f t="shared" si="81"/>
        <v>4.6849999999999996</v>
      </c>
      <c r="H169" s="64">
        <f t="shared" si="82"/>
        <v>4.6849999999999996</v>
      </c>
      <c r="I169" s="43"/>
      <c r="J169" s="63">
        <f t="shared" si="83"/>
        <v>0.21</v>
      </c>
      <c r="K169" s="64">
        <f t="shared" si="84"/>
        <v>0.21</v>
      </c>
      <c r="L169" s="63">
        <f t="shared" si="85"/>
        <v>0</v>
      </c>
      <c r="M169" s="64">
        <f t="shared" si="86"/>
        <v>0</v>
      </c>
      <c r="N169" s="65"/>
      <c r="O169" s="63">
        <f t="shared" si="87"/>
        <v>4.8949999999999996</v>
      </c>
      <c r="P169" s="63">
        <f t="shared" si="88"/>
        <v>4.8949999999999996</v>
      </c>
      <c r="Q169" s="66"/>
      <c r="R169" s="63">
        <f t="shared" si="89"/>
        <v>-3.5000000000000003E-2</v>
      </c>
      <c r="S169" s="64">
        <f t="shared" si="90"/>
        <v>-3.5000000000000003E-2</v>
      </c>
      <c r="T169" s="63">
        <f t="shared" si="91"/>
        <v>0</v>
      </c>
      <c r="U169" s="64">
        <f t="shared" si="92"/>
        <v>0</v>
      </c>
      <c r="V169" s="207">
        <f>IF($A170="","",IF(AND(MONTH(A169)&gt;3,MONTH(A169)&lt;11),(T169+R169+G169)*Summary!$T$8/(1-Summary!$T$8),(T169+R169+G169)*Summary!$U$8/(1-Summary!$U$8)))</f>
        <v>0.24319162369777961</v>
      </c>
      <c r="W169" s="63">
        <f t="shared" si="93"/>
        <v>4.8931916236977795</v>
      </c>
      <c r="X169" s="63">
        <f t="shared" si="94"/>
        <v>4.8931916236977795</v>
      </c>
      <c r="Y169" s="43"/>
      <c r="Z169" s="38">
        <f t="shared" si="95"/>
        <v>0.6</v>
      </c>
      <c r="AA169" s="38">
        <f t="shared" si="96"/>
        <v>0.17499999999999999</v>
      </c>
      <c r="AB169" s="38">
        <f t="shared" ca="1" si="97"/>
        <v>0.17816594157783308</v>
      </c>
      <c r="AC169" s="38">
        <f t="shared" si="98"/>
        <v>0.55000000000000004</v>
      </c>
      <c r="AD169" s="38">
        <f t="shared" si="98"/>
        <v>0.17</v>
      </c>
      <c r="AE169" s="38">
        <f t="shared" ca="1" si="99"/>
        <v>0.17274307172357148</v>
      </c>
      <c r="AF169" s="237">
        <f ca="1">((Summary!$N$8*(AA169*AD169)*(A169-$D$3))+(Summary!$M$8*Z169*AC169*(AJ169-EOMONTH(EDATE(A169,-1),0))))/(AK169*AB169*AE169)</f>
        <v>0.9998494055531485</v>
      </c>
      <c r="AG169" s="88">
        <f>IF($A170="","",Summary!$Q$8)</f>
        <v>0</v>
      </c>
      <c r="AH169" s="88">
        <f>IF($A170="","",IF(Summary!$R$8="Y",(VLOOKUP($A169,Summary!$AD$6:$AF$9,3)+'Escalating commodity'!D182),'Escalating commodity'!D182))</f>
        <v>2.0023199999999998E-2</v>
      </c>
      <c r="AI169" s="88">
        <f t="shared" si="114"/>
        <v>2.0023199999999998E-2</v>
      </c>
      <c r="AJ169" s="236">
        <f t="shared" si="100"/>
        <v>41897</v>
      </c>
      <c r="AK169" s="58">
        <f t="shared" ca="1" si="101"/>
        <v>4857</v>
      </c>
      <c r="AL169" s="26">
        <f ca="1">IF($A170="","",_xll.SPRDOPT(P169,X169,AI169,0,AB169,AE169,AF169,AK169,$AJ$2,0))</f>
        <v>3.8832167654622565E-2</v>
      </c>
      <c r="AM169" s="89">
        <f t="shared" si="102"/>
        <v>0</v>
      </c>
      <c r="AN169" s="89">
        <f t="shared" ca="1" si="103"/>
        <v>3.8832167654622565E-2</v>
      </c>
      <c r="AO169" s="3">
        <f t="shared" si="104"/>
        <v>30</v>
      </c>
      <c r="AP169" s="33">
        <f t="shared" si="105"/>
        <v>41883</v>
      </c>
      <c r="AQ169" s="58">
        <f t="shared" ca="1" si="106"/>
        <v>4857</v>
      </c>
      <c r="AR169" s="38">
        <f>'ANR OK vs ML7'!AR169</f>
        <v>0.1</v>
      </c>
      <c r="AS169" s="35">
        <f t="shared" ca="1" si="107"/>
        <v>0.27318721226929121</v>
      </c>
      <c r="AT169" s="3">
        <f t="shared" si="108"/>
        <v>1</v>
      </c>
      <c r="AU169" s="3">
        <f t="shared" si="109"/>
        <v>30</v>
      </c>
      <c r="AW169" s="32">
        <f t="shared" ca="1" si="110"/>
        <v>93197.202371094158</v>
      </c>
      <c r="AX169" s="32">
        <f t="shared" si="111"/>
        <v>0</v>
      </c>
      <c r="AY169" s="32">
        <f t="shared" ca="1" si="112"/>
        <v>93197.202371094158</v>
      </c>
      <c r="BA169" s="32">
        <f ca="1">IF($A170="","",F169*Summary!$Q$8)</f>
        <v>0</v>
      </c>
      <c r="BC169" s="256">
        <f t="shared" ca="1" si="115"/>
        <v>0</v>
      </c>
    </row>
    <row r="170" spans="1:55" ht="12" customHeight="1">
      <c r="A170" s="67">
        <f t="shared" si="113"/>
        <v>41913</v>
      </c>
      <c r="B170" s="69">
        <f t="shared" si="116"/>
        <v>80000</v>
      </c>
      <c r="C170" s="71"/>
      <c r="D170" s="69">
        <f t="shared" si="78"/>
        <v>80000</v>
      </c>
      <c r="E170" s="70">
        <f t="shared" si="79"/>
        <v>2480000</v>
      </c>
      <c r="F170" s="70">
        <f t="shared" ca="1" si="80"/>
        <v>672095.91984528012</v>
      </c>
      <c r="G170" s="63">
        <f t="shared" si="81"/>
        <v>4.7160000000000002</v>
      </c>
      <c r="H170" s="64">
        <f t="shared" si="82"/>
        <v>4.7160000000000002</v>
      </c>
      <c r="I170" s="43"/>
      <c r="J170" s="63">
        <f t="shared" si="83"/>
        <v>0.21</v>
      </c>
      <c r="K170" s="64">
        <f t="shared" si="84"/>
        <v>0.21</v>
      </c>
      <c r="L170" s="63">
        <f t="shared" si="85"/>
        <v>0</v>
      </c>
      <c r="M170" s="64">
        <f t="shared" si="86"/>
        <v>0</v>
      </c>
      <c r="N170" s="65"/>
      <c r="O170" s="63">
        <f t="shared" si="87"/>
        <v>4.9260000000000002</v>
      </c>
      <c r="P170" s="63">
        <f t="shared" si="88"/>
        <v>4.9260000000000002</v>
      </c>
      <c r="Q170" s="66"/>
      <c r="R170" s="63">
        <f t="shared" si="89"/>
        <v>-3.5000000000000003E-2</v>
      </c>
      <c r="S170" s="64">
        <f t="shared" si="90"/>
        <v>-3.5000000000000003E-2</v>
      </c>
      <c r="T170" s="63">
        <f t="shared" si="91"/>
        <v>0</v>
      </c>
      <c r="U170" s="64">
        <f t="shared" si="92"/>
        <v>0</v>
      </c>
      <c r="V170" s="207">
        <f>IF($A171="","",IF(AND(MONTH(A170)&gt;3,MONTH(A170)&lt;11),(T170+R170+G170)*Summary!$T$8/(1-Summary!$T$8),(T170+R170+G170)*Summary!$U$8/(1-Summary!$U$8)))</f>
        <v>0.24481290118909818</v>
      </c>
      <c r="W170" s="63">
        <f t="shared" si="93"/>
        <v>4.9258129011890981</v>
      </c>
      <c r="X170" s="63">
        <f t="shared" si="94"/>
        <v>4.9258129011890981</v>
      </c>
      <c r="Y170" s="43"/>
      <c r="Z170" s="38">
        <f t="shared" si="95"/>
        <v>0.65</v>
      </c>
      <c r="AA170" s="38">
        <f t="shared" si="96"/>
        <v>0.17499999999999999</v>
      </c>
      <c r="AB170" s="38">
        <f t="shared" ca="1" si="97"/>
        <v>0.17880520521480672</v>
      </c>
      <c r="AC170" s="38">
        <f t="shared" si="98"/>
        <v>0.6</v>
      </c>
      <c r="AD170" s="38">
        <f t="shared" si="98"/>
        <v>0.17</v>
      </c>
      <c r="AE170" s="38">
        <f t="shared" ca="1" si="99"/>
        <v>0.17334277728439892</v>
      </c>
      <c r="AF170" s="237">
        <f ca="1">((Summary!$N$8*(AA170*AD170)*(A170-$D$3))+(Summary!$M$8*Z170*AC170*(AJ170-EOMONTH(EDATE(A170,-1),0))))/(AK170*AB170*AE170)</f>
        <v>0.99985404849847126</v>
      </c>
      <c r="AG170" s="88">
        <f>IF($A171="","",Summary!$Q$8)</f>
        <v>0</v>
      </c>
      <c r="AH170" s="88">
        <f>IF($A171="","",IF(Summary!$R$8="Y",(VLOOKUP($A170,Summary!$AD$6:$AF$9,3)+'Escalating commodity'!D183),'Escalating commodity'!D183))</f>
        <v>2.0023199999999998E-2</v>
      </c>
      <c r="AI170" s="88">
        <f t="shared" si="114"/>
        <v>2.0023199999999998E-2</v>
      </c>
      <c r="AJ170" s="236">
        <f t="shared" si="100"/>
        <v>41927.5</v>
      </c>
      <c r="AK170" s="58">
        <f t="shared" ca="1" si="101"/>
        <v>4887</v>
      </c>
      <c r="AL170" s="26">
        <f ca="1">IF($A171="","",_xll.SPRDOPT(P170,X170,AI170,0,AB170,AE170,AF170,AK170,$AJ$2,0))</f>
        <v>3.8731329290377023E-2</v>
      </c>
      <c r="AM170" s="89">
        <f t="shared" si="102"/>
        <v>0</v>
      </c>
      <c r="AN170" s="89">
        <f t="shared" ca="1" si="103"/>
        <v>3.8731329290377023E-2</v>
      </c>
      <c r="AO170" s="3">
        <f t="shared" si="104"/>
        <v>31</v>
      </c>
      <c r="AP170" s="33">
        <f t="shared" si="105"/>
        <v>41913</v>
      </c>
      <c r="AQ170" s="58">
        <f t="shared" ca="1" si="106"/>
        <v>4887</v>
      </c>
      <c r="AR170" s="38">
        <f>'ANR OK vs ML7'!AR170</f>
        <v>0.1</v>
      </c>
      <c r="AS170" s="35">
        <f t="shared" ca="1" si="107"/>
        <v>0.27100641929245167</v>
      </c>
      <c r="AT170" s="3">
        <f t="shared" si="108"/>
        <v>1</v>
      </c>
      <c r="AU170" s="3">
        <f t="shared" si="109"/>
        <v>31</v>
      </c>
      <c r="AW170" s="32">
        <f t="shared" ca="1" si="110"/>
        <v>96053.696640135022</v>
      </c>
      <c r="AX170" s="32">
        <f t="shared" si="111"/>
        <v>0</v>
      </c>
      <c r="AY170" s="32">
        <f t="shared" ca="1" si="112"/>
        <v>96053.696640135022</v>
      </c>
      <c r="BA170" s="32">
        <f ca="1">IF($A171="","",F170*Summary!$Q$8)</f>
        <v>0</v>
      </c>
      <c r="BC170" s="256">
        <f t="shared" ca="1" si="115"/>
        <v>0</v>
      </c>
    </row>
    <row r="171" spans="1:55" ht="12" customHeight="1">
      <c r="A171" s="67">
        <f t="shared" si="113"/>
        <v>41944</v>
      </c>
      <c r="B171" s="69">
        <f t="shared" si="116"/>
        <v>80000</v>
      </c>
      <c r="C171" s="71"/>
      <c r="D171" s="69">
        <f t="shared" si="78"/>
        <v>80000</v>
      </c>
      <c r="E171" s="70">
        <f t="shared" si="79"/>
        <v>2400000</v>
      </c>
      <c r="F171" s="70">
        <f t="shared" ca="1" si="80"/>
        <v>645050.92917368002</v>
      </c>
      <c r="G171" s="63">
        <f t="shared" si="81"/>
        <v>4.8490000000000002</v>
      </c>
      <c r="H171" s="64">
        <f t="shared" si="82"/>
        <v>4.8490000000000002</v>
      </c>
      <c r="I171" s="43"/>
      <c r="J171" s="63">
        <f t="shared" si="83"/>
        <v>0.1</v>
      </c>
      <c r="K171" s="64">
        <f t="shared" si="84"/>
        <v>0.1</v>
      </c>
      <c r="L171" s="63">
        <f t="shared" si="85"/>
        <v>0</v>
      </c>
      <c r="M171" s="64">
        <f t="shared" si="86"/>
        <v>0</v>
      </c>
      <c r="N171" s="65"/>
      <c r="O171" s="63">
        <f t="shared" si="87"/>
        <v>4.9489999999999998</v>
      </c>
      <c r="P171" s="63">
        <f t="shared" si="88"/>
        <v>4.9489999999999998</v>
      </c>
      <c r="Q171" s="66"/>
      <c r="R171" s="63">
        <f t="shared" si="89"/>
        <v>-3.4500000000000003E-2</v>
      </c>
      <c r="S171" s="64">
        <f t="shared" si="90"/>
        <v>-3.4500000000000003E-2</v>
      </c>
      <c r="T171" s="63">
        <f t="shared" si="91"/>
        <v>5.0000000000000001E-3</v>
      </c>
      <c r="U171" s="64">
        <f t="shared" si="92"/>
        <v>5.0000000000000001E-3</v>
      </c>
      <c r="V171" s="207">
        <f>IF($A172="","",IF(AND(MONTH(A171)&gt;3,MONTH(A171)&lt;11),(T171+R171+G171)*Summary!$T$8/(1-Summary!$T$8),(T171+R171+G171)*Summary!$U$8/(1-Summary!$U$8)))</f>
        <v>0.25205635062611809</v>
      </c>
      <c r="W171" s="63">
        <f t="shared" si="93"/>
        <v>5.0715563506261185</v>
      </c>
      <c r="X171" s="63">
        <f t="shared" si="94"/>
        <v>5.0715563506261185</v>
      </c>
      <c r="Y171" s="43"/>
      <c r="Z171" s="38">
        <f t="shared" si="95"/>
        <v>0.8</v>
      </c>
      <c r="AA171" s="38">
        <f t="shared" si="96"/>
        <v>0.17499999999999999</v>
      </c>
      <c r="AB171" s="38">
        <f t="shared" ca="1" si="97"/>
        <v>0.18050828274145089</v>
      </c>
      <c r="AC171" s="38">
        <f t="shared" si="98"/>
        <v>0.8</v>
      </c>
      <c r="AD171" s="38">
        <f t="shared" si="98"/>
        <v>0.17</v>
      </c>
      <c r="AE171" s="38">
        <f t="shared" ca="1" si="99"/>
        <v>0.17566413801891734</v>
      </c>
      <c r="AF171" s="237">
        <f ca="1">((Summary!$N$8*(AA171*AD171)*(A171-$D$3))+(Summary!$M$8*Z171*AC171*(AJ171-EOMONTH(EDATE(A171,-1),0))))/(AK171*AB171*AE171)</f>
        <v>0.99988188535072775</v>
      </c>
      <c r="AG171" s="88">
        <f>IF($A172="","",Summary!$Q$8)</f>
        <v>0</v>
      </c>
      <c r="AH171" s="88">
        <f>IF($A172="","",IF(Summary!$R$8="Y",(VLOOKUP($A171,Summary!$AD$6:$AF$9,3)+'Escalating commodity'!D184),'Escalating commodity'!D184))</f>
        <v>2.0023199999999998E-2</v>
      </c>
      <c r="AI171" s="88">
        <f t="shared" si="114"/>
        <v>2.0023199999999998E-2</v>
      </c>
      <c r="AJ171" s="236">
        <f t="shared" si="100"/>
        <v>41958</v>
      </c>
      <c r="AK171" s="58">
        <f t="shared" ca="1" si="101"/>
        <v>4918</v>
      </c>
      <c r="AL171" s="26">
        <f ca="1">IF($A172="","",_xll.SPRDOPT(P171,X171,AI171,0,AB171,AE171,AF171,AK171,$AJ$2,0))</f>
        <v>5.1841387783809444E-3</v>
      </c>
      <c r="AM171" s="89">
        <f t="shared" si="102"/>
        <v>0</v>
      </c>
      <c r="AN171" s="89">
        <f t="shared" ca="1" si="103"/>
        <v>5.1841387783809444E-3</v>
      </c>
      <c r="AO171" s="3">
        <f t="shared" si="104"/>
        <v>30</v>
      </c>
      <c r="AP171" s="33">
        <f t="shared" si="105"/>
        <v>41944</v>
      </c>
      <c r="AQ171" s="58">
        <f t="shared" ca="1" si="106"/>
        <v>4918</v>
      </c>
      <c r="AR171" s="38">
        <f>'ANR OK vs ML7'!AR171</f>
        <v>0.1</v>
      </c>
      <c r="AS171" s="35">
        <f t="shared" ca="1" si="107"/>
        <v>0.26877122048903335</v>
      </c>
      <c r="AT171" s="3">
        <f t="shared" si="108"/>
        <v>1</v>
      </c>
      <c r="AU171" s="3">
        <f t="shared" si="109"/>
        <v>30</v>
      </c>
      <c r="AW171" s="32">
        <f t="shared" ca="1" si="110"/>
        <v>12441.933068114267</v>
      </c>
      <c r="AX171" s="32">
        <f t="shared" si="111"/>
        <v>0</v>
      </c>
      <c r="AY171" s="32">
        <f t="shared" ca="1" si="112"/>
        <v>12441.933068114267</v>
      </c>
      <c r="BA171" s="32">
        <f ca="1">IF($A172="","",F171*Summary!$Q$8)</f>
        <v>0</v>
      </c>
      <c r="BC171" s="256">
        <f t="shared" ca="1" si="115"/>
        <v>0</v>
      </c>
    </row>
    <row r="172" spans="1:55" ht="12" customHeight="1">
      <c r="A172" s="67">
        <f t="shared" si="113"/>
        <v>41974</v>
      </c>
      <c r="B172" s="69">
        <f t="shared" si="116"/>
        <v>80000</v>
      </c>
      <c r="C172" s="71"/>
      <c r="D172" s="69">
        <f t="shared" si="78"/>
        <v>80000</v>
      </c>
      <c r="E172" s="70">
        <f t="shared" si="79"/>
        <v>2480000</v>
      </c>
      <c r="F172" s="70">
        <f t="shared" ca="1" si="80"/>
        <v>661231.68490204297</v>
      </c>
      <c r="G172" s="63">
        <f t="shared" si="81"/>
        <v>4.9870000000000001</v>
      </c>
      <c r="H172" s="64">
        <f t="shared" si="82"/>
        <v>4.9870000000000001</v>
      </c>
      <c r="I172" s="43"/>
      <c r="J172" s="63">
        <f t="shared" si="83"/>
        <v>0.1</v>
      </c>
      <c r="K172" s="64">
        <f t="shared" si="84"/>
        <v>0.1</v>
      </c>
      <c r="L172" s="63">
        <f t="shared" si="85"/>
        <v>0</v>
      </c>
      <c r="M172" s="64">
        <f t="shared" si="86"/>
        <v>0</v>
      </c>
      <c r="N172" s="65"/>
      <c r="O172" s="63">
        <f t="shared" si="87"/>
        <v>5.0869999999999997</v>
      </c>
      <c r="P172" s="63">
        <f t="shared" si="88"/>
        <v>5.0869999999999997</v>
      </c>
      <c r="Q172" s="66"/>
      <c r="R172" s="63">
        <f t="shared" si="89"/>
        <v>-3.4500000000000003E-2</v>
      </c>
      <c r="S172" s="64">
        <f t="shared" si="90"/>
        <v>-3.4500000000000003E-2</v>
      </c>
      <c r="T172" s="63">
        <f t="shared" si="91"/>
        <v>5.0000000000000001E-3</v>
      </c>
      <c r="U172" s="64">
        <f t="shared" si="92"/>
        <v>5.0000000000000001E-3</v>
      </c>
      <c r="V172" s="207">
        <f>IF($A173="","",IF(AND(MONTH(A172)&gt;3,MONTH(A172)&lt;11),(T172+R172+G172)*Summary!$T$8/(1-Summary!$T$8),(T172+R172+G172)*Summary!$U$8/(1-Summary!$U$8)))</f>
        <v>0.25927365042618122</v>
      </c>
      <c r="W172" s="63">
        <f t="shared" si="93"/>
        <v>5.2167736504261821</v>
      </c>
      <c r="X172" s="63">
        <f t="shared" si="94"/>
        <v>5.2167736504261821</v>
      </c>
      <c r="Y172" s="43"/>
      <c r="Z172" s="38">
        <f t="shared" si="95"/>
        <v>1.1000000000000001</v>
      </c>
      <c r="AA172" s="38">
        <f t="shared" si="96"/>
        <v>0.17499999999999999</v>
      </c>
      <c r="AB172" s="38">
        <f t="shared" ca="1" si="97"/>
        <v>0.18553061672217236</v>
      </c>
      <c r="AC172" s="38">
        <f t="shared" si="98"/>
        <v>1</v>
      </c>
      <c r="AD172" s="38">
        <f t="shared" si="98"/>
        <v>0.17</v>
      </c>
      <c r="AE172" s="38">
        <f t="shared" ca="1" si="99"/>
        <v>0.17899279193157469</v>
      </c>
      <c r="AF172" s="237">
        <f ca="1">((Summary!$N$8*(AA172*AD172)*(A172-$D$3))+(Summary!$M$8*Z172*AC172*(AJ172-EOMONTH(EDATE(A172,-1),0))))/(AK172*AB172*AE172)</f>
        <v>0.99970581619049281</v>
      </c>
      <c r="AG172" s="88">
        <f>IF($A173="","",Summary!$Q$8)</f>
        <v>0</v>
      </c>
      <c r="AH172" s="88">
        <f>IF($A173="","",IF(Summary!$R$8="Y",(VLOOKUP($A172,Summary!$AD$6:$AF$9,3)+'Escalating commodity'!D185),'Escalating commodity'!D185))</f>
        <v>2.0023199999999998E-2</v>
      </c>
      <c r="AI172" s="88">
        <f t="shared" si="114"/>
        <v>2.0023199999999998E-2</v>
      </c>
      <c r="AJ172" s="236">
        <f t="shared" si="100"/>
        <v>41988.5</v>
      </c>
      <c r="AK172" s="58">
        <f t="shared" ca="1" si="101"/>
        <v>4948</v>
      </c>
      <c r="AL172" s="26">
        <f ca="1">IF($A173="","",_xll.SPRDOPT(P172,X172,AI172,0,AB172,AE172,AF172,AK172,$AJ$2,0))</f>
        <v>1.4342359491862711E-2</v>
      </c>
      <c r="AM172" s="89">
        <f t="shared" si="102"/>
        <v>0</v>
      </c>
      <c r="AN172" s="89">
        <f t="shared" ca="1" si="103"/>
        <v>1.4342359491862711E-2</v>
      </c>
      <c r="AO172" s="3">
        <f t="shared" si="104"/>
        <v>31</v>
      </c>
      <c r="AP172" s="33">
        <f t="shared" si="105"/>
        <v>41974</v>
      </c>
      <c r="AQ172" s="58">
        <f t="shared" ca="1" si="106"/>
        <v>4948</v>
      </c>
      <c r="AR172" s="38">
        <f>'ANR OK vs ML7'!AR172</f>
        <v>0.1</v>
      </c>
      <c r="AS172" s="35">
        <f t="shared" ca="1" si="107"/>
        <v>0.26662567939598508</v>
      </c>
      <c r="AT172" s="3">
        <f t="shared" si="108"/>
        <v>1</v>
      </c>
      <c r="AU172" s="3">
        <f t="shared" si="109"/>
        <v>31</v>
      </c>
      <c r="AW172" s="32">
        <f t="shared" ca="1" si="110"/>
        <v>35569.05153981952</v>
      </c>
      <c r="AX172" s="32">
        <f t="shared" si="111"/>
        <v>0</v>
      </c>
      <c r="AY172" s="32">
        <f t="shared" ca="1" si="112"/>
        <v>35569.05153981952</v>
      </c>
      <c r="BA172" s="32">
        <f ca="1">IF($A173="","",F172*Summary!$Q$8)</f>
        <v>0</v>
      </c>
      <c r="BC172" s="256">
        <f t="shared" ca="1" si="115"/>
        <v>0</v>
      </c>
    </row>
    <row r="173" spans="1:55" ht="12" customHeight="1">
      <c r="A173" s="67">
        <f t="shared" si="113"/>
        <v>42005</v>
      </c>
      <c r="B173" s="69">
        <f t="shared" si="116"/>
        <v>0</v>
      </c>
      <c r="C173" s="71"/>
      <c r="D173" s="69" t="str">
        <f t="shared" si="78"/>
        <v/>
      </c>
      <c r="E173" s="70" t="str">
        <f t="shared" si="79"/>
        <v/>
      </c>
      <c r="F173" s="70" t="str">
        <f t="shared" si="80"/>
        <v/>
      </c>
      <c r="G173" s="63" t="str">
        <f t="shared" si="81"/>
        <v/>
      </c>
      <c r="H173" s="64" t="str">
        <f t="shared" si="82"/>
        <v/>
      </c>
      <c r="I173" s="43"/>
      <c r="J173" s="63" t="str">
        <f t="shared" si="83"/>
        <v/>
      </c>
      <c r="K173" s="64" t="str">
        <f t="shared" si="84"/>
        <v/>
      </c>
      <c r="L173" s="63" t="str">
        <f t="shared" si="85"/>
        <v/>
      </c>
      <c r="M173" s="64" t="str">
        <f t="shared" si="86"/>
        <v/>
      </c>
      <c r="N173" s="65"/>
      <c r="O173" s="63" t="str">
        <f t="shared" si="87"/>
        <v/>
      </c>
      <c r="P173" s="63" t="str">
        <f t="shared" si="88"/>
        <v/>
      </c>
      <c r="Q173" s="66"/>
      <c r="R173" s="63" t="str">
        <f t="shared" si="89"/>
        <v/>
      </c>
      <c r="S173" s="64" t="str">
        <f t="shared" si="90"/>
        <v/>
      </c>
      <c r="T173" s="63" t="str">
        <f t="shared" si="91"/>
        <v/>
      </c>
      <c r="U173" s="64" t="str">
        <f t="shared" si="92"/>
        <v/>
      </c>
      <c r="V173" s="207" t="str">
        <f>IF($A174="","",IF(AND(MONTH(A173)&gt;3,MONTH(A173)&lt;11),(T173+R173+G173)*Summary!$T$8/(1-Summary!$T$8),(T173+R173+G173)*Summary!$U$8/(1-Summary!$U$8)))</f>
        <v/>
      </c>
      <c r="W173" s="63" t="str">
        <f t="shared" si="93"/>
        <v/>
      </c>
      <c r="X173" s="63" t="str">
        <f t="shared" si="94"/>
        <v/>
      </c>
      <c r="Y173" s="43"/>
      <c r="Z173" s="38" t="str">
        <f t="shared" si="95"/>
        <v/>
      </c>
      <c r="AA173" s="38" t="str">
        <f t="shared" si="96"/>
        <v/>
      </c>
      <c r="AB173" s="38" t="e">
        <f t="shared" si="97"/>
        <v>#VALUE!</v>
      </c>
      <c r="AC173" s="38" t="str">
        <f t="shared" si="98"/>
        <v/>
      </c>
      <c r="AD173" s="38" t="str">
        <f t="shared" si="98"/>
        <v/>
      </c>
      <c r="AE173" s="38" t="e">
        <f t="shared" si="99"/>
        <v>#VALUE!</v>
      </c>
      <c r="AF173" s="237" t="e">
        <f>((Summary!$N$8*(AA173*AD173)*(A173-$D$3))+(Summary!$M$8*Z173*AC173*(AJ173-EOMONTH(EDATE(A173,-1),0))))/(AK173*AB173*AE173)</f>
        <v>#VALUE!</v>
      </c>
      <c r="AG173" s="88" t="str">
        <f>IF($A174="","",Summary!$Q$8)</f>
        <v/>
      </c>
      <c r="AH173" s="88" t="str">
        <f>IF($A174="","",IF(Summary!$R$8="Y",(VLOOKUP($A173,Summary!$AD$6:$AF$9,3)+'Escalating commodity'!D186),'Escalating commodity'!D186))</f>
        <v/>
      </c>
      <c r="AI173" s="88" t="str">
        <f t="shared" si="114"/>
        <v/>
      </c>
      <c r="AJ173" s="236">
        <f t="shared" si="100"/>
        <v>42019.5</v>
      </c>
      <c r="AK173" s="58" t="str">
        <f t="shared" si="101"/>
        <v/>
      </c>
      <c r="AL173" s="26" t="str">
        <f>IF($A174="","",_xll.SPRDOPT(P173,X173,AI173,0,AB173,AE173,AF173,AK173,$AJ$2,0))</f>
        <v/>
      </c>
      <c r="AM173" s="89" t="str">
        <f t="shared" si="102"/>
        <v/>
      </c>
      <c r="AN173" s="89" t="str">
        <f t="shared" si="103"/>
        <v/>
      </c>
      <c r="AO173" s="3" t="str">
        <f t="shared" si="104"/>
        <v/>
      </c>
      <c r="AP173" s="33" t="str">
        <f t="shared" si="105"/>
        <v/>
      </c>
      <c r="AQ173" s="58" t="str">
        <f t="shared" si="106"/>
        <v/>
      </c>
      <c r="AR173" s="38">
        <f>'ANR OK vs ML7'!AR173</f>
        <v>0.1</v>
      </c>
      <c r="AS173" s="35" t="str">
        <f t="shared" si="107"/>
        <v/>
      </c>
      <c r="AT173" s="3" t="str">
        <f t="shared" si="108"/>
        <v/>
      </c>
      <c r="AU173" s="3" t="str">
        <f t="shared" si="109"/>
        <v/>
      </c>
      <c r="AW173" s="32" t="str">
        <f t="shared" si="110"/>
        <v/>
      </c>
      <c r="AX173" s="32" t="str">
        <f t="shared" si="111"/>
        <v/>
      </c>
      <c r="AY173" s="32" t="str">
        <f t="shared" si="112"/>
        <v/>
      </c>
      <c r="BA173" s="32" t="str">
        <f>IF($A174="","",F173*Summary!$Q$8)</f>
        <v/>
      </c>
      <c r="BC173" s="256" t="str">
        <f t="shared" si="115"/>
        <v/>
      </c>
    </row>
    <row r="174" spans="1:55" ht="12" customHeight="1">
      <c r="A174" s="67" t="str">
        <f t="shared" si="113"/>
        <v/>
      </c>
      <c r="B174" s="69">
        <f t="shared" si="116"/>
        <v>0</v>
      </c>
      <c r="C174" s="71"/>
      <c r="D174" s="69" t="str">
        <f t="shared" si="78"/>
        <v/>
      </c>
      <c r="E174" s="70" t="str">
        <f t="shared" si="79"/>
        <v/>
      </c>
      <c r="F174" s="70" t="str">
        <f t="shared" si="80"/>
        <v/>
      </c>
      <c r="G174" s="63" t="str">
        <f t="shared" si="81"/>
        <v/>
      </c>
      <c r="H174" s="64" t="str">
        <f t="shared" si="82"/>
        <v/>
      </c>
      <c r="I174" s="43"/>
      <c r="J174" s="63" t="str">
        <f t="shared" si="83"/>
        <v/>
      </c>
      <c r="K174" s="64" t="str">
        <f t="shared" si="84"/>
        <v/>
      </c>
      <c r="L174" s="63" t="str">
        <f t="shared" si="85"/>
        <v/>
      </c>
      <c r="M174" s="64" t="str">
        <f t="shared" si="86"/>
        <v/>
      </c>
      <c r="N174" s="65"/>
      <c r="O174" s="63" t="str">
        <f t="shared" si="87"/>
        <v/>
      </c>
      <c r="P174" s="63" t="str">
        <f t="shared" si="88"/>
        <v/>
      </c>
      <c r="Q174" s="66"/>
      <c r="R174" s="63" t="str">
        <f t="shared" si="89"/>
        <v/>
      </c>
      <c r="S174" s="64" t="str">
        <f t="shared" si="90"/>
        <v/>
      </c>
      <c r="T174" s="63" t="str">
        <f t="shared" si="91"/>
        <v/>
      </c>
      <c r="U174" s="64" t="str">
        <f t="shared" si="92"/>
        <v/>
      </c>
      <c r="V174" s="207" t="str">
        <f>IF($A175="","",IF(AND(MONTH(A174)&gt;3,MONTH(A174)&lt;11),(T174+R174+G174)*Summary!$T$8/(1-Summary!$T$8),(T174+R174+G174)*Summary!$U$8/(1-Summary!$U$8)))</f>
        <v/>
      </c>
      <c r="W174" s="63" t="str">
        <f t="shared" si="93"/>
        <v/>
      </c>
      <c r="X174" s="63" t="str">
        <f t="shared" si="94"/>
        <v/>
      </c>
      <c r="Y174" s="43"/>
      <c r="Z174" s="38" t="str">
        <f t="shared" si="95"/>
        <v/>
      </c>
      <c r="AA174" s="38" t="str">
        <f t="shared" si="96"/>
        <v/>
      </c>
      <c r="AB174" s="38" t="e">
        <f t="shared" si="97"/>
        <v>#VALUE!</v>
      </c>
      <c r="AC174" s="38" t="str">
        <f t="shared" si="98"/>
        <v/>
      </c>
      <c r="AD174" s="38" t="str">
        <f t="shared" si="98"/>
        <v/>
      </c>
      <c r="AE174" s="38" t="e">
        <f t="shared" si="99"/>
        <v>#VALUE!</v>
      </c>
      <c r="AF174" s="237" t="e">
        <f>((Summary!$N$8*(AA174*AD174)*(A174-$D$3))+(Summary!$M$8*Z174*AC174*(AJ174-EOMONTH(EDATE(A174,-1),0))))/(AK174*AB174*AE174)</f>
        <v>#VALUE!</v>
      </c>
      <c r="AG174" s="88" t="str">
        <f>IF($A175="","",Summary!$Q$8)</f>
        <v/>
      </c>
      <c r="AH174" s="88" t="str">
        <f>IF($A175="","",IF(Summary!$R$8="Y",(VLOOKUP($A174,Summary!$AD$6:$AF$9,3)+'Escalating commodity'!D187),'Escalating commodity'!D187))</f>
        <v/>
      </c>
      <c r="AI174" s="88" t="str">
        <f t="shared" si="114"/>
        <v/>
      </c>
      <c r="AJ174" s="236" t="e">
        <f t="shared" si="100"/>
        <v>#VALUE!</v>
      </c>
      <c r="AK174" s="58" t="str">
        <f t="shared" si="101"/>
        <v/>
      </c>
      <c r="AL174" s="26" t="str">
        <f>IF($A175="","",_xll.SPRDOPT(P174,X174,AI174,0,AB174,AE174,AF174,AK174,$AJ$2,0))</f>
        <v/>
      </c>
      <c r="AM174" s="89" t="str">
        <f t="shared" si="102"/>
        <v/>
      </c>
      <c r="AN174" s="89" t="str">
        <f t="shared" si="103"/>
        <v/>
      </c>
      <c r="AO174" s="3" t="str">
        <f t="shared" si="104"/>
        <v/>
      </c>
      <c r="AP174" s="33" t="str">
        <f t="shared" si="105"/>
        <v/>
      </c>
      <c r="AQ174" s="58" t="str">
        <f t="shared" si="106"/>
        <v/>
      </c>
      <c r="AR174" s="38">
        <f>'ANR OK vs ML7'!AR174</f>
        <v>0.1</v>
      </c>
      <c r="AS174" s="35" t="str">
        <f t="shared" si="107"/>
        <v/>
      </c>
      <c r="AT174" s="3" t="str">
        <f t="shared" si="108"/>
        <v/>
      </c>
      <c r="AU174" s="3" t="str">
        <f t="shared" si="109"/>
        <v/>
      </c>
      <c r="AW174" s="32" t="str">
        <f t="shared" si="110"/>
        <v/>
      </c>
      <c r="AX174" s="32" t="str">
        <f t="shared" si="111"/>
        <v/>
      </c>
      <c r="AY174" s="32" t="str">
        <f t="shared" si="112"/>
        <v/>
      </c>
      <c r="BA174" s="32" t="str">
        <f>IF($A175="","",F174*Summary!$Q$8)</f>
        <v/>
      </c>
    </row>
    <row r="175" spans="1:55" ht="12" customHeight="1">
      <c r="A175" s="67" t="str">
        <f t="shared" si="113"/>
        <v/>
      </c>
      <c r="B175" s="69">
        <f t="shared" si="116"/>
        <v>0</v>
      </c>
      <c r="C175" s="71"/>
      <c r="D175" s="69" t="str">
        <f t="shared" si="78"/>
        <v/>
      </c>
      <c r="E175" s="70" t="str">
        <f t="shared" si="79"/>
        <v/>
      </c>
      <c r="F175" s="70" t="str">
        <f t="shared" si="80"/>
        <v/>
      </c>
      <c r="G175" s="63" t="str">
        <f t="shared" si="81"/>
        <v/>
      </c>
      <c r="H175" s="64" t="str">
        <f t="shared" si="82"/>
        <v/>
      </c>
      <c r="I175" s="43"/>
      <c r="J175" s="63" t="str">
        <f t="shared" si="83"/>
        <v/>
      </c>
      <c r="K175" s="64" t="str">
        <f t="shared" si="84"/>
        <v/>
      </c>
      <c r="L175" s="63" t="str">
        <f t="shared" si="85"/>
        <v/>
      </c>
      <c r="M175" s="64" t="str">
        <f t="shared" si="86"/>
        <v/>
      </c>
      <c r="N175" s="65"/>
      <c r="O175" s="63" t="str">
        <f t="shared" si="87"/>
        <v/>
      </c>
      <c r="P175" s="63" t="str">
        <f t="shared" si="88"/>
        <v/>
      </c>
      <c r="Q175" s="66"/>
      <c r="R175" s="63" t="str">
        <f t="shared" si="89"/>
        <v/>
      </c>
      <c r="S175" s="64" t="str">
        <f t="shared" si="90"/>
        <v/>
      </c>
      <c r="T175" s="63" t="str">
        <f t="shared" si="91"/>
        <v/>
      </c>
      <c r="U175" s="64" t="str">
        <f t="shared" si="92"/>
        <v/>
      </c>
      <c r="V175" s="207" t="str">
        <f>IF($A176="","",IF(AND(MONTH(A175)&gt;3,MONTH(A175)&lt;11),(T175+R175+G175)*Summary!$T$8/(1-Summary!$T$8),(T175+R175+G175)*Summary!$U$8/(1-Summary!$U$8)))</f>
        <v/>
      </c>
      <c r="W175" s="63" t="str">
        <f t="shared" si="93"/>
        <v/>
      </c>
      <c r="X175" s="63" t="str">
        <f t="shared" si="94"/>
        <v/>
      </c>
      <c r="Y175" s="43"/>
      <c r="Z175" s="38" t="str">
        <f t="shared" si="95"/>
        <v/>
      </c>
      <c r="AA175" s="38" t="str">
        <f t="shared" si="96"/>
        <v/>
      </c>
      <c r="AB175" s="38" t="e">
        <f t="shared" si="97"/>
        <v>#VALUE!</v>
      </c>
      <c r="AC175" s="38" t="str">
        <f t="shared" si="98"/>
        <v/>
      </c>
      <c r="AD175" s="38" t="str">
        <f t="shared" si="98"/>
        <v/>
      </c>
      <c r="AE175" s="38" t="e">
        <f t="shared" si="99"/>
        <v>#VALUE!</v>
      </c>
      <c r="AF175" s="237" t="e">
        <f>((Summary!$N$8*(AA175*AD175)*(A175-$D$3))+(Summary!$M$8*Z175*AC175*(AJ175-EOMONTH(EDATE(A175,-1),0))))/(AK175*AB175*AE175)</f>
        <v>#VALUE!</v>
      </c>
      <c r="AG175" s="88" t="str">
        <f>IF($A176="","",Summary!$Q$8)</f>
        <v/>
      </c>
      <c r="AH175" s="88" t="str">
        <f>IF($A176="","",IF(Summary!$R$8="Y",(VLOOKUP($A175,Summary!$AD$6:$AF$9,3)+'Escalating commodity'!D188),'Escalating commodity'!D188))</f>
        <v/>
      </c>
      <c r="AI175" s="88" t="str">
        <f t="shared" si="114"/>
        <v/>
      </c>
      <c r="AJ175" s="236" t="e">
        <f t="shared" si="100"/>
        <v>#VALUE!</v>
      </c>
      <c r="AK175" s="58" t="str">
        <f t="shared" si="101"/>
        <v/>
      </c>
      <c r="AL175" s="26" t="str">
        <f>IF($A176="","",_xll.SPRDOPT(P175,X175,AI175,0,AB175,AE175,AF175,AK175,$AJ$2,0))</f>
        <v/>
      </c>
      <c r="AM175" s="89" t="str">
        <f t="shared" si="102"/>
        <v/>
      </c>
      <c r="AN175" s="89" t="str">
        <f t="shared" si="103"/>
        <v/>
      </c>
      <c r="AO175" s="3" t="str">
        <f t="shared" si="104"/>
        <v/>
      </c>
      <c r="AP175" s="33" t="str">
        <f t="shared" si="105"/>
        <v/>
      </c>
      <c r="AQ175" s="58" t="str">
        <f t="shared" si="106"/>
        <v/>
      </c>
      <c r="AR175" s="38">
        <f>'ANR OK vs ML7'!AR175</f>
        <v>0.1</v>
      </c>
      <c r="AS175" s="35" t="str">
        <f t="shared" si="107"/>
        <v/>
      </c>
      <c r="AT175" s="3" t="str">
        <f t="shared" si="108"/>
        <v/>
      </c>
      <c r="AU175" s="3" t="str">
        <f t="shared" si="109"/>
        <v/>
      </c>
      <c r="AW175" s="32" t="str">
        <f t="shared" si="110"/>
        <v/>
      </c>
      <c r="AX175" s="32" t="str">
        <f t="shared" si="111"/>
        <v/>
      </c>
      <c r="AY175" s="32" t="str">
        <f t="shared" si="112"/>
        <v/>
      </c>
      <c r="BA175" s="32" t="str">
        <f>IF($A176="","",F175*Summary!$Q$8)</f>
        <v/>
      </c>
    </row>
    <row r="176" spans="1:55" ht="12" customHeight="1">
      <c r="A176" s="67" t="str">
        <f t="shared" si="113"/>
        <v/>
      </c>
      <c r="B176" s="69">
        <f t="shared" si="116"/>
        <v>0</v>
      </c>
      <c r="C176" s="71"/>
      <c r="D176" s="69" t="str">
        <f t="shared" si="78"/>
        <v/>
      </c>
      <c r="E176" s="70" t="str">
        <f t="shared" si="79"/>
        <v/>
      </c>
      <c r="F176" s="70" t="str">
        <f t="shared" si="80"/>
        <v/>
      </c>
      <c r="G176" s="63" t="str">
        <f t="shared" si="81"/>
        <v/>
      </c>
      <c r="H176" s="64" t="str">
        <f t="shared" si="82"/>
        <v/>
      </c>
      <c r="I176" s="43"/>
      <c r="J176" s="63" t="str">
        <f t="shared" si="83"/>
        <v/>
      </c>
      <c r="K176" s="64" t="str">
        <f t="shared" si="84"/>
        <v/>
      </c>
      <c r="L176" s="63" t="str">
        <f t="shared" si="85"/>
        <v/>
      </c>
      <c r="M176" s="64" t="str">
        <f t="shared" si="86"/>
        <v/>
      </c>
      <c r="N176" s="65"/>
      <c r="O176" s="63" t="str">
        <f t="shared" si="87"/>
        <v/>
      </c>
      <c r="P176" s="63" t="str">
        <f t="shared" si="88"/>
        <v/>
      </c>
      <c r="Q176" s="66"/>
      <c r="R176" s="63" t="str">
        <f t="shared" si="89"/>
        <v/>
      </c>
      <c r="S176" s="64" t="str">
        <f t="shared" si="90"/>
        <v/>
      </c>
      <c r="T176" s="63" t="str">
        <f t="shared" si="91"/>
        <v/>
      </c>
      <c r="U176" s="64" t="str">
        <f t="shared" si="92"/>
        <v/>
      </c>
      <c r="V176" s="207" t="str">
        <f>IF($A177="","",IF(AND(MONTH(A176)&gt;3,MONTH(A176)&lt;11),(T176+R176+G176)*Summary!$T$8/(1-Summary!$T$8),(T176+R176+G176)*Summary!$U$8/(1-Summary!$U$8)))</f>
        <v/>
      </c>
      <c r="W176" s="63" t="str">
        <f t="shared" si="93"/>
        <v/>
      </c>
      <c r="X176" s="63" t="str">
        <f t="shared" si="94"/>
        <v/>
      </c>
      <c r="Y176" s="43"/>
      <c r="Z176" s="38" t="str">
        <f t="shared" si="95"/>
        <v/>
      </c>
      <c r="AA176" s="38" t="str">
        <f t="shared" si="96"/>
        <v/>
      </c>
      <c r="AB176" s="38" t="e">
        <f t="shared" si="97"/>
        <v>#VALUE!</v>
      </c>
      <c r="AC176" s="38" t="str">
        <f t="shared" si="98"/>
        <v/>
      </c>
      <c r="AD176" s="38" t="str">
        <f t="shared" si="98"/>
        <v/>
      </c>
      <c r="AE176" s="38" t="e">
        <f t="shared" si="99"/>
        <v>#VALUE!</v>
      </c>
      <c r="AF176" s="237" t="e">
        <f>((Summary!$N$8*(AA176*AD176)*(A176-$D$3))+(Summary!$M$8*Z176*AC176*(AJ176-EOMONTH(EDATE(A176,-1),0))))/(AK176*AB176*AE176)</f>
        <v>#VALUE!</v>
      </c>
      <c r="AG176" s="88" t="str">
        <f>IF($A177="","",Summary!$Q$8)</f>
        <v/>
      </c>
      <c r="AH176" s="88" t="str">
        <f>IF($A177="","",IF(Summary!$R$8="Y",(VLOOKUP($A176,Summary!$AD$6:$AF$9,3)+'Escalating commodity'!D189),'Escalating commodity'!D189))</f>
        <v/>
      </c>
      <c r="AI176" s="88" t="str">
        <f t="shared" si="114"/>
        <v/>
      </c>
      <c r="AJ176" s="236" t="e">
        <f t="shared" si="100"/>
        <v>#VALUE!</v>
      </c>
      <c r="AK176" s="58" t="str">
        <f t="shared" si="101"/>
        <v/>
      </c>
      <c r="AL176" s="26" t="str">
        <f>IF($A177="","",_xll.SPRDOPT(P176,X176,AI176,0,AB176,AE176,AF176,AK176,$AJ$2,0))</f>
        <v/>
      </c>
      <c r="AM176" s="89" t="str">
        <f t="shared" si="102"/>
        <v/>
      </c>
      <c r="AN176" s="89" t="str">
        <f t="shared" si="103"/>
        <v/>
      </c>
      <c r="AO176" s="3" t="str">
        <f t="shared" si="104"/>
        <v/>
      </c>
      <c r="AP176" s="33" t="str">
        <f t="shared" si="105"/>
        <v/>
      </c>
      <c r="AQ176" s="58" t="str">
        <f t="shared" si="106"/>
        <v/>
      </c>
      <c r="AR176" s="38">
        <f>'ANR OK vs ML7'!AR176</f>
        <v>0.1</v>
      </c>
      <c r="AS176" s="35" t="str">
        <f t="shared" si="107"/>
        <v/>
      </c>
      <c r="AT176" s="3" t="str">
        <f t="shared" si="108"/>
        <v/>
      </c>
      <c r="AU176" s="3" t="str">
        <f t="shared" si="109"/>
        <v/>
      </c>
      <c r="AW176" s="32" t="str">
        <f t="shared" si="110"/>
        <v/>
      </c>
      <c r="AX176" s="32" t="str">
        <f t="shared" si="111"/>
        <v/>
      </c>
      <c r="AY176" s="32" t="str">
        <f t="shared" si="112"/>
        <v/>
      </c>
      <c r="BA176" s="32" t="str">
        <f>IF($A177="","",F176*Summary!$Q$8)</f>
        <v/>
      </c>
    </row>
    <row r="177" spans="1:53" ht="12" customHeight="1">
      <c r="A177" s="67" t="str">
        <f t="shared" si="113"/>
        <v/>
      </c>
      <c r="B177" s="69">
        <f t="shared" si="116"/>
        <v>0</v>
      </c>
      <c r="C177" s="71"/>
      <c r="D177" s="69" t="str">
        <f t="shared" si="78"/>
        <v/>
      </c>
      <c r="E177" s="70" t="str">
        <f t="shared" si="79"/>
        <v/>
      </c>
      <c r="F177" s="70" t="str">
        <f t="shared" si="80"/>
        <v/>
      </c>
      <c r="G177" s="63" t="str">
        <f t="shared" si="81"/>
        <v/>
      </c>
      <c r="H177" s="64" t="str">
        <f t="shared" si="82"/>
        <v/>
      </c>
      <c r="I177" s="43"/>
      <c r="J177" s="63" t="str">
        <f t="shared" si="83"/>
        <v/>
      </c>
      <c r="K177" s="64" t="str">
        <f t="shared" si="84"/>
        <v/>
      </c>
      <c r="L177" s="63" t="str">
        <f t="shared" si="85"/>
        <v/>
      </c>
      <c r="M177" s="64" t="str">
        <f t="shared" si="86"/>
        <v/>
      </c>
      <c r="N177" s="65"/>
      <c r="O177" s="63" t="str">
        <f t="shared" si="87"/>
        <v/>
      </c>
      <c r="P177" s="63" t="str">
        <f t="shared" si="88"/>
        <v/>
      </c>
      <c r="Q177" s="66"/>
      <c r="R177" s="63" t="str">
        <f t="shared" si="89"/>
        <v/>
      </c>
      <c r="S177" s="64" t="str">
        <f t="shared" si="90"/>
        <v/>
      </c>
      <c r="T177" s="63" t="str">
        <f t="shared" si="91"/>
        <v/>
      </c>
      <c r="U177" s="64" t="str">
        <f t="shared" si="92"/>
        <v/>
      </c>
      <c r="V177" s="207" t="str">
        <f>IF($A178="","",IF(AND(MONTH(A177)&gt;3,MONTH(A177)&lt;11),(T177+R177+G177)*Summary!$T$8/(1-Summary!$T$8),(T177+R177+G177)*Summary!$U$8/(1-Summary!$U$8)))</f>
        <v/>
      </c>
      <c r="W177" s="63" t="str">
        <f t="shared" si="93"/>
        <v/>
      </c>
      <c r="X177" s="63" t="str">
        <f t="shared" si="94"/>
        <v/>
      </c>
      <c r="Y177" s="43"/>
      <c r="Z177" s="38" t="str">
        <f t="shared" si="95"/>
        <v/>
      </c>
      <c r="AA177" s="38" t="str">
        <f t="shared" si="96"/>
        <v/>
      </c>
      <c r="AB177" s="38" t="e">
        <f t="shared" si="97"/>
        <v>#VALUE!</v>
      </c>
      <c r="AC177" s="38" t="str">
        <f t="shared" si="98"/>
        <v/>
      </c>
      <c r="AD177" s="38" t="str">
        <f t="shared" si="98"/>
        <v/>
      </c>
      <c r="AE177" s="38" t="e">
        <f t="shared" si="99"/>
        <v>#VALUE!</v>
      </c>
      <c r="AF177" s="237" t="e">
        <f>((Summary!$N$8*(AA177*AD177)*(A177-$D$3))+(Summary!$M$8*Z177*AC177*(AJ177-EOMONTH(EDATE(A177,-1),0))))/(AK177*AB177*AE177)</f>
        <v>#VALUE!</v>
      </c>
      <c r="AG177" s="88" t="str">
        <f>IF($A178="","",Summary!$Q$8)</f>
        <v/>
      </c>
      <c r="AH177" s="88" t="str">
        <f>IF($A178="","",IF(Summary!$R$8="Y",(VLOOKUP($A177,Summary!$AD$6:$AF$9,3)+'Escalating commodity'!D190),'Escalating commodity'!D190))</f>
        <v/>
      </c>
      <c r="AI177" s="88" t="str">
        <f t="shared" si="114"/>
        <v/>
      </c>
      <c r="AJ177" s="236" t="e">
        <f t="shared" si="100"/>
        <v>#VALUE!</v>
      </c>
      <c r="AK177" s="58" t="str">
        <f t="shared" si="101"/>
        <v/>
      </c>
      <c r="AL177" s="26" t="str">
        <f>IF($A178="","",_xll.SPRDOPT(P177,X177,AI177,0,AB177,AE177,AF177,AK177,$AJ$2,0))</f>
        <v/>
      </c>
      <c r="AM177" s="89" t="str">
        <f t="shared" si="102"/>
        <v/>
      </c>
      <c r="AN177" s="89" t="str">
        <f t="shared" si="103"/>
        <v/>
      </c>
      <c r="AO177" s="3" t="str">
        <f t="shared" si="104"/>
        <v/>
      </c>
      <c r="AP177" s="33" t="str">
        <f t="shared" si="105"/>
        <v/>
      </c>
      <c r="AQ177" s="58" t="str">
        <f t="shared" si="106"/>
        <v/>
      </c>
      <c r="AR177" s="38">
        <f>'ANR OK vs ML7'!AR177</f>
        <v>0.1</v>
      </c>
      <c r="AS177" s="35" t="str">
        <f t="shared" si="107"/>
        <v/>
      </c>
      <c r="AT177" s="3" t="str">
        <f t="shared" si="108"/>
        <v/>
      </c>
      <c r="AU177" s="3" t="str">
        <f t="shared" si="109"/>
        <v/>
      </c>
      <c r="AW177" s="32" t="str">
        <f t="shared" si="110"/>
        <v/>
      </c>
      <c r="AX177" s="32" t="str">
        <f t="shared" si="111"/>
        <v/>
      </c>
      <c r="AY177" s="32" t="str">
        <f t="shared" si="112"/>
        <v/>
      </c>
      <c r="BA177" s="32" t="str">
        <f>IF($A178="","",F177*Summary!$Q$8)</f>
        <v/>
      </c>
    </row>
    <row r="178" spans="1:53" ht="12" customHeight="1">
      <c r="A178" s="67" t="str">
        <f t="shared" si="113"/>
        <v/>
      </c>
      <c r="B178" s="69">
        <f t="shared" si="116"/>
        <v>0</v>
      </c>
      <c r="C178" s="71"/>
      <c r="D178" s="69" t="str">
        <f t="shared" si="78"/>
        <v/>
      </c>
      <c r="E178" s="70" t="str">
        <f t="shared" si="79"/>
        <v/>
      </c>
      <c r="F178" s="70" t="str">
        <f t="shared" si="80"/>
        <v/>
      </c>
      <c r="G178" s="63" t="str">
        <f t="shared" si="81"/>
        <v/>
      </c>
      <c r="H178" s="64" t="str">
        <f t="shared" si="82"/>
        <v/>
      </c>
      <c r="I178" s="43"/>
      <c r="J178" s="63" t="str">
        <f t="shared" si="83"/>
        <v/>
      </c>
      <c r="K178" s="64" t="str">
        <f t="shared" si="84"/>
        <v/>
      </c>
      <c r="L178" s="63" t="str">
        <f t="shared" si="85"/>
        <v/>
      </c>
      <c r="M178" s="64" t="str">
        <f t="shared" si="86"/>
        <v/>
      </c>
      <c r="N178" s="65"/>
      <c r="O178" s="63" t="str">
        <f t="shared" si="87"/>
        <v/>
      </c>
      <c r="P178" s="63" t="str">
        <f t="shared" si="88"/>
        <v/>
      </c>
      <c r="Q178" s="66"/>
      <c r="R178" s="63" t="str">
        <f t="shared" si="89"/>
        <v/>
      </c>
      <c r="S178" s="64" t="str">
        <f t="shared" si="90"/>
        <v/>
      </c>
      <c r="T178" s="63" t="str">
        <f t="shared" si="91"/>
        <v/>
      </c>
      <c r="U178" s="64" t="str">
        <f t="shared" si="92"/>
        <v/>
      </c>
      <c r="V178" s="207" t="str">
        <f>IF($A179="","",IF(AND(MONTH(A178)&gt;3,MONTH(A178)&lt;11),(T178+R178+G178)*Summary!$T$8/(1-Summary!$T$8),(T178+R178+G178)*Summary!$U$8/(1-Summary!$U$8)))</f>
        <v/>
      </c>
      <c r="W178" s="63" t="str">
        <f t="shared" si="93"/>
        <v/>
      </c>
      <c r="X178" s="63" t="str">
        <f t="shared" si="94"/>
        <v/>
      </c>
      <c r="Y178" s="43"/>
      <c r="Z178" s="38" t="str">
        <f t="shared" si="95"/>
        <v/>
      </c>
      <c r="AA178" s="38" t="str">
        <f t="shared" si="96"/>
        <v/>
      </c>
      <c r="AB178" s="38" t="e">
        <f t="shared" si="97"/>
        <v>#VALUE!</v>
      </c>
      <c r="AC178" s="38" t="str">
        <f t="shared" si="98"/>
        <v/>
      </c>
      <c r="AD178" s="38" t="str">
        <f t="shared" si="98"/>
        <v/>
      </c>
      <c r="AE178" s="38" t="e">
        <f t="shared" si="99"/>
        <v>#VALUE!</v>
      </c>
      <c r="AF178" s="237" t="e">
        <f>((Summary!$N$8*(AA178*AD178)*(A178-$D$3))+(Summary!$M$8*Z178*AC178*(AJ178-EOMONTH(EDATE(A178,-1),0))))/(AK178*AB178*AE178)</f>
        <v>#VALUE!</v>
      </c>
      <c r="AG178" s="88" t="str">
        <f>IF($A179="","",Summary!$Q$8)</f>
        <v/>
      </c>
      <c r="AH178" s="88" t="str">
        <f>IF($A179="","",IF(Summary!$R$8="Y",(VLOOKUP($A178,Summary!$AD$6:$AF$9,3)+'Escalating commodity'!D191),'Escalating commodity'!D191))</f>
        <v/>
      </c>
      <c r="AI178" s="88" t="str">
        <f t="shared" si="114"/>
        <v/>
      </c>
      <c r="AJ178" s="236" t="e">
        <f t="shared" si="100"/>
        <v>#VALUE!</v>
      </c>
      <c r="AK178" s="58" t="str">
        <f t="shared" si="101"/>
        <v/>
      </c>
      <c r="AL178" s="26" t="str">
        <f>IF($A179="","",_xll.SPRDOPT(P178,X178,AI178,0,AB178,AE178,AF178,AK178,$AJ$2,0))</f>
        <v/>
      </c>
      <c r="AM178" s="89" t="str">
        <f t="shared" si="102"/>
        <v/>
      </c>
      <c r="AN178" s="89" t="str">
        <f t="shared" si="103"/>
        <v/>
      </c>
      <c r="AO178" s="3" t="str">
        <f t="shared" si="104"/>
        <v/>
      </c>
      <c r="AP178" s="33" t="str">
        <f t="shared" si="105"/>
        <v/>
      </c>
      <c r="AQ178" s="58" t="str">
        <f t="shared" si="106"/>
        <v/>
      </c>
      <c r="AR178" s="38">
        <f>'ANR OK vs ML7'!AR178</f>
        <v>0.1</v>
      </c>
      <c r="AS178" s="35" t="str">
        <f t="shared" si="107"/>
        <v/>
      </c>
      <c r="AT178" s="3" t="str">
        <f t="shared" si="108"/>
        <v/>
      </c>
      <c r="AU178" s="3" t="str">
        <f t="shared" si="109"/>
        <v/>
      </c>
      <c r="AW178" s="32" t="str">
        <f t="shared" si="110"/>
        <v/>
      </c>
      <c r="AX178" s="32" t="str">
        <f t="shared" si="111"/>
        <v/>
      </c>
      <c r="AY178" s="32" t="str">
        <f t="shared" si="112"/>
        <v/>
      </c>
      <c r="BA178" s="32" t="str">
        <f>IF($A179="","",F178*Summary!$Q$8)</f>
        <v/>
      </c>
    </row>
    <row r="179" spans="1:53" ht="12" customHeight="1">
      <c r="A179" s="67" t="str">
        <f t="shared" si="113"/>
        <v/>
      </c>
      <c r="B179" s="69">
        <f t="shared" si="116"/>
        <v>0</v>
      </c>
      <c r="C179" s="71"/>
      <c r="D179" s="69" t="str">
        <f t="shared" si="78"/>
        <v/>
      </c>
      <c r="E179" s="70" t="str">
        <f t="shared" si="79"/>
        <v/>
      </c>
      <c r="F179" s="70" t="str">
        <f t="shared" si="80"/>
        <v/>
      </c>
      <c r="G179" s="63" t="str">
        <f t="shared" si="81"/>
        <v/>
      </c>
      <c r="H179" s="64" t="str">
        <f t="shared" si="82"/>
        <v/>
      </c>
      <c r="I179" s="43"/>
      <c r="J179" s="63" t="str">
        <f t="shared" si="83"/>
        <v/>
      </c>
      <c r="K179" s="64" t="str">
        <f t="shared" si="84"/>
        <v/>
      </c>
      <c r="L179" s="63" t="str">
        <f t="shared" si="85"/>
        <v/>
      </c>
      <c r="M179" s="64" t="str">
        <f t="shared" si="86"/>
        <v/>
      </c>
      <c r="N179" s="65"/>
      <c r="O179" s="63" t="str">
        <f t="shared" si="87"/>
        <v/>
      </c>
      <c r="P179" s="63" t="str">
        <f t="shared" si="88"/>
        <v/>
      </c>
      <c r="Q179" s="66"/>
      <c r="R179" s="63" t="str">
        <f t="shared" si="89"/>
        <v/>
      </c>
      <c r="S179" s="64" t="str">
        <f t="shared" si="90"/>
        <v/>
      </c>
      <c r="T179" s="63" t="str">
        <f t="shared" si="91"/>
        <v/>
      </c>
      <c r="U179" s="64" t="str">
        <f t="shared" si="92"/>
        <v/>
      </c>
      <c r="V179" s="207" t="str">
        <f>IF($A180="","",IF(AND(MONTH(A179)&gt;3,MONTH(A179)&lt;11),(T179+R179+G179)*Summary!$T$8/(1-Summary!$T$8),(T179+R179+G179)*Summary!$U$8/(1-Summary!$U$8)))</f>
        <v/>
      </c>
      <c r="W179" s="63" t="str">
        <f t="shared" si="93"/>
        <v/>
      </c>
      <c r="X179" s="63" t="str">
        <f t="shared" si="94"/>
        <v/>
      </c>
      <c r="Y179" s="43"/>
      <c r="Z179" s="38" t="str">
        <f t="shared" si="95"/>
        <v/>
      </c>
      <c r="AA179" s="38" t="str">
        <f t="shared" si="96"/>
        <v/>
      </c>
      <c r="AB179" s="38" t="e">
        <f t="shared" si="97"/>
        <v>#VALUE!</v>
      </c>
      <c r="AC179" s="38" t="str">
        <f t="shared" si="98"/>
        <v/>
      </c>
      <c r="AD179" s="38" t="str">
        <f t="shared" si="98"/>
        <v/>
      </c>
      <c r="AE179" s="38" t="e">
        <f t="shared" si="99"/>
        <v>#VALUE!</v>
      </c>
      <c r="AF179" s="237" t="e">
        <f>((Summary!$N$8*(AA179*AD179)*(A179-$D$3))+(Summary!$M$8*Z179*AC179*(AJ179-EOMONTH(EDATE(A179,-1),0))))/(AK179*AB179*AE179)</f>
        <v>#VALUE!</v>
      </c>
      <c r="AG179" s="88" t="str">
        <f>IF($A180="","",Summary!$Q$8)</f>
        <v/>
      </c>
      <c r="AH179" s="88" t="str">
        <f>IF($A180="","",IF(Summary!$R$8="Y",(VLOOKUP($A179,Summary!$AD$6:$AF$9,3)+'Escalating commodity'!D192),'Escalating commodity'!D192))</f>
        <v/>
      </c>
      <c r="AI179" s="88" t="str">
        <f t="shared" si="114"/>
        <v/>
      </c>
      <c r="AJ179" s="236" t="e">
        <f t="shared" si="100"/>
        <v>#VALUE!</v>
      </c>
      <c r="AK179" s="58" t="str">
        <f t="shared" si="101"/>
        <v/>
      </c>
      <c r="AL179" s="26" t="str">
        <f>IF($A180="","",_xll.SPRDOPT(P179,X179,AI179,0,AB179,AE179,AF179,AK179,$AJ$2,0))</f>
        <v/>
      </c>
      <c r="AM179" s="89" t="str">
        <f t="shared" si="102"/>
        <v/>
      </c>
      <c r="AN179" s="89" t="str">
        <f t="shared" si="103"/>
        <v/>
      </c>
      <c r="AO179" s="3" t="str">
        <f t="shared" si="104"/>
        <v/>
      </c>
      <c r="AP179" s="33" t="str">
        <f t="shared" si="105"/>
        <v/>
      </c>
      <c r="AQ179" s="58" t="str">
        <f t="shared" si="106"/>
        <v/>
      </c>
      <c r="AR179" s="38">
        <f>'ANR OK vs ML7'!AR179</f>
        <v>0.1</v>
      </c>
      <c r="AS179" s="35" t="str">
        <f t="shared" si="107"/>
        <v/>
      </c>
      <c r="AT179" s="3" t="str">
        <f t="shared" si="108"/>
        <v/>
      </c>
      <c r="AU179" s="3" t="str">
        <f t="shared" si="109"/>
        <v/>
      </c>
      <c r="AW179" s="32" t="str">
        <f t="shared" si="110"/>
        <v/>
      </c>
      <c r="AX179" s="32" t="str">
        <f t="shared" si="111"/>
        <v/>
      </c>
      <c r="AY179" s="32" t="str">
        <f t="shared" si="112"/>
        <v/>
      </c>
      <c r="BA179" s="32" t="str">
        <f>IF($A180="","",F179*Summary!$Q$8)</f>
        <v/>
      </c>
    </row>
    <row r="180" spans="1:53" ht="12" customHeight="1">
      <c r="A180" s="67" t="str">
        <f t="shared" si="113"/>
        <v/>
      </c>
      <c r="B180" s="69">
        <f t="shared" si="116"/>
        <v>0</v>
      </c>
      <c r="C180" s="71"/>
      <c r="D180" s="69" t="str">
        <f t="shared" si="78"/>
        <v/>
      </c>
      <c r="E180" s="70" t="str">
        <f t="shared" si="79"/>
        <v/>
      </c>
      <c r="F180" s="70" t="str">
        <f t="shared" si="80"/>
        <v/>
      </c>
      <c r="G180" s="63" t="str">
        <f t="shared" si="81"/>
        <v/>
      </c>
      <c r="H180" s="64" t="str">
        <f t="shared" si="82"/>
        <v/>
      </c>
      <c r="I180" s="43"/>
      <c r="J180" s="63" t="str">
        <f t="shared" si="83"/>
        <v/>
      </c>
      <c r="K180" s="64" t="str">
        <f t="shared" si="84"/>
        <v/>
      </c>
      <c r="L180" s="63" t="str">
        <f t="shared" si="85"/>
        <v/>
      </c>
      <c r="M180" s="64" t="str">
        <f t="shared" si="86"/>
        <v/>
      </c>
      <c r="N180" s="65"/>
      <c r="O180" s="63" t="str">
        <f t="shared" si="87"/>
        <v/>
      </c>
      <c r="P180" s="63" t="str">
        <f t="shared" si="88"/>
        <v/>
      </c>
      <c r="Q180" s="66"/>
      <c r="R180" s="63" t="str">
        <f t="shared" si="89"/>
        <v/>
      </c>
      <c r="S180" s="64" t="str">
        <f t="shared" si="90"/>
        <v/>
      </c>
      <c r="T180" s="63" t="str">
        <f t="shared" si="91"/>
        <v/>
      </c>
      <c r="U180" s="64" t="str">
        <f t="shared" si="92"/>
        <v/>
      </c>
      <c r="V180" s="207" t="str">
        <f>IF($A181="","",IF(AND(MONTH(A180)&gt;3,MONTH(A180)&lt;11),(T180+R180+G180)*Summary!$T$8/(1-Summary!$T$8),(T180+R180+G180)*Summary!$U$8/(1-Summary!$U$8)))</f>
        <v/>
      </c>
      <c r="W180" s="63" t="str">
        <f t="shared" si="93"/>
        <v/>
      </c>
      <c r="X180" s="63" t="str">
        <f t="shared" si="94"/>
        <v/>
      </c>
      <c r="Y180" s="43"/>
      <c r="Z180" s="38" t="str">
        <f t="shared" si="95"/>
        <v/>
      </c>
      <c r="AA180" s="38" t="str">
        <f t="shared" si="96"/>
        <v/>
      </c>
      <c r="AB180" s="38" t="e">
        <f t="shared" si="97"/>
        <v>#VALUE!</v>
      </c>
      <c r="AC180" s="38" t="str">
        <f t="shared" si="98"/>
        <v/>
      </c>
      <c r="AD180" s="38" t="str">
        <f t="shared" si="98"/>
        <v/>
      </c>
      <c r="AE180" s="38" t="e">
        <f t="shared" si="99"/>
        <v>#VALUE!</v>
      </c>
      <c r="AF180" s="237" t="e">
        <f>((Summary!$N$8*(AA180*AD180)*(A180-$D$3))+(Summary!$M$8*Z180*AC180*(AJ180-EOMONTH(EDATE(A180,-1),0))))/(AK180*AB180*AE180)</f>
        <v>#VALUE!</v>
      </c>
      <c r="AG180" s="88" t="str">
        <f>IF($A181="","",Summary!$Q$8)</f>
        <v/>
      </c>
      <c r="AH180" s="88" t="str">
        <f>IF($A181="","",IF(Summary!$R$8="Y",(VLOOKUP($A180,Summary!$AD$6:$AF$9,3)+'Escalating commodity'!D193),'Escalating commodity'!D193))</f>
        <v/>
      </c>
      <c r="AI180" s="88" t="str">
        <f t="shared" si="114"/>
        <v/>
      </c>
      <c r="AJ180" s="236" t="e">
        <f t="shared" si="100"/>
        <v>#VALUE!</v>
      </c>
      <c r="AK180" s="58" t="str">
        <f t="shared" si="101"/>
        <v/>
      </c>
      <c r="AL180" s="26" t="str">
        <f>IF($A181="","",_xll.SPRDOPT(P180,X180,AI180,0,AB180,AE180,AF180,AK180,$AJ$2,0))</f>
        <v/>
      </c>
      <c r="AM180" s="89" t="str">
        <f t="shared" si="102"/>
        <v/>
      </c>
      <c r="AN180" s="89" t="str">
        <f t="shared" si="103"/>
        <v/>
      </c>
      <c r="AO180" s="3" t="str">
        <f t="shared" si="104"/>
        <v/>
      </c>
      <c r="AP180" s="33" t="str">
        <f t="shared" si="105"/>
        <v/>
      </c>
      <c r="AQ180" s="58" t="str">
        <f t="shared" si="106"/>
        <v/>
      </c>
      <c r="AR180" s="38">
        <f>'ANR OK vs ML7'!AR180</f>
        <v>0.1</v>
      </c>
      <c r="AS180" s="35" t="str">
        <f t="shared" si="107"/>
        <v/>
      </c>
      <c r="AT180" s="3" t="str">
        <f t="shared" si="108"/>
        <v/>
      </c>
      <c r="AU180" s="3" t="str">
        <f t="shared" si="109"/>
        <v/>
      </c>
      <c r="AW180" s="32" t="str">
        <f t="shared" si="110"/>
        <v/>
      </c>
      <c r="AX180" s="32" t="str">
        <f t="shared" si="111"/>
        <v/>
      </c>
      <c r="AY180" s="32" t="str">
        <f t="shared" si="112"/>
        <v/>
      </c>
      <c r="BA180" s="32" t="str">
        <f>IF($A181="","",F180*Summary!$Q$8)</f>
        <v/>
      </c>
    </row>
    <row r="181" spans="1:53" ht="12" customHeight="1">
      <c r="A181" s="67" t="str">
        <f t="shared" si="113"/>
        <v/>
      </c>
      <c r="B181" s="69">
        <f t="shared" si="116"/>
        <v>0</v>
      </c>
      <c r="C181" s="71"/>
      <c r="D181" s="69" t="str">
        <f t="shared" si="78"/>
        <v/>
      </c>
      <c r="E181" s="70" t="str">
        <f t="shared" si="79"/>
        <v/>
      </c>
      <c r="F181" s="70" t="str">
        <f t="shared" si="80"/>
        <v/>
      </c>
      <c r="G181" s="63" t="str">
        <f t="shared" si="81"/>
        <v/>
      </c>
      <c r="H181" s="64" t="str">
        <f t="shared" si="82"/>
        <v/>
      </c>
      <c r="I181" s="43"/>
      <c r="J181" s="63" t="str">
        <f t="shared" si="83"/>
        <v/>
      </c>
      <c r="K181" s="64" t="str">
        <f t="shared" si="84"/>
        <v/>
      </c>
      <c r="L181" s="63" t="str">
        <f t="shared" si="85"/>
        <v/>
      </c>
      <c r="M181" s="64" t="str">
        <f t="shared" si="86"/>
        <v/>
      </c>
      <c r="N181" s="65"/>
      <c r="O181" s="63" t="str">
        <f t="shared" si="87"/>
        <v/>
      </c>
      <c r="P181" s="63" t="str">
        <f t="shared" si="88"/>
        <v/>
      </c>
      <c r="Q181" s="66"/>
      <c r="R181" s="63" t="str">
        <f t="shared" si="89"/>
        <v/>
      </c>
      <c r="S181" s="64" t="str">
        <f t="shared" si="90"/>
        <v/>
      </c>
      <c r="T181" s="63" t="str">
        <f t="shared" si="91"/>
        <v/>
      </c>
      <c r="U181" s="64" t="str">
        <f t="shared" si="92"/>
        <v/>
      </c>
      <c r="V181" s="207" t="str">
        <f>IF($A182="","",IF(AND(MONTH(A181)&gt;3,MONTH(A181)&lt;11),(T181+R181+G181)*Summary!$T$8/(1-Summary!$T$8),(T181+R181+G181)*Summary!$U$8/(1-Summary!$U$8)))</f>
        <v/>
      </c>
      <c r="W181" s="63" t="str">
        <f t="shared" si="93"/>
        <v/>
      </c>
      <c r="X181" s="63" t="str">
        <f t="shared" si="94"/>
        <v/>
      </c>
      <c r="Y181" s="43"/>
      <c r="Z181" s="38" t="str">
        <f t="shared" si="95"/>
        <v/>
      </c>
      <c r="AA181" s="38" t="str">
        <f t="shared" si="96"/>
        <v/>
      </c>
      <c r="AB181" s="38" t="e">
        <f t="shared" si="97"/>
        <v>#VALUE!</v>
      </c>
      <c r="AC181" s="38" t="str">
        <f t="shared" si="98"/>
        <v/>
      </c>
      <c r="AD181" s="38" t="str">
        <f t="shared" si="98"/>
        <v/>
      </c>
      <c r="AE181" s="38" t="e">
        <f t="shared" si="99"/>
        <v>#VALUE!</v>
      </c>
      <c r="AF181" s="237" t="e">
        <f>((Summary!$N$8*(AA181*AD181)*(A181-$D$3))+(Summary!$M$8*Z181*AC181*(AJ181-EOMONTH(EDATE(A181,-1),0))))/(AK181*AB181*AE181)</f>
        <v>#VALUE!</v>
      </c>
      <c r="AG181" s="88" t="str">
        <f>IF($A182="","",Summary!$Q$8)</f>
        <v/>
      </c>
      <c r="AH181" s="88" t="str">
        <f>IF($A182="","",IF(Summary!$R$8="Y",(VLOOKUP($A181,Summary!$AD$6:$AF$9,3)+'Escalating commodity'!D194),'Escalating commodity'!D194))</f>
        <v/>
      </c>
      <c r="AI181" s="88" t="str">
        <f t="shared" si="114"/>
        <v/>
      </c>
      <c r="AJ181" s="236" t="e">
        <f t="shared" si="100"/>
        <v>#VALUE!</v>
      </c>
      <c r="AK181" s="58" t="str">
        <f t="shared" si="101"/>
        <v/>
      </c>
      <c r="AL181" s="26" t="str">
        <f>IF($A182="","",_xll.SPRDOPT(P181,X181,AI181,0,AB181,AE181,AF181,AK181,$AJ$2,0))</f>
        <v/>
      </c>
      <c r="AM181" s="89" t="str">
        <f t="shared" si="102"/>
        <v/>
      </c>
      <c r="AN181" s="89" t="str">
        <f t="shared" si="103"/>
        <v/>
      </c>
      <c r="AO181" s="3" t="str">
        <f t="shared" si="104"/>
        <v/>
      </c>
      <c r="AP181" s="33" t="str">
        <f t="shared" si="105"/>
        <v/>
      </c>
      <c r="AQ181" s="58" t="str">
        <f t="shared" si="106"/>
        <v/>
      </c>
      <c r="AR181" s="38">
        <f>'ANR OK vs ML7'!AR181</f>
        <v>0.1</v>
      </c>
      <c r="AS181" s="35" t="str">
        <f t="shared" si="107"/>
        <v/>
      </c>
      <c r="AT181" s="3" t="str">
        <f t="shared" si="108"/>
        <v/>
      </c>
      <c r="AU181" s="3" t="str">
        <f t="shared" si="109"/>
        <v/>
      </c>
      <c r="AW181" s="32" t="str">
        <f t="shared" si="110"/>
        <v/>
      </c>
      <c r="AX181" s="32" t="str">
        <f t="shared" si="111"/>
        <v/>
      </c>
      <c r="AY181" s="32" t="str">
        <f t="shared" si="112"/>
        <v/>
      </c>
      <c r="BA181" s="32" t="str">
        <f>IF($A182="","",F181*Summary!$Q$8)</f>
        <v/>
      </c>
    </row>
    <row r="182" spans="1:53" ht="12" customHeight="1">
      <c r="A182" s="67" t="str">
        <f t="shared" si="113"/>
        <v/>
      </c>
      <c r="B182" s="69">
        <f t="shared" si="116"/>
        <v>0</v>
      </c>
      <c r="C182" s="71"/>
      <c r="D182" s="69" t="str">
        <f t="shared" si="78"/>
        <v/>
      </c>
      <c r="E182" s="70" t="str">
        <f t="shared" si="79"/>
        <v/>
      </c>
      <c r="F182" s="70" t="str">
        <f t="shared" si="80"/>
        <v/>
      </c>
      <c r="G182" s="63" t="str">
        <f t="shared" si="81"/>
        <v/>
      </c>
      <c r="H182" s="64" t="str">
        <f t="shared" si="82"/>
        <v/>
      </c>
      <c r="I182" s="43"/>
      <c r="J182" s="63" t="str">
        <f t="shared" si="83"/>
        <v/>
      </c>
      <c r="K182" s="64" t="str">
        <f t="shared" si="84"/>
        <v/>
      </c>
      <c r="L182" s="63" t="str">
        <f t="shared" si="85"/>
        <v/>
      </c>
      <c r="M182" s="64" t="str">
        <f t="shared" si="86"/>
        <v/>
      </c>
      <c r="N182" s="65"/>
      <c r="O182" s="63" t="str">
        <f t="shared" si="87"/>
        <v/>
      </c>
      <c r="P182" s="63" t="str">
        <f t="shared" si="88"/>
        <v/>
      </c>
      <c r="Q182" s="66"/>
      <c r="R182" s="63" t="str">
        <f t="shared" si="89"/>
        <v/>
      </c>
      <c r="S182" s="64" t="str">
        <f t="shared" si="90"/>
        <v/>
      </c>
      <c r="T182" s="63" t="str">
        <f t="shared" si="91"/>
        <v/>
      </c>
      <c r="U182" s="64" t="str">
        <f t="shared" si="92"/>
        <v/>
      </c>
      <c r="V182" s="207" t="str">
        <f>IF($A183="","",IF(AND(MONTH(A182)&gt;3,MONTH(A182)&lt;11),(T182+R182+G182)*Summary!$T$8/(1-Summary!$T$8),(T182+R182+G182)*Summary!$U$8/(1-Summary!$U$8)))</f>
        <v/>
      </c>
      <c r="W182" s="63" t="str">
        <f t="shared" si="93"/>
        <v/>
      </c>
      <c r="X182" s="63" t="str">
        <f t="shared" si="94"/>
        <v/>
      </c>
      <c r="Y182" s="43"/>
      <c r="Z182" s="38" t="str">
        <f t="shared" si="95"/>
        <v/>
      </c>
      <c r="AA182" s="38" t="str">
        <f t="shared" si="96"/>
        <v/>
      </c>
      <c r="AB182" s="38" t="e">
        <f t="shared" si="97"/>
        <v>#VALUE!</v>
      </c>
      <c r="AC182" s="38" t="str">
        <f t="shared" si="98"/>
        <v/>
      </c>
      <c r="AD182" s="38" t="str">
        <f t="shared" si="98"/>
        <v/>
      </c>
      <c r="AE182" s="38" t="e">
        <f t="shared" si="99"/>
        <v>#VALUE!</v>
      </c>
      <c r="AF182" s="237" t="e">
        <f>((Summary!$N$8*(AA182*AD182)*(A182-$D$3))+(Summary!$M$8*Z182*AC182*(AJ182-EOMONTH(EDATE(A182,-1),0))))/(AK182*AB182*AE182)</f>
        <v>#VALUE!</v>
      </c>
      <c r="AG182" s="88" t="str">
        <f>IF($A183="","",Summary!$Q$8)</f>
        <v/>
      </c>
      <c r="AH182" s="88" t="str">
        <f>IF($A183="","",IF(Summary!$R$8="Y",(VLOOKUP($A182,Summary!$AD$6:$AF$9,3)+'Escalating commodity'!D195),'Escalating commodity'!D195))</f>
        <v/>
      </c>
      <c r="AI182" s="88" t="str">
        <f t="shared" si="114"/>
        <v/>
      </c>
      <c r="AJ182" s="236" t="e">
        <f t="shared" si="100"/>
        <v>#VALUE!</v>
      </c>
      <c r="AK182" s="58" t="str">
        <f t="shared" si="101"/>
        <v/>
      </c>
      <c r="AL182" s="26" t="str">
        <f>IF($A183="","",_xll.SPRDOPT(P182,X182,AI182,0,AB182,AE182,AF182,AK182,$AJ$2,0))</f>
        <v/>
      </c>
      <c r="AM182" s="89" t="str">
        <f t="shared" si="102"/>
        <v/>
      </c>
      <c r="AN182" s="89" t="str">
        <f t="shared" si="103"/>
        <v/>
      </c>
      <c r="AO182" s="3" t="str">
        <f t="shared" si="104"/>
        <v/>
      </c>
      <c r="AP182" s="33" t="str">
        <f t="shared" si="105"/>
        <v/>
      </c>
      <c r="AQ182" s="58" t="str">
        <f t="shared" si="106"/>
        <v/>
      </c>
      <c r="AR182" s="38">
        <f>'ANR OK vs ML7'!AR182</f>
        <v>0.1</v>
      </c>
      <c r="AS182" s="35" t="str">
        <f t="shared" si="107"/>
        <v/>
      </c>
      <c r="AT182" s="3" t="str">
        <f t="shared" si="108"/>
        <v/>
      </c>
      <c r="AU182" s="3" t="str">
        <f t="shared" si="109"/>
        <v/>
      </c>
      <c r="AW182" s="32" t="str">
        <f t="shared" si="110"/>
        <v/>
      </c>
      <c r="AX182" s="32" t="str">
        <f t="shared" si="111"/>
        <v/>
      </c>
      <c r="AY182" s="32" t="str">
        <f t="shared" si="112"/>
        <v/>
      </c>
      <c r="BA182" s="32" t="str">
        <f>IF($A183="","",F182*Summary!$Q$8)</f>
        <v/>
      </c>
    </row>
    <row r="183" spans="1:53" ht="12" customHeight="1">
      <c r="A183" s="67" t="str">
        <f t="shared" si="113"/>
        <v/>
      </c>
      <c r="B183" s="69">
        <f t="shared" si="116"/>
        <v>0</v>
      </c>
      <c r="C183" s="71"/>
      <c r="D183" s="69" t="str">
        <f t="shared" si="78"/>
        <v/>
      </c>
      <c r="E183" s="70" t="str">
        <f t="shared" si="79"/>
        <v/>
      </c>
      <c r="F183" s="70" t="str">
        <f t="shared" si="80"/>
        <v/>
      </c>
      <c r="G183" s="63" t="str">
        <f t="shared" si="81"/>
        <v/>
      </c>
      <c r="H183" s="64" t="str">
        <f t="shared" si="82"/>
        <v/>
      </c>
      <c r="I183" s="43"/>
      <c r="J183" s="63" t="str">
        <f t="shared" si="83"/>
        <v/>
      </c>
      <c r="K183" s="64" t="str">
        <f t="shared" si="84"/>
        <v/>
      </c>
      <c r="L183" s="63" t="str">
        <f t="shared" si="85"/>
        <v/>
      </c>
      <c r="M183" s="64" t="str">
        <f t="shared" si="86"/>
        <v/>
      </c>
      <c r="N183" s="65"/>
      <c r="O183" s="63" t="str">
        <f t="shared" si="87"/>
        <v/>
      </c>
      <c r="P183" s="63" t="str">
        <f t="shared" si="88"/>
        <v/>
      </c>
      <c r="Q183" s="66"/>
      <c r="R183" s="63" t="str">
        <f t="shared" si="89"/>
        <v/>
      </c>
      <c r="S183" s="64" t="str">
        <f t="shared" si="90"/>
        <v/>
      </c>
      <c r="T183" s="63" t="str">
        <f t="shared" si="91"/>
        <v/>
      </c>
      <c r="U183" s="64" t="str">
        <f t="shared" si="92"/>
        <v/>
      </c>
      <c r="V183" s="207" t="str">
        <f>IF($A184="","",IF(AND(MONTH(A183)&gt;3,MONTH(A183)&lt;11),(T183+R183+G183)*Summary!$T$8/(1-Summary!$T$8),(T183+R183+G183)*Summary!$U$8/(1-Summary!$U$8)))</f>
        <v/>
      </c>
      <c r="W183" s="63" t="str">
        <f t="shared" si="93"/>
        <v/>
      </c>
      <c r="X183" s="63" t="str">
        <f t="shared" si="94"/>
        <v/>
      </c>
      <c r="Y183" s="43"/>
      <c r="Z183" s="38" t="str">
        <f t="shared" si="95"/>
        <v/>
      </c>
      <c r="AA183" s="38" t="str">
        <f t="shared" si="96"/>
        <v/>
      </c>
      <c r="AB183" s="38" t="e">
        <f t="shared" si="97"/>
        <v>#VALUE!</v>
      </c>
      <c r="AC183" s="38" t="str">
        <f t="shared" si="98"/>
        <v/>
      </c>
      <c r="AD183" s="38" t="str">
        <f t="shared" si="98"/>
        <v/>
      </c>
      <c r="AE183" s="38" t="e">
        <f t="shared" si="99"/>
        <v>#VALUE!</v>
      </c>
      <c r="AF183" s="237" t="e">
        <f>((Summary!$N$8*(AA183*AD183)*(A183-$D$3))+(Summary!$M$8*Z183*AC183*(AJ183-EOMONTH(EDATE(A183,-1),0))))/(AK183*AB183*AE183)</f>
        <v>#VALUE!</v>
      </c>
      <c r="AG183" s="88" t="str">
        <f>IF($A184="","",Summary!$Q$8)</f>
        <v/>
      </c>
      <c r="AH183" s="88" t="str">
        <f>IF($A184="","",IF(Summary!$R$8="Y",(VLOOKUP($A183,Summary!$AD$6:$AF$9,3)+'Escalating commodity'!D196),'Escalating commodity'!D196))</f>
        <v/>
      </c>
      <c r="AI183" s="88" t="str">
        <f t="shared" si="114"/>
        <v/>
      </c>
      <c r="AJ183" s="236" t="e">
        <f t="shared" si="100"/>
        <v>#VALUE!</v>
      </c>
      <c r="AK183" s="58" t="str">
        <f t="shared" si="101"/>
        <v/>
      </c>
      <c r="AL183" s="26" t="str">
        <f>IF($A184="","",_xll.SPRDOPT(P183,X183,AI183,0,AB183,AE183,AF183,AK183,$AJ$2,0))</f>
        <v/>
      </c>
      <c r="AM183" s="89" t="str">
        <f t="shared" si="102"/>
        <v/>
      </c>
      <c r="AN183" s="89" t="str">
        <f t="shared" si="103"/>
        <v/>
      </c>
      <c r="AO183" s="3" t="str">
        <f t="shared" si="104"/>
        <v/>
      </c>
      <c r="AP183" s="33" t="str">
        <f t="shared" si="105"/>
        <v/>
      </c>
      <c r="AQ183" s="58" t="str">
        <f t="shared" si="106"/>
        <v/>
      </c>
      <c r="AR183" s="38">
        <f>'ANR OK vs ML7'!AR183</f>
        <v>0.1</v>
      </c>
      <c r="AS183" s="35" t="str">
        <f t="shared" si="107"/>
        <v/>
      </c>
      <c r="AT183" s="3" t="str">
        <f t="shared" si="108"/>
        <v/>
      </c>
      <c r="AU183" s="3" t="str">
        <f t="shared" si="109"/>
        <v/>
      </c>
      <c r="AW183" s="32" t="str">
        <f t="shared" si="110"/>
        <v/>
      </c>
      <c r="AX183" s="32" t="str">
        <f t="shared" si="111"/>
        <v/>
      </c>
      <c r="AY183" s="32" t="str">
        <f t="shared" si="112"/>
        <v/>
      </c>
      <c r="BA183" s="32" t="str">
        <f>IF($A184="","",F183*Summary!$Q$8)</f>
        <v/>
      </c>
    </row>
    <row r="184" spans="1:53" ht="12" customHeight="1">
      <c r="A184" s="67" t="str">
        <f t="shared" si="113"/>
        <v/>
      </c>
      <c r="B184" s="69">
        <f t="shared" si="116"/>
        <v>0</v>
      </c>
      <c r="C184" s="71"/>
      <c r="D184" s="69" t="str">
        <f t="shared" si="78"/>
        <v/>
      </c>
      <c r="E184" s="70" t="str">
        <f t="shared" si="79"/>
        <v/>
      </c>
      <c r="F184" s="70" t="str">
        <f t="shared" si="80"/>
        <v/>
      </c>
      <c r="G184" s="63" t="str">
        <f t="shared" si="81"/>
        <v/>
      </c>
      <c r="H184" s="64" t="str">
        <f t="shared" si="82"/>
        <v/>
      </c>
      <c r="I184" s="43"/>
      <c r="J184" s="63" t="str">
        <f t="shared" si="83"/>
        <v/>
      </c>
      <c r="K184" s="64" t="str">
        <f t="shared" si="84"/>
        <v/>
      </c>
      <c r="L184" s="63" t="str">
        <f t="shared" si="85"/>
        <v/>
      </c>
      <c r="M184" s="64" t="str">
        <f t="shared" si="86"/>
        <v/>
      </c>
      <c r="N184" s="65"/>
      <c r="O184" s="63" t="str">
        <f t="shared" si="87"/>
        <v/>
      </c>
      <c r="P184" s="63" t="str">
        <f t="shared" si="88"/>
        <v/>
      </c>
      <c r="Q184" s="66"/>
      <c r="R184" s="63" t="str">
        <f t="shared" si="89"/>
        <v/>
      </c>
      <c r="S184" s="64" t="str">
        <f t="shared" si="90"/>
        <v/>
      </c>
      <c r="T184" s="63" t="str">
        <f t="shared" si="91"/>
        <v/>
      </c>
      <c r="U184" s="64" t="str">
        <f t="shared" si="92"/>
        <v/>
      </c>
      <c r="V184" s="207" t="str">
        <f>IF($A185="","",IF(AND(MONTH(A184)&gt;3,MONTH(A184)&lt;11),(T184+R184+G184)*Summary!$T$8/(1-Summary!$T$8),(T184+R184+G184)*Summary!$U$8/(1-Summary!$U$8)))</f>
        <v/>
      </c>
      <c r="W184" s="63" t="str">
        <f t="shared" si="93"/>
        <v/>
      </c>
      <c r="X184" s="63" t="str">
        <f t="shared" si="94"/>
        <v/>
      </c>
      <c r="Y184" s="43"/>
      <c r="Z184" s="38" t="str">
        <f t="shared" si="95"/>
        <v/>
      </c>
      <c r="AA184" s="38" t="str">
        <f t="shared" si="96"/>
        <v/>
      </c>
      <c r="AB184" s="38" t="e">
        <f t="shared" si="97"/>
        <v>#VALUE!</v>
      </c>
      <c r="AC184" s="38" t="str">
        <f t="shared" si="98"/>
        <v/>
      </c>
      <c r="AD184" s="38" t="str">
        <f t="shared" si="98"/>
        <v/>
      </c>
      <c r="AE184" s="38" t="e">
        <f t="shared" si="99"/>
        <v>#VALUE!</v>
      </c>
      <c r="AF184" s="237" t="e">
        <f>((Summary!$N$8*(AA184*AD184)*(A184-$D$3))+(Summary!$M$8*Z184*AC184*(AJ184-EOMONTH(EDATE(A184,-1),0))))/(AK184*AB184*AE184)</f>
        <v>#VALUE!</v>
      </c>
      <c r="AG184" s="88" t="str">
        <f>IF($A185="","",Summary!$Q$8)</f>
        <v/>
      </c>
      <c r="AH184" s="88" t="str">
        <f>IF($A185="","",IF(Summary!$R$8="Y",(VLOOKUP($A184,Summary!$AD$6:$AF$9,3)+'Escalating commodity'!D197),'Escalating commodity'!D197))</f>
        <v/>
      </c>
      <c r="AI184" s="88" t="str">
        <f t="shared" si="114"/>
        <v/>
      </c>
      <c r="AJ184" s="236" t="e">
        <f t="shared" si="100"/>
        <v>#VALUE!</v>
      </c>
      <c r="AK184" s="58" t="str">
        <f t="shared" si="101"/>
        <v/>
      </c>
      <c r="AL184" s="26" t="str">
        <f>IF($A185="","",_xll.SPRDOPT(P184,X184,AI184,0,AB184,AE184,AF184,AK184,$AJ$2,0))</f>
        <v/>
      </c>
      <c r="AM184" s="89" t="str">
        <f t="shared" si="102"/>
        <v/>
      </c>
      <c r="AN184" s="89" t="str">
        <f t="shared" si="103"/>
        <v/>
      </c>
      <c r="AO184" s="3" t="str">
        <f t="shared" si="104"/>
        <v/>
      </c>
      <c r="AP184" s="33" t="str">
        <f t="shared" si="105"/>
        <v/>
      </c>
      <c r="AQ184" s="58" t="str">
        <f t="shared" si="106"/>
        <v/>
      </c>
      <c r="AR184" s="38">
        <f>'ANR OK vs ML7'!AR184</f>
        <v>0.1</v>
      </c>
      <c r="AS184" s="35" t="str">
        <f t="shared" si="107"/>
        <v/>
      </c>
      <c r="AT184" s="3" t="str">
        <f t="shared" si="108"/>
        <v/>
      </c>
      <c r="AU184" s="3" t="str">
        <f t="shared" si="109"/>
        <v/>
      </c>
      <c r="AW184" s="32" t="str">
        <f t="shared" si="110"/>
        <v/>
      </c>
      <c r="AX184" s="32" t="str">
        <f t="shared" si="111"/>
        <v/>
      </c>
      <c r="AY184" s="32" t="str">
        <f t="shared" si="112"/>
        <v/>
      </c>
      <c r="BA184" s="32" t="str">
        <f>IF($A185="","",F184*Summary!$Q$8)</f>
        <v/>
      </c>
    </row>
    <row r="185" spans="1:53" ht="12" customHeight="1">
      <c r="A185" s="67" t="str">
        <f t="shared" si="113"/>
        <v/>
      </c>
      <c r="B185" s="69">
        <f t="shared" si="116"/>
        <v>0</v>
      </c>
      <c r="C185" s="71"/>
      <c r="D185" s="69" t="str">
        <f t="shared" si="78"/>
        <v/>
      </c>
      <c r="E185" s="70" t="str">
        <f t="shared" si="79"/>
        <v/>
      </c>
      <c r="F185" s="70" t="str">
        <f t="shared" si="80"/>
        <v/>
      </c>
      <c r="G185" s="63" t="str">
        <f t="shared" si="81"/>
        <v/>
      </c>
      <c r="H185" s="64" t="str">
        <f t="shared" si="82"/>
        <v/>
      </c>
      <c r="I185" s="43"/>
      <c r="J185" s="63" t="str">
        <f t="shared" si="83"/>
        <v/>
      </c>
      <c r="K185" s="64" t="str">
        <f t="shared" si="84"/>
        <v/>
      </c>
      <c r="L185" s="63" t="str">
        <f t="shared" si="85"/>
        <v/>
      </c>
      <c r="M185" s="64" t="str">
        <f t="shared" si="86"/>
        <v/>
      </c>
      <c r="N185" s="65"/>
      <c r="O185" s="63" t="str">
        <f t="shared" si="87"/>
        <v/>
      </c>
      <c r="P185" s="63" t="str">
        <f t="shared" si="88"/>
        <v/>
      </c>
      <c r="Q185" s="66"/>
      <c r="R185" s="63" t="str">
        <f t="shared" si="89"/>
        <v/>
      </c>
      <c r="S185" s="64" t="str">
        <f t="shared" si="90"/>
        <v/>
      </c>
      <c r="T185" s="63" t="str">
        <f t="shared" si="91"/>
        <v/>
      </c>
      <c r="U185" s="64" t="str">
        <f t="shared" si="92"/>
        <v/>
      </c>
      <c r="V185" s="207" t="str">
        <f>IF($A186="","",IF(AND(MONTH(A185)&gt;3,MONTH(A185)&lt;11),(T185+R185+G185)*Summary!$T$8/(1-Summary!$T$8),(T185+R185+G185)*Summary!$U$8/(1-Summary!$U$8)))</f>
        <v/>
      </c>
      <c r="W185" s="63" t="str">
        <f t="shared" si="93"/>
        <v/>
      </c>
      <c r="X185" s="63" t="str">
        <f t="shared" si="94"/>
        <v/>
      </c>
      <c r="Y185" s="43"/>
      <c r="Z185" s="38" t="str">
        <f t="shared" si="95"/>
        <v/>
      </c>
      <c r="AA185" s="38" t="str">
        <f t="shared" si="96"/>
        <v/>
      </c>
      <c r="AB185" s="38" t="e">
        <f t="shared" si="97"/>
        <v>#VALUE!</v>
      </c>
      <c r="AC185" s="38" t="str">
        <f t="shared" si="98"/>
        <v/>
      </c>
      <c r="AD185" s="38" t="str">
        <f t="shared" si="98"/>
        <v/>
      </c>
      <c r="AE185" s="38" t="e">
        <f t="shared" si="99"/>
        <v>#VALUE!</v>
      </c>
      <c r="AF185" s="237" t="e">
        <f>((Summary!$N$8*(AA185*AD185)*(A185-$D$3))+(Summary!$M$8*Z185*AC185*(AJ185-EOMONTH(EDATE(A185,-1),0))))/(AK185*AB185*AE185)</f>
        <v>#VALUE!</v>
      </c>
      <c r="AG185" s="88" t="str">
        <f>IF($A186="","",Summary!$Q$8)</f>
        <v/>
      </c>
      <c r="AH185" s="88" t="str">
        <f>IF($A186="","",IF(Summary!$R$8="Y",(VLOOKUP($A185,Summary!$AD$6:$AF$9,3)+'Escalating commodity'!D198),'Escalating commodity'!D198))</f>
        <v/>
      </c>
      <c r="AI185" s="88" t="str">
        <f t="shared" si="114"/>
        <v/>
      </c>
      <c r="AJ185" s="236" t="e">
        <f t="shared" si="100"/>
        <v>#VALUE!</v>
      </c>
      <c r="AK185" s="58" t="str">
        <f t="shared" si="101"/>
        <v/>
      </c>
      <c r="AL185" s="26" t="str">
        <f>IF($A186="","",_xll.SPRDOPT(P185,X185,AI185,0,AB185,AE185,AF185,AK185,$AJ$2,0))</f>
        <v/>
      </c>
      <c r="AM185" s="89" t="str">
        <f t="shared" si="102"/>
        <v/>
      </c>
      <c r="AN185" s="89" t="str">
        <f t="shared" si="103"/>
        <v/>
      </c>
      <c r="AO185" s="3" t="str">
        <f t="shared" si="104"/>
        <v/>
      </c>
      <c r="AP185" s="33" t="str">
        <f t="shared" si="105"/>
        <v/>
      </c>
      <c r="AQ185" s="58" t="str">
        <f t="shared" si="106"/>
        <v/>
      </c>
      <c r="AR185" s="38">
        <f>'ANR OK vs ML7'!AR185</f>
        <v>0.1</v>
      </c>
      <c r="AS185" s="35" t="str">
        <f t="shared" si="107"/>
        <v/>
      </c>
      <c r="AT185" s="3" t="str">
        <f t="shared" si="108"/>
        <v/>
      </c>
      <c r="AU185" s="3" t="str">
        <f t="shared" si="109"/>
        <v/>
      </c>
      <c r="AW185" s="32" t="str">
        <f t="shared" si="110"/>
        <v/>
      </c>
      <c r="AX185" s="32" t="str">
        <f t="shared" si="111"/>
        <v/>
      </c>
      <c r="AY185" s="32" t="str">
        <f t="shared" si="112"/>
        <v/>
      </c>
      <c r="BA185" s="32" t="str">
        <f>IF($A186="","",F185*Summary!$Q$8)</f>
        <v/>
      </c>
    </row>
    <row r="186" spans="1:53" ht="12" customHeight="1">
      <c r="A186" s="67" t="str">
        <f t="shared" si="113"/>
        <v/>
      </c>
      <c r="B186" s="69">
        <f t="shared" si="116"/>
        <v>0</v>
      </c>
      <c r="C186" s="71"/>
      <c r="D186" s="69" t="str">
        <f t="shared" si="78"/>
        <v/>
      </c>
      <c r="E186" s="70" t="str">
        <f t="shared" si="79"/>
        <v/>
      </c>
      <c r="F186" s="70" t="str">
        <f t="shared" si="80"/>
        <v/>
      </c>
      <c r="G186" s="63" t="str">
        <f t="shared" si="81"/>
        <v/>
      </c>
      <c r="H186" s="64" t="str">
        <f t="shared" si="82"/>
        <v/>
      </c>
      <c r="I186" s="43"/>
      <c r="J186" s="63" t="str">
        <f t="shared" si="83"/>
        <v/>
      </c>
      <c r="K186" s="64" t="str">
        <f t="shared" si="84"/>
        <v/>
      </c>
      <c r="L186" s="63" t="str">
        <f t="shared" si="85"/>
        <v/>
      </c>
      <c r="M186" s="64" t="str">
        <f t="shared" si="86"/>
        <v/>
      </c>
      <c r="N186" s="65"/>
      <c r="O186" s="63" t="str">
        <f t="shared" si="87"/>
        <v/>
      </c>
      <c r="P186" s="63" t="str">
        <f t="shared" si="88"/>
        <v/>
      </c>
      <c r="Q186" s="66"/>
      <c r="R186" s="63" t="str">
        <f t="shared" si="89"/>
        <v/>
      </c>
      <c r="S186" s="64" t="str">
        <f t="shared" si="90"/>
        <v/>
      </c>
      <c r="T186" s="63" t="str">
        <f t="shared" si="91"/>
        <v/>
      </c>
      <c r="U186" s="64" t="str">
        <f t="shared" si="92"/>
        <v/>
      </c>
      <c r="V186" s="207" t="str">
        <f>IF($A187="","",IF(AND(MONTH(A186)&gt;3,MONTH(A186)&lt;11),(T186+R186+G186)*Summary!$T$8/(1-Summary!$T$8),(T186+R186+G186)*Summary!$U$8/(1-Summary!$U$8)))</f>
        <v/>
      </c>
      <c r="W186" s="63" t="str">
        <f t="shared" si="93"/>
        <v/>
      </c>
      <c r="X186" s="63" t="str">
        <f t="shared" si="94"/>
        <v/>
      </c>
      <c r="Y186" s="43"/>
      <c r="Z186" s="38" t="str">
        <f t="shared" si="95"/>
        <v/>
      </c>
      <c r="AA186" s="38" t="str">
        <f t="shared" si="96"/>
        <v/>
      </c>
      <c r="AB186" s="38" t="e">
        <f t="shared" si="97"/>
        <v>#VALUE!</v>
      </c>
      <c r="AC186" s="38" t="str">
        <f t="shared" si="98"/>
        <v/>
      </c>
      <c r="AD186" s="38" t="str">
        <f t="shared" si="98"/>
        <v/>
      </c>
      <c r="AE186" s="38" t="e">
        <f t="shared" si="99"/>
        <v>#VALUE!</v>
      </c>
      <c r="AF186" s="237" t="e">
        <f>((Summary!$N$8*(AA186*AD186)*(A186-$D$3))+(Summary!$M$8*Z186*AC186*(AJ186-EOMONTH(EDATE(A186,-1),0))))/(AK186*AB186*AE186)</f>
        <v>#VALUE!</v>
      </c>
      <c r="AG186" s="88" t="str">
        <f>IF($A187="","",Summary!$Q$8)</f>
        <v/>
      </c>
      <c r="AH186" s="88" t="str">
        <f>IF($A187="","",IF(Summary!$R$8="Y",(VLOOKUP($A186,Summary!$AD$6:$AF$9,3)+'Escalating commodity'!D199),'Escalating commodity'!D199))</f>
        <v/>
      </c>
      <c r="AI186" s="88" t="str">
        <f t="shared" si="114"/>
        <v/>
      </c>
      <c r="AJ186" s="236" t="e">
        <f t="shared" si="100"/>
        <v>#VALUE!</v>
      </c>
      <c r="AK186" s="58" t="str">
        <f t="shared" si="101"/>
        <v/>
      </c>
      <c r="AL186" s="26" t="str">
        <f>IF($A187="","",_xll.SPRDOPT(P186,X186,AI186,0,AB186,AE186,AF186,AK186,$AJ$2,0))</f>
        <v/>
      </c>
      <c r="AM186" s="89" t="str">
        <f t="shared" si="102"/>
        <v/>
      </c>
      <c r="AN186" s="89" t="str">
        <f t="shared" si="103"/>
        <v/>
      </c>
      <c r="AO186" s="3" t="str">
        <f t="shared" si="104"/>
        <v/>
      </c>
      <c r="AP186" s="33" t="str">
        <f t="shared" si="105"/>
        <v/>
      </c>
      <c r="AQ186" s="58" t="str">
        <f t="shared" si="106"/>
        <v/>
      </c>
      <c r="AR186" s="38">
        <f>'ANR OK vs ML7'!AR186</f>
        <v>0.1</v>
      </c>
      <c r="AS186" s="35" t="str">
        <f t="shared" si="107"/>
        <v/>
      </c>
      <c r="AT186" s="3" t="str">
        <f t="shared" si="108"/>
        <v/>
      </c>
      <c r="AU186" s="3" t="str">
        <f t="shared" si="109"/>
        <v/>
      </c>
      <c r="AW186" s="32" t="str">
        <f t="shared" si="110"/>
        <v/>
      </c>
      <c r="AX186" s="32" t="str">
        <f t="shared" si="111"/>
        <v/>
      </c>
      <c r="AY186" s="32" t="str">
        <f t="shared" si="112"/>
        <v/>
      </c>
      <c r="BA186" s="32" t="str">
        <f>IF($A187="","",F186*Summary!$Q$8)</f>
        <v/>
      </c>
    </row>
    <row r="187" spans="1:53" ht="12" customHeight="1">
      <c r="A187" s="67" t="str">
        <f t="shared" si="113"/>
        <v/>
      </c>
      <c r="B187" s="69">
        <f t="shared" si="116"/>
        <v>0</v>
      </c>
      <c r="C187" s="71"/>
      <c r="D187" s="69" t="str">
        <f t="shared" si="78"/>
        <v/>
      </c>
      <c r="E187" s="70" t="str">
        <f t="shared" si="79"/>
        <v/>
      </c>
      <c r="F187" s="70" t="str">
        <f t="shared" si="80"/>
        <v/>
      </c>
      <c r="G187" s="63" t="str">
        <f t="shared" si="81"/>
        <v/>
      </c>
      <c r="H187" s="64" t="str">
        <f t="shared" si="82"/>
        <v/>
      </c>
      <c r="I187" s="43"/>
      <c r="J187" s="63" t="str">
        <f t="shared" si="83"/>
        <v/>
      </c>
      <c r="K187" s="64" t="str">
        <f t="shared" si="84"/>
        <v/>
      </c>
      <c r="L187" s="63" t="str">
        <f t="shared" si="85"/>
        <v/>
      </c>
      <c r="M187" s="64" t="str">
        <f t="shared" si="86"/>
        <v/>
      </c>
      <c r="N187" s="65"/>
      <c r="O187" s="63" t="str">
        <f t="shared" si="87"/>
        <v/>
      </c>
      <c r="P187" s="63" t="str">
        <f t="shared" si="88"/>
        <v/>
      </c>
      <c r="Q187" s="66"/>
      <c r="R187" s="63" t="str">
        <f t="shared" si="89"/>
        <v/>
      </c>
      <c r="S187" s="64" t="str">
        <f t="shared" si="90"/>
        <v/>
      </c>
      <c r="T187" s="63" t="str">
        <f t="shared" si="91"/>
        <v/>
      </c>
      <c r="U187" s="64" t="str">
        <f t="shared" si="92"/>
        <v/>
      </c>
      <c r="V187" s="207" t="str">
        <f>IF($A188="","",IF(AND(MONTH(A187)&gt;3,MONTH(A187)&lt;11),(T187+R187+G187)*Summary!$T$8/(1-Summary!$T$8),(T187+R187+G187)*Summary!$U$8/(1-Summary!$U$8)))</f>
        <v/>
      </c>
      <c r="W187" s="63" t="str">
        <f t="shared" si="93"/>
        <v/>
      </c>
      <c r="X187" s="63" t="str">
        <f t="shared" si="94"/>
        <v/>
      </c>
      <c r="Y187" s="43"/>
      <c r="Z187" s="38" t="str">
        <f t="shared" si="95"/>
        <v/>
      </c>
      <c r="AA187" s="38" t="str">
        <f t="shared" si="96"/>
        <v/>
      </c>
      <c r="AB187" s="38" t="e">
        <f t="shared" si="97"/>
        <v>#VALUE!</v>
      </c>
      <c r="AC187" s="38" t="str">
        <f t="shared" si="98"/>
        <v/>
      </c>
      <c r="AD187" s="38" t="str">
        <f t="shared" si="98"/>
        <v/>
      </c>
      <c r="AE187" s="38" t="e">
        <f t="shared" si="99"/>
        <v>#VALUE!</v>
      </c>
      <c r="AF187" s="237" t="e">
        <f>((Summary!$N$8*(AA187*AD187)*(A187-$D$3))+(Summary!$M$8*Z187*AC187*(AJ187-EOMONTH(EDATE(A187,-1),0))))/(AK187*AB187*AE187)</f>
        <v>#VALUE!</v>
      </c>
      <c r="AG187" s="88" t="str">
        <f>IF($A188="","",Summary!$Q$8)</f>
        <v/>
      </c>
      <c r="AH187" s="88" t="str">
        <f>IF($A188="","",IF(Summary!$R$8="Y",(VLOOKUP($A187,Summary!$AD$6:$AF$9,3)+'Escalating commodity'!D200),'Escalating commodity'!D200))</f>
        <v/>
      </c>
      <c r="AI187" s="88" t="str">
        <f t="shared" si="114"/>
        <v/>
      </c>
      <c r="AJ187" s="236" t="e">
        <f t="shared" si="100"/>
        <v>#VALUE!</v>
      </c>
      <c r="AK187" s="58" t="str">
        <f t="shared" si="101"/>
        <v/>
      </c>
      <c r="AL187" s="26" t="str">
        <f>IF($A188="","",_xll.SPRDOPT(P187,X187,AI187,0,AB187,AE187,AF187,AK187,$AJ$2,0))</f>
        <v/>
      </c>
      <c r="AM187" s="89" t="str">
        <f t="shared" si="102"/>
        <v/>
      </c>
      <c r="AN187" s="89" t="str">
        <f t="shared" si="103"/>
        <v/>
      </c>
      <c r="AO187" s="3" t="str">
        <f t="shared" si="104"/>
        <v/>
      </c>
      <c r="AP187" s="33" t="str">
        <f t="shared" si="105"/>
        <v/>
      </c>
      <c r="AQ187" s="58" t="str">
        <f t="shared" si="106"/>
        <v/>
      </c>
      <c r="AR187" s="38">
        <f>'ANR OK vs ML7'!AR187</f>
        <v>0.1</v>
      </c>
      <c r="AS187" s="35" t="str">
        <f t="shared" si="107"/>
        <v/>
      </c>
      <c r="AT187" s="3" t="str">
        <f t="shared" si="108"/>
        <v/>
      </c>
      <c r="AU187" s="3" t="str">
        <f t="shared" si="109"/>
        <v/>
      </c>
      <c r="AW187" s="32" t="str">
        <f t="shared" si="110"/>
        <v/>
      </c>
      <c r="AX187" s="32" t="str">
        <f t="shared" si="111"/>
        <v/>
      </c>
      <c r="AY187" s="32" t="str">
        <f t="shared" si="112"/>
        <v/>
      </c>
      <c r="BA187" s="32" t="str">
        <f>IF($A188="","",F187*Summary!$Q$8)</f>
        <v/>
      </c>
    </row>
    <row r="188" spans="1:53" ht="12" customHeight="1">
      <c r="A188" s="67" t="str">
        <f t="shared" si="113"/>
        <v/>
      </c>
      <c r="B188" s="69">
        <f t="shared" si="116"/>
        <v>0</v>
      </c>
      <c r="C188" s="71"/>
      <c r="D188" s="69" t="str">
        <f t="shared" si="78"/>
        <v/>
      </c>
      <c r="E188" s="70" t="str">
        <f t="shared" si="79"/>
        <v/>
      </c>
      <c r="F188" s="70" t="str">
        <f t="shared" si="80"/>
        <v/>
      </c>
      <c r="G188" s="63" t="str">
        <f t="shared" si="81"/>
        <v/>
      </c>
      <c r="H188" s="64" t="str">
        <f t="shared" si="82"/>
        <v/>
      </c>
      <c r="I188" s="43"/>
      <c r="J188" s="63" t="str">
        <f t="shared" si="83"/>
        <v/>
      </c>
      <c r="K188" s="64" t="str">
        <f t="shared" si="84"/>
        <v/>
      </c>
      <c r="L188" s="63" t="str">
        <f t="shared" si="85"/>
        <v/>
      </c>
      <c r="M188" s="64" t="str">
        <f t="shared" si="86"/>
        <v/>
      </c>
      <c r="N188" s="65"/>
      <c r="O188" s="63" t="str">
        <f t="shared" si="87"/>
        <v/>
      </c>
      <c r="P188" s="63" t="str">
        <f t="shared" si="88"/>
        <v/>
      </c>
      <c r="Q188" s="66"/>
      <c r="R188" s="63" t="str">
        <f t="shared" si="89"/>
        <v/>
      </c>
      <c r="S188" s="64" t="str">
        <f t="shared" si="90"/>
        <v/>
      </c>
      <c r="T188" s="63" t="str">
        <f t="shared" si="91"/>
        <v/>
      </c>
      <c r="U188" s="64" t="str">
        <f t="shared" si="92"/>
        <v/>
      </c>
      <c r="V188" s="207" t="str">
        <f>IF($A189="","",IF(AND(MONTH(A188)&gt;3,MONTH(A188)&lt;11),(T188+R188+G188)*Summary!$T$8/(1-Summary!$T$8),(T188+R188+G188)*Summary!$U$8/(1-Summary!$U$8)))</f>
        <v/>
      </c>
      <c r="W188" s="63" t="str">
        <f t="shared" si="93"/>
        <v/>
      </c>
      <c r="X188" s="63" t="str">
        <f t="shared" si="94"/>
        <v/>
      </c>
      <c r="Y188" s="43"/>
      <c r="Z188" s="38" t="str">
        <f t="shared" si="95"/>
        <v/>
      </c>
      <c r="AA188" s="38" t="str">
        <f t="shared" si="96"/>
        <v/>
      </c>
      <c r="AB188" s="38" t="e">
        <f t="shared" si="97"/>
        <v>#VALUE!</v>
      </c>
      <c r="AC188" s="38" t="str">
        <f t="shared" si="98"/>
        <v/>
      </c>
      <c r="AD188" s="38" t="str">
        <f t="shared" si="98"/>
        <v/>
      </c>
      <c r="AE188" s="38" t="e">
        <f t="shared" si="99"/>
        <v>#VALUE!</v>
      </c>
      <c r="AF188" s="237" t="e">
        <f>((Summary!$N$8*(AA188*AD188)*(A188-$D$3))+(Summary!$M$8*Z188*AC188*(AJ188-EOMONTH(EDATE(A188,-1),0))))/(AK188*AB188*AE188)</f>
        <v>#VALUE!</v>
      </c>
      <c r="AG188" s="88" t="str">
        <f>IF($A189="","",Summary!$Q$8)</f>
        <v/>
      </c>
      <c r="AH188" s="88" t="str">
        <f>IF($A189="","",IF(Summary!$R$8="Y",(VLOOKUP($A188,Summary!$AD$6:$AF$9,3)+'Escalating commodity'!D201),'Escalating commodity'!D201))</f>
        <v/>
      </c>
      <c r="AI188" s="88" t="str">
        <f t="shared" si="114"/>
        <v/>
      </c>
      <c r="AJ188" s="236" t="e">
        <f t="shared" si="100"/>
        <v>#VALUE!</v>
      </c>
      <c r="AK188" s="58" t="str">
        <f t="shared" si="101"/>
        <v/>
      </c>
      <c r="AL188" s="26" t="str">
        <f>IF($A189="","",_xll.SPRDOPT(P188,X188,AI188,0,AB188,AE188,AF188,AK188,$AJ$2,0))</f>
        <v/>
      </c>
      <c r="AM188" s="89" t="str">
        <f t="shared" si="102"/>
        <v/>
      </c>
      <c r="AN188" s="89" t="str">
        <f t="shared" si="103"/>
        <v/>
      </c>
      <c r="AO188" s="3" t="str">
        <f t="shared" si="104"/>
        <v/>
      </c>
      <c r="AP188" s="33" t="str">
        <f t="shared" si="105"/>
        <v/>
      </c>
      <c r="AQ188" s="58" t="str">
        <f t="shared" si="106"/>
        <v/>
      </c>
      <c r="AR188" s="38">
        <f>'ANR OK vs ML7'!AR188</f>
        <v>0.1</v>
      </c>
      <c r="AS188" s="35" t="str">
        <f t="shared" si="107"/>
        <v/>
      </c>
      <c r="AT188" s="3" t="str">
        <f t="shared" si="108"/>
        <v/>
      </c>
      <c r="AU188" s="3" t="str">
        <f t="shared" si="109"/>
        <v/>
      </c>
      <c r="AW188" s="32" t="str">
        <f t="shared" si="110"/>
        <v/>
      </c>
      <c r="AX188" s="32" t="str">
        <f t="shared" si="111"/>
        <v/>
      </c>
      <c r="AY188" s="32" t="str">
        <f t="shared" si="112"/>
        <v/>
      </c>
      <c r="BA188" s="32" t="str">
        <f>IF($A189="","",F188*Summary!$Q$8)</f>
        <v/>
      </c>
    </row>
    <row r="189" spans="1:53" ht="12" customHeight="1">
      <c r="A189" s="67" t="str">
        <f t="shared" si="113"/>
        <v/>
      </c>
      <c r="B189" s="69">
        <f t="shared" si="116"/>
        <v>0</v>
      </c>
      <c r="C189" s="71"/>
      <c r="D189" s="69" t="str">
        <f t="shared" si="78"/>
        <v/>
      </c>
      <c r="E189" s="70" t="str">
        <f t="shared" si="79"/>
        <v/>
      </c>
      <c r="F189" s="70" t="str">
        <f t="shared" si="80"/>
        <v/>
      </c>
      <c r="G189" s="63" t="str">
        <f t="shared" si="81"/>
        <v/>
      </c>
      <c r="H189" s="64" t="str">
        <f t="shared" si="82"/>
        <v/>
      </c>
      <c r="I189" s="43"/>
      <c r="J189" s="63" t="str">
        <f t="shared" si="83"/>
        <v/>
      </c>
      <c r="K189" s="64" t="str">
        <f t="shared" si="84"/>
        <v/>
      </c>
      <c r="L189" s="63" t="str">
        <f t="shared" si="85"/>
        <v/>
      </c>
      <c r="M189" s="64" t="str">
        <f t="shared" si="86"/>
        <v/>
      </c>
      <c r="N189" s="65"/>
      <c r="O189" s="63" t="str">
        <f t="shared" si="87"/>
        <v/>
      </c>
      <c r="P189" s="63" t="str">
        <f t="shared" si="88"/>
        <v/>
      </c>
      <c r="Q189" s="66"/>
      <c r="R189" s="63" t="str">
        <f t="shared" si="89"/>
        <v/>
      </c>
      <c r="S189" s="64" t="str">
        <f t="shared" si="90"/>
        <v/>
      </c>
      <c r="T189" s="63" t="str">
        <f t="shared" si="91"/>
        <v/>
      </c>
      <c r="U189" s="64" t="str">
        <f t="shared" si="92"/>
        <v/>
      </c>
      <c r="V189" s="207" t="str">
        <f>IF($A190="","",IF(AND(MONTH(A189)&gt;3,MONTH(A189)&lt;11),(T189+R189+G189)*Summary!$T$8/(1-Summary!$T$8),(T189+R189+G189)*Summary!$U$8/(1-Summary!$U$8)))</f>
        <v/>
      </c>
      <c r="W189" s="63" t="str">
        <f t="shared" si="93"/>
        <v/>
      </c>
      <c r="X189" s="63" t="str">
        <f t="shared" si="94"/>
        <v/>
      </c>
      <c r="Y189" s="43"/>
      <c r="Z189" s="38" t="str">
        <f t="shared" si="95"/>
        <v/>
      </c>
      <c r="AA189" s="38" t="str">
        <f t="shared" si="96"/>
        <v/>
      </c>
      <c r="AB189" s="38" t="e">
        <f t="shared" si="97"/>
        <v>#VALUE!</v>
      </c>
      <c r="AC189" s="38" t="str">
        <f t="shared" si="98"/>
        <v/>
      </c>
      <c r="AD189" s="38" t="str">
        <f t="shared" si="98"/>
        <v/>
      </c>
      <c r="AE189" s="38" t="e">
        <f t="shared" si="99"/>
        <v>#VALUE!</v>
      </c>
      <c r="AF189" s="237" t="e">
        <f>((Summary!$N$8*(AA189*AD189)*(A189-$D$3))+(Summary!$M$8*Z189*AC189*(AJ189-EOMONTH(EDATE(A189,-1),0))))/(AK189*AB189*AE189)</f>
        <v>#VALUE!</v>
      </c>
      <c r="AG189" s="88" t="str">
        <f>IF($A190="","",Summary!$Q$8)</f>
        <v/>
      </c>
      <c r="AH189" s="88" t="str">
        <f>IF($A190="","",IF(Summary!$R$8="Y",(VLOOKUP($A189,Summary!$AD$6:$AF$9,3)+'Escalating commodity'!D202),'Escalating commodity'!D202))</f>
        <v/>
      </c>
      <c r="AI189" s="88" t="str">
        <f t="shared" si="114"/>
        <v/>
      </c>
      <c r="AJ189" s="236" t="e">
        <f t="shared" si="100"/>
        <v>#VALUE!</v>
      </c>
      <c r="AK189" s="58" t="str">
        <f t="shared" si="101"/>
        <v/>
      </c>
      <c r="AL189" s="26" t="str">
        <f>IF($A190="","",_xll.SPRDOPT(P189,X189,AI189,0,AB189,AE189,AF189,AK189,$AJ$2,0))</f>
        <v/>
      </c>
      <c r="AM189" s="89" t="str">
        <f t="shared" si="102"/>
        <v/>
      </c>
      <c r="AN189" s="89" t="str">
        <f t="shared" si="103"/>
        <v/>
      </c>
      <c r="AO189" s="3" t="str">
        <f t="shared" si="104"/>
        <v/>
      </c>
      <c r="AP189" s="33" t="str">
        <f t="shared" si="105"/>
        <v/>
      </c>
      <c r="AQ189" s="58" t="str">
        <f t="shared" si="106"/>
        <v/>
      </c>
      <c r="AR189" s="38">
        <f>'ANR OK vs ML7'!AR189</f>
        <v>0.1</v>
      </c>
      <c r="AS189" s="35" t="str">
        <f t="shared" si="107"/>
        <v/>
      </c>
      <c r="AT189" s="3" t="str">
        <f t="shared" si="108"/>
        <v/>
      </c>
      <c r="AU189" s="3" t="str">
        <f t="shared" si="109"/>
        <v/>
      </c>
      <c r="AW189" s="32" t="str">
        <f t="shared" si="110"/>
        <v/>
      </c>
      <c r="AX189" s="32" t="str">
        <f t="shared" si="111"/>
        <v/>
      </c>
      <c r="AY189" s="32" t="str">
        <f t="shared" si="112"/>
        <v/>
      </c>
      <c r="BA189" s="32" t="str">
        <f>IF($A190="","",F189*Summary!$Q$8)</f>
        <v/>
      </c>
    </row>
    <row r="190" spans="1:53" ht="12" customHeight="1">
      <c r="A190" s="67" t="str">
        <f t="shared" si="113"/>
        <v/>
      </c>
      <c r="B190" s="69">
        <f t="shared" si="116"/>
        <v>0</v>
      </c>
      <c r="C190" s="71"/>
      <c r="D190" s="69" t="str">
        <f t="shared" si="78"/>
        <v/>
      </c>
      <c r="E190" s="70" t="str">
        <f t="shared" si="79"/>
        <v/>
      </c>
      <c r="F190" s="70" t="str">
        <f t="shared" si="80"/>
        <v/>
      </c>
      <c r="G190" s="63" t="str">
        <f t="shared" si="81"/>
        <v/>
      </c>
      <c r="H190" s="64" t="str">
        <f t="shared" si="82"/>
        <v/>
      </c>
      <c r="I190" s="43"/>
      <c r="J190" s="63" t="str">
        <f t="shared" si="83"/>
        <v/>
      </c>
      <c r="K190" s="64" t="str">
        <f t="shared" si="84"/>
        <v/>
      </c>
      <c r="L190" s="63" t="str">
        <f t="shared" si="85"/>
        <v/>
      </c>
      <c r="M190" s="64" t="str">
        <f t="shared" si="86"/>
        <v/>
      </c>
      <c r="N190" s="65"/>
      <c r="O190" s="63" t="str">
        <f t="shared" si="87"/>
        <v/>
      </c>
      <c r="P190" s="63" t="str">
        <f t="shared" si="88"/>
        <v/>
      </c>
      <c r="Q190" s="66"/>
      <c r="R190" s="63" t="str">
        <f t="shared" si="89"/>
        <v/>
      </c>
      <c r="S190" s="64" t="str">
        <f t="shared" si="90"/>
        <v/>
      </c>
      <c r="T190" s="63" t="str">
        <f t="shared" si="91"/>
        <v/>
      </c>
      <c r="U190" s="64" t="str">
        <f t="shared" si="92"/>
        <v/>
      </c>
      <c r="V190" s="207" t="str">
        <f>IF($A191="","",IF(AND(MONTH(A190)&gt;3,MONTH(A190)&lt;11),(T190+R190+G190)*Summary!$T$8/(1-Summary!$T$8),(T190+R190+G190)*Summary!$U$8/(1-Summary!$U$8)))</f>
        <v/>
      </c>
      <c r="W190" s="63" t="str">
        <f t="shared" si="93"/>
        <v/>
      </c>
      <c r="X190" s="63" t="str">
        <f t="shared" si="94"/>
        <v/>
      </c>
      <c r="Y190" s="43"/>
      <c r="Z190" s="38" t="str">
        <f t="shared" si="95"/>
        <v/>
      </c>
      <c r="AA190" s="38" t="str">
        <f t="shared" si="96"/>
        <v/>
      </c>
      <c r="AB190" s="38" t="e">
        <f t="shared" si="97"/>
        <v>#VALUE!</v>
      </c>
      <c r="AC190" s="38" t="str">
        <f t="shared" si="98"/>
        <v/>
      </c>
      <c r="AD190" s="38" t="str">
        <f t="shared" si="98"/>
        <v/>
      </c>
      <c r="AE190" s="38" t="e">
        <f t="shared" si="99"/>
        <v>#VALUE!</v>
      </c>
      <c r="AF190" s="237" t="e">
        <f>((Summary!$N$8*(AA190*AD190)*(A190-$D$3))+(Summary!$M$8*Z190*AC190*(AJ190-EOMONTH(EDATE(A190,-1),0))))/(AK190*AB190*AE190)</f>
        <v>#VALUE!</v>
      </c>
      <c r="AG190" s="88" t="str">
        <f>IF($A191="","",Summary!$Q$8)</f>
        <v/>
      </c>
      <c r="AH190" s="88" t="str">
        <f>IF($A191="","",IF(Summary!$R$8="Y",(VLOOKUP($A190,Summary!$AD$6:$AF$9,3)+'Escalating commodity'!D203),'Escalating commodity'!D203))</f>
        <v/>
      </c>
      <c r="AI190" s="88" t="str">
        <f t="shared" si="114"/>
        <v/>
      </c>
      <c r="AJ190" s="236" t="e">
        <f t="shared" si="100"/>
        <v>#VALUE!</v>
      </c>
      <c r="AK190" s="58" t="str">
        <f t="shared" si="101"/>
        <v/>
      </c>
      <c r="AL190" s="26" t="str">
        <f>IF($A191="","",_xll.SPRDOPT(P190,X190,AI190,0,AB190,AE190,AF190,AK190,$AJ$2,0))</f>
        <v/>
      </c>
      <c r="AM190" s="89" t="str">
        <f t="shared" si="102"/>
        <v/>
      </c>
      <c r="AN190" s="89" t="str">
        <f t="shared" si="103"/>
        <v/>
      </c>
      <c r="AO190" s="3" t="str">
        <f t="shared" si="104"/>
        <v/>
      </c>
      <c r="AP190" s="33" t="str">
        <f t="shared" si="105"/>
        <v/>
      </c>
      <c r="AQ190" s="58" t="str">
        <f t="shared" si="106"/>
        <v/>
      </c>
      <c r="AR190" s="38">
        <f>'ANR OK vs ML7'!AR190</f>
        <v>0.1</v>
      </c>
      <c r="AS190" s="35" t="str">
        <f t="shared" si="107"/>
        <v/>
      </c>
      <c r="AT190" s="3" t="str">
        <f t="shared" si="108"/>
        <v/>
      </c>
      <c r="AU190" s="3" t="str">
        <f t="shared" si="109"/>
        <v/>
      </c>
      <c r="AW190" s="32" t="str">
        <f t="shared" si="110"/>
        <v/>
      </c>
      <c r="AX190" s="32" t="str">
        <f t="shared" si="111"/>
        <v/>
      </c>
      <c r="AY190" s="32" t="str">
        <f t="shared" si="112"/>
        <v/>
      </c>
      <c r="BA190" s="32" t="str">
        <f>IF($A191="","",F190*Summary!$Q$8)</f>
        <v/>
      </c>
    </row>
    <row r="191" spans="1:53" ht="12" customHeight="1">
      <c r="A191" s="67" t="str">
        <f t="shared" si="113"/>
        <v/>
      </c>
      <c r="B191" s="69">
        <f t="shared" si="116"/>
        <v>0</v>
      </c>
      <c r="C191" s="71"/>
      <c r="D191" s="69" t="str">
        <f t="shared" si="78"/>
        <v/>
      </c>
      <c r="E191" s="70" t="str">
        <f t="shared" si="79"/>
        <v/>
      </c>
      <c r="F191" s="70" t="str">
        <f t="shared" si="80"/>
        <v/>
      </c>
      <c r="G191" s="63" t="str">
        <f t="shared" si="81"/>
        <v/>
      </c>
      <c r="H191" s="64" t="str">
        <f t="shared" si="82"/>
        <v/>
      </c>
      <c r="I191" s="43"/>
      <c r="J191" s="63" t="str">
        <f t="shared" si="83"/>
        <v/>
      </c>
      <c r="K191" s="64" t="str">
        <f t="shared" si="84"/>
        <v/>
      </c>
      <c r="L191" s="63" t="str">
        <f t="shared" si="85"/>
        <v/>
      </c>
      <c r="M191" s="64" t="str">
        <f t="shared" si="86"/>
        <v/>
      </c>
      <c r="N191" s="65"/>
      <c r="O191" s="63" t="str">
        <f t="shared" si="87"/>
        <v/>
      </c>
      <c r="P191" s="63" t="str">
        <f t="shared" si="88"/>
        <v/>
      </c>
      <c r="Q191" s="66"/>
      <c r="R191" s="63" t="str">
        <f t="shared" si="89"/>
        <v/>
      </c>
      <c r="S191" s="64" t="str">
        <f t="shared" si="90"/>
        <v/>
      </c>
      <c r="T191" s="63" t="str">
        <f t="shared" si="91"/>
        <v/>
      </c>
      <c r="U191" s="64" t="str">
        <f t="shared" si="92"/>
        <v/>
      </c>
      <c r="V191" s="207" t="str">
        <f>IF($A192="","",IF(AND(MONTH(A191)&gt;3,MONTH(A191)&lt;11),(T191+R191+G191)*Summary!$T$8/(1-Summary!$T$8),(T191+R191+G191)*Summary!$U$8/(1-Summary!$U$8)))</f>
        <v/>
      </c>
      <c r="W191" s="63" t="str">
        <f t="shared" si="93"/>
        <v/>
      </c>
      <c r="X191" s="63" t="str">
        <f t="shared" si="94"/>
        <v/>
      </c>
      <c r="Y191" s="43"/>
      <c r="Z191" s="38" t="str">
        <f t="shared" si="95"/>
        <v/>
      </c>
      <c r="AA191" s="38" t="str">
        <f t="shared" si="96"/>
        <v/>
      </c>
      <c r="AB191" s="38" t="e">
        <f t="shared" si="97"/>
        <v>#VALUE!</v>
      </c>
      <c r="AC191" s="38" t="str">
        <f t="shared" si="98"/>
        <v/>
      </c>
      <c r="AD191" s="38" t="str">
        <f t="shared" si="98"/>
        <v/>
      </c>
      <c r="AE191" s="38" t="e">
        <f t="shared" si="99"/>
        <v>#VALUE!</v>
      </c>
      <c r="AF191" s="237" t="e">
        <f>((Summary!$N$8*(AA191*AD191)*(A191-$D$3))+(Summary!$M$8*Z191*AC191*(AJ191-EOMONTH(EDATE(A191,-1),0))))/(AK191*AB191*AE191)</f>
        <v>#VALUE!</v>
      </c>
      <c r="AG191" s="88" t="str">
        <f>IF($A192="","",Summary!$Q$8)</f>
        <v/>
      </c>
      <c r="AH191" s="88" t="str">
        <f>IF($A192="","",IF(Summary!$R$8="Y",(VLOOKUP($A191,Summary!$AD$6:$AF$9,3)+'Escalating commodity'!D204),'Escalating commodity'!D204))</f>
        <v/>
      </c>
      <c r="AI191" s="88" t="str">
        <f t="shared" si="114"/>
        <v/>
      </c>
      <c r="AJ191" s="236" t="e">
        <f t="shared" si="100"/>
        <v>#VALUE!</v>
      </c>
      <c r="AK191" s="58" t="str">
        <f t="shared" si="101"/>
        <v/>
      </c>
      <c r="AL191" s="26" t="str">
        <f>IF($A192="","",_xll.SPRDOPT(P191,X191,AI191,0,AB191,AE191,AF191,AK191,$AJ$2,0))</f>
        <v/>
      </c>
      <c r="AM191" s="89" t="str">
        <f t="shared" si="102"/>
        <v/>
      </c>
      <c r="AN191" s="89" t="str">
        <f t="shared" si="103"/>
        <v/>
      </c>
      <c r="AO191" s="3" t="str">
        <f t="shared" si="104"/>
        <v/>
      </c>
      <c r="AP191" s="33" t="str">
        <f t="shared" si="105"/>
        <v/>
      </c>
      <c r="AQ191" s="58" t="str">
        <f t="shared" si="106"/>
        <v/>
      </c>
      <c r="AR191" s="38">
        <f>'ANR OK vs ML7'!AR191</f>
        <v>0.1</v>
      </c>
      <c r="AS191" s="35" t="str">
        <f t="shared" si="107"/>
        <v/>
      </c>
      <c r="AT191" s="3" t="str">
        <f t="shared" si="108"/>
        <v/>
      </c>
      <c r="AU191" s="3" t="str">
        <f t="shared" si="109"/>
        <v/>
      </c>
      <c r="AW191" s="32" t="str">
        <f t="shared" si="110"/>
        <v/>
      </c>
      <c r="AX191" s="32" t="str">
        <f t="shared" si="111"/>
        <v/>
      </c>
      <c r="AY191" s="32" t="str">
        <f t="shared" si="112"/>
        <v/>
      </c>
      <c r="BA191" s="32" t="str">
        <f>IF($A192="","",F191*Summary!$Q$8)</f>
        <v/>
      </c>
    </row>
    <row r="192" spans="1:53" ht="12" customHeight="1">
      <c r="A192" s="67" t="str">
        <f t="shared" si="113"/>
        <v/>
      </c>
      <c r="B192" s="69">
        <f t="shared" si="116"/>
        <v>0</v>
      </c>
      <c r="C192" s="71"/>
      <c r="D192" s="69" t="str">
        <f t="shared" si="78"/>
        <v/>
      </c>
      <c r="E192" s="70" t="str">
        <f t="shared" si="79"/>
        <v/>
      </c>
      <c r="F192" s="70" t="str">
        <f t="shared" si="80"/>
        <v/>
      </c>
      <c r="G192" s="63" t="str">
        <f t="shared" si="81"/>
        <v/>
      </c>
      <c r="H192" s="64" t="str">
        <f t="shared" si="82"/>
        <v/>
      </c>
      <c r="I192" s="43"/>
      <c r="J192" s="63" t="str">
        <f t="shared" si="83"/>
        <v/>
      </c>
      <c r="K192" s="64" t="str">
        <f t="shared" si="84"/>
        <v/>
      </c>
      <c r="L192" s="63" t="str">
        <f t="shared" si="85"/>
        <v/>
      </c>
      <c r="M192" s="64" t="str">
        <f t="shared" si="86"/>
        <v/>
      </c>
      <c r="N192" s="65"/>
      <c r="O192" s="63" t="str">
        <f t="shared" si="87"/>
        <v/>
      </c>
      <c r="P192" s="63" t="str">
        <f t="shared" si="88"/>
        <v/>
      </c>
      <c r="Q192" s="66"/>
      <c r="R192" s="63" t="str">
        <f t="shared" si="89"/>
        <v/>
      </c>
      <c r="S192" s="64" t="str">
        <f t="shared" si="90"/>
        <v/>
      </c>
      <c r="T192" s="63" t="str">
        <f t="shared" si="91"/>
        <v/>
      </c>
      <c r="U192" s="64" t="str">
        <f t="shared" si="92"/>
        <v/>
      </c>
      <c r="V192" s="207" t="str">
        <f>IF($A193="","",IF(AND(MONTH(A192)&gt;3,MONTH(A192)&lt;11),(T192+R192+G192)*Summary!$T$8/(1-Summary!$T$8),(T192+R192+G192)*Summary!$U$8/(1-Summary!$U$8)))</f>
        <v/>
      </c>
      <c r="W192" s="63" t="str">
        <f t="shared" si="93"/>
        <v/>
      </c>
      <c r="X192" s="63" t="str">
        <f t="shared" si="94"/>
        <v/>
      </c>
      <c r="Y192" s="43"/>
      <c r="Z192" s="38" t="str">
        <f t="shared" si="95"/>
        <v/>
      </c>
      <c r="AA192" s="38" t="str">
        <f t="shared" si="96"/>
        <v/>
      </c>
      <c r="AB192" s="38" t="e">
        <f t="shared" si="97"/>
        <v>#VALUE!</v>
      </c>
      <c r="AC192" s="38" t="str">
        <f t="shared" si="98"/>
        <v/>
      </c>
      <c r="AD192" s="38" t="str">
        <f t="shared" si="98"/>
        <v/>
      </c>
      <c r="AE192" s="38" t="e">
        <f t="shared" si="99"/>
        <v>#VALUE!</v>
      </c>
      <c r="AF192" s="237" t="e">
        <f>((Summary!$N$8*(AA192*AD192)*(A192-$D$3))+(Summary!$M$8*Z192*AC192*(AJ192-EOMONTH(EDATE(A192,-1),0))))/(AK192*AB192*AE192)</f>
        <v>#VALUE!</v>
      </c>
      <c r="AG192" s="88" t="str">
        <f>IF($A193="","",Summary!$Q$8)</f>
        <v/>
      </c>
      <c r="AH192" s="88" t="str">
        <f>IF($A193="","",IF(Summary!$R$8="Y",(VLOOKUP($A192,Summary!$AD$6:$AF$9,3)+'Escalating commodity'!D205),'Escalating commodity'!D205))</f>
        <v/>
      </c>
      <c r="AI192" s="88" t="str">
        <f t="shared" si="114"/>
        <v/>
      </c>
      <c r="AJ192" s="236" t="e">
        <f t="shared" si="100"/>
        <v>#VALUE!</v>
      </c>
      <c r="AK192" s="58" t="str">
        <f t="shared" si="101"/>
        <v/>
      </c>
      <c r="AL192" s="26" t="str">
        <f>IF($A193="","",_xll.SPRDOPT(P192,X192,AI192,0,AB192,AE192,AF192,AK192,$AJ$2,0))</f>
        <v/>
      </c>
      <c r="AM192" s="89" t="str">
        <f t="shared" si="102"/>
        <v/>
      </c>
      <c r="AN192" s="89" t="str">
        <f t="shared" si="103"/>
        <v/>
      </c>
      <c r="AO192" s="3" t="str">
        <f t="shared" si="104"/>
        <v/>
      </c>
      <c r="AP192" s="33" t="str">
        <f t="shared" si="105"/>
        <v/>
      </c>
      <c r="AQ192" s="58" t="str">
        <f t="shared" si="106"/>
        <v/>
      </c>
      <c r="AR192" s="38">
        <f>'ANR OK vs ML7'!AR192</f>
        <v>0.1</v>
      </c>
      <c r="AS192" s="35" t="str">
        <f t="shared" si="107"/>
        <v/>
      </c>
      <c r="AT192" s="3" t="str">
        <f t="shared" si="108"/>
        <v/>
      </c>
      <c r="AU192" s="3" t="str">
        <f t="shared" si="109"/>
        <v/>
      </c>
      <c r="AW192" s="32" t="str">
        <f t="shared" si="110"/>
        <v/>
      </c>
      <c r="AX192" s="32" t="str">
        <f t="shared" si="111"/>
        <v/>
      </c>
      <c r="AY192" s="32" t="str">
        <f t="shared" si="112"/>
        <v/>
      </c>
      <c r="BA192" s="32" t="str">
        <f>IF($A193="","",F192*Summary!$Q$8)</f>
        <v/>
      </c>
    </row>
    <row r="193" spans="1:53" ht="12" customHeight="1">
      <c r="A193" s="67" t="str">
        <f t="shared" si="113"/>
        <v/>
      </c>
      <c r="B193" s="69">
        <f t="shared" si="116"/>
        <v>0</v>
      </c>
      <c r="C193" s="71"/>
      <c r="D193" s="69" t="str">
        <f t="shared" si="78"/>
        <v/>
      </c>
      <c r="E193" s="70" t="str">
        <f t="shared" si="79"/>
        <v/>
      </c>
      <c r="F193" s="70" t="str">
        <f t="shared" si="80"/>
        <v/>
      </c>
      <c r="G193" s="63" t="str">
        <f t="shared" si="81"/>
        <v/>
      </c>
      <c r="H193" s="64" t="str">
        <f t="shared" si="82"/>
        <v/>
      </c>
      <c r="I193" s="43"/>
      <c r="J193" s="63" t="str">
        <f t="shared" si="83"/>
        <v/>
      </c>
      <c r="K193" s="64" t="str">
        <f t="shared" si="84"/>
        <v/>
      </c>
      <c r="L193" s="63" t="str">
        <f t="shared" si="85"/>
        <v/>
      </c>
      <c r="M193" s="64" t="str">
        <f t="shared" si="86"/>
        <v/>
      </c>
      <c r="N193" s="65"/>
      <c r="O193" s="63" t="str">
        <f t="shared" si="87"/>
        <v/>
      </c>
      <c r="P193" s="63" t="str">
        <f t="shared" si="88"/>
        <v/>
      </c>
      <c r="Q193" s="66"/>
      <c r="R193" s="63" t="str">
        <f t="shared" si="89"/>
        <v/>
      </c>
      <c r="S193" s="64" t="str">
        <f t="shared" si="90"/>
        <v/>
      </c>
      <c r="T193" s="63" t="str">
        <f t="shared" si="91"/>
        <v/>
      </c>
      <c r="U193" s="64" t="str">
        <f t="shared" si="92"/>
        <v/>
      </c>
      <c r="V193" s="207" t="str">
        <f>IF($A194="","",IF(AND(MONTH(A193)&gt;3,MONTH(A193)&lt;11),(T193+R193+G193)*Summary!$T$8/(1-Summary!$T$8),(T193+R193+G193)*Summary!$U$8/(1-Summary!$U$8)))</f>
        <v/>
      </c>
      <c r="W193" s="63" t="str">
        <f t="shared" si="93"/>
        <v/>
      </c>
      <c r="X193" s="63" t="str">
        <f t="shared" si="94"/>
        <v/>
      </c>
      <c r="Y193" s="43"/>
      <c r="Z193" s="38" t="str">
        <f t="shared" si="95"/>
        <v/>
      </c>
      <c r="AA193" s="38" t="str">
        <f t="shared" si="96"/>
        <v/>
      </c>
      <c r="AB193" s="38" t="e">
        <f t="shared" si="97"/>
        <v>#VALUE!</v>
      </c>
      <c r="AC193" s="38" t="str">
        <f t="shared" si="98"/>
        <v/>
      </c>
      <c r="AD193" s="38" t="str">
        <f t="shared" si="98"/>
        <v/>
      </c>
      <c r="AE193" s="38" t="e">
        <f t="shared" si="99"/>
        <v>#VALUE!</v>
      </c>
      <c r="AF193" s="237" t="e">
        <f>((Summary!$N$8*(AA193*AD193)*(A193-$D$3))+(Summary!$M$8*Z193*AC193*(AJ193-EOMONTH(EDATE(A193,-1),0))))/(AK193*AB193*AE193)</f>
        <v>#VALUE!</v>
      </c>
      <c r="AG193" s="88" t="str">
        <f>IF($A194="","",Summary!$Q$8)</f>
        <v/>
      </c>
      <c r="AH193" s="88" t="str">
        <f>IF($A194="","",IF(Summary!$R$8="Y",(VLOOKUP($A193,Summary!$AD$6:$AF$9,3)+'Escalating commodity'!D206),'Escalating commodity'!D206))</f>
        <v/>
      </c>
      <c r="AI193" s="88" t="str">
        <f t="shared" si="114"/>
        <v/>
      </c>
      <c r="AJ193" s="236" t="e">
        <f t="shared" si="100"/>
        <v>#VALUE!</v>
      </c>
      <c r="AK193" s="58" t="str">
        <f t="shared" si="101"/>
        <v/>
      </c>
      <c r="AL193" s="26" t="str">
        <f>IF($A194="","",_xll.SPRDOPT(P193,X193,AI193,0,AB193,AE193,AF193,AK193,$AJ$2,0))</f>
        <v/>
      </c>
      <c r="AM193" s="89" t="str">
        <f t="shared" si="102"/>
        <v/>
      </c>
      <c r="AN193" s="89" t="str">
        <f t="shared" si="103"/>
        <v/>
      </c>
      <c r="AO193" s="3" t="str">
        <f t="shared" si="104"/>
        <v/>
      </c>
      <c r="AP193" s="33" t="str">
        <f t="shared" si="105"/>
        <v/>
      </c>
      <c r="AQ193" s="58" t="str">
        <f t="shared" si="106"/>
        <v/>
      </c>
      <c r="AR193" s="38">
        <f>'ANR OK vs ML7'!AR193</f>
        <v>0.1</v>
      </c>
      <c r="AS193" s="35" t="str">
        <f t="shared" si="107"/>
        <v/>
      </c>
      <c r="AT193" s="3" t="str">
        <f t="shared" si="108"/>
        <v/>
      </c>
      <c r="AU193" s="3" t="str">
        <f t="shared" si="109"/>
        <v/>
      </c>
      <c r="AW193" s="32" t="str">
        <f t="shared" si="110"/>
        <v/>
      </c>
      <c r="AX193" s="32" t="str">
        <f t="shared" si="111"/>
        <v/>
      </c>
      <c r="AY193" s="32" t="str">
        <f t="shared" si="112"/>
        <v/>
      </c>
      <c r="BA193" s="32" t="str">
        <f>IF($A194="","",F193*Summary!$Q$8)</f>
        <v/>
      </c>
    </row>
    <row r="194" spans="1:53" ht="12" customHeight="1">
      <c r="A194" s="67" t="str">
        <f t="shared" si="113"/>
        <v/>
      </c>
      <c r="B194" s="69">
        <f t="shared" si="116"/>
        <v>0</v>
      </c>
      <c r="C194" s="71"/>
      <c r="D194" s="69" t="str">
        <f t="shared" si="78"/>
        <v/>
      </c>
      <c r="E194" s="70" t="str">
        <f t="shared" si="79"/>
        <v/>
      </c>
      <c r="F194" s="70" t="str">
        <f t="shared" si="80"/>
        <v/>
      </c>
      <c r="G194" s="63" t="str">
        <f t="shared" si="81"/>
        <v/>
      </c>
      <c r="H194" s="64" t="str">
        <f t="shared" si="82"/>
        <v/>
      </c>
      <c r="I194" s="43"/>
      <c r="J194" s="63" t="str">
        <f t="shared" si="83"/>
        <v/>
      </c>
      <c r="K194" s="64" t="str">
        <f t="shared" si="84"/>
        <v/>
      </c>
      <c r="L194" s="63" t="str">
        <f t="shared" si="85"/>
        <v/>
      </c>
      <c r="M194" s="64" t="str">
        <f t="shared" si="86"/>
        <v/>
      </c>
      <c r="N194" s="65"/>
      <c r="O194" s="63" t="str">
        <f t="shared" si="87"/>
        <v/>
      </c>
      <c r="P194" s="63" t="str">
        <f t="shared" si="88"/>
        <v/>
      </c>
      <c r="Q194" s="66"/>
      <c r="R194" s="63" t="str">
        <f t="shared" si="89"/>
        <v/>
      </c>
      <c r="S194" s="64" t="str">
        <f t="shared" si="90"/>
        <v/>
      </c>
      <c r="T194" s="63" t="str">
        <f t="shared" si="91"/>
        <v/>
      </c>
      <c r="U194" s="64" t="str">
        <f t="shared" si="92"/>
        <v/>
      </c>
      <c r="V194" s="207" t="str">
        <f>IF($A195="","",IF(AND(MONTH(A194)&gt;3,MONTH(A194)&lt;11),(T194+R194+G194)*Summary!$T$8/(1-Summary!$T$8),(T194+R194+G194)*Summary!$U$8/(1-Summary!$U$8)))</f>
        <v/>
      </c>
      <c r="W194" s="63" t="str">
        <f t="shared" si="93"/>
        <v/>
      </c>
      <c r="X194" s="63" t="str">
        <f t="shared" si="94"/>
        <v/>
      </c>
      <c r="Y194" s="43"/>
      <c r="Z194" s="38" t="str">
        <f t="shared" si="95"/>
        <v/>
      </c>
      <c r="AA194" s="38" t="str">
        <f t="shared" si="96"/>
        <v/>
      </c>
      <c r="AB194" s="38" t="e">
        <f t="shared" si="97"/>
        <v>#VALUE!</v>
      </c>
      <c r="AC194" s="38" t="str">
        <f t="shared" si="98"/>
        <v/>
      </c>
      <c r="AD194" s="38" t="str">
        <f t="shared" si="98"/>
        <v/>
      </c>
      <c r="AE194" s="38" t="e">
        <f t="shared" si="99"/>
        <v>#VALUE!</v>
      </c>
      <c r="AF194" s="237" t="e">
        <f>((Summary!$N$8*(AA194*AD194)*(A194-$D$3))+(Summary!$M$8*Z194*AC194*(AJ194-EOMONTH(EDATE(A194,-1),0))))/(AK194*AB194*AE194)</f>
        <v>#VALUE!</v>
      </c>
      <c r="AG194" s="88" t="str">
        <f>IF($A195="","",Summary!$Q$8)</f>
        <v/>
      </c>
      <c r="AH194" s="88" t="str">
        <f>IF($A195="","",IF(Summary!$R$8="Y",(VLOOKUP($A194,Summary!$AD$6:$AF$9,3)+'Escalating commodity'!D207),'Escalating commodity'!D207))</f>
        <v/>
      </c>
      <c r="AI194" s="88" t="str">
        <f t="shared" si="114"/>
        <v/>
      </c>
      <c r="AJ194" s="236" t="e">
        <f t="shared" si="100"/>
        <v>#VALUE!</v>
      </c>
      <c r="AK194" s="58" t="str">
        <f t="shared" si="101"/>
        <v/>
      </c>
      <c r="AL194" s="26" t="str">
        <f>IF($A195="","",_xll.SPRDOPT(P194,X194,AI194,0,AB194,AE194,AF194,AK194,$AJ$2,0))</f>
        <v/>
      </c>
      <c r="AM194" s="89" t="str">
        <f t="shared" si="102"/>
        <v/>
      </c>
      <c r="AN194" s="89" t="str">
        <f t="shared" si="103"/>
        <v/>
      </c>
      <c r="AO194" s="3" t="str">
        <f t="shared" si="104"/>
        <v/>
      </c>
      <c r="AP194" s="33" t="str">
        <f t="shared" si="105"/>
        <v/>
      </c>
      <c r="AQ194" s="58" t="str">
        <f t="shared" si="106"/>
        <v/>
      </c>
      <c r="AR194" s="38">
        <f>'ANR OK vs ML7'!AR194</f>
        <v>0.1</v>
      </c>
      <c r="AS194" s="35" t="str">
        <f t="shared" si="107"/>
        <v/>
      </c>
      <c r="AT194" s="3" t="str">
        <f t="shared" si="108"/>
        <v/>
      </c>
      <c r="AU194" s="3" t="str">
        <f t="shared" si="109"/>
        <v/>
      </c>
      <c r="AW194" s="32" t="str">
        <f t="shared" si="110"/>
        <v/>
      </c>
      <c r="AX194" s="32" t="str">
        <f t="shared" si="111"/>
        <v/>
      </c>
      <c r="AY194" s="32" t="str">
        <f t="shared" si="112"/>
        <v/>
      </c>
      <c r="BA194" s="32" t="str">
        <f>IF($A195="","",F194*Summary!$Q$8)</f>
        <v/>
      </c>
    </row>
    <row r="195" spans="1:53" ht="12" customHeight="1">
      <c r="A195" s="67" t="str">
        <f t="shared" si="113"/>
        <v/>
      </c>
      <c r="B195" s="69">
        <f t="shared" si="116"/>
        <v>0</v>
      </c>
      <c r="C195" s="71"/>
      <c r="D195" s="69" t="str">
        <f t="shared" si="78"/>
        <v/>
      </c>
      <c r="E195" s="70" t="str">
        <f t="shared" si="79"/>
        <v/>
      </c>
      <c r="F195" s="70" t="str">
        <f t="shared" si="80"/>
        <v/>
      </c>
      <c r="G195" s="63" t="str">
        <f t="shared" si="81"/>
        <v/>
      </c>
      <c r="H195" s="64" t="str">
        <f t="shared" si="82"/>
        <v/>
      </c>
      <c r="I195" s="43"/>
      <c r="J195" s="63" t="str">
        <f t="shared" si="83"/>
        <v/>
      </c>
      <c r="K195" s="64" t="str">
        <f t="shared" si="84"/>
        <v/>
      </c>
      <c r="L195" s="63" t="str">
        <f t="shared" si="85"/>
        <v/>
      </c>
      <c r="M195" s="64" t="str">
        <f t="shared" si="86"/>
        <v/>
      </c>
      <c r="N195" s="65"/>
      <c r="O195" s="63" t="str">
        <f t="shared" si="87"/>
        <v/>
      </c>
      <c r="P195" s="63" t="str">
        <f t="shared" si="88"/>
        <v/>
      </c>
      <c r="Q195" s="66"/>
      <c r="R195" s="63" t="str">
        <f t="shared" si="89"/>
        <v/>
      </c>
      <c r="S195" s="64" t="str">
        <f t="shared" si="90"/>
        <v/>
      </c>
      <c r="T195" s="63" t="str">
        <f t="shared" si="91"/>
        <v/>
      </c>
      <c r="U195" s="64" t="str">
        <f t="shared" si="92"/>
        <v/>
      </c>
      <c r="V195" s="207" t="str">
        <f>IF($A196="","",IF(AND(MONTH(A195)&gt;3,MONTH(A195)&lt;11),(T195+R195+G195)*Summary!$T$8/(1-Summary!$T$8),(T195+R195+G195)*Summary!$U$8/(1-Summary!$U$8)))</f>
        <v/>
      </c>
      <c r="W195" s="63" t="str">
        <f t="shared" si="93"/>
        <v/>
      </c>
      <c r="X195" s="63" t="str">
        <f t="shared" si="94"/>
        <v/>
      </c>
      <c r="Y195" s="43"/>
      <c r="Z195" s="38" t="str">
        <f t="shared" si="95"/>
        <v/>
      </c>
      <c r="AA195" s="38" t="str">
        <f t="shared" si="96"/>
        <v/>
      </c>
      <c r="AB195" s="38" t="e">
        <f t="shared" si="97"/>
        <v>#VALUE!</v>
      </c>
      <c r="AC195" s="38" t="str">
        <f t="shared" si="98"/>
        <v/>
      </c>
      <c r="AD195" s="38" t="str">
        <f t="shared" si="98"/>
        <v/>
      </c>
      <c r="AE195" s="38" t="e">
        <f t="shared" si="99"/>
        <v>#VALUE!</v>
      </c>
      <c r="AF195" s="237" t="e">
        <f>((Summary!$N$8*(AA195*AD195)*(A195-$D$3))+(Summary!$M$8*Z195*AC195*(AJ195-EOMONTH(EDATE(A195,-1),0))))/(AK195*AB195*AE195)</f>
        <v>#VALUE!</v>
      </c>
      <c r="AG195" s="88" t="str">
        <f>IF($A196="","",Summary!$Q$8)</f>
        <v/>
      </c>
      <c r="AH195" s="88" t="str">
        <f>IF($A196="","",IF(Summary!$R$8="Y",(VLOOKUP($A195,Summary!$AD$6:$AF$9,3)+'Escalating commodity'!D208),'Escalating commodity'!D208))</f>
        <v/>
      </c>
      <c r="AI195" s="88" t="str">
        <f t="shared" si="114"/>
        <v/>
      </c>
      <c r="AJ195" s="236" t="e">
        <f t="shared" si="100"/>
        <v>#VALUE!</v>
      </c>
      <c r="AK195" s="58" t="str">
        <f t="shared" si="101"/>
        <v/>
      </c>
      <c r="AL195" s="26" t="str">
        <f>IF($A196="","",_xll.SPRDOPT(P195,X195,AI195,0,AB195,AE195,AF195,AK195,$AJ$2,0))</f>
        <v/>
      </c>
      <c r="AM195" s="89" t="str">
        <f t="shared" si="102"/>
        <v/>
      </c>
      <c r="AN195" s="89" t="str">
        <f t="shared" si="103"/>
        <v/>
      </c>
      <c r="AO195" s="3" t="str">
        <f t="shared" si="104"/>
        <v/>
      </c>
      <c r="AP195" s="33" t="str">
        <f t="shared" si="105"/>
        <v/>
      </c>
      <c r="AQ195" s="58" t="str">
        <f t="shared" si="106"/>
        <v/>
      </c>
      <c r="AR195" s="38">
        <f>'ANR OK vs ML7'!AR195</f>
        <v>0.1</v>
      </c>
      <c r="AS195" s="35" t="str">
        <f t="shared" si="107"/>
        <v/>
      </c>
      <c r="AT195" s="3" t="str">
        <f t="shared" si="108"/>
        <v/>
      </c>
      <c r="AU195" s="3" t="str">
        <f t="shared" si="109"/>
        <v/>
      </c>
      <c r="AW195" s="32" t="str">
        <f t="shared" si="110"/>
        <v/>
      </c>
      <c r="AX195" s="32" t="str">
        <f t="shared" si="111"/>
        <v/>
      </c>
      <c r="AY195" s="32" t="str">
        <f t="shared" si="112"/>
        <v/>
      </c>
      <c r="BA195" s="32" t="str">
        <f>IF($A196="","",F195*Summary!$Q$8)</f>
        <v/>
      </c>
    </row>
    <row r="196" spans="1:53" ht="12" customHeight="1">
      <c r="A196" s="67" t="str">
        <f t="shared" si="113"/>
        <v/>
      </c>
      <c r="B196" s="69">
        <f t="shared" si="116"/>
        <v>0</v>
      </c>
      <c r="C196" s="71"/>
      <c r="D196" s="69" t="str">
        <f t="shared" si="78"/>
        <v/>
      </c>
      <c r="E196" s="70" t="str">
        <f t="shared" si="79"/>
        <v/>
      </c>
      <c r="F196" s="70" t="str">
        <f t="shared" si="80"/>
        <v/>
      </c>
      <c r="G196" s="63" t="str">
        <f t="shared" si="81"/>
        <v/>
      </c>
      <c r="H196" s="64" t="str">
        <f t="shared" si="82"/>
        <v/>
      </c>
      <c r="I196" s="43"/>
      <c r="J196" s="63" t="str">
        <f t="shared" si="83"/>
        <v/>
      </c>
      <c r="K196" s="64" t="str">
        <f t="shared" si="84"/>
        <v/>
      </c>
      <c r="L196" s="63" t="str">
        <f t="shared" si="85"/>
        <v/>
      </c>
      <c r="M196" s="64" t="str">
        <f t="shared" si="86"/>
        <v/>
      </c>
      <c r="N196" s="65"/>
      <c r="O196" s="63" t="str">
        <f t="shared" si="87"/>
        <v/>
      </c>
      <c r="P196" s="63" t="str">
        <f t="shared" si="88"/>
        <v/>
      </c>
      <c r="Q196" s="66"/>
      <c r="R196" s="63" t="str">
        <f t="shared" si="89"/>
        <v/>
      </c>
      <c r="S196" s="64" t="str">
        <f t="shared" si="90"/>
        <v/>
      </c>
      <c r="T196" s="63" t="str">
        <f t="shared" si="91"/>
        <v/>
      </c>
      <c r="U196" s="64" t="str">
        <f t="shared" si="92"/>
        <v/>
      </c>
      <c r="V196" s="207" t="str">
        <f>IF($A197="","",IF(AND(MONTH(A196)&gt;3,MONTH(A196)&lt;11),(T196+R196+G196)*Summary!$T$8/(1-Summary!$T$8),(T196+R196+G196)*Summary!$U$8/(1-Summary!$U$8)))</f>
        <v/>
      </c>
      <c r="W196" s="63" t="str">
        <f t="shared" si="93"/>
        <v/>
      </c>
      <c r="X196" s="63" t="str">
        <f t="shared" si="94"/>
        <v/>
      </c>
      <c r="Y196" s="43"/>
      <c r="Z196" s="38" t="str">
        <f t="shared" si="95"/>
        <v/>
      </c>
      <c r="AA196" s="38" t="str">
        <f t="shared" si="96"/>
        <v/>
      </c>
      <c r="AB196" s="38" t="e">
        <f t="shared" si="97"/>
        <v>#VALUE!</v>
      </c>
      <c r="AC196" s="38" t="str">
        <f t="shared" si="98"/>
        <v/>
      </c>
      <c r="AD196" s="38" t="str">
        <f t="shared" si="98"/>
        <v/>
      </c>
      <c r="AE196" s="38" t="e">
        <f t="shared" si="99"/>
        <v>#VALUE!</v>
      </c>
      <c r="AF196" s="237" t="e">
        <f>((Summary!$N$8*(AA196*AD196)*(A196-$D$3))+(Summary!$M$8*Z196*AC196*(AJ196-EOMONTH(EDATE(A196,-1),0))))/(AK196*AB196*AE196)</f>
        <v>#VALUE!</v>
      </c>
      <c r="AG196" s="88" t="str">
        <f>IF($A197="","",Summary!$Q$8)</f>
        <v/>
      </c>
      <c r="AH196" s="88" t="str">
        <f>IF($A197="","",IF(Summary!$R$8="Y",(VLOOKUP($A196,Summary!$AD$6:$AF$9,3)+'Escalating commodity'!D209),'Escalating commodity'!D209))</f>
        <v/>
      </c>
      <c r="AI196" s="88" t="str">
        <f t="shared" si="114"/>
        <v/>
      </c>
      <c r="AJ196" s="236" t="e">
        <f t="shared" si="100"/>
        <v>#VALUE!</v>
      </c>
      <c r="AK196" s="58" t="str">
        <f t="shared" si="101"/>
        <v/>
      </c>
      <c r="AL196" s="26" t="str">
        <f>IF($A197="","",_xll.SPRDOPT(P196,X196,AI196,0,AB196,AE196,AF196,AK196,$AJ$2,0))</f>
        <v/>
      </c>
      <c r="AM196" s="89" t="str">
        <f t="shared" si="102"/>
        <v/>
      </c>
      <c r="AN196" s="89" t="str">
        <f t="shared" si="103"/>
        <v/>
      </c>
      <c r="AO196" s="3" t="str">
        <f t="shared" si="104"/>
        <v/>
      </c>
      <c r="AP196" s="33" t="str">
        <f t="shared" si="105"/>
        <v/>
      </c>
      <c r="AQ196" s="58" t="str">
        <f t="shared" si="106"/>
        <v/>
      </c>
      <c r="AR196" s="38">
        <f>'ANR OK vs ML7'!AR196</f>
        <v>0.1</v>
      </c>
      <c r="AS196" s="35" t="str">
        <f t="shared" si="107"/>
        <v/>
      </c>
      <c r="AT196" s="3" t="str">
        <f t="shared" si="108"/>
        <v/>
      </c>
      <c r="AU196" s="3" t="str">
        <f t="shared" si="109"/>
        <v/>
      </c>
      <c r="AW196" s="32" t="str">
        <f t="shared" si="110"/>
        <v/>
      </c>
      <c r="AX196" s="32" t="str">
        <f t="shared" si="111"/>
        <v/>
      </c>
      <c r="AY196" s="32" t="str">
        <f t="shared" si="112"/>
        <v/>
      </c>
      <c r="BA196" s="32" t="str">
        <f>IF($A197="","",F196*Summary!$Q$8)</f>
        <v/>
      </c>
    </row>
    <row r="197" spans="1:53" ht="12" customHeight="1">
      <c r="A197" s="67" t="str">
        <f t="shared" si="113"/>
        <v/>
      </c>
      <c r="B197" s="69">
        <f t="shared" si="116"/>
        <v>0</v>
      </c>
      <c r="C197" s="71"/>
      <c r="D197" s="69" t="str">
        <f t="shared" si="78"/>
        <v/>
      </c>
      <c r="E197" s="70" t="str">
        <f t="shared" si="79"/>
        <v/>
      </c>
      <c r="F197" s="70" t="str">
        <f t="shared" si="80"/>
        <v/>
      </c>
      <c r="G197" s="63" t="str">
        <f t="shared" si="81"/>
        <v/>
      </c>
      <c r="H197" s="64" t="str">
        <f t="shared" si="82"/>
        <v/>
      </c>
      <c r="I197" s="43"/>
      <c r="J197" s="63" t="str">
        <f t="shared" si="83"/>
        <v/>
      </c>
      <c r="K197" s="64" t="str">
        <f t="shared" si="84"/>
        <v/>
      </c>
      <c r="L197" s="63" t="str">
        <f t="shared" si="85"/>
        <v/>
      </c>
      <c r="M197" s="64" t="str">
        <f t="shared" si="86"/>
        <v/>
      </c>
      <c r="N197" s="65"/>
      <c r="O197" s="63" t="str">
        <f t="shared" si="87"/>
        <v/>
      </c>
      <c r="P197" s="63" t="str">
        <f t="shared" si="88"/>
        <v/>
      </c>
      <c r="Q197" s="66"/>
      <c r="R197" s="63" t="str">
        <f t="shared" si="89"/>
        <v/>
      </c>
      <c r="S197" s="64" t="str">
        <f t="shared" si="90"/>
        <v/>
      </c>
      <c r="T197" s="63" t="str">
        <f t="shared" si="91"/>
        <v/>
      </c>
      <c r="U197" s="64" t="str">
        <f t="shared" si="92"/>
        <v/>
      </c>
      <c r="V197" s="207" t="str">
        <f>IF($A198="","",IF(AND(MONTH(A197)&gt;3,MONTH(A197)&lt;11),(T197+R197+G197)*Summary!$T$8/(1-Summary!$T$8),(T197+R197+G197)*Summary!$U$8/(1-Summary!$U$8)))</f>
        <v/>
      </c>
      <c r="W197" s="63" t="str">
        <f t="shared" si="93"/>
        <v/>
      </c>
      <c r="X197" s="63" t="str">
        <f t="shared" si="94"/>
        <v/>
      </c>
      <c r="Y197" s="43"/>
      <c r="Z197" s="38" t="str">
        <f t="shared" si="95"/>
        <v/>
      </c>
      <c r="AA197" s="38" t="str">
        <f t="shared" si="96"/>
        <v/>
      </c>
      <c r="AB197" s="38" t="e">
        <f t="shared" si="97"/>
        <v>#VALUE!</v>
      </c>
      <c r="AC197" s="38" t="str">
        <f t="shared" si="98"/>
        <v/>
      </c>
      <c r="AD197" s="38" t="str">
        <f t="shared" si="98"/>
        <v/>
      </c>
      <c r="AE197" s="38" t="e">
        <f t="shared" si="99"/>
        <v>#VALUE!</v>
      </c>
      <c r="AF197" s="237" t="e">
        <f>((Summary!$N$8*(AA197*AD197)*(A197-$D$3))+(Summary!$M$8*Z197*AC197*(AJ197-EOMONTH(EDATE(A197,-1),0))))/(AK197*AB197*AE197)</f>
        <v>#VALUE!</v>
      </c>
      <c r="AG197" s="88" t="str">
        <f>IF($A198="","",Summary!$Q$8)</f>
        <v/>
      </c>
      <c r="AH197" s="88" t="str">
        <f>IF($A198="","",IF(Summary!$R$8="Y",(VLOOKUP($A197,Summary!$AD$6:$AF$9,3)+'Escalating commodity'!D210),'Escalating commodity'!D210))</f>
        <v/>
      </c>
      <c r="AI197" s="88" t="str">
        <f t="shared" si="114"/>
        <v/>
      </c>
      <c r="AJ197" s="236" t="e">
        <f t="shared" si="100"/>
        <v>#VALUE!</v>
      </c>
      <c r="AK197" s="58" t="str">
        <f t="shared" si="101"/>
        <v/>
      </c>
      <c r="AL197" s="26" t="str">
        <f>IF($A198="","",_xll.SPRDOPT(P197,X197,AI197,0,AB197,AE197,AF197,AK197,$AJ$2,0))</f>
        <v/>
      </c>
      <c r="AM197" s="89" t="str">
        <f t="shared" si="102"/>
        <v/>
      </c>
      <c r="AN197" s="89" t="str">
        <f t="shared" si="103"/>
        <v/>
      </c>
      <c r="AO197" s="3" t="str">
        <f t="shared" si="104"/>
        <v/>
      </c>
      <c r="AP197" s="33" t="str">
        <f t="shared" si="105"/>
        <v/>
      </c>
      <c r="AQ197" s="58" t="str">
        <f t="shared" si="106"/>
        <v/>
      </c>
      <c r="AR197" s="38">
        <f>'ANR OK vs ML7'!AR197</f>
        <v>0.1</v>
      </c>
      <c r="AS197" s="35" t="str">
        <f t="shared" si="107"/>
        <v/>
      </c>
      <c r="AT197" s="3" t="str">
        <f t="shared" si="108"/>
        <v/>
      </c>
      <c r="AU197" s="3" t="str">
        <f t="shared" si="109"/>
        <v/>
      </c>
      <c r="AW197" s="32" t="str">
        <f t="shared" si="110"/>
        <v/>
      </c>
      <c r="AX197" s="32" t="str">
        <f t="shared" si="111"/>
        <v/>
      </c>
      <c r="AY197" s="32" t="str">
        <f t="shared" si="112"/>
        <v/>
      </c>
      <c r="BA197" s="32" t="str">
        <f>IF($A198="","",F197*Summary!$Q$8)</f>
        <v/>
      </c>
    </row>
    <row r="198" spans="1:53" ht="12" customHeight="1">
      <c r="A198" s="67" t="str">
        <f t="shared" si="113"/>
        <v/>
      </c>
      <c r="B198" s="69">
        <f t="shared" si="116"/>
        <v>0</v>
      </c>
      <c r="C198" s="71"/>
      <c r="D198" s="69" t="str">
        <f t="shared" si="78"/>
        <v/>
      </c>
      <c r="E198" s="70" t="str">
        <f t="shared" si="79"/>
        <v/>
      </c>
      <c r="F198" s="70" t="str">
        <f t="shared" si="80"/>
        <v/>
      </c>
      <c r="G198" s="63" t="str">
        <f t="shared" si="81"/>
        <v/>
      </c>
      <c r="H198" s="64" t="str">
        <f t="shared" si="82"/>
        <v/>
      </c>
      <c r="I198" s="43"/>
      <c r="J198" s="63" t="str">
        <f t="shared" si="83"/>
        <v/>
      </c>
      <c r="K198" s="64" t="str">
        <f t="shared" si="84"/>
        <v/>
      </c>
      <c r="L198" s="63" t="str">
        <f t="shared" si="85"/>
        <v/>
      </c>
      <c r="M198" s="64" t="str">
        <f t="shared" si="86"/>
        <v/>
      </c>
      <c r="N198" s="65"/>
      <c r="O198" s="63" t="str">
        <f t="shared" si="87"/>
        <v/>
      </c>
      <c r="P198" s="63" t="str">
        <f t="shared" si="88"/>
        <v/>
      </c>
      <c r="Q198" s="66"/>
      <c r="R198" s="63" t="str">
        <f t="shared" si="89"/>
        <v/>
      </c>
      <c r="S198" s="64" t="str">
        <f t="shared" si="90"/>
        <v/>
      </c>
      <c r="T198" s="63" t="str">
        <f t="shared" si="91"/>
        <v/>
      </c>
      <c r="U198" s="64" t="str">
        <f t="shared" si="92"/>
        <v/>
      </c>
      <c r="V198" s="207" t="str">
        <f>IF($A199="","",IF(AND(MONTH(A198)&gt;3,MONTH(A198)&lt;11),(T198+R198+G198)*Summary!$T$8/(1-Summary!$T$8),(T198+R198+G198)*Summary!$U$8/(1-Summary!$U$8)))</f>
        <v/>
      </c>
      <c r="W198" s="63" t="str">
        <f t="shared" si="93"/>
        <v/>
      </c>
      <c r="X198" s="63" t="str">
        <f t="shared" si="94"/>
        <v/>
      </c>
      <c r="Y198" s="43"/>
      <c r="Z198" s="38" t="str">
        <f t="shared" si="95"/>
        <v/>
      </c>
      <c r="AA198" s="38" t="str">
        <f t="shared" si="96"/>
        <v/>
      </c>
      <c r="AB198" s="38" t="e">
        <f t="shared" si="97"/>
        <v>#VALUE!</v>
      </c>
      <c r="AC198" s="38" t="str">
        <f t="shared" si="98"/>
        <v/>
      </c>
      <c r="AD198" s="38" t="str">
        <f t="shared" si="98"/>
        <v/>
      </c>
      <c r="AE198" s="38" t="e">
        <f t="shared" si="99"/>
        <v>#VALUE!</v>
      </c>
      <c r="AF198" s="237" t="e">
        <f>((Summary!$N$8*(AA198*AD198)*(A198-$D$3))+(Summary!$M$8*Z198*AC198*(AJ198-EOMONTH(EDATE(A198,-1),0))))/(AK198*AB198*AE198)</f>
        <v>#VALUE!</v>
      </c>
      <c r="AG198" s="88" t="str">
        <f>IF($A199="","",Summary!$Q$8)</f>
        <v/>
      </c>
      <c r="AH198" s="88" t="str">
        <f>IF($A199="","",IF(Summary!$R$8="Y",(VLOOKUP($A198,Summary!$AD$6:$AF$9,3)+'Escalating commodity'!D211),'Escalating commodity'!D211))</f>
        <v/>
      </c>
      <c r="AI198" s="88" t="str">
        <f t="shared" si="114"/>
        <v/>
      </c>
      <c r="AJ198" s="236" t="e">
        <f t="shared" si="100"/>
        <v>#VALUE!</v>
      </c>
      <c r="AK198" s="58" t="str">
        <f t="shared" si="101"/>
        <v/>
      </c>
      <c r="AL198" s="26" t="str">
        <f>IF($A199="","",_xll.SPRDOPT(P198,X198,AI198,0,AB198,AE198,AF198,AK198,$AJ$2,0))</f>
        <v/>
      </c>
      <c r="AM198" s="89" t="str">
        <f t="shared" si="102"/>
        <v/>
      </c>
      <c r="AN198" s="89" t="str">
        <f t="shared" si="103"/>
        <v/>
      </c>
      <c r="AO198" s="3" t="str">
        <f t="shared" si="104"/>
        <v/>
      </c>
      <c r="AP198" s="33" t="str">
        <f t="shared" si="105"/>
        <v/>
      </c>
      <c r="AQ198" s="58" t="str">
        <f t="shared" si="106"/>
        <v/>
      </c>
      <c r="AR198" s="38">
        <f>'ANR OK vs ML7'!AR198</f>
        <v>0.1</v>
      </c>
      <c r="AS198" s="35" t="str">
        <f t="shared" si="107"/>
        <v/>
      </c>
      <c r="AT198" s="3" t="str">
        <f t="shared" si="108"/>
        <v/>
      </c>
      <c r="AU198" s="3" t="str">
        <f t="shared" si="109"/>
        <v/>
      </c>
      <c r="AW198" s="32" t="str">
        <f t="shared" si="110"/>
        <v/>
      </c>
      <c r="AX198" s="32" t="str">
        <f t="shared" si="111"/>
        <v/>
      </c>
      <c r="AY198" s="32" t="str">
        <f t="shared" si="112"/>
        <v/>
      </c>
      <c r="BA198" s="32" t="str">
        <f>IF($A199="","",F198*Summary!$Q$8)</f>
        <v/>
      </c>
    </row>
    <row r="199" spans="1:53" ht="12" customHeight="1">
      <c r="A199" s="67" t="str">
        <f t="shared" si="113"/>
        <v/>
      </c>
      <c r="B199" s="69">
        <f t="shared" si="116"/>
        <v>0</v>
      </c>
      <c r="C199" s="71"/>
      <c r="D199" s="69" t="str">
        <f t="shared" si="78"/>
        <v/>
      </c>
      <c r="E199" s="70" t="str">
        <f t="shared" si="79"/>
        <v/>
      </c>
      <c r="F199" s="70" t="str">
        <f t="shared" si="80"/>
        <v/>
      </c>
      <c r="G199" s="63" t="str">
        <f t="shared" si="81"/>
        <v/>
      </c>
      <c r="H199" s="64" t="str">
        <f t="shared" si="82"/>
        <v/>
      </c>
      <c r="I199" s="43"/>
      <c r="J199" s="63" t="str">
        <f t="shared" si="83"/>
        <v/>
      </c>
      <c r="K199" s="64" t="str">
        <f t="shared" si="84"/>
        <v/>
      </c>
      <c r="L199" s="63" t="str">
        <f t="shared" si="85"/>
        <v/>
      </c>
      <c r="M199" s="64" t="str">
        <f t="shared" si="86"/>
        <v/>
      </c>
      <c r="N199" s="65"/>
      <c r="O199" s="63" t="str">
        <f t="shared" si="87"/>
        <v/>
      </c>
      <c r="P199" s="63" t="str">
        <f t="shared" si="88"/>
        <v/>
      </c>
      <c r="Q199" s="66"/>
      <c r="R199" s="63" t="str">
        <f t="shared" si="89"/>
        <v/>
      </c>
      <c r="S199" s="64" t="str">
        <f t="shared" si="90"/>
        <v/>
      </c>
      <c r="T199" s="63" t="str">
        <f t="shared" si="91"/>
        <v/>
      </c>
      <c r="U199" s="64" t="str">
        <f t="shared" si="92"/>
        <v/>
      </c>
      <c r="V199" s="207" t="str">
        <f>IF($A200="","",IF(AND(MONTH(A199)&gt;3,MONTH(A199)&lt;11),(T199+R199+G199)*Summary!$T$8/(1-Summary!$T$8),(T199+R199+G199)*Summary!$U$8/(1-Summary!$U$8)))</f>
        <v/>
      </c>
      <c r="W199" s="63" t="str">
        <f t="shared" si="93"/>
        <v/>
      </c>
      <c r="X199" s="63" t="str">
        <f t="shared" si="94"/>
        <v/>
      </c>
      <c r="Y199" s="43"/>
      <c r="Z199" s="38" t="str">
        <f t="shared" si="95"/>
        <v/>
      </c>
      <c r="AA199" s="38" t="str">
        <f t="shared" si="96"/>
        <v/>
      </c>
      <c r="AB199" s="38" t="e">
        <f t="shared" si="97"/>
        <v>#VALUE!</v>
      </c>
      <c r="AC199" s="38" t="str">
        <f t="shared" si="98"/>
        <v/>
      </c>
      <c r="AD199" s="38" t="str">
        <f t="shared" si="98"/>
        <v/>
      </c>
      <c r="AE199" s="38" t="e">
        <f t="shared" si="99"/>
        <v>#VALUE!</v>
      </c>
      <c r="AF199" s="237" t="e">
        <f>((Summary!$N$8*(AA199*AD199)*(A199-$D$3))+(Summary!$M$8*Z199*AC199*(AJ199-EOMONTH(EDATE(A199,-1),0))))/(AK199*AB199*AE199)</f>
        <v>#VALUE!</v>
      </c>
      <c r="AG199" s="88" t="str">
        <f>IF($A200="","",Summary!$Q$8)</f>
        <v/>
      </c>
      <c r="AH199" s="88" t="str">
        <f>IF($A200="","",IF(Summary!$R$8="Y",(VLOOKUP($A199,Summary!$AD$6:$AF$9,3)+'Escalating commodity'!D212),'Escalating commodity'!D212))</f>
        <v/>
      </c>
      <c r="AI199" s="88" t="str">
        <f t="shared" si="114"/>
        <v/>
      </c>
      <c r="AJ199" s="236" t="e">
        <f t="shared" si="100"/>
        <v>#VALUE!</v>
      </c>
      <c r="AK199" s="58" t="str">
        <f t="shared" si="101"/>
        <v/>
      </c>
      <c r="AL199" s="26" t="str">
        <f>IF($A200="","",_xll.SPRDOPT(P199,X199,AI199,0,AB199,AE199,AF199,AK199,$AJ$2,0))</f>
        <v/>
      </c>
      <c r="AM199" s="89" t="str">
        <f t="shared" si="102"/>
        <v/>
      </c>
      <c r="AN199" s="89" t="str">
        <f t="shared" si="103"/>
        <v/>
      </c>
      <c r="AO199" s="3" t="str">
        <f t="shared" si="104"/>
        <v/>
      </c>
      <c r="AP199" s="33" t="str">
        <f t="shared" si="105"/>
        <v/>
      </c>
      <c r="AQ199" s="58" t="str">
        <f t="shared" si="106"/>
        <v/>
      </c>
      <c r="AR199" s="38">
        <f>'ANR OK vs ML7'!AR199</f>
        <v>0.1</v>
      </c>
      <c r="AS199" s="35" t="str">
        <f t="shared" si="107"/>
        <v/>
      </c>
      <c r="AT199" s="3" t="str">
        <f t="shared" si="108"/>
        <v/>
      </c>
      <c r="AU199" s="3" t="str">
        <f t="shared" si="109"/>
        <v/>
      </c>
      <c r="AW199" s="32" t="str">
        <f t="shared" si="110"/>
        <v/>
      </c>
      <c r="AX199" s="32" t="str">
        <f t="shared" si="111"/>
        <v/>
      </c>
      <c r="AY199" s="32" t="str">
        <f t="shared" si="112"/>
        <v/>
      </c>
      <c r="BA199" s="32" t="str">
        <f>IF($A200="","",F199*Summary!$Q$8)</f>
        <v/>
      </c>
    </row>
    <row r="200" spans="1:53" ht="12" customHeight="1">
      <c r="A200" s="67" t="str">
        <f t="shared" si="113"/>
        <v/>
      </c>
      <c r="B200" s="69">
        <f t="shared" si="116"/>
        <v>0</v>
      </c>
      <c r="C200" s="71"/>
      <c r="D200" s="69" t="str">
        <f t="shared" si="78"/>
        <v/>
      </c>
      <c r="E200" s="70" t="str">
        <f t="shared" si="79"/>
        <v/>
      </c>
      <c r="F200" s="70" t="str">
        <f t="shared" si="80"/>
        <v/>
      </c>
      <c r="G200" s="63" t="str">
        <f t="shared" si="81"/>
        <v/>
      </c>
      <c r="H200" s="64" t="str">
        <f t="shared" si="82"/>
        <v/>
      </c>
      <c r="I200" s="43"/>
      <c r="J200" s="63" t="str">
        <f t="shared" si="83"/>
        <v/>
      </c>
      <c r="K200" s="64" t="str">
        <f t="shared" si="84"/>
        <v/>
      </c>
      <c r="L200" s="63" t="str">
        <f t="shared" si="85"/>
        <v/>
      </c>
      <c r="M200" s="64" t="str">
        <f t="shared" si="86"/>
        <v/>
      </c>
      <c r="N200" s="65"/>
      <c r="O200" s="63" t="str">
        <f t="shared" si="87"/>
        <v/>
      </c>
      <c r="P200" s="63" t="str">
        <f t="shared" si="88"/>
        <v/>
      </c>
      <c r="Q200" s="66"/>
      <c r="R200" s="63" t="str">
        <f t="shared" si="89"/>
        <v/>
      </c>
      <c r="S200" s="64" t="str">
        <f t="shared" si="90"/>
        <v/>
      </c>
      <c r="T200" s="63" t="str">
        <f t="shared" si="91"/>
        <v/>
      </c>
      <c r="U200" s="64" t="str">
        <f t="shared" si="92"/>
        <v/>
      </c>
      <c r="V200" s="207" t="str">
        <f>IF($A201="","",IF(AND(MONTH(A200)&gt;3,MONTH(A200)&lt;11),(T200+R200+G200)*Summary!$T$8/(1-Summary!$T$8),(T200+R200+G200)*Summary!$U$8/(1-Summary!$U$8)))</f>
        <v/>
      </c>
      <c r="W200" s="63" t="str">
        <f t="shared" si="93"/>
        <v/>
      </c>
      <c r="X200" s="63" t="str">
        <f t="shared" si="94"/>
        <v/>
      </c>
      <c r="Y200" s="43"/>
      <c r="Z200" s="38" t="str">
        <f t="shared" si="95"/>
        <v/>
      </c>
      <c r="AA200" s="38" t="str">
        <f t="shared" si="96"/>
        <v/>
      </c>
      <c r="AB200" s="38" t="e">
        <f t="shared" si="97"/>
        <v>#VALUE!</v>
      </c>
      <c r="AC200" s="38" t="str">
        <f t="shared" si="98"/>
        <v/>
      </c>
      <c r="AD200" s="38" t="str">
        <f t="shared" si="98"/>
        <v/>
      </c>
      <c r="AE200" s="38" t="e">
        <f t="shared" si="99"/>
        <v>#VALUE!</v>
      </c>
      <c r="AF200" s="237" t="e">
        <f>((Summary!$N$8*(AA200*AD200)*(A200-$D$3))+(Summary!$M$8*Z200*AC200*(AJ200-EOMONTH(EDATE(A200,-1),0))))/(AK200*AB200*AE200)</f>
        <v>#VALUE!</v>
      </c>
      <c r="AG200" s="88" t="str">
        <f>IF($A201="","",Summary!$Q$8)</f>
        <v/>
      </c>
      <c r="AH200" s="88" t="str">
        <f>IF($A201="","",IF(Summary!$R$8="Y",(VLOOKUP($A200,Summary!$AD$6:$AF$9,3)+'Escalating commodity'!D213),'Escalating commodity'!D213))</f>
        <v/>
      </c>
      <c r="AI200" s="88" t="str">
        <f t="shared" si="114"/>
        <v/>
      </c>
      <c r="AJ200" s="236" t="e">
        <f t="shared" si="100"/>
        <v>#VALUE!</v>
      </c>
      <c r="AK200" s="58" t="str">
        <f t="shared" si="101"/>
        <v/>
      </c>
      <c r="AL200" s="26" t="str">
        <f>IF($A201="","",_xll.SPRDOPT(P200,X200,AI200,0,AB200,AE200,AF200,AK200,$AJ$2,0))</f>
        <v/>
      </c>
      <c r="AM200" s="89" t="str">
        <f t="shared" si="102"/>
        <v/>
      </c>
      <c r="AN200" s="89" t="str">
        <f t="shared" si="103"/>
        <v/>
      </c>
      <c r="AO200" s="3" t="str">
        <f t="shared" si="104"/>
        <v/>
      </c>
      <c r="AP200" s="33" t="str">
        <f t="shared" si="105"/>
        <v/>
      </c>
      <c r="AQ200" s="58" t="str">
        <f t="shared" si="106"/>
        <v/>
      </c>
      <c r="AR200" s="38">
        <f>'ANR OK vs ML7'!AR200</f>
        <v>0.1</v>
      </c>
      <c r="AS200" s="35" t="str">
        <f t="shared" si="107"/>
        <v/>
      </c>
      <c r="AT200" s="3" t="str">
        <f t="shared" si="108"/>
        <v/>
      </c>
      <c r="AU200" s="3" t="str">
        <f t="shared" si="109"/>
        <v/>
      </c>
      <c r="AW200" s="32" t="str">
        <f t="shared" si="110"/>
        <v/>
      </c>
      <c r="AX200" s="32" t="str">
        <f t="shared" si="111"/>
        <v/>
      </c>
      <c r="AY200" s="32" t="str">
        <f t="shared" si="112"/>
        <v/>
      </c>
      <c r="BA200" s="32" t="str">
        <f>IF($A201="","",F200*Summary!$Q$8)</f>
        <v/>
      </c>
    </row>
    <row r="201" spans="1:53" ht="12" customHeight="1">
      <c r="A201" s="67" t="str">
        <f t="shared" si="113"/>
        <v/>
      </c>
      <c r="B201" s="69">
        <f t="shared" si="116"/>
        <v>0</v>
      </c>
      <c r="C201" s="71"/>
      <c r="D201" s="69" t="str">
        <f t="shared" si="78"/>
        <v/>
      </c>
      <c r="E201" s="70" t="str">
        <f t="shared" si="79"/>
        <v/>
      </c>
      <c r="F201" s="70" t="str">
        <f t="shared" si="80"/>
        <v/>
      </c>
      <c r="G201" s="63" t="str">
        <f t="shared" si="81"/>
        <v/>
      </c>
      <c r="H201" s="64" t="str">
        <f t="shared" si="82"/>
        <v/>
      </c>
      <c r="I201" s="43"/>
      <c r="J201" s="63" t="str">
        <f t="shared" si="83"/>
        <v/>
      </c>
      <c r="K201" s="64" t="str">
        <f t="shared" si="84"/>
        <v/>
      </c>
      <c r="L201" s="63" t="str">
        <f t="shared" si="85"/>
        <v/>
      </c>
      <c r="M201" s="64" t="str">
        <f t="shared" si="86"/>
        <v/>
      </c>
      <c r="N201" s="65"/>
      <c r="O201" s="63" t="str">
        <f t="shared" si="87"/>
        <v/>
      </c>
      <c r="P201" s="63" t="str">
        <f t="shared" si="88"/>
        <v/>
      </c>
      <c r="Q201" s="66"/>
      <c r="R201" s="63" t="str">
        <f t="shared" si="89"/>
        <v/>
      </c>
      <c r="S201" s="64" t="str">
        <f t="shared" si="90"/>
        <v/>
      </c>
      <c r="T201" s="63" t="str">
        <f t="shared" si="91"/>
        <v/>
      </c>
      <c r="U201" s="64" t="str">
        <f t="shared" si="92"/>
        <v/>
      </c>
      <c r="V201" s="207" t="str">
        <f>IF($A202="","",IF(AND(MONTH(A201)&gt;3,MONTH(A201)&lt;11),(T201+R201+G201)*Summary!$T$8/(1-Summary!$T$8),(T201+R201+G201)*Summary!$U$8/(1-Summary!$U$8)))</f>
        <v/>
      </c>
      <c r="W201" s="63" t="str">
        <f t="shared" si="93"/>
        <v/>
      </c>
      <c r="X201" s="63" t="str">
        <f t="shared" si="94"/>
        <v/>
      </c>
      <c r="Y201" s="43"/>
      <c r="Z201" s="38" t="str">
        <f t="shared" si="95"/>
        <v/>
      </c>
      <c r="AA201" s="38" t="str">
        <f t="shared" si="96"/>
        <v/>
      </c>
      <c r="AB201" s="38" t="e">
        <f t="shared" si="97"/>
        <v>#VALUE!</v>
      </c>
      <c r="AC201" s="38" t="str">
        <f t="shared" si="98"/>
        <v/>
      </c>
      <c r="AD201" s="38" t="str">
        <f t="shared" si="98"/>
        <v/>
      </c>
      <c r="AE201" s="38" t="e">
        <f t="shared" si="99"/>
        <v>#VALUE!</v>
      </c>
      <c r="AF201" s="237" t="e">
        <f>((Summary!$N$8*(AA201*AD201)*(A201-$D$3))+(Summary!$M$8*Z201*AC201*(AJ201-EOMONTH(EDATE(A201,-1),0))))/(AK201*AB201*AE201)</f>
        <v>#VALUE!</v>
      </c>
      <c r="AG201" s="88" t="str">
        <f>IF($A202="","",Summary!$Q$8)</f>
        <v/>
      </c>
      <c r="AH201" s="88" t="str">
        <f>IF($A202="","",IF(Summary!$R$8="Y",(VLOOKUP($A201,Summary!$AD$6:$AF$9,3)+'Escalating commodity'!D214),'Escalating commodity'!D214))</f>
        <v/>
      </c>
      <c r="AI201" s="88" t="str">
        <f t="shared" si="114"/>
        <v/>
      </c>
      <c r="AJ201" s="236" t="e">
        <f t="shared" si="100"/>
        <v>#VALUE!</v>
      </c>
      <c r="AK201" s="58" t="str">
        <f t="shared" si="101"/>
        <v/>
      </c>
      <c r="AL201" s="26" t="str">
        <f>IF($A202="","",_xll.SPRDOPT(P201,X201,AI201,0,AB201,AE201,AF201,AK201,$AJ$2,0))</f>
        <v/>
      </c>
      <c r="AM201" s="89" t="str">
        <f t="shared" si="102"/>
        <v/>
      </c>
      <c r="AN201" s="89" t="str">
        <f t="shared" si="103"/>
        <v/>
      </c>
      <c r="AO201" s="3" t="str">
        <f t="shared" si="104"/>
        <v/>
      </c>
      <c r="AP201" s="33" t="str">
        <f t="shared" si="105"/>
        <v/>
      </c>
      <c r="AQ201" s="58" t="str">
        <f t="shared" si="106"/>
        <v/>
      </c>
      <c r="AR201" s="38">
        <f>'ANR OK vs ML7'!AR201</f>
        <v>0.1</v>
      </c>
      <c r="AS201" s="35" t="str">
        <f t="shared" si="107"/>
        <v/>
      </c>
      <c r="AT201" s="3" t="str">
        <f t="shared" si="108"/>
        <v/>
      </c>
      <c r="AU201" s="3" t="str">
        <f t="shared" si="109"/>
        <v/>
      </c>
      <c r="AW201" s="32" t="str">
        <f t="shared" si="110"/>
        <v/>
      </c>
      <c r="AX201" s="32" t="str">
        <f t="shared" si="111"/>
        <v/>
      </c>
      <c r="AY201" s="32" t="str">
        <f t="shared" si="112"/>
        <v/>
      </c>
      <c r="BA201" s="32" t="str">
        <f>IF($A202="","",F201*Summary!$Q$8)</f>
        <v/>
      </c>
    </row>
    <row r="202" spans="1:53" ht="12" customHeight="1">
      <c r="A202" s="67" t="str">
        <f t="shared" si="113"/>
        <v/>
      </c>
      <c r="B202" s="69">
        <f t="shared" si="116"/>
        <v>0</v>
      </c>
      <c r="C202" s="71"/>
      <c r="D202" s="69" t="str">
        <f t="shared" ref="D202:D265" si="117">IF(A203&lt;&gt;"",B202+C202,"")</f>
        <v/>
      </c>
      <c r="E202" s="70" t="str">
        <f t="shared" ref="E202:E265" si="118">IF(A203="","",IF(AND(AT202=1,$H$3=1),D202*AO202,IF($H$3=2,D202,"N/A")))</f>
        <v/>
      </c>
      <c r="F202" s="70" t="str">
        <f t="shared" ref="F202:F265" si="119">IF(A203="","",E202*AS202)</f>
        <v/>
      </c>
      <c r="G202" s="63" t="str">
        <f t="shared" ref="G202:G265" si="120">IF($A203="","",VLOOKUP($A202,Table,MATCH(G$4,Curves,0)))</f>
        <v/>
      </c>
      <c r="H202" s="64" t="str">
        <f t="shared" ref="H202:H265" si="121">IF(A203="","",G202)</f>
        <v/>
      </c>
      <c r="I202" s="43"/>
      <c r="J202" s="63" t="str">
        <f t="shared" ref="J202:J265" si="122">IF($A203="","",VLOOKUP($A202,Table,MATCH(J$4,Curves,0)))</f>
        <v/>
      </c>
      <c r="K202" s="64" t="str">
        <f t="shared" ref="K202:K265" si="123">IF(A203="","",J202)</f>
        <v/>
      </c>
      <c r="L202" s="63" t="str">
        <f t="shared" ref="L202:L265" si="124">IF($A203="","",VLOOKUP($A202,Table,MATCH(L$4,Curves,0)))</f>
        <v/>
      </c>
      <c r="M202" s="64" t="str">
        <f t="shared" ref="M202:M265" si="125">IF(A203="","",L202)</f>
        <v/>
      </c>
      <c r="N202" s="65"/>
      <c r="O202" s="63" t="str">
        <f t="shared" ref="O202:O265" si="126">IF(A203="","",L202+J202+G202)</f>
        <v/>
      </c>
      <c r="P202" s="63" t="str">
        <f t="shared" ref="P202:P265" si="127">IF(A203="","",M202+K202+H202)</f>
        <v/>
      </c>
      <c r="Q202" s="66"/>
      <c r="R202" s="63" t="str">
        <f t="shared" ref="R202:R265" si="128">IF($A203="","",VLOOKUP($A202,Table,MATCH(R$4,Curves,0)))</f>
        <v/>
      </c>
      <c r="S202" s="64" t="str">
        <f t="shared" ref="S202:S265" si="129">IF(A203="","",R202)</f>
        <v/>
      </c>
      <c r="T202" s="63" t="str">
        <f t="shared" ref="T202:T265" si="130">IF($A203="","",VLOOKUP($A202,Table,MATCH(T$4,Curves,0)))</f>
        <v/>
      </c>
      <c r="U202" s="64" t="str">
        <f t="shared" ref="U202:U265" si="131">IF(A203="","",T202)</f>
        <v/>
      </c>
      <c r="V202" s="207" t="str">
        <f>IF($A203="","",IF(AND(MONTH(A202)&gt;3,MONTH(A202)&lt;11),(T202+R202+G202)*Summary!$T$8/(1-Summary!$T$8),(T202+R202+G202)*Summary!$U$8/(1-Summary!$U$8)))</f>
        <v/>
      </c>
      <c r="W202" s="63" t="str">
        <f t="shared" ref="W202:W265" si="132">IF($A203="","",(T202+R202+G202+V202))</f>
        <v/>
      </c>
      <c r="X202" s="63" t="str">
        <f t="shared" ref="X202:X265" si="133">IF($A203="","",(U202+S202+H202+V202))</f>
        <v/>
      </c>
      <c r="Y202" s="43"/>
      <c r="Z202" s="38" t="str">
        <f t="shared" ref="Z202:Z265" si="134">IF($A203="","",VLOOKUP($A202,Table,MATCH(Z$4,Curves,0)))</f>
        <v/>
      </c>
      <c r="AA202" s="38" t="str">
        <f t="shared" ref="AA202:AA265" si="135">IF($A203="","",VLOOKUP($A202,Table,MATCH(AA$4,Curves,0)))</f>
        <v/>
      </c>
      <c r="AB202" s="38" t="e">
        <f t="shared" ref="AB202:AB265" si="136">SQRT((AA202^2*(A202-$D$3)+Z202^2*(DAY(EOMONTH(A202,0))/2))/AK202)</f>
        <v>#VALUE!</v>
      </c>
      <c r="AC202" s="38" t="str">
        <f t="shared" ref="AC202:AD265" si="137">IF($A203="","",VLOOKUP($A202,Table,MATCH(AC$4,Curves,0)))</f>
        <v/>
      </c>
      <c r="AD202" s="38" t="str">
        <f t="shared" si="137"/>
        <v/>
      </c>
      <c r="AE202" s="38" t="e">
        <f t="shared" ref="AE202:AE265" si="138">SQRT((AD202^2*(A202-$D$3)+AC202^2*(DAY(EOMONTH(A202,0))/2))/AK202)</f>
        <v>#VALUE!</v>
      </c>
      <c r="AF202" s="237" t="e">
        <f>((Summary!$N$8*(AA202*AD202)*(A202-$D$3))+(Summary!$M$8*Z202*AC202*(AJ202-EOMONTH(EDATE(A202,-1),0))))/(AK202*AB202*AE202)</f>
        <v>#VALUE!</v>
      </c>
      <c r="AG202" s="88" t="str">
        <f>IF($A203="","",Summary!$Q$8)</f>
        <v/>
      </c>
      <c r="AH202" s="88" t="str">
        <f>IF($A203="","",IF(Summary!$R$8="Y",(VLOOKUP($A202,Summary!$AD$6:$AF$9,3)+'Escalating commodity'!D215),'Escalating commodity'!D215))</f>
        <v/>
      </c>
      <c r="AI202" s="88" t="str">
        <f t="shared" si="114"/>
        <v/>
      </c>
      <c r="AJ202" s="236" t="e">
        <f t="shared" ref="AJ202:AJ265" si="139">A202+DAY(EOMONTH(A202,0))/2-1</f>
        <v>#VALUE!</v>
      </c>
      <c r="AK202" s="58" t="str">
        <f t="shared" ref="AK202:AK265" si="140">IF($A203="","",$A202-$E$1)</f>
        <v/>
      </c>
      <c r="AL202" s="26" t="str">
        <f>IF($A203="","",_xll.SPRDOPT(P202,X202,AI202,0,AB202,AE202,AF202,AK202,$AJ$2,0))</f>
        <v/>
      </c>
      <c r="AM202" s="89" t="str">
        <f t="shared" ref="AM202:AM265" si="141">IF($A203="","",MAX(0,O202-W202-AI202))</f>
        <v/>
      </c>
      <c r="AN202" s="89" t="str">
        <f t="shared" ref="AN202:AN265" si="142">IF($A203="","",AL202-AM202)</f>
        <v/>
      </c>
      <c r="AO202" s="3" t="str">
        <f t="shared" ref="AO202:AO265" si="143">IF(A203="","",A203-A202)</f>
        <v/>
      </c>
      <c r="AP202" s="33" t="str">
        <f t="shared" ref="AP202:AP265" si="144">IF(A203="","",CHOOSE(F$3,A203+24,A202))</f>
        <v/>
      </c>
      <c r="AQ202" s="58" t="str">
        <f t="shared" ref="AQ202:AQ265" si="145">IF(A203="","",AP202-$E$1)</f>
        <v/>
      </c>
      <c r="AR202" s="38">
        <f>'ANR OK vs ML7'!AR202</f>
        <v>0.1</v>
      </c>
      <c r="AS202" s="35" t="str">
        <f t="shared" ref="AS202:AS265" si="146">IF(A203="","",1/(1+CHOOSE(F$3,(AR203+($I$3/10000))/2,(AR202+($I$3/10000))/2))^(2*AQ202/365.25))</f>
        <v/>
      </c>
      <c r="AT202" s="3" t="str">
        <f t="shared" ref="AT202:AT265" si="147">IF(A203="","",IF(AND(mthbeg&lt;=A202,mthend&gt;=A202),1,0))</f>
        <v/>
      </c>
      <c r="AU202" s="3" t="str">
        <f t="shared" ref="AU202:AU265" si="148">IF(A203="","",AO202*AT202)</f>
        <v/>
      </c>
      <c r="AW202" s="32" t="str">
        <f t="shared" ref="AW202:AW265" si="149">IF($A203="","",AL202*$E202)</f>
        <v/>
      </c>
      <c r="AX202" s="32" t="str">
        <f t="shared" ref="AX202:AX265" si="150">IF($A203="","",AM202*$E202)</f>
        <v/>
      </c>
      <c r="AY202" s="32" t="str">
        <f t="shared" ref="AY202:AY265" si="151">IF($A203="","",AN202*$E202)</f>
        <v/>
      </c>
      <c r="BA202" s="32" t="str">
        <f>IF($A203="","",F202*Summary!$Q$8)</f>
        <v/>
      </c>
    </row>
    <row r="203" spans="1:53" ht="12" customHeight="1">
      <c r="A203" s="67" t="str">
        <f t="shared" ref="A203:A266" si="152">IF(A202&lt;mthend,EDATE(A202,1),"")</f>
        <v/>
      </c>
      <c r="B203" s="69">
        <f t="shared" si="116"/>
        <v>0</v>
      </c>
      <c r="C203" s="71"/>
      <c r="D203" s="69" t="str">
        <f t="shared" si="117"/>
        <v/>
      </c>
      <c r="E203" s="70" t="str">
        <f t="shared" si="118"/>
        <v/>
      </c>
      <c r="F203" s="70" t="str">
        <f t="shared" si="119"/>
        <v/>
      </c>
      <c r="G203" s="63" t="str">
        <f t="shared" si="120"/>
        <v/>
      </c>
      <c r="H203" s="64" t="str">
        <f t="shared" si="121"/>
        <v/>
      </c>
      <c r="I203" s="43"/>
      <c r="J203" s="63" t="str">
        <f t="shared" si="122"/>
        <v/>
      </c>
      <c r="K203" s="64" t="str">
        <f t="shared" si="123"/>
        <v/>
      </c>
      <c r="L203" s="63" t="str">
        <f t="shared" si="124"/>
        <v/>
      </c>
      <c r="M203" s="64" t="str">
        <f t="shared" si="125"/>
        <v/>
      </c>
      <c r="N203" s="65"/>
      <c r="O203" s="63" t="str">
        <f t="shared" si="126"/>
        <v/>
      </c>
      <c r="P203" s="63" t="str">
        <f t="shared" si="127"/>
        <v/>
      </c>
      <c r="Q203" s="66"/>
      <c r="R203" s="63" t="str">
        <f t="shared" si="128"/>
        <v/>
      </c>
      <c r="S203" s="64" t="str">
        <f t="shared" si="129"/>
        <v/>
      </c>
      <c r="T203" s="63" t="str">
        <f t="shared" si="130"/>
        <v/>
      </c>
      <c r="U203" s="64" t="str">
        <f t="shared" si="131"/>
        <v/>
      </c>
      <c r="V203" s="207" t="str">
        <f>IF($A204="","",IF(AND(MONTH(A203)&gt;3,MONTH(A203)&lt;11),(T203+R203+G203)*Summary!$T$8/(1-Summary!$T$8),(T203+R203+G203)*Summary!$U$8/(1-Summary!$U$8)))</f>
        <v/>
      </c>
      <c r="W203" s="63" t="str">
        <f t="shared" si="132"/>
        <v/>
      </c>
      <c r="X203" s="63" t="str">
        <f t="shared" si="133"/>
        <v/>
      </c>
      <c r="Y203" s="43"/>
      <c r="Z203" s="38" t="str">
        <f t="shared" si="134"/>
        <v/>
      </c>
      <c r="AA203" s="38" t="str">
        <f t="shared" si="135"/>
        <v/>
      </c>
      <c r="AB203" s="38" t="e">
        <f t="shared" si="136"/>
        <v>#VALUE!</v>
      </c>
      <c r="AC203" s="38" t="str">
        <f t="shared" si="137"/>
        <v/>
      </c>
      <c r="AD203" s="38" t="str">
        <f t="shared" si="137"/>
        <v/>
      </c>
      <c r="AE203" s="38" t="e">
        <f t="shared" si="138"/>
        <v>#VALUE!</v>
      </c>
      <c r="AF203" s="237" t="e">
        <f>((Summary!$N$8*(AA203*AD203)*(A203-$D$3))+(Summary!$M$8*Z203*AC203*(AJ203-EOMONTH(EDATE(A203,-1),0))))/(AK203*AB203*AE203)</f>
        <v>#VALUE!</v>
      </c>
      <c r="AG203" s="88" t="str">
        <f>IF($A204="","",Summary!$Q$8)</f>
        <v/>
      </c>
      <c r="AH203" s="88" t="str">
        <f>IF($A204="","",IF(Summary!$R$8="Y",(VLOOKUP($A203,Summary!$AD$6:$AF$9,3)+'Escalating commodity'!D216),'Escalating commodity'!D216))</f>
        <v/>
      </c>
      <c r="AI203" s="88" t="str">
        <f t="shared" ref="AI203:AI266" si="153">IF($A204="","",AH203)</f>
        <v/>
      </c>
      <c r="AJ203" s="236" t="e">
        <f t="shared" si="139"/>
        <v>#VALUE!</v>
      </c>
      <c r="AK203" s="58" t="str">
        <f t="shared" si="140"/>
        <v/>
      </c>
      <c r="AL203" s="26" t="str">
        <f>IF($A204="","",_xll.SPRDOPT(P203,X203,AI203,0,AB203,AE203,AF203,AK203,$AJ$2,0))</f>
        <v/>
      </c>
      <c r="AM203" s="89" t="str">
        <f t="shared" si="141"/>
        <v/>
      </c>
      <c r="AN203" s="89" t="str">
        <f t="shared" si="142"/>
        <v/>
      </c>
      <c r="AO203" s="3" t="str">
        <f t="shared" si="143"/>
        <v/>
      </c>
      <c r="AP203" s="33" t="str">
        <f t="shared" si="144"/>
        <v/>
      </c>
      <c r="AQ203" s="58" t="str">
        <f t="shared" si="145"/>
        <v/>
      </c>
      <c r="AR203" s="38">
        <f>'ANR OK vs ML7'!AR203</f>
        <v>0.1</v>
      </c>
      <c r="AS203" s="35" t="str">
        <f t="shared" si="146"/>
        <v/>
      </c>
      <c r="AT203" s="3" t="str">
        <f t="shared" si="147"/>
        <v/>
      </c>
      <c r="AU203" s="3" t="str">
        <f t="shared" si="148"/>
        <v/>
      </c>
      <c r="AW203" s="32" t="str">
        <f t="shared" si="149"/>
        <v/>
      </c>
      <c r="AX203" s="32" t="str">
        <f t="shared" si="150"/>
        <v/>
      </c>
      <c r="AY203" s="32" t="str">
        <f t="shared" si="151"/>
        <v/>
      </c>
      <c r="BA203" s="32" t="str">
        <f>IF($A204="","",F203*Summary!$Q$8)</f>
        <v/>
      </c>
    </row>
    <row r="204" spans="1:53" ht="12" customHeight="1">
      <c r="A204" s="67" t="str">
        <f t="shared" si="152"/>
        <v/>
      </c>
      <c r="B204" s="69">
        <f t="shared" ref="B204:B267" si="154">IF(A204&lt;mthend,B203,0)</f>
        <v>0</v>
      </c>
      <c r="C204" s="71"/>
      <c r="D204" s="69" t="str">
        <f t="shared" si="117"/>
        <v/>
      </c>
      <c r="E204" s="70" t="str">
        <f t="shared" si="118"/>
        <v/>
      </c>
      <c r="F204" s="70" t="str">
        <f t="shared" si="119"/>
        <v/>
      </c>
      <c r="G204" s="63" t="str">
        <f t="shared" si="120"/>
        <v/>
      </c>
      <c r="H204" s="64" t="str">
        <f t="shared" si="121"/>
        <v/>
      </c>
      <c r="I204" s="43"/>
      <c r="J204" s="63" t="str">
        <f t="shared" si="122"/>
        <v/>
      </c>
      <c r="K204" s="64" t="str">
        <f t="shared" si="123"/>
        <v/>
      </c>
      <c r="L204" s="63" t="str">
        <f t="shared" si="124"/>
        <v/>
      </c>
      <c r="M204" s="64" t="str">
        <f t="shared" si="125"/>
        <v/>
      </c>
      <c r="N204" s="65"/>
      <c r="O204" s="63" t="str">
        <f t="shared" si="126"/>
        <v/>
      </c>
      <c r="P204" s="63" t="str">
        <f t="shared" si="127"/>
        <v/>
      </c>
      <c r="Q204" s="66"/>
      <c r="R204" s="63" t="str">
        <f t="shared" si="128"/>
        <v/>
      </c>
      <c r="S204" s="64" t="str">
        <f t="shared" si="129"/>
        <v/>
      </c>
      <c r="T204" s="63" t="str">
        <f t="shared" si="130"/>
        <v/>
      </c>
      <c r="U204" s="64" t="str">
        <f t="shared" si="131"/>
        <v/>
      </c>
      <c r="V204" s="207" t="str">
        <f>IF($A205="","",IF(AND(MONTH(A204)&gt;3,MONTH(A204)&lt;11),(T204+R204+G204)*Summary!$T$8/(1-Summary!$T$8),(T204+R204+G204)*Summary!$U$8/(1-Summary!$U$8)))</f>
        <v/>
      </c>
      <c r="W204" s="63" t="str">
        <f t="shared" si="132"/>
        <v/>
      </c>
      <c r="X204" s="63" t="str">
        <f t="shared" si="133"/>
        <v/>
      </c>
      <c r="Y204" s="43"/>
      <c r="Z204" s="38" t="str">
        <f t="shared" si="134"/>
        <v/>
      </c>
      <c r="AA204" s="38" t="str">
        <f t="shared" si="135"/>
        <v/>
      </c>
      <c r="AB204" s="38" t="e">
        <f t="shared" si="136"/>
        <v>#VALUE!</v>
      </c>
      <c r="AC204" s="38" t="str">
        <f t="shared" si="137"/>
        <v/>
      </c>
      <c r="AD204" s="38" t="str">
        <f t="shared" si="137"/>
        <v/>
      </c>
      <c r="AE204" s="38" t="e">
        <f t="shared" si="138"/>
        <v>#VALUE!</v>
      </c>
      <c r="AF204" s="237" t="e">
        <f>((Summary!$N$8*(AA204*AD204)*(A204-$D$3))+(Summary!$M$8*Z204*AC204*(AJ204-EOMONTH(EDATE(A204,-1),0))))/(AK204*AB204*AE204)</f>
        <v>#VALUE!</v>
      </c>
      <c r="AG204" s="88" t="str">
        <f>IF($A205="","",Summary!$Q$8)</f>
        <v/>
      </c>
      <c r="AH204" s="88" t="str">
        <f>IF($A205="","",IF(Summary!$R$8="Y",(VLOOKUP($A204,Summary!$AD$6:$AF$9,3)+'Escalating commodity'!D217),'Escalating commodity'!D217))</f>
        <v/>
      </c>
      <c r="AI204" s="88" t="str">
        <f t="shared" si="153"/>
        <v/>
      </c>
      <c r="AJ204" s="236" t="e">
        <f t="shared" si="139"/>
        <v>#VALUE!</v>
      </c>
      <c r="AK204" s="58" t="str">
        <f t="shared" si="140"/>
        <v/>
      </c>
      <c r="AL204" s="26" t="str">
        <f>IF($A205="","",_xll.SPRDOPT(P204,X204,AI204,0,AB204,AE204,AF204,AK204,$AJ$2,0))</f>
        <v/>
      </c>
      <c r="AM204" s="89" t="str">
        <f t="shared" si="141"/>
        <v/>
      </c>
      <c r="AN204" s="89" t="str">
        <f t="shared" si="142"/>
        <v/>
      </c>
      <c r="AO204" s="3" t="str">
        <f t="shared" si="143"/>
        <v/>
      </c>
      <c r="AP204" s="33" t="str">
        <f t="shared" si="144"/>
        <v/>
      </c>
      <c r="AQ204" s="58" t="str">
        <f t="shared" si="145"/>
        <v/>
      </c>
      <c r="AR204" s="38">
        <f>'ANR OK vs ML7'!AR204</f>
        <v>0.1</v>
      </c>
      <c r="AS204" s="35" t="str">
        <f t="shared" si="146"/>
        <v/>
      </c>
      <c r="AT204" s="3" t="str">
        <f t="shared" si="147"/>
        <v/>
      </c>
      <c r="AU204" s="3" t="str">
        <f t="shared" si="148"/>
        <v/>
      </c>
      <c r="AW204" s="32" t="str">
        <f t="shared" si="149"/>
        <v/>
      </c>
      <c r="AX204" s="32" t="str">
        <f t="shared" si="150"/>
        <v/>
      </c>
      <c r="AY204" s="32" t="str">
        <f t="shared" si="151"/>
        <v/>
      </c>
      <c r="BA204" s="32" t="str">
        <f>IF($A205="","",F204*Summary!$Q$8)</f>
        <v/>
      </c>
    </row>
    <row r="205" spans="1:53" ht="12" customHeight="1">
      <c r="A205" s="67" t="str">
        <f t="shared" si="152"/>
        <v/>
      </c>
      <c r="B205" s="69">
        <f t="shared" si="154"/>
        <v>0</v>
      </c>
      <c r="C205" s="71"/>
      <c r="D205" s="69" t="str">
        <f t="shared" si="117"/>
        <v/>
      </c>
      <c r="E205" s="70" t="str">
        <f t="shared" si="118"/>
        <v/>
      </c>
      <c r="F205" s="70" t="str">
        <f t="shared" si="119"/>
        <v/>
      </c>
      <c r="G205" s="63" t="str">
        <f t="shared" si="120"/>
        <v/>
      </c>
      <c r="H205" s="64" t="str">
        <f t="shared" si="121"/>
        <v/>
      </c>
      <c r="I205" s="43"/>
      <c r="J205" s="63" t="str">
        <f t="shared" si="122"/>
        <v/>
      </c>
      <c r="K205" s="64" t="str">
        <f t="shared" si="123"/>
        <v/>
      </c>
      <c r="L205" s="63" t="str">
        <f t="shared" si="124"/>
        <v/>
      </c>
      <c r="M205" s="64" t="str">
        <f t="shared" si="125"/>
        <v/>
      </c>
      <c r="N205" s="65"/>
      <c r="O205" s="63" t="str">
        <f t="shared" si="126"/>
        <v/>
      </c>
      <c r="P205" s="63" t="str">
        <f t="shared" si="127"/>
        <v/>
      </c>
      <c r="Q205" s="66"/>
      <c r="R205" s="63" t="str">
        <f t="shared" si="128"/>
        <v/>
      </c>
      <c r="S205" s="64" t="str">
        <f t="shared" si="129"/>
        <v/>
      </c>
      <c r="T205" s="63" t="str">
        <f t="shared" si="130"/>
        <v/>
      </c>
      <c r="U205" s="64" t="str">
        <f t="shared" si="131"/>
        <v/>
      </c>
      <c r="V205" s="207" t="str">
        <f>IF($A206="","",IF(AND(MONTH(A205)&gt;3,MONTH(A205)&lt;11),(T205+R205+G205)*Summary!$T$8/(1-Summary!$T$8),(T205+R205+G205)*Summary!$U$8/(1-Summary!$U$8)))</f>
        <v/>
      </c>
      <c r="W205" s="63" t="str">
        <f t="shared" si="132"/>
        <v/>
      </c>
      <c r="X205" s="63" t="str">
        <f t="shared" si="133"/>
        <v/>
      </c>
      <c r="Y205" s="43"/>
      <c r="Z205" s="38" t="str">
        <f t="shared" si="134"/>
        <v/>
      </c>
      <c r="AA205" s="38" t="str">
        <f t="shared" si="135"/>
        <v/>
      </c>
      <c r="AB205" s="38" t="e">
        <f t="shared" si="136"/>
        <v>#VALUE!</v>
      </c>
      <c r="AC205" s="38" t="str">
        <f t="shared" si="137"/>
        <v/>
      </c>
      <c r="AD205" s="38" t="str">
        <f t="shared" si="137"/>
        <v/>
      </c>
      <c r="AE205" s="38" t="e">
        <f t="shared" si="138"/>
        <v>#VALUE!</v>
      </c>
      <c r="AF205" s="237" t="e">
        <f>((Summary!$N$8*(AA205*AD205)*(A205-$D$3))+(Summary!$M$8*Z205*AC205*(AJ205-EOMONTH(EDATE(A205,-1),0))))/(AK205*AB205*AE205)</f>
        <v>#VALUE!</v>
      </c>
      <c r="AG205" s="88" t="str">
        <f>IF($A206="","",Summary!$Q$8)</f>
        <v/>
      </c>
      <c r="AH205" s="88" t="str">
        <f>IF($A206="","",IF(Summary!$R$8="Y",(VLOOKUP($A205,Summary!$AD$6:$AF$9,3)+'Escalating commodity'!D218),'Escalating commodity'!D218))</f>
        <v/>
      </c>
      <c r="AI205" s="88" t="str">
        <f t="shared" si="153"/>
        <v/>
      </c>
      <c r="AJ205" s="236" t="e">
        <f t="shared" si="139"/>
        <v>#VALUE!</v>
      </c>
      <c r="AK205" s="58" t="str">
        <f t="shared" si="140"/>
        <v/>
      </c>
      <c r="AL205" s="26" t="str">
        <f>IF($A206="","",_xll.SPRDOPT(P205,X205,AI205,0,AB205,AE205,AF205,AK205,$AJ$2,0))</f>
        <v/>
      </c>
      <c r="AM205" s="89" t="str">
        <f t="shared" si="141"/>
        <v/>
      </c>
      <c r="AN205" s="89" t="str">
        <f t="shared" si="142"/>
        <v/>
      </c>
      <c r="AO205" s="3" t="str">
        <f t="shared" si="143"/>
        <v/>
      </c>
      <c r="AP205" s="33" t="str">
        <f t="shared" si="144"/>
        <v/>
      </c>
      <c r="AQ205" s="58" t="str">
        <f t="shared" si="145"/>
        <v/>
      </c>
      <c r="AR205" s="38">
        <f>'ANR OK vs ML7'!AR205</f>
        <v>0.1</v>
      </c>
      <c r="AS205" s="35" t="str">
        <f t="shared" si="146"/>
        <v/>
      </c>
      <c r="AT205" s="3" t="str">
        <f t="shared" si="147"/>
        <v/>
      </c>
      <c r="AU205" s="3" t="str">
        <f t="shared" si="148"/>
        <v/>
      </c>
      <c r="AW205" s="32" t="str">
        <f t="shared" si="149"/>
        <v/>
      </c>
      <c r="AX205" s="32" t="str">
        <f t="shared" si="150"/>
        <v/>
      </c>
      <c r="AY205" s="32" t="str">
        <f t="shared" si="151"/>
        <v/>
      </c>
      <c r="BA205" s="32" t="str">
        <f>IF($A206="","",F205*Summary!$Q$8)</f>
        <v/>
      </c>
    </row>
    <row r="206" spans="1:53" ht="12" customHeight="1">
      <c r="A206" s="67" t="str">
        <f t="shared" si="152"/>
        <v/>
      </c>
      <c r="B206" s="69">
        <f t="shared" si="154"/>
        <v>0</v>
      </c>
      <c r="C206" s="71"/>
      <c r="D206" s="69" t="str">
        <f t="shared" si="117"/>
        <v/>
      </c>
      <c r="E206" s="70" t="str">
        <f t="shared" si="118"/>
        <v/>
      </c>
      <c r="F206" s="70" t="str">
        <f t="shared" si="119"/>
        <v/>
      </c>
      <c r="G206" s="63" t="str">
        <f t="shared" si="120"/>
        <v/>
      </c>
      <c r="H206" s="64" t="str">
        <f t="shared" si="121"/>
        <v/>
      </c>
      <c r="I206" s="43"/>
      <c r="J206" s="63" t="str">
        <f t="shared" si="122"/>
        <v/>
      </c>
      <c r="K206" s="64" t="str">
        <f t="shared" si="123"/>
        <v/>
      </c>
      <c r="L206" s="63" t="str">
        <f t="shared" si="124"/>
        <v/>
      </c>
      <c r="M206" s="64" t="str">
        <f t="shared" si="125"/>
        <v/>
      </c>
      <c r="N206" s="65"/>
      <c r="O206" s="63" t="str">
        <f t="shared" si="126"/>
        <v/>
      </c>
      <c r="P206" s="63" t="str">
        <f t="shared" si="127"/>
        <v/>
      </c>
      <c r="Q206" s="66"/>
      <c r="R206" s="63" t="str">
        <f t="shared" si="128"/>
        <v/>
      </c>
      <c r="S206" s="64" t="str">
        <f t="shared" si="129"/>
        <v/>
      </c>
      <c r="T206" s="63" t="str">
        <f t="shared" si="130"/>
        <v/>
      </c>
      <c r="U206" s="64" t="str">
        <f t="shared" si="131"/>
        <v/>
      </c>
      <c r="V206" s="207" t="str">
        <f>IF($A207="","",IF(AND(MONTH(A206)&gt;3,MONTH(A206)&lt;11),(T206+R206+G206)*Summary!$T$8/(1-Summary!$T$8),(T206+R206+G206)*Summary!$U$8/(1-Summary!$U$8)))</f>
        <v/>
      </c>
      <c r="W206" s="63" t="str">
        <f t="shared" si="132"/>
        <v/>
      </c>
      <c r="X206" s="63" t="str">
        <f t="shared" si="133"/>
        <v/>
      </c>
      <c r="Y206" s="43"/>
      <c r="Z206" s="38" t="str">
        <f t="shared" si="134"/>
        <v/>
      </c>
      <c r="AA206" s="38" t="str">
        <f t="shared" si="135"/>
        <v/>
      </c>
      <c r="AB206" s="38" t="e">
        <f t="shared" si="136"/>
        <v>#VALUE!</v>
      </c>
      <c r="AC206" s="38" t="str">
        <f t="shared" si="137"/>
        <v/>
      </c>
      <c r="AD206" s="38" t="str">
        <f t="shared" si="137"/>
        <v/>
      </c>
      <c r="AE206" s="38" t="e">
        <f t="shared" si="138"/>
        <v>#VALUE!</v>
      </c>
      <c r="AF206" s="237" t="e">
        <f>((Summary!$N$8*(AA206*AD206)*(A206-$D$3))+(Summary!$M$8*Z206*AC206*(AJ206-EOMONTH(EDATE(A206,-1),0))))/(AK206*AB206*AE206)</f>
        <v>#VALUE!</v>
      </c>
      <c r="AG206" s="88" t="str">
        <f>IF($A207="","",Summary!$Q$8)</f>
        <v/>
      </c>
      <c r="AH206" s="88" t="str">
        <f>IF($A207="","",IF(Summary!$R$8="Y",(VLOOKUP($A206,Summary!$AD$6:$AF$9,3)+'Escalating commodity'!D219),'Escalating commodity'!D219))</f>
        <v/>
      </c>
      <c r="AI206" s="88" t="str">
        <f t="shared" si="153"/>
        <v/>
      </c>
      <c r="AJ206" s="236" t="e">
        <f t="shared" si="139"/>
        <v>#VALUE!</v>
      </c>
      <c r="AK206" s="58" t="str">
        <f t="shared" si="140"/>
        <v/>
      </c>
      <c r="AL206" s="26" t="str">
        <f>IF($A207="","",_xll.SPRDOPT(P206,X206,AI206,0,AB206,AE206,AF206,AK206,$AJ$2,0))</f>
        <v/>
      </c>
      <c r="AM206" s="89" t="str">
        <f t="shared" si="141"/>
        <v/>
      </c>
      <c r="AN206" s="89" t="str">
        <f t="shared" si="142"/>
        <v/>
      </c>
      <c r="AO206" s="3" t="str">
        <f t="shared" si="143"/>
        <v/>
      </c>
      <c r="AP206" s="33" t="str">
        <f t="shared" si="144"/>
        <v/>
      </c>
      <c r="AQ206" s="58" t="str">
        <f t="shared" si="145"/>
        <v/>
      </c>
      <c r="AR206" s="38">
        <f>'ANR OK vs ML7'!AR206</f>
        <v>0.1</v>
      </c>
      <c r="AS206" s="35" t="str">
        <f t="shared" si="146"/>
        <v/>
      </c>
      <c r="AT206" s="3" t="str">
        <f t="shared" si="147"/>
        <v/>
      </c>
      <c r="AU206" s="3" t="str">
        <f t="shared" si="148"/>
        <v/>
      </c>
      <c r="AW206" s="32" t="str">
        <f t="shared" si="149"/>
        <v/>
      </c>
      <c r="AX206" s="32" t="str">
        <f t="shared" si="150"/>
        <v/>
      </c>
      <c r="AY206" s="32" t="str">
        <f t="shared" si="151"/>
        <v/>
      </c>
      <c r="BA206" s="32" t="str">
        <f>IF($A207="","",F206*Summary!$Q$8)</f>
        <v/>
      </c>
    </row>
    <row r="207" spans="1:53" ht="12" customHeight="1">
      <c r="A207" s="67" t="str">
        <f t="shared" si="152"/>
        <v/>
      </c>
      <c r="B207" s="69">
        <f t="shared" si="154"/>
        <v>0</v>
      </c>
      <c r="C207" s="71"/>
      <c r="D207" s="69" t="str">
        <f t="shared" si="117"/>
        <v/>
      </c>
      <c r="E207" s="70" t="str">
        <f t="shared" si="118"/>
        <v/>
      </c>
      <c r="F207" s="70" t="str">
        <f t="shared" si="119"/>
        <v/>
      </c>
      <c r="G207" s="63" t="str">
        <f t="shared" si="120"/>
        <v/>
      </c>
      <c r="H207" s="64" t="str">
        <f t="shared" si="121"/>
        <v/>
      </c>
      <c r="I207" s="43"/>
      <c r="J207" s="63" t="str">
        <f t="shared" si="122"/>
        <v/>
      </c>
      <c r="K207" s="64" t="str">
        <f t="shared" si="123"/>
        <v/>
      </c>
      <c r="L207" s="63" t="str">
        <f t="shared" si="124"/>
        <v/>
      </c>
      <c r="M207" s="64" t="str">
        <f t="shared" si="125"/>
        <v/>
      </c>
      <c r="N207" s="65"/>
      <c r="O207" s="63" t="str">
        <f t="shared" si="126"/>
        <v/>
      </c>
      <c r="P207" s="63" t="str">
        <f t="shared" si="127"/>
        <v/>
      </c>
      <c r="Q207" s="66"/>
      <c r="R207" s="63" t="str">
        <f t="shared" si="128"/>
        <v/>
      </c>
      <c r="S207" s="64" t="str">
        <f t="shared" si="129"/>
        <v/>
      </c>
      <c r="T207" s="63" t="str">
        <f t="shared" si="130"/>
        <v/>
      </c>
      <c r="U207" s="64" t="str">
        <f t="shared" si="131"/>
        <v/>
      </c>
      <c r="V207" s="207" t="str">
        <f>IF($A208="","",IF(AND(MONTH(A207)&gt;3,MONTH(A207)&lt;11),(T207+R207+G207)*Summary!$T$8/(1-Summary!$T$8),(T207+R207+G207)*Summary!$U$8/(1-Summary!$U$8)))</f>
        <v/>
      </c>
      <c r="W207" s="63" t="str">
        <f t="shared" si="132"/>
        <v/>
      </c>
      <c r="X207" s="63" t="str">
        <f t="shared" si="133"/>
        <v/>
      </c>
      <c r="Y207" s="43"/>
      <c r="Z207" s="38" t="str">
        <f t="shared" si="134"/>
        <v/>
      </c>
      <c r="AA207" s="38" t="str">
        <f t="shared" si="135"/>
        <v/>
      </c>
      <c r="AB207" s="38" t="e">
        <f t="shared" si="136"/>
        <v>#VALUE!</v>
      </c>
      <c r="AC207" s="38" t="str">
        <f t="shared" si="137"/>
        <v/>
      </c>
      <c r="AD207" s="38" t="str">
        <f t="shared" si="137"/>
        <v/>
      </c>
      <c r="AE207" s="38" t="e">
        <f t="shared" si="138"/>
        <v>#VALUE!</v>
      </c>
      <c r="AF207" s="237" t="e">
        <f>((Summary!$N$8*(AA207*AD207)*(A207-$D$3))+(Summary!$M$8*Z207*AC207*(AJ207-EOMONTH(EDATE(A207,-1),0))))/(AK207*AB207*AE207)</f>
        <v>#VALUE!</v>
      </c>
      <c r="AG207" s="88" t="str">
        <f>IF($A208="","",Summary!$Q$8)</f>
        <v/>
      </c>
      <c r="AH207" s="88" t="str">
        <f>IF($A208="","",IF(Summary!$R$8="Y",(VLOOKUP($A207,Summary!$AD$6:$AF$9,3)+'Escalating commodity'!D220),'Escalating commodity'!D220))</f>
        <v/>
      </c>
      <c r="AI207" s="88" t="str">
        <f t="shared" si="153"/>
        <v/>
      </c>
      <c r="AJ207" s="236" t="e">
        <f t="shared" si="139"/>
        <v>#VALUE!</v>
      </c>
      <c r="AK207" s="58" t="str">
        <f t="shared" si="140"/>
        <v/>
      </c>
      <c r="AL207" s="26" t="str">
        <f>IF($A208="","",_xll.SPRDOPT(P207,X207,AI207,0,AB207,AE207,AF207,AK207,$AJ$2,0))</f>
        <v/>
      </c>
      <c r="AM207" s="89" t="str">
        <f t="shared" si="141"/>
        <v/>
      </c>
      <c r="AN207" s="89" t="str">
        <f t="shared" si="142"/>
        <v/>
      </c>
      <c r="AO207" s="3" t="str">
        <f t="shared" si="143"/>
        <v/>
      </c>
      <c r="AP207" s="33" t="str">
        <f t="shared" si="144"/>
        <v/>
      </c>
      <c r="AQ207" s="58" t="str">
        <f t="shared" si="145"/>
        <v/>
      </c>
      <c r="AR207" s="38">
        <f>'ANR OK vs ML7'!AR207</f>
        <v>0.1</v>
      </c>
      <c r="AS207" s="35" t="str">
        <f t="shared" si="146"/>
        <v/>
      </c>
      <c r="AT207" s="3" t="str">
        <f t="shared" si="147"/>
        <v/>
      </c>
      <c r="AU207" s="3" t="str">
        <f t="shared" si="148"/>
        <v/>
      </c>
      <c r="AW207" s="32" t="str">
        <f t="shared" si="149"/>
        <v/>
      </c>
      <c r="AX207" s="32" t="str">
        <f t="shared" si="150"/>
        <v/>
      </c>
      <c r="AY207" s="32" t="str">
        <f t="shared" si="151"/>
        <v/>
      </c>
      <c r="BA207" s="32" t="str">
        <f>IF($A208="","",F207*Summary!$Q$8)</f>
        <v/>
      </c>
    </row>
    <row r="208" spans="1:53" ht="12" customHeight="1">
      <c r="A208" s="67" t="str">
        <f t="shared" si="152"/>
        <v/>
      </c>
      <c r="B208" s="69">
        <f t="shared" si="154"/>
        <v>0</v>
      </c>
      <c r="C208" s="71"/>
      <c r="D208" s="69" t="str">
        <f t="shared" si="117"/>
        <v/>
      </c>
      <c r="E208" s="70" t="str">
        <f t="shared" si="118"/>
        <v/>
      </c>
      <c r="F208" s="70" t="str">
        <f t="shared" si="119"/>
        <v/>
      </c>
      <c r="G208" s="63" t="str">
        <f t="shared" si="120"/>
        <v/>
      </c>
      <c r="H208" s="64" t="str">
        <f t="shared" si="121"/>
        <v/>
      </c>
      <c r="I208" s="43"/>
      <c r="J208" s="63" t="str">
        <f t="shared" si="122"/>
        <v/>
      </c>
      <c r="K208" s="64" t="str">
        <f t="shared" si="123"/>
        <v/>
      </c>
      <c r="L208" s="63" t="str">
        <f t="shared" si="124"/>
        <v/>
      </c>
      <c r="M208" s="64" t="str">
        <f t="shared" si="125"/>
        <v/>
      </c>
      <c r="N208" s="65"/>
      <c r="O208" s="63" t="str">
        <f t="shared" si="126"/>
        <v/>
      </c>
      <c r="P208" s="63" t="str">
        <f t="shared" si="127"/>
        <v/>
      </c>
      <c r="Q208" s="66"/>
      <c r="R208" s="63" t="str">
        <f t="shared" si="128"/>
        <v/>
      </c>
      <c r="S208" s="64" t="str">
        <f t="shared" si="129"/>
        <v/>
      </c>
      <c r="T208" s="63" t="str">
        <f t="shared" si="130"/>
        <v/>
      </c>
      <c r="U208" s="64" t="str">
        <f t="shared" si="131"/>
        <v/>
      </c>
      <c r="V208" s="207" t="str">
        <f>IF($A209="","",IF(AND(MONTH(A208)&gt;3,MONTH(A208)&lt;11),(T208+R208+G208)*Summary!$T$8/(1-Summary!$T$8),(T208+R208+G208)*Summary!$U$8/(1-Summary!$U$8)))</f>
        <v/>
      </c>
      <c r="W208" s="63" t="str">
        <f t="shared" si="132"/>
        <v/>
      </c>
      <c r="X208" s="63" t="str">
        <f t="shared" si="133"/>
        <v/>
      </c>
      <c r="Y208" s="43"/>
      <c r="Z208" s="38" t="str">
        <f t="shared" si="134"/>
        <v/>
      </c>
      <c r="AA208" s="38" t="str">
        <f t="shared" si="135"/>
        <v/>
      </c>
      <c r="AB208" s="38" t="e">
        <f t="shared" si="136"/>
        <v>#VALUE!</v>
      </c>
      <c r="AC208" s="38" t="str">
        <f t="shared" si="137"/>
        <v/>
      </c>
      <c r="AD208" s="38" t="str">
        <f t="shared" si="137"/>
        <v/>
      </c>
      <c r="AE208" s="38" t="e">
        <f t="shared" si="138"/>
        <v>#VALUE!</v>
      </c>
      <c r="AF208" s="237" t="e">
        <f>((Summary!$N$8*(AA208*AD208)*(A208-$D$3))+(Summary!$M$8*Z208*AC208*(AJ208-EOMONTH(EDATE(A208,-1),0))))/(AK208*AB208*AE208)</f>
        <v>#VALUE!</v>
      </c>
      <c r="AG208" s="88" t="str">
        <f>IF($A209="","",Summary!$Q$8)</f>
        <v/>
      </c>
      <c r="AH208" s="88" t="str">
        <f>IF($A209="","",IF(Summary!$R$8="Y",(VLOOKUP($A208,Summary!$AD$6:$AF$9,3)+'Escalating commodity'!D221),'Escalating commodity'!D221))</f>
        <v/>
      </c>
      <c r="AI208" s="88" t="str">
        <f t="shared" si="153"/>
        <v/>
      </c>
      <c r="AJ208" s="236" t="e">
        <f t="shared" si="139"/>
        <v>#VALUE!</v>
      </c>
      <c r="AK208" s="58" t="str">
        <f t="shared" si="140"/>
        <v/>
      </c>
      <c r="AL208" s="26" t="str">
        <f>IF($A209="","",_xll.SPRDOPT(P208,X208,AI208,0,AB208,AE208,AF208,AK208,$AJ$2,0))</f>
        <v/>
      </c>
      <c r="AM208" s="89" t="str">
        <f t="shared" si="141"/>
        <v/>
      </c>
      <c r="AN208" s="89" t="str">
        <f t="shared" si="142"/>
        <v/>
      </c>
      <c r="AO208" s="3" t="str">
        <f t="shared" si="143"/>
        <v/>
      </c>
      <c r="AP208" s="33" t="str">
        <f t="shared" si="144"/>
        <v/>
      </c>
      <c r="AQ208" s="58" t="str">
        <f t="shared" si="145"/>
        <v/>
      </c>
      <c r="AR208" s="38">
        <f>'ANR OK vs ML7'!AR208</f>
        <v>0.1</v>
      </c>
      <c r="AS208" s="35" t="str">
        <f t="shared" si="146"/>
        <v/>
      </c>
      <c r="AT208" s="3" t="str">
        <f t="shared" si="147"/>
        <v/>
      </c>
      <c r="AU208" s="3" t="str">
        <f t="shared" si="148"/>
        <v/>
      </c>
      <c r="AW208" s="32" t="str">
        <f t="shared" si="149"/>
        <v/>
      </c>
      <c r="AX208" s="32" t="str">
        <f t="shared" si="150"/>
        <v/>
      </c>
      <c r="AY208" s="32" t="str">
        <f t="shared" si="151"/>
        <v/>
      </c>
      <c r="BA208" s="32" t="str">
        <f>IF($A209="","",F208*Summary!$Q$8)</f>
        <v/>
      </c>
    </row>
    <row r="209" spans="1:53" ht="12" customHeight="1">
      <c r="A209" s="67" t="str">
        <f t="shared" si="152"/>
        <v/>
      </c>
      <c r="B209" s="69">
        <f t="shared" si="154"/>
        <v>0</v>
      </c>
      <c r="C209" s="71"/>
      <c r="D209" s="69" t="str">
        <f t="shared" si="117"/>
        <v/>
      </c>
      <c r="E209" s="70" t="str">
        <f t="shared" si="118"/>
        <v/>
      </c>
      <c r="F209" s="70" t="str">
        <f t="shared" si="119"/>
        <v/>
      </c>
      <c r="G209" s="63" t="str">
        <f t="shared" si="120"/>
        <v/>
      </c>
      <c r="H209" s="64" t="str">
        <f t="shared" si="121"/>
        <v/>
      </c>
      <c r="I209" s="43"/>
      <c r="J209" s="63" t="str">
        <f t="shared" si="122"/>
        <v/>
      </c>
      <c r="K209" s="64" t="str">
        <f t="shared" si="123"/>
        <v/>
      </c>
      <c r="L209" s="63" t="str">
        <f t="shared" si="124"/>
        <v/>
      </c>
      <c r="M209" s="64" t="str">
        <f t="shared" si="125"/>
        <v/>
      </c>
      <c r="N209" s="65"/>
      <c r="O209" s="63" t="str">
        <f t="shared" si="126"/>
        <v/>
      </c>
      <c r="P209" s="63" t="str">
        <f t="shared" si="127"/>
        <v/>
      </c>
      <c r="Q209" s="66"/>
      <c r="R209" s="63" t="str">
        <f t="shared" si="128"/>
        <v/>
      </c>
      <c r="S209" s="64" t="str">
        <f t="shared" si="129"/>
        <v/>
      </c>
      <c r="T209" s="63" t="str">
        <f t="shared" si="130"/>
        <v/>
      </c>
      <c r="U209" s="64" t="str">
        <f t="shared" si="131"/>
        <v/>
      </c>
      <c r="V209" s="207" t="str">
        <f>IF($A210="","",IF(AND(MONTH(A209)&gt;3,MONTH(A209)&lt;11),(T209+R209+G209)*Summary!$T$8/(1-Summary!$T$8),(T209+R209+G209)*Summary!$U$8/(1-Summary!$U$8)))</f>
        <v/>
      </c>
      <c r="W209" s="63" t="str">
        <f t="shared" si="132"/>
        <v/>
      </c>
      <c r="X209" s="63" t="str">
        <f t="shared" si="133"/>
        <v/>
      </c>
      <c r="Y209" s="43"/>
      <c r="Z209" s="38" t="str">
        <f t="shared" si="134"/>
        <v/>
      </c>
      <c r="AA209" s="38" t="str">
        <f t="shared" si="135"/>
        <v/>
      </c>
      <c r="AB209" s="38" t="e">
        <f t="shared" si="136"/>
        <v>#VALUE!</v>
      </c>
      <c r="AC209" s="38" t="str">
        <f t="shared" si="137"/>
        <v/>
      </c>
      <c r="AD209" s="38" t="str">
        <f t="shared" si="137"/>
        <v/>
      </c>
      <c r="AE209" s="38" t="e">
        <f t="shared" si="138"/>
        <v>#VALUE!</v>
      </c>
      <c r="AF209" s="237" t="e">
        <f>((Summary!$N$8*(AA209*AD209)*(A209-$D$3))+(Summary!$M$8*Z209*AC209*(AJ209-EOMONTH(EDATE(A209,-1),0))))/(AK209*AB209*AE209)</f>
        <v>#VALUE!</v>
      </c>
      <c r="AG209" s="88" t="str">
        <f>IF($A210="","",Summary!$Q$8)</f>
        <v/>
      </c>
      <c r="AH209" s="88" t="str">
        <f>IF($A210="","",IF(Summary!$R$8="Y",(VLOOKUP($A209,Summary!$AD$6:$AF$9,3)+'Escalating commodity'!D222),'Escalating commodity'!D222))</f>
        <v/>
      </c>
      <c r="AI209" s="88" t="str">
        <f t="shared" si="153"/>
        <v/>
      </c>
      <c r="AJ209" s="236" t="e">
        <f t="shared" si="139"/>
        <v>#VALUE!</v>
      </c>
      <c r="AK209" s="58" t="str">
        <f t="shared" si="140"/>
        <v/>
      </c>
      <c r="AL209" s="26" t="str">
        <f>IF($A210="","",_xll.SPRDOPT(P209,X209,AI209,0,AB209,AE209,AF209,AK209,$AJ$2,0))</f>
        <v/>
      </c>
      <c r="AM209" s="89" t="str">
        <f t="shared" si="141"/>
        <v/>
      </c>
      <c r="AN209" s="89" t="str">
        <f t="shared" si="142"/>
        <v/>
      </c>
      <c r="AO209" s="3" t="str">
        <f t="shared" si="143"/>
        <v/>
      </c>
      <c r="AP209" s="33" t="str">
        <f t="shared" si="144"/>
        <v/>
      </c>
      <c r="AQ209" s="58" t="str">
        <f t="shared" si="145"/>
        <v/>
      </c>
      <c r="AR209" s="38">
        <f>'ANR OK vs ML7'!AR209</f>
        <v>0.1</v>
      </c>
      <c r="AS209" s="35" t="str">
        <f t="shared" si="146"/>
        <v/>
      </c>
      <c r="AT209" s="3" t="str">
        <f t="shared" si="147"/>
        <v/>
      </c>
      <c r="AU209" s="3" t="str">
        <f t="shared" si="148"/>
        <v/>
      </c>
      <c r="AW209" s="32" t="str">
        <f t="shared" si="149"/>
        <v/>
      </c>
      <c r="AX209" s="32" t="str">
        <f t="shared" si="150"/>
        <v/>
      </c>
      <c r="AY209" s="32" t="str">
        <f t="shared" si="151"/>
        <v/>
      </c>
      <c r="BA209" s="32" t="str">
        <f>IF($A210="","",F209*Summary!$Q$8)</f>
        <v/>
      </c>
    </row>
    <row r="210" spans="1:53" ht="12" customHeight="1">
      <c r="A210" s="67" t="str">
        <f t="shared" si="152"/>
        <v/>
      </c>
      <c r="B210" s="69">
        <f t="shared" si="154"/>
        <v>0</v>
      </c>
      <c r="C210" s="71"/>
      <c r="D210" s="69" t="str">
        <f t="shared" si="117"/>
        <v/>
      </c>
      <c r="E210" s="70" t="str">
        <f t="shared" si="118"/>
        <v/>
      </c>
      <c r="F210" s="70" t="str">
        <f t="shared" si="119"/>
        <v/>
      </c>
      <c r="G210" s="63" t="str">
        <f t="shared" si="120"/>
        <v/>
      </c>
      <c r="H210" s="64" t="str">
        <f t="shared" si="121"/>
        <v/>
      </c>
      <c r="I210" s="43"/>
      <c r="J210" s="63" t="str">
        <f t="shared" si="122"/>
        <v/>
      </c>
      <c r="K210" s="64" t="str">
        <f t="shared" si="123"/>
        <v/>
      </c>
      <c r="L210" s="63" t="str">
        <f t="shared" si="124"/>
        <v/>
      </c>
      <c r="M210" s="64" t="str">
        <f t="shared" si="125"/>
        <v/>
      </c>
      <c r="N210" s="65"/>
      <c r="O210" s="63" t="str">
        <f t="shared" si="126"/>
        <v/>
      </c>
      <c r="P210" s="63" t="str">
        <f t="shared" si="127"/>
        <v/>
      </c>
      <c r="Q210" s="66"/>
      <c r="R210" s="63" t="str">
        <f t="shared" si="128"/>
        <v/>
      </c>
      <c r="S210" s="64" t="str">
        <f t="shared" si="129"/>
        <v/>
      </c>
      <c r="T210" s="63" t="str">
        <f t="shared" si="130"/>
        <v/>
      </c>
      <c r="U210" s="64" t="str">
        <f t="shared" si="131"/>
        <v/>
      </c>
      <c r="V210" s="207" t="str">
        <f>IF($A211="","",IF(AND(MONTH(A210)&gt;3,MONTH(A210)&lt;11),(T210+R210+G210)*Summary!$T$8/(1-Summary!$T$8),(T210+R210+G210)*Summary!$U$8/(1-Summary!$U$8)))</f>
        <v/>
      </c>
      <c r="W210" s="63" t="str">
        <f t="shared" si="132"/>
        <v/>
      </c>
      <c r="X210" s="63" t="str">
        <f t="shared" si="133"/>
        <v/>
      </c>
      <c r="Y210" s="43"/>
      <c r="Z210" s="38" t="str">
        <f t="shared" si="134"/>
        <v/>
      </c>
      <c r="AA210" s="38" t="str">
        <f t="shared" si="135"/>
        <v/>
      </c>
      <c r="AB210" s="38" t="e">
        <f t="shared" si="136"/>
        <v>#VALUE!</v>
      </c>
      <c r="AC210" s="38" t="str">
        <f t="shared" si="137"/>
        <v/>
      </c>
      <c r="AD210" s="38" t="str">
        <f t="shared" si="137"/>
        <v/>
      </c>
      <c r="AE210" s="38" t="e">
        <f t="shared" si="138"/>
        <v>#VALUE!</v>
      </c>
      <c r="AF210" s="237" t="e">
        <f>((Summary!$N$8*(AA210*AD210)*(A210-$D$3))+(Summary!$M$8*Z210*AC210*(AJ210-EOMONTH(EDATE(A210,-1),0))))/(AK210*AB210*AE210)</f>
        <v>#VALUE!</v>
      </c>
      <c r="AG210" s="88" t="str">
        <f>IF($A211="","",Summary!$Q$8)</f>
        <v/>
      </c>
      <c r="AH210" s="88" t="str">
        <f>IF($A211="","",IF(Summary!$R$8="Y",(VLOOKUP($A210,Summary!$AD$6:$AF$9,3)+'Escalating commodity'!D223),'Escalating commodity'!D223))</f>
        <v/>
      </c>
      <c r="AI210" s="88" t="str">
        <f t="shared" si="153"/>
        <v/>
      </c>
      <c r="AJ210" s="236" t="e">
        <f t="shared" si="139"/>
        <v>#VALUE!</v>
      </c>
      <c r="AK210" s="58" t="str">
        <f t="shared" si="140"/>
        <v/>
      </c>
      <c r="AL210" s="26" t="str">
        <f>IF($A211="","",_xll.SPRDOPT(P210,X210,AI210,0,AB210,AE210,AF210,AK210,$AJ$2,0))</f>
        <v/>
      </c>
      <c r="AM210" s="89" t="str">
        <f t="shared" si="141"/>
        <v/>
      </c>
      <c r="AN210" s="89" t="str">
        <f t="shared" si="142"/>
        <v/>
      </c>
      <c r="AO210" s="3" t="str">
        <f t="shared" si="143"/>
        <v/>
      </c>
      <c r="AP210" s="33" t="str">
        <f t="shared" si="144"/>
        <v/>
      </c>
      <c r="AQ210" s="58" t="str">
        <f t="shared" si="145"/>
        <v/>
      </c>
      <c r="AR210" s="38">
        <f>'ANR OK vs ML7'!AR210</f>
        <v>0.1</v>
      </c>
      <c r="AS210" s="35" t="str">
        <f t="shared" si="146"/>
        <v/>
      </c>
      <c r="AT210" s="3" t="str">
        <f t="shared" si="147"/>
        <v/>
      </c>
      <c r="AU210" s="3" t="str">
        <f t="shared" si="148"/>
        <v/>
      </c>
      <c r="AW210" s="32" t="str">
        <f t="shared" si="149"/>
        <v/>
      </c>
      <c r="AX210" s="32" t="str">
        <f t="shared" si="150"/>
        <v/>
      </c>
      <c r="AY210" s="32" t="str">
        <f t="shared" si="151"/>
        <v/>
      </c>
      <c r="BA210" s="32" t="str">
        <f>IF($A211="","",F210*Summary!$Q$8)</f>
        <v/>
      </c>
    </row>
    <row r="211" spans="1:53" ht="12" customHeight="1">
      <c r="A211" s="67" t="str">
        <f t="shared" si="152"/>
        <v/>
      </c>
      <c r="B211" s="69">
        <f t="shared" si="154"/>
        <v>0</v>
      </c>
      <c r="C211" s="71"/>
      <c r="D211" s="69" t="str">
        <f t="shared" si="117"/>
        <v/>
      </c>
      <c r="E211" s="70" t="str">
        <f t="shared" si="118"/>
        <v/>
      </c>
      <c r="F211" s="70" t="str">
        <f t="shared" si="119"/>
        <v/>
      </c>
      <c r="G211" s="63" t="str">
        <f t="shared" si="120"/>
        <v/>
      </c>
      <c r="H211" s="64" t="str">
        <f t="shared" si="121"/>
        <v/>
      </c>
      <c r="I211" s="43"/>
      <c r="J211" s="63" t="str">
        <f t="shared" si="122"/>
        <v/>
      </c>
      <c r="K211" s="64" t="str">
        <f t="shared" si="123"/>
        <v/>
      </c>
      <c r="L211" s="63" t="str">
        <f t="shared" si="124"/>
        <v/>
      </c>
      <c r="M211" s="64" t="str">
        <f t="shared" si="125"/>
        <v/>
      </c>
      <c r="N211" s="65"/>
      <c r="O211" s="63" t="str">
        <f t="shared" si="126"/>
        <v/>
      </c>
      <c r="P211" s="63" t="str">
        <f t="shared" si="127"/>
        <v/>
      </c>
      <c r="Q211" s="66"/>
      <c r="R211" s="63" t="str">
        <f t="shared" si="128"/>
        <v/>
      </c>
      <c r="S211" s="64" t="str">
        <f t="shared" si="129"/>
        <v/>
      </c>
      <c r="T211" s="63" t="str">
        <f t="shared" si="130"/>
        <v/>
      </c>
      <c r="U211" s="64" t="str">
        <f t="shared" si="131"/>
        <v/>
      </c>
      <c r="V211" s="207" t="str">
        <f>IF($A212="","",IF(AND(MONTH(A211)&gt;3,MONTH(A211)&lt;11),(T211+R211+G211)*Summary!$T$8/(1-Summary!$T$8),(T211+R211+G211)*Summary!$U$8/(1-Summary!$U$8)))</f>
        <v/>
      </c>
      <c r="W211" s="63" t="str">
        <f t="shared" si="132"/>
        <v/>
      </c>
      <c r="X211" s="63" t="str">
        <f t="shared" si="133"/>
        <v/>
      </c>
      <c r="Y211" s="43"/>
      <c r="Z211" s="38" t="str">
        <f t="shared" si="134"/>
        <v/>
      </c>
      <c r="AA211" s="38" t="str">
        <f t="shared" si="135"/>
        <v/>
      </c>
      <c r="AB211" s="38" t="e">
        <f t="shared" si="136"/>
        <v>#VALUE!</v>
      </c>
      <c r="AC211" s="38" t="str">
        <f t="shared" si="137"/>
        <v/>
      </c>
      <c r="AD211" s="38" t="str">
        <f t="shared" si="137"/>
        <v/>
      </c>
      <c r="AE211" s="38" t="e">
        <f t="shared" si="138"/>
        <v>#VALUE!</v>
      </c>
      <c r="AF211" s="237" t="e">
        <f>((Summary!$N$8*(AA211*AD211)*(A211-$D$3))+(Summary!$M$8*Z211*AC211*(AJ211-EOMONTH(EDATE(A211,-1),0))))/(AK211*AB211*AE211)</f>
        <v>#VALUE!</v>
      </c>
      <c r="AG211" s="88" t="str">
        <f>IF($A212="","",Summary!$Q$8)</f>
        <v/>
      </c>
      <c r="AH211" s="88" t="str">
        <f>IF($A212="","",IF(Summary!$R$8="Y",(VLOOKUP($A211,Summary!$AD$6:$AF$9,3)+'Escalating commodity'!D224),'Escalating commodity'!D224))</f>
        <v/>
      </c>
      <c r="AI211" s="88" t="str">
        <f t="shared" si="153"/>
        <v/>
      </c>
      <c r="AJ211" s="236" t="e">
        <f t="shared" si="139"/>
        <v>#VALUE!</v>
      </c>
      <c r="AK211" s="58" t="str">
        <f t="shared" si="140"/>
        <v/>
      </c>
      <c r="AL211" s="26" t="str">
        <f>IF($A212="","",_xll.SPRDOPT(P211,X211,AI211,0,AB211,AE211,AF211,AK211,$AJ$2,0))</f>
        <v/>
      </c>
      <c r="AM211" s="89" t="str">
        <f t="shared" si="141"/>
        <v/>
      </c>
      <c r="AN211" s="89" t="str">
        <f t="shared" si="142"/>
        <v/>
      </c>
      <c r="AO211" s="3" t="str">
        <f t="shared" si="143"/>
        <v/>
      </c>
      <c r="AP211" s="33" t="str">
        <f t="shared" si="144"/>
        <v/>
      </c>
      <c r="AQ211" s="58" t="str">
        <f t="shared" si="145"/>
        <v/>
      </c>
      <c r="AR211" s="38">
        <f>'ANR OK vs ML7'!AR211</f>
        <v>0.1</v>
      </c>
      <c r="AS211" s="35" t="str">
        <f t="shared" si="146"/>
        <v/>
      </c>
      <c r="AT211" s="3" t="str">
        <f t="shared" si="147"/>
        <v/>
      </c>
      <c r="AU211" s="3" t="str">
        <f t="shared" si="148"/>
        <v/>
      </c>
      <c r="AW211" s="32" t="str">
        <f t="shared" si="149"/>
        <v/>
      </c>
      <c r="AX211" s="32" t="str">
        <f t="shared" si="150"/>
        <v/>
      </c>
      <c r="AY211" s="32" t="str">
        <f t="shared" si="151"/>
        <v/>
      </c>
      <c r="BA211" s="32" t="str">
        <f>IF($A212="","",F211*Summary!$Q$8)</f>
        <v/>
      </c>
    </row>
    <row r="212" spans="1:53" ht="12" customHeight="1">
      <c r="A212" s="67" t="str">
        <f t="shared" si="152"/>
        <v/>
      </c>
      <c r="B212" s="69">
        <f t="shared" si="154"/>
        <v>0</v>
      </c>
      <c r="C212" s="71"/>
      <c r="D212" s="69" t="str">
        <f t="shared" si="117"/>
        <v/>
      </c>
      <c r="E212" s="70" t="str">
        <f t="shared" si="118"/>
        <v/>
      </c>
      <c r="F212" s="70" t="str">
        <f t="shared" si="119"/>
        <v/>
      </c>
      <c r="G212" s="63" t="str">
        <f t="shared" si="120"/>
        <v/>
      </c>
      <c r="H212" s="64" t="str">
        <f t="shared" si="121"/>
        <v/>
      </c>
      <c r="I212" s="43"/>
      <c r="J212" s="63" t="str">
        <f t="shared" si="122"/>
        <v/>
      </c>
      <c r="K212" s="64" t="str">
        <f t="shared" si="123"/>
        <v/>
      </c>
      <c r="L212" s="63" t="str">
        <f t="shared" si="124"/>
        <v/>
      </c>
      <c r="M212" s="64" t="str">
        <f t="shared" si="125"/>
        <v/>
      </c>
      <c r="N212" s="65"/>
      <c r="O212" s="63" t="str">
        <f t="shared" si="126"/>
        <v/>
      </c>
      <c r="P212" s="63" t="str">
        <f t="shared" si="127"/>
        <v/>
      </c>
      <c r="Q212" s="66"/>
      <c r="R212" s="63" t="str">
        <f t="shared" si="128"/>
        <v/>
      </c>
      <c r="S212" s="64" t="str">
        <f t="shared" si="129"/>
        <v/>
      </c>
      <c r="T212" s="63" t="str">
        <f t="shared" si="130"/>
        <v/>
      </c>
      <c r="U212" s="64" t="str">
        <f t="shared" si="131"/>
        <v/>
      </c>
      <c r="V212" s="207" t="str">
        <f>IF($A213="","",IF(AND(MONTH(A212)&gt;3,MONTH(A212)&lt;11),(T212+R212+G212)*Summary!$T$8/(1-Summary!$T$8),(T212+R212+G212)*Summary!$U$8/(1-Summary!$U$8)))</f>
        <v/>
      </c>
      <c r="W212" s="63" t="str">
        <f t="shared" si="132"/>
        <v/>
      </c>
      <c r="X212" s="63" t="str">
        <f t="shared" si="133"/>
        <v/>
      </c>
      <c r="Y212" s="43"/>
      <c r="Z212" s="38" t="str">
        <f t="shared" si="134"/>
        <v/>
      </c>
      <c r="AA212" s="38" t="str">
        <f t="shared" si="135"/>
        <v/>
      </c>
      <c r="AB212" s="38" t="e">
        <f t="shared" si="136"/>
        <v>#VALUE!</v>
      </c>
      <c r="AC212" s="38" t="str">
        <f t="shared" si="137"/>
        <v/>
      </c>
      <c r="AD212" s="38" t="str">
        <f t="shared" si="137"/>
        <v/>
      </c>
      <c r="AE212" s="38" t="e">
        <f t="shared" si="138"/>
        <v>#VALUE!</v>
      </c>
      <c r="AF212" s="237" t="e">
        <f>((Summary!$N$8*(AA212*AD212)*(A212-$D$3))+(Summary!$M$8*Z212*AC212*(AJ212-EOMONTH(EDATE(A212,-1),0))))/(AK212*AB212*AE212)</f>
        <v>#VALUE!</v>
      </c>
      <c r="AG212" s="88" t="str">
        <f>IF($A213="","",Summary!$Q$8)</f>
        <v/>
      </c>
      <c r="AH212" s="88" t="str">
        <f>IF($A213="","",IF(Summary!$R$8="Y",(VLOOKUP($A212,Summary!$AD$6:$AF$9,3)+'Escalating commodity'!D225),'Escalating commodity'!D225))</f>
        <v/>
      </c>
      <c r="AI212" s="88" t="str">
        <f t="shared" si="153"/>
        <v/>
      </c>
      <c r="AJ212" s="236" t="e">
        <f t="shared" si="139"/>
        <v>#VALUE!</v>
      </c>
      <c r="AK212" s="58" t="str">
        <f t="shared" si="140"/>
        <v/>
      </c>
      <c r="AL212" s="26" t="str">
        <f>IF($A213="","",_xll.SPRDOPT(P212,X212,AI212,0,AB212,AE212,AF212,AK212,$AJ$2,0))</f>
        <v/>
      </c>
      <c r="AM212" s="89" t="str">
        <f t="shared" si="141"/>
        <v/>
      </c>
      <c r="AN212" s="89" t="str">
        <f t="shared" si="142"/>
        <v/>
      </c>
      <c r="AO212" s="3" t="str">
        <f t="shared" si="143"/>
        <v/>
      </c>
      <c r="AP212" s="33" t="str">
        <f t="shared" si="144"/>
        <v/>
      </c>
      <c r="AQ212" s="58" t="str">
        <f t="shared" si="145"/>
        <v/>
      </c>
      <c r="AR212" s="38">
        <f>'ANR OK vs ML7'!AR212</f>
        <v>0.1</v>
      </c>
      <c r="AS212" s="35" t="str">
        <f t="shared" si="146"/>
        <v/>
      </c>
      <c r="AT212" s="3" t="str">
        <f t="shared" si="147"/>
        <v/>
      </c>
      <c r="AU212" s="3" t="str">
        <f t="shared" si="148"/>
        <v/>
      </c>
      <c r="AW212" s="32" t="str">
        <f t="shared" si="149"/>
        <v/>
      </c>
      <c r="AX212" s="32" t="str">
        <f t="shared" si="150"/>
        <v/>
      </c>
      <c r="AY212" s="32" t="str">
        <f t="shared" si="151"/>
        <v/>
      </c>
      <c r="BA212" s="32" t="str">
        <f>IF($A213="","",F212*Summary!$Q$8)</f>
        <v/>
      </c>
    </row>
    <row r="213" spans="1:53" ht="12" customHeight="1">
      <c r="A213" s="67" t="str">
        <f t="shared" si="152"/>
        <v/>
      </c>
      <c r="B213" s="69">
        <f t="shared" si="154"/>
        <v>0</v>
      </c>
      <c r="C213" s="71"/>
      <c r="D213" s="69" t="str">
        <f t="shared" si="117"/>
        <v/>
      </c>
      <c r="E213" s="70" t="str">
        <f t="shared" si="118"/>
        <v/>
      </c>
      <c r="F213" s="70" t="str">
        <f t="shared" si="119"/>
        <v/>
      </c>
      <c r="G213" s="63" t="str">
        <f t="shared" si="120"/>
        <v/>
      </c>
      <c r="H213" s="64" t="str">
        <f t="shared" si="121"/>
        <v/>
      </c>
      <c r="I213" s="43"/>
      <c r="J213" s="63" t="str">
        <f t="shared" si="122"/>
        <v/>
      </c>
      <c r="K213" s="64" t="str">
        <f t="shared" si="123"/>
        <v/>
      </c>
      <c r="L213" s="63" t="str">
        <f t="shared" si="124"/>
        <v/>
      </c>
      <c r="M213" s="64" t="str">
        <f t="shared" si="125"/>
        <v/>
      </c>
      <c r="N213" s="65"/>
      <c r="O213" s="63" t="str">
        <f t="shared" si="126"/>
        <v/>
      </c>
      <c r="P213" s="63" t="str">
        <f t="shared" si="127"/>
        <v/>
      </c>
      <c r="Q213" s="66"/>
      <c r="R213" s="63" t="str">
        <f t="shared" si="128"/>
        <v/>
      </c>
      <c r="S213" s="64" t="str">
        <f t="shared" si="129"/>
        <v/>
      </c>
      <c r="T213" s="63" t="str">
        <f t="shared" si="130"/>
        <v/>
      </c>
      <c r="U213" s="64" t="str">
        <f t="shared" si="131"/>
        <v/>
      </c>
      <c r="V213" s="207" t="str">
        <f>IF($A214="","",IF(AND(MONTH(A213)&gt;3,MONTH(A213)&lt;11),(T213+R213+G213)*Summary!$T$8/(1-Summary!$T$8),(T213+R213+G213)*Summary!$U$8/(1-Summary!$U$8)))</f>
        <v/>
      </c>
      <c r="W213" s="63" t="str">
        <f t="shared" si="132"/>
        <v/>
      </c>
      <c r="X213" s="63" t="str">
        <f t="shared" si="133"/>
        <v/>
      </c>
      <c r="Y213" s="43"/>
      <c r="Z213" s="38" t="str">
        <f t="shared" si="134"/>
        <v/>
      </c>
      <c r="AA213" s="38" t="str">
        <f t="shared" si="135"/>
        <v/>
      </c>
      <c r="AB213" s="38" t="e">
        <f t="shared" si="136"/>
        <v>#VALUE!</v>
      </c>
      <c r="AC213" s="38" t="str">
        <f t="shared" si="137"/>
        <v/>
      </c>
      <c r="AD213" s="38" t="str">
        <f t="shared" si="137"/>
        <v/>
      </c>
      <c r="AE213" s="38" t="e">
        <f t="shared" si="138"/>
        <v>#VALUE!</v>
      </c>
      <c r="AF213" s="237" t="e">
        <f>((Summary!$N$8*(AA213*AD213)*(A213-$D$3))+(Summary!$M$8*Z213*AC213*(AJ213-EOMONTH(EDATE(A213,-1),0))))/(AK213*AB213*AE213)</f>
        <v>#VALUE!</v>
      </c>
      <c r="AG213" s="88" t="str">
        <f>IF($A214="","",Summary!$Q$8)</f>
        <v/>
      </c>
      <c r="AH213" s="88" t="str">
        <f>IF($A214="","",IF(Summary!$R$8="Y",(VLOOKUP($A213,Summary!$AD$6:$AF$9,3)+'Escalating commodity'!D226),'Escalating commodity'!D226))</f>
        <v/>
      </c>
      <c r="AI213" s="88" t="str">
        <f t="shared" si="153"/>
        <v/>
      </c>
      <c r="AJ213" s="236" t="e">
        <f t="shared" si="139"/>
        <v>#VALUE!</v>
      </c>
      <c r="AK213" s="58" t="str">
        <f t="shared" si="140"/>
        <v/>
      </c>
      <c r="AL213" s="26" t="str">
        <f>IF($A214="","",_xll.SPRDOPT(P213,X213,AI213,0,AB213,AE213,AF213,AK213,$AJ$2,0))</f>
        <v/>
      </c>
      <c r="AM213" s="89" t="str">
        <f t="shared" si="141"/>
        <v/>
      </c>
      <c r="AN213" s="89" t="str">
        <f t="shared" si="142"/>
        <v/>
      </c>
      <c r="AO213" s="3" t="str">
        <f t="shared" si="143"/>
        <v/>
      </c>
      <c r="AP213" s="33" t="str">
        <f t="shared" si="144"/>
        <v/>
      </c>
      <c r="AQ213" s="58" t="str">
        <f t="shared" si="145"/>
        <v/>
      </c>
      <c r="AR213" s="38">
        <f>'ANR OK vs ML7'!AR213</f>
        <v>0.1</v>
      </c>
      <c r="AS213" s="35" t="str">
        <f t="shared" si="146"/>
        <v/>
      </c>
      <c r="AT213" s="3" t="str">
        <f t="shared" si="147"/>
        <v/>
      </c>
      <c r="AU213" s="3" t="str">
        <f t="shared" si="148"/>
        <v/>
      </c>
      <c r="AW213" s="32" t="str">
        <f t="shared" si="149"/>
        <v/>
      </c>
      <c r="AX213" s="32" t="str">
        <f t="shared" si="150"/>
        <v/>
      </c>
      <c r="AY213" s="32" t="str">
        <f t="shared" si="151"/>
        <v/>
      </c>
      <c r="BA213" s="32" t="str">
        <f>IF($A214="","",F213*Summary!$Q$8)</f>
        <v/>
      </c>
    </row>
    <row r="214" spans="1:53" ht="12" customHeight="1">
      <c r="A214" s="67" t="str">
        <f t="shared" si="152"/>
        <v/>
      </c>
      <c r="B214" s="69">
        <f t="shared" si="154"/>
        <v>0</v>
      </c>
      <c r="C214" s="71"/>
      <c r="D214" s="69" t="str">
        <f t="shared" si="117"/>
        <v/>
      </c>
      <c r="E214" s="70" t="str">
        <f t="shared" si="118"/>
        <v/>
      </c>
      <c r="F214" s="70" t="str">
        <f t="shared" si="119"/>
        <v/>
      </c>
      <c r="G214" s="63" t="str">
        <f t="shared" si="120"/>
        <v/>
      </c>
      <c r="H214" s="64" t="str">
        <f t="shared" si="121"/>
        <v/>
      </c>
      <c r="I214" s="43"/>
      <c r="J214" s="63" t="str">
        <f t="shared" si="122"/>
        <v/>
      </c>
      <c r="K214" s="64" t="str">
        <f t="shared" si="123"/>
        <v/>
      </c>
      <c r="L214" s="63" t="str">
        <f t="shared" si="124"/>
        <v/>
      </c>
      <c r="M214" s="64" t="str">
        <f t="shared" si="125"/>
        <v/>
      </c>
      <c r="N214" s="65"/>
      <c r="O214" s="63" t="str">
        <f t="shared" si="126"/>
        <v/>
      </c>
      <c r="P214" s="63" t="str">
        <f t="shared" si="127"/>
        <v/>
      </c>
      <c r="Q214" s="66"/>
      <c r="R214" s="63" t="str">
        <f t="shared" si="128"/>
        <v/>
      </c>
      <c r="S214" s="64" t="str">
        <f t="shared" si="129"/>
        <v/>
      </c>
      <c r="T214" s="63" t="str">
        <f t="shared" si="130"/>
        <v/>
      </c>
      <c r="U214" s="64" t="str">
        <f t="shared" si="131"/>
        <v/>
      </c>
      <c r="V214" s="207" t="str">
        <f>IF($A215="","",IF(AND(MONTH(A214)&gt;3,MONTH(A214)&lt;11),(T214+R214+G214)*Summary!$T$8/(1-Summary!$T$8),(T214+R214+G214)*Summary!$U$8/(1-Summary!$U$8)))</f>
        <v/>
      </c>
      <c r="W214" s="63" t="str">
        <f t="shared" si="132"/>
        <v/>
      </c>
      <c r="X214" s="63" t="str">
        <f t="shared" si="133"/>
        <v/>
      </c>
      <c r="Y214" s="43"/>
      <c r="Z214" s="38" t="str">
        <f t="shared" si="134"/>
        <v/>
      </c>
      <c r="AA214" s="38" t="str">
        <f t="shared" si="135"/>
        <v/>
      </c>
      <c r="AB214" s="38" t="e">
        <f t="shared" si="136"/>
        <v>#VALUE!</v>
      </c>
      <c r="AC214" s="38" t="str">
        <f t="shared" si="137"/>
        <v/>
      </c>
      <c r="AD214" s="38" t="str">
        <f t="shared" si="137"/>
        <v/>
      </c>
      <c r="AE214" s="38" t="e">
        <f t="shared" si="138"/>
        <v>#VALUE!</v>
      </c>
      <c r="AF214" s="237" t="e">
        <f>((Summary!$N$8*(AA214*AD214)*(A214-$D$3))+(Summary!$M$8*Z214*AC214*(AJ214-EOMONTH(EDATE(A214,-1),0))))/(AK214*AB214*AE214)</f>
        <v>#VALUE!</v>
      </c>
      <c r="AG214" s="88" t="str">
        <f>IF($A215="","",Summary!$Q$8)</f>
        <v/>
      </c>
      <c r="AH214" s="88" t="str">
        <f>IF($A215="","",IF(Summary!$R$8="Y",(VLOOKUP($A214,Summary!$AD$6:$AF$9,3)+'Escalating commodity'!D227),'Escalating commodity'!D227))</f>
        <v/>
      </c>
      <c r="AI214" s="88" t="str">
        <f t="shared" si="153"/>
        <v/>
      </c>
      <c r="AJ214" s="236" t="e">
        <f t="shared" si="139"/>
        <v>#VALUE!</v>
      </c>
      <c r="AK214" s="58" t="str">
        <f t="shared" si="140"/>
        <v/>
      </c>
      <c r="AL214" s="26" t="str">
        <f>IF($A215="","",_xll.SPRDOPT(P214,X214,AI214,0,AB214,AE214,AF214,AK214,$AJ$2,0))</f>
        <v/>
      </c>
      <c r="AM214" s="89" t="str">
        <f t="shared" si="141"/>
        <v/>
      </c>
      <c r="AN214" s="89" t="str">
        <f t="shared" si="142"/>
        <v/>
      </c>
      <c r="AO214" s="3" t="str">
        <f t="shared" si="143"/>
        <v/>
      </c>
      <c r="AP214" s="33" t="str">
        <f t="shared" si="144"/>
        <v/>
      </c>
      <c r="AQ214" s="58" t="str">
        <f t="shared" si="145"/>
        <v/>
      </c>
      <c r="AR214" s="38">
        <f>'ANR OK vs ML7'!AR214</f>
        <v>0.1</v>
      </c>
      <c r="AS214" s="35" t="str">
        <f t="shared" si="146"/>
        <v/>
      </c>
      <c r="AT214" s="3" t="str">
        <f t="shared" si="147"/>
        <v/>
      </c>
      <c r="AU214" s="3" t="str">
        <f t="shared" si="148"/>
        <v/>
      </c>
      <c r="AW214" s="32" t="str">
        <f t="shared" si="149"/>
        <v/>
      </c>
      <c r="AX214" s="32" t="str">
        <f t="shared" si="150"/>
        <v/>
      </c>
      <c r="AY214" s="32" t="str">
        <f t="shared" si="151"/>
        <v/>
      </c>
      <c r="BA214" s="32" t="str">
        <f>IF($A215="","",F214*Summary!$Q$8)</f>
        <v/>
      </c>
    </row>
    <row r="215" spans="1:53" ht="12" customHeight="1">
      <c r="A215" s="67" t="str">
        <f t="shared" si="152"/>
        <v/>
      </c>
      <c r="B215" s="69">
        <f t="shared" si="154"/>
        <v>0</v>
      </c>
      <c r="C215" s="71"/>
      <c r="D215" s="69" t="str">
        <f t="shared" si="117"/>
        <v/>
      </c>
      <c r="E215" s="70" t="str">
        <f t="shared" si="118"/>
        <v/>
      </c>
      <c r="F215" s="70" t="str">
        <f t="shared" si="119"/>
        <v/>
      </c>
      <c r="G215" s="63" t="str">
        <f t="shared" si="120"/>
        <v/>
      </c>
      <c r="H215" s="64" t="str">
        <f t="shared" si="121"/>
        <v/>
      </c>
      <c r="I215" s="43"/>
      <c r="J215" s="63" t="str">
        <f t="shared" si="122"/>
        <v/>
      </c>
      <c r="K215" s="64" t="str">
        <f t="shared" si="123"/>
        <v/>
      </c>
      <c r="L215" s="63" t="str">
        <f t="shared" si="124"/>
        <v/>
      </c>
      <c r="M215" s="64" t="str">
        <f t="shared" si="125"/>
        <v/>
      </c>
      <c r="N215" s="65"/>
      <c r="O215" s="63" t="str">
        <f t="shared" si="126"/>
        <v/>
      </c>
      <c r="P215" s="63" t="str">
        <f t="shared" si="127"/>
        <v/>
      </c>
      <c r="Q215" s="66"/>
      <c r="R215" s="63" t="str">
        <f t="shared" si="128"/>
        <v/>
      </c>
      <c r="S215" s="64" t="str">
        <f t="shared" si="129"/>
        <v/>
      </c>
      <c r="T215" s="63" t="str">
        <f t="shared" si="130"/>
        <v/>
      </c>
      <c r="U215" s="64" t="str">
        <f t="shared" si="131"/>
        <v/>
      </c>
      <c r="V215" s="207" t="str">
        <f>IF($A216="","",IF(AND(MONTH(A215)&gt;3,MONTH(A215)&lt;11),(T215+R215+G215)*Summary!$T$8/(1-Summary!$T$8),(T215+R215+G215)*Summary!$U$8/(1-Summary!$U$8)))</f>
        <v/>
      </c>
      <c r="W215" s="63" t="str">
        <f t="shared" si="132"/>
        <v/>
      </c>
      <c r="X215" s="63" t="str">
        <f t="shared" si="133"/>
        <v/>
      </c>
      <c r="Y215" s="43"/>
      <c r="Z215" s="38" t="str">
        <f t="shared" si="134"/>
        <v/>
      </c>
      <c r="AA215" s="38" t="str">
        <f t="shared" si="135"/>
        <v/>
      </c>
      <c r="AB215" s="38" t="e">
        <f t="shared" si="136"/>
        <v>#VALUE!</v>
      </c>
      <c r="AC215" s="38" t="str">
        <f t="shared" si="137"/>
        <v/>
      </c>
      <c r="AD215" s="38" t="str">
        <f t="shared" si="137"/>
        <v/>
      </c>
      <c r="AE215" s="38" t="e">
        <f t="shared" si="138"/>
        <v>#VALUE!</v>
      </c>
      <c r="AF215" s="237" t="e">
        <f>((Summary!$N$8*(AA215*AD215)*(A215-$D$3))+(Summary!$M$8*Z215*AC215*(AJ215-EOMONTH(EDATE(A215,-1),0))))/(AK215*AB215*AE215)</f>
        <v>#VALUE!</v>
      </c>
      <c r="AG215" s="88" t="str">
        <f>IF($A216="","",Summary!$Q$8)</f>
        <v/>
      </c>
      <c r="AH215" s="88" t="str">
        <f>IF($A216="","",IF(Summary!$R$8="Y",(VLOOKUP($A215,Summary!$AD$6:$AF$9,3)+'Escalating commodity'!D228),'Escalating commodity'!D228))</f>
        <v/>
      </c>
      <c r="AI215" s="88" t="str">
        <f t="shared" si="153"/>
        <v/>
      </c>
      <c r="AJ215" s="236" t="e">
        <f t="shared" si="139"/>
        <v>#VALUE!</v>
      </c>
      <c r="AK215" s="58" t="str">
        <f t="shared" si="140"/>
        <v/>
      </c>
      <c r="AL215" s="26" t="str">
        <f>IF($A216="","",_xll.SPRDOPT(P215,X215,AI215,0,AB215,AE215,AF215,AK215,$AJ$2,0))</f>
        <v/>
      </c>
      <c r="AM215" s="89" t="str">
        <f t="shared" si="141"/>
        <v/>
      </c>
      <c r="AN215" s="89" t="str">
        <f t="shared" si="142"/>
        <v/>
      </c>
      <c r="AO215" s="3" t="str">
        <f t="shared" si="143"/>
        <v/>
      </c>
      <c r="AP215" s="33" t="str">
        <f t="shared" si="144"/>
        <v/>
      </c>
      <c r="AQ215" s="58" t="str">
        <f t="shared" si="145"/>
        <v/>
      </c>
      <c r="AR215" s="38">
        <f>'ANR OK vs ML7'!AR215</f>
        <v>0.1</v>
      </c>
      <c r="AS215" s="35" t="str">
        <f t="shared" si="146"/>
        <v/>
      </c>
      <c r="AT215" s="3" t="str">
        <f t="shared" si="147"/>
        <v/>
      </c>
      <c r="AU215" s="3" t="str">
        <f t="shared" si="148"/>
        <v/>
      </c>
      <c r="AW215" s="32" t="str">
        <f t="shared" si="149"/>
        <v/>
      </c>
      <c r="AX215" s="32" t="str">
        <f t="shared" si="150"/>
        <v/>
      </c>
      <c r="AY215" s="32" t="str">
        <f t="shared" si="151"/>
        <v/>
      </c>
      <c r="BA215" s="32" t="str">
        <f>IF($A216="","",F215*Summary!$Q$8)</f>
        <v/>
      </c>
    </row>
    <row r="216" spans="1:53" ht="12" customHeight="1">
      <c r="A216" s="67" t="str">
        <f t="shared" si="152"/>
        <v/>
      </c>
      <c r="B216" s="69">
        <f t="shared" si="154"/>
        <v>0</v>
      </c>
      <c r="C216" s="71"/>
      <c r="D216" s="69" t="str">
        <f t="shared" si="117"/>
        <v/>
      </c>
      <c r="E216" s="70" t="str">
        <f t="shared" si="118"/>
        <v/>
      </c>
      <c r="F216" s="70" t="str">
        <f t="shared" si="119"/>
        <v/>
      </c>
      <c r="G216" s="63" t="str">
        <f t="shared" si="120"/>
        <v/>
      </c>
      <c r="H216" s="64" t="str">
        <f t="shared" si="121"/>
        <v/>
      </c>
      <c r="I216" s="43"/>
      <c r="J216" s="63" t="str">
        <f t="shared" si="122"/>
        <v/>
      </c>
      <c r="K216" s="64" t="str">
        <f t="shared" si="123"/>
        <v/>
      </c>
      <c r="L216" s="63" t="str">
        <f t="shared" si="124"/>
        <v/>
      </c>
      <c r="M216" s="64" t="str">
        <f t="shared" si="125"/>
        <v/>
      </c>
      <c r="N216" s="65"/>
      <c r="O216" s="63" t="str">
        <f t="shared" si="126"/>
        <v/>
      </c>
      <c r="P216" s="63" t="str">
        <f t="shared" si="127"/>
        <v/>
      </c>
      <c r="Q216" s="66"/>
      <c r="R216" s="63" t="str">
        <f t="shared" si="128"/>
        <v/>
      </c>
      <c r="S216" s="64" t="str">
        <f t="shared" si="129"/>
        <v/>
      </c>
      <c r="T216" s="63" t="str">
        <f t="shared" si="130"/>
        <v/>
      </c>
      <c r="U216" s="64" t="str">
        <f t="shared" si="131"/>
        <v/>
      </c>
      <c r="V216" s="207" t="str">
        <f>IF($A217="","",IF(AND(MONTH(A216)&gt;3,MONTH(A216)&lt;11),(T216+R216+G216)*Summary!$T$8/(1-Summary!$T$8),(T216+R216+G216)*Summary!$U$8/(1-Summary!$U$8)))</f>
        <v/>
      </c>
      <c r="W216" s="63" t="str">
        <f t="shared" si="132"/>
        <v/>
      </c>
      <c r="X216" s="63" t="str">
        <f t="shared" si="133"/>
        <v/>
      </c>
      <c r="Y216" s="43"/>
      <c r="Z216" s="38" t="str">
        <f t="shared" si="134"/>
        <v/>
      </c>
      <c r="AA216" s="38" t="str">
        <f t="shared" si="135"/>
        <v/>
      </c>
      <c r="AB216" s="38" t="e">
        <f t="shared" si="136"/>
        <v>#VALUE!</v>
      </c>
      <c r="AC216" s="38" t="str">
        <f t="shared" si="137"/>
        <v/>
      </c>
      <c r="AD216" s="38" t="str">
        <f t="shared" si="137"/>
        <v/>
      </c>
      <c r="AE216" s="38" t="e">
        <f t="shared" si="138"/>
        <v>#VALUE!</v>
      </c>
      <c r="AF216" s="237" t="e">
        <f>((Summary!$N$8*(AA216*AD216)*(A216-$D$3))+(Summary!$M$8*Z216*AC216*(AJ216-EOMONTH(EDATE(A216,-1),0))))/(AK216*AB216*AE216)</f>
        <v>#VALUE!</v>
      </c>
      <c r="AG216" s="88" t="str">
        <f>IF($A217="","",Summary!$Q$8)</f>
        <v/>
      </c>
      <c r="AH216" s="88" t="str">
        <f>IF($A217="","",IF(Summary!$R$8="Y",(VLOOKUP($A216,Summary!$AD$6:$AF$9,3)+'Escalating commodity'!D229),'Escalating commodity'!D229))</f>
        <v/>
      </c>
      <c r="AI216" s="88" t="str">
        <f t="shared" si="153"/>
        <v/>
      </c>
      <c r="AJ216" s="236" t="e">
        <f t="shared" si="139"/>
        <v>#VALUE!</v>
      </c>
      <c r="AK216" s="58" t="str">
        <f t="shared" si="140"/>
        <v/>
      </c>
      <c r="AL216" s="26" t="str">
        <f>IF($A217="","",_xll.SPRDOPT(P216,X216,AI216,0,AB216,AE216,AF216,AK216,$AJ$2,0))</f>
        <v/>
      </c>
      <c r="AM216" s="89" t="str">
        <f t="shared" si="141"/>
        <v/>
      </c>
      <c r="AN216" s="89" t="str">
        <f t="shared" si="142"/>
        <v/>
      </c>
      <c r="AO216" s="3" t="str">
        <f t="shared" si="143"/>
        <v/>
      </c>
      <c r="AP216" s="33" t="str">
        <f t="shared" si="144"/>
        <v/>
      </c>
      <c r="AQ216" s="58" t="str">
        <f t="shared" si="145"/>
        <v/>
      </c>
      <c r="AR216" s="38">
        <f>'ANR OK vs ML7'!AR216</f>
        <v>0.1</v>
      </c>
      <c r="AS216" s="35" t="str">
        <f t="shared" si="146"/>
        <v/>
      </c>
      <c r="AT216" s="3" t="str">
        <f t="shared" si="147"/>
        <v/>
      </c>
      <c r="AU216" s="3" t="str">
        <f t="shared" si="148"/>
        <v/>
      </c>
      <c r="AW216" s="32" t="str">
        <f t="shared" si="149"/>
        <v/>
      </c>
      <c r="AX216" s="32" t="str">
        <f t="shared" si="150"/>
        <v/>
      </c>
      <c r="AY216" s="32" t="str">
        <f t="shared" si="151"/>
        <v/>
      </c>
      <c r="BA216" s="32" t="str">
        <f>IF($A217="","",F216*Summary!$Q$8)</f>
        <v/>
      </c>
    </row>
    <row r="217" spans="1:53" ht="12" customHeight="1">
      <c r="A217" s="67" t="str">
        <f t="shared" si="152"/>
        <v/>
      </c>
      <c r="B217" s="69">
        <f t="shared" si="154"/>
        <v>0</v>
      </c>
      <c r="C217" s="71"/>
      <c r="D217" s="69" t="str">
        <f t="shared" si="117"/>
        <v/>
      </c>
      <c r="E217" s="70" t="str">
        <f t="shared" si="118"/>
        <v/>
      </c>
      <c r="F217" s="70" t="str">
        <f t="shared" si="119"/>
        <v/>
      </c>
      <c r="G217" s="63" t="str">
        <f t="shared" si="120"/>
        <v/>
      </c>
      <c r="H217" s="64" t="str">
        <f t="shared" si="121"/>
        <v/>
      </c>
      <c r="I217" s="43"/>
      <c r="J217" s="63" t="str">
        <f t="shared" si="122"/>
        <v/>
      </c>
      <c r="K217" s="64" t="str">
        <f t="shared" si="123"/>
        <v/>
      </c>
      <c r="L217" s="63" t="str">
        <f t="shared" si="124"/>
        <v/>
      </c>
      <c r="M217" s="64" t="str">
        <f t="shared" si="125"/>
        <v/>
      </c>
      <c r="N217" s="65"/>
      <c r="O217" s="63" t="str">
        <f t="shared" si="126"/>
        <v/>
      </c>
      <c r="P217" s="63" t="str">
        <f t="shared" si="127"/>
        <v/>
      </c>
      <c r="Q217" s="66"/>
      <c r="R217" s="63" t="str">
        <f t="shared" si="128"/>
        <v/>
      </c>
      <c r="S217" s="64" t="str">
        <f t="shared" si="129"/>
        <v/>
      </c>
      <c r="T217" s="63" t="str">
        <f t="shared" si="130"/>
        <v/>
      </c>
      <c r="U217" s="64" t="str">
        <f t="shared" si="131"/>
        <v/>
      </c>
      <c r="V217" s="207" t="str">
        <f>IF($A218="","",IF(AND(MONTH(A217)&gt;3,MONTH(A217)&lt;11),(T217+R217+G217)*Summary!$T$8/(1-Summary!$T$8),(T217+R217+G217)*Summary!$U$8/(1-Summary!$U$8)))</f>
        <v/>
      </c>
      <c r="W217" s="63" t="str">
        <f t="shared" si="132"/>
        <v/>
      </c>
      <c r="X217" s="63" t="str">
        <f t="shared" si="133"/>
        <v/>
      </c>
      <c r="Y217" s="43"/>
      <c r="Z217" s="38" t="str">
        <f t="shared" si="134"/>
        <v/>
      </c>
      <c r="AA217" s="38" t="str">
        <f t="shared" si="135"/>
        <v/>
      </c>
      <c r="AB217" s="38" t="e">
        <f t="shared" si="136"/>
        <v>#VALUE!</v>
      </c>
      <c r="AC217" s="38" t="str">
        <f t="shared" si="137"/>
        <v/>
      </c>
      <c r="AD217" s="38" t="str">
        <f t="shared" si="137"/>
        <v/>
      </c>
      <c r="AE217" s="38" t="e">
        <f t="shared" si="138"/>
        <v>#VALUE!</v>
      </c>
      <c r="AF217" s="237" t="e">
        <f>((Summary!$N$8*(AA217*AD217)*(A217-$D$3))+(Summary!$M$8*Z217*AC217*(AJ217-EOMONTH(EDATE(A217,-1),0))))/(AK217*AB217*AE217)</f>
        <v>#VALUE!</v>
      </c>
      <c r="AG217" s="88" t="str">
        <f>IF($A218="","",Summary!$Q$8)</f>
        <v/>
      </c>
      <c r="AH217" s="88" t="str">
        <f>IF($A218="","",IF(Summary!$R$8="Y",(VLOOKUP($A217,Summary!$AD$6:$AF$9,3)+'Escalating commodity'!D230),'Escalating commodity'!D230))</f>
        <v/>
      </c>
      <c r="AI217" s="88" t="str">
        <f t="shared" si="153"/>
        <v/>
      </c>
      <c r="AJ217" s="236" t="e">
        <f t="shared" si="139"/>
        <v>#VALUE!</v>
      </c>
      <c r="AK217" s="58" t="str">
        <f t="shared" si="140"/>
        <v/>
      </c>
      <c r="AL217" s="26" t="str">
        <f>IF($A218="","",_xll.SPRDOPT(P217,X217,AI217,0,AB217,AE217,AF217,AK217,$AJ$2,0))</f>
        <v/>
      </c>
      <c r="AM217" s="89" t="str">
        <f t="shared" si="141"/>
        <v/>
      </c>
      <c r="AN217" s="89" t="str">
        <f t="shared" si="142"/>
        <v/>
      </c>
      <c r="AO217" s="3" t="str">
        <f t="shared" si="143"/>
        <v/>
      </c>
      <c r="AP217" s="33" t="str">
        <f t="shared" si="144"/>
        <v/>
      </c>
      <c r="AQ217" s="58" t="str">
        <f t="shared" si="145"/>
        <v/>
      </c>
      <c r="AR217" s="38">
        <f>'ANR OK vs ML7'!AR217</f>
        <v>0.1</v>
      </c>
      <c r="AS217" s="35" t="str">
        <f t="shared" si="146"/>
        <v/>
      </c>
      <c r="AT217" s="3" t="str">
        <f t="shared" si="147"/>
        <v/>
      </c>
      <c r="AU217" s="3" t="str">
        <f t="shared" si="148"/>
        <v/>
      </c>
      <c r="AW217" s="32" t="str">
        <f t="shared" si="149"/>
        <v/>
      </c>
      <c r="AX217" s="32" t="str">
        <f t="shared" si="150"/>
        <v/>
      </c>
      <c r="AY217" s="32" t="str">
        <f t="shared" si="151"/>
        <v/>
      </c>
      <c r="BA217" s="32" t="str">
        <f>IF($A218="","",F217*Summary!$Q$8)</f>
        <v/>
      </c>
    </row>
    <row r="218" spans="1:53" ht="12" customHeight="1">
      <c r="A218" s="67" t="str">
        <f t="shared" si="152"/>
        <v/>
      </c>
      <c r="B218" s="69">
        <f t="shared" si="154"/>
        <v>0</v>
      </c>
      <c r="C218" s="71"/>
      <c r="D218" s="69" t="str">
        <f t="shared" si="117"/>
        <v/>
      </c>
      <c r="E218" s="70" t="str">
        <f t="shared" si="118"/>
        <v/>
      </c>
      <c r="F218" s="70" t="str">
        <f t="shared" si="119"/>
        <v/>
      </c>
      <c r="G218" s="63" t="str">
        <f t="shared" si="120"/>
        <v/>
      </c>
      <c r="H218" s="64" t="str">
        <f t="shared" si="121"/>
        <v/>
      </c>
      <c r="I218" s="43"/>
      <c r="J218" s="63" t="str">
        <f t="shared" si="122"/>
        <v/>
      </c>
      <c r="K218" s="64" t="str">
        <f t="shared" si="123"/>
        <v/>
      </c>
      <c r="L218" s="63" t="str">
        <f t="shared" si="124"/>
        <v/>
      </c>
      <c r="M218" s="64" t="str">
        <f t="shared" si="125"/>
        <v/>
      </c>
      <c r="N218" s="65"/>
      <c r="O218" s="63" t="str">
        <f t="shared" si="126"/>
        <v/>
      </c>
      <c r="P218" s="63" t="str">
        <f t="shared" si="127"/>
        <v/>
      </c>
      <c r="Q218" s="66"/>
      <c r="R218" s="63" t="str">
        <f t="shared" si="128"/>
        <v/>
      </c>
      <c r="S218" s="64" t="str">
        <f t="shared" si="129"/>
        <v/>
      </c>
      <c r="T218" s="63" t="str">
        <f t="shared" si="130"/>
        <v/>
      </c>
      <c r="U218" s="64" t="str">
        <f t="shared" si="131"/>
        <v/>
      </c>
      <c r="V218" s="207" t="str">
        <f>IF($A219="","",IF(AND(MONTH(A218)&gt;3,MONTH(A218)&lt;11),(T218+R218+G218)*Summary!$T$8/(1-Summary!$T$8),(T218+R218+G218)*Summary!$U$8/(1-Summary!$U$8)))</f>
        <v/>
      </c>
      <c r="W218" s="63" t="str">
        <f t="shared" si="132"/>
        <v/>
      </c>
      <c r="X218" s="63" t="str">
        <f t="shared" si="133"/>
        <v/>
      </c>
      <c r="Y218" s="43"/>
      <c r="Z218" s="38" t="str">
        <f t="shared" si="134"/>
        <v/>
      </c>
      <c r="AA218" s="38" t="str">
        <f t="shared" si="135"/>
        <v/>
      </c>
      <c r="AB218" s="38" t="e">
        <f t="shared" si="136"/>
        <v>#VALUE!</v>
      </c>
      <c r="AC218" s="38" t="str">
        <f t="shared" si="137"/>
        <v/>
      </c>
      <c r="AD218" s="38" t="str">
        <f t="shared" si="137"/>
        <v/>
      </c>
      <c r="AE218" s="38" t="e">
        <f t="shared" si="138"/>
        <v>#VALUE!</v>
      </c>
      <c r="AF218" s="237" t="e">
        <f>((Summary!$N$8*(AA218*AD218)*(A218-$D$3))+(Summary!$M$8*Z218*AC218*(AJ218-EOMONTH(EDATE(A218,-1),0))))/(AK218*AB218*AE218)</f>
        <v>#VALUE!</v>
      </c>
      <c r="AG218" s="88" t="str">
        <f>IF($A219="","",Summary!$Q$8)</f>
        <v/>
      </c>
      <c r="AH218" s="88" t="str">
        <f>IF($A219="","",IF(Summary!$R$8="Y",(VLOOKUP($A218,Summary!$AD$6:$AF$9,3)+'Escalating commodity'!D231),'Escalating commodity'!D231))</f>
        <v/>
      </c>
      <c r="AI218" s="88" t="str">
        <f t="shared" si="153"/>
        <v/>
      </c>
      <c r="AJ218" s="236" t="e">
        <f t="shared" si="139"/>
        <v>#VALUE!</v>
      </c>
      <c r="AK218" s="58" t="str">
        <f t="shared" si="140"/>
        <v/>
      </c>
      <c r="AL218" s="26" t="str">
        <f>IF($A219="","",_xll.SPRDOPT(P218,X218,AI218,0,AB218,AE218,AF218,AK218,$AJ$2,0))</f>
        <v/>
      </c>
      <c r="AM218" s="89" t="str">
        <f t="shared" si="141"/>
        <v/>
      </c>
      <c r="AN218" s="89" t="str">
        <f t="shared" si="142"/>
        <v/>
      </c>
      <c r="AO218" s="3" t="str">
        <f t="shared" si="143"/>
        <v/>
      </c>
      <c r="AP218" s="33" t="str">
        <f t="shared" si="144"/>
        <v/>
      </c>
      <c r="AQ218" s="58" t="str">
        <f t="shared" si="145"/>
        <v/>
      </c>
      <c r="AR218" s="38">
        <f>'ANR OK vs ML7'!AR218</f>
        <v>0.1</v>
      </c>
      <c r="AS218" s="35" t="str">
        <f t="shared" si="146"/>
        <v/>
      </c>
      <c r="AT218" s="3" t="str">
        <f t="shared" si="147"/>
        <v/>
      </c>
      <c r="AU218" s="3" t="str">
        <f t="shared" si="148"/>
        <v/>
      </c>
      <c r="AW218" s="32" t="str">
        <f t="shared" si="149"/>
        <v/>
      </c>
      <c r="AX218" s="32" t="str">
        <f t="shared" si="150"/>
        <v/>
      </c>
      <c r="AY218" s="32" t="str">
        <f t="shared" si="151"/>
        <v/>
      </c>
      <c r="BA218" s="32" t="str">
        <f>IF($A219="","",F218*Summary!$Q$8)</f>
        <v/>
      </c>
    </row>
    <row r="219" spans="1:53" ht="12" customHeight="1">
      <c r="A219" s="67" t="str">
        <f t="shared" si="152"/>
        <v/>
      </c>
      <c r="B219" s="69">
        <f t="shared" si="154"/>
        <v>0</v>
      </c>
      <c r="C219" s="71"/>
      <c r="D219" s="69" t="str">
        <f t="shared" si="117"/>
        <v/>
      </c>
      <c r="E219" s="70" t="str">
        <f t="shared" si="118"/>
        <v/>
      </c>
      <c r="F219" s="70" t="str">
        <f t="shared" si="119"/>
        <v/>
      </c>
      <c r="G219" s="63" t="str">
        <f t="shared" si="120"/>
        <v/>
      </c>
      <c r="H219" s="64" t="str">
        <f t="shared" si="121"/>
        <v/>
      </c>
      <c r="I219" s="43"/>
      <c r="J219" s="63" t="str">
        <f t="shared" si="122"/>
        <v/>
      </c>
      <c r="K219" s="64" t="str">
        <f t="shared" si="123"/>
        <v/>
      </c>
      <c r="L219" s="63" t="str">
        <f t="shared" si="124"/>
        <v/>
      </c>
      <c r="M219" s="64" t="str">
        <f t="shared" si="125"/>
        <v/>
      </c>
      <c r="N219" s="65"/>
      <c r="O219" s="63" t="str">
        <f t="shared" si="126"/>
        <v/>
      </c>
      <c r="P219" s="63" t="str">
        <f t="shared" si="127"/>
        <v/>
      </c>
      <c r="Q219" s="66"/>
      <c r="R219" s="63" t="str">
        <f t="shared" si="128"/>
        <v/>
      </c>
      <c r="S219" s="64" t="str">
        <f t="shared" si="129"/>
        <v/>
      </c>
      <c r="T219" s="63" t="str">
        <f t="shared" si="130"/>
        <v/>
      </c>
      <c r="U219" s="64" t="str">
        <f t="shared" si="131"/>
        <v/>
      </c>
      <c r="V219" s="207" t="str">
        <f>IF($A220="","",IF(AND(MONTH(A219)&gt;3,MONTH(A219)&lt;11),(T219+R219+G219)*Summary!$T$8/(1-Summary!$T$8),(T219+R219+G219)*Summary!$U$8/(1-Summary!$U$8)))</f>
        <v/>
      </c>
      <c r="W219" s="63" t="str">
        <f t="shared" si="132"/>
        <v/>
      </c>
      <c r="X219" s="63" t="str">
        <f t="shared" si="133"/>
        <v/>
      </c>
      <c r="Y219" s="43"/>
      <c r="Z219" s="38" t="str">
        <f t="shared" si="134"/>
        <v/>
      </c>
      <c r="AA219" s="38" t="str">
        <f t="shared" si="135"/>
        <v/>
      </c>
      <c r="AB219" s="38" t="e">
        <f t="shared" si="136"/>
        <v>#VALUE!</v>
      </c>
      <c r="AC219" s="38" t="str">
        <f t="shared" si="137"/>
        <v/>
      </c>
      <c r="AD219" s="38" t="str">
        <f t="shared" si="137"/>
        <v/>
      </c>
      <c r="AE219" s="38" t="e">
        <f t="shared" si="138"/>
        <v>#VALUE!</v>
      </c>
      <c r="AF219" s="237" t="e">
        <f>((Summary!$N$8*(AA219*AD219)*(A219-$D$3))+(Summary!$M$8*Z219*AC219*(AJ219-EOMONTH(EDATE(A219,-1),0))))/(AK219*AB219*AE219)</f>
        <v>#VALUE!</v>
      </c>
      <c r="AG219" s="88" t="str">
        <f>IF($A220="","",Summary!$Q$8)</f>
        <v/>
      </c>
      <c r="AH219" s="88" t="str">
        <f>IF($A220="","",IF(Summary!$R$8="Y",(VLOOKUP($A219,Summary!$AD$6:$AF$9,3)+'Escalating commodity'!D232),'Escalating commodity'!D232))</f>
        <v/>
      </c>
      <c r="AI219" s="88" t="str">
        <f t="shared" si="153"/>
        <v/>
      </c>
      <c r="AJ219" s="236" t="e">
        <f t="shared" si="139"/>
        <v>#VALUE!</v>
      </c>
      <c r="AK219" s="58" t="str">
        <f t="shared" si="140"/>
        <v/>
      </c>
      <c r="AL219" s="26" t="str">
        <f>IF($A220="","",_xll.SPRDOPT(P219,X219,AI219,0,AB219,AE219,AF219,AK219,$AJ$2,0))</f>
        <v/>
      </c>
      <c r="AM219" s="89" t="str">
        <f t="shared" si="141"/>
        <v/>
      </c>
      <c r="AN219" s="89" t="str">
        <f t="shared" si="142"/>
        <v/>
      </c>
      <c r="AO219" s="3" t="str">
        <f t="shared" si="143"/>
        <v/>
      </c>
      <c r="AP219" s="33" t="str">
        <f t="shared" si="144"/>
        <v/>
      </c>
      <c r="AQ219" s="58" t="str">
        <f t="shared" si="145"/>
        <v/>
      </c>
      <c r="AR219" s="38">
        <f>'ANR OK vs ML7'!AR219</f>
        <v>0.1</v>
      </c>
      <c r="AS219" s="35" t="str">
        <f t="shared" si="146"/>
        <v/>
      </c>
      <c r="AT219" s="3" t="str">
        <f t="shared" si="147"/>
        <v/>
      </c>
      <c r="AU219" s="3" t="str">
        <f t="shared" si="148"/>
        <v/>
      </c>
      <c r="AW219" s="32" t="str">
        <f t="shared" si="149"/>
        <v/>
      </c>
      <c r="AX219" s="32" t="str">
        <f t="shared" si="150"/>
        <v/>
      </c>
      <c r="AY219" s="32" t="str">
        <f t="shared" si="151"/>
        <v/>
      </c>
      <c r="BA219" s="32" t="str">
        <f>IF($A220="","",F219*Summary!$Q$8)</f>
        <v/>
      </c>
    </row>
    <row r="220" spans="1:53" ht="12" customHeight="1">
      <c r="A220" s="67" t="str">
        <f t="shared" si="152"/>
        <v/>
      </c>
      <c r="B220" s="69">
        <f t="shared" si="154"/>
        <v>0</v>
      </c>
      <c r="C220" s="71"/>
      <c r="D220" s="69" t="str">
        <f t="shared" si="117"/>
        <v/>
      </c>
      <c r="E220" s="70" t="str">
        <f t="shared" si="118"/>
        <v/>
      </c>
      <c r="F220" s="70" t="str">
        <f t="shared" si="119"/>
        <v/>
      </c>
      <c r="G220" s="63" t="str">
        <f t="shared" si="120"/>
        <v/>
      </c>
      <c r="H220" s="64" t="str">
        <f t="shared" si="121"/>
        <v/>
      </c>
      <c r="I220" s="43"/>
      <c r="J220" s="63" t="str">
        <f t="shared" si="122"/>
        <v/>
      </c>
      <c r="K220" s="64" t="str">
        <f t="shared" si="123"/>
        <v/>
      </c>
      <c r="L220" s="63" t="str">
        <f t="shared" si="124"/>
        <v/>
      </c>
      <c r="M220" s="64" t="str">
        <f t="shared" si="125"/>
        <v/>
      </c>
      <c r="N220" s="65"/>
      <c r="O220" s="63" t="str">
        <f t="shared" si="126"/>
        <v/>
      </c>
      <c r="P220" s="63" t="str">
        <f t="shared" si="127"/>
        <v/>
      </c>
      <c r="Q220" s="66"/>
      <c r="R220" s="63" t="str">
        <f t="shared" si="128"/>
        <v/>
      </c>
      <c r="S220" s="64" t="str">
        <f t="shared" si="129"/>
        <v/>
      </c>
      <c r="T220" s="63" t="str">
        <f t="shared" si="130"/>
        <v/>
      </c>
      <c r="U220" s="64" t="str">
        <f t="shared" si="131"/>
        <v/>
      </c>
      <c r="V220" s="207" t="str">
        <f>IF($A221="","",IF(AND(MONTH(A220)&gt;3,MONTH(A220)&lt;11),(T220+R220+G220)*Summary!$T$8/(1-Summary!$T$8),(T220+R220+G220)*Summary!$U$8/(1-Summary!$U$8)))</f>
        <v/>
      </c>
      <c r="W220" s="63" t="str">
        <f t="shared" si="132"/>
        <v/>
      </c>
      <c r="X220" s="63" t="str">
        <f t="shared" si="133"/>
        <v/>
      </c>
      <c r="Y220" s="43"/>
      <c r="Z220" s="38" t="str">
        <f t="shared" si="134"/>
        <v/>
      </c>
      <c r="AA220" s="38" t="str">
        <f t="shared" si="135"/>
        <v/>
      </c>
      <c r="AB220" s="38" t="e">
        <f t="shared" si="136"/>
        <v>#VALUE!</v>
      </c>
      <c r="AC220" s="38" t="str">
        <f t="shared" si="137"/>
        <v/>
      </c>
      <c r="AD220" s="38" t="str">
        <f t="shared" si="137"/>
        <v/>
      </c>
      <c r="AE220" s="38" t="e">
        <f t="shared" si="138"/>
        <v>#VALUE!</v>
      </c>
      <c r="AF220" s="237" t="e">
        <f>((Summary!$N$8*(AA220*AD220)*(A220-$D$3))+(Summary!$M$8*Z220*AC220*(AJ220-EOMONTH(EDATE(A220,-1),0))))/(AK220*AB220*AE220)</f>
        <v>#VALUE!</v>
      </c>
      <c r="AG220" s="88" t="str">
        <f>IF($A221="","",Summary!$Q$8)</f>
        <v/>
      </c>
      <c r="AH220" s="88" t="str">
        <f>IF($A221="","",IF(Summary!$R$8="Y",(VLOOKUP($A220,Summary!$AD$6:$AF$9,3)+'Escalating commodity'!D233),'Escalating commodity'!D233))</f>
        <v/>
      </c>
      <c r="AI220" s="88" t="str">
        <f t="shared" si="153"/>
        <v/>
      </c>
      <c r="AJ220" s="236" t="e">
        <f t="shared" si="139"/>
        <v>#VALUE!</v>
      </c>
      <c r="AK220" s="58" t="str">
        <f t="shared" si="140"/>
        <v/>
      </c>
      <c r="AL220" s="26" t="str">
        <f>IF($A221="","",_xll.SPRDOPT(P220,X220,AI220,0,AB220,AE220,AF220,AK220,$AJ$2,0))</f>
        <v/>
      </c>
      <c r="AM220" s="89" t="str">
        <f t="shared" si="141"/>
        <v/>
      </c>
      <c r="AN220" s="89" t="str">
        <f t="shared" si="142"/>
        <v/>
      </c>
      <c r="AO220" s="3" t="str">
        <f t="shared" si="143"/>
        <v/>
      </c>
      <c r="AP220" s="33" t="str">
        <f t="shared" si="144"/>
        <v/>
      </c>
      <c r="AQ220" s="58" t="str">
        <f t="shared" si="145"/>
        <v/>
      </c>
      <c r="AR220" s="38">
        <f>'ANR OK vs ML7'!AR220</f>
        <v>0.1</v>
      </c>
      <c r="AS220" s="35" t="str">
        <f t="shared" si="146"/>
        <v/>
      </c>
      <c r="AT220" s="3" t="str">
        <f t="shared" si="147"/>
        <v/>
      </c>
      <c r="AU220" s="3" t="str">
        <f t="shared" si="148"/>
        <v/>
      </c>
      <c r="AW220" s="32" t="str">
        <f t="shared" si="149"/>
        <v/>
      </c>
      <c r="AX220" s="32" t="str">
        <f t="shared" si="150"/>
        <v/>
      </c>
      <c r="AY220" s="32" t="str">
        <f t="shared" si="151"/>
        <v/>
      </c>
      <c r="BA220" s="32" t="str">
        <f>IF($A221="","",F220*Summary!$Q$8)</f>
        <v/>
      </c>
    </row>
    <row r="221" spans="1:53" ht="12" customHeight="1">
      <c r="A221" s="67" t="str">
        <f t="shared" si="152"/>
        <v/>
      </c>
      <c r="B221" s="69">
        <f t="shared" si="154"/>
        <v>0</v>
      </c>
      <c r="C221" s="71"/>
      <c r="D221" s="69" t="str">
        <f t="shared" si="117"/>
        <v/>
      </c>
      <c r="E221" s="70" t="str">
        <f t="shared" si="118"/>
        <v/>
      </c>
      <c r="F221" s="70" t="str">
        <f t="shared" si="119"/>
        <v/>
      </c>
      <c r="G221" s="63" t="str">
        <f t="shared" si="120"/>
        <v/>
      </c>
      <c r="H221" s="64" t="str">
        <f t="shared" si="121"/>
        <v/>
      </c>
      <c r="I221" s="43"/>
      <c r="J221" s="63" t="str">
        <f t="shared" si="122"/>
        <v/>
      </c>
      <c r="K221" s="64" t="str">
        <f t="shared" si="123"/>
        <v/>
      </c>
      <c r="L221" s="63" t="str">
        <f t="shared" si="124"/>
        <v/>
      </c>
      <c r="M221" s="64" t="str">
        <f t="shared" si="125"/>
        <v/>
      </c>
      <c r="N221" s="65"/>
      <c r="O221" s="63" t="str">
        <f t="shared" si="126"/>
        <v/>
      </c>
      <c r="P221" s="63" t="str">
        <f t="shared" si="127"/>
        <v/>
      </c>
      <c r="Q221" s="66"/>
      <c r="R221" s="63" t="str">
        <f t="shared" si="128"/>
        <v/>
      </c>
      <c r="S221" s="64" t="str">
        <f t="shared" si="129"/>
        <v/>
      </c>
      <c r="T221" s="63" t="str">
        <f t="shared" si="130"/>
        <v/>
      </c>
      <c r="U221" s="64" t="str">
        <f t="shared" si="131"/>
        <v/>
      </c>
      <c r="V221" s="207" t="str">
        <f>IF($A222="","",IF(AND(MONTH(A221)&gt;3,MONTH(A221)&lt;11),(T221+R221+G221)*Summary!$T$8/(1-Summary!$T$8),(T221+R221+G221)*Summary!$U$8/(1-Summary!$U$8)))</f>
        <v/>
      </c>
      <c r="W221" s="63" t="str">
        <f t="shared" si="132"/>
        <v/>
      </c>
      <c r="X221" s="63" t="str">
        <f t="shared" si="133"/>
        <v/>
      </c>
      <c r="Y221" s="43"/>
      <c r="Z221" s="38" t="str">
        <f t="shared" si="134"/>
        <v/>
      </c>
      <c r="AA221" s="38" t="str">
        <f t="shared" si="135"/>
        <v/>
      </c>
      <c r="AB221" s="38" t="e">
        <f t="shared" si="136"/>
        <v>#VALUE!</v>
      </c>
      <c r="AC221" s="38" t="str">
        <f t="shared" si="137"/>
        <v/>
      </c>
      <c r="AD221" s="38" t="str">
        <f t="shared" si="137"/>
        <v/>
      </c>
      <c r="AE221" s="38" t="e">
        <f t="shared" si="138"/>
        <v>#VALUE!</v>
      </c>
      <c r="AF221" s="237" t="e">
        <f>((Summary!$N$8*(AA221*AD221)*(A221-$D$3))+(Summary!$M$8*Z221*AC221*(AJ221-EOMONTH(EDATE(A221,-1),0))))/(AK221*AB221*AE221)</f>
        <v>#VALUE!</v>
      </c>
      <c r="AG221" s="88" t="str">
        <f>IF($A222="","",Summary!$Q$8)</f>
        <v/>
      </c>
      <c r="AH221" s="88" t="str">
        <f>IF($A222="","",IF(Summary!$R$8="Y",(VLOOKUP($A221,Summary!$AD$6:$AF$9,3)+'Escalating commodity'!D234),'Escalating commodity'!D234))</f>
        <v/>
      </c>
      <c r="AI221" s="88" t="str">
        <f t="shared" si="153"/>
        <v/>
      </c>
      <c r="AJ221" s="236" t="e">
        <f t="shared" si="139"/>
        <v>#VALUE!</v>
      </c>
      <c r="AK221" s="58" t="str">
        <f t="shared" si="140"/>
        <v/>
      </c>
      <c r="AL221" s="26" t="str">
        <f>IF($A222="","",_xll.SPRDOPT(P221,X221,AI221,0,AB221,AE221,AF221,AK221,$AJ$2,0))</f>
        <v/>
      </c>
      <c r="AM221" s="89" t="str">
        <f t="shared" si="141"/>
        <v/>
      </c>
      <c r="AN221" s="89" t="str">
        <f t="shared" si="142"/>
        <v/>
      </c>
      <c r="AO221" s="3" t="str">
        <f t="shared" si="143"/>
        <v/>
      </c>
      <c r="AP221" s="33" t="str">
        <f t="shared" si="144"/>
        <v/>
      </c>
      <c r="AQ221" s="58" t="str">
        <f t="shared" si="145"/>
        <v/>
      </c>
      <c r="AR221" s="38">
        <f>'ANR OK vs ML7'!AR221</f>
        <v>0.1</v>
      </c>
      <c r="AS221" s="35" t="str">
        <f t="shared" si="146"/>
        <v/>
      </c>
      <c r="AT221" s="3" t="str">
        <f t="shared" si="147"/>
        <v/>
      </c>
      <c r="AU221" s="3" t="str">
        <f t="shared" si="148"/>
        <v/>
      </c>
      <c r="AW221" s="32" t="str">
        <f t="shared" si="149"/>
        <v/>
      </c>
      <c r="AX221" s="32" t="str">
        <f t="shared" si="150"/>
        <v/>
      </c>
      <c r="AY221" s="32" t="str">
        <f t="shared" si="151"/>
        <v/>
      </c>
      <c r="BA221" s="32" t="str">
        <f>IF($A222="","",F221*Summary!$Q$8)</f>
        <v/>
      </c>
    </row>
    <row r="222" spans="1:53" ht="12" customHeight="1">
      <c r="A222" s="67" t="str">
        <f t="shared" si="152"/>
        <v/>
      </c>
      <c r="B222" s="69">
        <f t="shared" si="154"/>
        <v>0</v>
      </c>
      <c r="C222" s="71"/>
      <c r="D222" s="69" t="str">
        <f t="shared" si="117"/>
        <v/>
      </c>
      <c r="E222" s="70" t="str">
        <f t="shared" si="118"/>
        <v/>
      </c>
      <c r="F222" s="70" t="str">
        <f t="shared" si="119"/>
        <v/>
      </c>
      <c r="G222" s="63" t="str">
        <f t="shared" si="120"/>
        <v/>
      </c>
      <c r="H222" s="64" t="str">
        <f t="shared" si="121"/>
        <v/>
      </c>
      <c r="I222" s="43"/>
      <c r="J222" s="63" t="str">
        <f t="shared" si="122"/>
        <v/>
      </c>
      <c r="K222" s="64" t="str">
        <f t="shared" si="123"/>
        <v/>
      </c>
      <c r="L222" s="63" t="str">
        <f t="shared" si="124"/>
        <v/>
      </c>
      <c r="M222" s="64" t="str">
        <f t="shared" si="125"/>
        <v/>
      </c>
      <c r="N222" s="65"/>
      <c r="O222" s="63" t="str">
        <f t="shared" si="126"/>
        <v/>
      </c>
      <c r="P222" s="63" t="str">
        <f t="shared" si="127"/>
        <v/>
      </c>
      <c r="Q222" s="66"/>
      <c r="R222" s="63" t="str">
        <f t="shared" si="128"/>
        <v/>
      </c>
      <c r="S222" s="64" t="str">
        <f t="shared" si="129"/>
        <v/>
      </c>
      <c r="T222" s="63" t="str">
        <f t="shared" si="130"/>
        <v/>
      </c>
      <c r="U222" s="64" t="str">
        <f t="shared" si="131"/>
        <v/>
      </c>
      <c r="V222" s="207" t="str">
        <f>IF($A223="","",IF(AND(MONTH(A222)&gt;3,MONTH(A222)&lt;11),(T222+R222+G222)*Summary!$T$8/(1-Summary!$T$8),(T222+R222+G222)*Summary!$U$8/(1-Summary!$U$8)))</f>
        <v/>
      </c>
      <c r="W222" s="63" t="str">
        <f t="shared" si="132"/>
        <v/>
      </c>
      <c r="X222" s="63" t="str">
        <f t="shared" si="133"/>
        <v/>
      </c>
      <c r="Y222" s="43"/>
      <c r="Z222" s="38" t="str">
        <f t="shared" si="134"/>
        <v/>
      </c>
      <c r="AA222" s="38" t="str">
        <f t="shared" si="135"/>
        <v/>
      </c>
      <c r="AB222" s="38" t="e">
        <f t="shared" si="136"/>
        <v>#VALUE!</v>
      </c>
      <c r="AC222" s="38" t="str">
        <f t="shared" si="137"/>
        <v/>
      </c>
      <c r="AD222" s="38" t="str">
        <f t="shared" si="137"/>
        <v/>
      </c>
      <c r="AE222" s="38" t="e">
        <f t="shared" si="138"/>
        <v>#VALUE!</v>
      </c>
      <c r="AF222" s="237" t="e">
        <f>((Summary!$N$8*(AA222*AD222)*(A222-$D$3))+(Summary!$M$8*Z222*AC222*(AJ222-EOMONTH(EDATE(A222,-1),0))))/(AK222*AB222*AE222)</f>
        <v>#VALUE!</v>
      </c>
      <c r="AG222" s="88" t="str">
        <f>IF($A223="","",Summary!$Q$8)</f>
        <v/>
      </c>
      <c r="AH222" s="88" t="str">
        <f>IF($A223="","",IF(Summary!$R$8="Y",(VLOOKUP($A222,Summary!$AD$6:$AF$9,3)+'Escalating commodity'!D235),'Escalating commodity'!D235))</f>
        <v/>
      </c>
      <c r="AI222" s="88" t="str">
        <f t="shared" si="153"/>
        <v/>
      </c>
      <c r="AJ222" s="236" t="e">
        <f t="shared" si="139"/>
        <v>#VALUE!</v>
      </c>
      <c r="AK222" s="58" t="str">
        <f t="shared" si="140"/>
        <v/>
      </c>
      <c r="AL222" s="26" t="str">
        <f>IF($A223="","",_xll.SPRDOPT(P222,X222,AI222,0,AB222,AE222,AF222,AK222,$AJ$2,0))</f>
        <v/>
      </c>
      <c r="AM222" s="89" t="str">
        <f t="shared" si="141"/>
        <v/>
      </c>
      <c r="AN222" s="89" t="str">
        <f t="shared" si="142"/>
        <v/>
      </c>
      <c r="AO222" s="3" t="str">
        <f t="shared" si="143"/>
        <v/>
      </c>
      <c r="AP222" s="33" t="str">
        <f t="shared" si="144"/>
        <v/>
      </c>
      <c r="AQ222" s="58" t="str">
        <f t="shared" si="145"/>
        <v/>
      </c>
      <c r="AR222" s="38">
        <f>'ANR OK vs ML7'!AR222</f>
        <v>0.1</v>
      </c>
      <c r="AS222" s="35" t="str">
        <f t="shared" si="146"/>
        <v/>
      </c>
      <c r="AT222" s="3" t="str">
        <f t="shared" si="147"/>
        <v/>
      </c>
      <c r="AU222" s="3" t="str">
        <f t="shared" si="148"/>
        <v/>
      </c>
      <c r="AW222" s="32" t="str">
        <f t="shared" si="149"/>
        <v/>
      </c>
      <c r="AX222" s="32" t="str">
        <f t="shared" si="150"/>
        <v/>
      </c>
      <c r="AY222" s="32" t="str">
        <f t="shared" si="151"/>
        <v/>
      </c>
      <c r="BA222" s="32" t="str">
        <f>IF($A223="","",F222*Summary!$Q$8)</f>
        <v/>
      </c>
    </row>
    <row r="223" spans="1:53" ht="12" customHeight="1">
      <c r="A223" s="67" t="str">
        <f t="shared" si="152"/>
        <v/>
      </c>
      <c r="B223" s="69">
        <f t="shared" si="154"/>
        <v>0</v>
      </c>
      <c r="C223" s="71"/>
      <c r="D223" s="69" t="str">
        <f t="shared" si="117"/>
        <v/>
      </c>
      <c r="E223" s="70" t="str">
        <f t="shared" si="118"/>
        <v/>
      </c>
      <c r="F223" s="70" t="str">
        <f t="shared" si="119"/>
        <v/>
      </c>
      <c r="G223" s="63" t="str">
        <f t="shared" si="120"/>
        <v/>
      </c>
      <c r="H223" s="64" t="str">
        <f t="shared" si="121"/>
        <v/>
      </c>
      <c r="I223" s="43"/>
      <c r="J223" s="63" t="str">
        <f t="shared" si="122"/>
        <v/>
      </c>
      <c r="K223" s="64" t="str">
        <f t="shared" si="123"/>
        <v/>
      </c>
      <c r="L223" s="63" t="str">
        <f t="shared" si="124"/>
        <v/>
      </c>
      <c r="M223" s="64" t="str">
        <f t="shared" si="125"/>
        <v/>
      </c>
      <c r="N223" s="65"/>
      <c r="O223" s="63" t="str">
        <f t="shared" si="126"/>
        <v/>
      </c>
      <c r="P223" s="63" t="str">
        <f t="shared" si="127"/>
        <v/>
      </c>
      <c r="Q223" s="66"/>
      <c r="R223" s="63" t="str">
        <f t="shared" si="128"/>
        <v/>
      </c>
      <c r="S223" s="64" t="str">
        <f t="shared" si="129"/>
        <v/>
      </c>
      <c r="T223" s="63" t="str">
        <f t="shared" si="130"/>
        <v/>
      </c>
      <c r="U223" s="64" t="str">
        <f t="shared" si="131"/>
        <v/>
      </c>
      <c r="V223" s="207" t="str">
        <f>IF($A224="","",IF(AND(MONTH(A223)&gt;3,MONTH(A223)&lt;11),(T223+R223+G223)*Summary!$T$8/(1-Summary!$T$8),(T223+R223+G223)*Summary!$U$8/(1-Summary!$U$8)))</f>
        <v/>
      </c>
      <c r="W223" s="63" t="str">
        <f t="shared" si="132"/>
        <v/>
      </c>
      <c r="X223" s="63" t="str">
        <f t="shared" si="133"/>
        <v/>
      </c>
      <c r="Y223" s="43"/>
      <c r="Z223" s="38" t="str">
        <f t="shared" si="134"/>
        <v/>
      </c>
      <c r="AA223" s="38" t="str">
        <f t="shared" si="135"/>
        <v/>
      </c>
      <c r="AB223" s="38" t="e">
        <f t="shared" si="136"/>
        <v>#VALUE!</v>
      </c>
      <c r="AC223" s="38" t="str">
        <f t="shared" si="137"/>
        <v/>
      </c>
      <c r="AD223" s="38" t="str">
        <f t="shared" si="137"/>
        <v/>
      </c>
      <c r="AE223" s="38" t="e">
        <f t="shared" si="138"/>
        <v>#VALUE!</v>
      </c>
      <c r="AF223" s="237" t="e">
        <f>((Summary!$N$8*(AA223*AD223)*(A223-$D$3))+(Summary!$M$8*Z223*AC223*(AJ223-EOMONTH(EDATE(A223,-1),0))))/(AK223*AB223*AE223)</f>
        <v>#VALUE!</v>
      </c>
      <c r="AG223" s="88" t="str">
        <f>IF($A224="","",Summary!$Q$8)</f>
        <v/>
      </c>
      <c r="AH223" s="88" t="str">
        <f>IF($A224="","",IF(Summary!$R$8="Y",(VLOOKUP($A223,Summary!$AD$6:$AF$9,3)+'Escalating commodity'!D236),'Escalating commodity'!D236))</f>
        <v/>
      </c>
      <c r="AI223" s="88" t="str">
        <f t="shared" si="153"/>
        <v/>
      </c>
      <c r="AJ223" s="236" t="e">
        <f t="shared" si="139"/>
        <v>#VALUE!</v>
      </c>
      <c r="AK223" s="58" t="str">
        <f t="shared" si="140"/>
        <v/>
      </c>
      <c r="AL223" s="26" t="str">
        <f>IF($A224="","",_xll.SPRDOPT(P223,X223,AI223,0,AB223,AE223,AF223,AK223,$AJ$2,0))</f>
        <v/>
      </c>
      <c r="AM223" s="89" t="str">
        <f t="shared" si="141"/>
        <v/>
      </c>
      <c r="AN223" s="89" t="str">
        <f t="shared" si="142"/>
        <v/>
      </c>
      <c r="AO223" s="3" t="str">
        <f t="shared" si="143"/>
        <v/>
      </c>
      <c r="AP223" s="33" t="str">
        <f t="shared" si="144"/>
        <v/>
      </c>
      <c r="AQ223" s="58" t="str">
        <f t="shared" si="145"/>
        <v/>
      </c>
      <c r="AR223" s="38">
        <f>'ANR OK vs ML7'!AR223</f>
        <v>0.1</v>
      </c>
      <c r="AS223" s="35" t="str">
        <f t="shared" si="146"/>
        <v/>
      </c>
      <c r="AT223" s="3" t="str">
        <f t="shared" si="147"/>
        <v/>
      </c>
      <c r="AU223" s="3" t="str">
        <f t="shared" si="148"/>
        <v/>
      </c>
      <c r="AW223" s="32" t="str">
        <f t="shared" si="149"/>
        <v/>
      </c>
      <c r="AX223" s="32" t="str">
        <f t="shared" si="150"/>
        <v/>
      </c>
      <c r="AY223" s="32" t="str">
        <f t="shared" si="151"/>
        <v/>
      </c>
      <c r="BA223" s="32" t="str">
        <f>IF($A224="","",F223*Summary!$Q$8)</f>
        <v/>
      </c>
    </row>
    <row r="224" spans="1:53" ht="12" customHeight="1">
      <c r="A224" s="67" t="str">
        <f t="shared" si="152"/>
        <v/>
      </c>
      <c r="B224" s="69">
        <f t="shared" si="154"/>
        <v>0</v>
      </c>
      <c r="C224" s="71"/>
      <c r="D224" s="69" t="str">
        <f t="shared" si="117"/>
        <v/>
      </c>
      <c r="E224" s="70" t="str">
        <f t="shared" si="118"/>
        <v/>
      </c>
      <c r="F224" s="70" t="str">
        <f t="shared" si="119"/>
        <v/>
      </c>
      <c r="G224" s="63" t="str">
        <f t="shared" si="120"/>
        <v/>
      </c>
      <c r="H224" s="64" t="str">
        <f t="shared" si="121"/>
        <v/>
      </c>
      <c r="I224" s="43"/>
      <c r="J224" s="63" t="str">
        <f t="shared" si="122"/>
        <v/>
      </c>
      <c r="K224" s="64" t="str">
        <f t="shared" si="123"/>
        <v/>
      </c>
      <c r="L224" s="63" t="str">
        <f t="shared" si="124"/>
        <v/>
      </c>
      <c r="M224" s="64" t="str">
        <f t="shared" si="125"/>
        <v/>
      </c>
      <c r="N224" s="65"/>
      <c r="O224" s="63" t="str">
        <f t="shared" si="126"/>
        <v/>
      </c>
      <c r="P224" s="63" t="str">
        <f t="shared" si="127"/>
        <v/>
      </c>
      <c r="Q224" s="66"/>
      <c r="R224" s="63" t="str">
        <f t="shared" si="128"/>
        <v/>
      </c>
      <c r="S224" s="64" t="str">
        <f t="shared" si="129"/>
        <v/>
      </c>
      <c r="T224" s="63" t="str">
        <f t="shared" si="130"/>
        <v/>
      </c>
      <c r="U224" s="64" t="str">
        <f t="shared" si="131"/>
        <v/>
      </c>
      <c r="V224" s="207" t="str">
        <f>IF($A225="","",IF(AND(MONTH(A224)&gt;3,MONTH(A224)&lt;11),(T224+R224+G224)*Summary!$T$8/(1-Summary!$T$8),(T224+R224+G224)*Summary!$U$8/(1-Summary!$U$8)))</f>
        <v/>
      </c>
      <c r="W224" s="63" t="str">
        <f t="shared" si="132"/>
        <v/>
      </c>
      <c r="X224" s="63" t="str">
        <f t="shared" si="133"/>
        <v/>
      </c>
      <c r="Y224" s="43"/>
      <c r="Z224" s="38" t="str">
        <f t="shared" si="134"/>
        <v/>
      </c>
      <c r="AA224" s="38" t="str">
        <f t="shared" si="135"/>
        <v/>
      </c>
      <c r="AB224" s="38" t="e">
        <f t="shared" si="136"/>
        <v>#VALUE!</v>
      </c>
      <c r="AC224" s="38" t="str">
        <f t="shared" si="137"/>
        <v/>
      </c>
      <c r="AD224" s="38" t="str">
        <f t="shared" si="137"/>
        <v/>
      </c>
      <c r="AE224" s="38" t="e">
        <f t="shared" si="138"/>
        <v>#VALUE!</v>
      </c>
      <c r="AF224" s="237" t="e">
        <f>((Summary!$N$8*(AA224*AD224)*(A224-$D$3))+(Summary!$M$8*Z224*AC224*(AJ224-EOMONTH(EDATE(A224,-1),0))))/(AK224*AB224*AE224)</f>
        <v>#VALUE!</v>
      </c>
      <c r="AG224" s="88" t="str">
        <f>IF($A225="","",Summary!$Q$8)</f>
        <v/>
      </c>
      <c r="AH224" s="88" t="str">
        <f>IF($A225="","",IF(Summary!$R$8="Y",(VLOOKUP($A224,Summary!$AD$6:$AF$9,3)+'Escalating commodity'!D237),'Escalating commodity'!D237))</f>
        <v/>
      </c>
      <c r="AI224" s="88" t="str">
        <f t="shared" si="153"/>
        <v/>
      </c>
      <c r="AJ224" s="236" t="e">
        <f t="shared" si="139"/>
        <v>#VALUE!</v>
      </c>
      <c r="AK224" s="58" t="str">
        <f t="shared" si="140"/>
        <v/>
      </c>
      <c r="AL224" s="26" t="str">
        <f>IF($A225="","",_xll.SPRDOPT(P224,X224,AI224,0,AB224,AE224,AF224,AK224,$AJ$2,0))</f>
        <v/>
      </c>
      <c r="AM224" s="89" t="str">
        <f t="shared" si="141"/>
        <v/>
      </c>
      <c r="AN224" s="89" t="str">
        <f t="shared" si="142"/>
        <v/>
      </c>
      <c r="AO224" s="3" t="str">
        <f t="shared" si="143"/>
        <v/>
      </c>
      <c r="AP224" s="33" t="str">
        <f t="shared" si="144"/>
        <v/>
      </c>
      <c r="AQ224" s="58" t="str">
        <f t="shared" si="145"/>
        <v/>
      </c>
      <c r="AR224" s="38">
        <f>'ANR OK vs ML7'!AR224</f>
        <v>0.1</v>
      </c>
      <c r="AS224" s="35" t="str">
        <f t="shared" si="146"/>
        <v/>
      </c>
      <c r="AT224" s="3" t="str">
        <f t="shared" si="147"/>
        <v/>
      </c>
      <c r="AU224" s="3" t="str">
        <f t="shared" si="148"/>
        <v/>
      </c>
      <c r="AW224" s="32" t="str">
        <f t="shared" si="149"/>
        <v/>
      </c>
      <c r="AX224" s="32" t="str">
        <f t="shared" si="150"/>
        <v/>
      </c>
      <c r="AY224" s="32" t="str">
        <f t="shared" si="151"/>
        <v/>
      </c>
      <c r="BA224" s="32" t="str">
        <f>IF($A225="","",F224*Summary!$Q$8)</f>
        <v/>
      </c>
    </row>
    <row r="225" spans="1:53" ht="12" customHeight="1">
      <c r="A225" s="67" t="str">
        <f t="shared" si="152"/>
        <v/>
      </c>
      <c r="B225" s="69">
        <f t="shared" si="154"/>
        <v>0</v>
      </c>
      <c r="C225" s="71"/>
      <c r="D225" s="69" t="str">
        <f t="shared" si="117"/>
        <v/>
      </c>
      <c r="E225" s="70" t="str">
        <f t="shared" si="118"/>
        <v/>
      </c>
      <c r="F225" s="70" t="str">
        <f t="shared" si="119"/>
        <v/>
      </c>
      <c r="G225" s="63" t="str">
        <f t="shared" si="120"/>
        <v/>
      </c>
      <c r="H225" s="64" t="str">
        <f t="shared" si="121"/>
        <v/>
      </c>
      <c r="I225" s="43"/>
      <c r="J225" s="63" t="str">
        <f t="shared" si="122"/>
        <v/>
      </c>
      <c r="K225" s="64" t="str">
        <f t="shared" si="123"/>
        <v/>
      </c>
      <c r="L225" s="63" t="str">
        <f t="shared" si="124"/>
        <v/>
      </c>
      <c r="M225" s="64" t="str">
        <f t="shared" si="125"/>
        <v/>
      </c>
      <c r="N225" s="65"/>
      <c r="O225" s="63" t="str">
        <f t="shared" si="126"/>
        <v/>
      </c>
      <c r="P225" s="63" t="str">
        <f t="shared" si="127"/>
        <v/>
      </c>
      <c r="Q225" s="66"/>
      <c r="R225" s="63" t="str">
        <f t="shared" si="128"/>
        <v/>
      </c>
      <c r="S225" s="64" t="str">
        <f t="shared" si="129"/>
        <v/>
      </c>
      <c r="T225" s="63" t="str">
        <f t="shared" si="130"/>
        <v/>
      </c>
      <c r="U225" s="64" t="str">
        <f t="shared" si="131"/>
        <v/>
      </c>
      <c r="V225" s="207" t="str">
        <f>IF($A226="","",IF(AND(MONTH(A225)&gt;3,MONTH(A225)&lt;11),(T225+R225+G225)*Summary!$T$8/(1-Summary!$T$8),(T225+R225+G225)*Summary!$U$8/(1-Summary!$U$8)))</f>
        <v/>
      </c>
      <c r="W225" s="63" t="str">
        <f t="shared" si="132"/>
        <v/>
      </c>
      <c r="X225" s="63" t="str">
        <f t="shared" si="133"/>
        <v/>
      </c>
      <c r="Y225" s="43"/>
      <c r="Z225" s="38" t="str">
        <f t="shared" si="134"/>
        <v/>
      </c>
      <c r="AA225" s="38" t="str">
        <f t="shared" si="135"/>
        <v/>
      </c>
      <c r="AB225" s="38" t="e">
        <f t="shared" si="136"/>
        <v>#VALUE!</v>
      </c>
      <c r="AC225" s="38" t="str">
        <f t="shared" si="137"/>
        <v/>
      </c>
      <c r="AD225" s="38" t="str">
        <f t="shared" si="137"/>
        <v/>
      </c>
      <c r="AE225" s="38" t="e">
        <f t="shared" si="138"/>
        <v>#VALUE!</v>
      </c>
      <c r="AF225" s="237" t="e">
        <f>((Summary!$N$8*(AA225*AD225)*(A225-$D$3))+(Summary!$M$8*Z225*AC225*(AJ225-EOMONTH(EDATE(A225,-1),0))))/(AK225*AB225*AE225)</f>
        <v>#VALUE!</v>
      </c>
      <c r="AG225" s="88" t="str">
        <f>IF($A226="","",Summary!$Q$8)</f>
        <v/>
      </c>
      <c r="AH225" s="88" t="str">
        <f>IF($A226="","",IF(Summary!$R$8="Y",(VLOOKUP($A225,Summary!$AD$6:$AF$9,3)+'Escalating commodity'!D238),'Escalating commodity'!D238))</f>
        <v/>
      </c>
      <c r="AI225" s="88" t="str">
        <f t="shared" si="153"/>
        <v/>
      </c>
      <c r="AJ225" s="236" t="e">
        <f t="shared" si="139"/>
        <v>#VALUE!</v>
      </c>
      <c r="AK225" s="58" t="str">
        <f t="shared" si="140"/>
        <v/>
      </c>
      <c r="AL225" s="26" t="str">
        <f>IF($A226="","",_xll.SPRDOPT(P225,X225,AI225,0,AB225,AE225,AF225,AK225,$AJ$2,0))</f>
        <v/>
      </c>
      <c r="AM225" s="89" t="str">
        <f t="shared" si="141"/>
        <v/>
      </c>
      <c r="AN225" s="89" t="str">
        <f t="shared" si="142"/>
        <v/>
      </c>
      <c r="AO225" s="3" t="str">
        <f t="shared" si="143"/>
        <v/>
      </c>
      <c r="AP225" s="33" t="str">
        <f t="shared" si="144"/>
        <v/>
      </c>
      <c r="AQ225" s="58" t="str">
        <f t="shared" si="145"/>
        <v/>
      </c>
      <c r="AR225" s="38">
        <f>'ANR OK vs ML7'!AR225</f>
        <v>0.1</v>
      </c>
      <c r="AS225" s="35" t="str">
        <f t="shared" si="146"/>
        <v/>
      </c>
      <c r="AT225" s="3" t="str">
        <f t="shared" si="147"/>
        <v/>
      </c>
      <c r="AU225" s="3" t="str">
        <f t="shared" si="148"/>
        <v/>
      </c>
      <c r="AW225" s="32" t="str">
        <f t="shared" si="149"/>
        <v/>
      </c>
      <c r="AX225" s="32" t="str">
        <f t="shared" si="150"/>
        <v/>
      </c>
      <c r="AY225" s="32" t="str">
        <f t="shared" si="151"/>
        <v/>
      </c>
      <c r="BA225" s="32" t="str">
        <f>IF($A226="","",F225*Summary!$Q$8)</f>
        <v/>
      </c>
    </row>
    <row r="226" spans="1:53" ht="12" customHeight="1">
      <c r="A226" s="67" t="str">
        <f t="shared" si="152"/>
        <v/>
      </c>
      <c r="B226" s="69">
        <f t="shared" si="154"/>
        <v>0</v>
      </c>
      <c r="C226" s="71"/>
      <c r="D226" s="69" t="str">
        <f t="shared" si="117"/>
        <v/>
      </c>
      <c r="E226" s="70" t="str">
        <f t="shared" si="118"/>
        <v/>
      </c>
      <c r="F226" s="70" t="str">
        <f t="shared" si="119"/>
        <v/>
      </c>
      <c r="G226" s="63" t="str">
        <f t="shared" si="120"/>
        <v/>
      </c>
      <c r="H226" s="64" t="str">
        <f t="shared" si="121"/>
        <v/>
      </c>
      <c r="I226" s="43"/>
      <c r="J226" s="63" t="str">
        <f t="shared" si="122"/>
        <v/>
      </c>
      <c r="K226" s="64" t="str">
        <f t="shared" si="123"/>
        <v/>
      </c>
      <c r="L226" s="63" t="str">
        <f t="shared" si="124"/>
        <v/>
      </c>
      <c r="M226" s="64" t="str">
        <f t="shared" si="125"/>
        <v/>
      </c>
      <c r="N226" s="65"/>
      <c r="O226" s="63" t="str">
        <f t="shared" si="126"/>
        <v/>
      </c>
      <c r="P226" s="63" t="str">
        <f t="shared" si="127"/>
        <v/>
      </c>
      <c r="Q226" s="66"/>
      <c r="R226" s="63" t="str">
        <f t="shared" si="128"/>
        <v/>
      </c>
      <c r="S226" s="64" t="str">
        <f t="shared" si="129"/>
        <v/>
      </c>
      <c r="T226" s="63" t="str">
        <f t="shared" si="130"/>
        <v/>
      </c>
      <c r="U226" s="64" t="str">
        <f t="shared" si="131"/>
        <v/>
      </c>
      <c r="V226" s="207" t="str">
        <f>IF($A227="","",IF(AND(MONTH(A226)&gt;3,MONTH(A226)&lt;11),(T226+R226+G226)*Summary!$T$8/(1-Summary!$T$8),(T226+R226+G226)*Summary!$U$8/(1-Summary!$U$8)))</f>
        <v/>
      </c>
      <c r="W226" s="63" t="str">
        <f t="shared" si="132"/>
        <v/>
      </c>
      <c r="X226" s="63" t="str">
        <f t="shared" si="133"/>
        <v/>
      </c>
      <c r="Y226" s="43"/>
      <c r="Z226" s="38" t="str">
        <f t="shared" si="134"/>
        <v/>
      </c>
      <c r="AA226" s="38" t="str">
        <f t="shared" si="135"/>
        <v/>
      </c>
      <c r="AB226" s="38" t="e">
        <f t="shared" si="136"/>
        <v>#VALUE!</v>
      </c>
      <c r="AC226" s="38" t="str">
        <f t="shared" si="137"/>
        <v/>
      </c>
      <c r="AD226" s="38" t="str">
        <f t="shared" si="137"/>
        <v/>
      </c>
      <c r="AE226" s="38" t="e">
        <f t="shared" si="138"/>
        <v>#VALUE!</v>
      </c>
      <c r="AF226" s="237" t="e">
        <f>((Summary!$N$8*(AA226*AD226)*(A226-$D$3))+(Summary!$M$8*Z226*AC226*(AJ226-EOMONTH(EDATE(A226,-1),0))))/(AK226*AB226*AE226)</f>
        <v>#VALUE!</v>
      </c>
      <c r="AG226" s="88" t="str">
        <f>IF($A227="","",Summary!$Q$8)</f>
        <v/>
      </c>
      <c r="AH226" s="88" t="str">
        <f>IF($A227="","",IF(Summary!$R$8="Y",(VLOOKUP($A226,Summary!$AD$6:$AF$9,3)+'Escalating commodity'!D239),'Escalating commodity'!D239))</f>
        <v/>
      </c>
      <c r="AI226" s="88" t="str">
        <f t="shared" si="153"/>
        <v/>
      </c>
      <c r="AJ226" s="236" t="e">
        <f t="shared" si="139"/>
        <v>#VALUE!</v>
      </c>
      <c r="AK226" s="58" t="str">
        <f t="shared" si="140"/>
        <v/>
      </c>
      <c r="AL226" s="26" t="str">
        <f>IF($A227="","",_xll.SPRDOPT(P226,X226,AI226,0,AB226,AE226,AF226,AK226,$AJ$2,0))</f>
        <v/>
      </c>
      <c r="AM226" s="89" t="str">
        <f t="shared" si="141"/>
        <v/>
      </c>
      <c r="AN226" s="89" t="str">
        <f t="shared" si="142"/>
        <v/>
      </c>
      <c r="AO226" s="3" t="str">
        <f t="shared" si="143"/>
        <v/>
      </c>
      <c r="AP226" s="33" t="str">
        <f t="shared" si="144"/>
        <v/>
      </c>
      <c r="AQ226" s="58" t="str">
        <f t="shared" si="145"/>
        <v/>
      </c>
      <c r="AR226" s="38">
        <f>'ANR OK vs ML7'!AR226</f>
        <v>0.1</v>
      </c>
      <c r="AS226" s="35" t="str">
        <f t="shared" si="146"/>
        <v/>
      </c>
      <c r="AT226" s="3" t="str">
        <f t="shared" si="147"/>
        <v/>
      </c>
      <c r="AU226" s="3" t="str">
        <f t="shared" si="148"/>
        <v/>
      </c>
      <c r="AW226" s="32" t="str">
        <f t="shared" si="149"/>
        <v/>
      </c>
      <c r="AX226" s="32" t="str">
        <f t="shared" si="150"/>
        <v/>
      </c>
      <c r="AY226" s="32" t="str">
        <f t="shared" si="151"/>
        <v/>
      </c>
      <c r="BA226" s="32" t="str">
        <f>IF($A227="","",F226*Summary!$Q$8)</f>
        <v/>
      </c>
    </row>
    <row r="227" spans="1:53" ht="12" customHeight="1">
      <c r="A227" s="67" t="str">
        <f t="shared" si="152"/>
        <v/>
      </c>
      <c r="B227" s="69">
        <f t="shared" si="154"/>
        <v>0</v>
      </c>
      <c r="C227" s="71"/>
      <c r="D227" s="69" t="str">
        <f t="shared" si="117"/>
        <v/>
      </c>
      <c r="E227" s="70" t="str">
        <f t="shared" si="118"/>
        <v/>
      </c>
      <c r="F227" s="70" t="str">
        <f t="shared" si="119"/>
        <v/>
      </c>
      <c r="G227" s="63" t="str">
        <f t="shared" si="120"/>
        <v/>
      </c>
      <c r="H227" s="64" t="str">
        <f t="shared" si="121"/>
        <v/>
      </c>
      <c r="I227" s="43"/>
      <c r="J227" s="63" t="str">
        <f t="shared" si="122"/>
        <v/>
      </c>
      <c r="K227" s="64" t="str">
        <f t="shared" si="123"/>
        <v/>
      </c>
      <c r="L227" s="63" t="str">
        <f t="shared" si="124"/>
        <v/>
      </c>
      <c r="M227" s="64" t="str">
        <f t="shared" si="125"/>
        <v/>
      </c>
      <c r="N227" s="65"/>
      <c r="O227" s="63" t="str">
        <f t="shared" si="126"/>
        <v/>
      </c>
      <c r="P227" s="63" t="str">
        <f t="shared" si="127"/>
        <v/>
      </c>
      <c r="Q227" s="66"/>
      <c r="R227" s="63" t="str">
        <f t="shared" si="128"/>
        <v/>
      </c>
      <c r="S227" s="64" t="str">
        <f t="shared" si="129"/>
        <v/>
      </c>
      <c r="T227" s="63" t="str">
        <f t="shared" si="130"/>
        <v/>
      </c>
      <c r="U227" s="64" t="str">
        <f t="shared" si="131"/>
        <v/>
      </c>
      <c r="V227" s="207" t="str">
        <f>IF($A228="","",IF(AND(MONTH(A227)&gt;3,MONTH(A227)&lt;11),(T227+R227+G227)*Summary!$T$8/(1-Summary!$T$8),(T227+R227+G227)*Summary!$U$8/(1-Summary!$U$8)))</f>
        <v/>
      </c>
      <c r="W227" s="63" t="str">
        <f t="shared" si="132"/>
        <v/>
      </c>
      <c r="X227" s="63" t="str">
        <f t="shared" si="133"/>
        <v/>
      </c>
      <c r="Y227" s="43"/>
      <c r="Z227" s="38" t="str">
        <f t="shared" si="134"/>
        <v/>
      </c>
      <c r="AA227" s="38" t="str">
        <f t="shared" si="135"/>
        <v/>
      </c>
      <c r="AB227" s="38" t="e">
        <f t="shared" si="136"/>
        <v>#VALUE!</v>
      </c>
      <c r="AC227" s="38" t="str">
        <f t="shared" si="137"/>
        <v/>
      </c>
      <c r="AD227" s="38" t="str">
        <f t="shared" si="137"/>
        <v/>
      </c>
      <c r="AE227" s="38" t="e">
        <f t="shared" si="138"/>
        <v>#VALUE!</v>
      </c>
      <c r="AF227" s="237" t="e">
        <f>((Summary!$N$8*(AA227*AD227)*(A227-$D$3))+(Summary!$M$8*Z227*AC227*(AJ227-EOMONTH(EDATE(A227,-1),0))))/(AK227*AB227*AE227)</f>
        <v>#VALUE!</v>
      </c>
      <c r="AG227" s="88" t="str">
        <f>IF($A228="","",Summary!$Q$8)</f>
        <v/>
      </c>
      <c r="AH227" s="88" t="str">
        <f>IF($A228="","",IF(Summary!$R$8="Y",(VLOOKUP($A227,Summary!$AD$6:$AF$9,3)+'Escalating commodity'!D240),'Escalating commodity'!D240))</f>
        <v/>
      </c>
      <c r="AI227" s="88" t="str">
        <f t="shared" si="153"/>
        <v/>
      </c>
      <c r="AJ227" s="236" t="e">
        <f t="shared" si="139"/>
        <v>#VALUE!</v>
      </c>
      <c r="AK227" s="58" t="str">
        <f t="shared" si="140"/>
        <v/>
      </c>
      <c r="AL227" s="26" t="str">
        <f>IF($A228="","",_xll.SPRDOPT(P227,X227,AI227,0,AB227,AE227,AF227,AK227,$AJ$2,0))</f>
        <v/>
      </c>
      <c r="AM227" s="89" t="str">
        <f t="shared" si="141"/>
        <v/>
      </c>
      <c r="AN227" s="89" t="str">
        <f t="shared" si="142"/>
        <v/>
      </c>
      <c r="AO227" s="3" t="str">
        <f t="shared" si="143"/>
        <v/>
      </c>
      <c r="AP227" s="33" t="str">
        <f t="shared" si="144"/>
        <v/>
      </c>
      <c r="AQ227" s="58" t="str">
        <f t="shared" si="145"/>
        <v/>
      </c>
      <c r="AR227" s="38">
        <f>'ANR OK vs ML7'!AR227</f>
        <v>0.1</v>
      </c>
      <c r="AS227" s="35" t="str">
        <f t="shared" si="146"/>
        <v/>
      </c>
      <c r="AT227" s="3" t="str">
        <f t="shared" si="147"/>
        <v/>
      </c>
      <c r="AU227" s="3" t="str">
        <f t="shared" si="148"/>
        <v/>
      </c>
      <c r="AW227" s="32" t="str">
        <f t="shared" si="149"/>
        <v/>
      </c>
      <c r="AX227" s="32" t="str">
        <f t="shared" si="150"/>
        <v/>
      </c>
      <c r="AY227" s="32" t="str">
        <f t="shared" si="151"/>
        <v/>
      </c>
      <c r="BA227" s="32" t="str">
        <f>IF($A228="","",F227*Summary!$Q$8)</f>
        <v/>
      </c>
    </row>
    <row r="228" spans="1:53" ht="12" customHeight="1">
      <c r="A228" s="67" t="str">
        <f t="shared" si="152"/>
        <v/>
      </c>
      <c r="B228" s="69">
        <f t="shared" si="154"/>
        <v>0</v>
      </c>
      <c r="C228" s="71"/>
      <c r="D228" s="69" t="str">
        <f t="shared" si="117"/>
        <v/>
      </c>
      <c r="E228" s="70" t="str">
        <f t="shared" si="118"/>
        <v/>
      </c>
      <c r="F228" s="70" t="str">
        <f t="shared" si="119"/>
        <v/>
      </c>
      <c r="G228" s="63" t="str">
        <f t="shared" si="120"/>
        <v/>
      </c>
      <c r="H228" s="64" t="str">
        <f t="shared" si="121"/>
        <v/>
      </c>
      <c r="I228" s="43"/>
      <c r="J228" s="63" t="str">
        <f t="shared" si="122"/>
        <v/>
      </c>
      <c r="K228" s="64" t="str">
        <f t="shared" si="123"/>
        <v/>
      </c>
      <c r="L228" s="63" t="str">
        <f t="shared" si="124"/>
        <v/>
      </c>
      <c r="M228" s="64" t="str">
        <f t="shared" si="125"/>
        <v/>
      </c>
      <c r="N228" s="65"/>
      <c r="O228" s="63" t="str">
        <f t="shared" si="126"/>
        <v/>
      </c>
      <c r="P228" s="63" t="str">
        <f t="shared" si="127"/>
        <v/>
      </c>
      <c r="Q228" s="66"/>
      <c r="R228" s="63" t="str">
        <f t="shared" si="128"/>
        <v/>
      </c>
      <c r="S228" s="64" t="str">
        <f t="shared" si="129"/>
        <v/>
      </c>
      <c r="T228" s="63" t="str">
        <f t="shared" si="130"/>
        <v/>
      </c>
      <c r="U228" s="64" t="str">
        <f t="shared" si="131"/>
        <v/>
      </c>
      <c r="V228" s="207" t="str">
        <f>IF($A229="","",IF(AND(MONTH(A228)&gt;3,MONTH(A228)&lt;11),(T228+R228+G228)*Summary!$T$8/(1-Summary!$T$8),(T228+R228+G228)*Summary!$U$8/(1-Summary!$U$8)))</f>
        <v/>
      </c>
      <c r="W228" s="63" t="str">
        <f t="shared" si="132"/>
        <v/>
      </c>
      <c r="X228" s="63" t="str">
        <f t="shared" si="133"/>
        <v/>
      </c>
      <c r="Y228" s="43"/>
      <c r="Z228" s="38" t="str">
        <f t="shared" si="134"/>
        <v/>
      </c>
      <c r="AA228" s="38" t="str">
        <f t="shared" si="135"/>
        <v/>
      </c>
      <c r="AB228" s="38" t="e">
        <f t="shared" si="136"/>
        <v>#VALUE!</v>
      </c>
      <c r="AC228" s="38" t="str">
        <f t="shared" si="137"/>
        <v/>
      </c>
      <c r="AD228" s="38" t="str">
        <f t="shared" si="137"/>
        <v/>
      </c>
      <c r="AE228" s="38" t="e">
        <f t="shared" si="138"/>
        <v>#VALUE!</v>
      </c>
      <c r="AF228" s="237" t="e">
        <f>((Summary!$N$8*(AA228*AD228)*(A228-$D$3))+(Summary!$M$8*Z228*AC228*(AJ228-EOMONTH(EDATE(A228,-1),0))))/(AK228*AB228*AE228)</f>
        <v>#VALUE!</v>
      </c>
      <c r="AG228" s="88" t="str">
        <f>IF($A229="","",Summary!$Q$8)</f>
        <v/>
      </c>
      <c r="AH228" s="88" t="str">
        <f>IF($A229="","",IF(Summary!$R$8="Y",(VLOOKUP($A228,Summary!$AD$6:$AF$9,3)+'Escalating commodity'!D241),'Escalating commodity'!D241))</f>
        <v/>
      </c>
      <c r="AI228" s="88" t="str">
        <f t="shared" si="153"/>
        <v/>
      </c>
      <c r="AJ228" s="236" t="e">
        <f t="shared" si="139"/>
        <v>#VALUE!</v>
      </c>
      <c r="AK228" s="58" t="str">
        <f t="shared" si="140"/>
        <v/>
      </c>
      <c r="AL228" s="26" t="str">
        <f>IF($A229="","",_xll.SPRDOPT(P228,X228,AI228,0,AB228,AE228,AF228,AK228,$AJ$2,0))</f>
        <v/>
      </c>
      <c r="AM228" s="89" t="str">
        <f t="shared" si="141"/>
        <v/>
      </c>
      <c r="AN228" s="89" t="str">
        <f t="shared" si="142"/>
        <v/>
      </c>
      <c r="AO228" s="3" t="str">
        <f t="shared" si="143"/>
        <v/>
      </c>
      <c r="AP228" s="33" t="str">
        <f t="shared" si="144"/>
        <v/>
      </c>
      <c r="AQ228" s="58" t="str">
        <f t="shared" si="145"/>
        <v/>
      </c>
      <c r="AR228" s="38">
        <f>'ANR OK vs ML7'!AR228</f>
        <v>0.1</v>
      </c>
      <c r="AS228" s="35" t="str">
        <f t="shared" si="146"/>
        <v/>
      </c>
      <c r="AT228" s="3" t="str">
        <f t="shared" si="147"/>
        <v/>
      </c>
      <c r="AU228" s="3" t="str">
        <f t="shared" si="148"/>
        <v/>
      </c>
      <c r="AW228" s="32" t="str">
        <f t="shared" si="149"/>
        <v/>
      </c>
      <c r="AX228" s="32" t="str">
        <f t="shared" si="150"/>
        <v/>
      </c>
      <c r="AY228" s="32" t="str">
        <f t="shared" si="151"/>
        <v/>
      </c>
      <c r="BA228" s="32" t="str">
        <f>IF($A229="","",F228*Summary!$Q$8)</f>
        <v/>
      </c>
    </row>
    <row r="229" spans="1:53" ht="12" customHeight="1">
      <c r="A229" s="67" t="str">
        <f t="shared" si="152"/>
        <v/>
      </c>
      <c r="B229" s="69">
        <f t="shared" si="154"/>
        <v>0</v>
      </c>
      <c r="C229" s="71"/>
      <c r="D229" s="69" t="str">
        <f t="shared" si="117"/>
        <v/>
      </c>
      <c r="E229" s="70" t="str">
        <f t="shared" si="118"/>
        <v/>
      </c>
      <c r="F229" s="70" t="str">
        <f t="shared" si="119"/>
        <v/>
      </c>
      <c r="G229" s="63" t="str">
        <f t="shared" si="120"/>
        <v/>
      </c>
      <c r="H229" s="64" t="str">
        <f t="shared" si="121"/>
        <v/>
      </c>
      <c r="I229" s="43"/>
      <c r="J229" s="63" t="str">
        <f t="shared" si="122"/>
        <v/>
      </c>
      <c r="K229" s="64" t="str">
        <f t="shared" si="123"/>
        <v/>
      </c>
      <c r="L229" s="63" t="str">
        <f t="shared" si="124"/>
        <v/>
      </c>
      <c r="M229" s="64" t="str">
        <f t="shared" si="125"/>
        <v/>
      </c>
      <c r="N229" s="65"/>
      <c r="O229" s="63" t="str">
        <f t="shared" si="126"/>
        <v/>
      </c>
      <c r="P229" s="63" t="str">
        <f t="shared" si="127"/>
        <v/>
      </c>
      <c r="Q229" s="66"/>
      <c r="R229" s="63" t="str">
        <f t="shared" si="128"/>
        <v/>
      </c>
      <c r="S229" s="64" t="str">
        <f t="shared" si="129"/>
        <v/>
      </c>
      <c r="T229" s="63" t="str">
        <f t="shared" si="130"/>
        <v/>
      </c>
      <c r="U229" s="64" t="str">
        <f t="shared" si="131"/>
        <v/>
      </c>
      <c r="V229" s="207" t="str">
        <f>IF($A230="","",IF(AND(MONTH(A229)&gt;3,MONTH(A229)&lt;11),(T229+R229+G229)*Summary!$T$8/(1-Summary!$T$8),(T229+R229+G229)*Summary!$U$8/(1-Summary!$U$8)))</f>
        <v/>
      </c>
      <c r="W229" s="63" t="str">
        <f t="shared" si="132"/>
        <v/>
      </c>
      <c r="X229" s="63" t="str">
        <f t="shared" si="133"/>
        <v/>
      </c>
      <c r="Y229" s="43"/>
      <c r="Z229" s="38" t="str">
        <f t="shared" si="134"/>
        <v/>
      </c>
      <c r="AA229" s="38" t="str">
        <f t="shared" si="135"/>
        <v/>
      </c>
      <c r="AB229" s="38" t="e">
        <f t="shared" si="136"/>
        <v>#VALUE!</v>
      </c>
      <c r="AC229" s="38" t="str">
        <f t="shared" si="137"/>
        <v/>
      </c>
      <c r="AD229" s="38" t="str">
        <f t="shared" si="137"/>
        <v/>
      </c>
      <c r="AE229" s="38" t="e">
        <f t="shared" si="138"/>
        <v>#VALUE!</v>
      </c>
      <c r="AF229" s="237" t="e">
        <f>((Summary!$N$8*(AA229*AD229)*(A229-$D$3))+(Summary!$M$8*Z229*AC229*(AJ229-EOMONTH(EDATE(A229,-1),0))))/(AK229*AB229*AE229)</f>
        <v>#VALUE!</v>
      </c>
      <c r="AG229" s="88" t="str">
        <f>IF($A230="","",Summary!$Q$8)</f>
        <v/>
      </c>
      <c r="AH229" s="88" t="str">
        <f>IF($A230="","",IF(Summary!$R$8="Y",(VLOOKUP($A229,Summary!$AD$6:$AF$9,3)+'Escalating commodity'!D242),'Escalating commodity'!D242))</f>
        <v/>
      </c>
      <c r="AI229" s="88" t="str">
        <f t="shared" si="153"/>
        <v/>
      </c>
      <c r="AJ229" s="236" t="e">
        <f t="shared" si="139"/>
        <v>#VALUE!</v>
      </c>
      <c r="AK229" s="58" t="str">
        <f t="shared" si="140"/>
        <v/>
      </c>
      <c r="AL229" s="26" t="str">
        <f>IF($A230="","",_xll.SPRDOPT(P229,X229,AI229,0,AB229,AE229,AF229,AK229,$AJ$2,0))</f>
        <v/>
      </c>
      <c r="AM229" s="89" t="str">
        <f t="shared" si="141"/>
        <v/>
      </c>
      <c r="AN229" s="89" t="str">
        <f t="shared" si="142"/>
        <v/>
      </c>
      <c r="AO229" s="3" t="str">
        <f t="shared" si="143"/>
        <v/>
      </c>
      <c r="AP229" s="33" t="str">
        <f t="shared" si="144"/>
        <v/>
      </c>
      <c r="AQ229" s="58" t="str">
        <f t="shared" si="145"/>
        <v/>
      </c>
      <c r="AR229" s="38">
        <f>'ANR OK vs ML7'!AR229</f>
        <v>0.1</v>
      </c>
      <c r="AS229" s="35" t="str">
        <f t="shared" si="146"/>
        <v/>
      </c>
      <c r="AT229" s="3" t="str">
        <f t="shared" si="147"/>
        <v/>
      </c>
      <c r="AU229" s="3" t="str">
        <f t="shared" si="148"/>
        <v/>
      </c>
      <c r="AW229" s="32" t="str">
        <f t="shared" si="149"/>
        <v/>
      </c>
      <c r="AX229" s="32" t="str">
        <f t="shared" si="150"/>
        <v/>
      </c>
      <c r="AY229" s="32" t="str">
        <f t="shared" si="151"/>
        <v/>
      </c>
      <c r="BA229" s="32" t="str">
        <f>IF($A230="","",F229*Summary!$Q$8)</f>
        <v/>
      </c>
    </row>
    <row r="230" spans="1:53" ht="12" customHeight="1">
      <c r="A230" s="67" t="str">
        <f t="shared" si="152"/>
        <v/>
      </c>
      <c r="B230" s="69">
        <f t="shared" si="154"/>
        <v>0</v>
      </c>
      <c r="C230" s="71"/>
      <c r="D230" s="69" t="str">
        <f t="shared" si="117"/>
        <v/>
      </c>
      <c r="E230" s="70" t="str">
        <f t="shared" si="118"/>
        <v/>
      </c>
      <c r="F230" s="70" t="str">
        <f t="shared" si="119"/>
        <v/>
      </c>
      <c r="G230" s="63" t="str">
        <f t="shared" si="120"/>
        <v/>
      </c>
      <c r="H230" s="64" t="str">
        <f t="shared" si="121"/>
        <v/>
      </c>
      <c r="I230" s="43"/>
      <c r="J230" s="63" t="str">
        <f t="shared" si="122"/>
        <v/>
      </c>
      <c r="K230" s="64" t="str">
        <f t="shared" si="123"/>
        <v/>
      </c>
      <c r="L230" s="63" t="str">
        <f t="shared" si="124"/>
        <v/>
      </c>
      <c r="M230" s="64" t="str">
        <f t="shared" si="125"/>
        <v/>
      </c>
      <c r="N230" s="65"/>
      <c r="O230" s="63" t="str">
        <f t="shared" si="126"/>
        <v/>
      </c>
      <c r="P230" s="63" t="str">
        <f t="shared" si="127"/>
        <v/>
      </c>
      <c r="Q230" s="66"/>
      <c r="R230" s="63" t="str">
        <f t="shared" si="128"/>
        <v/>
      </c>
      <c r="S230" s="64" t="str">
        <f t="shared" si="129"/>
        <v/>
      </c>
      <c r="T230" s="63" t="str">
        <f t="shared" si="130"/>
        <v/>
      </c>
      <c r="U230" s="64" t="str">
        <f t="shared" si="131"/>
        <v/>
      </c>
      <c r="V230" s="207" t="str">
        <f>IF($A231="","",IF(AND(MONTH(A230)&gt;3,MONTH(A230)&lt;11),(T230+R230+G230)*Summary!$T$8/(1-Summary!$T$8),(T230+R230+G230)*Summary!$U$8/(1-Summary!$U$8)))</f>
        <v/>
      </c>
      <c r="W230" s="63" t="str">
        <f t="shared" si="132"/>
        <v/>
      </c>
      <c r="X230" s="63" t="str">
        <f t="shared" si="133"/>
        <v/>
      </c>
      <c r="Y230" s="43"/>
      <c r="Z230" s="38" t="str">
        <f t="shared" si="134"/>
        <v/>
      </c>
      <c r="AA230" s="38" t="str">
        <f t="shared" si="135"/>
        <v/>
      </c>
      <c r="AB230" s="38" t="e">
        <f t="shared" si="136"/>
        <v>#VALUE!</v>
      </c>
      <c r="AC230" s="38" t="str">
        <f t="shared" si="137"/>
        <v/>
      </c>
      <c r="AD230" s="38" t="str">
        <f t="shared" si="137"/>
        <v/>
      </c>
      <c r="AE230" s="38" t="e">
        <f t="shared" si="138"/>
        <v>#VALUE!</v>
      </c>
      <c r="AF230" s="237" t="e">
        <f>((Summary!$N$8*(AA230*AD230)*(A230-$D$3))+(Summary!$M$8*Z230*AC230*(AJ230-EOMONTH(EDATE(A230,-1),0))))/(AK230*AB230*AE230)</f>
        <v>#VALUE!</v>
      </c>
      <c r="AG230" s="88" t="str">
        <f>IF($A231="","",Summary!$Q$8)</f>
        <v/>
      </c>
      <c r="AH230" s="88" t="str">
        <f>IF($A231="","",IF(Summary!$R$8="Y",(VLOOKUP($A230,Summary!$AD$6:$AF$9,3)+'Escalating commodity'!D243),'Escalating commodity'!D243))</f>
        <v/>
      </c>
      <c r="AI230" s="88" t="str">
        <f t="shared" si="153"/>
        <v/>
      </c>
      <c r="AJ230" s="236" t="e">
        <f t="shared" si="139"/>
        <v>#VALUE!</v>
      </c>
      <c r="AK230" s="58" t="str">
        <f t="shared" si="140"/>
        <v/>
      </c>
      <c r="AL230" s="26" t="str">
        <f>IF($A231="","",_xll.SPRDOPT(P230,X230,AI230,0,AB230,AE230,AF230,AK230,$AJ$2,0))</f>
        <v/>
      </c>
      <c r="AM230" s="89" t="str">
        <f t="shared" si="141"/>
        <v/>
      </c>
      <c r="AN230" s="89" t="str">
        <f t="shared" si="142"/>
        <v/>
      </c>
      <c r="AO230" s="3" t="str">
        <f t="shared" si="143"/>
        <v/>
      </c>
      <c r="AP230" s="33" t="str">
        <f t="shared" si="144"/>
        <v/>
      </c>
      <c r="AQ230" s="58" t="str">
        <f t="shared" si="145"/>
        <v/>
      </c>
      <c r="AR230" s="38">
        <f>'ANR OK vs ML7'!AR230</f>
        <v>0.1</v>
      </c>
      <c r="AS230" s="35" t="str">
        <f t="shared" si="146"/>
        <v/>
      </c>
      <c r="AT230" s="3" t="str">
        <f t="shared" si="147"/>
        <v/>
      </c>
      <c r="AU230" s="3" t="str">
        <f t="shared" si="148"/>
        <v/>
      </c>
      <c r="AW230" s="32" t="str">
        <f t="shared" si="149"/>
        <v/>
      </c>
      <c r="AX230" s="32" t="str">
        <f t="shared" si="150"/>
        <v/>
      </c>
      <c r="AY230" s="32" t="str">
        <f t="shared" si="151"/>
        <v/>
      </c>
      <c r="BA230" s="32" t="str">
        <f>IF($A231="","",F230*Summary!$Q$8)</f>
        <v/>
      </c>
    </row>
    <row r="231" spans="1:53" ht="12" customHeight="1">
      <c r="A231" s="67" t="str">
        <f t="shared" si="152"/>
        <v/>
      </c>
      <c r="B231" s="69">
        <f t="shared" si="154"/>
        <v>0</v>
      </c>
      <c r="C231" s="71"/>
      <c r="D231" s="69" t="str">
        <f t="shared" si="117"/>
        <v/>
      </c>
      <c r="E231" s="70" t="str">
        <f t="shared" si="118"/>
        <v/>
      </c>
      <c r="F231" s="70" t="str">
        <f t="shared" si="119"/>
        <v/>
      </c>
      <c r="G231" s="63" t="str">
        <f t="shared" si="120"/>
        <v/>
      </c>
      <c r="H231" s="64" t="str">
        <f t="shared" si="121"/>
        <v/>
      </c>
      <c r="I231" s="43"/>
      <c r="J231" s="63" t="str">
        <f t="shared" si="122"/>
        <v/>
      </c>
      <c r="K231" s="64" t="str">
        <f t="shared" si="123"/>
        <v/>
      </c>
      <c r="L231" s="63" t="str">
        <f t="shared" si="124"/>
        <v/>
      </c>
      <c r="M231" s="64" t="str">
        <f t="shared" si="125"/>
        <v/>
      </c>
      <c r="N231" s="65"/>
      <c r="O231" s="63" t="str">
        <f t="shared" si="126"/>
        <v/>
      </c>
      <c r="P231" s="63" t="str">
        <f t="shared" si="127"/>
        <v/>
      </c>
      <c r="Q231" s="66"/>
      <c r="R231" s="63" t="str">
        <f t="shared" si="128"/>
        <v/>
      </c>
      <c r="S231" s="64" t="str">
        <f t="shared" si="129"/>
        <v/>
      </c>
      <c r="T231" s="63" t="str">
        <f t="shared" si="130"/>
        <v/>
      </c>
      <c r="U231" s="64" t="str">
        <f t="shared" si="131"/>
        <v/>
      </c>
      <c r="V231" s="207" t="str">
        <f>IF($A232="","",IF(AND(MONTH(A231)&gt;3,MONTH(A231)&lt;11),(T231+R231+G231)*Summary!$T$8/(1-Summary!$T$8),(T231+R231+G231)*Summary!$U$8/(1-Summary!$U$8)))</f>
        <v/>
      </c>
      <c r="W231" s="63" t="str">
        <f t="shared" si="132"/>
        <v/>
      </c>
      <c r="X231" s="63" t="str">
        <f t="shared" si="133"/>
        <v/>
      </c>
      <c r="Y231" s="43"/>
      <c r="Z231" s="38" t="str">
        <f t="shared" si="134"/>
        <v/>
      </c>
      <c r="AA231" s="38" t="str">
        <f t="shared" si="135"/>
        <v/>
      </c>
      <c r="AB231" s="38" t="e">
        <f t="shared" si="136"/>
        <v>#VALUE!</v>
      </c>
      <c r="AC231" s="38" t="str">
        <f t="shared" si="137"/>
        <v/>
      </c>
      <c r="AD231" s="38" t="str">
        <f t="shared" si="137"/>
        <v/>
      </c>
      <c r="AE231" s="38" t="e">
        <f t="shared" si="138"/>
        <v>#VALUE!</v>
      </c>
      <c r="AF231" s="237" t="e">
        <f>((Summary!$N$8*(AA231*AD231)*(A231-$D$3))+(Summary!$M$8*Z231*AC231*(AJ231-EOMONTH(EDATE(A231,-1),0))))/(AK231*AB231*AE231)</f>
        <v>#VALUE!</v>
      </c>
      <c r="AG231" s="88" t="str">
        <f>IF($A232="","",Summary!$Q$8)</f>
        <v/>
      </c>
      <c r="AH231" s="88" t="str">
        <f>IF($A232="","",IF(Summary!$R$8="Y",(VLOOKUP($A231,Summary!$AD$6:$AF$9,3)+'Escalating commodity'!D244),'Escalating commodity'!D244))</f>
        <v/>
      </c>
      <c r="AI231" s="88" t="str">
        <f t="shared" si="153"/>
        <v/>
      </c>
      <c r="AJ231" s="236" t="e">
        <f t="shared" si="139"/>
        <v>#VALUE!</v>
      </c>
      <c r="AK231" s="58" t="str">
        <f t="shared" si="140"/>
        <v/>
      </c>
      <c r="AL231" s="26" t="str">
        <f>IF($A232="","",_xll.SPRDOPT(P231,X231,AI231,0,AB231,AE231,AF231,AK231,$AJ$2,0))</f>
        <v/>
      </c>
      <c r="AM231" s="89" t="str">
        <f t="shared" si="141"/>
        <v/>
      </c>
      <c r="AN231" s="89" t="str">
        <f t="shared" si="142"/>
        <v/>
      </c>
      <c r="AO231" s="3" t="str">
        <f t="shared" si="143"/>
        <v/>
      </c>
      <c r="AP231" s="33" t="str">
        <f t="shared" si="144"/>
        <v/>
      </c>
      <c r="AQ231" s="58" t="str">
        <f t="shared" si="145"/>
        <v/>
      </c>
      <c r="AR231" s="38">
        <f>'ANR OK vs ML7'!AR231</f>
        <v>0.1</v>
      </c>
      <c r="AS231" s="35" t="str">
        <f t="shared" si="146"/>
        <v/>
      </c>
      <c r="AT231" s="3" t="str">
        <f t="shared" si="147"/>
        <v/>
      </c>
      <c r="AU231" s="3" t="str">
        <f t="shared" si="148"/>
        <v/>
      </c>
      <c r="AW231" s="32" t="str">
        <f t="shared" si="149"/>
        <v/>
      </c>
      <c r="AX231" s="32" t="str">
        <f t="shared" si="150"/>
        <v/>
      </c>
      <c r="AY231" s="32" t="str">
        <f t="shared" si="151"/>
        <v/>
      </c>
      <c r="BA231" s="32" t="str">
        <f>IF($A232="","",F231*Summary!$Q$8)</f>
        <v/>
      </c>
    </row>
    <row r="232" spans="1:53" ht="12" customHeight="1">
      <c r="A232" s="67" t="str">
        <f t="shared" si="152"/>
        <v/>
      </c>
      <c r="B232" s="69">
        <f t="shared" si="154"/>
        <v>0</v>
      </c>
      <c r="C232" s="71"/>
      <c r="D232" s="69" t="str">
        <f t="shared" si="117"/>
        <v/>
      </c>
      <c r="E232" s="70" t="str">
        <f t="shared" si="118"/>
        <v/>
      </c>
      <c r="F232" s="70" t="str">
        <f t="shared" si="119"/>
        <v/>
      </c>
      <c r="G232" s="63" t="str">
        <f t="shared" si="120"/>
        <v/>
      </c>
      <c r="H232" s="64" t="str">
        <f t="shared" si="121"/>
        <v/>
      </c>
      <c r="I232" s="43"/>
      <c r="J232" s="63" t="str">
        <f t="shared" si="122"/>
        <v/>
      </c>
      <c r="K232" s="64" t="str">
        <f t="shared" si="123"/>
        <v/>
      </c>
      <c r="L232" s="63" t="str">
        <f t="shared" si="124"/>
        <v/>
      </c>
      <c r="M232" s="64" t="str">
        <f t="shared" si="125"/>
        <v/>
      </c>
      <c r="N232" s="65"/>
      <c r="O232" s="63" t="str">
        <f t="shared" si="126"/>
        <v/>
      </c>
      <c r="P232" s="63" t="str">
        <f t="shared" si="127"/>
        <v/>
      </c>
      <c r="Q232" s="66"/>
      <c r="R232" s="63" t="str">
        <f t="shared" si="128"/>
        <v/>
      </c>
      <c r="S232" s="64" t="str">
        <f t="shared" si="129"/>
        <v/>
      </c>
      <c r="T232" s="63" t="str">
        <f t="shared" si="130"/>
        <v/>
      </c>
      <c r="U232" s="64" t="str">
        <f t="shared" si="131"/>
        <v/>
      </c>
      <c r="V232" s="207" t="str">
        <f>IF($A233="","",IF(AND(MONTH(A232)&gt;3,MONTH(A232)&lt;11),(T232+R232+G232)*Summary!$T$8/(1-Summary!$T$8),(T232+R232+G232)*Summary!$U$8/(1-Summary!$U$8)))</f>
        <v/>
      </c>
      <c r="W232" s="63" t="str">
        <f t="shared" si="132"/>
        <v/>
      </c>
      <c r="X232" s="63" t="str">
        <f t="shared" si="133"/>
        <v/>
      </c>
      <c r="Y232" s="43"/>
      <c r="Z232" s="38" t="str">
        <f t="shared" si="134"/>
        <v/>
      </c>
      <c r="AA232" s="38" t="str">
        <f t="shared" si="135"/>
        <v/>
      </c>
      <c r="AB232" s="38" t="e">
        <f t="shared" si="136"/>
        <v>#VALUE!</v>
      </c>
      <c r="AC232" s="38" t="str">
        <f t="shared" si="137"/>
        <v/>
      </c>
      <c r="AD232" s="38" t="str">
        <f t="shared" si="137"/>
        <v/>
      </c>
      <c r="AE232" s="38" t="e">
        <f t="shared" si="138"/>
        <v>#VALUE!</v>
      </c>
      <c r="AF232" s="237" t="e">
        <f>((Summary!$N$8*(AA232*AD232)*(A232-$D$3))+(Summary!$M$8*Z232*AC232*(AJ232-EOMONTH(EDATE(A232,-1),0))))/(AK232*AB232*AE232)</f>
        <v>#VALUE!</v>
      </c>
      <c r="AG232" s="88" t="str">
        <f>IF($A233="","",Summary!$Q$8)</f>
        <v/>
      </c>
      <c r="AH232" s="88" t="str">
        <f>IF($A233="","",IF(Summary!$R$8="Y",(VLOOKUP($A232,Summary!$AD$6:$AF$9,3)+'Escalating commodity'!D245),'Escalating commodity'!D245))</f>
        <v/>
      </c>
      <c r="AI232" s="88" t="str">
        <f t="shared" si="153"/>
        <v/>
      </c>
      <c r="AJ232" s="236" t="e">
        <f t="shared" si="139"/>
        <v>#VALUE!</v>
      </c>
      <c r="AK232" s="58" t="str">
        <f t="shared" si="140"/>
        <v/>
      </c>
      <c r="AL232" s="26" t="str">
        <f>IF($A233="","",_xll.SPRDOPT(P232,X232,AI232,0,AB232,AE232,AF232,AK232,$AJ$2,0))</f>
        <v/>
      </c>
      <c r="AM232" s="89" t="str">
        <f t="shared" si="141"/>
        <v/>
      </c>
      <c r="AN232" s="89" t="str">
        <f t="shared" si="142"/>
        <v/>
      </c>
      <c r="AO232" s="3" t="str">
        <f t="shared" si="143"/>
        <v/>
      </c>
      <c r="AP232" s="33" t="str">
        <f t="shared" si="144"/>
        <v/>
      </c>
      <c r="AQ232" s="58" t="str">
        <f t="shared" si="145"/>
        <v/>
      </c>
      <c r="AR232" s="38">
        <f>'ANR OK vs ML7'!AR232</f>
        <v>0.1</v>
      </c>
      <c r="AS232" s="35" t="str">
        <f t="shared" si="146"/>
        <v/>
      </c>
      <c r="AT232" s="3" t="str">
        <f t="shared" si="147"/>
        <v/>
      </c>
      <c r="AU232" s="3" t="str">
        <f t="shared" si="148"/>
        <v/>
      </c>
      <c r="AW232" s="32" t="str">
        <f t="shared" si="149"/>
        <v/>
      </c>
      <c r="AX232" s="32" t="str">
        <f t="shared" si="150"/>
        <v/>
      </c>
      <c r="AY232" s="32" t="str">
        <f t="shared" si="151"/>
        <v/>
      </c>
      <c r="BA232" s="32" t="str">
        <f>IF($A233="","",F232*Summary!$Q$8)</f>
        <v/>
      </c>
    </row>
    <row r="233" spans="1:53" ht="12" customHeight="1">
      <c r="A233" s="67" t="str">
        <f t="shared" si="152"/>
        <v/>
      </c>
      <c r="B233" s="69">
        <f t="shared" si="154"/>
        <v>0</v>
      </c>
      <c r="C233" s="71"/>
      <c r="D233" s="69" t="str">
        <f t="shared" si="117"/>
        <v/>
      </c>
      <c r="E233" s="70" t="str">
        <f t="shared" si="118"/>
        <v/>
      </c>
      <c r="F233" s="70" t="str">
        <f t="shared" si="119"/>
        <v/>
      </c>
      <c r="G233" s="63" t="str">
        <f t="shared" si="120"/>
        <v/>
      </c>
      <c r="H233" s="64" t="str">
        <f t="shared" si="121"/>
        <v/>
      </c>
      <c r="I233" s="43"/>
      <c r="J233" s="63" t="str">
        <f t="shared" si="122"/>
        <v/>
      </c>
      <c r="K233" s="64" t="str">
        <f t="shared" si="123"/>
        <v/>
      </c>
      <c r="L233" s="63" t="str">
        <f t="shared" si="124"/>
        <v/>
      </c>
      <c r="M233" s="64" t="str">
        <f t="shared" si="125"/>
        <v/>
      </c>
      <c r="N233" s="65"/>
      <c r="O233" s="63" t="str">
        <f t="shared" si="126"/>
        <v/>
      </c>
      <c r="P233" s="63" t="str">
        <f t="shared" si="127"/>
        <v/>
      </c>
      <c r="Q233" s="66"/>
      <c r="R233" s="63" t="str">
        <f t="shared" si="128"/>
        <v/>
      </c>
      <c r="S233" s="64" t="str">
        <f t="shared" si="129"/>
        <v/>
      </c>
      <c r="T233" s="63" t="str">
        <f t="shared" si="130"/>
        <v/>
      </c>
      <c r="U233" s="64" t="str">
        <f t="shared" si="131"/>
        <v/>
      </c>
      <c r="V233" s="207" t="str">
        <f>IF($A234="","",IF(AND(MONTH(A233)&gt;3,MONTH(A233)&lt;11),(T233+R233+G233)*Summary!$T$8/(1-Summary!$T$8),(T233+R233+G233)*Summary!$U$8/(1-Summary!$U$8)))</f>
        <v/>
      </c>
      <c r="W233" s="63" t="str">
        <f t="shared" si="132"/>
        <v/>
      </c>
      <c r="X233" s="63" t="str">
        <f t="shared" si="133"/>
        <v/>
      </c>
      <c r="Y233" s="43"/>
      <c r="Z233" s="38" t="str">
        <f t="shared" si="134"/>
        <v/>
      </c>
      <c r="AA233" s="38" t="str">
        <f t="shared" si="135"/>
        <v/>
      </c>
      <c r="AB233" s="38" t="e">
        <f t="shared" si="136"/>
        <v>#VALUE!</v>
      </c>
      <c r="AC233" s="38" t="str">
        <f t="shared" si="137"/>
        <v/>
      </c>
      <c r="AD233" s="38" t="str">
        <f t="shared" si="137"/>
        <v/>
      </c>
      <c r="AE233" s="38" t="e">
        <f t="shared" si="138"/>
        <v>#VALUE!</v>
      </c>
      <c r="AF233" s="237" t="e">
        <f>((Summary!$N$8*(AA233*AD233)*(A233-$D$3))+(Summary!$M$8*Z233*AC233*(AJ233-EOMONTH(EDATE(A233,-1),0))))/(AK233*AB233*AE233)</f>
        <v>#VALUE!</v>
      </c>
      <c r="AG233" s="88" t="str">
        <f>IF($A234="","",Summary!$Q$8)</f>
        <v/>
      </c>
      <c r="AH233" s="88" t="str">
        <f>IF($A234="","",IF(Summary!$R$8="Y",(VLOOKUP($A233,Summary!$AD$6:$AF$9,3)+'Escalating commodity'!D246),'Escalating commodity'!D246))</f>
        <v/>
      </c>
      <c r="AI233" s="88" t="str">
        <f t="shared" si="153"/>
        <v/>
      </c>
      <c r="AJ233" s="236" t="e">
        <f t="shared" si="139"/>
        <v>#VALUE!</v>
      </c>
      <c r="AK233" s="58" t="str">
        <f t="shared" si="140"/>
        <v/>
      </c>
      <c r="AL233" s="26" t="str">
        <f>IF($A234="","",_xll.SPRDOPT(P233,X233,AI233,0,AB233,AE233,AF233,AK233,$AJ$2,0))</f>
        <v/>
      </c>
      <c r="AM233" s="89" t="str">
        <f t="shared" si="141"/>
        <v/>
      </c>
      <c r="AN233" s="89" t="str">
        <f t="shared" si="142"/>
        <v/>
      </c>
      <c r="AO233" s="3" t="str">
        <f t="shared" si="143"/>
        <v/>
      </c>
      <c r="AP233" s="33" t="str">
        <f t="shared" si="144"/>
        <v/>
      </c>
      <c r="AQ233" s="58" t="str">
        <f t="shared" si="145"/>
        <v/>
      </c>
      <c r="AR233" s="38">
        <f>'ANR OK vs ML7'!AR233</f>
        <v>0.1</v>
      </c>
      <c r="AS233" s="35" t="str">
        <f t="shared" si="146"/>
        <v/>
      </c>
      <c r="AT233" s="3" t="str">
        <f t="shared" si="147"/>
        <v/>
      </c>
      <c r="AU233" s="3" t="str">
        <f t="shared" si="148"/>
        <v/>
      </c>
      <c r="AW233" s="32" t="str">
        <f t="shared" si="149"/>
        <v/>
      </c>
      <c r="AX233" s="32" t="str">
        <f t="shared" si="150"/>
        <v/>
      </c>
      <c r="AY233" s="32" t="str">
        <f t="shared" si="151"/>
        <v/>
      </c>
      <c r="BA233" s="32" t="str">
        <f>IF($A234="","",F233*Summary!$Q$8)</f>
        <v/>
      </c>
    </row>
    <row r="234" spans="1:53" ht="12" customHeight="1">
      <c r="A234" s="67" t="str">
        <f t="shared" si="152"/>
        <v/>
      </c>
      <c r="B234" s="69">
        <f t="shared" si="154"/>
        <v>0</v>
      </c>
      <c r="C234" s="71"/>
      <c r="D234" s="69" t="str">
        <f t="shared" si="117"/>
        <v/>
      </c>
      <c r="E234" s="70" t="str">
        <f t="shared" si="118"/>
        <v/>
      </c>
      <c r="F234" s="70" t="str">
        <f t="shared" si="119"/>
        <v/>
      </c>
      <c r="G234" s="63" t="str">
        <f t="shared" si="120"/>
        <v/>
      </c>
      <c r="H234" s="64" t="str">
        <f t="shared" si="121"/>
        <v/>
      </c>
      <c r="I234" s="43"/>
      <c r="J234" s="63" t="str">
        <f t="shared" si="122"/>
        <v/>
      </c>
      <c r="K234" s="64" t="str">
        <f t="shared" si="123"/>
        <v/>
      </c>
      <c r="L234" s="63" t="str">
        <f t="shared" si="124"/>
        <v/>
      </c>
      <c r="M234" s="64" t="str">
        <f t="shared" si="125"/>
        <v/>
      </c>
      <c r="N234" s="65"/>
      <c r="O234" s="63" t="str">
        <f t="shared" si="126"/>
        <v/>
      </c>
      <c r="P234" s="63" t="str">
        <f t="shared" si="127"/>
        <v/>
      </c>
      <c r="Q234" s="66"/>
      <c r="R234" s="63" t="str">
        <f t="shared" si="128"/>
        <v/>
      </c>
      <c r="S234" s="64" t="str">
        <f t="shared" si="129"/>
        <v/>
      </c>
      <c r="T234" s="63" t="str">
        <f t="shared" si="130"/>
        <v/>
      </c>
      <c r="U234" s="64" t="str">
        <f t="shared" si="131"/>
        <v/>
      </c>
      <c r="V234" s="207" t="str">
        <f>IF($A235="","",IF(AND(MONTH(A234)&gt;3,MONTH(A234)&lt;11),(T234+R234+G234)*Summary!$T$8/(1-Summary!$T$8),(T234+R234+G234)*Summary!$U$8/(1-Summary!$U$8)))</f>
        <v/>
      </c>
      <c r="W234" s="63" t="str">
        <f t="shared" si="132"/>
        <v/>
      </c>
      <c r="X234" s="63" t="str">
        <f t="shared" si="133"/>
        <v/>
      </c>
      <c r="Y234" s="43"/>
      <c r="Z234" s="38" t="str">
        <f t="shared" si="134"/>
        <v/>
      </c>
      <c r="AA234" s="38" t="str">
        <f t="shared" si="135"/>
        <v/>
      </c>
      <c r="AB234" s="38" t="e">
        <f t="shared" si="136"/>
        <v>#VALUE!</v>
      </c>
      <c r="AC234" s="38" t="str">
        <f t="shared" si="137"/>
        <v/>
      </c>
      <c r="AD234" s="38" t="str">
        <f t="shared" si="137"/>
        <v/>
      </c>
      <c r="AE234" s="38" t="e">
        <f t="shared" si="138"/>
        <v>#VALUE!</v>
      </c>
      <c r="AF234" s="237" t="e">
        <f>((Summary!$N$8*(AA234*AD234)*(A234-$D$3))+(Summary!$M$8*Z234*AC234*(AJ234-EOMONTH(EDATE(A234,-1),0))))/(AK234*AB234*AE234)</f>
        <v>#VALUE!</v>
      </c>
      <c r="AG234" s="88" t="str">
        <f>IF($A235="","",Summary!$Q$8)</f>
        <v/>
      </c>
      <c r="AH234" s="88" t="str">
        <f>IF($A235="","",IF(Summary!$R$8="Y",(VLOOKUP($A234,Summary!$AD$6:$AF$9,3)+'Escalating commodity'!D247),'Escalating commodity'!D247))</f>
        <v/>
      </c>
      <c r="AI234" s="88" t="str">
        <f t="shared" si="153"/>
        <v/>
      </c>
      <c r="AJ234" s="236" t="e">
        <f t="shared" si="139"/>
        <v>#VALUE!</v>
      </c>
      <c r="AK234" s="58" t="str">
        <f t="shared" si="140"/>
        <v/>
      </c>
      <c r="AL234" s="26" t="str">
        <f>IF($A235="","",_xll.SPRDOPT(P234,X234,AI234,0,AB234,AE234,AF234,AK234,$AJ$2,0))</f>
        <v/>
      </c>
      <c r="AM234" s="89" t="str">
        <f t="shared" si="141"/>
        <v/>
      </c>
      <c r="AN234" s="89" t="str">
        <f t="shared" si="142"/>
        <v/>
      </c>
      <c r="AO234" s="3" t="str">
        <f t="shared" si="143"/>
        <v/>
      </c>
      <c r="AP234" s="33" t="str">
        <f t="shared" si="144"/>
        <v/>
      </c>
      <c r="AQ234" s="58" t="str">
        <f t="shared" si="145"/>
        <v/>
      </c>
      <c r="AR234" s="38">
        <f>'ANR OK vs ML7'!AR234</f>
        <v>0.1</v>
      </c>
      <c r="AS234" s="35" t="str">
        <f t="shared" si="146"/>
        <v/>
      </c>
      <c r="AT234" s="3" t="str">
        <f t="shared" si="147"/>
        <v/>
      </c>
      <c r="AU234" s="3" t="str">
        <f t="shared" si="148"/>
        <v/>
      </c>
      <c r="AW234" s="32" t="str">
        <f t="shared" si="149"/>
        <v/>
      </c>
      <c r="AX234" s="32" t="str">
        <f t="shared" si="150"/>
        <v/>
      </c>
      <c r="AY234" s="32" t="str">
        <f t="shared" si="151"/>
        <v/>
      </c>
      <c r="BA234" s="32" t="str">
        <f>IF($A235="","",F234*Summary!$Q$8)</f>
        <v/>
      </c>
    </row>
    <row r="235" spans="1:53" ht="12" customHeight="1">
      <c r="A235" s="67" t="str">
        <f t="shared" si="152"/>
        <v/>
      </c>
      <c r="B235" s="69">
        <f t="shared" si="154"/>
        <v>0</v>
      </c>
      <c r="C235" s="71"/>
      <c r="D235" s="69" t="str">
        <f t="shared" si="117"/>
        <v/>
      </c>
      <c r="E235" s="70" t="str">
        <f t="shared" si="118"/>
        <v/>
      </c>
      <c r="F235" s="70" t="str">
        <f t="shared" si="119"/>
        <v/>
      </c>
      <c r="G235" s="63" t="str">
        <f t="shared" si="120"/>
        <v/>
      </c>
      <c r="H235" s="64" t="str">
        <f t="shared" si="121"/>
        <v/>
      </c>
      <c r="I235" s="43"/>
      <c r="J235" s="63" t="str">
        <f t="shared" si="122"/>
        <v/>
      </c>
      <c r="K235" s="64" t="str">
        <f t="shared" si="123"/>
        <v/>
      </c>
      <c r="L235" s="63" t="str">
        <f t="shared" si="124"/>
        <v/>
      </c>
      <c r="M235" s="64" t="str">
        <f t="shared" si="125"/>
        <v/>
      </c>
      <c r="N235" s="65"/>
      <c r="O235" s="63" t="str">
        <f t="shared" si="126"/>
        <v/>
      </c>
      <c r="P235" s="63" t="str">
        <f t="shared" si="127"/>
        <v/>
      </c>
      <c r="Q235" s="66"/>
      <c r="R235" s="63" t="str">
        <f t="shared" si="128"/>
        <v/>
      </c>
      <c r="S235" s="64" t="str">
        <f t="shared" si="129"/>
        <v/>
      </c>
      <c r="T235" s="63" t="str">
        <f t="shared" si="130"/>
        <v/>
      </c>
      <c r="U235" s="64" t="str">
        <f t="shared" si="131"/>
        <v/>
      </c>
      <c r="V235" s="207" t="str">
        <f>IF($A236="","",IF(AND(MONTH(A235)&gt;3,MONTH(A235)&lt;11),(T235+R235+G235)*Summary!$T$8/(1-Summary!$T$8),(T235+R235+G235)*Summary!$U$8/(1-Summary!$U$8)))</f>
        <v/>
      </c>
      <c r="W235" s="63" t="str">
        <f t="shared" si="132"/>
        <v/>
      </c>
      <c r="X235" s="63" t="str">
        <f t="shared" si="133"/>
        <v/>
      </c>
      <c r="Y235" s="43"/>
      <c r="Z235" s="38" t="str">
        <f t="shared" si="134"/>
        <v/>
      </c>
      <c r="AA235" s="38" t="str">
        <f t="shared" si="135"/>
        <v/>
      </c>
      <c r="AB235" s="38" t="e">
        <f t="shared" si="136"/>
        <v>#VALUE!</v>
      </c>
      <c r="AC235" s="38" t="str">
        <f t="shared" si="137"/>
        <v/>
      </c>
      <c r="AD235" s="38" t="str">
        <f t="shared" si="137"/>
        <v/>
      </c>
      <c r="AE235" s="38" t="e">
        <f t="shared" si="138"/>
        <v>#VALUE!</v>
      </c>
      <c r="AF235" s="237" t="e">
        <f>((Summary!$N$8*(AA235*AD235)*(A235-$D$3))+(Summary!$M$8*Z235*AC235*(AJ235-EOMONTH(EDATE(A235,-1),0))))/(AK235*AB235*AE235)</f>
        <v>#VALUE!</v>
      </c>
      <c r="AG235" s="88" t="str">
        <f>IF($A236="","",Summary!$Q$8)</f>
        <v/>
      </c>
      <c r="AH235" s="88" t="str">
        <f>IF($A236="","",IF(Summary!$R$8="Y",(VLOOKUP($A235,Summary!$AD$6:$AF$9,3)+'Escalating commodity'!D248),'Escalating commodity'!D248))</f>
        <v/>
      </c>
      <c r="AI235" s="88" t="str">
        <f t="shared" si="153"/>
        <v/>
      </c>
      <c r="AJ235" s="236" t="e">
        <f t="shared" si="139"/>
        <v>#VALUE!</v>
      </c>
      <c r="AK235" s="58" t="str">
        <f t="shared" si="140"/>
        <v/>
      </c>
      <c r="AL235" s="26" t="str">
        <f>IF($A236="","",_xll.SPRDOPT(P235,X235,AI235,0,AB235,AE235,AF235,AK235,$AJ$2,0))</f>
        <v/>
      </c>
      <c r="AM235" s="89" t="str">
        <f t="shared" si="141"/>
        <v/>
      </c>
      <c r="AN235" s="89" t="str">
        <f t="shared" si="142"/>
        <v/>
      </c>
      <c r="AO235" s="3" t="str">
        <f t="shared" si="143"/>
        <v/>
      </c>
      <c r="AP235" s="33" t="str">
        <f t="shared" si="144"/>
        <v/>
      </c>
      <c r="AQ235" s="58" t="str">
        <f t="shared" si="145"/>
        <v/>
      </c>
      <c r="AR235" s="38">
        <f>'ANR OK vs ML7'!AR235</f>
        <v>0.1</v>
      </c>
      <c r="AS235" s="35" t="str">
        <f t="shared" si="146"/>
        <v/>
      </c>
      <c r="AT235" s="3" t="str">
        <f t="shared" si="147"/>
        <v/>
      </c>
      <c r="AU235" s="3" t="str">
        <f t="shared" si="148"/>
        <v/>
      </c>
      <c r="AW235" s="32" t="str">
        <f t="shared" si="149"/>
        <v/>
      </c>
      <c r="AX235" s="32" t="str">
        <f t="shared" si="150"/>
        <v/>
      </c>
      <c r="AY235" s="32" t="str">
        <f t="shared" si="151"/>
        <v/>
      </c>
      <c r="BA235" s="32" t="str">
        <f>IF($A236="","",F235*Summary!$Q$8)</f>
        <v/>
      </c>
    </row>
    <row r="236" spans="1:53" ht="12" customHeight="1">
      <c r="A236" s="67" t="str">
        <f t="shared" si="152"/>
        <v/>
      </c>
      <c r="B236" s="69">
        <f t="shared" si="154"/>
        <v>0</v>
      </c>
      <c r="C236" s="71"/>
      <c r="D236" s="69" t="str">
        <f t="shared" si="117"/>
        <v/>
      </c>
      <c r="E236" s="70" t="str">
        <f t="shared" si="118"/>
        <v/>
      </c>
      <c r="F236" s="70" t="str">
        <f t="shared" si="119"/>
        <v/>
      </c>
      <c r="G236" s="63" t="str">
        <f t="shared" si="120"/>
        <v/>
      </c>
      <c r="H236" s="64" t="str">
        <f t="shared" si="121"/>
        <v/>
      </c>
      <c r="I236" s="43"/>
      <c r="J236" s="63" t="str">
        <f t="shared" si="122"/>
        <v/>
      </c>
      <c r="K236" s="64" t="str">
        <f t="shared" si="123"/>
        <v/>
      </c>
      <c r="L236" s="63" t="str">
        <f t="shared" si="124"/>
        <v/>
      </c>
      <c r="M236" s="64" t="str">
        <f t="shared" si="125"/>
        <v/>
      </c>
      <c r="N236" s="65"/>
      <c r="O236" s="63" t="str">
        <f t="shared" si="126"/>
        <v/>
      </c>
      <c r="P236" s="63" t="str">
        <f t="shared" si="127"/>
        <v/>
      </c>
      <c r="Q236" s="66"/>
      <c r="R236" s="63" t="str">
        <f t="shared" si="128"/>
        <v/>
      </c>
      <c r="S236" s="64" t="str">
        <f t="shared" si="129"/>
        <v/>
      </c>
      <c r="T236" s="63" t="str">
        <f t="shared" si="130"/>
        <v/>
      </c>
      <c r="U236" s="64" t="str">
        <f t="shared" si="131"/>
        <v/>
      </c>
      <c r="V236" s="207" t="str">
        <f>IF($A237="","",IF(AND(MONTH(A236)&gt;3,MONTH(A236)&lt;11),(T236+R236+G236)*Summary!$T$8/(1-Summary!$T$8),(T236+R236+G236)*Summary!$U$8/(1-Summary!$U$8)))</f>
        <v/>
      </c>
      <c r="W236" s="63" t="str">
        <f t="shared" si="132"/>
        <v/>
      </c>
      <c r="X236" s="63" t="str">
        <f t="shared" si="133"/>
        <v/>
      </c>
      <c r="Y236" s="43"/>
      <c r="Z236" s="38" t="str">
        <f t="shared" si="134"/>
        <v/>
      </c>
      <c r="AA236" s="38" t="str">
        <f t="shared" si="135"/>
        <v/>
      </c>
      <c r="AB236" s="38" t="e">
        <f t="shared" si="136"/>
        <v>#VALUE!</v>
      </c>
      <c r="AC236" s="38" t="str">
        <f t="shared" si="137"/>
        <v/>
      </c>
      <c r="AD236" s="38" t="str">
        <f t="shared" si="137"/>
        <v/>
      </c>
      <c r="AE236" s="38" t="e">
        <f t="shared" si="138"/>
        <v>#VALUE!</v>
      </c>
      <c r="AF236" s="237" t="e">
        <f>((Summary!$N$8*(AA236*AD236)*(A236-$D$3))+(Summary!$M$8*Z236*AC236*(AJ236-EOMONTH(EDATE(A236,-1),0))))/(AK236*AB236*AE236)</f>
        <v>#VALUE!</v>
      </c>
      <c r="AG236" s="88" t="str">
        <f>IF($A237="","",Summary!$Q$8)</f>
        <v/>
      </c>
      <c r="AH236" s="88" t="str">
        <f>IF($A237="","",IF(Summary!$R$8="Y",(VLOOKUP($A236,Summary!$AD$6:$AF$9,3)+'Escalating commodity'!D249),'Escalating commodity'!D249))</f>
        <v/>
      </c>
      <c r="AI236" s="88" t="str">
        <f t="shared" si="153"/>
        <v/>
      </c>
      <c r="AJ236" s="236" t="e">
        <f t="shared" si="139"/>
        <v>#VALUE!</v>
      </c>
      <c r="AK236" s="58" t="str">
        <f t="shared" si="140"/>
        <v/>
      </c>
      <c r="AL236" s="26" t="str">
        <f>IF($A237="","",_xll.SPRDOPT(P236,X236,AI236,0,AB236,AE236,AF236,AK236,$AJ$2,0))</f>
        <v/>
      </c>
      <c r="AM236" s="89" t="str">
        <f t="shared" si="141"/>
        <v/>
      </c>
      <c r="AN236" s="89" t="str">
        <f t="shared" si="142"/>
        <v/>
      </c>
      <c r="AO236" s="3" t="str">
        <f t="shared" si="143"/>
        <v/>
      </c>
      <c r="AP236" s="33" t="str">
        <f t="shared" si="144"/>
        <v/>
      </c>
      <c r="AQ236" s="58" t="str">
        <f t="shared" si="145"/>
        <v/>
      </c>
      <c r="AR236" s="38">
        <f>'ANR OK vs ML7'!AR236</f>
        <v>0.1</v>
      </c>
      <c r="AS236" s="35" t="str">
        <f t="shared" si="146"/>
        <v/>
      </c>
      <c r="AT236" s="3" t="str">
        <f t="shared" si="147"/>
        <v/>
      </c>
      <c r="AU236" s="3" t="str">
        <f t="shared" si="148"/>
        <v/>
      </c>
      <c r="AW236" s="32" t="str">
        <f t="shared" si="149"/>
        <v/>
      </c>
      <c r="AX236" s="32" t="str">
        <f t="shared" si="150"/>
        <v/>
      </c>
      <c r="AY236" s="32" t="str">
        <f t="shared" si="151"/>
        <v/>
      </c>
      <c r="BA236" s="32" t="str">
        <f>IF($A237="","",F236*Summary!$Q$8)</f>
        <v/>
      </c>
    </row>
    <row r="237" spans="1:53" ht="12" customHeight="1">
      <c r="A237" s="67" t="str">
        <f t="shared" si="152"/>
        <v/>
      </c>
      <c r="B237" s="69">
        <f t="shared" si="154"/>
        <v>0</v>
      </c>
      <c r="C237" s="71"/>
      <c r="D237" s="69" t="str">
        <f t="shared" si="117"/>
        <v/>
      </c>
      <c r="E237" s="70" t="str">
        <f t="shared" si="118"/>
        <v/>
      </c>
      <c r="F237" s="70" t="str">
        <f t="shared" si="119"/>
        <v/>
      </c>
      <c r="G237" s="63" t="str">
        <f t="shared" si="120"/>
        <v/>
      </c>
      <c r="H237" s="64" t="str">
        <f t="shared" si="121"/>
        <v/>
      </c>
      <c r="I237" s="43"/>
      <c r="J237" s="63" t="str">
        <f t="shared" si="122"/>
        <v/>
      </c>
      <c r="K237" s="64" t="str">
        <f t="shared" si="123"/>
        <v/>
      </c>
      <c r="L237" s="63" t="str">
        <f t="shared" si="124"/>
        <v/>
      </c>
      <c r="M237" s="64" t="str">
        <f t="shared" si="125"/>
        <v/>
      </c>
      <c r="N237" s="65"/>
      <c r="O237" s="63" t="str">
        <f t="shared" si="126"/>
        <v/>
      </c>
      <c r="P237" s="63" t="str">
        <f t="shared" si="127"/>
        <v/>
      </c>
      <c r="Q237" s="66"/>
      <c r="R237" s="63" t="str">
        <f t="shared" si="128"/>
        <v/>
      </c>
      <c r="S237" s="64" t="str">
        <f t="shared" si="129"/>
        <v/>
      </c>
      <c r="T237" s="63" t="str">
        <f t="shared" si="130"/>
        <v/>
      </c>
      <c r="U237" s="64" t="str">
        <f t="shared" si="131"/>
        <v/>
      </c>
      <c r="V237" s="207" t="str">
        <f>IF($A238="","",IF(AND(MONTH(A237)&gt;3,MONTH(A237)&lt;11),(T237+R237+G237)*Summary!$T$8/(1-Summary!$T$8),(T237+R237+G237)*Summary!$U$8/(1-Summary!$U$8)))</f>
        <v/>
      </c>
      <c r="W237" s="63" t="str">
        <f t="shared" si="132"/>
        <v/>
      </c>
      <c r="X237" s="63" t="str">
        <f t="shared" si="133"/>
        <v/>
      </c>
      <c r="Y237" s="43"/>
      <c r="Z237" s="38" t="str">
        <f t="shared" si="134"/>
        <v/>
      </c>
      <c r="AA237" s="38" t="str">
        <f t="shared" si="135"/>
        <v/>
      </c>
      <c r="AB237" s="38" t="e">
        <f t="shared" si="136"/>
        <v>#VALUE!</v>
      </c>
      <c r="AC237" s="38" t="str">
        <f t="shared" si="137"/>
        <v/>
      </c>
      <c r="AD237" s="38" t="str">
        <f t="shared" si="137"/>
        <v/>
      </c>
      <c r="AE237" s="38" t="e">
        <f t="shared" si="138"/>
        <v>#VALUE!</v>
      </c>
      <c r="AF237" s="237" t="e">
        <f>((Summary!$N$8*(AA237*AD237)*(A237-$D$3))+(Summary!$M$8*Z237*AC237*(AJ237-EOMONTH(EDATE(A237,-1),0))))/(AK237*AB237*AE237)</f>
        <v>#VALUE!</v>
      </c>
      <c r="AG237" s="88" t="str">
        <f>IF($A238="","",Summary!$Q$8)</f>
        <v/>
      </c>
      <c r="AH237" s="88" t="str">
        <f>IF($A238="","",IF(Summary!$R$8="Y",(VLOOKUP($A237,Summary!$AD$6:$AF$9,3)+'Escalating commodity'!D250),'Escalating commodity'!D250))</f>
        <v/>
      </c>
      <c r="AI237" s="88" t="str">
        <f t="shared" si="153"/>
        <v/>
      </c>
      <c r="AJ237" s="236" t="e">
        <f t="shared" si="139"/>
        <v>#VALUE!</v>
      </c>
      <c r="AK237" s="58" t="str">
        <f t="shared" si="140"/>
        <v/>
      </c>
      <c r="AL237" s="26" t="str">
        <f>IF($A238="","",_xll.SPRDOPT(P237,X237,AI237,0,AB237,AE237,AF237,AK237,$AJ$2,0))</f>
        <v/>
      </c>
      <c r="AM237" s="89" t="str">
        <f t="shared" si="141"/>
        <v/>
      </c>
      <c r="AN237" s="89" t="str">
        <f t="shared" si="142"/>
        <v/>
      </c>
      <c r="AO237" s="3" t="str">
        <f t="shared" si="143"/>
        <v/>
      </c>
      <c r="AP237" s="33" t="str">
        <f t="shared" si="144"/>
        <v/>
      </c>
      <c r="AQ237" s="58" t="str">
        <f t="shared" si="145"/>
        <v/>
      </c>
      <c r="AR237" s="38">
        <f>'ANR OK vs ML7'!AR237</f>
        <v>0.1</v>
      </c>
      <c r="AS237" s="35" t="str">
        <f t="shared" si="146"/>
        <v/>
      </c>
      <c r="AT237" s="3" t="str">
        <f t="shared" si="147"/>
        <v/>
      </c>
      <c r="AU237" s="3" t="str">
        <f t="shared" si="148"/>
        <v/>
      </c>
      <c r="AW237" s="32" t="str">
        <f t="shared" si="149"/>
        <v/>
      </c>
      <c r="AX237" s="32" t="str">
        <f t="shared" si="150"/>
        <v/>
      </c>
      <c r="AY237" s="32" t="str">
        <f t="shared" si="151"/>
        <v/>
      </c>
      <c r="BA237" s="32" t="str">
        <f>IF($A238="","",F237*Summary!$Q$8)</f>
        <v/>
      </c>
    </row>
    <row r="238" spans="1:53" ht="12" customHeight="1">
      <c r="A238" s="67" t="str">
        <f t="shared" si="152"/>
        <v/>
      </c>
      <c r="B238" s="69">
        <f t="shared" si="154"/>
        <v>0</v>
      </c>
      <c r="C238" s="71"/>
      <c r="D238" s="69" t="str">
        <f t="shared" si="117"/>
        <v/>
      </c>
      <c r="E238" s="70" t="str">
        <f t="shared" si="118"/>
        <v/>
      </c>
      <c r="F238" s="70" t="str">
        <f t="shared" si="119"/>
        <v/>
      </c>
      <c r="G238" s="63" t="str">
        <f t="shared" si="120"/>
        <v/>
      </c>
      <c r="H238" s="64" t="str">
        <f t="shared" si="121"/>
        <v/>
      </c>
      <c r="I238" s="43"/>
      <c r="J238" s="63" t="str">
        <f t="shared" si="122"/>
        <v/>
      </c>
      <c r="K238" s="64" t="str">
        <f t="shared" si="123"/>
        <v/>
      </c>
      <c r="L238" s="63" t="str">
        <f t="shared" si="124"/>
        <v/>
      </c>
      <c r="M238" s="64" t="str">
        <f t="shared" si="125"/>
        <v/>
      </c>
      <c r="N238" s="65"/>
      <c r="O238" s="63" t="str">
        <f t="shared" si="126"/>
        <v/>
      </c>
      <c r="P238" s="63" t="str">
        <f t="shared" si="127"/>
        <v/>
      </c>
      <c r="Q238" s="66"/>
      <c r="R238" s="63" t="str">
        <f t="shared" si="128"/>
        <v/>
      </c>
      <c r="S238" s="64" t="str">
        <f t="shared" si="129"/>
        <v/>
      </c>
      <c r="T238" s="63" t="str">
        <f t="shared" si="130"/>
        <v/>
      </c>
      <c r="U238" s="64" t="str">
        <f t="shared" si="131"/>
        <v/>
      </c>
      <c r="V238" s="207" t="str">
        <f>IF($A239="","",IF(AND(MONTH(A238)&gt;3,MONTH(A238)&lt;11),(T238+R238+G238)*Summary!$T$8/(1-Summary!$T$8),(T238+R238+G238)*Summary!$U$8/(1-Summary!$U$8)))</f>
        <v/>
      </c>
      <c r="W238" s="63" t="str">
        <f t="shared" si="132"/>
        <v/>
      </c>
      <c r="X238" s="63" t="str">
        <f t="shared" si="133"/>
        <v/>
      </c>
      <c r="Y238" s="43"/>
      <c r="Z238" s="38" t="str">
        <f t="shared" si="134"/>
        <v/>
      </c>
      <c r="AA238" s="38" t="str">
        <f t="shared" si="135"/>
        <v/>
      </c>
      <c r="AB238" s="38" t="e">
        <f t="shared" si="136"/>
        <v>#VALUE!</v>
      </c>
      <c r="AC238" s="38" t="str">
        <f t="shared" si="137"/>
        <v/>
      </c>
      <c r="AD238" s="38" t="str">
        <f t="shared" si="137"/>
        <v/>
      </c>
      <c r="AE238" s="38" t="e">
        <f t="shared" si="138"/>
        <v>#VALUE!</v>
      </c>
      <c r="AF238" s="237" t="e">
        <f>((Summary!$N$8*(AA238*AD238)*(A238-$D$3))+(Summary!$M$8*Z238*AC238*(AJ238-EOMONTH(EDATE(A238,-1),0))))/(AK238*AB238*AE238)</f>
        <v>#VALUE!</v>
      </c>
      <c r="AG238" s="88" t="str">
        <f>IF($A239="","",Summary!$Q$8)</f>
        <v/>
      </c>
      <c r="AH238" s="88" t="str">
        <f>IF($A239="","",IF(Summary!$R$8="Y",(VLOOKUP($A238,Summary!$AD$6:$AF$9,3)+'Escalating commodity'!D251),'Escalating commodity'!D251))</f>
        <v/>
      </c>
      <c r="AI238" s="88" t="str">
        <f t="shared" si="153"/>
        <v/>
      </c>
      <c r="AJ238" s="236" t="e">
        <f t="shared" si="139"/>
        <v>#VALUE!</v>
      </c>
      <c r="AK238" s="58" t="str">
        <f t="shared" si="140"/>
        <v/>
      </c>
      <c r="AL238" s="26" t="str">
        <f>IF($A239="","",_xll.SPRDOPT(P238,X238,AI238,0,AB238,AE238,AF238,AK238,$AJ$2,0))</f>
        <v/>
      </c>
      <c r="AM238" s="89" t="str">
        <f t="shared" si="141"/>
        <v/>
      </c>
      <c r="AN238" s="89" t="str">
        <f t="shared" si="142"/>
        <v/>
      </c>
      <c r="AO238" s="3" t="str">
        <f t="shared" si="143"/>
        <v/>
      </c>
      <c r="AP238" s="33" t="str">
        <f t="shared" si="144"/>
        <v/>
      </c>
      <c r="AQ238" s="58" t="str">
        <f t="shared" si="145"/>
        <v/>
      </c>
      <c r="AR238" s="38">
        <f>'ANR OK vs ML7'!AR238</f>
        <v>0.1</v>
      </c>
      <c r="AS238" s="35" t="str">
        <f t="shared" si="146"/>
        <v/>
      </c>
      <c r="AT238" s="3" t="str">
        <f t="shared" si="147"/>
        <v/>
      </c>
      <c r="AU238" s="3" t="str">
        <f t="shared" si="148"/>
        <v/>
      </c>
      <c r="AW238" s="32" t="str">
        <f t="shared" si="149"/>
        <v/>
      </c>
      <c r="AX238" s="32" t="str">
        <f t="shared" si="150"/>
        <v/>
      </c>
      <c r="AY238" s="32" t="str">
        <f t="shared" si="151"/>
        <v/>
      </c>
      <c r="BA238" s="32" t="str">
        <f>IF($A239="","",F238*Summary!$Q$8)</f>
        <v/>
      </c>
    </row>
    <row r="239" spans="1:53" ht="12" customHeight="1">
      <c r="A239" s="67" t="str">
        <f t="shared" si="152"/>
        <v/>
      </c>
      <c r="B239" s="69">
        <f t="shared" si="154"/>
        <v>0</v>
      </c>
      <c r="C239" s="71"/>
      <c r="D239" s="69" t="str">
        <f t="shared" si="117"/>
        <v/>
      </c>
      <c r="E239" s="70" t="str">
        <f t="shared" si="118"/>
        <v/>
      </c>
      <c r="F239" s="70" t="str">
        <f t="shared" si="119"/>
        <v/>
      </c>
      <c r="G239" s="63" t="str">
        <f t="shared" si="120"/>
        <v/>
      </c>
      <c r="H239" s="64" t="str">
        <f t="shared" si="121"/>
        <v/>
      </c>
      <c r="I239" s="43"/>
      <c r="J239" s="63" t="str">
        <f t="shared" si="122"/>
        <v/>
      </c>
      <c r="K239" s="64" t="str">
        <f t="shared" si="123"/>
        <v/>
      </c>
      <c r="L239" s="63" t="str">
        <f t="shared" si="124"/>
        <v/>
      </c>
      <c r="M239" s="64" t="str">
        <f t="shared" si="125"/>
        <v/>
      </c>
      <c r="N239" s="65"/>
      <c r="O239" s="63" t="str">
        <f t="shared" si="126"/>
        <v/>
      </c>
      <c r="P239" s="63" t="str">
        <f t="shared" si="127"/>
        <v/>
      </c>
      <c r="Q239" s="66"/>
      <c r="R239" s="63" t="str">
        <f t="shared" si="128"/>
        <v/>
      </c>
      <c r="S239" s="64" t="str">
        <f t="shared" si="129"/>
        <v/>
      </c>
      <c r="T239" s="63" t="str">
        <f t="shared" si="130"/>
        <v/>
      </c>
      <c r="U239" s="64" t="str">
        <f t="shared" si="131"/>
        <v/>
      </c>
      <c r="V239" s="207" t="str">
        <f>IF($A240="","",IF(AND(MONTH(A239)&gt;3,MONTH(A239)&lt;11),(T239+R239+G239)*Summary!$T$8/(1-Summary!$T$8),(T239+R239+G239)*Summary!$U$8/(1-Summary!$U$8)))</f>
        <v/>
      </c>
      <c r="W239" s="63" t="str">
        <f t="shared" si="132"/>
        <v/>
      </c>
      <c r="X239" s="63" t="str">
        <f t="shared" si="133"/>
        <v/>
      </c>
      <c r="Y239" s="43"/>
      <c r="Z239" s="38" t="str">
        <f t="shared" si="134"/>
        <v/>
      </c>
      <c r="AA239" s="38" t="str">
        <f t="shared" si="135"/>
        <v/>
      </c>
      <c r="AB239" s="38" t="e">
        <f t="shared" si="136"/>
        <v>#VALUE!</v>
      </c>
      <c r="AC239" s="38" t="str">
        <f t="shared" si="137"/>
        <v/>
      </c>
      <c r="AD239" s="38" t="str">
        <f t="shared" si="137"/>
        <v/>
      </c>
      <c r="AE239" s="38" t="e">
        <f t="shared" si="138"/>
        <v>#VALUE!</v>
      </c>
      <c r="AF239" s="237" t="e">
        <f>((Summary!$N$8*(AA239*AD239)*(A239-$D$3))+(Summary!$M$8*Z239*AC239*(AJ239-EOMONTH(EDATE(A239,-1),0))))/(AK239*AB239*AE239)</f>
        <v>#VALUE!</v>
      </c>
      <c r="AG239" s="88" t="str">
        <f>IF($A240="","",Summary!$Q$8)</f>
        <v/>
      </c>
      <c r="AH239" s="88" t="str">
        <f>IF($A240="","",IF(Summary!$R$8="Y",(VLOOKUP($A239,Summary!$AD$6:$AF$9,3)+'Escalating commodity'!D252),'Escalating commodity'!D252))</f>
        <v/>
      </c>
      <c r="AI239" s="88" t="str">
        <f t="shared" si="153"/>
        <v/>
      </c>
      <c r="AJ239" s="236" t="e">
        <f t="shared" si="139"/>
        <v>#VALUE!</v>
      </c>
      <c r="AK239" s="58" t="str">
        <f t="shared" si="140"/>
        <v/>
      </c>
      <c r="AL239" s="26" t="str">
        <f>IF($A240="","",_xll.SPRDOPT(P239,X239,AI239,0,AB239,AE239,AF239,AK239,$AJ$2,0))</f>
        <v/>
      </c>
      <c r="AM239" s="89" t="str">
        <f t="shared" si="141"/>
        <v/>
      </c>
      <c r="AN239" s="89" t="str">
        <f t="shared" si="142"/>
        <v/>
      </c>
      <c r="AO239" s="3" t="str">
        <f t="shared" si="143"/>
        <v/>
      </c>
      <c r="AP239" s="33" t="str">
        <f t="shared" si="144"/>
        <v/>
      </c>
      <c r="AQ239" s="58" t="str">
        <f t="shared" si="145"/>
        <v/>
      </c>
      <c r="AR239" s="38">
        <f>'ANR OK vs ML7'!AR239</f>
        <v>0.1</v>
      </c>
      <c r="AS239" s="35" t="str">
        <f t="shared" si="146"/>
        <v/>
      </c>
      <c r="AT239" s="3" t="str">
        <f t="shared" si="147"/>
        <v/>
      </c>
      <c r="AU239" s="3" t="str">
        <f t="shared" si="148"/>
        <v/>
      </c>
      <c r="AW239" s="32" t="str">
        <f t="shared" si="149"/>
        <v/>
      </c>
      <c r="AX239" s="32" t="str">
        <f t="shared" si="150"/>
        <v/>
      </c>
      <c r="AY239" s="32" t="str">
        <f t="shared" si="151"/>
        <v/>
      </c>
      <c r="BA239" s="32" t="str">
        <f>IF($A240="","",F239*Summary!$Q$8)</f>
        <v/>
      </c>
    </row>
    <row r="240" spans="1:53" ht="12" customHeight="1">
      <c r="A240" s="67" t="str">
        <f t="shared" si="152"/>
        <v/>
      </c>
      <c r="B240" s="69">
        <f t="shared" si="154"/>
        <v>0</v>
      </c>
      <c r="C240" s="71"/>
      <c r="D240" s="69" t="str">
        <f t="shared" si="117"/>
        <v/>
      </c>
      <c r="E240" s="70" t="str">
        <f t="shared" si="118"/>
        <v/>
      </c>
      <c r="F240" s="70" t="str">
        <f t="shared" si="119"/>
        <v/>
      </c>
      <c r="G240" s="63" t="str">
        <f t="shared" si="120"/>
        <v/>
      </c>
      <c r="H240" s="64" t="str">
        <f t="shared" si="121"/>
        <v/>
      </c>
      <c r="I240" s="43"/>
      <c r="J240" s="63" t="str">
        <f t="shared" si="122"/>
        <v/>
      </c>
      <c r="K240" s="64" t="str">
        <f t="shared" si="123"/>
        <v/>
      </c>
      <c r="L240" s="63" t="str">
        <f t="shared" si="124"/>
        <v/>
      </c>
      <c r="M240" s="64" t="str">
        <f t="shared" si="125"/>
        <v/>
      </c>
      <c r="N240" s="65"/>
      <c r="O240" s="63" t="str">
        <f t="shared" si="126"/>
        <v/>
      </c>
      <c r="P240" s="63" t="str">
        <f t="shared" si="127"/>
        <v/>
      </c>
      <c r="Q240" s="66"/>
      <c r="R240" s="63" t="str">
        <f t="shared" si="128"/>
        <v/>
      </c>
      <c r="S240" s="64" t="str">
        <f t="shared" si="129"/>
        <v/>
      </c>
      <c r="T240" s="63" t="str">
        <f t="shared" si="130"/>
        <v/>
      </c>
      <c r="U240" s="64" t="str">
        <f t="shared" si="131"/>
        <v/>
      </c>
      <c r="V240" s="207" t="str">
        <f>IF($A241="","",IF(AND(MONTH(A240)&gt;3,MONTH(A240)&lt;11),(T240+R240+G240)*Summary!$T$8/(1-Summary!$T$8),(T240+R240+G240)*Summary!$U$8/(1-Summary!$U$8)))</f>
        <v/>
      </c>
      <c r="W240" s="63" t="str">
        <f t="shared" si="132"/>
        <v/>
      </c>
      <c r="X240" s="63" t="str">
        <f t="shared" si="133"/>
        <v/>
      </c>
      <c r="Y240" s="43"/>
      <c r="Z240" s="38" t="str">
        <f t="shared" si="134"/>
        <v/>
      </c>
      <c r="AA240" s="38" t="str">
        <f t="shared" si="135"/>
        <v/>
      </c>
      <c r="AB240" s="38" t="e">
        <f t="shared" si="136"/>
        <v>#VALUE!</v>
      </c>
      <c r="AC240" s="38" t="str">
        <f t="shared" si="137"/>
        <v/>
      </c>
      <c r="AD240" s="38" t="str">
        <f t="shared" si="137"/>
        <v/>
      </c>
      <c r="AE240" s="38" t="e">
        <f t="shared" si="138"/>
        <v>#VALUE!</v>
      </c>
      <c r="AF240" s="237" t="e">
        <f>((Summary!$N$8*(AA240*AD240)*(A240-$D$3))+(Summary!$M$8*Z240*AC240*(AJ240-EOMONTH(EDATE(A240,-1),0))))/(AK240*AB240*AE240)</f>
        <v>#VALUE!</v>
      </c>
      <c r="AG240" s="88" t="str">
        <f>IF($A241="","",Summary!$Q$8)</f>
        <v/>
      </c>
      <c r="AH240" s="88" t="str">
        <f>IF($A241="","",IF(Summary!$R$8="Y",(VLOOKUP($A240,Summary!$AD$6:$AF$9,3)+'Escalating commodity'!D253),'Escalating commodity'!D253))</f>
        <v/>
      </c>
      <c r="AI240" s="88" t="str">
        <f t="shared" si="153"/>
        <v/>
      </c>
      <c r="AJ240" s="236" t="e">
        <f t="shared" si="139"/>
        <v>#VALUE!</v>
      </c>
      <c r="AK240" s="58" t="str">
        <f t="shared" si="140"/>
        <v/>
      </c>
      <c r="AL240" s="26" t="str">
        <f>IF($A241="","",_xll.SPRDOPT(P240,X240,AI240,0,AB240,AE240,AF240,AK240,$AJ$2,0))</f>
        <v/>
      </c>
      <c r="AM240" s="89" t="str">
        <f t="shared" si="141"/>
        <v/>
      </c>
      <c r="AN240" s="89" t="str">
        <f t="shared" si="142"/>
        <v/>
      </c>
      <c r="AO240" s="3" t="str">
        <f t="shared" si="143"/>
        <v/>
      </c>
      <c r="AP240" s="33" t="str">
        <f t="shared" si="144"/>
        <v/>
      </c>
      <c r="AQ240" s="58" t="str">
        <f t="shared" si="145"/>
        <v/>
      </c>
      <c r="AR240" s="38">
        <f>'ANR OK vs ML7'!AR240</f>
        <v>0.1</v>
      </c>
      <c r="AS240" s="35" t="str">
        <f t="shared" si="146"/>
        <v/>
      </c>
      <c r="AT240" s="3" t="str">
        <f t="shared" si="147"/>
        <v/>
      </c>
      <c r="AU240" s="3" t="str">
        <f t="shared" si="148"/>
        <v/>
      </c>
      <c r="AW240" s="32" t="str">
        <f t="shared" si="149"/>
        <v/>
      </c>
      <c r="AX240" s="32" t="str">
        <f t="shared" si="150"/>
        <v/>
      </c>
      <c r="AY240" s="32" t="str">
        <f t="shared" si="151"/>
        <v/>
      </c>
      <c r="BA240" s="32" t="str">
        <f>IF($A241="","",F240*Summary!$Q$8)</f>
        <v/>
      </c>
    </row>
    <row r="241" spans="1:53" ht="12" customHeight="1">
      <c r="A241" s="67" t="str">
        <f t="shared" si="152"/>
        <v/>
      </c>
      <c r="B241" s="69">
        <f t="shared" si="154"/>
        <v>0</v>
      </c>
      <c r="C241" s="71"/>
      <c r="D241" s="69" t="str">
        <f t="shared" si="117"/>
        <v/>
      </c>
      <c r="E241" s="70" t="str">
        <f t="shared" si="118"/>
        <v/>
      </c>
      <c r="F241" s="70" t="str">
        <f t="shared" si="119"/>
        <v/>
      </c>
      <c r="G241" s="63" t="str">
        <f t="shared" si="120"/>
        <v/>
      </c>
      <c r="H241" s="64" t="str">
        <f t="shared" si="121"/>
        <v/>
      </c>
      <c r="I241" s="43"/>
      <c r="J241" s="63" t="str">
        <f t="shared" si="122"/>
        <v/>
      </c>
      <c r="K241" s="64" t="str">
        <f t="shared" si="123"/>
        <v/>
      </c>
      <c r="L241" s="63" t="str">
        <f t="shared" si="124"/>
        <v/>
      </c>
      <c r="M241" s="64" t="str">
        <f t="shared" si="125"/>
        <v/>
      </c>
      <c r="N241" s="65"/>
      <c r="O241" s="63" t="str">
        <f t="shared" si="126"/>
        <v/>
      </c>
      <c r="P241" s="63" t="str">
        <f t="shared" si="127"/>
        <v/>
      </c>
      <c r="Q241" s="66"/>
      <c r="R241" s="63" t="str">
        <f t="shared" si="128"/>
        <v/>
      </c>
      <c r="S241" s="64" t="str">
        <f t="shared" si="129"/>
        <v/>
      </c>
      <c r="T241" s="63" t="str">
        <f t="shared" si="130"/>
        <v/>
      </c>
      <c r="U241" s="64" t="str">
        <f t="shared" si="131"/>
        <v/>
      </c>
      <c r="V241" s="207" t="str">
        <f>IF($A242="","",IF(AND(MONTH(A241)&gt;3,MONTH(A241)&lt;11),(T241+R241+G241)*Summary!$T$8/(1-Summary!$T$8),(T241+R241+G241)*Summary!$U$8/(1-Summary!$U$8)))</f>
        <v/>
      </c>
      <c r="W241" s="63" t="str">
        <f t="shared" si="132"/>
        <v/>
      </c>
      <c r="X241" s="63" t="str">
        <f t="shared" si="133"/>
        <v/>
      </c>
      <c r="Y241" s="43"/>
      <c r="Z241" s="38" t="str">
        <f t="shared" si="134"/>
        <v/>
      </c>
      <c r="AA241" s="38" t="str">
        <f t="shared" si="135"/>
        <v/>
      </c>
      <c r="AB241" s="38" t="e">
        <f t="shared" si="136"/>
        <v>#VALUE!</v>
      </c>
      <c r="AC241" s="38" t="str">
        <f t="shared" si="137"/>
        <v/>
      </c>
      <c r="AD241" s="38" t="str">
        <f t="shared" si="137"/>
        <v/>
      </c>
      <c r="AE241" s="38" t="e">
        <f t="shared" si="138"/>
        <v>#VALUE!</v>
      </c>
      <c r="AF241" s="237" t="e">
        <f>((Summary!$N$8*(AA241*AD241)*(A241-$D$3))+(Summary!$M$8*Z241*AC241*(AJ241-EOMONTH(EDATE(A241,-1),0))))/(AK241*AB241*AE241)</f>
        <v>#VALUE!</v>
      </c>
      <c r="AG241" s="88" t="str">
        <f>IF($A242="","",Summary!$Q$8)</f>
        <v/>
      </c>
      <c r="AH241" s="88" t="str">
        <f>IF($A242="","",IF(Summary!$R$8="Y",(VLOOKUP($A241,Summary!$AD$6:$AF$9,3)+'Escalating commodity'!D254),'Escalating commodity'!D254))</f>
        <v/>
      </c>
      <c r="AI241" s="88" t="str">
        <f t="shared" si="153"/>
        <v/>
      </c>
      <c r="AJ241" s="236" t="e">
        <f t="shared" si="139"/>
        <v>#VALUE!</v>
      </c>
      <c r="AK241" s="58" t="str">
        <f t="shared" si="140"/>
        <v/>
      </c>
      <c r="AL241" s="26" t="str">
        <f>IF($A242="","",_xll.SPRDOPT(P241,X241,AI241,0,AB241,AE241,AF241,AK241,$AJ$2,0))</f>
        <v/>
      </c>
      <c r="AM241" s="89" t="str">
        <f t="shared" si="141"/>
        <v/>
      </c>
      <c r="AN241" s="89" t="str">
        <f t="shared" si="142"/>
        <v/>
      </c>
      <c r="AO241" s="3" t="str">
        <f t="shared" si="143"/>
        <v/>
      </c>
      <c r="AP241" s="33" t="str">
        <f t="shared" si="144"/>
        <v/>
      </c>
      <c r="AQ241" s="58" t="str">
        <f t="shared" si="145"/>
        <v/>
      </c>
      <c r="AR241" s="38">
        <f>'ANR OK vs ML7'!AR241</f>
        <v>0.1</v>
      </c>
      <c r="AS241" s="35" t="str">
        <f t="shared" si="146"/>
        <v/>
      </c>
      <c r="AT241" s="3" t="str">
        <f t="shared" si="147"/>
        <v/>
      </c>
      <c r="AU241" s="3" t="str">
        <f t="shared" si="148"/>
        <v/>
      </c>
      <c r="AW241" s="32" t="str">
        <f t="shared" si="149"/>
        <v/>
      </c>
      <c r="AX241" s="32" t="str">
        <f t="shared" si="150"/>
        <v/>
      </c>
      <c r="AY241" s="32" t="str">
        <f t="shared" si="151"/>
        <v/>
      </c>
      <c r="BA241" s="32" t="str">
        <f>IF($A242="","",F241*Summary!$Q$8)</f>
        <v/>
      </c>
    </row>
    <row r="242" spans="1:53" ht="12" customHeight="1">
      <c r="A242" s="67" t="str">
        <f t="shared" si="152"/>
        <v/>
      </c>
      <c r="B242" s="69">
        <f t="shared" si="154"/>
        <v>0</v>
      </c>
      <c r="C242" s="71"/>
      <c r="D242" s="69" t="str">
        <f t="shared" si="117"/>
        <v/>
      </c>
      <c r="E242" s="70" t="str">
        <f t="shared" si="118"/>
        <v/>
      </c>
      <c r="F242" s="70" t="str">
        <f t="shared" si="119"/>
        <v/>
      </c>
      <c r="G242" s="63" t="str">
        <f t="shared" si="120"/>
        <v/>
      </c>
      <c r="H242" s="64" t="str">
        <f t="shared" si="121"/>
        <v/>
      </c>
      <c r="I242" s="43"/>
      <c r="J242" s="63" t="str">
        <f t="shared" si="122"/>
        <v/>
      </c>
      <c r="K242" s="64" t="str">
        <f t="shared" si="123"/>
        <v/>
      </c>
      <c r="L242" s="63" t="str">
        <f t="shared" si="124"/>
        <v/>
      </c>
      <c r="M242" s="64" t="str">
        <f t="shared" si="125"/>
        <v/>
      </c>
      <c r="N242" s="65"/>
      <c r="O242" s="63" t="str">
        <f t="shared" si="126"/>
        <v/>
      </c>
      <c r="P242" s="63" t="str">
        <f t="shared" si="127"/>
        <v/>
      </c>
      <c r="Q242" s="66"/>
      <c r="R242" s="63" t="str">
        <f t="shared" si="128"/>
        <v/>
      </c>
      <c r="S242" s="64" t="str">
        <f t="shared" si="129"/>
        <v/>
      </c>
      <c r="T242" s="63" t="str">
        <f t="shared" si="130"/>
        <v/>
      </c>
      <c r="U242" s="64" t="str">
        <f t="shared" si="131"/>
        <v/>
      </c>
      <c r="V242" s="207" t="str">
        <f>IF($A243="","",IF(AND(MONTH(A242)&gt;3,MONTH(A242)&lt;11),(T242+R242+G242)*Summary!$T$8/(1-Summary!$T$8),(T242+R242+G242)*Summary!$U$8/(1-Summary!$U$8)))</f>
        <v/>
      </c>
      <c r="W242" s="63" t="str">
        <f t="shared" si="132"/>
        <v/>
      </c>
      <c r="X242" s="63" t="str">
        <f t="shared" si="133"/>
        <v/>
      </c>
      <c r="Y242" s="43"/>
      <c r="Z242" s="38" t="str">
        <f t="shared" si="134"/>
        <v/>
      </c>
      <c r="AA242" s="38" t="str">
        <f t="shared" si="135"/>
        <v/>
      </c>
      <c r="AB242" s="38" t="e">
        <f t="shared" si="136"/>
        <v>#VALUE!</v>
      </c>
      <c r="AC242" s="38" t="str">
        <f t="shared" si="137"/>
        <v/>
      </c>
      <c r="AD242" s="38" t="str">
        <f t="shared" si="137"/>
        <v/>
      </c>
      <c r="AE242" s="38" t="e">
        <f t="shared" si="138"/>
        <v>#VALUE!</v>
      </c>
      <c r="AF242" s="237" t="e">
        <f>((Summary!$N$8*(AA242*AD242)*(A242-$D$3))+(Summary!$M$8*Z242*AC242*(AJ242-EOMONTH(EDATE(A242,-1),0))))/(AK242*AB242*AE242)</f>
        <v>#VALUE!</v>
      </c>
      <c r="AG242" s="88" t="str">
        <f>IF($A243="","",Summary!$Q$8)</f>
        <v/>
      </c>
      <c r="AH242" s="88" t="str">
        <f>IF($A243="","",IF(Summary!$R$8="Y",(VLOOKUP($A242,Summary!$AD$6:$AF$9,3)+'Escalating commodity'!D255),'Escalating commodity'!D255))</f>
        <v/>
      </c>
      <c r="AI242" s="88" t="str">
        <f t="shared" si="153"/>
        <v/>
      </c>
      <c r="AJ242" s="236" t="e">
        <f t="shared" si="139"/>
        <v>#VALUE!</v>
      </c>
      <c r="AK242" s="58" t="str">
        <f t="shared" si="140"/>
        <v/>
      </c>
      <c r="AL242" s="26" t="str">
        <f>IF($A243="","",_xll.SPRDOPT(P242,X242,AI242,0,AB242,AE242,AF242,AK242,$AJ$2,0))</f>
        <v/>
      </c>
      <c r="AM242" s="89" t="str">
        <f t="shared" si="141"/>
        <v/>
      </c>
      <c r="AN242" s="89" t="str">
        <f t="shared" si="142"/>
        <v/>
      </c>
      <c r="AO242" s="3" t="str">
        <f t="shared" si="143"/>
        <v/>
      </c>
      <c r="AP242" s="33" t="str">
        <f t="shared" si="144"/>
        <v/>
      </c>
      <c r="AQ242" s="58" t="str">
        <f t="shared" si="145"/>
        <v/>
      </c>
      <c r="AR242" s="38">
        <f>'ANR OK vs ML7'!AR242</f>
        <v>0.1</v>
      </c>
      <c r="AS242" s="35" t="str">
        <f t="shared" si="146"/>
        <v/>
      </c>
      <c r="AT242" s="3" t="str">
        <f t="shared" si="147"/>
        <v/>
      </c>
      <c r="AU242" s="3" t="str">
        <f t="shared" si="148"/>
        <v/>
      </c>
      <c r="AW242" s="32" t="str">
        <f t="shared" si="149"/>
        <v/>
      </c>
      <c r="AX242" s="32" t="str">
        <f t="shared" si="150"/>
        <v/>
      </c>
      <c r="AY242" s="32" t="str">
        <f t="shared" si="151"/>
        <v/>
      </c>
      <c r="BA242" s="32" t="str">
        <f>IF($A243="","",F242*Summary!$Q$8)</f>
        <v/>
      </c>
    </row>
    <row r="243" spans="1:53" ht="12" customHeight="1">
      <c r="A243" s="67" t="str">
        <f t="shared" si="152"/>
        <v/>
      </c>
      <c r="B243" s="69">
        <f t="shared" si="154"/>
        <v>0</v>
      </c>
      <c r="C243" s="71"/>
      <c r="D243" s="69" t="str">
        <f t="shared" si="117"/>
        <v/>
      </c>
      <c r="E243" s="70" t="str">
        <f t="shared" si="118"/>
        <v/>
      </c>
      <c r="F243" s="70" t="str">
        <f t="shared" si="119"/>
        <v/>
      </c>
      <c r="G243" s="63" t="str">
        <f t="shared" si="120"/>
        <v/>
      </c>
      <c r="H243" s="64" t="str">
        <f t="shared" si="121"/>
        <v/>
      </c>
      <c r="I243" s="43"/>
      <c r="J243" s="63" t="str">
        <f t="shared" si="122"/>
        <v/>
      </c>
      <c r="K243" s="64" t="str">
        <f t="shared" si="123"/>
        <v/>
      </c>
      <c r="L243" s="63" t="str">
        <f t="shared" si="124"/>
        <v/>
      </c>
      <c r="M243" s="64" t="str">
        <f t="shared" si="125"/>
        <v/>
      </c>
      <c r="N243" s="65"/>
      <c r="O243" s="63" t="str">
        <f t="shared" si="126"/>
        <v/>
      </c>
      <c r="P243" s="63" t="str">
        <f t="shared" si="127"/>
        <v/>
      </c>
      <c r="Q243" s="66"/>
      <c r="R243" s="63" t="str">
        <f t="shared" si="128"/>
        <v/>
      </c>
      <c r="S243" s="64" t="str">
        <f t="shared" si="129"/>
        <v/>
      </c>
      <c r="T243" s="63" t="str">
        <f t="shared" si="130"/>
        <v/>
      </c>
      <c r="U243" s="64" t="str">
        <f t="shared" si="131"/>
        <v/>
      </c>
      <c r="V243" s="207" t="str">
        <f>IF($A244="","",IF(AND(MONTH(A243)&gt;3,MONTH(A243)&lt;11),(T243+R243+G243)*Summary!$T$8/(1-Summary!$T$8),(T243+R243+G243)*Summary!$U$8/(1-Summary!$U$8)))</f>
        <v/>
      </c>
      <c r="W243" s="63" t="str">
        <f t="shared" si="132"/>
        <v/>
      </c>
      <c r="X243" s="63" t="str">
        <f t="shared" si="133"/>
        <v/>
      </c>
      <c r="Y243" s="43"/>
      <c r="Z243" s="38" t="str">
        <f t="shared" si="134"/>
        <v/>
      </c>
      <c r="AA243" s="38" t="str">
        <f t="shared" si="135"/>
        <v/>
      </c>
      <c r="AB243" s="38" t="e">
        <f t="shared" si="136"/>
        <v>#VALUE!</v>
      </c>
      <c r="AC243" s="38" t="str">
        <f t="shared" si="137"/>
        <v/>
      </c>
      <c r="AD243" s="38" t="str">
        <f t="shared" si="137"/>
        <v/>
      </c>
      <c r="AE243" s="38" t="e">
        <f t="shared" si="138"/>
        <v>#VALUE!</v>
      </c>
      <c r="AF243" s="237" t="e">
        <f>((Summary!$N$8*(AA243*AD243)*(A243-$D$3))+(Summary!$M$8*Z243*AC243*(AJ243-EOMONTH(EDATE(A243,-1),0))))/(AK243*AB243*AE243)</f>
        <v>#VALUE!</v>
      </c>
      <c r="AG243" s="88" t="str">
        <f>IF($A244="","",Summary!$Q$8)</f>
        <v/>
      </c>
      <c r="AH243" s="88" t="str">
        <f>IF($A244="","",IF(Summary!$R$8="Y",(VLOOKUP($A243,Summary!$AD$6:$AF$9,3)+'Escalating commodity'!D256),'Escalating commodity'!D256))</f>
        <v/>
      </c>
      <c r="AI243" s="88" t="str">
        <f t="shared" si="153"/>
        <v/>
      </c>
      <c r="AJ243" s="236" t="e">
        <f t="shared" si="139"/>
        <v>#VALUE!</v>
      </c>
      <c r="AK243" s="58" t="str">
        <f t="shared" si="140"/>
        <v/>
      </c>
      <c r="AL243" s="26" t="str">
        <f>IF($A244="","",_xll.SPRDOPT(P243,X243,AI243,0,AB243,AE243,AF243,AK243,$AJ$2,0))</f>
        <v/>
      </c>
      <c r="AM243" s="89" t="str">
        <f t="shared" si="141"/>
        <v/>
      </c>
      <c r="AN243" s="89" t="str">
        <f t="shared" si="142"/>
        <v/>
      </c>
      <c r="AO243" s="3" t="str">
        <f t="shared" si="143"/>
        <v/>
      </c>
      <c r="AP243" s="33" t="str">
        <f t="shared" si="144"/>
        <v/>
      </c>
      <c r="AQ243" s="58" t="str">
        <f t="shared" si="145"/>
        <v/>
      </c>
      <c r="AR243" s="38">
        <f>'ANR OK vs ML7'!AR243</f>
        <v>0.1</v>
      </c>
      <c r="AS243" s="35" t="str">
        <f t="shared" si="146"/>
        <v/>
      </c>
      <c r="AT243" s="3" t="str">
        <f t="shared" si="147"/>
        <v/>
      </c>
      <c r="AU243" s="3" t="str">
        <f t="shared" si="148"/>
        <v/>
      </c>
      <c r="AW243" s="32" t="str">
        <f t="shared" si="149"/>
        <v/>
      </c>
      <c r="AX243" s="32" t="str">
        <f t="shared" si="150"/>
        <v/>
      </c>
      <c r="AY243" s="32" t="str">
        <f t="shared" si="151"/>
        <v/>
      </c>
      <c r="BA243" s="32" t="str">
        <f>IF($A244="","",F243*Summary!$Q$8)</f>
        <v/>
      </c>
    </row>
    <row r="244" spans="1:53" ht="12" customHeight="1">
      <c r="A244" s="67" t="str">
        <f t="shared" si="152"/>
        <v/>
      </c>
      <c r="B244" s="69">
        <f t="shared" si="154"/>
        <v>0</v>
      </c>
      <c r="C244" s="71"/>
      <c r="D244" s="69" t="str">
        <f t="shared" si="117"/>
        <v/>
      </c>
      <c r="E244" s="70" t="str">
        <f t="shared" si="118"/>
        <v/>
      </c>
      <c r="F244" s="70" t="str">
        <f t="shared" si="119"/>
        <v/>
      </c>
      <c r="G244" s="63" t="str">
        <f t="shared" si="120"/>
        <v/>
      </c>
      <c r="H244" s="64" t="str">
        <f t="shared" si="121"/>
        <v/>
      </c>
      <c r="I244" s="43"/>
      <c r="J244" s="63" t="str">
        <f t="shared" si="122"/>
        <v/>
      </c>
      <c r="K244" s="64" t="str">
        <f t="shared" si="123"/>
        <v/>
      </c>
      <c r="L244" s="63" t="str">
        <f t="shared" si="124"/>
        <v/>
      </c>
      <c r="M244" s="64" t="str">
        <f t="shared" si="125"/>
        <v/>
      </c>
      <c r="N244" s="65"/>
      <c r="O244" s="63" t="str">
        <f t="shared" si="126"/>
        <v/>
      </c>
      <c r="P244" s="63" t="str">
        <f t="shared" si="127"/>
        <v/>
      </c>
      <c r="Q244" s="66"/>
      <c r="R244" s="63" t="str">
        <f t="shared" si="128"/>
        <v/>
      </c>
      <c r="S244" s="64" t="str">
        <f t="shared" si="129"/>
        <v/>
      </c>
      <c r="T244" s="63" t="str">
        <f t="shared" si="130"/>
        <v/>
      </c>
      <c r="U244" s="64" t="str">
        <f t="shared" si="131"/>
        <v/>
      </c>
      <c r="V244" s="207" t="str">
        <f>IF($A245="","",IF(AND(MONTH(A244)&gt;3,MONTH(A244)&lt;11),(T244+R244+G244)*Summary!$T$8/(1-Summary!$T$8),(T244+R244+G244)*Summary!$U$8/(1-Summary!$U$8)))</f>
        <v/>
      </c>
      <c r="W244" s="63" t="str">
        <f t="shared" si="132"/>
        <v/>
      </c>
      <c r="X244" s="63" t="str">
        <f t="shared" si="133"/>
        <v/>
      </c>
      <c r="Y244" s="43"/>
      <c r="Z244" s="38" t="str">
        <f t="shared" si="134"/>
        <v/>
      </c>
      <c r="AA244" s="38" t="str">
        <f t="shared" si="135"/>
        <v/>
      </c>
      <c r="AB244" s="38" t="e">
        <f t="shared" si="136"/>
        <v>#VALUE!</v>
      </c>
      <c r="AC244" s="38" t="str">
        <f t="shared" si="137"/>
        <v/>
      </c>
      <c r="AD244" s="38" t="str">
        <f t="shared" si="137"/>
        <v/>
      </c>
      <c r="AE244" s="38" t="e">
        <f t="shared" si="138"/>
        <v>#VALUE!</v>
      </c>
      <c r="AF244" s="237" t="e">
        <f>((Summary!$N$8*(AA244*AD244)*(A244-$D$3))+(Summary!$M$8*Z244*AC244*(AJ244-EOMONTH(EDATE(A244,-1),0))))/(AK244*AB244*AE244)</f>
        <v>#VALUE!</v>
      </c>
      <c r="AG244" s="88" t="str">
        <f>IF($A245="","",Summary!$Q$8)</f>
        <v/>
      </c>
      <c r="AH244" s="88" t="str">
        <f>IF($A245="","",IF(Summary!$R$8="Y",(VLOOKUP($A244,Summary!$AD$6:$AF$9,3)+'Escalating commodity'!D257),'Escalating commodity'!D257))</f>
        <v/>
      </c>
      <c r="AI244" s="88" t="str">
        <f t="shared" si="153"/>
        <v/>
      </c>
      <c r="AJ244" s="236" t="e">
        <f t="shared" si="139"/>
        <v>#VALUE!</v>
      </c>
      <c r="AK244" s="58" t="str">
        <f t="shared" si="140"/>
        <v/>
      </c>
      <c r="AL244" s="26" t="str">
        <f>IF($A245="","",_xll.SPRDOPT(P244,X244,AI244,0,AB244,AE244,AF244,AK244,$AJ$2,0))</f>
        <v/>
      </c>
      <c r="AM244" s="89" t="str">
        <f t="shared" si="141"/>
        <v/>
      </c>
      <c r="AN244" s="89" t="str">
        <f t="shared" si="142"/>
        <v/>
      </c>
      <c r="AO244" s="3" t="str">
        <f t="shared" si="143"/>
        <v/>
      </c>
      <c r="AP244" s="33" t="str">
        <f t="shared" si="144"/>
        <v/>
      </c>
      <c r="AQ244" s="58" t="str">
        <f t="shared" si="145"/>
        <v/>
      </c>
      <c r="AR244" s="38">
        <f>'ANR OK vs ML7'!AR244</f>
        <v>0.1</v>
      </c>
      <c r="AS244" s="35" t="str">
        <f t="shared" si="146"/>
        <v/>
      </c>
      <c r="AT244" s="3" t="str">
        <f t="shared" si="147"/>
        <v/>
      </c>
      <c r="AU244" s="3" t="str">
        <f t="shared" si="148"/>
        <v/>
      </c>
      <c r="AW244" s="32" t="str">
        <f t="shared" si="149"/>
        <v/>
      </c>
      <c r="AX244" s="32" t="str">
        <f t="shared" si="150"/>
        <v/>
      </c>
      <c r="AY244" s="32" t="str">
        <f t="shared" si="151"/>
        <v/>
      </c>
      <c r="BA244" s="32" t="str">
        <f>IF($A245="","",F244*Summary!$Q$8)</f>
        <v/>
      </c>
    </row>
    <row r="245" spans="1:53" ht="12" customHeight="1">
      <c r="A245" s="67" t="str">
        <f t="shared" si="152"/>
        <v/>
      </c>
      <c r="B245" s="69">
        <f t="shared" si="154"/>
        <v>0</v>
      </c>
      <c r="C245" s="71"/>
      <c r="D245" s="69" t="str">
        <f t="shared" si="117"/>
        <v/>
      </c>
      <c r="E245" s="70" t="str">
        <f t="shared" si="118"/>
        <v/>
      </c>
      <c r="F245" s="70" t="str">
        <f t="shared" si="119"/>
        <v/>
      </c>
      <c r="G245" s="63" t="str">
        <f t="shared" si="120"/>
        <v/>
      </c>
      <c r="H245" s="64" t="str">
        <f t="shared" si="121"/>
        <v/>
      </c>
      <c r="I245" s="43"/>
      <c r="J245" s="63" t="str">
        <f t="shared" si="122"/>
        <v/>
      </c>
      <c r="K245" s="64" t="str">
        <f t="shared" si="123"/>
        <v/>
      </c>
      <c r="L245" s="63" t="str">
        <f t="shared" si="124"/>
        <v/>
      </c>
      <c r="M245" s="64" t="str">
        <f t="shared" si="125"/>
        <v/>
      </c>
      <c r="N245" s="65"/>
      <c r="O245" s="63" t="str">
        <f t="shared" si="126"/>
        <v/>
      </c>
      <c r="P245" s="63" t="str">
        <f t="shared" si="127"/>
        <v/>
      </c>
      <c r="Q245" s="66"/>
      <c r="R245" s="63" t="str">
        <f t="shared" si="128"/>
        <v/>
      </c>
      <c r="S245" s="64" t="str">
        <f t="shared" si="129"/>
        <v/>
      </c>
      <c r="T245" s="63" t="str">
        <f t="shared" si="130"/>
        <v/>
      </c>
      <c r="U245" s="64" t="str">
        <f t="shared" si="131"/>
        <v/>
      </c>
      <c r="V245" s="207" t="str">
        <f>IF($A246="","",IF(AND(MONTH(A245)&gt;3,MONTH(A245)&lt;11),(T245+R245+G245)*Summary!$T$8/(1-Summary!$T$8),(T245+R245+G245)*Summary!$U$8/(1-Summary!$U$8)))</f>
        <v/>
      </c>
      <c r="W245" s="63" t="str">
        <f t="shared" si="132"/>
        <v/>
      </c>
      <c r="X245" s="63" t="str">
        <f t="shared" si="133"/>
        <v/>
      </c>
      <c r="Y245" s="43"/>
      <c r="Z245" s="38" t="str">
        <f t="shared" si="134"/>
        <v/>
      </c>
      <c r="AA245" s="38" t="str">
        <f t="shared" si="135"/>
        <v/>
      </c>
      <c r="AB245" s="38" t="e">
        <f t="shared" si="136"/>
        <v>#VALUE!</v>
      </c>
      <c r="AC245" s="38" t="str">
        <f t="shared" si="137"/>
        <v/>
      </c>
      <c r="AD245" s="38" t="str">
        <f t="shared" si="137"/>
        <v/>
      </c>
      <c r="AE245" s="38" t="e">
        <f t="shared" si="138"/>
        <v>#VALUE!</v>
      </c>
      <c r="AF245" s="237" t="e">
        <f>((Summary!$N$8*(AA245*AD245)*(A245-$D$3))+(Summary!$M$8*Z245*AC245*(AJ245-EOMONTH(EDATE(A245,-1),0))))/(AK245*AB245*AE245)</f>
        <v>#VALUE!</v>
      </c>
      <c r="AG245" s="88" t="str">
        <f>IF($A246="","",Summary!$Q$8)</f>
        <v/>
      </c>
      <c r="AH245" s="88" t="str">
        <f>IF($A246="","",IF(Summary!$R$8="Y",(VLOOKUP($A245,Summary!$AD$6:$AF$9,3)+'Escalating commodity'!D258),'Escalating commodity'!D258))</f>
        <v/>
      </c>
      <c r="AI245" s="88" t="str">
        <f t="shared" si="153"/>
        <v/>
      </c>
      <c r="AJ245" s="236" t="e">
        <f t="shared" si="139"/>
        <v>#VALUE!</v>
      </c>
      <c r="AK245" s="58" t="str">
        <f t="shared" si="140"/>
        <v/>
      </c>
      <c r="AL245" s="26" t="str">
        <f>IF($A246="","",_xll.SPRDOPT(P245,X245,AI245,0,AB245,AE245,AF245,AK245,$AJ$2,0))</f>
        <v/>
      </c>
      <c r="AM245" s="89" t="str">
        <f t="shared" si="141"/>
        <v/>
      </c>
      <c r="AN245" s="89" t="str">
        <f t="shared" si="142"/>
        <v/>
      </c>
      <c r="AO245" s="3" t="str">
        <f t="shared" si="143"/>
        <v/>
      </c>
      <c r="AP245" s="33" t="str">
        <f t="shared" si="144"/>
        <v/>
      </c>
      <c r="AQ245" s="58" t="str">
        <f t="shared" si="145"/>
        <v/>
      </c>
      <c r="AR245" s="38">
        <f>'ANR OK vs ML7'!AR245</f>
        <v>0.1</v>
      </c>
      <c r="AS245" s="35" t="str">
        <f t="shared" si="146"/>
        <v/>
      </c>
      <c r="AT245" s="3" t="str">
        <f t="shared" si="147"/>
        <v/>
      </c>
      <c r="AU245" s="3" t="str">
        <f t="shared" si="148"/>
        <v/>
      </c>
      <c r="AW245" s="32" t="str">
        <f t="shared" si="149"/>
        <v/>
      </c>
      <c r="AX245" s="32" t="str">
        <f t="shared" si="150"/>
        <v/>
      </c>
      <c r="AY245" s="32" t="str">
        <f t="shared" si="151"/>
        <v/>
      </c>
      <c r="BA245" s="32" t="str">
        <f>IF($A246="","",F245*Summary!$Q$8)</f>
        <v/>
      </c>
    </row>
    <row r="246" spans="1:53" ht="12" customHeight="1">
      <c r="A246" s="67" t="str">
        <f t="shared" si="152"/>
        <v/>
      </c>
      <c r="B246" s="69">
        <f t="shared" si="154"/>
        <v>0</v>
      </c>
      <c r="C246" s="71"/>
      <c r="D246" s="69" t="str">
        <f t="shared" si="117"/>
        <v/>
      </c>
      <c r="E246" s="70" t="str">
        <f t="shared" si="118"/>
        <v/>
      </c>
      <c r="F246" s="70" t="str">
        <f t="shared" si="119"/>
        <v/>
      </c>
      <c r="G246" s="63" t="str">
        <f t="shared" si="120"/>
        <v/>
      </c>
      <c r="H246" s="64" t="str">
        <f t="shared" si="121"/>
        <v/>
      </c>
      <c r="I246" s="43"/>
      <c r="J246" s="63" t="str">
        <f t="shared" si="122"/>
        <v/>
      </c>
      <c r="K246" s="64" t="str">
        <f t="shared" si="123"/>
        <v/>
      </c>
      <c r="L246" s="63" t="str">
        <f t="shared" si="124"/>
        <v/>
      </c>
      <c r="M246" s="64" t="str">
        <f t="shared" si="125"/>
        <v/>
      </c>
      <c r="N246" s="65"/>
      <c r="O246" s="63" t="str">
        <f t="shared" si="126"/>
        <v/>
      </c>
      <c r="P246" s="63" t="str">
        <f t="shared" si="127"/>
        <v/>
      </c>
      <c r="Q246" s="66"/>
      <c r="R246" s="63" t="str">
        <f t="shared" si="128"/>
        <v/>
      </c>
      <c r="S246" s="64" t="str">
        <f t="shared" si="129"/>
        <v/>
      </c>
      <c r="T246" s="63" t="str">
        <f t="shared" si="130"/>
        <v/>
      </c>
      <c r="U246" s="64" t="str">
        <f t="shared" si="131"/>
        <v/>
      </c>
      <c r="V246" s="207" t="str">
        <f>IF($A247="","",IF(AND(MONTH(A246)&gt;3,MONTH(A246)&lt;11),(T246+R246+G246)*Summary!$T$8/(1-Summary!$T$8),(T246+R246+G246)*Summary!$U$8/(1-Summary!$U$8)))</f>
        <v/>
      </c>
      <c r="W246" s="63" t="str">
        <f t="shared" si="132"/>
        <v/>
      </c>
      <c r="X246" s="63" t="str">
        <f t="shared" si="133"/>
        <v/>
      </c>
      <c r="Y246" s="43"/>
      <c r="Z246" s="38" t="str">
        <f t="shared" si="134"/>
        <v/>
      </c>
      <c r="AA246" s="38" t="str">
        <f t="shared" si="135"/>
        <v/>
      </c>
      <c r="AB246" s="38" t="e">
        <f t="shared" si="136"/>
        <v>#VALUE!</v>
      </c>
      <c r="AC246" s="38" t="str">
        <f t="shared" si="137"/>
        <v/>
      </c>
      <c r="AD246" s="38" t="str">
        <f t="shared" si="137"/>
        <v/>
      </c>
      <c r="AE246" s="38" t="e">
        <f t="shared" si="138"/>
        <v>#VALUE!</v>
      </c>
      <c r="AF246" s="237" t="e">
        <f>((Summary!$N$8*(AA246*AD246)*(A246-$D$3))+(Summary!$M$8*Z246*AC246*(AJ246-EOMONTH(EDATE(A246,-1),0))))/(AK246*AB246*AE246)</f>
        <v>#VALUE!</v>
      </c>
      <c r="AG246" s="88" t="str">
        <f>IF($A247="","",Summary!$Q$8)</f>
        <v/>
      </c>
      <c r="AH246" s="88" t="str">
        <f>IF($A247="","",IF(Summary!$R$8="Y",(VLOOKUP($A246,Summary!$AD$6:$AF$9,3)+'Escalating commodity'!D259),'Escalating commodity'!D259))</f>
        <v/>
      </c>
      <c r="AI246" s="88" t="str">
        <f t="shared" si="153"/>
        <v/>
      </c>
      <c r="AJ246" s="236" t="e">
        <f t="shared" si="139"/>
        <v>#VALUE!</v>
      </c>
      <c r="AK246" s="58" t="str">
        <f t="shared" si="140"/>
        <v/>
      </c>
      <c r="AL246" s="26" t="str">
        <f>IF($A247="","",_xll.SPRDOPT(P246,X246,AI246,0,AB246,AE246,AF246,AK246,$AJ$2,0))</f>
        <v/>
      </c>
      <c r="AM246" s="89" t="str">
        <f t="shared" si="141"/>
        <v/>
      </c>
      <c r="AN246" s="89" t="str">
        <f t="shared" si="142"/>
        <v/>
      </c>
      <c r="AO246" s="3" t="str">
        <f t="shared" si="143"/>
        <v/>
      </c>
      <c r="AP246" s="33" t="str">
        <f t="shared" si="144"/>
        <v/>
      </c>
      <c r="AQ246" s="58" t="str">
        <f t="shared" si="145"/>
        <v/>
      </c>
      <c r="AR246" s="38">
        <f>'ANR OK vs ML7'!AR246</f>
        <v>0.1</v>
      </c>
      <c r="AS246" s="35" t="str">
        <f t="shared" si="146"/>
        <v/>
      </c>
      <c r="AT246" s="3" t="str">
        <f t="shared" si="147"/>
        <v/>
      </c>
      <c r="AU246" s="3" t="str">
        <f t="shared" si="148"/>
        <v/>
      </c>
      <c r="AW246" s="32" t="str">
        <f t="shared" si="149"/>
        <v/>
      </c>
      <c r="AX246" s="32" t="str">
        <f t="shared" si="150"/>
        <v/>
      </c>
      <c r="AY246" s="32" t="str">
        <f t="shared" si="151"/>
        <v/>
      </c>
      <c r="BA246" s="32" t="str">
        <f>IF($A247="","",F246*Summary!$Q$8)</f>
        <v/>
      </c>
    </row>
    <row r="247" spans="1:53" ht="12" customHeight="1">
      <c r="A247" s="67" t="str">
        <f t="shared" si="152"/>
        <v/>
      </c>
      <c r="B247" s="69">
        <f t="shared" si="154"/>
        <v>0</v>
      </c>
      <c r="C247" s="71"/>
      <c r="D247" s="69" t="str">
        <f t="shared" si="117"/>
        <v/>
      </c>
      <c r="E247" s="70" t="str">
        <f t="shared" si="118"/>
        <v/>
      </c>
      <c r="F247" s="70" t="str">
        <f t="shared" si="119"/>
        <v/>
      </c>
      <c r="G247" s="63" t="str">
        <f t="shared" si="120"/>
        <v/>
      </c>
      <c r="H247" s="64" t="str">
        <f t="shared" si="121"/>
        <v/>
      </c>
      <c r="I247" s="43"/>
      <c r="J247" s="63" t="str">
        <f t="shared" si="122"/>
        <v/>
      </c>
      <c r="K247" s="64" t="str">
        <f t="shared" si="123"/>
        <v/>
      </c>
      <c r="L247" s="63" t="str">
        <f t="shared" si="124"/>
        <v/>
      </c>
      <c r="M247" s="64" t="str">
        <f t="shared" si="125"/>
        <v/>
      </c>
      <c r="N247" s="65"/>
      <c r="O247" s="63" t="str">
        <f t="shared" si="126"/>
        <v/>
      </c>
      <c r="P247" s="63" t="str">
        <f t="shared" si="127"/>
        <v/>
      </c>
      <c r="Q247" s="66"/>
      <c r="R247" s="63" t="str">
        <f t="shared" si="128"/>
        <v/>
      </c>
      <c r="S247" s="64" t="str">
        <f t="shared" si="129"/>
        <v/>
      </c>
      <c r="T247" s="63" t="str">
        <f t="shared" si="130"/>
        <v/>
      </c>
      <c r="U247" s="64" t="str">
        <f t="shared" si="131"/>
        <v/>
      </c>
      <c r="V247" s="207" t="str">
        <f>IF($A248="","",IF(AND(MONTH(A247)&gt;3,MONTH(A247)&lt;11),(T247+R247+G247)*Summary!$T$8/(1-Summary!$T$8),(T247+R247+G247)*Summary!$U$8/(1-Summary!$U$8)))</f>
        <v/>
      </c>
      <c r="W247" s="63" t="str">
        <f t="shared" si="132"/>
        <v/>
      </c>
      <c r="X247" s="63" t="str">
        <f t="shared" si="133"/>
        <v/>
      </c>
      <c r="Y247" s="43"/>
      <c r="Z247" s="38" t="str">
        <f t="shared" si="134"/>
        <v/>
      </c>
      <c r="AA247" s="38" t="str">
        <f t="shared" si="135"/>
        <v/>
      </c>
      <c r="AB247" s="38" t="e">
        <f t="shared" si="136"/>
        <v>#VALUE!</v>
      </c>
      <c r="AC247" s="38" t="str">
        <f t="shared" si="137"/>
        <v/>
      </c>
      <c r="AD247" s="38" t="str">
        <f t="shared" si="137"/>
        <v/>
      </c>
      <c r="AE247" s="38" t="e">
        <f t="shared" si="138"/>
        <v>#VALUE!</v>
      </c>
      <c r="AF247" s="237" t="e">
        <f>((Summary!$N$8*(AA247*AD247)*(A247-$D$3))+(Summary!$M$8*Z247*AC247*(AJ247-EOMONTH(EDATE(A247,-1),0))))/(AK247*AB247*AE247)</f>
        <v>#VALUE!</v>
      </c>
      <c r="AG247" s="88" t="str">
        <f>IF($A248="","",Summary!$Q$8)</f>
        <v/>
      </c>
      <c r="AH247" s="88" t="str">
        <f>IF($A248="","",IF(Summary!$R$8="Y",(VLOOKUP($A247,Summary!$AD$6:$AF$9,3)+'Escalating commodity'!D260),'Escalating commodity'!D260))</f>
        <v/>
      </c>
      <c r="AI247" s="88" t="str">
        <f t="shared" si="153"/>
        <v/>
      </c>
      <c r="AJ247" s="236" t="e">
        <f t="shared" si="139"/>
        <v>#VALUE!</v>
      </c>
      <c r="AK247" s="58" t="str">
        <f t="shared" si="140"/>
        <v/>
      </c>
      <c r="AL247" s="26" t="str">
        <f>IF($A248="","",_xll.SPRDOPT(P247,X247,AI247,0,AB247,AE247,AF247,AK247,$AJ$2,0))</f>
        <v/>
      </c>
      <c r="AM247" s="89" t="str">
        <f t="shared" si="141"/>
        <v/>
      </c>
      <c r="AN247" s="89" t="str">
        <f t="shared" si="142"/>
        <v/>
      </c>
      <c r="AO247" s="3" t="str">
        <f t="shared" si="143"/>
        <v/>
      </c>
      <c r="AP247" s="33" t="str">
        <f t="shared" si="144"/>
        <v/>
      </c>
      <c r="AQ247" s="58" t="str">
        <f t="shared" si="145"/>
        <v/>
      </c>
      <c r="AR247" s="38">
        <f>'ANR OK vs ML7'!AR247</f>
        <v>0.1</v>
      </c>
      <c r="AS247" s="35" t="str">
        <f t="shared" si="146"/>
        <v/>
      </c>
      <c r="AT247" s="3" t="str">
        <f t="shared" si="147"/>
        <v/>
      </c>
      <c r="AU247" s="3" t="str">
        <f t="shared" si="148"/>
        <v/>
      </c>
      <c r="AW247" s="32" t="str">
        <f t="shared" si="149"/>
        <v/>
      </c>
      <c r="AX247" s="32" t="str">
        <f t="shared" si="150"/>
        <v/>
      </c>
      <c r="AY247" s="32" t="str">
        <f t="shared" si="151"/>
        <v/>
      </c>
      <c r="BA247" s="32" t="str">
        <f>IF($A248="","",F247*Summary!$Q$8)</f>
        <v/>
      </c>
    </row>
    <row r="248" spans="1:53" ht="12" customHeight="1">
      <c r="A248" s="67" t="str">
        <f t="shared" si="152"/>
        <v/>
      </c>
      <c r="B248" s="69">
        <f t="shared" si="154"/>
        <v>0</v>
      </c>
      <c r="C248" s="71"/>
      <c r="D248" s="69" t="str">
        <f t="shared" si="117"/>
        <v/>
      </c>
      <c r="E248" s="70" t="str">
        <f t="shared" si="118"/>
        <v/>
      </c>
      <c r="F248" s="70" t="str">
        <f t="shared" si="119"/>
        <v/>
      </c>
      <c r="G248" s="63" t="str">
        <f t="shared" si="120"/>
        <v/>
      </c>
      <c r="H248" s="64" t="str">
        <f t="shared" si="121"/>
        <v/>
      </c>
      <c r="I248" s="43"/>
      <c r="J248" s="63" t="str">
        <f t="shared" si="122"/>
        <v/>
      </c>
      <c r="K248" s="64" t="str">
        <f t="shared" si="123"/>
        <v/>
      </c>
      <c r="L248" s="63" t="str">
        <f t="shared" si="124"/>
        <v/>
      </c>
      <c r="M248" s="64" t="str">
        <f t="shared" si="125"/>
        <v/>
      </c>
      <c r="N248" s="65"/>
      <c r="O248" s="63" t="str">
        <f t="shared" si="126"/>
        <v/>
      </c>
      <c r="P248" s="63" t="str">
        <f t="shared" si="127"/>
        <v/>
      </c>
      <c r="Q248" s="66"/>
      <c r="R248" s="63" t="str">
        <f t="shared" si="128"/>
        <v/>
      </c>
      <c r="S248" s="64" t="str">
        <f t="shared" si="129"/>
        <v/>
      </c>
      <c r="T248" s="63" t="str">
        <f t="shared" si="130"/>
        <v/>
      </c>
      <c r="U248" s="64" t="str">
        <f t="shared" si="131"/>
        <v/>
      </c>
      <c r="V248" s="207" t="str">
        <f>IF($A249="","",IF(AND(MONTH(A248)&gt;3,MONTH(A248)&lt;11),(T248+R248+G248)*Summary!$T$8/(1-Summary!$T$8),(T248+R248+G248)*Summary!$U$8/(1-Summary!$U$8)))</f>
        <v/>
      </c>
      <c r="W248" s="63" t="str">
        <f t="shared" si="132"/>
        <v/>
      </c>
      <c r="X248" s="63" t="str">
        <f t="shared" si="133"/>
        <v/>
      </c>
      <c r="Y248" s="43"/>
      <c r="Z248" s="38" t="str">
        <f t="shared" si="134"/>
        <v/>
      </c>
      <c r="AA248" s="38" t="str">
        <f t="shared" si="135"/>
        <v/>
      </c>
      <c r="AB248" s="38" t="e">
        <f t="shared" si="136"/>
        <v>#VALUE!</v>
      </c>
      <c r="AC248" s="38" t="str">
        <f t="shared" si="137"/>
        <v/>
      </c>
      <c r="AD248" s="38" t="str">
        <f t="shared" si="137"/>
        <v/>
      </c>
      <c r="AE248" s="38" t="e">
        <f t="shared" si="138"/>
        <v>#VALUE!</v>
      </c>
      <c r="AF248" s="237" t="e">
        <f>((Summary!$N$8*(AA248*AD248)*(A248-$D$3))+(Summary!$M$8*Z248*AC248*(AJ248-EOMONTH(EDATE(A248,-1),0))))/(AK248*AB248*AE248)</f>
        <v>#VALUE!</v>
      </c>
      <c r="AG248" s="88" t="str">
        <f>IF($A249="","",Summary!$Q$8)</f>
        <v/>
      </c>
      <c r="AH248" s="88" t="str">
        <f>IF($A249="","",IF(Summary!$R$8="Y",(VLOOKUP($A248,Summary!$AD$6:$AF$9,3)+'Escalating commodity'!D261),'Escalating commodity'!D261))</f>
        <v/>
      </c>
      <c r="AI248" s="88" t="str">
        <f t="shared" si="153"/>
        <v/>
      </c>
      <c r="AJ248" s="236" t="e">
        <f t="shared" si="139"/>
        <v>#VALUE!</v>
      </c>
      <c r="AK248" s="58" t="str">
        <f t="shared" si="140"/>
        <v/>
      </c>
      <c r="AL248" s="26" t="str">
        <f>IF($A249="","",_xll.SPRDOPT(P248,X248,AI248,0,AB248,AE248,AF248,AK248,$AJ$2,0))</f>
        <v/>
      </c>
      <c r="AM248" s="89" t="str">
        <f t="shared" si="141"/>
        <v/>
      </c>
      <c r="AN248" s="89" t="str">
        <f t="shared" si="142"/>
        <v/>
      </c>
      <c r="AO248" s="3" t="str">
        <f t="shared" si="143"/>
        <v/>
      </c>
      <c r="AP248" s="33" t="str">
        <f t="shared" si="144"/>
        <v/>
      </c>
      <c r="AQ248" s="58" t="str">
        <f t="shared" si="145"/>
        <v/>
      </c>
      <c r="AR248" s="38">
        <f>'ANR OK vs ML7'!AR248</f>
        <v>0.1</v>
      </c>
      <c r="AS248" s="35" t="str">
        <f t="shared" si="146"/>
        <v/>
      </c>
      <c r="AT248" s="3" t="str">
        <f t="shared" si="147"/>
        <v/>
      </c>
      <c r="AU248" s="3" t="str">
        <f t="shared" si="148"/>
        <v/>
      </c>
      <c r="AW248" s="32" t="str">
        <f t="shared" si="149"/>
        <v/>
      </c>
      <c r="AX248" s="32" t="str">
        <f t="shared" si="150"/>
        <v/>
      </c>
      <c r="AY248" s="32" t="str">
        <f t="shared" si="151"/>
        <v/>
      </c>
      <c r="BA248" s="32" t="str">
        <f>IF($A249="","",F248*Summary!$Q$8)</f>
        <v/>
      </c>
    </row>
    <row r="249" spans="1:53" ht="12" customHeight="1">
      <c r="A249" s="67" t="str">
        <f t="shared" si="152"/>
        <v/>
      </c>
      <c r="B249" s="69">
        <f t="shared" si="154"/>
        <v>0</v>
      </c>
      <c r="C249" s="71"/>
      <c r="D249" s="69" t="str">
        <f t="shared" si="117"/>
        <v/>
      </c>
      <c r="E249" s="70" t="str">
        <f t="shared" si="118"/>
        <v/>
      </c>
      <c r="F249" s="70" t="str">
        <f t="shared" si="119"/>
        <v/>
      </c>
      <c r="G249" s="63" t="str">
        <f t="shared" si="120"/>
        <v/>
      </c>
      <c r="H249" s="64" t="str">
        <f t="shared" si="121"/>
        <v/>
      </c>
      <c r="I249" s="43"/>
      <c r="J249" s="63" t="str">
        <f t="shared" si="122"/>
        <v/>
      </c>
      <c r="K249" s="64" t="str">
        <f t="shared" si="123"/>
        <v/>
      </c>
      <c r="L249" s="63" t="str">
        <f t="shared" si="124"/>
        <v/>
      </c>
      <c r="M249" s="64" t="str">
        <f t="shared" si="125"/>
        <v/>
      </c>
      <c r="N249" s="65"/>
      <c r="O249" s="63" t="str">
        <f t="shared" si="126"/>
        <v/>
      </c>
      <c r="P249" s="63" t="str">
        <f t="shared" si="127"/>
        <v/>
      </c>
      <c r="Q249" s="66"/>
      <c r="R249" s="63" t="str">
        <f t="shared" si="128"/>
        <v/>
      </c>
      <c r="S249" s="64" t="str">
        <f t="shared" si="129"/>
        <v/>
      </c>
      <c r="T249" s="63" t="str">
        <f t="shared" si="130"/>
        <v/>
      </c>
      <c r="U249" s="64" t="str">
        <f t="shared" si="131"/>
        <v/>
      </c>
      <c r="V249" s="207" t="str">
        <f>IF($A250="","",IF(AND(MONTH(A249)&gt;3,MONTH(A249)&lt;11),(T249+R249+G249)*Summary!$T$8/(1-Summary!$T$8),(T249+R249+G249)*Summary!$U$8/(1-Summary!$U$8)))</f>
        <v/>
      </c>
      <c r="W249" s="63" t="str">
        <f t="shared" si="132"/>
        <v/>
      </c>
      <c r="X249" s="63" t="str">
        <f t="shared" si="133"/>
        <v/>
      </c>
      <c r="Y249" s="43"/>
      <c r="Z249" s="38" t="str">
        <f t="shared" si="134"/>
        <v/>
      </c>
      <c r="AA249" s="38" t="str">
        <f t="shared" si="135"/>
        <v/>
      </c>
      <c r="AB249" s="38" t="e">
        <f t="shared" si="136"/>
        <v>#VALUE!</v>
      </c>
      <c r="AC249" s="38" t="str">
        <f t="shared" si="137"/>
        <v/>
      </c>
      <c r="AD249" s="38" t="str">
        <f t="shared" si="137"/>
        <v/>
      </c>
      <c r="AE249" s="38" t="e">
        <f t="shared" si="138"/>
        <v>#VALUE!</v>
      </c>
      <c r="AF249" s="237" t="e">
        <f>((Summary!$N$8*(AA249*AD249)*(A249-$D$3))+(Summary!$M$8*Z249*AC249*(AJ249-EOMONTH(EDATE(A249,-1),0))))/(AK249*AB249*AE249)</f>
        <v>#VALUE!</v>
      </c>
      <c r="AG249" s="88" t="str">
        <f>IF($A250="","",Summary!$Q$8)</f>
        <v/>
      </c>
      <c r="AH249" s="88" t="str">
        <f>IF($A250="","",IF(Summary!$R$8="Y",(VLOOKUP($A249,Summary!$AD$6:$AF$9,3)+'Escalating commodity'!D262),'Escalating commodity'!D262))</f>
        <v/>
      </c>
      <c r="AI249" s="88" t="str">
        <f t="shared" si="153"/>
        <v/>
      </c>
      <c r="AJ249" s="236" t="e">
        <f t="shared" si="139"/>
        <v>#VALUE!</v>
      </c>
      <c r="AK249" s="58" t="str">
        <f t="shared" si="140"/>
        <v/>
      </c>
      <c r="AL249" s="26" t="str">
        <f>IF($A250="","",_xll.SPRDOPT(P249,X249,AI249,0,AB249,AE249,AF249,AK249,$AJ$2,0))</f>
        <v/>
      </c>
      <c r="AM249" s="89" t="str">
        <f t="shared" si="141"/>
        <v/>
      </c>
      <c r="AN249" s="89" t="str">
        <f t="shared" si="142"/>
        <v/>
      </c>
      <c r="AO249" s="3" t="str">
        <f t="shared" si="143"/>
        <v/>
      </c>
      <c r="AP249" s="33" t="str">
        <f t="shared" si="144"/>
        <v/>
      </c>
      <c r="AQ249" s="58" t="str">
        <f t="shared" si="145"/>
        <v/>
      </c>
      <c r="AR249" s="38">
        <f>'ANR OK vs ML7'!AR249</f>
        <v>0.1</v>
      </c>
      <c r="AS249" s="35" t="str">
        <f t="shared" si="146"/>
        <v/>
      </c>
      <c r="AT249" s="3" t="str">
        <f t="shared" si="147"/>
        <v/>
      </c>
      <c r="AU249" s="3" t="str">
        <f t="shared" si="148"/>
        <v/>
      </c>
      <c r="AW249" s="32" t="str">
        <f t="shared" si="149"/>
        <v/>
      </c>
      <c r="AX249" s="32" t="str">
        <f t="shared" si="150"/>
        <v/>
      </c>
      <c r="AY249" s="32" t="str">
        <f t="shared" si="151"/>
        <v/>
      </c>
      <c r="BA249" s="32" t="str">
        <f>IF($A250="","",F249*Summary!$Q$8)</f>
        <v/>
      </c>
    </row>
    <row r="250" spans="1:53" ht="12" customHeight="1">
      <c r="A250" s="67" t="str">
        <f t="shared" si="152"/>
        <v/>
      </c>
      <c r="B250" s="69">
        <f t="shared" si="154"/>
        <v>0</v>
      </c>
      <c r="C250" s="71"/>
      <c r="D250" s="69" t="str">
        <f t="shared" si="117"/>
        <v/>
      </c>
      <c r="E250" s="70" t="str">
        <f t="shared" si="118"/>
        <v/>
      </c>
      <c r="F250" s="70" t="str">
        <f t="shared" si="119"/>
        <v/>
      </c>
      <c r="G250" s="63" t="str">
        <f t="shared" si="120"/>
        <v/>
      </c>
      <c r="H250" s="64" t="str">
        <f t="shared" si="121"/>
        <v/>
      </c>
      <c r="I250" s="43"/>
      <c r="J250" s="63" t="str">
        <f t="shared" si="122"/>
        <v/>
      </c>
      <c r="K250" s="64" t="str">
        <f t="shared" si="123"/>
        <v/>
      </c>
      <c r="L250" s="63" t="str">
        <f t="shared" si="124"/>
        <v/>
      </c>
      <c r="M250" s="64" t="str">
        <f t="shared" si="125"/>
        <v/>
      </c>
      <c r="N250" s="65"/>
      <c r="O250" s="63" t="str">
        <f t="shared" si="126"/>
        <v/>
      </c>
      <c r="P250" s="63" t="str">
        <f t="shared" si="127"/>
        <v/>
      </c>
      <c r="Q250" s="66"/>
      <c r="R250" s="63" t="str">
        <f t="shared" si="128"/>
        <v/>
      </c>
      <c r="S250" s="64" t="str">
        <f t="shared" si="129"/>
        <v/>
      </c>
      <c r="T250" s="63" t="str">
        <f t="shared" si="130"/>
        <v/>
      </c>
      <c r="U250" s="64" t="str">
        <f t="shared" si="131"/>
        <v/>
      </c>
      <c r="V250" s="207" t="str">
        <f>IF($A251="","",IF(AND(MONTH(A250)&gt;3,MONTH(A250)&lt;11),(T250+R250+G250)*Summary!$T$8/(1-Summary!$T$8),(T250+R250+G250)*Summary!$U$8/(1-Summary!$U$8)))</f>
        <v/>
      </c>
      <c r="W250" s="63" t="str">
        <f t="shared" si="132"/>
        <v/>
      </c>
      <c r="X250" s="63" t="str">
        <f t="shared" si="133"/>
        <v/>
      </c>
      <c r="Y250" s="43"/>
      <c r="Z250" s="38" t="str">
        <f t="shared" si="134"/>
        <v/>
      </c>
      <c r="AA250" s="38" t="str">
        <f t="shared" si="135"/>
        <v/>
      </c>
      <c r="AB250" s="38" t="e">
        <f t="shared" si="136"/>
        <v>#VALUE!</v>
      </c>
      <c r="AC250" s="38" t="str">
        <f t="shared" si="137"/>
        <v/>
      </c>
      <c r="AD250" s="38" t="str">
        <f t="shared" si="137"/>
        <v/>
      </c>
      <c r="AE250" s="38" t="e">
        <f t="shared" si="138"/>
        <v>#VALUE!</v>
      </c>
      <c r="AF250" s="237" t="e">
        <f>((Summary!$N$8*(AA250*AD250)*(A250-$D$3))+(Summary!$M$8*Z250*AC250*(AJ250-EOMONTH(EDATE(A250,-1),0))))/(AK250*AB250*AE250)</f>
        <v>#VALUE!</v>
      </c>
      <c r="AG250" s="88" t="str">
        <f>IF($A251="","",Summary!$Q$8)</f>
        <v/>
      </c>
      <c r="AH250" s="88" t="str">
        <f>IF($A251="","",IF(Summary!$R$8="Y",(VLOOKUP($A250,Summary!$AD$6:$AF$9,3)+'Escalating commodity'!D263),'Escalating commodity'!D263))</f>
        <v/>
      </c>
      <c r="AI250" s="88" t="str">
        <f t="shared" si="153"/>
        <v/>
      </c>
      <c r="AJ250" s="236" t="e">
        <f t="shared" si="139"/>
        <v>#VALUE!</v>
      </c>
      <c r="AK250" s="58" t="str">
        <f t="shared" si="140"/>
        <v/>
      </c>
      <c r="AL250" s="26" t="str">
        <f>IF($A251="","",_xll.SPRDOPT(P250,X250,AI250,0,AB250,AE250,AF250,AK250,$AJ$2,0))</f>
        <v/>
      </c>
      <c r="AM250" s="89" t="str">
        <f t="shared" si="141"/>
        <v/>
      </c>
      <c r="AN250" s="89" t="str">
        <f t="shared" si="142"/>
        <v/>
      </c>
      <c r="AO250" s="3" t="str">
        <f t="shared" si="143"/>
        <v/>
      </c>
      <c r="AP250" s="33" t="str">
        <f t="shared" si="144"/>
        <v/>
      </c>
      <c r="AQ250" s="58" t="str">
        <f t="shared" si="145"/>
        <v/>
      </c>
      <c r="AR250" s="38">
        <f>'ANR OK vs ML7'!AR250</f>
        <v>0.1</v>
      </c>
      <c r="AS250" s="35" t="str">
        <f t="shared" si="146"/>
        <v/>
      </c>
      <c r="AT250" s="3" t="str">
        <f t="shared" si="147"/>
        <v/>
      </c>
      <c r="AU250" s="3" t="str">
        <f t="shared" si="148"/>
        <v/>
      </c>
      <c r="AW250" s="32" t="str">
        <f t="shared" si="149"/>
        <v/>
      </c>
      <c r="AX250" s="32" t="str">
        <f t="shared" si="150"/>
        <v/>
      </c>
      <c r="AY250" s="32" t="str">
        <f t="shared" si="151"/>
        <v/>
      </c>
      <c r="BA250" s="32" t="str">
        <f>IF($A251="","",F250*Summary!$Q$8)</f>
        <v/>
      </c>
    </row>
    <row r="251" spans="1:53" ht="12" customHeight="1">
      <c r="A251" s="67" t="str">
        <f t="shared" si="152"/>
        <v/>
      </c>
      <c r="B251" s="69">
        <f t="shared" si="154"/>
        <v>0</v>
      </c>
      <c r="C251" s="71"/>
      <c r="D251" s="69" t="str">
        <f t="shared" si="117"/>
        <v/>
      </c>
      <c r="E251" s="70" t="str">
        <f t="shared" si="118"/>
        <v/>
      </c>
      <c r="F251" s="70" t="str">
        <f t="shared" si="119"/>
        <v/>
      </c>
      <c r="G251" s="63" t="str">
        <f t="shared" si="120"/>
        <v/>
      </c>
      <c r="H251" s="64" t="str">
        <f t="shared" si="121"/>
        <v/>
      </c>
      <c r="I251" s="43"/>
      <c r="J251" s="63" t="str">
        <f t="shared" si="122"/>
        <v/>
      </c>
      <c r="K251" s="64" t="str">
        <f t="shared" si="123"/>
        <v/>
      </c>
      <c r="L251" s="63" t="str">
        <f t="shared" si="124"/>
        <v/>
      </c>
      <c r="M251" s="64" t="str">
        <f t="shared" si="125"/>
        <v/>
      </c>
      <c r="N251" s="65"/>
      <c r="O251" s="63" t="str">
        <f t="shared" si="126"/>
        <v/>
      </c>
      <c r="P251" s="63" t="str">
        <f t="shared" si="127"/>
        <v/>
      </c>
      <c r="Q251" s="66"/>
      <c r="R251" s="63" t="str">
        <f t="shared" si="128"/>
        <v/>
      </c>
      <c r="S251" s="64" t="str">
        <f t="shared" si="129"/>
        <v/>
      </c>
      <c r="T251" s="63" t="str">
        <f t="shared" si="130"/>
        <v/>
      </c>
      <c r="U251" s="64" t="str">
        <f t="shared" si="131"/>
        <v/>
      </c>
      <c r="V251" s="207" t="str">
        <f>IF($A252="","",IF(AND(MONTH(A251)&gt;3,MONTH(A251)&lt;11),(T251+R251+G251)*Summary!$T$8/(1-Summary!$T$8),(T251+R251+G251)*Summary!$U$8/(1-Summary!$U$8)))</f>
        <v/>
      </c>
      <c r="W251" s="63" t="str">
        <f t="shared" si="132"/>
        <v/>
      </c>
      <c r="X251" s="63" t="str">
        <f t="shared" si="133"/>
        <v/>
      </c>
      <c r="Y251" s="43"/>
      <c r="Z251" s="38" t="str">
        <f t="shared" si="134"/>
        <v/>
      </c>
      <c r="AA251" s="38" t="str">
        <f t="shared" si="135"/>
        <v/>
      </c>
      <c r="AB251" s="38" t="e">
        <f t="shared" si="136"/>
        <v>#VALUE!</v>
      </c>
      <c r="AC251" s="38" t="str">
        <f t="shared" si="137"/>
        <v/>
      </c>
      <c r="AD251" s="38" t="str">
        <f t="shared" si="137"/>
        <v/>
      </c>
      <c r="AE251" s="38" t="e">
        <f t="shared" si="138"/>
        <v>#VALUE!</v>
      </c>
      <c r="AF251" s="237" t="e">
        <f>((Summary!$N$8*(AA251*AD251)*(A251-$D$3))+(Summary!$M$8*Z251*AC251*(AJ251-EOMONTH(EDATE(A251,-1),0))))/(AK251*AB251*AE251)</f>
        <v>#VALUE!</v>
      </c>
      <c r="AG251" s="88" t="str">
        <f>IF($A252="","",Summary!$Q$8)</f>
        <v/>
      </c>
      <c r="AH251" s="88" t="str">
        <f>IF($A252="","",IF(Summary!$R$8="Y",(VLOOKUP($A251,Summary!$AD$6:$AF$9,3)+'Escalating commodity'!D264),'Escalating commodity'!D264))</f>
        <v/>
      </c>
      <c r="AI251" s="88" t="str">
        <f t="shared" si="153"/>
        <v/>
      </c>
      <c r="AJ251" s="236" t="e">
        <f t="shared" si="139"/>
        <v>#VALUE!</v>
      </c>
      <c r="AK251" s="58" t="str">
        <f t="shared" si="140"/>
        <v/>
      </c>
      <c r="AL251" s="26" t="str">
        <f>IF($A252="","",_xll.SPRDOPT(P251,X251,AI251,0,AB251,AE251,AF251,AK251,$AJ$2,0))</f>
        <v/>
      </c>
      <c r="AM251" s="89" t="str">
        <f t="shared" si="141"/>
        <v/>
      </c>
      <c r="AN251" s="89" t="str">
        <f t="shared" si="142"/>
        <v/>
      </c>
      <c r="AO251" s="3" t="str">
        <f t="shared" si="143"/>
        <v/>
      </c>
      <c r="AP251" s="33" t="str">
        <f t="shared" si="144"/>
        <v/>
      </c>
      <c r="AQ251" s="58" t="str">
        <f t="shared" si="145"/>
        <v/>
      </c>
      <c r="AR251" s="38">
        <f>'ANR OK vs ML7'!AR251</f>
        <v>0.1</v>
      </c>
      <c r="AS251" s="35" t="str">
        <f t="shared" si="146"/>
        <v/>
      </c>
      <c r="AT251" s="3" t="str">
        <f t="shared" si="147"/>
        <v/>
      </c>
      <c r="AU251" s="3" t="str">
        <f t="shared" si="148"/>
        <v/>
      </c>
      <c r="AW251" s="32" t="str">
        <f t="shared" si="149"/>
        <v/>
      </c>
      <c r="AX251" s="32" t="str">
        <f t="shared" si="150"/>
        <v/>
      </c>
      <c r="AY251" s="32" t="str">
        <f t="shared" si="151"/>
        <v/>
      </c>
      <c r="BA251" s="32" t="str">
        <f>IF($A252="","",F251*Summary!$Q$8)</f>
        <v/>
      </c>
    </row>
    <row r="252" spans="1:53" ht="12" customHeight="1">
      <c r="A252" s="67" t="str">
        <f t="shared" si="152"/>
        <v/>
      </c>
      <c r="B252" s="69">
        <f t="shared" si="154"/>
        <v>0</v>
      </c>
      <c r="C252" s="71"/>
      <c r="D252" s="69" t="str">
        <f t="shared" si="117"/>
        <v/>
      </c>
      <c r="E252" s="70" t="str">
        <f t="shared" si="118"/>
        <v/>
      </c>
      <c r="F252" s="70" t="str">
        <f t="shared" si="119"/>
        <v/>
      </c>
      <c r="G252" s="63" t="str">
        <f t="shared" si="120"/>
        <v/>
      </c>
      <c r="H252" s="64" t="str">
        <f t="shared" si="121"/>
        <v/>
      </c>
      <c r="I252" s="43"/>
      <c r="J252" s="63" t="str">
        <f t="shared" si="122"/>
        <v/>
      </c>
      <c r="K252" s="64" t="str">
        <f t="shared" si="123"/>
        <v/>
      </c>
      <c r="L252" s="63" t="str">
        <f t="shared" si="124"/>
        <v/>
      </c>
      <c r="M252" s="64" t="str">
        <f t="shared" si="125"/>
        <v/>
      </c>
      <c r="N252" s="65"/>
      <c r="O252" s="63" t="str">
        <f t="shared" si="126"/>
        <v/>
      </c>
      <c r="P252" s="63" t="str">
        <f t="shared" si="127"/>
        <v/>
      </c>
      <c r="Q252" s="66"/>
      <c r="R252" s="63" t="str">
        <f t="shared" si="128"/>
        <v/>
      </c>
      <c r="S252" s="64" t="str">
        <f t="shared" si="129"/>
        <v/>
      </c>
      <c r="T252" s="63" t="str">
        <f t="shared" si="130"/>
        <v/>
      </c>
      <c r="U252" s="64" t="str">
        <f t="shared" si="131"/>
        <v/>
      </c>
      <c r="V252" s="207" t="str">
        <f>IF($A253="","",IF(AND(MONTH(A252)&gt;3,MONTH(A252)&lt;11),(T252+R252+G252)*Summary!$T$8/(1-Summary!$T$8),(T252+R252+G252)*Summary!$U$8/(1-Summary!$U$8)))</f>
        <v/>
      </c>
      <c r="W252" s="63" t="str">
        <f t="shared" si="132"/>
        <v/>
      </c>
      <c r="X252" s="63" t="str">
        <f t="shared" si="133"/>
        <v/>
      </c>
      <c r="Y252" s="43"/>
      <c r="Z252" s="38" t="str">
        <f t="shared" si="134"/>
        <v/>
      </c>
      <c r="AA252" s="38" t="str">
        <f t="shared" si="135"/>
        <v/>
      </c>
      <c r="AB252" s="38" t="e">
        <f t="shared" si="136"/>
        <v>#VALUE!</v>
      </c>
      <c r="AC252" s="38" t="str">
        <f t="shared" si="137"/>
        <v/>
      </c>
      <c r="AD252" s="38" t="str">
        <f t="shared" si="137"/>
        <v/>
      </c>
      <c r="AE252" s="38" t="e">
        <f t="shared" si="138"/>
        <v>#VALUE!</v>
      </c>
      <c r="AF252" s="237" t="e">
        <f>((Summary!$N$8*(AA252*AD252)*(A252-$D$3))+(Summary!$M$8*Z252*AC252*(AJ252-EOMONTH(EDATE(A252,-1),0))))/(AK252*AB252*AE252)</f>
        <v>#VALUE!</v>
      </c>
      <c r="AG252" s="88" t="str">
        <f>IF($A253="","",Summary!$Q$8)</f>
        <v/>
      </c>
      <c r="AH252" s="88" t="str">
        <f>IF($A253="","",IF(Summary!$R$8="Y",(VLOOKUP($A252,Summary!$AD$6:$AF$9,3)+'Escalating commodity'!D265),'Escalating commodity'!D265))</f>
        <v/>
      </c>
      <c r="AI252" s="88" t="str">
        <f t="shared" si="153"/>
        <v/>
      </c>
      <c r="AJ252" s="236" t="e">
        <f t="shared" si="139"/>
        <v>#VALUE!</v>
      </c>
      <c r="AK252" s="58" t="str">
        <f t="shared" si="140"/>
        <v/>
      </c>
      <c r="AL252" s="26" t="str">
        <f>IF($A253="","",_xll.SPRDOPT(P252,X252,AI252,0,AB252,AE252,AF252,AK252,$AJ$2,0))</f>
        <v/>
      </c>
      <c r="AM252" s="89" t="str">
        <f t="shared" si="141"/>
        <v/>
      </c>
      <c r="AN252" s="89" t="str">
        <f t="shared" si="142"/>
        <v/>
      </c>
      <c r="AO252" s="3" t="str">
        <f t="shared" si="143"/>
        <v/>
      </c>
      <c r="AP252" s="33" t="str">
        <f t="shared" si="144"/>
        <v/>
      </c>
      <c r="AQ252" s="58" t="str">
        <f t="shared" si="145"/>
        <v/>
      </c>
      <c r="AR252" s="38">
        <f>'ANR OK vs ML7'!AR252</f>
        <v>0.1</v>
      </c>
      <c r="AS252" s="35" t="str">
        <f t="shared" si="146"/>
        <v/>
      </c>
      <c r="AT252" s="3" t="str">
        <f t="shared" si="147"/>
        <v/>
      </c>
      <c r="AU252" s="3" t="str">
        <f t="shared" si="148"/>
        <v/>
      </c>
      <c r="AW252" s="32" t="str">
        <f t="shared" si="149"/>
        <v/>
      </c>
      <c r="AX252" s="32" t="str">
        <f t="shared" si="150"/>
        <v/>
      </c>
      <c r="AY252" s="32" t="str">
        <f t="shared" si="151"/>
        <v/>
      </c>
      <c r="BA252" s="32" t="str">
        <f>IF($A253="","",F252*Summary!$Q$8)</f>
        <v/>
      </c>
    </row>
    <row r="253" spans="1:53" ht="12" customHeight="1">
      <c r="A253" s="67" t="str">
        <f t="shared" si="152"/>
        <v/>
      </c>
      <c r="B253" s="69">
        <f t="shared" si="154"/>
        <v>0</v>
      </c>
      <c r="C253" s="71"/>
      <c r="D253" s="69" t="str">
        <f t="shared" si="117"/>
        <v/>
      </c>
      <c r="E253" s="70" t="str">
        <f t="shared" si="118"/>
        <v/>
      </c>
      <c r="F253" s="70" t="str">
        <f t="shared" si="119"/>
        <v/>
      </c>
      <c r="G253" s="63" t="str">
        <f t="shared" si="120"/>
        <v/>
      </c>
      <c r="H253" s="64" t="str">
        <f t="shared" si="121"/>
        <v/>
      </c>
      <c r="I253" s="43"/>
      <c r="J253" s="63" t="str">
        <f t="shared" si="122"/>
        <v/>
      </c>
      <c r="K253" s="64" t="str">
        <f t="shared" si="123"/>
        <v/>
      </c>
      <c r="L253" s="63" t="str">
        <f t="shared" si="124"/>
        <v/>
      </c>
      <c r="M253" s="64" t="str">
        <f t="shared" si="125"/>
        <v/>
      </c>
      <c r="N253" s="65"/>
      <c r="O253" s="63" t="str">
        <f t="shared" si="126"/>
        <v/>
      </c>
      <c r="P253" s="63" t="str">
        <f t="shared" si="127"/>
        <v/>
      </c>
      <c r="Q253" s="66"/>
      <c r="R253" s="63" t="str">
        <f t="shared" si="128"/>
        <v/>
      </c>
      <c r="S253" s="64" t="str">
        <f t="shared" si="129"/>
        <v/>
      </c>
      <c r="T253" s="63" t="str">
        <f t="shared" si="130"/>
        <v/>
      </c>
      <c r="U253" s="64" t="str">
        <f t="shared" si="131"/>
        <v/>
      </c>
      <c r="V253" s="207" t="str">
        <f>IF($A254="","",IF(AND(MONTH(A253)&gt;3,MONTH(A253)&lt;11),(T253+R253+G253)*Summary!$T$8/(1-Summary!$T$8),(T253+R253+G253)*Summary!$U$8/(1-Summary!$U$8)))</f>
        <v/>
      </c>
      <c r="W253" s="63" t="str">
        <f t="shared" si="132"/>
        <v/>
      </c>
      <c r="X253" s="63" t="str">
        <f t="shared" si="133"/>
        <v/>
      </c>
      <c r="Y253" s="43"/>
      <c r="Z253" s="38" t="str">
        <f t="shared" si="134"/>
        <v/>
      </c>
      <c r="AA253" s="38" t="str">
        <f t="shared" si="135"/>
        <v/>
      </c>
      <c r="AB253" s="38" t="e">
        <f t="shared" si="136"/>
        <v>#VALUE!</v>
      </c>
      <c r="AC253" s="38" t="str">
        <f t="shared" si="137"/>
        <v/>
      </c>
      <c r="AD253" s="38" t="str">
        <f t="shared" si="137"/>
        <v/>
      </c>
      <c r="AE253" s="38" t="e">
        <f t="shared" si="138"/>
        <v>#VALUE!</v>
      </c>
      <c r="AF253" s="237" t="e">
        <f>((Summary!$N$8*(AA253*AD253)*(A253-$D$3))+(Summary!$M$8*Z253*AC253*(AJ253-EOMONTH(EDATE(A253,-1),0))))/(AK253*AB253*AE253)</f>
        <v>#VALUE!</v>
      </c>
      <c r="AG253" s="88" t="str">
        <f>IF($A254="","",Summary!$Q$8)</f>
        <v/>
      </c>
      <c r="AH253" s="88" t="str">
        <f>IF($A254="","",IF(Summary!$R$8="Y",(VLOOKUP($A253,Summary!$AD$6:$AF$9,3)+'Escalating commodity'!D266),'Escalating commodity'!D266))</f>
        <v/>
      </c>
      <c r="AI253" s="88" t="str">
        <f t="shared" si="153"/>
        <v/>
      </c>
      <c r="AJ253" s="236" t="e">
        <f t="shared" si="139"/>
        <v>#VALUE!</v>
      </c>
      <c r="AK253" s="58" t="str">
        <f t="shared" si="140"/>
        <v/>
      </c>
      <c r="AL253" s="26" t="str">
        <f>IF($A254="","",_xll.SPRDOPT(P253,X253,AI253,0,AB253,AE253,AF253,AK253,$AJ$2,0))</f>
        <v/>
      </c>
      <c r="AM253" s="89" t="str">
        <f t="shared" si="141"/>
        <v/>
      </c>
      <c r="AN253" s="89" t="str">
        <f t="shared" si="142"/>
        <v/>
      </c>
      <c r="AO253" s="3" t="str">
        <f t="shared" si="143"/>
        <v/>
      </c>
      <c r="AP253" s="33" t="str">
        <f t="shared" si="144"/>
        <v/>
      </c>
      <c r="AQ253" s="58" t="str">
        <f t="shared" si="145"/>
        <v/>
      </c>
      <c r="AR253" s="38">
        <f>'ANR OK vs ML7'!AR253</f>
        <v>0.1</v>
      </c>
      <c r="AS253" s="35" t="str">
        <f t="shared" si="146"/>
        <v/>
      </c>
      <c r="AT253" s="3" t="str">
        <f t="shared" si="147"/>
        <v/>
      </c>
      <c r="AU253" s="3" t="str">
        <f t="shared" si="148"/>
        <v/>
      </c>
      <c r="AW253" s="32" t="str">
        <f t="shared" si="149"/>
        <v/>
      </c>
      <c r="AX253" s="32" t="str">
        <f t="shared" si="150"/>
        <v/>
      </c>
      <c r="AY253" s="32" t="str">
        <f t="shared" si="151"/>
        <v/>
      </c>
      <c r="BA253" s="32" t="str">
        <f>IF($A254="","",F253*Summary!$Q$8)</f>
        <v/>
      </c>
    </row>
    <row r="254" spans="1:53" ht="12" customHeight="1">
      <c r="A254" s="67" t="str">
        <f t="shared" si="152"/>
        <v/>
      </c>
      <c r="B254" s="69">
        <f t="shared" si="154"/>
        <v>0</v>
      </c>
      <c r="C254" s="71"/>
      <c r="D254" s="69" t="str">
        <f t="shared" si="117"/>
        <v/>
      </c>
      <c r="E254" s="70" t="str">
        <f t="shared" si="118"/>
        <v/>
      </c>
      <c r="F254" s="70" t="str">
        <f t="shared" si="119"/>
        <v/>
      </c>
      <c r="G254" s="63" t="str">
        <f t="shared" si="120"/>
        <v/>
      </c>
      <c r="H254" s="64" t="str">
        <f t="shared" si="121"/>
        <v/>
      </c>
      <c r="I254" s="43"/>
      <c r="J254" s="63" t="str">
        <f t="shared" si="122"/>
        <v/>
      </c>
      <c r="K254" s="64" t="str">
        <f t="shared" si="123"/>
        <v/>
      </c>
      <c r="L254" s="63" t="str">
        <f t="shared" si="124"/>
        <v/>
      </c>
      <c r="M254" s="64" t="str">
        <f t="shared" si="125"/>
        <v/>
      </c>
      <c r="N254" s="65"/>
      <c r="O254" s="63" t="str">
        <f t="shared" si="126"/>
        <v/>
      </c>
      <c r="P254" s="63" t="str">
        <f t="shared" si="127"/>
        <v/>
      </c>
      <c r="Q254" s="66"/>
      <c r="R254" s="63" t="str">
        <f t="shared" si="128"/>
        <v/>
      </c>
      <c r="S254" s="64" t="str">
        <f t="shared" si="129"/>
        <v/>
      </c>
      <c r="T254" s="63" t="str">
        <f t="shared" si="130"/>
        <v/>
      </c>
      <c r="U254" s="64" t="str">
        <f t="shared" si="131"/>
        <v/>
      </c>
      <c r="V254" s="207" t="str">
        <f>IF($A255="","",IF(AND(MONTH(A254)&gt;3,MONTH(A254)&lt;11),(T254+R254+G254)*Summary!$T$8/(1-Summary!$T$8),(T254+R254+G254)*Summary!$U$8/(1-Summary!$U$8)))</f>
        <v/>
      </c>
      <c r="W254" s="63" t="str">
        <f t="shared" si="132"/>
        <v/>
      </c>
      <c r="X254" s="63" t="str">
        <f t="shared" si="133"/>
        <v/>
      </c>
      <c r="Y254" s="43"/>
      <c r="Z254" s="38" t="str">
        <f t="shared" si="134"/>
        <v/>
      </c>
      <c r="AA254" s="38" t="str">
        <f t="shared" si="135"/>
        <v/>
      </c>
      <c r="AB254" s="38" t="e">
        <f t="shared" si="136"/>
        <v>#VALUE!</v>
      </c>
      <c r="AC254" s="38" t="str">
        <f t="shared" si="137"/>
        <v/>
      </c>
      <c r="AD254" s="38" t="str">
        <f t="shared" si="137"/>
        <v/>
      </c>
      <c r="AE254" s="38" t="e">
        <f t="shared" si="138"/>
        <v>#VALUE!</v>
      </c>
      <c r="AF254" s="237" t="e">
        <f>((Summary!$N$8*(AA254*AD254)*(A254-$D$3))+(Summary!$M$8*Z254*AC254*(AJ254-EOMONTH(EDATE(A254,-1),0))))/(AK254*AB254*AE254)</f>
        <v>#VALUE!</v>
      </c>
      <c r="AG254" s="88" t="str">
        <f>IF($A255="","",Summary!$Q$8)</f>
        <v/>
      </c>
      <c r="AH254" s="88" t="str">
        <f>IF($A255="","",IF(Summary!$R$8="Y",(VLOOKUP($A254,Summary!$AD$6:$AF$9,3)+'Escalating commodity'!D267),'Escalating commodity'!D267))</f>
        <v/>
      </c>
      <c r="AI254" s="88" t="str">
        <f t="shared" si="153"/>
        <v/>
      </c>
      <c r="AJ254" s="236" t="e">
        <f t="shared" si="139"/>
        <v>#VALUE!</v>
      </c>
      <c r="AK254" s="58" t="str">
        <f t="shared" si="140"/>
        <v/>
      </c>
      <c r="AL254" s="26" t="str">
        <f>IF($A255="","",_xll.SPRDOPT(P254,X254,AI254,0,AB254,AE254,AF254,AK254,$AJ$2,0))</f>
        <v/>
      </c>
      <c r="AM254" s="89" t="str">
        <f t="shared" si="141"/>
        <v/>
      </c>
      <c r="AN254" s="89" t="str">
        <f t="shared" si="142"/>
        <v/>
      </c>
      <c r="AO254" s="3" t="str">
        <f t="shared" si="143"/>
        <v/>
      </c>
      <c r="AP254" s="33" t="str">
        <f t="shared" si="144"/>
        <v/>
      </c>
      <c r="AQ254" s="58" t="str">
        <f t="shared" si="145"/>
        <v/>
      </c>
      <c r="AR254" s="38">
        <f>'ANR OK vs ML7'!AR254</f>
        <v>0.1</v>
      </c>
      <c r="AS254" s="35" t="str">
        <f t="shared" si="146"/>
        <v/>
      </c>
      <c r="AT254" s="3" t="str">
        <f t="shared" si="147"/>
        <v/>
      </c>
      <c r="AU254" s="3" t="str">
        <f t="shared" si="148"/>
        <v/>
      </c>
      <c r="AW254" s="32" t="str">
        <f t="shared" si="149"/>
        <v/>
      </c>
      <c r="AX254" s="32" t="str">
        <f t="shared" si="150"/>
        <v/>
      </c>
      <c r="AY254" s="32" t="str">
        <f t="shared" si="151"/>
        <v/>
      </c>
      <c r="BA254" s="32" t="str">
        <f>IF($A255="","",F254*Summary!$Q$8)</f>
        <v/>
      </c>
    </row>
    <row r="255" spans="1:53" ht="12" customHeight="1">
      <c r="A255" s="67" t="str">
        <f t="shared" si="152"/>
        <v/>
      </c>
      <c r="B255" s="69">
        <f t="shared" si="154"/>
        <v>0</v>
      </c>
      <c r="C255" s="71"/>
      <c r="D255" s="69" t="str">
        <f t="shared" si="117"/>
        <v/>
      </c>
      <c r="E255" s="70" t="str">
        <f t="shared" si="118"/>
        <v/>
      </c>
      <c r="F255" s="70" t="str">
        <f t="shared" si="119"/>
        <v/>
      </c>
      <c r="G255" s="63" t="str">
        <f t="shared" si="120"/>
        <v/>
      </c>
      <c r="H255" s="64" t="str">
        <f t="shared" si="121"/>
        <v/>
      </c>
      <c r="I255" s="43"/>
      <c r="J255" s="63" t="str">
        <f t="shared" si="122"/>
        <v/>
      </c>
      <c r="K255" s="64" t="str">
        <f t="shared" si="123"/>
        <v/>
      </c>
      <c r="L255" s="63" t="str">
        <f t="shared" si="124"/>
        <v/>
      </c>
      <c r="M255" s="64" t="str">
        <f t="shared" si="125"/>
        <v/>
      </c>
      <c r="N255" s="65"/>
      <c r="O255" s="63" t="str">
        <f t="shared" si="126"/>
        <v/>
      </c>
      <c r="P255" s="63" t="str">
        <f t="shared" si="127"/>
        <v/>
      </c>
      <c r="Q255" s="66"/>
      <c r="R255" s="63" t="str">
        <f t="shared" si="128"/>
        <v/>
      </c>
      <c r="S255" s="64" t="str">
        <f t="shared" si="129"/>
        <v/>
      </c>
      <c r="T255" s="63" t="str">
        <f t="shared" si="130"/>
        <v/>
      </c>
      <c r="U255" s="64" t="str">
        <f t="shared" si="131"/>
        <v/>
      </c>
      <c r="V255" s="207" t="str">
        <f>IF($A256="","",IF(AND(MONTH(A255)&gt;3,MONTH(A255)&lt;11),(T255+R255+G255)*Summary!$T$8/(1-Summary!$T$8),(T255+R255+G255)*Summary!$U$8/(1-Summary!$U$8)))</f>
        <v/>
      </c>
      <c r="W255" s="63" t="str">
        <f t="shared" si="132"/>
        <v/>
      </c>
      <c r="X255" s="63" t="str">
        <f t="shared" si="133"/>
        <v/>
      </c>
      <c r="Y255" s="43"/>
      <c r="Z255" s="38" t="str">
        <f t="shared" si="134"/>
        <v/>
      </c>
      <c r="AA255" s="38" t="str">
        <f t="shared" si="135"/>
        <v/>
      </c>
      <c r="AB255" s="38" t="e">
        <f t="shared" si="136"/>
        <v>#VALUE!</v>
      </c>
      <c r="AC255" s="38" t="str">
        <f t="shared" si="137"/>
        <v/>
      </c>
      <c r="AD255" s="38" t="str">
        <f t="shared" si="137"/>
        <v/>
      </c>
      <c r="AE255" s="38" t="e">
        <f t="shared" si="138"/>
        <v>#VALUE!</v>
      </c>
      <c r="AF255" s="237" t="e">
        <f>((Summary!$N$8*(AA255*AD255)*(A255-$D$3))+(Summary!$M$8*Z255*AC255*(AJ255-EOMONTH(EDATE(A255,-1),0))))/(AK255*AB255*AE255)</f>
        <v>#VALUE!</v>
      </c>
      <c r="AG255" s="88" t="str">
        <f>IF($A256="","",Summary!$Q$8)</f>
        <v/>
      </c>
      <c r="AH255" s="88" t="str">
        <f>IF($A256="","",IF(Summary!$R$8="Y",(VLOOKUP($A255,Summary!$AD$6:$AF$9,3)+'Escalating commodity'!D268),'Escalating commodity'!D268))</f>
        <v/>
      </c>
      <c r="AI255" s="88" t="str">
        <f t="shared" si="153"/>
        <v/>
      </c>
      <c r="AJ255" s="236" t="e">
        <f t="shared" si="139"/>
        <v>#VALUE!</v>
      </c>
      <c r="AK255" s="58" t="str">
        <f t="shared" si="140"/>
        <v/>
      </c>
      <c r="AL255" s="26" t="str">
        <f>IF($A256="","",_xll.SPRDOPT(P255,X255,AI255,0,AB255,AE255,AF255,AK255,$AJ$2,0))</f>
        <v/>
      </c>
      <c r="AM255" s="89" t="str">
        <f t="shared" si="141"/>
        <v/>
      </c>
      <c r="AN255" s="89" t="str">
        <f t="shared" si="142"/>
        <v/>
      </c>
      <c r="AO255" s="3" t="str">
        <f t="shared" si="143"/>
        <v/>
      </c>
      <c r="AP255" s="33" t="str">
        <f t="shared" si="144"/>
        <v/>
      </c>
      <c r="AQ255" s="58" t="str">
        <f t="shared" si="145"/>
        <v/>
      </c>
      <c r="AR255" s="38">
        <f>'ANR OK vs ML7'!AR255</f>
        <v>0.1</v>
      </c>
      <c r="AS255" s="35" t="str">
        <f t="shared" si="146"/>
        <v/>
      </c>
      <c r="AT255" s="3" t="str">
        <f t="shared" si="147"/>
        <v/>
      </c>
      <c r="AU255" s="3" t="str">
        <f t="shared" si="148"/>
        <v/>
      </c>
      <c r="AW255" s="32" t="str">
        <f t="shared" si="149"/>
        <v/>
      </c>
      <c r="AX255" s="32" t="str">
        <f t="shared" si="150"/>
        <v/>
      </c>
      <c r="AY255" s="32" t="str">
        <f t="shared" si="151"/>
        <v/>
      </c>
      <c r="BA255" s="32" t="str">
        <f>IF($A256="","",F255*Summary!$Q$8)</f>
        <v/>
      </c>
    </row>
    <row r="256" spans="1:53" ht="12" customHeight="1">
      <c r="A256" s="67" t="str">
        <f t="shared" si="152"/>
        <v/>
      </c>
      <c r="B256" s="69">
        <f t="shared" si="154"/>
        <v>0</v>
      </c>
      <c r="C256" s="71"/>
      <c r="D256" s="69" t="str">
        <f t="shared" si="117"/>
        <v/>
      </c>
      <c r="E256" s="70" t="str">
        <f t="shared" si="118"/>
        <v/>
      </c>
      <c r="F256" s="70" t="str">
        <f t="shared" si="119"/>
        <v/>
      </c>
      <c r="G256" s="63" t="str">
        <f t="shared" si="120"/>
        <v/>
      </c>
      <c r="H256" s="64" t="str">
        <f t="shared" si="121"/>
        <v/>
      </c>
      <c r="I256" s="43"/>
      <c r="J256" s="63" t="str">
        <f t="shared" si="122"/>
        <v/>
      </c>
      <c r="K256" s="64" t="str">
        <f t="shared" si="123"/>
        <v/>
      </c>
      <c r="L256" s="63" t="str">
        <f t="shared" si="124"/>
        <v/>
      </c>
      <c r="M256" s="64" t="str">
        <f t="shared" si="125"/>
        <v/>
      </c>
      <c r="N256" s="65"/>
      <c r="O256" s="63" t="str">
        <f t="shared" si="126"/>
        <v/>
      </c>
      <c r="P256" s="63" t="str">
        <f t="shared" si="127"/>
        <v/>
      </c>
      <c r="Q256" s="66"/>
      <c r="R256" s="63" t="str">
        <f t="shared" si="128"/>
        <v/>
      </c>
      <c r="S256" s="64" t="str">
        <f t="shared" si="129"/>
        <v/>
      </c>
      <c r="T256" s="63" t="str">
        <f t="shared" si="130"/>
        <v/>
      </c>
      <c r="U256" s="64" t="str">
        <f t="shared" si="131"/>
        <v/>
      </c>
      <c r="V256" s="207" t="str">
        <f>IF($A257="","",IF(AND(MONTH(A256)&gt;3,MONTH(A256)&lt;11),(T256+R256+G256)*Summary!$T$8/(1-Summary!$T$8),(T256+R256+G256)*Summary!$U$8/(1-Summary!$U$8)))</f>
        <v/>
      </c>
      <c r="W256" s="63" t="str">
        <f t="shared" si="132"/>
        <v/>
      </c>
      <c r="X256" s="63" t="str">
        <f t="shared" si="133"/>
        <v/>
      </c>
      <c r="Y256" s="43"/>
      <c r="Z256" s="38" t="str">
        <f t="shared" si="134"/>
        <v/>
      </c>
      <c r="AA256" s="38" t="str">
        <f t="shared" si="135"/>
        <v/>
      </c>
      <c r="AB256" s="38" t="e">
        <f t="shared" si="136"/>
        <v>#VALUE!</v>
      </c>
      <c r="AC256" s="38" t="str">
        <f t="shared" si="137"/>
        <v/>
      </c>
      <c r="AD256" s="38" t="str">
        <f t="shared" si="137"/>
        <v/>
      </c>
      <c r="AE256" s="38" t="e">
        <f t="shared" si="138"/>
        <v>#VALUE!</v>
      </c>
      <c r="AF256" s="237" t="e">
        <f>((Summary!$N$8*(AA256*AD256)*(A256-$D$3))+(Summary!$M$8*Z256*AC256*(AJ256-EOMONTH(EDATE(A256,-1),0))))/(AK256*AB256*AE256)</f>
        <v>#VALUE!</v>
      </c>
      <c r="AG256" s="88" t="str">
        <f>IF($A257="","",Summary!$Q$8)</f>
        <v/>
      </c>
      <c r="AH256" s="88" t="str">
        <f>IF($A257="","",IF(Summary!$R$8="Y",(VLOOKUP($A256,Summary!$AD$6:$AF$9,3)+'Escalating commodity'!D269),'Escalating commodity'!D269))</f>
        <v/>
      </c>
      <c r="AI256" s="88" t="str">
        <f t="shared" si="153"/>
        <v/>
      </c>
      <c r="AJ256" s="236" t="e">
        <f t="shared" si="139"/>
        <v>#VALUE!</v>
      </c>
      <c r="AK256" s="58" t="str">
        <f t="shared" si="140"/>
        <v/>
      </c>
      <c r="AL256" s="26" t="str">
        <f>IF($A257="","",_xll.SPRDOPT(P256,X256,AI256,0,AB256,AE256,AF256,AK256,$AJ$2,0))</f>
        <v/>
      </c>
      <c r="AM256" s="89" t="str">
        <f t="shared" si="141"/>
        <v/>
      </c>
      <c r="AN256" s="89" t="str">
        <f t="shared" si="142"/>
        <v/>
      </c>
      <c r="AO256" s="3" t="str">
        <f t="shared" si="143"/>
        <v/>
      </c>
      <c r="AP256" s="33" t="str">
        <f t="shared" si="144"/>
        <v/>
      </c>
      <c r="AQ256" s="58" t="str">
        <f t="shared" si="145"/>
        <v/>
      </c>
      <c r="AR256" s="38">
        <f>'ANR OK vs ML7'!AR256</f>
        <v>0.1</v>
      </c>
      <c r="AS256" s="35" t="str">
        <f t="shared" si="146"/>
        <v/>
      </c>
      <c r="AT256" s="3" t="str">
        <f t="shared" si="147"/>
        <v/>
      </c>
      <c r="AU256" s="3" t="str">
        <f t="shared" si="148"/>
        <v/>
      </c>
      <c r="AW256" s="32" t="str">
        <f t="shared" si="149"/>
        <v/>
      </c>
      <c r="AX256" s="32" t="str">
        <f t="shared" si="150"/>
        <v/>
      </c>
      <c r="AY256" s="32" t="str">
        <f t="shared" si="151"/>
        <v/>
      </c>
      <c r="BA256" s="32" t="str">
        <f>IF($A257="","",F256*Summary!$Q$8)</f>
        <v/>
      </c>
    </row>
    <row r="257" spans="1:53" ht="12" customHeight="1">
      <c r="A257" s="67" t="str">
        <f t="shared" si="152"/>
        <v/>
      </c>
      <c r="B257" s="69">
        <f t="shared" si="154"/>
        <v>0</v>
      </c>
      <c r="C257" s="71"/>
      <c r="D257" s="69" t="str">
        <f t="shared" si="117"/>
        <v/>
      </c>
      <c r="E257" s="70" t="str">
        <f t="shared" si="118"/>
        <v/>
      </c>
      <c r="F257" s="70" t="str">
        <f t="shared" si="119"/>
        <v/>
      </c>
      <c r="G257" s="63" t="str">
        <f t="shared" si="120"/>
        <v/>
      </c>
      <c r="H257" s="64" t="str">
        <f t="shared" si="121"/>
        <v/>
      </c>
      <c r="I257" s="43"/>
      <c r="J257" s="63" t="str">
        <f t="shared" si="122"/>
        <v/>
      </c>
      <c r="K257" s="64" t="str">
        <f t="shared" si="123"/>
        <v/>
      </c>
      <c r="L257" s="63" t="str">
        <f t="shared" si="124"/>
        <v/>
      </c>
      <c r="M257" s="64" t="str">
        <f t="shared" si="125"/>
        <v/>
      </c>
      <c r="N257" s="65"/>
      <c r="O257" s="63" t="str">
        <f t="shared" si="126"/>
        <v/>
      </c>
      <c r="P257" s="63" t="str">
        <f t="shared" si="127"/>
        <v/>
      </c>
      <c r="Q257" s="66"/>
      <c r="R257" s="63" t="str">
        <f t="shared" si="128"/>
        <v/>
      </c>
      <c r="S257" s="64" t="str">
        <f t="shared" si="129"/>
        <v/>
      </c>
      <c r="T257" s="63" t="str">
        <f t="shared" si="130"/>
        <v/>
      </c>
      <c r="U257" s="64" t="str">
        <f t="shared" si="131"/>
        <v/>
      </c>
      <c r="V257" s="207" t="str">
        <f>IF($A258="","",IF(AND(MONTH(A257)&gt;3,MONTH(A257)&lt;11),(T257+R257+G257)*Summary!$T$8/(1-Summary!$T$8),(T257+R257+G257)*Summary!$U$8/(1-Summary!$U$8)))</f>
        <v/>
      </c>
      <c r="W257" s="63" t="str">
        <f t="shared" si="132"/>
        <v/>
      </c>
      <c r="X257" s="63" t="str">
        <f t="shared" si="133"/>
        <v/>
      </c>
      <c r="Y257" s="43"/>
      <c r="Z257" s="38" t="str">
        <f t="shared" si="134"/>
        <v/>
      </c>
      <c r="AA257" s="38" t="str">
        <f t="shared" si="135"/>
        <v/>
      </c>
      <c r="AB257" s="38" t="e">
        <f t="shared" si="136"/>
        <v>#VALUE!</v>
      </c>
      <c r="AC257" s="38" t="str">
        <f t="shared" si="137"/>
        <v/>
      </c>
      <c r="AD257" s="38" t="str">
        <f t="shared" si="137"/>
        <v/>
      </c>
      <c r="AE257" s="38" t="e">
        <f t="shared" si="138"/>
        <v>#VALUE!</v>
      </c>
      <c r="AF257" s="237" t="e">
        <f>((Summary!$N$8*(AA257*AD257)*(A257-$D$3))+(Summary!$M$8*Z257*AC257*(AJ257-EOMONTH(EDATE(A257,-1),0))))/(AK257*AB257*AE257)</f>
        <v>#VALUE!</v>
      </c>
      <c r="AG257" s="88" t="str">
        <f>IF($A258="","",Summary!$Q$8)</f>
        <v/>
      </c>
      <c r="AH257" s="88" t="str">
        <f>IF($A258="","",IF(Summary!$R$8="Y",(VLOOKUP($A257,Summary!$AD$6:$AF$9,3)+'Escalating commodity'!D270),'Escalating commodity'!D270))</f>
        <v/>
      </c>
      <c r="AI257" s="88" t="str">
        <f t="shared" si="153"/>
        <v/>
      </c>
      <c r="AJ257" s="236" t="e">
        <f t="shared" si="139"/>
        <v>#VALUE!</v>
      </c>
      <c r="AK257" s="58" t="str">
        <f t="shared" si="140"/>
        <v/>
      </c>
      <c r="AL257" s="26" t="str">
        <f>IF($A258="","",_xll.SPRDOPT(P257,X257,AI257,0,AB257,AE257,AF257,AK257,$AJ$2,0))</f>
        <v/>
      </c>
      <c r="AM257" s="89" t="str">
        <f t="shared" si="141"/>
        <v/>
      </c>
      <c r="AN257" s="89" t="str">
        <f t="shared" si="142"/>
        <v/>
      </c>
      <c r="AO257" s="3" t="str">
        <f t="shared" si="143"/>
        <v/>
      </c>
      <c r="AP257" s="33" t="str">
        <f t="shared" si="144"/>
        <v/>
      </c>
      <c r="AQ257" s="58" t="str">
        <f t="shared" si="145"/>
        <v/>
      </c>
      <c r="AR257" s="38">
        <f>'ANR OK vs ML7'!AR257</f>
        <v>0.1</v>
      </c>
      <c r="AS257" s="35" t="str">
        <f t="shared" si="146"/>
        <v/>
      </c>
      <c r="AT257" s="3" t="str">
        <f t="shared" si="147"/>
        <v/>
      </c>
      <c r="AU257" s="3" t="str">
        <f t="shared" si="148"/>
        <v/>
      </c>
      <c r="AW257" s="32" t="str">
        <f t="shared" si="149"/>
        <v/>
      </c>
      <c r="AX257" s="32" t="str">
        <f t="shared" si="150"/>
        <v/>
      </c>
      <c r="AY257" s="32" t="str">
        <f t="shared" si="151"/>
        <v/>
      </c>
      <c r="BA257" s="32" t="str">
        <f>IF($A258="","",F257*Summary!$Q$8)</f>
        <v/>
      </c>
    </row>
    <row r="258" spans="1:53" ht="12" customHeight="1">
      <c r="A258" s="67" t="str">
        <f t="shared" si="152"/>
        <v/>
      </c>
      <c r="B258" s="69">
        <f t="shared" si="154"/>
        <v>0</v>
      </c>
      <c r="C258" s="71"/>
      <c r="D258" s="69" t="str">
        <f t="shared" si="117"/>
        <v/>
      </c>
      <c r="E258" s="70" t="str">
        <f t="shared" si="118"/>
        <v/>
      </c>
      <c r="F258" s="70" t="str">
        <f t="shared" si="119"/>
        <v/>
      </c>
      <c r="G258" s="63" t="str">
        <f t="shared" si="120"/>
        <v/>
      </c>
      <c r="H258" s="64" t="str">
        <f t="shared" si="121"/>
        <v/>
      </c>
      <c r="I258" s="43"/>
      <c r="J258" s="63" t="str">
        <f t="shared" si="122"/>
        <v/>
      </c>
      <c r="K258" s="64" t="str">
        <f t="shared" si="123"/>
        <v/>
      </c>
      <c r="L258" s="63" t="str">
        <f t="shared" si="124"/>
        <v/>
      </c>
      <c r="M258" s="64" t="str">
        <f t="shared" si="125"/>
        <v/>
      </c>
      <c r="N258" s="65"/>
      <c r="O258" s="63" t="str">
        <f t="shared" si="126"/>
        <v/>
      </c>
      <c r="P258" s="63" t="str">
        <f t="shared" si="127"/>
        <v/>
      </c>
      <c r="Q258" s="66"/>
      <c r="R258" s="63" t="str">
        <f t="shared" si="128"/>
        <v/>
      </c>
      <c r="S258" s="64" t="str">
        <f t="shared" si="129"/>
        <v/>
      </c>
      <c r="T258" s="63" t="str">
        <f t="shared" si="130"/>
        <v/>
      </c>
      <c r="U258" s="64" t="str">
        <f t="shared" si="131"/>
        <v/>
      </c>
      <c r="V258" s="207" t="str">
        <f>IF($A259="","",IF(AND(MONTH(A258)&gt;3,MONTH(A258)&lt;11),(T258+R258+G258)*Summary!$T$8/(1-Summary!$T$8),(T258+R258+G258)*Summary!$U$8/(1-Summary!$U$8)))</f>
        <v/>
      </c>
      <c r="W258" s="63" t="str">
        <f t="shared" si="132"/>
        <v/>
      </c>
      <c r="X258" s="63" t="str">
        <f t="shared" si="133"/>
        <v/>
      </c>
      <c r="Y258" s="43"/>
      <c r="Z258" s="38" t="str">
        <f t="shared" si="134"/>
        <v/>
      </c>
      <c r="AA258" s="38" t="str">
        <f t="shared" si="135"/>
        <v/>
      </c>
      <c r="AB258" s="38" t="e">
        <f t="shared" si="136"/>
        <v>#VALUE!</v>
      </c>
      <c r="AC258" s="38" t="str">
        <f t="shared" si="137"/>
        <v/>
      </c>
      <c r="AD258" s="38" t="str">
        <f t="shared" si="137"/>
        <v/>
      </c>
      <c r="AE258" s="38" t="e">
        <f t="shared" si="138"/>
        <v>#VALUE!</v>
      </c>
      <c r="AF258" s="237" t="e">
        <f>((Summary!$N$8*(AA258*AD258)*(A258-$D$3))+(Summary!$M$8*Z258*AC258*(AJ258-EOMONTH(EDATE(A258,-1),0))))/(AK258*AB258*AE258)</f>
        <v>#VALUE!</v>
      </c>
      <c r="AG258" s="88" t="str">
        <f>IF($A259="","",Summary!$Q$8)</f>
        <v/>
      </c>
      <c r="AH258" s="88" t="str">
        <f>IF($A259="","",IF(Summary!$R$8="Y",(VLOOKUP($A258,Summary!$AD$6:$AF$9,3)+'Escalating commodity'!D271),'Escalating commodity'!D271))</f>
        <v/>
      </c>
      <c r="AI258" s="88" t="str">
        <f t="shared" si="153"/>
        <v/>
      </c>
      <c r="AJ258" s="236" t="e">
        <f t="shared" si="139"/>
        <v>#VALUE!</v>
      </c>
      <c r="AK258" s="58" t="str">
        <f t="shared" si="140"/>
        <v/>
      </c>
      <c r="AL258" s="26" t="str">
        <f>IF($A259="","",_xll.SPRDOPT(P258,X258,AI258,0,AB258,AE258,AF258,AK258,$AJ$2,0))</f>
        <v/>
      </c>
      <c r="AM258" s="89" t="str">
        <f t="shared" si="141"/>
        <v/>
      </c>
      <c r="AN258" s="89" t="str">
        <f t="shared" si="142"/>
        <v/>
      </c>
      <c r="AO258" s="3" t="str">
        <f t="shared" si="143"/>
        <v/>
      </c>
      <c r="AP258" s="33" t="str">
        <f t="shared" si="144"/>
        <v/>
      </c>
      <c r="AQ258" s="58" t="str">
        <f t="shared" si="145"/>
        <v/>
      </c>
      <c r="AR258" s="38">
        <f>'ANR OK vs ML7'!AR258</f>
        <v>0.1</v>
      </c>
      <c r="AS258" s="35" t="str">
        <f t="shared" si="146"/>
        <v/>
      </c>
      <c r="AT258" s="3" t="str">
        <f t="shared" si="147"/>
        <v/>
      </c>
      <c r="AU258" s="3" t="str">
        <f t="shared" si="148"/>
        <v/>
      </c>
      <c r="AW258" s="32" t="str">
        <f t="shared" si="149"/>
        <v/>
      </c>
      <c r="AX258" s="32" t="str">
        <f t="shared" si="150"/>
        <v/>
      </c>
      <c r="AY258" s="32" t="str">
        <f t="shared" si="151"/>
        <v/>
      </c>
      <c r="BA258" s="32" t="str">
        <f>IF($A259="","",F258*Summary!$Q$8)</f>
        <v/>
      </c>
    </row>
    <row r="259" spans="1:53" ht="12" customHeight="1">
      <c r="A259" s="67" t="str">
        <f t="shared" si="152"/>
        <v/>
      </c>
      <c r="B259" s="69">
        <f t="shared" si="154"/>
        <v>0</v>
      </c>
      <c r="C259" s="71"/>
      <c r="D259" s="69" t="str">
        <f t="shared" si="117"/>
        <v/>
      </c>
      <c r="E259" s="70" t="str">
        <f t="shared" si="118"/>
        <v/>
      </c>
      <c r="F259" s="70" t="str">
        <f t="shared" si="119"/>
        <v/>
      </c>
      <c r="G259" s="63" t="str">
        <f t="shared" si="120"/>
        <v/>
      </c>
      <c r="H259" s="64" t="str">
        <f t="shared" si="121"/>
        <v/>
      </c>
      <c r="I259" s="43"/>
      <c r="J259" s="63" t="str">
        <f t="shared" si="122"/>
        <v/>
      </c>
      <c r="K259" s="64" t="str">
        <f t="shared" si="123"/>
        <v/>
      </c>
      <c r="L259" s="63" t="str">
        <f t="shared" si="124"/>
        <v/>
      </c>
      <c r="M259" s="64" t="str">
        <f t="shared" si="125"/>
        <v/>
      </c>
      <c r="N259" s="65"/>
      <c r="O259" s="63" t="str">
        <f t="shared" si="126"/>
        <v/>
      </c>
      <c r="P259" s="63" t="str">
        <f t="shared" si="127"/>
        <v/>
      </c>
      <c r="Q259" s="66"/>
      <c r="R259" s="63" t="str">
        <f t="shared" si="128"/>
        <v/>
      </c>
      <c r="S259" s="64" t="str">
        <f t="shared" si="129"/>
        <v/>
      </c>
      <c r="T259" s="63" t="str">
        <f t="shared" si="130"/>
        <v/>
      </c>
      <c r="U259" s="64" t="str">
        <f t="shared" si="131"/>
        <v/>
      </c>
      <c r="V259" s="207" t="str">
        <f>IF($A260="","",IF(AND(MONTH(A259)&gt;3,MONTH(A259)&lt;11),(T259+R259+G259)*Summary!$T$8/(1-Summary!$T$8),(T259+R259+G259)*Summary!$U$8/(1-Summary!$U$8)))</f>
        <v/>
      </c>
      <c r="W259" s="63" t="str">
        <f t="shared" si="132"/>
        <v/>
      </c>
      <c r="X259" s="63" t="str">
        <f t="shared" si="133"/>
        <v/>
      </c>
      <c r="Y259" s="43"/>
      <c r="Z259" s="38" t="str">
        <f t="shared" si="134"/>
        <v/>
      </c>
      <c r="AA259" s="38" t="str">
        <f t="shared" si="135"/>
        <v/>
      </c>
      <c r="AB259" s="38" t="e">
        <f t="shared" si="136"/>
        <v>#VALUE!</v>
      </c>
      <c r="AC259" s="38" t="str">
        <f t="shared" si="137"/>
        <v/>
      </c>
      <c r="AD259" s="38" t="str">
        <f t="shared" si="137"/>
        <v/>
      </c>
      <c r="AE259" s="38" t="e">
        <f t="shared" si="138"/>
        <v>#VALUE!</v>
      </c>
      <c r="AF259" s="237" t="e">
        <f>((Summary!$N$8*(AA259*AD259)*(A259-$D$3))+(Summary!$M$8*Z259*AC259*(AJ259-EOMONTH(EDATE(A259,-1),0))))/(AK259*AB259*AE259)</f>
        <v>#VALUE!</v>
      </c>
      <c r="AG259" s="88" t="str">
        <f>IF($A260="","",Summary!$Q$8)</f>
        <v/>
      </c>
      <c r="AH259" s="88" t="str">
        <f>IF($A260="","",IF(Summary!$R$8="Y",(VLOOKUP($A259,Summary!$AD$6:$AF$9,3)+'Escalating commodity'!D272),'Escalating commodity'!D272))</f>
        <v/>
      </c>
      <c r="AI259" s="88" t="str">
        <f t="shared" si="153"/>
        <v/>
      </c>
      <c r="AJ259" s="236" t="e">
        <f t="shared" si="139"/>
        <v>#VALUE!</v>
      </c>
      <c r="AK259" s="58" t="str">
        <f t="shared" si="140"/>
        <v/>
      </c>
      <c r="AL259" s="26" t="str">
        <f>IF($A260="","",_xll.SPRDOPT(P259,X259,AI259,0,AB259,AE259,AF259,AK259,$AJ$2,0))</f>
        <v/>
      </c>
      <c r="AM259" s="89" t="str">
        <f t="shared" si="141"/>
        <v/>
      </c>
      <c r="AN259" s="89" t="str">
        <f t="shared" si="142"/>
        <v/>
      </c>
      <c r="AO259" s="3" t="str">
        <f t="shared" si="143"/>
        <v/>
      </c>
      <c r="AP259" s="33" t="str">
        <f t="shared" si="144"/>
        <v/>
      </c>
      <c r="AQ259" s="58" t="str">
        <f t="shared" si="145"/>
        <v/>
      </c>
      <c r="AR259" s="38">
        <f>'ANR OK vs ML7'!AR259</f>
        <v>0.1</v>
      </c>
      <c r="AS259" s="35" t="str">
        <f t="shared" si="146"/>
        <v/>
      </c>
      <c r="AT259" s="3" t="str">
        <f t="shared" si="147"/>
        <v/>
      </c>
      <c r="AU259" s="3" t="str">
        <f t="shared" si="148"/>
        <v/>
      </c>
      <c r="AW259" s="32" t="str">
        <f t="shared" si="149"/>
        <v/>
      </c>
      <c r="AX259" s="32" t="str">
        <f t="shared" si="150"/>
        <v/>
      </c>
      <c r="AY259" s="32" t="str">
        <f t="shared" si="151"/>
        <v/>
      </c>
      <c r="BA259" s="32" t="str">
        <f>IF($A260="","",F259*Summary!$Q$8)</f>
        <v/>
      </c>
    </row>
    <row r="260" spans="1:53" ht="12" customHeight="1">
      <c r="A260" s="67" t="str">
        <f t="shared" si="152"/>
        <v/>
      </c>
      <c r="B260" s="69">
        <f t="shared" si="154"/>
        <v>0</v>
      </c>
      <c r="C260" s="71"/>
      <c r="D260" s="69" t="str">
        <f t="shared" si="117"/>
        <v/>
      </c>
      <c r="E260" s="70" t="str">
        <f t="shared" si="118"/>
        <v/>
      </c>
      <c r="F260" s="70" t="str">
        <f t="shared" si="119"/>
        <v/>
      </c>
      <c r="G260" s="63" t="str">
        <f t="shared" si="120"/>
        <v/>
      </c>
      <c r="H260" s="64" t="str">
        <f t="shared" si="121"/>
        <v/>
      </c>
      <c r="I260" s="43"/>
      <c r="J260" s="63" t="str">
        <f t="shared" si="122"/>
        <v/>
      </c>
      <c r="K260" s="64" t="str">
        <f t="shared" si="123"/>
        <v/>
      </c>
      <c r="L260" s="63" t="str">
        <f t="shared" si="124"/>
        <v/>
      </c>
      <c r="M260" s="64" t="str">
        <f t="shared" si="125"/>
        <v/>
      </c>
      <c r="N260" s="65"/>
      <c r="O260" s="63" t="str">
        <f t="shared" si="126"/>
        <v/>
      </c>
      <c r="P260" s="63" t="str">
        <f t="shared" si="127"/>
        <v/>
      </c>
      <c r="Q260" s="66"/>
      <c r="R260" s="63" t="str">
        <f t="shared" si="128"/>
        <v/>
      </c>
      <c r="S260" s="64" t="str">
        <f t="shared" si="129"/>
        <v/>
      </c>
      <c r="T260" s="63" t="str">
        <f t="shared" si="130"/>
        <v/>
      </c>
      <c r="U260" s="64" t="str">
        <f t="shared" si="131"/>
        <v/>
      </c>
      <c r="V260" s="207" t="str">
        <f>IF($A261="","",IF(AND(MONTH(A260)&gt;3,MONTH(A260)&lt;11),(T260+R260+G260)*Summary!$T$8/(1-Summary!$T$8),(T260+R260+G260)*Summary!$U$8/(1-Summary!$U$8)))</f>
        <v/>
      </c>
      <c r="W260" s="63" t="str">
        <f t="shared" si="132"/>
        <v/>
      </c>
      <c r="X260" s="63" t="str">
        <f t="shared" si="133"/>
        <v/>
      </c>
      <c r="Y260" s="43"/>
      <c r="Z260" s="38" t="str">
        <f t="shared" si="134"/>
        <v/>
      </c>
      <c r="AA260" s="38" t="str">
        <f t="shared" si="135"/>
        <v/>
      </c>
      <c r="AB260" s="38" t="e">
        <f t="shared" si="136"/>
        <v>#VALUE!</v>
      </c>
      <c r="AC260" s="38" t="str">
        <f t="shared" si="137"/>
        <v/>
      </c>
      <c r="AD260" s="38" t="str">
        <f t="shared" si="137"/>
        <v/>
      </c>
      <c r="AE260" s="38" t="e">
        <f t="shared" si="138"/>
        <v>#VALUE!</v>
      </c>
      <c r="AF260" s="237" t="e">
        <f>((Summary!$N$8*(AA260*AD260)*(A260-$D$3))+(Summary!$M$8*Z260*AC260*(AJ260-EOMONTH(EDATE(A260,-1),0))))/(AK260*AB260*AE260)</f>
        <v>#VALUE!</v>
      </c>
      <c r="AG260" s="88" t="str">
        <f>IF($A261="","",Summary!$Q$8)</f>
        <v/>
      </c>
      <c r="AH260" s="88" t="str">
        <f>IF($A261="","",IF(Summary!$R$8="Y",(VLOOKUP($A260,Summary!$AD$6:$AF$9,3)+'Escalating commodity'!D273),'Escalating commodity'!D273))</f>
        <v/>
      </c>
      <c r="AI260" s="88" t="str">
        <f t="shared" si="153"/>
        <v/>
      </c>
      <c r="AJ260" s="236" t="e">
        <f t="shared" si="139"/>
        <v>#VALUE!</v>
      </c>
      <c r="AK260" s="58" t="str">
        <f t="shared" si="140"/>
        <v/>
      </c>
      <c r="AL260" s="26" t="str">
        <f>IF($A261="","",_xll.SPRDOPT(P260,X260,AI260,0,AB260,AE260,AF260,AK260,$AJ$2,0))</f>
        <v/>
      </c>
      <c r="AM260" s="89" t="str">
        <f t="shared" si="141"/>
        <v/>
      </c>
      <c r="AN260" s="89" t="str">
        <f t="shared" si="142"/>
        <v/>
      </c>
      <c r="AO260" s="3" t="str">
        <f t="shared" si="143"/>
        <v/>
      </c>
      <c r="AP260" s="33" t="str">
        <f t="shared" si="144"/>
        <v/>
      </c>
      <c r="AQ260" s="58" t="str">
        <f t="shared" si="145"/>
        <v/>
      </c>
      <c r="AR260" s="38">
        <f>'ANR OK vs ML7'!AR260</f>
        <v>0.1</v>
      </c>
      <c r="AS260" s="35" t="str">
        <f t="shared" si="146"/>
        <v/>
      </c>
      <c r="AT260" s="3" t="str">
        <f t="shared" si="147"/>
        <v/>
      </c>
      <c r="AU260" s="3" t="str">
        <f t="shared" si="148"/>
        <v/>
      </c>
      <c r="AW260" s="32" t="str">
        <f t="shared" si="149"/>
        <v/>
      </c>
      <c r="AX260" s="32" t="str">
        <f t="shared" si="150"/>
        <v/>
      </c>
      <c r="AY260" s="32" t="str">
        <f t="shared" si="151"/>
        <v/>
      </c>
      <c r="BA260" s="32" t="str">
        <f>IF($A261="","",F260*Summary!$Q$8)</f>
        <v/>
      </c>
    </row>
    <row r="261" spans="1:53" ht="12" customHeight="1">
      <c r="A261" s="67" t="str">
        <f t="shared" si="152"/>
        <v/>
      </c>
      <c r="B261" s="69">
        <f t="shared" si="154"/>
        <v>0</v>
      </c>
      <c r="C261" s="71"/>
      <c r="D261" s="69" t="str">
        <f t="shared" si="117"/>
        <v/>
      </c>
      <c r="E261" s="70" t="str">
        <f t="shared" si="118"/>
        <v/>
      </c>
      <c r="F261" s="70" t="str">
        <f t="shared" si="119"/>
        <v/>
      </c>
      <c r="G261" s="63" t="str">
        <f t="shared" si="120"/>
        <v/>
      </c>
      <c r="H261" s="64" t="str">
        <f t="shared" si="121"/>
        <v/>
      </c>
      <c r="I261" s="43"/>
      <c r="J261" s="63" t="str">
        <f t="shared" si="122"/>
        <v/>
      </c>
      <c r="K261" s="64" t="str">
        <f t="shared" si="123"/>
        <v/>
      </c>
      <c r="L261" s="63" t="str">
        <f t="shared" si="124"/>
        <v/>
      </c>
      <c r="M261" s="64" t="str">
        <f t="shared" si="125"/>
        <v/>
      </c>
      <c r="N261" s="65"/>
      <c r="O261" s="63" t="str">
        <f t="shared" si="126"/>
        <v/>
      </c>
      <c r="P261" s="63" t="str">
        <f t="shared" si="127"/>
        <v/>
      </c>
      <c r="Q261" s="66"/>
      <c r="R261" s="63" t="str">
        <f t="shared" si="128"/>
        <v/>
      </c>
      <c r="S261" s="64" t="str">
        <f t="shared" si="129"/>
        <v/>
      </c>
      <c r="T261" s="63" t="str">
        <f t="shared" si="130"/>
        <v/>
      </c>
      <c r="U261" s="64" t="str">
        <f t="shared" si="131"/>
        <v/>
      </c>
      <c r="V261" s="207" t="str">
        <f>IF($A262="","",IF(AND(MONTH(A261)&gt;3,MONTH(A261)&lt;11),(T261+R261+G261)*Summary!$T$8/(1-Summary!$T$8),(T261+R261+G261)*Summary!$U$8/(1-Summary!$U$8)))</f>
        <v/>
      </c>
      <c r="W261" s="63" t="str">
        <f t="shared" si="132"/>
        <v/>
      </c>
      <c r="X261" s="63" t="str">
        <f t="shared" si="133"/>
        <v/>
      </c>
      <c r="Y261" s="43"/>
      <c r="Z261" s="38" t="str">
        <f t="shared" si="134"/>
        <v/>
      </c>
      <c r="AA261" s="38" t="str">
        <f t="shared" si="135"/>
        <v/>
      </c>
      <c r="AB261" s="38" t="e">
        <f t="shared" si="136"/>
        <v>#VALUE!</v>
      </c>
      <c r="AC261" s="38" t="str">
        <f t="shared" si="137"/>
        <v/>
      </c>
      <c r="AD261" s="38" t="str">
        <f t="shared" si="137"/>
        <v/>
      </c>
      <c r="AE261" s="38" t="e">
        <f t="shared" si="138"/>
        <v>#VALUE!</v>
      </c>
      <c r="AF261" s="237" t="e">
        <f>((Summary!$N$8*(AA261*AD261)*(A261-$D$3))+(Summary!$M$8*Z261*AC261*(AJ261-EOMONTH(EDATE(A261,-1),0))))/(AK261*AB261*AE261)</f>
        <v>#VALUE!</v>
      </c>
      <c r="AG261" s="88" t="str">
        <f>IF($A262="","",Summary!$Q$8)</f>
        <v/>
      </c>
      <c r="AH261" s="88" t="str">
        <f>IF($A262="","",IF(Summary!$R$8="Y",(VLOOKUP($A261,Summary!$AD$6:$AF$9,3)+'Escalating commodity'!D274),'Escalating commodity'!D274))</f>
        <v/>
      </c>
      <c r="AI261" s="88" t="str">
        <f t="shared" si="153"/>
        <v/>
      </c>
      <c r="AJ261" s="236" t="e">
        <f t="shared" si="139"/>
        <v>#VALUE!</v>
      </c>
      <c r="AK261" s="58" t="str">
        <f t="shared" si="140"/>
        <v/>
      </c>
      <c r="AL261" s="26" t="str">
        <f>IF($A262="","",_xll.SPRDOPT(P261,X261,AI261,0,AB261,AE261,AF261,AK261,$AJ$2,0))</f>
        <v/>
      </c>
      <c r="AM261" s="89" t="str">
        <f t="shared" si="141"/>
        <v/>
      </c>
      <c r="AN261" s="89" t="str">
        <f t="shared" si="142"/>
        <v/>
      </c>
      <c r="AO261" s="3" t="str">
        <f t="shared" si="143"/>
        <v/>
      </c>
      <c r="AP261" s="33" t="str">
        <f t="shared" si="144"/>
        <v/>
      </c>
      <c r="AQ261" s="58" t="str">
        <f t="shared" si="145"/>
        <v/>
      </c>
      <c r="AR261" s="38">
        <f>'ANR OK vs ML7'!AR261</f>
        <v>0.1</v>
      </c>
      <c r="AS261" s="35" t="str">
        <f t="shared" si="146"/>
        <v/>
      </c>
      <c r="AT261" s="3" t="str">
        <f t="shared" si="147"/>
        <v/>
      </c>
      <c r="AU261" s="3" t="str">
        <f t="shared" si="148"/>
        <v/>
      </c>
      <c r="AW261" s="32" t="str">
        <f t="shared" si="149"/>
        <v/>
      </c>
      <c r="AX261" s="32" t="str">
        <f t="shared" si="150"/>
        <v/>
      </c>
      <c r="AY261" s="32" t="str">
        <f t="shared" si="151"/>
        <v/>
      </c>
      <c r="BA261" s="32" t="str">
        <f>IF($A262="","",F261*Summary!$Q$8)</f>
        <v/>
      </c>
    </row>
    <row r="262" spans="1:53" ht="12" customHeight="1">
      <c r="A262" s="67" t="str">
        <f t="shared" si="152"/>
        <v/>
      </c>
      <c r="B262" s="69">
        <f t="shared" si="154"/>
        <v>0</v>
      </c>
      <c r="C262" s="71"/>
      <c r="D262" s="69" t="str">
        <f t="shared" si="117"/>
        <v/>
      </c>
      <c r="E262" s="70" t="str">
        <f t="shared" si="118"/>
        <v/>
      </c>
      <c r="F262" s="70" t="str">
        <f t="shared" si="119"/>
        <v/>
      </c>
      <c r="G262" s="63" t="str">
        <f t="shared" si="120"/>
        <v/>
      </c>
      <c r="H262" s="64" t="str">
        <f t="shared" si="121"/>
        <v/>
      </c>
      <c r="I262" s="43"/>
      <c r="J262" s="63" t="str">
        <f t="shared" si="122"/>
        <v/>
      </c>
      <c r="K262" s="64" t="str">
        <f t="shared" si="123"/>
        <v/>
      </c>
      <c r="L262" s="63" t="str">
        <f t="shared" si="124"/>
        <v/>
      </c>
      <c r="M262" s="64" t="str">
        <f t="shared" si="125"/>
        <v/>
      </c>
      <c r="N262" s="65"/>
      <c r="O262" s="63" t="str">
        <f t="shared" si="126"/>
        <v/>
      </c>
      <c r="P262" s="63" t="str">
        <f t="shared" si="127"/>
        <v/>
      </c>
      <c r="Q262" s="66"/>
      <c r="R262" s="63" t="str">
        <f t="shared" si="128"/>
        <v/>
      </c>
      <c r="S262" s="64" t="str">
        <f t="shared" si="129"/>
        <v/>
      </c>
      <c r="T262" s="63" t="str">
        <f t="shared" si="130"/>
        <v/>
      </c>
      <c r="U262" s="64" t="str">
        <f t="shared" si="131"/>
        <v/>
      </c>
      <c r="V262" s="207" t="str">
        <f>IF($A263="","",IF(AND(MONTH(A262)&gt;3,MONTH(A262)&lt;11),(T262+R262+G262)*Summary!$T$8/(1-Summary!$T$8),(T262+R262+G262)*Summary!$U$8/(1-Summary!$U$8)))</f>
        <v/>
      </c>
      <c r="W262" s="63" t="str">
        <f t="shared" si="132"/>
        <v/>
      </c>
      <c r="X262" s="63" t="str">
        <f t="shared" si="133"/>
        <v/>
      </c>
      <c r="Y262" s="43"/>
      <c r="Z262" s="38" t="str">
        <f t="shared" si="134"/>
        <v/>
      </c>
      <c r="AA262" s="38" t="str">
        <f t="shared" si="135"/>
        <v/>
      </c>
      <c r="AB262" s="38" t="e">
        <f t="shared" si="136"/>
        <v>#VALUE!</v>
      </c>
      <c r="AC262" s="38" t="str">
        <f t="shared" si="137"/>
        <v/>
      </c>
      <c r="AD262" s="38" t="str">
        <f t="shared" si="137"/>
        <v/>
      </c>
      <c r="AE262" s="38" t="e">
        <f t="shared" si="138"/>
        <v>#VALUE!</v>
      </c>
      <c r="AF262" s="237" t="e">
        <f>((Summary!$N$8*(AA262*AD262)*(A262-$D$3))+(Summary!$M$8*Z262*AC262*(AJ262-EOMONTH(EDATE(A262,-1),0))))/(AK262*AB262*AE262)</f>
        <v>#VALUE!</v>
      </c>
      <c r="AG262" s="88" t="str">
        <f>IF($A263="","",Summary!$Q$8)</f>
        <v/>
      </c>
      <c r="AH262" s="88" t="str">
        <f>IF($A263="","",IF(Summary!$R$8="Y",(VLOOKUP($A262,Summary!$AD$6:$AF$9,3)+'Escalating commodity'!D275),'Escalating commodity'!D275))</f>
        <v/>
      </c>
      <c r="AI262" s="88" t="str">
        <f t="shared" si="153"/>
        <v/>
      </c>
      <c r="AJ262" s="236" t="e">
        <f t="shared" si="139"/>
        <v>#VALUE!</v>
      </c>
      <c r="AK262" s="58" t="str">
        <f t="shared" si="140"/>
        <v/>
      </c>
      <c r="AL262" s="26" t="str">
        <f>IF($A263="","",_xll.SPRDOPT(P262,X262,AI262,0,AB262,AE262,AF262,AK262,$AJ$2,0))</f>
        <v/>
      </c>
      <c r="AM262" s="89" t="str">
        <f t="shared" si="141"/>
        <v/>
      </c>
      <c r="AN262" s="89" t="str">
        <f t="shared" si="142"/>
        <v/>
      </c>
      <c r="AO262" s="3" t="str">
        <f t="shared" si="143"/>
        <v/>
      </c>
      <c r="AP262" s="33" t="str">
        <f t="shared" si="144"/>
        <v/>
      </c>
      <c r="AQ262" s="58" t="str">
        <f t="shared" si="145"/>
        <v/>
      </c>
      <c r="AR262" s="38">
        <f>'ANR OK vs ML7'!AR262</f>
        <v>0.1</v>
      </c>
      <c r="AS262" s="35" t="str">
        <f t="shared" si="146"/>
        <v/>
      </c>
      <c r="AT262" s="3" t="str">
        <f t="shared" si="147"/>
        <v/>
      </c>
      <c r="AU262" s="3" t="str">
        <f t="shared" si="148"/>
        <v/>
      </c>
      <c r="AW262" s="32" t="str">
        <f t="shared" si="149"/>
        <v/>
      </c>
      <c r="AX262" s="32" t="str">
        <f t="shared" si="150"/>
        <v/>
      </c>
      <c r="AY262" s="32" t="str">
        <f t="shared" si="151"/>
        <v/>
      </c>
      <c r="BA262" s="32" t="str">
        <f>IF($A263="","",F262*Summary!$Q$8)</f>
        <v/>
      </c>
    </row>
    <row r="263" spans="1:53" ht="12" customHeight="1">
      <c r="A263" s="67" t="str">
        <f t="shared" si="152"/>
        <v/>
      </c>
      <c r="B263" s="69">
        <f t="shared" si="154"/>
        <v>0</v>
      </c>
      <c r="C263" s="71"/>
      <c r="D263" s="69" t="str">
        <f t="shared" si="117"/>
        <v/>
      </c>
      <c r="E263" s="70" t="str">
        <f t="shared" si="118"/>
        <v/>
      </c>
      <c r="F263" s="70" t="str">
        <f t="shared" si="119"/>
        <v/>
      </c>
      <c r="G263" s="63" t="str">
        <f t="shared" si="120"/>
        <v/>
      </c>
      <c r="H263" s="64" t="str">
        <f t="shared" si="121"/>
        <v/>
      </c>
      <c r="I263" s="43"/>
      <c r="J263" s="63" t="str">
        <f t="shared" si="122"/>
        <v/>
      </c>
      <c r="K263" s="64" t="str">
        <f t="shared" si="123"/>
        <v/>
      </c>
      <c r="L263" s="63" t="str">
        <f t="shared" si="124"/>
        <v/>
      </c>
      <c r="M263" s="64" t="str">
        <f t="shared" si="125"/>
        <v/>
      </c>
      <c r="N263" s="65"/>
      <c r="O263" s="63" t="str">
        <f t="shared" si="126"/>
        <v/>
      </c>
      <c r="P263" s="63" t="str">
        <f t="shared" si="127"/>
        <v/>
      </c>
      <c r="Q263" s="66"/>
      <c r="R263" s="63" t="str">
        <f t="shared" si="128"/>
        <v/>
      </c>
      <c r="S263" s="64" t="str">
        <f t="shared" si="129"/>
        <v/>
      </c>
      <c r="T263" s="63" t="str">
        <f t="shared" si="130"/>
        <v/>
      </c>
      <c r="U263" s="64" t="str">
        <f t="shared" si="131"/>
        <v/>
      </c>
      <c r="V263" s="207" t="str">
        <f>IF($A264="","",IF(AND(MONTH(A263)&gt;3,MONTH(A263)&lt;11),(T263+R263+G263)*Summary!$T$8/(1-Summary!$T$8),(T263+R263+G263)*Summary!$U$8/(1-Summary!$U$8)))</f>
        <v/>
      </c>
      <c r="W263" s="63" t="str">
        <f t="shared" si="132"/>
        <v/>
      </c>
      <c r="X263" s="63" t="str">
        <f t="shared" si="133"/>
        <v/>
      </c>
      <c r="Y263" s="43"/>
      <c r="Z263" s="38" t="str">
        <f t="shared" si="134"/>
        <v/>
      </c>
      <c r="AA263" s="38" t="str">
        <f t="shared" si="135"/>
        <v/>
      </c>
      <c r="AB263" s="38" t="e">
        <f t="shared" si="136"/>
        <v>#VALUE!</v>
      </c>
      <c r="AC263" s="38" t="str">
        <f t="shared" si="137"/>
        <v/>
      </c>
      <c r="AD263" s="38" t="str">
        <f t="shared" si="137"/>
        <v/>
      </c>
      <c r="AE263" s="38" t="e">
        <f t="shared" si="138"/>
        <v>#VALUE!</v>
      </c>
      <c r="AF263" s="237" t="e">
        <f>((Summary!$N$8*(AA263*AD263)*(A263-$D$3))+(Summary!$M$8*Z263*AC263*(AJ263-EOMONTH(EDATE(A263,-1),0))))/(AK263*AB263*AE263)</f>
        <v>#VALUE!</v>
      </c>
      <c r="AG263" s="88" t="str">
        <f>IF($A264="","",Summary!$Q$8)</f>
        <v/>
      </c>
      <c r="AH263" s="88" t="str">
        <f>IF($A264="","",IF(Summary!$R$8="Y",(VLOOKUP($A263,Summary!$AD$6:$AF$9,3)+'Escalating commodity'!D276),'Escalating commodity'!D276))</f>
        <v/>
      </c>
      <c r="AI263" s="88" t="str">
        <f t="shared" si="153"/>
        <v/>
      </c>
      <c r="AJ263" s="236" t="e">
        <f t="shared" si="139"/>
        <v>#VALUE!</v>
      </c>
      <c r="AK263" s="58" t="str">
        <f t="shared" si="140"/>
        <v/>
      </c>
      <c r="AL263" s="26" t="str">
        <f>IF($A264="","",_xll.SPRDOPT(P263,X263,AI263,0,AB263,AE263,AF263,AK263,$AJ$2,0))</f>
        <v/>
      </c>
      <c r="AM263" s="89" t="str">
        <f t="shared" si="141"/>
        <v/>
      </c>
      <c r="AN263" s="89" t="str">
        <f t="shared" si="142"/>
        <v/>
      </c>
      <c r="AO263" s="3" t="str">
        <f t="shared" si="143"/>
        <v/>
      </c>
      <c r="AP263" s="33" t="str">
        <f t="shared" si="144"/>
        <v/>
      </c>
      <c r="AQ263" s="58" t="str">
        <f t="shared" si="145"/>
        <v/>
      </c>
      <c r="AR263" s="38">
        <f>'ANR OK vs ML7'!AR263</f>
        <v>0.1</v>
      </c>
      <c r="AS263" s="35" t="str">
        <f t="shared" si="146"/>
        <v/>
      </c>
      <c r="AT263" s="3" t="str">
        <f t="shared" si="147"/>
        <v/>
      </c>
      <c r="AU263" s="3" t="str">
        <f t="shared" si="148"/>
        <v/>
      </c>
      <c r="AW263" s="32" t="str">
        <f t="shared" si="149"/>
        <v/>
      </c>
      <c r="AX263" s="32" t="str">
        <f t="shared" si="150"/>
        <v/>
      </c>
      <c r="AY263" s="32" t="str">
        <f t="shared" si="151"/>
        <v/>
      </c>
      <c r="BA263" s="32" t="str">
        <f>IF($A264="","",F263*Summary!$Q$8)</f>
        <v/>
      </c>
    </row>
    <row r="264" spans="1:53" ht="12" customHeight="1">
      <c r="A264" s="67" t="str">
        <f t="shared" si="152"/>
        <v/>
      </c>
      <c r="B264" s="69">
        <f t="shared" si="154"/>
        <v>0</v>
      </c>
      <c r="C264" s="71"/>
      <c r="D264" s="69" t="str">
        <f t="shared" si="117"/>
        <v/>
      </c>
      <c r="E264" s="70" t="str">
        <f t="shared" si="118"/>
        <v/>
      </c>
      <c r="F264" s="70" t="str">
        <f t="shared" si="119"/>
        <v/>
      </c>
      <c r="G264" s="63" t="str">
        <f t="shared" si="120"/>
        <v/>
      </c>
      <c r="H264" s="64" t="str">
        <f t="shared" si="121"/>
        <v/>
      </c>
      <c r="I264" s="43"/>
      <c r="J264" s="63" t="str">
        <f t="shared" si="122"/>
        <v/>
      </c>
      <c r="K264" s="64" t="str">
        <f t="shared" si="123"/>
        <v/>
      </c>
      <c r="L264" s="63" t="str">
        <f t="shared" si="124"/>
        <v/>
      </c>
      <c r="M264" s="64" t="str">
        <f t="shared" si="125"/>
        <v/>
      </c>
      <c r="N264" s="65"/>
      <c r="O264" s="63" t="str">
        <f t="shared" si="126"/>
        <v/>
      </c>
      <c r="P264" s="63" t="str">
        <f t="shared" si="127"/>
        <v/>
      </c>
      <c r="Q264" s="66"/>
      <c r="R264" s="63" t="str">
        <f t="shared" si="128"/>
        <v/>
      </c>
      <c r="S264" s="64" t="str">
        <f t="shared" si="129"/>
        <v/>
      </c>
      <c r="T264" s="63" t="str">
        <f t="shared" si="130"/>
        <v/>
      </c>
      <c r="U264" s="64" t="str">
        <f t="shared" si="131"/>
        <v/>
      </c>
      <c r="V264" s="207" t="str">
        <f>IF($A265="","",IF(AND(MONTH(A264)&gt;3,MONTH(A264)&lt;11),(T264+R264+G264)*Summary!$T$8/(1-Summary!$T$8),(T264+R264+G264)*Summary!$U$8/(1-Summary!$U$8)))</f>
        <v/>
      </c>
      <c r="W264" s="63" t="str">
        <f t="shared" si="132"/>
        <v/>
      </c>
      <c r="X264" s="63" t="str">
        <f t="shared" si="133"/>
        <v/>
      </c>
      <c r="Y264" s="43"/>
      <c r="Z264" s="38" t="str">
        <f t="shared" si="134"/>
        <v/>
      </c>
      <c r="AA264" s="38" t="str">
        <f t="shared" si="135"/>
        <v/>
      </c>
      <c r="AB264" s="38" t="e">
        <f t="shared" si="136"/>
        <v>#VALUE!</v>
      </c>
      <c r="AC264" s="38" t="str">
        <f t="shared" si="137"/>
        <v/>
      </c>
      <c r="AD264" s="38" t="str">
        <f t="shared" si="137"/>
        <v/>
      </c>
      <c r="AE264" s="38" t="e">
        <f t="shared" si="138"/>
        <v>#VALUE!</v>
      </c>
      <c r="AF264" s="237" t="e">
        <f>((Summary!$N$8*(AA264*AD264)*(A264-$D$3))+(Summary!$M$8*Z264*AC264*(AJ264-EOMONTH(EDATE(A264,-1),0))))/(AK264*AB264*AE264)</f>
        <v>#VALUE!</v>
      </c>
      <c r="AG264" s="88" t="str">
        <f>IF($A265="","",Summary!$Q$8)</f>
        <v/>
      </c>
      <c r="AH264" s="88" t="str">
        <f>IF($A265="","",IF(Summary!$R$8="Y",(VLOOKUP($A264,Summary!$AD$6:$AF$9,3)+'Escalating commodity'!D277),'Escalating commodity'!D277))</f>
        <v/>
      </c>
      <c r="AI264" s="88" t="str">
        <f t="shared" si="153"/>
        <v/>
      </c>
      <c r="AJ264" s="236" t="e">
        <f t="shared" si="139"/>
        <v>#VALUE!</v>
      </c>
      <c r="AK264" s="58" t="str">
        <f t="shared" si="140"/>
        <v/>
      </c>
      <c r="AL264" s="26" t="str">
        <f>IF($A265="","",_xll.SPRDOPT(P264,X264,AI264,0,AB264,AE264,AF264,AK264,$AJ$2,0))</f>
        <v/>
      </c>
      <c r="AM264" s="89" t="str">
        <f t="shared" si="141"/>
        <v/>
      </c>
      <c r="AN264" s="89" t="str">
        <f t="shared" si="142"/>
        <v/>
      </c>
      <c r="AO264" s="3" t="str">
        <f t="shared" si="143"/>
        <v/>
      </c>
      <c r="AP264" s="33" t="str">
        <f t="shared" si="144"/>
        <v/>
      </c>
      <c r="AQ264" s="58" t="str">
        <f t="shared" si="145"/>
        <v/>
      </c>
      <c r="AR264" s="38">
        <f>'ANR OK vs ML7'!AR264</f>
        <v>0.1</v>
      </c>
      <c r="AS264" s="35" t="str">
        <f t="shared" si="146"/>
        <v/>
      </c>
      <c r="AT264" s="3" t="str">
        <f t="shared" si="147"/>
        <v/>
      </c>
      <c r="AU264" s="3" t="str">
        <f t="shared" si="148"/>
        <v/>
      </c>
      <c r="AW264" s="32" t="str">
        <f t="shared" si="149"/>
        <v/>
      </c>
      <c r="AX264" s="32" t="str">
        <f t="shared" si="150"/>
        <v/>
      </c>
      <c r="AY264" s="32" t="str">
        <f t="shared" si="151"/>
        <v/>
      </c>
      <c r="BA264" s="32" t="str">
        <f>IF($A265="","",F264*Summary!$Q$8)</f>
        <v/>
      </c>
    </row>
    <row r="265" spans="1:53" ht="12" customHeight="1">
      <c r="A265" s="67" t="str">
        <f t="shared" si="152"/>
        <v/>
      </c>
      <c r="B265" s="69">
        <f t="shared" si="154"/>
        <v>0</v>
      </c>
      <c r="C265" s="71"/>
      <c r="D265" s="69" t="str">
        <f t="shared" si="117"/>
        <v/>
      </c>
      <c r="E265" s="70" t="str">
        <f t="shared" si="118"/>
        <v/>
      </c>
      <c r="F265" s="70" t="str">
        <f t="shared" si="119"/>
        <v/>
      </c>
      <c r="G265" s="63" t="str">
        <f t="shared" si="120"/>
        <v/>
      </c>
      <c r="H265" s="64" t="str">
        <f t="shared" si="121"/>
        <v/>
      </c>
      <c r="I265" s="43"/>
      <c r="J265" s="63" t="str">
        <f t="shared" si="122"/>
        <v/>
      </c>
      <c r="K265" s="64" t="str">
        <f t="shared" si="123"/>
        <v/>
      </c>
      <c r="L265" s="63" t="str">
        <f t="shared" si="124"/>
        <v/>
      </c>
      <c r="M265" s="64" t="str">
        <f t="shared" si="125"/>
        <v/>
      </c>
      <c r="N265" s="65"/>
      <c r="O265" s="63" t="str">
        <f t="shared" si="126"/>
        <v/>
      </c>
      <c r="P265" s="63" t="str">
        <f t="shared" si="127"/>
        <v/>
      </c>
      <c r="Q265" s="66"/>
      <c r="R265" s="63" t="str">
        <f t="shared" si="128"/>
        <v/>
      </c>
      <c r="S265" s="64" t="str">
        <f t="shared" si="129"/>
        <v/>
      </c>
      <c r="T265" s="63" t="str">
        <f t="shared" si="130"/>
        <v/>
      </c>
      <c r="U265" s="64" t="str">
        <f t="shared" si="131"/>
        <v/>
      </c>
      <c r="V265" s="207" t="str">
        <f>IF($A266="","",IF(AND(MONTH(A265)&gt;3,MONTH(A265)&lt;11),(T265+R265+G265)*Summary!$T$8/(1-Summary!$T$8),(T265+R265+G265)*Summary!$U$8/(1-Summary!$U$8)))</f>
        <v/>
      </c>
      <c r="W265" s="63" t="str">
        <f t="shared" si="132"/>
        <v/>
      </c>
      <c r="X265" s="63" t="str">
        <f t="shared" si="133"/>
        <v/>
      </c>
      <c r="Y265" s="43"/>
      <c r="Z265" s="38" t="str">
        <f t="shared" si="134"/>
        <v/>
      </c>
      <c r="AA265" s="38" t="str">
        <f t="shared" si="135"/>
        <v/>
      </c>
      <c r="AB265" s="38" t="e">
        <f t="shared" si="136"/>
        <v>#VALUE!</v>
      </c>
      <c r="AC265" s="38" t="str">
        <f t="shared" si="137"/>
        <v/>
      </c>
      <c r="AD265" s="38" t="str">
        <f t="shared" si="137"/>
        <v/>
      </c>
      <c r="AE265" s="38" t="e">
        <f t="shared" si="138"/>
        <v>#VALUE!</v>
      </c>
      <c r="AF265" s="237" t="e">
        <f>((Summary!$N$8*(AA265*AD265)*(A265-$D$3))+(Summary!$M$8*Z265*AC265*(AJ265-EOMONTH(EDATE(A265,-1),0))))/(AK265*AB265*AE265)</f>
        <v>#VALUE!</v>
      </c>
      <c r="AG265" s="88" t="str">
        <f>IF($A266="","",Summary!$Q$8)</f>
        <v/>
      </c>
      <c r="AH265" s="88" t="str">
        <f>IF($A266="","",IF(Summary!$R$8="Y",(VLOOKUP($A265,Summary!$AD$6:$AF$9,3)+'Escalating commodity'!D278),'Escalating commodity'!D278))</f>
        <v/>
      </c>
      <c r="AI265" s="88" t="str">
        <f t="shared" si="153"/>
        <v/>
      </c>
      <c r="AJ265" s="236" t="e">
        <f t="shared" si="139"/>
        <v>#VALUE!</v>
      </c>
      <c r="AK265" s="58" t="str">
        <f t="shared" si="140"/>
        <v/>
      </c>
      <c r="AL265" s="26" t="str">
        <f>IF($A266="","",_xll.SPRDOPT(P265,X265,AI265,0,AB265,AE265,AF265,AK265,$AJ$2,0))</f>
        <v/>
      </c>
      <c r="AM265" s="89" t="str">
        <f t="shared" si="141"/>
        <v/>
      </c>
      <c r="AN265" s="89" t="str">
        <f t="shared" si="142"/>
        <v/>
      </c>
      <c r="AO265" s="3" t="str">
        <f t="shared" si="143"/>
        <v/>
      </c>
      <c r="AP265" s="33" t="str">
        <f t="shared" si="144"/>
        <v/>
      </c>
      <c r="AQ265" s="58" t="str">
        <f t="shared" si="145"/>
        <v/>
      </c>
      <c r="AR265" s="38">
        <f>'ANR OK vs ML7'!AR265</f>
        <v>0.1</v>
      </c>
      <c r="AS265" s="35" t="str">
        <f t="shared" si="146"/>
        <v/>
      </c>
      <c r="AT265" s="3" t="str">
        <f t="shared" si="147"/>
        <v/>
      </c>
      <c r="AU265" s="3" t="str">
        <f t="shared" si="148"/>
        <v/>
      </c>
      <c r="AW265" s="32" t="str">
        <f t="shared" si="149"/>
        <v/>
      </c>
      <c r="AX265" s="32" t="str">
        <f t="shared" si="150"/>
        <v/>
      </c>
      <c r="AY265" s="32" t="str">
        <f t="shared" si="151"/>
        <v/>
      </c>
      <c r="BA265" s="32" t="str">
        <f>IF($A266="","",F265*Summary!$Q$8)</f>
        <v/>
      </c>
    </row>
    <row r="266" spans="1:53" ht="12" customHeight="1">
      <c r="A266" s="67" t="str">
        <f t="shared" si="152"/>
        <v/>
      </c>
      <c r="B266" s="69">
        <f t="shared" si="154"/>
        <v>0</v>
      </c>
      <c r="C266" s="71"/>
      <c r="D266" s="69" t="str">
        <f t="shared" ref="D266:D329" si="155">IF(A267&lt;&gt;"",B266+C266,"")</f>
        <v/>
      </c>
      <c r="E266" s="70" t="str">
        <f t="shared" ref="E266:E329" si="156">IF(A267="","",IF(AND(AT266=1,$H$3=1),D266*AO266,IF($H$3=2,D266,"N/A")))</f>
        <v/>
      </c>
      <c r="F266" s="70" t="str">
        <f t="shared" ref="F266:F329" si="157">IF(A267="","",E266*AS266)</f>
        <v/>
      </c>
      <c r="G266" s="63" t="str">
        <f t="shared" ref="G266:G329" si="158">IF($A267="","",VLOOKUP($A266,Table,MATCH(G$4,Curves,0)))</f>
        <v/>
      </c>
      <c r="H266" s="64" t="str">
        <f t="shared" ref="H266:H329" si="159">IF(A267="","",G266)</f>
        <v/>
      </c>
      <c r="I266" s="43"/>
      <c r="J266" s="63" t="str">
        <f t="shared" ref="J266:J329" si="160">IF($A267="","",VLOOKUP($A266,Table,MATCH(J$4,Curves,0)))</f>
        <v/>
      </c>
      <c r="K266" s="64" t="str">
        <f t="shared" ref="K266:K329" si="161">IF(A267="","",J266)</f>
        <v/>
      </c>
      <c r="L266" s="63" t="str">
        <f t="shared" ref="L266:L329" si="162">IF($A267="","",VLOOKUP($A266,Table,MATCH(L$4,Curves,0)))</f>
        <v/>
      </c>
      <c r="M266" s="64" t="str">
        <f t="shared" ref="M266:M329" si="163">IF(A267="","",L266)</f>
        <v/>
      </c>
      <c r="N266" s="65"/>
      <c r="O266" s="63" t="str">
        <f t="shared" ref="O266:O329" si="164">IF(A267="","",L266+J266+G266)</f>
        <v/>
      </c>
      <c r="P266" s="63" t="str">
        <f t="shared" ref="P266:P329" si="165">IF(A267="","",M266+K266+H266)</f>
        <v/>
      </c>
      <c r="Q266" s="66"/>
      <c r="R266" s="63" t="str">
        <f t="shared" ref="R266:R329" si="166">IF($A267="","",VLOOKUP($A266,Table,MATCH(R$4,Curves,0)))</f>
        <v/>
      </c>
      <c r="S266" s="64" t="str">
        <f t="shared" ref="S266:S329" si="167">IF(A267="","",R266)</f>
        <v/>
      </c>
      <c r="T266" s="63" t="str">
        <f t="shared" ref="T266:T329" si="168">IF($A267="","",VLOOKUP($A266,Table,MATCH(T$4,Curves,0)))</f>
        <v/>
      </c>
      <c r="U266" s="64" t="str">
        <f t="shared" ref="U266:U329" si="169">IF(A267="","",T266)</f>
        <v/>
      </c>
      <c r="V266" s="207" t="str">
        <f>IF($A267="","",IF(AND(MONTH(A266)&gt;3,MONTH(A266)&lt;11),(T266+R266+G266)*Summary!$T$8/(1-Summary!$T$8),(T266+R266+G266)*Summary!$U$8/(1-Summary!$U$8)))</f>
        <v/>
      </c>
      <c r="W266" s="63" t="str">
        <f t="shared" ref="W266:W329" si="170">IF($A267="","",(T266+R266+G266+V266))</f>
        <v/>
      </c>
      <c r="X266" s="63" t="str">
        <f t="shared" ref="X266:X329" si="171">IF($A267="","",(U266+S266+H266+V266))</f>
        <v/>
      </c>
      <c r="Y266" s="43"/>
      <c r="Z266" s="38" t="str">
        <f t="shared" ref="Z266:Z329" si="172">IF($A267="","",VLOOKUP($A266,Table,MATCH(Z$4,Curves,0)))</f>
        <v/>
      </c>
      <c r="AA266" s="38" t="str">
        <f t="shared" ref="AA266:AA329" si="173">IF($A267="","",VLOOKUP($A266,Table,MATCH(AA$4,Curves,0)))</f>
        <v/>
      </c>
      <c r="AB266" s="38" t="e">
        <f t="shared" ref="AB266:AB329" si="174">SQRT((AA266^2*(A266-$D$3)+Z266^2*(DAY(EOMONTH(A266,0))/2))/AK266)</f>
        <v>#VALUE!</v>
      </c>
      <c r="AC266" s="38" t="str">
        <f t="shared" ref="AC266:AD329" si="175">IF($A267="","",VLOOKUP($A266,Table,MATCH(AC$4,Curves,0)))</f>
        <v/>
      </c>
      <c r="AD266" s="38" t="str">
        <f t="shared" si="175"/>
        <v/>
      </c>
      <c r="AE266" s="38" t="e">
        <f t="shared" ref="AE266:AE329" si="176">SQRT((AD266^2*(A266-$D$3)+AC266^2*(DAY(EOMONTH(A266,0))/2))/AK266)</f>
        <v>#VALUE!</v>
      </c>
      <c r="AF266" s="237" t="e">
        <f>((Summary!$N$8*(AA266*AD266)*(A266-$D$3))+(Summary!$M$8*Z266*AC266*(AJ266-EOMONTH(EDATE(A266,-1),0))))/(AK266*AB266*AE266)</f>
        <v>#VALUE!</v>
      </c>
      <c r="AG266" s="88" t="str">
        <f>IF($A267="","",Summary!$Q$8)</f>
        <v/>
      </c>
      <c r="AH266" s="88" t="str">
        <f>IF($A267="","",IF(Summary!$R$8="Y",(VLOOKUP($A266,Summary!$AD$6:$AF$9,3)+'Escalating commodity'!D279),'Escalating commodity'!D279))</f>
        <v/>
      </c>
      <c r="AI266" s="88" t="str">
        <f t="shared" si="153"/>
        <v/>
      </c>
      <c r="AJ266" s="236" t="e">
        <f t="shared" ref="AJ266:AJ329" si="177">A266+DAY(EOMONTH(A266,0))/2-1</f>
        <v>#VALUE!</v>
      </c>
      <c r="AK266" s="58" t="str">
        <f t="shared" ref="AK266:AK329" si="178">IF($A267="","",$A266-$E$1)</f>
        <v/>
      </c>
      <c r="AL266" s="26" t="str">
        <f>IF($A267="","",_xll.SPRDOPT(P266,X266,AI266,0,AB266,AE266,AF266,AK266,$AJ$2,0))</f>
        <v/>
      </c>
      <c r="AM266" s="89" t="str">
        <f t="shared" ref="AM266:AM329" si="179">IF($A267="","",MAX(0,O266-W266-AI266))</f>
        <v/>
      </c>
      <c r="AN266" s="89" t="str">
        <f t="shared" ref="AN266:AN329" si="180">IF($A267="","",AL266-AM266)</f>
        <v/>
      </c>
      <c r="AO266" s="3" t="str">
        <f t="shared" ref="AO266:AO329" si="181">IF(A267="","",A267-A266)</f>
        <v/>
      </c>
      <c r="AP266" s="33" t="str">
        <f t="shared" ref="AP266:AP329" si="182">IF(A267="","",CHOOSE(F$3,A267+24,A266))</f>
        <v/>
      </c>
      <c r="AQ266" s="58" t="str">
        <f t="shared" ref="AQ266:AQ329" si="183">IF(A267="","",AP266-$E$1)</f>
        <v/>
      </c>
      <c r="AR266" s="38">
        <f>'ANR OK vs ML7'!AR266</f>
        <v>0.1</v>
      </c>
      <c r="AS266" s="35" t="str">
        <f t="shared" ref="AS266:AS329" si="184">IF(A267="","",1/(1+CHOOSE(F$3,(AR267+($I$3/10000))/2,(AR266+($I$3/10000))/2))^(2*AQ266/365.25))</f>
        <v/>
      </c>
      <c r="AT266" s="3" t="str">
        <f t="shared" ref="AT266:AT329" si="185">IF(A267="","",IF(AND(mthbeg&lt;=A266,mthend&gt;=A266),1,0))</f>
        <v/>
      </c>
      <c r="AU266" s="3" t="str">
        <f t="shared" ref="AU266:AU329" si="186">IF(A267="","",AO266*AT266)</f>
        <v/>
      </c>
      <c r="AW266" s="32" t="str">
        <f t="shared" ref="AW266:AW329" si="187">IF($A267="","",AL266*$E266)</f>
        <v/>
      </c>
      <c r="AX266" s="32" t="str">
        <f t="shared" ref="AX266:AX329" si="188">IF($A267="","",AM266*$E266)</f>
        <v/>
      </c>
      <c r="AY266" s="32" t="str">
        <f t="shared" ref="AY266:AY329" si="189">IF($A267="","",AN266*$E266)</f>
        <v/>
      </c>
      <c r="BA266" s="32" t="str">
        <f>IF($A267="","",F266*Summary!$Q$8)</f>
        <v/>
      </c>
    </row>
    <row r="267" spans="1:53" ht="12" customHeight="1">
      <c r="A267" s="67" t="str">
        <f t="shared" ref="A267:A330" si="190">IF(A266&lt;mthend,EDATE(A266,1),"")</f>
        <v/>
      </c>
      <c r="B267" s="69">
        <f t="shared" si="154"/>
        <v>0</v>
      </c>
      <c r="C267" s="71"/>
      <c r="D267" s="69" t="str">
        <f t="shared" si="155"/>
        <v/>
      </c>
      <c r="E267" s="70" t="str">
        <f t="shared" si="156"/>
        <v/>
      </c>
      <c r="F267" s="70" t="str">
        <f t="shared" si="157"/>
        <v/>
      </c>
      <c r="G267" s="63" t="str">
        <f t="shared" si="158"/>
        <v/>
      </c>
      <c r="H267" s="64" t="str">
        <f t="shared" si="159"/>
        <v/>
      </c>
      <c r="I267" s="43"/>
      <c r="J267" s="63" t="str">
        <f t="shared" si="160"/>
        <v/>
      </c>
      <c r="K267" s="64" t="str">
        <f t="shared" si="161"/>
        <v/>
      </c>
      <c r="L267" s="63" t="str">
        <f t="shared" si="162"/>
        <v/>
      </c>
      <c r="M267" s="64" t="str">
        <f t="shared" si="163"/>
        <v/>
      </c>
      <c r="N267" s="65"/>
      <c r="O267" s="63" t="str">
        <f t="shared" si="164"/>
        <v/>
      </c>
      <c r="P267" s="63" t="str">
        <f t="shared" si="165"/>
        <v/>
      </c>
      <c r="Q267" s="66"/>
      <c r="R267" s="63" t="str">
        <f t="shared" si="166"/>
        <v/>
      </c>
      <c r="S267" s="64" t="str">
        <f t="shared" si="167"/>
        <v/>
      </c>
      <c r="T267" s="63" t="str">
        <f t="shared" si="168"/>
        <v/>
      </c>
      <c r="U267" s="64" t="str">
        <f t="shared" si="169"/>
        <v/>
      </c>
      <c r="V267" s="207" t="str">
        <f>IF($A268="","",IF(AND(MONTH(A267)&gt;3,MONTH(A267)&lt;11),(T267+R267+G267)*Summary!$T$8/(1-Summary!$T$8),(T267+R267+G267)*Summary!$U$8/(1-Summary!$U$8)))</f>
        <v/>
      </c>
      <c r="W267" s="63" t="str">
        <f t="shared" si="170"/>
        <v/>
      </c>
      <c r="X267" s="63" t="str">
        <f t="shared" si="171"/>
        <v/>
      </c>
      <c r="Y267" s="43"/>
      <c r="Z267" s="38" t="str">
        <f t="shared" si="172"/>
        <v/>
      </c>
      <c r="AA267" s="38" t="str">
        <f t="shared" si="173"/>
        <v/>
      </c>
      <c r="AB267" s="38" t="e">
        <f t="shared" si="174"/>
        <v>#VALUE!</v>
      </c>
      <c r="AC267" s="38" t="str">
        <f t="shared" si="175"/>
        <v/>
      </c>
      <c r="AD267" s="38" t="str">
        <f t="shared" si="175"/>
        <v/>
      </c>
      <c r="AE267" s="38" t="e">
        <f t="shared" si="176"/>
        <v>#VALUE!</v>
      </c>
      <c r="AF267" s="237" t="e">
        <f>((Summary!$N$8*(AA267*AD267)*(A267-$D$3))+(Summary!$M$8*Z267*AC267*(AJ267-EOMONTH(EDATE(A267,-1),0))))/(AK267*AB267*AE267)</f>
        <v>#VALUE!</v>
      </c>
      <c r="AG267" s="88" t="str">
        <f>IF($A268="","",Summary!$Q$8)</f>
        <v/>
      </c>
      <c r="AH267" s="88" t="str">
        <f>IF($A268="","",IF(Summary!$R$8="Y",(VLOOKUP($A267,Summary!$AD$6:$AF$9,3)+'Escalating commodity'!D280),'Escalating commodity'!D280))</f>
        <v/>
      </c>
      <c r="AI267" s="88" t="str">
        <f t="shared" ref="AI267:AI330" si="191">IF($A268="","",AH267)</f>
        <v/>
      </c>
      <c r="AJ267" s="236" t="e">
        <f t="shared" si="177"/>
        <v>#VALUE!</v>
      </c>
      <c r="AK267" s="58" t="str">
        <f t="shared" si="178"/>
        <v/>
      </c>
      <c r="AL267" s="26" t="str">
        <f>IF($A268="","",_xll.SPRDOPT(P267,X267,AI267,0,AB267,AE267,AF267,AK267,$AJ$2,0))</f>
        <v/>
      </c>
      <c r="AM267" s="89" t="str">
        <f t="shared" si="179"/>
        <v/>
      </c>
      <c r="AN267" s="89" t="str">
        <f t="shared" si="180"/>
        <v/>
      </c>
      <c r="AO267" s="3" t="str">
        <f t="shared" si="181"/>
        <v/>
      </c>
      <c r="AP267" s="33" t="str">
        <f t="shared" si="182"/>
        <v/>
      </c>
      <c r="AQ267" s="58" t="str">
        <f t="shared" si="183"/>
        <v/>
      </c>
      <c r="AR267" s="38">
        <f>'ANR OK vs ML7'!AR267</f>
        <v>0.1</v>
      </c>
      <c r="AS267" s="35" t="str">
        <f t="shared" si="184"/>
        <v/>
      </c>
      <c r="AT267" s="3" t="str">
        <f t="shared" si="185"/>
        <v/>
      </c>
      <c r="AU267" s="3" t="str">
        <f t="shared" si="186"/>
        <v/>
      </c>
      <c r="AW267" s="32" t="str">
        <f t="shared" si="187"/>
        <v/>
      </c>
      <c r="AX267" s="32" t="str">
        <f t="shared" si="188"/>
        <v/>
      </c>
      <c r="AY267" s="32" t="str">
        <f t="shared" si="189"/>
        <v/>
      </c>
      <c r="BA267" s="32" t="str">
        <f>IF($A268="","",F267*Summary!$Q$8)</f>
        <v/>
      </c>
    </row>
    <row r="268" spans="1:53" ht="12" customHeight="1">
      <c r="A268" s="67" t="str">
        <f t="shared" si="190"/>
        <v/>
      </c>
      <c r="B268" s="69">
        <f t="shared" ref="B268:B331" si="192">IF(A268&lt;mthend,B267,0)</f>
        <v>0</v>
      </c>
      <c r="C268" s="71"/>
      <c r="D268" s="69" t="str">
        <f t="shared" si="155"/>
        <v/>
      </c>
      <c r="E268" s="70" t="str">
        <f t="shared" si="156"/>
        <v/>
      </c>
      <c r="F268" s="70" t="str">
        <f t="shared" si="157"/>
        <v/>
      </c>
      <c r="G268" s="63" t="str">
        <f t="shared" si="158"/>
        <v/>
      </c>
      <c r="H268" s="64" t="str">
        <f t="shared" si="159"/>
        <v/>
      </c>
      <c r="I268" s="43"/>
      <c r="J268" s="63" t="str">
        <f t="shared" si="160"/>
        <v/>
      </c>
      <c r="K268" s="64" t="str">
        <f t="shared" si="161"/>
        <v/>
      </c>
      <c r="L268" s="63" t="str">
        <f t="shared" si="162"/>
        <v/>
      </c>
      <c r="M268" s="64" t="str">
        <f t="shared" si="163"/>
        <v/>
      </c>
      <c r="N268" s="65"/>
      <c r="O268" s="63" t="str">
        <f t="shared" si="164"/>
        <v/>
      </c>
      <c r="P268" s="63" t="str">
        <f t="shared" si="165"/>
        <v/>
      </c>
      <c r="Q268" s="66"/>
      <c r="R268" s="63" t="str">
        <f t="shared" si="166"/>
        <v/>
      </c>
      <c r="S268" s="64" t="str">
        <f t="shared" si="167"/>
        <v/>
      </c>
      <c r="T268" s="63" t="str">
        <f t="shared" si="168"/>
        <v/>
      </c>
      <c r="U268" s="64" t="str">
        <f t="shared" si="169"/>
        <v/>
      </c>
      <c r="V268" s="207" t="str">
        <f>IF($A269="","",IF(AND(MONTH(A268)&gt;3,MONTH(A268)&lt;11),(T268+R268+G268)*Summary!$T$8/(1-Summary!$T$8),(T268+R268+G268)*Summary!$U$8/(1-Summary!$U$8)))</f>
        <v/>
      </c>
      <c r="W268" s="63" t="str">
        <f t="shared" si="170"/>
        <v/>
      </c>
      <c r="X268" s="63" t="str">
        <f t="shared" si="171"/>
        <v/>
      </c>
      <c r="Y268" s="43"/>
      <c r="Z268" s="38" t="str">
        <f t="shared" si="172"/>
        <v/>
      </c>
      <c r="AA268" s="38" t="str">
        <f t="shared" si="173"/>
        <v/>
      </c>
      <c r="AB268" s="38" t="e">
        <f t="shared" si="174"/>
        <v>#VALUE!</v>
      </c>
      <c r="AC268" s="38" t="str">
        <f t="shared" si="175"/>
        <v/>
      </c>
      <c r="AD268" s="38" t="str">
        <f t="shared" si="175"/>
        <v/>
      </c>
      <c r="AE268" s="38" t="e">
        <f t="shared" si="176"/>
        <v>#VALUE!</v>
      </c>
      <c r="AF268" s="237" t="e">
        <f>((Summary!$N$8*(AA268*AD268)*(A268-$D$3))+(Summary!$M$8*Z268*AC268*(AJ268-EOMONTH(EDATE(A268,-1),0))))/(AK268*AB268*AE268)</f>
        <v>#VALUE!</v>
      </c>
      <c r="AG268" s="88" t="str">
        <f>IF($A269="","",Summary!$Q$8)</f>
        <v/>
      </c>
      <c r="AH268" s="88" t="str">
        <f>IF($A269="","",IF(Summary!$R$8="Y",(VLOOKUP($A268,Summary!$AD$6:$AF$9,3)+'Escalating commodity'!D281),'Escalating commodity'!D281))</f>
        <v/>
      </c>
      <c r="AI268" s="88" t="str">
        <f t="shared" si="191"/>
        <v/>
      </c>
      <c r="AJ268" s="236" t="e">
        <f t="shared" si="177"/>
        <v>#VALUE!</v>
      </c>
      <c r="AK268" s="58" t="str">
        <f t="shared" si="178"/>
        <v/>
      </c>
      <c r="AL268" s="26" t="str">
        <f>IF($A269="","",_xll.SPRDOPT(P268,X268,AI268,0,AB268,AE268,AF268,AK268,$AJ$2,0))</f>
        <v/>
      </c>
      <c r="AM268" s="89" t="str">
        <f t="shared" si="179"/>
        <v/>
      </c>
      <c r="AN268" s="89" t="str">
        <f t="shared" si="180"/>
        <v/>
      </c>
      <c r="AO268" s="3" t="str">
        <f t="shared" si="181"/>
        <v/>
      </c>
      <c r="AP268" s="33" t="str">
        <f t="shared" si="182"/>
        <v/>
      </c>
      <c r="AQ268" s="58" t="str">
        <f t="shared" si="183"/>
        <v/>
      </c>
      <c r="AR268" s="38">
        <f>'ANR OK vs ML7'!AR268</f>
        <v>0.1</v>
      </c>
      <c r="AS268" s="35" t="str">
        <f t="shared" si="184"/>
        <v/>
      </c>
      <c r="AT268" s="3" t="str">
        <f t="shared" si="185"/>
        <v/>
      </c>
      <c r="AU268" s="3" t="str">
        <f t="shared" si="186"/>
        <v/>
      </c>
      <c r="AW268" s="32" t="str">
        <f t="shared" si="187"/>
        <v/>
      </c>
      <c r="AX268" s="32" t="str">
        <f t="shared" si="188"/>
        <v/>
      </c>
      <c r="AY268" s="32" t="str">
        <f t="shared" si="189"/>
        <v/>
      </c>
      <c r="BA268" s="32" t="str">
        <f>IF($A269="","",F268*Summary!$Q$8)</f>
        <v/>
      </c>
    </row>
    <row r="269" spans="1:53" ht="12" customHeight="1">
      <c r="A269" s="67" t="str">
        <f t="shared" si="190"/>
        <v/>
      </c>
      <c r="B269" s="69">
        <f t="shared" si="192"/>
        <v>0</v>
      </c>
      <c r="C269" s="71"/>
      <c r="D269" s="69" t="str">
        <f t="shared" si="155"/>
        <v/>
      </c>
      <c r="E269" s="70" t="str">
        <f t="shared" si="156"/>
        <v/>
      </c>
      <c r="F269" s="70" t="str">
        <f t="shared" si="157"/>
        <v/>
      </c>
      <c r="G269" s="63" t="str">
        <f t="shared" si="158"/>
        <v/>
      </c>
      <c r="H269" s="64" t="str">
        <f t="shared" si="159"/>
        <v/>
      </c>
      <c r="I269" s="43"/>
      <c r="J269" s="63" t="str">
        <f t="shared" si="160"/>
        <v/>
      </c>
      <c r="K269" s="64" t="str">
        <f t="shared" si="161"/>
        <v/>
      </c>
      <c r="L269" s="63" t="str">
        <f t="shared" si="162"/>
        <v/>
      </c>
      <c r="M269" s="64" t="str">
        <f t="shared" si="163"/>
        <v/>
      </c>
      <c r="N269" s="65"/>
      <c r="O269" s="63" t="str">
        <f t="shared" si="164"/>
        <v/>
      </c>
      <c r="P269" s="63" t="str">
        <f t="shared" si="165"/>
        <v/>
      </c>
      <c r="Q269" s="66"/>
      <c r="R269" s="63" t="str">
        <f t="shared" si="166"/>
        <v/>
      </c>
      <c r="S269" s="64" t="str">
        <f t="shared" si="167"/>
        <v/>
      </c>
      <c r="T269" s="63" t="str">
        <f t="shared" si="168"/>
        <v/>
      </c>
      <c r="U269" s="64" t="str">
        <f t="shared" si="169"/>
        <v/>
      </c>
      <c r="V269" s="207" t="str">
        <f>IF($A270="","",IF(AND(MONTH(A269)&gt;3,MONTH(A269)&lt;11),(T269+R269+G269)*Summary!$T$8/(1-Summary!$T$8),(T269+R269+G269)*Summary!$U$8/(1-Summary!$U$8)))</f>
        <v/>
      </c>
      <c r="W269" s="63" t="str">
        <f t="shared" si="170"/>
        <v/>
      </c>
      <c r="X269" s="63" t="str">
        <f t="shared" si="171"/>
        <v/>
      </c>
      <c r="Y269" s="43"/>
      <c r="Z269" s="38" t="str">
        <f t="shared" si="172"/>
        <v/>
      </c>
      <c r="AA269" s="38" t="str">
        <f t="shared" si="173"/>
        <v/>
      </c>
      <c r="AB269" s="38" t="e">
        <f t="shared" si="174"/>
        <v>#VALUE!</v>
      </c>
      <c r="AC269" s="38" t="str">
        <f t="shared" si="175"/>
        <v/>
      </c>
      <c r="AD269" s="38" t="str">
        <f t="shared" si="175"/>
        <v/>
      </c>
      <c r="AE269" s="38" t="e">
        <f t="shared" si="176"/>
        <v>#VALUE!</v>
      </c>
      <c r="AF269" s="237" t="e">
        <f>((Summary!$N$8*(AA269*AD269)*(A269-$D$3))+(Summary!$M$8*Z269*AC269*(AJ269-EOMONTH(EDATE(A269,-1),0))))/(AK269*AB269*AE269)</f>
        <v>#VALUE!</v>
      </c>
      <c r="AG269" s="88" t="str">
        <f>IF($A270="","",Summary!$Q$8)</f>
        <v/>
      </c>
      <c r="AH269" s="88" t="str">
        <f>IF($A270="","",IF(Summary!$R$8="Y",(VLOOKUP($A269,Summary!$AD$6:$AF$9,3)+'Escalating commodity'!D282),'Escalating commodity'!D282))</f>
        <v/>
      </c>
      <c r="AI269" s="88" t="str">
        <f t="shared" si="191"/>
        <v/>
      </c>
      <c r="AJ269" s="236" t="e">
        <f t="shared" si="177"/>
        <v>#VALUE!</v>
      </c>
      <c r="AK269" s="58" t="str">
        <f t="shared" si="178"/>
        <v/>
      </c>
      <c r="AL269" s="26" t="str">
        <f>IF($A270="","",_xll.SPRDOPT(P269,X269,AI269,0,AB269,AE269,AF269,AK269,$AJ$2,0))</f>
        <v/>
      </c>
      <c r="AM269" s="89" t="str">
        <f t="shared" si="179"/>
        <v/>
      </c>
      <c r="AN269" s="89" t="str">
        <f t="shared" si="180"/>
        <v/>
      </c>
      <c r="AO269" s="3" t="str">
        <f t="shared" si="181"/>
        <v/>
      </c>
      <c r="AP269" s="33" t="str">
        <f t="shared" si="182"/>
        <v/>
      </c>
      <c r="AQ269" s="58" t="str">
        <f t="shared" si="183"/>
        <v/>
      </c>
      <c r="AR269" s="38">
        <f>'ANR OK vs ML7'!AR269</f>
        <v>0.1</v>
      </c>
      <c r="AS269" s="35" t="str">
        <f t="shared" si="184"/>
        <v/>
      </c>
      <c r="AT269" s="3" t="str">
        <f t="shared" si="185"/>
        <v/>
      </c>
      <c r="AU269" s="3" t="str">
        <f t="shared" si="186"/>
        <v/>
      </c>
      <c r="AW269" s="32" t="str">
        <f t="shared" si="187"/>
        <v/>
      </c>
      <c r="AX269" s="32" t="str">
        <f t="shared" si="188"/>
        <v/>
      </c>
      <c r="AY269" s="32" t="str">
        <f t="shared" si="189"/>
        <v/>
      </c>
      <c r="BA269" s="32" t="str">
        <f>IF($A270="","",F269*Summary!$Q$8)</f>
        <v/>
      </c>
    </row>
    <row r="270" spans="1:53" ht="12" customHeight="1">
      <c r="A270" s="67" t="str">
        <f t="shared" si="190"/>
        <v/>
      </c>
      <c r="B270" s="69">
        <f t="shared" si="192"/>
        <v>0</v>
      </c>
      <c r="C270" s="71"/>
      <c r="D270" s="69" t="str">
        <f t="shared" si="155"/>
        <v/>
      </c>
      <c r="E270" s="70" t="str">
        <f t="shared" si="156"/>
        <v/>
      </c>
      <c r="F270" s="70" t="str">
        <f t="shared" si="157"/>
        <v/>
      </c>
      <c r="G270" s="63" t="str">
        <f t="shared" si="158"/>
        <v/>
      </c>
      <c r="H270" s="64" t="str">
        <f t="shared" si="159"/>
        <v/>
      </c>
      <c r="I270" s="43"/>
      <c r="J270" s="63" t="str">
        <f t="shared" si="160"/>
        <v/>
      </c>
      <c r="K270" s="64" t="str">
        <f t="shared" si="161"/>
        <v/>
      </c>
      <c r="L270" s="63" t="str">
        <f t="shared" si="162"/>
        <v/>
      </c>
      <c r="M270" s="64" t="str">
        <f t="shared" si="163"/>
        <v/>
      </c>
      <c r="N270" s="65"/>
      <c r="O270" s="63" t="str">
        <f t="shared" si="164"/>
        <v/>
      </c>
      <c r="P270" s="63" t="str">
        <f t="shared" si="165"/>
        <v/>
      </c>
      <c r="Q270" s="66"/>
      <c r="R270" s="63" t="str">
        <f t="shared" si="166"/>
        <v/>
      </c>
      <c r="S270" s="64" t="str">
        <f t="shared" si="167"/>
        <v/>
      </c>
      <c r="T270" s="63" t="str">
        <f t="shared" si="168"/>
        <v/>
      </c>
      <c r="U270" s="64" t="str">
        <f t="shared" si="169"/>
        <v/>
      </c>
      <c r="V270" s="207" t="str">
        <f>IF($A271="","",IF(AND(MONTH(A270)&gt;3,MONTH(A270)&lt;11),(T270+R270+G270)*Summary!$T$8/(1-Summary!$T$8),(T270+R270+G270)*Summary!$U$8/(1-Summary!$U$8)))</f>
        <v/>
      </c>
      <c r="W270" s="63" t="str">
        <f t="shared" si="170"/>
        <v/>
      </c>
      <c r="X270" s="63" t="str">
        <f t="shared" si="171"/>
        <v/>
      </c>
      <c r="Y270" s="43"/>
      <c r="Z270" s="38" t="str">
        <f t="shared" si="172"/>
        <v/>
      </c>
      <c r="AA270" s="38" t="str">
        <f t="shared" si="173"/>
        <v/>
      </c>
      <c r="AB270" s="38" t="e">
        <f t="shared" si="174"/>
        <v>#VALUE!</v>
      </c>
      <c r="AC270" s="38" t="str">
        <f t="shared" si="175"/>
        <v/>
      </c>
      <c r="AD270" s="38" t="str">
        <f t="shared" si="175"/>
        <v/>
      </c>
      <c r="AE270" s="38" t="e">
        <f t="shared" si="176"/>
        <v>#VALUE!</v>
      </c>
      <c r="AF270" s="237" t="e">
        <f>((Summary!$N$8*(AA270*AD270)*(A270-$D$3))+(Summary!$M$8*Z270*AC270*(AJ270-EOMONTH(EDATE(A270,-1),0))))/(AK270*AB270*AE270)</f>
        <v>#VALUE!</v>
      </c>
      <c r="AG270" s="88" t="str">
        <f>IF($A271="","",Summary!$Q$8)</f>
        <v/>
      </c>
      <c r="AH270" s="88" t="str">
        <f>IF($A271="","",IF(Summary!$R$8="Y",(VLOOKUP($A270,Summary!$AD$6:$AF$9,3)+'Escalating commodity'!D283),'Escalating commodity'!D283))</f>
        <v/>
      </c>
      <c r="AI270" s="88" t="str">
        <f t="shared" si="191"/>
        <v/>
      </c>
      <c r="AJ270" s="236" t="e">
        <f t="shared" si="177"/>
        <v>#VALUE!</v>
      </c>
      <c r="AK270" s="58" t="str">
        <f t="shared" si="178"/>
        <v/>
      </c>
      <c r="AL270" s="26" t="str">
        <f>IF($A271="","",_xll.SPRDOPT(P270,X270,AI270,0,AB270,AE270,AF270,AK270,$AJ$2,0))</f>
        <v/>
      </c>
      <c r="AM270" s="89" t="str">
        <f t="shared" si="179"/>
        <v/>
      </c>
      <c r="AN270" s="89" t="str">
        <f t="shared" si="180"/>
        <v/>
      </c>
      <c r="AO270" s="3" t="str">
        <f t="shared" si="181"/>
        <v/>
      </c>
      <c r="AP270" s="33" t="str">
        <f t="shared" si="182"/>
        <v/>
      </c>
      <c r="AQ270" s="58" t="str">
        <f t="shared" si="183"/>
        <v/>
      </c>
      <c r="AR270" s="38">
        <f>'ANR OK vs ML7'!AR270</f>
        <v>0.1</v>
      </c>
      <c r="AS270" s="35" t="str">
        <f t="shared" si="184"/>
        <v/>
      </c>
      <c r="AT270" s="3" t="str">
        <f t="shared" si="185"/>
        <v/>
      </c>
      <c r="AU270" s="3" t="str">
        <f t="shared" si="186"/>
        <v/>
      </c>
      <c r="AW270" s="32" t="str">
        <f t="shared" si="187"/>
        <v/>
      </c>
      <c r="AX270" s="32" t="str">
        <f t="shared" si="188"/>
        <v/>
      </c>
      <c r="AY270" s="32" t="str">
        <f t="shared" si="189"/>
        <v/>
      </c>
      <c r="BA270" s="32" t="str">
        <f>IF($A271="","",F270*Summary!$Q$8)</f>
        <v/>
      </c>
    </row>
    <row r="271" spans="1:53" ht="12" customHeight="1">
      <c r="A271" s="67" t="str">
        <f t="shared" si="190"/>
        <v/>
      </c>
      <c r="B271" s="69">
        <f t="shared" si="192"/>
        <v>0</v>
      </c>
      <c r="C271" s="71"/>
      <c r="D271" s="69" t="str">
        <f t="shared" si="155"/>
        <v/>
      </c>
      <c r="E271" s="70" t="str">
        <f t="shared" si="156"/>
        <v/>
      </c>
      <c r="F271" s="70" t="str">
        <f t="shared" si="157"/>
        <v/>
      </c>
      <c r="G271" s="63" t="str">
        <f t="shared" si="158"/>
        <v/>
      </c>
      <c r="H271" s="64" t="str">
        <f t="shared" si="159"/>
        <v/>
      </c>
      <c r="I271" s="43"/>
      <c r="J271" s="63" t="str">
        <f t="shared" si="160"/>
        <v/>
      </c>
      <c r="K271" s="64" t="str">
        <f t="shared" si="161"/>
        <v/>
      </c>
      <c r="L271" s="63" t="str">
        <f t="shared" si="162"/>
        <v/>
      </c>
      <c r="M271" s="64" t="str">
        <f t="shared" si="163"/>
        <v/>
      </c>
      <c r="N271" s="65"/>
      <c r="O271" s="63" t="str">
        <f t="shared" si="164"/>
        <v/>
      </c>
      <c r="P271" s="63" t="str">
        <f t="shared" si="165"/>
        <v/>
      </c>
      <c r="Q271" s="66"/>
      <c r="R271" s="63" t="str">
        <f t="shared" si="166"/>
        <v/>
      </c>
      <c r="S271" s="64" t="str">
        <f t="shared" si="167"/>
        <v/>
      </c>
      <c r="T271" s="63" t="str">
        <f t="shared" si="168"/>
        <v/>
      </c>
      <c r="U271" s="64" t="str">
        <f t="shared" si="169"/>
        <v/>
      </c>
      <c r="V271" s="207" t="str">
        <f>IF($A272="","",IF(AND(MONTH(A271)&gt;3,MONTH(A271)&lt;11),(T271+R271+G271)*Summary!$T$8/(1-Summary!$T$8),(T271+R271+G271)*Summary!$U$8/(1-Summary!$U$8)))</f>
        <v/>
      </c>
      <c r="W271" s="63" t="str">
        <f t="shared" si="170"/>
        <v/>
      </c>
      <c r="X271" s="63" t="str">
        <f t="shared" si="171"/>
        <v/>
      </c>
      <c r="Y271" s="43"/>
      <c r="Z271" s="38" t="str">
        <f t="shared" si="172"/>
        <v/>
      </c>
      <c r="AA271" s="38" t="str">
        <f t="shared" si="173"/>
        <v/>
      </c>
      <c r="AB271" s="38" t="e">
        <f t="shared" si="174"/>
        <v>#VALUE!</v>
      </c>
      <c r="AC271" s="38" t="str">
        <f t="shared" si="175"/>
        <v/>
      </c>
      <c r="AD271" s="38" t="str">
        <f t="shared" si="175"/>
        <v/>
      </c>
      <c r="AE271" s="38" t="e">
        <f t="shared" si="176"/>
        <v>#VALUE!</v>
      </c>
      <c r="AF271" s="237" t="e">
        <f>((Summary!$N$8*(AA271*AD271)*(A271-$D$3))+(Summary!$M$8*Z271*AC271*(AJ271-EOMONTH(EDATE(A271,-1),0))))/(AK271*AB271*AE271)</f>
        <v>#VALUE!</v>
      </c>
      <c r="AG271" s="88" t="str">
        <f>IF($A272="","",Summary!$Q$8)</f>
        <v/>
      </c>
      <c r="AH271" s="88" t="str">
        <f>IF($A272="","",IF(Summary!$R$8="Y",(VLOOKUP($A271,Summary!$AD$6:$AF$9,3)+'Escalating commodity'!D284),'Escalating commodity'!D284))</f>
        <v/>
      </c>
      <c r="AI271" s="88" t="str">
        <f t="shared" si="191"/>
        <v/>
      </c>
      <c r="AJ271" s="236" t="e">
        <f t="shared" si="177"/>
        <v>#VALUE!</v>
      </c>
      <c r="AK271" s="58" t="str">
        <f t="shared" si="178"/>
        <v/>
      </c>
      <c r="AL271" s="26" t="str">
        <f>IF($A272="","",_xll.SPRDOPT(P271,X271,AI271,0,AB271,AE271,AF271,AK271,$AJ$2,0))</f>
        <v/>
      </c>
      <c r="AM271" s="89" t="str">
        <f t="shared" si="179"/>
        <v/>
      </c>
      <c r="AN271" s="89" t="str">
        <f t="shared" si="180"/>
        <v/>
      </c>
      <c r="AO271" s="3" t="str">
        <f t="shared" si="181"/>
        <v/>
      </c>
      <c r="AP271" s="33" t="str">
        <f t="shared" si="182"/>
        <v/>
      </c>
      <c r="AQ271" s="58" t="str">
        <f t="shared" si="183"/>
        <v/>
      </c>
      <c r="AR271" s="38">
        <f>'ANR OK vs ML7'!AR271</f>
        <v>0.1</v>
      </c>
      <c r="AS271" s="35" t="str">
        <f t="shared" si="184"/>
        <v/>
      </c>
      <c r="AT271" s="3" t="str">
        <f t="shared" si="185"/>
        <v/>
      </c>
      <c r="AU271" s="3" t="str">
        <f t="shared" si="186"/>
        <v/>
      </c>
      <c r="AW271" s="32" t="str">
        <f t="shared" si="187"/>
        <v/>
      </c>
      <c r="AX271" s="32" t="str">
        <f t="shared" si="188"/>
        <v/>
      </c>
      <c r="AY271" s="32" t="str">
        <f t="shared" si="189"/>
        <v/>
      </c>
      <c r="BA271" s="32" t="str">
        <f>IF($A272="","",F271*Summary!$Q$8)</f>
        <v/>
      </c>
    </row>
    <row r="272" spans="1:53" ht="12" customHeight="1">
      <c r="A272" s="67" t="str">
        <f t="shared" si="190"/>
        <v/>
      </c>
      <c r="B272" s="69">
        <f t="shared" si="192"/>
        <v>0</v>
      </c>
      <c r="C272" s="71"/>
      <c r="D272" s="69" t="str">
        <f t="shared" si="155"/>
        <v/>
      </c>
      <c r="E272" s="70" t="str">
        <f t="shared" si="156"/>
        <v/>
      </c>
      <c r="F272" s="70" t="str">
        <f t="shared" si="157"/>
        <v/>
      </c>
      <c r="G272" s="63" t="str">
        <f t="shared" si="158"/>
        <v/>
      </c>
      <c r="H272" s="64" t="str">
        <f t="shared" si="159"/>
        <v/>
      </c>
      <c r="I272" s="43"/>
      <c r="J272" s="63" t="str">
        <f t="shared" si="160"/>
        <v/>
      </c>
      <c r="K272" s="64" t="str">
        <f t="shared" si="161"/>
        <v/>
      </c>
      <c r="L272" s="63" t="str">
        <f t="shared" si="162"/>
        <v/>
      </c>
      <c r="M272" s="64" t="str">
        <f t="shared" si="163"/>
        <v/>
      </c>
      <c r="N272" s="65"/>
      <c r="O272" s="63" t="str">
        <f t="shared" si="164"/>
        <v/>
      </c>
      <c r="P272" s="63" t="str">
        <f t="shared" si="165"/>
        <v/>
      </c>
      <c r="Q272" s="66"/>
      <c r="R272" s="63" t="str">
        <f t="shared" si="166"/>
        <v/>
      </c>
      <c r="S272" s="64" t="str">
        <f t="shared" si="167"/>
        <v/>
      </c>
      <c r="T272" s="63" t="str">
        <f t="shared" si="168"/>
        <v/>
      </c>
      <c r="U272" s="64" t="str">
        <f t="shared" si="169"/>
        <v/>
      </c>
      <c r="V272" s="207" t="str">
        <f>IF($A273="","",IF(AND(MONTH(A272)&gt;3,MONTH(A272)&lt;11),(T272+R272+G272)*Summary!$T$8/(1-Summary!$T$8),(T272+R272+G272)*Summary!$U$8/(1-Summary!$U$8)))</f>
        <v/>
      </c>
      <c r="W272" s="63" t="str">
        <f t="shared" si="170"/>
        <v/>
      </c>
      <c r="X272" s="63" t="str">
        <f t="shared" si="171"/>
        <v/>
      </c>
      <c r="Y272" s="43"/>
      <c r="Z272" s="38" t="str">
        <f t="shared" si="172"/>
        <v/>
      </c>
      <c r="AA272" s="38" t="str">
        <f t="shared" si="173"/>
        <v/>
      </c>
      <c r="AB272" s="38" t="e">
        <f t="shared" si="174"/>
        <v>#VALUE!</v>
      </c>
      <c r="AC272" s="38" t="str">
        <f t="shared" si="175"/>
        <v/>
      </c>
      <c r="AD272" s="38" t="str">
        <f t="shared" si="175"/>
        <v/>
      </c>
      <c r="AE272" s="38" t="e">
        <f t="shared" si="176"/>
        <v>#VALUE!</v>
      </c>
      <c r="AF272" s="237" t="e">
        <f>((Summary!$N$8*(AA272*AD272)*(A272-$D$3))+(Summary!$M$8*Z272*AC272*(AJ272-EOMONTH(EDATE(A272,-1),0))))/(AK272*AB272*AE272)</f>
        <v>#VALUE!</v>
      </c>
      <c r="AG272" s="88" t="str">
        <f>IF($A273="","",Summary!$Q$8)</f>
        <v/>
      </c>
      <c r="AH272" s="88" t="str">
        <f>IF($A273="","",IF(Summary!$R$8="Y",(VLOOKUP($A272,Summary!$AD$6:$AF$9,3)+'Escalating commodity'!D285),'Escalating commodity'!D285))</f>
        <v/>
      </c>
      <c r="AI272" s="88" t="str">
        <f t="shared" si="191"/>
        <v/>
      </c>
      <c r="AJ272" s="236" t="e">
        <f t="shared" si="177"/>
        <v>#VALUE!</v>
      </c>
      <c r="AK272" s="58" t="str">
        <f t="shared" si="178"/>
        <v/>
      </c>
      <c r="AL272" s="26" t="str">
        <f>IF($A273="","",_xll.SPRDOPT(P272,X272,AI272,0,AB272,AE272,AF272,AK272,$AJ$2,0))</f>
        <v/>
      </c>
      <c r="AM272" s="89" t="str">
        <f t="shared" si="179"/>
        <v/>
      </c>
      <c r="AN272" s="89" t="str">
        <f t="shared" si="180"/>
        <v/>
      </c>
      <c r="AO272" s="3" t="str">
        <f t="shared" si="181"/>
        <v/>
      </c>
      <c r="AP272" s="33" t="str">
        <f t="shared" si="182"/>
        <v/>
      </c>
      <c r="AQ272" s="58" t="str">
        <f t="shared" si="183"/>
        <v/>
      </c>
      <c r="AR272" s="38">
        <f>'ANR OK vs ML7'!AR272</f>
        <v>0.1</v>
      </c>
      <c r="AS272" s="35" t="str">
        <f t="shared" si="184"/>
        <v/>
      </c>
      <c r="AT272" s="3" t="str">
        <f t="shared" si="185"/>
        <v/>
      </c>
      <c r="AU272" s="3" t="str">
        <f t="shared" si="186"/>
        <v/>
      </c>
      <c r="AW272" s="32" t="str">
        <f t="shared" si="187"/>
        <v/>
      </c>
      <c r="AX272" s="32" t="str">
        <f t="shared" si="188"/>
        <v/>
      </c>
      <c r="AY272" s="32" t="str">
        <f t="shared" si="189"/>
        <v/>
      </c>
      <c r="BA272" s="32" t="str">
        <f>IF($A273="","",F272*Summary!$Q$8)</f>
        <v/>
      </c>
    </row>
    <row r="273" spans="1:53" ht="12" customHeight="1">
      <c r="A273" s="67" t="str">
        <f t="shared" si="190"/>
        <v/>
      </c>
      <c r="B273" s="69">
        <f t="shared" si="192"/>
        <v>0</v>
      </c>
      <c r="C273" s="71"/>
      <c r="D273" s="69" t="str">
        <f t="shared" si="155"/>
        <v/>
      </c>
      <c r="E273" s="70" t="str">
        <f t="shared" si="156"/>
        <v/>
      </c>
      <c r="F273" s="70" t="str">
        <f t="shared" si="157"/>
        <v/>
      </c>
      <c r="G273" s="63" t="str">
        <f t="shared" si="158"/>
        <v/>
      </c>
      <c r="H273" s="64" t="str">
        <f t="shared" si="159"/>
        <v/>
      </c>
      <c r="I273" s="43"/>
      <c r="J273" s="63" t="str">
        <f t="shared" si="160"/>
        <v/>
      </c>
      <c r="K273" s="64" t="str">
        <f t="shared" si="161"/>
        <v/>
      </c>
      <c r="L273" s="63" t="str">
        <f t="shared" si="162"/>
        <v/>
      </c>
      <c r="M273" s="64" t="str">
        <f t="shared" si="163"/>
        <v/>
      </c>
      <c r="N273" s="65"/>
      <c r="O273" s="63" t="str">
        <f t="shared" si="164"/>
        <v/>
      </c>
      <c r="P273" s="63" t="str">
        <f t="shared" si="165"/>
        <v/>
      </c>
      <c r="Q273" s="66"/>
      <c r="R273" s="63" t="str">
        <f t="shared" si="166"/>
        <v/>
      </c>
      <c r="S273" s="64" t="str">
        <f t="shared" si="167"/>
        <v/>
      </c>
      <c r="T273" s="63" t="str">
        <f t="shared" si="168"/>
        <v/>
      </c>
      <c r="U273" s="64" t="str">
        <f t="shared" si="169"/>
        <v/>
      </c>
      <c r="V273" s="207" t="str">
        <f>IF($A274="","",IF(AND(MONTH(A273)&gt;3,MONTH(A273)&lt;11),(T273+R273+G273)*Summary!$T$8/(1-Summary!$T$8),(T273+R273+G273)*Summary!$U$8/(1-Summary!$U$8)))</f>
        <v/>
      </c>
      <c r="W273" s="63" t="str">
        <f t="shared" si="170"/>
        <v/>
      </c>
      <c r="X273" s="63" t="str">
        <f t="shared" si="171"/>
        <v/>
      </c>
      <c r="Y273" s="43"/>
      <c r="Z273" s="38" t="str">
        <f t="shared" si="172"/>
        <v/>
      </c>
      <c r="AA273" s="38" t="str">
        <f t="shared" si="173"/>
        <v/>
      </c>
      <c r="AB273" s="38" t="e">
        <f t="shared" si="174"/>
        <v>#VALUE!</v>
      </c>
      <c r="AC273" s="38" t="str">
        <f t="shared" si="175"/>
        <v/>
      </c>
      <c r="AD273" s="38" t="str">
        <f t="shared" si="175"/>
        <v/>
      </c>
      <c r="AE273" s="38" t="e">
        <f t="shared" si="176"/>
        <v>#VALUE!</v>
      </c>
      <c r="AF273" s="237" t="e">
        <f>((Summary!$N$8*(AA273*AD273)*(A273-$D$3))+(Summary!$M$8*Z273*AC273*(AJ273-EOMONTH(EDATE(A273,-1),0))))/(AK273*AB273*AE273)</f>
        <v>#VALUE!</v>
      </c>
      <c r="AG273" s="88" t="str">
        <f>IF($A274="","",Summary!$Q$8)</f>
        <v/>
      </c>
      <c r="AH273" s="88" t="str">
        <f>IF($A274="","",IF(Summary!$R$8="Y",(VLOOKUP($A273,Summary!$AD$6:$AF$9,3)+'Escalating commodity'!D286),'Escalating commodity'!D286))</f>
        <v/>
      </c>
      <c r="AI273" s="88" t="str">
        <f t="shared" si="191"/>
        <v/>
      </c>
      <c r="AJ273" s="236" t="e">
        <f t="shared" si="177"/>
        <v>#VALUE!</v>
      </c>
      <c r="AK273" s="58" t="str">
        <f t="shared" si="178"/>
        <v/>
      </c>
      <c r="AL273" s="26" t="str">
        <f>IF($A274="","",_xll.SPRDOPT(P273,X273,AI273,0,AB273,AE273,AF273,AK273,$AJ$2,0))</f>
        <v/>
      </c>
      <c r="AM273" s="89" t="str">
        <f t="shared" si="179"/>
        <v/>
      </c>
      <c r="AN273" s="89" t="str">
        <f t="shared" si="180"/>
        <v/>
      </c>
      <c r="AO273" s="3" t="str">
        <f t="shared" si="181"/>
        <v/>
      </c>
      <c r="AP273" s="33" t="str">
        <f t="shared" si="182"/>
        <v/>
      </c>
      <c r="AQ273" s="58" t="str">
        <f t="shared" si="183"/>
        <v/>
      </c>
      <c r="AR273" s="38">
        <f>'ANR OK vs ML7'!AR273</f>
        <v>0.1</v>
      </c>
      <c r="AS273" s="35" t="str">
        <f t="shared" si="184"/>
        <v/>
      </c>
      <c r="AT273" s="3" t="str">
        <f t="shared" si="185"/>
        <v/>
      </c>
      <c r="AU273" s="3" t="str">
        <f t="shared" si="186"/>
        <v/>
      </c>
      <c r="AW273" s="32" t="str">
        <f t="shared" si="187"/>
        <v/>
      </c>
      <c r="AX273" s="32" t="str">
        <f t="shared" si="188"/>
        <v/>
      </c>
      <c r="AY273" s="32" t="str">
        <f t="shared" si="189"/>
        <v/>
      </c>
      <c r="BA273" s="32" t="str">
        <f>IF($A274="","",F273*Summary!$Q$8)</f>
        <v/>
      </c>
    </row>
    <row r="274" spans="1:53" ht="12" customHeight="1">
      <c r="A274" s="67" t="str">
        <f t="shared" si="190"/>
        <v/>
      </c>
      <c r="B274" s="69">
        <f t="shared" si="192"/>
        <v>0</v>
      </c>
      <c r="C274" s="71"/>
      <c r="D274" s="69" t="str">
        <f t="shared" si="155"/>
        <v/>
      </c>
      <c r="E274" s="70" t="str">
        <f t="shared" si="156"/>
        <v/>
      </c>
      <c r="F274" s="70" t="str">
        <f t="shared" si="157"/>
        <v/>
      </c>
      <c r="G274" s="63" t="str">
        <f t="shared" si="158"/>
        <v/>
      </c>
      <c r="H274" s="64" t="str">
        <f t="shared" si="159"/>
        <v/>
      </c>
      <c r="I274" s="43"/>
      <c r="J274" s="63" t="str">
        <f t="shared" si="160"/>
        <v/>
      </c>
      <c r="K274" s="64" t="str">
        <f t="shared" si="161"/>
        <v/>
      </c>
      <c r="L274" s="63" t="str">
        <f t="shared" si="162"/>
        <v/>
      </c>
      <c r="M274" s="64" t="str">
        <f t="shared" si="163"/>
        <v/>
      </c>
      <c r="N274" s="65"/>
      <c r="O274" s="63" t="str">
        <f t="shared" si="164"/>
        <v/>
      </c>
      <c r="P274" s="63" t="str">
        <f t="shared" si="165"/>
        <v/>
      </c>
      <c r="Q274" s="66"/>
      <c r="R274" s="63" t="str">
        <f t="shared" si="166"/>
        <v/>
      </c>
      <c r="S274" s="64" t="str">
        <f t="shared" si="167"/>
        <v/>
      </c>
      <c r="T274" s="63" t="str">
        <f t="shared" si="168"/>
        <v/>
      </c>
      <c r="U274" s="64" t="str">
        <f t="shared" si="169"/>
        <v/>
      </c>
      <c r="V274" s="207" t="str">
        <f>IF($A275="","",IF(AND(MONTH(A274)&gt;3,MONTH(A274)&lt;11),(T274+R274+G274)*Summary!$T$8/(1-Summary!$T$8),(T274+R274+G274)*Summary!$U$8/(1-Summary!$U$8)))</f>
        <v/>
      </c>
      <c r="W274" s="63" t="str">
        <f t="shared" si="170"/>
        <v/>
      </c>
      <c r="X274" s="63" t="str">
        <f t="shared" si="171"/>
        <v/>
      </c>
      <c r="Y274" s="43"/>
      <c r="Z274" s="38" t="str">
        <f t="shared" si="172"/>
        <v/>
      </c>
      <c r="AA274" s="38" t="str">
        <f t="shared" si="173"/>
        <v/>
      </c>
      <c r="AB274" s="38" t="e">
        <f t="shared" si="174"/>
        <v>#VALUE!</v>
      </c>
      <c r="AC274" s="38" t="str">
        <f t="shared" si="175"/>
        <v/>
      </c>
      <c r="AD274" s="38" t="str">
        <f t="shared" si="175"/>
        <v/>
      </c>
      <c r="AE274" s="38" t="e">
        <f t="shared" si="176"/>
        <v>#VALUE!</v>
      </c>
      <c r="AF274" s="237" t="e">
        <f>((Summary!$N$8*(AA274*AD274)*(A274-$D$3))+(Summary!$M$8*Z274*AC274*(AJ274-EOMONTH(EDATE(A274,-1),0))))/(AK274*AB274*AE274)</f>
        <v>#VALUE!</v>
      </c>
      <c r="AG274" s="88" t="str">
        <f>IF($A275="","",Summary!$Q$8)</f>
        <v/>
      </c>
      <c r="AH274" s="88" t="str">
        <f>IF($A275="","",IF(Summary!$R$8="Y",(VLOOKUP($A274,Summary!$AD$6:$AF$9,3)+'Escalating commodity'!D287),'Escalating commodity'!D287))</f>
        <v/>
      </c>
      <c r="AI274" s="88" t="str">
        <f t="shared" si="191"/>
        <v/>
      </c>
      <c r="AJ274" s="236" t="e">
        <f t="shared" si="177"/>
        <v>#VALUE!</v>
      </c>
      <c r="AK274" s="58" t="str">
        <f t="shared" si="178"/>
        <v/>
      </c>
      <c r="AL274" s="26" t="str">
        <f>IF($A275="","",_xll.SPRDOPT(P274,X274,AI274,0,AB274,AE274,AF274,AK274,$AJ$2,0))</f>
        <v/>
      </c>
      <c r="AM274" s="89" t="str">
        <f t="shared" si="179"/>
        <v/>
      </c>
      <c r="AN274" s="89" t="str">
        <f t="shared" si="180"/>
        <v/>
      </c>
      <c r="AO274" s="3" t="str">
        <f t="shared" si="181"/>
        <v/>
      </c>
      <c r="AP274" s="33" t="str">
        <f t="shared" si="182"/>
        <v/>
      </c>
      <c r="AQ274" s="58" t="str">
        <f t="shared" si="183"/>
        <v/>
      </c>
      <c r="AR274" s="38">
        <f>'ANR OK vs ML7'!AR274</f>
        <v>0.1</v>
      </c>
      <c r="AS274" s="35" t="str">
        <f t="shared" si="184"/>
        <v/>
      </c>
      <c r="AT274" s="3" t="str">
        <f t="shared" si="185"/>
        <v/>
      </c>
      <c r="AU274" s="3" t="str">
        <f t="shared" si="186"/>
        <v/>
      </c>
      <c r="AW274" s="32" t="str">
        <f t="shared" si="187"/>
        <v/>
      </c>
      <c r="AX274" s="32" t="str">
        <f t="shared" si="188"/>
        <v/>
      </c>
      <c r="AY274" s="32" t="str">
        <f t="shared" si="189"/>
        <v/>
      </c>
      <c r="BA274" s="32" t="str">
        <f>IF($A275="","",F274*Summary!$Q$8)</f>
        <v/>
      </c>
    </row>
    <row r="275" spans="1:53" ht="12" customHeight="1">
      <c r="A275" s="67" t="str">
        <f t="shared" si="190"/>
        <v/>
      </c>
      <c r="B275" s="69">
        <f t="shared" si="192"/>
        <v>0</v>
      </c>
      <c r="C275" s="71"/>
      <c r="D275" s="69" t="str">
        <f t="shared" si="155"/>
        <v/>
      </c>
      <c r="E275" s="70" t="str">
        <f t="shared" si="156"/>
        <v/>
      </c>
      <c r="F275" s="70" t="str">
        <f t="shared" si="157"/>
        <v/>
      </c>
      <c r="G275" s="63" t="str">
        <f t="shared" si="158"/>
        <v/>
      </c>
      <c r="H275" s="64" t="str">
        <f t="shared" si="159"/>
        <v/>
      </c>
      <c r="I275" s="43"/>
      <c r="J275" s="63" t="str">
        <f t="shared" si="160"/>
        <v/>
      </c>
      <c r="K275" s="64" t="str">
        <f t="shared" si="161"/>
        <v/>
      </c>
      <c r="L275" s="63" t="str">
        <f t="shared" si="162"/>
        <v/>
      </c>
      <c r="M275" s="64" t="str">
        <f t="shared" si="163"/>
        <v/>
      </c>
      <c r="N275" s="65"/>
      <c r="O275" s="63" t="str">
        <f t="shared" si="164"/>
        <v/>
      </c>
      <c r="P275" s="63" t="str">
        <f t="shared" si="165"/>
        <v/>
      </c>
      <c r="Q275" s="66"/>
      <c r="R275" s="63" t="str">
        <f t="shared" si="166"/>
        <v/>
      </c>
      <c r="S275" s="64" t="str">
        <f t="shared" si="167"/>
        <v/>
      </c>
      <c r="T275" s="63" t="str">
        <f t="shared" si="168"/>
        <v/>
      </c>
      <c r="U275" s="64" t="str">
        <f t="shared" si="169"/>
        <v/>
      </c>
      <c r="V275" s="207" t="str">
        <f>IF($A276="","",IF(AND(MONTH(A275)&gt;3,MONTH(A275)&lt;11),(T275+R275+G275)*Summary!$T$8/(1-Summary!$T$8),(T275+R275+G275)*Summary!$U$8/(1-Summary!$U$8)))</f>
        <v/>
      </c>
      <c r="W275" s="63" t="str">
        <f t="shared" si="170"/>
        <v/>
      </c>
      <c r="X275" s="63" t="str">
        <f t="shared" si="171"/>
        <v/>
      </c>
      <c r="Y275" s="43"/>
      <c r="Z275" s="38" t="str">
        <f t="shared" si="172"/>
        <v/>
      </c>
      <c r="AA275" s="38" t="str">
        <f t="shared" si="173"/>
        <v/>
      </c>
      <c r="AB275" s="38" t="e">
        <f t="shared" si="174"/>
        <v>#VALUE!</v>
      </c>
      <c r="AC275" s="38" t="str">
        <f t="shared" si="175"/>
        <v/>
      </c>
      <c r="AD275" s="38" t="str">
        <f t="shared" si="175"/>
        <v/>
      </c>
      <c r="AE275" s="38" t="e">
        <f t="shared" si="176"/>
        <v>#VALUE!</v>
      </c>
      <c r="AF275" s="237" t="e">
        <f>((Summary!$N$8*(AA275*AD275)*(A275-$D$3))+(Summary!$M$8*Z275*AC275*(AJ275-EOMONTH(EDATE(A275,-1),0))))/(AK275*AB275*AE275)</f>
        <v>#VALUE!</v>
      </c>
      <c r="AG275" s="88" t="str">
        <f>IF($A276="","",Summary!$Q$8)</f>
        <v/>
      </c>
      <c r="AH275" s="88" t="str">
        <f>IF($A276="","",IF(Summary!$R$8="Y",(VLOOKUP($A275,Summary!$AD$6:$AF$9,3)+'Escalating commodity'!D288),'Escalating commodity'!D288))</f>
        <v/>
      </c>
      <c r="AI275" s="88" t="str">
        <f t="shared" si="191"/>
        <v/>
      </c>
      <c r="AJ275" s="236" t="e">
        <f t="shared" si="177"/>
        <v>#VALUE!</v>
      </c>
      <c r="AK275" s="58" t="str">
        <f t="shared" si="178"/>
        <v/>
      </c>
      <c r="AL275" s="26" t="str">
        <f>IF($A276="","",_xll.SPRDOPT(P275,X275,AI275,0,AB275,AE275,AF275,AK275,$AJ$2,0))</f>
        <v/>
      </c>
      <c r="AM275" s="89" t="str">
        <f t="shared" si="179"/>
        <v/>
      </c>
      <c r="AN275" s="89" t="str">
        <f t="shared" si="180"/>
        <v/>
      </c>
      <c r="AO275" s="3" t="str">
        <f t="shared" si="181"/>
        <v/>
      </c>
      <c r="AP275" s="33" t="str">
        <f t="shared" si="182"/>
        <v/>
      </c>
      <c r="AQ275" s="58" t="str">
        <f t="shared" si="183"/>
        <v/>
      </c>
      <c r="AR275" s="38">
        <f>'ANR OK vs ML7'!AR275</f>
        <v>0.1</v>
      </c>
      <c r="AS275" s="35" t="str">
        <f t="shared" si="184"/>
        <v/>
      </c>
      <c r="AT275" s="3" t="str">
        <f t="shared" si="185"/>
        <v/>
      </c>
      <c r="AU275" s="3" t="str">
        <f t="shared" si="186"/>
        <v/>
      </c>
      <c r="AW275" s="32" t="str">
        <f t="shared" si="187"/>
        <v/>
      </c>
      <c r="AX275" s="32" t="str">
        <f t="shared" si="188"/>
        <v/>
      </c>
      <c r="AY275" s="32" t="str">
        <f t="shared" si="189"/>
        <v/>
      </c>
      <c r="BA275" s="32" t="str">
        <f>IF($A276="","",F275*Summary!$Q$8)</f>
        <v/>
      </c>
    </row>
    <row r="276" spans="1:53" ht="12" customHeight="1">
      <c r="A276" s="67" t="str">
        <f t="shared" si="190"/>
        <v/>
      </c>
      <c r="B276" s="69">
        <f t="shared" si="192"/>
        <v>0</v>
      </c>
      <c r="C276" s="71"/>
      <c r="D276" s="69" t="str">
        <f t="shared" si="155"/>
        <v/>
      </c>
      <c r="E276" s="70" t="str">
        <f t="shared" si="156"/>
        <v/>
      </c>
      <c r="F276" s="70" t="str">
        <f t="shared" si="157"/>
        <v/>
      </c>
      <c r="G276" s="63" t="str">
        <f t="shared" si="158"/>
        <v/>
      </c>
      <c r="H276" s="64" t="str">
        <f t="shared" si="159"/>
        <v/>
      </c>
      <c r="I276" s="43"/>
      <c r="J276" s="63" t="str">
        <f t="shared" si="160"/>
        <v/>
      </c>
      <c r="K276" s="64" t="str">
        <f t="shared" si="161"/>
        <v/>
      </c>
      <c r="L276" s="63" t="str">
        <f t="shared" si="162"/>
        <v/>
      </c>
      <c r="M276" s="64" t="str">
        <f t="shared" si="163"/>
        <v/>
      </c>
      <c r="N276" s="65"/>
      <c r="O276" s="63" t="str">
        <f t="shared" si="164"/>
        <v/>
      </c>
      <c r="P276" s="63" t="str">
        <f t="shared" si="165"/>
        <v/>
      </c>
      <c r="Q276" s="66"/>
      <c r="R276" s="63" t="str">
        <f t="shared" si="166"/>
        <v/>
      </c>
      <c r="S276" s="64" t="str">
        <f t="shared" si="167"/>
        <v/>
      </c>
      <c r="T276" s="63" t="str">
        <f t="shared" si="168"/>
        <v/>
      </c>
      <c r="U276" s="64" t="str">
        <f t="shared" si="169"/>
        <v/>
      </c>
      <c r="V276" s="207" t="str">
        <f>IF($A277="","",IF(AND(MONTH(A276)&gt;3,MONTH(A276)&lt;11),(T276+R276+G276)*Summary!$T$8/(1-Summary!$T$8),(T276+R276+G276)*Summary!$U$8/(1-Summary!$U$8)))</f>
        <v/>
      </c>
      <c r="W276" s="63" t="str">
        <f t="shared" si="170"/>
        <v/>
      </c>
      <c r="X276" s="63" t="str">
        <f t="shared" si="171"/>
        <v/>
      </c>
      <c r="Y276" s="43"/>
      <c r="Z276" s="38" t="str">
        <f t="shared" si="172"/>
        <v/>
      </c>
      <c r="AA276" s="38" t="str">
        <f t="shared" si="173"/>
        <v/>
      </c>
      <c r="AB276" s="38" t="e">
        <f t="shared" si="174"/>
        <v>#VALUE!</v>
      </c>
      <c r="AC276" s="38" t="str">
        <f t="shared" si="175"/>
        <v/>
      </c>
      <c r="AD276" s="38" t="str">
        <f t="shared" si="175"/>
        <v/>
      </c>
      <c r="AE276" s="38" t="e">
        <f t="shared" si="176"/>
        <v>#VALUE!</v>
      </c>
      <c r="AF276" s="237" t="e">
        <f>((Summary!$N$8*(AA276*AD276)*(A276-$D$3))+(Summary!$M$8*Z276*AC276*(AJ276-EOMONTH(EDATE(A276,-1),0))))/(AK276*AB276*AE276)</f>
        <v>#VALUE!</v>
      </c>
      <c r="AG276" s="88" t="str">
        <f>IF($A277="","",Summary!$Q$8)</f>
        <v/>
      </c>
      <c r="AH276" s="88" t="str">
        <f>IF($A277="","",IF(Summary!$R$8="Y",(VLOOKUP($A276,Summary!$AD$6:$AF$9,3)+'Escalating commodity'!D289),'Escalating commodity'!D289))</f>
        <v/>
      </c>
      <c r="AI276" s="88" t="str">
        <f t="shared" si="191"/>
        <v/>
      </c>
      <c r="AJ276" s="236" t="e">
        <f t="shared" si="177"/>
        <v>#VALUE!</v>
      </c>
      <c r="AK276" s="58" t="str">
        <f t="shared" si="178"/>
        <v/>
      </c>
      <c r="AL276" s="26" t="str">
        <f>IF($A277="","",_xll.SPRDOPT(P276,X276,AI276,0,AB276,AE276,AF276,AK276,$AJ$2,0))</f>
        <v/>
      </c>
      <c r="AM276" s="89" t="str">
        <f t="shared" si="179"/>
        <v/>
      </c>
      <c r="AN276" s="89" t="str">
        <f t="shared" si="180"/>
        <v/>
      </c>
      <c r="AO276" s="3" t="str">
        <f t="shared" si="181"/>
        <v/>
      </c>
      <c r="AP276" s="33" t="str">
        <f t="shared" si="182"/>
        <v/>
      </c>
      <c r="AQ276" s="58" t="str">
        <f t="shared" si="183"/>
        <v/>
      </c>
      <c r="AR276" s="38">
        <f>'ANR OK vs ML7'!AR276</f>
        <v>0.1</v>
      </c>
      <c r="AS276" s="35" t="str">
        <f t="shared" si="184"/>
        <v/>
      </c>
      <c r="AT276" s="3" t="str">
        <f t="shared" si="185"/>
        <v/>
      </c>
      <c r="AU276" s="3" t="str">
        <f t="shared" si="186"/>
        <v/>
      </c>
      <c r="AW276" s="32" t="str">
        <f t="shared" si="187"/>
        <v/>
      </c>
      <c r="AX276" s="32" t="str">
        <f t="shared" si="188"/>
        <v/>
      </c>
      <c r="AY276" s="32" t="str">
        <f t="shared" si="189"/>
        <v/>
      </c>
      <c r="BA276" s="32" t="str">
        <f>IF($A277="","",F276*Summary!$Q$8)</f>
        <v/>
      </c>
    </row>
    <row r="277" spans="1:53" ht="12" customHeight="1">
      <c r="A277" s="67" t="str">
        <f t="shared" si="190"/>
        <v/>
      </c>
      <c r="B277" s="69">
        <f t="shared" si="192"/>
        <v>0</v>
      </c>
      <c r="C277" s="71"/>
      <c r="D277" s="69" t="str">
        <f t="shared" si="155"/>
        <v/>
      </c>
      <c r="E277" s="70" t="str">
        <f t="shared" si="156"/>
        <v/>
      </c>
      <c r="F277" s="70" t="str">
        <f t="shared" si="157"/>
        <v/>
      </c>
      <c r="G277" s="63" t="str">
        <f t="shared" si="158"/>
        <v/>
      </c>
      <c r="H277" s="64" t="str">
        <f t="shared" si="159"/>
        <v/>
      </c>
      <c r="I277" s="43"/>
      <c r="J277" s="63" t="str">
        <f t="shared" si="160"/>
        <v/>
      </c>
      <c r="K277" s="64" t="str">
        <f t="shared" si="161"/>
        <v/>
      </c>
      <c r="L277" s="63" t="str">
        <f t="shared" si="162"/>
        <v/>
      </c>
      <c r="M277" s="64" t="str">
        <f t="shared" si="163"/>
        <v/>
      </c>
      <c r="N277" s="65"/>
      <c r="O277" s="63" t="str">
        <f t="shared" si="164"/>
        <v/>
      </c>
      <c r="P277" s="63" t="str">
        <f t="shared" si="165"/>
        <v/>
      </c>
      <c r="Q277" s="66"/>
      <c r="R277" s="63" t="str">
        <f t="shared" si="166"/>
        <v/>
      </c>
      <c r="S277" s="64" t="str">
        <f t="shared" si="167"/>
        <v/>
      </c>
      <c r="T277" s="63" t="str">
        <f t="shared" si="168"/>
        <v/>
      </c>
      <c r="U277" s="64" t="str">
        <f t="shared" si="169"/>
        <v/>
      </c>
      <c r="V277" s="207" t="str">
        <f>IF($A278="","",IF(AND(MONTH(A277)&gt;3,MONTH(A277)&lt;11),(T277+R277+G277)*Summary!$T$8/(1-Summary!$T$8),(T277+R277+G277)*Summary!$U$8/(1-Summary!$U$8)))</f>
        <v/>
      </c>
      <c r="W277" s="63" t="str">
        <f t="shared" si="170"/>
        <v/>
      </c>
      <c r="X277" s="63" t="str">
        <f t="shared" si="171"/>
        <v/>
      </c>
      <c r="Y277" s="43"/>
      <c r="Z277" s="38" t="str">
        <f t="shared" si="172"/>
        <v/>
      </c>
      <c r="AA277" s="38" t="str">
        <f t="shared" si="173"/>
        <v/>
      </c>
      <c r="AB277" s="38" t="e">
        <f t="shared" si="174"/>
        <v>#VALUE!</v>
      </c>
      <c r="AC277" s="38" t="str">
        <f t="shared" si="175"/>
        <v/>
      </c>
      <c r="AD277" s="38" t="str">
        <f t="shared" si="175"/>
        <v/>
      </c>
      <c r="AE277" s="38" t="e">
        <f t="shared" si="176"/>
        <v>#VALUE!</v>
      </c>
      <c r="AF277" s="237" t="e">
        <f>((Summary!$N$8*(AA277*AD277)*(A277-$D$3))+(Summary!$M$8*Z277*AC277*(AJ277-EOMONTH(EDATE(A277,-1),0))))/(AK277*AB277*AE277)</f>
        <v>#VALUE!</v>
      </c>
      <c r="AG277" s="88" t="str">
        <f>IF($A278="","",Summary!$Q$8)</f>
        <v/>
      </c>
      <c r="AH277" s="88" t="str">
        <f>IF($A278="","",IF(Summary!$R$8="Y",(VLOOKUP($A277,Summary!$AD$6:$AF$9,3)+'Escalating commodity'!D290),'Escalating commodity'!D290))</f>
        <v/>
      </c>
      <c r="AI277" s="88" t="str">
        <f t="shared" si="191"/>
        <v/>
      </c>
      <c r="AJ277" s="236" t="e">
        <f t="shared" si="177"/>
        <v>#VALUE!</v>
      </c>
      <c r="AK277" s="58" t="str">
        <f t="shared" si="178"/>
        <v/>
      </c>
      <c r="AL277" s="26" t="str">
        <f>IF($A278="","",_xll.SPRDOPT(P277,X277,AI277,0,AB277,AE277,AF277,AK277,$AJ$2,0))</f>
        <v/>
      </c>
      <c r="AM277" s="89" t="str">
        <f t="shared" si="179"/>
        <v/>
      </c>
      <c r="AN277" s="89" t="str">
        <f t="shared" si="180"/>
        <v/>
      </c>
      <c r="AO277" s="3" t="str">
        <f t="shared" si="181"/>
        <v/>
      </c>
      <c r="AP277" s="33" t="str">
        <f t="shared" si="182"/>
        <v/>
      </c>
      <c r="AQ277" s="58" t="str">
        <f t="shared" si="183"/>
        <v/>
      </c>
      <c r="AR277" s="38">
        <f>'ANR OK vs ML7'!AR277</f>
        <v>0.1</v>
      </c>
      <c r="AS277" s="35" t="str">
        <f t="shared" si="184"/>
        <v/>
      </c>
      <c r="AT277" s="3" t="str">
        <f t="shared" si="185"/>
        <v/>
      </c>
      <c r="AU277" s="3" t="str">
        <f t="shared" si="186"/>
        <v/>
      </c>
      <c r="AW277" s="32" t="str">
        <f t="shared" si="187"/>
        <v/>
      </c>
      <c r="AX277" s="32" t="str">
        <f t="shared" si="188"/>
        <v/>
      </c>
      <c r="AY277" s="32" t="str">
        <f t="shared" si="189"/>
        <v/>
      </c>
      <c r="BA277" s="32" t="str">
        <f>IF($A278="","",F277*Summary!$Q$8)</f>
        <v/>
      </c>
    </row>
    <row r="278" spans="1:53" ht="12" customHeight="1">
      <c r="A278" s="67" t="str">
        <f t="shared" si="190"/>
        <v/>
      </c>
      <c r="B278" s="69">
        <f t="shared" si="192"/>
        <v>0</v>
      </c>
      <c r="C278" s="71"/>
      <c r="D278" s="69" t="str">
        <f t="shared" si="155"/>
        <v/>
      </c>
      <c r="E278" s="70" t="str">
        <f t="shared" si="156"/>
        <v/>
      </c>
      <c r="F278" s="70" t="str">
        <f t="shared" si="157"/>
        <v/>
      </c>
      <c r="G278" s="63" t="str">
        <f t="shared" si="158"/>
        <v/>
      </c>
      <c r="H278" s="64" t="str">
        <f t="shared" si="159"/>
        <v/>
      </c>
      <c r="I278" s="43"/>
      <c r="J278" s="63" t="str">
        <f t="shared" si="160"/>
        <v/>
      </c>
      <c r="K278" s="64" t="str">
        <f t="shared" si="161"/>
        <v/>
      </c>
      <c r="L278" s="63" t="str">
        <f t="shared" si="162"/>
        <v/>
      </c>
      <c r="M278" s="64" t="str">
        <f t="shared" si="163"/>
        <v/>
      </c>
      <c r="N278" s="65"/>
      <c r="O278" s="63" t="str">
        <f t="shared" si="164"/>
        <v/>
      </c>
      <c r="P278" s="63" t="str">
        <f t="shared" si="165"/>
        <v/>
      </c>
      <c r="Q278" s="66"/>
      <c r="R278" s="63" t="str">
        <f t="shared" si="166"/>
        <v/>
      </c>
      <c r="S278" s="64" t="str">
        <f t="shared" si="167"/>
        <v/>
      </c>
      <c r="T278" s="63" t="str">
        <f t="shared" si="168"/>
        <v/>
      </c>
      <c r="U278" s="64" t="str">
        <f t="shared" si="169"/>
        <v/>
      </c>
      <c r="V278" s="207" t="str">
        <f>IF($A279="","",IF(AND(MONTH(A278)&gt;3,MONTH(A278)&lt;11),(T278+R278+G278)*Summary!$T$8/(1-Summary!$T$8),(T278+R278+G278)*Summary!$U$8/(1-Summary!$U$8)))</f>
        <v/>
      </c>
      <c r="W278" s="63" t="str">
        <f t="shared" si="170"/>
        <v/>
      </c>
      <c r="X278" s="63" t="str">
        <f t="shared" si="171"/>
        <v/>
      </c>
      <c r="Y278" s="43"/>
      <c r="Z278" s="38" t="str">
        <f t="shared" si="172"/>
        <v/>
      </c>
      <c r="AA278" s="38" t="str">
        <f t="shared" si="173"/>
        <v/>
      </c>
      <c r="AB278" s="38" t="e">
        <f t="shared" si="174"/>
        <v>#VALUE!</v>
      </c>
      <c r="AC278" s="38" t="str">
        <f t="shared" si="175"/>
        <v/>
      </c>
      <c r="AD278" s="38" t="str">
        <f t="shared" si="175"/>
        <v/>
      </c>
      <c r="AE278" s="38" t="e">
        <f t="shared" si="176"/>
        <v>#VALUE!</v>
      </c>
      <c r="AF278" s="237" t="e">
        <f>((Summary!$N$8*(AA278*AD278)*(A278-$D$3))+(Summary!$M$8*Z278*AC278*(AJ278-EOMONTH(EDATE(A278,-1),0))))/(AK278*AB278*AE278)</f>
        <v>#VALUE!</v>
      </c>
      <c r="AG278" s="88" t="str">
        <f>IF($A279="","",Summary!$Q$8)</f>
        <v/>
      </c>
      <c r="AH278" s="88" t="str">
        <f>IF($A279="","",IF(Summary!$R$8="Y",(VLOOKUP($A278,Summary!$AD$6:$AF$9,3)+'Escalating commodity'!D291),'Escalating commodity'!D291))</f>
        <v/>
      </c>
      <c r="AI278" s="88" t="str">
        <f t="shared" si="191"/>
        <v/>
      </c>
      <c r="AJ278" s="236" t="e">
        <f t="shared" si="177"/>
        <v>#VALUE!</v>
      </c>
      <c r="AK278" s="58" t="str">
        <f t="shared" si="178"/>
        <v/>
      </c>
      <c r="AL278" s="26" t="str">
        <f>IF($A279="","",_xll.SPRDOPT(P278,X278,AI278,0,AB278,AE278,AF278,AK278,$AJ$2,0))</f>
        <v/>
      </c>
      <c r="AM278" s="89" t="str">
        <f t="shared" si="179"/>
        <v/>
      </c>
      <c r="AN278" s="89" t="str">
        <f t="shared" si="180"/>
        <v/>
      </c>
      <c r="AO278" s="3" t="str">
        <f t="shared" si="181"/>
        <v/>
      </c>
      <c r="AP278" s="33" t="str">
        <f t="shared" si="182"/>
        <v/>
      </c>
      <c r="AQ278" s="58" t="str">
        <f t="shared" si="183"/>
        <v/>
      </c>
      <c r="AR278" s="38">
        <f>'ANR OK vs ML7'!AR278</f>
        <v>0.1</v>
      </c>
      <c r="AS278" s="35" t="str">
        <f t="shared" si="184"/>
        <v/>
      </c>
      <c r="AT278" s="3" t="str">
        <f t="shared" si="185"/>
        <v/>
      </c>
      <c r="AU278" s="3" t="str">
        <f t="shared" si="186"/>
        <v/>
      </c>
      <c r="AW278" s="32" t="str">
        <f t="shared" si="187"/>
        <v/>
      </c>
      <c r="AX278" s="32" t="str">
        <f t="shared" si="188"/>
        <v/>
      </c>
      <c r="AY278" s="32" t="str">
        <f t="shared" si="189"/>
        <v/>
      </c>
      <c r="BA278" s="32" t="str">
        <f>IF($A279="","",F278*Summary!$Q$8)</f>
        <v/>
      </c>
    </row>
    <row r="279" spans="1:53" ht="12" customHeight="1">
      <c r="A279" s="67" t="str">
        <f t="shared" si="190"/>
        <v/>
      </c>
      <c r="B279" s="69">
        <f t="shared" si="192"/>
        <v>0</v>
      </c>
      <c r="C279" s="71"/>
      <c r="D279" s="69" t="str">
        <f t="shared" si="155"/>
        <v/>
      </c>
      <c r="E279" s="70" t="str">
        <f t="shared" si="156"/>
        <v/>
      </c>
      <c r="F279" s="70" t="str">
        <f t="shared" si="157"/>
        <v/>
      </c>
      <c r="G279" s="63" t="str">
        <f t="shared" si="158"/>
        <v/>
      </c>
      <c r="H279" s="64" t="str">
        <f t="shared" si="159"/>
        <v/>
      </c>
      <c r="I279" s="43"/>
      <c r="J279" s="63" t="str">
        <f t="shared" si="160"/>
        <v/>
      </c>
      <c r="K279" s="64" t="str">
        <f t="shared" si="161"/>
        <v/>
      </c>
      <c r="L279" s="63" t="str">
        <f t="shared" si="162"/>
        <v/>
      </c>
      <c r="M279" s="64" t="str">
        <f t="shared" si="163"/>
        <v/>
      </c>
      <c r="N279" s="65"/>
      <c r="O279" s="63" t="str">
        <f t="shared" si="164"/>
        <v/>
      </c>
      <c r="P279" s="63" t="str">
        <f t="shared" si="165"/>
        <v/>
      </c>
      <c r="Q279" s="66"/>
      <c r="R279" s="63" t="str">
        <f t="shared" si="166"/>
        <v/>
      </c>
      <c r="S279" s="64" t="str">
        <f t="shared" si="167"/>
        <v/>
      </c>
      <c r="T279" s="63" t="str">
        <f t="shared" si="168"/>
        <v/>
      </c>
      <c r="U279" s="64" t="str">
        <f t="shared" si="169"/>
        <v/>
      </c>
      <c r="V279" s="207" t="str">
        <f>IF($A280="","",IF(AND(MONTH(A279)&gt;3,MONTH(A279)&lt;11),(T279+R279+G279)*Summary!$T$8/(1-Summary!$T$8),(T279+R279+G279)*Summary!$U$8/(1-Summary!$U$8)))</f>
        <v/>
      </c>
      <c r="W279" s="63" t="str">
        <f t="shared" si="170"/>
        <v/>
      </c>
      <c r="X279" s="63" t="str">
        <f t="shared" si="171"/>
        <v/>
      </c>
      <c r="Y279" s="43"/>
      <c r="Z279" s="38" t="str">
        <f t="shared" si="172"/>
        <v/>
      </c>
      <c r="AA279" s="38" t="str">
        <f t="shared" si="173"/>
        <v/>
      </c>
      <c r="AB279" s="38" t="e">
        <f t="shared" si="174"/>
        <v>#VALUE!</v>
      </c>
      <c r="AC279" s="38" t="str">
        <f t="shared" si="175"/>
        <v/>
      </c>
      <c r="AD279" s="38" t="str">
        <f t="shared" si="175"/>
        <v/>
      </c>
      <c r="AE279" s="38" t="e">
        <f t="shared" si="176"/>
        <v>#VALUE!</v>
      </c>
      <c r="AF279" s="237" t="e">
        <f>((Summary!$N$8*(AA279*AD279)*(A279-$D$3))+(Summary!$M$8*Z279*AC279*(AJ279-EOMONTH(EDATE(A279,-1),0))))/(AK279*AB279*AE279)</f>
        <v>#VALUE!</v>
      </c>
      <c r="AG279" s="88" t="str">
        <f>IF($A280="","",Summary!$Q$8)</f>
        <v/>
      </c>
      <c r="AH279" s="88" t="str">
        <f>IF($A280="","",IF(Summary!$R$8="Y",(VLOOKUP($A279,Summary!$AD$6:$AF$9,3)+'Escalating commodity'!D292),'Escalating commodity'!D292))</f>
        <v/>
      </c>
      <c r="AI279" s="88" t="str">
        <f t="shared" si="191"/>
        <v/>
      </c>
      <c r="AJ279" s="236" t="e">
        <f t="shared" si="177"/>
        <v>#VALUE!</v>
      </c>
      <c r="AK279" s="58" t="str">
        <f t="shared" si="178"/>
        <v/>
      </c>
      <c r="AL279" s="26" t="str">
        <f>IF($A280="","",_xll.SPRDOPT(P279,X279,AI279,0,AB279,AE279,AF279,AK279,$AJ$2,0))</f>
        <v/>
      </c>
      <c r="AM279" s="89" t="str">
        <f t="shared" si="179"/>
        <v/>
      </c>
      <c r="AN279" s="89" t="str">
        <f t="shared" si="180"/>
        <v/>
      </c>
      <c r="AO279" s="3" t="str">
        <f t="shared" si="181"/>
        <v/>
      </c>
      <c r="AP279" s="33" t="str">
        <f t="shared" si="182"/>
        <v/>
      </c>
      <c r="AQ279" s="58" t="str">
        <f t="shared" si="183"/>
        <v/>
      </c>
      <c r="AR279" s="38">
        <f>'ANR OK vs ML7'!AR279</f>
        <v>0.1</v>
      </c>
      <c r="AS279" s="35" t="str">
        <f t="shared" si="184"/>
        <v/>
      </c>
      <c r="AT279" s="3" t="str">
        <f t="shared" si="185"/>
        <v/>
      </c>
      <c r="AU279" s="3" t="str">
        <f t="shared" si="186"/>
        <v/>
      </c>
      <c r="AW279" s="32" t="str">
        <f t="shared" si="187"/>
        <v/>
      </c>
      <c r="AX279" s="32" t="str">
        <f t="shared" si="188"/>
        <v/>
      </c>
      <c r="AY279" s="32" t="str">
        <f t="shared" si="189"/>
        <v/>
      </c>
      <c r="BA279" s="32" t="str">
        <f>IF($A280="","",F279*Summary!$Q$8)</f>
        <v/>
      </c>
    </row>
    <row r="280" spans="1:53" ht="12" customHeight="1">
      <c r="A280" s="67" t="str">
        <f t="shared" si="190"/>
        <v/>
      </c>
      <c r="B280" s="69">
        <f t="shared" si="192"/>
        <v>0</v>
      </c>
      <c r="C280" s="71"/>
      <c r="D280" s="69" t="str">
        <f t="shared" si="155"/>
        <v/>
      </c>
      <c r="E280" s="70" t="str">
        <f t="shared" si="156"/>
        <v/>
      </c>
      <c r="F280" s="70" t="str">
        <f t="shared" si="157"/>
        <v/>
      </c>
      <c r="G280" s="63" t="str">
        <f t="shared" si="158"/>
        <v/>
      </c>
      <c r="H280" s="64" t="str">
        <f t="shared" si="159"/>
        <v/>
      </c>
      <c r="I280" s="43"/>
      <c r="J280" s="63" t="str">
        <f t="shared" si="160"/>
        <v/>
      </c>
      <c r="K280" s="64" t="str">
        <f t="shared" si="161"/>
        <v/>
      </c>
      <c r="L280" s="63" t="str">
        <f t="shared" si="162"/>
        <v/>
      </c>
      <c r="M280" s="64" t="str">
        <f t="shared" si="163"/>
        <v/>
      </c>
      <c r="N280" s="65"/>
      <c r="O280" s="63" t="str">
        <f t="shared" si="164"/>
        <v/>
      </c>
      <c r="P280" s="63" t="str">
        <f t="shared" si="165"/>
        <v/>
      </c>
      <c r="Q280" s="66"/>
      <c r="R280" s="63" t="str">
        <f t="shared" si="166"/>
        <v/>
      </c>
      <c r="S280" s="64" t="str">
        <f t="shared" si="167"/>
        <v/>
      </c>
      <c r="T280" s="63" t="str">
        <f t="shared" si="168"/>
        <v/>
      </c>
      <c r="U280" s="64" t="str">
        <f t="shared" si="169"/>
        <v/>
      </c>
      <c r="V280" s="207" t="str">
        <f>IF($A281="","",IF(AND(MONTH(A280)&gt;3,MONTH(A280)&lt;11),(T280+R280+G280)*Summary!$T$8/(1-Summary!$T$8),(T280+R280+G280)*Summary!$U$8/(1-Summary!$U$8)))</f>
        <v/>
      </c>
      <c r="W280" s="63" t="str">
        <f t="shared" si="170"/>
        <v/>
      </c>
      <c r="X280" s="63" t="str">
        <f t="shared" si="171"/>
        <v/>
      </c>
      <c r="Y280" s="43"/>
      <c r="Z280" s="38" t="str">
        <f t="shared" si="172"/>
        <v/>
      </c>
      <c r="AA280" s="38" t="str">
        <f t="shared" si="173"/>
        <v/>
      </c>
      <c r="AB280" s="38" t="e">
        <f t="shared" si="174"/>
        <v>#VALUE!</v>
      </c>
      <c r="AC280" s="38" t="str">
        <f t="shared" si="175"/>
        <v/>
      </c>
      <c r="AD280" s="38" t="str">
        <f t="shared" si="175"/>
        <v/>
      </c>
      <c r="AE280" s="38" t="e">
        <f t="shared" si="176"/>
        <v>#VALUE!</v>
      </c>
      <c r="AF280" s="237" t="e">
        <f>((Summary!$N$8*(AA280*AD280)*(A280-$D$3))+(Summary!$M$8*Z280*AC280*(AJ280-EOMONTH(EDATE(A280,-1),0))))/(AK280*AB280*AE280)</f>
        <v>#VALUE!</v>
      </c>
      <c r="AG280" s="88" t="str">
        <f>IF($A281="","",Summary!$Q$8)</f>
        <v/>
      </c>
      <c r="AH280" s="88" t="str">
        <f>IF($A281="","",IF(Summary!$R$8="Y",(VLOOKUP($A280,Summary!$AD$6:$AF$9,3)+'Escalating commodity'!D293),'Escalating commodity'!D293))</f>
        <v/>
      </c>
      <c r="AI280" s="88" t="str">
        <f t="shared" si="191"/>
        <v/>
      </c>
      <c r="AJ280" s="236" t="e">
        <f t="shared" si="177"/>
        <v>#VALUE!</v>
      </c>
      <c r="AK280" s="58" t="str">
        <f t="shared" si="178"/>
        <v/>
      </c>
      <c r="AL280" s="26" t="str">
        <f>IF($A281="","",_xll.SPRDOPT(P280,X280,AI280,0,AB280,AE280,AF280,AK280,$AJ$2,0))</f>
        <v/>
      </c>
      <c r="AM280" s="89" t="str">
        <f t="shared" si="179"/>
        <v/>
      </c>
      <c r="AN280" s="89" t="str">
        <f t="shared" si="180"/>
        <v/>
      </c>
      <c r="AO280" s="3" t="str">
        <f t="shared" si="181"/>
        <v/>
      </c>
      <c r="AP280" s="33" t="str">
        <f t="shared" si="182"/>
        <v/>
      </c>
      <c r="AQ280" s="58" t="str">
        <f t="shared" si="183"/>
        <v/>
      </c>
      <c r="AR280" s="38">
        <f>'ANR OK vs ML7'!AR280</f>
        <v>0.1</v>
      </c>
      <c r="AS280" s="35" t="str">
        <f t="shared" si="184"/>
        <v/>
      </c>
      <c r="AT280" s="3" t="str">
        <f t="shared" si="185"/>
        <v/>
      </c>
      <c r="AU280" s="3" t="str">
        <f t="shared" si="186"/>
        <v/>
      </c>
      <c r="AW280" s="32" t="str">
        <f t="shared" si="187"/>
        <v/>
      </c>
      <c r="AX280" s="32" t="str">
        <f t="shared" si="188"/>
        <v/>
      </c>
      <c r="AY280" s="32" t="str">
        <f t="shared" si="189"/>
        <v/>
      </c>
      <c r="BA280" s="32" t="str">
        <f>IF($A281="","",F280*Summary!$Q$8)</f>
        <v/>
      </c>
    </row>
    <row r="281" spans="1:53" ht="12" customHeight="1">
      <c r="A281" s="67" t="str">
        <f t="shared" si="190"/>
        <v/>
      </c>
      <c r="B281" s="69">
        <f t="shared" si="192"/>
        <v>0</v>
      </c>
      <c r="C281" s="71"/>
      <c r="D281" s="69" t="str">
        <f t="shared" si="155"/>
        <v/>
      </c>
      <c r="E281" s="70" t="str">
        <f t="shared" si="156"/>
        <v/>
      </c>
      <c r="F281" s="70" t="str">
        <f t="shared" si="157"/>
        <v/>
      </c>
      <c r="G281" s="63" t="str">
        <f t="shared" si="158"/>
        <v/>
      </c>
      <c r="H281" s="64" t="str">
        <f t="shared" si="159"/>
        <v/>
      </c>
      <c r="I281" s="43"/>
      <c r="J281" s="63" t="str">
        <f t="shared" si="160"/>
        <v/>
      </c>
      <c r="K281" s="64" t="str">
        <f t="shared" si="161"/>
        <v/>
      </c>
      <c r="L281" s="63" t="str">
        <f t="shared" si="162"/>
        <v/>
      </c>
      <c r="M281" s="64" t="str">
        <f t="shared" si="163"/>
        <v/>
      </c>
      <c r="N281" s="65"/>
      <c r="O281" s="63" t="str">
        <f t="shared" si="164"/>
        <v/>
      </c>
      <c r="P281" s="63" t="str">
        <f t="shared" si="165"/>
        <v/>
      </c>
      <c r="Q281" s="66"/>
      <c r="R281" s="63" t="str">
        <f t="shared" si="166"/>
        <v/>
      </c>
      <c r="S281" s="64" t="str">
        <f t="shared" si="167"/>
        <v/>
      </c>
      <c r="T281" s="63" t="str">
        <f t="shared" si="168"/>
        <v/>
      </c>
      <c r="U281" s="64" t="str">
        <f t="shared" si="169"/>
        <v/>
      </c>
      <c r="V281" s="207" t="str">
        <f>IF($A282="","",IF(AND(MONTH(A281)&gt;3,MONTH(A281)&lt;11),(T281+R281+G281)*Summary!$T$8/(1-Summary!$T$8),(T281+R281+G281)*Summary!$U$8/(1-Summary!$U$8)))</f>
        <v/>
      </c>
      <c r="W281" s="63" t="str">
        <f t="shared" si="170"/>
        <v/>
      </c>
      <c r="X281" s="63" t="str">
        <f t="shared" si="171"/>
        <v/>
      </c>
      <c r="Y281" s="43"/>
      <c r="Z281" s="38" t="str">
        <f t="shared" si="172"/>
        <v/>
      </c>
      <c r="AA281" s="38" t="str">
        <f t="shared" si="173"/>
        <v/>
      </c>
      <c r="AB281" s="38" t="e">
        <f t="shared" si="174"/>
        <v>#VALUE!</v>
      </c>
      <c r="AC281" s="38" t="str">
        <f t="shared" si="175"/>
        <v/>
      </c>
      <c r="AD281" s="38" t="str">
        <f t="shared" si="175"/>
        <v/>
      </c>
      <c r="AE281" s="38" t="e">
        <f t="shared" si="176"/>
        <v>#VALUE!</v>
      </c>
      <c r="AF281" s="237" t="e">
        <f>((Summary!$N$8*(AA281*AD281)*(A281-$D$3))+(Summary!$M$8*Z281*AC281*(AJ281-EOMONTH(EDATE(A281,-1),0))))/(AK281*AB281*AE281)</f>
        <v>#VALUE!</v>
      </c>
      <c r="AG281" s="88" t="str">
        <f>IF($A282="","",Summary!$Q$8)</f>
        <v/>
      </c>
      <c r="AH281" s="88" t="str">
        <f>IF($A282="","",IF(Summary!$R$8="Y",(VLOOKUP($A281,Summary!$AD$6:$AF$9,3)+'Escalating commodity'!D294),'Escalating commodity'!D294))</f>
        <v/>
      </c>
      <c r="AI281" s="88" t="str">
        <f t="shared" si="191"/>
        <v/>
      </c>
      <c r="AJ281" s="236" t="e">
        <f t="shared" si="177"/>
        <v>#VALUE!</v>
      </c>
      <c r="AK281" s="58" t="str">
        <f t="shared" si="178"/>
        <v/>
      </c>
      <c r="AL281" s="26" t="str">
        <f>IF($A282="","",_xll.SPRDOPT(P281,X281,AI281,0,AB281,AE281,AF281,AK281,$AJ$2,0))</f>
        <v/>
      </c>
      <c r="AM281" s="89" t="str">
        <f t="shared" si="179"/>
        <v/>
      </c>
      <c r="AN281" s="89" t="str">
        <f t="shared" si="180"/>
        <v/>
      </c>
      <c r="AO281" s="3" t="str">
        <f t="shared" si="181"/>
        <v/>
      </c>
      <c r="AP281" s="33" t="str">
        <f t="shared" si="182"/>
        <v/>
      </c>
      <c r="AQ281" s="58" t="str">
        <f t="shared" si="183"/>
        <v/>
      </c>
      <c r="AR281" s="38">
        <f>'ANR OK vs ML7'!AR281</f>
        <v>0.1</v>
      </c>
      <c r="AS281" s="35" t="str">
        <f t="shared" si="184"/>
        <v/>
      </c>
      <c r="AT281" s="3" t="str">
        <f t="shared" si="185"/>
        <v/>
      </c>
      <c r="AU281" s="3" t="str">
        <f t="shared" si="186"/>
        <v/>
      </c>
      <c r="AW281" s="32" t="str">
        <f t="shared" si="187"/>
        <v/>
      </c>
      <c r="AX281" s="32" t="str">
        <f t="shared" si="188"/>
        <v/>
      </c>
      <c r="AY281" s="32" t="str">
        <f t="shared" si="189"/>
        <v/>
      </c>
      <c r="BA281" s="32" t="str">
        <f>IF($A282="","",F281*Summary!$Q$8)</f>
        <v/>
      </c>
    </row>
    <row r="282" spans="1:53" ht="12" customHeight="1">
      <c r="A282" s="67" t="str">
        <f t="shared" si="190"/>
        <v/>
      </c>
      <c r="B282" s="69">
        <f t="shared" si="192"/>
        <v>0</v>
      </c>
      <c r="C282" s="71"/>
      <c r="D282" s="69" t="str">
        <f t="shared" si="155"/>
        <v/>
      </c>
      <c r="E282" s="70" t="str">
        <f t="shared" si="156"/>
        <v/>
      </c>
      <c r="F282" s="70" t="str">
        <f t="shared" si="157"/>
        <v/>
      </c>
      <c r="G282" s="63" t="str">
        <f t="shared" si="158"/>
        <v/>
      </c>
      <c r="H282" s="64" t="str">
        <f t="shared" si="159"/>
        <v/>
      </c>
      <c r="I282" s="43"/>
      <c r="J282" s="63" t="str">
        <f t="shared" si="160"/>
        <v/>
      </c>
      <c r="K282" s="64" t="str">
        <f t="shared" si="161"/>
        <v/>
      </c>
      <c r="L282" s="63" t="str">
        <f t="shared" si="162"/>
        <v/>
      </c>
      <c r="M282" s="64" t="str">
        <f t="shared" si="163"/>
        <v/>
      </c>
      <c r="N282" s="65"/>
      <c r="O282" s="63" t="str">
        <f t="shared" si="164"/>
        <v/>
      </c>
      <c r="P282" s="63" t="str">
        <f t="shared" si="165"/>
        <v/>
      </c>
      <c r="Q282" s="66"/>
      <c r="R282" s="63" t="str">
        <f t="shared" si="166"/>
        <v/>
      </c>
      <c r="S282" s="64" t="str">
        <f t="shared" si="167"/>
        <v/>
      </c>
      <c r="T282" s="63" t="str">
        <f t="shared" si="168"/>
        <v/>
      </c>
      <c r="U282" s="64" t="str">
        <f t="shared" si="169"/>
        <v/>
      </c>
      <c r="V282" s="207" t="str">
        <f>IF($A283="","",IF(AND(MONTH(A282)&gt;3,MONTH(A282)&lt;11),(T282+R282+G282)*Summary!$T$8/(1-Summary!$T$8),(T282+R282+G282)*Summary!$U$8/(1-Summary!$U$8)))</f>
        <v/>
      </c>
      <c r="W282" s="63" t="str">
        <f t="shared" si="170"/>
        <v/>
      </c>
      <c r="X282" s="63" t="str">
        <f t="shared" si="171"/>
        <v/>
      </c>
      <c r="Y282" s="43"/>
      <c r="Z282" s="38" t="str">
        <f t="shared" si="172"/>
        <v/>
      </c>
      <c r="AA282" s="38" t="str">
        <f t="shared" si="173"/>
        <v/>
      </c>
      <c r="AB282" s="38" t="e">
        <f t="shared" si="174"/>
        <v>#VALUE!</v>
      </c>
      <c r="AC282" s="38" t="str">
        <f t="shared" si="175"/>
        <v/>
      </c>
      <c r="AD282" s="38" t="str">
        <f t="shared" si="175"/>
        <v/>
      </c>
      <c r="AE282" s="38" t="e">
        <f t="shared" si="176"/>
        <v>#VALUE!</v>
      </c>
      <c r="AF282" s="237" t="e">
        <f>((Summary!$N$8*(AA282*AD282)*(A282-$D$3))+(Summary!$M$8*Z282*AC282*(AJ282-EOMONTH(EDATE(A282,-1),0))))/(AK282*AB282*AE282)</f>
        <v>#VALUE!</v>
      </c>
      <c r="AG282" s="88" t="str">
        <f>IF($A283="","",Summary!$Q$8)</f>
        <v/>
      </c>
      <c r="AH282" s="88" t="str">
        <f>IF($A283="","",IF(Summary!$R$8="Y",(VLOOKUP($A282,Summary!$AD$6:$AF$9,3)+'Escalating commodity'!D295),'Escalating commodity'!D295))</f>
        <v/>
      </c>
      <c r="AI282" s="88" t="str">
        <f t="shared" si="191"/>
        <v/>
      </c>
      <c r="AJ282" s="236" t="e">
        <f t="shared" si="177"/>
        <v>#VALUE!</v>
      </c>
      <c r="AK282" s="58" t="str">
        <f t="shared" si="178"/>
        <v/>
      </c>
      <c r="AL282" s="26" t="str">
        <f>IF($A283="","",_xll.SPRDOPT(P282,X282,AI282,0,AB282,AE282,AF282,AK282,$AJ$2,0))</f>
        <v/>
      </c>
      <c r="AM282" s="89" t="str">
        <f t="shared" si="179"/>
        <v/>
      </c>
      <c r="AN282" s="89" t="str">
        <f t="shared" si="180"/>
        <v/>
      </c>
      <c r="AO282" s="3" t="str">
        <f t="shared" si="181"/>
        <v/>
      </c>
      <c r="AP282" s="33" t="str">
        <f t="shared" si="182"/>
        <v/>
      </c>
      <c r="AQ282" s="58" t="str">
        <f t="shared" si="183"/>
        <v/>
      </c>
      <c r="AR282" s="38">
        <f>'ANR OK vs ML7'!AR282</f>
        <v>0.1</v>
      </c>
      <c r="AS282" s="35" t="str">
        <f t="shared" si="184"/>
        <v/>
      </c>
      <c r="AT282" s="3" t="str">
        <f t="shared" si="185"/>
        <v/>
      </c>
      <c r="AU282" s="3" t="str">
        <f t="shared" si="186"/>
        <v/>
      </c>
      <c r="AW282" s="32" t="str">
        <f t="shared" si="187"/>
        <v/>
      </c>
      <c r="AX282" s="32" t="str">
        <f t="shared" si="188"/>
        <v/>
      </c>
      <c r="AY282" s="32" t="str">
        <f t="shared" si="189"/>
        <v/>
      </c>
      <c r="BA282" s="32" t="str">
        <f>IF($A283="","",F282*Summary!$Q$8)</f>
        <v/>
      </c>
    </row>
    <row r="283" spans="1:53" ht="12" customHeight="1">
      <c r="A283" s="67" t="str">
        <f t="shared" si="190"/>
        <v/>
      </c>
      <c r="B283" s="69">
        <f t="shared" si="192"/>
        <v>0</v>
      </c>
      <c r="C283" s="71"/>
      <c r="D283" s="69" t="str">
        <f t="shared" si="155"/>
        <v/>
      </c>
      <c r="E283" s="70" t="str">
        <f t="shared" si="156"/>
        <v/>
      </c>
      <c r="F283" s="70" t="str">
        <f t="shared" si="157"/>
        <v/>
      </c>
      <c r="G283" s="63" t="str">
        <f t="shared" si="158"/>
        <v/>
      </c>
      <c r="H283" s="64" t="str">
        <f t="shared" si="159"/>
        <v/>
      </c>
      <c r="I283" s="43"/>
      <c r="J283" s="63" t="str">
        <f t="shared" si="160"/>
        <v/>
      </c>
      <c r="K283" s="64" t="str">
        <f t="shared" si="161"/>
        <v/>
      </c>
      <c r="L283" s="63" t="str">
        <f t="shared" si="162"/>
        <v/>
      </c>
      <c r="M283" s="64" t="str">
        <f t="shared" si="163"/>
        <v/>
      </c>
      <c r="N283" s="65"/>
      <c r="O283" s="63" t="str">
        <f t="shared" si="164"/>
        <v/>
      </c>
      <c r="P283" s="63" t="str">
        <f t="shared" si="165"/>
        <v/>
      </c>
      <c r="Q283" s="66"/>
      <c r="R283" s="63" t="str">
        <f t="shared" si="166"/>
        <v/>
      </c>
      <c r="S283" s="64" t="str">
        <f t="shared" si="167"/>
        <v/>
      </c>
      <c r="T283" s="63" t="str">
        <f t="shared" si="168"/>
        <v/>
      </c>
      <c r="U283" s="64" t="str">
        <f t="shared" si="169"/>
        <v/>
      </c>
      <c r="V283" s="207" t="str">
        <f>IF($A284="","",IF(AND(MONTH(A283)&gt;3,MONTH(A283)&lt;11),(T283+R283+G283)*Summary!$T$8/(1-Summary!$T$8),(T283+R283+G283)*Summary!$U$8/(1-Summary!$U$8)))</f>
        <v/>
      </c>
      <c r="W283" s="63" t="str">
        <f t="shared" si="170"/>
        <v/>
      </c>
      <c r="X283" s="63" t="str">
        <f t="shared" si="171"/>
        <v/>
      </c>
      <c r="Y283" s="43"/>
      <c r="Z283" s="38" t="str">
        <f t="shared" si="172"/>
        <v/>
      </c>
      <c r="AA283" s="38" t="str">
        <f t="shared" si="173"/>
        <v/>
      </c>
      <c r="AB283" s="38" t="e">
        <f t="shared" si="174"/>
        <v>#VALUE!</v>
      </c>
      <c r="AC283" s="38" t="str">
        <f t="shared" si="175"/>
        <v/>
      </c>
      <c r="AD283" s="38" t="str">
        <f t="shared" si="175"/>
        <v/>
      </c>
      <c r="AE283" s="38" t="e">
        <f t="shared" si="176"/>
        <v>#VALUE!</v>
      </c>
      <c r="AF283" s="237" t="e">
        <f>((Summary!$N$8*(AA283*AD283)*(A283-$D$3))+(Summary!$M$8*Z283*AC283*(AJ283-EOMONTH(EDATE(A283,-1),0))))/(AK283*AB283*AE283)</f>
        <v>#VALUE!</v>
      </c>
      <c r="AG283" s="88" t="str">
        <f>IF($A284="","",Summary!$Q$8)</f>
        <v/>
      </c>
      <c r="AH283" s="88" t="str">
        <f>IF($A284="","",IF(Summary!$R$8="Y",(VLOOKUP($A283,Summary!$AD$6:$AF$9,3)+'Escalating commodity'!D296),'Escalating commodity'!D296))</f>
        <v/>
      </c>
      <c r="AI283" s="88" t="str">
        <f t="shared" si="191"/>
        <v/>
      </c>
      <c r="AJ283" s="236" t="e">
        <f t="shared" si="177"/>
        <v>#VALUE!</v>
      </c>
      <c r="AK283" s="58" t="str">
        <f t="shared" si="178"/>
        <v/>
      </c>
      <c r="AL283" s="26" t="str">
        <f>IF($A284="","",_xll.SPRDOPT(P283,X283,AI283,0,AB283,AE283,AF283,AK283,$AJ$2,0))</f>
        <v/>
      </c>
      <c r="AM283" s="89" t="str">
        <f t="shared" si="179"/>
        <v/>
      </c>
      <c r="AN283" s="89" t="str">
        <f t="shared" si="180"/>
        <v/>
      </c>
      <c r="AO283" s="3" t="str">
        <f t="shared" si="181"/>
        <v/>
      </c>
      <c r="AP283" s="33" t="str">
        <f t="shared" si="182"/>
        <v/>
      </c>
      <c r="AQ283" s="58" t="str">
        <f t="shared" si="183"/>
        <v/>
      </c>
      <c r="AR283" s="38">
        <f>'ANR OK vs ML7'!AR283</f>
        <v>0.1</v>
      </c>
      <c r="AS283" s="35" t="str">
        <f t="shared" si="184"/>
        <v/>
      </c>
      <c r="AT283" s="3" t="str">
        <f t="shared" si="185"/>
        <v/>
      </c>
      <c r="AU283" s="3" t="str">
        <f t="shared" si="186"/>
        <v/>
      </c>
      <c r="AW283" s="32" t="str">
        <f t="shared" si="187"/>
        <v/>
      </c>
      <c r="AX283" s="32" t="str">
        <f t="shared" si="188"/>
        <v/>
      </c>
      <c r="AY283" s="32" t="str">
        <f t="shared" si="189"/>
        <v/>
      </c>
      <c r="BA283" s="32" t="str">
        <f>IF($A284="","",F283*Summary!$Q$8)</f>
        <v/>
      </c>
    </row>
    <row r="284" spans="1:53" ht="12" customHeight="1">
      <c r="A284" s="67" t="str">
        <f t="shared" si="190"/>
        <v/>
      </c>
      <c r="B284" s="69">
        <f t="shared" si="192"/>
        <v>0</v>
      </c>
      <c r="C284" s="71"/>
      <c r="D284" s="69" t="str">
        <f t="shared" si="155"/>
        <v/>
      </c>
      <c r="E284" s="70" t="str">
        <f t="shared" si="156"/>
        <v/>
      </c>
      <c r="F284" s="70" t="str">
        <f t="shared" si="157"/>
        <v/>
      </c>
      <c r="G284" s="63" t="str">
        <f t="shared" si="158"/>
        <v/>
      </c>
      <c r="H284" s="64" t="str">
        <f t="shared" si="159"/>
        <v/>
      </c>
      <c r="I284" s="43"/>
      <c r="J284" s="63" t="str">
        <f t="shared" si="160"/>
        <v/>
      </c>
      <c r="K284" s="64" t="str">
        <f t="shared" si="161"/>
        <v/>
      </c>
      <c r="L284" s="63" t="str">
        <f t="shared" si="162"/>
        <v/>
      </c>
      <c r="M284" s="64" t="str">
        <f t="shared" si="163"/>
        <v/>
      </c>
      <c r="N284" s="65"/>
      <c r="O284" s="63" t="str">
        <f t="shared" si="164"/>
        <v/>
      </c>
      <c r="P284" s="63" t="str">
        <f t="shared" si="165"/>
        <v/>
      </c>
      <c r="Q284" s="66"/>
      <c r="R284" s="63" t="str">
        <f t="shared" si="166"/>
        <v/>
      </c>
      <c r="S284" s="64" t="str">
        <f t="shared" si="167"/>
        <v/>
      </c>
      <c r="T284" s="63" t="str">
        <f t="shared" si="168"/>
        <v/>
      </c>
      <c r="U284" s="64" t="str">
        <f t="shared" si="169"/>
        <v/>
      </c>
      <c r="V284" s="207" t="str">
        <f>IF($A285="","",IF(AND(MONTH(A284)&gt;3,MONTH(A284)&lt;11),(T284+R284+G284)*Summary!$T$8/(1-Summary!$T$8),(T284+R284+G284)*Summary!$U$8/(1-Summary!$U$8)))</f>
        <v/>
      </c>
      <c r="W284" s="63" t="str">
        <f t="shared" si="170"/>
        <v/>
      </c>
      <c r="X284" s="63" t="str">
        <f t="shared" si="171"/>
        <v/>
      </c>
      <c r="Y284" s="43"/>
      <c r="Z284" s="38" t="str">
        <f t="shared" si="172"/>
        <v/>
      </c>
      <c r="AA284" s="38" t="str">
        <f t="shared" si="173"/>
        <v/>
      </c>
      <c r="AB284" s="38" t="e">
        <f t="shared" si="174"/>
        <v>#VALUE!</v>
      </c>
      <c r="AC284" s="38" t="str">
        <f t="shared" si="175"/>
        <v/>
      </c>
      <c r="AD284" s="38" t="str">
        <f t="shared" si="175"/>
        <v/>
      </c>
      <c r="AE284" s="38" t="e">
        <f t="shared" si="176"/>
        <v>#VALUE!</v>
      </c>
      <c r="AF284" s="237" t="e">
        <f>((Summary!$N$8*(AA284*AD284)*(A284-$D$3))+(Summary!$M$8*Z284*AC284*(AJ284-EOMONTH(EDATE(A284,-1),0))))/(AK284*AB284*AE284)</f>
        <v>#VALUE!</v>
      </c>
      <c r="AG284" s="88" t="str">
        <f>IF($A285="","",Summary!$Q$8)</f>
        <v/>
      </c>
      <c r="AH284" s="88" t="str">
        <f>IF($A285="","",IF(Summary!$R$8="Y",(VLOOKUP($A284,Summary!$AD$6:$AF$9,3)+'Escalating commodity'!D297),'Escalating commodity'!D297))</f>
        <v/>
      </c>
      <c r="AI284" s="88" t="str">
        <f t="shared" si="191"/>
        <v/>
      </c>
      <c r="AJ284" s="236" t="e">
        <f t="shared" si="177"/>
        <v>#VALUE!</v>
      </c>
      <c r="AK284" s="58" t="str">
        <f t="shared" si="178"/>
        <v/>
      </c>
      <c r="AL284" s="26" t="str">
        <f>IF($A285="","",_xll.SPRDOPT(P284,X284,AI284,0,AB284,AE284,AF284,AK284,$AJ$2,0))</f>
        <v/>
      </c>
      <c r="AM284" s="89" t="str">
        <f t="shared" si="179"/>
        <v/>
      </c>
      <c r="AN284" s="89" t="str">
        <f t="shared" si="180"/>
        <v/>
      </c>
      <c r="AO284" s="3" t="str">
        <f t="shared" si="181"/>
        <v/>
      </c>
      <c r="AP284" s="33" t="str">
        <f t="shared" si="182"/>
        <v/>
      </c>
      <c r="AQ284" s="58" t="str">
        <f t="shared" si="183"/>
        <v/>
      </c>
      <c r="AR284" s="38">
        <f>'ANR OK vs ML7'!AR284</f>
        <v>0.1</v>
      </c>
      <c r="AS284" s="35" t="str">
        <f t="shared" si="184"/>
        <v/>
      </c>
      <c r="AT284" s="3" t="str">
        <f t="shared" si="185"/>
        <v/>
      </c>
      <c r="AU284" s="3" t="str">
        <f t="shared" si="186"/>
        <v/>
      </c>
      <c r="AW284" s="32" t="str">
        <f t="shared" si="187"/>
        <v/>
      </c>
      <c r="AX284" s="32" t="str">
        <f t="shared" si="188"/>
        <v/>
      </c>
      <c r="AY284" s="32" t="str">
        <f t="shared" si="189"/>
        <v/>
      </c>
      <c r="BA284" s="32" t="str">
        <f>IF($A285="","",F284*Summary!$Q$8)</f>
        <v/>
      </c>
    </row>
    <row r="285" spans="1:53" ht="12" customHeight="1">
      <c r="A285" s="67" t="str">
        <f t="shared" si="190"/>
        <v/>
      </c>
      <c r="B285" s="69">
        <f t="shared" si="192"/>
        <v>0</v>
      </c>
      <c r="C285" s="71"/>
      <c r="D285" s="69" t="str">
        <f t="shared" si="155"/>
        <v/>
      </c>
      <c r="E285" s="70" t="str">
        <f t="shared" si="156"/>
        <v/>
      </c>
      <c r="F285" s="70" t="str">
        <f t="shared" si="157"/>
        <v/>
      </c>
      <c r="G285" s="63" t="str">
        <f t="shared" si="158"/>
        <v/>
      </c>
      <c r="H285" s="64" t="str">
        <f t="shared" si="159"/>
        <v/>
      </c>
      <c r="I285" s="43"/>
      <c r="J285" s="63" t="str">
        <f t="shared" si="160"/>
        <v/>
      </c>
      <c r="K285" s="64" t="str">
        <f t="shared" si="161"/>
        <v/>
      </c>
      <c r="L285" s="63" t="str">
        <f t="shared" si="162"/>
        <v/>
      </c>
      <c r="M285" s="64" t="str">
        <f t="shared" si="163"/>
        <v/>
      </c>
      <c r="N285" s="65"/>
      <c r="O285" s="63" t="str">
        <f t="shared" si="164"/>
        <v/>
      </c>
      <c r="P285" s="63" t="str">
        <f t="shared" si="165"/>
        <v/>
      </c>
      <c r="Q285" s="66"/>
      <c r="R285" s="63" t="str">
        <f t="shared" si="166"/>
        <v/>
      </c>
      <c r="S285" s="64" t="str">
        <f t="shared" si="167"/>
        <v/>
      </c>
      <c r="T285" s="63" t="str">
        <f t="shared" si="168"/>
        <v/>
      </c>
      <c r="U285" s="64" t="str">
        <f t="shared" si="169"/>
        <v/>
      </c>
      <c r="V285" s="207" t="str">
        <f>IF($A286="","",IF(AND(MONTH(A285)&gt;3,MONTH(A285)&lt;11),(T285+R285+G285)*Summary!$T$8/(1-Summary!$T$8),(T285+R285+G285)*Summary!$U$8/(1-Summary!$U$8)))</f>
        <v/>
      </c>
      <c r="W285" s="63" t="str">
        <f t="shared" si="170"/>
        <v/>
      </c>
      <c r="X285" s="63" t="str">
        <f t="shared" si="171"/>
        <v/>
      </c>
      <c r="Y285" s="43"/>
      <c r="Z285" s="38" t="str">
        <f t="shared" si="172"/>
        <v/>
      </c>
      <c r="AA285" s="38" t="str">
        <f t="shared" si="173"/>
        <v/>
      </c>
      <c r="AB285" s="38" t="e">
        <f t="shared" si="174"/>
        <v>#VALUE!</v>
      </c>
      <c r="AC285" s="38" t="str">
        <f t="shared" si="175"/>
        <v/>
      </c>
      <c r="AD285" s="38" t="str">
        <f t="shared" si="175"/>
        <v/>
      </c>
      <c r="AE285" s="38" t="e">
        <f t="shared" si="176"/>
        <v>#VALUE!</v>
      </c>
      <c r="AF285" s="237" t="e">
        <f>((Summary!$N$8*(AA285*AD285)*(A285-$D$3))+(Summary!$M$8*Z285*AC285*(AJ285-EOMONTH(EDATE(A285,-1),0))))/(AK285*AB285*AE285)</f>
        <v>#VALUE!</v>
      </c>
      <c r="AG285" s="88" t="str">
        <f>IF($A286="","",Summary!$Q$8)</f>
        <v/>
      </c>
      <c r="AH285" s="88" t="str">
        <f>IF($A286="","",IF(Summary!$R$8="Y",(VLOOKUP($A285,Summary!$AD$6:$AF$9,3)+'Escalating commodity'!D298),'Escalating commodity'!D298))</f>
        <v/>
      </c>
      <c r="AI285" s="88" t="str">
        <f t="shared" si="191"/>
        <v/>
      </c>
      <c r="AJ285" s="236" t="e">
        <f t="shared" si="177"/>
        <v>#VALUE!</v>
      </c>
      <c r="AK285" s="58" t="str">
        <f t="shared" si="178"/>
        <v/>
      </c>
      <c r="AL285" s="26" t="str">
        <f>IF($A286="","",_xll.SPRDOPT(P285,X285,AI285,0,AB285,AE285,AF285,AK285,$AJ$2,0))</f>
        <v/>
      </c>
      <c r="AM285" s="89" t="str">
        <f t="shared" si="179"/>
        <v/>
      </c>
      <c r="AN285" s="89" t="str">
        <f t="shared" si="180"/>
        <v/>
      </c>
      <c r="AO285" s="3" t="str">
        <f t="shared" si="181"/>
        <v/>
      </c>
      <c r="AP285" s="33" t="str">
        <f t="shared" si="182"/>
        <v/>
      </c>
      <c r="AQ285" s="58" t="str">
        <f t="shared" si="183"/>
        <v/>
      </c>
      <c r="AR285" s="38">
        <f>'ANR OK vs ML7'!AR285</f>
        <v>0.1</v>
      </c>
      <c r="AS285" s="35" t="str">
        <f t="shared" si="184"/>
        <v/>
      </c>
      <c r="AT285" s="3" t="str">
        <f t="shared" si="185"/>
        <v/>
      </c>
      <c r="AU285" s="3" t="str">
        <f t="shared" si="186"/>
        <v/>
      </c>
      <c r="AW285" s="32" t="str">
        <f t="shared" si="187"/>
        <v/>
      </c>
      <c r="AX285" s="32" t="str">
        <f t="shared" si="188"/>
        <v/>
      </c>
      <c r="AY285" s="32" t="str">
        <f t="shared" si="189"/>
        <v/>
      </c>
      <c r="BA285" s="32" t="str">
        <f>IF($A286="","",F285*Summary!$Q$8)</f>
        <v/>
      </c>
    </row>
    <row r="286" spans="1:53" ht="12" customHeight="1">
      <c r="A286" s="67" t="str">
        <f t="shared" si="190"/>
        <v/>
      </c>
      <c r="B286" s="69">
        <f t="shared" si="192"/>
        <v>0</v>
      </c>
      <c r="C286" s="71"/>
      <c r="D286" s="69" t="str">
        <f t="shared" si="155"/>
        <v/>
      </c>
      <c r="E286" s="70" t="str">
        <f t="shared" si="156"/>
        <v/>
      </c>
      <c r="F286" s="70" t="str">
        <f t="shared" si="157"/>
        <v/>
      </c>
      <c r="G286" s="63" t="str">
        <f t="shared" si="158"/>
        <v/>
      </c>
      <c r="H286" s="64" t="str">
        <f t="shared" si="159"/>
        <v/>
      </c>
      <c r="I286" s="43"/>
      <c r="J286" s="63" t="str">
        <f t="shared" si="160"/>
        <v/>
      </c>
      <c r="K286" s="64" t="str">
        <f t="shared" si="161"/>
        <v/>
      </c>
      <c r="L286" s="63" t="str">
        <f t="shared" si="162"/>
        <v/>
      </c>
      <c r="M286" s="64" t="str">
        <f t="shared" si="163"/>
        <v/>
      </c>
      <c r="N286" s="65"/>
      <c r="O286" s="63" t="str">
        <f t="shared" si="164"/>
        <v/>
      </c>
      <c r="P286" s="63" t="str">
        <f t="shared" si="165"/>
        <v/>
      </c>
      <c r="Q286" s="66"/>
      <c r="R286" s="63" t="str">
        <f t="shared" si="166"/>
        <v/>
      </c>
      <c r="S286" s="64" t="str">
        <f t="shared" si="167"/>
        <v/>
      </c>
      <c r="T286" s="63" t="str">
        <f t="shared" si="168"/>
        <v/>
      </c>
      <c r="U286" s="64" t="str">
        <f t="shared" si="169"/>
        <v/>
      </c>
      <c r="V286" s="207" t="str">
        <f>IF($A287="","",IF(AND(MONTH(A286)&gt;3,MONTH(A286)&lt;11),(T286+R286+G286)*Summary!$T$8/(1-Summary!$T$8),(T286+R286+G286)*Summary!$U$8/(1-Summary!$U$8)))</f>
        <v/>
      </c>
      <c r="W286" s="63" t="str">
        <f t="shared" si="170"/>
        <v/>
      </c>
      <c r="X286" s="63" t="str">
        <f t="shared" si="171"/>
        <v/>
      </c>
      <c r="Y286" s="43"/>
      <c r="Z286" s="38" t="str">
        <f t="shared" si="172"/>
        <v/>
      </c>
      <c r="AA286" s="38" t="str">
        <f t="shared" si="173"/>
        <v/>
      </c>
      <c r="AB286" s="38" t="e">
        <f t="shared" si="174"/>
        <v>#VALUE!</v>
      </c>
      <c r="AC286" s="38" t="str">
        <f t="shared" si="175"/>
        <v/>
      </c>
      <c r="AD286" s="38" t="str">
        <f t="shared" si="175"/>
        <v/>
      </c>
      <c r="AE286" s="38" t="e">
        <f t="shared" si="176"/>
        <v>#VALUE!</v>
      </c>
      <c r="AF286" s="237" t="e">
        <f>((Summary!$N$8*(AA286*AD286)*(A286-$D$3))+(Summary!$M$8*Z286*AC286*(AJ286-EOMONTH(EDATE(A286,-1),0))))/(AK286*AB286*AE286)</f>
        <v>#VALUE!</v>
      </c>
      <c r="AG286" s="88" t="str">
        <f>IF($A287="","",Summary!$Q$8)</f>
        <v/>
      </c>
      <c r="AH286" s="88" t="str">
        <f>IF($A287="","",IF(Summary!$R$8="Y",(VLOOKUP($A286,Summary!$AD$6:$AF$9,3)+'Escalating commodity'!D299),'Escalating commodity'!D299))</f>
        <v/>
      </c>
      <c r="AI286" s="88" t="str">
        <f t="shared" si="191"/>
        <v/>
      </c>
      <c r="AJ286" s="236" t="e">
        <f t="shared" si="177"/>
        <v>#VALUE!</v>
      </c>
      <c r="AK286" s="58" t="str">
        <f t="shared" si="178"/>
        <v/>
      </c>
      <c r="AL286" s="26" t="str">
        <f>IF($A287="","",_xll.SPRDOPT(P286,X286,AI286,0,AB286,AE286,AF286,AK286,$AJ$2,0))</f>
        <v/>
      </c>
      <c r="AM286" s="89" t="str">
        <f t="shared" si="179"/>
        <v/>
      </c>
      <c r="AN286" s="89" t="str">
        <f t="shared" si="180"/>
        <v/>
      </c>
      <c r="AO286" s="3" t="str">
        <f t="shared" si="181"/>
        <v/>
      </c>
      <c r="AP286" s="33" t="str">
        <f t="shared" si="182"/>
        <v/>
      </c>
      <c r="AQ286" s="58" t="str">
        <f t="shared" si="183"/>
        <v/>
      </c>
      <c r="AR286" s="38">
        <f>'ANR OK vs ML7'!AR286</f>
        <v>0.1</v>
      </c>
      <c r="AS286" s="35" t="str">
        <f t="shared" si="184"/>
        <v/>
      </c>
      <c r="AT286" s="3" t="str">
        <f t="shared" si="185"/>
        <v/>
      </c>
      <c r="AU286" s="3" t="str">
        <f t="shared" si="186"/>
        <v/>
      </c>
      <c r="AW286" s="32" t="str">
        <f t="shared" si="187"/>
        <v/>
      </c>
      <c r="AX286" s="32" t="str">
        <f t="shared" si="188"/>
        <v/>
      </c>
      <c r="AY286" s="32" t="str">
        <f t="shared" si="189"/>
        <v/>
      </c>
      <c r="BA286" s="32" t="str">
        <f>IF($A287="","",F286*Summary!$Q$8)</f>
        <v/>
      </c>
    </row>
    <row r="287" spans="1:53" ht="12" customHeight="1">
      <c r="A287" s="67" t="str">
        <f t="shared" si="190"/>
        <v/>
      </c>
      <c r="B287" s="69">
        <f t="shared" si="192"/>
        <v>0</v>
      </c>
      <c r="C287" s="71"/>
      <c r="D287" s="69" t="str">
        <f t="shared" si="155"/>
        <v/>
      </c>
      <c r="E287" s="70" t="str">
        <f t="shared" si="156"/>
        <v/>
      </c>
      <c r="F287" s="70" t="str">
        <f t="shared" si="157"/>
        <v/>
      </c>
      <c r="G287" s="63" t="str">
        <f t="shared" si="158"/>
        <v/>
      </c>
      <c r="H287" s="64" t="str">
        <f t="shared" si="159"/>
        <v/>
      </c>
      <c r="I287" s="43"/>
      <c r="J287" s="63" t="str">
        <f t="shared" si="160"/>
        <v/>
      </c>
      <c r="K287" s="64" t="str">
        <f t="shared" si="161"/>
        <v/>
      </c>
      <c r="L287" s="63" t="str">
        <f t="shared" si="162"/>
        <v/>
      </c>
      <c r="M287" s="64" t="str">
        <f t="shared" si="163"/>
        <v/>
      </c>
      <c r="N287" s="65"/>
      <c r="O287" s="63" t="str">
        <f t="shared" si="164"/>
        <v/>
      </c>
      <c r="P287" s="63" t="str">
        <f t="shared" si="165"/>
        <v/>
      </c>
      <c r="Q287" s="66"/>
      <c r="R287" s="63" t="str">
        <f t="shared" si="166"/>
        <v/>
      </c>
      <c r="S287" s="64" t="str">
        <f t="shared" si="167"/>
        <v/>
      </c>
      <c r="T287" s="63" t="str">
        <f t="shared" si="168"/>
        <v/>
      </c>
      <c r="U287" s="64" t="str">
        <f t="shared" si="169"/>
        <v/>
      </c>
      <c r="V287" s="207" t="str">
        <f>IF($A288="","",IF(AND(MONTH(A287)&gt;3,MONTH(A287)&lt;11),(T287+R287+G287)*Summary!$T$8/(1-Summary!$T$8),(T287+R287+G287)*Summary!$U$8/(1-Summary!$U$8)))</f>
        <v/>
      </c>
      <c r="W287" s="63" t="str">
        <f t="shared" si="170"/>
        <v/>
      </c>
      <c r="X287" s="63" t="str">
        <f t="shared" si="171"/>
        <v/>
      </c>
      <c r="Y287" s="43"/>
      <c r="Z287" s="38" t="str">
        <f t="shared" si="172"/>
        <v/>
      </c>
      <c r="AA287" s="38" t="str">
        <f t="shared" si="173"/>
        <v/>
      </c>
      <c r="AB287" s="38" t="e">
        <f t="shared" si="174"/>
        <v>#VALUE!</v>
      </c>
      <c r="AC287" s="38" t="str">
        <f t="shared" si="175"/>
        <v/>
      </c>
      <c r="AD287" s="38" t="str">
        <f t="shared" si="175"/>
        <v/>
      </c>
      <c r="AE287" s="38" t="e">
        <f t="shared" si="176"/>
        <v>#VALUE!</v>
      </c>
      <c r="AF287" s="237" t="e">
        <f>((Summary!$N$8*(AA287*AD287)*(A287-$D$3))+(Summary!$M$8*Z287*AC287*(AJ287-EOMONTH(EDATE(A287,-1),0))))/(AK287*AB287*AE287)</f>
        <v>#VALUE!</v>
      </c>
      <c r="AG287" s="88" t="str">
        <f>IF($A288="","",Summary!$Q$8)</f>
        <v/>
      </c>
      <c r="AH287" s="88" t="str">
        <f>IF($A288="","",IF(Summary!$R$8="Y",(VLOOKUP($A287,Summary!$AD$6:$AF$9,3)+'Escalating commodity'!D300),'Escalating commodity'!D300))</f>
        <v/>
      </c>
      <c r="AI287" s="88" t="str">
        <f t="shared" si="191"/>
        <v/>
      </c>
      <c r="AJ287" s="236" t="e">
        <f t="shared" si="177"/>
        <v>#VALUE!</v>
      </c>
      <c r="AK287" s="58" t="str">
        <f t="shared" si="178"/>
        <v/>
      </c>
      <c r="AL287" s="26" t="str">
        <f>IF($A288="","",_xll.SPRDOPT(P287,X287,AI287,0,AB287,AE287,AF287,AK287,$AJ$2,0))</f>
        <v/>
      </c>
      <c r="AM287" s="89" t="str">
        <f t="shared" si="179"/>
        <v/>
      </c>
      <c r="AN287" s="89" t="str">
        <f t="shared" si="180"/>
        <v/>
      </c>
      <c r="AO287" s="3" t="str">
        <f t="shared" si="181"/>
        <v/>
      </c>
      <c r="AP287" s="33" t="str">
        <f t="shared" si="182"/>
        <v/>
      </c>
      <c r="AQ287" s="58" t="str">
        <f t="shared" si="183"/>
        <v/>
      </c>
      <c r="AR287" s="38">
        <f>'ANR OK vs ML7'!AR287</f>
        <v>0.1</v>
      </c>
      <c r="AS287" s="35" t="str">
        <f t="shared" si="184"/>
        <v/>
      </c>
      <c r="AT287" s="3" t="str">
        <f t="shared" si="185"/>
        <v/>
      </c>
      <c r="AU287" s="3" t="str">
        <f t="shared" si="186"/>
        <v/>
      </c>
      <c r="AW287" s="32" t="str">
        <f t="shared" si="187"/>
        <v/>
      </c>
      <c r="AX287" s="32" t="str">
        <f t="shared" si="188"/>
        <v/>
      </c>
      <c r="AY287" s="32" t="str">
        <f t="shared" si="189"/>
        <v/>
      </c>
      <c r="BA287" s="32" t="str">
        <f>IF($A288="","",F287*Summary!$Q$8)</f>
        <v/>
      </c>
    </row>
    <row r="288" spans="1:53" ht="12" customHeight="1">
      <c r="A288" s="67" t="str">
        <f t="shared" si="190"/>
        <v/>
      </c>
      <c r="B288" s="69">
        <f t="shared" si="192"/>
        <v>0</v>
      </c>
      <c r="C288" s="71"/>
      <c r="D288" s="69" t="str">
        <f t="shared" si="155"/>
        <v/>
      </c>
      <c r="E288" s="70" t="str">
        <f t="shared" si="156"/>
        <v/>
      </c>
      <c r="F288" s="70" t="str">
        <f t="shared" si="157"/>
        <v/>
      </c>
      <c r="G288" s="63" t="str">
        <f t="shared" si="158"/>
        <v/>
      </c>
      <c r="H288" s="64" t="str">
        <f t="shared" si="159"/>
        <v/>
      </c>
      <c r="I288" s="43"/>
      <c r="J288" s="63" t="str">
        <f t="shared" si="160"/>
        <v/>
      </c>
      <c r="K288" s="64" t="str">
        <f t="shared" si="161"/>
        <v/>
      </c>
      <c r="L288" s="63" t="str">
        <f t="shared" si="162"/>
        <v/>
      </c>
      <c r="M288" s="64" t="str">
        <f t="shared" si="163"/>
        <v/>
      </c>
      <c r="N288" s="65"/>
      <c r="O288" s="63" t="str">
        <f t="shared" si="164"/>
        <v/>
      </c>
      <c r="P288" s="63" t="str">
        <f t="shared" si="165"/>
        <v/>
      </c>
      <c r="Q288" s="66"/>
      <c r="R288" s="63" t="str">
        <f t="shared" si="166"/>
        <v/>
      </c>
      <c r="S288" s="64" t="str">
        <f t="shared" si="167"/>
        <v/>
      </c>
      <c r="T288" s="63" t="str">
        <f t="shared" si="168"/>
        <v/>
      </c>
      <c r="U288" s="64" t="str">
        <f t="shared" si="169"/>
        <v/>
      </c>
      <c r="V288" s="207" t="str">
        <f>IF($A289="","",IF(AND(MONTH(A288)&gt;3,MONTH(A288)&lt;11),(T288+R288+G288)*Summary!$T$8/(1-Summary!$T$8),(T288+R288+G288)*Summary!$U$8/(1-Summary!$U$8)))</f>
        <v/>
      </c>
      <c r="W288" s="63" t="str">
        <f t="shared" si="170"/>
        <v/>
      </c>
      <c r="X288" s="63" t="str">
        <f t="shared" si="171"/>
        <v/>
      </c>
      <c r="Y288" s="43"/>
      <c r="Z288" s="38" t="str">
        <f t="shared" si="172"/>
        <v/>
      </c>
      <c r="AA288" s="38" t="str">
        <f t="shared" si="173"/>
        <v/>
      </c>
      <c r="AB288" s="38" t="e">
        <f t="shared" si="174"/>
        <v>#VALUE!</v>
      </c>
      <c r="AC288" s="38" t="str">
        <f t="shared" si="175"/>
        <v/>
      </c>
      <c r="AD288" s="38" t="str">
        <f t="shared" si="175"/>
        <v/>
      </c>
      <c r="AE288" s="38" t="e">
        <f t="shared" si="176"/>
        <v>#VALUE!</v>
      </c>
      <c r="AF288" s="237" t="e">
        <f>((Summary!$N$8*(AA288*AD288)*(A288-$D$3))+(Summary!$M$8*Z288*AC288*(AJ288-EOMONTH(EDATE(A288,-1),0))))/(AK288*AB288*AE288)</f>
        <v>#VALUE!</v>
      </c>
      <c r="AG288" s="88" t="str">
        <f>IF($A289="","",Summary!$Q$8)</f>
        <v/>
      </c>
      <c r="AH288" s="88" t="str">
        <f>IF($A289="","",IF(Summary!$R$8="Y",(VLOOKUP($A288,Summary!$AD$6:$AF$9,3)+'Escalating commodity'!D301),'Escalating commodity'!D301))</f>
        <v/>
      </c>
      <c r="AI288" s="88" t="str">
        <f t="shared" si="191"/>
        <v/>
      </c>
      <c r="AJ288" s="236" t="e">
        <f t="shared" si="177"/>
        <v>#VALUE!</v>
      </c>
      <c r="AK288" s="58" t="str">
        <f t="shared" si="178"/>
        <v/>
      </c>
      <c r="AL288" s="26" t="str">
        <f>IF($A289="","",_xll.SPRDOPT(P288,X288,AI288,0,AB288,AE288,AF288,AK288,$AJ$2,0))</f>
        <v/>
      </c>
      <c r="AM288" s="89" t="str">
        <f t="shared" si="179"/>
        <v/>
      </c>
      <c r="AN288" s="89" t="str">
        <f t="shared" si="180"/>
        <v/>
      </c>
      <c r="AO288" s="3" t="str">
        <f t="shared" si="181"/>
        <v/>
      </c>
      <c r="AP288" s="33" t="str">
        <f t="shared" si="182"/>
        <v/>
      </c>
      <c r="AQ288" s="58" t="str">
        <f t="shared" si="183"/>
        <v/>
      </c>
      <c r="AR288" s="38">
        <f>'ANR OK vs ML7'!AR288</f>
        <v>0.1</v>
      </c>
      <c r="AS288" s="35" t="str">
        <f t="shared" si="184"/>
        <v/>
      </c>
      <c r="AT288" s="3" t="str">
        <f t="shared" si="185"/>
        <v/>
      </c>
      <c r="AU288" s="3" t="str">
        <f t="shared" si="186"/>
        <v/>
      </c>
      <c r="AW288" s="32" t="str">
        <f t="shared" si="187"/>
        <v/>
      </c>
      <c r="AX288" s="32" t="str">
        <f t="shared" si="188"/>
        <v/>
      </c>
      <c r="AY288" s="32" t="str">
        <f t="shared" si="189"/>
        <v/>
      </c>
      <c r="BA288" s="32" t="str">
        <f>IF($A289="","",F288*Summary!$Q$8)</f>
        <v/>
      </c>
    </row>
    <row r="289" spans="1:53" ht="12" customHeight="1">
      <c r="A289" s="67" t="str">
        <f t="shared" si="190"/>
        <v/>
      </c>
      <c r="B289" s="69">
        <f t="shared" si="192"/>
        <v>0</v>
      </c>
      <c r="C289" s="71"/>
      <c r="D289" s="69" t="str">
        <f t="shared" si="155"/>
        <v/>
      </c>
      <c r="E289" s="70" t="str">
        <f t="shared" si="156"/>
        <v/>
      </c>
      <c r="F289" s="70" t="str">
        <f t="shared" si="157"/>
        <v/>
      </c>
      <c r="G289" s="63" t="str">
        <f t="shared" si="158"/>
        <v/>
      </c>
      <c r="H289" s="64" t="str">
        <f t="shared" si="159"/>
        <v/>
      </c>
      <c r="I289" s="43"/>
      <c r="J289" s="63" t="str">
        <f t="shared" si="160"/>
        <v/>
      </c>
      <c r="K289" s="64" t="str">
        <f t="shared" si="161"/>
        <v/>
      </c>
      <c r="L289" s="63" t="str">
        <f t="shared" si="162"/>
        <v/>
      </c>
      <c r="M289" s="64" t="str">
        <f t="shared" si="163"/>
        <v/>
      </c>
      <c r="N289" s="65"/>
      <c r="O289" s="63" t="str">
        <f t="shared" si="164"/>
        <v/>
      </c>
      <c r="P289" s="63" t="str">
        <f t="shared" si="165"/>
        <v/>
      </c>
      <c r="Q289" s="66"/>
      <c r="R289" s="63" t="str">
        <f t="shared" si="166"/>
        <v/>
      </c>
      <c r="S289" s="64" t="str">
        <f t="shared" si="167"/>
        <v/>
      </c>
      <c r="T289" s="63" t="str">
        <f t="shared" si="168"/>
        <v/>
      </c>
      <c r="U289" s="64" t="str">
        <f t="shared" si="169"/>
        <v/>
      </c>
      <c r="V289" s="207" t="str">
        <f>IF($A290="","",IF(AND(MONTH(A289)&gt;3,MONTH(A289)&lt;11),(T289+R289+G289)*Summary!$T$8/(1-Summary!$T$8),(T289+R289+G289)*Summary!$U$8/(1-Summary!$U$8)))</f>
        <v/>
      </c>
      <c r="W289" s="63" t="str">
        <f t="shared" si="170"/>
        <v/>
      </c>
      <c r="X289" s="63" t="str">
        <f t="shared" si="171"/>
        <v/>
      </c>
      <c r="Y289" s="43"/>
      <c r="Z289" s="38" t="str">
        <f t="shared" si="172"/>
        <v/>
      </c>
      <c r="AA289" s="38" t="str">
        <f t="shared" si="173"/>
        <v/>
      </c>
      <c r="AB289" s="38" t="e">
        <f t="shared" si="174"/>
        <v>#VALUE!</v>
      </c>
      <c r="AC289" s="38" t="str">
        <f t="shared" si="175"/>
        <v/>
      </c>
      <c r="AD289" s="38" t="str">
        <f t="shared" si="175"/>
        <v/>
      </c>
      <c r="AE289" s="38" t="e">
        <f t="shared" si="176"/>
        <v>#VALUE!</v>
      </c>
      <c r="AF289" s="237" t="e">
        <f>((Summary!$N$8*(AA289*AD289)*(A289-$D$3))+(Summary!$M$8*Z289*AC289*(AJ289-EOMONTH(EDATE(A289,-1),0))))/(AK289*AB289*AE289)</f>
        <v>#VALUE!</v>
      </c>
      <c r="AG289" s="88" t="str">
        <f>IF($A290="","",Summary!$Q$8)</f>
        <v/>
      </c>
      <c r="AH289" s="88" t="str">
        <f>IF($A290="","",IF(Summary!$R$8="Y",(VLOOKUP($A289,Summary!$AD$6:$AF$9,3)+'Escalating commodity'!D302),'Escalating commodity'!D302))</f>
        <v/>
      </c>
      <c r="AI289" s="88" t="str">
        <f t="shared" si="191"/>
        <v/>
      </c>
      <c r="AJ289" s="236" t="e">
        <f t="shared" si="177"/>
        <v>#VALUE!</v>
      </c>
      <c r="AK289" s="58" t="str">
        <f t="shared" si="178"/>
        <v/>
      </c>
      <c r="AL289" s="26" t="str">
        <f>IF($A290="","",_xll.SPRDOPT(P289,X289,AI289,0,AB289,AE289,AF289,AK289,$AJ$2,0))</f>
        <v/>
      </c>
      <c r="AM289" s="89" t="str">
        <f t="shared" si="179"/>
        <v/>
      </c>
      <c r="AN289" s="89" t="str">
        <f t="shared" si="180"/>
        <v/>
      </c>
      <c r="AO289" s="3" t="str">
        <f t="shared" si="181"/>
        <v/>
      </c>
      <c r="AP289" s="33" t="str">
        <f t="shared" si="182"/>
        <v/>
      </c>
      <c r="AQ289" s="58" t="str">
        <f t="shared" si="183"/>
        <v/>
      </c>
      <c r="AR289" s="38">
        <f>'ANR OK vs ML7'!AR289</f>
        <v>0.1</v>
      </c>
      <c r="AS289" s="35" t="str">
        <f t="shared" si="184"/>
        <v/>
      </c>
      <c r="AT289" s="3" t="str">
        <f t="shared" si="185"/>
        <v/>
      </c>
      <c r="AU289" s="3" t="str">
        <f t="shared" si="186"/>
        <v/>
      </c>
      <c r="AW289" s="32" t="str">
        <f t="shared" si="187"/>
        <v/>
      </c>
      <c r="AX289" s="32" t="str">
        <f t="shared" si="188"/>
        <v/>
      </c>
      <c r="AY289" s="32" t="str">
        <f t="shared" si="189"/>
        <v/>
      </c>
      <c r="BA289" s="32" t="str">
        <f>IF($A290="","",F289*Summary!$Q$8)</f>
        <v/>
      </c>
    </row>
    <row r="290" spans="1:53" ht="12" customHeight="1">
      <c r="A290" s="67" t="str">
        <f t="shared" si="190"/>
        <v/>
      </c>
      <c r="B290" s="69">
        <f t="shared" si="192"/>
        <v>0</v>
      </c>
      <c r="C290" s="71"/>
      <c r="D290" s="69" t="str">
        <f t="shared" si="155"/>
        <v/>
      </c>
      <c r="E290" s="70" t="str">
        <f t="shared" si="156"/>
        <v/>
      </c>
      <c r="F290" s="70" t="str">
        <f t="shared" si="157"/>
        <v/>
      </c>
      <c r="G290" s="63" t="str">
        <f t="shared" si="158"/>
        <v/>
      </c>
      <c r="H290" s="64" t="str">
        <f t="shared" si="159"/>
        <v/>
      </c>
      <c r="I290" s="43"/>
      <c r="J290" s="63" t="str">
        <f t="shared" si="160"/>
        <v/>
      </c>
      <c r="K290" s="64" t="str">
        <f t="shared" si="161"/>
        <v/>
      </c>
      <c r="L290" s="63" t="str">
        <f t="shared" si="162"/>
        <v/>
      </c>
      <c r="M290" s="64" t="str">
        <f t="shared" si="163"/>
        <v/>
      </c>
      <c r="N290" s="65"/>
      <c r="O290" s="63" t="str">
        <f t="shared" si="164"/>
        <v/>
      </c>
      <c r="P290" s="63" t="str">
        <f t="shared" si="165"/>
        <v/>
      </c>
      <c r="Q290" s="66"/>
      <c r="R290" s="63" t="str">
        <f t="shared" si="166"/>
        <v/>
      </c>
      <c r="S290" s="64" t="str">
        <f t="shared" si="167"/>
        <v/>
      </c>
      <c r="T290" s="63" t="str">
        <f t="shared" si="168"/>
        <v/>
      </c>
      <c r="U290" s="64" t="str">
        <f t="shared" si="169"/>
        <v/>
      </c>
      <c r="V290" s="207" t="str">
        <f>IF($A291="","",IF(AND(MONTH(A290)&gt;3,MONTH(A290)&lt;11),(T290+R290+G290)*Summary!$T$8/(1-Summary!$T$8),(T290+R290+G290)*Summary!$U$8/(1-Summary!$U$8)))</f>
        <v/>
      </c>
      <c r="W290" s="63" t="str">
        <f t="shared" si="170"/>
        <v/>
      </c>
      <c r="X290" s="63" t="str">
        <f t="shared" si="171"/>
        <v/>
      </c>
      <c r="Y290" s="43"/>
      <c r="Z290" s="38" t="str">
        <f t="shared" si="172"/>
        <v/>
      </c>
      <c r="AA290" s="38" t="str">
        <f t="shared" si="173"/>
        <v/>
      </c>
      <c r="AB290" s="38" t="e">
        <f t="shared" si="174"/>
        <v>#VALUE!</v>
      </c>
      <c r="AC290" s="38" t="str">
        <f t="shared" si="175"/>
        <v/>
      </c>
      <c r="AD290" s="38" t="str">
        <f t="shared" si="175"/>
        <v/>
      </c>
      <c r="AE290" s="38" t="e">
        <f t="shared" si="176"/>
        <v>#VALUE!</v>
      </c>
      <c r="AF290" s="237" t="e">
        <f>((Summary!$N$8*(AA290*AD290)*(A290-$D$3))+(Summary!$M$8*Z290*AC290*(AJ290-EOMONTH(EDATE(A290,-1),0))))/(AK290*AB290*AE290)</f>
        <v>#VALUE!</v>
      </c>
      <c r="AG290" s="88" t="str">
        <f>IF($A291="","",Summary!$Q$8)</f>
        <v/>
      </c>
      <c r="AH290" s="88" t="str">
        <f>IF($A291="","",IF(Summary!$R$8="Y",(VLOOKUP($A290,Summary!$AD$6:$AF$9,3)+'Escalating commodity'!D303),'Escalating commodity'!D303))</f>
        <v/>
      </c>
      <c r="AI290" s="88" t="str">
        <f t="shared" si="191"/>
        <v/>
      </c>
      <c r="AJ290" s="236" t="e">
        <f t="shared" si="177"/>
        <v>#VALUE!</v>
      </c>
      <c r="AK290" s="58" t="str">
        <f t="shared" si="178"/>
        <v/>
      </c>
      <c r="AL290" s="26" t="str">
        <f>IF($A291="","",_xll.SPRDOPT(P290,X290,AI290,0,AB290,AE290,AF290,AK290,$AJ$2,0))</f>
        <v/>
      </c>
      <c r="AM290" s="89" t="str">
        <f t="shared" si="179"/>
        <v/>
      </c>
      <c r="AN290" s="89" t="str">
        <f t="shared" si="180"/>
        <v/>
      </c>
      <c r="AO290" s="3" t="str">
        <f t="shared" si="181"/>
        <v/>
      </c>
      <c r="AP290" s="33" t="str">
        <f t="shared" si="182"/>
        <v/>
      </c>
      <c r="AQ290" s="58" t="str">
        <f t="shared" si="183"/>
        <v/>
      </c>
      <c r="AR290" s="38">
        <f>'ANR OK vs ML7'!AR290</f>
        <v>0.1</v>
      </c>
      <c r="AS290" s="35" t="str">
        <f t="shared" si="184"/>
        <v/>
      </c>
      <c r="AT290" s="3" t="str">
        <f t="shared" si="185"/>
        <v/>
      </c>
      <c r="AU290" s="3" t="str">
        <f t="shared" si="186"/>
        <v/>
      </c>
      <c r="AW290" s="32" t="str">
        <f t="shared" si="187"/>
        <v/>
      </c>
      <c r="AX290" s="32" t="str">
        <f t="shared" si="188"/>
        <v/>
      </c>
      <c r="AY290" s="32" t="str">
        <f t="shared" si="189"/>
        <v/>
      </c>
      <c r="BA290" s="32" t="str">
        <f>IF($A291="","",F290*Summary!$Q$8)</f>
        <v/>
      </c>
    </row>
    <row r="291" spans="1:53" ht="12" customHeight="1">
      <c r="A291" s="67" t="str">
        <f t="shared" si="190"/>
        <v/>
      </c>
      <c r="B291" s="69">
        <f t="shared" si="192"/>
        <v>0</v>
      </c>
      <c r="C291" s="71"/>
      <c r="D291" s="69" t="str">
        <f t="shared" si="155"/>
        <v/>
      </c>
      <c r="E291" s="70" t="str">
        <f t="shared" si="156"/>
        <v/>
      </c>
      <c r="F291" s="70" t="str">
        <f t="shared" si="157"/>
        <v/>
      </c>
      <c r="G291" s="63" t="str">
        <f t="shared" si="158"/>
        <v/>
      </c>
      <c r="H291" s="64" t="str">
        <f t="shared" si="159"/>
        <v/>
      </c>
      <c r="I291" s="43"/>
      <c r="J291" s="63" t="str">
        <f t="shared" si="160"/>
        <v/>
      </c>
      <c r="K291" s="64" t="str">
        <f t="shared" si="161"/>
        <v/>
      </c>
      <c r="L291" s="63" t="str">
        <f t="shared" si="162"/>
        <v/>
      </c>
      <c r="M291" s="64" t="str">
        <f t="shared" si="163"/>
        <v/>
      </c>
      <c r="N291" s="65"/>
      <c r="O291" s="63" t="str">
        <f t="shared" si="164"/>
        <v/>
      </c>
      <c r="P291" s="63" t="str">
        <f t="shared" si="165"/>
        <v/>
      </c>
      <c r="Q291" s="66"/>
      <c r="R291" s="63" t="str">
        <f t="shared" si="166"/>
        <v/>
      </c>
      <c r="S291" s="64" t="str">
        <f t="shared" si="167"/>
        <v/>
      </c>
      <c r="T291" s="63" t="str">
        <f t="shared" si="168"/>
        <v/>
      </c>
      <c r="U291" s="64" t="str">
        <f t="shared" si="169"/>
        <v/>
      </c>
      <c r="V291" s="207" t="str">
        <f>IF($A292="","",IF(AND(MONTH(A291)&gt;3,MONTH(A291)&lt;11),(T291+R291+G291)*Summary!$T$8/(1-Summary!$T$8),(T291+R291+G291)*Summary!$U$8/(1-Summary!$U$8)))</f>
        <v/>
      </c>
      <c r="W291" s="63" t="str">
        <f t="shared" si="170"/>
        <v/>
      </c>
      <c r="X291" s="63" t="str">
        <f t="shared" si="171"/>
        <v/>
      </c>
      <c r="Y291" s="43"/>
      <c r="Z291" s="38" t="str">
        <f t="shared" si="172"/>
        <v/>
      </c>
      <c r="AA291" s="38" t="str">
        <f t="shared" si="173"/>
        <v/>
      </c>
      <c r="AB291" s="38" t="e">
        <f t="shared" si="174"/>
        <v>#VALUE!</v>
      </c>
      <c r="AC291" s="38" t="str">
        <f t="shared" si="175"/>
        <v/>
      </c>
      <c r="AD291" s="38" t="str">
        <f t="shared" si="175"/>
        <v/>
      </c>
      <c r="AE291" s="38" t="e">
        <f t="shared" si="176"/>
        <v>#VALUE!</v>
      </c>
      <c r="AF291" s="237" t="e">
        <f>((Summary!$N$8*(AA291*AD291)*(A291-$D$3))+(Summary!$M$8*Z291*AC291*(AJ291-EOMONTH(EDATE(A291,-1),0))))/(AK291*AB291*AE291)</f>
        <v>#VALUE!</v>
      </c>
      <c r="AG291" s="88" t="str">
        <f>IF($A292="","",Summary!$Q$8)</f>
        <v/>
      </c>
      <c r="AH291" s="88" t="str">
        <f>IF($A292="","",IF(Summary!$R$8="Y",(VLOOKUP($A291,Summary!$AD$6:$AF$9,3)+'Escalating commodity'!D304),'Escalating commodity'!D304))</f>
        <v/>
      </c>
      <c r="AI291" s="88" t="str">
        <f t="shared" si="191"/>
        <v/>
      </c>
      <c r="AJ291" s="236" t="e">
        <f t="shared" si="177"/>
        <v>#VALUE!</v>
      </c>
      <c r="AK291" s="58" t="str">
        <f t="shared" si="178"/>
        <v/>
      </c>
      <c r="AL291" s="26" t="str">
        <f>IF($A292="","",_xll.SPRDOPT(P291,X291,AI291,0,AB291,AE291,AF291,AK291,$AJ$2,0))</f>
        <v/>
      </c>
      <c r="AM291" s="89" t="str">
        <f t="shared" si="179"/>
        <v/>
      </c>
      <c r="AN291" s="89" t="str">
        <f t="shared" si="180"/>
        <v/>
      </c>
      <c r="AO291" s="3" t="str">
        <f t="shared" si="181"/>
        <v/>
      </c>
      <c r="AP291" s="33" t="str">
        <f t="shared" si="182"/>
        <v/>
      </c>
      <c r="AQ291" s="58" t="str">
        <f t="shared" si="183"/>
        <v/>
      </c>
      <c r="AR291" s="38">
        <f>'ANR OK vs ML7'!AR291</f>
        <v>0.1</v>
      </c>
      <c r="AS291" s="35" t="str">
        <f t="shared" si="184"/>
        <v/>
      </c>
      <c r="AT291" s="3" t="str">
        <f t="shared" si="185"/>
        <v/>
      </c>
      <c r="AU291" s="3" t="str">
        <f t="shared" si="186"/>
        <v/>
      </c>
      <c r="AW291" s="32" t="str">
        <f t="shared" si="187"/>
        <v/>
      </c>
      <c r="AX291" s="32" t="str">
        <f t="shared" si="188"/>
        <v/>
      </c>
      <c r="AY291" s="32" t="str">
        <f t="shared" si="189"/>
        <v/>
      </c>
      <c r="BA291" s="32" t="str">
        <f>IF($A292="","",F291*Summary!$Q$8)</f>
        <v/>
      </c>
    </row>
    <row r="292" spans="1:53" ht="12" customHeight="1">
      <c r="A292" s="67" t="str">
        <f t="shared" si="190"/>
        <v/>
      </c>
      <c r="B292" s="69">
        <f t="shared" si="192"/>
        <v>0</v>
      </c>
      <c r="C292" s="71"/>
      <c r="D292" s="69" t="str">
        <f t="shared" si="155"/>
        <v/>
      </c>
      <c r="E292" s="70" t="str">
        <f t="shared" si="156"/>
        <v/>
      </c>
      <c r="F292" s="70" t="str">
        <f t="shared" si="157"/>
        <v/>
      </c>
      <c r="G292" s="63" t="str">
        <f t="shared" si="158"/>
        <v/>
      </c>
      <c r="H292" s="64" t="str">
        <f t="shared" si="159"/>
        <v/>
      </c>
      <c r="I292" s="43"/>
      <c r="J292" s="63" t="str">
        <f t="shared" si="160"/>
        <v/>
      </c>
      <c r="K292" s="64" t="str">
        <f t="shared" si="161"/>
        <v/>
      </c>
      <c r="L292" s="63" t="str">
        <f t="shared" si="162"/>
        <v/>
      </c>
      <c r="M292" s="64" t="str">
        <f t="shared" si="163"/>
        <v/>
      </c>
      <c r="N292" s="65"/>
      <c r="O292" s="63" t="str">
        <f t="shared" si="164"/>
        <v/>
      </c>
      <c r="P292" s="63" t="str">
        <f t="shared" si="165"/>
        <v/>
      </c>
      <c r="Q292" s="66"/>
      <c r="R292" s="63" t="str">
        <f t="shared" si="166"/>
        <v/>
      </c>
      <c r="S292" s="64" t="str">
        <f t="shared" si="167"/>
        <v/>
      </c>
      <c r="T292" s="63" t="str">
        <f t="shared" si="168"/>
        <v/>
      </c>
      <c r="U292" s="64" t="str">
        <f t="shared" si="169"/>
        <v/>
      </c>
      <c r="V292" s="207" t="str">
        <f>IF($A293="","",IF(AND(MONTH(A292)&gt;3,MONTH(A292)&lt;11),(T292+R292+G292)*Summary!$T$8/(1-Summary!$T$8),(T292+R292+G292)*Summary!$U$8/(1-Summary!$U$8)))</f>
        <v/>
      </c>
      <c r="W292" s="63" t="str">
        <f t="shared" si="170"/>
        <v/>
      </c>
      <c r="X292" s="63" t="str">
        <f t="shared" si="171"/>
        <v/>
      </c>
      <c r="Y292" s="43"/>
      <c r="Z292" s="38" t="str">
        <f t="shared" si="172"/>
        <v/>
      </c>
      <c r="AA292" s="38" t="str">
        <f t="shared" si="173"/>
        <v/>
      </c>
      <c r="AB292" s="38" t="e">
        <f t="shared" si="174"/>
        <v>#VALUE!</v>
      </c>
      <c r="AC292" s="38" t="str">
        <f t="shared" si="175"/>
        <v/>
      </c>
      <c r="AD292" s="38" t="str">
        <f t="shared" si="175"/>
        <v/>
      </c>
      <c r="AE292" s="38" t="e">
        <f t="shared" si="176"/>
        <v>#VALUE!</v>
      </c>
      <c r="AF292" s="237" t="e">
        <f>((Summary!$N$8*(AA292*AD292)*(A292-$D$3))+(Summary!$M$8*Z292*AC292*(AJ292-EOMONTH(EDATE(A292,-1),0))))/(AK292*AB292*AE292)</f>
        <v>#VALUE!</v>
      </c>
      <c r="AG292" s="88" t="str">
        <f>IF($A293="","",Summary!$Q$8)</f>
        <v/>
      </c>
      <c r="AH292" s="88" t="str">
        <f>IF($A293="","",IF(Summary!$R$8="Y",(VLOOKUP($A292,Summary!$AD$6:$AF$9,3)+'Escalating commodity'!D305),'Escalating commodity'!D305))</f>
        <v/>
      </c>
      <c r="AI292" s="88" t="str">
        <f t="shared" si="191"/>
        <v/>
      </c>
      <c r="AJ292" s="236" t="e">
        <f t="shared" si="177"/>
        <v>#VALUE!</v>
      </c>
      <c r="AK292" s="58" t="str">
        <f t="shared" si="178"/>
        <v/>
      </c>
      <c r="AL292" s="26" t="str">
        <f>IF($A293="","",_xll.SPRDOPT(P292,X292,AI292,0,AB292,AE292,AF292,AK292,$AJ$2,0))</f>
        <v/>
      </c>
      <c r="AM292" s="89" t="str">
        <f t="shared" si="179"/>
        <v/>
      </c>
      <c r="AN292" s="89" t="str">
        <f t="shared" si="180"/>
        <v/>
      </c>
      <c r="AO292" s="3" t="str">
        <f t="shared" si="181"/>
        <v/>
      </c>
      <c r="AP292" s="33" t="str">
        <f t="shared" si="182"/>
        <v/>
      </c>
      <c r="AQ292" s="58" t="str">
        <f t="shared" si="183"/>
        <v/>
      </c>
      <c r="AR292" s="38">
        <f>'ANR OK vs ML7'!AR292</f>
        <v>0.1</v>
      </c>
      <c r="AS292" s="35" t="str">
        <f t="shared" si="184"/>
        <v/>
      </c>
      <c r="AT292" s="3" t="str">
        <f t="shared" si="185"/>
        <v/>
      </c>
      <c r="AU292" s="3" t="str">
        <f t="shared" si="186"/>
        <v/>
      </c>
      <c r="AW292" s="32" t="str">
        <f t="shared" si="187"/>
        <v/>
      </c>
      <c r="AX292" s="32" t="str">
        <f t="shared" si="188"/>
        <v/>
      </c>
      <c r="AY292" s="32" t="str">
        <f t="shared" si="189"/>
        <v/>
      </c>
      <c r="BA292" s="32" t="str">
        <f>IF($A293="","",F292*Summary!$Q$8)</f>
        <v/>
      </c>
    </row>
    <row r="293" spans="1:53" ht="12" customHeight="1">
      <c r="A293" s="67" t="str">
        <f t="shared" si="190"/>
        <v/>
      </c>
      <c r="B293" s="69">
        <f t="shared" si="192"/>
        <v>0</v>
      </c>
      <c r="C293" s="71"/>
      <c r="D293" s="69" t="str">
        <f t="shared" si="155"/>
        <v/>
      </c>
      <c r="E293" s="70" t="str">
        <f t="shared" si="156"/>
        <v/>
      </c>
      <c r="F293" s="70" t="str">
        <f t="shared" si="157"/>
        <v/>
      </c>
      <c r="G293" s="63" t="str">
        <f t="shared" si="158"/>
        <v/>
      </c>
      <c r="H293" s="64" t="str">
        <f t="shared" si="159"/>
        <v/>
      </c>
      <c r="I293" s="43"/>
      <c r="J293" s="63" t="str">
        <f t="shared" si="160"/>
        <v/>
      </c>
      <c r="K293" s="64" t="str">
        <f t="shared" si="161"/>
        <v/>
      </c>
      <c r="L293" s="63" t="str">
        <f t="shared" si="162"/>
        <v/>
      </c>
      <c r="M293" s="64" t="str">
        <f t="shared" si="163"/>
        <v/>
      </c>
      <c r="N293" s="65"/>
      <c r="O293" s="63" t="str">
        <f t="shared" si="164"/>
        <v/>
      </c>
      <c r="P293" s="63" t="str">
        <f t="shared" si="165"/>
        <v/>
      </c>
      <c r="Q293" s="66"/>
      <c r="R293" s="63" t="str">
        <f t="shared" si="166"/>
        <v/>
      </c>
      <c r="S293" s="64" t="str">
        <f t="shared" si="167"/>
        <v/>
      </c>
      <c r="T293" s="63" t="str">
        <f t="shared" si="168"/>
        <v/>
      </c>
      <c r="U293" s="64" t="str">
        <f t="shared" si="169"/>
        <v/>
      </c>
      <c r="V293" s="207" t="str">
        <f>IF($A294="","",IF(AND(MONTH(A293)&gt;3,MONTH(A293)&lt;11),(T293+R293+G293)*Summary!$T$8/(1-Summary!$T$8),(T293+R293+G293)*Summary!$U$8/(1-Summary!$U$8)))</f>
        <v/>
      </c>
      <c r="W293" s="63" t="str">
        <f t="shared" si="170"/>
        <v/>
      </c>
      <c r="X293" s="63" t="str">
        <f t="shared" si="171"/>
        <v/>
      </c>
      <c r="Y293" s="43"/>
      <c r="Z293" s="38" t="str">
        <f t="shared" si="172"/>
        <v/>
      </c>
      <c r="AA293" s="38" t="str">
        <f t="shared" si="173"/>
        <v/>
      </c>
      <c r="AB293" s="38" t="e">
        <f t="shared" si="174"/>
        <v>#VALUE!</v>
      </c>
      <c r="AC293" s="38" t="str">
        <f t="shared" si="175"/>
        <v/>
      </c>
      <c r="AD293" s="38" t="str">
        <f t="shared" si="175"/>
        <v/>
      </c>
      <c r="AE293" s="38" t="e">
        <f t="shared" si="176"/>
        <v>#VALUE!</v>
      </c>
      <c r="AF293" s="237" t="e">
        <f>((Summary!$N$8*(AA293*AD293)*(A293-$D$3))+(Summary!$M$8*Z293*AC293*(AJ293-EOMONTH(EDATE(A293,-1),0))))/(AK293*AB293*AE293)</f>
        <v>#VALUE!</v>
      </c>
      <c r="AG293" s="88" t="str">
        <f>IF($A294="","",Summary!$Q$8)</f>
        <v/>
      </c>
      <c r="AH293" s="88" t="str">
        <f>IF($A294="","",IF(Summary!$R$8="Y",(VLOOKUP($A293,Summary!$AD$6:$AF$9,3)+'Escalating commodity'!D306),'Escalating commodity'!D306))</f>
        <v/>
      </c>
      <c r="AI293" s="88" t="str">
        <f t="shared" si="191"/>
        <v/>
      </c>
      <c r="AJ293" s="236" t="e">
        <f t="shared" si="177"/>
        <v>#VALUE!</v>
      </c>
      <c r="AK293" s="58" t="str">
        <f t="shared" si="178"/>
        <v/>
      </c>
      <c r="AL293" s="26" t="str">
        <f>IF($A294="","",_xll.SPRDOPT(P293,X293,AI293,0,AB293,AE293,AF293,AK293,$AJ$2,0))</f>
        <v/>
      </c>
      <c r="AM293" s="89" t="str">
        <f t="shared" si="179"/>
        <v/>
      </c>
      <c r="AN293" s="89" t="str">
        <f t="shared" si="180"/>
        <v/>
      </c>
      <c r="AO293" s="3" t="str">
        <f t="shared" si="181"/>
        <v/>
      </c>
      <c r="AP293" s="33" t="str">
        <f t="shared" si="182"/>
        <v/>
      </c>
      <c r="AQ293" s="58" t="str">
        <f t="shared" si="183"/>
        <v/>
      </c>
      <c r="AR293" s="38">
        <f>'ANR OK vs ML7'!AR293</f>
        <v>0.1</v>
      </c>
      <c r="AS293" s="35" t="str">
        <f t="shared" si="184"/>
        <v/>
      </c>
      <c r="AT293" s="3" t="str">
        <f t="shared" si="185"/>
        <v/>
      </c>
      <c r="AU293" s="3" t="str">
        <f t="shared" si="186"/>
        <v/>
      </c>
      <c r="AW293" s="32" t="str">
        <f t="shared" si="187"/>
        <v/>
      </c>
      <c r="AX293" s="32" t="str">
        <f t="shared" si="188"/>
        <v/>
      </c>
      <c r="AY293" s="32" t="str">
        <f t="shared" si="189"/>
        <v/>
      </c>
      <c r="BA293" s="32" t="str">
        <f>IF($A294="","",F293*Summary!$Q$8)</f>
        <v/>
      </c>
    </row>
    <row r="294" spans="1:53" ht="12" customHeight="1">
      <c r="A294" s="67" t="str">
        <f t="shared" si="190"/>
        <v/>
      </c>
      <c r="B294" s="69">
        <f t="shared" si="192"/>
        <v>0</v>
      </c>
      <c r="C294" s="71"/>
      <c r="D294" s="69" t="str">
        <f t="shared" si="155"/>
        <v/>
      </c>
      <c r="E294" s="70" t="str">
        <f t="shared" si="156"/>
        <v/>
      </c>
      <c r="F294" s="70" t="str">
        <f t="shared" si="157"/>
        <v/>
      </c>
      <c r="G294" s="63" t="str">
        <f t="shared" si="158"/>
        <v/>
      </c>
      <c r="H294" s="64" t="str">
        <f t="shared" si="159"/>
        <v/>
      </c>
      <c r="I294" s="43"/>
      <c r="J294" s="63" t="str">
        <f t="shared" si="160"/>
        <v/>
      </c>
      <c r="K294" s="64" t="str">
        <f t="shared" si="161"/>
        <v/>
      </c>
      <c r="L294" s="63" t="str">
        <f t="shared" si="162"/>
        <v/>
      </c>
      <c r="M294" s="64" t="str">
        <f t="shared" si="163"/>
        <v/>
      </c>
      <c r="N294" s="65"/>
      <c r="O294" s="63" t="str">
        <f t="shared" si="164"/>
        <v/>
      </c>
      <c r="P294" s="63" t="str">
        <f t="shared" si="165"/>
        <v/>
      </c>
      <c r="Q294" s="66"/>
      <c r="R294" s="63" t="str">
        <f t="shared" si="166"/>
        <v/>
      </c>
      <c r="S294" s="64" t="str">
        <f t="shared" si="167"/>
        <v/>
      </c>
      <c r="T294" s="63" t="str">
        <f t="shared" si="168"/>
        <v/>
      </c>
      <c r="U294" s="64" t="str">
        <f t="shared" si="169"/>
        <v/>
      </c>
      <c r="V294" s="207" t="str">
        <f>IF($A295="","",IF(AND(MONTH(A294)&gt;3,MONTH(A294)&lt;11),(T294+R294+G294)*Summary!$T$8/(1-Summary!$T$8),(T294+R294+G294)*Summary!$U$8/(1-Summary!$U$8)))</f>
        <v/>
      </c>
      <c r="W294" s="63" t="str">
        <f t="shared" si="170"/>
        <v/>
      </c>
      <c r="X294" s="63" t="str">
        <f t="shared" si="171"/>
        <v/>
      </c>
      <c r="Y294" s="43"/>
      <c r="Z294" s="38" t="str">
        <f t="shared" si="172"/>
        <v/>
      </c>
      <c r="AA294" s="38" t="str">
        <f t="shared" si="173"/>
        <v/>
      </c>
      <c r="AB294" s="38" t="e">
        <f t="shared" si="174"/>
        <v>#VALUE!</v>
      </c>
      <c r="AC294" s="38" t="str">
        <f t="shared" si="175"/>
        <v/>
      </c>
      <c r="AD294" s="38" t="str">
        <f t="shared" si="175"/>
        <v/>
      </c>
      <c r="AE294" s="38" t="e">
        <f t="shared" si="176"/>
        <v>#VALUE!</v>
      </c>
      <c r="AF294" s="237" t="e">
        <f>((Summary!$N$8*(AA294*AD294)*(A294-$D$3))+(Summary!$M$8*Z294*AC294*(AJ294-EOMONTH(EDATE(A294,-1),0))))/(AK294*AB294*AE294)</f>
        <v>#VALUE!</v>
      </c>
      <c r="AG294" s="88" t="str">
        <f>IF($A295="","",Summary!$Q$8)</f>
        <v/>
      </c>
      <c r="AH294" s="88" t="str">
        <f>IF($A295="","",IF(Summary!$R$8="Y",(VLOOKUP($A294,Summary!$AD$6:$AF$9,3)+'Escalating commodity'!D307),'Escalating commodity'!D307))</f>
        <v/>
      </c>
      <c r="AI294" s="88" t="str">
        <f t="shared" si="191"/>
        <v/>
      </c>
      <c r="AJ294" s="236" t="e">
        <f t="shared" si="177"/>
        <v>#VALUE!</v>
      </c>
      <c r="AK294" s="58" t="str">
        <f t="shared" si="178"/>
        <v/>
      </c>
      <c r="AL294" s="26" t="str">
        <f>IF($A295="","",_xll.SPRDOPT(P294,X294,AI294,0,AB294,AE294,AF294,AK294,$AJ$2,0))</f>
        <v/>
      </c>
      <c r="AM294" s="89" t="str">
        <f t="shared" si="179"/>
        <v/>
      </c>
      <c r="AN294" s="89" t="str">
        <f t="shared" si="180"/>
        <v/>
      </c>
      <c r="AO294" s="3" t="str">
        <f t="shared" si="181"/>
        <v/>
      </c>
      <c r="AP294" s="33" t="str">
        <f t="shared" si="182"/>
        <v/>
      </c>
      <c r="AQ294" s="58" t="str">
        <f t="shared" si="183"/>
        <v/>
      </c>
      <c r="AR294" s="38">
        <f>'ANR OK vs ML7'!AR294</f>
        <v>0.1</v>
      </c>
      <c r="AS294" s="35" t="str">
        <f t="shared" si="184"/>
        <v/>
      </c>
      <c r="AT294" s="3" t="str">
        <f t="shared" si="185"/>
        <v/>
      </c>
      <c r="AU294" s="3" t="str">
        <f t="shared" si="186"/>
        <v/>
      </c>
      <c r="AW294" s="32" t="str">
        <f t="shared" si="187"/>
        <v/>
      </c>
      <c r="AX294" s="32" t="str">
        <f t="shared" si="188"/>
        <v/>
      </c>
      <c r="AY294" s="32" t="str">
        <f t="shared" si="189"/>
        <v/>
      </c>
      <c r="BA294" s="32" t="str">
        <f>IF($A295="","",F294*Summary!$Q$8)</f>
        <v/>
      </c>
    </row>
    <row r="295" spans="1:53" ht="12" customHeight="1">
      <c r="A295" s="67" t="str">
        <f t="shared" si="190"/>
        <v/>
      </c>
      <c r="B295" s="69">
        <f t="shared" si="192"/>
        <v>0</v>
      </c>
      <c r="C295" s="71"/>
      <c r="D295" s="69" t="str">
        <f t="shared" si="155"/>
        <v/>
      </c>
      <c r="E295" s="70" t="str">
        <f t="shared" si="156"/>
        <v/>
      </c>
      <c r="F295" s="70" t="str">
        <f t="shared" si="157"/>
        <v/>
      </c>
      <c r="G295" s="63" t="str">
        <f t="shared" si="158"/>
        <v/>
      </c>
      <c r="H295" s="64" t="str">
        <f t="shared" si="159"/>
        <v/>
      </c>
      <c r="I295" s="43"/>
      <c r="J295" s="63" t="str">
        <f t="shared" si="160"/>
        <v/>
      </c>
      <c r="K295" s="64" t="str">
        <f t="shared" si="161"/>
        <v/>
      </c>
      <c r="L295" s="63" t="str">
        <f t="shared" si="162"/>
        <v/>
      </c>
      <c r="M295" s="64" t="str">
        <f t="shared" si="163"/>
        <v/>
      </c>
      <c r="N295" s="65"/>
      <c r="O295" s="63" t="str">
        <f t="shared" si="164"/>
        <v/>
      </c>
      <c r="P295" s="63" t="str">
        <f t="shared" si="165"/>
        <v/>
      </c>
      <c r="Q295" s="66"/>
      <c r="R295" s="63" t="str">
        <f t="shared" si="166"/>
        <v/>
      </c>
      <c r="S295" s="64" t="str">
        <f t="shared" si="167"/>
        <v/>
      </c>
      <c r="T295" s="63" t="str">
        <f t="shared" si="168"/>
        <v/>
      </c>
      <c r="U295" s="64" t="str">
        <f t="shared" si="169"/>
        <v/>
      </c>
      <c r="V295" s="207" t="str">
        <f>IF($A296="","",IF(AND(MONTH(A295)&gt;3,MONTH(A295)&lt;11),(T295+R295+G295)*Summary!$T$8/(1-Summary!$T$8),(T295+R295+G295)*Summary!$U$8/(1-Summary!$U$8)))</f>
        <v/>
      </c>
      <c r="W295" s="63" t="str">
        <f t="shared" si="170"/>
        <v/>
      </c>
      <c r="X295" s="63" t="str">
        <f t="shared" si="171"/>
        <v/>
      </c>
      <c r="Y295" s="43"/>
      <c r="Z295" s="38" t="str">
        <f t="shared" si="172"/>
        <v/>
      </c>
      <c r="AA295" s="38" t="str">
        <f t="shared" si="173"/>
        <v/>
      </c>
      <c r="AB295" s="38" t="e">
        <f t="shared" si="174"/>
        <v>#VALUE!</v>
      </c>
      <c r="AC295" s="38" t="str">
        <f t="shared" si="175"/>
        <v/>
      </c>
      <c r="AD295" s="38" t="str">
        <f t="shared" si="175"/>
        <v/>
      </c>
      <c r="AE295" s="38" t="e">
        <f t="shared" si="176"/>
        <v>#VALUE!</v>
      </c>
      <c r="AF295" s="237" t="e">
        <f>((Summary!$N$8*(AA295*AD295)*(A295-$D$3))+(Summary!$M$8*Z295*AC295*(AJ295-EOMONTH(EDATE(A295,-1),0))))/(AK295*AB295*AE295)</f>
        <v>#VALUE!</v>
      </c>
      <c r="AG295" s="88" t="str">
        <f>IF($A296="","",Summary!$Q$8)</f>
        <v/>
      </c>
      <c r="AH295" s="88" t="str">
        <f>IF($A296="","",IF(Summary!$R$8="Y",(VLOOKUP($A295,Summary!$AD$6:$AF$9,3)+'Escalating commodity'!D308),'Escalating commodity'!D308))</f>
        <v/>
      </c>
      <c r="AI295" s="88" t="str">
        <f t="shared" si="191"/>
        <v/>
      </c>
      <c r="AJ295" s="236" t="e">
        <f t="shared" si="177"/>
        <v>#VALUE!</v>
      </c>
      <c r="AK295" s="58" t="str">
        <f t="shared" si="178"/>
        <v/>
      </c>
      <c r="AL295" s="26" t="str">
        <f>IF($A296="","",_xll.SPRDOPT(P295,X295,AI295,0,AB295,AE295,AF295,AK295,$AJ$2,0))</f>
        <v/>
      </c>
      <c r="AM295" s="89" t="str">
        <f t="shared" si="179"/>
        <v/>
      </c>
      <c r="AN295" s="89" t="str">
        <f t="shared" si="180"/>
        <v/>
      </c>
      <c r="AO295" s="3" t="str">
        <f t="shared" si="181"/>
        <v/>
      </c>
      <c r="AP295" s="33" t="str">
        <f t="shared" si="182"/>
        <v/>
      </c>
      <c r="AQ295" s="58" t="str">
        <f t="shared" si="183"/>
        <v/>
      </c>
      <c r="AR295" s="38">
        <f>'ANR OK vs ML7'!AR295</f>
        <v>0.1</v>
      </c>
      <c r="AS295" s="35" t="str">
        <f t="shared" si="184"/>
        <v/>
      </c>
      <c r="AT295" s="3" t="str">
        <f t="shared" si="185"/>
        <v/>
      </c>
      <c r="AU295" s="3" t="str">
        <f t="shared" si="186"/>
        <v/>
      </c>
      <c r="AW295" s="32" t="str">
        <f t="shared" si="187"/>
        <v/>
      </c>
      <c r="AX295" s="32" t="str">
        <f t="shared" si="188"/>
        <v/>
      </c>
      <c r="AY295" s="32" t="str">
        <f t="shared" si="189"/>
        <v/>
      </c>
      <c r="BA295" s="32" t="str">
        <f>IF($A296="","",F295*Summary!$Q$8)</f>
        <v/>
      </c>
    </row>
    <row r="296" spans="1:53" ht="12" customHeight="1">
      <c r="A296" s="67" t="str">
        <f t="shared" si="190"/>
        <v/>
      </c>
      <c r="B296" s="69">
        <f t="shared" si="192"/>
        <v>0</v>
      </c>
      <c r="C296" s="71"/>
      <c r="D296" s="69" t="str">
        <f t="shared" si="155"/>
        <v/>
      </c>
      <c r="E296" s="70" t="str">
        <f t="shared" si="156"/>
        <v/>
      </c>
      <c r="F296" s="70" t="str">
        <f t="shared" si="157"/>
        <v/>
      </c>
      <c r="G296" s="63" t="str">
        <f t="shared" si="158"/>
        <v/>
      </c>
      <c r="H296" s="64" t="str">
        <f t="shared" si="159"/>
        <v/>
      </c>
      <c r="I296" s="43"/>
      <c r="J296" s="63" t="str">
        <f t="shared" si="160"/>
        <v/>
      </c>
      <c r="K296" s="64" t="str">
        <f t="shared" si="161"/>
        <v/>
      </c>
      <c r="L296" s="63" t="str">
        <f t="shared" si="162"/>
        <v/>
      </c>
      <c r="M296" s="64" t="str">
        <f t="shared" si="163"/>
        <v/>
      </c>
      <c r="N296" s="65"/>
      <c r="O296" s="63" t="str">
        <f t="shared" si="164"/>
        <v/>
      </c>
      <c r="P296" s="63" t="str">
        <f t="shared" si="165"/>
        <v/>
      </c>
      <c r="Q296" s="66"/>
      <c r="R296" s="63" t="str">
        <f t="shared" si="166"/>
        <v/>
      </c>
      <c r="S296" s="64" t="str">
        <f t="shared" si="167"/>
        <v/>
      </c>
      <c r="T296" s="63" t="str">
        <f t="shared" si="168"/>
        <v/>
      </c>
      <c r="U296" s="64" t="str">
        <f t="shared" si="169"/>
        <v/>
      </c>
      <c r="V296" s="207" t="str">
        <f>IF($A297="","",IF(AND(MONTH(A296)&gt;3,MONTH(A296)&lt;11),(T296+R296+G296)*Summary!$T$8/(1-Summary!$T$8),(T296+R296+G296)*Summary!$U$8/(1-Summary!$U$8)))</f>
        <v/>
      </c>
      <c r="W296" s="63" t="str">
        <f t="shared" si="170"/>
        <v/>
      </c>
      <c r="X296" s="63" t="str">
        <f t="shared" si="171"/>
        <v/>
      </c>
      <c r="Y296" s="43"/>
      <c r="Z296" s="38" t="str">
        <f t="shared" si="172"/>
        <v/>
      </c>
      <c r="AA296" s="38" t="str">
        <f t="shared" si="173"/>
        <v/>
      </c>
      <c r="AB296" s="38" t="e">
        <f t="shared" si="174"/>
        <v>#VALUE!</v>
      </c>
      <c r="AC296" s="38" t="str">
        <f t="shared" si="175"/>
        <v/>
      </c>
      <c r="AD296" s="38" t="str">
        <f t="shared" si="175"/>
        <v/>
      </c>
      <c r="AE296" s="38" t="e">
        <f t="shared" si="176"/>
        <v>#VALUE!</v>
      </c>
      <c r="AF296" s="237" t="e">
        <f>((Summary!$N$8*(AA296*AD296)*(A296-$D$3))+(Summary!$M$8*Z296*AC296*(AJ296-EOMONTH(EDATE(A296,-1),0))))/(AK296*AB296*AE296)</f>
        <v>#VALUE!</v>
      </c>
      <c r="AG296" s="88" t="str">
        <f>IF($A297="","",Summary!$Q$8)</f>
        <v/>
      </c>
      <c r="AH296" s="88" t="str">
        <f>IF($A297="","",IF(Summary!$R$8="Y",(VLOOKUP($A296,Summary!$AD$6:$AF$9,3)+'Escalating commodity'!D309),'Escalating commodity'!D309))</f>
        <v/>
      </c>
      <c r="AI296" s="88" t="str">
        <f t="shared" si="191"/>
        <v/>
      </c>
      <c r="AJ296" s="236" t="e">
        <f t="shared" si="177"/>
        <v>#VALUE!</v>
      </c>
      <c r="AK296" s="58" t="str">
        <f t="shared" si="178"/>
        <v/>
      </c>
      <c r="AL296" s="26" t="str">
        <f>IF($A297="","",_xll.SPRDOPT(P296,X296,AI296,0,AB296,AE296,AF296,AK296,$AJ$2,0))</f>
        <v/>
      </c>
      <c r="AM296" s="89" t="str">
        <f t="shared" si="179"/>
        <v/>
      </c>
      <c r="AN296" s="89" t="str">
        <f t="shared" si="180"/>
        <v/>
      </c>
      <c r="AO296" s="3" t="str">
        <f t="shared" si="181"/>
        <v/>
      </c>
      <c r="AP296" s="33" t="str">
        <f t="shared" si="182"/>
        <v/>
      </c>
      <c r="AQ296" s="58" t="str">
        <f t="shared" si="183"/>
        <v/>
      </c>
      <c r="AR296" s="38">
        <f>'ANR OK vs ML7'!AR296</f>
        <v>0.1</v>
      </c>
      <c r="AS296" s="35" t="str">
        <f t="shared" si="184"/>
        <v/>
      </c>
      <c r="AT296" s="3" t="str">
        <f t="shared" si="185"/>
        <v/>
      </c>
      <c r="AU296" s="3" t="str">
        <f t="shared" si="186"/>
        <v/>
      </c>
      <c r="AW296" s="32" t="str">
        <f t="shared" si="187"/>
        <v/>
      </c>
      <c r="AX296" s="32" t="str">
        <f t="shared" si="188"/>
        <v/>
      </c>
      <c r="AY296" s="32" t="str">
        <f t="shared" si="189"/>
        <v/>
      </c>
      <c r="BA296" s="32" t="str">
        <f>IF($A297="","",F296*Summary!$Q$8)</f>
        <v/>
      </c>
    </row>
    <row r="297" spans="1:53" ht="12" customHeight="1">
      <c r="A297" s="67" t="str">
        <f t="shared" si="190"/>
        <v/>
      </c>
      <c r="B297" s="69">
        <f t="shared" si="192"/>
        <v>0</v>
      </c>
      <c r="C297" s="71"/>
      <c r="D297" s="69" t="str">
        <f t="shared" si="155"/>
        <v/>
      </c>
      <c r="E297" s="70" t="str">
        <f t="shared" si="156"/>
        <v/>
      </c>
      <c r="F297" s="70" t="str">
        <f t="shared" si="157"/>
        <v/>
      </c>
      <c r="G297" s="63" t="str">
        <f t="shared" si="158"/>
        <v/>
      </c>
      <c r="H297" s="64" t="str">
        <f t="shared" si="159"/>
        <v/>
      </c>
      <c r="I297" s="43"/>
      <c r="J297" s="63" t="str">
        <f t="shared" si="160"/>
        <v/>
      </c>
      <c r="K297" s="64" t="str">
        <f t="shared" si="161"/>
        <v/>
      </c>
      <c r="L297" s="63" t="str">
        <f t="shared" si="162"/>
        <v/>
      </c>
      <c r="M297" s="64" t="str">
        <f t="shared" si="163"/>
        <v/>
      </c>
      <c r="N297" s="65"/>
      <c r="O297" s="63" t="str">
        <f t="shared" si="164"/>
        <v/>
      </c>
      <c r="P297" s="63" t="str">
        <f t="shared" si="165"/>
        <v/>
      </c>
      <c r="Q297" s="66"/>
      <c r="R297" s="63" t="str">
        <f t="shared" si="166"/>
        <v/>
      </c>
      <c r="S297" s="64" t="str">
        <f t="shared" si="167"/>
        <v/>
      </c>
      <c r="T297" s="63" t="str">
        <f t="shared" si="168"/>
        <v/>
      </c>
      <c r="U297" s="64" t="str">
        <f t="shared" si="169"/>
        <v/>
      </c>
      <c r="V297" s="207" t="str">
        <f>IF($A298="","",IF(AND(MONTH(A297)&gt;3,MONTH(A297)&lt;11),(T297+R297+G297)*Summary!$T$8/(1-Summary!$T$8),(T297+R297+G297)*Summary!$U$8/(1-Summary!$U$8)))</f>
        <v/>
      </c>
      <c r="W297" s="63" t="str">
        <f t="shared" si="170"/>
        <v/>
      </c>
      <c r="X297" s="63" t="str">
        <f t="shared" si="171"/>
        <v/>
      </c>
      <c r="Y297" s="43"/>
      <c r="Z297" s="38" t="str">
        <f t="shared" si="172"/>
        <v/>
      </c>
      <c r="AA297" s="38" t="str">
        <f t="shared" si="173"/>
        <v/>
      </c>
      <c r="AB297" s="38" t="e">
        <f t="shared" si="174"/>
        <v>#VALUE!</v>
      </c>
      <c r="AC297" s="38" t="str">
        <f t="shared" si="175"/>
        <v/>
      </c>
      <c r="AD297" s="38" t="str">
        <f t="shared" si="175"/>
        <v/>
      </c>
      <c r="AE297" s="38" t="e">
        <f t="shared" si="176"/>
        <v>#VALUE!</v>
      </c>
      <c r="AF297" s="237" t="e">
        <f>((Summary!$N$8*(AA297*AD297)*(A297-$D$3))+(Summary!$M$8*Z297*AC297*(AJ297-EOMONTH(EDATE(A297,-1),0))))/(AK297*AB297*AE297)</f>
        <v>#VALUE!</v>
      </c>
      <c r="AG297" s="88" t="str">
        <f>IF($A298="","",Summary!$Q$8)</f>
        <v/>
      </c>
      <c r="AH297" s="88" t="str">
        <f>IF($A298="","",IF(Summary!$R$8="Y",(VLOOKUP($A297,Summary!$AD$6:$AF$9,3)+'Escalating commodity'!D310),'Escalating commodity'!D310))</f>
        <v/>
      </c>
      <c r="AI297" s="88" t="str">
        <f t="shared" si="191"/>
        <v/>
      </c>
      <c r="AJ297" s="236" t="e">
        <f t="shared" si="177"/>
        <v>#VALUE!</v>
      </c>
      <c r="AK297" s="58" t="str">
        <f t="shared" si="178"/>
        <v/>
      </c>
      <c r="AL297" s="26" t="str">
        <f>IF($A298="","",_xll.SPRDOPT(P297,X297,AI297,0,AB297,AE297,AF297,AK297,$AJ$2,0))</f>
        <v/>
      </c>
      <c r="AM297" s="89" t="str">
        <f t="shared" si="179"/>
        <v/>
      </c>
      <c r="AN297" s="89" t="str">
        <f t="shared" si="180"/>
        <v/>
      </c>
      <c r="AO297" s="3" t="str">
        <f t="shared" si="181"/>
        <v/>
      </c>
      <c r="AP297" s="33" t="str">
        <f t="shared" si="182"/>
        <v/>
      </c>
      <c r="AQ297" s="58" t="str">
        <f t="shared" si="183"/>
        <v/>
      </c>
      <c r="AR297" s="38">
        <f>'ANR OK vs ML7'!AR297</f>
        <v>0.1</v>
      </c>
      <c r="AS297" s="35" t="str">
        <f t="shared" si="184"/>
        <v/>
      </c>
      <c r="AT297" s="3" t="str">
        <f t="shared" si="185"/>
        <v/>
      </c>
      <c r="AU297" s="3" t="str">
        <f t="shared" si="186"/>
        <v/>
      </c>
      <c r="AW297" s="32" t="str">
        <f t="shared" si="187"/>
        <v/>
      </c>
      <c r="AX297" s="32" t="str">
        <f t="shared" si="188"/>
        <v/>
      </c>
      <c r="AY297" s="32" t="str">
        <f t="shared" si="189"/>
        <v/>
      </c>
      <c r="BA297" s="32" t="str">
        <f>IF($A298="","",F297*Summary!$Q$8)</f>
        <v/>
      </c>
    </row>
    <row r="298" spans="1:53" ht="12" customHeight="1">
      <c r="A298" s="67" t="str">
        <f t="shared" si="190"/>
        <v/>
      </c>
      <c r="B298" s="69">
        <f t="shared" si="192"/>
        <v>0</v>
      </c>
      <c r="C298" s="71"/>
      <c r="D298" s="69" t="str">
        <f t="shared" si="155"/>
        <v/>
      </c>
      <c r="E298" s="70" t="str">
        <f t="shared" si="156"/>
        <v/>
      </c>
      <c r="F298" s="70" t="str">
        <f t="shared" si="157"/>
        <v/>
      </c>
      <c r="G298" s="63" t="str">
        <f t="shared" si="158"/>
        <v/>
      </c>
      <c r="H298" s="64" t="str">
        <f t="shared" si="159"/>
        <v/>
      </c>
      <c r="I298" s="43"/>
      <c r="J298" s="63" t="str">
        <f t="shared" si="160"/>
        <v/>
      </c>
      <c r="K298" s="64" t="str">
        <f t="shared" si="161"/>
        <v/>
      </c>
      <c r="L298" s="63" t="str">
        <f t="shared" si="162"/>
        <v/>
      </c>
      <c r="M298" s="64" t="str">
        <f t="shared" si="163"/>
        <v/>
      </c>
      <c r="N298" s="65"/>
      <c r="O298" s="63" t="str">
        <f t="shared" si="164"/>
        <v/>
      </c>
      <c r="P298" s="63" t="str">
        <f t="shared" si="165"/>
        <v/>
      </c>
      <c r="Q298" s="66"/>
      <c r="R298" s="63" t="str">
        <f t="shared" si="166"/>
        <v/>
      </c>
      <c r="S298" s="64" t="str">
        <f t="shared" si="167"/>
        <v/>
      </c>
      <c r="T298" s="63" t="str">
        <f t="shared" si="168"/>
        <v/>
      </c>
      <c r="U298" s="64" t="str">
        <f t="shared" si="169"/>
        <v/>
      </c>
      <c r="V298" s="207" t="str">
        <f>IF($A299="","",IF(AND(MONTH(A298)&gt;3,MONTH(A298)&lt;11),(T298+R298+G298)*Summary!$T$8/(1-Summary!$T$8),(T298+R298+G298)*Summary!$U$8/(1-Summary!$U$8)))</f>
        <v/>
      </c>
      <c r="W298" s="63" t="str">
        <f t="shared" si="170"/>
        <v/>
      </c>
      <c r="X298" s="63" t="str">
        <f t="shared" si="171"/>
        <v/>
      </c>
      <c r="Y298" s="43"/>
      <c r="Z298" s="38" t="str">
        <f t="shared" si="172"/>
        <v/>
      </c>
      <c r="AA298" s="38" t="str">
        <f t="shared" si="173"/>
        <v/>
      </c>
      <c r="AB298" s="38" t="e">
        <f t="shared" si="174"/>
        <v>#VALUE!</v>
      </c>
      <c r="AC298" s="38" t="str">
        <f t="shared" si="175"/>
        <v/>
      </c>
      <c r="AD298" s="38" t="str">
        <f t="shared" si="175"/>
        <v/>
      </c>
      <c r="AE298" s="38" t="e">
        <f t="shared" si="176"/>
        <v>#VALUE!</v>
      </c>
      <c r="AF298" s="237" t="e">
        <f>((Summary!$N$8*(AA298*AD298)*(A298-$D$3))+(Summary!$M$8*Z298*AC298*(AJ298-EOMONTH(EDATE(A298,-1),0))))/(AK298*AB298*AE298)</f>
        <v>#VALUE!</v>
      </c>
      <c r="AG298" s="88" t="str">
        <f>IF($A299="","",Summary!$Q$8)</f>
        <v/>
      </c>
      <c r="AH298" s="88" t="str">
        <f>IF($A299="","",IF(Summary!$R$8="Y",(VLOOKUP($A298,Summary!$AD$6:$AF$9,3)+'Escalating commodity'!D311),'Escalating commodity'!D311))</f>
        <v/>
      </c>
      <c r="AI298" s="88" t="str">
        <f t="shared" si="191"/>
        <v/>
      </c>
      <c r="AJ298" s="236" t="e">
        <f t="shared" si="177"/>
        <v>#VALUE!</v>
      </c>
      <c r="AK298" s="58" t="str">
        <f t="shared" si="178"/>
        <v/>
      </c>
      <c r="AL298" s="26" t="str">
        <f>IF($A299="","",_xll.SPRDOPT(P298,X298,AI298,0,AB298,AE298,AF298,AK298,$AJ$2,0))</f>
        <v/>
      </c>
      <c r="AM298" s="89" t="str">
        <f t="shared" si="179"/>
        <v/>
      </c>
      <c r="AN298" s="89" t="str">
        <f t="shared" si="180"/>
        <v/>
      </c>
      <c r="AO298" s="3" t="str">
        <f t="shared" si="181"/>
        <v/>
      </c>
      <c r="AP298" s="33" t="str">
        <f t="shared" si="182"/>
        <v/>
      </c>
      <c r="AQ298" s="58" t="str">
        <f t="shared" si="183"/>
        <v/>
      </c>
      <c r="AR298" s="38">
        <f>'ANR OK vs ML7'!AR298</f>
        <v>0.1</v>
      </c>
      <c r="AS298" s="35" t="str">
        <f t="shared" si="184"/>
        <v/>
      </c>
      <c r="AT298" s="3" t="str">
        <f t="shared" si="185"/>
        <v/>
      </c>
      <c r="AU298" s="3" t="str">
        <f t="shared" si="186"/>
        <v/>
      </c>
      <c r="AW298" s="32" t="str">
        <f t="shared" si="187"/>
        <v/>
      </c>
      <c r="AX298" s="32" t="str">
        <f t="shared" si="188"/>
        <v/>
      </c>
      <c r="AY298" s="32" t="str">
        <f t="shared" si="189"/>
        <v/>
      </c>
      <c r="BA298" s="32" t="str">
        <f>IF($A299="","",F298*Summary!$Q$8)</f>
        <v/>
      </c>
    </row>
    <row r="299" spans="1:53" ht="12" customHeight="1">
      <c r="A299" s="67" t="str">
        <f t="shared" si="190"/>
        <v/>
      </c>
      <c r="B299" s="69">
        <f t="shared" si="192"/>
        <v>0</v>
      </c>
      <c r="C299" s="71"/>
      <c r="D299" s="69" t="str">
        <f t="shared" si="155"/>
        <v/>
      </c>
      <c r="E299" s="70" t="str">
        <f t="shared" si="156"/>
        <v/>
      </c>
      <c r="F299" s="70" t="str">
        <f t="shared" si="157"/>
        <v/>
      </c>
      <c r="G299" s="63" t="str">
        <f t="shared" si="158"/>
        <v/>
      </c>
      <c r="H299" s="64" t="str">
        <f t="shared" si="159"/>
        <v/>
      </c>
      <c r="I299" s="43"/>
      <c r="J299" s="63" t="str">
        <f t="shared" si="160"/>
        <v/>
      </c>
      <c r="K299" s="64" t="str">
        <f t="shared" si="161"/>
        <v/>
      </c>
      <c r="L299" s="63" t="str">
        <f t="shared" si="162"/>
        <v/>
      </c>
      <c r="M299" s="64" t="str">
        <f t="shared" si="163"/>
        <v/>
      </c>
      <c r="N299" s="65"/>
      <c r="O299" s="63" t="str">
        <f t="shared" si="164"/>
        <v/>
      </c>
      <c r="P299" s="63" t="str">
        <f t="shared" si="165"/>
        <v/>
      </c>
      <c r="Q299" s="66"/>
      <c r="R299" s="63" t="str">
        <f t="shared" si="166"/>
        <v/>
      </c>
      <c r="S299" s="64" t="str">
        <f t="shared" si="167"/>
        <v/>
      </c>
      <c r="T299" s="63" t="str">
        <f t="shared" si="168"/>
        <v/>
      </c>
      <c r="U299" s="64" t="str">
        <f t="shared" si="169"/>
        <v/>
      </c>
      <c r="V299" s="207" t="str">
        <f>IF($A300="","",IF(AND(MONTH(A299)&gt;3,MONTH(A299)&lt;11),(T299+R299+G299)*Summary!$T$8/(1-Summary!$T$8),(T299+R299+G299)*Summary!$U$8/(1-Summary!$U$8)))</f>
        <v/>
      </c>
      <c r="W299" s="63" t="str">
        <f t="shared" si="170"/>
        <v/>
      </c>
      <c r="X299" s="63" t="str">
        <f t="shared" si="171"/>
        <v/>
      </c>
      <c r="Y299" s="43"/>
      <c r="Z299" s="38" t="str">
        <f t="shared" si="172"/>
        <v/>
      </c>
      <c r="AA299" s="38" t="str">
        <f t="shared" si="173"/>
        <v/>
      </c>
      <c r="AB299" s="38" t="e">
        <f t="shared" si="174"/>
        <v>#VALUE!</v>
      </c>
      <c r="AC299" s="38" t="str">
        <f t="shared" si="175"/>
        <v/>
      </c>
      <c r="AD299" s="38" t="str">
        <f t="shared" si="175"/>
        <v/>
      </c>
      <c r="AE299" s="38" t="e">
        <f t="shared" si="176"/>
        <v>#VALUE!</v>
      </c>
      <c r="AF299" s="237" t="e">
        <f>((Summary!$N$8*(AA299*AD299)*(A299-$D$3))+(Summary!$M$8*Z299*AC299*(AJ299-EOMONTH(EDATE(A299,-1),0))))/(AK299*AB299*AE299)</f>
        <v>#VALUE!</v>
      </c>
      <c r="AG299" s="88" t="str">
        <f>IF($A300="","",Summary!$Q$8)</f>
        <v/>
      </c>
      <c r="AH299" s="88" t="str">
        <f>IF($A300="","",IF(Summary!$R$8="Y",(VLOOKUP($A299,Summary!$AD$6:$AF$9,3)+'Escalating commodity'!D312),'Escalating commodity'!D312))</f>
        <v/>
      </c>
      <c r="AI299" s="88" t="str">
        <f t="shared" si="191"/>
        <v/>
      </c>
      <c r="AJ299" s="236" t="e">
        <f t="shared" si="177"/>
        <v>#VALUE!</v>
      </c>
      <c r="AK299" s="58" t="str">
        <f t="shared" si="178"/>
        <v/>
      </c>
      <c r="AL299" s="26" t="str">
        <f>IF($A300="","",_xll.SPRDOPT(P299,X299,AI299,0,AB299,AE299,AF299,AK299,$AJ$2,0))</f>
        <v/>
      </c>
      <c r="AM299" s="89" t="str">
        <f t="shared" si="179"/>
        <v/>
      </c>
      <c r="AN299" s="89" t="str">
        <f t="shared" si="180"/>
        <v/>
      </c>
      <c r="AO299" s="3" t="str">
        <f t="shared" si="181"/>
        <v/>
      </c>
      <c r="AP299" s="33" t="str">
        <f t="shared" si="182"/>
        <v/>
      </c>
      <c r="AQ299" s="58" t="str">
        <f t="shared" si="183"/>
        <v/>
      </c>
      <c r="AR299" s="38">
        <f>'ANR OK vs ML7'!AR299</f>
        <v>0.1</v>
      </c>
      <c r="AS299" s="35" t="str">
        <f t="shared" si="184"/>
        <v/>
      </c>
      <c r="AT299" s="3" t="str">
        <f t="shared" si="185"/>
        <v/>
      </c>
      <c r="AU299" s="3" t="str">
        <f t="shared" si="186"/>
        <v/>
      </c>
      <c r="AW299" s="32" t="str">
        <f t="shared" si="187"/>
        <v/>
      </c>
      <c r="AX299" s="32" t="str">
        <f t="shared" si="188"/>
        <v/>
      </c>
      <c r="AY299" s="32" t="str">
        <f t="shared" si="189"/>
        <v/>
      </c>
      <c r="BA299" s="32" t="str">
        <f>IF($A300="","",F299*Summary!$Q$8)</f>
        <v/>
      </c>
    </row>
    <row r="300" spans="1:53" ht="12" customHeight="1">
      <c r="A300" s="67" t="str">
        <f t="shared" si="190"/>
        <v/>
      </c>
      <c r="B300" s="69">
        <f t="shared" si="192"/>
        <v>0</v>
      </c>
      <c r="C300" s="71"/>
      <c r="D300" s="69" t="str">
        <f t="shared" si="155"/>
        <v/>
      </c>
      <c r="E300" s="70" t="str">
        <f t="shared" si="156"/>
        <v/>
      </c>
      <c r="F300" s="70" t="str">
        <f t="shared" si="157"/>
        <v/>
      </c>
      <c r="G300" s="63" t="str">
        <f t="shared" si="158"/>
        <v/>
      </c>
      <c r="H300" s="64" t="str">
        <f t="shared" si="159"/>
        <v/>
      </c>
      <c r="I300" s="43"/>
      <c r="J300" s="63" t="str">
        <f t="shared" si="160"/>
        <v/>
      </c>
      <c r="K300" s="64" t="str">
        <f t="shared" si="161"/>
        <v/>
      </c>
      <c r="L300" s="63" t="str">
        <f t="shared" si="162"/>
        <v/>
      </c>
      <c r="M300" s="64" t="str">
        <f t="shared" si="163"/>
        <v/>
      </c>
      <c r="N300" s="65"/>
      <c r="O300" s="63" t="str">
        <f t="shared" si="164"/>
        <v/>
      </c>
      <c r="P300" s="63" t="str">
        <f t="shared" si="165"/>
        <v/>
      </c>
      <c r="Q300" s="66"/>
      <c r="R300" s="63" t="str">
        <f t="shared" si="166"/>
        <v/>
      </c>
      <c r="S300" s="64" t="str">
        <f t="shared" si="167"/>
        <v/>
      </c>
      <c r="T300" s="63" t="str">
        <f t="shared" si="168"/>
        <v/>
      </c>
      <c r="U300" s="64" t="str">
        <f t="shared" si="169"/>
        <v/>
      </c>
      <c r="V300" s="207" t="str">
        <f>IF($A301="","",IF(AND(MONTH(A300)&gt;3,MONTH(A300)&lt;11),(T300+R300+G300)*Summary!$T$8/(1-Summary!$T$8),(T300+R300+G300)*Summary!$U$8/(1-Summary!$U$8)))</f>
        <v/>
      </c>
      <c r="W300" s="63" t="str">
        <f t="shared" si="170"/>
        <v/>
      </c>
      <c r="X300" s="63" t="str">
        <f t="shared" si="171"/>
        <v/>
      </c>
      <c r="Y300" s="43"/>
      <c r="Z300" s="38" t="str">
        <f t="shared" si="172"/>
        <v/>
      </c>
      <c r="AA300" s="38" t="str">
        <f t="shared" si="173"/>
        <v/>
      </c>
      <c r="AB300" s="38" t="e">
        <f t="shared" si="174"/>
        <v>#VALUE!</v>
      </c>
      <c r="AC300" s="38" t="str">
        <f t="shared" si="175"/>
        <v/>
      </c>
      <c r="AD300" s="38" t="str">
        <f t="shared" si="175"/>
        <v/>
      </c>
      <c r="AE300" s="38" t="e">
        <f t="shared" si="176"/>
        <v>#VALUE!</v>
      </c>
      <c r="AF300" s="237" t="e">
        <f>((Summary!$N$8*(AA300*AD300)*(A300-$D$3))+(Summary!$M$8*Z300*AC300*(AJ300-EOMONTH(EDATE(A300,-1),0))))/(AK300*AB300*AE300)</f>
        <v>#VALUE!</v>
      </c>
      <c r="AG300" s="88" t="str">
        <f>IF($A301="","",Summary!$Q$8)</f>
        <v/>
      </c>
      <c r="AH300" s="88" t="str">
        <f>IF($A301="","",IF(Summary!$R$8="Y",(VLOOKUP($A300,Summary!$AD$6:$AF$9,3)+'Escalating commodity'!D313),'Escalating commodity'!D313))</f>
        <v/>
      </c>
      <c r="AI300" s="88" t="str">
        <f t="shared" si="191"/>
        <v/>
      </c>
      <c r="AJ300" s="236" t="e">
        <f t="shared" si="177"/>
        <v>#VALUE!</v>
      </c>
      <c r="AK300" s="58" t="str">
        <f t="shared" si="178"/>
        <v/>
      </c>
      <c r="AL300" s="26" t="str">
        <f>IF($A301="","",_xll.SPRDOPT(P300,X300,AI300,0,AB300,AE300,AF300,AK300,$AJ$2,0))</f>
        <v/>
      </c>
      <c r="AM300" s="89" t="str">
        <f t="shared" si="179"/>
        <v/>
      </c>
      <c r="AN300" s="89" t="str">
        <f t="shared" si="180"/>
        <v/>
      </c>
      <c r="AO300" s="3" t="str">
        <f t="shared" si="181"/>
        <v/>
      </c>
      <c r="AP300" s="33" t="str">
        <f t="shared" si="182"/>
        <v/>
      </c>
      <c r="AQ300" s="58" t="str">
        <f t="shared" si="183"/>
        <v/>
      </c>
      <c r="AR300" s="38">
        <f>'ANR OK vs ML7'!AR300</f>
        <v>0.1</v>
      </c>
      <c r="AS300" s="35" t="str">
        <f t="shared" si="184"/>
        <v/>
      </c>
      <c r="AT300" s="3" t="str">
        <f t="shared" si="185"/>
        <v/>
      </c>
      <c r="AU300" s="3" t="str">
        <f t="shared" si="186"/>
        <v/>
      </c>
      <c r="AW300" s="32" t="str">
        <f t="shared" si="187"/>
        <v/>
      </c>
      <c r="AX300" s="32" t="str">
        <f t="shared" si="188"/>
        <v/>
      </c>
      <c r="AY300" s="32" t="str">
        <f t="shared" si="189"/>
        <v/>
      </c>
      <c r="BA300" s="32" t="str">
        <f>IF($A301="","",F300*Summary!$Q$8)</f>
        <v/>
      </c>
    </row>
    <row r="301" spans="1:53" ht="12" customHeight="1">
      <c r="A301" s="67" t="str">
        <f t="shared" si="190"/>
        <v/>
      </c>
      <c r="B301" s="69">
        <f t="shared" si="192"/>
        <v>0</v>
      </c>
      <c r="C301" s="71"/>
      <c r="D301" s="69" t="str">
        <f t="shared" si="155"/>
        <v/>
      </c>
      <c r="E301" s="70" t="str">
        <f t="shared" si="156"/>
        <v/>
      </c>
      <c r="F301" s="70" t="str">
        <f t="shared" si="157"/>
        <v/>
      </c>
      <c r="G301" s="63" t="str">
        <f t="shared" si="158"/>
        <v/>
      </c>
      <c r="H301" s="64" t="str">
        <f t="shared" si="159"/>
        <v/>
      </c>
      <c r="I301" s="43"/>
      <c r="J301" s="63" t="str">
        <f t="shared" si="160"/>
        <v/>
      </c>
      <c r="K301" s="64" t="str">
        <f t="shared" si="161"/>
        <v/>
      </c>
      <c r="L301" s="63" t="str">
        <f t="shared" si="162"/>
        <v/>
      </c>
      <c r="M301" s="64" t="str">
        <f t="shared" si="163"/>
        <v/>
      </c>
      <c r="N301" s="65"/>
      <c r="O301" s="63" t="str">
        <f t="shared" si="164"/>
        <v/>
      </c>
      <c r="P301" s="63" t="str">
        <f t="shared" si="165"/>
        <v/>
      </c>
      <c r="Q301" s="66"/>
      <c r="R301" s="63" t="str">
        <f t="shared" si="166"/>
        <v/>
      </c>
      <c r="S301" s="64" t="str">
        <f t="shared" si="167"/>
        <v/>
      </c>
      <c r="T301" s="63" t="str">
        <f t="shared" si="168"/>
        <v/>
      </c>
      <c r="U301" s="64" t="str">
        <f t="shared" si="169"/>
        <v/>
      </c>
      <c r="V301" s="207" t="str">
        <f>IF($A302="","",IF(AND(MONTH(A301)&gt;3,MONTH(A301)&lt;11),(T301+R301+G301)*Summary!$T$8/(1-Summary!$T$8),(T301+R301+G301)*Summary!$U$8/(1-Summary!$U$8)))</f>
        <v/>
      </c>
      <c r="W301" s="63" t="str">
        <f t="shared" si="170"/>
        <v/>
      </c>
      <c r="X301" s="63" t="str">
        <f t="shared" si="171"/>
        <v/>
      </c>
      <c r="Y301" s="43"/>
      <c r="Z301" s="38" t="str">
        <f t="shared" si="172"/>
        <v/>
      </c>
      <c r="AA301" s="38" t="str">
        <f t="shared" si="173"/>
        <v/>
      </c>
      <c r="AB301" s="38" t="e">
        <f t="shared" si="174"/>
        <v>#VALUE!</v>
      </c>
      <c r="AC301" s="38" t="str">
        <f t="shared" si="175"/>
        <v/>
      </c>
      <c r="AD301" s="38" t="str">
        <f t="shared" si="175"/>
        <v/>
      </c>
      <c r="AE301" s="38" t="e">
        <f t="shared" si="176"/>
        <v>#VALUE!</v>
      </c>
      <c r="AF301" s="237" t="e">
        <f>((Summary!$N$8*(AA301*AD301)*(A301-$D$3))+(Summary!$M$8*Z301*AC301*(AJ301-EOMONTH(EDATE(A301,-1),0))))/(AK301*AB301*AE301)</f>
        <v>#VALUE!</v>
      </c>
      <c r="AG301" s="88" t="str">
        <f>IF($A302="","",Summary!$Q$8)</f>
        <v/>
      </c>
      <c r="AH301" s="88" t="str">
        <f>IF($A302="","",IF(Summary!$R$8="Y",(VLOOKUP($A301,Summary!$AD$6:$AF$9,3)+'Escalating commodity'!D314),'Escalating commodity'!D314))</f>
        <v/>
      </c>
      <c r="AI301" s="88" t="str">
        <f t="shared" si="191"/>
        <v/>
      </c>
      <c r="AJ301" s="236" t="e">
        <f t="shared" si="177"/>
        <v>#VALUE!</v>
      </c>
      <c r="AK301" s="58" t="str">
        <f t="shared" si="178"/>
        <v/>
      </c>
      <c r="AL301" s="26" t="str">
        <f>IF($A302="","",_xll.SPRDOPT(P301,X301,AI301,0,AB301,AE301,AF301,AK301,$AJ$2,0))</f>
        <v/>
      </c>
      <c r="AM301" s="89" t="str">
        <f t="shared" si="179"/>
        <v/>
      </c>
      <c r="AN301" s="89" t="str">
        <f t="shared" si="180"/>
        <v/>
      </c>
      <c r="AO301" s="3" t="str">
        <f t="shared" si="181"/>
        <v/>
      </c>
      <c r="AP301" s="33" t="str">
        <f t="shared" si="182"/>
        <v/>
      </c>
      <c r="AQ301" s="58" t="str">
        <f t="shared" si="183"/>
        <v/>
      </c>
      <c r="AR301" s="38">
        <f>'ANR OK vs ML7'!AR301</f>
        <v>0.1</v>
      </c>
      <c r="AS301" s="35" t="str">
        <f t="shared" si="184"/>
        <v/>
      </c>
      <c r="AT301" s="3" t="str">
        <f t="shared" si="185"/>
        <v/>
      </c>
      <c r="AU301" s="3" t="str">
        <f t="shared" si="186"/>
        <v/>
      </c>
      <c r="AW301" s="32" t="str">
        <f t="shared" si="187"/>
        <v/>
      </c>
      <c r="AX301" s="32" t="str">
        <f t="shared" si="188"/>
        <v/>
      </c>
      <c r="AY301" s="32" t="str">
        <f t="shared" si="189"/>
        <v/>
      </c>
      <c r="BA301" s="32" t="str">
        <f>IF($A302="","",F301*Summary!$Q$8)</f>
        <v/>
      </c>
    </row>
    <row r="302" spans="1:53" ht="12" customHeight="1">
      <c r="A302" s="67" t="str">
        <f t="shared" si="190"/>
        <v/>
      </c>
      <c r="B302" s="69">
        <f t="shared" si="192"/>
        <v>0</v>
      </c>
      <c r="C302" s="71"/>
      <c r="D302" s="69" t="str">
        <f t="shared" si="155"/>
        <v/>
      </c>
      <c r="E302" s="70" t="str">
        <f t="shared" si="156"/>
        <v/>
      </c>
      <c r="F302" s="70" t="str">
        <f t="shared" si="157"/>
        <v/>
      </c>
      <c r="G302" s="63" t="str">
        <f t="shared" si="158"/>
        <v/>
      </c>
      <c r="H302" s="64" t="str">
        <f t="shared" si="159"/>
        <v/>
      </c>
      <c r="I302" s="43"/>
      <c r="J302" s="63" t="str">
        <f t="shared" si="160"/>
        <v/>
      </c>
      <c r="K302" s="64" t="str">
        <f t="shared" si="161"/>
        <v/>
      </c>
      <c r="L302" s="63" t="str">
        <f t="shared" si="162"/>
        <v/>
      </c>
      <c r="M302" s="64" t="str">
        <f t="shared" si="163"/>
        <v/>
      </c>
      <c r="N302" s="65"/>
      <c r="O302" s="63" t="str">
        <f t="shared" si="164"/>
        <v/>
      </c>
      <c r="P302" s="63" t="str">
        <f t="shared" si="165"/>
        <v/>
      </c>
      <c r="Q302" s="66"/>
      <c r="R302" s="63" t="str">
        <f t="shared" si="166"/>
        <v/>
      </c>
      <c r="S302" s="64" t="str">
        <f t="shared" si="167"/>
        <v/>
      </c>
      <c r="T302" s="63" t="str">
        <f t="shared" si="168"/>
        <v/>
      </c>
      <c r="U302" s="64" t="str">
        <f t="shared" si="169"/>
        <v/>
      </c>
      <c r="V302" s="207" t="str">
        <f>IF($A303="","",IF(AND(MONTH(A302)&gt;3,MONTH(A302)&lt;11),(T302+R302+G302)*Summary!$T$8/(1-Summary!$T$8),(T302+R302+G302)*Summary!$U$8/(1-Summary!$U$8)))</f>
        <v/>
      </c>
      <c r="W302" s="63" t="str">
        <f t="shared" si="170"/>
        <v/>
      </c>
      <c r="X302" s="63" t="str">
        <f t="shared" si="171"/>
        <v/>
      </c>
      <c r="Y302" s="43"/>
      <c r="Z302" s="38" t="str">
        <f t="shared" si="172"/>
        <v/>
      </c>
      <c r="AA302" s="38" t="str">
        <f t="shared" si="173"/>
        <v/>
      </c>
      <c r="AB302" s="38" t="e">
        <f t="shared" si="174"/>
        <v>#VALUE!</v>
      </c>
      <c r="AC302" s="38" t="str">
        <f t="shared" si="175"/>
        <v/>
      </c>
      <c r="AD302" s="38" t="str">
        <f t="shared" si="175"/>
        <v/>
      </c>
      <c r="AE302" s="38" t="e">
        <f t="shared" si="176"/>
        <v>#VALUE!</v>
      </c>
      <c r="AF302" s="237" t="e">
        <f>((Summary!$N$8*(AA302*AD302)*(A302-$D$3))+(Summary!$M$8*Z302*AC302*(AJ302-EOMONTH(EDATE(A302,-1),0))))/(AK302*AB302*AE302)</f>
        <v>#VALUE!</v>
      </c>
      <c r="AG302" s="88" t="str">
        <f>IF($A303="","",Summary!$Q$8)</f>
        <v/>
      </c>
      <c r="AH302" s="88" t="str">
        <f>IF($A303="","",IF(Summary!$R$8="Y",(VLOOKUP($A302,Summary!$AD$6:$AF$9,3)+'Escalating commodity'!D315),'Escalating commodity'!D315))</f>
        <v/>
      </c>
      <c r="AI302" s="88" t="str">
        <f t="shared" si="191"/>
        <v/>
      </c>
      <c r="AJ302" s="236" t="e">
        <f t="shared" si="177"/>
        <v>#VALUE!</v>
      </c>
      <c r="AK302" s="58" t="str">
        <f t="shared" si="178"/>
        <v/>
      </c>
      <c r="AL302" s="26" t="str">
        <f>IF($A303="","",_xll.SPRDOPT(P302,X302,AI302,0,AB302,AE302,AF302,AK302,$AJ$2,0))</f>
        <v/>
      </c>
      <c r="AM302" s="89" t="str">
        <f t="shared" si="179"/>
        <v/>
      </c>
      <c r="AN302" s="89" t="str">
        <f t="shared" si="180"/>
        <v/>
      </c>
      <c r="AO302" s="3" t="str">
        <f t="shared" si="181"/>
        <v/>
      </c>
      <c r="AP302" s="33" t="str">
        <f t="shared" si="182"/>
        <v/>
      </c>
      <c r="AQ302" s="58" t="str">
        <f t="shared" si="183"/>
        <v/>
      </c>
      <c r="AR302" s="38">
        <f>'ANR OK vs ML7'!AR302</f>
        <v>0.1</v>
      </c>
      <c r="AS302" s="35" t="str">
        <f t="shared" si="184"/>
        <v/>
      </c>
      <c r="AT302" s="3" t="str">
        <f t="shared" si="185"/>
        <v/>
      </c>
      <c r="AU302" s="3" t="str">
        <f t="shared" si="186"/>
        <v/>
      </c>
      <c r="AW302" s="32" t="str">
        <f t="shared" si="187"/>
        <v/>
      </c>
      <c r="AX302" s="32" t="str">
        <f t="shared" si="188"/>
        <v/>
      </c>
      <c r="AY302" s="32" t="str">
        <f t="shared" si="189"/>
        <v/>
      </c>
      <c r="BA302" s="32" t="str">
        <f>IF($A303="","",F302*Summary!$Q$8)</f>
        <v/>
      </c>
    </row>
    <row r="303" spans="1:53" ht="12" customHeight="1">
      <c r="A303" s="67" t="str">
        <f t="shared" si="190"/>
        <v/>
      </c>
      <c r="B303" s="69">
        <f t="shared" si="192"/>
        <v>0</v>
      </c>
      <c r="C303" s="71"/>
      <c r="D303" s="69" t="str">
        <f t="shared" si="155"/>
        <v/>
      </c>
      <c r="E303" s="70" t="str">
        <f t="shared" si="156"/>
        <v/>
      </c>
      <c r="F303" s="70" t="str">
        <f t="shared" si="157"/>
        <v/>
      </c>
      <c r="G303" s="63" t="str">
        <f t="shared" si="158"/>
        <v/>
      </c>
      <c r="H303" s="64" t="str">
        <f t="shared" si="159"/>
        <v/>
      </c>
      <c r="I303" s="43"/>
      <c r="J303" s="63" t="str">
        <f t="shared" si="160"/>
        <v/>
      </c>
      <c r="K303" s="64" t="str">
        <f t="shared" si="161"/>
        <v/>
      </c>
      <c r="L303" s="63" t="str">
        <f t="shared" si="162"/>
        <v/>
      </c>
      <c r="M303" s="64" t="str">
        <f t="shared" si="163"/>
        <v/>
      </c>
      <c r="N303" s="65"/>
      <c r="O303" s="63" t="str">
        <f t="shared" si="164"/>
        <v/>
      </c>
      <c r="P303" s="63" t="str">
        <f t="shared" si="165"/>
        <v/>
      </c>
      <c r="Q303" s="66"/>
      <c r="R303" s="63" t="str">
        <f t="shared" si="166"/>
        <v/>
      </c>
      <c r="S303" s="64" t="str">
        <f t="shared" si="167"/>
        <v/>
      </c>
      <c r="T303" s="63" t="str">
        <f t="shared" si="168"/>
        <v/>
      </c>
      <c r="U303" s="64" t="str">
        <f t="shared" si="169"/>
        <v/>
      </c>
      <c r="V303" s="207" t="str">
        <f>IF($A304="","",IF(AND(MONTH(A303)&gt;3,MONTH(A303)&lt;11),(T303+R303+G303)*Summary!$T$8/(1-Summary!$T$8),(T303+R303+G303)*Summary!$U$8/(1-Summary!$U$8)))</f>
        <v/>
      </c>
      <c r="W303" s="63" t="str">
        <f t="shared" si="170"/>
        <v/>
      </c>
      <c r="X303" s="63" t="str">
        <f t="shared" si="171"/>
        <v/>
      </c>
      <c r="Y303" s="43"/>
      <c r="Z303" s="38" t="str">
        <f t="shared" si="172"/>
        <v/>
      </c>
      <c r="AA303" s="38" t="str">
        <f t="shared" si="173"/>
        <v/>
      </c>
      <c r="AB303" s="38" t="e">
        <f t="shared" si="174"/>
        <v>#VALUE!</v>
      </c>
      <c r="AC303" s="38" t="str">
        <f t="shared" si="175"/>
        <v/>
      </c>
      <c r="AD303" s="38" t="str">
        <f t="shared" si="175"/>
        <v/>
      </c>
      <c r="AE303" s="38" t="e">
        <f t="shared" si="176"/>
        <v>#VALUE!</v>
      </c>
      <c r="AF303" s="237" t="e">
        <f>((Summary!$N$8*(AA303*AD303)*(A303-$D$3))+(Summary!$M$8*Z303*AC303*(AJ303-EOMONTH(EDATE(A303,-1),0))))/(AK303*AB303*AE303)</f>
        <v>#VALUE!</v>
      </c>
      <c r="AG303" s="88" t="str">
        <f>IF($A304="","",Summary!$Q$8)</f>
        <v/>
      </c>
      <c r="AH303" s="88" t="str">
        <f>IF($A304="","",IF(Summary!$R$8="Y",(VLOOKUP($A303,Summary!$AD$6:$AF$9,3)+'Escalating commodity'!D316),'Escalating commodity'!D316))</f>
        <v/>
      </c>
      <c r="AI303" s="88" t="str">
        <f t="shared" si="191"/>
        <v/>
      </c>
      <c r="AJ303" s="236" t="e">
        <f t="shared" si="177"/>
        <v>#VALUE!</v>
      </c>
      <c r="AK303" s="58" t="str">
        <f t="shared" si="178"/>
        <v/>
      </c>
      <c r="AL303" s="26" t="str">
        <f>IF($A304="","",_xll.SPRDOPT(P303,X303,AI303,0,AB303,AE303,AF303,AK303,$AJ$2,0))</f>
        <v/>
      </c>
      <c r="AM303" s="89" t="str">
        <f t="shared" si="179"/>
        <v/>
      </c>
      <c r="AN303" s="89" t="str">
        <f t="shared" si="180"/>
        <v/>
      </c>
      <c r="AO303" s="3" t="str">
        <f t="shared" si="181"/>
        <v/>
      </c>
      <c r="AP303" s="33" t="str">
        <f t="shared" si="182"/>
        <v/>
      </c>
      <c r="AQ303" s="58" t="str">
        <f t="shared" si="183"/>
        <v/>
      </c>
      <c r="AR303" s="38">
        <f>'ANR OK vs ML7'!AR303</f>
        <v>0.1</v>
      </c>
      <c r="AS303" s="35" t="str">
        <f t="shared" si="184"/>
        <v/>
      </c>
      <c r="AT303" s="3" t="str">
        <f t="shared" si="185"/>
        <v/>
      </c>
      <c r="AU303" s="3" t="str">
        <f t="shared" si="186"/>
        <v/>
      </c>
      <c r="AW303" s="32" t="str">
        <f t="shared" si="187"/>
        <v/>
      </c>
      <c r="AX303" s="32" t="str">
        <f t="shared" si="188"/>
        <v/>
      </c>
      <c r="AY303" s="32" t="str">
        <f t="shared" si="189"/>
        <v/>
      </c>
      <c r="BA303" s="32" t="str">
        <f>IF($A304="","",F303*Summary!$Q$8)</f>
        <v/>
      </c>
    </row>
    <row r="304" spans="1:53" ht="12" customHeight="1">
      <c r="A304" s="67" t="str">
        <f t="shared" si="190"/>
        <v/>
      </c>
      <c r="B304" s="69">
        <f t="shared" si="192"/>
        <v>0</v>
      </c>
      <c r="C304" s="71"/>
      <c r="D304" s="69" t="str">
        <f t="shared" si="155"/>
        <v/>
      </c>
      <c r="E304" s="70" t="str">
        <f t="shared" si="156"/>
        <v/>
      </c>
      <c r="F304" s="70" t="str">
        <f t="shared" si="157"/>
        <v/>
      </c>
      <c r="G304" s="63" t="str">
        <f t="shared" si="158"/>
        <v/>
      </c>
      <c r="H304" s="64" t="str">
        <f t="shared" si="159"/>
        <v/>
      </c>
      <c r="I304" s="43"/>
      <c r="J304" s="63" t="str">
        <f t="shared" si="160"/>
        <v/>
      </c>
      <c r="K304" s="64" t="str">
        <f t="shared" si="161"/>
        <v/>
      </c>
      <c r="L304" s="63" t="str">
        <f t="shared" si="162"/>
        <v/>
      </c>
      <c r="M304" s="64" t="str">
        <f t="shared" si="163"/>
        <v/>
      </c>
      <c r="N304" s="65"/>
      <c r="O304" s="63" t="str">
        <f t="shared" si="164"/>
        <v/>
      </c>
      <c r="P304" s="63" t="str">
        <f t="shared" si="165"/>
        <v/>
      </c>
      <c r="Q304" s="66"/>
      <c r="R304" s="63" t="str">
        <f t="shared" si="166"/>
        <v/>
      </c>
      <c r="S304" s="64" t="str">
        <f t="shared" si="167"/>
        <v/>
      </c>
      <c r="T304" s="63" t="str">
        <f t="shared" si="168"/>
        <v/>
      </c>
      <c r="U304" s="64" t="str">
        <f t="shared" si="169"/>
        <v/>
      </c>
      <c r="V304" s="207" t="str">
        <f>IF($A305="","",IF(AND(MONTH(A304)&gt;3,MONTH(A304)&lt;11),(T304+R304+G304)*Summary!$T$8/(1-Summary!$T$8),(T304+R304+G304)*Summary!$U$8/(1-Summary!$U$8)))</f>
        <v/>
      </c>
      <c r="W304" s="63" t="str">
        <f t="shared" si="170"/>
        <v/>
      </c>
      <c r="X304" s="63" t="str">
        <f t="shared" si="171"/>
        <v/>
      </c>
      <c r="Y304" s="43"/>
      <c r="Z304" s="38" t="str">
        <f t="shared" si="172"/>
        <v/>
      </c>
      <c r="AA304" s="38" t="str">
        <f t="shared" si="173"/>
        <v/>
      </c>
      <c r="AB304" s="38" t="e">
        <f t="shared" si="174"/>
        <v>#VALUE!</v>
      </c>
      <c r="AC304" s="38" t="str">
        <f t="shared" si="175"/>
        <v/>
      </c>
      <c r="AD304" s="38" t="str">
        <f t="shared" si="175"/>
        <v/>
      </c>
      <c r="AE304" s="38" t="e">
        <f t="shared" si="176"/>
        <v>#VALUE!</v>
      </c>
      <c r="AF304" s="237" t="e">
        <f>((Summary!$N$8*(AA304*AD304)*(A304-$D$3))+(Summary!$M$8*Z304*AC304*(AJ304-EOMONTH(EDATE(A304,-1),0))))/(AK304*AB304*AE304)</f>
        <v>#VALUE!</v>
      </c>
      <c r="AG304" s="88" t="str">
        <f>IF($A305="","",Summary!$Q$8)</f>
        <v/>
      </c>
      <c r="AH304" s="88" t="str">
        <f>IF($A305="","",IF(Summary!$R$8="Y",(VLOOKUP($A304,Summary!$AD$6:$AF$9,3)+'Escalating commodity'!D317),'Escalating commodity'!D317))</f>
        <v/>
      </c>
      <c r="AI304" s="88" t="str">
        <f t="shared" si="191"/>
        <v/>
      </c>
      <c r="AJ304" s="236" t="e">
        <f t="shared" si="177"/>
        <v>#VALUE!</v>
      </c>
      <c r="AK304" s="58" t="str">
        <f t="shared" si="178"/>
        <v/>
      </c>
      <c r="AL304" s="26" t="str">
        <f>IF($A305="","",_xll.SPRDOPT(P304,X304,AI304,0,AB304,AE304,AF304,AK304,$AJ$2,0))</f>
        <v/>
      </c>
      <c r="AM304" s="89" t="str">
        <f t="shared" si="179"/>
        <v/>
      </c>
      <c r="AN304" s="89" t="str">
        <f t="shared" si="180"/>
        <v/>
      </c>
      <c r="AO304" s="3" t="str">
        <f t="shared" si="181"/>
        <v/>
      </c>
      <c r="AP304" s="33" t="str">
        <f t="shared" si="182"/>
        <v/>
      </c>
      <c r="AQ304" s="58" t="str">
        <f t="shared" si="183"/>
        <v/>
      </c>
      <c r="AR304" s="38">
        <f>'ANR OK vs ML7'!AR304</f>
        <v>0.1</v>
      </c>
      <c r="AS304" s="35" t="str">
        <f t="shared" si="184"/>
        <v/>
      </c>
      <c r="AT304" s="3" t="str">
        <f t="shared" si="185"/>
        <v/>
      </c>
      <c r="AU304" s="3" t="str">
        <f t="shared" si="186"/>
        <v/>
      </c>
      <c r="AW304" s="32" t="str">
        <f t="shared" si="187"/>
        <v/>
      </c>
      <c r="AX304" s="32" t="str">
        <f t="shared" si="188"/>
        <v/>
      </c>
      <c r="AY304" s="32" t="str">
        <f t="shared" si="189"/>
        <v/>
      </c>
      <c r="BA304" s="32" t="str">
        <f>IF($A305="","",F304*Summary!$Q$8)</f>
        <v/>
      </c>
    </row>
    <row r="305" spans="1:53" ht="12" customHeight="1">
      <c r="A305" s="67" t="str">
        <f t="shared" si="190"/>
        <v/>
      </c>
      <c r="B305" s="69">
        <f t="shared" si="192"/>
        <v>0</v>
      </c>
      <c r="C305" s="71"/>
      <c r="D305" s="69" t="str">
        <f t="shared" si="155"/>
        <v/>
      </c>
      <c r="E305" s="70" t="str">
        <f t="shared" si="156"/>
        <v/>
      </c>
      <c r="F305" s="70" t="str">
        <f t="shared" si="157"/>
        <v/>
      </c>
      <c r="G305" s="63" t="str">
        <f t="shared" si="158"/>
        <v/>
      </c>
      <c r="H305" s="64" t="str">
        <f t="shared" si="159"/>
        <v/>
      </c>
      <c r="I305" s="43"/>
      <c r="J305" s="63" t="str">
        <f t="shared" si="160"/>
        <v/>
      </c>
      <c r="K305" s="64" t="str">
        <f t="shared" si="161"/>
        <v/>
      </c>
      <c r="L305" s="63" t="str">
        <f t="shared" si="162"/>
        <v/>
      </c>
      <c r="M305" s="64" t="str">
        <f t="shared" si="163"/>
        <v/>
      </c>
      <c r="N305" s="65"/>
      <c r="O305" s="63" t="str">
        <f t="shared" si="164"/>
        <v/>
      </c>
      <c r="P305" s="63" t="str">
        <f t="shared" si="165"/>
        <v/>
      </c>
      <c r="Q305" s="66"/>
      <c r="R305" s="63" t="str">
        <f t="shared" si="166"/>
        <v/>
      </c>
      <c r="S305" s="64" t="str">
        <f t="shared" si="167"/>
        <v/>
      </c>
      <c r="T305" s="63" t="str">
        <f t="shared" si="168"/>
        <v/>
      </c>
      <c r="U305" s="64" t="str">
        <f t="shared" si="169"/>
        <v/>
      </c>
      <c r="V305" s="207" t="str">
        <f>IF($A306="","",IF(AND(MONTH(A305)&gt;3,MONTH(A305)&lt;11),(T305+R305+G305)*Summary!$T$8/(1-Summary!$T$8),(T305+R305+G305)*Summary!$U$8/(1-Summary!$U$8)))</f>
        <v/>
      </c>
      <c r="W305" s="63" t="str">
        <f t="shared" si="170"/>
        <v/>
      </c>
      <c r="X305" s="63" t="str">
        <f t="shared" si="171"/>
        <v/>
      </c>
      <c r="Y305" s="43"/>
      <c r="Z305" s="38" t="str">
        <f t="shared" si="172"/>
        <v/>
      </c>
      <c r="AA305" s="38" t="str">
        <f t="shared" si="173"/>
        <v/>
      </c>
      <c r="AB305" s="38" t="e">
        <f t="shared" si="174"/>
        <v>#VALUE!</v>
      </c>
      <c r="AC305" s="38" t="str">
        <f t="shared" si="175"/>
        <v/>
      </c>
      <c r="AD305" s="38" t="str">
        <f t="shared" si="175"/>
        <v/>
      </c>
      <c r="AE305" s="38" t="e">
        <f t="shared" si="176"/>
        <v>#VALUE!</v>
      </c>
      <c r="AF305" s="237" t="e">
        <f>((Summary!$N$8*(AA305*AD305)*(A305-$D$3))+(Summary!$M$8*Z305*AC305*(AJ305-EOMONTH(EDATE(A305,-1),0))))/(AK305*AB305*AE305)</f>
        <v>#VALUE!</v>
      </c>
      <c r="AG305" s="88" t="str">
        <f>IF($A306="","",Summary!$Q$8)</f>
        <v/>
      </c>
      <c r="AH305" s="88" t="str">
        <f>IF($A306="","",IF(Summary!$R$8="Y",(VLOOKUP($A305,Summary!$AD$6:$AF$9,3)+'Escalating commodity'!D318),'Escalating commodity'!D318))</f>
        <v/>
      </c>
      <c r="AI305" s="88" t="str">
        <f t="shared" si="191"/>
        <v/>
      </c>
      <c r="AJ305" s="236" t="e">
        <f t="shared" si="177"/>
        <v>#VALUE!</v>
      </c>
      <c r="AK305" s="58" t="str">
        <f t="shared" si="178"/>
        <v/>
      </c>
      <c r="AL305" s="26" t="str">
        <f>IF($A306="","",_xll.SPRDOPT(P305,X305,AI305,0,AB305,AE305,AF305,AK305,$AJ$2,0))</f>
        <v/>
      </c>
      <c r="AM305" s="89" t="str">
        <f t="shared" si="179"/>
        <v/>
      </c>
      <c r="AN305" s="89" t="str">
        <f t="shared" si="180"/>
        <v/>
      </c>
      <c r="AO305" s="3" t="str">
        <f t="shared" si="181"/>
        <v/>
      </c>
      <c r="AP305" s="33" t="str">
        <f t="shared" si="182"/>
        <v/>
      </c>
      <c r="AQ305" s="58" t="str">
        <f t="shared" si="183"/>
        <v/>
      </c>
      <c r="AR305" s="38">
        <f>'ANR OK vs ML7'!AR305</f>
        <v>0.1</v>
      </c>
      <c r="AS305" s="35" t="str">
        <f t="shared" si="184"/>
        <v/>
      </c>
      <c r="AT305" s="3" t="str">
        <f t="shared" si="185"/>
        <v/>
      </c>
      <c r="AU305" s="3" t="str">
        <f t="shared" si="186"/>
        <v/>
      </c>
      <c r="AW305" s="32" t="str">
        <f t="shared" si="187"/>
        <v/>
      </c>
      <c r="AX305" s="32" t="str">
        <f t="shared" si="188"/>
        <v/>
      </c>
      <c r="AY305" s="32" t="str">
        <f t="shared" si="189"/>
        <v/>
      </c>
      <c r="BA305" s="32" t="str">
        <f>IF($A306="","",F305*Summary!$Q$8)</f>
        <v/>
      </c>
    </row>
    <row r="306" spans="1:53" ht="12" customHeight="1">
      <c r="A306" s="67" t="str">
        <f t="shared" si="190"/>
        <v/>
      </c>
      <c r="B306" s="69">
        <f t="shared" si="192"/>
        <v>0</v>
      </c>
      <c r="C306" s="71"/>
      <c r="D306" s="69" t="str">
        <f t="shared" si="155"/>
        <v/>
      </c>
      <c r="E306" s="70" t="str">
        <f t="shared" si="156"/>
        <v/>
      </c>
      <c r="F306" s="70" t="str">
        <f t="shared" si="157"/>
        <v/>
      </c>
      <c r="G306" s="63" t="str">
        <f t="shared" si="158"/>
        <v/>
      </c>
      <c r="H306" s="64" t="str">
        <f t="shared" si="159"/>
        <v/>
      </c>
      <c r="I306" s="43"/>
      <c r="J306" s="63" t="str">
        <f t="shared" si="160"/>
        <v/>
      </c>
      <c r="K306" s="64" t="str">
        <f t="shared" si="161"/>
        <v/>
      </c>
      <c r="L306" s="63" t="str">
        <f t="shared" si="162"/>
        <v/>
      </c>
      <c r="M306" s="64" t="str">
        <f t="shared" si="163"/>
        <v/>
      </c>
      <c r="N306" s="65"/>
      <c r="O306" s="63" t="str">
        <f t="shared" si="164"/>
        <v/>
      </c>
      <c r="P306" s="63" t="str">
        <f t="shared" si="165"/>
        <v/>
      </c>
      <c r="Q306" s="66"/>
      <c r="R306" s="63" t="str">
        <f t="shared" si="166"/>
        <v/>
      </c>
      <c r="S306" s="64" t="str">
        <f t="shared" si="167"/>
        <v/>
      </c>
      <c r="T306" s="63" t="str">
        <f t="shared" si="168"/>
        <v/>
      </c>
      <c r="U306" s="64" t="str">
        <f t="shared" si="169"/>
        <v/>
      </c>
      <c r="V306" s="207" t="str">
        <f>IF($A307="","",IF(AND(MONTH(A306)&gt;3,MONTH(A306)&lt;11),(T306+R306+G306)*Summary!$T$8/(1-Summary!$T$8),(T306+R306+G306)*Summary!$U$8/(1-Summary!$U$8)))</f>
        <v/>
      </c>
      <c r="W306" s="63" t="str">
        <f t="shared" si="170"/>
        <v/>
      </c>
      <c r="X306" s="63" t="str">
        <f t="shared" si="171"/>
        <v/>
      </c>
      <c r="Y306" s="43"/>
      <c r="Z306" s="38" t="str">
        <f t="shared" si="172"/>
        <v/>
      </c>
      <c r="AA306" s="38" t="str">
        <f t="shared" si="173"/>
        <v/>
      </c>
      <c r="AB306" s="38" t="e">
        <f t="shared" si="174"/>
        <v>#VALUE!</v>
      </c>
      <c r="AC306" s="38" t="str">
        <f t="shared" si="175"/>
        <v/>
      </c>
      <c r="AD306" s="38" t="str">
        <f t="shared" si="175"/>
        <v/>
      </c>
      <c r="AE306" s="38" t="e">
        <f t="shared" si="176"/>
        <v>#VALUE!</v>
      </c>
      <c r="AF306" s="237" t="e">
        <f>((Summary!$N$8*(AA306*AD306)*(A306-$D$3))+(Summary!$M$8*Z306*AC306*(AJ306-EOMONTH(EDATE(A306,-1),0))))/(AK306*AB306*AE306)</f>
        <v>#VALUE!</v>
      </c>
      <c r="AG306" s="88" t="str">
        <f>IF($A307="","",Summary!$Q$8)</f>
        <v/>
      </c>
      <c r="AH306" s="88" t="str">
        <f>IF($A307="","",IF(Summary!$R$8="Y",(VLOOKUP($A306,Summary!$AD$6:$AF$9,3)+'Escalating commodity'!D319),'Escalating commodity'!D319))</f>
        <v/>
      </c>
      <c r="AI306" s="88" t="str">
        <f t="shared" si="191"/>
        <v/>
      </c>
      <c r="AJ306" s="236" t="e">
        <f t="shared" si="177"/>
        <v>#VALUE!</v>
      </c>
      <c r="AK306" s="58" t="str">
        <f t="shared" si="178"/>
        <v/>
      </c>
      <c r="AL306" s="26" t="str">
        <f>IF($A307="","",_xll.SPRDOPT(P306,X306,AI306,0,AB306,AE306,AF306,AK306,$AJ$2,0))</f>
        <v/>
      </c>
      <c r="AM306" s="89" t="str">
        <f t="shared" si="179"/>
        <v/>
      </c>
      <c r="AN306" s="89" t="str">
        <f t="shared" si="180"/>
        <v/>
      </c>
      <c r="AO306" s="3" t="str">
        <f t="shared" si="181"/>
        <v/>
      </c>
      <c r="AP306" s="33" t="str">
        <f t="shared" si="182"/>
        <v/>
      </c>
      <c r="AQ306" s="58" t="str">
        <f t="shared" si="183"/>
        <v/>
      </c>
      <c r="AR306" s="38">
        <f>'ANR OK vs ML7'!AR306</f>
        <v>0.1</v>
      </c>
      <c r="AS306" s="35" t="str">
        <f t="shared" si="184"/>
        <v/>
      </c>
      <c r="AT306" s="3" t="str">
        <f t="shared" si="185"/>
        <v/>
      </c>
      <c r="AU306" s="3" t="str">
        <f t="shared" si="186"/>
        <v/>
      </c>
      <c r="AW306" s="32" t="str">
        <f t="shared" si="187"/>
        <v/>
      </c>
      <c r="AX306" s="32" t="str">
        <f t="shared" si="188"/>
        <v/>
      </c>
      <c r="AY306" s="32" t="str">
        <f t="shared" si="189"/>
        <v/>
      </c>
      <c r="BA306" s="32" t="str">
        <f>IF($A307="","",F306*Summary!$Q$8)</f>
        <v/>
      </c>
    </row>
    <row r="307" spans="1:53" ht="12" customHeight="1">
      <c r="A307" s="67" t="str">
        <f t="shared" si="190"/>
        <v/>
      </c>
      <c r="B307" s="69">
        <f t="shared" si="192"/>
        <v>0</v>
      </c>
      <c r="C307" s="71"/>
      <c r="D307" s="69" t="str">
        <f t="shared" si="155"/>
        <v/>
      </c>
      <c r="E307" s="70" t="str">
        <f t="shared" si="156"/>
        <v/>
      </c>
      <c r="F307" s="70" t="str">
        <f t="shared" si="157"/>
        <v/>
      </c>
      <c r="G307" s="63" t="str">
        <f t="shared" si="158"/>
        <v/>
      </c>
      <c r="H307" s="64" t="str">
        <f t="shared" si="159"/>
        <v/>
      </c>
      <c r="I307" s="43"/>
      <c r="J307" s="63" t="str">
        <f t="shared" si="160"/>
        <v/>
      </c>
      <c r="K307" s="64" t="str">
        <f t="shared" si="161"/>
        <v/>
      </c>
      <c r="L307" s="63" t="str">
        <f t="shared" si="162"/>
        <v/>
      </c>
      <c r="M307" s="64" t="str">
        <f t="shared" si="163"/>
        <v/>
      </c>
      <c r="N307" s="65"/>
      <c r="O307" s="63" t="str">
        <f t="shared" si="164"/>
        <v/>
      </c>
      <c r="P307" s="63" t="str">
        <f t="shared" si="165"/>
        <v/>
      </c>
      <c r="Q307" s="66"/>
      <c r="R307" s="63" t="str">
        <f t="shared" si="166"/>
        <v/>
      </c>
      <c r="S307" s="64" t="str">
        <f t="shared" si="167"/>
        <v/>
      </c>
      <c r="T307" s="63" t="str">
        <f t="shared" si="168"/>
        <v/>
      </c>
      <c r="U307" s="64" t="str">
        <f t="shared" si="169"/>
        <v/>
      </c>
      <c r="V307" s="207" t="str">
        <f>IF($A308="","",IF(AND(MONTH(A307)&gt;3,MONTH(A307)&lt;11),(T307+R307+G307)*Summary!$T$8/(1-Summary!$T$8),(T307+R307+G307)*Summary!$U$8/(1-Summary!$U$8)))</f>
        <v/>
      </c>
      <c r="W307" s="63" t="str">
        <f t="shared" si="170"/>
        <v/>
      </c>
      <c r="X307" s="63" t="str">
        <f t="shared" si="171"/>
        <v/>
      </c>
      <c r="Y307" s="43"/>
      <c r="Z307" s="38" t="str">
        <f t="shared" si="172"/>
        <v/>
      </c>
      <c r="AA307" s="38" t="str">
        <f t="shared" si="173"/>
        <v/>
      </c>
      <c r="AB307" s="38" t="e">
        <f t="shared" si="174"/>
        <v>#VALUE!</v>
      </c>
      <c r="AC307" s="38" t="str">
        <f t="shared" si="175"/>
        <v/>
      </c>
      <c r="AD307" s="38" t="str">
        <f t="shared" si="175"/>
        <v/>
      </c>
      <c r="AE307" s="38" t="e">
        <f t="shared" si="176"/>
        <v>#VALUE!</v>
      </c>
      <c r="AF307" s="237" t="e">
        <f>((Summary!$N$8*(AA307*AD307)*(A307-$D$3))+(Summary!$M$8*Z307*AC307*(AJ307-EOMONTH(EDATE(A307,-1),0))))/(AK307*AB307*AE307)</f>
        <v>#VALUE!</v>
      </c>
      <c r="AG307" s="88" t="str">
        <f>IF($A308="","",Summary!$Q$8)</f>
        <v/>
      </c>
      <c r="AH307" s="88" t="str">
        <f>IF($A308="","",IF(Summary!$R$8="Y",(VLOOKUP($A307,Summary!$AD$6:$AF$9,3)+'Escalating commodity'!D320),'Escalating commodity'!D320))</f>
        <v/>
      </c>
      <c r="AI307" s="88" t="str">
        <f t="shared" si="191"/>
        <v/>
      </c>
      <c r="AJ307" s="236" t="e">
        <f t="shared" si="177"/>
        <v>#VALUE!</v>
      </c>
      <c r="AK307" s="58" t="str">
        <f t="shared" si="178"/>
        <v/>
      </c>
      <c r="AL307" s="26" t="str">
        <f>IF($A308="","",_xll.SPRDOPT(P307,X307,AI307,0,AB307,AE307,AF307,AK307,$AJ$2,0))</f>
        <v/>
      </c>
      <c r="AM307" s="89" t="str">
        <f t="shared" si="179"/>
        <v/>
      </c>
      <c r="AN307" s="89" t="str">
        <f t="shared" si="180"/>
        <v/>
      </c>
      <c r="AO307" s="3" t="str">
        <f t="shared" si="181"/>
        <v/>
      </c>
      <c r="AP307" s="33" t="str">
        <f t="shared" si="182"/>
        <v/>
      </c>
      <c r="AQ307" s="58" t="str">
        <f t="shared" si="183"/>
        <v/>
      </c>
      <c r="AR307" s="38">
        <f>'ANR OK vs ML7'!AR307</f>
        <v>0.1</v>
      </c>
      <c r="AS307" s="35" t="str">
        <f t="shared" si="184"/>
        <v/>
      </c>
      <c r="AT307" s="3" t="str">
        <f t="shared" si="185"/>
        <v/>
      </c>
      <c r="AU307" s="3" t="str">
        <f t="shared" si="186"/>
        <v/>
      </c>
      <c r="AW307" s="32" t="str">
        <f t="shared" si="187"/>
        <v/>
      </c>
      <c r="AX307" s="32" t="str">
        <f t="shared" si="188"/>
        <v/>
      </c>
      <c r="AY307" s="32" t="str">
        <f t="shared" si="189"/>
        <v/>
      </c>
      <c r="BA307" s="32" t="str">
        <f>IF($A308="","",F307*Summary!$Q$8)</f>
        <v/>
      </c>
    </row>
    <row r="308" spans="1:53" ht="12" customHeight="1">
      <c r="A308" s="67" t="str">
        <f t="shared" si="190"/>
        <v/>
      </c>
      <c r="B308" s="69">
        <f t="shared" si="192"/>
        <v>0</v>
      </c>
      <c r="C308" s="71"/>
      <c r="D308" s="69" t="str">
        <f t="shared" si="155"/>
        <v/>
      </c>
      <c r="E308" s="70" t="str">
        <f t="shared" si="156"/>
        <v/>
      </c>
      <c r="F308" s="70" t="str">
        <f t="shared" si="157"/>
        <v/>
      </c>
      <c r="G308" s="63" t="str">
        <f t="shared" si="158"/>
        <v/>
      </c>
      <c r="H308" s="64" t="str">
        <f t="shared" si="159"/>
        <v/>
      </c>
      <c r="I308" s="43"/>
      <c r="J308" s="63" t="str">
        <f t="shared" si="160"/>
        <v/>
      </c>
      <c r="K308" s="64" t="str">
        <f t="shared" si="161"/>
        <v/>
      </c>
      <c r="L308" s="63" t="str">
        <f t="shared" si="162"/>
        <v/>
      </c>
      <c r="M308" s="64" t="str">
        <f t="shared" si="163"/>
        <v/>
      </c>
      <c r="N308" s="65"/>
      <c r="O308" s="63" t="str">
        <f t="shared" si="164"/>
        <v/>
      </c>
      <c r="P308" s="63" t="str">
        <f t="shared" si="165"/>
        <v/>
      </c>
      <c r="Q308" s="66"/>
      <c r="R308" s="63" t="str">
        <f t="shared" si="166"/>
        <v/>
      </c>
      <c r="S308" s="64" t="str">
        <f t="shared" si="167"/>
        <v/>
      </c>
      <c r="T308" s="63" t="str">
        <f t="shared" si="168"/>
        <v/>
      </c>
      <c r="U308" s="64" t="str">
        <f t="shared" si="169"/>
        <v/>
      </c>
      <c r="V308" s="207" t="str">
        <f>IF($A309="","",IF(AND(MONTH(A308)&gt;3,MONTH(A308)&lt;11),(T308+R308+G308)*Summary!$T$8/(1-Summary!$T$8),(T308+R308+G308)*Summary!$U$8/(1-Summary!$U$8)))</f>
        <v/>
      </c>
      <c r="W308" s="63" t="str">
        <f t="shared" si="170"/>
        <v/>
      </c>
      <c r="X308" s="63" t="str">
        <f t="shared" si="171"/>
        <v/>
      </c>
      <c r="Y308" s="43"/>
      <c r="Z308" s="38" t="str">
        <f t="shared" si="172"/>
        <v/>
      </c>
      <c r="AA308" s="38" t="str">
        <f t="shared" si="173"/>
        <v/>
      </c>
      <c r="AB308" s="38" t="e">
        <f t="shared" si="174"/>
        <v>#VALUE!</v>
      </c>
      <c r="AC308" s="38" t="str">
        <f t="shared" si="175"/>
        <v/>
      </c>
      <c r="AD308" s="38" t="str">
        <f t="shared" si="175"/>
        <v/>
      </c>
      <c r="AE308" s="38" t="e">
        <f t="shared" si="176"/>
        <v>#VALUE!</v>
      </c>
      <c r="AF308" s="237" t="e">
        <f>((Summary!$N$8*(AA308*AD308)*(A308-$D$3))+(Summary!$M$8*Z308*AC308*(AJ308-EOMONTH(EDATE(A308,-1),0))))/(AK308*AB308*AE308)</f>
        <v>#VALUE!</v>
      </c>
      <c r="AG308" s="88" t="str">
        <f>IF($A309="","",Summary!$Q$8)</f>
        <v/>
      </c>
      <c r="AH308" s="88" t="str">
        <f>IF($A309="","",IF(Summary!$R$8="Y",(VLOOKUP($A308,Summary!$AD$6:$AF$9,3)+'Escalating commodity'!D321),'Escalating commodity'!D321))</f>
        <v/>
      </c>
      <c r="AI308" s="88" t="str">
        <f t="shared" si="191"/>
        <v/>
      </c>
      <c r="AJ308" s="236" t="e">
        <f t="shared" si="177"/>
        <v>#VALUE!</v>
      </c>
      <c r="AK308" s="58" t="str">
        <f t="shared" si="178"/>
        <v/>
      </c>
      <c r="AL308" s="26" t="str">
        <f>IF($A309="","",_xll.SPRDOPT(P308,X308,AI308,0,AB308,AE308,AF308,AK308,$AJ$2,0))</f>
        <v/>
      </c>
      <c r="AM308" s="89" t="str">
        <f t="shared" si="179"/>
        <v/>
      </c>
      <c r="AN308" s="89" t="str">
        <f t="shared" si="180"/>
        <v/>
      </c>
      <c r="AO308" s="3" t="str">
        <f t="shared" si="181"/>
        <v/>
      </c>
      <c r="AP308" s="33" t="str">
        <f t="shared" si="182"/>
        <v/>
      </c>
      <c r="AQ308" s="58" t="str">
        <f t="shared" si="183"/>
        <v/>
      </c>
      <c r="AR308" s="38">
        <f>'ANR OK vs ML7'!AR308</f>
        <v>0.1</v>
      </c>
      <c r="AS308" s="35" t="str">
        <f t="shared" si="184"/>
        <v/>
      </c>
      <c r="AT308" s="3" t="str">
        <f t="shared" si="185"/>
        <v/>
      </c>
      <c r="AU308" s="3" t="str">
        <f t="shared" si="186"/>
        <v/>
      </c>
      <c r="AW308" s="32" t="str">
        <f t="shared" si="187"/>
        <v/>
      </c>
      <c r="AX308" s="32" t="str">
        <f t="shared" si="188"/>
        <v/>
      </c>
      <c r="AY308" s="32" t="str">
        <f t="shared" si="189"/>
        <v/>
      </c>
      <c r="BA308" s="32" t="str">
        <f>IF($A309="","",F308*Summary!$Q$8)</f>
        <v/>
      </c>
    </row>
    <row r="309" spans="1:53" ht="12" customHeight="1">
      <c r="A309" s="67" t="str">
        <f t="shared" si="190"/>
        <v/>
      </c>
      <c r="B309" s="69">
        <f t="shared" si="192"/>
        <v>0</v>
      </c>
      <c r="C309" s="71"/>
      <c r="D309" s="69" t="str">
        <f t="shared" si="155"/>
        <v/>
      </c>
      <c r="E309" s="70" t="str">
        <f t="shared" si="156"/>
        <v/>
      </c>
      <c r="F309" s="70" t="str">
        <f t="shared" si="157"/>
        <v/>
      </c>
      <c r="G309" s="63" t="str">
        <f t="shared" si="158"/>
        <v/>
      </c>
      <c r="H309" s="64" t="str">
        <f t="shared" si="159"/>
        <v/>
      </c>
      <c r="I309" s="43"/>
      <c r="J309" s="63" t="str">
        <f t="shared" si="160"/>
        <v/>
      </c>
      <c r="K309" s="64" t="str">
        <f t="shared" si="161"/>
        <v/>
      </c>
      <c r="L309" s="63" t="str">
        <f t="shared" si="162"/>
        <v/>
      </c>
      <c r="M309" s="64" t="str">
        <f t="shared" si="163"/>
        <v/>
      </c>
      <c r="N309" s="65"/>
      <c r="O309" s="63" t="str">
        <f t="shared" si="164"/>
        <v/>
      </c>
      <c r="P309" s="63" t="str">
        <f t="shared" si="165"/>
        <v/>
      </c>
      <c r="Q309" s="66"/>
      <c r="R309" s="63" t="str">
        <f t="shared" si="166"/>
        <v/>
      </c>
      <c r="S309" s="64" t="str">
        <f t="shared" si="167"/>
        <v/>
      </c>
      <c r="T309" s="63" t="str">
        <f t="shared" si="168"/>
        <v/>
      </c>
      <c r="U309" s="64" t="str">
        <f t="shared" si="169"/>
        <v/>
      </c>
      <c r="V309" s="207" t="str">
        <f>IF($A310="","",IF(AND(MONTH(A309)&gt;3,MONTH(A309)&lt;11),(T309+R309+G309)*Summary!$T$8/(1-Summary!$T$8),(T309+R309+G309)*Summary!$U$8/(1-Summary!$U$8)))</f>
        <v/>
      </c>
      <c r="W309" s="63" t="str">
        <f t="shared" si="170"/>
        <v/>
      </c>
      <c r="X309" s="63" t="str">
        <f t="shared" si="171"/>
        <v/>
      </c>
      <c r="Y309" s="43"/>
      <c r="Z309" s="38" t="str">
        <f t="shared" si="172"/>
        <v/>
      </c>
      <c r="AA309" s="38" t="str">
        <f t="shared" si="173"/>
        <v/>
      </c>
      <c r="AB309" s="38" t="e">
        <f t="shared" si="174"/>
        <v>#VALUE!</v>
      </c>
      <c r="AC309" s="38" t="str">
        <f t="shared" si="175"/>
        <v/>
      </c>
      <c r="AD309" s="38" t="str">
        <f t="shared" si="175"/>
        <v/>
      </c>
      <c r="AE309" s="38" t="e">
        <f t="shared" si="176"/>
        <v>#VALUE!</v>
      </c>
      <c r="AF309" s="237" t="e">
        <f>((Summary!$N$8*(AA309*AD309)*(A309-$D$3))+(Summary!$M$8*Z309*AC309*(AJ309-EOMONTH(EDATE(A309,-1),0))))/(AK309*AB309*AE309)</f>
        <v>#VALUE!</v>
      </c>
      <c r="AG309" s="88" t="str">
        <f>IF($A310="","",Summary!$Q$8)</f>
        <v/>
      </c>
      <c r="AH309" s="88" t="str">
        <f>IF($A310="","",IF(Summary!$R$8="Y",(VLOOKUP($A309,Summary!$AD$6:$AF$9,3)+'Escalating commodity'!D322),'Escalating commodity'!D322))</f>
        <v/>
      </c>
      <c r="AI309" s="88" t="str">
        <f t="shared" si="191"/>
        <v/>
      </c>
      <c r="AJ309" s="236" t="e">
        <f t="shared" si="177"/>
        <v>#VALUE!</v>
      </c>
      <c r="AK309" s="58" t="str">
        <f t="shared" si="178"/>
        <v/>
      </c>
      <c r="AL309" s="26" t="str">
        <f>IF($A310="","",_xll.SPRDOPT(P309,X309,AI309,0,AB309,AE309,AF309,AK309,$AJ$2,0))</f>
        <v/>
      </c>
      <c r="AM309" s="89" t="str">
        <f t="shared" si="179"/>
        <v/>
      </c>
      <c r="AN309" s="89" t="str">
        <f t="shared" si="180"/>
        <v/>
      </c>
      <c r="AO309" s="3" t="str">
        <f t="shared" si="181"/>
        <v/>
      </c>
      <c r="AP309" s="33" t="str">
        <f t="shared" si="182"/>
        <v/>
      </c>
      <c r="AQ309" s="58" t="str">
        <f t="shared" si="183"/>
        <v/>
      </c>
      <c r="AR309" s="38">
        <f>'ANR OK vs ML7'!AR309</f>
        <v>0.1</v>
      </c>
      <c r="AS309" s="35" t="str">
        <f t="shared" si="184"/>
        <v/>
      </c>
      <c r="AT309" s="3" t="str">
        <f t="shared" si="185"/>
        <v/>
      </c>
      <c r="AU309" s="3" t="str">
        <f t="shared" si="186"/>
        <v/>
      </c>
      <c r="AW309" s="32" t="str">
        <f t="shared" si="187"/>
        <v/>
      </c>
      <c r="AX309" s="32" t="str">
        <f t="shared" si="188"/>
        <v/>
      </c>
      <c r="AY309" s="32" t="str">
        <f t="shared" si="189"/>
        <v/>
      </c>
      <c r="BA309" s="32" t="str">
        <f>IF($A310="","",F309*Summary!$Q$8)</f>
        <v/>
      </c>
    </row>
    <row r="310" spans="1:53" ht="12" customHeight="1">
      <c r="A310" s="67" t="str">
        <f t="shared" si="190"/>
        <v/>
      </c>
      <c r="B310" s="69">
        <f t="shared" si="192"/>
        <v>0</v>
      </c>
      <c r="C310" s="71"/>
      <c r="D310" s="69" t="str">
        <f t="shared" si="155"/>
        <v/>
      </c>
      <c r="E310" s="70" t="str">
        <f t="shared" si="156"/>
        <v/>
      </c>
      <c r="F310" s="70" t="str">
        <f t="shared" si="157"/>
        <v/>
      </c>
      <c r="G310" s="63" t="str">
        <f t="shared" si="158"/>
        <v/>
      </c>
      <c r="H310" s="64" t="str">
        <f t="shared" si="159"/>
        <v/>
      </c>
      <c r="I310" s="43"/>
      <c r="J310" s="63" t="str">
        <f t="shared" si="160"/>
        <v/>
      </c>
      <c r="K310" s="64" t="str">
        <f t="shared" si="161"/>
        <v/>
      </c>
      <c r="L310" s="63" t="str">
        <f t="shared" si="162"/>
        <v/>
      </c>
      <c r="M310" s="64" t="str">
        <f t="shared" si="163"/>
        <v/>
      </c>
      <c r="N310" s="65"/>
      <c r="O310" s="63" t="str">
        <f t="shared" si="164"/>
        <v/>
      </c>
      <c r="P310" s="63" t="str">
        <f t="shared" si="165"/>
        <v/>
      </c>
      <c r="Q310" s="66"/>
      <c r="R310" s="63" t="str">
        <f t="shared" si="166"/>
        <v/>
      </c>
      <c r="S310" s="64" t="str">
        <f t="shared" si="167"/>
        <v/>
      </c>
      <c r="T310" s="63" t="str">
        <f t="shared" si="168"/>
        <v/>
      </c>
      <c r="U310" s="64" t="str">
        <f t="shared" si="169"/>
        <v/>
      </c>
      <c r="V310" s="207" t="str">
        <f>IF($A311="","",IF(AND(MONTH(A310)&gt;3,MONTH(A310)&lt;11),(T310+R310+G310)*Summary!$T$8/(1-Summary!$T$8),(T310+R310+G310)*Summary!$U$8/(1-Summary!$U$8)))</f>
        <v/>
      </c>
      <c r="W310" s="63" t="str">
        <f t="shared" si="170"/>
        <v/>
      </c>
      <c r="X310" s="63" t="str">
        <f t="shared" si="171"/>
        <v/>
      </c>
      <c r="Y310" s="43"/>
      <c r="Z310" s="38" t="str">
        <f t="shared" si="172"/>
        <v/>
      </c>
      <c r="AA310" s="38" t="str">
        <f t="shared" si="173"/>
        <v/>
      </c>
      <c r="AB310" s="38" t="e">
        <f t="shared" si="174"/>
        <v>#VALUE!</v>
      </c>
      <c r="AC310" s="38" t="str">
        <f t="shared" si="175"/>
        <v/>
      </c>
      <c r="AD310" s="38" t="str">
        <f t="shared" si="175"/>
        <v/>
      </c>
      <c r="AE310" s="38" t="e">
        <f t="shared" si="176"/>
        <v>#VALUE!</v>
      </c>
      <c r="AF310" s="237" t="e">
        <f>((Summary!$N$8*(AA310*AD310)*(A310-$D$3))+(Summary!$M$8*Z310*AC310*(AJ310-EOMONTH(EDATE(A310,-1),0))))/(AK310*AB310*AE310)</f>
        <v>#VALUE!</v>
      </c>
      <c r="AG310" s="88" t="str">
        <f>IF($A311="","",Summary!$Q$8)</f>
        <v/>
      </c>
      <c r="AH310" s="88" t="str">
        <f>IF($A311="","",IF(Summary!$R$8="Y",(VLOOKUP($A310,Summary!$AD$6:$AF$9,3)+'Escalating commodity'!D323),'Escalating commodity'!D323))</f>
        <v/>
      </c>
      <c r="AI310" s="88" t="str">
        <f t="shared" si="191"/>
        <v/>
      </c>
      <c r="AJ310" s="236" t="e">
        <f t="shared" si="177"/>
        <v>#VALUE!</v>
      </c>
      <c r="AK310" s="58" t="str">
        <f t="shared" si="178"/>
        <v/>
      </c>
      <c r="AL310" s="26" t="str">
        <f>IF($A311="","",_xll.SPRDOPT(P310,X310,AI310,0,AB310,AE310,AF310,AK310,$AJ$2,0))</f>
        <v/>
      </c>
      <c r="AM310" s="89" t="str">
        <f t="shared" si="179"/>
        <v/>
      </c>
      <c r="AN310" s="89" t="str">
        <f t="shared" si="180"/>
        <v/>
      </c>
      <c r="AO310" s="3" t="str">
        <f t="shared" si="181"/>
        <v/>
      </c>
      <c r="AP310" s="33" t="str">
        <f t="shared" si="182"/>
        <v/>
      </c>
      <c r="AQ310" s="58" t="str">
        <f t="shared" si="183"/>
        <v/>
      </c>
      <c r="AR310" s="38">
        <f>'ANR OK vs ML7'!AR310</f>
        <v>0.1</v>
      </c>
      <c r="AS310" s="35" t="str">
        <f t="shared" si="184"/>
        <v/>
      </c>
      <c r="AT310" s="3" t="str">
        <f t="shared" si="185"/>
        <v/>
      </c>
      <c r="AU310" s="3" t="str">
        <f t="shared" si="186"/>
        <v/>
      </c>
      <c r="AW310" s="32" t="str">
        <f t="shared" si="187"/>
        <v/>
      </c>
      <c r="AX310" s="32" t="str">
        <f t="shared" si="188"/>
        <v/>
      </c>
      <c r="AY310" s="32" t="str">
        <f t="shared" si="189"/>
        <v/>
      </c>
      <c r="BA310" s="32" t="str">
        <f>IF($A311="","",F310*Summary!$Q$8)</f>
        <v/>
      </c>
    </row>
    <row r="311" spans="1:53" ht="12" customHeight="1">
      <c r="A311" s="67" t="str">
        <f t="shared" si="190"/>
        <v/>
      </c>
      <c r="B311" s="69">
        <f t="shared" si="192"/>
        <v>0</v>
      </c>
      <c r="C311" s="71"/>
      <c r="D311" s="69" t="str">
        <f t="shared" si="155"/>
        <v/>
      </c>
      <c r="E311" s="70" t="str">
        <f t="shared" si="156"/>
        <v/>
      </c>
      <c r="F311" s="70" t="str">
        <f t="shared" si="157"/>
        <v/>
      </c>
      <c r="G311" s="63" t="str">
        <f t="shared" si="158"/>
        <v/>
      </c>
      <c r="H311" s="64" t="str">
        <f t="shared" si="159"/>
        <v/>
      </c>
      <c r="I311" s="43"/>
      <c r="J311" s="63" t="str">
        <f t="shared" si="160"/>
        <v/>
      </c>
      <c r="K311" s="64" t="str">
        <f t="shared" si="161"/>
        <v/>
      </c>
      <c r="L311" s="63" t="str">
        <f t="shared" si="162"/>
        <v/>
      </c>
      <c r="M311" s="64" t="str">
        <f t="shared" si="163"/>
        <v/>
      </c>
      <c r="N311" s="65"/>
      <c r="O311" s="63" t="str">
        <f t="shared" si="164"/>
        <v/>
      </c>
      <c r="P311" s="63" t="str">
        <f t="shared" si="165"/>
        <v/>
      </c>
      <c r="Q311" s="66"/>
      <c r="R311" s="63" t="str">
        <f t="shared" si="166"/>
        <v/>
      </c>
      <c r="S311" s="64" t="str">
        <f t="shared" si="167"/>
        <v/>
      </c>
      <c r="T311" s="63" t="str">
        <f t="shared" si="168"/>
        <v/>
      </c>
      <c r="U311" s="64" t="str">
        <f t="shared" si="169"/>
        <v/>
      </c>
      <c r="V311" s="207" t="str">
        <f>IF($A312="","",IF(AND(MONTH(A311)&gt;3,MONTH(A311)&lt;11),(T311+R311+G311)*Summary!$T$8/(1-Summary!$T$8),(T311+R311+G311)*Summary!$U$8/(1-Summary!$U$8)))</f>
        <v/>
      </c>
      <c r="W311" s="63" t="str">
        <f t="shared" si="170"/>
        <v/>
      </c>
      <c r="X311" s="63" t="str">
        <f t="shared" si="171"/>
        <v/>
      </c>
      <c r="Y311" s="43"/>
      <c r="Z311" s="38" t="str">
        <f t="shared" si="172"/>
        <v/>
      </c>
      <c r="AA311" s="38" t="str">
        <f t="shared" si="173"/>
        <v/>
      </c>
      <c r="AB311" s="38" t="e">
        <f t="shared" si="174"/>
        <v>#VALUE!</v>
      </c>
      <c r="AC311" s="38" t="str">
        <f t="shared" si="175"/>
        <v/>
      </c>
      <c r="AD311" s="38" t="str">
        <f t="shared" si="175"/>
        <v/>
      </c>
      <c r="AE311" s="38" t="e">
        <f t="shared" si="176"/>
        <v>#VALUE!</v>
      </c>
      <c r="AF311" s="237" t="e">
        <f>((Summary!$N$8*(AA311*AD311)*(A311-$D$3))+(Summary!$M$8*Z311*AC311*(AJ311-EOMONTH(EDATE(A311,-1),0))))/(AK311*AB311*AE311)</f>
        <v>#VALUE!</v>
      </c>
      <c r="AG311" s="88" t="str">
        <f>IF($A312="","",Summary!$Q$8)</f>
        <v/>
      </c>
      <c r="AH311" s="88" t="str">
        <f>IF($A312="","",IF(Summary!$R$8="Y",(VLOOKUP($A311,Summary!$AD$6:$AF$9,3)+'Escalating commodity'!D324),'Escalating commodity'!D324))</f>
        <v/>
      </c>
      <c r="AI311" s="88" t="str">
        <f t="shared" si="191"/>
        <v/>
      </c>
      <c r="AJ311" s="236" t="e">
        <f t="shared" si="177"/>
        <v>#VALUE!</v>
      </c>
      <c r="AK311" s="58" t="str">
        <f t="shared" si="178"/>
        <v/>
      </c>
      <c r="AL311" s="26" t="str">
        <f>IF($A312="","",_xll.SPRDOPT(P311,X311,AI311,0,AB311,AE311,AF311,AK311,$AJ$2,0))</f>
        <v/>
      </c>
      <c r="AM311" s="89" t="str">
        <f t="shared" si="179"/>
        <v/>
      </c>
      <c r="AN311" s="89" t="str">
        <f t="shared" si="180"/>
        <v/>
      </c>
      <c r="AO311" s="3" t="str">
        <f t="shared" si="181"/>
        <v/>
      </c>
      <c r="AP311" s="33" t="str">
        <f t="shared" si="182"/>
        <v/>
      </c>
      <c r="AQ311" s="58" t="str">
        <f t="shared" si="183"/>
        <v/>
      </c>
      <c r="AR311" s="38">
        <f>'ANR OK vs ML7'!AR311</f>
        <v>0.1</v>
      </c>
      <c r="AS311" s="35" t="str">
        <f t="shared" si="184"/>
        <v/>
      </c>
      <c r="AT311" s="3" t="str">
        <f t="shared" si="185"/>
        <v/>
      </c>
      <c r="AU311" s="3" t="str">
        <f t="shared" si="186"/>
        <v/>
      </c>
      <c r="AW311" s="32" t="str">
        <f t="shared" si="187"/>
        <v/>
      </c>
      <c r="AX311" s="32" t="str">
        <f t="shared" si="188"/>
        <v/>
      </c>
      <c r="AY311" s="32" t="str">
        <f t="shared" si="189"/>
        <v/>
      </c>
      <c r="BA311" s="32" t="str">
        <f>IF($A312="","",F311*Summary!$Q$8)</f>
        <v/>
      </c>
    </row>
    <row r="312" spans="1:53" ht="12" customHeight="1">
      <c r="A312" s="67" t="str">
        <f t="shared" si="190"/>
        <v/>
      </c>
      <c r="B312" s="69">
        <f t="shared" si="192"/>
        <v>0</v>
      </c>
      <c r="C312" s="71"/>
      <c r="D312" s="69" t="str">
        <f t="shared" si="155"/>
        <v/>
      </c>
      <c r="E312" s="70" t="str">
        <f t="shared" si="156"/>
        <v/>
      </c>
      <c r="F312" s="70" t="str">
        <f t="shared" si="157"/>
        <v/>
      </c>
      <c r="G312" s="63" t="str">
        <f t="shared" si="158"/>
        <v/>
      </c>
      <c r="H312" s="64" t="str">
        <f t="shared" si="159"/>
        <v/>
      </c>
      <c r="I312" s="43"/>
      <c r="J312" s="63" t="str">
        <f t="shared" si="160"/>
        <v/>
      </c>
      <c r="K312" s="64" t="str">
        <f t="shared" si="161"/>
        <v/>
      </c>
      <c r="L312" s="63" t="str">
        <f t="shared" si="162"/>
        <v/>
      </c>
      <c r="M312" s="64" t="str">
        <f t="shared" si="163"/>
        <v/>
      </c>
      <c r="N312" s="65"/>
      <c r="O312" s="63" t="str">
        <f t="shared" si="164"/>
        <v/>
      </c>
      <c r="P312" s="63" t="str">
        <f t="shared" si="165"/>
        <v/>
      </c>
      <c r="Q312" s="66"/>
      <c r="R312" s="63" t="str">
        <f t="shared" si="166"/>
        <v/>
      </c>
      <c r="S312" s="64" t="str">
        <f t="shared" si="167"/>
        <v/>
      </c>
      <c r="T312" s="63" t="str">
        <f t="shared" si="168"/>
        <v/>
      </c>
      <c r="U312" s="64" t="str">
        <f t="shared" si="169"/>
        <v/>
      </c>
      <c r="V312" s="207" t="str">
        <f>IF($A313="","",IF(AND(MONTH(A312)&gt;3,MONTH(A312)&lt;11),(T312+R312+G312)*Summary!$T$8/(1-Summary!$T$8),(T312+R312+G312)*Summary!$U$8/(1-Summary!$U$8)))</f>
        <v/>
      </c>
      <c r="W312" s="63" t="str">
        <f t="shared" si="170"/>
        <v/>
      </c>
      <c r="X312" s="63" t="str">
        <f t="shared" si="171"/>
        <v/>
      </c>
      <c r="Y312" s="43"/>
      <c r="Z312" s="38" t="str">
        <f t="shared" si="172"/>
        <v/>
      </c>
      <c r="AA312" s="38" t="str">
        <f t="shared" si="173"/>
        <v/>
      </c>
      <c r="AB312" s="38" t="e">
        <f t="shared" si="174"/>
        <v>#VALUE!</v>
      </c>
      <c r="AC312" s="38" t="str">
        <f t="shared" si="175"/>
        <v/>
      </c>
      <c r="AD312" s="38" t="str">
        <f t="shared" si="175"/>
        <v/>
      </c>
      <c r="AE312" s="38" t="e">
        <f t="shared" si="176"/>
        <v>#VALUE!</v>
      </c>
      <c r="AF312" s="237" t="e">
        <f>((Summary!$N$8*(AA312*AD312)*(A312-$D$3))+(Summary!$M$8*Z312*AC312*(AJ312-EOMONTH(EDATE(A312,-1),0))))/(AK312*AB312*AE312)</f>
        <v>#VALUE!</v>
      </c>
      <c r="AG312" s="88" t="str">
        <f>IF($A313="","",Summary!$Q$8)</f>
        <v/>
      </c>
      <c r="AH312" s="88" t="str">
        <f>IF($A313="","",IF(Summary!$R$8="Y",(VLOOKUP($A312,Summary!$AD$6:$AF$9,3)+'Escalating commodity'!D325),'Escalating commodity'!D325))</f>
        <v/>
      </c>
      <c r="AI312" s="88" t="str">
        <f t="shared" si="191"/>
        <v/>
      </c>
      <c r="AJ312" s="236" t="e">
        <f t="shared" si="177"/>
        <v>#VALUE!</v>
      </c>
      <c r="AK312" s="58" t="str">
        <f t="shared" si="178"/>
        <v/>
      </c>
      <c r="AL312" s="26" t="str">
        <f>IF($A313="","",_xll.SPRDOPT(P312,X312,AI312,0,AB312,AE312,AF312,AK312,$AJ$2,0))</f>
        <v/>
      </c>
      <c r="AM312" s="89" t="str">
        <f t="shared" si="179"/>
        <v/>
      </c>
      <c r="AN312" s="89" t="str">
        <f t="shared" si="180"/>
        <v/>
      </c>
      <c r="AO312" s="3" t="str">
        <f t="shared" si="181"/>
        <v/>
      </c>
      <c r="AP312" s="33" t="str">
        <f t="shared" si="182"/>
        <v/>
      </c>
      <c r="AQ312" s="58" t="str">
        <f t="shared" si="183"/>
        <v/>
      </c>
      <c r="AR312" s="38">
        <f>'ANR OK vs ML7'!AR312</f>
        <v>0.1</v>
      </c>
      <c r="AS312" s="35" t="str">
        <f t="shared" si="184"/>
        <v/>
      </c>
      <c r="AT312" s="3" t="str">
        <f t="shared" si="185"/>
        <v/>
      </c>
      <c r="AU312" s="3" t="str">
        <f t="shared" si="186"/>
        <v/>
      </c>
      <c r="AW312" s="32" t="str">
        <f t="shared" si="187"/>
        <v/>
      </c>
      <c r="AX312" s="32" t="str">
        <f t="shared" si="188"/>
        <v/>
      </c>
      <c r="AY312" s="32" t="str">
        <f t="shared" si="189"/>
        <v/>
      </c>
      <c r="BA312" s="32" t="str">
        <f>IF($A313="","",F312*Summary!$Q$8)</f>
        <v/>
      </c>
    </row>
    <row r="313" spans="1:53" ht="12" customHeight="1">
      <c r="A313" s="67" t="str">
        <f t="shared" si="190"/>
        <v/>
      </c>
      <c r="B313" s="69">
        <f t="shared" si="192"/>
        <v>0</v>
      </c>
      <c r="C313" s="71"/>
      <c r="D313" s="69" t="str">
        <f t="shared" si="155"/>
        <v/>
      </c>
      <c r="E313" s="70" t="str">
        <f t="shared" si="156"/>
        <v/>
      </c>
      <c r="F313" s="70" t="str">
        <f t="shared" si="157"/>
        <v/>
      </c>
      <c r="G313" s="63" t="str">
        <f t="shared" si="158"/>
        <v/>
      </c>
      <c r="H313" s="64" t="str">
        <f t="shared" si="159"/>
        <v/>
      </c>
      <c r="I313" s="43"/>
      <c r="J313" s="63" t="str">
        <f t="shared" si="160"/>
        <v/>
      </c>
      <c r="K313" s="64" t="str">
        <f t="shared" si="161"/>
        <v/>
      </c>
      <c r="L313" s="63" t="str">
        <f t="shared" si="162"/>
        <v/>
      </c>
      <c r="M313" s="64" t="str">
        <f t="shared" si="163"/>
        <v/>
      </c>
      <c r="N313" s="65"/>
      <c r="O313" s="63" t="str">
        <f t="shared" si="164"/>
        <v/>
      </c>
      <c r="P313" s="63" t="str">
        <f t="shared" si="165"/>
        <v/>
      </c>
      <c r="Q313" s="66"/>
      <c r="R313" s="63" t="str">
        <f t="shared" si="166"/>
        <v/>
      </c>
      <c r="S313" s="64" t="str">
        <f t="shared" si="167"/>
        <v/>
      </c>
      <c r="T313" s="63" t="str">
        <f t="shared" si="168"/>
        <v/>
      </c>
      <c r="U313" s="64" t="str">
        <f t="shared" si="169"/>
        <v/>
      </c>
      <c r="V313" s="207" t="str">
        <f>IF($A314="","",IF(AND(MONTH(A313)&gt;3,MONTH(A313)&lt;11),(T313+R313+G313)*Summary!$T$8/(1-Summary!$T$8),(T313+R313+G313)*Summary!$U$8/(1-Summary!$U$8)))</f>
        <v/>
      </c>
      <c r="W313" s="63" t="str">
        <f t="shared" si="170"/>
        <v/>
      </c>
      <c r="X313" s="63" t="str">
        <f t="shared" si="171"/>
        <v/>
      </c>
      <c r="Y313" s="43"/>
      <c r="Z313" s="38" t="str">
        <f t="shared" si="172"/>
        <v/>
      </c>
      <c r="AA313" s="38" t="str">
        <f t="shared" si="173"/>
        <v/>
      </c>
      <c r="AB313" s="38" t="e">
        <f t="shared" si="174"/>
        <v>#VALUE!</v>
      </c>
      <c r="AC313" s="38" t="str">
        <f t="shared" si="175"/>
        <v/>
      </c>
      <c r="AD313" s="38" t="str">
        <f t="shared" si="175"/>
        <v/>
      </c>
      <c r="AE313" s="38" t="e">
        <f t="shared" si="176"/>
        <v>#VALUE!</v>
      </c>
      <c r="AF313" s="237" t="e">
        <f>((Summary!$N$8*(AA313*AD313)*(A313-$D$3))+(Summary!$M$8*Z313*AC313*(AJ313-EOMONTH(EDATE(A313,-1),0))))/(AK313*AB313*AE313)</f>
        <v>#VALUE!</v>
      </c>
      <c r="AG313" s="88" t="str">
        <f>IF($A314="","",Summary!$Q$8)</f>
        <v/>
      </c>
      <c r="AH313" s="88" t="str">
        <f>IF($A314="","",IF(Summary!$R$8="Y",(VLOOKUP($A313,Summary!$AD$6:$AF$9,3)+'Escalating commodity'!D326),'Escalating commodity'!D326))</f>
        <v/>
      </c>
      <c r="AI313" s="88" t="str">
        <f t="shared" si="191"/>
        <v/>
      </c>
      <c r="AJ313" s="236" t="e">
        <f t="shared" si="177"/>
        <v>#VALUE!</v>
      </c>
      <c r="AK313" s="58" t="str">
        <f t="shared" si="178"/>
        <v/>
      </c>
      <c r="AL313" s="26" t="str">
        <f>IF($A314="","",_xll.SPRDOPT(P313,X313,AI313,0,AB313,AE313,AF313,AK313,$AJ$2,0))</f>
        <v/>
      </c>
      <c r="AM313" s="89" t="str">
        <f t="shared" si="179"/>
        <v/>
      </c>
      <c r="AN313" s="89" t="str">
        <f t="shared" si="180"/>
        <v/>
      </c>
      <c r="AO313" s="3" t="str">
        <f t="shared" si="181"/>
        <v/>
      </c>
      <c r="AP313" s="33" t="str">
        <f t="shared" si="182"/>
        <v/>
      </c>
      <c r="AQ313" s="58" t="str">
        <f t="shared" si="183"/>
        <v/>
      </c>
      <c r="AR313" s="38">
        <f>'ANR OK vs ML7'!AR313</f>
        <v>0.1</v>
      </c>
      <c r="AS313" s="35" t="str">
        <f t="shared" si="184"/>
        <v/>
      </c>
      <c r="AT313" s="3" t="str">
        <f t="shared" si="185"/>
        <v/>
      </c>
      <c r="AU313" s="3" t="str">
        <f t="shared" si="186"/>
        <v/>
      </c>
      <c r="AW313" s="32" t="str">
        <f t="shared" si="187"/>
        <v/>
      </c>
      <c r="AX313" s="32" t="str">
        <f t="shared" si="188"/>
        <v/>
      </c>
      <c r="AY313" s="32" t="str">
        <f t="shared" si="189"/>
        <v/>
      </c>
      <c r="BA313" s="32" t="str">
        <f>IF($A314="","",F313*Summary!$Q$8)</f>
        <v/>
      </c>
    </row>
    <row r="314" spans="1:53" ht="12" customHeight="1">
      <c r="A314" s="67" t="str">
        <f t="shared" si="190"/>
        <v/>
      </c>
      <c r="B314" s="69">
        <f t="shared" si="192"/>
        <v>0</v>
      </c>
      <c r="C314" s="71"/>
      <c r="D314" s="69" t="str">
        <f t="shared" si="155"/>
        <v/>
      </c>
      <c r="E314" s="70" t="str">
        <f t="shared" si="156"/>
        <v/>
      </c>
      <c r="F314" s="70" t="str">
        <f t="shared" si="157"/>
        <v/>
      </c>
      <c r="G314" s="63" t="str">
        <f t="shared" si="158"/>
        <v/>
      </c>
      <c r="H314" s="64" t="str">
        <f t="shared" si="159"/>
        <v/>
      </c>
      <c r="I314" s="43"/>
      <c r="J314" s="63" t="str">
        <f t="shared" si="160"/>
        <v/>
      </c>
      <c r="K314" s="64" t="str">
        <f t="shared" si="161"/>
        <v/>
      </c>
      <c r="L314" s="63" t="str">
        <f t="shared" si="162"/>
        <v/>
      </c>
      <c r="M314" s="64" t="str">
        <f t="shared" si="163"/>
        <v/>
      </c>
      <c r="N314" s="65"/>
      <c r="O314" s="63" t="str">
        <f t="shared" si="164"/>
        <v/>
      </c>
      <c r="P314" s="63" t="str">
        <f t="shared" si="165"/>
        <v/>
      </c>
      <c r="Q314" s="66"/>
      <c r="R314" s="63" t="str">
        <f t="shared" si="166"/>
        <v/>
      </c>
      <c r="S314" s="64" t="str">
        <f t="shared" si="167"/>
        <v/>
      </c>
      <c r="T314" s="63" t="str">
        <f t="shared" si="168"/>
        <v/>
      </c>
      <c r="U314" s="64" t="str">
        <f t="shared" si="169"/>
        <v/>
      </c>
      <c r="V314" s="207" t="str">
        <f>IF($A315="","",IF(AND(MONTH(A314)&gt;3,MONTH(A314)&lt;11),(T314+R314+G314)*Summary!$T$8/(1-Summary!$T$8),(T314+R314+G314)*Summary!$U$8/(1-Summary!$U$8)))</f>
        <v/>
      </c>
      <c r="W314" s="63" t="str">
        <f t="shared" si="170"/>
        <v/>
      </c>
      <c r="X314" s="63" t="str">
        <f t="shared" si="171"/>
        <v/>
      </c>
      <c r="Y314" s="43"/>
      <c r="Z314" s="38" t="str">
        <f t="shared" si="172"/>
        <v/>
      </c>
      <c r="AA314" s="38" t="str">
        <f t="shared" si="173"/>
        <v/>
      </c>
      <c r="AB314" s="38" t="e">
        <f t="shared" si="174"/>
        <v>#VALUE!</v>
      </c>
      <c r="AC314" s="38" t="str">
        <f t="shared" si="175"/>
        <v/>
      </c>
      <c r="AD314" s="38" t="str">
        <f t="shared" si="175"/>
        <v/>
      </c>
      <c r="AE314" s="38" t="e">
        <f t="shared" si="176"/>
        <v>#VALUE!</v>
      </c>
      <c r="AF314" s="237" t="e">
        <f>((Summary!$N$8*(AA314*AD314)*(A314-$D$3))+(Summary!$M$8*Z314*AC314*(AJ314-EOMONTH(EDATE(A314,-1),0))))/(AK314*AB314*AE314)</f>
        <v>#VALUE!</v>
      </c>
      <c r="AG314" s="88" t="str">
        <f>IF($A315="","",Summary!$Q$8)</f>
        <v/>
      </c>
      <c r="AH314" s="88" t="str">
        <f>IF($A315="","",IF(Summary!$R$8="Y",(VLOOKUP($A314,Summary!$AD$6:$AF$9,3)+'Escalating commodity'!D327),'Escalating commodity'!D327))</f>
        <v/>
      </c>
      <c r="AI314" s="88" t="str">
        <f t="shared" si="191"/>
        <v/>
      </c>
      <c r="AJ314" s="236" t="e">
        <f t="shared" si="177"/>
        <v>#VALUE!</v>
      </c>
      <c r="AK314" s="58" t="str">
        <f t="shared" si="178"/>
        <v/>
      </c>
      <c r="AL314" s="26" t="str">
        <f>IF($A315="","",_xll.SPRDOPT(P314,X314,AI314,0,AB314,AE314,AF314,AK314,$AJ$2,0))</f>
        <v/>
      </c>
      <c r="AM314" s="89" t="str">
        <f t="shared" si="179"/>
        <v/>
      </c>
      <c r="AN314" s="89" t="str">
        <f t="shared" si="180"/>
        <v/>
      </c>
      <c r="AO314" s="3" t="str">
        <f t="shared" si="181"/>
        <v/>
      </c>
      <c r="AP314" s="33" t="str">
        <f t="shared" si="182"/>
        <v/>
      </c>
      <c r="AQ314" s="58" t="str">
        <f t="shared" si="183"/>
        <v/>
      </c>
      <c r="AR314" s="38">
        <f>'ANR OK vs ML7'!AR314</f>
        <v>0.1</v>
      </c>
      <c r="AS314" s="35" t="str">
        <f t="shared" si="184"/>
        <v/>
      </c>
      <c r="AT314" s="3" t="str">
        <f t="shared" si="185"/>
        <v/>
      </c>
      <c r="AU314" s="3" t="str">
        <f t="shared" si="186"/>
        <v/>
      </c>
      <c r="AW314" s="32" t="str">
        <f t="shared" si="187"/>
        <v/>
      </c>
      <c r="AX314" s="32" t="str">
        <f t="shared" si="188"/>
        <v/>
      </c>
      <c r="AY314" s="32" t="str">
        <f t="shared" si="189"/>
        <v/>
      </c>
      <c r="BA314" s="32" t="str">
        <f>IF($A315="","",F314*Summary!$Q$8)</f>
        <v/>
      </c>
    </row>
    <row r="315" spans="1:53" ht="12" customHeight="1">
      <c r="A315" s="67" t="str">
        <f t="shared" si="190"/>
        <v/>
      </c>
      <c r="B315" s="69">
        <f t="shared" si="192"/>
        <v>0</v>
      </c>
      <c r="C315" s="71"/>
      <c r="D315" s="69" t="str">
        <f t="shared" si="155"/>
        <v/>
      </c>
      <c r="E315" s="70" t="str">
        <f t="shared" si="156"/>
        <v/>
      </c>
      <c r="F315" s="70" t="str">
        <f t="shared" si="157"/>
        <v/>
      </c>
      <c r="G315" s="63" t="str">
        <f t="shared" si="158"/>
        <v/>
      </c>
      <c r="H315" s="64" t="str">
        <f t="shared" si="159"/>
        <v/>
      </c>
      <c r="I315" s="43"/>
      <c r="J315" s="63" t="str">
        <f t="shared" si="160"/>
        <v/>
      </c>
      <c r="K315" s="64" t="str">
        <f t="shared" si="161"/>
        <v/>
      </c>
      <c r="L315" s="63" t="str">
        <f t="shared" si="162"/>
        <v/>
      </c>
      <c r="M315" s="64" t="str">
        <f t="shared" si="163"/>
        <v/>
      </c>
      <c r="N315" s="65"/>
      <c r="O315" s="63" t="str">
        <f t="shared" si="164"/>
        <v/>
      </c>
      <c r="P315" s="63" t="str">
        <f t="shared" si="165"/>
        <v/>
      </c>
      <c r="Q315" s="66"/>
      <c r="R315" s="63" t="str">
        <f t="shared" si="166"/>
        <v/>
      </c>
      <c r="S315" s="64" t="str">
        <f t="shared" si="167"/>
        <v/>
      </c>
      <c r="T315" s="63" t="str">
        <f t="shared" si="168"/>
        <v/>
      </c>
      <c r="U315" s="64" t="str">
        <f t="shared" si="169"/>
        <v/>
      </c>
      <c r="V315" s="207" t="str">
        <f>IF($A316="","",IF(AND(MONTH(A315)&gt;3,MONTH(A315)&lt;11),(T315+R315+G315)*Summary!$T$8/(1-Summary!$T$8),(T315+R315+G315)*Summary!$U$8/(1-Summary!$U$8)))</f>
        <v/>
      </c>
      <c r="W315" s="63" t="str">
        <f t="shared" si="170"/>
        <v/>
      </c>
      <c r="X315" s="63" t="str">
        <f t="shared" si="171"/>
        <v/>
      </c>
      <c r="Y315" s="43"/>
      <c r="Z315" s="38" t="str">
        <f t="shared" si="172"/>
        <v/>
      </c>
      <c r="AA315" s="38" t="str">
        <f t="shared" si="173"/>
        <v/>
      </c>
      <c r="AB315" s="38" t="e">
        <f t="shared" si="174"/>
        <v>#VALUE!</v>
      </c>
      <c r="AC315" s="38" t="str">
        <f t="shared" si="175"/>
        <v/>
      </c>
      <c r="AD315" s="38" t="str">
        <f t="shared" si="175"/>
        <v/>
      </c>
      <c r="AE315" s="38" t="e">
        <f t="shared" si="176"/>
        <v>#VALUE!</v>
      </c>
      <c r="AF315" s="237" t="e">
        <f>((Summary!$N$8*(AA315*AD315)*(A315-$D$3))+(Summary!$M$8*Z315*AC315*(AJ315-EOMONTH(EDATE(A315,-1),0))))/(AK315*AB315*AE315)</f>
        <v>#VALUE!</v>
      </c>
      <c r="AG315" s="88" t="str">
        <f>IF($A316="","",Summary!$Q$8)</f>
        <v/>
      </c>
      <c r="AH315" s="88" t="str">
        <f>IF($A316="","",IF(Summary!$R$8="Y",(VLOOKUP($A315,Summary!$AD$6:$AF$9,3)+'Escalating commodity'!D328),'Escalating commodity'!D328))</f>
        <v/>
      </c>
      <c r="AI315" s="88" t="str">
        <f t="shared" si="191"/>
        <v/>
      </c>
      <c r="AJ315" s="236" t="e">
        <f t="shared" si="177"/>
        <v>#VALUE!</v>
      </c>
      <c r="AK315" s="58" t="str">
        <f t="shared" si="178"/>
        <v/>
      </c>
      <c r="AL315" s="26" t="str">
        <f>IF($A316="","",_xll.SPRDOPT(P315,X315,AI315,0,AB315,AE315,AF315,AK315,$AJ$2,0))</f>
        <v/>
      </c>
      <c r="AM315" s="89" t="str">
        <f t="shared" si="179"/>
        <v/>
      </c>
      <c r="AN315" s="89" t="str">
        <f t="shared" si="180"/>
        <v/>
      </c>
      <c r="AO315" s="3" t="str">
        <f t="shared" si="181"/>
        <v/>
      </c>
      <c r="AP315" s="33" t="str">
        <f t="shared" si="182"/>
        <v/>
      </c>
      <c r="AQ315" s="58" t="str">
        <f t="shared" si="183"/>
        <v/>
      </c>
      <c r="AR315" s="38">
        <f>'ANR OK vs ML7'!AR315</f>
        <v>0.1</v>
      </c>
      <c r="AS315" s="35" t="str">
        <f t="shared" si="184"/>
        <v/>
      </c>
      <c r="AT315" s="3" t="str">
        <f t="shared" si="185"/>
        <v/>
      </c>
      <c r="AU315" s="3" t="str">
        <f t="shared" si="186"/>
        <v/>
      </c>
      <c r="AW315" s="32" t="str">
        <f t="shared" si="187"/>
        <v/>
      </c>
      <c r="AX315" s="32" t="str">
        <f t="shared" si="188"/>
        <v/>
      </c>
      <c r="AY315" s="32" t="str">
        <f t="shared" si="189"/>
        <v/>
      </c>
      <c r="BA315" s="32" t="str">
        <f>IF($A316="","",F315*Summary!$Q$8)</f>
        <v/>
      </c>
    </row>
    <row r="316" spans="1:53" ht="12" customHeight="1">
      <c r="A316" s="67" t="str">
        <f t="shared" si="190"/>
        <v/>
      </c>
      <c r="B316" s="69">
        <f t="shared" si="192"/>
        <v>0</v>
      </c>
      <c r="C316" s="71"/>
      <c r="D316" s="69" t="str">
        <f t="shared" si="155"/>
        <v/>
      </c>
      <c r="E316" s="70" t="str">
        <f t="shared" si="156"/>
        <v/>
      </c>
      <c r="F316" s="70" t="str">
        <f t="shared" si="157"/>
        <v/>
      </c>
      <c r="G316" s="63" t="str">
        <f t="shared" si="158"/>
        <v/>
      </c>
      <c r="H316" s="64" t="str">
        <f t="shared" si="159"/>
        <v/>
      </c>
      <c r="I316" s="43"/>
      <c r="J316" s="63" t="str">
        <f t="shared" si="160"/>
        <v/>
      </c>
      <c r="K316" s="64" t="str">
        <f t="shared" si="161"/>
        <v/>
      </c>
      <c r="L316" s="63" t="str">
        <f t="shared" si="162"/>
        <v/>
      </c>
      <c r="M316" s="64" t="str">
        <f t="shared" si="163"/>
        <v/>
      </c>
      <c r="N316" s="65"/>
      <c r="O316" s="63" t="str">
        <f t="shared" si="164"/>
        <v/>
      </c>
      <c r="P316" s="63" t="str">
        <f t="shared" si="165"/>
        <v/>
      </c>
      <c r="Q316" s="66"/>
      <c r="R316" s="63" t="str">
        <f t="shared" si="166"/>
        <v/>
      </c>
      <c r="S316" s="64" t="str">
        <f t="shared" si="167"/>
        <v/>
      </c>
      <c r="T316" s="63" t="str">
        <f t="shared" si="168"/>
        <v/>
      </c>
      <c r="U316" s="64" t="str">
        <f t="shared" si="169"/>
        <v/>
      </c>
      <c r="V316" s="207" t="str">
        <f>IF($A317="","",IF(AND(MONTH(A316)&gt;3,MONTH(A316)&lt;11),(T316+R316+G316)*Summary!$T$8/(1-Summary!$T$8),(T316+R316+G316)*Summary!$U$8/(1-Summary!$U$8)))</f>
        <v/>
      </c>
      <c r="W316" s="63" t="str">
        <f t="shared" si="170"/>
        <v/>
      </c>
      <c r="X316" s="63" t="str">
        <f t="shared" si="171"/>
        <v/>
      </c>
      <c r="Y316" s="43"/>
      <c r="Z316" s="38" t="str">
        <f t="shared" si="172"/>
        <v/>
      </c>
      <c r="AA316" s="38" t="str">
        <f t="shared" si="173"/>
        <v/>
      </c>
      <c r="AB316" s="38" t="e">
        <f t="shared" si="174"/>
        <v>#VALUE!</v>
      </c>
      <c r="AC316" s="38" t="str">
        <f t="shared" si="175"/>
        <v/>
      </c>
      <c r="AD316" s="38" t="str">
        <f t="shared" si="175"/>
        <v/>
      </c>
      <c r="AE316" s="38" t="e">
        <f t="shared" si="176"/>
        <v>#VALUE!</v>
      </c>
      <c r="AF316" s="237" t="e">
        <f>((Summary!$N$8*(AA316*AD316)*(A316-$D$3))+(Summary!$M$8*Z316*AC316*(AJ316-EOMONTH(EDATE(A316,-1),0))))/(AK316*AB316*AE316)</f>
        <v>#VALUE!</v>
      </c>
      <c r="AG316" s="88" t="str">
        <f>IF($A317="","",Summary!$Q$8)</f>
        <v/>
      </c>
      <c r="AH316" s="88" t="str">
        <f>IF($A317="","",IF(Summary!$R$8="Y",(VLOOKUP($A316,Summary!$AD$6:$AF$9,3)+'Escalating commodity'!D329),'Escalating commodity'!D329))</f>
        <v/>
      </c>
      <c r="AI316" s="88" t="str">
        <f t="shared" si="191"/>
        <v/>
      </c>
      <c r="AJ316" s="236" t="e">
        <f t="shared" si="177"/>
        <v>#VALUE!</v>
      </c>
      <c r="AK316" s="58" t="str">
        <f t="shared" si="178"/>
        <v/>
      </c>
      <c r="AL316" s="26" t="str">
        <f>IF($A317="","",_xll.SPRDOPT(P316,X316,AI316,0,AB316,AE316,AF316,AK316,$AJ$2,0))</f>
        <v/>
      </c>
      <c r="AM316" s="89" t="str">
        <f t="shared" si="179"/>
        <v/>
      </c>
      <c r="AN316" s="89" t="str">
        <f t="shared" si="180"/>
        <v/>
      </c>
      <c r="AO316" s="3" t="str">
        <f t="shared" si="181"/>
        <v/>
      </c>
      <c r="AP316" s="33" t="str">
        <f t="shared" si="182"/>
        <v/>
      </c>
      <c r="AQ316" s="58" t="str">
        <f t="shared" si="183"/>
        <v/>
      </c>
      <c r="AR316" s="38">
        <f>'ANR OK vs ML7'!AR316</f>
        <v>0.1</v>
      </c>
      <c r="AS316" s="35" t="str">
        <f t="shared" si="184"/>
        <v/>
      </c>
      <c r="AT316" s="3" t="str">
        <f t="shared" si="185"/>
        <v/>
      </c>
      <c r="AU316" s="3" t="str">
        <f t="shared" si="186"/>
        <v/>
      </c>
      <c r="AW316" s="32" t="str">
        <f t="shared" si="187"/>
        <v/>
      </c>
      <c r="AX316" s="32" t="str">
        <f t="shared" si="188"/>
        <v/>
      </c>
      <c r="AY316" s="32" t="str">
        <f t="shared" si="189"/>
        <v/>
      </c>
      <c r="BA316" s="32" t="str">
        <f>IF($A317="","",F316*Summary!$Q$8)</f>
        <v/>
      </c>
    </row>
    <row r="317" spans="1:53" ht="12" customHeight="1">
      <c r="A317" s="67" t="str">
        <f t="shared" si="190"/>
        <v/>
      </c>
      <c r="B317" s="69">
        <f t="shared" si="192"/>
        <v>0</v>
      </c>
      <c r="C317" s="71"/>
      <c r="D317" s="69" t="str">
        <f t="shared" si="155"/>
        <v/>
      </c>
      <c r="E317" s="70" t="str">
        <f t="shared" si="156"/>
        <v/>
      </c>
      <c r="F317" s="70" t="str">
        <f t="shared" si="157"/>
        <v/>
      </c>
      <c r="G317" s="63" t="str">
        <f t="shared" si="158"/>
        <v/>
      </c>
      <c r="H317" s="64" t="str">
        <f t="shared" si="159"/>
        <v/>
      </c>
      <c r="I317" s="43"/>
      <c r="J317" s="63" t="str">
        <f t="shared" si="160"/>
        <v/>
      </c>
      <c r="K317" s="64" t="str">
        <f t="shared" si="161"/>
        <v/>
      </c>
      <c r="L317" s="63" t="str">
        <f t="shared" si="162"/>
        <v/>
      </c>
      <c r="M317" s="64" t="str">
        <f t="shared" si="163"/>
        <v/>
      </c>
      <c r="N317" s="65"/>
      <c r="O317" s="63" t="str">
        <f t="shared" si="164"/>
        <v/>
      </c>
      <c r="P317" s="63" t="str">
        <f t="shared" si="165"/>
        <v/>
      </c>
      <c r="Q317" s="66"/>
      <c r="R317" s="63" t="str">
        <f t="shared" si="166"/>
        <v/>
      </c>
      <c r="S317" s="64" t="str">
        <f t="shared" si="167"/>
        <v/>
      </c>
      <c r="T317" s="63" t="str">
        <f t="shared" si="168"/>
        <v/>
      </c>
      <c r="U317" s="64" t="str">
        <f t="shared" si="169"/>
        <v/>
      </c>
      <c r="V317" s="207" t="str">
        <f>IF($A318="","",IF(AND(MONTH(A317)&gt;3,MONTH(A317)&lt;11),(T317+R317+G317)*Summary!$T$8/(1-Summary!$T$8),(T317+R317+G317)*Summary!$U$8/(1-Summary!$U$8)))</f>
        <v/>
      </c>
      <c r="W317" s="63" t="str">
        <f t="shared" si="170"/>
        <v/>
      </c>
      <c r="X317" s="63" t="str">
        <f t="shared" si="171"/>
        <v/>
      </c>
      <c r="Y317" s="43"/>
      <c r="Z317" s="38" t="str">
        <f t="shared" si="172"/>
        <v/>
      </c>
      <c r="AA317" s="38" t="str">
        <f t="shared" si="173"/>
        <v/>
      </c>
      <c r="AB317" s="38" t="e">
        <f t="shared" si="174"/>
        <v>#VALUE!</v>
      </c>
      <c r="AC317" s="38" t="str">
        <f t="shared" si="175"/>
        <v/>
      </c>
      <c r="AD317" s="38" t="str">
        <f t="shared" si="175"/>
        <v/>
      </c>
      <c r="AE317" s="38" t="e">
        <f t="shared" si="176"/>
        <v>#VALUE!</v>
      </c>
      <c r="AF317" s="237" t="e">
        <f>((Summary!$N$8*(AA317*AD317)*(A317-$D$3))+(Summary!$M$8*Z317*AC317*(AJ317-EOMONTH(EDATE(A317,-1),0))))/(AK317*AB317*AE317)</f>
        <v>#VALUE!</v>
      </c>
      <c r="AG317" s="88" t="str">
        <f>IF($A318="","",Summary!$Q$8)</f>
        <v/>
      </c>
      <c r="AH317" s="88" t="str">
        <f>IF($A318="","",IF(Summary!$R$8="Y",(VLOOKUP($A317,Summary!$AD$6:$AF$9,3)+'Escalating commodity'!D330),'Escalating commodity'!D330))</f>
        <v/>
      </c>
      <c r="AI317" s="88" t="str">
        <f t="shared" si="191"/>
        <v/>
      </c>
      <c r="AJ317" s="236" t="e">
        <f t="shared" si="177"/>
        <v>#VALUE!</v>
      </c>
      <c r="AK317" s="58" t="str">
        <f t="shared" si="178"/>
        <v/>
      </c>
      <c r="AL317" s="26" t="str">
        <f>IF($A318="","",_xll.SPRDOPT(P317,X317,AI317,0,AB317,AE317,AF317,AK317,$AJ$2,0))</f>
        <v/>
      </c>
      <c r="AM317" s="89" t="str">
        <f t="shared" si="179"/>
        <v/>
      </c>
      <c r="AN317" s="89" t="str">
        <f t="shared" si="180"/>
        <v/>
      </c>
      <c r="AO317" s="3" t="str">
        <f t="shared" si="181"/>
        <v/>
      </c>
      <c r="AP317" s="33" t="str">
        <f t="shared" si="182"/>
        <v/>
      </c>
      <c r="AQ317" s="58" t="str">
        <f t="shared" si="183"/>
        <v/>
      </c>
      <c r="AR317" s="38">
        <f>'ANR OK vs ML7'!AR317</f>
        <v>0.1</v>
      </c>
      <c r="AS317" s="35" t="str">
        <f t="shared" si="184"/>
        <v/>
      </c>
      <c r="AT317" s="3" t="str">
        <f t="shared" si="185"/>
        <v/>
      </c>
      <c r="AU317" s="3" t="str">
        <f t="shared" si="186"/>
        <v/>
      </c>
      <c r="AW317" s="32" t="str">
        <f t="shared" si="187"/>
        <v/>
      </c>
      <c r="AX317" s="32" t="str">
        <f t="shared" si="188"/>
        <v/>
      </c>
      <c r="AY317" s="32" t="str">
        <f t="shared" si="189"/>
        <v/>
      </c>
      <c r="BA317" s="32" t="str">
        <f>IF($A318="","",F317*Summary!$Q$8)</f>
        <v/>
      </c>
    </row>
    <row r="318" spans="1:53" ht="12" customHeight="1">
      <c r="A318" s="67" t="str">
        <f t="shared" si="190"/>
        <v/>
      </c>
      <c r="B318" s="69">
        <f t="shared" si="192"/>
        <v>0</v>
      </c>
      <c r="C318" s="71"/>
      <c r="D318" s="69" t="str">
        <f t="shared" si="155"/>
        <v/>
      </c>
      <c r="E318" s="70" t="str">
        <f t="shared" si="156"/>
        <v/>
      </c>
      <c r="F318" s="70" t="str">
        <f t="shared" si="157"/>
        <v/>
      </c>
      <c r="G318" s="63" t="str">
        <f t="shared" si="158"/>
        <v/>
      </c>
      <c r="H318" s="64" t="str">
        <f t="shared" si="159"/>
        <v/>
      </c>
      <c r="I318" s="43"/>
      <c r="J318" s="63" t="str">
        <f t="shared" si="160"/>
        <v/>
      </c>
      <c r="K318" s="64" t="str">
        <f t="shared" si="161"/>
        <v/>
      </c>
      <c r="L318" s="63" t="str">
        <f t="shared" si="162"/>
        <v/>
      </c>
      <c r="M318" s="64" t="str">
        <f t="shared" si="163"/>
        <v/>
      </c>
      <c r="N318" s="65"/>
      <c r="O318" s="63" t="str">
        <f t="shared" si="164"/>
        <v/>
      </c>
      <c r="P318" s="63" t="str">
        <f t="shared" si="165"/>
        <v/>
      </c>
      <c r="Q318" s="66"/>
      <c r="R318" s="63" t="str">
        <f t="shared" si="166"/>
        <v/>
      </c>
      <c r="S318" s="64" t="str">
        <f t="shared" si="167"/>
        <v/>
      </c>
      <c r="T318" s="63" t="str">
        <f t="shared" si="168"/>
        <v/>
      </c>
      <c r="U318" s="64" t="str">
        <f t="shared" si="169"/>
        <v/>
      </c>
      <c r="V318" s="207" t="str">
        <f>IF($A319="","",IF(AND(MONTH(A318)&gt;3,MONTH(A318)&lt;11),(T318+R318+G318)*Summary!$T$8/(1-Summary!$T$8),(T318+R318+G318)*Summary!$U$8/(1-Summary!$U$8)))</f>
        <v/>
      </c>
      <c r="W318" s="63" t="str">
        <f t="shared" si="170"/>
        <v/>
      </c>
      <c r="X318" s="63" t="str">
        <f t="shared" si="171"/>
        <v/>
      </c>
      <c r="Y318" s="43"/>
      <c r="Z318" s="38" t="str">
        <f t="shared" si="172"/>
        <v/>
      </c>
      <c r="AA318" s="38" t="str">
        <f t="shared" si="173"/>
        <v/>
      </c>
      <c r="AB318" s="38" t="e">
        <f t="shared" si="174"/>
        <v>#VALUE!</v>
      </c>
      <c r="AC318" s="38" t="str">
        <f t="shared" si="175"/>
        <v/>
      </c>
      <c r="AD318" s="38" t="str">
        <f t="shared" si="175"/>
        <v/>
      </c>
      <c r="AE318" s="38" t="e">
        <f t="shared" si="176"/>
        <v>#VALUE!</v>
      </c>
      <c r="AF318" s="237" t="e">
        <f>((Summary!$N$8*(AA318*AD318)*(A318-$D$3))+(Summary!$M$8*Z318*AC318*(AJ318-EOMONTH(EDATE(A318,-1),0))))/(AK318*AB318*AE318)</f>
        <v>#VALUE!</v>
      </c>
      <c r="AG318" s="88" t="str">
        <f>IF($A319="","",Summary!$Q$8)</f>
        <v/>
      </c>
      <c r="AH318" s="88" t="str">
        <f>IF($A319="","",IF(Summary!$R$8="Y",(VLOOKUP($A318,Summary!$AD$6:$AF$9,3)+'Escalating commodity'!D331),'Escalating commodity'!D331))</f>
        <v/>
      </c>
      <c r="AI318" s="88" t="str">
        <f t="shared" si="191"/>
        <v/>
      </c>
      <c r="AJ318" s="236" t="e">
        <f t="shared" si="177"/>
        <v>#VALUE!</v>
      </c>
      <c r="AK318" s="58" t="str">
        <f t="shared" si="178"/>
        <v/>
      </c>
      <c r="AL318" s="26" t="str">
        <f>IF($A319="","",_xll.SPRDOPT(P318,X318,AI318,0,AB318,AE318,AF318,AK318,$AJ$2,0))</f>
        <v/>
      </c>
      <c r="AM318" s="89" t="str">
        <f t="shared" si="179"/>
        <v/>
      </c>
      <c r="AN318" s="89" t="str">
        <f t="shared" si="180"/>
        <v/>
      </c>
      <c r="AO318" s="3" t="str">
        <f t="shared" si="181"/>
        <v/>
      </c>
      <c r="AP318" s="33" t="str">
        <f t="shared" si="182"/>
        <v/>
      </c>
      <c r="AQ318" s="58" t="str">
        <f t="shared" si="183"/>
        <v/>
      </c>
      <c r="AR318" s="38">
        <f>'ANR OK vs ML7'!AR318</f>
        <v>0.1</v>
      </c>
      <c r="AS318" s="35" t="str">
        <f t="shared" si="184"/>
        <v/>
      </c>
      <c r="AT318" s="3" t="str">
        <f t="shared" si="185"/>
        <v/>
      </c>
      <c r="AU318" s="3" t="str">
        <f t="shared" si="186"/>
        <v/>
      </c>
      <c r="AW318" s="32" t="str">
        <f t="shared" si="187"/>
        <v/>
      </c>
      <c r="AX318" s="32" t="str">
        <f t="shared" si="188"/>
        <v/>
      </c>
      <c r="AY318" s="32" t="str">
        <f t="shared" si="189"/>
        <v/>
      </c>
      <c r="BA318" s="32" t="str">
        <f>IF($A319="","",F318*Summary!$Q$8)</f>
        <v/>
      </c>
    </row>
    <row r="319" spans="1:53" ht="12" customHeight="1">
      <c r="A319" s="67" t="str">
        <f t="shared" si="190"/>
        <v/>
      </c>
      <c r="B319" s="69">
        <f t="shared" si="192"/>
        <v>0</v>
      </c>
      <c r="C319" s="71"/>
      <c r="D319" s="69" t="str">
        <f t="shared" si="155"/>
        <v/>
      </c>
      <c r="E319" s="70" t="str">
        <f t="shared" si="156"/>
        <v/>
      </c>
      <c r="F319" s="70" t="str">
        <f t="shared" si="157"/>
        <v/>
      </c>
      <c r="G319" s="63" t="str">
        <f t="shared" si="158"/>
        <v/>
      </c>
      <c r="H319" s="64" t="str">
        <f t="shared" si="159"/>
        <v/>
      </c>
      <c r="I319" s="43"/>
      <c r="J319" s="63" t="str">
        <f t="shared" si="160"/>
        <v/>
      </c>
      <c r="K319" s="64" t="str">
        <f t="shared" si="161"/>
        <v/>
      </c>
      <c r="L319" s="63" t="str">
        <f t="shared" si="162"/>
        <v/>
      </c>
      <c r="M319" s="64" t="str">
        <f t="shared" si="163"/>
        <v/>
      </c>
      <c r="N319" s="65"/>
      <c r="O319" s="63" t="str">
        <f t="shared" si="164"/>
        <v/>
      </c>
      <c r="P319" s="63" t="str">
        <f t="shared" si="165"/>
        <v/>
      </c>
      <c r="Q319" s="66"/>
      <c r="R319" s="63" t="str">
        <f t="shared" si="166"/>
        <v/>
      </c>
      <c r="S319" s="64" t="str">
        <f t="shared" si="167"/>
        <v/>
      </c>
      <c r="T319" s="63" t="str">
        <f t="shared" si="168"/>
        <v/>
      </c>
      <c r="U319" s="64" t="str">
        <f t="shared" si="169"/>
        <v/>
      </c>
      <c r="V319" s="207" t="str">
        <f>IF($A320="","",IF(AND(MONTH(A319)&gt;3,MONTH(A319)&lt;11),(T319+R319+G319)*Summary!$T$8/(1-Summary!$T$8),(T319+R319+G319)*Summary!$U$8/(1-Summary!$U$8)))</f>
        <v/>
      </c>
      <c r="W319" s="63" t="str">
        <f t="shared" si="170"/>
        <v/>
      </c>
      <c r="X319" s="63" t="str">
        <f t="shared" si="171"/>
        <v/>
      </c>
      <c r="Y319" s="43"/>
      <c r="Z319" s="38" t="str">
        <f t="shared" si="172"/>
        <v/>
      </c>
      <c r="AA319" s="38" t="str">
        <f t="shared" si="173"/>
        <v/>
      </c>
      <c r="AB319" s="38" t="e">
        <f t="shared" si="174"/>
        <v>#VALUE!</v>
      </c>
      <c r="AC319" s="38" t="str">
        <f t="shared" si="175"/>
        <v/>
      </c>
      <c r="AD319" s="38" t="str">
        <f t="shared" si="175"/>
        <v/>
      </c>
      <c r="AE319" s="38" t="e">
        <f t="shared" si="176"/>
        <v>#VALUE!</v>
      </c>
      <c r="AF319" s="237" t="e">
        <f>((Summary!$N$8*(AA319*AD319)*(A319-$D$3))+(Summary!$M$8*Z319*AC319*(AJ319-EOMONTH(EDATE(A319,-1),0))))/(AK319*AB319*AE319)</f>
        <v>#VALUE!</v>
      </c>
      <c r="AG319" s="88" t="str">
        <f>IF($A320="","",Summary!$Q$8)</f>
        <v/>
      </c>
      <c r="AH319" s="88" t="str">
        <f>IF($A320="","",IF(Summary!$R$8="Y",(VLOOKUP($A319,Summary!$AD$6:$AF$9,3)+'Escalating commodity'!D332),'Escalating commodity'!D332))</f>
        <v/>
      </c>
      <c r="AI319" s="88" t="str">
        <f t="shared" si="191"/>
        <v/>
      </c>
      <c r="AJ319" s="236" t="e">
        <f t="shared" si="177"/>
        <v>#VALUE!</v>
      </c>
      <c r="AK319" s="58" t="str">
        <f t="shared" si="178"/>
        <v/>
      </c>
      <c r="AL319" s="26" t="str">
        <f>IF($A320="","",_xll.SPRDOPT(P319,X319,AI319,0,AB319,AE319,AF319,AK319,$AJ$2,0))</f>
        <v/>
      </c>
      <c r="AM319" s="89" t="str">
        <f t="shared" si="179"/>
        <v/>
      </c>
      <c r="AN319" s="89" t="str">
        <f t="shared" si="180"/>
        <v/>
      </c>
      <c r="AO319" s="3" t="str">
        <f t="shared" si="181"/>
        <v/>
      </c>
      <c r="AP319" s="33" t="str">
        <f t="shared" si="182"/>
        <v/>
      </c>
      <c r="AQ319" s="58" t="str">
        <f t="shared" si="183"/>
        <v/>
      </c>
      <c r="AR319" s="38">
        <f>'ANR OK vs ML7'!AR319</f>
        <v>0.1</v>
      </c>
      <c r="AS319" s="35" t="str">
        <f t="shared" si="184"/>
        <v/>
      </c>
      <c r="AT319" s="3" t="str">
        <f t="shared" si="185"/>
        <v/>
      </c>
      <c r="AU319" s="3" t="str">
        <f t="shared" si="186"/>
        <v/>
      </c>
      <c r="AW319" s="32" t="str">
        <f t="shared" si="187"/>
        <v/>
      </c>
      <c r="AX319" s="32" t="str">
        <f t="shared" si="188"/>
        <v/>
      </c>
      <c r="AY319" s="32" t="str">
        <f t="shared" si="189"/>
        <v/>
      </c>
      <c r="BA319" s="32" t="str">
        <f>IF($A320="","",F319*Summary!$Q$8)</f>
        <v/>
      </c>
    </row>
    <row r="320" spans="1:53" ht="12" customHeight="1">
      <c r="A320" s="67" t="str">
        <f t="shared" si="190"/>
        <v/>
      </c>
      <c r="B320" s="69">
        <f t="shared" si="192"/>
        <v>0</v>
      </c>
      <c r="C320" s="71"/>
      <c r="D320" s="69" t="str">
        <f t="shared" si="155"/>
        <v/>
      </c>
      <c r="E320" s="70" t="str">
        <f t="shared" si="156"/>
        <v/>
      </c>
      <c r="F320" s="70" t="str">
        <f t="shared" si="157"/>
        <v/>
      </c>
      <c r="G320" s="63" t="str">
        <f t="shared" si="158"/>
        <v/>
      </c>
      <c r="H320" s="64" t="str">
        <f t="shared" si="159"/>
        <v/>
      </c>
      <c r="I320" s="43"/>
      <c r="J320" s="63" t="str">
        <f t="shared" si="160"/>
        <v/>
      </c>
      <c r="K320" s="64" t="str">
        <f t="shared" si="161"/>
        <v/>
      </c>
      <c r="L320" s="63" t="str">
        <f t="shared" si="162"/>
        <v/>
      </c>
      <c r="M320" s="64" t="str">
        <f t="shared" si="163"/>
        <v/>
      </c>
      <c r="N320" s="65"/>
      <c r="O320" s="63" t="str">
        <f t="shared" si="164"/>
        <v/>
      </c>
      <c r="P320" s="63" t="str">
        <f t="shared" si="165"/>
        <v/>
      </c>
      <c r="Q320" s="66"/>
      <c r="R320" s="63" t="str">
        <f t="shared" si="166"/>
        <v/>
      </c>
      <c r="S320" s="64" t="str">
        <f t="shared" si="167"/>
        <v/>
      </c>
      <c r="T320" s="63" t="str">
        <f t="shared" si="168"/>
        <v/>
      </c>
      <c r="U320" s="64" t="str">
        <f t="shared" si="169"/>
        <v/>
      </c>
      <c r="V320" s="207" t="str">
        <f>IF($A321="","",IF(AND(MONTH(A320)&gt;3,MONTH(A320)&lt;11),(T320+R320+G320)*Summary!$T$8/(1-Summary!$T$8),(T320+R320+G320)*Summary!$U$8/(1-Summary!$U$8)))</f>
        <v/>
      </c>
      <c r="W320" s="63" t="str">
        <f t="shared" si="170"/>
        <v/>
      </c>
      <c r="X320" s="63" t="str">
        <f t="shared" si="171"/>
        <v/>
      </c>
      <c r="Y320" s="43"/>
      <c r="Z320" s="38" t="str">
        <f t="shared" si="172"/>
        <v/>
      </c>
      <c r="AA320" s="38" t="str">
        <f t="shared" si="173"/>
        <v/>
      </c>
      <c r="AB320" s="38" t="e">
        <f t="shared" si="174"/>
        <v>#VALUE!</v>
      </c>
      <c r="AC320" s="38" t="str">
        <f t="shared" si="175"/>
        <v/>
      </c>
      <c r="AD320" s="38" t="str">
        <f t="shared" si="175"/>
        <v/>
      </c>
      <c r="AE320" s="38" t="e">
        <f t="shared" si="176"/>
        <v>#VALUE!</v>
      </c>
      <c r="AF320" s="237" t="e">
        <f>((Summary!$N$8*(AA320*AD320)*(A320-$D$3))+(Summary!$M$8*Z320*AC320*(AJ320-EOMONTH(EDATE(A320,-1),0))))/(AK320*AB320*AE320)</f>
        <v>#VALUE!</v>
      </c>
      <c r="AG320" s="88" t="str">
        <f>IF($A321="","",Summary!$Q$8)</f>
        <v/>
      </c>
      <c r="AH320" s="88" t="str">
        <f>IF($A321="","",IF(Summary!$R$8="Y",(VLOOKUP($A320,Summary!$AD$6:$AF$9,3)+'Escalating commodity'!D333),'Escalating commodity'!D333))</f>
        <v/>
      </c>
      <c r="AI320" s="88" t="str">
        <f t="shared" si="191"/>
        <v/>
      </c>
      <c r="AJ320" s="236" t="e">
        <f t="shared" si="177"/>
        <v>#VALUE!</v>
      </c>
      <c r="AK320" s="58" t="str">
        <f t="shared" si="178"/>
        <v/>
      </c>
      <c r="AL320" s="26" t="str">
        <f>IF($A321="","",_xll.SPRDOPT(P320,X320,AI320,0,AB320,AE320,AF320,AK320,$AJ$2,0))</f>
        <v/>
      </c>
      <c r="AM320" s="89" t="str">
        <f t="shared" si="179"/>
        <v/>
      </c>
      <c r="AN320" s="89" t="str">
        <f t="shared" si="180"/>
        <v/>
      </c>
      <c r="AO320" s="3" t="str">
        <f t="shared" si="181"/>
        <v/>
      </c>
      <c r="AP320" s="33" t="str">
        <f t="shared" si="182"/>
        <v/>
      </c>
      <c r="AQ320" s="58" t="str">
        <f t="shared" si="183"/>
        <v/>
      </c>
      <c r="AR320" s="38">
        <f>'ANR OK vs ML7'!AR320</f>
        <v>0.1</v>
      </c>
      <c r="AS320" s="35" t="str">
        <f t="shared" si="184"/>
        <v/>
      </c>
      <c r="AT320" s="3" t="str">
        <f t="shared" si="185"/>
        <v/>
      </c>
      <c r="AU320" s="3" t="str">
        <f t="shared" si="186"/>
        <v/>
      </c>
      <c r="AW320" s="32" t="str">
        <f t="shared" si="187"/>
        <v/>
      </c>
      <c r="AX320" s="32" t="str">
        <f t="shared" si="188"/>
        <v/>
      </c>
      <c r="AY320" s="32" t="str">
        <f t="shared" si="189"/>
        <v/>
      </c>
      <c r="BA320" s="32" t="str">
        <f>IF($A321="","",F320*Summary!$Q$8)</f>
        <v/>
      </c>
    </row>
    <row r="321" spans="1:53" ht="12" customHeight="1">
      <c r="A321" s="67" t="str">
        <f t="shared" si="190"/>
        <v/>
      </c>
      <c r="B321" s="69">
        <f t="shared" si="192"/>
        <v>0</v>
      </c>
      <c r="C321" s="71"/>
      <c r="D321" s="69" t="str">
        <f t="shared" si="155"/>
        <v/>
      </c>
      <c r="E321" s="70" t="str">
        <f t="shared" si="156"/>
        <v/>
      </c>
      <c r="F321" s="70" t="str">
        <f t="shared" si="157"/>
        <v/>
      </c>
      <c r="G321" s="63" t="str">
        <f t="shared" si="158"/>
        <v/>
      </c>
      <c r="H321" s="64" t="str">
        <f t="shared" si="159"/>
        <v/>
      </c>
      <c r="I321" s="43"/>
      <c r="J321" s="63" t="str">
        <f t="shared" si="160"/>
        <v/>
      </c>
      <c r="K321" s="64" t="str">
        <f t="shared" si="161"/>
        <v/>
      </c>
      <c r="L321" s="63" t="str">
        <f t="shared" si="162"/>
        <v/>
      </c>
      <c r="M321" s="64" t="str">
        <f t="shared" si="163"/>
        <v/>
      </c>
      <c r="N321" s="65"/>
      <c r="O321" s="63" t="str">
        <f t="shared" si="164"/>
        <v/>
      </c>
      <c r="P321" s="63" t="str">
        <f t="shared" si="165"/>
        <v/>
      </c>
      <c r="Q321" s="66"/>
      <c r="R321" s="63" t="str">
        <f t="shared" si="166"/>
        <v/>
      </c>
      <c r="S321" s="64" t="str">
        <f t="shared" si="167"/>
        <v/>
      </c>
      <c r="T321" s="63" t="str">
        <f t="shared" si="168"/>
        <v/>
      </c>
      <c r="U321" s="64" t="str">
        <f t="shared" si="169"/>
        <v/>
      </c>
      <c r="V321" s="207" t="str">
        <f>IF($A322="","",IF(AND(MONTH(A321)&gt;3,MONTH(A321)&lt;11),(T321+R321+G321)*Summary!$T$8/(1-Summary!$T$8),(T321+R321+G321)*Summary!$U$8/(1-Summary!$U$8)))</f>
        <v/>
      </c>
      <c r="W321" s="63" t="str">
        <f t="shared" si="170"/>
        <v/>
      </c>
      <c r="X321" s="63" t="str">
        <f t="shared" si="171"/>
        <v/>
      </c>
      <c r="Y321" s="43"/>
      <c r="Z321" s="38" t="str">
        <f t="shared" si="172"/>
        <v/>
      </c>
      <c r="AA321" s="38" t="str">
        <f t="shared" si="173"/>
        <v/>
      </c>
      <c r="AB321" s="38" t="e">
        <f t="shared" si="174"/>
        <v>#VALUE!</v>
      </c>
      <c r="AC321" s="38" t="str">
        <f t="shared" si="175"/>
        <v/>
      </c>
      <c r="AD321" s="38" t="str">
        <f t="shared" si="175"/>
        <v/>
      </c>
      <c r="AE321" s="38" t="e">
        <f t="shared" si="176"/>
        <v>#VALUE!</v>
      </c>
      <c r="AF321" s="237" t="e">
        <f>((Summary!$N$8*(AA321*AD321)*(A321-$D$3))+(Summary!$M$8*Z321*AC321*(AJ321-EOMONTH(EDATE(A321,-1),0))))/(AK321*AB321*AE321)</f>
        <v>#VALUE!</v>
      </c>
      <c r="AG321" s="88" t="str">
        <f>IF($A322="","",Summary!$Q$8)</f>
        <v/>
      </c>
      <c r="AH321" s="88" t="str">
        <f>IF($A322="","",IF(Summary!$R$8="Y",(VLOOKUP($A321,Summary!$AD$6:$AF$9,3)+'Escalating commodity'!D334),'Escalating commodity'!D334))</f>
        <v/>
      </c>
      <c r="AI321" s="88" t="str">
        <f t="shared" si="191"/>
        <v/>
      </c>
      <c r="AJ321" s="236" t="e">
        <f t="shared" si="177"/>
        <v>#VALUE!</v>
      </c>
      <c r="AK321" s="58" t="str">
        <f t="shared" si="178"/>
        <v/>
      </c>
      <c r="AL321" s="26" t="str">
        <f>IF($A322="","",_xll.SPRDOPT(P321,X321,AI321,0,AB321,AE321,AF321,AK321,$AJ$2,0))</f>
        <v/>
      </c>
      <c r="AM321" s="89" t="str">
        <f t="shared" si="179"/>
        <v/>
      </c>
      <c r="AN321" s="89" t="str">
        <f t="shared" si="180"/>
        <v/>
      </c>
      <c r="AO321" s="3" t="str">
        <f t="shared" si="181"/>
        <v/>
      </c>
      <c r="AP321" s="33" t="str">
        <f t="shared" si="182"/>
        <v/>
      </c>
      <c r="AQ321" s="58" t="str">
        <f t="shared" si="183"/>
        <v/>
      </c>
      <c r="AR321" s="38">
        <f>'ANR OK vs ML7'!AR321</f>
        <v>0.1</v>
      </c>
      <c r="AS321" s="35" t="str">
        <f t="shared" si="184"/>
        <v/>
      </c>
      <c r="AT321" s="3" t="str">
        <f t="shared" si="185"/>
        <v/>
      </c>
      <c r="AU321" s="3" t="str">
        <f t="shared" si="186"/>
        <v/>
      </c>
      <c r="AW321" s="32" t="str">
        <f t="shared" si="187"/>
        <v/>
      </c>
      <c r="AX321" s="32" t="str">
        <f t="shared" si="188"/>
        <v/>
      </c>
      <c r="AY321" s="32" t="str">
        <f t="shared" si="189"/>
        <v/>
      </c>
      <c r="BA321" s="32" t="str">
        <f>IF($A322="","",F321*Summary!$Q$8)</f>
        <v/>
      </c>
    </row>
    <row r="322" spans="1:53" ht="12" customHeight="1">
      <c r="A322" s="67" t="str">
        <f t="shared" si="190"/>
        <v/>
      </c>
      <c r="B322" s="69">
        <f t="shared" si="192"/>
        <v>0</v>
      </c>
      <c r="C322" s="71"/>
      <c r="D322" s="69" t="str">
        <f t="shared" si="155"/>
        <v/>
      </c>
      <c r="E322" s="70" t="str">
        <f t="shared" si="156"/>
        <v/>
      </c>
      <c r="F322" s="70" t="str">
        <f t="shared" si="157"/>
        <v/>
      </c>
      <c r="G322" s="63" t="str">
        <f t="shared" si="158"/>
        <v/>
      </c>
      <c r="H322" s="64" t="str">
        <f t="shared" si="159"/>
        <v/>
      </c>
      <c r="I322" s="43"/>
      <c r="J322" s="63" t="str">
        <f t="shared" si="160"/>
        <v/>
      </c>
      <c r="K322" s="64" t="str">
        <f t="shared" si="161"/>
        <v/>
      </c>
      <c r="L322" s="63" t="str">
        <f t="shared" si="162"/>
        <v/>
      </c>
      <c r="M322" s="64" t="str">
        <f t="shared" si="163"/>
        <v/>
      </c>
      <c r="N322" s="65"/>
      <c r="O322" s="63" t="str">
        <f t="shared" si="164"/>
        <v/>
      </c>
      <c r="P322" s="63" t="str">
        <f t="shared" si="165"/>
        <v/>
      </c>
      <c r="Q322" s="66"/>
      <c r="R322" s="63" t="str">
        <f t="shared" si="166"/>
        <v/>
      </c>
      <c r="S322" s="64" t="str">
        <f t="shared" si="167"/>
        <v/>
      </c>
      <c r="T322" s="63" t="str">
        <f t="shared" si="168"/>
        <v/>
      </c>
      <c r="U322" s="64" t="str">
        <f t="shared" si="169"/>
        <v/>
      </c>
      <c r="V322" s="207" t="str">
        <f>IF($A323="","",IF(AND(MONTH(A322)&gt;3,MONTH(A322)&lt;11),(T322+R322+G322)*Summary!$T$8/(1-Summary!$T$8),(T322+R322+G322)*Summary!$U$8/(1-Summary!$U$8)))</f>
        <v/>
      </c>
      <c r="W322" s="63" t="str">
        <f t="shared" si="170"/>
        <v/>
      </c>
      <c r="X322" s="63" t="str">
        <f t="shared" si="171"/>
        <v/>
      </c>
      <c r="Y322" s="43"/>
      <c r="Z322" s="38" t="str">
        <f t="shared" si="172"/>
        <v/>
      </c>
      <c r="AA322" s="38" t="str">
        <f t="shared" si="173"/>
        <v/>
      </c>
      <c r="AB322" s="38" t="e">
        <f t="shared" si="174"/>
        <v>#VALUE!</v>
      </c>
      <c r="AC322" s="38" t="str">
        <f t="shared" si="175"/>
        <v/>
      </c>
      <c r="AD322" s="38" t="str">
        <f t="shared" si="175"/>
        <v/>
      </c>
      <c r="AE322" s="38" t="e">
        <f t="shared" si="176"/>
        <v>#VALUE!</v>
      </c>
      <c r="AF322" s="237" t="e">
        <f>((Summary!$N$8*(AA322*AD322)*(A322-$D$3))+(Summary!$M$8*Z322*AC322*(AJ322-EOMONTH(EDATE(A322,-1),0))))/(AK322*AB322*AE322)</f>
        <v>#VALUE!</v>
      </c>
      <c r="AG322" s="88" t="str">
        <f>IF($A323="","",Summary!$Q$8)</f>
        <v/>
      </c>
      <c r="AH322" s="88" t="str">
        <f>IF($A323="","",IF(Summary!$R$8="Y",(VLOOKUP($A322,Summary!$AD$6:$AF$9,3)+'Escalating commodity'!D335),'Escalating commodity'!D335))</f>
        <v/>
      </c>
      <c r="AI322" s="88" t="str">
        <f t="shared" si="191"/>
        <v/>
      </c>
      <c r="AJ322" s="236" t="e">
        <f t="shared" si="177"/>
        <v>#VALUE!</v>
      </c>
      <c r="AK322" s="58" t="str">
        <f t="shared" si="178"/>
        <v/>
      </c>
      <c r="AL322" s="26" t="str">
        <f>IF($A323="","",_xll.SPRDOPT(P322,X322,AI322,0,AB322,AE322,AF322,AK322,$AJ$2,0))</f>
        <v/>
      </c>
      <c r="AM322" s="89" t="str">
        <f t="shared" si="179"/>
        <v/>
      </c>
      <c r="AN322" s="89" t="str">
        <f t="shared" si="180"/>
        <v/>
      </c>
      <c r="AO322" s="3" t="str">
        <f t="shared" si="181"/>
        <v/>
      </c>
      <c r="AP322" s="33" t="str">
        <f t="shared" si="182"/>
        <v/>
      </c>
      <c r="AQ322" s="58" t="str">
        <f t="shared" si="183"/>
        <v/>
      </c>
      <c r="AR322" s="38">
        <f>'ANR OK vs ML7'!AR322</f>
        <v>0.1</v>
      </c>
      <c r="AS322" s="35" t="str">
        <f t="shared" si="184"/>
        <v/>
      </c>
      <c r="AT322" s="3" t="str">
        <f t="shared" si="185"/>
        <v/>
      </c>
      <c r="AU322" s="3" t="str">
        <f t="shared" si="186"/>
        <v/>
      </c>
      <c r="AW322" s="32" t="str">
        <f t="shared" si="187"/>
        <v/>
      </c>
      <c r="AX322" s="32" t="str">
        <f t="shared" si="188"/>
        <v/>
      </c>
      <c r="AY322" s="32" t="str">
        <f t="shared" si="189"/>
        <v/>
      </c>
      <c r="BA322" s="32" t="str">
        <f>IF($A323="","",F322*Summary!$Q$8)</f>
        <v/>
      </c>
    </row>
    <row r="323" spans="1:53" ht="12" customHeight="1">
      <c r="A323" s="67" t="str">
        <f t="shared" si="190"/>
        <v/>
      </c>
      <c r="B323" s="69">
        <f t="shared" si="192"/>
        <v>0</v>
      </c>
      <c r="C323" s="71"/>
      <c r="D323" s="69" t="str">
        <f t="shared" si="155"/>
        <v/>
      </c>
      <c r="E323" s="70" t="str">
        <f t="shared" si="156"/>
        <v/>
      </c>
      <c r="F323" s="70" t="str">
        <f t="shared" si="157"/>
        <v/>
      </c>
      <c r="G323" s="63" t="str">
        <f t="shared" si="158"/>
        <v/>
      </c>
      <c r="H323" s="64" t="str">
        <f t="shared" si="159"/>
        <v/>
      </c>
      <c r="I323" s="43"/>
      <c r="J323" s="63" t="str">
        <f t="shared" si="160"/>
        <v/>
      </c>
      <c r="K323" s="64" t="str">
        <f t="shared" si="161"/>
        <v/>
      </c>
      <c r="L323" s="63" t="str">
        <f t="shared" si="162"/>
        <v/>
      </c>
      <c r="M323" s="64" t="str">
        <f t="shared" si="163"/>
        <v/>
      </c>
      <c r="N323" s="65"/>
      <c r="O323" s="63" t="str">
        <f t="shared" si="164"/>
        <v/>
      </c>
      <c r="P323" s="63" t="str">
        <f t="shared" si="165"/>
        <v/>
      </c>
      <c r="Q323" s="66"/>
      <c r="R323" s="63" t="str">
        <f t="shared" si="166"/>
        <v/>
      </c>
      <c r="S323" s="64" t="str">
        <f t="shared" si="167"/>
        <v/>
      </c>
      <c r="T323" s="63" t="str">
        <f t="shared" si="168"/>
        <v/>
      </c>
      <c r="U323" s="64" t="str">
        <f t="shared" si="169"/>
        <v/>
      </c>
      <c r="V323" s="207" t="str">
        <f>IF($A324="","",IF(AND(MONTH(A323)&gt;3,MONTH(A323)&lt;11),(T323+R323+G323)*Summary!$T$8/(1-Summary!$T$8),(T323+R323+G323)*Summary!$U$8/(1-Summary!$U$8)))</f>
        <v/>
      </c>
      <c r="W323" s="63" t="str">
        <f t="shared" si="170"/>
        <v/>
      </c>
      <c r="X323" s="63" t="str">
        <f t="shared" si="171"/>
        <v/>
      </c>
      <c r="Y323" s="43"/>
      <c r="Z323" s="38" t="str">
        <f t="shared" si="172"/>
        <v/>
      </c>
      <c r="AA323" s="38" t="str">
        <f t="shared" si="173"/>
        <v/>
      </c>
      <c r="AB323" s="38" t="e">
        <f t="shared" si="174"/>
        <v>#VALUE!</v>
      </c>
      <c r="AC323" s="38" t="str">
        <f t="shared" si="175"/>
        <v/>
      </c>
      <c r="AD323" s="38" t="str">
        <f t="shared" si="175"/>
        <v/>
      </c>
      <c r="AE323" s="38" t="e">
        <f t="shared" si="176"/>
        <v>#VALUE!</v>
      </c>
      <c r="AF323" s="237" t="e">
        <f>((Summary!$N$8*(AA323*AD323)*(A323-$D$3))+(Summary!$M$8*Z323*AC323*(AJ323-EOMONTH(EDATE(A323,-1),0))))/(AK323*AB323*AE323)</f>
        <v>#VALUE!</v>
      </c>
      <c r="AG323" s="88" t="str">
        <f>IF($A324="","",Summary!$Q$8)</f>
        <v/>
      </c>
      <c r="AH323" s="88" t="str">
        <f>IF($A324="","",IF(Summary!$R$8="Y",(VLOOKUP($A323,Summary!$AD$6:$AF$9,3)+'Escalating commodity'!D336),'Escalating commodity'!D336))</f>
        <v/>
      </c>
      <c r="AI323" s="88" t="str">
        <f t="shared" si="191"/>
        <v/>
      </c>
      <c r="AJ323" s="236" t="e">
        <f t="shared" si="177"/>
        <v>#VALUE!</v>
      </c>
      <c r="AK323" s="58" t="str">
        <f t="shared" si="178"/>
        <v/>
      </c>
      <c r="AL323" s="26" t="str">
        <f>IF($A324="","",_xll.SPRDOPT(P323,X323,AI323,0,AB323,AE323,AF323,AK323,$AJ$2,0))</f>
        <v/>
      </c>
      <c r="AM323" s="89" t="str">
        <f t="shared" si="179"/>
        <v/>
      </c>
      <c r="AN323" s="89" t="str">
        <f t="shared" si="180"/>
        <v/>
      </c>
      <c r="AO323" s="3" t="str">
        <f t="shared" si="181"/>
        <v/>
      </c>
      <c r="AP323" s="33" t="str">
        <f t="shared" si="182"/>
        <v/>
      </c>
      <c r="AQ323" s="58" t="str">
        <f t="shared" si="183"/>
        <v/>
      </c>
      <c r="AR323" s="38">
        <f>'ANR OK vs ML7'!AR323</f>
        <v>0.1</v>
      </c>
      <c r="AS323" s="35" t="str">
        <f t="shared" si="184"/>
        <v/>
      </c>
      <c r="AT323" s="3" t="str">
        <f t="shared" si="185"/>
        <v/>
      </c>
      <c r="AU323" s="3" t="str">
        <f t="shared" si="186"/>
        <v/>
      </c>
      <c r="AW323" s="32" t="str">
        <f t="shared" si="187"/>
        <v/>
      </c>
      <c r="AX323" s="32" t="str">
        <f t="shared" si="188"/>
        <v/>
      </c>
      <c r="AY323" s="32" t="str">
        <f t="shared" si="189"/>
        <v/>
      </c>
      <c r="BA323" s="32" t="str">
        <f>IF($A324="","",F323*Summary!$Q$8)</f>
        <v/>
      </c>
    </row>
    <row r="324" spans="1:53" ht="12" customHeight="1">
      <c r="A324" s="67" t="str">
        <f t="shared" si="190"/>
        <v/>
      </c>
      <c r="B324" s="69">
        <f t="shared" si="192"/>
        <v>0</v>
      </c>
      <c r="C324" s="71"/>
      <c r="D324" s="69" t="str">
        <f t="shared" si="155"/>
        <v/>
      </c>
      <c r="E324" s="70" t="str">
        <f t="shared" si="156"/>
        <v/>
      </c>
      <c r="F324" s="70" t="str">
        <f t="shared" si="157"/>
        <v/>
      </c>
      <c r="G324" s="63" t="str">
        <f t="shared" si="158"/>
        <v/>
      </c>
      <c r="H324" s="64" t="str">
        <f t="shared" si="159"/>
        <v/>
      </c>
      <c r="I324" s="43"/>
      <c r="J324" s="63" t="str">
        <f t="shared" si="160"/>
        <v/>
      </c>
      <c r="K324" s="64" t="str">
        <f t="shared" si="161"/>
        <v/>
      </c>
      <c r="L324" s="63" t="str">
        <f t="shared" si="162"/>
        <v/>
      </c>
      <c r="M324" s="64" t="str">
        <f t="shared" si="163"/>
        <v/>
      </c>
      <c r="N324" s="65"/>
      <c r="O324" s="63" t="str">
        <f t="shared" si="164"/>
        <v/>
      </c>
      <c r="P324" s="63" t="str">
        <f t="shared" si="165"/>
        <v/>
      </c>
      <c r="Q324" s="66"/>
      <c r="R324" s="63" t="str">
        <f t="shared" si="166"/>
        <v/>
      </c>
      <c r="S324" s="64" t="str">
        <f t="shared" si="167"/>
        <v/>
      </c>
      <c r="T324" s="63" t="str">
        <f t="shared" si="168"/>
        <v/>
      </c>
      <c r="U324" s="64" t="str">
        <f t="shared" si="169"/>
        <v/>
      </c>
      <c r="V324" s="207" t="str">
        <f>IF($A325="","",IF(AND(MONTH(A324)&gt;3,MONTH(A324)&lt;11),(T324+R324+G324)*Summary!$T$8/(1-Summary!$T$8),(T324+R324+G324)*Summary!$U$8/(1-Summary!$U$8)))</f>
        <v/>
      </c>
      <c r="W324" s="63" t="str">
        <f t="shared" si="170"/>
        <v/>
      </c>
      <c r="X324" s="63" t="str">
        <f t="shared" si="171"/>
        <v/>
      </c>
      <c r="Y324" s="43"/>
      <c r="Z324" s="38" t="str">
        <f t="shared" si="172"/>
        <v/>
      </c>
      <c r="AA324" s="38" t="str">
        <f t="shared" si="173"/>
        <v/>
      </c>
      <c r="AB324" s="38" t="e">
        <f t="shared" si="174"/>
        <v>#VALUE!</v>
      </c>
      <c r="AC324" s="38" t="str">
        <f t="shared" si="175"/>
        <v/>
      </c>
      <c r="AD324" s="38" t="str">
        <f t="shared" si="175"/>
        <v/>
      </c>
      <c r="AE324" s="38" t="e">
        <f t="shared" si="176"/>
        <v>#VALUE!</v>
      </c>
      <c r="AF324" s="237" t="e">
        <f>((Summary!$N$8*(AA324*AD324)*(A324-$D$3))+(Summary!$M$8*Z324*AC324*(AJ324-EOMONTH(EDATE(A324,-1),0))))/(AK324*AB324*AE324)</f>
        <v>#VALUE!</v>
      </c>
      <c r="AG324" s="88" t="str">
        <f>IF($A325="","",Summary!$Q$8)</f>
        <v/>
      </c>
      <c r="AH324" s="88" t="str">
        <f>IF($A325="","",IF(Summary!$R$8="Y",(VLOOKUP($A324,Summary!$AD$6:$AF$9,3)+'Escalating commodity'!D337),'Escalating commodity'!D337))</f>
        <v/>
      </c>
      <c r="AI324" s="88" t="str">
        <f t="shared" si="191"/>
        <v/>
      </c>
      <c r="AJ324" s="236" t="e">
        <f t="shared" si="177"/>
        <v>#VALUE!</v>
      </c>
      <c r="AK324" s="58" t="str">
        <f t="shared" si="178"/>
        <v/>
      </c>
      <c r="AL324" s="26" t="str">
        <f>IF($A325="","",_xll.SPRDOPT(P324,X324,AI324,0,AB324,AE324,AF324,AK324,$AJ$2,0))</f>
        <v/>
      </c>
      <c r="AM324" s="89" t="str">
        <f t="shared" si="179"/>
        <v/>
      </c>
      <c r="AN324" s="89" t="str">
        <f t="shared" si="180"/>
        <v/>
      </c>
      <c r="AO324" s="3" t="str">
        <f t="shared" si="181"/>
        <v/>
      </c>
      <c r="AP324" s="33" t="str">
        <f t="shared" si="182"/>
        <v/>
      </c>
      <c r="AQ324" s="58" t="str">
        <f t="shared" si="183"/>
        <v/>
      </c>
      <c r="AR324" s="38">
        <f>'ANR OK vs ML7'!AR324</f>
        <v>0.1</v>
      </c>
      <c r="AS324" s="35" t="str">
        <f t="shared" si="184"/>
        <v/>
      </c>
      <c r="AT324" s="3" t="str">
        <f t="shared" si="185"/>
        <v/>
      </c>
      <c r="AU324" s="3" t="str">
        <f t="shared" si="186"/>
        <v/>
      </c>
      <c r="AW324" s="32" t="str">
        <f t="shared" si="187"/>
        <v/>
      </c>
      <c r="AX324" s="32" t="str">
        <f t="shared" si="188"/>
        <v/>
      </c>
      <c r="AY324" s="32" t="str">
        <f t="shared" si="189"/>
        <v/>
      </c>
      <c r="BA324" s="32" t="str">
        <f>IF($A325="","",F324*Summary!$Q$8)</f>
        <v/>
      </c>
    </row>
    <row r="325" spans="1:53" ht="12" customHeight="1">
      <c r="A325" s="67" t="str">
        <f t="shared" si="190"/>
        <v/>
      </c>
      <c r="B325" s="69">
        <f t="shared" si="192"/>
        <v>0</v>
      </c>
      <c r="C325" s="71"/>
      <c r="D325" s="69" t="str">
        <f t="shared" si="155"/>
        <v/>
      </c>
      <c r="E325" s="70" t="str">
        <f t="shared" si="156"/>
        <v/>
      </c>
      <c r="F325" s="70" t="str">
        <f t="shared" si="157"/>
        <v/>
      </c>
      <c r="G325" s="63" t="str">
        <f t="shared" si="158"/>
        <v/>
      </c>
      <c r="H325" s="64" t="str">
        <f t="shared" si="159"/>
        <v/>
      </c>
      <c r="I325" s="43"/>
      <c r="J325" s="63" t="str">
        <f t="shared" si="160"/>
        <v/>
      </c>
      <c r="K325" s="64" t="str">
        <f t="shared" si="161"/>
        <v/>
      </c>
      <c r="L325" s="63" t="str">
        <f t="shared" si="162"/>
        <v/>
      </c>
      <c r="M325" s="64" t="str">
        <f t="shared" si="163"/>
        <v/>
      </c>
      <c r="N325" s="65"/>
      <c r="O325" s="63" t="str">
        <f t="shared" si="164"/>
        <v/>
      </c>
      <c r="P325" s="63" t="str">
        <f t="shared" si="165"/>
        <v/>
      </c>
      <c r="Q325" s="66"/>
      <c r="R325" s="63" t="str">
        <f t="shared" si="166"/>
        <v/>
      </c>
      <c r="S325" s="64" t="str">
        <f t="shared" si="167"/>
        <v/>
      </c>
      <c r="T325" s="63" t="str">
        <f t="shared" si="168"/>
        <v/>
      </c>
      <c r="U325" s="64" t="str">
        <f t="shared" si="169"/>
        <v/>
      </c>
      <c r="V325" s="207" t="str">
        <f>IF($A326="","",IF(AND(MONTH(A325)&gt;3,MONTH(A325)&lt;11),(T325+R325+G325)*Summary!$T$8/(1-Summary!$T$8),(T325+R325+G325)*Summary!$U$8/(1-Summary!$U$8)))</f>
        <v/>
      </c>
      <c r="W325" s="63" t="str">
        <f t="shared" si="170"/>
        <v/>
      </c>
      <c r="X325" s="63" t="str">
        <f t="shared" si="171"/>
        <v/>
      </c>
      <c r="Y325" s="43"/>
      <c r="Z325" s="38" t="str">
        <f t="shared" si="172"/>
        <v/>
      </c>
      <c r="AA325" s="38" t="str">
        <f t="shared" si="173"/>
        <v/>
      </c>
      <c r="AB325" s="38" t="e">
        <f t="shared" si="174"/>
        <v>#VALUE!</v>
      </c>
      <c r="AC325" s="38" t="str">
        <f t="shared" si="175"/>
        <v/>
      </c>
      <c r="AD325" s="38" t="str">
        <f t="shared" si="175"/>
        <v/>
      </c>
      <c r="AE325" s="38" t="e">
        <f t="shared" si="176"/>
        <v>#VALUE!</v>
      </c>
      <c r="AF325" s="237" t="e">
        <f>((Summary!$N$8*(AA325*AD325)*(A325-$D$3))+(Summary!$M$8*Z325*AC325*(AJ325-EOMONTH(EDATE(A325,-1),0))))/(AK325*AB325*AE325)</f>
        <v>#VALUE!</v>
      </c>
      <c r="AG325" s="88" t="str">
        <f>IF($A326="","",Summary!$Q$8)</f>
        <v/>
      </c>
      <c r="AH325" s="88" t="str">
        <f>IF($A326="","",IF(Summary!$R$8="Y",(VLOOKUP($A325,Summary!$AD$6:$AF$9,3)+'Escalating commodity'!D338),'Escalating commodity'!D338))</f>
        <v/>
      </c>
      <c r="AI325" s="88" t="str">
        <f t="shared" si="191"/>
        <v/>
      </c>
      <c r="AJ325" s="236" t="e">
        <f t="shared" si="177"/>
        <v>#VALUE!</v>
      </c>
      <c r="AK325" s="58" t="str">
        <f t="shared" si="178"/>
        <v/>
      </c>
      <c r="AL325" s="26" t="str">
        <f>IF($A326="","",_xll.SPRDOPT(P325,X325,AI325,0,AB325,AE325,AF325,AK325,$AJ$2,0))</f>
        <v/>
      </c>
      <c r="AM325" s="89" t="str">
        <f t="shared" si="179"/>
        <v/>
      </c>
      <c r="AN325" s="89" t="str">
        <f t="shared" si="180"/>
        <v/>
      </c>
      <c r="AO325" s="3" t="str">
        <f t="shared" si="181"/>
        <v/>
      </c>
      <c r="AP325" s="33" t="str">
        <f t="shared" si="182"/>
        <v/>
      </c>
      <c r="AQ325" s="58" t="str">
        <f t="shared" si="183"/>
        <v/>
      </c>
      <c r="AR325" s="38">
        <f>'ANR OK vs ML7'!AR325</f>
        <v>0.1</v>
      </c>
      <c r="AS325" s="35" t="str">
        <f t="shared" si="184"/>
        <v/>
      </c>
      <c r="AT325" s="3" t="str">
        <f t="shared" si="185"/>
        <v/>
      </c>
      <c r="AU325" s="3" t="str">
        <f t="shared" si="186"/>
        <v/>
      </c>
      <c r="AW325" s="32" t="str">
        <f t="shared" si="187"/>
        <v/>
      </c>
      <c r="AX325" s="32" t="str">
        <f t="shared" si="188"/>
        <v/>
      </c>
      <c r="AY325" s="32" t="str">
        <f t="shared" si="189"/>
        <v/>
      </c>
      <c r="BA325" s="32" t="str">
        <f>IF($A326="","",F325*Summary!$Q$8)</f>
        <v/>
      </c>
    </row>
    <row r="326" spans="1:53" ht="12" customHeight="1">
      <c r="A326" s="67" t="str">
        <f t="shared" si="190"/>
        <v/>
      </c>
      <c r="B326" s="69">
        <f t="shared" si="192"/>
        <v>0</v>
      </c>
      <c r="C326" s="71"/>
      <c r="D326" s="69" t="str">
        <f t="shared" si="155"/>
        <v/>
      </c>
      <c r="E326" s="70" t="str">
        <f t="shared" si="156"/>
        <v/>
      </c>
      <c r="F326" s="70" t="str">
        <f t="shared" si="157"/>
        <v/>
      </c>
      <c r="G326" s="63" t="str">
        <f t="shared" si="158"/>
        <v/>
      </c>
      <c r="H326" s="64" t="str">
        <f t="shared" si="159"/>
        <v/>
      </c>
      <c r="I326" s="43"/>
      <c r="J326" s="63" t="str">
        <f t="shared" si="160"/>
        <v/>
      </c>
      <c r="K326" s="64" t="str">
        <f t="shared" si="161"/>
        <v/>
      </c>
      <c r="L326" s="63" t="str">
        <f t="shared" si="162"/>
        <v/>
      </c>
      <c r="M326" s="64" t="str">
        <f t="shared" si="163"/>
        <v/>
      </c>
      <c r="N326" s="65"/>
      <c r="O326" s="63" t="str">
        <f t="shared" si="164"/>
        <v/>
      </c>
      <c r="P326" s="63" t="str">
        <f t="shared" si="165"/>
        <v/>
      </c>
      <c r="Q326" s="66"/>
      <c r="R326" s="63" t="str">
        <f t="shared" si="166"/>
        <v/>
      </c>
      <c r="S326" s="64" t="str">
        <f t="shared" si="167"/>
        <v/>
      </c>
      <c r="T326" s="63" t="str">
        <f t="shared" si="168"/>
        <v/>
      </c>
      <c r="U326" s="64" t="str">
        <f t="shared" si="169"/>
        <v/>
      </c>
      <c r="V326" s="207" t="str">
        <f>IF($A327="","",IF(AND(MONTH(A326)&gt;3,MONTH(A326)&lt;11),(T326+R326+G326)*Summary!$T$8/(1-Summary!$T$8),(T326+R326+G326)*Summary!$U$8/(1-Summary!$U$8)))</f>
        <v/>
      </c>
      <c r="W326" s="63" t="str">
        <f t="shared" si="170"/>
        <v/>
      </c>
      <c r="X326" s="63" t="str">
        <f t="shared" si="171"/>
        <v/>
      </c>
      <c r="Y326" s="43"/>
      <c r="Z326" s="38" t="str">
        <f t="shared" si="172"/>
        <v/>
      </c>
      <c r="AA326" s="38" t="str">
        <f t="shared" si="173"/>
        <v/>
      </c>
      <c r="AB326" s="38" t="e">
        <f t="shared" si="174"/>
        <v>#VALUE!</v>
      </c>
      <c r="AC326" s="38" t="str">
        <f t="shared" si="175"/>
        <v/>
      </c>
      <c r="AD326" s="38" t="str">
        <f t="shared" si="175"/>
        <v/>
      </c>
      <c r="AE326" s="38" t="e">
        <f t="shared" si="176"/>
        <v>#VALUE!</v>
      </c>
      <c r="AF326" s="237" t="e">
        <f>((Summary!$N$8*(AA326*AD326)*(A326-$D$3))+(Summary!$M$8*Z326*AC326*(AJ326-EOMONTH(EDATE(A326,-1),0))))/(AK326*AB326*AE326)</f>
        <v>#VALUE!</v>
      </c>
      <c r="AG326" s="88" t="str">
        <f>IF($A327="","",Summary!$Q$8)</f>
        <v/>
      </c>
      <c r="AH326" s="88" t="str">
        <f>IF($A327="","",IF(Summary!$R$8="Y",(VLOOKUP($A326,Summary!$AD$6:$AF$9,3)+'Escalating commodity'!D339),'Escalating commodity'!D339))</f>
        <v/>
      </c>
      <c r="AI326" s="88" t="str">
        <f t="shared" si="191"/>
        <v/>
      </c>
      <c r="AJ326" s="236" t="e">
        <f t="shared" si="177"/>
        <v>#VALUE!</v>
      </c>
      <c r="AK326" s="58" t="str">
        <f t="shared" si="178"/>
        <v/>
      </c>
      <c r="AL326" s="26" t="str">
        <f>IF($A327="","",_xll.SPRDOPT(P326,X326,AI326,0,AB326,AE326,AF326,AK326,$AJ$2,0))</f>
        <v/>
      </c>
      <c r="AM326" s="89" t="str">
        <f t="shared" si="179"/>
        <v/>
      </c>
      <c r="AN326" s="89" t="str">
        <f t="shared" si="180"/>
        <v/>
      </c>
      <c r="AO326" s="3" t="str">
        <f t="shared" si="181"/>
        <v/>
      </c>
      <c r="AP326" s="33" t="str">
        <f t="shared" si="182"/>
        <v/>
      </c>
      <c r="AQ326" s="58" t="str">
        <f t="shared" si="183"/>
        <v/>
      </c>
      <c r="AR326" s="38">
        <f>'ANR OK vs ML7'!AR326</f>
        <v>0.1</v>
      </c>
      <c r="AS326" s="35" t="str">
        <f t="shared" si="184"/>
        <v/>
      </c>
      <c r="AT326" s="3" t="str">
        <f t="shared" si="185"/>
        <v/>
      </c>
      <c r="AU326" s="3" t="str">
        <f t="shared" si="186"/>
        <v/>
      </c>
      <c r="AW326" s="32" t="str">
        <f t="shared" si="187"/>
        <v/>
      </c>
      <c r="AX326" s="32" t="str">
        <f t="shared" si="188"/>
        <v/>
      </c>
      <c r="AY326" s="32" t="str">
        <f t="shared" si="189"/>
        <v/>
      </c>
      <c r="BA326" s="32" t="str">
        <f>IF($A327="","",F326*Summary!$Q$8)</f>
        <v/>
      </c>
    </row>
    <row r="327" spans="1:53" ht="12" customHeight="1">
      <c r="A327" s="67" t="str">
        <f t="shared" si="190"/>
        <v/>
      </c>
      <c r="B327" s="69">
        <f t="shared" si="192"/>
        <v>0</v>
      </c>
      <c r="C327" s="71"/>
      <c r="D327" s="69" t="str">
        <f t="shared" si="155"/>
        <v/>
      </c>
      <c r="E327" s="70" t="str">
        <f t="shared" si="156"/>
        <v/>
      </c>
      <c r="F327" s="70" t="str">
        <f t="shared" si="157"/>
        <v/>
      </c>
      <c r="G327" s="63" t="str">
        <f t="shared" si="158"/>
        <v/>
      </c>
      <c r="H327" s="64" t="str">
        <f t="shared" si="159"/>
        <v/>
      </c>
      <c r="I327" s="43"/>
      <c r="J327" s="63" t="str">
        <f t="shared" si="160"/>
        <v/>
      </c>
      <c r="K327" s="64" t="str">
        <f t="shared" si="161"/>
        <v/>
      </c>
      <c r="L327" s="63" t="str">
        <f t="shared" si="162"/>
        <v/>
      </c>
      <c r="M327" s="64" t="str">
        <f t="shared" si="163"/>
        <v/>
      </c>
      <c r="N327" s="65"/>
      <c r="O327" s="63" t="str">
        <f t="shared" si="164"/>
        <v/>
      </c>
      <c r="P327" s="63" t="str">
        <f t="shared" si="165"/>
        <v/>
      </c>
      <c r="Q327" s="66"/>
      <c r="R327" s="63" t="str">
        <f t="shared" si="166"/>
        <v/>
      </c>
      <c r="S327" s="64" t="str">
        <f t="shared" si="167"/>
        <v/>
      </c>
      <c r="T327" s="63" t="str">
        <f t="shared" si="168"/>
        <v/>
      </c>
      <c r="U327" s="64" t="str">
        <f t="shared" si="169"/>
        <v/>
      </c>
      <c r="V327" s="207" t="str">
        <f>IF($A328="","",IF(AND(MONTH(A327)&gt;3,MONTH(A327)&lt;11),(T327+R327+G327)*Summary!$T$8/(1-Summary!$T$8),(T327+R327+G327)*Summary!$U$8/(1-Summary!$U$8)))</f>
        <v/>
      </c>
      <c r="W327" s="63" t="str">
        <f t="shared" si="170"/>
        <v/>
      </c>
      <c r="X327" s="63" t="str">
        <f t="shared" si="171"/>
        <v/>
      </c>
      <c r="Y327" s="43"/>
      <c r="Z327" s="38" t="str">
        <f t="shared" si="172"/>
        <v/>
      </c>
      <c r="AA327" s="38" t="str">
        <f t="shared" si="173"/>
        <v/>
      </c>
      <c r="AB327" s="38" t="e">
        <f t="shared" si="174"/>
        <v>#VALUE!</v>
      </c>
      <c r="AC327" s="38" t="str">
        <f t="shared" si="175"/>
        <v/>
      </c>
      <c r="AD327" s="38" t="str">
        <f t="shared" si="175"/>
        <v/>
      </c>
      <c r="AE327" s="38" t="e">
        <f t="shared" si="176"/>
        <v>#VALUE!</v>
      </c>
      <c r="AF327" s="237" t="e">
        <f>((Summary!$N$8*(AA327*AD327)*(A327-$D$3))+(Summary!$M$8*Z327*AC327*(AJ327-EOMONTH(EDATE(A327,-1),0))))/(AK327*AB327*AE327)</f>
        <v>#VALUE!</v>
      </c>
      <c r="AG327" s="88" t="str">
        <f>IF($A328="","",Summary!$Q$8)</f>
        <v/>
      </c>
      <c r="AH327" s="88" t="str">
        <f>IF($A328="","",IF(Summary!$R$8="Y",(VLOOKUP($A327,Summary!$AD$6:$AF$9,3)+'Escalating commodity'!D340),'Escalating commodity'!D340))</f>
        <v/>
      </c>
      <c r="AI327" s="88" t="str">
        <f t="shared" si="191"/>
        <v/>
      </c>
      <c r="AJ327" s="236" t="e">
        <f t="shared" si="177"/>
        <v>#VALUE!</v>
      </c>
      <c r="AK327" s="58" t="str">
        <f t="shared" si="178"/>
        <v/>
      </c>
      <c r="AL327" s="26" t="str">
        <f>IF($A328="","",_xll.SPRDOPT(P327,X327,AI327,0,AB327,AE327,AF327,AK327,$AJ$2,0))</f>
        <v/>
      </c>
      <c r="AM327" s="89" t="str">
        <f t="shared" si="179"/>
        <v/>
      </c>
      <c r="AN327" s="89" t="str">
        <f t="shared" si="180"/>
        <v/>
      </c>
      <c r="AO327" s="3" t="str">
        <f t="shared" si="181"/>
        <v/>
      </c>
      <c r="AP327" s="33" t="str">
        <f t="shared" si="182"/>
        <v/>
      </c>
      <c r="AQ327" s="58" t="str">
        <f t="shared" si="183"/>
        <v/>
      </c>
      <c r="AR327" s="38">
        <f>'ANR OK vs ML7'!AR327</f>
        <v>0.1</v>
      </c>
      <c r="AS327" s="35" t="str">
        <f t="shared" si="184"/>
        <v/>
      </c>
      <c r="AT327" s="3" t="str">
        <f t="shared" si="185"/>
        <v/>
      </c>
      <c r="AU327" s="3" t="str">
        <f t="shared" si="186"/>
        <v/>
      </c>
      <c r="AW327" s="32" t="str">
        <f t="shared" si="187"/>
        <v/>
      </c>
      <c r="AX327" s="32" t="str">
        <f t="shared" si="188"/>
        <v/>
      </c>
      <c r="AY327" s="32" t="str">
        <f t="shared" si="189"/>
        <v/>
      </c>
      <c r="BA327" s="32" t="str">
        <f>IF($A328="","",F327*Summary!$Q$8)</f>
        <v/>
      </c>
    </row>
    <row r="328" spans="1:53" ht="12" customHeight="1">
      <c r="A328" s="67" t="str">
        <f t="shared" si="190"/>
        <v/>
      </c>
      <c r="B328" s="69">
        <f t="shared" si="192"/>
        <v>0</v>
      </c>
      <c r="C328" s="71"/>
      <c r="D328" s="69" t="str">
        <f t="shared" si="155"/>
        <v/>
      </c>
      <c r="E328" s="70" t="str">
        <f t="shared" si="156"/>
        <v/>
      </c>
      <c r="F328" s="70" t="str">
        <f t="shared" si="157"/>
        <v/>
      </c>
      <c r="G328" s="63" t="str">
        <f t="shared" si="158"/>
        <v/>
      </c>
      <c r="H328" s="64" t="str">
        <f t="shared" si="159"/>
        <v/>
      </c>
      <c r="I328" s="43"/>
      <c r="J328" s="63" t="str">
        <f t="shared" si="160"/>
        <v/>
      </c>
      <c r="K328" s="64" t="str">
        <f t="shared" si="161"/>
        <v/>
      </c>
      <c r="L328" s="63" t="str">
        <f t="shared" si="162"/>
        <v/>
      </c>
      <c r="M328" s="64" t="str">
        <f t="shared" si="163"/>
        <v/>
      </c>
      <c r="N328" s="65"/>
      <c r="O328" s="63" t="str">
        <f t="shared" si="164"/>
        <v/>
      </c>
      <c r="P328" s="63" t="str">
        <f t="shared" si="165"/>
        <v/>
      </c>
      <c r="Q328" s="66"/>
      <c r="R328" s="63" t="str">
        <f t="shared" si="166"/>
        <v/>
      </c>
      <c r="S328" s="64" t="str">
        <f t="shared" si="167"/>
        <v/>
      </c>
      <c r="T328" s="63" t="str">
        <f t="shared" si="168"/>
        <v/>
      </c>
      <c r="U328" s="64" t="str">
        <f t="shared" si="169"/>
        <v/>
      </c>
      <c r="V328" s="207" t="str">
        <f>IF($A329="","",IF(AND(MONTH(A328)&gt;3,MONTH(A328)&lt;11),(T328+R328+G328)*Summary!$T$8/(1-Summary!$T$8),(T328+R328+G328)*Summary!$U$8/(1-Summary!$U$8)))</f>
        <v/>
      </c>
      <c r="W328" s="63" t="str">
        <f t="shared" si="170"/>
        <v/>
      </c>
      <c r="X328" s="63" t="str">
        <f t="shared" si="171"/>
        <v/>
      </c>
      <c r="Y328" s="43"/>
      <c r="Z328" s="38" t="str">
        <f t="shared" si="172"/>
        <v/>
      </c>
      <c r="AA328" s="38" t="str">
        <f t="shared" si="173"/>
        <v/>
      </c>
      <c r="AB328" s="38" t="e">
        <f t="shared" si="174"/>
        <v>#VALUE!</v>
      </c>
      <c r="AC328" s="38" t="str">
        <f t="shared" si="175"/>
        <v/>
      </c>
      <c r="AD328" s="38" t="str">
        <f t="shared" si="175"/>
        <v/>
      </c>
      <c r="AE328" s="38" t="e">
        <f t="shared" si="176"/>
        <v>#VALUE!</v>
      </c>
      <c r="AF328" s="237" t="e">
        <f>((Summary!$N$8*(AA328*AD328)*(A328-$D$3))+(Summary!$M$8*Z328*AC328*(AJ328-EOMONTH(EDATE(A328,-1),0))))/(AK328*AB328*AE328)</f>
        <v>#VALUE!</v>
      </c>
      <c r="AG328" s="88" t="str">
        <f>IF($A329="","",Summary!$Q$8)</f>
        <v/>
      </c>
      <c r="AH328" s="88" t="str">
        <f>IF($A329="","",IF(Summary!$R$8="Y",(VLOOKUP($A328,Summary!$AD$6:$AF$9,3)+'Escalating commodity'!D341),'Escalating commodity'!D341))</f>
        <v/>
      </c>
      <c r="AI328" s="88" t="str">
        <f t="shared" si="191"/>
        <v/>
      </c>
      <c r="AJ328" s="236" t="e">
        <f t="shared" si="177"/>
        <v>#VALUE!</v>
      </c>
      <c r="AK328" s="58" t="str">
        <f t="shared" si="178"/>
        <v/>
      </c>
      <c r="AL328" s="26" t="str">
        <f>IF($A329="","",_xll.SPRDOPT(P328,X328,AI328,0,AB328,AE328,AF328,AK328,$AJ$2,0))</f>
        <v/>
      </c>
      <c r="AM328" s="89" t="str">
        <f t="shared" si="179"/>
        <v/>
      </c>
      <c r="AN328" s="89" t="str">
        <f t="shared" si="180"/>
        <v/>
      </c>
      <c r="AO328" s="3" t="str">
        <f t="shared" si="181"/>
        <v/>
      </c>
      <c r="AP328" s="33" t="str">
        <f t="shared" si="182"/>
        <v/>
      </c>
      <c r="AQ328" s="58" t="str">
        <f t="shared" si="183"/>
        <v/>
      </c>
      <c r="AR328" s="38">
        <f>'ANR OK vs ML7'!AR328</f>
        <v>0.1</v>
      </c>
      <c r="AS328" s="35" t="str">
        <f t="shared" si="184"/>
        <v/>
      </c>
      <c r="AT328" s="3" t="str">
        <f t="shared" si="185"/>
        <v/>
      </c>
      <c r="AU328" s="3" t="str">
        <f t="shared" si="186"/>
        <v/>
      </c>
      <c r="AW328" s="32" t="str">
        <f t="shared" si="187"/>
        <v/>
      </c>
      <c r="AX328" s="32" t="str">
        <f t="shared" si="188"/>
        <v/>
      </c>
      <c r="AY328" s="32" t="str">
        <f t="shared" si="189"/>
        <v/>
      </c>
      <c r="BA328" s="32" t="str">
        <f>IF($A329="","",F328*Summary!$Q$8)</f>
        <v/>
      </c>
    </row>
    <row r="329" spans="1:53" ht="12" customHeight="1">
      <c r="A329" s="67" t="str">
        <f t="shared" si="190"/>
        <v/>
      </c>
      <c r="B329" s="69">
        <f t="shared" si="192"/>
        <v>0</v>
      </c>
      <c r="C329" s="71"/>
      <c r="D329" s="69" t="str">
        <f t="shared" si="155"/>
        <v/>
      </c>
      <c r="E329" s="70" t="str">
        <f t="shared" si="156"/>
        <v/>
      </c>
      <c r="F329" s="70" t="str">
        <f t="shared" si="157"/>
        <v/>
      </c>
      <c r="G329" s="63" t="str">
        <f t="shared" si="158"/>
        <v/>
      </c>
      <c r="H329" s="64" t="str">
        <f t="shared" si="159"/>
        <v/>
      </c>
      <c r="I329" s="43"/>
      <c r="J329" s="63" t="str">
        <f t="shared" si="160"/>
        <v/>
      </c>
      <c r="K329" s="64" t="str">
        <f t="shared" si="161"/>
        <v/>
      </c>
      <c r="L329" s="63" t="str">
        <f t="shared" si="162"/>
        <v/>
      </c>
      <c r="M329" s="64" t="str">
        <f t="shared" si="163"/>
        <v/>
      </c>
      <c r="N329" s="65"/>
      <c r="O329" s="63" t="str">
        <f t="shared" si="164"/>
        <v/>
      </c>
      <c r="P329" s="63" t="str">
        <f t="shared" si="165"/>
        <v/>
      </c>
      <c r="Q329" s="66"/>
      <c r="R329" s="63" t="str">
        <f t="shared" si="166"/>
        <v/>
      </c>
      <c r="S329" s="64" t="str">
        <f t="shared" si="167"/>
        <v/>
      </c>
      <c r="T329" s="63" t="str">
        <f t="shared" si="168"/>
        <v/>
      </c>
      <c r="U329" s="64" t="str">
        <f t="shared" si="169"/>
        <v/>
      </c>
      <c r="V329" s="207" t="str">
        <f>IF($A330="","",IF(AND(MONTH(A329)&gt;3,MONTH(A329)&lt;11),(T329+R329+G329)*Summary!$T$8/(1-Summary!$T$8),(T329+R329+G329)*Summary!$U$8/(1-Summary!$U$8)))</f>
        <v/>
      </c>
      <c r="W329" s="63" t="str">
        <f t="shared" si="170"/>
        <v/>
      </c>
      <c r="X329" s="63" t="str">
        <f t="shared" si="171"/>
        <v/>
      </c>
      <c r="Y329" s="43"/>
      <c r="Z329" s="38" t="str">
        <f t="shared" si="172"/>
        <v/>
      </c>
      <c r="AA329" s="38" t="str">
        <f t="shared" si="173"/>
        <v/>
      </c>
      <c r="AB329" s="38" t="e">
        <f t="shared" si="174"/>
        <v>#VALUE!</v>
      </c>
      <c r="AC329" s="38" t="str">
        <f t="shared" si="175"/>
        <v/>
      </c>
      <c r="AD329" s="38" t="str">
        <f t="shared" si="175"/>
        <v/>
      </c>
      <c r="AE329" s="38" t="e">
        <f t="shared" si="176"/>
        <v>#VALUE!</v>
      </c>
      <c r="AF329" s="237" t="e">
        <f>((Summary!$N$8*(AA329*AD329)*(A329-$D$3))+(Summary!$M$8*Z329*AC329*(AJ329-EOMONTH(EDATE(A329,-1),0))))/(AK329*AB329*AE329)</f>
        <v>#VALUE!</v>
      </c>
      <c r="AG329" s="88" t="str">
        <f>IF($A330="","",Summary!$Q$8)</f>
        <v/>
      </c>
      <c r="AH329" s="88" t="str">
        <f>IF($A330="","",IF(Summary!$R$8="Y",(VLOOKUP($A329,Summary!$AD$6:$AF$9,3)+'Escalating commodity'!D342),'Escalating commodity'!D342))</f>
        <v/>
      </c>
      <c r="AI329" s="88" t="str">
        <f t="shared" si="191"/>
        <v/>
      </c>
      <c r="AJ329" s="236" t="e">
        <f t="shared" si="177"/>
        <v>#VALUE!</v>
      </c>
      <c r="AK329" s="58" t="str">
        <f t="shared" si="178"/>
        <v/>
      </c>
      <c r="AL329" s="26" t="str">
        <f>IF($A330="","",_xll.SPRDOPT(P329,X329,AI329,0,AB329,AE329,AF329,AK329,$AJ$2,0))</f>
        <v/>
      </c>
      <c r="AM329" s="89" t="str">
        <f t="shared" si="179"/>
        <v/>
      </c>
      <c r="AN329" s="89" t="str">
        <f t="shared" si="180"/>
        <v/>
      </c>
      <c r="AO329" s="3" t="str">
        <f t="shared" si="181"/>
        <v/>
      </c>
      <c r="AP329" s="33" t="str">
        <f t="shared" si="182"/>
        <v/>
      </c>
      <c r="AQ329" s="58" t="str">
        <f t="shared" si="183"/>
        <v/>
      </c>
      <c r="AR329" s="38">
        <f>'ANR OK vs ML7'!AR329</f>
        <v>0.1</v>
      </c>
      <c r="AS329" s="35" t="str">
        <f t="shared" si="184"/>
        <v/>
      </c>
      <c r="AT329" s="3" t="str">
        <f t="shared" si="185"/>
        <v/>
      </c>
      <c r="AU329" s="3" t="str">
        <f t="shared" si="186"/>
        <v/>
      </c>
      <c r="AW329" s="32" t="str">
        <f t="shared" si="187"/>
        <v/>
      </c>
      <c r="AX329" s="32" t="str">
        <f t="shared" si="188"/>
        <v/>
      </c>
      <c r="AY329" s="32" t="str">
        <f t="shared" si="189"/>
        <v/>
      </c>
      <c r="BA329" s="32" t="str">
        <f>IF($A330="","",F329*Summary!$Q$8)</f>
        <v/>
      </c>
    </row>
    <row r="330" spans="1:53" ht="12" customHeight="1">
      <c r="A330" s="67" t="str">
        <f t="shared" si="190"/>
        <v/>
      </c>
      <c r="B330" s="69">
        <f t="shared" si="192"/>
        <v>0</v>
      </c>
      <c r="C330" s="71"/>
      <c r="D330" s="69" t="str">
        <f t="shared" ref="D330:D393" si="193">IF(A331&lt;&gt;"",B330+C330,"")</f>
        <v/>
      </c>
      <c r="E330" s="70" t="str">
        <f t="shared" ref="E330:E393" si="194">IF(A331="","",IF(AND(AT330=1,$H$3=1),D330*AO330,IF($H$3=2,D330,"N/A")))</f>
        <v/>
      </c>
      <c r="F330" s="70" t="str">
        <f t="shared" ref="F330:F393" si="195">IF(A331="","",E330*AS330)</f>
        <v/>
      </c>
      <c r="G330" s="63" t="str">
        <f t="shared" ref="G330:G393" si="196">IF($A331="","",VLOOKUP($A330,Table,MATCH(G$4,Curves,0)))</f>
        <v/>
      </c>
      <c r="H330" s="64" t="str">
        <f t="shared" ref="H330:H393" si="197">IF(A331="","",G330)</f>
        <v/>
      </c>
      <c r="I330" s="43"/>
      <c r="J330" s="63" t="str">
        <f t="shared" ref="J330:J393" si="198">IF($A331="","",VLOOKUP($A330,Table,MATCH(J$4,Curves,0)))</f>
        <v/>
      </c>
      <c r="K330" s="64" t="str">
        <f t="shared" ref="K330:K393" si="199">IF(A331="","",J330)</f>
        <v/>
      </c>
      <c r="L330" s="63" t="str">
        <f t="shared" ref="L330:L393" si="200">IF($A331="","",VLOOKUP($A330,Table,MATCH(L$4,Curves,0)))</f>
        <v/>
      </c>
      <c r="M330" s="64" t="str">
        <f t="shared" ref="M330:M393" si="201">IF(A331="","",L330)</f>
        <v/>
      </c>
      <c r="N330" s="65"/>
      <c r="O330" s="63" t="str">
        <f t="shared" ref="O330:O393" si="202">IF(A331="","",L330+J330+G330)</f>
        <v/>
      </c>
      <c r="P330" s="63" t="str">
        <f t="shared" ref="P330:P393" si="203">IF(A331="","",M330+K330+H330)</f>
        <v/>
      </c>
      <c r="Q330" s="66"/>
      <c r="R330" s="63" t="str">
        <f t="shared" ref="R330:R393" si="204">IF($A331="","",VLOOKUP($A330,Table,MATCH(R$4,Curves,0)))</f>
        <v/>
      </c>
      <c r="S330" s="64" t="str">
        <f t="shared" ref="S330:S393" si="205">IF(A331="","",R330)</f>
        <v/>
      </c>
      <c r="T330" s="63" t="str">
        <f t="shared" ref="T330:T393" si="206">IF($A331="","",VLOOKUP($A330,Table,MATCH(T$4,Curves,0)))</f>
        <v/>
      </c>
      <c r="U330" s="64" t="str">
        <f t="shared" ref="U330:U393" si="207">IF(A331="","",T330)</f>
        <v/>
      </c>
      <c r="V330" s="207" t="str">
        <f>IF($A331="","",IF(AND(MONTH(A330)&gt;3,MONTH(A330)&lt;11),(T330+R330+G330)*Summary!$T$8/(1-Summary!$T$8),(T330+R330+G330)*Summary!$U$8/(1-Summary!$U$8)))</f>
        <v/>
      </c>
      <c r="W330" s="63" t="str">
        <f t="shared" ref="W330:W393" si="208">IF($A331="","",(T330+R330+G330+V330))</f>
        <v/>
      </c>
      <c r="X330" s="63" t="str">
        <f t="shared" ref="X330:X393" si="209">IF($A331="","",(U330+S330+H330+V330))</f>
        <v/>
      </c>
      <c r="Y330" s="43"/>
      <c r="Z330" s="38" t="str">
        <f t="shared" ref="Z330:Z369" si="210">IF($A331="","",VLOOKUP($A330,Table,MATCH(Z$4,Curves,0)))</f>
        <v/>
      </c>
      <c r="AA330" s="38" t="str">
        <f t="shared" ref="AA330:AA369" si="211">IF($A331="","",VLOOKUP($A330,Table,MATCH(AA$4,Curves,0)))</f>
        <v/>
      </c>
      <c r="AB330" s="38" t="e">
        <f t="shared" ref="AB330:AB393" si="212">SQRT((AA330^2*(A330-$D$3)+Z330^2*(DAY(EOMONTH(A330,0))/2))/AK330)</f>
        <v>#VALUE!</v>
      </c>
      <c r="AC330" s="38" t="str">
        <f t="shared" ref="AC330:AD369" si="213">IF($A331="","",VLOOKUP($A330,Table,MATCH(AC$4,Curves,0)))</f>
        <v/>
      </c>
      <c r="AD330" s="38" t="str">
        <f t="shared" si="213"/>
        <v/>
      </c>
      <c r="AE330" s="38" t="e">
        <f t="shared" ref="AE330:AE393" si="214">SQRT((AD330^2*(A330-$D$3)+AC330^2*(DAY(EOMONTH(A330,0))/2))/AK330)</f>
        <v>#VALUE!</v>
      </c>
      <c r="AF330" s="237" t="e">
        <f>((Summary!$N$8*(AA330*AD330)*(A330-$D$3))+(Summary!$M$8*Z330*AC330*(AJ330-EOMONTH(EDATE(A330,-1),0))))/(AK330*AB330*AE330)</f>
        <v>#VALUE!</v>
      </c>
      <c r="AG330" s="88" t="str">
        <f>IF($A331="","",Summary!$Q$8)</f>
        <v/>
      </c>
      <c r="AH330" s="88" t="str">
        <f>IF($A331="","",IF(Summary!$R$8="Y",(VLOOKUP($A330,Summary!$AD$6:$AF$9,3)+'Escalating commodity'!D343),'Escalating commodity'!D343))</f>
        <v/>
      </c>
      <c r="AI330" s="88" t="str">
        <f t="shared" si="191"/>
        <v/>
      </c>
      <c r="AJ330" s="236" t="e">
        <f t="shared" ref="AJ330:AJ369" si="215">A330+DAY(EOMONTH(A330,0))/2-1</f>
        <v>#VALUE!</v>
      </c>
      <c r="AK330" s="58" t="str">
        <f t="shared" ref="AK330:AK369" si="216">IF($A331="","",$A330-$E$1)</f>
        <v/>
      </c>
      <c r="AL330" s="26" t="str">
        <f>IF($A331="","",_xll.SPRDOPT(P330,X330,AI330,0,AB330,AE330,AF330,AK330,$AJ$2,0))</f>
        <v/>
      </c>
      <c r="AM330" s="89" t="str">
        <f t="shared" ref="AM330:AM369" si="217">IF($A331="","",MAX(0,O330-W330-AI330))</f>
        <v/>
      </c>
      <c r="AN330" s="89" t="str">
        <f t="shared" ref="AN330:AN369" si="218">IF($A331="","",AL330-AM330)</f>
        <v/>
      </c>
      <c r="AO330" s="3" t="str">
        <f t="shared" ref="AO330:AO393" si="219">IF(A331="","",A331-A330)</f>
        <v/>
      </c>
      <c r="AP330" s="33" t="str">
        <f t="shared" ref="AP330:AP393" si="220">IF(A331="","",CHOOSE(F$3,A331+24,A330))</f>
        <v/>
      </c>
      <c r="AQ330" s="58" t="str">
        <f t="shared" ref="AQ330:AQ393" si="221">IF(A331="","",AP330-$E$1)</f>
        <v/>
      </c>
      <c r="AR330" s="38">
        <f>'ANR OK vs ML7'!AR330</f>
        <v>0.1</v>
      </c>
      <c r="AS330" s="35" t="str">
        <f t="shared" ref="AS330:AS393" si="222">IF(A331="","",1/(1+CHOOSE(F$3,(AR331+($I$3/10000))/2,(AR330+($I$3/10000))/2))^(2*AQ330/365.25))</f>
        <v/>
      </c>
      <c r="AT330" s="3" t="str">
        <f t="shared" ref="AT330:AT393" si="223">IF(A331="","",IF(AND(mthbeg&lt;=A330,mthend&gt;=A330),1,0))</f>
        <v/>
      </c>
      <c r="AU330" s="3" t="str">
        <f t="shared" ref="AU330:AU393" si="224">IF(A331="","",AO330*AT330)</f>
        <v/>
      </c>
      <c r="AW330" s="32" t="str">
        <f t="shared" ref="AW330:AW393" si="225">IF($A331="","",AL330*$E330)</f>
        <v/>
      </c>
      <c r="AX330" s="32" t="str">
        <f t="shared" ref="AX330:AX393" si="226">IF($A331="","",AM330*$E330)</f>
        <v/>
      </c>
      <c r="AY330" s="32" t="str">
        <f t="shared" ref="AY330:AY393" si="227">IF($A331="","",AN330*$E330)</f>
        <v/>
      </c>
      <c r="BA330" s="32" t="str">
        <f>IF($A331="","",F330*Summary!$Q$8)</f>
        <v/>
      </c>
    </row>
    <row r="331" spans="1:53" ht="12" customHeight="1">
      <c r="A331" s="67" t="str">
        <f t="shared" ref="A331:A394" si="228">IF(A330&lt;mthend,EDATE(A330,1),"")</f>
        <v/>
      </c>
      <c r="B331" s="69">
        <f t="shared" si="192"/>
        <v>0</v>
      </c>
      <c r="C331" s="71"/>
      <c r="D331" s="69" t="str">
        <f t="shared" si="193"/>
        <v/>
      </c>
      <c r="E331" s="70" t="str">
        <f t="shared" si="194"/>
        <v/>
      </c>
      <c r="F331" s="70" t="str">
        <f t="shared" si="195"/>
        <v/>
      </c>
      <c r="G331" s="63" t="str">
        <f t="shared" si="196"/>
        <v/>
      </c>
      <c r="H331" s="64" t="str">
        <f t="shared" si="197"/>
        <v/>
      </c>
      <c r="I331" s="43"/>
      <c r="J331" s="63" t="str">
        <f t="shared" si="198"/>
        <v/>
      </c>
      <c r="K331" s="64" t="str">
        <f t="shared" si="199"/>
        <v/>
      </c>
      <c r="L331" s="63" t="str">
        <f t="shared" si="200"/>
        <v/>
      </c>
      <c r="M331" s="64" t="str">
        <f t="shared" si="201"/>
        <v/>
      </c>
      <c r="N331" s="65"/>
      <c r="O331" s="63" t="str">
        <f t="shared" si="202"/>
        <v/>
      </c>
      <c r="P331" s="63" t="str">
        <f t="shared" si="203"/>
        <v/>
      </c>
      <c r="Q331" s="66"/>
      <c r="R331" s="63" t="str">
        <f t="shared" si="204"/>
        <v/>
      </c>
      <c r="S331" s="64" t="str">
        <f t="shared" si="205"/>
        <v/>
      </c>
      <c r="T331" s="63" t="str">
        <f t="shared" si="206"/>
        <v/>
      </c>
      <c r="U331" s="64" t="str">
        <f t="shared" si="207"/>
        <v/>
      </c>
      <c r="V331" s="207" t="str">
        <f>IF($A332="","",IF(AND(MONTH(A331)&gt;3,MONTH(A331)&lt;11),(T331+R331+G331)*Summary!$T$8/(1-Summary!$T$8),(T331+R331+G331)*Summary!$U$8/(1-Summary!$U$8)))</f>
        <v/>
      </c>
      <c r="W331" s="63" t="str">
        <f t="shared" si="208"/>
        <v/>
      </c>
      <c r="X331" s="63" t="str">
        <f t="shared" si="209"/>
        <v/>
      </c>
      <c r="Y331" s="43"/>
      <c r="Z331" s="38" t="str">
        <f t="shared" si="210"/>
        <v/>
      </c>
      <c r="AA331" s="38" t="str">
        <f t="shared" si="211"/>
        <v/>
      </c>
      <c r="AB331" s="38" t="e">
        <f t="shared" si="212"/>
        <v>#VALUE!</v>
      </c>
      <c r="AC331" s="38" t="str">
        <f t="shared" si="213"/>
        <v/>
      </c>
      <c r="AD331" s="38" t="str">
        <f t="shared" si="213"/>
        <v/>
      </c>
      <c r="AE331" s="38" t="e">
        <f t="shared" si="214"/>
        <v>#VALUE!</v>
      </c>
      <c r="AF331" s="237" t="e">
        <f>((Summary!$N$8*(AA331*AD331)*(A331-$D$3))+(Summary!$M$8*Z331*AC331*(AJ331-EOMONTH(EDATE(A331,-1),0))))/(AK331*AB331*AE331)</f>
        <v>#VALUE!</v>
      </c>
      <c r="AG331" s="88" t="str">
        <f>IF($A332="","",Summary!$Q$8)</f>
        <v/>
      </c>
      <c r="AH331" s="88" t="str">
        <f>IF($A332="","",IF(Summary!$R$8="Y",(VLOOKUP($A331,Summary!$AD$6:$AF$9,3)+'Escalating commodity'!D344),'Escalating commodity'!D344))</f>
        <v/>
      </c>
      <c r="AI331" s="88" t="str">
        <f t="shared" ref="AI331:AI369" si="229">IF($A332="","",AH331)</f>
        <v/>
      </c>
      <c r="AJ331" s="236" t="e">
        <f t="shared" si="215"/>
        <v>#VALUE!</v>
      </c>
      <c r="AK331" s="58" t="str">
        <f t="shared" si="216"/>
        <v/>
      </c>
      <c r="AL331" s="26" t="str">
        <f>IF($A332="","",_xll.SPRDOPT(P331,X331,AI331,0,AB331,AE331,AF331,AK331,$AJ$2,0))</f>
        <v/>
      </c>
      <c r="AM331" s="89" t="str">
        <f t="shared" si="217"/>
        <v/>
      </c>
      <c r="AN331" s="89" t="str">
        <f t="shared" si="218"/>
        <v/>
      </c>
      <c r="AO331" s="3" t="str">
        <f t="shared" si="219"/>
        <v/>
      </c>
      <c r="AP331" s="33" t="str">
        <f t="shared" si="220"/>
        <v/>
      </c>
      <c r="AQ331" s="58" t="str">
        <f t="shared" si="221"/>
        <v/>
      </c>
      <c r="AR331" s="38">
        <f>'ANR OK vs ML7'!AR331</f>
        <v>0.1</v>
      </c>
      <c r="AS331" s="35" t="str">
        <f t="shared" si="222"/>
        <v/>
      </c>
      <c r="AT331" s="3" t="str">
        <f t="shared" si="223"/>
        <v/>
      </c>
      <c r="AU331" s="3" t="str">
        <f t="shared" si="224"/>
        <v/>
      </c>
      <c r="AW331" s="32" t="str">
        <f t="shared" si="225"/>
        <v/>
      </c>
      <c r="AX331" s="32" t="str">
        <f t="shared" si="226"/>
        <v/>
      </c>
      <c r="AY331" s="32" t="str">
        <f t="shared" si="227"/>
        <v/>
      </c>
      <c r="BA331" s="32" t="str">
        <f>IF($A332="","",F331*Summary!$Q$8)</f>
        <v/>
      </c>
    </row>
    <row r="332" spans="1:53" ht="12" customHeight="1">
      <c r="A332" s="67" t="str">
        <f t="shared" si="228"/>
        <v/>
      </c>
      <c r="B332" s="69">
        <f t="shared" ref="B332:B395" si="230">IF(A332&lt;mthend,B331,0)</f>
        <v>0</v>
      </c>
      <c r="C332" s="71"/>
      <c r="D332" s="69" t="str">
        <f t="shared" si="193"/>
        <v/>
      </c>
      <c r="E332" s="70" t="str">
        <f t="shared" si="194"/>
        <v/>
      </c>
      <c r="F332" s="70" t="str">
        <f t="shared" si="195"/>
        <v/>
      </c>
      <c r="G332" s="63" t="str">
        <f t="shared" si="196"/>
        <v/>
      </c>
      <c r="H332" s="64" t="str">
        <f t="shared" si="197"/>
        <v/>
      </c>
      <c r="I332" s="43"/>
      <c r="J332" s="63" t="str">
        <f t="shared" si="198"/>
        <v/>
      </c>
      <c r="K332" s="64" t="str">
        <f t="shared" si="199"/>
        <v/>
      </c>
      <c r="L332" s="63" t="str">
        <f t="shared" si="200"/>
        <v/>
      </c>
      <c r="M332" s="64" t="str">
        <f t="shared" si="201"/>
        <v/>
      </c>
      <c r="N332" s="65"/>
      <c r="O332" s="63" t="str">
        <f t="shared" si="202"/>
        <v/>
      </c>
      <c r="P332" s="63" t="str">
        <f t="shared" si="203"/>
        <v/>
      </c>
      <c r="Q332" s="66"/>
      <c r="R332" s="63" t="str">
        <f t="shared" si="204"/>
        <v/>
      </c>
      <c r="S332" s="64" t="str">
        <f t="shared" si="205"/>
        <v/>
      </c>
      <c r="T332" s="63" t="str">
        <f t="shared" si="206"/>
        <v/>
      </c>
      <c r="U332" s="64" t="str">
        <f t="shared" si="207"/>
        <v/>
      </c>
      <c r="V332" s="207" t="str">
        <f>IF($A333="","",IF(AND(MONTH(A332)&gt;3,MONTH(A332)&lt;11),(T332+R332+G332)*Summary!$T$8/(1-Summary!$T$8),(T332+R332+G332)*Summary!$U$8/(1-Summary!$U$8)))</f>
        <v/>
      </c>
      <c r="W332" s="63" t="str">
        <f t="shared" si="208"/>
        <v/>
      </c>
      <c r="X332" s="63" t="str">
        <f t="shared" si="209"/>
        <v/>
      </c>
      <c r="Y332" s="43"/>
      <c r="Z332" s="38" t="str">
        <f t="shared" si="210"/>
        <v/>
      </c>
      <c r="AA332" s="38" t="str">
        <f t="shared" si="211"/>
        <v/>
      </c>
      <c r="AB332" s="38" t="e">
        <f t="shared" si="212"/>
        <v>#VALUE!</v>
      </c>
      <c r="AC332" s="38" t="str">
        <f t="shared" si="213"/>
        <v/>
      </c>
      <c r="AD332" s="38" t="str">
        <f t="shared" si="213"/>
        <v/>
      </c>
      <c r="AE332" s="38" t="e">
        <f t="shared" si="214"/>
        <v>#VALUE!</v>
      </c>
      <c r="AF332" s="237" t="e">
        <f>((Summary!$N$8*(AA332*AD332)*(A332-$D$3))+(Summary!$M$8*Z332*AC332*(AJ332-EOMONTH(EDATE(A332,-1),0))))/(AK332*AB332*AE332)</f>
        <v>#VALUE!</v>
      </c>
      <c r="AG332" s="88" t="str">
        <f>IF($A333="","",Summary!$Q$8)</f>
        <v/>
      </c>
      <c r="AH332" s="88" t="str">
        <f>IF($A333="","",IF(Summary!$R$8="Y",(VLOOKUP($A332,Summary!$AD$6:$AF$9,3)+'Escalating commodity'!D345),'Escalating commodity'!D345))</f>
        <v/>
      </c>
      <c r="AI332" s="88" t="str">
        <f t="shared" si="229"/>
        <v/>
      </c>
      <c r="AJ332" s="236" t="e">
        <f t="shared" si="215"/>
        <v>#VALUE!</v>
      </c>
      <c r="AK332" s="58" t="str">
        <f t="shared" si="216"/>
        <v/>
      </c>
      <c r="AL332" s="26" t="str">
        <f>IF($A333="","",_xll.SPRDOPT(P332,X332,AI332,0,AB332,AE332,AF332,AK332,$AJ$2,0))</f>
        <v/>
      </c>
      <c r="AM332" s="89" t="str">
        <f t="shared" si="217"/>
        <v/>
      </c>
      <c r="AN332" s="89" t="str">
        <f t="shared" si="218"/>
        <v/>
      </c>
      <c r="AO332" s="3" t="str">
        <f t="shared" si="219"/>
        <v/>
      </c>
      <c r="AP332" s="33" t="str">
        <f t="shared" si="220"/>
        <v/>
      </c>
      <c r="AQ332" s="58" t="str">
        <f t="shared" si="221"/>
        <v/>
      </c>
      <c r="AR332" s="38">
        <f>'ANR OK vs ML7'!AR332</f>
        <v>0.1</v>
      </c>
      <c r="AS332" s="35" t="str">
        <f t="shared" si="222"/>
        <v/>
      </c>
      <c r="AT332" s="3" t="str">
        <f t="shared" si="223"/>
        <v/>
      </c>
      <c r="AU332" s="3" t="str">
        <f t="shared" si="224"/>
        <v/>
      </c>
      <c r="AW332" s="32" t="str">
        <f t="shared" si="225"/>
        <v/>
      </c>
      <c r="AX332" s="32" t="str">
        <f t="shared" si="226"/>
        <v/>
      </c>
      <c r="AY332" s="32" t="str">
        <f t="shared" si="227"/>
        <v/>
      </c>
      <c r="BA332" s="32" t="str">
        <f>IF($A333="","",F332*Summary!$Q$8)</f>
        <v/>
      </c>
    </row>
    <row r="333" spans="1:53" ht="12" customHeight="1">
      <c r="A333" s="67" t="str">
        <f t="shared" si="228"/>
        <v/>
      </c>
      <c r="B333" s="69">
        <f t="shared" si="230"/>
        <v>0</v>
      </c>
      <c r="C333" s="71"/>
      <c r="D333" s="69" t="str">
        <f t="shared" si="193"/>
        <v/>
      </c>
      <c r="E333" s="70" t="str">
        <f t="shared" si="194"/>
        <v/>
      </c>
      <c r="F333" s="70" t="str">
        <f t="shared" si="195"/>
        <v/>
      </c>
      <c r="G333" s="63" t="str">
        <f t="shared" si="196"/>
        <v/>
      </c>
      <c r="H333" s="64" t="str">
        <f t="shared" si="197"/>
        <v/>
      </c>
      <c r="I333" s="43"/>
      <c r="J333" s="63" t="str">
        <f t="shared" si="198"/>
        <v/>
      </c>
      <c r="K333" s="64" t="str">
        <f t="shared" si="199"/>
        <v/>
      </c>
      <c r="L333" s="63" t="str">
        <f t="shared" si="200"/>
        <v/>
      </c>
      <c r="M333" s="64" t="str">
        <f t="shared" si="201"/>
        <v/>
      </c>
      <c r="N333" s="65"/>
      <c r="O333" s="63" t="str">
        <f t="shared" si="202"/>
        <v/>
      </c>
      <c r="P333" s="63" t="str">
        <f t="shared" si="203"/>
        <v/>
      </c>
      <c r="Q333" s="66"/>
      <c r="R333" s="63" t="str">
        <f t="shared" si="204"/>
        <v/>
      </c>
      <c r="S333" s="64" t="str">
        <f t="shared" si="205"/>
        <v/>
      </c>
      <c r="T333" s="63" t="str">
        <f t="shared" si="206"/>
        <v/>
      </c>
      <c r="U333" s="64" t="str">
        <f t="shared" si="207"/>
        <v/>
      </c>
      <c r="V333" s="207" t="str">
        <f>IF($A334="","",IF(AND(MONTH(A333)&gt;3,MONTH(A333)&lt;11),(T333+R333+G333)*Summary!$T$8/(1-Summary!$T$8),(T333+R333+G333)*Summary!$U$8/(1-Summary!$U$8)))</f>
        <v/>
      </c>
      <c r="W333" s="63" t="str">
        <f t="shared" si="208"/>
        <v/>
      </c>
      <c r="X333" s="63" t="str">
        <f t="shared" si="209"/>
        <v/>
      </c>
      <c r="Y333" s="43"/>
      <c r="Z333" s="38" t="str">
        <f t="shared" si="210"/>
        <v/>
      </c>
      <c r="AA333" s="38" t="str">
        <f t="shared" si="211"/>
        <v/>
      </c>
      <c r="AB333" s="38" t="e">
        <f t="shared" si="212"/>
        <v>#VALUE!</v>
      </c>
      <c r="AC333" s="38" t="str">
        <f t="shared" si="213"/>
        <v/>
      </c>
      <c r="AD333" s="38" t="str">
        <f t="shared" si="213"/>
        <v/>
      </c>
      <c r="AE333" s="38" t="e">
        <f t="shared" si="214"/>
        <v>#VALUE!</v>
      </c>
      <c r="AF333" s="237" t="e">
        <f>((Summary!$N$8*(AA333*AD333)*(A333-$D$3))+(Summary!$M$8*Z333*AC333*(AJ333-EOMONTH(EDATE(A333,-1),0))))/(AK333*AB333*AE333)</f>
        <v>#VALUE!</v>
      </c>
      <c r="AG333" s="88" t="str">
        <f>IF($A334="","",Summary!$Q$8)</f>
        <v/>
      </c>
      <c r="AH333" s="88" t="str">
        <f>IF($A334="","",IF(Summary!$R$8="Y",(VLOOKUP($A333,Summary!$AD$6:$AF$9,3)+'Escalating commodity'!D346),'Escalating commodity'!D346))</f>
        <v/>
      </c>
      <c r="AI333" s="88" t="str">
        <f t="shared" si="229"/>
        <v/>
      </c>
      <c r="AJ333" s="236" t="e">
        <f t="shared" si="215"/>
        <v>#VALUE!</v>
      </c>
      <c r="AK333" s="58" t="str">
        <f t="shared" si="216"/>
        <v/>
      </c>
      <c r="AL333" s="26" t="str">
        <f>IF($A334="","",_xll.SPRDOPT(P333,X333,AI333,0,AB333,AE333,AF333,AK333,$AJ$2,0))</f>
        <v/>
      </c>
      <c r="AM333" s="89" t="str">
        <f t="shared" si="217"/>
        <v/>
      </c>
      <c r="AN333" s="89" t="str">
        <f t="shared" si="218"/>
        <v/>
      </c>
      <c r="AO333" s="3" t="str">
        <f t="shared" si="219"/>
        <v/>
      </c>
      <c r="AP333" s="33" t="str">
        <f t="shared" si="220"/>
        <v/>
      </c>
      <c r="AQ333" s="58" t="str">
        <f t="shared" si="221"/>
        <v/>
      </c>
      <c r="AR333" s="38">
        <f>'ANR OK vs ML7'!AR333</f>
        <v>0.1</v>
      </c>
      <c r="AS333" s="35" t="str">
        <f t="shared" si="222"/>
        <v/>
      </c>
      <c r="AT333" s="3" t="str">
        <f t="shared" si="223"/>
        <v/>
      </c>
      <c r="AU333" s="3" t="str">
        <f t="shared" si="224"/>
        <v/>
      </c>
      <c r="AW333" s="32" t="str">
        <f t="shared" si="225"/>
        <v/>
      </c>
      <c r="AX333" s="32" t="str">
        <f t="shared" si="226"/>
        <v/>
      </c>
      <c r="AY333" s="32" t="str">
        <f t="shared" si="227"/>
        <v/>
      </c>
      <c r="BA333" s="32" t="str">
        <f>IF($A334="","",F333*Summary!$Q$8)</f>
        <v/>
      </c>
    </row>
    <row r="334" spans="1:53" ht="12" customHeight="1">
      <c r="A334" s="67" t="str">
        <f t="shared" si="228"/>
        <v/>
      </c>
      <c r="B334" s="69">
        <f t="shared" si="230"/>
        <v>0</v>
      </c>
      <c r="C334" s="71"/>
      <c r="D334" s="69" t="str">
        <f t="shared" si="193"/>
        <v/>
      </c>
      <c r="E334" s="70" t="str">
        <f t="shared" si="194"/>
        <v/>
      </c>
      <c r="F334" s="70" t="str">
        <f t="shared" si="195"/>
        <v/>
      </c>
      <c r="G334" s="63" t="str">
        <f t="shared" si="196"/>
        <v/>
      </c>
      <c r="H334" s="64" t="str">
        <f t="shared" si="197"/>
        <v/>
      </c>
      <c r="I334" s="43"/>
      <c r="J334" s="63" t="str">
        <f t="shared" si="198"/>
        <v/>
      </c>
      <c r="K334" s="64" t="str">
        <f t="shared" si="199"/>
        <v/>
      </c>
      <c r="L334" s="63" t="str">
        <f t="shared" si="200"/>
        <v/>
      </c>
      <c r="M334" s="64" t="str">
        <f t="shared" si="201"/>
        <v/>
      </c>
      <c r="N334" s="65"/>
      <c r="O334" s="63" t="str">
        <f t="shared" si="202"/>
        <v/>
      </c>
      <c r="P334" s="63" t="str">
        <f t="shared" si="203"/>
        <v/>
      </c>
      <c r="Q334" s="66"/>
      <c r="R334" s="63" t="str">
        <f t="shared" si="204"/>
        <v/>
      </c>
      <c r="S334" s="64" t="str">
        <f t="shared" si="205"/>
        <v/>
      </c>
      <c r="T334" s="63" t="str">
        <f t="shared" si="206"/>
        <v/>
      </c>
      <c r="U334" s="64" t="str">
        <f t="shared" si="207"/>
        <v/>
      </c>
      <c r="V334" s="207" t="str">
        <f>IF($A335="","",IF(AND(MONTH(A334)&gt;3,MONTH(A334)&lt;11),(T334+R334+G334)*Summary!$T$8/(1-Summary!$T$8),(T334+R334+G334)*Summary!$U$8/(1-Summary!$U$8)))</f>
        <v/>
      </c>
      <c r="W334" s="63" t="str">
        <f t="shared" si="208"/>
        <v/>
      </c>
      <c r="X334" s="63" t="str">
        <f t="shared" si="209"/>
        <v/>
      </c>
      <c r="Y334" s="43"/>
      <c r="Z334" s="38" t="str">
        <f t="shared" si="210"/>
        <v/>
      </c>
      <c r="AA334" s="38" t="str">
        <f t="shared" si="211"/>
        <v/>
      </c>
      <c r="AB334" s="38" t="e">
        <f t="shared" si="212"/>
        <v>#VALUE!</v>
      </c>
      <c r="AC334" s="38" t="str">
        <f t="shared" si="213"/>
        <v/>
      </c>
      <c r="AD334" s="38" t="str">
        <f t="shared" si="213"/>
        <v/>
      </c>
      <c r="AE334" s="38" t="e">
        <f t="shared" si="214"/>
        <v>#VALUE!</v>
      </c>
      <c r="AF334" s="237" t="e">
        <f>((Summary!$N$8*(AA334*AD334)*(A334-$D$3))+(Summary!$M$8*Z334*AC334*(AJ334-EOMONTH(EDATE(A334,-1),0))))/(AK334*AB334*AE334)</f>
        <v>#VALUE!</v>
      </c>
      <c r="AG334" s="88" t="str">
        <f>IF($A335="","",Summary!$Q$8)</f>
        <v/>
      </c>
      <c r="AH334" s="88" t="str">
        <f>IF($A335="","",IF(Summary!$R$8="Y",(VLOOKUP($A334,Summary!$AD$6:$AF$9,3)+'Escalating commodity'!D347),'Escalating commodity'!D347))</f>
        <v/>
      </c>
      <c r="AI334" s="88" t="str">
        <f t="shared" si="229"/>
        <v/>
      </c>
      <c r="AJ334" s="236" t="e">
        <f t="shared" si="215"/>
        <v>#VALUE!</v>
      </c>
      <c r="AK334" s="58" t="str">
        <f t="shared" si="216"/>
        <v/>
      </c>
      <c r="AL334" s="26" t="str">
        <f>IF($A335="","",_xll.SPRDOPT(P334,X334,AI334,0,AB334,AE334,AF334,AK334,$AJ$2,0))</f>
        <v/>
      </c>
      <c r="AM334" s="89" t="str">
        <f t="shared" si="217"/>
        <v/>
      </c>
      <c r="AN334" s="89" t="str">
        <f t="shared" si="218"/>
        <v/>
      </c>
      <c r="AO334" s="3" t="str">
        <f t="shared" si="219"/>
        <v/>
      </c>
      <c r="AP334" s="33" t="str">
        <f t="shared" si="220"/>
        <v/>
      </c>
      <c r="AQ334" s="58" t="str">
        <f t="shared" si="221"/>
        <v/>
      </c>
      <c r="AR334" s="38">
        <f>'ANR OK vs ML7'!AR334</f>
        <v>0.1</v>
      </c>
      <c r="AS334" s="35" t="str">
        <f t="shared" si="222"/>
        <v/>
      </c>
      <c r="AT334" s="3" t="str">
        <f t="shared" si="223"/>
        <v/>
      </c>
      <c r="AU334" s="3" t="str">
        <f t="shared" si="224"/>
        <v/>
      </c>
      <c r="AW334" s="32" t="str">
        <f t="shared" si="225"/>
        <v/>
      </c>
      <c r="AX334" s="32" t="str">
        <f t="shared" si="226"/>
        <v/>
      </c>
      <c r="AY334" s="32" t="str">
        <f t="shared" si="227"/>
        <v/>
      </c>
      <c r="BA334" s="32" t="str">
        <f>IF($A335="","",F334*Summary!$Q$8)</f>
        <v/>
      </c>
    </row>
    <row r="335" spans="1:53" ht="12" customHeight="1">
      <c r="A335" s="67" t="str">
        <f t="shared" si="228"/>
        <v/>
      </c>
      <c r="B335" s="69">
        <f t="shared" si="230"/>
        <v>0</v>
      </c>
      <c r="C335" s="71"/>
      <c r="D335" s="69" t="str">
        <f t="shared" si="193"/>
        <v/>
      </c>
      <c r="E335" s="70" t="str">
        <f t="shared" si="194"/>
        <v/>
      </c>
      <c r="F335" s="70" t="str">
        <f t="shared" si="195"/>
        <v/>
      </c>
      <c r="G335" s="63" t="str">
        <f t="shared" si="196"/>
        <v/>
      </c>
      <c r="H335" s="64" t="str">
        <f t="shared" si="197"/>
        <v/>
      </c>
      <c r="I335" s="43"/>
      <c r="J335" s="63" t="str">
        <f t="shared" si="198"/>
        <v/>
      </c>
      <c r="K335" s="64" t="str">
        <f t="shared" si="199"/>
        <v/>
      </c>
      <c r="L335" s="63" t="str">
        <f t="shared" si="200"/>
        <v/>
      </c>
      <c r="M335" s="64" t="str">
        <f t="shared" si="201"/>
        <v/>
      </c>
      <c r="N335" s="65"/>
      <c r="O335" s="63" t="str">
        <f t="shared" si="202"/>
        <v/>
      </c>
      <c r="P335" s="63" t="str">
        <f t="shared" si="203"/>
        <v/>
      </c>
      <c r="Q335" s="66"/>
      <c r="R335" s="63" t="str">
        <f t="shared" si="204"/>
        <v/>
      </c>
      <c r="S335" s="64" t="str">
        <f t="shared" si="205"/>
        <v/>
      </c>
      <c r="T335" s="63" t="str">
        <f t="shared" si="206"/>
        <v/>
      </c>
      <c r="U335" s="64" t="str">
        <f t="shared" si="207"/>
        <v/>
      </c>
      <c r="V335" s="207" t="str">
        <f>IF($A336="","",IF(AND(MONTH(A335)&gt;3,MONTH(A335)&lt;11),(T335+R335+G335)*Summary!$T$8/(1-Summary!$T$8),(T335+R335+G335)*Summary!$U$8/(1-Summary!$U$8)))</f>
        <v/>
      </c>
      <c r="W335" s="63" t="str">
        <f t="shared" si="208"/>
        <v/>
      </c>
      <c r="X335" s="63" t="str">
        <f t="shared" si="209"/>
        <v/>
      </c>
      <c r="Y335" s="43"/>
      <c r="Z335" s="38" t="str">
        <f t="shared" si="210"/>
        <v/>
      </c>
      <c r="AA335" s="38" t="str">
        <f t="shared" si="211"/>
        <v/>
      </c>
      <c r="AB335" s="38" t="e">
        <f t="shared" si="212"/>
        <v>#VALUE!</v>
      </c>
      <c r="AC335" s="38" t="str">
        <f t="shared" si="213"/>
        <v/>
      </c>
      <c r="AD335" s="38" t="str">
        <f t="shared" si="213"/>
        <v/>
      </c>
      <c r="AE335" s="38" t="e">
        <f t="shared" si="214"/>
        <v>#VALUE!</v>
      </c>
      <c r="AF335" s="237" t="e">
        <f>((Summary!$N$8*(AA335*AD335)*(A335-$D$3))+(Summary!$M$8*Z335*AC335*(AJ335-EOMONTH(EDATE(A335,-1),0))))/(AK335*AB335*AE335)</f>
        <v>#VALUE!</v>
      </c>
      <c r="AG335" s="88" t="str">
        <f>IF($A336="","",Summary!$Q$8)</f>
        <v/>
      </c>
      <c r="AH335" s="88" t="str">
        <f>IF($A336="","",IF(Summary!$R$8="Y",(VLOOKUP($A335,Summary!$AD$6:$AF$9,3)+'Escalating commodity'!D348),'Escalating commodity'!D348))</f>
        <v/>
      </c>
      <c r="AI335" s="88" t="str">
        <f t="shared" si="229"/>
        <v/>
      </c>
      <c r="AJ335" s="236" t="e">
        <f t="shared" si="215"/>
        <v>#VALUE!</v>
      </c>
      <c r="AK335" s="58" t="str">
        <f t="shared" si="216"/>
        <v/>
      </c>
      <c r="AL335" s="26" t="str">
        <f>IF($A336="","",_xll.SPRDOPT(P335,X335,AI335,0,AB335,AE335,AF335,AK335,$AJ$2,0))</f>
        <v/>
      </c>
      <c r="AM335" s="89" t="str">
        <f t="shared" si="217"/>
        <v/>
      </c>
      <c r="AN335" s="89" t="str">
        <f t="shared" si="218"/>
        <v/>
      </c>
      <c r="AO335" s="3" t="str">
        <f t="shared" si="219"/>
        <v/>
      </c>
      <c r="AP335" s="33" t="str">
        <f t="shared" si="220"/>
        <v/>
      </c>
      <c r="AQ335" s="58" t="str">
        <f t="shared" si="221"/>
        <v/>
      </c>
      <c r="AR335" s="38">
        <f>'ANR OK vs ML7'!AR335</f>
        <v>0.1</v>
      </c>
      <c r="AS335" s="35" t="str">
        <f t="shared" si="222"/>
        <v/>
      </c>
      <c r="AT335" s="3" t="str">
        <f t="shared" si="223"/>
        <v/>
      </c>
      <c r="AU335" s="3" t="str">
        <f t="shared" si="224"/>
        <v/>
      </c>
      <c r="AW335" s="32" t="str">
        <f t="shared" si="225"/>
        <v/>
      </c>
      <c r="AX335" s="32" t="str">
        <f t="shared" si="226"/>
        <v/>
      </c>
      <c r="AY335" s="32" t="str">
        <f t="shared" si="227"/>
        <v/>
      </c>
      <c r="BA335" s="32" t="str">
        <f>IF($A336="","",F335*Summary!$Q$8)</f>
        <v/>
      </c>
    </row>
    <row r="336" spans="1:53" ht="12" customHeight="1">
      <c r="A336" s="67" t="str">
        <f t="shared" si="228"/>
        <v/>
      </c>
      <c r="B336" s="69">
        <f t="shared" si="230"/>
        <v>0</v>
      </c>
      <c r="C336" s="71"/>
      <c r="D336" s="69" t="str">
        <f t="shared" si="193"/>
        <v/>
      </c>
      <c r="E336" s="70" t="str">
        <f t="shared" si="194"/>
        <v/>
      </c>
      <c r="F336" s="70" t="str">
        <f t="shared" si="195"/>
        <v/>
      </c>
      <c r="G336" s="63" t="str">
        <f t="shared" si="196"/>
        <v/>
      </c>
      <c r="H336" s="64" t="str">
        <f t="shared" si="197"/>
        <v/>
      </c>
      <c r="I336" s="43"/>
      <c r="J336" s="63" t="str">
        <f t="shared" si="198"/>
        <v/>
      </c>
      <c r="K336" s="64" t="str">
        <f t="shared" si="199"/>
        <v/>
      </c>
      <c r="L336" s="63" t="str">
        <f t="shared" si="200"/>
        <v/>
      </c>
      <c r="M336" s="64" t="str">
        <f t="shared" si="201"/>
        <v/>
      </c>
      <c r="N336" s="65"/>
      <c r="O336" s="63" t="str">
        <f t="shared" si="202"/>
        <v/>
      </c>
      <c r="P336" s="63" t="str">
        <f t="shared" si="203"/>
        <v/>
      </c>
      <c r="Q336" s="66"/>
      <c r="R336" s="63" t="str">
        <f t="shared" si="204"/>
        <v/>
      </c>
      <c r="S336" s="64" t="str">
        <f t="shared" si="205"/>
        <v/>
      </c>
      <c r="T336" s="63" t="str">
        <f t="shared" si="206"/>
        <v/>
      </c>
      <c r="U336" s="64" t="str">
        <f t="shared" si="207"/>
        <v/>
      </c>
      <c r="V336" s="207" t="str">
        <f>IF($A337="","",IF(AND(MONTH(A336)&gt;3,MONTH(A336)&lt;11),(T336+R336+G336)*Summary!$T$8/(1-Summary!$T$8),(T336+R336+G336)*Summary!$U$8/(1-Summary!$U$8)))</f>
        <v/>
      </c>
      <c r="W336" s="63" t="str">
        <f t="shared" si="208"/>
        <v/>
      </c>
      <c r="X336" s="63" t="str">
        <f t="shared" si="209"/>
        <v/>
      </c>
      <c r="Y336" s="43"/>
      <c r="Z336" s="38" t="str">
        <f t="shared" si="210"/>
        <v/>
      </c>
      <c r="AA336" s="38" t="str">
        <f t="shared" si="211"/>
        <v/>
      </c>
      <c r="AB336" s="38" t="e">
        <f t="shared" si="212"/>
        <v>#VALUE!</v>
      </c>
      <c r="AC336" s="38" t="str">
        <f t="shared" si="213"/>
        <v/>
      </c>
      <c r="AD336" s="38" t="str">
        <f t="shared" si="213"/>
        <v/>
      </c>
      <c r="AE336" s="38" t="e">
        <f t="shared" si="214"/>
        <v>#VALUE!</v>
      </c>
      <c r="AF336" s="237" t="e">
        <f>((Summary!$N$8*(AA336*AD336)*(A336-$D$3))+(Summary!$M$8*Z336*AC336*(AJ336-EOMONTH(EDATE(A336,-1),0))))/(AK336*AB336*AE336)</f>
        <v>#VALUE!</v>
      </c>
      <c r="AG336" s="88" t="str">
        <f>IF($A337="","",Summary!$Q$8)</f>
        <v/>
      </c>
      <c r="AH336" s="88" t="str">
        <f>IF($A337="","",IF(Summary!$R$8="Y",(VLOOKUP($A336,Summary!$AD$6:$AF$9,3)+'Escalating commodity'!D349),'Escalating commodity'!D349))</f>
        <v/>
      </c>
      <c r="AI336" s="88" t="str">
        <f t="shared" si="229"/>
        <v/>
      </c>
      <c r="AJ336" s="236" t="e">
        <f t="shared" si="215"/>
        <v>#VALUE!</v>
      </c>
      <c r="AK336" s="58" t="str">
        <f t="shared" si="216"/>
        <v/>
      </c>
      <c r="AL336" s="26" t="str">
        <f>IF($A337="","",_xll.SPRDOPT(P336,X336,AI336,0,AB336,AE336,AF336,AK336,$AJ$2,0))</f>
        <v/>
      </c>
      <c r="AM336" s="89" t="str">
        <f t="shared" si="217"/>
        <v/>
      </c>
      <c r="AN336" s="89" t="str">
        <f t="shared" si="218"/>
        <v/>
      </c>
      <c r="AO336" s="3" t="str">
        <f t="shared" si="219"/>
        <v/>
      </c>
      <c r="AP336" s="33" t="str">
        <f t="shared" si="220"/>
        <v/>
      </c>
      <c r="AQ336" s="58" t="str">
        <f t="shared" si="221"/>
        <v/>
      </c>
      <c r="AR336" s="38">
        <f>'ANR OK vs ML7'!AR336</f>
        <v>0.1</v>
      </c>
      <c r="AS336" s="35" t="str">
        <f t="shared" si="222"/>
        <v/>
      </c>
      <c r="AT336" s="3" t="str">
        <f t="shared" si="223"/>
        <v/>
      </c>
      <c r="AU336" s="3" t="str">
        <f t="shared" si="224"/>
        <v/>
      </c>
      <c r="AW336" s="32" t="str">
        <f t="shared" si="225"/>
        <v/>
      </c>
      <c r="AX336" s="32" t="str">
        <f t="shared" si="226"/>
        <v/>
      </c>
      <c r="AY336" s="32" t="str">
        <f t="shared" si="227"/>
        <v/>
      </c>
      <c r="BA336" s="32" t="str">
        <f>IF($A337="","",F336*Summary!$Q$8)</f>
        <v/>
      </c>
    </row>
    <row r="337" spans="1:53" ht="12" customHeight="1">
      <c r="A337" s="67" t="str">
        <f t="shared" si="228"/>
        <v/>
      </c>
      <c r="B337" s="69">
        <f t="shared" si="230"/>
        <v>0</v>
      </c>
      <c r="C337" s="71"/>
      <c r="D337" s="69" t="str">
        <f t="shared" si="193"/>
        <v/>
      </c>
      <c r="E337" s="70" t="str">
        <f t="shared" si="194"/>
        <v/>
      </c>
      <c r="F337" s="70" t="str">
        <f t="shared" si="195"/>
        <v/>
      </c>
      <c r="G337" s="63" t="str">
        <f t="shared" si="196"/>
        <v/>
      </c>
      <c r="H337" s="64" t="str">
        <f t="shared" si="197"/>
        <v/>
      </c>
      <c r="I337" s="43"/>
      <c r="J337" s="63" t="str">
        <f t="shared" si="198"/>
        <v/>
      </c>
      <c r="K337" s="64" t="str">
        <f t="shared" si="199"/>
        <v/>
      </c>
      <c r="L337" s="63" t="str">
        <f t="shared" si="200"/>
        <v/>
      </c>
      <c r="M337" s="64" t="str">
        <f t="shared" si="201"/>
        <v/>
      </c>
      <c r="N337" s="65"/>
      <c r="O337" s="63" t="str">
        <f t="shared" si="202"/>
        <v/>
      </c>
      <c r="P337" s="63" t="str">
        <f t="shared" si="203"/>
        <v/>
      </c>
      <c r="Q337" s="66"/>
      <c r="R337" s="63" t="str">
        <f t="shared" si="204"/>
        <v/>
      </c>
      <c r="S337" s="64" t="str">
        <f t="shared" si="205"/>
        <v/>
      </c>
      <c r="T337" s="63" t="str">
        <f t="shared" si="206"/>
        <v/>
      </c>
      <c r="U337" s="64" t="str">
        <f t="shared" si="207"/>
        <v/>
      </c>
      <c r="V337" s="207" t="str">
        <f>IF($A338="","",IF(AND(MONTH(A337)&gt;3,MONTH(A337)&lt;11),(T337+R337+G337)*Summary!$T$8/(1-Summary!$T$8),(T337+R337+G337)*Summary!$U$8/(1-Summary!$U$8)))</f>
        <v/>
      </c>
      <c r="W337" s="63" t="str">
        <f t="shared" si="208"/>
        <v/>
      </c>
      <c r="X337" s="63" t="str">
        <f t="shared" si="209"/>
        <v/>
      </c>
      <c r="Y337" s="43"/>
      <c r="Z337" s="38" t="str">
        <f t="shared" si="210"/>
        <v/>
      </c>
      <c r="AA337" s="38" t="str">
        <f t="shared" si="211"/>
        <v/>
      </c>
      <c r="AB337" s="38" t="e">
        <f t="shared" si="212"/>
        <v>#VALUE!</v>
      </c>
      <c r="AC337" s="38" t="str">
        <f t="shared" si="213"/>
        <v/>
      </c>
      <c r="AD337" s="38" t="str">
        <f t="shared" si="213"/>
        <v/>
      </c>
      <c r="AE337" s="38" t="e">
        <f t="shared" si="214"/>
        <v>#VALUE!</v>
      </c>
      <c r="AF337" s="237" t="e">
        <f>((Summary!$N$8*(AA337*AD337)*(A337-$D$3))+(Summary!$M$8*Z337*AC337*(AJ337-EOMONTH(EDATE(A337,-1),0))))/(AK337*AB337*AE337)</f>
        <v>#VALUE!</v>
      </c>
      <c r="AG337" s="88" t="str">
        <f>IF($A338="","",Summary!$Q$8)</f>
        <v/>
      </c>
      <c r="AH337" s="88" t="str">
        <f>IF($A338="","",IF(Summary!$R$8="Y",(VLOOKUP($A337,Summary!$AD$6:$AF$9,3)+'Escalating commodity'!D350),'Escalating commodity'!D350))</f>
        <v/>
      </c>
      <c r="AI337" s="88" t="str">
        <f t="shared" si="229"/>
        <v/>
      </c>
      <c r="AJ337" s="236" t="e">
        <f t="shared" si="215"/>
        <v>#VALUE!</v>
      </c>
      <c r="AK337" s="58" t="str">
        <f t="shared" si="216"/>
        <v/>
      </c>
      <c r="AL337" s="26" t="str">
        <f>IF($A338="","",_xll.SPRDOPT(P337,X337,AI337,0,AB337,AE337,AF337,AK337,$AJ$2,0))</f>
        <v/>
      </c>
      <c r="AM337" s="89" t="str">
        <f t="shared" si="217"/>
        <v/>
      </c>
      <c r="AN337" s="89" t="str">
        <f t="shared" si="218"/>
        <v/>
      </c>
      <c r="AO337" s="3" t="str">
        <f t="shared" si="219"/>
        <v/>
      </c>
      <c r="AP337" s="33" t="str">
        <f t="shared" si="220"/>
        <v/>
      </c>
      <c r="AQ337" s="58" t="str">
        <f t="shared" si="221"/>
        <v/>
      </c>
      <c r="AR337" s="38">
        <f>'ANR OK vs ML7'!AR337</f>
        <v>0.1</v>
      </c>
      <c r="AS337" s="35" t="str">
        <f t="shared" si="222"/>
        <v/>
      </c>
      <c r="AT337" s="3" t="str">
        <f t="shared" si="223"/>
        <v/>
      </c>
      <c r="AU337" s="3" t="str">
        <f t="shared" si="224"/>
        <v/>
      </c>
      <c r="AW337" s="32" t="str">
        <f t="shared" si="225"/>
        <v/>
      </c>
      <c r="AX337" s="32" t="str">
        <f t="shared" si="226"/>
        <v/>
      </c>
      <c r="AY337" s="32" t="str">
        <f t="shared" si="227"/>
        <v/>
      </c>
      <c r="BA337" s="32" t="str">
        <f>IF($A338="","",F337*Summary!$Q$8)</f>
        <v/>
      </c>
    </row>
    <row r="338" spans="1:53" ht="12" customHeight="1">
      <c r="A338" s="67" t="str">
        <f t="shared" si="228"/>
        <v/>
      </c>
      <c r="B338" s="69">
        <f t="shared" si="230"/>
        <v>0</v>
      </c>
      <c r="C338" s="71"/>
      <c r="D338" s="69" t="str">
        <f t="shared" si="193"/>
        <v/>
      </c>
      <c r="E338" s="70" t="str">
        <f t="shared" si="194"/>
        <v/>
      </c>
      <c r="F338" s="70" t="str">
        <f t="shared" si="195"/>
        <v/>
      </c>
      <c r="G338" s="63" t="str">
        <f t="shared" si="196"/>
        <v/>
      </c>
      <c r="H338" s="64" t="str">
        <f t="shared" si="197"/>
        <v/>
      </c>
      <c r="I338" s="43"/>
      <c r="J338" s="63" t="str">
        <f t="shared" si="198"/>
        <v/>
      </c>
      <c r="K338" s="64" t="str">
        <f t="shared" si="199"/>
        <v/>
      </c>
      <c r="L338" s="63" t="str">
        <f t="shared" si="200"/>
        <v/>
      </c>
      <c r="M338" s="64" t="str">
        <f t="shared" si="201"/>
        <v/>
      </c>
      <c r="N338" s="65"/>
      <c r="O338" s="63" t="str">
        <f t="shared" si="202"/>
        <v/>
      </c>
      <c r="P338" s="63" t="str">
        <f t="shared" si="203"/>
        <v/>
      </c>
      <c r="Q338" s="66"/>
      <c r="R338" s="63" t="str">
        <f t="shared" si="204"/>
        <v/>
      </c>
      <c r="S338" s="64" t="str">
        <f t="shared" si="205"/>
        <v/>
      </c>
      <c r="T338" s="63" t="str">
        <f t="shared" si="206"/>
        <v/>
      </c>
      <c r="U338" s="64" t="str">
        <f t="shared" si="207"/>
        <v/>
      </c>
      <c r="V338" s="207" t="str">
        <f>IF($A339="","",IF(AND(MONTH(A338)&gt;3,MONTH(A338)&lt;11),(T338+R338+G338)*Summary!$T$8/(1-Summary!$T$8),(T338+R338+G338)*Summary!$U$8/(1-Summary!$U$8)))</f>
        <v/>
      </c>
      <c r="W338" s="63" t="str">
        <f t="shared" si="208"/>
        <v/>
      </c>
      <c r="X338" s="63" t="str">
        <f t="shared" si="209"/>
        <v/>
      </c>
      <c r="Y338" s="43"/>
      <c r="Z338" s="38" t="str">
        <f t="shared" si="210"/>
        <v/>
      </c>
      <c r="AA338" s="38" t="str">
        <f t="shared" si="211"/>
        <v/>
      </c>
      <c r="AB338" s="38" t="e">
        <f t="shared" si="212"/>
        <v>#VALUE!</v>
      </c>
      <c r="AC338" s="38" t="str">
        <f t="shared" si="213"/>
        <v/>
      </c>
      <c r="AD338" s="38" t="str">
        <f t="shared" si="213"/>
        <v/>
      </c>
      <c r="AE338" s="38" t="e">
        <f t="shared" si="214"/>
        <v>#VALUE!</v>
      </c>
      <c r="AF338" s="237" t="e">
        <f>((Summary!$N$8*(AA338*AD338)*(A338-$D$3))+(Summary!$M$8*Z338*AC338*(AJ338-EOMONTH(EDATE(A338,-1),0))))/(AK338*AB338*AE338)</f>
        <v>#VALUE!</v>
      </c>
      <c r="AG338" s="88" t="str">
        <f>IF($A339="","",Summary!$Q$8)</f>
        <v/>
      </c>
      <c r="AH338" s="88" t="str">
        <f>IF($A339="","",IF(Summary!$R$8="Y",(VLOOKUP($A338,Summary!$AD$6:$AF$9,3)+'Escalating commodity'!D351),'Escalating commodity'!D351))</f>
        <v/>
      </c>
      <c r="AI338" s="88" t="str">
        <f t="shared" si="229"/>
        <v/>
      </c>
      <c r="AJ338" s="236" t="e">
        <f t="shared" si="215"/>
        <v>#VALUE!</v>
      </c>
      <c r="AK338" s="58" t="str">
        <f t="shared" si="216"/>
        <v/>
      </c>
      <c r="AL338" s="26" t="str">
        <f>IF($A339="","",_xll.SPRDOPT(P338,X338,AI338,0,AB338,AE338,AF338,AK338,$AJ$2,0))</f>
        <v/>
      </c>
      <c r="AM338" s="89" t="str">
        <f t="shared" si="217"/>
        <v/>
      </c>
      <c r="AN338" s="89" t="str">
        <f t="shared" si="218"/>
        <v/>
      </c>
      <c r="AO338" s="3" t="str">
        <f t="shared" si="219"/>
        <v/>
      </c>
      <c r="AP338" s="33" t="str">
        <f t="shared" si="220"/>
        <v/>
      </c>
      <c r="AQ338" s="58" t="str">
        <f t="shared" si="221"/>
        <v/>
      </c>
      <c r="AR338" s="38">
        <f>'ANR OK vs ML7'!AR338</f>
        <v>0.1</v>
      </c>
      <c r="AS338" s="35" t="str">
        <f t="shared" si="222"/>
        <v/>
      </c>
      <c r="AT338" s="3" t="str">
        <f t="shared" si="223"/>
        <v/>
      </c>
      <c r="AU338" s="3" t="str">
        <f t="shared" si="224"/>
        <v/>
      </c>
      <c r="AW338" s="32" t="str">
        <f t="shared" si="225"/>
        <v/>
      </c>
      <c r="AX338" s="32" t="str">
        <f t="shared" si="226"/>
        <v/>
      </c>
      <c r="AY338" s="32" t="str">
        <f t="shared" si="227"/>
        <v/>
      </c>
      <c r="BA338" s="32" t="str">
        <f>IF($A339="","",F338*Summary!$Q$8)</f>
        <v/>
      </c>
    </row>
    <row r="339" spans="1:53" ht="12" customHeight="1">
      <c r="A339" s="67" t="str">
        <f t="shared" si="228"/>
        <v/>
      </c>
      <c r="B339" s="69">
        <f t="shared" si="230"/>
        <v>0</v>
      </c>
      <c r="C339" s="71"/>
      <c r="D339" s="69" t="str">
        <f t="shared" si="193"/>
        <v/>
      </c>
      <c r="E339" s="70" t="str">
        <f t="shared" si="194"/>
        <v/>
      </c>
      <c r="F339" s="70" t="str">
        <f t="shared" si="195"/>
        <v/>
      </c>
      <c r="G339" s="63" t="str">
        <f t="shared" si="196"/>
        <v/>
      </c>
      <c r="H339" s="64" t="str">
        <f t="shared" si="197"/>
        <v/>
      </c>
      <c r="I339" s="43"/>
      <c r="J339" s="63" t="str">
        <f t="shared" si="198"/>
        <v/>
      </c>
      <c r="K339" s="64" t="str">
        <f t="shared" si="199"/>
        <v/>
      </c>
      <c r="L339" s="63" t="str">
        <f t="shared" si="200"/>
        <v/>
      </c>
      <c r="M339" s="64" t="str">
        <f t="shared" si="201"/>
        <v/>
      </c>
      <c r="N339" s="65"/>
      <c r="O339" s="63" t="str">
        <f t="shared" si="202"/>
        <v/>
      </c>
      <c r="P339" s="63" t="str">
        <f t="shared" si="203"/>
        <v/>
      </c>
      <c r="Q339" s="66"/>
      <c r="R339" s="63" t="str">
        <f t="shared" si="204"/>
        <v/>
      </c>
      <c r="S339" s="64" t="str">
        <f t="shared" si="205"/>
        <v/>
      </c>
      <c r="T339" s="63" t="str">
        <f t="shared" si="206"/>
        <v/>
      </c>
      <c r="U339" s="64" t="str">
        <f t="shared" si="207"/>
        <v/>
      </c>
      <c r="V339" s="207" t="str">
        <f>IF($A340="","",IF(AND(MONTH(A339)&gt;3,MONTH(A339)&lt;11),(T339+R339+G339)*Summary!$T$8/(1-Summary!$T$8),(T339+R339+G339)*Summary!$U$8/(1-Summary!$U$8)))</f>
        <v/>
      </c>
      <c r="W339" s="63" t="str">
        <f t="shared" si="208"/>
        <v/>
      </c>
      <c r="X339" s="63" t="str">
        <f t="shared" si="209"/>
        <v/>
      </c>
      <c r="Y339" s="43"/>
      <c r="Z339" s="38" t="str">
        <f t="shared" si="210"/>
        <v/>
      </c>
      <c r="AA339" s="38" t="str">
        <f t="shared" si="211"/>
        <v/>
      </c>
      <c r="AB339" s="38" t="e">
        <f t="shared" si="212"/>
        <v>#VALUE!</v>
      </c>
      <c r="AC339" s="38" t="str">
        <f t="shared" si="213"/>
        <v/>
      </c>
      <c r="AD339" s="38" t="str">
        <f t="shared" si="213"/>
        <v/>
      </c>
      <c r="AE339" s="38" t="e">
        <f t="shared" si="214"/>
        <v>#VALUE!</v>
      </c>
      <c r="AF339" s="237" t="e">
        <f>((Summary!$N$8*(AA339*AD339)*(A339-$D$3))+(Summary!$M$8*Z339*AC339*(AJ339-EOMONTH(EDATE(A339,-1),0))))/(AK339*AB339*AE339)</f>
        <v>#VALUE!</v>
      </c>
      <c r="AG339" s="88" t="str">
        <f>IF($A340="","",Summary!$Q$8)</f>
        <v/>
      </c>
      <c r="AH339" s="88" t="str">
        <f>IF($A340="","",IF(Summary!$R$8="Y",(VLOOKUP($A339,Summary!$AD$6:$AF$9,3)+'Escalating commodity'!D352),'Escalating commodity'!D352))</f>
        <v/>
      </c>
      <c r="AI339" s="88" t="str">
        <f t="shared" si="229"/>
        <v/>
      </c>
      <c r="AJ339" s="236" t="e">
        <f t="shared" si="215"/>
        <v>#VALUE!</v>
      </c>
      <c r="AK339" s="58" t="str">
        <f t="shared" si="216"/>
        <v/>
      </c>
      <c r="AL339" s="26" t="str">
        <f>IF($A340="","",_xll.SPRDOPT(P339,X339,AI339,0,AB339,AE339,AF339,AK339,$AJ$2,0))</f>
        <v/>
      </c>
      <c r="AM339" s="89" t="str">
        <f t="shared" si="217"/>
        <v/>
      </c>
      <c r="AN339" s="89" t="str">
        <f t="shared" si="218"/>
        <v/>
      </c>
      <c r="AO339" s="3" t="str">
        <f t="shared" si="219"/>
        <v/>
      </c>
      <c r="AP339" s="33" t="str">
        <f t="shared" si="220"/>
        <v/>
      </c>
      <c r="AQ339" s="58" t="str">
        <f t="shared" si="221"/>
        <v/>
      </c>
      <c r="AR339" s="38">
        <f>'ANR OK vs ML7'!AR339</f>
        <v>0.1</v>
      </c>
      <c r="AS339" s="35" t="str">
        <f t="shared" si="222"/>
        <v/>
      </c>
      <c r="AT339" s="3" t="str">
        <f t="shared" si="223"/>
        <v/>
      </c>
      <c r="AU339" s="3" t="str">
        <f t="shared" si="224"/>
        <v/>
      </c>
      <c r="AW339" s="32" t="str">
        <f t="shared" si="225"/>
        <v/>
      </c>
      <c r="AX339" s="32" t="str">
        <f t="shared" si="226"/>
        <v/>
      </c>
      <c r="AY339" s="32" t="str">
        <f t="shared" si="227"/>
        <v/>
      </c>
      <c r="BA339" s="32" t="str">
        <f>IF($A340="","",F339*Summary!$Q$8)</f>
        <v/>
      </c>
    </row>
    <row r="340" spans="1:53" ht="12" customHeight="1">
      <c r="A340" s="67" t="str">
        <f t="shared" si="228"/>
        <v/>
      </c>
      <c r="B340" s="69">
        <f t="shared" si="230"/>
        <v>0</v>
      </c>
      <c r="C340" s="71"/>
      <c r="D340" s="69" t="str">
        <f t="shared" si="193"/>
        <v/>
      </c>
      <c r="E340" s="70" t="str">
        <f t="shared" si="194"/>
        <v/>
      </c>
      <c r="F340" s="70" t="str">
        <f t="shared" si="195"/>
        <v/>
      </c>
      <c r="G340" s="63" t="str">
        <f t="shared" si="196"/>
        <v/>
      </c>
      <c r="H340" s="64" t="str">
        <f t="shared" si="197"/>
        <v/>
      </c>
      <c r="I340" s="43"/>
      <c r="J340" s="63" t="str">
        <f t="shared" si="198"/>
        <v/>
      </c>
      <c r="K340" s="64" t="str">
        <f t="shared" si="199"/>
        <v/>
      </c>
      <c r="L340" s="63" t="str">
        <f t="shared" si="200"/>
        <v/>
      </c>
      <c r="M340" s="64" t="str">
        <f t="shared" si="201"/>
        <v/>
      </c>
      <c r="N340" s="65"/>
      <c r="O340" s="63" t="str">
        <f t="shared" si="202"/>
        <v/>
      </c>
      <c r="P340" s="63" t="str">
        <f t="shared" si="203"/>
        <v/>
      </c>
      <c r="Q340" s="66"/>
      <c r="R340" s="63" t="str">
        <f t="shared" si="204"/>
        <v/>
      </c>
      <c r="S340" s="64" t="str">
        <f t="shared" si="205"/>
        <v/>
      </c>
      <c r="T340" s="63" t="str">
        <f t="shared" si="206"/>
        <v/>
      </c>
      <c r="U340" s="64" t="str">
        <f t="shared" si="207"/>
        <v/>
      </c>
      <c r="V340" s="207" t="str">
        <f>IF($A341="","",IF(AND(MONTH(A340)&gt;3,MONTH(A340)&lt;11),(T340+R340+G340)*Summary!$T$8/(1-Summary!$T$8),(T340+R340+G340)*Summary!$U$8/(1-Summary!$U$8)))</f>
        <v/>
      </c>
      <c r="W340" s="63" t="str">
        <f t="shared" si="208"/>
        <v/>
      </c>
      <c r="X340" s="63" t="str">
        <f t="shared" si="209"/>
        <v/>
      </c>
      <c r="Y340" s="43"/>
      <c r="Z340" s="38" t="str">
        <f t="shared" si="210"/>
        <v/>
      </c>
      <c r="AA340" s="38" t="str">
        <f t="shared" si="211"/>
        <v/>
      </c>
      <c r="AB340" s="38" t="e">
        <f t="shared" si="212"/>
        <v>#VALUE!</v>
      </c>
      <c r="AC340" s="38" t="str">
        <f t="shared" si="213"/>
        <v/>
      </c>
      <c r="AD340" s="38" t="str">
        <f t="shared" si="213"/>
        <v/>
      </c>
      <c r="AE340" s="38" t="e">
        <f t="shared" si="214"/>
        <v>#VALUE!</v>
      </c>
      <c r="AF340" s="237" t="e">
        <f>((Summary!$N$8*(AA340*AD340)*(A340-$D$3))+(Summary!$M$8*Z340*AC340*(AJ340-EOMONTH(EDATE(A340,-1),0))))/(AK340*AB340*AE340)</f>
        <v>#VALUE!</v>
      </c>
      <c r="AG340" s="88" t="str">
        <f>IF($A341="","",Summary!$Q$8)</f>
        <v/>
      </c>
      <c r="AH340" s="88" t="str">
        <f>IF($A341="","",IF(Summary!$R$8="Y",(VLOOKUP($A340,Summary!$AD$6:$AF$9,3)+'Escalating commodity'!D353),'Escalating commodity'!D353))</f>
        <v/>
      </c>
      <c r="AI340" s="88" t="str">
        <f t="shared" si="229"/>
        <v/>
      </c>
      <c r="AJ340" s="236" t="e">
        <f t="shared" si="215"/>
        <v>#VALUE!</v>
      </c>
      <c r="AK340" s="58" t="str">
        <f t="shared" si="216"/>
        <v/>
      </c>
      <c r="AL340" s="26" t="str">
        <f>IF($A341="","",_xll.SPRDOPT(P340,X340,AI340,0,AB340,AE340,AF340,AK340,$AJ$2,0))</f>
        <v/>
      </c>
      <c r="AM340" s="89" t="str">
        <f t="shared" si="217"/>
        <v/>
      </c>
      <c r="AN340" s="89" t="str">
        <f t="shared" si="218"/>
        <v/>
      </c>
      <c r="AO340" s="3" t="str">
        <f t="shared" si="219"/>
        <v/>
      </c>
      <c r="AP340" s="33" t="str">
        <f t="shared" si="220"/>
        <v/>
      </c>
      <c r="AQ340" s="58" t="str">
        <f t="shared" si="221"/>
        <v/>
      </c>
      <c r="AR340" s="38">
        <f>'ANR OK vs ML7'!AR340</f>
        <v>0.1</v>
      </c>
      <c r="AS340" s="35" t="str">
        <f t="shared" si="222"/>
        <v/>
      </c>
      <c r="AT340" s="3" t="str">
        <f t="shared" si="223"/>
        <v/>
      </c>
      <c r="AU340" s="3" t="str">
        <f t="shared" si="224"/>
        <v/>
      </c>
      <c r="AW340" s="32" t="str">
        <f t="shared" si="225"/>
        <v/>
      </c>
      <c r="AX340" s="32" t="str">
        <f t="shared" si="226"/>
        <v/>
      </c>
      <c r="AY340" s="32" t="str">
        <f t="shared" si="227"/>
        <v/>
      </c>
      <c r="BA340" s="32" t="str">
        <f>IF($A341="","",F340*Summary!$Q$8)</f>
        <v/>
      </c>
    </row>
    <row r="341" spans="1:53" ht="12" customHeight="1">
      <c r="A341" s="67" t="str">
        <f t="shared" si="228"/>
        <v/>
      </c>
      <c r="B341" s="69">
        <f t="shared" si="230"/>
        <v>0</v>
      </c>
      <c r="C341" s="71"/>
      <c r="D341" s="69" t="str">
        <f t="shared" si="193"/>
        <v/>
      </c>
      <c r="E341" s="70" t="str">
        <f t="shared" si="194"/>
        <v/>
      </c>
      <c r="F341" s="70" t="str">
        <f t="shared" si="195"/>
        <v/>
      </c>
      <c r="G341" s="63" t="str">
        <f t="shared" si="196"/>
        <v/>
      </c>
      <c r="H341" s="64" t="str">
        <f t="shared" si="197"/>
        <v/>
      </c>
      <c r="I341" s="43"/>
      <c r="J341" s="63" t="str">
        <f t="shared" si="198"/>
        <v/>
      </c>
      <c r="K341" s="64" t="str">
        <f t="shared" si="199"/>
        <v/>
      </c>
      <c r="L341" s="63" t="str">
        <f t="shared" si="200"/>
        <v/>
      </c>
      <c r="M341" s="64" t="str">
        <f t="shared" si="201"/>
        <v/>
      </c>
      <c r="N341" s="65"/>
      <c r="O341" s="63" t="str">
        <f t="shared" si="202"/>
        <v/>
      </c>
      <c r="P341" s="63" t="str">
        <f t="shared" si="203"/>
        <v/>
      </c>
      <c r="Q341" s="66"/>
      <c r="R341" s="63" t="str">
        <f t="shared" si="204"/>
        <v/>
      </c>
      <c r="S341" s="64" t="str">
        <f t="shared" si="205"/>
        <v/>
      </c>
      <c r="T341" s="63" t="str">
        <f t="shared" si="206"/>
        <v/>
      </c>
      <c r="U341" s="64" t="str">
        <f t="shared" si="207"/>
        <v/>
      </c>
      <c r="V341" s="207" t="str">
        <f>IF($A342="","",IF(AND(MONTH(A341)&gt;3,MONTH(A341)&lt;11),(T341+R341+G341)*Summary!$T$8/(1-Summary!$T$8),(T341+R341+G341)*Summary!$U$8/(1-Summary!$U$8)))</f>
        <v/>
      </c>
      <c r="W341" s="63" t="str">
        <f t="shared" si="208"/>
        <v/>
      </c>
      <c r="X341" s="63" t="str">
        <f t="shared" si="209"/>
        <v/>
      </c>
      <c r="Y341" s="43"/>
      <c r="Z341" s="38" t="str">
        <f t="shared" si="210"/>
        <v/>
      </c>
      <c r="AA341" s="38" t="str">
        <f t="shared" si="211"/>
        <v/>
      </c>
      <c r="AB341" s="38" t="e">
        <f t="shared" si="212"/>
        <v>#VALUE!</v>
      </c>
      <c r="AC341" s="38" t="str">
        <f t="shared" si="213"/>
        <v/>
      </c>
      <c r="AD341" s="38" t="str">
        <f t="shared" si="213"/>
        <v/>
      </c>
      <c r="AE341" s="38" t="e">
        <f t="shared" si="214"/>
        <v>#VALUE!</v>
      </c>
      <c r="AF341" s="237" t="e">
        <f>((Summary!$N$8*(AA341*AD341)*(A341-$D$3))+(Summary!$M$8*Z341*AC341*(AJ341-EOMONTH(EDATE(A341,-1),0))))/(AK341*AB341*AE341)</f>
        <v>#VALUE!</v>
      </c>
      <c r="AG341" s="88" t="str">
        <f>IF($A342="","",Summary!$Q$8)</f>
        <v/>
      </c>
      <c r="AH341" s="88" t="str">
        <f>IF($A342="","",IF(Summary!$R$8="Y",(VLOOKUP($A341,Summary!$AD$6:$AF$9,3)+'Escalating commodity'!D354),'Escalating commodity'!D354))</f>
        <v/>
      </c>
      <c r="AI341" s="88" t="str">
        <f t="shared" si="229"/>
        <v/>
      </c>
      <c r="AJ341" s="236" t="e">
        <f t="shared" si="215"/>
        <v>#VALUE!</v>
      </c>
      <c r="AK341" s="58" t="str">
        <f t="shared" si="216"/>
        <v/>
      </c>
      <c r="AL341" s="26" t="str">
        <f>IF($A342="","",_xll.SPRDOPT(P341,X341,AI341,0,AB341,AE341,AF341,AK341,$AJ$2,0))</f>
        <v/>
      </c>
      <c r="AM341" s="89" t="str">
        <f t="shared" si="217"/>
        <v/>
      </c>
      <c r="AN341" s="89" t="str">
        <f t="shared" si="218"/>
        <v/>
      </c>
      <c r="AO341" s="3" t="str">
        <f t="shared" si="219"/>
        <v/>
      </c>
      <c r="AP341" s="33" t="str">
        <f t="shared" si="220"/>
        <v/>
      </c>
      <c r="AQ341" s="58" t="str">
        <f t="shared" si="221"/>
        <v/>
      </c>
      <c r="AR341" s="38">
        <f>'ANR OK vs ML7'!AR341</f>
        <v>0.1</v>
      </c>
      <c r="AS341" s="35" t="str">
        <f t="shared" si="222"/>
        <v/>
      </c>
      <c r="AT341" s="3" t="str">
        <f t="shared" si="223"/>
        <v/>
      </c>
      <c r="AU341" s="3" t="str">
        <f t="shared" si="224"/>
        <v/>
      </c>
      <c r="AW341" s="32" t="str">
        <f t="shared" si="225"/>
        <v/>
      </c>
      <c r="AX341" s="32" t="str">
        <f t="shared" si="226"/>
        <v/>
      </c>
      <c r="AY341" s="32" t="str">
        <f t="shared" si="227"/>
        <v/>
      </c>
      <c r="BA341" s="32" t="str">
        <f>IF($A342="","",F341*Summary!$Q$8)</f>
        <v/>
      </c>
    </row>
    <row r="342" spans="1:53" ht="12" customHeight="1">
      <c r="A342" s="67" t="str">
        <f t="shared" si="228"/>
        <v/>
      </c>
      <c r="B342" s="69">
        <f t="shared" si="230"/>
        <v>0</v>
      </c>
      <c r="C342" s="71"/>
      <c r="D342" s="69" t="str">
        <f t="shared" si="193"/>
        <v/>
      </c>
      <c r="E342" s="70" t="str">
        <f t="shared" si="194"/>
        <v/>
      </c>
      <c r="F342" s="70" t="str">
        <f t="shared" si="195"/>
        <v/>
      </c>
      <c r="G342" s="63" t="str">
        <f t="shared" si="196"/>
        <v/>
      </c>
      <c r="H342" s="64" t="str">
        <f t="shared" si="197"/>
        <v/>
      </c>
      <c r="I342" s="43"/>
      <c r="J342" s="63" t="str">
        <f t="shared" si="198"/>
        <v/>
      </c>
      <c r="K342" s="64" t="str">
        <f t="shared" si="199"/>
        <v/>
      </c>
      <c r="L342" s="63" t="str">
        <f t="shared" si="200"/>
        <v/>
      </c>
      <c r="M342" s="64" t="str">
        <f t="shared" si="201"/>
        <v/>
      </c>
      <c r="N342" s="65"/>
      <c r="O342" s="63" t="str">
        <f t="shared" si="202"/>
        <v/>
      </c>
      <c r="P342" s="63" t="str">
        <f t="shared" si="203"/>
        <v/>
      </c>
      <c r="Q342" s="66"/>
      <c r="R342" s="63" t="str">
        <f t="shared" si="204"/>
        <v/>
      </c>
      <c r="S342" s="64" t="str">
        <f t="shared" si="205"/>
        <v/>
      </c>
      <c r="T342" s="63" t="str">
        <f t="shared" si="206"/>
        <v/>
      </c>
      <c r="U342" s="64" t="str">
        <f t="shared" si="207"/>
        <v/>
      </c>
      <c r="V342" s="207" t="str">
        <f>IF($A343="","",IF(AND(MONTH(A342)&gt;3,MONTH(A342)&lt;11),(T342+R342+G342)*Summary!$T$8/(1-Summary!$T$8),(T342+R342+G342)*Summary!$U$8/(1-Summary!$U$8)))</f>
        <v/>
      </c>
      <c r="W342" s="63" t="str">
        <f t="shared" si="208"/>
        <v/>
      </c>
      <c r="X342" s="63" t="str">
        <f t="shared" si="209"/>
        <v/>
      </c>
      <c r="Y342" s="43"/>
      <c r="Z342" s="38" t="str">
        <f t="shared" si="210"/>
        <v/>
      </c>
      <c r="AA342" s="38" t="str">
        <f t="shared" si="211"/>
        <v/>
      </c>
      <c r="AB342" s="38" t="e">
        <f t="shared" si="212"/>
        <v>#VALUE!</v>
      </c>
      <c r="AC342" s="38" t="str">
        <f t="shared" si="213"/>
        <v/>
      </c>
      <c r="AD342" s="38" t="str">
        <f t="shared" si="213"/>
        <v/>
      </c>
      <c r="AE342" s="38" t="e">
        <f t="shared" si="214"/>
        <v>#VALUE!</v>
      </c>
      <c r="AF342" s="237" t="e">
        <f>((Summary!$N$8*(AA342*AD342)*(A342-$D$3))+(Summary!$M$8*Z342*AC342*(AJ342-EOMONTH(EDATE(A342,-1),0))))/(AK342*AB342*AE342)</f>
        <v>#VALUE!</v>
      </c>
      <c r="AG342" s="88" t="str">
        <f>IF($A343="","",Summary!$Q$8)</f>
        <v/>
      </c>
      <c r="AH342" s="88" t="str">
        <f>IF($A343="","",IF(Summary!$R$8="Y",(VLOOKUP($A342,Summary!$AD$6:$AF$9,3)+'Escalating commodity'!D355),'Escalating commodity'!D355))</f>
        <v/>
      </c>
      <c r="AI342" s="88" t="str">
        <f t="shared" si="229"/>
        <v/>
      </c>
      <c r="AJ342" s="236" t="e">
        <f t="shared" si="215"/>
        <v>#VALUE!</v>
      </c>
      <c r="AK342" s="58" t="str">
        <f t="shared" si="216"/>
        <v/>
      </c>
      <c r="AL342" s="26" t="str">
        <f>IF($A343="","",_xll.SPRDOPT(P342,X342,AI342,0,AB342,AE342,AF342,AK342,$AJ$2,0))</f>
        <v/>
      </c>
      <c r="AM342" s="89" t="str">
        <f t="shared" si="217"/>
        <v/>
      </c>
      <c r="AN342" s="89" t="str">
        <f t="shared" si="218"/>
        <v/>
      </c>
      <c r="AO342" s="3" t="str">
        <f t="shared" si="219"/>
        <v/>
      </c>
      <c r="AP342" s="33" t="str">
        <f t="shared" si="220"/>
        <v/>
      </c>
      <c r="AQ342" s="58" t="str">
        <f t="shared" si="221"/>
        <v/>
      </c>
      <c r="AR342" s="38">
        <f>'ANR OK vs ML7'!AR342</f>
        <v>0.1</v>
      </c>
      <c r="AS342" s="35" t="str">
        <f t="shared" si="222"/>
        <v/>
      </c>
      <c r="AT342" s="3" t="str">
        <f t="shared" si="223"/>
        <v/>
      </c>
      <c r="AU342" s="3" t="str">
        <f t="shared" si="224"/>
        <v/>
      </c>
      <c r="AW342" s="32" t="str">
        <f t="shared" si="225"/>
        <v/>
      </c>
      <c r="AX342" s="32" t="str">
        <f t="shared" si="226"/>
        <v/>
      </c>
      <c r="AY342" s="32" t="str">
        <f t="shared" si="227"/>
        <v/>
      </c>
      <c r="BA342" s="32" t="str">
        <f>IF($A343="","",F342*Summary!$Q$8)</f>
        <v/>
      </c>
    </row>
    <row r="343" spans="1:53" ht="12" customHeight="1">
      <c r="A343" s="67" t="str">
        <f t="shared" si="228"/>
        <v/>
      </c>
      <c r="B343" s="69">
        <f t="shared" si="230"/>
        <v>0</v>
      </c>
      <c r="C343" s="71"/>
      <c r="D343" s="69" t="str">
        <f t="shared" si="193"/>
        <v/>
      </c>
      <c r="E343" s="70" t="str">
        <f t="shared" si="194"/>
        <v/>
      </c>
      <c r="F343" s="70" t="str">
        <f t="shared" si="195"/>
        <v/>
      </c>
      <c r="G343" s="63" t="str">
        <f t="shared" si="196"/>
        <v/>
      </c>
      <c r="H343" s="64" t="str">
        <f t="shared" si="197"/>
        <v/>
      </c>
      <c r="I343" s="43"/>
      <c r="J343" s="63" t="str">
        <f t="shared" si="198"/>
        <v/>
      </c>
      <c r="K343" s="64" t="str">
        <f t="shared" si="199"/>
        <v/>
      </c>
      <c r="L343" s="63" t="str">
        <f t="shared" si="200"/>
        <v/>
      </c>
      <c r="M343" s="64" t="str">
        <f t="shared" si="201"/>
        <v/>
      </c>
      <c r="N343" s="65"/>
      <c r="O343" s="63" t="str">
        <f t="shared" si="202"/>
        <v/>
      </c>
      <c r="P343" s="63" t="str">
        <f t="shared" si="203"/>
        <v/>
      </c>
      <c r="Q343" s="66"/>
      <c r="R343" s="63" t="str">
        <f t="shared" si="204"/>
        <v/>
      </c>
      <c r="S343" s="64" t="str">
        <f t="shared" si="205"/>
        <v/>
      </c>
      <c r="T343" s="63" t="str">
        <f t="shared" si="206"/>
        <v/>
      </c>
      <c r="U343" s="64" t="str">
        <f t="shared" si="207"/>
        <v/>
      </c>
      <c r="V343" s="207" t="str">
        <f>IF($A344="","",IF(AND(MONTH(A343)&gt;3,MONTH(A343)&lt;11),(T343+R343+G343)*Summary!$T$8/(1-Summary!$T$8),(T343+R343+G343)*Summary!$U$8/(1-Summary!$U$8)))</f>
        <v/>
      </c>
      <c r="W343" s="63" t="str">
        <f t="shared" si="208"/>
        <v/>
      </c>
      <c r="X343" s="63" t="str">
        <f t="shared" si="209"/>
        <v/>
      </c>
      <c r="Y343" s="43"/>
      <c r="Z343" s="38" t="str">
        <f t="shared" si="210"/>
        <v/>
      </c>
      <c r="AA343" s="38" t="str">
        <f t="shared" si="211"/>
        <v/>
      </c>
      <c r="AB343" s="38" t="e">
        <f t="shared" si="212"/>
        <v>#VALUE!</v>
      </c>
      <c r="AC343" s="38" t="str">
        <f t="shared" si="213"/>
        <v/>
      </c>
      <c r="AD343" s="38" t="str">
        <f t="shared" si="213"/>
        <v/>
      </c>
      <c r="AE343" s="38" t="e">
        <f t="shared" si="214"/>
        <v>#VALUE!</v>
      </c>
      <c r="AF343" s="237" t="e">
        <f>((Summary!$N$8*(AA343*AD343)*(A343-$D$3))+(Summary!$M$8*Z343*AC343*(AJ343-EOMONTH(EDATE(A343,-1),0))))/(AK343*AB343*AE343)</f>
        <v>#VALUE!</v>
      </c>
      <c r="AG343" s="88" t="str">
        <f>IF($A344="","",Summary!$Q$8)</f>
        <v/>
      </c>
      <c r="AH343" s="88" t="str">
        <f>IF($A344="","",IF(Summary!$R$8="Y",(VLOOKUP($A343,Summary!$AD$6:$AF$9,3)+'Escalating commodity'!D356),'Escalating commodity'!D356))</f>
        <v/>
      </c>
      <c r="AI343" s="88" t="str">
        <f t="shared" si="229"/>
        <v/>
      </c>
      <c r="AJ343" s="236" t="e">
        <f t="shared" si="215"/>
        <v>#VALUE!</v>
      </c>
      <c r="AK343" s="58" t="str">
        <f t="shared" si="216"/>
        <v/>
      </c>
      <c r="AL343" s="26" t="str">
        <f>IF($A344="","",_xll.SPRDOPT(P343,X343,AI343,0,AB343,AE343,AF343,AK343,$AJ$2,0))</f>
        <v/>
      </c>
      <c r="AM343" s="89" t="str">
        <f t="shared" si="217"/>
        <v/>
      </c>
      <c r="AN343" s="89" t="str">
        <f t="shared" si="218"/>
        <v/>
      </c>
      <c r="AO343" s="3" t="str">
        <f t="shared" si="219"/>
        <v/>
      </c>
      <c r="AP343" s="33" t="str">
        <f t="shared" si="220"/>
        <v/>
      </c>
      <c r="AQ343" s="58" t="str">
        <f t="shared" si="221"/>
        <v/>
      </c>
      <c r="AR343" s="38">
        <f>'ANR OK vs ML7'!AR343</f>
        <v>0.1</v>
      </c>
      <c r="AS343" s="35" t="str">
        <f t="shared" si="222"/>
        <v/>
      </c>
      <c r="AT343" s="3" t="str">
        <f t="shared" si="223"/>
        <v/>
      </c>
      <c r="AU343" s="3" t="str">
        <f t="shared" si="224"/>
        <v/>
      </c>
      <c r="AW343" s="32" t="str">
        <f t="shared" si="225"/>
        <v/>
      </c>
      <c r="AX343" s="32" t="str">
        <f t="shared" si="226"/>
        <v/>
      </c>
      <c r="AY343" s="32" t="str">
        <f t="shared" si="227"/>
        <v/>
      </c>
      <c r="BA343" s="32" t="str">
        <f>IF($A344="","",F343*Summary!$Q$8)</f>
        <v/>
      </c>
    </row>
    <row r="344" spans="1:53" ht="12" customHeight="1">
      <c r="A344" s="67" t="str">
        <f t="shared" si="228"/>
        <v/>
      </c>
      <c r="B344" s="69">
        <f t="shared" si="230"/>
        <v>0</v>
      </c>
      <c r="C344" s="71"/>
      <c r="D344" s="69" t="str">
        <f t="shared" si="193"/>
        <v/>
      </c>
      <c r="E344" s="70" t="str">
        <f t="shared" si="194"/>
        <v/>
      </c>
      <c r="F344" s="70" t="str">
        <f t="shared" si="195"/>
        <v/>
      </c>
      <c r="G344" s="63" t="str">
        <f t="shared" si="196"/>
        <v/>
      </c>
      <c r="H344" s="64" t="str">
        <f t="shared" si="197"/>
        <v/>
      </c>
      <c r="I344" s="43"/>
      <c r="J344" s="63" t="str">
        <f t="shared" si="198"/>
        <v/>
      </c>
      <c r="K344" s="64" t="str">
        <f t="shared" si="199"/>
        <v/>
      </c>
      <c r="L344" s="63" t="str">
        <f t="shared" si="200"/>
        <v/>
      </c>
      <c r="M344" s="64" t="str">
        <f t="shared" si="201"/>
        <v/>
      </c>
      <c r="N344" s="65"/>
      <c r="O344" s="63" t="str">
        <f t="shared" si="202"/>
        <v/>
      </c>
      <c r="P344" s="63" t="str">
        <f t="shared" si="203"/>
        <v/>
      </c>
      <c r="Q344" s="66"/>
      <c r="R344" s="63" t="str">
        <f t="shared" si="204"/>
        <v/>
      </c>
      <c r="S344" s="64" t="str">
        <f t="shared" si="205"/>
        <v/>
      </c>
      <c r="T344" s="63" t="str">
        <f t="shared" si="206"/>
        <v/>
      </c>
      <c r="U344" s="64" t="str">
        <f t="shared" si="207"/>
        <v/>
      </c>
      <c r="V344" s="207" t="str">
        <f>IF($A345="","",IF(AND(MONTH(A344)&gt;3,MONTH(A344)&lt;11),(T344+R344+G344)*Summary!$T$8/(1-Summary!$T$8),(T344+R344+G344)*Summary!$U$8/(1-Summary!$U$8)))</f>
        <v/>
      </c>
      <c r="W344" s="63" t="str">
        <f t="shared" si="208"/>
        <v/>
      </c>
      <c r="X344" s="63" t="str">
        <f t="shared" si="209"/>
        <v/>
      </c>
      <c r="Y344" s="43"/>
      <c r="Z344" s="38" t="str">
        <f t="shared" si="210"/>
        <v/>
      </c>
      <c r="AA344" s="38" t="str">
        <f t="shared" si="211"/>
        <v/>
      </c>
      <c r="AB344" s="38" t="e">
        <f t="shared" si="212"/>
        <v>#VALUE!</v>
      </c>
      <c r="AC344" s="38" t="str">
        <f t="shared" si="213"/>
        <v/>
      </c>
      <c r="AD344" s="38" t="str">
        <f t="shared" si="213"/>
        <v/>
      </c>
      <c r="AE344" s="38" t="e">
        <f t="shared" si="214"/>
        <v>#VALUE!</v>
      </c>
      <c r="AF344" s="237" t="e">
        <f>((Summary!$N$8*(AA344*AD344)*(A344-$D$3))+(Summary!$M$8*Z344*AC344*(AJ344-EOMONTH(EDATE(A344,-1),0))))/(AK344*AB344*AE344)</f>
        <v>#VALUE!</v>
      </c>
      <c r="AG344" s="88" t="str">
        <f>IF($A345="","",Summary!$Q$8)</f>
        <v/>
      </c>
      <c r="AH344" s="88" t="str">
        <f>IF($A345="","",IF(Summary!$R$8="Y",(VLOOKUP($A344,Summary!$AD$6:$AF$9,3)+'Escalating commodity'!D357),'Escalating commodity'!D357))</f>
        <v/>
      </c>
      <c r="AI344" s="88" t="str">
        <f t="shared" si="229"/>
        <v/>
      </c>
      <c r="AJ344" s="236" t="e">
        <f t="shared" si="215"/>
        <v>#VALUE!</v>
      </c>
      <c r="AK344" s="58" t="str">
        <f t="shared" si="216"/>
        <v/>
      </c>
      <c r="AL344" s="26" t="str">
        <f>IF($A345="","",_xll.SPRDOPT(P344,X344,AI344,0,AB344,AE344,AF344,AK344,$AJ$2,0))</f>
        <v/>
      </c>
      <c r="AM344" s="89" t="str">
        <f t="shared" si="217"/>
        <v/>
      </c>
      <c r="AN344" s="89" t="str">
        <f t="shared" si="218"/>
        <v/>
      </c>
      <c r="AO344" s="3" t="str">
        <f t="shared" si="219"/>
        <v/>
      </c>
      <c r="AP344" s="33" t="str">
        <f t="shared" si="220"/>
        <v/>
      </c>
      <c r="AQ344" s="58" t="str">
        <f t="shared" si="221"/>
        <v/>
      </c>
      <c r="AR344" s="38">
        <f>'ANR OK vs ML7'!AR344</f>
        <v>0.1</v>
      </c>
      <c r="AS344" s="35" t="str">
        <f t="shared" si="222"/>
        <v/>
      </c>
      <c r="AT344" s="3" t="str">
        <f t="shared" si="223"/>
        <v/>
      </c>
      <c r="AU344" s="3" t="str">
        <f t="shared" si="224"/>
        <v/>
      </c>
      <c r="AW344" s="32" t="str">
        <f t="shared" si="225"/>
        <v/>
      </c>
      <c r="AX344" s="32" t="str">
        <f t="shared" si="226"/>
        <v/>
      </c>
      <c r="AY344" s="32" t="str">
        <f t="shared" si="227"/>
        <v/>
      </c>
      <c r="BA344" s="32" t="str">
        <f>IF($A345="","",F344*Summary!$Q$8)</f>
        <v/>
      </c>
    </row>
    <row r="345" spans="1:53" ht="12" customHeight="1">
      <c r="A345" s="67" t="str">
        <f t="shared" si="228"/>
        <v/>
      </c>
      <c r="B345" s="69">
        <f t="shared" si="230"/>
        <v>0</v>
      </c>
      <c r="C345" s="71"/>
      <c r="D345" s="69" t="str">
        <f t="shared" si="193"/>
        <v/>
      </c>
      <c r="E345" s="70" t="str">
        <f t="shared" si="194"/>
        <v/>
      </c>
      <c r="F345" s="70" t="str">
        <f t="shared" si="195"/>
        <v/>
      </c>
      <c r="G345" s="63" t="str">
        <f t="shared" si="196"/>
        <v/>
      </c>
      <c r="H345" s="64" t="str">
        <f t="shared" si="197"/>
        <v/>
      </c>
      <c r="I345" s="43"/>
      <c r="J345" s="63" t="str">
        <f t="shared" si="198"/>
        <v/>
      </c>
      <c r="K345" s="64" t="str">
        <f t="shared" si="199"/>
        <v/>
      </c>
      <c r="L345" s="63" t="str">
        <f t="shared" si="200"/>
        <v/>
      </c>
      <c r="M345" s="64" t="str">
        <f t="shared" si="201"/>
        <v/>
      </c>
      <c r="N345" s="65"/>
      <c r="O345" s="63" t="str">
        <f t="shared" si="202"/>
        <v/>
      </c>
      <c r="P345" s="63" t="str">
        <f t="shared" si="203"/>
        <v/>
      </c>
      <c r="Q345" s="66"/>
      <c r="R345" s="63" t="str">
        <f t="shared" si="204"/>
        <v/>
      </c>
      <c r="S345" s="64" t="str">
        <f t="shared" si="205"/>
        <v/>
      </c>
      <c r="T345" s="63" t="str">
        <f t="shared" si="206"/>
        <v/>
      </c>
      <c r="U345" s="64" t="str">
        <f t="shared" si="207"/>
        <v/>
      </c>
      <c r="V345" s="207" t="str">
        <f>IF($A346="","",IF(AND(MONTH(A345)&gt;3,MONTH(A345)&lt;11),(T345+R345+G345)*Summary!$T$8/(1-Summary!$T$8),(T345+R345+G345)*Summary!$U$8/(1-Summary!$U$8)))</f>
        <v/>
      </c>
      <c r="W345" s="63" t="str">
        <f t="shared" si="208"/>
        <v/>
      </c>
      <c r="X345" s="63" t="str">
        <f t="shared" si="209"/>
        <v/>
      </c>
      <c r="Y345" s="43"/>
      <c r="Z345" s="38" t="str">
        <f t="shared" si="210"/>
        <v/>
      </c>
      <c r="AA345" s="38" t="str">
        <f t="shared" si="211"/>
        <v/>
      </c>
      <c r="AB345" s="38" t="e">
        <f t="shared" si="212"/>
        <v>#VALUE!</v>
      </c>
      <c r="AC345" s="38" t="str">
        <f t="shared" si="213"/>
        <v/>
      </c>
      <c r="AD345" s="38" t="str">
        <f t="shared" si="213"/>
        <v/>
      </c>
      <c r="AE345" s="38" t="e">
        <f t="shared" si="214"/>
        <v>#VALUE!</v>
      </c>
      <c r="AF345" s="237" t="e">
        <f>((Summary!$N$8*(AA345*AD345)*(A345-$D$3))+(Summary!$M$8*Z345*AC345*(AJ345-EOMONTH(EDATE(A345,-1),0))))/(AK345*AB345*AE345)</f>
        <v>#VALUE!</v>
      </c>
      <c r="AG345" s="88" t="str">
        <f>IF($A346="","",Summary!$Q$8)</f>
        <v/>
      </c>
      <c r="AH345" s="88" t="str">
        <f>IF($A346="","",IF(Summary!$R$8="Y",(VLOOKUP($A345,Summary!$AD$6:$AF$9,3)+'Escalating commodity'!D358),'Escalating commodity'!D358))</f>
        <v/>
      </c>
      <c r="AI345" s="88" t="str">
        <f t="shared" si="229"/>
        <v/>
      </c>
      <c r="AJ345" s="236" t="e">
        <f t="shared" si="215"/>
        <v>#VALUE!</v>
      </c>
      <c r="AK345" s="58" t="str">
        <f t="shared" si="216"/>
        <v/>
      </c>
      <c r="AL345" s="26" t="str">
        <f>IF($A346="","",_xll.SPRDOPT(P345,X345,AI345,0,AB345,AE345,AF345,AK345,$AJ$2,0))</f>
        <v/>
      </c>
      <c r="AM345" s="89" t="str">
        <f t="shared" si="217"/>
        <v/>
      </c>
      <c r="AN345" s="89" t="str">
        <f t="shared" si="218"/>
        <v/>
      </c>
      <c r="AO345" s="3" t="str">
        <f t="shared" si="219"/>
        <v/>
      </c>
      <c r="AP345" s="33" t="str">
        <f t="shared" si="220"/>
        <v/>
      </c>
      <c r="AQ345" s="58" t="str">
        <f t="shared" si="221"/>
        <v/>
      </c>
      <c r="AR345" s="38">
        <f>'ANR OK vs ML7'!AR345</f>
        <v>0.1</v>
      </c>
      <c r="AS345" s="35" t="str">
        <f t="shared" si="222"/>
        <v/>
      </c>
      <c r="AT345" s="3" t="str">
        <f t="shared" si="223"/>
        <v/>
      </c>
      <c r="AU345" s="3" t="str">
        <f t="shared" si="224"/>
        <v/>
      </c>
      <c r="AW345" s="32" t="str">
        <f t="shared" si="225"/>
        <v/>
      </c>
      <c r="AX345" s="32" t="str">
        <f t="shared" si="226"/>
        <v/>
      </c>
      <c r="AY345" s="32" t="str">
        <f t="shared" si="227"/>
        <v/>
      </c>
      <c r="BA345" s="32" t="str">
        <f>IF($A346="","",F345*Summary!$Q$8)</f>
        <v/>
      </c>
    </row>
    <row r="346" spans="1:53" ht="12" customHeight="1">
      <c r="A346" s="67" t="str">
        <f t="shared" si="228"/>
        <v/>
      </c>
      <c r="B346" s="69">
        <f t="shared" si="230"/>
        <v>0</v>
      </c>
      <c r="C346" s="71"/>
      <c r="D346" s="69" t="str">
        <f t="shared" si="193"/>
        <v/>
      </c>
      <c r="E346" s="70" t="str">
        <f t="shared" si="194"/>
        <v/>
      </c>
      <c r="F346" s="70" t="str">
        <f t="shared" si="195"/>
        <v/>
      </c>
      <c r="G346" s="63" t="str">
        <f t="shared" si="196"/>
        <v/>
      </c>
      <c r="H346" s="64" t="str">
        <f t="shared" si="197"/>
        <v/>
      </c>
      <c r="I346" s="43"/>
      <c r="J346" s="63" t="str">
        <f t="shared" si="198"/>
        <v/>
      </c>
      <c r="K346" s="64" t="str">
        <f t="shared" si="199"/>
        <v/>
      </c>
      <c r="L346" s="63" t="str">
        <f t="shared" si="200"/>
        <v/>
      </c>
      <c r="M346" s="64" t="str">
        <f t="shared" si="201"/>
        <v/>
      </c>
      <c r="N346" s="65"/>
      <c r="O346" s="63" t="str">
        <f t="shared" si="202"/>
        <v/>
      </c>
      <c r="P346" s="63" t="str">
        <f t="shared" si="203"/>
        <v/>
      </c>
      <c r="Q346" s="66"/>
      <c r="R346" s="63" t="str">
        <f t="shared" si="204"/>
        <v/>
      </c>
      <c r="S346" s="64" t="str">
        <f t="shared" si="205"/>
        <v/>
      </c>
      <c r="T346" s="63" t="str">
        <f t="shared" si="206"/>
        <v/>
      </c>
      <c r="U346" s="64" t="str">
        <f t="shared" si="207"/>
        <v/>
      </c>
      <c r="V346" s="207" t="str">
        <f>IF($A347="","",IF(AND(MONTH(A346)&gt;3,MONTH(A346)&lt;11),(T346+R346+G346)*Summary!$T$8/(1-Summary!$T$8),(T346+R346+G346)*Summary!$U$8/(1-Summary!$U$8)))</f>
        <v/>
      </c>
      <c r="W346" s="63" t="str">
        <f t="shared" si="208"/>
        <v/>
      </c>
      <c r="X346" s="63" t="str">
        <f t="shared" si="209"/>
        <v/>
      </c>
      <c r="Y346" s="43"/>
      <c r="Z346" s="38" t="str">
        <f t="shared" si="210"/>
        <v/>
      </c>
      <c r="AA346" s="38" t="str">
        <f t="shared" si="211"/>
        <v/>
      </c>
      <c r="AB346" s="38" t="e">
        <f t="shared" si="212"/>
        <v>#VALUE!</v>
      </c>
      <c r="AC346" s="38" t="str">
        <f t="shared" si="213"/>
        <v/>
      </c>
      <c r="AD346" s="38" t="str">
        <f t="shared" si="213"/>
        <v/>
      </c>
      <c r="AE346" s="38" t="e">
        <f t="shared" si="214"/>
        <v>#VALUE!</v>
      </c>
      <c r="AF346" s="237" t="e">
        <f>((Summary!$N$8*(AA346*AD346)*(A346-$D$3))+(Summary!$M$8*Z346*AC346*(AJ346-EOMONTH(EDATE(A346,-1),0))))/(AK346*AB346*AE346)</f>
        <v>#VALUE!</v>
      </c>
      <c r="AG346" s="88" t="str">
        <f>IF($A347="","",Summary!$Q$8)</f>
        <v/>
      </c>
      <c r="AH346" s="88" t="str">
        <f>IF($A347="","",IF(Summary!$R$8="Y",(VLOOKUP($A346,Summary!$AD$6:$AF$9,3)+'Escalating commodity'!D359),'Escalating commodity'!D359))</f>
        <v/>
      </c>
      <c r="AI346" s="88" t="str">
        <f t="shared" si="229"/>
        <v/>
      </c>
      <c r="AJ346" s="236" t="e">
        <f t="shared" si="215"/>
        <v>#VALUE!</v>
      </c>
      <c r="AK346" s="58" t="str">
        <f t="shared" si="216"/>
        <v/>
      </c>
      <c r="AL346" s="26" t="str">
        <f>IF($A347="","",_xll.SPRDOPT(P346,X346,AI346,0,AB346,AE346,AF346,AK346,$AJ$2,0))</f>
        <v/>
      </c>
      <c r="AM346" s="89" t="str">
        <f t="shared" si="217"/>
        <v/>
      </c>
      <c r="AN346" s="89" t="str">
        <f t="shared" si="218"/>
        <v/>
      </c>
      <c r="AO346" s="3" t="str">
        <f t="shared" si="219"/>
        <v/>
      </c>
      <c r="AP346" s="33" t="str">
        <f t="shared" si="220"/>
        <v/>
      </c>
      <c r="AQ346" s="58" t="str">
        <f t="shared" si="221"/>
        <v/>
      </c>
      <c r="AR346" s="38">
        <f>'ANR OK vs ML7'!AR346</f>
        <v>0.1</v>
      </c>
      <c r="AS346" s="35" t="str">
        <f t="shared" si="222"/>
        <v/>
      </c>
      <c r="AT346" s="3" t="str">
        <f t="shared" si="223"/>
        <v/>
      </c>
      <c r="AU346" s="3" t="str">
        <f t="shared" si="224"/>
        <v/>
      </c>
      <c r="AW346" s="32" t="str">
        <f t="shared" si="225"/>
        <v/>
      </c>
      <c r="AX346" s="32" t="str">
        <f t="shared" si="226"/>
        <v/>
      </c>
      <c r="AY346" s="32" t="str">
        <f t="shared" si="227"/>
        <v/>
      </c>
      <c r="BA346" s="32" t="str">
        <f>IF($A347="","",F346*Summary!$Q$8)</f>
        <v/>
      </c>
    </row>
    <row r="347" spans="1:53" ht="12" customHeight="1">
      <c r="A347" s="67" t="str">
        <f t="shared" si="228"/>
        <v/>
      </c>
      <c r="B347" s="69">
        <f t="shared" si="230"/>
        <v>0</v>
      </c>
      <c r="C347" s="71"/>
      <c r="D347" s="69" t="str">
        <f t="shared" si="193"/>
        <v/>
      </c>
      <c r="E347" s="70" t="str">
        <f t="shared" si="194"/>
        <v/>
      </c>
      <c r="F347" s="70" t="str">
        <f t="shared" si="195"/>
        <v/>
      </c>
      <c r="G347" s="63" t="str">
        <f t="shared" si="196"/>
        <v/>
      </c>
      <c r="H347" s="64" t="str">
        <f t="shared" si="197"/>
        <v/>
      </c>
      <c r="I347" s="43"/>
      <c r="J347" s="63" t="str">
        <f t="shared" si="198"/>
        <v/>
      </c>
      <c r="K347" s="64" t="str">
        <f t="shared" si="199"/>
        <v/>
      </c>
      <c r="L347" s="63" t="str">
        <f t="shared" si="200"/>
        <v/>
      </c>
      <c r="M347" s="64" t="str">
        <f t="shared" si="201"/>
        <v/>
      </c>
      <c r="N347" s="65"/>
      <c r="O347" s="63" t="str">
        <f t="shared" si="202"/>
        <v/>
      </c>
      <c r="P347" s="63" t="str">
        <f t="shared" si="203"/>
        <v/>
      </c>
      <c r="Q347" s="66"/>
      <c r="R347" s="63" t="str">
        <f t="shared" si="204"/>
        <v/>
      </c>
      <c r="S347" s="64" t="str">
        <f t="shared" si="205"/>
        <v/>
      </c>
      <c r="T347" s="63" t="str">
        <f t="shared" si="206"/>
        <v/>
      </c>
      <c r="U347" s="64" t="str">
        <f t="shared" si="207"/>
        <v/>
      </c>
      <c r="V347" s="207" t="str">
        <f>IF($A348="","",IF(AND(MONTH(A347)&gt;3,MONTH(A347)&lt;11),(T347+R347+G347)*Summary!$T$8/(1-Summary!$T$8),(T347+R347+G347)*Summary!$U$8/(1-Summary!$U$8)))</f>
        <v/>
      </c>
      <c r="W347" s="63" t="str">
        <f t="shared" si="208"/>
        <v/>
      </c>
      <c r="X347" s="63" t="str">
        <f t="shared" si="209"/>
        <v/>
      </c>
      <c r="Y347" s="43"/>
      <c r="Z347" s="38" t="str">
        <f t="shared" si="210"/>
        <v/>
      </c>
      <c r="AA347" s="38" t="str">
        <f t="shared" si="211"/>
        <v/>
      </c>
      <c r="AB347" s="38" t="e">
        <f t="shared" si="212"/>
        <v>#VALUE!</v>
      </c>
      <c r="AC347" s="38" t="str">
        <f t="shared" si="213"/>
        <v/>
      </c>
      <c r="AD347" s="38" t="str">
        <f t="shared" si="213"/>
        <v/>
      </c>
      <c r="AE347" s="38" t="e">
        <f t="shared" si="214"/>
        <v>#VALUE!</v>
      </c>
      <c r="AF347" s="237" t="e">
        <f>((Summary!$N$8*(AA347*AD347)*(A347-$D$3))+(Summary!$M$8*Z347*AC347*(AJ347-EOMONTH(EDATE(A347,-1),0))))/(AK347*AB347*AE347)</f>
        <v>#VALUE!</v>
      </c>
      <c r="AG347" s="88" t="str">
        <f>IF($A348="","",Summary!$Q$8)</f>
        <v/>
      </c>
      <c r="AH347" s="88" t="str">
        <f>IF($A348="","",IF(Summary!$R$8="Y",(VLOOKUP($A347,Summary!$AD$6:$AF$9,3)+'Escalating commodity'!D360),'Escalating commodity'!D360))</f>
        <v/>
      </c>
      <c r="AI347" s="88" t="str">
        <f t="shared" si="229"/>
        <v/>
      </c>
      <c r="AJ347" s="236" t="e">
        <f t="shared" si="215"/>
        <v>#VALUE!</v>
      </c>
      <c r="AK347" s="58" t="str">
        <f t="shared" si="216"/>
        <v/>
      </c>
      <c r="AL347" s="26" t="str">
        <f>IF($A348="","",_xll.SPRDOPT(P347,X347,AI347,0,AB347,AE347,AF347,AK347,$AJ$2,0))</f>
        <v/>
      </c>
      <c r="AM347" s="89" t="str">
        <f t="shared" si="217"/>
        <v/>
      </c>
      <c r="AN347" s="89" t="str">
        <f t="shared" si="218"/>
        <v/>
      </c>
      <c r="AO347" s="3" t="str">
        <f t="shared" si="219"/>
        <v/>
      </c>
      <c r="AP347" s="33" t="str">
        <f t="shared" si="220"/>
        <v/>
      </c>
      <c r="AQ347" s="58" t="str">
        <f t="shared" si="221"/>
        <v/>
      </c>
      <c r="AR347" s="38">
        <f>'ANR OK vs ML7'!AR347</f>
        <v>0.1</v>
      </c>
      <c r="AS347" s="35" t="str">
        <f t="shared" si="222"/>
        <v/>
      </c>
      <c r="AT347" s="3" t="str">
        <f t="shared" si="223"/>
        <v/>
      </c>
      <c r="AU347" s="3" t="str">
        <f t="shared" si="224"/>
        <v/>
      </c>
      <c r="AW347" s="32" t="str">
        <f t="shared" si="225"/>
        <v/>
      </c>
      <c r="AX347" s="32" t="str">
        <f t="shared" si="226"/>
        <v/>
      </c>
      <c r="AY347" s="32" t="str">
        <f t="shared" si="227"/>
        <v/>
      </c>
      <c r="BA347" s="32" t="str">
        <f>IF($A348="","",F347*Summary!$Q$8)</f>
        <v/>
      </c>
    </row>
    <row r="348" spans="1:53" ht="12" customHeight="1">
      <c r="A348" s="67" t="str">
        <f t="shared" si="228"/>
        <v/>
      </c>
      <c r="B348" s="69">
        <f t="shared" si="230"/>
        <v>0</v>
      </c>
      <c r="C348" s="71"/>
      <c r="D348" s="69" t="str">
        <f t="shared" si="193"/>
        <v/>
      </c>
      <c r="E348" s="70" t="str">
        <f t="shared" si="194"/>
        <v/>
      </c>
      <c r="F348" s="70" t="str">
        <f t="shared" si="195"/>
        <v/>
      </c>
      <c r="G348" s="63" t="str">
        <f t="shared" si="196"/>
        <v/>
      </c>
      <c r="H348" s="64" t="str">
        <f t="shared" si="197"/>
        <v/>
      </c>
      <c r="I348" s="43"/>
      <c r="J348" s="63" t="str">
        <f t="shared" si="198"/>
        <v/>
      </c>
      <c r="K348" s="64" t="str">
        <f t="shared" si="199"/>
        <v/>
      </c>
      <c r="L348" s="63" t="str">
        <f t="shared" si="200"/>
        <v/>
      </c>
      <c r="M348" s="64" t="str">
        <f t="shared" si="201"/>
        <v/>
      </c>
      <c r="N348" s="65"/>
      <c r="O348" s="63" t="str">
        <f t="shared" si="202"/>
        <v/>
      </c>
      <c r="P348" s="63" t="str">
        <f t="shared" si="203"/>
        <v/>
      </c>
      <c r="Q348" s="66"/>
      <c r="R348" s="63" t="str">
        <f t="shared" si="204"/>
        <v/>
      </c>
      <c r="S348" s="64" t="str">
        <f t="shared" si="205"/>
        <v/>
      </c>
      <c r="T348" s="63" t="str">
        <f t="shared" si="206"/>
        <v/>
      </c>
      <c r="U348" s="64" t="str">
        <f t="shared" si="207"/>
        <v/>
      </c>
      <c r="V348" s="207" t="str">
        <f>IF($A349="","",IF(AND(MONTH(A348)&gt;3,MONTH(A348)&lt;11),(T348+R348+G348)*Summary!$T$8/(1-Summary!$T$8),(T348+R348+G348)*Summary!$U$8/(1-Summary!$U$8)))</f>
        <v/>
      </c>
      <c r="W348" s="63" t="str">
        <f t="shared" si="208"/>
        <v/>
      </c>
      <c r="X348" s="63" t="str">
        <f t="shared" si="209"/>
        <v/>
      </c>
      <c r="Y348" s="43"/>
      <c r="Z348" s="38" t="str">
        <f t="shared" si="210"/>
        <v/>
      </c>
      <c r="AA348" s="38" t="str">
        <f t="shared" si="211"/>
        <v/>
      </c>
      <c r="AB348" s="38" t="e">
        <f t="shared" si="212"/>
        <v>#VALUE!</v>
      </c>
      <c r="AC348" s="38" t="str">
        <f t="shared" si="213"/>
        <v/>
      </c>
      <c r="AD348" s="38" t="str">
        <f t="shared" si="213"/>
        <v/>
      </c>
      <c r="AE348" s="38" t="e">
        <f t="shared" si="214"/>
        <v>#VALUE!</v>
      </c>
      <c r="AF348" s="237" t="e">
        <f>((Summary!$N$8*(AA348*AD348)*(A348-$D$3))+(Summary!$M$8*Z348*AC348*(AJ348-EOMONTH(EDATE(A348,-1),0))))/(AK348*AB348*AE348)</f>
        <v>#VALUE!</v>
      </c>
      <c r="AG348" s="88" t="str">
        <f>IF($A349="","",Summary!$Q$8)</f>
        <v/>
      </c>
      <c r="AH348" s="88" t="str">
        <f>IF($A349="","",IF(Summary!$R$8="Y",(VLOOKUP($A348,Summary!$AD$6:$AF$9,3)+'Escalating commodity'!D361),'Escalating commodity'!D361))</f>
        <v/>
      </c>
      <c r="AI348" s="88" t="str">
        <f t="shared" si="229"/>
        <v/>
      </c>
      <c r="AJ348" s="236" t="e">
        <f t="shared" si="215"/>
        <v>#VALUE!</v>
      </c>
      <c r="AK348" s="58" t="str">
        <f t="shared" si="216"/>
        <v/>
      </c>
      <c r="AL348" s="26" t="str">
        <f>IF($A349="","",_xll.SPRDOPT(P348,X348,AI348,0,AB348,AE348,AF348,AK348,$AJ$2,0))</f>
        <v/>
      </c>
      <c r="AM348" s="89" t="str">
        <f t="shared" si="217"/>
        <v/>
      </c>
      <c r="AN348" s="89" t="str">
        <f t="shared" si="218"/>
        <v/>
      </c>
      <c r="AO348" s="3" t="str">
        <f t="shared" si="219"/>
        <v/>
      </c>
      <c r="AP348" s="33" t="str">
        <f t="shared" si="220"/>
        <v/>
      </c>
      <c r="AQ348" s="58" t="str">
        <f t="shared" si="221"/>
        <v/>
      </c>
      <c r="AR348" s="38">
        <f>'ANR OK vs ML7'!AR348</f>
        <v>0.1</v>
      </c>
      <c r="AS348" s="35" t="str">
        <f t="shared" si="222"/>
        <v/>
      </c>
      <c r="AT348" s="3" t="str">
        <f t="shared" si="223"/>
        <v/>
      </c>
      <c r="AU348" s="3" t="str">
        <f t="shared" si="224"/>
        <v/>
      </c>
      <c r="AW348" s="32" t="str">
        <f t="shared" si="225"/>
        <v/>
      </c>
      <c r="AX348" s="32" t="str">
        <f t="shared" si="226"/>
        <v/>
      </c>
      <c r="AY348" s="32" t="str">
        <f t="shared" si="227"/>
        <v/>
      </c>
      <c r="BA348" s="32" t="str">
        <f>IF($A349="","",F348*Summary!$Q$8)</f>
        <v/>
      </c>
    </row>
    <row r="349" spans="1:53" ht="12" customHeight="1">
      <c r="A349" s="67" t="str">
        <f t="shared" si="228"/>
        <v/>
      </c>
      <c r="B349" s="69">
        <f t="shared" si="230"/>
        <v>0</v>
      </c>
      <c r="C349" s="71"/>
      <c r="D349" s="69" t="str">
        <f t="shared" si="193"/>
        <v/>
      </c>
      <c r="E349" s="70" t="str">
        <f t="shared" si="194"/>
        <v/>
      </c>
      <c r="F349" s="70" t="str">
        <f t="shared" si="195"/>
        <v/>
      </c>
      <c r="G349" s="63" t="str">
        <f t="shared" si="196"/>
        <v/>
      </c>
      <c r="H349" s="64" t="str">
        <f t="shared" si="197"/>
        <v/>
      </c>
      <c r="I349" s="43"/>
      <c r="J349" s="63" t="str">
        <f t="shared" si="198"/>
        <v/>
      </c>
      <c r="K349" s="64" t="str">
        <f t="shared" si="199"/>
        <v/>
      </c>
      <c r="L349" s="63" t="str">
        <f t="shared" si="200"/>
        <v/>
      </c>
      <c r="M349" s="64" t="str">
        <f t="shared" si="201"/>
        <v/>
      </c>
      <c r="N349" s="65"/>
      <c r="O349" s="63" t="str">
        <f t="shared" si="202"/>
        <v/>
      </c>
      <c r="P349" s="63" t="str">
        <f t="shared" si="203"/>
        <v/>
      </c>
      <c r="Q349" s="66"/>
      <c r="R349" s="63" t="str">
        <f t="shared" si="204"/>
        <v/>
      </c>
      <c r="S349" s="64" t="str">
        <f t="shared" si="205"/>
        <v/>
      </c>
      <c r="T349" s="63" t="str">
        <f t="shared" si="206"/>
        <v/>
      </c>
      <c r="U349" s="64" t="str">
        <f t="shared" si="207"/>
        <v/>
      </c>
      <c r="V349" s="207" t="str">
        <f>IF($A350="","",IF(AND(MONTH(A349)&gt;3,MONTH(A349)&lt;11),(T349+R349+G349)*Summary!$T$8/(1-Summary!$T$8),(T349+R349+G349)*Summary!$U$8/(1-Summary!$U$8)))</f>
        <v/>
      </c>
      <c r="W349" s="63" t="str">
        <f t="shared" si="208"/>
        <v/>
      </c>
      <c r="X349" s="63" t="str">
        <f t="shared" si="209"/>
        <v/>
      </c>
      <c r="Y349" s="43"/>
      <c r="Z349" s="38" t="str">
        <f t="shared" si="210"/>
        <v/>
      </c>
      <c r="AA349" s="38" t="str">
        <f t="shared" si="211"/>
        <v/>
      </c>
      <c r="AB349" s="38" t="e">
        <f t="shared" si="212"/>
        <v>#VALUE!</v>
      </c>
      <c r="AC349" s="38" t="str">
        <f t="shared" si="213"/>
        <v/>
      </c>
      <c r="AD349" s="38" t="str">
        <f t="shared" si="213"/>
        <v/>
      </c>
      <c r="AE349" s="38" t="e">
        <f t="shared" si="214"/>
        <v>#VALUE!</v>
      </c>
      <c r="AF349" s="237" t="e">
        <f>((Summary!$N$8*(AA349*AD349)*(A349-$D$3))+(Summary!$M$8*Z349*AC349*(AJ349-EOMONTH(EDATE(A349,-1),0))))/(AK349*AB349*AE349)</f>
        <v>#VALUE!</v>
      </c>
      <c r="AG349" s="88" t="str">
        <f>IF($A350="","",Summary!$Q$8)</f>
        <v/>
      </c>
      <c r="AH349" s="88" t="str">
        <f>IF($A350="","",IF(Summary!$R$8="Y",(VLOOKUP($A349,Summary!$AD$6:$AF$9,3)+'Escalating commodity'!D362),'Escalating commodity'!D362))</f>
        <v/>
      </c>
      <c r="AI349" s="88" t="str">
        <f t="shared" si="229"/>
        <v/>
      </c>
      <c r="AJ349" s="236" t="e">
        <f t="shared" si="215"/>
        <v>#VALUE!</v>
      </c>
      <c r="AK349" s="58" t="str">
        <f t="shared" si="216"/>
        <v/>
      </c>
      <c r="AL349" s="26" t="str">
        <f>IF($A350="","",_xll.SPRDOPT(P349,X349,AI349,0,AB349,AE349,AF349,AK349,$AJ$2,0))</f>
        <v/>
      </c>
      <c r="AM349" s="89" t="str">
        <f t="shared" si="217"/>
        <v/>
      </c>
      <c r="AN349" s="89" t="str">
        <f t="shared" si="218"/>
        <v/>
      </c>
      <c r="AO349" s="3" t="str">
        <f t="shared" si="219"/>
        <v/>
      </c>
      <c r="AP349" s="33" t="str">
        <f t="shared" si="220"/>
        <v/>
      </c>
      <c r="AQ349" s="58" t="str">
        <f t="shared" si="221"/>
        <v/>
      </c>
      <c r="AR349" s="38">
        <f>'ANR OK vs ML7'!AR349</f>
        <v>0.1</v>
      </c>
      <c r="AS349" s="35" t="str">
        <f t="shared" si="222"/>
        <v/>
      </c>
      <c r="AT349" s="3" t="str">
        <f t="shared" si="223"/>
        <v/>
      </c>
      <c r="AU349" s="3" t="str">
        <f t="shared" si="224"/>
        <v/>
      </c>
      <c r="AW349" s="32" t="str">
        <f t="shared" si="225"/>
        <v/>
      </c>
      <c r="AX349" s="32" t="str">
        <f t="shared" si="226"/>
        <v/>
      </c>
      <c r="AY349" s="32" t="str">
        <f t="shared" si="227"/>
        <v/>
      </c>
      <c r="BA349" s="32" t="str">
        <f>IF($A350="","",F349*Summary!$Q$8)</f>
        <v/>
      </c>
    </row>
    <row r="350" spans="1:53" ht="12" customHeight="1">
      <c r="A350" s="67" t="str">
        <f t="shared" si="228"/>
        <v/>
      </c>
      <c r="B350" s="69">
        <f t="shared" si="230"/>
        <v>0</v>
      </c>
      <c r="C350" s="71"/>
      <c r="D350" s="69" t="str">
        <f t="shared" si="193"/>
        <v/>
      </c>
      <c r="E350" s="70" t="str">
        <f t="shared" si="194"/>
        <v/>
      </c>
      <c r="F350" s="70" t="str">
        <f t="shared" si="195"/>
        <v/>
      </c>
      <c r="G350" s="63" t="str">
        <f t="shared" si="196"/>
        <v/>
      </c>
      <c r="H350" s="64" t="str">
        <f t="shared" si="197"/>
        <v/>
      </c>
      <c r="I350" s="43"/>
      <c r="J350" s="63" t="str">
        <f t="shared" si="198"/>
        <v/>
      </c>
      <c r="K350" s="64" t="str">
        <f t="shared" si="199"/>
        <v/>
      </c>
      <c r="L350" s="63" t="str">
        <f t="shared" si="200"/>
        <v/>
      </c>
      <c r="M350" s="64" t="str">
        <f t="shared" si="201"/>
        <v/>
      </c>
      <c r="N350" s="65"/>
      <c r="O350" s="63" t="str">
        <f t="shared" si="202"/>
        <v/>
      </c>
      <c r="P350" s="63" t="str">
        <f t="shared" si="203"/>
        <v/>
      </c>
      <c r="Q350" s="66"/>
      <c r="R350" s="63" t="str">
        <f t="shared" si="204"/>
        <v/>
      </c>
      <c r="S350" s="64" t="str">
        <f t="shared" si="205"/>
        <v/>
      </c>
      <c r="T350" s="63" t="str">
        <f t="shared" si="206"/>
        <v/>
      </c>
      <c r="U350" s="64" t="str">
        <f t="shared" si="207"/>
        <v/>
      </c>
      <c r="V350" s="207" t="str">
        <f>IF($A351="","",IF(AND(MONTH(A350)&gt;3,MONTH(A350)&lt;11),(T350+R350+G350)*Summary!$T$8/(1-Summary!$T$8),(T350+R350+G350)*Summary!$U$8/(1-Summary!$U$8)))</f>
        <v/>
      </c>
      <c r="W350" s="63" t="str">
        <f t="shared" si="208"/>
        <v/>
      </c>
      <c r="X350" s="63" t="str">
        <f t="shared" si="209"/>
        <v/>
      </c>
      <c r="Y350" s="43"/>
      <c r="Z350" s="38" t="str">
        <f t="shared" si="210"/>
        <v/>
      </c>
      <c r="AA350" s="38" t="str">
        <f t="shared" si="211"/>
        <v/>
      </c>
      <c r="AB350" s="38" t="e">
        <f t="shared" si="212"/>
        <v>#VALUE!</v>
      </c>
      <c r="AC350" s="38" t="str">
        <f t="shared" si="213"/>
        <v/>
      </c>
      <c r="AD350" s="38" t="str">
        <f t="shared" si="213"/>
        <v/>
      </c>
      <c r="AE350" s="38" t="e">
        <f t="shared" si="214"/>
        <v>#VALUE!</v>
      </c>
      <c r="AF350" s="237" t="e">
        <f>((Summary!$N$8*(AA350*AD350)*(A350-$D$3))+(Summary!$M$8*Z350*AC350*(AJ350-EOMONTH(EDATE(A350,-1),0))))/(AK350*AB350*AE350)</f>
        <v>#VALUE!</v>
      </c>
      <c r="AG350" s="88" t="str">
        <f>IF($A351="","",Summary!$Q$8)</f>
        <v/>
      </c>
      <c r="AH350" s="88" t="str">
        <f>IF($A351="","",IF(Summary!$R$8="Y",(VLOOKUP($A350,Summary!$AD$6:$AF$9,3)+'Escalating commodity'!D363),'Escalating commodity'!D363))</f>
        <v/>
      </c>
      <c r="AI350" s="88" t="str">
        <f t="shared" si="229"/>
        <v/>
      </c>
      <c r="AJ350" s="236" t="e">
        <f t="shared" si="215"/>
        <v>#VALUE!</v>
      </c>
      <c r="AK350" s="58" t="str">
        <f t="shared" si="216"/>
        <v/>
      </c>
      <c r="AL350" s="26" t="str">
        <f>IF($A351="","",_xll.SPRDOPT(P350,X350,AI350,0,AB350,AE350,AF350,AK350,$AJ$2,0))</f>
        <v/>
      </c>
      <c r="AM350" s="89" t="str">
        <f t="shared" si="217"/>
        <v/>
      </c>
      <c r="AN350" s="89" t="str">
        <f t="shared" si="218"/>
        <v/>
      </c>
      <c r="AO350" s="3" t="str">
        <f t="shared" si="219"/>
        <v/>
      </c>
      <c r="AP350" s="33" t="str">
        <f t="shared" si="220"/>
        <v/>
      </c>
      <c r="AQ350" s="58" t="str">
        <f t="shared" si="221"/>
        <v/>
      </c>
      <c r="AR350" s="38">
        <f>'ANR OK vs ML7'!AR350</f>
        <v>0.1</v>
      </c>
      <c r="AS350" s="35" t="str">
        <f t="shared" si="222"/>
        <v/>
      </c>
      <c r="AT350" s="3" t="str">
        <f t="shared" si="223"/>
        <v/>
      </c>
      <c r="AU350" s="3" t="str">
        <f t="shared" si="224"/>
        <v/>
      </c>
      <c r="AW350" s="32" t="str">
        <f t="shared" si="225"/>
        <v/>
      </c>
      <c r="AX350" s="32" t="str">
        <f t="shared" si="226"/>
        <v/>
      </c>
      <c r="AY350" s="32" t="str">
        <f t="shared" si="227"/>
        <v/>
      </c>
      <c r="BA350" s="32" t="str">
        <f>IF($A351="","",F350*Summary!$Q$8)</f>
        <v/>
      </c>
    </row>
    <row r="351" spans="1:53" ht="12" customHeight="1">
      <c r="A351" s="67" t="str">
        <f t="shared" si="228"/>
        <v/>
      </c>
      <c r="B351" s="69">
        <f t="shared" si="230"/>
        <v>0</v>
      </c>
      <c r="C351" s="71"/>
      <c r="D351" s="69" t="str">
        <f t="shared" si="193"/>
        <v/>
      </c>
      <c r="E351" s="70" t="str">
        <f t="shared" si="194"/>
        <v/>
      </c>
      <c r="F351" s="70" t="str">
        <f t="shared" si="195"/>
        <v/>
      </c>
      <c r="G351" s="63" t="str">
        <f t="shared" si="196"/>
        <v/>
      </c>
      <c r="H351" s="64" t="str">
        <f t="shared" si="197"/>
        <v/>
      </c>
      <c r="I351" s="43"/>
      <c r="J351" s="63" t="str">
        <f t="shared" si="198"/>
        <v/>
      </c>
      <c r="K351" s="64" t="str">
        <f t="shared" si="199"/>
        <v/>
      </c>
      <c r="L351" s="63" t="str">
        <f t="shared" si="200"/>
        <v/>
      </c>
      <c r="M351" s="64" t="str">
        <f t="shared" si="201"/>
        <v/>
      </c>
      <c r="N351" s="65"/>
      <c r="O351" s="63" t="str">
        <f t="shared" si="202"/>
        <v/>
      </c>
      <c r="P351" s="63" t="str">
        <f t="shared" si="203"/>
        <v/>
      </c>
      <c r="Q351" s="66"/>
      <c r="R351" s="63" t="str">
        <f t="shared" si="204"/>
        <v/>
      </c>
      <c r="S351" s="64" t="str">
        <f t="shared" si="205"/>
        <v/>
      </c>
      <c r="T351" s="63" t="str">
        <f t="shared" si="206"/>
        <v/>
      </c>
      <c r="U351" s="64" t="str">
        <f t="shared" si="207"/>
        <v/>
      </c>
      <c r="V351" s="207" t="str">
        <f>IF($A352="","",IF(AND(MONTH(A351)&gt;3,MONTH(A351)&lt;11),(T351+R351+G351)*Summary!$T$8/(1-Summary!$T$8),(T351+R351+G351)*Summary!$U$8/(1-Summary!$U$8)))</f>
        <v/>
      </c>
      <c r="W351" s="63" t="str">
        <f t="shared" si="208"/>
        <v/>
      </c>
      <c r="X351" s="63" t="str">
        <f t="shared" si="209"/>
        <v/>
      </c>
      <c r="Y351" s="43"/>
      <c r="Z351" s="38" t="str">
        <f t="shared" si="210"/>
        <v/>
      </c>
      <c r="AA351" s="38" t="str">
        <f t="shared" si="211"/>
        <v/>
      </c>
      <c r="AB351" s="38" t="e">
        <f t="shared" si="212"/>
        <v>#VALUE!</v>
      </c>
      <c r="AC351" s="38" t="str">
        <f t="shared" si="213"/>
        <v/>
      </c>
      <c r="AD351" s="38" t="str">
        <f t="shared" si="213"/>
        <v/>
      </c>
      <c r="AE351" s="38" t="e">
        <f t="shared" si="214"/>
        <v>#VALUE!</v>
      </c>
      <c r="AF351" s="237" t="e">
        <f>((Summary!$N$8*(AA351*AD351)*(A351-$D$3))+(Summary!$M$8*Z351*AC351*(AJ351-EOMONTH(EDATE(A351,-1),0))))/(AK351*AB351*AE351)</f>
        <v>#VALUE!</v>
      </c>
      <c r="AG351" s="88" t="str">
        <f>IF($A352="","",Summary!$Q$8)</f>
        <v/>
      </c>
      <c r="AH351" s="88" t="str">
        <f>IF($A352="","",IF(Summary!$R$8="Y",(VLOOKUP($A351,Summary!$AD$6:$AF$9,3)+'Escalating commodity'!D364),'Escalating commodity'!D364))</f>
        <v/>
      </c>
      <c r="AI351" s="88" t="str">
        <f t="shared" si="229"/>
        <v/>
      </c>
      <c r="AJ351" s="236" t="e">
        <f t="shared" si="215"/>
        <v>#VALUE!</v>
      </c>
      <c r="AK351" s="58" t="str">
        <f t="shared" si="216"/>
        <v/>
      </c>
      <c r="AL351" s="26" t="str">
        <f>IF($A352="","",_xll.SPRDOPT(P351,X351,AI351,0,AB351,AE351,AF351,AK351,$AJ$2,0))</f>
        <v/>
      </c>
      <c r="AM351" s="89" t="str">
        <f t="shared" si="217"/>
        <v/>
      </c>
      <c r="AN351" s="89" t="str">
        <f t="shared" si="218"/>
        <v/>
      </c>
      <c r="AO351" s="3" t="str">
        <f t="shared" si="219"/>
        <v/>
      </c>
      <c r="AP351" s="33" t="str">
        <f t="shared" si="220"/>
        <v/>
      </c>
      <c r="AQ351" s="58" t="str">
        <f t="shared" si="221"/>
        <v/>
      </c>
      <c r="AR351" s="38">
        <f>'ANR OK vs ML7'!AR351</f>
        <v>0.1</v>
      </c>
      <c r="AS351" s="35" t="str">
        <f t="shared" si="222"/>
        <v/>
      </c>
      <c r="AT351" s="3" t="str">
        <f t="shared" si="223"/>
        <v/>
      </c>
      <c r="AU351" s="3" t="str">
        <f t="shared" si="224"/>
        <v/>
      </c>
      <c r="AW351" s="32" t="str">
        <f t="shared" si="225"/>
        <v/>
      </c>
      <c r="AX351" s="32" t="str">
        <f t="shared" si="226"/>
        <v/>
      </c>
      <c r="AY351" s="32" t="str">
        <f t="shared" si="227"/>
        <v/>
      </c>
      <c r="BA351" s="32" t="str">
        <f>IF($A352="","",F351*Summary!$Q$8)</f>
        <v/>
      </c>
    </row>
    <row r="352" spans="1:53" ht="12" customHeight="1">
      <c r="A352" s="67" t="str">
        <f t="shared" si="228"/>
        <v/>
      </c>
      <c r="B352" s="69">
        <f t="shared" si="230"/>
        <v>0</v>
      </c>
      <c r="C352" s="71"/>
      <c r="D352" s="69" t="str">
        <f t="shared" si="193"/>
        <v/>
      </c>
      <c r="E352" s="70" t="str">
        <f t="shared" si="194"/>
        <v/>
      </c>
      <c r="F352" s="70" t="str">
        <f t="shared" si="195"/>
        <v/>
      </c>
      <c r="G352" s="63" t="str">
        <f t="shared" si="196"/>
        <v/>
      </c>
      <c r="H352" s="64" t="str">
        <f t="shared" si="197"/>
        <v/>
      </c>
      <c r="I352" s="43"/>
      <c r="J352" s="63" t="str">
        <f t="shared" si="198"/>
        <v/>
      </c>
      <c r="K352" s="64" t="str">
        <f t="shared" si="199"/>
        <v/>
      </c>
      <c r="L352" s="63" t="str">
        <f t="shared" si="200"/>
        <v/>
      </c>
      <c r="M352" s="64" t="str">
        <f t="shared" si="201"/>
        <v/>
      </c>
      <c r="N352" s="65"/>
      <c r="O352" s="63" t="str">
        <f t="shared" si="202"/>
        <v/>
      </c>
      <c r="P352" s="63" t="str">
        <f t="shared" si="203"/>
        <v/>
      </c>
      <c r="Q352" s="66"/>
      <c r="R352" s="63" t="str">
        <f t="shared" si="204"/>
        <v/>
      </c>
      <c r="S352" s="64" t="str">
        <f t="shared" si="205"/>
        <v/>
      </c>
      <c r="T352" s="63" t="str">
        <f t="shared" si="206"/>
        <v/>
      </c>
      <c r="U352" s="64" t="str">
        <f t="shared" si="207"/>
        <v/>
      </c>
      <c r="V352" s="207" t="str">
        <f>IF($A353="","",IF(AND(MONTH(A352)&gt;3,MONTH(A352)&lt;11),(T352+R352+G352)*Summary!$T$8/(1-Summary!$T$8),(T352+R352+G352)*Summary!$U$8/(1-Summary!$U$8)))</f>
        <v/>
      </c>
      <c r="W352" s="63" t="str">
        <f t="shared" si="208"/>
        <v/>
      </c>
      <c r="X352" s="63" t="str">
        <f t="shared" si="209"/>
        <v/>
      </c>
      <c r="Y352" s="43"/>
      <c r="Z352" s="38" t="str">
        <f t="shared" si="210"/>
        <v/>
      </c>
      <c r="AA352" s="38" t="str">
        <f t="shared" si="211"/>
        <v/>
      </c>
      <c r="AB352" s="38" t="e">
        <f t="shared" si="212"/>
        <v>#VALUE!</v>
      </c>
      <c r="AC352" s="38" t="str">
        <f t="shared" si="213"/>
        <v/>
      </c>
      <c r="AD352" s="38" t="str">
        <f t="shared" si="213"/>
        <v/>
      </c>
      <c r="AE352" s="38" t="e">
        <f t="shared" si="214"/>
        <v>#VALUE!</v>
      </c>
      <c r="AF352" s="237" t="e">
        <f>((Summary!$N$8*(AA352*AD352)*(A352-$D$3))+(Summary!$M$8*Z352*AC352*(AJ352-EOMONTH(EDATE(A352,-1),0))))/(AK352*AB352*AE352)</f>
        <v>#VALUE!</v>
      </c>
      <c r="AG352" s="88" t="str">
        <f>IF($A353="","",Summary!$Q$8)</f>
        <v/>
      </c>
      <c r="AH352" s="88" t="str">
        <f>IF($A353="","",IF(Summary!$R$8="Y",(VLOOKUP($A352,Summary!$AD$6:$AF$9,3)+'Escalating commodity'!D365),'Escalating commodity'!D365))</f>
        <v/>
      </c>
      <c r="AI352" s="88" t="str">
        <f t="shared" si="229"/>
        <v/>
      </c>
      <c r="AJ352" s="236" t="e">
        <f t="shared" si="215"/>
        <v>#VALUE!</v>
      </c>
      <c r="AK352" s="58" t="str">
        <f t="shared" si="216"/>
        <v/>
      </c>
      <c r="AL352" s="26" t="str">
        <f>IF($A353="","",_xll.SPRDOPT(P352,X352,AI352,0,AB352,AE352,AF352,AK352,$AJ$2,0))</f>
        <v/>
      </c>
      <c r="AM352" s="89" t="str">
        <f t="shared" si="217"/>
        <v/>
      </c>
      <c r="AN352" s="89" t="str">
        <f t="shared" si="218"/>
        <v/>
      </c>
      <c r="AO352" s="3" t="str">
        <f t="shared" si="219"/>
        <v/>
      </c>
      <c r="AP352" s="33" t="str">
        <f t="shared" si="220"/>
        <v/>
      </c>
      <c r="AQ352" s="58" t="str">
        <f t="shared" si="221"/>
        <v/>
      </c>
      <c r="AR352" s="38">
        <f>'ANR OK vs ML7'!AR352</f>
        <v>0.1</v>
      </c>
      <c r="AS352" s="35" t="str">
        <f t="shared" si="222"/>
        <v/>
      </c>
      <c r="AT352" s="3" t="str">
        <f t="shared" si="223"/>
        <v/>
      </c>
      <c r="AU352" s="3" t="str">
        <f t="shared" si="224"/>
        <v/>
      </c>
      <c r="AW352" s="32" t="str">
        <f t="shared" si="225"/>
        <v/>
      </c>
      <c r="AX352" s="32" t="str">
        <f t="shared" si="226"/>
        <v/>
      </c>
      <c r="AY352" s="32" t="str">
        <f t="shared" si="227"/>
        <v/>
      </c>
      <c r="BA352" s="32" t="str">
        <f>IF($A353="","",F352*Summary!$Q$8)</f>
        <v/>
      </c>
    </row>
    <row r="353" spans="1:53" ht="12" customHeight="1">
      <c r="A353" s="67" t="str">
        <f t="shared" si="228"/>
        <v/>
      </c>
      <c r="B353" s="69">
        <f t="shared" si="230"/>
        <v>0</v>
      </c>
      <c r="C353" s="71"/>
      <c r="D353" s="69" t="str">
        <f t="shared" si="193"/>
        <v/>
      </c>
      <c r="E353" s="70" t="str">
        <f t="shared" si="194"/>
        <v/>
      </c>
      <c r="F353" s="70" t="str">
        <f t="shared" si="195"/>
        <v/>
      </c>
      <c r="G353" s="63" t="str">
        <f t="shared" si="196"/>
        <v/>
      </c>
      <c r="H353" s="64" t="str">
        <f t="shared" si="197"/>
        <v/>
      </c>
      <c r="I353" s="43"/>
      <c r="J353" s="63" t="str">
        <f t="shared" si="198"/>
        <v/>
      </c>
      <c r="K353" s="64" t="str">
        <f t="shared" si="199"/>
        <v/>
      </c>
      <c r="L353" s="63" t="str">
        <f t="shared" si="200"/>
        <v/>
      </c>
      <c r="M353" s="64" t="str">
        <f t="shared" si="201"/>
        <v/>
      </c>
      <c r="N353" s="65"/>
      <c r="O353" s="63" t="str">
        <f t="shared" si="202"/>
        <v/>
      </c>
      <c r="P353" s="63" t="str">
        <f t="shared" si="203"/>
        <v/>
      </c>
      <c r="Q353" s="66"/>
      <c r="R353" s="63" t="str">
        <f t="shared" si="204"/>
        <v/>
      </c>
      <c r="S353" s="64" t="str">
        <f t="shared" si="205"/>
        <v/>
      </c>
      <c r="T353" s="63" t="str">
        <f t="shared" si="206"/>
        <v/>
      </c>
      <c r="U353" s="64" t="str">
        <f t="shared" si="207"/>
        <v/>
      </c>
      <c r="V353" s="207" t="str">
        <f>IF($A354="","",IF(AND(MONTH(A353)&gt;3,MONTH(A353)&lt;11),(T353+R353+G353)*Summary!$T$8/(1-Summary!$T$8),(T353+R353+G353)*Summary!$U$8/(1-Summary!$U$8)))</f>
        <v/>
      </c>
      <c r="W353" s="63" t="str">
        <f t="shared" si="208"/>
        <v/>
      </c>
      <c r="X353" s="63" t="str">
        <f t="shared" si="209"/>
        <v/>
      </c>
      <c r="Y353" s="43"/>
      <c r="Z353" s="38" t="str">
        <f t="shared" si="210"/>
        <v/>
      </c>
      <c r="AA353" s="38" t="str">
        <f t="shared" si="211"/>
        <v/>
      </c>
      <c r="AB353" s="38" t="e">
        <f t="shared" si="212"/>
        <v>#VALUE!</v>
      </c>
      <c r="AC353" s="38" t="str">
        <f t="shared" si="213"/>
        <v/>
      </c>
      <c r="AD353" s="38" t="str">
        <f t="shared" si="213"/>
        <v/>
      </c>
      <c r="AE353" s="38" t="e">
        <f t="shared" si="214"/>
        <v>#VALUE!</v>
      </c>
      <c r="AF353" s="237" t="e">
        <f>((Summary!$N$8*(AA353*AD353)*(A353-$D$3))+(Summary!$M$8*Z353*AC353*(AJ353-EOMONTH(EDATE(A353,-1),0))))/(AK353*AB353*AE353)</f>
        <v>#VALUE!</v>
      </c>
      <c r="AG353" s="88" t="str">
        <f>IF($A354="","",Summary!$Q$8)</f>
        <v/>
      </c>
      <c r="AH353" s="88" t="str">
        <f>IF($A354="","",IF(Summary!$R$8="Y",(VLOOKUP($A353,Summary!$AD$6:$AF$9,3)+'Escalating commodity'!D366),'Escalating commodity'!D366))</f>
        <v/>
      </c>
      <c r="AI353" s="88" t="str">
        <f t="shared" si="229"/>
        <v/>
      </c>
      <c r="AJ353" s="236" t="e">
        <f t="shared" si="215"/>
        <v>#VALUE!</v>
      </c>
      <c r="AK353" s="58" t="str">
        <f t="shared" si="216"/>
        <v/>
      </c>
      <c r="AL353" s="26" t="str">
        <f>IF($A354="","",_xll.SPRDOPT(P353,X353,AI353,0,AB353,AE353,AF353,AK353,$AJ$2,0))</f>
        <v/>
      </c>
      <c r="AM353" s="89" t="str">
        <f t="shared" si="217"/>
        <v/>
      </c>
      <c r="AN353" s="89" t="str">
        <f t="shared" si="218"/>
        <v/>
      </c>
      <c r="AO353" s="3" t="str">
        <f t="shared" si="219"/>
        <v/>
      </c>
      <c r="AP353" s="33" t="str">
        <f t="shared" si="220"/>
        <v/>
      </c>
      <c r="AQ353" s="58" t="str">
        <f t="shared" si="221"/>
        <v/>
      </c>
      <c r="AR353" s="38">
        <f>'ANR OK vs ML7'!AR353</f>
        <v>0.1</v>
      </c>
      <c r="AS353" s="35" t="str">
        <f t="shared" si="222"/>
        <v/>
      </c>
      <c r="AT353" s="3" t="str">
        <f t="shared" si="223"/>
        <v/>
      </c>
      <c r="AU353" s="3" t="str">
        <f t="shared" si="224"/>
        <v/>
      </c>
      <c r="AW353" s="32" t="str">
        <f t="shared" si="225"/>
        <v/>
      </c>
      <c r="AX353" s="32" t="str">
        <f t="shared" si="226"/>
        <v/>
      </c>
      <c r="AY353" s="32" t="str">
        <f t="shared" si="227"/>
        <v/>
      </c>
      <c r="BA353" s="32" t="str">
        <f>IF($A354="","",F353*Summary!$Q$8)</f>
        <v/>
      </c>
    </row>
    <row r="354" spans="1:53" ht="12" customHeight="1">
      <c r="A354" s="67" t="str">
        <f t="shared" si="228"/>
        <v/>
      </c>
      <c r="B354" s="69">
        <f t="shared" si="230"/>
        <v>0</v>
      </c>
      <c r="C354" s="71"/>
      <c r="D354" s="69" t="str">
        <f t="shared" si="193"/>
        <v/>
      </c>
      <c r="E354" s="70" t="str">
        <f t="shared" si="194"/>
        <v/>
      </c>
      <c r="F354" s="70" t="str">
        <f t="shared" si="195"/>
        <v/>
      </c>
      <c r="G354" s="63" t="str">
        <f t="shared" si="196"/>
        <v/>
      </c>
      <c r="H354" s="64" t="str">
        <f t="shared" si="197"/>
        <v/>
      </c>
      <c r="I354" s="43"/>
      <c r="J354" s="63" t="str">
        <f t="shared" si="198"/>
        <v/>
      </c>
      <c r="K354" s="64" t="str">
        <f t="shared" si="199"/>
        <v/>
      </c>
      <c r="L354" s="63" t="str">
        <f t="shared" si="200"/>
        <v/>
      </c>
      <c r="M354" s="64" t="str">
        <f t="shared" si="201"/>
        <v/>
      </c>
      <c r="N354" s="65"/>
      <c r="O354" s="63" t="str">
        <f t="shared" si="202"/>
        <v/>
      </c>
      <c r="P354" s="63" t="str">
        <f t="shared" si="203"/>
        <v/>
      </c>
      <c r="Q354" s="66"/>
      <c r="R354" s="63" t="str">
        <f t="shared" si="204"/>
        <v/>
      </c>
      <c r="S354" s="64" t="str">
        <f t="shared" si="205"/>
        <v/>
      </c>
      <c r="T354" s="63" t="str">
        <f t="shared" si="206"/>
        <v/>
      </c>
      <c r="U354" s="64" t="str">
        <f t="shared" si="207"/>
        <v/>
      </c>
      <c r="V354" s="207" t="str">
        <f>IF($A355="","",IF(AND(MONTH(A354)&gt;3,MONTH(A354)&lt;11),(T354+R354+G354)*Summary!$T$8/(1-Summary!$T$8),(T354+R354+G354)*Summary!$U$8/(1-Summary!$U$8)))</f>
        <v/>
      </c>
      <c r="W354" s="63" t="str">
        <f t="shared" si="208"/>
        <v/>
      </c>
      <c r="X354" s="63" t="str">
        <f t="shared" si="209"/>
        <v/>
      </c>
      <c r="Y354" s="43"/>
      <c r="Z354" s="38" t="str">
        <f t="shared" si="210"/>
        <v/>
      </c>
      <c r="AA354" s="38" t="str">
        <f t="shared" si="211"/>
        <v/>
      </c>
      <c r="AB354" s="38" t="e">
        <f t="shared" si="212"/>
        <v>#VALUE!</v>
      </c>
      <c r="AC354" s="38" t="str">
        <f t="shared" si="213"/>
        <v/>
      </c>
      <c r="AD354" s="38" t="str">
        <f t="shared" si="213"/>
        <v/>
      </c>
      <c r="AE354" s="38" t="e">
        <f t="shared" si="214"/>
        <v>#VALUE!</v>
      </c>
      <c r="AF354" s="237" t="e">
        <f>((Summary!$N$8*(AA354*AD354)*(A354-$D$3))+(Summary!$M$8*Z354*AC354*(AJ354-EOMONTH(EDATE(A354,-1),0))))/(AK354*AB354*AE354)</f>
        <v>#VALUE!</v>
      </c>
      <c r="AG354" s="88" t="str">
        <f>IF($A355="","",Summary!$Q$8)</f>
        <v/>
      </c>
      <c r="AH354" s="88" t="str">
        <f>IF($A355="","",IF(Summary!$R$8="Y",(VLOOKUP($A354,Summary!$AD$6:$AF$9,3)+'Escalating commodity'!D367),'Escalating commodity'!D367))</f>
        <v/>
      </c>
      <c r="AI354" s="88" t="str">
        <f t="shared" si="229"/>
        <v/>
      </c>
      <c r="AJ354" s="236" t="e">
        <f t="shared" si="215"/>
        <v>#VALUE!</v>
      </c>
      <c r="AK354" s="58" t="str">
        <f t="shared" si="216"/>
        <v/>
      </c>
      <c r="AL354" s="26" t="str">
        <f>IF($A355="","",_xll.SPRDOPT(P354,X354,AI354,0,AB354,AE354,AF354,AK354,$AJ$2,0))</f>
        <v/>
      </c>
      <c r="AM354" s="89" t="str">
        <f t="shared" si="217"/>
        <v/>
      </c>
      <c r="AN354" s="89" t="str">
        <f t="shared" si="218"/>
        <v/>
      </c>
      <c r="AO354" s="3" t="str">
        <f t="shared" si="219"/>
        <v/>
      </c>
      <c r="AP354" s="33" t="str">
        <f t="shared" si="220"/>
        <v/>
      </c>
      <c r="AQ354" s="58" t="str">
        <f t="shared" si="221"/>
        <v/>
      </c>
      <c r="AR354" s="38">
        <f>'ANR OK vs ML7'!AR354</f>
        <v>0.1</v>
      </c>
      <c r="AS354" s="35" t="str">
        <f t="shared" si="222"/>
        <v/>
      </c>
      <c r="AT354" s="3" t="str">
        <f t="shared" si="223"/>
        <v/>
      </c>
      <c r="AU354" s="3" t="str">
        <f t="shared" si="224"/>
        <v/>
      </c>
      <c r="AW354" s="32" t="str">
        <f t="shared" si="225"/>
        <v/>
      </c>
      <c r="AX354" s="32" t="str">
        <f t="shared" si="226"/>
        <v/>
      </c>
      <c r="AY354" s="32" t="str">
        <f t="shared" si="227"/>
        <v/>
      </c>
      <c r="BA354" s="32" t="str">
        <f>IF($A355="","",F354*Summary!$Q$8)</f>
        <v/>
      </c>
    </row>
    <row r="355" spans="1:53" ht="12" customHeight="1">
      <c r="A355" s="67" t="str">
        <f t="shared" si="228"/>
        <v/>
      </c>
      <c r="B355" s="69">
        <f t="shared" si="230"/>
        <v>0</v>
      </c>
      <c r="C355" s="71"/>
      <c r="D355" s="69" t="str">
        <f t="shared" si="193"/>
        <v/>
      </c>
      <c r="E355" s="70" t="str">
        <f t="shared" si="194"/>
        <v/>
      </c>
      <c r="F355" s="70" t="str">
        <f t="shared" si="195"/>
        <v/>
      </c>
      <c r="G355" s="63" t="str">
        <f t="shared" si="196"/>
        <v/>
      </c>
      <c r="H355" s="64" t="str">
        <f t="shared" si="197"/>
        <v/>
      </c>
      <c r="I355" s="43"/>
      <c r="J355" s="63" t="str">
        <f t="shared" si="198"/>
        <v/>
      </c>
      <c r="K355" s="64" t="str">
        <f t="shared" si="199"/>
        <v/>
      </c>
      <c r="L355" s="63" t="str">
        <f t="shared" si="200"/>
        <v/>
      </c>
      <c r="M355" s="64" t="str">
        <f t="shared" si="201"/>
        <v/>
      </c>
      <c r="N355" s="65"/>
      <c r="O355" s="63" t="str">
        <f t="shared" si="202"/>
        <v/>
      </c>
      <c r="P355" s="63" t="str">
        <f t="shared" si="203"/>
        <v/>
      </c>
      <c r="Q355" s="66"/>
      <c r="R355" s="63" t="str">
        <f t="shared" si="204"/>
        <v/>
      </c>
      <c r="S355" s="64" t="str">
        <f t="shared" si="205"/>
        <v/>
      </c>
      <c r="T355" s="63" t="str">
        <f t="shared" si="206"/>
        <v/>
      </c>
      <c r="U355" s="64" t="str">
        <f t="shared" si="207"/>
        <v/>
      </c>
      <c r="V355" s="207" t="str">
        <f>IF($A356="","",IF(AND(MONTH(A355)&gt;3,MONTH(A355)&lt;11),(T355+R355+G355)*Summary!$T$8/(1-Summary!$T$8),(T355+R355+G355)*Summary!$U$8/(1-Summary!$U$8)))</f>
        <v/>
      </c>
      <c r="W355" s="63" t="str">
        <f t="shared" si="208"/>
        <v/>
      </c>
      <c r="X355" s="63" t="str">
        <f t="shared" si="209"/>
        <v/>
      </c>
      <c r="Y355" s="43"/>
      <c r="Z355" s="38" t="str">
        <f t="shared" si="210"/>
        <v/>
      </c>
      <c r="AA355" s="38" t="str">
        <f t="shared" si="211"/>
        <v/>
      </c>
      <c r="AB355" s="38" t="e">
        <f t="shared" si="212"/>
        <v>#VALUE!</v>
      </c>
      <c r="AC355" s="38" t="str">
        <f t="shared" si="213"/>
        <v/>
      </c>
      <c r="AD355" s="38" t="str">
        <f t="shared" si="213"/>
        <v/>
      </c>
      <c r="AE355" s="38" t="e">
        <f t="shared" si="214"/>
        <v>#VALUE!</v>
      </c>
      <c r="AF355" s="237" t="e">
        <f>((Summary!$N$8*(AA355*AD355)*(A355-$D$3))+(Summary!$M$8*Z355*AC355*(AJ355-EOMONTH(EDATE(A355,-1),0))))/(AK355*AB355*AE355)</f>
        <v>#VALUE!</v>
      </c>
      <c r="AG355" s="88" t="str">
        <f>IF($A356="","",Summary!$Q$8)</f>
        <v/>
      </c>
      <c r="AH355" s="88" t="str">
        <f>IF($A356="","",IF(Summary!$R$8="Y",(VLOOKUP($A355,Summary!$AD$6:$AF$9,3)+'Escalating commodity'!D368),'Escalating commodity'!D368))</f>
        <v/>
      </c>
      <c r="AI355" s="88" t="str">
        <f t="shared" si="229"/>
        <v/>
      </c>
      <c r="AJ355" s="236" t="e">
        <f t="shared" si="215"/>
        <v>#VALUE!</v>
      </c>
      <c r="AK355" s="58" t="str">
        <f t="shared" si="216"/>
        <v/>
      </c>
      <c r="AL355" s="26" t="str">
        <f>IF($A356="","",_xll.SPRDOPT(P355,X355,AI355,0,AB355,AE355,AF355,AK355,$AJ$2,0))</f>
        <v/>
      </c>
      <c r="AM355" s="89" t="str">
        <f t="shared" si="217"/>
        <v/>
      </c>
      <c r="AN355" s="89" t="str">
        <f t="shared" si="218"/>
        <v/>
      </c>
      <c r="AO355" s="3" t="str">
        <f t="shared" si="219"/>
        <v/>
      </c>
      <c r="AP355" s="33" t="str">
        <f t="shared" si="220"/>
        <v/>
      </c>
      <c r="AQ355" s="58" t="str">
        <f t="shared" si="221"/>
        <v/>
      </c>
      <c r="AR355" s="38">
        <f>'ANR OK vs ML7'!AR355</f>
        <v>0.1</v>
      </c>
      <c r="AS355" s="35" t="str">
        <f t="shared" si="222"/>
        <v/>
      </c>
      <c r="AT355" s="3" t="str">
        <f t="shared" si="223"/>
        <v/>
      </c>
      <c r="AU355" s="3" t="str">
        <f t="shared" si="224"/>
        <v/>
      </c>
      <c r="AW355" s="32" t="str">
        <f t="shared" si="225"/>
        <v/>
      </c>
      <c r="AX355" s="32" t="str">
        <f t="shared" si="226"/>
        <v/>
      </c>
      <c r="AY355" s="32" t="str">
        <f t="shared" si="227"/>
        <v/>
      </c>
      <c r="BA355" s="32" t="str">
        <f>IF($A356="","",F355*Summary!$Q$8)</f>
        <v/>
      </c>
    </row>
    <row r="356" spans="1:53" ht="12" customHeight="1">
      <c r="A356" s="67" t="str">
        <f t="shared" si="228"/>
        <v/>
      </c>
      <c r="B356" s="69">
        <f t="shared" si="230"/>
        <v>0</v>
      </c>
      <c r="C356" s="71"/>
      <c r="D356" s="69" t="str">
        <f t="shared" si="193"/>
        <v/>
      </c>
      <c r="E356" s="70" t="str">
        <f t="shared" si="194"/>
        <v/>
      </c>
      <c r="F356" s="70" t="str">
        <f t="shared" si="195"/>
        <v/>
      </c>
      <c r="G356" s="63" t="str">
        <f t="shared" si="196"/>
        <v/>
      </c>
      <c r="H356" s="64" t="str">
        <f t="shared" si="197"/>
        <v/>
      </c>
      <c r="I356" s="43"/>
      <c r="J356" s="63" t="str">
        <f t="shared" si="198"/>
        <v/>
      </c>
      <c r="K356" s="64" t="str">
        <f t="shared" si="199"/>
        <v/>
      </c>
      <c r="L356" s="63" t="str">
        <f t="shared" si="200"/>
        <v/>
      </c>
      <c r="M356" s="64" t="str">
        <f t="shared" si="201"/>
        <v/>
      </c>
      <c r="N356" s="65"/>
      <c r="O356" s="63" t="str">
        <f t="shared" si="202"/>
        <v/>
      </c>
      <c r="P356" s="63" t="str">
        <f t="shared" si="203"/>
        <v/>
      </c>
      <c r="Q356" s="66"/>
      <c r="R356" s="63" t="str">
        <f t="shared" si="204"/>
        <v/>
      </c>
      <c r="S356" s="64" t="str">
        <f t="shared" si="205"/>
        <v/>
      </c>
      <c r="T356" s="63" t="str">
        <f t="shared" si="206"/>
        <v/>
      </c>
      <c r="U356" s="64" t="str">
        <f t="shared" si="207"/>
        <v/>
      </c>
      <c r="V356" s="207" t="str">
        <f>IF($A357="","",IF(AND(MONTH(A356)&gt;3,MONTH(A356)&lt;11),(T356+R356+G356)*Summary!$T$8/(1-Summary!$T$8),(T356+R356+G356)*Summary!$U$8/(1-Summary!$U$8)))</f>
        <v/>
      </c>
      <c r="W356" s="63" t="str">
        <f t="shared" si="208"/>
        <v/>
      </c>
      <c r="X356" s="63" t="str">
        <f t="shared" si="209"/>
        <v/>
      </c>
      <c r="Y356" s="43"/>
      <c r="Z356" s="38" t="str">
        <f t="shared" si="210"/>
        <v/>
      </c>
      <c r="AA356" s="38" t="str">
        <f t="shared" si="211"/>
        <v/>
      </c>
      <c r="AB356" s="38" t="e">
        <f t="shared" si="212"/>
        <v>#VALUE!</v>
      </c>
      <c r="AC356" s="38" t="str">
        <f t="shared" si="213"/>
        <v/>
      </c>
      <c r="AD356" s="38" t="str">
        <f t="shared" si="213"/>
        <v/>
      </c>
      <c r="AE356" s="38" t="e">
        <f t="shared" si="214"/>
        <v>#VALUE!</v>
      </c>
      <c r="AF356" s="237" t="e">
        <f>((Summary!$N$8*(AA356*AD356)*(A356-$D$3))+(Summary!$M$8*Z356*AC356*(AJ356-EOMONTH(EDATE(A356,-1),0))))/(AK356*AB356*AE356)</f>
        <v>#VALUE!</v>
      </c>
      <c r="AG356" s="88" t="str">
        <f>IF($A357="","",Summary!$Q$8)</f>
        <v/>
      </c>
      <c r="AH356" s="88" t="str">
        <f>IF($A357="","",IF(Summary!$R$8="Y",(VLOOKUP($A356,Summary!$AD$6:$AF$9,3)+'Escalating commodity'!D369),'Escalating commodity'!D369))</f>
        <v/>
      </c>
      <c r="AI356" s="88" t="str">
        <f t="shared" si="229"/>
        <v/>
      </c>
      <c r="AJ356" s="236" t="e">
        <f t="shared" si="215"/>
        <v>#VALUE!</v>
      </c>
      <c r="AK356" s="58" t="str">
        <f t="shared" si="216"/>
        <v/>
      </c>
      <c r="AL356" s="26" t="str">
        <f>IF($A357="","",_xll.SPRDOPT(P356,X356,AI356,0,AB356,AE356,AF356,AK356,$AJ$2,0))</f>
        <v/>
      </c>
      <c r="AM356" s="89" t="str">
        <f t="shared" si="217"/>
        <v/>
      </c>
      <c r="AN356" s="89" t="str">
        <f t="shared" si="218"/>
        <v/>
      </c>
      <c r="AO356" s="3" t="str">
        <f t="shared" si="219"/>
        <v/>
      </c>
      <c r="AP356" s="33" t="str">
        <f t="shared" si="220"/>
        <v/>
      </c>
      <c r="AQ356" s="58" t="str">
        <f t="shared" si="221"/>
        <v/>
      </c>
      <c r="AR356" s="38">
        <f>'ANR OK vs ML7'!AR356</f>
        <v>0.1</v>
      </c>
      <c r="AS356" s="35" t="str">
        <f t="shared" si="222"/>
        <v/>
      </c>
      <c r="AT356" s="3" t="str">
        <f t="shared" si="223"/>
        <v/>
      </c>
      <c r="AU356" s="3" t="str">
        <f t="shared" si="224"/>
        <v/>
      </c>
      <c r="AW356" s="32" t="str">
        <f t="shared" si="225"/>
        <v/>
      </c>
      <c r="AX356" s="32" t="str">
        <f t="shared" si="226"/>
        <v/>
      </c>
      <c r="AY356" s="32" t="str">
        <f t="shared" si="227"/>
        <v/>
      </c>
      <c r="BA356" s="32" t="str">
        <f>IF($A357="","",F356*Summary!$Q$8)</f>
        <v/>
      </c>
    </row>
    <row r="357" spans="1:53" ht="12" customHeight="1">
      <c r="A357" s="67" t="str">
        <f t="shared" si="228"/>
        <v/>
      </c>
      <c r="B357" s="69">
        <f t="shared" si="230"/>
        <v>0</v>
      </c>
      <c r="C357" s="71"/>
      <c r="D357" s="69" t="str">
        <f t="shared" si="193"/>
        <v/>
      </c>
      <c r="E357" s="70" t="str">
        <f t="shared" si="194"/>
        <v/>
      </c>
      <c r="F357" s="70" t="str">
        <f t="shared" si="195"/>
        <v/>
      </c>
      <c r="G357" s="63" t="str">
        <f t="shared" si="196"/>
        <v/>
      </c>
      <c r="H357" s="64" t="str">
        <f t="shared" si="197"/>
        <v/>
      </c>
      <c r="I357" s="43"/>
      <c r="J357" s="63" t="str">
        <f t="shared" si="198"/>
        <v/>
      </c>
      <c r="K357" s="64" t="str">
        <f t="shared" si="199"/>
        <v/>
      </c>
      <c r="L357" s="63" t="str">
        <f t="shared" si="200"/>
        <v/>
      </c>
      <c r="M357" s="64" t="str">
        <f t="shared" si="201"/>
        <v/>
      </c>
      <c r="N357" s="65"/>
      <c r="O357" s="63" t="str">
        <f t="shared" si="202"/>
        <v/>
      </c>
      <c r="P357" s="63" t="str">
        <f t="shared" si="203"/>
        <v/>
      </c>
      <c r="Q357" s="66"/>
      <c r="R357" s="63" t="str">
        <f t="shared" si="204"/>
        <v/>
      </c>
      <c r="S357" s="64" t="str">
        <f t="shared" si="205"/>
        <v/>
      </c>
      <c r="T357" s="63" t="str">
        <f t="shared" si="206"/>
        <v/>
      </c>
      <c r="U357" s="64" t="str">
        <f t="shared" si="207"/>
        <v/>
      </c>
      <c r="V357" s="207" t="str">
        <f>IF($A358="","",IF(AND(MONTH(A357)&gt;3,MONTH(A357)&lt;11),(T357+R357+G357)*Summary!$T$8/(1-Summary!$T$8),(T357+R357+G357)*Summary!$U$8/(1-Summary!$U$8)))</f>
        <v/>
      </c>
      <c r="W357" s="63" t="str">
        <f t="shared" si="208"/>
        <v/>
      </c>
      <c r="X357" s="63" t="str">
        <f t="shared" si="209"/>
        <v/>
      </c>
      <c r="Y357" s="43"/>
      <c r="Z357" s="38" t="str">
        <f t="shared" si="210"/>
        <v/>
      </c>
      <c r="AA357" s="38" t="str">
        <f t="shared" si="211"/>
        <v/>
      </c>
      <c r="AB357" s="38" t="e">
        <f t="shared" si="212"/>
        <v>#VALUE!</v>
      </c>
      <c r="AC357" s="38" t="str">
        <f t="shared" si="213"/>
        <v/>
      </c>
      <c r="AD357" s="38" t="str">
        <f t="shared" si="213"/>
        <v/>
      </c>
      <c r="AE357" s="38" t="e">
        <f t="shared" si="214"/>
        <v>#VALUE!</v>
      </c>
      <c r="AF357" s="237" t="e">
        <f>((Summary!$N$8*(AA357*AD357)*(A357-$D$3))+(Summary!$M$8*Z357*AC357*(AJ357-EOMONTH(EDATE(A357,-1),0))))/(AK357*AB357*AE357)</f>
        <v>#VALUE!</v>
      </c>
      <c r="AG357" s="88" t="str">
        <f>IF($A358="","",Summary!$Q$8)</f>
        <v/>
      </c>
      <c r="AH357" s="88" t="str">
        <f>IF($A358="","",IF(Summary!$R$8="Y",(VLOOKUP($A357,Summary!$AD$6:$AF$9,3)+'Escalating commodity'!D370),'Escalating commodity'!D370))</f>
        <v/>
      </c>
      <c r="AI357" s="88" t="str">
        <f t="shared" si="229"/>
        <v/>
      </c>
      <c r="AJ357" s="236" t="e">
        <f t="shared" si="215"/>
        <v>#VALUE!</v>
      </c>
      <c r="AK357" s="58" t="str">
        <f t="shared" si="216"/>
        <v/>
      </c>
      <c r="AL357" s="26" t="str">
        <f>IF($A358="","",_xll.SPRDOPT(P357,X357,AI357,0,AB357,AE357,AF357,AK357,$AJ$2,0))</f>
        <v/>
      </c>
      <c r="AM357" s="89" t="str">
        <f t="shared" si="217"/>
        <v/>
      </c>
      <c r="AN357" s="89" t="str">
        <f t="shared" si="218"/>
        <v/>
      </c>
      <c r="AO357" s="3" t="str">
        <f t="shared" si="219"/>
        <v/>
      </c>
      <c r="AP357" s="33" t="str">
        <f t="shared" si="220"/>
        <v/>
      </c>
      <c r="AQ357" s="58" t="str">
        <f t="shared" si="221"/>
        <v/>
      </c>
      <c r="AR357" s="38">
        <f>'ANR OK vs ML7'!AR357</f>
        <v>0.1</v>
      </c>
      <c r="AS357" s="35" t="str">
        <f t="shared" si="222"/>
        <v/>
      </c>
      <c r="AT357" s="3" t="str">
        <f t="shared" si="223"/>
        <v/>
      </c>
      <c r="AU357" s="3" t="str">
        <f t="shared" si="224"/>
        <v/>
      </c>
      <c r="AW357" s="32" t="str">
        <f t="shared" si="225"/>
        <v/>
      </c>
      <c r="AX357" s="32" t="str">
        <f t="shared" si="226"/>
        <v/>
      </c>
      <c r="AY357" s="32" t="str">
        <f t="shared" si="227"/>
        <v/>
      </c>
      <c r="BA357" s="32" t="str">
        <f>IF($A358="","",F357*Summary!$Q$8)</f>
        <v/>
      </c>
    </row>
    <row r="358" spans="1:53" ht="12" customHeight="1">
      <c r="A358" s="67" t="str">
        <f t="shared" si="228"/>
        <v/>
      </c>
      <c r="B358" s="69">
        <f t="shared" si="230"/>
        <v>0</v>
      </c>
      <c r="C358" s="71"/>
      <c r="D358" s="69" t="str">
        <f t="shared" si="193"/>
        <v/>
      </c>
      <c r="E358" s="70" t="str">
        <f t="shared" si="194"/>
        <v/>
      </c>
      <c r="F358" s="70" t="str">
        <f t="shared" si="195"/>
        <v/>
      </c>
      <c r="G358" s="63" t="str">
        <f t="shared" si="196"/>
        <v/>
      </c>
      <c r="H358" s="64" t="str">
        <f t="shared" si="197"/>
        <v/>
      </c>
      <c r="I358" s="43"/>
      <c r="J358" s="63" t="str">
        <f t="shared" si="198"/>
        <v/>
      </c>
      <c r="K358" s="64" t="str">
        <f t="shared" si="199"/>
        <v/>
      </c>
      <c r="L358" s="63" t="str">
        <f t="shared" si="200"/>
        <v/>
      </c>
      <c r="M358" s="64" t="str">
        <f t="shared" si="201"/>
        <v/>
      </c>
      <c r="N358" s="65"/>
      <c r="O358" s="63" t="str">
        <f t="shared" si="202"/>
        <v/>
      </c>
      <c r="P358" s="63" t="str">
        <f t="shared" si="203"/>
        <v/>
      </c>
      <c r="Q358" s="66"/>
      <c r="R358" s="63" t="str">
        <f t="shared" si="204"/>
        <v/>
      </c>
      <c r="S358" s="64" t="str">
        <f t="shared" si="205"/>
        <v/>
      </c>
      <c r="T358" s="63" t="str">
        <f t="shared" si="206"/>
        <v/>
      </c>
      <c r="U358" s="64" t="str">
        <f t="shared" si="207"/>
        <v/>
      </c>
      <c r="V358" s="207" t="str">
        <f>IF($A359="","",IF(AND(MONTH(A358)&gt;3,MONTH(A358)&lt;11),(T358+R358+G358)*Summary!$T$8/(1-Summary!$T$8),(T358+R358+G358)*Summary!$U$8/(1-Summary!$U$8)))</f>
        <v/>
      </c>
      <c r="W358" s="63" t="str">
        <f t="shared" si="208"/>
        <v/>
      </c>
      <c r="X358" s="63" t="str">
        <f t="shared" si="209"/>
        <v/>
      </c>
      <c r="Y358" s="43"/>
      <c r="Z358" s="38" t="str">
        <f t="shared" si="210"/>
        <v/>
      </c>
      <c r="AA358" s="38" t="str">
        <f t="shared" si="211"/>
        <v/>
      </c>
      <c r="AB358" s="38" t="e">
        <f t="shared" si="212"/>
        <v>#VALUE!</v>
      </c>
      <c r="AC358" s="38" t="str">
        <f t="shared" si="213"/>
        <v/>
      </c>
      <c r="AD358" s="38" t="str">
        <f t="shared" si="213"/>
        <v/>
      </c>
      <c r="AE358" s="38" t="e">
        <f t="shared" si="214"/>
        <v>#VALUE!</v>
      </c>
      <c r="AF358" s="237" t="e">
        <f>((Summary!$N$8*(AA358*AD358)*(A358-$D$3))+(Summary!$M$8*Z358*AC358*(AJ358-EOMONTH(EDATE(A358,-1),0))))/(AK358*AB358*AE358)</f>
        <v>#VALUE!</v>
      </c>
      <c r="AG358" s="88" t="str">
        <f>IF($A359="","",Summary!$Q$8)</f>
        <v/>
      </c>
      <c r="AH358" s="88" t="str">
        <f>IF($A359="","",IF(Summary!$R$8="Y",(VLOOKUP($A358,Summary!$AD$6:$AF$9,3)+'Escalating commodity'!D371),'Escalating commodity'!D371))</f>
        <v/>
      </c>
      <c r="AI358" s="88" t="str">
        <f t="shared" si="229"/>
        <v/>
      </c>
      <c r="AJ358" s="236" t="e">
        <f t="shared" si="215"/>
        <v>#VALUE!</v>
      </c>
      <c r="AK358" s="58" t="str">
        <f t="shared" si="216"/>
        <v/>
      </c>
      <c r="AL358" s="26" t="str">
        <f>IF($A359="","",_xll.SPRDOPT(P358,X358,AI358,0,AB358,AE358,AF358,AK358,$AJ$2,0))</f>
        <v/>
      </c>
      <c r="AM358" s="89" t="str">
        <f t="shared" si="217"/>
        <v/>
      </c>
      <c r="AN358" s="89" t="str">
        <f t="shared" si="218"/>
        <v/>
      </c>
      <c r="AO358" s="3" t="str">
        <f t="shared" si="219"/>
        <v/>
      </c>
      <c r="AP358" s="33" t="str">
        <f t="shared" si="220"/>
        <v/>
      </c>
      <c r="AQ358" s="58" t="str">
        <f t="shared" si="221"/>
        <v/>
      </c>
      <c r="AR358" s="38">
        <f>'ANR OK vs ML7'!AR358</f>
        <v>0.1</v>
      </c>
      <c r="AS358" s="35" t="str">
        <f t="shared" si="222"/>
        <v/>
      </c>
      <c r="AT358" s="3" t="str">
        <f t="shared" si="223"/>
        <v/>
      </c>
      <c r="AU358" s="3" t="str">
        <f t="shared" si="224"/>
        <v/>
      </c>
      <c r="AW358" s="32" t="str">
        <f t="shared" si="225"/>
        <v/>
      </c>
      <c r="AX358" s="32" t="str">
        <f t="shared" si="226"/>
        <v/>
      </c>
      <c r="AY358" s="32" t="str">
        <f t="shared" si="227"/>
        <v/>
      </c>
      <c r="BA358" s="32" t="str">
        <f>IF($A359="","",F358*Summary!$Q$8)</f>
        <v/>
      </c>
    </row>
    <row r="359" spans="1:53" ht="12" customHeight="1">
      <c r="A359" s="67" t="str">
        <f t="shared" si="228"/>
        <v/>
      </c>
      <c r="B359" s="69">
        <f t="shared" si="230"/>
        <v>0</v>
      </c>
      <c r="C359" s="71"/>
      <c r="D359" s="69" t="str">
        <f t="shared" si="193"/>
        <v/>
      </c>
      <c r="E359" s="70" t="str">
        <f t="shared" si="194"/>
        <v/>
      </c>
      <c r="F359" s="70" t="str">
        <f t="shared" si="195"/>
        <v/>
      </c>
      <c r="G359" s="63" t="str">
        <f t="shared" si="196"/>
        <v/>
      </c>
      <c r="H359" s="64" t="str">
        <f t="shared" si="197"/>
        <v/>
      </c>
      <c r="I359" s="43"/>
      <c r="J359" s="63" t="str">
        <f t="shared" si="198"/>
        <v/>
      </c>
      <c r="K359" s="64" t="str">
        <f t="shared" si="199"/>
        <v/>
      </c>
      <c r="L359" s="63" t="str">
        <f t="shared" si="200"/>
        <v/>
      </c>
      <c r="M359" s="64" t="str">
        <f t="shared" si="201"/>
        <v/>
      </c>
      <c r="N359" s="65"/>
      <c r="O359" s="63" t="str">
        <f t="shared" si="202"/>
        <v/>
      </c>
      <c r="P359" s="63" t="str">
        <f t="shared" si="203"/>
        <v/>
      </c>
      <c r="Q359" s="66"/>
      <c r="R359" s="63" t="str">
        <f t="shared" si="204"/>
        <v/>
      </c>
      <c r="S359" s="64" t="str">
        <f t="shared" si="205"/>
        <v/>
      </c>
      <c r="T359" s="63" t="str">
        <f t="shared" si="206"/>
        <v/>
      </c>
      <c r="U359" s="64" t="str">
        <f t="shared" si="207"/>
        <v/>
      </c>
      <c r="V359" s="207" t="str">
        <f>IF($A360="","",IF(AND(MONTH(A359)&gt;3,MONTH(A359)&lt;11),(T359+R359+G359)*Summary!$T$8/(1-Summary!$T$8),(T359+R359+G359)*Summary!$U$8/(1-Summary!$U$8)))</f>
        <v/>
      </c>
      <c r="W359" s="63" t="str">
        <f t="shared" si="208"/>
        <v/>
      </c>
      <c r="X359" s="63" t="str">
        <f t="shared" si="209"/>
        <v/>
      </c>
      <c r="Y359" s="43"/>
      <c r="Z359" s="38" t="str">
        <f t="shared" si="210"/>
        <v/>
      </c>
      <c r="AA359" s="38" t="str">
        <f t="shared" si="211"/>
        <v/>
      </c>
      <c r="AB359" s="38" t="e">
        <f t="shared" si="212"/>
        <v>#VALUE!</v>
      </c>
      <c r="AC359" s="38" t="str">
        <f t="shared" si="213"/>
        <v/>
      </c>
      <c r="AD359" s="38" t="str">
        <f t="shared" si="213"/>
        <v/>
      </c>
      <c r="AE359" s="38" t="e">
        <f t="shared" si="214"/>
        <v>#VALUE!</v>
      </c>
      <c r="AF359" s="237" t="e">
        <f>((Summary!$N$8*(AA359*AD359)*(A359-$D$3))+(Summary!$M$8*Z359*AC359*(AJ359-EOMONTH(EDATE(A359,-1),0))))/(AK359*AB359*AE359)</f>
        <v>#VALUE!</v>
      </c>
      <c r="AG359" s="88" t="str">
        <f>IF($A360="","",Summary!$Q$8)</f>
        <v/>
      </c>
      <c r="AH359" s="88" t="str">
        <f>IF($A360="","",IF(Summary!$R$8="Y",(VLOOKUP($A359,Summary!$AD$6:$AF$9,3)+'Escalating commodity'!D372),'Escalating commodity'!D372))</f>
        <v/>
      </c>
      <c r="AI359" s="88" t="str">
        <f t="shared" si="229"/>
        <v/>
      </c>
      <c r="AJ359" s="236" t="e">
        <f t="shared" si="215"/>
        <v>#VALUE!</v>
      </c>
      <c r="AK359" s="58" t="str">
        <f t="shared" si="216"/>
        <v/>
      </c>
      <c r="AL359" s="26" t="str">
        <f>IF($A360="","",_xll.SPRDOPT(P359,X359,AI359,0,AB359,AE359,AF359,AK359,$AJ$2,0))</f>
        <v/>
      </c>
      <c r="AM359" s="89" t="str">
        <f t="shared" si="217"/>
        <v/>
      </c>
      <c r="AN359" s="89" t="str">
        <f t="shared" si="218"/>
        <v/>
      </c>
      <c r="AO359" s="3" t="str">
        <f t="shared" si="219"/>
        <v/>
      </c>
      <c r="AP359" s="33" t="str">
        <f t="shared" si="220"/>
        <v/>
      </c>
      <c r="AQ359" s="58" t="str">
        <f t="shared" si="221"/>
        <v/>
      </c>
      <c r="AR359" s="38">
        <f>'ANR OK vs ML7'!AR359</f>
        <v>0.1</v>
      </c>
      <c r="AS359" s="35" t="str">
        <f t="shared" si="222"/>
        <v/>
      </c>
      <c r="AT359" s="3" t="str">
        <f t="shared" si="223"/>
        <v/>
      </c>
      <c r="AU359" s="3" t="str">
        <f t="shared" si="224"/>
        <v/>
      </c>
      <c r="AW359" s="32" t="str">
        <f t="shared" si="225"/>
        <v/>
      </c>
      <c r="AX359" s="32" t="str">
        <f t="shared" si="226"/>
        <v/>
      </c>
      <c r="AY359" s="32" t="str">
        <f t="shared" si="227"/>
        <v/>
      </c>
      <c r="BA359" s="32" t="str">
        <f>IF($A360="","",F359*Summary!$Q$8)</f>
        <v/>
      </c>
    </row>
    <row r="360" spans="1:53" ht="12" customHeight="1">
      <c r="A360" s="67" t="str">
        <f t="shared" si="228"/>
        <v/>
      </c>
      <c r="B360" s="69">
        <f t="shared" si="230"/>
        <v>0</v>
      </c>
      <c r="C360" s="71"/>
      <c r="D360" s="69" t="str">
        <f t="shared" si="193"/>
        <v/>
      </c>
      <c r="E360" s="70" t="str">
        <f t="shared" si="194"/>
        <v/>
      </c>
      <c r="F360" s="70" t="str">
        <f t="shared" si="195"/>
        <v/>
      </c>
      <c r="G360" s="63" t="str">
        <f t="shared" si="196"/>
        <v/>
      </c>
      <c r="H360" s="64" t="str">
        <f t="shared" si="197"/>
        <v/>
      </c>
      <c r="I360" s="43"/>
      <c r="J360" s="63" t="str">
        <f t="shared" si="198"/>
        <v/>
      </c>
      <c r="K360" s="64" t="str">
        <f t="shared" si="199"/>
        <v/>
      </c>
      <c r="L360" s="63" t="str">
        <f t="shared" si="200"/>
        <v/>
      </c>
      <c r="M360" s="64" t="str">
        <f t="shared" si="201"/>
        <v/>
      </c>
      <c r="N360" s="65"/>
      <c r="O360" s="63" t="str">
        <f t="shared" si="202"/>
        <v/>
      </c>
      <c r="P360" s="63" t="str">
        <f t="shared" si="203"/>
        <v/>
      </c>
      <c r="Q360" s="66"/>
      <c r="R360" s="63" t="str">
        <f t="shared" si="204"/>
        <v/>
      </c>
      <c r="S360" s="64" t="str">
        <f t="shared" si="205"/>
        <v/>
      </c>
      <c r="T360" s="63" t="str">
        <f t="shared" si="206"/>
        <v/>
      </c>
      <c r="U360" s="64" t="str">
        <f t="shared" si="207"/>
        <v/>
      </c>
      <c r="V360" s="207" t="str">
        <f>IF($A361="","",IF(AND(MONTH(A360)&gt;3,MONTH(A360)&lt;11),(T360+R360+G360)*Summary!$T$8/(1-Summary!$T$8),(T360+R360+G360)*Summary!$U$8/(1-Summary!$U$8)))</f>
        <v/>
      </c>
      <c r="W360" s="63" t="str">
        <f t="shared" si="208"/>
        <v/>
      </c>
      <c r="X360" s="63" t="str">
        <f t="shared" si="209"/>
        <v/>
      </c>
      <c r="Y360" s="43"/>
      <c r="Z360" s="38" t="str">
        <f t="shared" si="210"/>
        <v/>
      </c>
      <c r="AA360" s="38" t="str">
        <f t="shared" si="211"/>
        <v/>
      </c>
      <c r="AB360" s="38" t="e">
        <f t="shared" si="212"/>
        <v>#VALUE!</v>
      </c>
      <c r="AC360" s="38" t="str">
        <f t="shared" si="213"/>
        <v/>
      </c>
      <c r="AD360" s="38" t="str">
        <f t="shared" si="213"/>
        <v/>
      </c>
      <c r="AE360" s="38" t="e">
        <f t="shared" si="214"/>
        <v>#VALUE!</v>
      </c>
      <c r="AF360" s="237" t="e">
        <f>((Summary!$N$8*(AA360*AD360)*(A360-$D$3))+(Summary!$M$8*Z360*AC360*(AJ360-EOMONTH(EDATE(A360,-1),0))))/(AK360*AB360*AE360)</f>
        <v>#VALUE!</v>
      </c>
      <c r="AG360" s="88" t="str">
        <f>IF($A361="","",Summary!$Q$8)</f>
        <v/>
      </c>
      <c r="AH360" s="88" t="str">
        <f>IF($A361="","",IF(Summary!$R$8="Y",(VLOOKUP($A360,Summary!$AD$6:$AF$9,3)+'Escalating commodity'!D373),'Escalating commodity'!D373))</f>
        <v/>
      </c>
      <c r="AI360" s="88" t="str">
        <f t="shared" si="229"/>
        <v/>
      </c>
      <c r="AJ360" s="236" t="e">
        <f t="shared" si="215"/>
        <v>#VALUE!</v>
      </c>
      <c r="AK360" s="58" t="str">
        <f t="shared" si="216"/>
        <v/>
      </c>
      <c r="AL360" s="26" t="str">
        <f>IF($A361="","",_xll.SPRDOPT(P360,X360,AI360,0,AB360,AE360,AF360,AK360,$AJ$2,0))</f>
        <v/>
      </c>
      <c r="AM360" s="89" t="str">
        <f t="shared" si="217"/>
        <v/>
      </c>
      <c r="AN360" s="89" t="str">
        <f t="shared" si="218"/>
        <v/>
      </c>
      <c r="AO360" s="3" t="str">
        <f t="shared" si="219"/>
        <v/>
      </c>
      <c r="AP360" s="33" t="str">
        <f t="shared" si="220"/>
        <v/>
      </c>
      <c r="AQ360" s="58" t="str">
        <f t="shared" si="221"/>
        <v/>
      </c>
      <c r="AR360" s="38">
        <f>'ANR OK vs ML7'!AR360</f>
        <v>0.1</v>
      </c>
      <c r="AS360" s="35" t="str">
        <f t="shared" si="222"/>
        <v/>
      </c>
      <c r="AT360" s="3" t="str">
        <f t="shared" si="223"/>
        <v/>
      </c>
      <c r="AU360" s="3" t="str">
        <f t="shared" si="224"/>
        <v/>
      </c>
      <c r="AW360" s="32" t="str">
        <f t="shared" si="225"/>
        <v/>
      </c>
      <c r="AX360" s="32" t="str">
        <f t="shared" si="226"/>
        <v/>
      </c>
      <c r="AY360" s="32" t="str">
        <f t="shared" si="227"/>
        <v/>
      </c>
      <c r="BA360" s="32" t="str">
        <f>IF($A361="","",F360*Summary!$Q$8)</f>
        <v/>
      </c>
    </row>
    <row r="361" spans="1:53" ht="12" customHeight="1">
      <c r="A361" s="67" t="str">
        <f t="shared" si="228"/>
        <v/>
      </c>
      <c r="B361" s="69">
        <f t="shared" si="230"/>
        <v>0</v>
      </c>
      <c r="C361" s="71"/>
      <c r="D361" s="69" t="str">
        <f t="shared" si="193"/>
        <v/>
      </c>
      <c r="E361" s="70" t="str">
        <f t="shared" si="194"/>
        <v/>
      </c>
      <c r="F361" s="70" t="str">
        <f t="shared" si="195"/>
        <v/>
      </c>
      <c r="G361" s="63" t="str">
        <f t="shared" si="196"/>
        <v/>
      </c>
      <c r="H361" s="64" t="str">
        <f t="shared" si="197"/>
        <v/>
      </c>
      <c r="I361" s="43"/>
      <c r="J361" s="63" t="str">
        <f t="shared" si="198"/>
        <v/>
      </c>
      <c r="K361" s="64" t="str">
        <f t="shared" si="199"/>
        <v/>
      </c>
      <c r="L361" s="63" t="str">
        <f t="shared" si="200"/>
        <v/>
      </c>
      <c r="M361" s="64" t="str">
        <f t="shared" si="201"/>
        <v/>
      </c>
      <c r="N361" s="65"/>
      <c r="O361" s="63" t="str">
        <f t="shared" si="202"/>
        <v/>
      </c>
      <c r="P361" s="63" t="str">
        <f t="shared" si="203"/>
        <v/>
      </c>
      <c r="Q361" s="66"/>
      <c r="R361" s="63" t="str">
        <f t="shared" si="204"/>
        <v/>
      </c>
      <c r="S361" s="64" t="str">
        <f t="shared" si="205"/>
        <v/>
      </c>
      <c r="T361" s="63" t="str">
        <f t="shared" si="206"/>
        <v/>
      </c>
      <c r="U361" s="64" t="str">
        <f t="shared" si="207"/>
        <v/>
      </c>
      <c r="V361" s="207" t="str">
        <f>IF($A362="","",IF(AND(MONTH(A361)&gt;3,MONTH(A361)&lt;11),(T361+R361+G361)*Summary!$T$8/(1-Summary!$T$8),(T361+R361+G361)*Summary!$U$8/(1-Summary!$U$8)))</f>
        <v/>
      </c>
      <c r="W361" s="63" t="str">
        <f t="shared" si="208"/>
        <v/>
      </c>
      <c r="X361" s="63" t="str">
        <f t="shared" si="209"/>
        <v/>
      </c>
      <c r="Y361" s="43"/>
      <c r="Z361" s="38" t="str">
        <f t="shared" si="210"/>
        <v/>
      </c>
      <c r="AA361" s="38" t="str">
        <f t="shared" si="211"/>
        <v/>
      </c>
      <c r="AB361" s="38" t="e">
        <f t="shared" si="212"/>
        <v>#VALUE!</v>
      </c>
      <c r="AC361" s="38" t="str">
        <f t="shared" si="213"/>
        <v/>
      </c>
      <c r="AD361" s="38" t="str">
        <f t="shared" si="213"/>
        <v/>
      </c>
      <c r="AE361" s="38" t="e">
        <f t="shared" si="214"/>
        <v>#VALUE!</v>
      </c>
      <c r="AF361" s="237" t="e">
        <f>((Summary!$N$8*(AA361*AD361)*(A361-$D$3))+(Summary!$M$8*Z361*AC361*(AJ361-EOMONTH(EDATE(A361,-1),0))))/(AK361*AB361*AE361)</f>
        <v>#VALUE!</v>
      </c>
      <c r="AG361" s="88" t="str">
        <f>IF($A362="","",Summary!$Q$8)</f>
        <v/>
      </c>
      <c r="AH361" s="88" t="str">
        <f>IF($A362="","",IF(Summary!$R$8="Y",(VLOOKUP($A361,Summary!$AD$6:$AF$9,3)+'Escalating commodity'!D374),'Escalating commodity'!D374))</f>
        <v/>
      </c>
      <c r="AI361" s="88" t="str">
        <f t="shared" si="229"/>
        <v/>
      </c>
      <c r="AJ361" s="236" t="e">
        <f t="shared" si="215"/>
        <v>#VALUE!</v>
      </c>
      <c r="AK361" s="58" t="str">
        <f t="shared" si="216"/>
        <v/>
      </c>
      <c r="AL361" s="26" t="str">
        <f>IF($A362="","",_xll.SPRDOPT(P361,X361,AI361,0,AB361,AE361,AF361,AK361,$AJ$2,0))</f>
        <v/>
      </c>
      <c r="AM361" s="89" t="str">
        <f t="shared" si="217"/>
        <v/>
      </c>
      <c r="AN361" s="89" t="str">
        <f t="shared" si="218"/>
        <v/>
      </c>
      <c r="AO361" s="3" t="str">
        <f t="shared" si="219"/>
        <v/>
      </c>
      <c r="AP361" s="33" t="str">
        <f t="shared" si="220"/>
        <v/>
      </c>
      <c r="AQ361" s="58" t="str">
        <f t="shared" si="221"/>
        <v/>
      </c>
      <c r="AR361" s="38">
        <f>'ANR OK vs ML7'!AR361</f>
        <v>0.1</v>
      </c>
      <c r="AS361" s="35" t="str">
        <f t="shared" si="222"/>
        <v/>
      </c>
      <c r="AT361" s="3" t="str">
        <f t="shared" si="223"/>
        <v/>
      </c>
      <c r="AU361" s="3" t="str">
        <f t="shared" si="224"/>
        <v/>
      </c>
      <c r="AW361" s="32" t="str">
        <f t="shared" si="225"/>
        <v/>
      </c>
      <c r="AX361" s="32" t="str">
        <f t="shared" si="226"/>
        <v/>
      </c>
      <c r="AY361" s="32" t="str">
        <f t="shared" si="227"/>
        <v/>
      </c>
      <c r="BA361" s="32" t="str">
        <f>IF($A362="","",F361*Summary!$Q$8)</f>
        <v/>
      </c>
    </row>
    <row r="362" spans="1:53" ht="12" customHeight="1">
      <c r="A362" s="67" t="str">
        <f t="shared" si="228"/>
        <v/>
      </c>
      <c r="B362" s="69">
        <f t="shared" si="230"/>
        <v>0</v>
      </c>
      <c r="C362" s="71"/>
      <c r="D362" s="69" t="str">
        <f t="shared" si="193"/>
        <v/>
      </c>
      <c r="E362" s="70" t="str">
        <f t="shared" si="194"/>
        <v/>
      </c>
      <c r="F362" s="70" t="str">
        <f t="shared" si="195"/>
        <v/>
      </c>
      <c r="G362" s="63" t="str">
        <f t="shared" si="196"/>
        <v/>
      </c>
      <c r="H362" s="64" t="str">
        <f t="shared" si="197"/>
        <v/>
      </c>
      <c r="I362" s="43"/>
      <c r="J362" s="63" t="str">
        <f t="shared" si="198"/>
        <v/>
      </c>
      <c r="K362" s="64" t="str">
        <f t="shared" si="199"/>
        <v/>
      </c>
      <c r="L362" s="63" t="str">
        <f t="shared" si="200"/>
        <v/>
      </c>
      <c r="M362" s="64" t="str">
        <f t="shared" si="201"/>
        <v/>
      </c>
      <c r="N362" s="65"/>
      <c r="O362" s="63" t="str">
        <f t="shared" si="202"/>
        <v/>
      </c>
      <c r="P362" s="63" t="str">
        <f t="shared" si="203"/>
        <v/>
      </c>
      <c r="Q362" s="66"/>
      <c r="R362" s="63" t="str">
        <f t="shared" si="204"/>
        <v/>
      </c>
      <c r="S362" s="64" t="str">
        <f t="shared" si="205"/>
        <v/>
      </c>
      <c r="T362" s="63" t="str">
        <f t="shared" si="206"/>
        <v/>
      </c>
      <c r="U362" s="64" t="str">
        <f t="shared" si="207"/>
        <v/>
      </c>
      <c r="V362" s="207" t="str">
        <f>IF($A363="","",IF(AND(MONTH(A362)&gt;3,MONTH(A362)&lt;11),(T362+R362+G362)*Summary!$T$8/(1-Summary!$T$8),(T362+R362+G362)*Summary!$U$8/(1-Summary!$U$8)))</f>
        <v/>
      </c>
      <c r="W362" s="63" t="str">
        <f t="shared" si="208"/>
        <v/>
      </c>
      <c r="X362" s="63" t="str">
        <f t="shared" si="209"/>
        <v/>
      </c>
      <c r="Y362" s="43"/>
      <c r="Z362" s="38" t="str">
        <f t="shared" si="210"/>
        <v/>
      </c>
      <c r="AA362" s="38" t="str">
        <f t="shared" si="211"/>
        <v/>
      </c>
      <c r="AB362" s="38" t="e">
        <f t="shared" si="212"/>
        <v>#VALUE!</v>
      </c>
      <c r="AC362" s="38" t="str">
        <f t="shared" si="213"/>
        <v/>
      </c>
      <c r="AD362" s="38" t="str">
        <f t="shared" si="213"/>
        <v/>
      </c>
      <c r="AE362" s="38" t="e">
        <f t="shared" si="214"/>
        <v>#VALUE!</v>
      </c>
      <c r="AF362" s="237" t="e">
        <f>((Summary!$N$8*(AA362*AD362)*(A362-$D$3))+(Summary!$M$8*Z362*AC362*(AJ362-EOMONTH(EDATE(A362,-1),0))))/(AK362*AB362*AE362)</f>
        <v>#VALUE!</v>
      </c>
      <c r="AG362" s="88" t="str">
        <f>IF($A363="","",Summary!$Q$8)</f>
        <v/>
      </c>
      <c r="AH362" s="88" t="str">
        <f>IF($A363="","",IF(Summary!$R$8="Y",(VLOOKUP($A362,Summary!$AD$6:$AF$9,3)+'Escalating commodity'!D375),'Escalating commodity'!D375))</f>
        <v/>
      </c>
      <c r="AI362" s="88" t="str">
        <f t="shared" si="229"/>
        <v/>
      </c>
      <c r="AJ362" s="236" t="e">
        <f t="shared" si="215"/>
        <v>#VALUE!</v>
      </c>
      <c r="AK362" s="58" t="str">
        <f t="shared" si="216"/>
        <v/>
      </c>
      <c r="AL362" s="26" t="str">
        <f>IF($A363="","",_xll.SPRDOPT(P362,X362,AI362,0,AB362,AE362,AF362,AK362,$AJ$2,0))</f>
        <v/>
      </c>
      <c r="AM362" s="89" t="str">
        <f t="shared" si="217"/>
        <v/>
      </c>
      <c r="AN362" s="89" t="str">
        <f t="shared" si="218"/>
        <v/>
      </c>
      <c r="AO362" s="3" t="str">
        <f t="shared" si="219"/>
        <v/>
      </c>
      <c r="AP362" s="33" t="str">
        <f t="shared" si="220"/>
        <v/>
      </c>
      <c r="AQ362" s="58" t="str">
        <f t="shared" si="221"/>
        <v/>
      </c>
      <c r="AR362" s="38">
        <f>'ANR OK vs ML7'!AR362</f>
        <v>0.1</v>
      </c>
      <c r="AS362" s="35" t="str">
        <f t="shared" si="222"/>
        <v/>
      </c>
      <c r="AT362" s="3" t="str">
        <f t="shared" si="223"/>
        <v/>
      </c>
      <c r="AU362" s="3" t="str">
        <f t="shared" si="224"/>
        <v/>
      </c>
      <c r="AW362" s="32" t="str">
        <f t="shared" si="225"/>
        <v/>
      </c>
      <c r="AX362" s="32" t="str">
        <f t="shared" si="226"/>
        <v/>
      </c>
      <c r="AY362" s="32" t="str">
        <f t="shared" si="227"/>
        <v/>
      </c>
      <c r="BA362" s="32" t="str">
        <f>IF($A363="","",F362*Summary!$Q$8)</f>
        <v/>
      </c>
    </row>
    <row r="363" spans="1:53" ht="12" customHeight="1">
      <c r="A363" s="67" t="str">
        <f t="shared" si="228"/>
        <v/>
      </c>
      <c r="B363" s="69">
        <f t="shared" si="230"/>
        <v>0</v>
      </c>
      <c r="C363" s="71"/>
      <c r="D363" s="69" t="str">
        <f t="shared" si="193"/>
        <v/>
      </c>
      <c r="E363" s="70" t="str">
        <f t="shared" si="194"/>
        <v/>
      </c>
      <c r="F363" s="70" t="str">
        <f t="shared" si="195"/>
        <v/>
      </c>
      <c r="G363" s="63" t="str">
        <f t="shared" si="196"/>
        <v/>
      </c>
      <c r="H363" s="64" t="str">
        <f t="shared" si="197"/>
        <v/>
      </c>
      <c r="I363" s="43"/>
      <c r="J363" s="63" t="str">
        <f t="shared" si="198"/>
        <v/>
      </c>
      <c r="K363" s="64" t="str">
        <f t="shared" si="199"/>
        <v/>
      </c>
      <c r="L363" s="63" t="str">
        <f t="shared" si="200"/>
        <v/>
      </c>
      <c r="M363" s="64" t="str">
        <f t="shared" si="201"/>
        <v/>
      </c>
      <c r="N363" s="65"/>
      <c r="O363" s="63" t="str">
        <f t="shared" si="202"/>
        <v/>
      </c>
      <c r="P363" s="63" t="str">
        <f t="shared" si="203"/>
        <v/>
      </c>
      <c r="Q363" s="66"/>
      <c r="R363" s="63" t="str">
        <f t="shared" si="204"/>
        <v/>
      </c>
      <c r="S363" s="64" t="str">
        <f t="shared" si="205"/>
        <v/>
      </c>
      <c r="T363" s="63" t="str">
        <f t="shared" si="206"/>
        <v/>
      </c>
      <c r="U363" s="64" t="str">
        <f t="shared" si="207"/>
        <v/>
      </c>
      <c r="V363" s="207" t="str">
        <f>IF($A364="","",IF(AND(MONTH(A363)&gt;3,MONTH(A363)&lt;11),(T363+R363+G363)*Summary!$T$8/(1-Summary!$T$8),(T363+R363+G363)*Summary!$U$8/(1-Summary!$U$8)))</f>
        <v/>
      </c>
      <c r="W363" s="63" t="str">
        <f t="shared" si="208"/>
        <v/>
      </c>
      <c r="X363" s="63" t="str">
        <f t="shared" si="209"/>
        <v/>
      </c>
      <c r="Y363" s="43"/>
      <c r="Z363" s="38" t="str">
        <f t="shared" si="210"/>
        <v/>
      </c>
      <c r="AA363" s="38" t="str">
        <f t="shared" si="211"/>
        <v/>
      </c>
      <c r="AB363" s="38" t="e">
        <f t="shared" si="212"/>
        <v>#VALUE!</v>
      </c>
      <c r="AC363" s="38" t="str">
        <f t="shared" si="213"/>
        <v/>
      </c>
      <c r="AD363" s="38" t="str">
        <f t="shared" si="213"/>
        <v/>
      </c>
      <c r="AE363" s="38" t="e">
        <f t="shared" si="214"/>
        <v>#VALUE!</v>
      </c>
      <c r="AF363" s="237" t="e">
        <f>((Summary!$N$8*(AA363*AD363)*(A363-$D$3))+(Summary!$M$8*Z363*AC363*(AJ363-EOMONTH(EDATE(A363,-1),0))))/(AK363*AB363*AE363)</f>
        <v>#VALUE!</v>
      </c>
      <c r="AG363" s="88" t="str">
        <f>IF($A364="","",Summary!$Q$8)</f>
        <v/>
      </c>
      <c r="AH363" s="88" t="str">
        <f>IF($A364="","",IF(Summary!$R$8="Y",(VLOOKUP($A363,Summary!$AD$6:$AF$9,3)+'Escalating commodity'!D376),'Escalating commodity'!D376))</f>
        <v/>
      </c>
      <c r="AI363" s="88" t="str">
        <f t="shared" si="229"/>
        <v/>
      </c>
      <c r="AJ363" s="236" t="e">
        <f t="shared" si="215"/>
        <v>#VALUE!</v>
      </c>
      <c r="AK363" s="58" t="str">
        <f t="shared" si="216"/>
        <v/>
      </c>
      <c r="AL363" s="26" t="str">
        <f>IF($A364="","",_xll.SPRDOPT(P363,X363,AI363,0,AB363,AE363,AF363,AK363,$AJ$2,0))</f>
        <v/>
      </c>
      <c r="AM363" s="89" t="str">
        <f t="shared" si="217"/>
        <v/>
      </c>
      <c r="AN363" s="89" t="str">
        <f t="shared" si="218"/>
        <v/>
      </c>
      <c r="AO363" s="3" t="str">
        <f t="shared" si="219"/>
        <v/>
      </c>
      <c r="AP363" s="33" t="str">
        <f t="shared" si="220"/>
        <v/>
      </c>
      <c r="AQ363" s="58" t="str">
        <f t="shared" si="221"/>
        <v/>
      </c>
      <c r="AR363" s="38">
        <f>'ANR OK vs ML7'!AR363</f>
        <v>0.1</v>
      </c>
      <c r="AS363" s="35" t="str">
        <f t="shared" si="222"/>
        <v/>
      </c>
      <c r="AT363" s="3" t="str">
        <f t="shared" si="223"/>
        <v/>
      </c>
      <c r="AU363" s="3" t="str">
        <f t="shared" si="224"/>
        <v/>
      </c>
      <c r="AW363" s="32" t="str">
        <f t="shared" si="225"/>
        <v/>
      </c>
      <c r="AX363" s="32" t="str">
        <f t="shared" si="226"/>
        <v/>
      </c>
      <c r="AY363" s="32" t="str">
        <f t="shared" si="227"/>
        <v/>
      </c>
      <c r="BA363" s="32" t="str">
        <f>IF($A364="","",F363*Summary!$Q$8)</f>
        <v/>
      </c>
    </row>
    <row r="364" spans="1:53" ht="12" customHeight="1">
      <c r="A364" s="67" t="str">
        <f t="shared" si="228"/>
        <v/>
      </c>
      <c r="B364" s="69">
        <f t="shared" si="230"/>
        <v>0</v>
      </c>
      <c r="C364" s="71"/>
      <c r="D364" s="69" t="str">
        <f t="shared" si="193"/>
        <v/>
      </c>
      <c r="E364" s="70" t="str">
        <f t="shared" si="194"/>
        <v/>
      </c>
      <c r="F364" s="70" t="str">
        <f t="shared" si="195"/>
        <v/>
      </c>
      <c r="G364" s="63" t="str">
        <f t="shared" si="196"/>
        <v/>
      </c>
      <c r="H364" s="64" t="str">
        <f t="shared" si="197"/>
        <v/>
      </c>
      <c r="I364" s="43"/>
      <c r="J364" s="63" t="str">
        <f t="shared" si="198"/>
        <v/>
      </c>
      <c r="K364" s="64" t="str">
        <f t="shared" si="199"/>
        <v/>
      </c>
      <c r="L364" s="63" t="str">
        <f t="shared" si="200"/>
        <v/>
      </c>
      <c r="M364" s="64" t="str">
        <f t="shared" si="201"/>
        <v/>
      </c>
      <c r="N364" s="65"/>
      <c r="O364" s="63" t="str">
        <f t="shared" si="202"/>
        <v/>
      </c>
      <c r="P364" s="63" t="str">
        <f t="shared" si="203"/>
        <v/>
      </c>
      <c r="Q364" s="66"/>
      <c r="R364" s="63" t="str">
        <f t="shared" si="204"/>
        <v/>
      </c>
      <c r="S364" s="64" t="str">
        <f t="shared" si="205"/>
        <v/>
      </c>
      <c r="T364" s="63" t="str">
        <f t="shared" si="206"/>
        <v/>
      </c>
      <c r="U364" s="64" t="str">
        <f t="shared" si="207"/>
        <v/>
      </c>
      <c r="V364" s="207" t="str">
        <f>IF($A365="","",IF(AND(MONTH(A364)&gt;3,MONTH(A364)&lt;11),(T364+R364+G364)*Summary!$T$8/(1-Summary!$T$8),(T364+R364+G364)*Summary!$U$8/(1-Summary!$U$8)))</f>
        <v/>
      </c>
      <c r="W364" s="63" t="str">
        <f t="shared" si="208"/>
        <v/>
      </c>
      <c r="X364" s="63" t="str">
        <f t="shared" si="209"/>
        <v/>
      </c>
      <c r="Y364" s="43"/>
      <c r="Z364" s="38" t="str">
        <f t="shared" si="210"/>
        <v/>
      </c>
      <c r="AA364" s="38" t="str">
        <f t="shared" si="211"/>
        <v/>
      </c>
      <c r="AB364" s="38" t="e">
        <f t="shared" si="212"/>
        <v>#VALUE!</v>
      </c>
      <c r="AC364" s="38" t="str">
        <f t="shared" si="213"/>
        <v/>
      </c>
      <c r="AD364" s="38" t="str">
        <f t="shared" si="213"/>
        <v/>
      </c>
      <c r="AE364" s="38" t="e">
        <f t="shared" si="214"/>
        <v>#VALUE!</v>
      </c>
      <c r="AF364" s="237" t="e">
        <f>((Summary!$N$8*(AA364*AD364)*(A364-$D$3))+(Summary!$M$8*Z364*AC364*(AJ364-EOMONTH(EDATE(A364,-1),0))))/(AK364*AB364*AE364)</f>
        <v>#VALUE!</v>
      </c>
      <c r="AG364" s="88" t="str">
        <f>IF($A365="","",Summary!$Q$8)</f>
        <v/>
      </c>
      <c r="AH364" s="88" t="str">
        <f>IF($A365="","",IF(Summary!$R$8="Y",(VLOOKUP($A364,Summary!$AD$6:$AF$9,3)+'Escalating commodity'!D377),'Escalating commodity'!D377))</f>
        <v/>
      </c>
      <c r="AI364" s="88" t="str">
        <f t="shared" si="229"/>
        <v/>
      </c>
      <c r="AJ364" s="236" t="e">
        <f t="shared" si="215"/>
        <v>#VALUE!</v>
      </c>
      <c r="AK364" s="58" t="str">
        <f t="shared" si="216"/>
        <v/>
      </c>
      <c r="AL364" s="26" t="str">
        <f>IF($A365="","",_xll.SPRDOPT(P364,X364,AI364,0,AB364,AE364,AF364,AK364,$AJ$2,0))</f>
        <v/>
      </c>
      <c r="AM364" s="89" t="str">
        <f t="shared" si="217"/>
        <v/>
      </c>
      <c r="AN364" s="89" t="str">
        <f t="shared" si="218"/>
        <v/>
      </c>
      <c r="AO364" s="3" t="str">
        <f t="shared" si="219"/>
        <v/>
      </c>
      <c r="AP364" s="33" t="str">
        <f t="shared" si="220"/>
        <v/>
      </c>
      <c r="AQ364" s="58" t="str">
        <f t="shared" si="221"/>
        <v/>
      </c>
      <c r="AR364" s="38">
        <f>'ANR OK vs ML7'!AR364</f>
        <v>0.1</v>
      </c>
      <c r="AS364" s="35" t="str">
        <f t="shared" si="222"/>
        <v/>
      </c>
      <c r="AT364" s="3" t="str">
        <f t="shared" si="223"/>
        <v/>
      </c>
      <c r="AU364" s="3" t="str">
        <f t="shared" si="224"/>
        <v/>
      </c>
      <c r="AW364" s="32" t="str">
        <f t="shared" si="225"/>
        <v/>
      </c>
      <c r="AX364" s="32" t="str">
        <f t="shared" si="226"/>
        <v/>
      </c>
      <c r="AY364" s="32" t="str">
        <f t="shared" si="227"/>
        <v/>
      </c>
      <c r="BA364" s="32" t="str">
        <f>IF($A365="","",F364*Summary!$Q$8)</f>
        <v/>
      </c>
    </row>
    <row r="365" spans="1:53" ht="12" customHeight="1">
      <c r="A365" s="67" t="str">
        <f t="shared" si="228"/>
        <v/>
      </c>
      <c r="B365" s="69">
        <f t="shared" si="230"/>
        <v>0</v>
      </c>
      <c r="C365" s="71"/>
      <c r="D365" s="69" t="str">
        <f t="shared" si="193"/>
        <v/>
      </c>
      <c r="E365" s="70" t="str">
        <f t="shared" si="194"/>
        <v/>
      </c>
      <c r="F365" s="70" t="str">
        <f t="shared" si="195"/>
        <v/>
      </c>
      <c r="G365" s="63" t="str">
        <f t="shared" si="196"/>
        <v/>
      </c>
      <c r="H365" s="64" t="str">
        <f t="shared" si="197"/>
        <v/>
      </c>
      <c r="I365" s="43"/>
      <c r="J365" s="63" t="str">
        <f t="shared" si="198"/>
        <v/>
      </c>
      <c r="K365" s="64" t="str">
        <f t="shared" si="199"/>
        <v/>
      </c>
      <c r="L365" s="63" t="str">
        <f t="shared" si="200"/>
        <v/>
      </c>
      <c r="M365" s="64" t="str">
        <f t="shared" si="201"/>
        <v/>
      </c>
      <c r="N365" s="65"/>
      <c r="O365" s="63" t="str">
        <f t="shared" si="202"/>
        <v/>
      </c>
      <c r="P365" s="63" t="str">
        <f t="shared" si="203"/>
        <v/>
      </c>
      <c r="Q365" s="66"/>
      <c r="R365" s="63" t="str">
        <f t="shared" si="204"/>
        <v/>
      </c>
      <c r="S365" s="64" t="str">
        <f t="shared" si="205"/>
        <v/>
      </c>
      <c r="T365" s="63" t="str">
        <f t="shared" si="206"/>
        <v/>
      </c>
      <c r="U365" s="64" t="str">
        <f t="shared" si="207"/>
        <v/>
      </c>
      <c r="V365" s="207" t="str">
        <f>IF($A366="","",IF(AND(MONTH(A365)&gt;3,MONTH(A365)&lt;11),(T365+R365+G365)*Summary!$T$8/(1-Summary!$T$8),(T365+R365+G365)*Summary!$U$8/(1-Summary!$U$8)))</f>
        <v/>
      </c>
      <c r="W365" s="63" t="str">
        <f t="shared" si="208"/>
        <v/>
      </c>
      <c r="X365" s="63" t="str">
        <f t="shared" si="209"/>
        <v/>
      </c>
      <c r="Y365" s="43"/>
      <c r="Z365" s="38" t="str">
        <f t="shared" si="210"/>
        <v/>
      </c>
      <c r="AA365" s="38" t="str">
        <f t="shared" si="211"/>
        <v/>
      </c>
      <c r="AB365" s="38" t="e">
        <f t="shared" si="212"/>
        <v>#VALUE!</v>
      </c>
      <c r="AC365" s="38" t="str">
        <f t="shared" si="213"/>
        <v/>
      </c>
      <c r="AD365" s="38" t="str">
        <f t="shared" si="213"/>
        <v/>
      </c>
      <c r="AE365" s="38" t="e">
        <f t="shared" si="214"/>
        <v>#VALUE!</v>
      </c>
      <c r="AF365" s="237" t="e">
        <f>((Summary!$N$8*(AA365*AD365)*(A365-$D$3))+(Summary!$M$8*Z365*AC365*(AJ365-EOMONTH(EDATE(A365,-1),0))))/(AK365*AB365*AE365)</f>
        <v>#VALUE!</v>
      </c>
      <c r="AG365" s="88" t="str">
        <f>IF($A366="","",Summary!$Q$8)</f>
        <v/>
      </c>
      <c r="AH365" s="88" t="str">
        <f>IF($A366="","",IF(Summary!$R$8="Y",(VLOOKUP($A365,Summary!$AD$6:$AF$9,3)+'Escalating commodity'!D378),'Escalating commodity'!D378))</f>
        <v/>
      </c>
      <c r="AI365" s="88" t="str">
        <f t="shared" si="229"/>
        <v/>
      </c>
      <c r="AJ365" s="236" t="e">
        <f t="shared" si="215"/>
        <v>#VALUE!</v>
      </c>
      <c r="AK365" s="58" t="str">
        <f t="shared" si="216"/>
        <v/>
      </c>
      <c r="AL365" s="26" t="str">
        <f>IF($A366="","",_xll.SPRDOPT(P365,X365,AI365,0,AB365,AE365,AF365,AK365,$AJ$2,0))</f>
        <v/>
      </c>
      <c r="AM365" s="89" t="str">
        <f t="shared" si="217"/>
        <v/>
      </c>
      <c r="AN365" s="89" t="str">
        <f t="shared" si="218"/>
        <v/>
      </c>
      <c r="AO365" s="3" t="str">
        <f t="shared" si="219"/>
        <v/>
      </c>
      <c r="AP365" s="33" t="str">
        <f t="shared" si="220"/>
        <v/>
      </c>
      <c r="AQ365" s="58" t="str">
        <f t="shared" si="221"/>
        <v/>
      </c>
      <c r="AR365" s="38">
        <f>'ANR OK vs ML7'!AR365</f>
        <v>0.1</v>
      </c>
      <c r="AS365" s="35" t="str">
        <f t="shared" si="222"/>
        <v/>
      </c>
      <c r="AT365" s="3" t="str">
        <f t="shared" si="223"/>
        <v/>
      </c>
      <c r="AU365" s="3" t="str">
        <f t="shared" si="224"/>
        <v/>
      </c>
      <c r="AW365" s="32" t="str">
        <f t="shared" si="225"/>
        <v/>
      </c>
      <c r="AX365" s="32" t="str">
        <f t="shared" si="226"/>
        <v/>
      </c>
      <c r="AY365" s="32" t="str">
        <f t="shared" si="227"/>
        <v/>
      </c>
      <c r="BA365" s="32" t="str">
        <f>IF($A366="","",F365*Summary!$Q$8)</f>
        <v/>
      </c>
    </row>
    <row r="366" spans="1:53" ht="12" customHeight="1">
      <c r="A366" s="67" t="str">
        <f t="shared" si="228"/>
        <v/>
      </c>
      <c r="B366" s="69">
        <f t="shared" si="230"/>
        <v>0</v>
      </c>
      <c r="C366" s="71"/>
      <c r="D366" s="69" t="str">
        <f t="shared" si="193"/>
        <v/>
      </c>
      <c r="E366" s="70" t="str">
        <f t="shared" si="194"/>
        <v/>
      </c>
      <c r="F366" s="70" t="str">
        <f t="shared" si="195"/>
        <v/>
      </c>
      <c r="G366" s="63" t="str">
        <f t="shared" si="196"/>
        <v/>
      </c>
      <c r="H366" s="64" t="str">
        <f t="shared" si="197"/>
        <v/>
      </c>
      <c r="I366" s="43"/>
      <c r="J366" s="63" t="str">
        <f t="shared" si="198"/>
        <v/>
      </c>
      <c r="K366" s="64" t="str">
        <f t="shared" si="199"/>
        <v/>
      </c>
      <c r="L366" s="63" t="str">
        <f t="shared" si="200"/>
        <v/>
      </c>
      <c r="M366" s="64" t="str">
        <f t="shared" si="201"/>
        <v/>
      </c>
      <c r="N366" s="65"/>
      <c r="O366" s="63" t="str">
        <f t="shared" si="202"/>
        <v/>
      </c>
      <c r="P366" s="63" t="str">
        <f t="shared" si="203"/>
        <v/>
      </c>
      <c r="Q366" s="66"/>
      <c r="R366" s="63" t="str">
        <f t="shared" si="204"/>
        <v/>
      </c>
      <c r="S366" s="64" t="str">
        <f t="shared" si="205"/>
        <v/>
      </c>
      <c r="T366" s="63" t="str">
        <f t="shared" si="206"/>
        <v/>
      </c>
      <c r="U366" s="64" t="str">
        <f t="shared" si="207"/>
        <v/>
      </c>
      <c r="V366" s="207" t="str">
        <f>IF($A367="","",IF(AND(MONTH(A366)&gt;3,MONTH(A366)&lt;11),(T366+R366+G366)*Summary!$T$8/(1-Summary!$T$8),(T366+R366+G366)*Summary!$U$8/(1-Summary!$U$8)))</f>
        <v/>
      </c>
      <c r="W366" s="63" t="str">
        <f t="shared" si="208"/>
        <v/>
      </c>
      <c r="X366" s="63" t="str">
        <f t="shared" si="209"/>
        <v/>
      </c>
      <c r="Y366" s="43"/>
      <c r="Z366" s="38" t="str">
        <f t="shared" si="210"/>
        <v/>
      </c>
      <c r="AA366" s="38" t="str">
        <f t="shared" si="211"/>
        <v/>
      </c>
      <c r="AB366" s="38" t="e">
        <f t="shared" si="212"/>
        <v>#VALUE!</v>
      </c>
      <c r="AC366" s="38" t="str">
        <f t="shared" si="213"/>
        <v/>
      </c>
      <c r="AD366" s="38" t="str">
        <f t="shared" si="213"/>
        <v/>
      </c>
      <c r="AE366" s="38" t="e">
        <f t="shared" si="214"/>
        <v>#VALUE!</v>
      </c>
      <c r="AF366" s="237" t="e">
        <f>((Summary!$N$8*(AA366*AD366)*(A366-$D$3))+(Summary!$M$8*Z366*AC366*(AJ366-EOMONTH(EDATE(A366,-1),0))))/(AK366*AB366*AE366)</f>
        <v>#VALUE!</v>
      </c>
      <c r="AG366" s="88" t="str">
        <f>IF($A367="","",Summary!$Q$8)</f>
        <v/>
      </c>
      <c r="AH366" s="88" t="str">
        <f>IF($A367="","",IF(Summary!$R$8="Y",(VLOOKUP($A366,Summary!$AD$6:$AF$9,3)+'Escalating commodity'!D379),'Escalating commodity'!D379))</f>
        <v/>
      </c>
      <c r="AI366" s="88" t="str">
        <f t="shared" si="229"/>
        <v/>
      </c>
      <c r="AJ366" s="236" t="e">
        <f t="shared" si="215"/>
        <v>#VALUE!</v>
      </c>
      <c r="AK366" s="58" t="str">
        <f t="shared" si="216"/>
        <v/>
      </c>
      <c r="AL366" s="26" t="str">
        <f>IF($A367="","",_xll.SPRDOPT(P366,X366,AI366,0,AB366,AE366,AF366,AK366,$AJ$2,0))</f>
        <v/>
      </c>
      <c r="AM366" s="89" t="str">
        <f t="shared" si="217"/>
        <v/>
      </c>
      <c r="AN366" s="89" t="str">
        <f t="shared" si="218"/>
        <v/>
      </c>
      <c r="AO366" s="3" t="str">
        <f t="shared" si="219"/>
        <v/>
      </c>
      <c r="AP366" s="33" t="str">
        <f t="shared" si="220"/>
        <v/>
      </c>
      <c r="AQ366" s="58" t="str">
        <f t="shared" si="221"/>
        <v/>
      </c>
      <c r="AR366" s="38">
        <f>'ANR OK vs ML7'!AR366</f>
        <v>0.1</v>
      </c>
      <c r="AS366" s="35" t="str">
        <f t="shared" si="222"/>
        <v/>
      </c>
      <c r="AT366" s="3" t="str">
        <f t="shared" si="223"/>
        <v/>
      </c>
      <c r="AU366" s="3" t="str">
        <f t="shared" si="224"/>
        <v/>
      </c>
      <c r="AW366" s="32" t="str">
        <f t="shared" si="225"/>
        <v/>
      </c>
      <c r="AX366" s="32" t="str">
        <f t="shared" si="226"/>
        <v/>
      </c>
      <c r="AY366" s="32" t="str">
        <f t="shared" si="227"/>
        <v/>
      </c>
      <c r="BA366" s="32" t="str">
        <f>IF($A367="","",F366*Summary!$Q$8)</f>
        <v/>
      </c>
    </row>
    <row r="367" spans="1:53" ht="12" customHeight="1">
      <c r="A367" s="67" t="str">
        <f t="shared" si="228"/>
        <v/>
      </c>
      <c r="B367" s="69">
        <f t="shared" si="230"/>
        <v>0</v>
      </c>
      <c r="C367" s="71"/>
      <c r="D367" s="69" t="str">
        <f t="shared" si="193"/>
        <v/>
      </c>
      <c r="E367" s="70" t="str">
        <f t="shared" si="194"/>
        <v/>
      </c>
      <c r="F367" s="70" t="str">
        <f t="shared" si="195"/>
        <v/>
      </c>
      <c r="G367" s="63" t="str">
        <f t="shared" si="196"/>
        <v/>
      </c>
      <c r="H367" s="64" t="str">
        <f t="shared" si="197"/>
        <v/>
      </c>
      <c r="I367" s="43"/>
      <c r="J367" s="63" t="str">
        <f t="shared" si="198"/>
        <v/>
      </c>
      <c r="K367" s="64" t="str">
        <f t="shared" si="199"/>
        <v/>
      </c>
      <c r="L367" s="63" t="str">
        <f t="shared" si="200"/>
        <v/>
      </c>
      <c r="M367" s="64" t="str">
        <f t="shared" si="201"/>
        <v/>
      </c>
      <c r="N367" s="65"/>
      <c r="O367" s="63" t="str">
        <f t="shared" si="202"/>
        <v/>
      </c>
      <c r="P367" s="63" t="str">
        <f t="shared" si="203"/>
        <v/>
      </c>
      <c r="Q367" s="66"/>
      <c r="R367" s="63" t="str">
        <f t="shared" si="204"/>
        <v/>
      </c>
      <c r="S367" s="64" t="str">
        <f t="shared" si="205"/>
        <v/>
      </c>
      <c r="T367" s="63" t="str">
        <f t="shared" si="206"/>
        <v/>
      </c>
      <c r="U367" s="64" t="str">
        <f t="shared" si="207"/>
        <v/>
      </c>
      <c r="V367" s="207" t="str">
        <f>IF($A368="","",IF(AND(MONTH(A367)&gt;3,MONTH(A367)&lt;11),(T367+R367+G367)*Summary!$T$8/(1-Summary!$T$8),(T367+R367+G367)*Summary!$U$8/(1-Summary!$U$8)))</f>
        <v/>
      </c>
      <c r="W367" s="63" t="str">
        <f t="shared" si="208"/>
        <v/>
      </c>
      <c r="X367" s="63" t="str">
        <f t="shared" si="209"/>
        <v/>
      </c>
      <c r="Y367" s="43"/>
      <c r="Z367" s="38" t="str">
        <f t="shared" si="210"/>
        <v/>
      </c>
      <c r="AA367" s="38" t="str">
        <f t="shared" si="211"/>
        <v/>
      </c>
      <c r="AB367" s="38" t="e">
        <f t="shared" si="212"/>
        <v>#VALUE!</v>
      </c>
      <c r="AC367" s="38" t="str">
        <f t="shared" si="213"/>
        <v/>
      </c>
      <c r="AD367" s="38" t="str">
        <f t="shared" si="213"/>
        <v/>
      </c>
      <c r="AE367" s="38" t="e">
        <f t="shared" si="214"/>
        <v>#VALUE!</v>
      </c>
      <c r="AF367" s="237" t="e">
        <f>((Summary!$N$8*(AA367*AD367)*(A367-$D$3))+(Summary!$M$8*Z367*AC367*(AJ367-EOMONTH(EDATE(A367,-1),0))))/(AK367*AB367*AE367)</f>
        <v>#VALUE!</v>
      </c>
      <c r="AG367" s="88" t="str">
        <f>IF($A368="","",Summary!$Q$8)</f>
        <v/>
      </c>
      <c r="AH367" s="88" t="str">
        <f>IF($A368="","",IF(Summary!$R$8="Y",(VLOOKUP($A367,Summary!$AD$6:$AF$9,3)+'Escalating commodity'!D380),'Escalating commodity'!D380))</f>
        <v/>
      </c>
      <c r="AI367" s="88" t="str">
        <f t="shared" si="229"/>
        <v/>
      </c>
      <c r="AJ367" s="236" t="e">
        <f t="shared" si="215"/>
        <v>#VALUE!</v>
      </c>
      <c r="AK367" s="58" t="str">
        <f t="shared" si="216"/>
        <v/>
      </c>
      <c r="AL367" s="26" t="str">
        <f>IF($A368="","",_xll.SPRDOPT(P367,X367,AI367,0,AB367,AE367,AF367,AK367,$AJ$2,0))</f>
        <v/>
      </c>
      <c r="AM367" s="89" t="str">
        <f t="shared" si="217"/>
        <v/>
      </c>
      <c r="AN367" s="89" t="str">
        <f t="shared" si="218"/>
        <v/>
      </c>
      <c r="AO367" s="3" t="str">
        <f t="shared" si="219"/>
        <v/>
      </c>
      <c r="AP367" s="33" t="str">
        <f t="shared" si="220"/>
        <v/>
      </c>
      <c r="AQ367" s="58" t="str">
        <f t="shared" si="221"/>
        <v/>
      </c>
      <c r="AR367" s="38">
        <f>'ANR OK vs ML7'!AR367</f>
        <v>0.1</v>
      </c>
      <c r="AS367" s="35" t="str">
        <f t="shared" si="222"/>
        <v/>
      </c>
      <c r="AT367" s="3" t="str">
        <f t="shared" si="223"/>
        <v/>
      </c>
      <c r="AU367" s="3" t="str">
        <f t="shared" si="224"/>
        <v/>
      </c>
      <c r="AW367" s="32" t="str">
        <f t="shared" si="225"/>
        <v/>
      </c>
      <c r="AX367" s="32" t="str">
        <f t="shared" si="226"/>
        <v/>
      </c>
      <c r="AY367" s="32" t="str">
        <f t="shared" si="227"/>
        <v/>
      </c>
      <c r="BA367" s="32" t="str">
        <f>IF($A368="","",F367*Summary!$Q$8)</f>
        <v/>
      </c>
    </row>
    <row r="368" spans="1:53" ht="12" customHeight="1">
      <c r="A368" s="67" t="str">
        <f t="shared" si="228"/>
        <v/>
      </c>
      <c r="B368" s="69">
        <f t="shared" si="230"/>
        <v>0</v>
      </c>
      <c r="C368" s="71"/>
      <c r="D368" s="69" t="str">
        <f t="shared" si="193"/>
        <v/>
      </c>
      <c r="E368" s="70" t="str">
        <f t="shared" si="194"/>
        <v/>
      </c>
      <c r="F368" s="70" t="str">
        <f t="shared" si="195"/>
        <v/>
      </c>
      <c r="G368" s="63" t="str">
        <f t="shared" si="196"/>
        <v/>
      </c>
      <c r="H368" s="64" t="str">
        <f t="shared" si="197"/>
        <v/>
      </c>
      <c r="I368" s="43"/>
      <c r="J368" s="63" t="str">
        <f t="shared" si="198"/>
        <v/>
      </c>
      <c r="K368" s="64" t="str">
        <f t="shared" si="199"/>
        <v/>
      </c>
      <c r="L368" s="63" t="str">
        <f t="shared" si="200"/>
        <v/>
      </c>
      <c r="M368" s="64" t="str">
        <f t="shared" si="201"/>
        <v/>
      </c>
      <c r="N368" s="65"/>
      <c r="O368" s="63" t="str">
        <f t="shared" si="202"/>
        <v/>
      </c>
      <c r="P368" s="63" t="str">
        <f t="shared" si="203"/>
        <v/>
      </c>
      <c r="Q368" s="66"/>
      <c r="R368" s="63" t="str">
        <f t="shared" si="204"/>
        <v/>
      </c>
      <c r="S368" s="64" t="str">
        <f t="shared" si="205"/>
        <v/>
      </c>
      <c r="T368" s="63" t="str">
        <f t="shared" si="206"/>
        <v/>
      </c>
      <c r="U368" s="64" t="str">
        <f t="shared" si="207"/>
        <v/>
      </c>
      <c r="V368" s="207" t="str">
        <f>IF($A369="","",IF(AND(MONTH(A368)&gt;3,MONTH(A368)&lt;11),(T368+R368+G368)*Summary!$T$8/(1-Summary!$T$8),(T368+R368+G368)*Summary!$U$8/(1-Summary!$U$8)))</f>
        <v/>
      </c>
      <c r="W368" s="63" t="str">
        <f t="shared" si="208"/>
        <v/>
      </c>
      <c r="X368" s="63" t="str">
        <f t="shared" si="209"/>
        <v/>
      </c>
      <c r="Y368" s="43"/>
      <c r="Z368" s="38" t="str">
        <f t="shared" si="210"/>
        <v/>
      </c>
      <c r="AA368" s="38" t="str">
        <f t="shared" si="211"/>
        <v/>
      </c>
      <c r="AB368" s="38" t="e">
        <f t="shared" si="212"/>
        <v>#VALUE!</v>
      </c>
      <c r="AC368" s="38" t="str">
        <f t="shared" si="213"/>
        <v/>
      </c>
      <c r="AD368" s="38" t="str">
        <f t="shared" si="213"/>
        <v/>
      </c>
      <c r="AE368" s="38" t="e">
        <f t="shared" si="214"/>
        <v>#VALUE!</v>
      </c>
      <c r="AF368" s="237" t="e">
        <f>((Summary!$N$8*(AA368*AD368)*(A368-$D$3))+(Summary!$M$8*Z368*AC368*(AJ368-EOMONTH(EDATE(A368,-1),0))))/(AK368*AB368*AE368)</f>
        <v>#VALUE!</v>
      </c>
      <c r="AG368" s="88" t="str">
        <f>IF($A369="","",Summary!$Q$8)</f>
        <v/>
      </c>
      <c r="AH368" s="88" t="str">
        <f>IF($A369="","",IF(Summary!$R$8="Y",(VLOOKUP($A368,Summary!$AD$6:$AF$9,3)+'Escalating commodity'!D381),'Escalating commodity'!D381))</f>
        <v/>
      </c>
      <c r="AI368" s="88" t="str">
        <f t="shared" si="229"/>
        <v/>
      </c>
      <c r="AJ368" s="236" t="e">
        <f t="shared" si="215"/>
        <v>#VALUE!</v>
      </c>
      <c r="AK368" s="58" t="str">
        <f t="shared" si="216"/>
        <v/>
      </c>
      <c r="AL368" s="26" t="str">
        <f>IF($A369="","",_xll.SPRDOPT(P368,X368,AI368,0,AB368,AE368,AF368,AK368,$AJ$2,0))</f>
        <v/>
      </c>
      <c r="AM368" s="89" t="str">
        <f t="shared" si="217"/>
        <v/>
      </c>
      <c r="AN368" s="89" t="str">
        <f t="shared" si="218"/>
        <v/>
      </c>
      <c r="AO368" s="3" t="str">
        <f t="shared" si="219"/>
        <v/>
      </c>
      <c r="AP368" s="33" t="str">
        <f t="shared" si="220"/>
        <v/>
      </c>
      <c r="AQ368" s="58" t="str">
        <f t="shared" si="221"/>
        <v/>
      </c>
      <c r="AR368" s="38">
        <f>'ANR OK vs ML7'!AR368</f>
        <v>0.1</v>
      </c>
      <c r="AS368" s="35" t="str">
        <f t="shared" si="222"/>
        <v/>
      </c>
      <c r="AT368" s="3" t="str">
        <f t="shared" si="223"/>
        <v/>
      </c>
      <c r="AU368" s="3" t="str">
        <f t="shared" si="224"/>
        <v/>
      </c>
      <c r="AW368" s="32" t="str">
        <f t="shared" si="225"/>
        <v/>
      </c>
      <c r="AX368" s="32" t="str">
        <f t="shared" si="226"/>
        <v/>
      </c>
      <c r="AY368" s="32" t="str">
        <f t="shared" si="227"/>
        <v/>
      </c>
      <c r="BA368" s="32" t="str">
        <f>IF($A369="","",F368*Summary!$Q$8)</f>
        <v/>
      </c>
    </row>
    <row r="369" spans="1:53" ht="12" customHeight="1">
      <c r="A369" s="67" t="str">
        <f t="shared" si="228"/>
        <v/>
      </c>
      <c r="B369" s="69">
        <f t="shared" si="230"/>
        <v>0</v>
      </c>
      <c r="C369" s="71"/>
      <c r="D369" s="69" t="str">
        <f t="shared" si="193"/>
        <v/>
      </c>
      <c r="E369" s="70" t="str">
        <f t="shared" si="194"/>
        <v/>
      </c>
      <c r="F369" s="70" t="str">
        <f t="shared" si="195"/>
        <v/>
      </c>
      <c r="G369" s="63" t="str">
        <f t="shared" si="196"/>
        <v/>
      </c>
      <c r="H369" s="64" t="str">
        <f t="shared" si="197"/>
        <v/>
      </c>
      <c r="I369" s="43"/>
      <c r="J369" s="63" t="str">
        <f t="shared" si="198"/>
        <v/>
      </c>
      <c r="K369" s="64" t="str">
        <f t="shared" si="199"/>
        <v/>
      </c>
      <c r="L369" s="63" t="str">
        <f t="shared" si="200"/>
        <v/>
      </c>
      <c r="M369" s="64" t="str">
        <f t="shared" si="201"/>
        <v/>
      </c>
      <c r="N369" s="65"/>
      <c r="O369" s="63" t="str">
        <f t="shared" si="202"/>
        <v/>
      </c>
      <c r="P369" s="63" t="str">
        <f t="shared" si="203"/>
        <v/>
      </c>
      <c r="Q369" s="66"/>
      <c r="R369" s="63" t="str">
        <f t="shared" si="204"/>
        <v/>
      </c>
      <c r="S369" s="64" t="str">
        <f t="shared" si="205"/>
        <v/>
      </c>
      <c r="T369" s="63" t="str">
        <f t="shared" si="206"/>
        <v/>
      </c>
      <c r="U369" s="64" t="str">
        <f t="shared" si="207"/>
        <v/>
      </c>
      <c r="V369" s="207" t="str">
        <f>IF($A370="","",IF(AND(MONTH(A369)&gt;3,MONTH(A369)&lt;11),(T369+R369+G369)*Summary!$T$8/(1-Summary!$T$8),(T369+R369+G369)*Summary!$U$8/(1-Summary!$U$8)))</f>
        <v/>
      </c>
      <c r="W369" s="63" t="str">
        <f t="shared" si="208"/>
        <v/>
      </c>
      <c r="X369" s="63" t="str">
        <f t="shared" si="209"/>
        <v/>
      </c>
      <c r="Y369" s="43"/>
      <c r="Z369" s="38" t="str">
        <f t="shared" si="210"/>
        <v/>
      </c>
      <c r="AA369" s="38" t="str">
        <f t="shared" si="211"/>
        <v/>
      </c>
      <c r="AB369" s="38" t="e">
        <f t="shared" si="212"/>
        <v>#VALUE!</v>
      </c>
      <c r="AC369" s="38" t="str">
        <f t="shared" si="213"/>
        <v/>
      </c>
      <c r="AD369" s="38" t="str">
        <f t="shared" si="213"/>
        <v/>
      </c>
      <c r="AE369" s="38" t="e">
        <f t="shared" si="214"/>
        <v>#VALUE!</v>
      </c>
      <c r="AF369" s="237" t="e">
        <f>((Summary!$N$8*(AA369*AD369)*(A369-$D$3))+(Summary!$M$8*Z369*AC369*(AJ369-EOMONTH(EDATE(A369,-1),0))))/(AK369*AB369*AE369)</f>
        <v>#VALUE!</v>
      </c>
      <c r="AG369" s="88" t="str">
        <f>IF($A370="","",Summary!$Q$8)</f>
        <v/>
      </c>
      <c r="AH369" s="88" t="str">
        <f>IF($A370="","",IF(Summary!$R$8="Y",(VLOOKUP($A369,Summary!$AD$6:$AF$9,3)+'Escalating commodity'!D382),'Escalating commodity'!D382))</f>
        <v/>
      </c>
      <c r="AI369" s="88" t="str">
        <f t="shared" si="229"/>
        <v/>
      </c>
      <c r="AJ369" s="236" t="e">
        <f t="shared" si="215"/>
        <v>#VALUE!</v>
      </c>
      <c r="AK369" s="58" t="str">
        <f t="shared" si="216"/>
        <v/>
      </c>
      <c r="AL369" s="26" t="str">
        <f>IF($A370="","",_xll.SPRDOPT(P369,X369,AI369,0,AB369,AE369,AF369,AK369,$AJ$2,0))</f>
        <v/>
      </c>
      <c r="AM369" s="89" t="str">
        <f t="shared" si="217"/>
        <v/>
      </c>
      <c r="AN369" s="89" t="str">
        <f t="shared" si="218"/>
        <v/>
      </c>
      <c r="AO369" s="3" t="str">
        <f t="shared" si="219"/>
        <v/>
      </c>
      <c r="AP369" s="33" t="str">
        <f t="shared" si="220"/>
        <v/>
      </c>
      <c r="AQ369" s="58" t="str">
        <f t="shared" si="221"/>
        <v/>
      </c>
      <c r="AR369" s="38">
        <f>'ANR OK vs ML7'!AR369</f>
        <v>0.1</v>
      </c>
      <c r="AS369" s="35" t="str">
        <f t="shared" si="222"/>
        <v/>
      </c>
      <c r="AT369" s="3" t="str">
        <f t="shared" si="223"/>
        <v/>
      </c>
      <c r="AU369" s="3" t="str">
        <f t="shared" si="224"/>
        <v/>
      </c>
      <c r="AW369" s="32" t="str">
        <f t="shared" si="225"/>
        <v/>
      </c>
      <c r="AX369" s="32" t="str">
        <f t="shared" si="226"/>
        <v/>
      </c>
      <c r="AY369" s="32" t="str">
        <f t="shared" si="227"/>
        <v/>
      </c>
      <c r="BA369" s="32" t="str">
        <f>IF($A370="","",F369*Summary!$Q$8)</f>
        <v/>
      </c>
    </row>
    <row r="370" spans="1:53">
      <c r="A370" s="67" t="str">
        <f t="shared" si="228"/>
        <v/>
      </c>
      <c r="B370" s="69">
        <f t="shared" si="230"/>
        <v>0</v>
      </c>
      <c r="C370" s="72"/>
      <c r="D370" s="69" t="str">
        <f t="shared" si="193"/>
        <v/>
      </c>
      <c r="E370" s="70" t="str">
        <f t="shared" si="194"/>
        <v/>
      </c>
      <c r="F370" s="70" t="str">
        <f t="shared" si="195"/>
        <v/>
      </c>
      <c r="G370" s="63" t="str">
        <f t="shared" si="196"/>
        <v/>
      </c>
      <c r="H370" s="64" t="str">
        <f t="shared" si="197"/>
        <v/>
      </c>
      <c r="J370" s="63" t="str">
        <f t="shared" si="198"/>
        <v/>
      </c>
      <c r="K370" s="64" t="str">
        <f t="shared" si="199"/>
        <v/>
      </c>
      <c r="L370" s="63" t="str">
        <f t="shared" si="200"/>
        <v/>
      </c>
      <c r="M370" s="64" t="str">
        <f t="shared" si="201"/>
        <v/>
      </c>
      <c r="O370" s="63" t="str">
        <f t="shared" si="202"/>
        <v/>
      </c>
      <c r="P370" s="63" t="str">
        <f t="shared" si="203"/>
        <v/>
      </c>
      <c r="R370" s="63" t="str">
        <f t="shared" si="204"/>
        <v/>
      </c>
      <c r="S370" s="64" t="str">
        <f t="shared" si="205"/>
        <v/>
      </c>
      <c r="T370" s="63" t="str">
        <f t="shared" si="206"/>
        <v/>
      </c>
      <c r="U370" s="64" t="str">
        <f t="shared" si="207"/>
        <v/>
      </c>
      <c r="V370" s="207" t="str">
        <f>IF($A371="","",IF(AND(MONTH(A370)&gt;3,MONTH(A370)&lt;11),(T370+R370+G370)*Summary!$T$8/(1-Summary!$T$8),(T370+R370+G370)*Summary!$U$8/(1-Summary!$U$8)))</f>
        <v/>
      </c>
      <c r="W370" s="63" t="str">
        <f t="shared" si="208"/>
        <v/>
      </c>
      <c r="X370" s="63" t="str">
        <f t="shared" si="209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9"/>
        <v/>
      </c>
      <c r="AP370" s="33" t="str">
        <f t="shared" si="220"/>
        <v/>
      </c>
      <c r="AQ370" s="58" t="str">
        <f t="shared" si="221"/>
        <v/>
      </c>
      <c r="AR370" s="38">
        <f>'ANR OK vs ML7'!AR370</f>
        <v>0.1</v>
      </c>
      <c r="AS370" s="35" t="str">
        <f t="shared" si="222"/>
        <v/>
      </c>
      <c r="AT370" s="3" t="str">
        <f t="shared" si="223"/>
        <v/>
      </c>
      <c r="AU370" s="3" t="str">
        <f t="shared" si="224"/>
        <v/>
      </c>
      <c r="AW370" s="32" t="str">
        <f t="shared" si="225"/>
        <v/>
      </c>
      <c r="AX370" s="32" t="str">
        <f t="shared" si="226"/>
        <v/>
      </c>
      <c r="AY370" s="32" t="str">
        <f t="shared" si="227"/>
        <v/>
      </c>
      <c r="BA370" s="32" t="str">
        <f>IF($A371="","",F370*Summary!$Q$8)</f>
        <v/>
      </c>
    </row>
    <row r="371" spans="1:53">
      <c r="A371" s="67" t="str">
        <f t="shared" si="228"/>
        <v/>
      </c>
      <c r="B371" s="69">
        <f t="shared" si="230"/>
        <v>0</v>
      </c>
      <c r="D371" s="69" t="str">
        <f t="shared" si="193"/>
        <v/>
      </c>
      <c r="E371" s="70" t="str">
        <f t="shared" si="194"/>
        <v/>
      </c>
      <c r="F371" s="70" t="str">
        <f t="shared" si="195"/>
        <v/>
      </c>
      <c r="G371" s="63" t="str">
        <f t="shared" si="196"/>
        <v/>
      </c>
      <c r="H371" s="64" t="str">
        <f t="shared" si="197"/>
        <v/>
      </c>
      <c r="J371" s="63" t="str">
        <f t="shared" si="198"/>
        <v/>
      </c>
      <c r="K371" s="64" t="str">
        <f t="shared" si="199"/>
        <v/>
      </c>
      <c r="L371" s="63" t="str">
        <f t="shared" si="200"/>
        <v/>
      </c>
      <c r="M371" s="64" t="str">
        <f t="shared" si="201"/>
        <v/>
      </c>
      <c r="O371" s="63" t="str">
        <f t="shared" si="202"/>
        <v/>
      </c>
      <c r="P371" s="63" t="str">
        <f t="shared" si="203"/>
        <v/>
      </c>
      <c r="R371" s="63" t="str">
        <f t="shared" si="204"/>
        <v/>
      </c>
      <c r="S371" s="64" t="str">
        <f t="shared" si="205"/>
        <v/>
      </c>
      <c r="T371" s="63" t="str">
        <f t="shared" si="206"/>
        <v/>
      </c>
      <c r="U371" s="64" t="str">
        <f t="shared" si="207"/>
        <v/>
      </c>
      <c r="V371" s="207" t="str">
        <f>IF($A372="","",IF(AND(MONTH(A371)&gt;3,MONTH(A371)&lt;11),(T371+R371+G371)*Summary!$T$8/(1-Summary!$T$8),(T371+R371+G371)*Summary!$U$8/(1-Summary!$U$8)))</f>
        <v/>
      </c>
      <c r="W371" s="63" t="str">
        <f t="shared" si="208"/>
        <v/>
      </c>
      <c r="X371" s="63" t="str">
        <f t="shared" si="209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9"/>
        <v/>
      </c>
      <c r="AP371" s="33" t="str">
        <f t="shared" si="220"/>
        <v/>
      </c>
      <c r="AQ371" s="58" t="str">
        <f t="shared" si="221"/>
        <v/>
      </c>
      <c r="AR371" s="38">
        <f>'ANR OK vs ML7'!AR371</f>
        <v>0.1</v>
      </c>
      <c r="AS371" s="35" t="str">
        <f t="shared" si="222"/>
        <v/>
      </c>
      <c r="AT371" s="3" t="str">
        <f t="shared" si="223"/>
        <v/>
      </c>
      <c r="AU371" s="3" t="str">
        <f t="shared" si="224"/>
        <v/>
      </c>
      <c r="AW371" s="32" t="str">
        <f t="shared" si="225"/>
        <v/>
      </c>
      <c r="AX371" s="32" t="str">
        <f t="shared" si="226"/>
        <v/>
      </c>
      <c r="AY371" s="32" t="str">
        <f t="shared" si="227"/>
        <v/>
      </c>
      <c r="BA371" s="32" t="str">
        <f>IF($A372="","",F371*Summary!$Q$8)</f>
        <v/>
      </c>
    </row>
    <row r="372" spans="1:53">
      <c r="A372" s="67" t="str">
        <f t="shared" si="228"/>
        <v/>
      </c>
      <c r="B372" s="69">
        <f t="shared" si="230"/>
        <v>0</v>
      </c>
      <c r="D372" s="69" t="str">
        <f t="shared" si="193"/>
        <v/>
      </c>
      <c r="E372" s="70" t="str">
        <f t="shared" si="194"/>
        <v/>
      </c>
      <c r="F372" s="70" t="str">
        <f t="shared" si="195"/>
        <v/>
      </c>
      <c r="G372" s="63" t="str">
        <f t="shared" si="196"/>
        <v/>
      </c>
      <c r="H372" s="64" t="str">
        <f t="shared" si="197"/>
        <v/>
      </c>
      <c r="J372" s="63" t="str">
        <f t="shared" si="198"/>
        <v/>
      </c>
      <c r="K372" s="64" t="str">
        <f t="shared" si="199"/>
        <v/>
      </c>
      <c r="L372" s="63" t="str">
        <f t="shared" si="200"/>
        <v/>
      </c>
      <c r="M372" s="64" t="str">
        <f t="shared" si="201"/>
        <v/>
      </c>
      <c r="O372" s="63" t="str">
        <f t="shared" si="202"/>
        <v/>
      </c>
      <c r="P372" s="63" t="str">
        <f t="shared" si="203"/>
        <v/>
      </c>
      <c r="R372" s="63" t="str">
        <f t="shared" si="204"/>
        <v/>
      </c>
      <c r="S372" s="64" t="str">
        <f t="shared" si="205"/>
        <v/>
      </c>
      <c r="T372" s="63" t="str">
        <f t="shared" si="206"/>
        <v/>
      </c>
      <c r="U372" s="64" t="str">
        <f t="shared" si="207"/>
        <v/>
      </c>
      <c r="V372" s="207" t="str">
        <f>IF($A373="","",IF(AND(MONTH(A372)&gt;3,MONTH(A372)&lt;11),(T372+R372+G372)*Summary!$T$8/(1-Summary!$T$8),(T372+R372+G372)*Summary!$U$8/(1-Summary!$U$8)))</f>
        <v/>
      </c>
      <c r="W372" s="63" t="str">
        <f t="shared" si="208"/>
        <v/>
      </c>
      <c r="X372" s="63" t="str">
        <f t="shared" si="209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9"/>
        <v/>
      </c>
      <c r="AP372" s="33" t="str">
        <f t="shared" si="220"/>
        <v/>
      </c>
      <c r="AQ372" s="58" t="str">
        <f t="shared" si="221"/>
        <v/>
      </c>
      <c r="AR372" s="38">
        <f>'ANR OK vs ML7'!AR372</f>
        <v>0.1</v>
      </c>
      <c r="AS372" s="35" t="str">
        <f t="shared" si="222"/>
        <v/>
      </c>
      <c r="AT372" s="3" t="str">
        <f t="shared" si="223"/>
        <v/>
      </c>
      <c r="AU372" s="3" t="str">
        <f t="shared" si="224"/>
        <v/>
      </c>
      <c r="AW372" s="32" t="str">
        <f t="shared" si="225"/>
        <v/>
      </c>
      <c r="AX372" s="32" t="str">
        <f t="shared" si="226"/>
        <v/>
      </c>
      <c r="AY372" s="32" t="str">
        <f t="shared" si="227"/>
        <v/>
      </c>
      <c r="BA372" s="32" t="str">
        <f>IF($A373="","",F372*Summary!$Q$8)</f>
        <v/>
      </c>
    </row>
    <row r="373" spans="1:53">
      <c r="A373" s="67" t="str">
        <f t="shared" si="228"/>
        <v/>
      </c>
      <c r="B373" s="69">
        <f t="shared" si="230"/>
        <v>0</v>
      </c>
      <c r="D373" s="69" t="str">
        <f t="shared" si="193"/>
        <v/>
      </c>
      <c r="E373" s="70" t="str">
        <f t="shared" si="194"/>
        <v/>
      </c>
      <c r="F373" s="70" t="str">
        <f t="shared" si="195"/>
        <v/>
      </c>
      <c r="G373" s="63" t="str">
        <f t="shared" si="196"/>
        <v/>
      </c>
      <c r="H373" s="64" t="str">
        <f t="shared" si="197"/>
        <v/>
      </c>
      <c r="J373" s="63" t="str">
        <f t="shared" si="198"/>
        <v/>
      </c>
      <c r="K373" s="64" t="str">
        <f t="shared" si="199"/>
        <v/>
      </c>
      <c r="L373" s="63" t="str">
        <f t="shared" si="200"/>
        <v/>
      </c>
      <c r="M373" s="64" t="str">
        <f t="shared" si="201"/>
        <v/>
      </c>
      <c r="O373" s="63" t="str">
        <f t="shared" si="202"/>
        <v/>
      </c>
      <c r="P373" s="63" t="str">
        <f t="shared" si="203"/>
        <v/>
      </c>
      <c r="R373" s="63" t="str">
        <f t="shared" si="204"/>
        <v/>
      </c>
      <c r="S373" s="64" t="str">
        <f t="shared" si="205"/>
        <v/>
      </c>
      <c r="T373" s="63" t="str">
        <f t="shared" si="206"/>
        <v/>
      </c>
      <c r="U373" s="64" t="str">
        <f t="shared" si="207"/>
        <v/>
      </c>
      <c r="V373" s="207" t="str">
        <f>IF($A374="","",IF(AND(MONTH(A373)&gt;3,MONTH(A373)&lt;11),(T373+R373+G373)*Summary!$T$8/(1-Summary!$T$8),(T373+R373+G373)*Summary!$U$8/(1-Summary!$U$8)))</f>
        <v/>
      </c>
      <c r="W373" s="63" t="str">
        <f t="shared" si="208"/>
        <v/>
      </c>
      <c r="X373" s="63" t="str">
        <f t="shared" si="209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9"/>
        <v/>
      </c>
      <c r="AP373" s="33" t="str">
        <f t="shared" si="220"/>
        <v/>
      </c>
      <c r="AQ373" s="58" t="str">
        <f t="shared" si="221"/>
        <v/>
      </c>
      <c r="AR373" s="38">
        <f>'ANR OK vs ML7'!AR373</f>
        <v>0.1</v>
      </c>
      <c r="AS373" s="35" t="str">
        <f t="shared" si="222"/>
        <v/>
      </c>
      <c r="AT373" s="3" t="str">
        <f t="shared" si="223"/>
        <v/>
      </c>
      <c r="AU373" s="3" t="str">
        <f t="shared" si="224"/>
        <v/>
      </c>
      <c r="AW373" s="32" t="str">
        <f t="shared" si="225"/>
        <v/>
      </c>
      <c r="AX373" s="32" t="str">
        <f t="shared" si="226"/>
        <v/>
      </c>
      <c r="AY373" s="32" t="str">
        <f t="shared" si="227"/>
        <v/>
      </c>
      <c r="BA373" s="32" t="str">
        <f>IF($A374="","",F373*Summary!$Q$8)</f>
        <v/>
      </c>
    </row>
    <row r="374" spans="1:53">
      <c r="A374" s="67" t="str">
        <f t="shared" si="228"/>
        <v/>
      </c>
      <c r="B374" s="69">
        <f t="shared" si="230"/>
        <v>0</v>
      </c>
      <c r="D374" s="69" t="str">
        <f t="shared" si="193"/>
        <v/>
      </c>
      <c r="E374" s="70" t="str">
        <f t="shared" si="194"/>
        <v/>
      </c>
      <c r="F374" s="70" t="str">
        <f t="shared" si="195"/>
        <v/>
      </c>
      <c r="G374" s="63" t="str">
        <f t="shared" si="196"/>
        <v/>
      </c>
      <c r="H374" s="64" t="str">
        <f t="shared" si="197"/>
        <v/>
      </c>
      <c r="J374" s="63" t="str">
        <f t="shared" si="198"/>
        <v/>
      </c>
      <c r="K374" s="64" t="str">
        <f t="shared" si="199"/>
        <v/>
      </c>
      <c r="L374" s="63" t="str">
        <f t="shared" si="200"/>
        <v/>
      </c>
      <c r="M374" s="64" t="str">
        <f t="shared" si="201"/>
        <v/>
      </c>
      <c r="O374" s="63" t="str">
        <f t="shared" si="202"/>
        <v/>
      </c>
      <c r="P374" s="63" t="str">
        <f t="shared" si="203"/>
        <v/>
      </c>
      <c r="R374" s="63" t="str">
        <f t="shared" si="204"/>
        <v/>
      </c>
      <c r="S374" s="64" t="str">
        <f t="shared" si="205"/>
        <v/>
      </c>
      <c r="T374" s="63" t="str">
        <f t="shared" si="206"/>
        <v/>
      </c>
      <c r="U374" s="64" t="str">
        <f t="shared" si="207"/>
        <v/>
      </c>
      <c r="V374" s="207" t="str">
        <f>IF($A375="","",IF(AND(MONTH(A374)&gt;3,MONTH(A374)&lt;11),(T374+R374+G374)*Summary!$T$8/(1-Summary!$T$8),(T374+R374+G374)*Summary!$U$8/(1-Summary!$U$8)))</f>
        <v/>
      </c>
      <c r="W374" s="63" t="str">
        <f t="shared" si="208"/>
        <v/>
      </c>
      <c r="X374" s="63" t="str">
        <f t="shared" si="209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9"/>
        <v/>
      </c>
      <c r="AP374" s="33" t="str">
        <f t="shared" si="220"/>
        <v/>
      </c>
      <c r="AQ374" s="58" t="str">
        <f t="shared" si="221"/>
        <v/>
      </c>
      <c r="AR374" s="38">
        <f>'ANR OK vs ML7'!AR374</f>
        <v>0.1</v>
      </c>
      <c r="AS374" s="35" t="str">
        <f t="shared" si="222"/>
        <v/>
      </c>
      <c r="AT374" s="3" t="str">
        <f t="shared" si="223"/>
        <v/>
      </c>
      <c r="AU374" s="3" t="str">
        <f t="shared" si="224"/>
        <v/>
      </c>
      <c r="AW374" s="32" t="str">
        <f t="shared" si="225"/>
        <v/>
      </c>
      <c r="AX374" s="32" t="str">
        <f t="shared" si="226"/>
        <v/>
      </c>
      <c r="AY374" s="32" t="str">
        <f t="shared" si="227"/>
        <v/>
      </c>
      <c r="BA374" s="32" t="str">
        <f>IF($A375="","",F374*Summary!$Q$8)</f>
        <v/>
      </c>
    </row>
    <row r="375" spans="1:53">
      <c r="A375" s="67" t="str">
        <f t="shared" si="228"/>
        <v/>
      </c>
      <c r="B375" s="69">
        <f t="shared" si="230"/>
        <v>0</v>
      </c>
      <c r="D375" s="69" t="str">
        <f t="shared" si="193"/>
        <v/>
      </c>
      <c r="E375" s="70" t="str">
        <f t="shared" si="194"/>
        <v/>
      </c>
      <c r="F375" s="70" t="str">
        <f t="shared" si="195"/>
        <v/>
      </c>
      <c r="G375" s="63" t="str">
        <f t="shared" si="196"/>
        <v/>
      </c>
      <c r="H375" s="64" t="str">
        <f t="shared" si="197"/>
        <v/>
      </c>
      <c r="J375" s="63" t="str">
        <f t="shared" si="198"/>
        <v/>
      </c>
      <c r="K375" s="64" t="str">
        <f t="shared" si="199"/>
        <v/>
      </c>
      <c r="L375" s="63" t="str">
        <f t="shared" si="200"/>
        <v/>
      </c>
      <c r="M375" s="64" t="str">
        <f t="shared" si="201"/>
        <v/>
      </c>
      <c r="O375" s="63" t="str">
        <f t="shared" si="202"/>
        <v/>
      </c>
      <c r="P375" s="63" t="str">
        <f t="shared" si="203"/>
        <v/>
      </c>
      <c r="R375" s="63" t="str">
        <f t="shared" si="204"/>
        <v/>
      </c>
      <c r="S375" s="64" t="str">
        <f t="shared" si="205"/>
        <v/>
      </c>
      <c r="T375" s="63" t="str">
        <f t="shared" si="206"/>
        <v/>
      </c>
      <c r="U375" s="64" t="str">
        <f t="shared" si="207"/>
        <v/>
      </c>
      <c r="V375" s="207" t="str">
        <f>IF($A376="","",IF(AND(MONTH(A375)&gt;3,MONTH(A375)&lt;11),(T375+R375+G375)*Summary!$T$8/(1-Summary!$T$8),(T375+R375+G375)*Summary!$U$8/(1-Summary!$U$8)))</f>
        <v/>
      </c>
      <c r="W375" s="63" t="str">
        <f t="shared" si="208"/>
        <v/>
      </c>
      <c r="X375" s="63" t="str">
        <f t="shared" si="209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9"/>
        <v/>
      </c>
      <c r="AP375" s="33" t="str">
        <f t="shared" si="220"/>
        <v/>
      </c>
      <c r="AQ375" s="58" t="str">
        <f t="shared" si="221"/>
        <v/>
      </c>
      <c r="AR375" s="38">
        <f>'ANR OK vs ML7'!AR375</f>
        <v>0.1</v>
      </c>
      <c r="AS375" s="35" t="str">
        <f t="shared" si="222"/>
        <v/>
      </c>
      <c r="AT375" s="3" t="str">
        <f t="shared" si="223"/>
        <v/>
      </c>
      <c r="AU375" s="3" t="str">
        <f t="shared" si="224"/>
        <v/>
      </c>
      <c r="AW375" s="32" t="str">
        <f t="shared" si="225"/>
        <v/>
      </c>
      <c r="AX375" s="32" t="str">
        <f t="shared" si="226"/>
        <v/>
      </c>
      <c r="AY375" s="32" t="str">
        <f t="shared" si="227"/>
        <v/>
      </c>
      <c r="BA375" s="32" t="str">
        <f>IF($A376="","",F375*Summary!$Q$8)</f>
        <v/>
      </c>
    </row>
    <row r="376" spans="1:53">
      <c r="A376" s="67" t="str">
        <f t="shared" si="228"/>
        <v/>
      </c>
      <c r="B376" s="69">
        <f t="shared" si="230"/>
        <v>0</v>
      </c>
      <c r="D376" s="69" t="str">
        <f t="shared" si="193"/>
        <v/>
      </c>
      <c r="E376" s="70" t="str">
        <f t="shared" si="194"/>
        <v/>
      </c>
      <c r="F376" s="70" t="str">
        <f t="shared" si="195"/>
        <v/>
      </c>
      <c r="G376" s="63" t="str">
        <f t="shared" si="196"/>
        <v/>
      </c>
      <c r="H376" s="64" t="str">
        <f t="shared" si="197"/>
        <v/>
      </c>
      <c r="J376" s="63" t="str">
        <f t="shared" si="198"/>
        <v/>
      </c>
      <c r="K376" s="64" t="str">
        <f t="shared" si="199"/>
        <v/>
      </c>
      <c r="L376" s="63" t="str">
        <f t="shared" si="200"/>
        <v/>
      </c>
      <c r="M376" s="64" t="str">
        <f t="shared" si="201"/>
        <v/>
      </c>
      <c r="O376" s="63" t="str">
        <f t="shared" si="202"/>
        <v/>
      </c>
      <c r="P376" s="63" t="str">
        <f t="shared" si="203"/>
        <v/>
      </c>
      <c r="R376" s="63" t="str">
        <f t="shared" si="204"/>
        <v/>
      </c>
      <c r="S376" s="64" t="str">
        <f t="shared" si="205"/>
        <v/>
      </c>
      <c r="T376" s="63" t="str">
        <f t="shared" si="206"/>
        <v/>
      </c>
      <c r="U376" s="64" t="str">
        <f t="shared" si="207"/>
        <v/>
      </c>
      <c r="V376" s="207" t="str">
        <f>IF($A377="","",IF(AND(MONTH(A376)&gt;3,MONTH(A376)&lt;11),(T376+R376+G376)*Summary!$T$8/(1-Summary!$T$8),(T376+R376+G376)*Summary!$U$8/(1-Summary!$U$8)))</f>
        <v/>
      </c>
      <c r="W376" s="63" t="str">
        <f t="shared" si="208"/>
        <v/>
      </c>
      <c r="X376" s="63" t="str">
        <f t="shared" si="209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9"/>
        <v/>
      </c>
      <c r="AP376" s="33" t="str">
        <f t="shared" si="220"/>
        <v/>
      </c>
      <c r="AQ376" s="58" t="str">
        <f t="shared" si="221"/>
        <v/>
      </c>
      <c r="AR376" s="38">
        <f>'ANR OK vs ML7'!AR376</f>
        <v>0.1</v>
      </c>
      <c r="AS376" s="35" t="str">
        <f t="shared" si="222"/>
        <v/>
      </c>
      <c r="AT376" s="3" t="str">
        <f t="shared" si="223"/>
        <v/>
      </c>
      <c r="AU376" s="3" t="str">
        <f t="shared" si="224"/>
        <v/>
      </c>
      <c r="AW376" s="32" t="str">
        <f t="shared" si="225"/>
        <v/>
      </c>
      <c r="AX376" s="32" t="str">
        <f t="shared" si="226"/>
        <v/>
      </c>
      <c r="AY376" s="32" t="str">
        <f t="shared" si="227"/>
        <v/>
      </c>
      <c r="BA376" s="32" t="str">
        <f>IF($A377="","",F376*Summary!$Q$8)</f>
        <v/>
      </c>
    </row>
    <row r="377" spans="1:53">
      <c r="A377" s="67" t="str">
        <f t="shared" si="228"/>
        <v/>
      </c>
      <c r="B377" s="69">
        <f t="shared" si="230"/>
        <v>0</v>
      </c>
      <c r="D377" s="69" t="str">
        <f t="shared" si="193"/>
        <v/>
      </c>
      <c r="E377" s="70" t="str">
        <f t="shared" si="194"/>
        <v/>
      </c>
      <c r="F377" s="70" t="str">
        <f t="shared" si="195"/>
        <v/>
      </c>
      <c r="G377" s="63" t="str">
        <f t="shared" si="196"/>
        <v/>
      </c>
      <c r="H377" s="64" t="str">
        <f t="shared" si="197"/>
        <v/>
      </c>
      <c r="J377" s="63" t="str">
        <f t="shared" si="198"/>
        <v/>
      </c>
      <c r="K377" s="64" t="str">
        <f t="shared" si="199"/>
        <v/>
      </c>
      <c r="L377" s="63" t="str">
        <f t="shared" si="200"/>
        <v/>
      </c>
      <c r="M377" s="64" t="str">
        <f t="shared" si="201"/>
        <v/>
      </c>
      <c r="O377" s="63" t="str">
        <f t="shared" si="202"/>
        <v/>
      </c>
      <c r="P377" s="63" t="str">
        <f t="shared" si="203"/>
        <v/>
      </c>
      <c r="R377" s="63" t="str">
        <f t="shared" si="204"/>
        <v/>
      </c>
      <c r="S377" s="64" t="str">
        <f t="shared" si="205"/>
        <v/>
      </c>
      <c r="T377" s="63" t="str">
        <f t="shared" si="206"/>
        <v/>
      </c>
      <c r="U377" s="64" t="str">
        <f t="shared" si="207"/>
        <v/>
      </c>
      <c r="V377" s="207" t="str">
        <f>IF($A378="","",IF(AND(MONTH(A377)&gt;3,MONTH(A377)&lt;11),(T377+R377+G377)*Summary!$T$8/(1-Summary!$T$8),(T377+R377+G377)*Summary!$U$8/(1-Summary!$U$8)))</f>
        <v/>
      </c>
      <c r="W377" s="63" t="str">
        <f t="shared" si="208"/>
        <v/>
      </c>
      <c r="X377" s="63" t="str">
        <f t="shared" si="209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9"/>
        <v/>
      </c>
      <c r="AP377" s="33" t="str">
        <f t="shared" si="220"/>
        <v/>
      </c>
      <c r="AQ377" s="58" t="str">
        <f t="shared" si="221"/>
        <v/>
      </c>
      <c r="AR377" s="38">
        <f>'ANR OK vs ML7'!AR377</f>
        <v>0.1</v>
      </c>
      <c r="AS377" s="35" t="str">
        <f t="shared" si="222"/>
        <v/>
      </c>
      <c r="AT377" s="3" t="str">
        <f t="shared" si="223"/>
        <v/>
      </c>
      <c r="AU377" s="3" t="str">
        <f t="shared" si="224"/>
        <v/>
      </c>
      <c r="AW377" s="32" t="str">
        <f t="shared" si="225"/>
        <v/>
      </c>
      <c r="AX377" s="32" t="str">
        <f t="shared" si="226"/>
        <v/>
      </c>
      <c r="AY377" s="32" t="str">
        <f t="shared" si="227"/>
        <v/>
      </c>
      <c r="BA377" s="32" t="str">
        <f>IF($A378="","",F377*Summary!$Q$8)</f>
        <v/>
      </c>
    </row>
    <row r="378" spans="1:53">
      <c r="A378" s="67" t="str">
        <f t="shared" si="228"/>
        <v/>
      </c>
      <c r="B378" s="69">
        <f t="shared" si="230"/>
        <v>0</v>
      </c>
      <c r="D378" s="69" t="str">
        <f t="shared" si="193"/>
        <v/>
      </c>
      <c r="E378" s="70" t="str">
        <f t="shared" si="194"/>
        <v/>
      </c>
      <c r="F378" s="70" t="str">
        <f t="shared" si="195"/>
        <v/>
      </c>
      <c r="G378" s="63" t="str">
        <f t="shared" si="196"/>
        <v/>
      </c>
      <c r="H378" s="64" t="str">
        <f t="shared" si="197"/>
        <v/>
      </c>
      <c r="J378" s="63" t="str">
        <f t="shared" si="198"/>
        <v/>
      </c>
      <c r="K378" s="64" t="str">
        <f t="shared" si="199"/>
        <v/>
      </c>
      <c r="L378" s="63" t="str">
        <f t="shared" si="200"/>
        <v/>
      </c>
      <c r="M378" s="64" t="str">
        <f t="shared" si="201"/>
        <v/>
      </c>
      <c r="O378" s="63" t="str">
        <f t="shared" si="202"/>
        <v/>
      </c>
      <c r="P378" s="63" t="str">
        <f t="shared" si="203"/>
        <v/>
      </c>
      <c r="R378" s="63" t="str">
        <f t="shared" si="204"/>
        <v/>
      </c>
      <c r="S378" s="64" t="str">
        <f t="shared" si="205"/>
        <v/>
      </c>
      <c r="T378" s="63" t="str">
        <f t="shared" si="206"/>
        <v/>
      </c>
      <c r="U378" s="64" t="str">
        <f t="shared" si="207"/>
        <v/>
      </c>
      <c r="V378" s="207" t="str">
        <f>IF($A379="","",IF(AND(MONTH(A378)&gt;3,MONTH(A378)&lt;11),(T378+R378+G378)*Summary!$T$8/(1-Summary!$T$8),(T378+R378+G378)*Summary!$U$8/(1-Summary!$U$8)))</f>
        <v/>
      </c>
      <c r="W378" s="63" t="str">
        <f t="shared" si="208"/>
        <v/>
      </c>
      <c r="X378" s="63" t="str">
        <f t="shared" si="209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9"/>
        <v/>
      </c>
      <c r="AP378" s="33" t="str">
        <f t="shared" si="220"/>
        <v/>
      </c>
      <c r="AQ378" s="58" t="str">
        <f t="shared" si="221"/>
        <v/>
      </c>
      <c r="AR378" s="38">
        <f>'ANR OK vs ML7'!AR378</f>
        <v>0.1</v>
      </c>
      <c r="AS378" s="35" t="str">
        <f t="shared" si="222"/>
        <v/>
      </c>
      <c r="AT378" s="3" t="str">
        <f t="shared" si="223"/>
        <v/>
      </c>
      <c r="AU378" s="3" t="str">
        <f t="shared" si="224"/>
        <v/>
      </c>
      <c r="AW378" s="32" t="str">
        <f t="shared" si="225"/>
        <v/>
      </c>
      <c r="AX378" s="32" t="str">
        <f t="shared" si="226"/>
        <v/>
      </c>
      <c r="AY378" s="32" t="str">
        <f t="shared" si="227"/>
        <v/>
      </c>
      <c r="BA378" s="32" t="str">
        <f>IF($A379="","",F378*Summary!$Q$8)</f>
        <v/>
      </c>
    </row>
    <row r="379" spans="1:53">
      <c r="A379" s="67" t="str">
        <f t="shared" si="228"/>
        <v/>
      </c>
      <c r="B379" s="69">
        <f t="shared" si="230"/>
        <v>0</v>
      </c>
      <c r="D379" s="69" t="str">
        <f t="shared" si="193"/>
        <v/>
      </c>
      <c r="E379" s="70" t="str">
        <f t="shared" si="194"/>
        <v/>
      </c>
      <c r="F379" s="70" t="str">
        <f t="shared" si="195"/>
        <v/>
      </c>
      <c r="G379" s="63" t="str">
        <f t="shared" si="196"/>
        <v/>
      </c>
      <c r="H379" s="64" t="str">
        <f t="shared" si="197"/>
        <v/>
      </c>
      <c r="J379" s="63" t="str">
        <f t="shared" si="198"/>
        <v/>
      </c>
      <c r="K379" s="64" t="str">
        <f t="shared" si="199"/>
        <v/>
      </c>
      <c r="L379" s="63" t="str">
        <f t="shared" si="200"/>
        <v/>
      </c>
      <c r="M379" s="64" t="str">
        <f t="shared" si="201"/>
        <v/>
      </c>
      <c r="O379" s="63" t="str">
        <f t="shared" si="202"/>
        <v/>
      </c>
      <c r="P379" s="63" t="str">
        <f t="shared" si="203"/>
        <v/>
      </c>
      <c r="R379" s="63" t="str">
        <f t="shared" si="204"/>
        <v/>
      </c>
      <c r="S379" s="64" t="str">
        <f t="shared" si="205"/>
        <v/>
      </c>
      <c r="T379" s="63" t="str">
        <f t="shared" si="206"/>
        <v/>
      </c>
      <c r="U379" s="64" t="str">
        <f t="shared" si="207"/>
        <v/>
      </c>
      <c r="V379" s="207" t="str">
        <f>IF($A380="","",IF(AND(MONTH(A379)&gt;3,MONTH(A379)&lt;11),(T379+R379+G379)*Summary!$T$8/(1-Summary!$T$8),(T379+R379+G379)*Summary!$U$8/(1-Summary!$U$8)))</f>
        <v/>
      </c>
      <c r="W379" s="63" t="str">
        <f t="shared" si="208"/>
        <v/>
      </c>
      <c r="X379" s="63" t="str">
        <f t="shared" si="209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9"/>
        <v/>
      </c>
      <c r="AP379" s="33" t="str">
        <f t="shared" si="220"/>
        <v/>
      </c>
      <c r="AQ379" s="58" t="str">
        <f t="shared" si="221"/>
        <v/>
      </c>
      <c r="AR379" s="38">
        <f>'ANR OK vs ML7'!AR379</f>
        <v>0.1</v>
      </c>
      <c r="AS379" s="35" t="str">
        <f t="shared" si="222"/>
        <v/>
      </c>
      <c r="AT379" s="3" t="str">
        <f t="shared" si="223"/>
        <v/>
      </c>
      <c r="AU379" s="3" t="str">
        <f t="shared" si="224"/>
        <v/>
      </c>
      <c r="AW379" s="32" t="str">
        <f t="shared" si="225"/>
        <v/>
      </c>
      <c r="AX379" s="32" t="str">
        <f t="shared" si="226"/>
        <v/>
      </c>
      <c r="AY379" s="32" t="str">
        <f t="shared" si="227"/>
        <v/>
      </c>
      <c r="BA379" s="32" t="str">
        <f>IF($A380="","",F379*Summary!$Q$8)</f>
        <v/>
      </c>
    </row>
    <row r="380" spans="1:53">
      <c r="A380" s="67" t="str">
        <f t="shared" si="228"/>
        <v/>
      </c>
      <c r="B380" s="69">
        <f t="shared" si="230"/>
        <v>0</v>
      </c>
      <c r="D380" s="69" t="str">
        <f t="shared" si="193"/>
        <v/>
      </c>
      <c r="E380" s="70" t="str">
        <f t="shared" si="194"/>
        <v/>
      </c>
      <c r="F380" s="70" t="str">
        <f t="shared" si="195"/>
        <v/>
      </c>
      <c r="G380" s="63" t="str">
        <f t="shared" si="196"/>
        <v/>
      </c>
      <c r="H380" s="64" t="str">
        <f t="shared" si="197"/>
        <v/>
      </c>
      <c r="J380" s="63" t="str">
        <f t="shared" si="198"/>
        <v/>
      </c>
      <c r="K380" s="64" t="str">
        <f t="shared" si="199"/>
        <v/>
      </c>
      <c r="L380" s="63" t="str">
        <f t="shared" si="200"/>
        <v/>
      </c>
      <c r="M380" s="64" t="str">
        <f t="shared" si="201"/>
        <v/>
      </c>
      <c r="O380" s="63" t="str">
        <f t="shared" si="202"/>
        <v/>
      </c>
      <c r="P380" s="63" t="str">
        <f t="shared" si="203"/>
        <v/>
      </c>
      <c r="R380" s="63" t="str">
        <f t="shared" si="204"/>
        <v/>
      </c>
      <c r="S380" s="64" t="str">
        <f t="shared" si="205"/>
        <v/>
      </c>
      <c r="T380" s="63" t="str">
        <f t="shared" si="206"/>
        <v/>
      </c>
      <c r="U380" s="64" t="str">
        <f t="shared" si="207"/>
        <v/>
      </c>
      <c r="V380" s="207" t="str">
        <f>IF($A381="","",IF(AND(MONTH(A380)&gt;3,MONTH(A380)&lt;11),(T380+R380+G380)*Summary!$T$8/(1-Summary!$T$8),(T380+R380+G380)*Summary!$U$8/(1-Summary!$U$8)))</f>
        <v/>
      </c>
      <c r="W380" s="63" t="str">
        <f t="shared" si="208"/>
        <v/>
      </c>
      <c r="X380" s="63" t="str">
        <f t="shared" si="209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9"/>
        <v/>
      </c>
      <c r="AP380" s="33" t="str">
        <f t="shared" si="220"/>
        <v/>
      </c>
      <c r="AQ380" s="58" t="str">
        <f t="shared" si="221"/>
        <v/>
      </c>
      <c r="AR380" s="38">
        <f>'ANR OK vs ML7'!AR380</f>
        <v>0.1</v>
      </c>
      <c r="AS380" s="35" t="str">
        <f t="shared" si="222"/>
        <v/>
      </c>
      <c r="AT380" s="3" t="str">
        <f t="shared" si="223"/>
        <v/>
      </c>
      <c r="AU380" s="3" t="str">
        <f t="shared" si="224"/>
        <v/>
      </c>
      <c r="AW380" s="32" t="str">
        <f t="shared" si="225"/>
        <v/>
      </c>
      <c r="AX380" s="32" t="str">
        <f t="shared" si="226"/>
        <v/>
      </c>
      <c r="AY380" s="32" t="str">
        <f t="shared" si="227"/>
        <v/>
      </c>
      <c r="BA380" s="32" t="str">
        <f>IF($A381="","",F380*Summary!$Q$8)</f>
        <v/>
      </c>
    </row>
    <row r="381" spans="1:53">
      <c r="A381" s="67" t="str">
        <f t="shared" si="228"/>
        <v/>
      </c>
      <c r="B381" s="69">
        <f t="shared" si="230"/>
        <v>0</v>
      </c>
      <c r="D381" s="69" t="str">
        <f t="shared" si="193"/>
        <v/>
      </c>
      <c r="E381" s="70" t="str">
        <f t="shared" si="194"/>
        <v/>
      </c>
      <c r="F381" s="70" t="str">
        <f t="shared" si="195"/>
        <v/>
      </c>
      <c r="G381" s="63" t="str">
        <f t="shared" si="196"/>
        <v/>
      </c>
      <c r="H381" s="64" t="str">
        <f t="shared" si="197"/>
        <v/>
      </c>
      <c r="J381" s="63" t="str">
        <f t="shared" si="198"/>
        <v/>
      </c>
      <c r="K381" s="64" t="str">
        <f t="shared" si="199"/>
        <v/>
      </c>
      <c r="L381" s="63" t="str">
        <f t="shared" si="200"/>
        <v/>
      </c>
      <c r="M381" s="64" t="str">
        <f t="shared" si="201"/>
        <v/>
      </c>
      <c r="O381" s="63" t="str">
        <f t="shared" si="202"/>
        <v/>
      </c>
      <c r="P381" s="63" t="str">
        <f t="shared" si="203"/>
        <v/>
      </c>
      <c r="R381" s="63" t="str">
        <f t="shared" si="204"/>
        <v/>
      </c>
      <c r="S381" s="64" t="str">
        <f t="shared" si="205"/>
        <v/>
      </c>
      <c r="T381" s="63" t="str">
        <f t="shared" si="206"/>
        <v/>
      </c>
      <c r="U381" s="64" t="str">
        <f t="shared" si="207"/>
        <v/>
      </c>
      <c r="V381" s="207" t="str">
        <f>IF($A382="","",IF(AND(MONTH(A381)&gt;3,MONTH(A381)&lt;11),(T381+R381+G381)*Summary!$T$8/(1-Summary!$T$8),(T381+R381+G381)*Summary!$U$8/(1-Summary!$U$8)))</f>
        <v/>
      </c>
      <c r="W381" s="63" t="str">
        <f t="shared" si="208"/>
        <v/>
      </c>
      <c r="X381" s="63" t="str">
        <f t="shared" si="209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9"/>
        <v/>
      </c>
      <c r="AP381" s="33" t="str">
        <f t="shared" si="220"/>
        <v/>
      </c>
      <c r="AQ381" s="58" t="str">
        <f t="shared" si="221"/>
        <v/>
      </c>
      <c r="AR381" s="38">
        <f>'ANR OK vs ML7'!AR381</f>
        <v>0.1</v>
      </c>
      <c r="AS381" s="35" t="str">
        <f t="shared" si="222"/>
        <v/>
      </c>
      <c r="AT381" s="3" t="str">
        <f t="shared" si="223"/>
        <v/>
      </c>
      <c r="AU381" s="3" t="str">
        <f t="shared" si="224"/>
        <v/>
      </c>
      <c r="AW381" s="32" t="str">
        <f t="shared" si="225"/>
        <v/>
      </c>
      <c r="AX381" s="32" t="str">
        <f t="shared" si="226"/>
        <v/>
      </c>
      <c r="AY381" s="32" t="str">
        <f t="shared" si="227"/>
        <v/>
      </c>
      <c r="BA381" s="32" t="str">
        <f>IF($A382="","",F381*Summary!$Q$8)</f>
        <v/>
      </c>
    </row>
    <row r="382" spans="1:53">
      <c r="A382" s="67" t="str">
        <f t="shared" si="228"/>
        <v/>
      </c>
      <c r="B382" s="69">
        <f t="shared" si="230"/>
        <v>0</v>
      </c>
      <c r="D382" s="69" t="str">
        <f t="shared" si="193"/>
        <v/>
      </c>
      <c r="E382" s="70" t="str">
        <f t="shared" si="194"/>
        <v/>
      </c>
      <c r="F382" s="70" t="str">
        <f t="shared" si="195"/>
        <v/>
      </c>
      <c r="G382" s="63" t="str">
        <f t="shared" si="196"/>
        <v/>
      </c>
      <c r="H382" s="64" t="str">
        <f t="shared" si="197"/>
        <v/>
      </c>
      <c r="J382" s="63" t="str">
        <f t="shared" si="198"/>
        <v/>
      </c>
      <c r="K382" s="64" t="str">
        <f t="shared" si="199"/>
        <v/>
      </c>
      <c r="L382" s="63" t="str">
        <f t="shared" si="200"/>
        <v/>
      </c>
      <c r="M382" s="64" t="str">
        <f t="shared" si="201"/>
        <v/>
      </c>
      <c r="O382" s="63" t="str">
        <f t="shared" si="202"/>
        <v/>
      </c>
      <c r="P382" s="63" t="str">
        <f t="shared" si="203"/>
        <v/>
      </c>
      <c r="R382" s="63" t="str">
        <f t="shared" si="204"/>
        <v/>
      </c>
      <c r="S382" s="64" t="str">
        <f t="shared" si="205"/>
        <v/>
      </c>
      <c r="T382" s="63" t="str">
        <f t="shared" si="206"/>
        <v/>
      </c>
      <c r="U382" s="64" t="str">
        <f t="shared" si="207"/>
        <v/>
      </c>
      <c r="V382" s="207" t="str">
        <f>IF($A383="","",IF(AND(MONTH(A382)&gt;3,MONTH(A382)&lt;11),(T382+R382+G382)*Summary!$T$8/(1-Summary!$T$8),(T382+R382+G382)*Summary!$U$8/(1-Summary!$U$8)))</f>
        <v/>
      </c>
      <c r="W382" s="63" t="str">
        <f t="shared" si="208"/>
        <v/>
      </c>
      <c r="X382" s="63" t="str">
        <f t="shared" si="209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9"/>
        <v/>
      </c>
      <c r="AP382" s="33" t="str">
        <f t="shared" si="220"/>
        <v/>
      </c>
      <c r="AQ382" s="58" t="str">
        <f t="shared" si="221"/>
        <v/>
      </c>
      <c r="AR382" s="38">
        <f>'ANR OK vs ML7'!AR382</f>
        <v>0.1</v>
      </c>
      <c r="AS382" s="35" t="str">
        <f t="shared" si="222"/>
        <v/>
      </c>
      <c r="AT382" s="3" t="str">
        <f t="shared" si="223"/>
        <v/>
      </c>
      <c r="AU382" s="3" t="str">
        <f t="shared" si="224"/>
        <v/>
      </c>
      <c r="AW382" s="32" t="str">
        <f t="shared" si="225"/>
        <v/>
      </c>
      <c r="AX382" s="32" t="str">
        <f t="shared" si="226"/>
        <v/>
      </c>
      <c r="AY382" s="32" t="str">
        <f t="shared" si="227"/>
        <v/>
      </c>
      <c r="BA382" s="32" t="str">
        <f>IF($A383="","",F382*Summary!$Q$8)</f>
        <v/>
      </c>
    </row>
    <row r="383" spans="1:53">
      <c r="A383" s="67" t="str">
        <f t="shared" si="228"/>
        <v/>
      </c>
      <c r="B383" s="69">
        <f t="shared" si="230"/>
        <v>0</v>
      </c>
      <c r="D383" s="69" t="str">
        <f t="shared" si="193"/>
        <v/>
      </c>
      <c r="E383" s="70" t="str">
        <f t="shared" si="194"/>
        <v/>
      </c>
      <c r="F383" s="70" t="str">
        <f t="shared" si="195"/>
        <v/>
      </c>
      <c r="G383" s="63" t="str">
        <f t="shared" si="196"/>
        <v/>
      </c>
      <c r="H383" s="64" t="str">
        <f t="shared" si="197"/>
        <v/>
      </c>
      <c r="J383" s="63" t="str">
        <f t="shared" si="198"/>
        <v/>
      </c>
      <c r="K383" s="64" t="str">
        <f t="shared" si="199"/>
        <v/>
      </c>
      <c r="L383" s="63" t="str">
        <f t="shared" si="200"/>
        <v/>
      </c>
      <c r="M383" s="64" t="str">
        <f t="shared" si="201"/>
        <v/>
      </c>
      <c r="O383" s="63" t="str">
        <f t="shared" si="202"/>
        <v/>
      </c>
      <c r="P383" s="63" t="str">
        <f t="shared" si="203"/>
        <v/>
      </c>
      <c r="R383" s="63" t="str">
        <f t="shared" si="204"/>
        <v/>
      </c>
      <c r="S383" s="64" t="str">
        <f t="shared" si="205"/>
        <v/>
      </c>
      <c r="T383" s="63" t="str">
        <f t="shared" si="206"/>
        <v/>
      </c>
      <c r="U383" s="64" t="str">
        <f t="shared" si="207"/>
        <v/>
      </c>
      <c r="V383" s="207" t="str">
        <f>IF($A384="","",IF(AND(MONTH(A383)&gt;3,MONTH(A383)&lt;11),(T383+R383+G383)*Summary!$T$8/(1-Summary!$T$8),(T383+R383+G383)*Summary!$U$8/(1-Summary!$U$8)))</f>
        <v/>
      </c>
      <c r="W383" s="63" t="str">
        <f t="shared" si="208"/>
        <v/>
      </c>
      <c r="X383" s="63" t="str">
        <f t="shared" si="209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9"/>
        <v/>
      </c>
      <c r="AP383" s="33" t="str">
        <f t="shared" si="220"/>
        <v/>
      </c>
      <c r="AQ383" s="58" t="str">
        <f t="shared" si="221"/>
        <v/>
      </c>
      <c r="AR383" s="38">
        <f>'ANR OK vs ML7'!AR383</f>
        <v>0.1</v>
      </c>
      <c r="AS383" s="35" t="str">
        <f t="shared" si="222"/>
        <v/>
      </c>
      <c r="AT383" s="3" t="str">
        <f t="shared" si="223"/>
        <v/>
      </c>
      <c r="AU383" s="3" t="str">
        <f t="shared" si="224"/>
        <v/>
      </c>
      <c r="AW383" s="32" t="str">
        <f t="shared" si="225"/>
        <v/>
      </c>
      <c r="AX383" s="32" t="str">
        <f t="shared" si="226"/>
        <v/>
      </c>
      <c r="AY383" s="32" t="str">
        <f t="shared" si="227"/>
        <v/>
      </c>
      <c r="BA383" s="32" t="str">
        <f>IF($A384="","",F383*Summary!$Q$8)</f>
        <v/>
      </c>
    </row>
    <row r="384" spans="1:53">
      <c r="A384" s="67" t="str">
        <f t="shared" si="228"/>
        <v/>
      </c>
      <c r="B384" s="69">
        <f t="shared" si="230"/>
        <v>0</v>
      </c>
      <c r="D384" s="69" t="str">
        <f t="shared" si="193"/>
        <v/>
      </c>
      <c r="E384" s="70" t="str">
        <f t="shared" si="194"/>
        <v/>
      </c>
      <c r="F384" s="70" t="str">
        <f t="shared" si="195"/>
        <v/>
      </c>
      <c r="G384" s="63" t="str">
        <f t="shared" si="196"/>
        <v/>
      </c>
      <c r="H384" s="64" t="str">
        <f t="shared" si="197"/>
        <v/>
      </c>
      <c r="J384" s="63" t="str">
        <f t="shared" si="198"/>
        <v/>
      </c>
      <c r="K384" s="64" t="str">
        <f t="shared" si="199"/>
        <v/>
      </c>
      <c r="L384" s="63" t="str">
        <f t="shared" si="200"/>
        <v/>
      </c>
      <c r="M384" s="64" t="str">
        <f t="shared" si="201"/>
        <v/>
      </c>
      <c r="O384" s="63" t="str">
        <f t="shared" si="202"/>
        <v/>
      </c>
      <c r="P384" s="63" t="str">
        <f t="shared" si="203"/>
        <v/>
      </c>
      <c r="R384" s="63" t="str">
        <f t="shared" si="204"/>
        <v/>
      </c>
      <c r="S384" s="64" t="str">
        <f t="shared" si="205"/>
        <v/>
      </c>
      <c r="T384" s="63" t="str">
        <f t="shared" si="206"/>
        <v/>
      </c>
      <c r="U384" s="64" t="str">
        <f t="shared" si="207"/>
        <v/>
      </c>
      <c r="V384" s="207" t="str">
        <f>IF($A385="","",IF(AND(MONTH(A384)&gt;3,MONTH(A384)&lt;11),(T384+R384+G384)*Summary!$T$8/(1-Summary!$T$8),(T384+R384+G384)*Summary!$U$8/(1-Summary!$U$8)))</f>
        <v/>
      </c>
      <c r="W384" s="63" t="str">
        <f t="shared" si="208"/>
        <v/>
      </c>
      <c r="X384" s="63" t="str">
        <f t="shared" si="209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9"/>
        <v/>
      </c>
      <c r="AP384" s="33" t="str">
        <f t="shared" si="220"/>
        <v/>
      </c>
      <c r="AQ384" s="58" t="str">
        <f t="shared" si="221"/>
        <v/>
      </c>
      <c r="AR384" s="38">
        <f>'ANR OK vs ML7'!AR384</f>
        <v>0.1</v>
      </c>
      <c r="AS384" s="35" t="str">
        <f t="shared" si="222"/>
        <v/>
      </c>
      <c r="AT384" s="3" t="str">
        <f t="shared" si="223"/>
        <v/>
      </c>
      <c r="AU384" s="3" t="str">
        <f t="shared" si="224"/>
        <v/>
      </c>
      <c r="AW384" s="32" t="str">
        <f t="shared" si="225"/>
        <v/>
      </c>
      <c r="AX384" s="32" t="str">
        <f t="shared" si="226"/>
        <v/>
      </c>
      <c r="AY384" s="32" t="str">
        <f t="shared" si="227"/>
        <v/>
      </c>
      <c r="BA384" s="32" t="str">
        <f>IF($A385="","",F384*Summary!$Q$8)</f>
        <v/>
      </c>
    </row>
    <row r="385" spans="1:53">
      <c r="A385" s="67" t="str">
        <f t="shared" si="228"/>
        <v/>
      </c>
      <c r="B385" s="69">
        <f t="shared" si="230"/>
        <v>0</v>
      </c>
      <c r="D385" s="69" t="str">
        <f t="shared" si="193"/>
        <v/>
      </c>
      <c r="E385" s="70" t="str">
        <f t="shared" si="194"/>
        <v/>
      </c>
      <c r="F385" s="70" t="str">
        <f t="shared" si="195"/>
        <v/>
      </c>
      <c r="G385" s="63" t="str">
        <f t="shared" si="196"/>
        <v/>
      </c>
      <c r="H385" s="64" t="str">
        <f t="shared" si="197"/>
        <v/>
      </c>
      <c r="J385" s="63" t="str">
        <f t="shared" si="198"/>
        <v/>
      </c>
      <c r="K385" s="64" t="str">
        <f t="shared" si="199"/>
        <v/>
      </c>
      <c r="L385" s="63" t="str">
        <f t="shared" si="200"/>
        <v/>
      </c>
      <c r="M385" s="64" t="str">
        <f t="shared" si="201"/>
        <v/>
      </c>
      <c r="O385" s="63" t="str">
        <f t="shared" si="202"/>
        <v/>
      </c>
      <c r="P385" s="63" t="str">
        <f t="shared" si="203"/>
        <v/>
      </c>
      <c r="R385" s="63" t="str">
        <f t="shared" si="204"/>
        <v/>
      </c>
      <c r="S385" s="64" t="str">
        <f t="shared" si="205"/>
        <v/>
      </c>
      <c r="T385" s="63" t="str">
        <f t="shared" si="206"/>
        <v/>
      </c>
      <c r="U385" s="64" t="str">
        <f t="shared" si="207"/>
        <v/>
      </c>
      <c r="V385" s="207" t="str">
        <f>IF($A386="","",IF(AND(MONTH(A385)&gt;3,MONTH(A385)&lt;11),(T385+R385+G385)*Summary!$T$8/(1-Summary!$T$8),(T385+R385+G385)*Summary!$U$8/(1-Summary!$U$8)))</f>
        <v/>
      </c>
      <c r="W385" s="63" t="str">
        <f t="shared" si="208"/>
        <v/>
      </c>
      <c r="X385" s="63" t="str">
        <f t="shared" si="209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9"/>
        <v/>
      </c>
      <c r="AP385" s="33" t="str">
        <f t="shared" si="220"/>
        <v/>
      </c>
      <c r="AQ385" s="58" t="str">
        <f t="shared" si="221"/>
        <v/>
      </c>
      <c r="AR385" s="38">
        <f>'ANR OK vs ML7'!AR385</f>
        <v>0.1</v>
      </c>
      <c r="AS385" s="35" t="str">
        <f t="shared" si="222"/>
        <v/>
      </c>
      <c r="AT385" s="3" t="str">
        <f t="shared" si="223"/>
        <v/>
      </c>
      <c r="AU385" s="3" t="str">
        <f t="shared" si="224"/>
        <v/>
      </c>
      <c r="AW385" s="32" t="str">
        <f t="shared" si="225"/>
        <v/>
      </c>
      <c r="AX385" s="32" t="str">
        <f t="shared" si="226"/>
        <v/>
      </c>
      <c r="AY385" s="32" t="str">
        <f t="shared" si="227"/>
        <v/>
      </c>
      <c r="BA385" s="32" t="str">
        <f>IF($A386="","",F385*Summary!$Q$8)</f>
        <v/>
      </c>
    </row>
    <row r="386" spans="1:53">
      <c r="A386" s="67" t="str">
        <f t="shared" si="228"/>
        <v/>
      </c>
      <c r="B386" s="69">
        <f t="shared" si="230"/>
        <v>0</v>
      </c>
      <c r="D386" s="69" t="str">
        <f t="shared" si="193"/>
        <v/>
      </c>
      <c r="E386" s="70" t="str">
        <f t="shared" si="194"/>
        <v/>
      </c>
      <c r="F386" s="70" t="str">
        <f t="shared" si="195"/>
        <v/>
      </c>
      <c r="G386" s="63" t="str">
        <f t="shared" si="196"/>
        <v/>
      </c>
      <c r="H386" s="64" t="str">
        <f t="shared" si="197"/>
        <v/>
      </c>
      <c r="J386" s="63" t="str">
        <f t="shared" si="198"/>
        <v/>
      </c>
      <c r="K386" s="64" t="str">
        <f t="shared" si="199"/>
        <v/>
      </c>
      <c r="L386" s="63" t="str">
        <f t="shared" si="200"/>
        <v/>
      </c>
      <c r="M386" s="64" t="str">
        <f t="shared" si="201"/>
        <v/>
      </c>
      <c r="O386" s="63" t="str">
        <f t="shared" si="202"/>
        <v/>
      </c>
      <c r="P386" s="63" t="str">
        <f t="shared" si="203"/>
        <v/>
      </c>
      <c r="R386" s="63" t="str">
        <f t="shared" si="204"/>
        <v/>
      </c>
      <c r="S386" s="64" t="str">
        <f t="shared" si="205"/>
        <v/>
      </c>
      <c r="T386" s="63" t="str">
        <f t="shared" si="206"/>
        <v/>
      </c>
      <c r="U386" s="64" t="str">
        <f t="shared" si="207"/>
        <v/>
      </c>
      <c r="V386" s="207" t="str">
        <f>IF($A387="","",IF(AND(MONTH(A386)&gt;3,MONTH(A386)&lt;11),(T386+R386+G386)*Summary!$T$8/(1-Summary!$T$8),(T386+R386+G386)*Summary!$U$8/(1-Summary!$U$8)))</f>
        <v/>
      </c>
      <c r="W386" s="63" t="str">
        <f t="shared" si="208"/>
        <v/>
      </c>
      <c r="X386" s="63" t="str">
        <f t="shared" si="209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9"/>
        <v/>
      </c>
      <c r="AP386" s="33" t="str">
        <f t="shared" si="220"/>
        <v/>
      </c>
      <c r="AQ386" s="58" t="str">
        <f t="shared" si="221"/>
        <v/>
      </c>
      <c r="AR386" s="38">
        <f>'ANR OK vs ML7'!AR386</f>
        <v>0.1</v>
      </c>
      <c r="AS386" s="35" t="str">
        <f t="shared" si="222"/>
        <v/>
      </c>
      <c r="AT386" s="3" t="str">
        <f t="shared" si="223"/>
        <v/>
      </c>
      <c r="AU386" s="3" t="str">
        <f t="shared" si="224"/>
        <v/>
      </c>
      <c r="AW386" s="32" t="str">
        <f t="shared" si="225"/>
        <v/>
      </c>
      <c r="AX386" s="32" t="str">
        <f t="shared" si="226"/>
        <v/>
      </c>
      <c r="AY386" s="32" t="str">
        <f t="shared" si="227"/>
        <v/>
      </c>
      <c r="BA386" s="32" t="str">
        <f>IF($A387="","",F386*Summary!$Q$8)</f>
        <v/>
      </c>
    </row>
    <row r="387" spans="1:53">
      <c r="A387" s="67" t="str">
        <f t="shared" si="228"/>
        <v/>
      </c>
      <c r="B387" s="69">
        <f t="shared" si="230"/>
        <v>0</v>
      </c>
      <c r="D387" s="69" t="str">
        <f t="shared" si="193"/>
        <v/>
      </c>
      <c r="E387" s="70" t="str">
        <f t="shared" si="194"/>
        <v/>
      </c>
      <c r="F387" s="70" t="str">
        <f t="shared" si="195"/>
        <v/>
      </c>
      <c r="G387" s="63" t="str">
        <f t="shared" si="196"/>
        <v/>
      </c>
      <c r="H387" s="64" t="str">
        <f t="shared" si="197"/>
        <v/>
      </c>
      <c r="J387" s="63" t="str">
        <f t="shared" si="198"/>
        <v/>
      </c>
      <c r="K387" s="64" t="str">
        <f t="shared" si="199"/>
        <v/>
      </c>
      <c r="L387" s="63" t="str">
        <f t="shared" si="200"/>
        <v/>
      </c>
      <c r="M387" s="64" t="str">
        <f t="shared" si="201"/>
        <v/>
      </c>
      <c r="O387" s="63" t="str">
        <f t="shared" si="202"/>
        <v/>
      </c>
      <c r="P387" s="63" t="str">
        <f t="shared" si="203"/>
        <v/>
      </c>
      <c r="R387" s="63" t="str">
        <f t="shared" si="204"/>
        <v/>
      </c>
      <c r="S387" s="64" t="str">
        <f t="shared" si="205"/>
        <v/>
      </c>
      <c r="T387" s="63" t="str">
        <f t="shared" si="206"/>
        <v/>
      </c>
      <c r="U387" s="64" t="str">
        <f t="shared" si="207"/>
        <v/>
      </c>
      <c r="V387" s="207" t="str">
        <f>IF($A388="","",IF(AND(MONTH(A387)&gt;3,MONTH(A387)&lt;11),(T387+R387+G387)*Summary!$T$8/(1-Summary!$T$8),(T387+R387+G387)*Summary!$U$8/(1-Summary!$U$8)))</f>
        <v/>
      </c>
      <c r="W387" s="63" t="str">
        <f t="shared" si="208"/>
        <v/>
      </c>
      <c r="X387" s="63" t="str">
        <f t="shared" si="209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9"/>
        <v/>
      </c>
      <c r="AP387" s="33" t="str">
        <f t="shared" si="220"/>
        <v/>
      </c>
      <c r="AQ387" s="58" t="str">
        <f t="shared" si="221"/>
        <v/>
      </c>
      <c r="AR387" s="38">
        <f>'ANR OK vs ML7'!AR387</f>
        <v>0.1</v>
      </c>
      <c r="AS387" s="35" t="str">
        <f t="shared" si="222"/>
        <v/>
      </c>
      <c r="AT387" s="3" t="str">
        <f t="shared" si="223"/>
        <v/>
      </c>
      <c r="AU387" s="3" t="str">
        <f t="shared" si="224"/>
        <v/>
      </c>
      <c r="AW387" s="32" t="str">
        <f t="shared" si="225"/>
        <v/>
      </c>
      <c r="AX387" s="32" t="str">
        <f t="shared" si="226"/>
        <v/>
      </c>
      <c r="AY387" s="32" t="str">
        <f t="shared" si="227"/>
        <v/>
      </c>
      <c r="BA387" s="32" t="str">
        <f>IF($A388="","",F387*Summary!$Q$8)</f>
        <v/>
      </c>
    </row>
    <row r="388" spans="1:53">
      <c r="A388" s="67" t="str">
        <f t="shared" si="228"/>
        <v/>
      </c>
      <c r="B388" s="69">
        <f t="shared" si="230"/>
        <v>0</v>
      </c>
      <c r="D388" s="69" t="str">
        <f t="shared" si="193"/>
        <v/>
      </c>
      <c r="E388" s="70" t="str">
        <f t="shared" si="194"/>
        <v/>
      </c>
      <c r="F388" s="70" t="str">
        <f t="shared" si="195"/>
        <v/>
      </c>
      <c r="G388" s="63" t="str">
        <f t="shared" si="196"/>
        <v/>
      </c>
      <c r="H388" s="64" t="str">
        <f t="shared" si="197"/>
        <v/>
      </c>
      <c r="J388" s="63" t="str">
        <f t="shared" si="198"/>
        <v/>
      </c>
      <c r="K388" s="64" t="str">
        <f t="shared" si="199"/>
        <v/>
      </c>
      <c r="L388" s="63" t="str">
        <f t="shared" si="200"/>
        <v/>
      </c>
      <c r="M388" s="64" t="str">
        <f t="shared" si="201"/>
        <v/>
      </c>
      <c r="O388" s="63" t="str">
        <f t="shared" si="202"/>
        <v/>
      </c>
      <c r="P388" s="63" t="str">
        <f t="shared" si="203"/>
        <v/>
      </c>
      <c r="R388" s="63" t="str">
        <f t="shared" si="204"/>
        <v/>
      </c>
      <c r="S388" s="64" t="str">
        <f t="shared" si="205"/>
        <v/>
      </c>
      <c r="T388" s="63" t="str">
        <f t="shared" si="206"/>
        <v/>
      </c>
      <c r="U388" s="64" t="str">
        <f t="shared" si="207"/>
        <v/>
      </c>
      <c r="V388" s="207" t="str">
        <f>IF($A389="","",IF(AND(MONTH(A388)&gt;3,MONTH(A388)&lt;11),(T388+R388+G388)*Summary!$T$8/(1-Summary!$T$8),(T388+R388+G388)*Summary!$U$8/(1-Summary!$U$8)))</f>
        <v/>
      </c>
      <c r="W388" s="63" t="str">
        <f t="shared" si="208"/>
        <v/>
      </c>
      <c r="X388" s="63" t="str">
        <f t="shared" si="209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9"/>
        <v/>
      </c>
      <c r="AP388" s="33" t="str">
        <f t="shared" si="220"/>
        <v/>
      </c>
      <c r="AQ388" s="58" t="str">
        <f t="shared" si="221"/>
        <v/>
      </c>
      <c r="AR388" s="38">
        <f>'ANR OK vs ML7'!AR388</f>
        <v>0.1</v>
      </c>
      <c r="AS388" s="35" t="str">
        <f t="shared" si="222"/>
        <v/>
      </c>
      <c r="AT388" s="3" t="str">
        <f t="shared" si="223"/>
        <v/>
      </c>
      <c r="AU388" s="3" t="str">
        <f t="shared" si="224"/>
        <v/>
      </c>
      <c r="AW388" s="32" t="str">
        <f t="shared" si="225"/>
        <v/>
      </c>
      <c r="AX388" s="32" t="str">
        <f t="shared" si="226"/>
        <v/>
      </c>
      <c r="AY388" s="32" t="str">
        <f t="shared" si="227"/>
        <v/>
      </c>
      <c r="BA388" s="32" t="str">
        <f>IF($A389="","",F388*Summary!$Q$8)</f>
        <v/>
      </c>
    </row>
    <row r="389" spans="1:53">
      <c r="A389" s="67" t="str">
        <f t="shared" si="228"/>
        <v/>
      </c>
      <c r="B389" s="69">
        <f t="shared" si="230"/>
        <v>0</v>
      </c>
      <c r="D389" s="69" t="str">
        <f t="shared" si="193"/>
        <v/>
      </c>
      <c r="E389" s="70" t="str">
        <f t="shared" si="194"/>
        <v/>
      </c>
      <c r="F389" s="70" t="str">
        <f t="shared" si="195"/>
        <v/>
      </c>
      <c r="G389" s="63" t="str">
        <f t="shared" si="196"/>
        <v/>
      </c>
      <c r="H389" s="64" t="str">
        <f t="shared" si="197"/>
        <v/>
      </c>
      <c r="J389" s="63" t="str">
        <f t="shared" si="198"/>
        <v/>
      </c>
      <c r="K389" s="64" t="str">
        <f t="shared" si="199"/>
        <v/>
      </c>
      <c r="L389" s="63" t="str">
        <f t="shared" si="200"/>
        <v/>
      </c>
      <c r="M389" s="64" t="str">
        <f t="shared" si="201"/>
        <v/>
      </c>
      <c r="O389" s="63" t="str">
        <f t="shared" si="202"/>
        <v/>
      </c>
      <c r="P389" s="63" t="str">
        <f t="shared" si="203"/>
        <v/>
      </c>
      <c r="R389" s="63" t="str">
        <f t="shared" si="204"/>
        <v/>
      </c>
      <c r="S389" s="64" t="str">
        <f t="shared" si="205"/>
        <v/>
      </c>
      <c r="T389" s="63" t="str">
        <f t="shared" si="206"/>
        <v/>
      </c>
      <c r="U389" s="64" t="str">
        <f t="shared" si="207"/>
        <v/>
      </c>
      <c r="V389" s="207" t="str">
        <f>IF($A390="","",IF(AND(MONTH(A389)&gt;3,MONTH(A389)&lt;11),(T389+R389+G389)*Summary!$T$8/(1-Summary!$T$8),(T389+R389+G389)*Summary!$U$8/(1-Summary!$U$8)))</f>
        <v/>
      </c>
      <c r="W389" s="63" t="str">
        <f t="shared" si="208"/>
        <v/>
      </c>
      <c r="X389" s="63" t="str">
        <f t="shared" si="209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9"/>
        <v/>
      </c>
      <c r="AP389" s="33" t="str">
        <f t="shared" si="220"/>
        <v/>
      </c>
      <c r="AQ389" s="58" t="str">
        <f t="shared" si="221"/>
        <v/>
      </c>
      <c r="AR389" s="38">
        <f>'ANR OK vs ML7'!AR389</f>
        <v>0.1</v>
      </c>
      <c r="AS389" s="35" t="str">
        <f t="shared" si="222"/>
        <v/>
      </c>
      <c r="AT389" s="3" t="str">
        <f t="shared" si="223"/>
        <v/>
      </c>
      <c r="AU389" s="3" t="str">
        <f t="shared" si="224"/>
        <v/>
      </c>
      <c r="AW389" s="32" t="str">
        <f t="shared" si="225"/>
        <v/>
      </c>
      <c r="AX389" s="32" t="str">
        <f t="shared" si="226"/>
        <v/>
      </c>
      <c r="AY389" s="32" t="str">
        <f t="shared" si="227"/>
        <v/>
      </c>
      <c r="BA389" s="32" t="str">
        <f>IF($A390="","",F389*Summary!$Q$8)</f>
        <v/>
      </c>
    </row>
    <row r="390" spans="1:53">
      <c r="A390" s="67" t="str">
        <f t="shared" si="228"/>
        <v/>
      </c>
      <c r="B390" s="69">
        <f t="shared" si="230"/>
        <v>0</v>
      </c>
      <c r="D390" s="69" t="str">
        <f t="shared" si="193"/>
        <v/>
      </c>
      <c r="E390" s="70" t="str">
        <f t="shared" si="194"/>
        <v/>
      </c>
      <c r="F390" s="70" t="str">
        <f t="shared" si="195"/>
        <v/>
      </c>
      <c r="G390" s="63" t="str">
        <f t="shared" si="196"/>
        <v/>
      </c>
      <c r="H390" s="64" t="str">
        <f t="shared" si="197"/>
        <v/>
      </c>
      <c r="J390" s="63" t="str">
        <f t="shared" si="198"/>
        <v/>
      </c>
      <c r="K390" s="64" t="str">
        <f t="shared" si="199"/>
        <v/>
      </c>
      <c r="L390" s="63" t="str">
        <f t="shared" si="200"/>
        <v/>
      </c>
      <c r="M390" s="64" t="str">
        <f t="shared" si="201"/>
        <v/>
      </c>
      <c r="O390" s="63" t="str">
        <f t="shared" si="202"/>
        <v/>
      </c>
      <c r="P390" s="63" t="str">
        <f t="shared" si="203"/>
        <v/>
      </c>
      <c r="R390" s="63" t="str">
        <f t="shared" si="204"/>
        <v/>
      </c>
      <c r="S390" s="64" t="str">
        <f t="shared" si="205"/>
        <v/>
      </c>
      <c r="T390" s="63" t="str">
        <f t="shared" si="206"/>
        <v/>
      </c>
      <c r="U390" s="64" t="str">
        <f t="shared" si="207"/>
        <v/>
      </c>
      <c r="V390" s="207" t="str">
        <f>IF($A391="","",IF(AND(MONTH(A390)&gt;3,MONTH(A390)&lt;11),(T390+R390+G390)*Summary!$T$8/(1-Summary!$T$8),(T390+R390+G390)*Summary!$U$8/(1-Summary!$U$8)))</f>
        <v/>
      </c>
      <c r="W390" s="63" t="str">
        <f t="shared" si="208"/>
        <v/>
      </c>
      <c r="X390" s="63" t="str">
        <f t="shared" si="209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9"/>
        <v/>
      </c>
      <c r="AP390" s="33" t="str">
        <f t="shared" si="220"/>
        <v/>
      </c>
      <c r="AQ390" s="58" t="str">
        <f t="shared" si="221"/>
        <v/>
      </c>
      <c r="AR390" s="38">
        <f>'ANR OK vs ML7'!AR390</f>
        <v>0.1</v>
      </c>
      <c r="AS390" s="35" t="str">
        <f t="shared" si="222"/>
        <v/>
      </c>
      <c r="AT390" s="3" t="str">
        <f t="shared" si="223"/>
        <v/>
      </c>
      <c r="AU390" s="3" t="str">
        <f t="shared" si="224"/>
        <v/>
      </c>
      <c r="AW390" s="32" t="str">
        <f t="shared" si="225"/>
        <v/>
      </c>
      <c r="AX390" s="32" t="str">
        <f t="shared" si="226"/>
        <v/>
      </c>
      <c r="AY390" s="32" t="str">
        <f t="shared" si="227"/>
        <v/>
      </c>
      <c r="BA390" s="32" t="str">
        <f>IF($A391="","",F390*Summary!$Q$8)</f>
        <v/>
      </c>
    </row>
    <row r="391" spans="1:53">
      <c r="A391" s="67" t="str">
        <f t="shared" si="228"/>
        <v/>
      </c>
      <c r="B391" s="69">
        <f t="shared" si="230"/>
        <v>0</v>
      </c>
      <c r="D391" s="69" t="str">
        <f t="shared" si="193"/>
        <v/>
      </c>
      <c r="E391" s="70" t="str">
        <f t="shared" si="194"/>
        <v/>
      </c>
      <c r="F391" s="70" t="str">
        <f t="shared" si="195"/>
        <v/>
      </c>
      <c r="G391" s="63" t="str">
        <f t="shared" si="196"/>
        <v/>
      </c>
      <c r="H391" s="64" t="str">
        <f t="shared" si="197"/>
        <v/>
      </c>
      <c r="J391" s="63" t="str">
        <f t="shared" si="198"/>
        <v/>
      </c>
      <c r="K391" s="64" t="str">
        <f t="shared" si="199"/>
        <v/>
      </c>
      <c r="L391" s="63" t="str">
        <f t="shared" si="200"/>
        <v/>
      </c>
      <c r="M391" s="64" t="str">
        <f t="shared" si="201"/>
        <v/>
      </c>
      <c r="O391" s="63" t="str">
        <f t="shared" si="202"/>
        <v/>
      </c>
      <c r="P391" s="63" t="str">
        <f t="shared" si="203"/>
        <v/>
      </c>
      <c r="R391" s="63" t="str">
        <f t="shared" si="204"/>
        <v/>
      </c>
      <c r="S391" s="64" t="str">
        <f t="shared" si="205"/>
        <v/>
      </c>
      <c r="T391" s="63" t="str">
        <f t="shared" si="206"/>
        <v/>
      </c>
      <c r="U391" s="64" t="str">
        <f t="shared" si="207"/>
        <v/>
      </c>
      <c r="V391" s="207" t="str">
        <f>IF($A392="","",IF(AND(MONTH(A391)&gt;3,MONTH(A391)&lt;11),(T391+R391+G391)*Summary!$T$8/(1-Summary!$T$8),(T391+R391+G391)*Summary!$U$8/(1-Summary!$U$8)))</f>
        <v/>
      </c>
      <c r="W391" s="63" t="str">
        <f t="shared" si="208"/>
        <v/>
      </c>
      <c r="X391" s="63" t="str">
        <f t="shared" si="209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9"/>
        <v/>
      </c>
      <c r="AP391" s="33" t="str">
        <f t="shared" si="220"/>
        <v/>
      </c>
      <c r="AQ391" s="58" t="str">
        <f t="shared" si="221"/>
        <v/>
      </c>
      <c r="AR391" s="38">
        <f>'ANR OK vs ML7'!AR391</f>
        <v>0.1</v>
      </c>
      <c r="AS391" s="35" t="str">
        <f t="shared" si="222"/>
        <v/>
      </c>
      <c r="AT391" s="3" t="str">
        <f t="shared" si="223"/>
        <v/>
      </c>
      <c r="AU391" s="3" t="str">
        <f t="shared" si="224"/>
        <v/>
      </c>
      <c r="AW391" s="32" t="str">
        <f t="shared" si="225"/>
        <v/>
      </c>
      <c r="AX391" s="32" t="str">
        <f t="shared" si="226"/>
        <v/>
      </c>
      <c r="AY391" s="32" t="str">
        <f t="shared" si="227"/>
        <v/>
      </c>
      <c r="BA391" s="32" t="str">
        <f>IF($A392="","",F391*Summary!$Q$8)</f>
        <v/>
      </c>
    </row>
    <row r="392" spans="1:53">
      <c r="A392" s="67" t="str">
        <f t="shared" si="228"/>
        <v/>
      </c>
      <c r="B392" s="69">
        <f t="shared" si="230"/>
        <v>0</v>
      </c>
      <c r="D392" s="69" t="str">
        <f t="shared" si="193"/>
        <v/>
      </c>
      <c r="E392" s="70" t="str">
        <f t="shared" si="194"/>
        <v/>
      </c>
      <c r="F392" s="70" t="str">
        <f t="shared" si="195"/>
        <v/>
      </c>
      <c r="G392" s="63" t="str">
        <f t="shared" si="196"/>
        <v/>
      </c>
      <c r="H392" s="64" t="str">
        <f t="shared" si="197"/>
        <v/>
      </c>
      <c r="J392" s="63" t="str">
        <f t="shared" si="198"/>
        <v/>
      </c>
      <c r="K392" s="64" t="str">
        <f t="shared" si="199"/>
        <v/>
      </c>
      <c r="L392" s="63" t="str">
        <f t="shared" si="200"/>
        <v/>
      </c>
      <c r="M392" s="64" t="str">
        <f t="shared" si="201"/>
        <v/>
      </c>
      <c r="O392" s="63" t="str">
        <f t="shared" si="202"/>
        <v/>
      </c>
      <c r="P392" s="63" t="str">
        <f t="shared" si="203"/>
        <v/>
      </c>
      <c r="R392" s="63" t="str">
        <f t="shared" si="204"/>
        <v/>
      </c>
      <c r="S392" s="64" t="str">
        <f t="shared" si="205"/>
        <v/>
      </c>
      <c r="T392" s="63" t="str">
        <f t="shared" si="206"/>
        <v/>
      </c>
      <c r="U392" s="64" t="str">
        <f t="shared" si="207"/>
        <v/>
      </c>
      <c r="V392" s="207" t="str">
        <f>IF($A393="","",IF(AND(MONTH(A392)&gt;3,MONTH(A392)&lt;11),(T392+R392+G392)*Summary!$T$8/(1-Summary!$T$8),(T392+R392+G392)*Summary!$U$8/(1-Summary!$U$8)))</f>
        <v/>
      </c>
      <c r="W392" s="63" t="str">
        <f t="shared" si="208"/>
        <v/>
      </c>
      <c r="X392" s="63" t="str">
        <f t="shared" si="209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9"/>
        <v/>
      </c>
      <c r="AP392" s="33" t="str">
        <f t="shared" si="220"/>
        <v/>
      </c>
      <c r="AQ392" s="58" t="str">
        <f t="shared" si="221"/>
        <v/>
      </c>
      <c r="AR392" s="38">
        <f>'ANR OK vs ML7'!AR392</f>
        <v>0.1</v>
      </c>
      <c r="AS392" s="35" t="str">
        <f t="shared" si="222"/>
        <v/>
      </c>
      <c r="AT392" s="3" t="str">
        <f t="shared" si="223"/>
        <v/>
      </c>
      <c r="AU392" s="3" t="str">
        <f t="shared" si="224"/>
        <v/>
      </c>
      <c r="AW392" s="32" t="str">
        <f t="shared" si="225"/>
        <v/>
      </c>
      <c r="AX392" s="32" t="str">
        <f t="shared" si="226"/>
        <v/>
      </c>
      <c r="AY392" s="32" t="str">
        <f t="shared" si="227"/>
        <v/>
      </c>
      <c r="BA392" s="32" t="str">
        <f>IF($A393="","",F392*Summary!$Q$8)</f>
        <v/>
      </c>
    </row>
    <row r="393" spans="1:53">
      <c r="A393" s="67" t="str">
        <f t="shared" si="228"/>
        <v/>
      </c>
      <c r="B393" s="69">
        <f t="shared" si="230"/>
        <v>0</v>
      </c>
      <c r="D393" s="69" t="str">
        <f t="shared" si="193"/>
        <v/>
      </c>
      <c r="E393" s="70" t="str">
        <f t="shared" si="194"/>
        <v/>
      </c>
      <c r="F393" s="70" t="str">
        <f t="shared" si="195"/>
        <v/>
      </c>
      <c r="G393" s="63" t="str">
        <f t="shared" si="196"/>
        <v/>
      </c>
      <c r="H393" s="64" t="str">
        <f t="shared" si="197"/>
        <v/>
      </c>
      <c r="J393" s="63" t="str">
        <f t="shared" si="198"/>
        <v/>
      </c>
      <c r="K393" s="64" t="str">
        <f t="shared" si="199"/>
        <v/>
      </c>
      <c r="L393" s="63" t="str">
        <f t="shared" si="200"/>
        <v/>
      </c>
      <c r="M393" s="64" t="str">
        <f t="shared" si="201"/>
        <v/>
      </c>
      <c r="O393" s="63" t="str">
        <f t="shared" si="202"/>
        <v/>
      </c>
      <c r="P393" s="63" t="str">
        <f t="shared" si="203"/>
        <v/>
      </c>
      <c r="R393" s="63" t="str">
        <f t="shared" si="204"/>
        <v/>
      </c>
      <c r="S393" s="64" t="str">
        <f t="shared" si="205"/>
        <v/>
      </c>
      <c r="T393" s="63" t="str">
        <f t="shared" si="206"/>
        <v/>
      </c>
      <c r="U393" s="64" t="str">
        <f t="shared" si="207"/>
        <v/>
      </c>
      <c r="V393" s="207" t="str">
        <f>IF($A394="","",IF(AND(MONTH(A393)&gt;3,MONTH(A393)&lt;11),(T393+R393+G393)*Summary!$T$8/(1-Summary!$T$8),(T393+R393+G393)*Summary!$U$8/(1-Summary!$U$8)))</f>
        <v/>
      </c>
      <c r="W393" s="63" t="str">
        <f t="shared" si="208"/>
        <v/>
      </c>
      <c r="X393" s="63" t="str">
        <f t="shared" si="209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9"/>
        <v/>
      </c>
      <c r="AP393" s="33" t="str">
        <f t="shared" si="220"/>
        <v/>
      </c>
      <c r="AQ393" s="58" t="str">
        <f t="shared" si="221"/>
        <v/>
      </c>
      <c r="AR393" s="38">
        <f>'ANR OK vs ML7'!AR393</f>
        <v>0.1</v>
      </c>
      <c r="AS393" s="35" t="str">
        <f t="shared" si="222"/>
        <v/>
      </c>
      <c r="AT393" s="3" t="str">
        <f t="shared" si="223"/>
        <v/>
      </c>
      <c r="AU393" s="3" t="str">
        <f t="shared" si="224"/>
        <v/>
      </c>
      <c r="AW393" s="32" t="str">
        <f t="shared" si="225"/>
        <v/>
      </c>
      <c r="AX393" s="32" t="str">
        <f t="shared" si="226"/>
        <v/>
      </c>
      <c r="AY393" s="32" t="str">
        <f t="shared" si="227"/>
        <v/>
      </c>
      <c r="BA393" s="32" t="str">
        <f>IF($A394="","",F393*Summary!$Q$8)</f>
        <v/>
      </c>
    </row>
    <row r="394" spans="1:53">
      <c r="A394" s="67" t="str">
        <f t="shared" si="228"/>
        <v/>
      </c>
      <c r="B394" s="69">
        <f t="shared" si="230"/>
        <v>0</v>
      </c>
      <c r="D394" s="69" t="str">
        <f t="shared" ref="D394:D457" si="231">IF(A395&lt;&gt;"",B394+C394,"")</f>
        <v/>
      </c>
      <c r="E394" s="70" t="str">
        <f t="shared" ref="E394:E457" si="232">IF(A395="","",IF(AND(AT394=1,$H$3=1),D394*AO394,IF($H$3=2,D394,"N/A")))</f>
        <v/>
      </c>
      <c r="F394" s="70" t="str">
        <f t="shared" ref="F394:F457" si="233">IF(A395="","",E394*AS394)</f>
        <v/>
      </c>
      <c r="G394" s="63" t="str">
        <f t="shared" ref="G394:G457" si="234">IF($A395="","",VLOOKUP($A394,Table,MATCH(G$4,Curves,0)))</f>
        <v/>
      </c>
      <c r="H394" s="64" t="str">
        <f t="shared" ref="H394:H457" si="235">IF(A395="","",G394)</f>
        <v/>
      </c>
      <c r="J394" s="63" t="str">
        <f t="shared" ref="J394:J457" si="236">IF($A395="","",VLOOKUP($A394,Table,MATCH(J$4,Curves,0)))</f>
        <v/>
      </c>
      <c r="K394" s="64" t="str">
        <f t="shared" ref="K394:K457" si="237">IF(A395="","",J394)</f>
        <v/>
      </c>
      <c r="L394" s="63" t="str">
        <f t="shared" ref="L394:L457" si="238">IF($A395="","",VLOOKUP($A394,Table,MATCH(L$4,Curves,0)))</f>
        <v/>
      </c>
      <c r="M394" s="64" t="str">
        <f t="shared" ref="M394:M457" si="239">IF(A395="","",L394)</f>
        <v/>
      </c>
      <c r="O394" s="63" t="str">
        <f t="shared" ref="O394:O457" si="240">IF(A395="","",L394+J394+G394)</f>
        <v/>
      </c>
      <c r="P394" s="63" t="str">
        <f t="shared" ref="P394:P457" si="241">IF(A395="","",M394+K394+H394)</f>
        <v/>
      </c>
      <c r="R394" s="63" t="str">
        <f t="shared" ref="R394:R457" si="242">IF($A395="","",VLOOKUP($A394,Table,MATCH(R$4,Curves,0)))</f>
        <v/>
      </c>
      <c r="S394" s="64" t="str">
        <f t="shared" ref="S394:S457" si="243">IF(A395="","",R394)</f>
        <v/>
      </c>
      <c r="T394" s="63" t="str">
        <f t="shared" ref="T394:T457" si="244">IF($A395="","",VLOOKUP($A394,Table,MATCH(T$4,Curves,0)))</f>
        <v/>
      </c>
      <c r="U394" s="64" t="str">
        <f t="shared" ref="U394:U457" si="245">IF(A395="","",T394)</f>
        <v/>
      </c>
      <c r="V394" s="207" t="str">
        <f>IF($A395="","",IF(AND(MONTH(A394)&gt;3,MONTH(A394)&lt;11),(T394+R394+G394)*Summary!$T$8/(1-Summary!$T$8),(T394+R394+G394)*Summary!$U$8/(1-Summary!$U$8)))</f>
        <v/>
      </c>
      <c r="W394" s="63" t="str">
        <f t="shared" ref="W394:W457" si="246">IF($A395="","",(T394+R394+G394+V394))</f>
        <v/>
      </c>
      <c r="X394" s="63" t="str">
        <f t="shared" ref="X394:X457" si="247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8">IF(A395="","",A395-A394)</f>
        <v/>
      </c>
      <c r="AP394" s="33" t="str">
        <f t="shared" ref="AP394:AP457" si="249">IF(A395="","",CHOOSE(F$3,A395+24,A394))</f>
        <v/>
      </c>
      <c r="AQ394" s="58" t="str">
        <f t="shared" ref="AQ394:AQ457" si="250">IF(A395="","",AP394-$E$1)</f>
        <v/>
      </c>
      <c r="AR394" s="38">
        <f>'ANR OK vs ML7'!AR394</f>
        <v>0.1</v>
      </c>
      <c r="AS394" s="35" t="str">
        <f t="shared" ref="AS394:AS457" si="251">IF(A395="","",1/(1+CHOOSE(F$3,(AR395+($I$3/10000))/2,(AR394+($I$3/10000))/2))^(2*AQ394/365.25))</f>
        <v/>
      </c>
      <c r="AT394" s="3" t="str">
        <f t="shared" ref="AT394:AT457" si="252">IF(A395="","",IF(AND(mthbeg&lt;=A394,mthend&gt;=A394),1,0))</f>
        <v/>
      </c>
      <c r="AU394" s="3" t="str">
        <f t="shared" ref="AU394:AU457" si="253">IF(A395="","",AO394*AT394)</f>
        <v/>
      </c>
      <c r="AW394" s="32" t="str">
        <f t="shared" ref="AW394:AW457" si="254">IF($A395="","",AL394*$E394)</f>
        <v/>
      </c>
      <c r="AX394" s="32" t="str">
        <f t="shared" ref="AX394:AX457" si="255">IF($A395="","",AM394*$E394)</f>
        <v/>
      </c>
      <c r="AY394" s="32" t="str">
        <f t="shared" ref="AY394:AY457" si="256">IF($A395="","",AN394*$E394)</f>
        <v/>
      </c>
      <c r="BA394" s="32" t="str">
        <f>IF($A395="","",F394*Summary!$Q$8)</f>
        <v/>
      </c>
    </row>
    <row r="395" spans="1:53">
      <c r="A395" s="67" t="str">
        <f t="shared" ref="A395:A458" si="257">IF(A394&lt;mthend,EDATE(A394,1),"")</f>
        <v/>
      </c>
      <c r="B395" s="69">
        <f t="shared" si="230"/>
        <v>0</v>
      </c>
      <c r="D395" s="69" t="str">
        <f t="shared" si="231"/>
        <v/>
      </c>
      <c r="E395" s="70" t="str">
        <f t="shared" si="232"/>
        <v/>
      </c>
      <c r="F395" s="70" t="str">
        <f t="shared" si="233"/>
        <v/>
      </c>
      <c r="G395" s="63" t="str">
        <f t="shared" si="234"/>
        <v/>
      </c>
      <c r="H395" s="64" t="str">
        <f t="shared" si="235"/>
        <v/>
      </c>
      <c r="J395" s="63" t="str">
        <f t="shared" si="236"/>
        <v/>
      </c>
      <c r="K395" s="64" t="str">
        <f t="shared" si="237"/>
        <v/>
      </c>
      <c r="L395" s="63" t="str">
        <f t="shared" si="238"/>
        <v/>
      </c>
      <c r="M395" s="64" t="str">
        <f t="shared" si="239"/>
        <v/>
      </c>
      <c r="O395" s="63" t="str">
        <f t="shared" si="240"/>
        <v/>
      </c>
      <c r="P395" s="63" t="str">
        <f t="shared" si="241"/>
        <v/>
      </c>
      <c r="R395" s="63" t="str">
        <f t="shared" si="242"/>
        <v/>
      </c>
      <c r="S395" s="64" t="str">
        <f t="shared" si="243"/>
        <v/>
      </c>
      <c r="T395" s="63" t="str">
        <f t="shared" si="244"/>
        <v/>
      </c>
      <c r="U395" s="64" t="str">
        <f t="shared" si="245"/>
        <v/>
      </c>
      <c r="V395" s="207" t="str">
        <f>IF($A396="","",IF(AND(MONTH(A395)&gt;3,MONTH(A395)&lt;11),(T395+R395+G395)*Summary!$T$8/(1-Summary!$T$8),(T395+R395+G395)*Summary!$U$8/(1-Summary!$U$8)))</f>
        <v/>
      </c>
      <c r="W395" s="63" t="str">
        <f t="shared" si="246"/>
        <v/>
      </c>
      <c r="X395" s="63" t="str">
        <f t="shared" si="247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8"/>
        <v/>
      </c>
      <c r="AP395" s="33" t="str">
        <f t="shared" si="249"/>
        <v/>
      </c>
      <c r="AQ395" s="58" t="str">
        <f t="shared" si="250"/>
        <v/>
      </c>
      <c r="AR395" s="38">
        <f>'ANR OK vs ML7'!AR395</f>
        <v>0.1</v>
      </c>
      <c r="AS395" s="35" t="str">
        <f t="shared" si="251"/>
        <v/>
      </c>
      <c r="AT395" s="3" t="str">
        <f t="shared" si="252"/>
        <v/>
      </c>
      <c r="AU395" s="3" t="str">
        <f t="shared" si="253"/>
        <v/>
      </c>
      <c r="AW395" s="32" t="str">
        <f t="shared" si="254"/>
        <v/>
      </c>
      <c r="AX395" s="32" t="str">
        <f t="shared" si="255"/>
        <v/>
      </c>
      <c r="AY395" s="32" t="str">
        <f t="shared" si="256"/>
        <v/>
      </c>
      <c r="BA395" s="32" t="str">
        <f>IF($A396="","",F395*Summary!$Q$8)</f>
        <v/>
      </c>
    </row>
    <row r="396" spans="1:53">
      <c r="A396" s="67" t="str">
        <f t="shared" si="257"/>
        <v/>
      </c>
      <c r="B396" s="69">
        <f t="shared" ref="B396:B459" si="258">IF(A396&lt;mthend,B395,0)</f>
        <v>0</v>
      </c>
      <c r="D396" s="69" t="str">
        <f t="shared" si="231"/>
        <v/>
      </c>
      <c r="E396" s="70" t="str">
        <f t="shared" si="232"/>
        <v/>
      </c>
      <c r="F396" s="70" t="str">
        <f t="shared" si="233"/>
        <v/>
      </c>
      <c r="G396" s="63" t="str">
        <f t="shared" si="234"/>
        <v/>
      </c>
      <c r="H396" s="64" t="str">
        <f t="shared" si="235"/>
        <v/>
      </c>
      <c r="J396" s="63" t="str">
        <f t="shared" si="236"/>
        <v/>
      </c>
      <c r="K396" s="64" t="str">
        <f t="shared" si="237"/>
        <v/>
      </c>
      <c r="L396" s="63" t="str">
        <f t="shared" si="238"/>
        <v/>
      </c>
      <c r="M396" s="64" t="str">
        <f t="shared" si="239"/>
        <v/>
      </c>
      <c r="O396" s="63" t="str">
        <f t="shared" si="240"/>
        <v/>
      </c>
      <c r="P396" s="63" t="str">
        <f t="shared" si="241"/>
        <v/>
      </c>
      <c r="R396" s="63" t="str">
        <f t="shared" si="242"/>
        <v/>
      </c>
      <c r="S396" s="64" t="str">
        <f t="shared" si="243"/>
        <v/>
      </c>
      <c r="T396" s="63" t="str">
        <f t="shared" si="244"/>
        <v/>
      </c>
      <c r="U396" s="64" t="str">
        <f t="shared" si="245"/>
        <v/>
      </c>
      <c r="V396" s="207" t="str">
        <f>IF($A397="","",IF(AND(MONTH(A396)&gt;3,MONTH(A396)&lt;11),(T396+R396+G396)*Summary!$T$8/(1-Summary!$T$8),(T396+R396+G396)*Summary!$U$8/(1-Summary!$U$8)))</f>
        <v/>
      </c>
      <c r="W396" s="63" t="str">
        <f t="shared" si="246"/>
        <v/>
      </c>
      <c r="X396" s="63" t="str">
        <f t="shared" si="247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8"/>
        <v/>
      </c>
      <c r="AP396" s="33" t="str">
        <f t="shared" si="249"/>
        <v/>
      </c>
      <c r="AQ396" s="58" t="str">
        <f t="shared" si="250"/>
        <v/>
      </c>
      <c r="AR396" s="38">
        <f>'ANR OK vs ML7'!AR396</f>
        <v>0.1</v>
      </c>
      <c r="AS396" s="35" t="str">
        <f t="shared" si="251"/>
        <v/>
      </c>
      <c r="AT396" s="3" t="str">
        <f t="shared" si="252"/>
        <v/>
      </c>
      <c r="AU396" s="3" t="str">
        <f t="shared" si="253"/>
        <v/>
      </c>
      <c r="AW396" s="32" t="str">
        <f t="shared" si="254"/>
        <v/>
      </c>
      <c r="AX396" s="32" t="str">
        <f t="shared" si="255"/>
        <v/>
      </c>
      <c r="AY396" s="32" t="str">
        <f t="shared" si="256"/>
        <v/>
      </c>
      <c r="BA396" s="32" t="str">
        <f>IF($A397="","",F396*Summary!$Q$8)</f>
        <v/>
      </c>
    </row>
    <row r="397" spans="1:53">
      <c r="A397" s="67" t="str">
        <f t="shared" si="257"/>
        <v/>
      </c>
      <c r="B397" s="69">
        <f t="shared" si="258"/>
        <v>0</v>
      </c>
      <c r="D397" s="69" t="str">
        <f t="shared" si="231"/>
        <v/>
      </c>
      <c r="E397" s="70" t="str">
        <f t="shared" si="232"/>
        <v/>
      </c>
      <c r="F397" s="70" t="str">
        <f t="shared" si="233"/>
        <v/>
      </c>
      <c r="G397" s="63" t="str">
        <f t="shared" si="234"/>
        <v/>
      </c>
      <c r="H397" s="64" t="str">
        <f t="shared" si="235"/>
        <v/>
      </c>
      <c r="J397" s="63" t="str">
        <f t="shared" si="236"/>
        <v/>
      </c>
      <c r="K397" s="64" t="str">
        <f t="shared" si="237"/>
        <v/>
      </c>
      <c r="L397" s="63" t="str">
        <f t="shared" si="238"/>
        <v/>
      </c>
      <c r="M397" s="64" t="str">
        <f t="shared" si="239"/>
        <v/>
      </c>
      <c r="O397" s="63" t="str">
        <f t="shared" si="240"/>
        <v/>
      </c>
      <c r="P397" s="63" t="str">
        <f t="shared" si="241"/>
        <v/>
      </c>
      <c r="R397" s="63" t="str">
        <f t="shared" si="242"/>
        <v/>
      </c>
      <c r="S397" s="64" t="str">
        <f t="shared" si="243"/>
        <v/>
      </c>
      <c r="T397" s="63" t="str">
        <f t="shared" si="244"/>
        <v/>
      </c>
      <c r="U397" s="64" t="str">
        <f t="shared" si="245"/>
        <v/>
      </c>
      <c r="V397" s="207" t="str">
        <f>IF($A398="","",IF(AND(MONTH(A397)&gt;3,MONTH(A397)&lt;11),(T397+R397+G397)*Summary!$T$8/(1-Summary!$T$8),(T397+R397+G397)*Summary!$U$8/(1-Summary!$U$8)))</f>
        <v/>
      </c>
      <c r="W397" s="63" t="str">
        <f t="shared" si="246"/>
        <v/>
      </c>
      <c r="X397" s="63" t="str">
        <f t="shared" si="247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8"/>
        <v/>
      </c>
      <c r="AP397" s="33" t="str">
        <f t="shared" si="249"/>
        <v/>
      </c>
      <c r="AQ397" s="58" t="str">
        <f t="shared" si="250"/>
        <v/>
      </c>
      <c r="AR397" s="38">
        <f>'ANR OK vs ML7'!AR397</f>
        <v>0.1</v>
      </c>
      <c r="AS397" s="35" t="str">
        <f t="shared" si="251"/>
        <v/>
      </c>
      <c r="AT397" s="3" t="str">
        <f t="shared" si="252"/>
        <v/>
      </c>
      <c r="AU397" s="3" t="str">
        <f t="shared" si="253"/>
        <v/>
      </c>
      <c r="AW397" s="32" t="str">
        <f t="shared" si="254"/>
        <v/>
      </c>
      <c r="AX397" s="32" t="str">
        <f t="shared" si="255"/>
        <v/>
      </c>
      <c r="AY397" s="32" t="str">
        <f t="shared" si="256"/>
        <v/>
      </c>
      <c r="BA397" s="32" t="str">
        <f>IF($A398="","",F397*Summary!$Q$8)</f>
        <v/>
      </c>
    </row>
    <row r="398" spans="1:53">
      <c r="A398" s="67" t="str">
        <f t="shared" si="257"/>
        <v/>
      </c>
      <c r="B398" s="69">
        <f t="shared" si="258"/>
        <v>0</v>
      </c>
      <c r="D398" s="69" t="str">
        <f t="shared" si="231"/>
        <v/>
      </c>
      <c r="E398" s="70" t="str">
        <f t="shared" si="232"/>
        <v/>
      </c>
      <c r="F398" s="70" t="str">
        <f t="shared" si="233"/>
        <v/>
      </c>
      <c r="G398" s="63" t="str">
        <f t="shared" si="234"/>
        <v/>
      </c>
      <c r="H398" s="64" t="str">
        <f t="shared" si="235"/>
        <v/>
      </c>
      <c r="J398" s="63" t="str">
        <f t="shared" si="236"/>
        <v/>
      </c>
      <c r="K398" s="64" t="str">
        <f t="shared" si="237"/>
        <v/>
      </c>
      <c r="L398" s="63" t="str">
        <f t="shared" si="238"/>
        <v/>
      </c>
      <c r="M398" s="64" t="str">
        <f t="shared" si="239"/>
        <v/>
      </c>
      <c r="O398" s="63" t="str">
        <f t="shared" si="240"/>
        <v/>
      </c>
      <c r="P398" s="63" t="str">
        <f t="shared" si="241"/>
        <v/>
      </c>
      <c r="R398" s="63" t="str">
        <f t="shared" si="242"/>
        <v/>
      </c>
      <c r="S398" s="64" t="str">
        <f t="shared" si="243"/>
        <v/>
      </c>
      <c r="T398" s="63" t="str">
        <f t="shared" si="244"/>
        <v/>
      </c>
      <c r="U398" s="64" t="str">
        <f t="shared" si="245"/>
        <v/>
      </c>
      <c r="V398" s="207" t="str">
        <f>IF($A399="","",IF(AND(MONTH(A398)&gt;3,MONTH(A398)&lt;11),(T398+R398+G398)*Summary!$T$8/(1-Summary!$T$8),(T398+R398+G398)*Summary!$U$8/(1-Summary!$U$8)))</f>
        <v/>
      </c>
      <c r="W398" s="63" t="str">
        <f t="shared" si="246"/>
        <v/>
      </c>
      <c r="X398" s="63" t="str">
        <f t="shared" si="247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8"/>
        <v/>
      </c>
      <c r="AP398" s="33" t="str">
        <f t="shared" si="249"/>
        <v/>
      </c>
      <c r="AQ398" s="58" t="str">
        <f t="shared" si="250"/>
        <v/>
      </c>
      <c r="AR398" s="38">
        <f>'ANR OK vs ML7'!AR398</f>
        <v>0.1</v>
      </c>
      <c r="AS398" s="35" t="str">
        <f t="shared" si="251"/>
        <v/>
      </c>
      <c r="AT398" s="3" t="str">
        <f t="shared" si="252"/>
        <v/>
      </c>
      <c r="AU398" s="3" t="str">
        <f t="shared" si="253"/>
        <v/>
      </c>
      <c r="AW398" s="32" t="str">
        <f t="shared" si="254"/>
        <v/>
      </c>
      <c r="AX398" s="32" t="str">
        <f t="shared" si="255"/>
        <v/>
      </c>
      <c r="AY398" s="32" t="str">
        <f t="shared" si="256"/>
        <v/>
      </c>
      <c r="BA398" s="32" t="str">
        <f>IF($A399="","",F398*Summary!$Q$8)</f>
        <v/>
      </c>
    </row>
    <row r="399" spans="1:53">
      <c r="A399" s="67" t="str">
        <f t="shared" si="257"/>
        <v/>
      </c>
      <c r="B399" s="69">
        <f t="shared" si="258"/>
        <v>0</v>
      </c>
      <c r="D399" s="69" t="str">
        <f t="shared" si="231"/>
        <v/>
      </c>
      <c r="E399" s="70" t="str">
        <f t="shared" si="232"/>
        <v/>
      </c>
      <c r="F399" s="70" t="str">
        <f t="shared" si="233"/>
        <v/>
      </c>
      <c r="G399" s="63" t="str">
        <f t="shared" si="234"/>
        <v/>
      </c>
      <c r="H399" s="64" t="str">
        <f t="shared" si="235"/>
        <v/>
      </c>
      <c r="J399" s="63" t="str">
        <f t="shared" si="236"/>
        <v/>
      </c>
      <c r="K399" s="64" t="str">
        <f t="shared" si="237"/>
        <v/>
      </c>
      <c r="L399" s="63" t="str">
        <f t="shared" si="238"/>
        <v/>
      </c>
      <c r="M399" s="64" t="str">
        <f t="shared" si="239"/>
        <v/>
      </c>
      <c r="O399" s="63" t="str">
        <f t="shared" si="240"/>
        <v/>
      </c>
      <c r="P399" s="63" t="str">
        <f t="shared" si="241"/>
        <v/>
      </c>
      <c r="R399" s="63" t="str">
        <f t="shared" si="242"/>
        <v/>
      </c>
      <c r="S399" s="64" t="str">
        <f t="shared" si="243"/>
        <v/>
      </c>
      <c r="T399" s="63" t="str">
        <f t="shared" si="244"/>
        <v/>
      </c>
      <c r="U399" s="64" t="str">
        <f t="shared" si="245"/>
        <v/>
      </c>
      <c r="V399" s="207" t="str">
        <f>IF($A400="","",IF(AND(MONTH(A399)&gt;3,MONTH(A399)&lt;11),(T399+R399+G399)*Summary!$T$8/(1-Summary!$T$8),(T399+R399+G399)*Summary!$U$8/(1-Summary!$U$8)))</f>
        <v/>
      </c>
      <c r="W399" s="63" t="str">
        <f t="shared" si="246"/>
        <v/>
      </c>
      <c r="X399" s="63" t="str">
        <f t="shared" si="247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8"/>
        <v/>
      </c>
      <c r="AP399" s="33" t="str">
        <f t="shared" si="249"/>
        <v/>
      </c>
      <c r="AQ399" s="58" t="str">
        <f t="shared" si="250"/>
        <v/>
      </c>
      <c r="AR399" s="38">
        <f>'ANR OK vs ML7'!AR399</f>
        <v>0.1</v>
      </c>
      <c r="AS399" s="35" t="str">
        <f t="shared" si="251"/>
        <v/>
      </c>
      <c r="AT399" s="3" t="str">
        <f t="shared" si="252"/>
        <v/>
      </c>
      <c r="AU399" s="3" t="str">
        <f t="shared" si="253"/>
        <v/>
      </c>
      <c r="AW399" s="32" t="str">
        <f t="shared" si="254"/>
        <v/>
      </c>
      <c r="AX399" s="32" t="str">
        <f t="shared" si="255"/>
        <v/>
      </c>
      <c r="AY399" s="32" t="str">
        <f t="shared" si="256"/>
        <v/>
      </c>
      <c r="BA399" s="32" t="str">
        <f>IF($A400="","",F399*Summary!$Q$8)</f>
        <v/>
      </c>
    </row>
    <row r="400" spans="1:53">
      <c r="A400" s="67" t="str">
        <f t="shared" si="257"/>
        <v/>
      </c>
      <c r="B400" s="69">
        <f t="shared" si="258"/>
        <v>0</v>
      </c>
      <c r="D400" s="69" t="str">
        <f t="shared" si="231"/>
        <v/>
      </c>
      <c r="E400" s="70" t="str">
        <f t="shared" si="232"/>
        <v/>
      </c>
      <c r="F400" s="70" t="str">
        <f t="shared" si="233"/>
        <v/>
      </c>
      <c r="G400" s="63" t="str">
        <f t="shared" si="234"/>
        <v/>
      </c>
      <c r="H400" s="64" t="str">
        <f t="shared" si="235"/>
        <v/>
      </c>
      <c r="J400" s="63" t="str">
        <f t="shared" si="236"/>
        <v/>
      </c>
      <c r="K400" s="64" t="str">
        <f t="shared" si="237"/>
        <v/>
      </c>
      <c r="L400" s="63" t="str">
        <f t="shared" si="238"/>
        <v/>
      </c>
      <c r="M400" s="64" t="str">
        <f t="shared" si="239"/>
        <v/>
      </c>
      <c r="O400" s="63" t="str">
        <f t="shared" si="240"/>
        <v/>
      </c>
      <c r="P400" s="63" t="str">
        <f t="shared" si="241"/>
        <v/>
      </c>
      <c r="R400" s="63" t="str">
        <f t="shared" si="242"/>
        <v/>
      </c>
      <c r="S400" s="64" t="str">
        <f t="shared" si="243"/>
        <v/>
      </c>
      <c r="T400" s="63" t="str">
        <f t="shared" si="244"/>
        <v/>
      </c>
      <c r="U400" s="64" t="str">
        <f t="shared" si="245"/>
        <v/>
      </c>
      <c r="V400" s="207" t="str">
        <f>IF($A401="","",IF(AND(MONTH(A400)&gt;3,MONTH(A400)&lt;11),(T400+R400+G400)*Summary!$T$8/(1-Summary!$T$8),(T400+R400+G400)*Summary!$U$8/(1-Summary!$U$8)))</f>
        <v/>
      </c>
      <c r="W400" s="63" t="str">
        <f t="shared" si="246"/>
        <v/>
      </c>
      <c r="X400" s="63" t="str">
        <f t="shared" si="247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8"/>
        <v/>
      </c>
      <c r="AP400" s="33" t="str">
        <f t="shared" si="249"/>
        <v/>
      </c>
      <c r="AQ400" s="58" t="str">
        <f t="shared" si="250"/>
        <v/>
      </c>
      <c r="AR400" s="38">
        <f>'ANR OK vs ML7'!AR400</f>
        <v>0.1</v>
      </c>
      <c r="AS400" s="35" t="str">
        <f t="shared" si="251"/>
        <v/>
      </c>
      <c r="AT400" s="3" t="str">
        <f t="shared" si="252"/>
        <v/>
      </c>
      <c r="AU400" s="3" t="str">
        <f t="shared" si="253"/>
        <v/>
      </c>
      <c r="AW400" s="32" t="str">
        <f t="shared" si="254"/>
        <v/>
      </c>
      <c r="AX400" s="32" t="str">
        <f t="shared" si="255"/>
        <v/>
      </c>
      <c r="AY400" s="32" t="str">
        <f t="shared" si="256"/>
        <v/>
      </c>
      <c r="BA400" s="32" t="str">
        <f>IF($A401="","",F400*Summary!$Q$8)</f>
        <v/>
      </c>
    </row>
    <row r="401" spans="1:53">
      <c r="A401" s="67" t="str">
        <f t="shared" si="257"/>
        <v/>
      </c>
      <c r="B401" s="69">
        <f t="shared" si="258"/>
        <v>0</v>
      </c>
      <c r="D401" s="69" t="str">
        <f t="shared" si="231"/>
        <v/>
      </c>
      <c r="E401" s="70" t="str">
        <f t="shared" si="232"/>
        <v/>
      </c>
      <c r="F401" s="70" t="str">
        <f t="shared" si="233"/>
        <v/>
      </c>
      <c r="G401" s="63" t="str">
        <f t="shared" si="234"/>
        <v/>
      </c>
      <c r="H401" s="64" t="str">
        <f t="shared" si="235"/>
        <v/>
      </c>
      <c r="J401" s="63" t="str">
        <f t="shared" si="236"/>
        <v/>
      </c>
      <c r="K401" s="64" t="str">
        <f t="shared" si="237"/>
        <v/>
      </c>
      <c r="L401" s="63" t="str">
        <f t="shared" si="238"/>
        <v/>
      </c>
      <c r="M401" s="64" t="str">
        <f t="shared" si="239"/>
        <v/>
      </c>
      <c r="O401" s="63" t="str">
        <f t="shared" si="240"/>
        <v/>
      </c>
      <c r="P401" s="63" t="str">
        <f t="shared" si="241"/>
        <v/>
      </c>
      <c r="R401" s="63" t="str">
        <f t="shared" si="242"/>
        <v/>
      </c>
      <c r="S401" s="64" t="str">
        <f t="shared" si="243"/>
        <v/>
      </c>
      <c r="T401" s="63" t="str">
        <f t="shared" si="244"/>
        <v/>
      </c>
      <c r="U401" s="64" t="str">
        <f t="shared" si="245"/>
        <v/>
      </c>
      <c r="V401" s="207" t="str">
        <f>IF($A402="","",IF(AND(MONTH(A401)&gt;3,MONTH(A401)&lt;11),(T401+R401+G401)*Summary!$T$8/(1-Summary!$T$8),(T401+R401+G401)*Summary!$U$8/(1-Summary!$U$8)))</f>
        <v/>
      </c>
      <c r="W401" s="63" t="str">
        <f t="shared" si="246"/>
        <v/>
      </c>
      <c r="X401" s="63" t="str">
        <f t="shared" si="247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8"/>
        <v/>
      </c>
      <c r="AP401" s="33" t="str">
        <f t="shared" si="249"/>
        <v/>
      </c>
      <c r="AQ401" s="58" t="str">
        <f t="shared" si="250"/>
        <v/>
      </c>
      <c r="AR401" s="38">
        <f>'ANR OK vs ML7'!AR401</f>
        <v>0.1</v>
      </c>
      <c r="AS401" s="35" t="str">
        <f t="shared" si="251"/>
        <v/>
      </c>
      <c r="AT401" s="3" t="str">
        <f t="shared" si="252"/>
        <v/>
      </c>
      <c r="AU401" s="3" t="str">
        <f t="shared" si="253"/>
        <v/>
      </c>
      <c r="AW401" s="32" t="str">
        <f t="shared" si="254"/>
        <v/>
      </c>
      <c r="AX401" s="32" t="str">
        <f t="shared" si="255"/>
        <v/>
      </c>
      <c r="AY401" s="32" t="str">
        <f t="shared" si="256"/>
        <v/>
      </c>
      <c r="BA401" s="32" t="str">
        <f>IF($A402="","",F401*Summary!$Q$8)</f>
        <v/>
      </c>
    </row>
    <row r="402" spans="1:53">
      <c r="A402" s="67" t="str">
        <f t="shared" si="257"/>
        <v/>
      </c>
      <c r="B402" s="69">
        <f t="shared" si="258"/>
        <v>0</v>
      </c>
      <c r="D402" s="69" t="str">
        <f t="shared" si="231"/>
        <v/>
      </c>
      <c r="E402" s="70" t="str">
        <f t="shared" si="232"/>
        <v/>
      </c>
      <c r="F402" s="70" t="str">
        <f t="shared" si="233"/>
        <v/>
      </c>
      <c r="G402" s="63" t="str">
        <f t="shared" si="234"/>
        <v/>
      </c>
      <c r="H402" s="64" t="str">
        <f t="shared" si="235"/>
        <v/>
      </c>
      <c r="J402" s="63" t="str">
        <f t="shared" si="236"/>
        <v/>
      </c>
      <c r="K402" s="64" t="str">
        <f t="shared" si="237"/>
        <v/>
      </c>
      <c r="L402" s="63" t="str">
        <f t="shared" si="238"/>
        <v/>
      </c>
      <c r="M402" s="64" t="str">
        <f t="shared" si="239"/>
        <v/>
      </c>
      <c r="O402" s="63" t="str">
        <f t="shared" si="240"/>
        <v/>
      </c>
      <c r="P402" s="63" t="str">
        <f t="shared" si="241"/>
        <v/>
      </c>
      <c r="R402" s="63" t="str">
        <f t="shared" si="242"/>
        <v/>
      </c>
      <c r="S402" s="64" t="str">
        <f t="shared" si="243"/>
        <v/>
      </c>
      <c r="T402" s="63" t="str">
        <f t="shared" si="244"/>
        <v/>
      </c>
      <c r="U402" s="64" t="str">
        <f t="shared" si="245"/>
        <v/>
      </c>
      <c r="V402" s="207" t="str">
        <f>IF($A403="","",IF(AND(MONTH(A402)&gt;3,MONTH(A402)&lt;11),(T402+R402+G402)*Summary!$T$8/(1-Summary!$T$8),(T402+R402+G402)*Summary!$U$8/(1-Summary!$U$8)))</f>
        <v/>
      </c>
      <c r="W402" s="63" t="str">
        <f t="shared" si="246"/>
        <v/>
      </c>
      <c r="X402" s="63" t="str">
        <f t="shared" si="247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8"/>
        <v/>
      </c>
      <c r="AP402" s="33" t="str">
        <f t="shared" si="249"/>
        <v/>
      </c>
      <c r="AQ402" s="58" t="str">
        <f t="shared" si="250"/>
        <v/>
      </c>
      <c r="AR402" s="38">
        <f>'ANR OK vs ML7'!AR402</f>
        <v>0.1</v>
      </c>
      <c r="AS402" s="35" t="str">
        <f t="shared" si="251"/>
        <v/>
      </c>
      <c r="AT402" s="3" t="str">
        <f t="shared" si="252"/>
        <v/>
      </c>
      <c r="AU402" s="3" t="str">
        <f t="shared" si="253"/>
        <v/>
      </c>
      <c r="AW402" s="32" t="str">
        <f t="shared" si="254"/>
        <v/>
      </c>
      <c r="AX402" s="32" t="str">
        <f t="shared" si="255"/>
        <v/>
      </c>
      <c r="AY402" s="32" t="str">
        <f t="shared" si="256"/>
        <v/>
      </c>
      <c r="BA402" s="32" t="str">
        <f>IF($A403="","",F402*Summary!$Q$8)</f>
        <v/>
      </c>
    </row>
    <row r="403" spans="1:53">
      <c r="A403" s="67" t="str">
        <f t="shared" si="257"/>
        <v/>
      </c>
      <c r="B403" s="69">
        <f t="shared" si="258"/>
        <v>0</v>
      </c>
      <c r="D403" s="69" t="str">
        <f t="shared" si="231"/>
        <v/>
      </c>
      <c r="E403" s="70" t="str">
        <f t="shared" si="232"/>
        <v/>
      </c>
      <c r="F403" s="70" t="str">
        <f t="shared" si="233"/>
        <v/>
      </c>
      <c r="G403" s="63" t="str">
        <f t="shared" si="234"/>
        <v/>
      </c>
      <c r="H403" s="64" t="str">
        <f t="shared" si="235"/>
        <v/>
      </c>
      <c r="J403" s="63" t="str">
        <f t="shared" si="236"/>
        <v/>
      </c>
      <c r="K403" s="64" t="str">
        <f t="shared" si="237"/>
        <v/>
      </c>
      <c r="L403" s="63" t="str">
        <f t="shared" si="238"/>
        <v/>
      </c>
      <c r="M403" s="64" t="str">
        <f t="shared" si="239"/>
        <v/>
      </c>
      <c r="O403" s="63" t="str">
        <f t="shared" si="240"/>
        <v/>
      </c>
      <c r="P403" s="63" t="str">
        <f t="shared" si="241"/>
        <v/>
      </c>
      <c r="R403" s="63" t="str">
        <f t="shared" si="242"/>
        <v/>
      </c>
      <c r="S403" s="64" t="str">
        <f t="shared" si="243"/>
        <v/>
      </c>
      <c r="T403" s="63" t="str">
        <f t="shared" si="244"/>
        <v/>
      </c>
      <c r="U403" s="64" t="str">
        <f t="shared" si="245"/>
        <v/>
      </c>
      <c r="V403" s="207" t="str">
        <f>IF($A404="","",IF(AND(MONTH(A403)&gt;3,MONTH(A403)&lt;11),(T403+R403+G403)*Summary!$T$8/(1-Summary!$T$8),(T403+R403+G403)*Summary!$U$8/(1-Summary!$U$8)))</f>
        <v/>
      </c>
      <c r="W403" s="63" t="str">
        <f t="shared" si="246"/>
        <v/>
      </c>
      <c r="X403" s="63" t="str">
        <f t="shared" si="247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8"/>
        <v/>
      </c>
      <c r="AP403" s="33" t="str">
        <f t="shared" si="249"/>
        <v/>
      </c>
      <c r="AQ403" s="58" t="str">
        <f t="shared" si="250"/>
        <v/>
      </c>
      <c r="AR403" s="38">
        <f>'ANR OK vs ML7'!AR403</f>
        <v>0.1</v>
      </c>
      <c r="AS403" s="35" t="str">
        <f t="shared" si="251"/>
        <v/>
      </c>
      <c r="AT403" s="3" t="str">
        <f t="shared" si="252"/>
        <v/>
      </c>
      <c r="AU403" s="3" t="str">
        <f t="shared" si="253"/>
        <v/>
      </c>
      <c r="AW403" s="32" t="str">
        <f t="shared" si="254"/>
        <v/>
      </c>
      <c r="AX403" s="32" t="str">
        <f t="shared" si="255"/>
        <v/>
      </c>
      <c r="AY403" s="32" t="str">
        <f t="shared" si="256"/>
        <v/>
      </c>
      <c r="BA403" s="32" t="str">
        <f>IF($A404="","",F403*Summary!$Q$8)</f>
        <v/>
      </c>
    </row>
    <row r="404" spans="1:53">
      <c r="A404" s="67" t="str">
        <f t="shared" si="257"/>
        <v/>
      </c>
      <c r="B404" s="69">
        <f t="shared" si="258"/>
        <v>0</v>
      </c>
      <c r="D404" s="69" t="str">
        <f t="shared" si="231"/>
        <v/>
      </c>
      <c r="E404" s="70" t="str">
        <f t="shared" si="232"/>
        <v/>
      </c>
      <c r="F404" s="70" t="str">
        <f t="shared" si="233"/>
        <v/>
      </c>
      <c r="G404" s="63" t="str">
        <f t="shared" si="234"/>
        <v/>
      </c>
      <c r="H404" s="64" t="str">
        <f t="shared" si="235"/>
        <v/>
      </c>
      <c r="J404" s="63" t="str">
        <f t="shared" si="236"/>
        <v/>
      </c>
      <c r="K404" s="64" t="str">
        <f t="shared" si="237"/>
        <v/>
      </c>
      <c r="L404" s="63" t="str">
        <f t="shared" si="238"/>
        <v/>
      </c>
      <c r="M404" s="64" t="str">
        <f t="shared" si="239"/>
        <v/>
      </c>
      <c r="O404" s="63" t="str">
        <f t="shared" si="240"/>
        <v/>
      </c>
      <c r="P404" s="63" t="str">
        <f t="shared" si="241"/>
        <v/>
      </c>
      <c r="R404" s="63" t="str">
        <f t="shared" si="242"/>
        <v/>
      </c>
      <c r="S404" s="64" t="str">
        <f t="shared" si="243"/>
        <v/>
      </c>
      <c r="T404" s="63" t="str">
        <f t="shared" si="244"/>
        <v/>
      </c>
      <c r="U404" s="64" t="str">
        <f t="shared" si="245"/>
        <v/>
      </c>
      <c r="V404" s="207" t="str">
        <f>IF($A405="","",IF(AND(MONTH(A404)&gt;3,MONTH(A404)&lt;11),(T404+R404+G404)*Summary!$T$8/(1-Summary!$T$8),(T404+R404+G404)*Summary!$U$8/(1-Summary!$U$8)))</f>
        <v/>
      </c>
      <c r="W404" s="63" t="str">
        <f t="shared" si="246"/>
        <v/>
      </c>
      <c r="X404" s="63" t="str">
        <f t="shared" si="247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8"/>
        <v/>
      </c>
      <c r="AP404" s="33" t="str">
        <f t="shared" si="249"/>
        <v/>
      </c>
      <c r="AQ404" s="58" t="str">
        <f t="shared" si="250"/>
        <v/>
      </c>
      <c r="AR404" s="38">
        <f>'ANR OK vs ML7'!AR404</f>
        <v>0.1</v>
      </c>
      <c r="AS404" s="35" t="str">
        <f t="shared" si="251"/>
        <v/>
      </c>
      <c r="AT404" s="3" t="str">
        <f t="shared" si="252"/>
        <v/>
      </c>
      <c r="AU404" s="3" t="str">
        <f t="shared" si="253"/>
        <v/>
      </c>
      <c r="AW404" s="32" t="str">
        <f t="shared" si="254"/>
        <v/>
      </c>
      <c r="AX404" s="32" t="str">
        <f t="shared" si="255"/>
        <v/>
      </c>
      <c r="AY404" s="32" t="str">
        <f t="shared" si="256"/>
        <v/>
      </c>
      <c r="BA404" s="32" t="str">
        <f>IF($A405="","",F404*Summary!$Q$8)</f>
        <v/>
      </c>
    </row>
    <row r="405" spans="1:53">
      <c r="A405" s="67" t="str">
        <f t="shared" si="257"/>
        <v/>
      </c>
      <c r="B405" s="69">
        <f t="shared" si="258"/>
        <v>0</v>
      </c>
      <c r="D405" s="69" t="str">
        <f t="shared" si="231"/>
        <v/>
      </c>
      <c r="E405" s="70" t="str">
        <f t="shared" si="232"/>
        <v/>
      </c>
      <c r="F405" s="70" t="str">
        <f t="shared" si="233"/>
        <v/>
      </c>
      <c r="G405" s="63" t="str">
        <f t="shared" si="234"/>
        <v/>
      </c>
      <c r="H405" s="64" t="str">
        <f t="shared" si="235"/>
        <v/>
      </c>
      <c r="J405" s="63" t="str">
        <f t="shared" si="236"/>
        <v/>
      </c>
      <c r="K405" s="64" t="str">
        <f t="shared" si="237"/>
        <v/>
      </c>
      <c r="L405" s="63" t="str">
        <f t="shared" si="238"/>
        <v/>
      </c>
      <c r="M405" s="64" t="str">
        <f t="shared" si="239"/>
        <v/>
      </c>
      <c r="O405" s="63" t="str">
        <f t="shared" si="240"/>
        <v/>
      </c>
      <c r="P405" s="63" t="str">
        <f t="shared" si="241"/>
        <v/>
      </c>
      <c r="R405" s="63" t="str">
        <f t="shared" si="242"/>
        <v/>
      </c>
      <c r="S405" s="64" t="str">
        <f t="shared" si="243"/>
        <v/>
      </c>
      <c r="T405" s="63" t="str">
        <f t="shared" si="244"/>
        <v/>
      </c>
      <c r="U405" s="64" t="str">
        <f t="shared" si="245"/>
        <v/>
      </c>
      <c r="V405" s="207" t="str">
        <f>IF($A406="","",IF(AND(MONTH(A405)&gt;3,MONTH(A405)&lt;11),(T405+R405+G405)*Summary!$T$8/(1-Summary!$T$8),(T405+R405+G405)*Summary!$U$8/(1-Summary!$U$8)))</f>
        <v/>
      </c>
      <c r="W405" s="63" t="str">
        <f t="shared" si="246"/>
        <v/>
      </c>
      <c r="X405" s="63" t="str">
        <f t="shared" si="247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8"/>
        <v/>
      </c>
      <c r="AP405" s="33" t="str">
        <f t="shared" si="249"/>
        <v/>
      </c>
      <c r="AQ405" s="58" t="str">
        <f t="shared" si="250"/>
        <v/>
      </c>
      <c r="AR405" s="38">
        <f>'ANR OK vs ML7'!AR405</f>
        <v>0.1</v>
      </c>
      <c r="AS405" s="35" t="str">
        <f t="shared" si="251"/>
        <v/>
      </c>
      <c r="AT405" s="3" t="str">
        <f t="shared" si="252"/>
        <v/>
      </c>
      <c r="AU405" s="3" t="str">
        <f t="shared" si="253"/>
        <v/>
      </c>
      <c r="AW405" s="32" t="str">
        <f t="shared" si="254"/>
        <v/>
      </c>
      <c r="AX405" s="32" t="str">
        <f t="shared" si="255"/>
        <v/>
      </c>
      <c r="AY405" s="32" t="str">
        <f t="shared" si="256"/>
        <v/>
      </c>
      <c r="BA405" s="32" t="str">
        <f>IF($A406="","",F405*Summary!$Q$8)</f>
        <v/>
      </c>
    </row>
    <row r="406" spans="1:53">
      <c r="A406" s="67" t="str">
        <f t="shared" si="257"/>
        <v/>
      </c>
      <c r="B406" s="69">
        <f t="shared" si="258"/>
        <v>0</v>
      </c>
      <c r="D406" s="69" t="str">
        <f t="shared" si="231"/>
        <v/>
      </c>
      <c r="E406" s="70" t="str">
        <f t="shared" si="232"/>
        <v/>
      </c>
      <c r="F406" s="70" t="str">
        <f t="shared" si="233"/>
        <v/>
      </c>
      <c r="G406" s="63" t="str">
        <f t="shared" si="234"/>
        <v/>
      </c>
      <c r="H406" s="64" t="str">
        <f t="shared" si="235"/>
        <v/>
      </c>
      <c r="J406" s="63" t="str">
        <f t="shared" si="236"/>
        <v/>
      </c>
      <c r="K406" s="64" t="str">
        <f t="shared" si="237"/>
        <v/>
      </c>
      <c r="L406" s="63" t="str">
        <f t="shared" si="238"/>
        <v/>
      </c>
      <c r="M406" s="64" t="str">
        <f t="shared" si="239"/>
        <v/>
      </c>
      <c r="O406" s="63" t="str">
        <f t="shared" si="240"/>
        <v/>
      </c>
      <c r="P406" s="63" t="str">
        <f t="shared" si="241"/>
        <v/>
      </c>
      <c r="R406" s="63" t="str">
        <f t="shared" si="242"/>
        <v/>
      </c>
      <c r="S406" s="64" t="str">
        <f t="shared" si="243"/>
        <v/>
      </c>
      <c r="T406" s="63" t="str">
        <f t="shared" si="244"/>
        <v/>
      </c>
      <c r="U406" s="64" t="str">
        <f t="shared" si="245"/>
        <v/>
      </c>
      <c r="V406" s="207" t="str">
        <f>IF($A407="","",IF(AND(MONTH(A406)&gt;3,MONTH(A406)&lt;11),(T406+R406+G406)*Summary!$T$8/(1-Summary!$T$8),(T406+R406+G406)*Summary!$U$8/(1-Summary!$U$8)))</f>
        <v/>
      </c>
      <c r="W406" s="63" t="str">
        <f t="shared" si="246"/>
        <v/>
      </c>
      <c r="X406" s="63" t="str">
        <f t="shared" si="247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8"/>
        <v/>
      </c>
      <c r="AP406" s="33" t="str">
        <f t="shared" si="249"/>
        <v/>
      </c>
      <c r="AQ406" s="58" t="str">
        <f t="shared" si="250"/>
        <v/>
      </c>
      <c r="AR406" s="38">
        <f>'ANR OK vs ML7'!AR406</f>
        <v>0.1</v>
      </c>
      <c r="AS406" s="35" t="str">
        <f t="shared" si="251"/>
        <v/>
      </c>
      <c r="AT406" s="3" t="str">
        <f t="shared" si="252"/>
        <v/>
      </c>
      <c r="AU406" s="3" t="str">
        <f t="shared" si="253"/>
        <v/>
      </c>
      <c r="AW406" s="32" t="str">
        <f t="shared" si="254"/>
        <v/>
      </c>
      <c r="AX406" s="32" t="str">
        <f t="shared" si="255"/>
        <v/>
      </c>
      <c r="AY406" s="32" t="str">
        <f t="shared" si="256"/>
        <v/>
      </c>
      <c r="BA406" s="32" t="str">
        <f>IF($A407="","",F406*Summary!$Q$8)</f>
        <v/>
      </c>
    </row>
    <row r="407" spans="1:53">
      <c r="A407" s="67" t="str">
        <f t="shared" si="257"/>
        <v/>
      </c>
      <c r="B407" s="69">
        <f t="shared" si="258"/>
        <v>0</v>
      </c>
      <c r="D407" s="69" t="str">
        <f t="shared" si="231"/>
        <v/>
      </c>
      <c r="E407" s="70" t="str">
        <f t="shared" si="232"/>
        <v/>
      </c>
      <c r="F407" s="70" t="str">
        <f t="shared" si="233"/>
        <v/>
      </c>
      <c r="G407" s="63" t="str">
        <f t="shared" si="234"/>
        <v/>
      </c>
      <c r="H407" s="64" t="str">
        <f t="shared" si="235"/>
        <v/>
      </c>
      <c r="J407" s="63" t="str">
        <f t="shared" si="236"/>
        <v/>
      </c>
      <c r="K407" s="64" t="str">
        <f t="shared" si="237"/>
        <v/>
      </c>
      <c r="L407" s="63" t="str">
        <f t="shared" si="238"/>
        <v/>
      </c>
      <c r="M407" s="64" t="str">
        <f t="shared" si="239"/>
        <v/>
      </c>
      <c r="O407" s="63" t="str">
        <f t="shared" si="240"/>
        <v/>
      </c>
      <c r="P407" s="63" t="str">
        <f t="shared" si="241"/>
        <v/>
      </c>
      <c r="R407" s="63" t="str">
        <f t="shared" si="242"/>
        <v/>
      </c>
      <c r="S407" s="64" t="str">
        <f t="shared" si="243"/>
        <v/>
      </c>
      <c r="T407" s="63" t="str">
        <f t="shared" si="244"/>
        <v/>
      </c>
      <c r="U407" s="64" t="str">
        <f t="shared" si="245"/>
        <v/>
      </c>
      <c r="V407" s="207" t="str">
        <f>IF($A408="","",IF(AND(MONTH(A407)&gt;3,MONTH(A407)&lt;11),(T407+R407+G407)*Summary!$T$8/(1-Summary!$T$8),(T407+R407+G407)*Summary!$U$8/(1-Summary!$U$8)))</f>
        <v/>
      </c>
      <c r="W407" s="63" t="str">
        <f t="shared" si="246"/>
        <v/>
      </c>
      <c r="X407" s="63" t="str">
        <f t="shared" si="247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8"/>
        <v/>
      </c>
      <c r="AP407" s="33" t="str">
        <f t="shared" si="249"/>
        <v/>
      </c>
      <c r="AQ407" s="58" t="str">
        <f t="shared" si="250"/>
        <v/>
      </c>
      <c r="AR407" s="38">
        <f>'ANR OK vs ML7'!AR407</f>
        <v>0.1</v>
      </c>
      <c r="AS407" s="35" t="str">
        <f t="shared" si="251"/>
        <v/>
      </c>
      <c r="AT407" s="3" t="str">
        <f t="shared" si="252"/>
        <v/>
      </c>
      <c r="AU407" s="3" t="str">
        <f t="shared" si="253"/>
        <v/>
      </c>
      <c r="AW407" s="32" t="str">
        <f t="shared" si="254"/>
        <v/>
      </c>
      <c r="AX407" s="32" t="str">
        <f t="shared" si="255"/>
        <v/>
      </c>
      <c r="AY407" s="32" t="str">
        <f t="shared" si="256"/>
        <v/>
      </c>
      <c r="BA407" s="32" t="str">
        <f>IF($A408="","",F407*Summary!$Q$8)</f>
        <v/>
      </c>
    </row>
    <row r="408" spans="1:53">
      <c r="A408" s="67" t="str">
        <f t="shared" si="257"/>
        <v/>
      </c>
      <c r="B408" s="69">
        <f t="shared" si="258"/>
        <v>0</v>
      </c>
      <c r="D408" s="69" t="str">
        <f t="shared" si="231"/>
        <v/>
      </c>
      <c r="E408" s="70" t="str">
        <f t="shared" si="232"/>
        <v/>
      </c>
      <c r="F408" s="70" t="str">
        <f t="shared" si="233"/>
        <v/>
      </c>
      <c r="G408" s="63" t="str">
        <f t="shared" si="234"/>
        <v/>
      </c>
      <c r="H408" s="64" t="str">
        <f t="shared" si="235"/>
        <v/>
      </c>
      <c r="J408" s="63" t="str">
        <f t="shared" si="236"/>
        <v/>
      </c>
      <c r="K408" s="64" t="str">
        <f t="shared" si="237"/>
        <v/>
      </c>
      <c r="L408" s="63" t="str">
        <f t="shared" si="238"/>
        <v/>
      </c>
      <c r="M408" s="64" t="str">
        <f t="shared" si="239"/>
        <v/>
      </c>
      <c r="O408" s="63" t="str">
        <f t="shared" si="240"/>
        <v/>
      </c>
      <c r="P408" s="63" t="str">
        <f t="shared" si="241"/>
        <v/>
      </c>
      <c r="R408" s="63" t="str">
        <f t="shared" si="242"/>
        <v/>
      </c>
      <c r="S408" s="64" t="str">
        <f t="shared" si="243"/>
        <v/>
      </c>
      <c r="T408" s="63" t="str">
        <f t="shared" si="244"/>
        <v/>
      </c>
      <c r="U408" s="64" t="str">
        <f t="shared" si="245"/>
        <v/>
      </c>
      <c r="V408" s="207" t="str">
        <f>IF($A409="","",IF(AND(MONTH(A408)&gt;3,MONTH(A408)&lt;11),(T408+R408+G408)*Summary!$T$8/(1-Summary!$T$8),(T408+R408+G408)*Summary!$U$8/(1-Summary!$U$8)))</f>
        <v/>
      </c>
      <c r="W408" s="63" t="str">
        <f t="shared" si="246"/>
        <v/>
      </c>
      <c r="X408" s="63" t="str">
        <f t="shared" si="247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8"/>
        <v/>
      </c>
      <c r="AP408" s="33" t="str">
        <f t="shared" si="249"/>
        <v/>
      </c>
      <c r="AQ408" s="58" t="str">
        <f t="shared" si="250"/>
        <v/>
      </c>
      <c r="AR408" s="38">
        <f>'ANR OK vs ML7'!AR408</f>
        <v>0.1</v>
      </c>
      <c r="AS408" s="35" t="str">
        <f t="shared" si="251"/>
        <v/>
      </c>
      <c r="AT408" s="3" t="str">
        <f t="shared" si="252"/>
        <v/>
      </c>
      <c r="AU408" s="3" t="str">
        <f t="shared" si="253"/>
        <v/>
      </c>
      <c r="AW408" s="32" t="str">
        <f t="shared" si="254"/>
        <v/>
      </c>
      <c r="AX408" s="32" t="str">
        <f t="shared" si="255"/>
        <v/>
      </c>
      <c r="AY408" s="32" t="str">
        <f t="shared" si="256"/>
        <v/>
      </c>
      <c r="BA408" s="32" t="str">
        <f>IF($A409="","",F408*Summary!$Q$8)</f>
        <v/>
      </c>
    </row>
    <row r="409" spans="1:53">
      <c r="A409" s="67" t="str">
        <f t="shared" si="257"/>
        <v/>
      </c>
      <c r="B409" s="69">
        <f t="shared" si="258"/>
        <v>0</v>
      </c>
      <c r="D409" s="69" t="str">
        <f t="shared" si="231"/>
        <v/>
      </c>
      <c r="E409" s="70" t="str">
        <f t="shared" si="232"/>
        <v/>
      </c>
      <c r="F409" s="70" t="str">
        <f t="shared" si="233"/>
        <v/>
      </c>
      <c r="G409" s="63" t="str">
        <f t="shared" si="234"/>
        <v/>
      </c>
      <c r="H409" s="64" t="str">
        <f t="shared" si="235"/>
        <v/>
      </c>
      <c r="J409" s="63" t="str">
        <f t="shared" si="236"/>
        <v/>
      </c>
      <c r="K409" s="64" t="str">
        <f t="shared" si="237"/>
        <v/>
      </c>
      <c r="L409" s="63" t="str">
        <f t="shared" si="238"/>
        <v/>
      </c>
      <c r="M409" s="64" t="str">
        <f t="shared" si="239"/>
        <v/>
      </c>
      <c r="O409" s="63" t="str">
        <f t="shared" si="240"/>
        <v/>
      </c>
      <c r="P409" s="63" t="str">
        <f t="shared" si="241"/>
        <v/>
      </c>
      <c r="R409" s="63" t="str">
        <f t="shared" si="242"/>
        <v/>
      </c>
      <c r="S409" s="64" t="str">
        <f t="shared" si="243"/>
        <v/>
      </c>
      <c r="T409" s="63" t="str">
        <f t="shared" si="244"/>
        <v/>
      </c>
      <c r="U409" s="64" t="str">
        <f t="shared" si="245"/>
        <v/>
      </c>
      <c r="V409" s="207" t="str">
        <f>IF($A410="","",IF(AND(MONTH(A409)&gt;3,MONTH(A409)&lt;11),(T409+R409+G409)*Summary!$T$8/(1-Summary!$T$8),(T409+R409+G409)*Summary!$U$8/(1-Summary!$U$8)))</f>
        <v/>
      </c>
      <c r="W409" s="63" t="str">
        <f t="shared" si="246"/>
        <v/>
      </c>
      <c r="X409" s="63" t="str">
        <f t="shared" si="247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8"/>
        <v/>
      </c>
      <c r="AP409" s="33" t="str">
        <f t="shared" si="249"/>
        <v/>
      </c>
      <c r="AQ409" s="58" t="str">
        <f t="shared" si="250"/>
        <v/>
      </c>
      <c r="AR409" s="38">
        <f>'ANR OK vs ML7'!AR409</f>
        <v>0.1</v>
      </c>
      <c r="AS409" s="35" t="str">
        <f t="shared" si="251"/>
        <v/>
      </c>
      <c r="AT409" s="3" t="str">
        <f t="shared" si="252"/>
        <v/>
      </c>
      <c r="AU409" s="3" t="str">
        <f t="shared" si="253"/>
        <v/>
      </c>
      <c r="AW409" s="32" t="str">
        <f t="shared" si="254"/>
        <v/>
      </c>
      <c r="AX409" s="32" t="str">
        <f t="shared" si="255"/>
        <v/>
      </c>
      <c r="AY409" s="32" t="str">
        <f t="shared" si="256"/>
        <v/>
      </c>
      <c r="BA409" s="32" t="str">
        <f>IF($A410="","",F409*Summary!$Q$8)</f>
        <v/>
      </c>
    </row>
    <row r="410" spans="1:53">
      <c r="A410" s="67" t="str">
        <f t="shared" si="257"/>
        <v/>
      </c>
      <c r="B410" s="69">
        <f t="shared" si="258"/>
        <v>0</v>
      </c>
      <c r="D410" s="69" t="str">
        <f t="shared" si="231"/>
        <v/>
      </c>
      <c r="E410" s="70" t="str">
        <f t="shared" si="232"/>
        <v/>
      </c>
      <c r="F410" s="70" t="str">
        <f t="shared" si="233"/>
        <v/>
      </c>
      <c r="G410" s="63" t="str">
        <f t="shared" si="234"/>
        <v/>
      </c>
      <c r="H410" s="64" t="str">
        <f t="shared" si="235"/>
        <v/>
      </c>
      <c r="J410" s="63" t="str">
        <f t="shared" si="236"/>
        <v/>
      </c>
      <c r="K410" s="64" t="str">
        <f t="shared" si="237"/>
        <v/>
      </c>
      <c r="L410" s="63" t="str">
        <f t="shared" si="238"/>
        <v/>
      </c>
      <c r="M410" s="64" t="str">
        <f t="shared" si="239"/>
        <v/>
      </c>
      <c r="O410" s="63" t="str">
        <f t="shared" si="240"/>
        <v/>
      </c>
      <c r="P410" s="63" t="str">
        <f t="shared" si="241"/>
        <v/>
      </c>
      <c r="R410" s="63" t="str">
        <f t="shared" si="242"/>
        <v/>
      </c>
      <c r="S410" s="64" t="str">
        <f t="shared" si="243"/>
        <v/>
      </c>
      <c r="T410" s="63" t="str">
        <f t="shared" si="244"/>
        <v/>
      </c>
      <c r="U410" s="64" t="str">
        <f t="shared" si="245"/>
        <v/>
      </c>
      <c r="V410" s="207" t="str">
        <f>IF($A411="","",IF(AND(MONTH(A410)&gt;3,MONTH(A410)&lt;11),(T410+R410+G410)*Summary!$T$8/(1-Summary!$T$8),(T410+R410+G410)*Summary!$U$8/(1-Summary!$U$8)))</f>
        <v/>
      </c>
      <c r="W410" s="63" t="str">
        <f t="shared" si="246"/>
        <v/>
      </c>
      <c r="X410" s="63" t="str">
        <f t="shared" si="247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8"/>
        <v/>
      </c>
      <c r="AP410" s="33" t="str">
        <f t="shared" si="249"/>
        <v/>
      </c>
      <c r="AQ410" s="58" t="str">
        <f t="shared" si="250"/>
        <v/>
      </c>
      <c r="AR410" s="38">
        <f>'ANR OK vs ML7'!AR410</f>
        <v>0.1</v>
      </c>
      <c r="AS410" s="35" t="str">
        <f t="shared" si="251"/>
        <v/>
      </c>
      <c r="AT410" s="3" t="str">
        <f t="shared" si="252"/>
        <v/>
      </c>
      <c r="AU410" s="3" t="str">
        <f t="shared" si="253"/>
        <v/>
      </c>
      <c r="AW410" s="32" t="str">
        <f t="shared" si="254"/>
        <v/>
      </c>
      <c r="AX410" s="32" t="str">
        <f t="shared" si="255"/>
        <v/>
      </c>
      <c r="AY410" s="32" t="str">
        <f t="shared" si="256"/>
        <v/>
      </c>
      <c r="BA410" s="32" t="str">
        <f>IF($A411="","",F410*Summary!$Q$8)</f>
        <v/>
      </c>
    </row>
    <row r="411" spans="1:53">
      <c r="A411" s="67" t="str">
        <f t="shared" si="257"/>
        <v/>
      </c>
      <c r="B411" s="69">
        <f t="shared" si="258"/>
        <v>0</v>
      </c>
      <c r="D411" s="69" t="str">
        <f t="shared" si="231"/>
        <v/>
      </c>
      <c r="E411" s="70" t="str">
        <f t="shared" si="232"/>
        <v/>
      </c>
      <c r="F411" s="70" t="str">
        <f t="shared" si="233"/>
        <v/>
      </c>
      <c r="G411" s="63" t="str">
        <f t="shared" si="234"/>
        <v/>
      </c>
      <c r="H411" s="64" t="str">
        <f t="shared" si="235"/>
        <v/>
      </c>
      <c r="J411" s="63" t="str">
        <f t="shared" si="236"/>
        <v/>
      </c>
      <c r="K411" s="64" t="str">
        <f t="shared" si="237"/>
        <v/>
      </c>
      <c r="L411" s="63" t="str">
        <f t="shared" si="238"/>
        <v/>
      </c>
      <c r="M411" s="64" t="str">
        <f t="shared" si="239"/>
        <v/>
      </c>
      <c r="O411" s="63" t="str">
        <f t="shared" si="240"/>
        <v/>
      </c>
      <c r="P411" s="63" t="str">
        <f t="shared" si="241"/>
        <v/>
      </c>
      <c r="R411" s="63" t="str">
        <f t="shared" si="242"/>
        <v/>
      </c>
      <c r="S411" s="64" t="str">
        <f t="shared" si="243"/>
        <v/>
      </c>
      <c r="T411" s="63" t="str">
        <f t="shared" si="244"/>
        <v/>
      </c>
      <c r="U411" s="64" t="str">
        <f t="shared" si="245"/>
        <v/>
      </c>
      <c r="V411" s="207" t="str">
        <f>IF($A412="","",IF(AND(MONTH(A411)&gt;3,MONTH(A411)&lt;11),(T411+R411+G411)*Summary!$T$8/(1-Summary!$T$8),(T411+R411+G411)*Summary!$U$8/(1-Summary!$U$8)))</f>
        <v/>
      </c>
      <c r="W411" s="63" t="str">
        <f t="shared" si="246"/>
        <v/>
      </c>
      <c r="X411" s="63" t="str">
        <f t="shared" si="247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8"/>
        <v/>
      </c>
      <c r="AP411" s="33" t="str">
        <f t="shared" si="249"/>
        <v/>
      </c>
      <c r="AQ411" s="58" t="str">
        <f t="shared" si="250"/>
        <v/>
      </c>
      <c r="AR411" s="38">
        <f>'ANR OK vs ML7'!AR411</f>
        <v>0.1</v>
      </c>
      <c r="AS411" s="35" t="str">
        <f t="shared" si="251"/>
        <v/>
      </c>
      <c r="AT411" s="3" t="str">
        <f t="shared" si="252"/>
        <v/>
      </c>
      <c r="AU411" s="3" t="str">
        <f t="shared" si="253"/>
        <v/>
      </c>
      <c r="AW411" s="32" t="str">
        <f t="shared" si="254"/>
        <v/>
      </c>
      <c r="AX411" s="32" t="str">
        <f t="shared" si="255"/>
        <v/>
      </c>
      <c r="AY411" s="32" t="str">
        <f t="shared" si="256"/>
        <v/>
      </c>
      <c r="BA411" s="32" t="str">
        <f>IF($A412="","",F411*Summary!$Q$8)</f>
        <v/>
      </c>
    </row>
    <row r="412" spans="1:53">
      <c r="A412" s="67" t="str">
        <f t="shared" si="257"/>
        <v/>
      </c>
      <c r="B412" s="69">
        <f t="shared" si="258"/>
        <v>0</v>
      </c>
      <c r="D412" s="69" t="str">
        <f t="shared" si="231"/>
        <v/>
      </c>
      <c r="E412" s="70" t="str">
        <f t="shared" si="232"/>
        <v/>
      </c>
      <c r="F412" s="70" t="str">
        <f t="shared" si="233"/>
        <v/>
      </c>
      <c r="G412" s="63" t="str">
        <f t="shared" si="234"/>
        <v/>
      </c>
      <c r="H412" s="64" t="str">
        <f t="shared" si="235"/>
        <v/>
      </c>
      <c r="J412" s="63" t="str">
        <f t="shared" si="236"/>
        <v/>
      </c>
      <c r="K412" s="64" t="str">
        <f t="shared" si="237"/>
        <v/>
      </c>
      <c r="L412" s="63" t="str">
        <f t="shared" si="238"/>
        <v/>
      </c>
      <c r="M412" s="64" t="str">
        <f t="shared" si="239"/>
        <v/>
      </c>
      <c r="O412" s="63" t="str">
        <f t="shared" si="240"/>
        <v/>
      </c>
      <c r="P412" s="63" t="str">
        <f t="shared" si="241"/>
        <v/>
      </c>
      <c r="R412" s="63" t="str">
        <f t="shared" si="242"/>
        <v/>
      </c>
      <c r="S412" s="64" t="str">
        <f t="shared" si="243"/>
        <v/>
      </c>
      <c r="T412" s="63" t="str">
        <f t="shared" si="244"/>
        <v/>
      </c>
      <c r="U412" s="64" t="str">
        <f t="shared" si="245"/>
        <v/>
      </c>
      <c r="V412" s="207" t="str">
        <f>IF($A413="","",IF(AND(MONTH(A412)&gt;3,MONTH(A412)&lt;11),(T412+R412+G412)*Summary!$T$8/(1-Summary!$T$8),(T412+R412+G412)*Summary!$U$8/(1-Summary!$U$8)))</f>
        <v/>
      </c>
      <c r="W412" s="63" t="str">
        <f t="shared" si="246"/>
        <v/>
      </c>
      <c r="X412" s="63" t="str">
        <f t="shared" si="247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8"/>
        <v/>
      </c>
      <c r="AP412" s="33" t="str">
        <f t="shared" si="249"/>
        <v/>
      </c>
      <c r="AQ412" s="58" t="str">
        <f t="shared" si="250"/>
        <v/>
      </c>
      <c r="AR412" s="38">
        <f>'ANR OK vs ML7'!AR412</f>
        <v>0.1</v>
      </c>
      <c r="AS412" s="35" t="str">
        <f t="shared" si="251"/>
        <v/>
      </c>
      <c r="AT412" s="3" t="str">
        <f t="shared" si="252"/>
        <v/>
      </c>
      <c r="AU412" s="3" t="str">
        <f t="shared" si="253"/>
        <v/>
      </c>
      <c r="AW412" s="32" t="str">
        <f t="shared" si="254"/>
        <v/>
      </c>
      <c r="AX412" s="32" t="str">
        <f t="shared" si="255"/>
        <v/>
      </c>
      <c r="AY412" s="32" t="str">
        <f t="shared" si="256"/>
        <v/>
      </c>
      <c r="BA412" s="32" t="str">
        <f>IF($A413="","",F412*Summary!$Q$8)</f>
        <v/>
      </c>
    </row>
    <row r="413" spans="1:53">
      <c r="A413" s="67" t="str">
        <f t="shared" si="257"/>
        <v/>
      </c>
      <c r="B413" s="69">
        <f t="shared" si="258"/>
        <v>0</v>
      </c>
      <c r="D413" s="69" t="str">
        <f t="shared" si="231"/>
        <v/>
      </c>
      <c r="E413" s="70" t="str">
        <f t="shared" si="232"/>
        <v/>
      </c>
      <c r="F413" s="70" t="str">
        <f t="shared" si="233"/>
        <v/>
      </c>
      <c r="G413" s="63" t="str">
        <f t="shared" si="234"/>
        <v/>
      </c>
      <c r="H413" s="64" t="str">
        <f t="shared" si="235"/>
        <v/>
      </c>
      <c r="J413" s="63" t="str">
        <f t="shared" si="236"/>
        <v/>
      </c>
      <c r="K413" s="64" t="str">
        <f t="shared" si="237"/>
        <v/>
      </c>
      <c r="L413" s="63" t="str">
        <f t="shared" si="238"/>
        <v/>
      </c>
      <c r="M413" s="64" t="str">
        <f t="shared" si="239"/>
        <v/>
      </c>
      <c r="O413" s="63" t="str">
        <f t="shared" si="240"/>
        <v/>
      </c>
      <c r="P413" s="63" t="str">
        <f t="shared" si="241"/>
        <v/>
      </c>
      <c r="R413" s="63" t="str">
        <f t="shared" si="242"/>
        <v/>
      </c>
      <c r="S413" s="64" t="str">
        <f t="shared" si="243"/>
        <v/>
      </c>
      <c r="T413" s="63" t="str">
        <f t="shared" si="244"/>
        <v/>
      </c>
      <c r="U413" s="64" t="str">
        <f t="shared" si="245"/>
        <v/>
      </c>
      <c r="V413" s="207" t="str">
        <f>IF($A414="","",IF(AND(MONTH(A413)&gt;3,MONTH(A413)&lt;11),(T413+R413+G413)*Summary!$T$8/(1-Summary!$T$8),(T413+R413+G413)*Summary!$U$8/(1-Summary!$U$8)))</f>
        <v/>
      </c>
      <c r="W413" s="63" t="str">
        <f t="shared" si="246"/>
        <v/>
      </c>
      <c r="X413" s="63" t="str">
        <f t="shared" si="247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8"/>
        <v/>
      </c>
      <c r="AP413" s="33" t="str">
        <f t="shared" si="249"/>
        <v/>
      </c>
      <c r="AQ413" s="58" t="str">
        <f t="shared" si="250"/>
        <v/>
      </c>
      <c r="AR413" s="38">
        <f>'ANR OK vs ML7'!AR413</f>
        <v>0.1</v>
      </c>
      <c r="AS413" s="35" t="str">
        <f t="shared" si="251"/>
        <v/>
      </c>
      <c r="AT413" s="3" t="str">
        <f t="shared" si="252"/>
        <v/>
      </c>
      <c r="AU413" s="3" t="str">
        <f t="shared" si="253"/>
        <v/>
      </c>
      <c r="AW413" s="32" t="str">
        <f t="shared" si="254"/>
        <v/>
      </c>
      <c r="AX413" s="32" t="str">
        <f t="shared" si="255"/>
        <v/>
      </c>
      <c r="AY413" s="32" t="str">
        <f t="shared" si="256"/>
        <v/>
      </c>
      <c r="BA413" s="32" t="str">
        <f>IF($A414="","",F413*Summary!$Q$8)</f>
        <v/>
      </c>
    </row>
    <row r="414" spans="1:53">
      <c r="A414" s="67" t="str">
        <f t="shared" si="257"/>
        <v/>
      </c>
      <c r="B414" s="69">
        <f t="shared" si="258"/>
        <v>0</v>
      </c>
      <c r="D414" s="69" t="str">
        <f t="shared" si="231"/>
        <v/>
      </c>
      <c r="E414" s="70" t="str">
        <f t="shared" si="232"/>
        <v/>
      </c>
      <c r="F414" s="70" t="str">
        <f t="shared" si="233"/>
        <v/>
      </c>
      <c r="G414" s="63" t="str">
        <f t="shared" si="234"/>
        <v/>
      </c>
      <c r="H414" s="64" t="str">
        <f t="shared" si="235"/>
        <v/>
      </c>
      <c r="J414" s="63" t="str">
        <f t="shared" si="236"/>
        <v/>
      </c>
      <c r="K414" s="64" t="str">
        <f t="shared" si="237"/>
        <v/>
      </c>
      <c r="L414" s="63" t="str">
        <f t="shared" si="238"/>
        <v/>
      </c>
      <c r="M414" s="64" t="str">
        <f t="shared" si="239"/>
        <v/>
      </c>
      <c r="O414" s="63" t="str">
        <f t="shared" si="240"/>
        <v/>
      </c>
      <c r="P414" s="63" t="str">
        <f t="shared" si="241"/>
        <v/>
      </c>
      <c r="R414" s="63" t="str">
        <f t="shared" si="242"/>
        <v/>
      </c>
      <c r="S414" s="64" t="str">
        <f t="shared" si="243"/>
        <v/>
      </c>
      <c r="T414" s="63" t="str">
        <f t="shared" si="244"/>
        <v/>
      </c>
      <c r="U414" s="64" t="str">
        <f t="shared" si="245"/>
        <v/>
      </c>
      <c r="V414" s="207" t="str">
        <f>IF($A415="","",IF(AND(MONTH(A414)&gt;3,MONTH(A414)&lt;11),(T414+R414+G414)*Summary!$T$8/(1-Summary!$T$8),(T414+R414+G414)*Summary!$U$8/(1-Summary!$U$8)))</f>
        <v/>
      </c>
      <c r="W414" s="63" t="str">
        <f t="shared" si="246"/>
        <v/>
      </c>
      <c r="X414" s="63" t="str">
        <f t="shared" si="247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8"/>
        <v/>
      </c>
      <c r="AP414" s="33" t="str">
        <f t="shared" si="249"/>
        <v/>
      </c>
      <c r="AQ414" s="58" t="str">
        <f t="shared" si="250"/>
        <v/>
      </c>
      <c r="AR414" s="38">
        <f>'ANR OK vs ML7'!AR414</f>
        <v>0.1</v>
      </c>
      <c r="AS414" s="35" t="str">
        <f t="shared" si="251"/>
        <v/>
      </c>
      <c r="AT414" s="3" t="str">
        <f t="shared" si="252"/>
        <v/>
      </c>
      <c r="AU414" s="3" t="str">
        <f t="shared" si="253"/>
        <v/>
      </c>
      <c r="AW414" s="32" t="str">
        <f t="shared" si="254"/>
        <v/>
      </c>
      <c r="AX414" s="32" t="str">
        <f t="shared" si="255"/>
        <v/>
      </c>
      <c r="AY414" s="32" t="str">
        <f t="shared" si="256"/>
        <v/>
      </c>
      <c r="BA414" s="32" t="str">
        <f>IF($A415="","",F414*Summary!$Q$8)</f>
        <v/>
      </c>
    </row>
    <row r="415" spans="1:53">
      <c r="A415" s="67" t="str">
        <f t="shared" si="257"/>
        <v/>
      </c>
      <c r="B415" s="69">
        <f t="shared" si="258"/>
        <v>0</v>
      </c>
      <c r="D415" s="69" t="str">
        <f t="shared" si="231"/>
        <v/>
      </c>
      <c r="E415" s="70" t="str">
        <f t="shared" si="232"/>
        <v/>
      </c>
      <c r="F415" s="70" t="str">
        <f t="shared" si="233"/>
        <v/>
      </c>
      <c r="G415" s="63" t="str">
        <f t="shared" si="234"/>
        <v/>
      </c>
      <c r="H415" s="64" t="str">
        <f t="shared" si="235"/>
        <v/>
      </c>
      <c r="J415" s="63" t="str">
        <f t="shared" si="236"/>
        <v/>
      </c>
      <c r="K415" s="64" t="str">
        <f t="shared" si="237"/>
        <v/>
      </c>
      <c r="L415" s="63" t="str">
        <f t="shared" si="238"/>
        <v/>
      </c>
      <c r="M415" s="64" t="str">
        <f t="shared" si="239"/>
        <v/>
      </c>
      <c r="O415" s="63" t="str">
        <f t="shared" si="240"/>
        <v/>
      </c>
      <c r="P415" s="63" t="str">
        <f t="shared" si="241"/>
        <v/>
      </c>
      <c r="R415" s="63" t="str">
        <f t="shared" si="242"/>
        <v/>
      </c>
      <c r="S415" s="64" t="str">
        <f t="shared" si="243"/>
        <v/>
      </c>
      <c r="T415" s="63" t="str">
        <f t="shared" si="244"/>
        <v/>
      </c>
      <c r="U415" s="64" t="str">
        <f t="shared" si="245"/>
        <v/>
      </c>
      <c r="V415" s="207" t="str">
        <f>IF($A416="","",IF(AND(MONTH(A415)&gt;3,MONTH(A415)&lt;11),(T415+R415+G415)*Summary!$T$8/(1-Summary!$T$8),(T415+R415+G415)*Summary!$U$8/(1-Summary!$U$8)))</f>
        <v/>
      </c>
      <c r="W415" s="63" t="str">
        <f t="shared" si="246"/>
        <v/>
      </c>
      <c r="X415" s="63" t="str">
        <f t="shared" si="247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8"/>
        <v/>
      </c>
      <c r="AP415" s="33" t="str">
        <f t="shared" si="249"/>
        <v/>
      </c>
      <c r="AQ415" s="58" t="str">
        <f t="shared" si="250"/>
        <v/>
      </c>
      <c r="AR415" s="38">
        <f>'ANR OK vs ML7'!AR415</f>
        <v>0.1</v>
      </c>
      <c r="AS415" s="35" t="str">
        <f t="shared" si="251"/>
        <v/>
      </c>
      <c r="AT415" s="3" t="str">
        <f t="shared" si="252"/>
        <v/>
      </c>
      <c r="AU415" s="3" t="str">
        <f t="shared" si="253"/>
        <v/>
      </c>
      <c r="AW415" s="32" t="str">
        <f t="shared" si="254"/>
        <v/>
      </c>
      <c r="AX415" s="32" t="str">
        <f t="shared" si="255"/>
        <v/>
      </c>
      <c r="AY415" s="32" t="str">
        <f t="shared" si="256"/>
        <v/>
      </c>
      <c r="BA415" s="32" t="str">
        <f>IF($A416="","",F415*Summary!$Q$8)</f>
        <v/>
      </c>
    </row>
    <row r="416" spans="1:53">
      <c r="A416" s="67" t="str">
        <f t="shared" si="257"/>
        <v/>
      </c>
      <c r="B416" s="69">
        <f t="shared" si="258"/>
        <v>0</v>
      </c>
      <c r="D416" s="69" t="str">
        <f t="shared" si="231"/>
        <v/>
      </c>
      <c r="E416" s="70" t="str">
        <f t="shared" si="232"/>
        <v/>
      </c>
      <c r="F416" s="70" t="str">
        <f t="shared" si="233"/>
        <v/>
      </c>
      <c r="G416" s="63" t="str">
        <f t="shared" si="234"/>
        <v/>
      </c>
      <c r="H416" s="64" t="str">
        <f t="shared" si="235"/>
        <v/>
      </c>
      <c r="J416" s="63" t="str">
        <f t="shared" si="236"/>
        <v/>
      </c>
      <c r="K416" s="64" t="str">
        <f t="shared" si="237"/>
        <v/>
      </c>
      <c r="L416" s="63" t="str">
        <f t="shared" si="238"/>
        <v/>
      </c>
      <c r="M416" s="64" t="str">
        <f t="shared" si="239"/>
        <v/>
      </c>
      <c r="O416" s="63" t="str">
        <f t="shared" si="240"/>
        <v/>
      </c>
      <c r="P416" s="63" t="str">
        <f t="shared" si="241"/>
        <v/>
      </c>
      <c r="R416" s="63" t="str">
        <f t="shared" si="242"/>
        <v/>
      </c>
      <c r="S416" s="64" t="str">
        <f t="shared" si="243"/>
        <v/>
      </c>
      <c r="T416" s="63" t="str">
        <f t="shared" si="244"/>
        <v/>
      </c>
      <c r="U416" s="64" t="str">
        <f t="shared" si="245"/>
        <v/>
      </c>
      <c r="V416" s="207" t="str">
        <f>IF($A417="","",IF(AND(MONTH(A416)&gt;3,MONTH(A416)&lt;11),(T416+R416+G416)*Summary!$T$8/(1-Summary!$T$8),(T416+R416+G416)*Summary!$U$8/(1-Summary!$U$8)))</f>
        <v/>
      </c>
      <c r="W416" s="63" t="str">
        <f t="shared" si="246"/>
        <v/>
      </c>
      <c r="X416" s="63" t="str">
        <f t="shared" si="247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8"/>
        <v/>
      </c>
      <c r="AP416" s="33" t="str">
        <f t="shared" si="249"/>
        <v/>
      </c>
      <c r="AQ416" s="58" t="str">
        <f t="shared" si="250"/>
        <v/>
      </c>
      <c r="AR416" s="38">
        <f>'ANR OK vs ML7'!AR416</f>
        <v>0.1</v>
      </c>
      <c r="AS416" s="35" t="str">
        <f t="shared" si="251"/>
        <v/>
      </c>
      <c r="AT416" s="3" t="str">
        <f t="shared" si="252"/>
        <v/>
      </c>
      <c r="AU416" s="3" t="str">
        <f t="shared" si="253"/>
        <v/>
      </c>
      <c r="AW416" s="32" t="str">
        <f t="shared" si="254"/>
        <v/>
      </c>
      <c r="AX416" s="32" t="str">
        <f t="shared" si="255"/>
        <v/>
      </c>
      <c r="AY416" s="32" t="str">
        <f t="shared" si="256"/>
        <v/>
      </c>
      <c r="BA416" s="32" t="str">
        <f>IF($A417="","",F416*Summary!$Q$8)</f>
        <v/>
      </c>
    </row>
    <row r="417" spans="1:53">
      <c r="A417" s="67" t="str">
        <f t="shared" si="257"/>
        <v/>
      </c>
      <c r="B417" s="69">
        <f t="shared" si="258"/>
        <v>0</v>
      </c>
      <c r="D417" s="69" t="str">
        <f t="shared" si="231"/>
        <v/>
      </c>
      <c r="E417" s="70" t="str">
        <f t="shared" si="232"/>
        <v/>
      </c>
      <c r="F417" s="70" t="str">
        <f t="shared" si="233"/>
        <v/>
      </c>
      <c r="G417" s="63" t="str">
        <f t="shared" si="234"/>
        <v/>
      </c>
      <c r="H417" s="64" t="str">
        <f t="shared" si="235"/>
        <v/>
      </c>
      <c r="J417" s="63" t="str">
        <f t="shared" si="236"/>
        <v/>
      </c>
      <c r="K417" s="64" t="str">
        <f t="shared" si="237"/>
        <v/>
      </c>
      <c r="L417" s="63" t="str">
        <f t="shared" si="238"/>
        <v/>
      </c>
      <c r="M417" s="64" t="str">
        <f t="shared" si="239"/>
        <v/>
      </c>
      <c r="O417" s="63" t="str">
        <f t="shared" si="240"/>
        <v/>
      </c>
      <c r="P417" s="63" t="str">
        <f t="shared" si="241"/>
        <v/>
      </c>
      <c r="R417" s="63" t="str">
        <f t="shared" si="242"/>
        <v/>
      </c>
      <c r="S417" s="64" t="str">
        <f t="shared" si="243"/>
        <v/>
      </c>
      <c r="T417" s="63" t="str">
        <f t="shared" si="244"/>
        <v/>
      </c>
      <c r="U417" s="64" t="str">
        <f t="shared" si="245"/>
        <v/>
      </c>
      <c r="V417" s="207" t="str">
        <f>IF($A418="","",IF(AND(MONTH(A417)&gt;3,MONTH(A417)&lt;11),(T417+R417+G417)*Summary!$T$8/(1-Summary!$T$8),(T417+R417+G417)*Summary!$U$8/(1-Summary!$U$8)))</f>
        <v/>
      </c>
      <c r="W417" s="63" t="str">
        <f t="shared" si="246"/>
        <v/>
      </c>
      <c r="X417" s="63" t="str">
        <f t="shared" si="247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8"/>
        <v/>
      </c>
      <c r="AP417" s="33" t="str">
        <f t="shared" si="249"/>
        <v/>
      </c>
      <c r="AQ417" s="58" t="str">
        <f t="shared" si="250"/>
        <v/>
      </c>
      <c r="AR417" s="38">
        <f>'ANR OK vs ML7'!AR417</f>
        <v>0.1</v>
      </c>
      <c r="AS417" s="35" t="str">
        <f t="shared" si="251"/>
        <v/>
      </c>
      <c r="AT417" s="3" t="str">
        <f t="shared" si="252"/>
        <v/>
      </c>
      <c r="AU417" s="3" t="str">
        <f t="shared" si="253"/>
        <v/>
      </c>
      <c r="AW417" s="32" t="str">
        <f t="shared" si="254"/>
        <v/>
      </c>
      <c r="AX417" s="32" t="str">
        <f t="shared" si="255"/>
        <v/>
      </c>
      <c r="AY417" s="32" t="str">
        <f t="shared" si="256"/>
        <v/>
      </c>
      <c r="BA417" s="32" t="str">
        <f>IF($A418="","",F417*Summary!$Q$8)</f>
        <v/>
      </c>
    </row>
    <row r="418" spans="1:53">
      <c r="A418" s="67" t="str">
        <f t="shared" si="257"/>
        <v/>
      </c>
      <c r="B418" s="69">
        <f t="shared" si="258"/>
        <v>0</v>
      </c>
      <c r="D418" s="69" t="str">
        <f t="shared" si="231"/>
        <v/>
      </c>
      <c r="E418" s="70" t="str">
        <f t="shared" si="232"/>
        <v/>
      </c>
      <c r="F418" s="70" t="str">
        <f t="shared" si="233"/>
        <v/>
      </c>
      <c r="G418" s="63" t="str">
        <f t="shared" si="234"/>
        <v/>
      </c>
      <c r="H418" s="64" t="str">
        <f t="shared" si="235"/>
        <v/>
      </c>
      <c r="J418" s="63" t="str">
        <f t="shared" si="236"/>
        <v/>
      </c>
      <c r="K418" s="64" t="str">
        <f t="shared" si="237"/>
        <v/>
      </c>
      <c r="L418" s="63" t="str">
        <f t="shared" si="238"/>
        <v/>
      </c>
      <c r="M418" s="64" t="str">
        <f t="shared" si="239"/>
        <v/>
      </c>
      <c r="O418" s="63" t="str">
        <f t="shared" si="240"/>
        <v/>
      </c>
      <c r="P418" s="63" t="str">
        <f t="shared" si="241"/>
        <v/>
      </c>
      <c r="R418" s="63" t="str">
        <f t="shared" si="242"/>
        <v/>
      </c>
      <c r="S418" s="64" t="str">
        <f t="shared" si="243"/>
        <v/>
      </c>
      <c r="T418" s="63" t="str">
        <f t="shared" si="244"/>
        <v/>
      </c>
      <c r="U418" s="64" t="str">
        <f t="shared" si="245"/>
        <v/>
      </c>
      <c r="V418" s="207" t="str">
        <f>IF($A419="","",IF(AND(MONTH(A418)&gt;3,MONTH(A418)&lt;11),(T418+R418+G418)*Summary!$T$8/(1-Summary!$T$8),(T418+R418+G418)*Summary!$U$8/(1-Summary!$U$8)))</f>
        <v/>
      </c>
      <c r="W418" s="63" t="str">
        <f t="shared" si="246"/>
        <v/>
      </c>
      <c r="X418" s="63" t="str">
        <f t="shared" si="247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8"/>
        <v/>
      </c>
      <c r="AP418" s="33" t="str">
        <f t="shared" si="249"/>
        <v/>
      </c>
      <c r="AQ418" s="58" t="str">
        <f t="shared" si="250"/>
        <v/>
      </c>
      <c r="AR418" s="38">
        <f>'ANR OK vs ML7'!AR418</f>
        <v>0.1</v>
      </c>
      <c r="AS418" s="35" t="str">
        <f t="shared" si="251"/>
        <v/>
      </c>
      <c r="AT418" s="3" t="str">
        <f t="shared" si="252"/>
        <v/>
      </c>
      <c r="AU418" s="3" t="str">
        <f t="shared" si="253"/>
        <v/>
      </c>
      <c r="AW418" s="32" t="str">
        <f t="shared" si="254"/>
        <v/>
      </c>
      <c r="AX418" s="32" t="str">
        <f t="shared" si="255"/>
        <v/>
      </c>
      <c r="AY418" s="32" t="str">
        <f t="shared" si="256"/>
        <v/>
      </c>
      <c r="BA418" s="32" t="str">
        <f>IF($A419="","",F418*Summary!$Q$8)</f>
        <v/>
      </c>
    </row>
    <row r="419" spans="1:53">
      <c r="A419" s="67" t="str">
        <f t="shared" si="257"/>
        <v/>
      </c>
      <c r="B419" s="69">
        <f t="shared" si="258"/>
        <v>0</v>
      </c>
      <c r="D419" s="69" t="str">
        <f t="shared" si="231"/>
        <v/>
      </c>
      <c r="E419" s="70" t="str">
        <f t="shared" si="232"/>
        <v/>
      </c>
      <c r="F419" s="70" t="str">
        <f t="shared" si="233"/>
        <v/>
      </c>
      <c r="G419" s="63" t="str">
        <f t="shared" si="234"/>
        <v/>
      </c>
      <c r="H419" s="64" t="str">
        <f t="shared" si="235"/>
        <v/>
      </c>
      <c r="J419" s="63" t="str">
        <f t="shared" si="236"/>
        <v/>
      </c>
      <c r="K419" s="64" t="str">
        <f t="shared" si="237"/>
        <v/>
      </c>
      <c r="L419" s="63" t="str">
        <f t="shared" si="238"/>
        <v/>
      </c>
      <c r="M419" s="64" t="str">
        <f t="shared" si="239"/>
        <v/>
      </c>
      <c r="O419" s="63" t="str">
        <f t="shared" si="240"/>
        <v/>
      </c>
      <c r="P419" s="63" t="str">
        <f t="shared" si="241"/>
        <v/>
      </c>
      <c r="R419" s="63" t="str">
        <f t="shared" si="242"/>
        <v/>
      </c>
      <c r="S419" s="64" t="str">
        <f t="shared" si="243"/>
        <v/>
      </c>
      <c r="T419" s="63" t="str">
        <f t="shared" si="244"/>
        <v/>
      </c>
      <c r="U419" s="64" t="str">
        <f t="shared" si="245"/>
        <v/>
      </c>
      <c r="V419" s="207" t="str">
        <f>IF($A420="","",IF(AND(MONTH(A419)&gt;3,MONTH(A419)&lt;11),(T419+R419+G419)*Summary!$T$8/(1-Summary!$T$8),(T419+R419+G419)*Summary!$U$8/(1-Summary!$U$8)))</f>
        <v/>
      </c>
      <c r="W419" s="63" t="str">
        <f t="shared" si="246"/>
        <v/>
      </c>
      <c r="X419" s="63" t="str">
        <f t="shared" si="247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8"/>
        <v/>
      </c>
      <c r="AP419" s="33" t="str">
        <f t="shared" si="249"/>
        <v/>
      </c>
      <c r="AQ419" s="58" t="str">
        <f t="shared" si="250"/>
        <v/>
      </c>
      <c r="AR419" s="38">
        <f>'ANR OK vs ML7'!AR419</f>
        <v>0.1</v>
      </c>
      <c r="AS419" s="35" t="str">
        <f t="shared" si="251"/>
        <v/>
      </c>
      <c r="AT419" s="3" t="str">
        <f t="shared" si="252"/>
        <v/>
      </c>
      <c r="AU419" s="3" t="str">
        <f t="shared" si="253"/>
        <v/>
      </c>
      <c r="AW419" s="32" t="str">
        <f t="shared" si="254"/>
        <v/>
      </c>
      <c r="AX419" s="32" t="str">
        <f t="shared" si="255"/>
        <v/>
      </c>
      <c r="AY419" s="32" t="str">
        <f t="shared" si="256"/>
        <v/>
      </c>
      <c r="BA419" s="32" t="str">
        <f>IF($A420="","",F419*Summary!$Q$8)</f>
        <v/>
      </c>
    </row>
    <row r="420" spans="1:53">
      <c r="A420" s="67" t="str">
        <f t="shared" si="257"/>
        <v/>
      </c>
      <c r="B420" s="69">
        <f t="shared" si="258"/>
        <v>0</v>
      </c>
      <c r="D420" s="69" t="str">
        <f t="shared" si="231"/>
        <v/>
      </c>
      <c r="E420" s="70" t="str">
        <f t="shared" si="232"/>
        <v/>
      </c>
      <c r="F420" s="70" t="str">
        <f t="shared" si="233"/>
        <v/>
      </c>
      <c r="G420" s="63" t="str">
        <f t="shared" si="234"/>
        <v/>
      </c>
      <c r="H420" s="64" t="str">
        <f t="shared" si="235"/>
        <v/>
      </c>
      <c r="J420" s="63" t="str">
        <f t="shared" si="236"/>
        <v/>
      </c>
      <c r="K420" s="64" t="str">
        <f t="shared" si="237"/>
        <v/>
      </c>
      <c r="L420" s="63" t="str">
        <f t="shared" si="238"/>
        <v/>
      </c>
      <c r="M420" s="64" t="str">
        <f t="shared" si="239"/>
        <v/>
      </c>
      <c r="O420" s="63" t="str">
        <f t="shared" si="240"/>
        <v/>
      </c>
      <c r="P420" s="63" t="str">
        <f t="shared" si="241"/>
        <v/>
      </c>
      <c r="R420" s="63" t="str">
        <f t="shared" si="242"/>
        <v/>
      </c>
      <c r="S420" s="64" t="str">
        <f t="shared" si="243"/>
        <v/>
      </c>
      <c r="T420" s="63" t="str">
        <f t="shared" si="244"/>
        <v/>
      </c>
      <c r="U420" s="64" t="str">
        <f t="shared" si="245"/>
        <v/>
      </c>
      <c r="V420" s="207" t="str">
        <f>IF($A421="","",IF(AND(MONTH(A420)&gt;3,MONTH(A420)&lt;11),(T420+R420+G420)*Summary!$T$8/(1-Summary!$T$8),(T420+R420+G420)*Summary!$U$8/(1-Summary!$U$8)))</f>
        <v/>
      </c>
      <c r="W420" s="63" t="str">
        <f t="shared" si="246"/>
        <v/>
      </c>
      <c r="X420" s="63" t="str">
        <f t="shared" si="247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8"/>
        <v/>
      </c>
      <c r="AP420" s="33" t="str">
        <f t="shared" si="249"/>
        <v/>
      </c>
      <c r="AQ420" s="58" t="str">
        <f t="shared" si="250"/>
        <v/>
      </c>
      <c r="AR420" s="38">
        <f>'ANR OK vs ML7'!AR420</f>
        <v>0.1</v>
      </c>
      <c r="AS420" s="35" t="str">
        <f t="shared" si="251"/>
        <v/>
      </c>
      <c r="AT420" s="3" t="str">
        <f t="shared" si="252"/>
        <v/>
      </c>
      <c r="AU420" s="3" t="str">
        <f t="shared" si="253"/>
        <v/>
      </c>
      <c r="AW420" s="32" t="str">
        <f t="shared" si="254"/>
        <v/>
      </c>
      <c r="AX420" s="32" t="str">
        <f t="shared" si="255"/>
        <v/>
      </c>
      <c r="AY420" s="32" t="str">
        <f t="shared" si="256"/>
        <v/>
      </c>
      <c r="BA420" s="32" t="str">
        <f>IF($A421="","",F420*Summary!$Q$8)</f>
        <v/>
      </c>
    </row>
    <row r="421" spans="1:53">
      <c r="A421" s="67" t="str">
        <f t="shared" si="257"/>
        <v/>
      </c>
      <c r="B421" s="69">
        <f t="shared" si="258"/>
        <v>0</v>
      </c>
      <c r="D421" s="69" t="str">
        <f t="shared" si="231"/>
        <v/>
      </c>
      <c r="E421" s="70" t="str">
        <f t="shared" si="232"/>
        <v/>
      </c>
      <c r="F421" s="70" t="str">
        <f t="shared" si="233"/>
        <v/>
      </c>
      <c r="G421" s="63" t="str">
        <f t="shared" si="234"/>
        <v/>
      </c>
      <c r="H421" s="64" t="str">
        <f t="shared" si="235"/>
        <v/>
      </c>
      <c r="J421" s="63" t="str">
        <f t="shared" si="236"/>
        <v/>
      </c>
      <c r="K421" s="64" t="str">
        <f t="shared" si="237"/>
        <v/>
      </c>
      <c r="L421" s="63" t="str">
        <f t="shared" si="238"/>
        <v/>
      </c>
      <c r="M421" s="64" t="str">
        <f t="shared" si="239"/>
        <v/>
      </c>
      <c r="O421" s="63" t="str">
        <f t="shared" si="240"/>
        <v/>
      </c>
      <c r="P421" s="63" t="str">
        <f t="shared" si="241"/>
        <v/>
      </c>
      <c r="R421" s="63" t="str">
        <f t="shared" si="242"/>
        <v/>
      </c>
      <c r="S421" s="64" t="str">
        <f t="shared" si="243"/>
        <v/>
      </c>
      <c r="T421" s="63" t="str">
        <f t="shared" si="244"/>
        <v/>
      </c>
      <c r="U421" s="64" t="str">
        <f t="shared" si="245"/>
        <v/>
      </c>
      <c r="V421" s="207" t="str">
        <f>IF($A422="","",IF(AND(MONTH(A421)&gt;3,MONTH(A421)&lt;11),(T421+R421+G421)*Summary!$T$8/(1-Summary!$T$8),(T421+R421+G421)*Summary!$U$8/(1-Summary!$U$8)))</f>
        <v/>
      </c>
      <c r="W421" s="63" t="str">
        <f t="shared" si="246"/>
        <v/>
      </c>
      <c r="X421" s="63" t="str">
        <f t="shared" si="247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8"/>
        <v/>
      </c>
      <c r="AP421" s="33" t="str">
        <f t="shared" si="249"/>
        <v/>
      </c>
      <c r="AQ421" s="58" t="str">
        <f t="shared" si="250"/>
        <v/>
      </c>
      <c r="AR421" s="38">
        <f>'ANR OK vs ML7'!AR421</f>
        <v>0.1</v>
      </c>
      <c r="AS421" s="35" t="str">
        <f t="shared" si="251"/>
        <v/>
      </c>
      <c r="AT421" s="3" t="str">
        <f t="shared" si="252"/>
        <v/>
      </c>
      <c r="AU421" s="3" t="str">
        <f t="shared" si="253"/>
        <v/>
      </c>
      <c r="AW421" s="32" t="str">
        <f t="shared" si="254"/>
        <v/>
      </c>
      <c r="AX421" s="32" t="str">
        <f t="shared" si="255"/>
        <v/>
      </c>
      <c r="AY421" s="32" t="str">
        <f t="shared" si="256"/>
        <v/>
      </c>
      <c r="BA421" s="32" t="str">
        <f>IF($A422="","",F421*Summary!$Q$8)</f>
        <v/>
      </c>
    </row>
    <row r="422" spans="1:53">
      <c r="A422" s="67" t="str">
        <f t="shared" si="257"/>
        <v/>
      </c>
      <c r="B422" s="69">
        <f t="shared" si="258"/>
        <v>0</v>
      </c>
      <c r="D422" s="69" t="str">
        <f t="shared" si="231"/>
        <v/>
      </c>
      <c r="E422" s="70" t="str">
        <f t="shared" si="232"/>
        <v/>
      </c>
      <c r="F422" s="70" t="str">
        <f t="shared" si="233"/>
        <v/>
      </c>
      <c r="G422" s="63" t="str">
        <f t="shared" si="234"/>
        <v/>
      </c>
      <c r="H422" s="64" t="str">
        <f t="shared" si="235"/>
        <v/>
      </c>
      <c r="J422" s="63" t="str">
        <f t="shared" si="236"/>
        <v/>
      </c>
      <c r="K422" s="64" t="str">
        <f t="shared" si="237"/>
        <v/>
      </c>
      <c r="L422" s="63" t="str">
        <f t="shared" si="238"/>
        <v/>
      </c>
      <c r="M422" s="64" t="str">
        <f t="shared" si="239"/>
        <v/>
      </c>
      <c r="O422" s="63" t="str">
        <f t="shared" si="240"/>
        <v/>
      </c>
      <c r="P422" s="63" t="str">
        <f t="shared" si="241"/>
        <v/>
      </c>
      <c r="R422" s="63" t="str">
        <f t="shared" si="242"/>
        <v/>
      </c>
      <c r="S422" s="64" t="str">
        <f t="shared" si="243"/>
        <v/>
      </c>
      <c r="T422" s="63" t="str">
        <f t="shared" si="244"/>
        <v/>
      </c>
      <c r="U422" s="64" t="str">
        <f t="shared" si="245"/>
        <v/>
      </c>
      <c r="V422" s="207" t="str">
        <f>IF($A423="","",IF(AND(MONTH(A422)&gt;3,MONTH(A422)&lt;11),(T422+R422+G422)*Summary!$T$8/(1-Summary!$T$8),(T422+R422+G422)*Summary!$U$8/(1-Summary!$U$8)))</f>
        <v/>
      </c>
      <c r="W422" s="63" t="str">
        <f t="shared" si="246"/>
        <v/>
      </c>
      <c r="X422" s="63" t="str">
        <f t="shared" si="247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8"/>
        <v/>
      </c>
      <c r="AP422" s="33" t="str">
        <f t="shared" si="249"/>
        <v/>
      </c>
      <c r="AQ422" s="58" t="str">
        <f t="shared" si="250"/>
        <v/>
      </c>
      <c r="AR422" s="38">
        <f>'ANR OK vs ML7'!AR422</f>
        <v>0.1</v>
      </c>
      <c r="AS422" s="35" t="str">
        <f t="shared" si="251"/>
        <v/>
      </c>
      <c r="AT422" s="3" t="str">
        <f t="shared" si="252"/>
        <v/>
      </c>
      <c r="AU422" s="3" t="str">
        <f t="shared" si="253"/>
        <v/>
      </c>
      <c r="AW422" s="32" t="str">
        <f t="shared" si="254"/>
        <v/>
      </c>
      <c r="AX422" s="32" t="str">
        <f t="shared" si="255"/>
        <v/>
      </c>
      <c r="AY422" s="32" t="str">
        <f t="shared" si="256"/>
        <v/>
      </c>
      <c r="BA422" s="32" t="str">
        <f>IF($A423="","",F422*Summary!$Q$8)</f>
        <v/>
      </c>
    </row>
    <row r="423" spans="1:53">
      <c r="A423" s="67" t="str">
        <f t="shared" si="257"/>
        <v/>
      </c>
      <c r="B423" s="69">
        <f t="shared" si="258"/>
        <v>0</v>
      </c>
      <c r="D423" s="69" t="str">
        <f t="shared" si="231"/>
        <v/>
      </c>
      <c r="E423" s="70" t="str">
        <f t="shared" si="232"/>
        <v/>
      </c>
      <c r="F423" s="70" t="str">
        <f t="shared" si="233"/>
        <v/>
      </c>
      <c r="G423" s="63" t="str">
        <f t="shared" si="234"/>
        <v/>
      </c>
      <c r="H423" s="64" t="str">
        <f t="shared" si="235"/>
        <v/>
      </c>
      <c r="J423" s="63" t="str">
        <f t="shared" si="236"/>
        <v/>
      </c>
      <c r="K423" s="64" t="str">
        <f t="shared" si="237"/>
        <v/>
      </c>
      <c r="L423" s="63" t="str">
        <f t="shared" si="238"/>
        <v/>
      </c>
      <c r="M423" s="64" t="str">
        <f t="shared" si="239"/>
        <v/>
      </c>
      <c r="O423" s="63" t="str">
        <f t="shared" si="240"/>
        <v/>
      </c>
      <c r="P423" s="63" t="str">
        <f t="shared" si="241"/>
        <v/>
      </c>
      <c r="R423" s="63" t="str">
        <f t="shared" si="242"/>
        <v/>
      </c>
      <c r="S423" s="64" t="str">
        <f t="shared" si="243"/>
        <v/>
      </c>
      <c r="T423" s="63" t="str">
        <f t="shared" si="244"/>
        <v/>
      </c>
      <c r="U423" s="64" t="str">
        <f t="shared" si="245"/>
        <v/>
      </c>
      <c r="V423" s="207" t="str">
        <f>IF($A424="","",IF(AND(MONTH(A423)&gt;3,MONTH(A423)&lt;11),(T423+R423+G423)*Summary!$T$8/(1-Summary!$T$8),(T423+R423+G423)*Summary!$U$8/(1-Summary!$U$8)))</f>
        <v/>
      </c>
      <c r="W423" s="63" t="str">
        <f t="shared" si="246"/>
        <v/>
      </c>
      <c r="X423" s="63" t="str">
        <f t="shared" si="247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8"/>
        <v/>
      </c>
      <c r="AP423" s="33" t="str">
        <f t="shared" si="249"/>
        <v/>
      </c>
      <c r="AQ423" s="58" t="str">
        <f t="shared" si="250"/>
        <v/>
      </c>
      <c r="AR423" s="38">
        <f>'ANR OK vs ML7'!AR423</f>
        <v>0.1</v>
      </c>
      <c r="AS423" s="35" t="str">
        <f t="shared" si="251"/>
        <v/>
      </c>
      <c r="AT423" s="3" t="str">
        <f t="shared" si="252"/>
        <v/>
      </c>
      <c r="AU423" s="3" t="str">
        <f t="shared" si="253"/>
        <v/>
      </c>
      <c r="AW423" s="32" t="str">
        <f t="shared" si="254"/>
        <v/>
      </c>
      <c r="AX423" s="32" t="str">
        <f t="shared" si="255"/>
        <v/>
      </c>
      <c r="AY423" s="32" t="str">
        <f t="shared" si="256"/>
        <v/>
      </c>
      <c r="BA423" s="32" t="str">
        <f>IF($A424="","",F423*Summary!$Q$8)</f>
        <v/>
      </c>
    </row>
    <row r="424" spans="1:53">
      <c r="A424" s="67" t="str">
        <f t="shared" si="257"/>
        <v/>
      </c>
      <c r="B424" s="69">
        <f t="shared" si="258"/>
        <v>0</v>
      </c>
      <c r="D424" s="69" t="str">
        <f t="shared" si="231"/>
        <v/>
      </c>
      <c r="E424" s="70" t="str">
        <f t="shared" si="232"/>
        <v/>
      </c>
      <c r="F424" s="70" t="str">
        <f t="shared" si="233"/>
        <v/>
      </c>
      <c r="G424" s="63" t="str">
        <f t="shared" si="234"/>
        <v/>
      </c>
      <c r="H424" s="64" t="str">
        <f t="shared" si="235"/>
        <v/>
      </c>
      <c r="J424" s="63" t="str">
        <f t="shared" si="236"/>
        <v/>
      </c>
      <c r="K424" s="64" t="str">
        <f t="shared" si="237"/>
        <v/>
      </c>
      <c r="L424" s="63" t="str">
        <f t="shared" si="238"/>
        <v/>
      </c>
      <c r="M424" s="64" t="str">
        <f t="shared" si="239"/>
        <v/>
      </c>
      <c r="O424" s="63" t="str">
        <f t="shared" si="240"/>
        <v/>
      </c>
      <c r="P424" s="63" t="str">
        <f t="shared" si="241"/>
        <v/>
      </c>
      <c r="R424" s="63" t="str">
        <f t="shared" si="242"/>
        <v/>
      </c>
      <c r="S424" s="64" t="str">
        <f t="shared" si="243"/>
        <v/>
      </c>
      <c r="T424" s="63" t="str">
        <f t="shared" si="244"/>
        <v/>
      </c>
      <c r="U424" s="64" t="str">
        <f t="shared" si="245"/>
        <v/>
      </c>
      <c r="V424" s="207" t="str">
        <f>IF($A425="","",IF(AND(MONTH(A424)&gt;3,MONTH(A424)&lt;11),(T424+R424+G424)*Summary!$T$8/(1-Summary!$T$8),(T424+R424+G424)*Summary!$U$8/(1-Summary!$U$8)))</f>
        <v/>
      </c>
      <c r="W424" s="63" t="str">
        <f t="shared" si="246"/>
        <v/>
      </c>
      <c r="X424" s="63" t="str">
        <f t="shared" si="247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8"/>
        <v/>
      </c>
      <c r="AP424" s="33" t="str">
        <f t="shared" si="249"/>
        <v/>
      </c>
      <c r="AQ424" s="58" t="str">
        <f t="shared" si="250"/>
        <v/>
      </c>
      <c r="AR424" s="38">
        <f>'ANR OK vs ML7'!AR424</f>
        <v>0.1</v>
      </c>
      <c r="AS424" s="35" t="str">
        <f t="shared" si="251"/>
        <v/>
      </c>
      <c r="AT424" s="3" t="str">
        <f t="shared" si="252"/>
        <v/>
      </c>
      <c r="AU424" s="3" t="str">
        <f t="shared" si="253"/>
        <v/>
      </c>
      <c r="AW424" s="32" t="str">
        <f t="shared" si="254"/>
        <v/>
      </c>
      <c r="AX424" s="32" t="str">
        <f t="shared" si="255"/>
        <v/>
      </c>
      <c r="AY424" s="32" t="str">
        <f t="shared" si="256"/>
        <v/>
      </c>
      <c r="BA424" s="32" t="str">
        <f>IF($A425="","",F424*Summary!$Q$8)</f>
        <v/>
      </c>
    </row>
    <row r="425" spans="1:53">
      <c r="A425" s="67" t="str">
        <f t="shared" si="257"/>
        <v/>
      </c>
      <c r="B425" s="69">
        <f t="shared" si="258"/>
        <v>0</v>
      </c>
      <c r="D425" s="69" t="str">
        <f t="shared" si="231"/>
        <v/>
      </c>
      <c r="E425" s="70" t="str">
        <f t="shared" si="232"/>
        <v/>
      </c>
      <c r="F425" s="70" t="str">
        <f t="shared" si="233"/>
        <v/>
      </c>
      <c r="G425" s="63" t="str">
        <f t="shared" si="234"/>
        <v/>
      </c>
      <c r="H425" s="64" t="str">
        <f t="shared" si="235"/>
        <v/>
      </c>
      <c r="J425" s="63" t="str">
        <f t="shared" si="236"/>
        <v/>
      </c>
      <c r="K425" s="64" t="str">
        <f t="shared" si="237"/>
        <v/>
      </c>
      <c r="L425" s="63" t="str">
        <f t="shared" si="238"/>
        <v/>
      </c>
      <c r="M425" s="64" t="str">
        <f t="shared" si="239"/>
        <v/>
      </c>
      <c r="O425" s="63" t="str">
        <f t="shared" si="240"/>
        <v/>
      </c>
      <c r="P425" s="63" t="str">
        <f t="shared" si="241"/>
        <v/>
      </c>
      <c r="R425" s="63" t="str">
        <f t="shared" si="242"/>
        <v/>
      </c>
      <c r="S425" s="64" t="str">
        <f t="shared" si="243"/>
        <v/>
      </c>
      <c r="T425" s="63" t="str">
        <f t="shared" si="244"/>
        <v/>
      </c>
      <c r="U425" s="64" t="str">
        <f t="shared" si="245"/>
        <v/>
      </c>
      <c r="V425" s="207" t="str">
        <f>IF($A426="","",IF(AND(MONTH(A425)&gt;3,MONTH(A425)&lt;11),(T425+R425+G425)*Summary!$T$8/(1-Summary!$T$8),(T425+R425+G425)*Summary!$U$8/(1-Summary!$U$8)))</f>
        <v/>
      </c>
      <c r="W425" s="63" t="str">
        <f t="shared" si="246"/>
        <v/>
      </c>
      <c r="X425" s="63" t="str">
        <f t="shared" si="247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8"/>
        <v/>
      </c>
      <c r="AP425" s="33" t="str">
        <f t="shared" si="249"/>
        <v/>
      </c>
      <c r="AQ425" s="58" t="str">
        <f t="shared" si="250"/>
        <v/>
      </c>
      <c r="AR425" s="38">
        <f>'ANR OK vs ML7'!AR425</f>
        <v>0.1</v>
      </c>
      <c r="AS425" s="35" t="str">
        <f t="shared" si="251"/>
        <v/>
      </c>
      <c r="AT425" s="3" t="str">
        <f t="shared" si="252"/>
        <v/>
      </c>
      <c r="AU425" s="3" t="str">
        <f t="shared" si="253"/>
        <v/>
      </c>
      <c r="AW425" s="32" t="str">
        <f t="shared" si="254"/>
        <v/>
      </c>
      <c r="AX425" s="32" t="str">
        <f t="shared" si="255"/>
        <v/>
      </c>
      <c r="AY425" s="32" t="str">
        <f t="shared" si="256"/>
        <v/>
      </c>
      <c r="BA425" s="32" t="str">
        <f>IF($A426="","",F425*Summary!$Q$8)</f>
        <v/>
      </c>
    </row>
    <row r="426" spans="1:53">
      <c r="A426" s="67" t="str">
        <f t="shared" si="257"/>
        <v/>
      </c>
      <c r="B426" s="69">
        <f t="shared" si="258"/>
        <v>0</v>
      </c>
      <c r="D426" s="69" t="str">
        <f t="shared" si="231"/>
        <v/>
      </c>
      <c r="E426" s="70" t="str">
        <f t="shared" si="232"/>
        <v/>
      </c>
      <c r="F426" s="70" t="str">
        <f t="shared" si="233"/>
        <v/>
      </c>
      <c r="G426" s="63" t="str">
        <f t="shared" si="234"/>
        <v/>
      </c>
      <c r="H426" s="64" t="str">
        <f t="shared" si="235"/>
        <v/>
      </c>
      <c r="J426" s="63" t="str">
        <f t="shared" si="236"/>
        <v/>
      </c>
      <c r="K426" s="64" t="str">
        <f t="shared" si="237"/>
        <v/>
      </c>
      <c r="L426" s="63" t="str">
        <f t="shared" si="238"/>
        <v/>
      </c>
      <c r="M426" s="64" t="str">
        <f t="shared" si="239"/>
        <v/>
      </c>
      <c r="O426" s="63" t="str">
        <f t="shared" si="240"/>
        <v/>
      </c>
      <c r="P426" s="63" t="str">
        <f t="shared" si="241"/>
        <v/>
      </c>
      <c r="R426" s="63" t="str">
        <f t="shared" si="242"/>
        <v/>
      </c>
      <c r="S426" s="64" t="str">
        <f t="shared" si="243"/>
        <v/>
      </c>
      <c r="T426" s="63" t="str">
        <f t="shared" si="244"/>
        <v/>
      </c>
      <c r="U426" s="64" t="str">
        <f t="shared" si="245"/>
        <v/>
      </c>
      <c r="V426" s="207" t="str">
        <f>IF($A427="","",IF(AND(MONTH(A426)&gt;3,MONTH(A426)&lt;11),(T426+R426+G426)*Summary!$T$8/(1-Summary!$T$8),(T426+R426+G426)*Summary!$U$8/(1-Summary!$U$8)))</f>
        <v/>
      </c>
      <c r="W426" s="63" t="str">
        <f t="shared" si="246"/>
        <v/>
      </c>
      <c r="X426" s="63" t="str">
        <f t="shared" si="247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8"/>
        <v/>
      </c>
      <c r="AP426" s="33" t="str">
        <f t="shared" si="249"/>
        <v/>
      </c>
      <c r="AQ426" s="58" t="str">
        <f t="shared" si="250"/>
        <v/>
      </c>
      <c r="AR426" s="38">
        <f>'ANR OK vs ML7'!AR426</f>
        <v>0.1</v>
      </c>
      <c r="AS426" s="35" t="str">
        <f t="shared" si="251"/>
        <v/>
      </c>
      <c r="AT426" s="3" t="str">
        <f t="shared" si="252"/>
        <v/>
      </c>
      <c r="AU426" s="3" t="str">
        <f t="shared" si="253"/>
        <v/>
      </c>
      <c r="AW426" s="32" t="str">
        <f t="shared" si="254"/>
        <v/>
      </c>
      <c r="AX426" s="32" t="str">
        <f t="shared" si="255"/>
        <v/>
      </c>
      <c r="AY426" s="32" t="str">
        <f t="shared" si="256"/>
        <v/>
      </c>
      <c r="BA426" s="32" t="str">
        <f>IF($A427="","",F426*Summary!$Q$8)</f>
        <v/>
      </c>
    </row>
    <row r="427" spans="1:53">
      <c r="A427" s="67" t="str">
        <f t="shared" si="257"/>
        <v/>
      </c>
      <c r="B427" s="69">
        <f t="shared" si="258"/>
        <v>0</v>
      </c>
      <c r="D427" s="69" t="str">
        <f t="shared" si="231"/>
        <v/>
      </c>
      <c r="E427" s="70" t="str">
        <f t="shared" si="232"/>
        <v/>
      </c>
      <c r="F427" s="70" t="str">
        <f t="shared" si="233"/>
        <v/>
      </c>
      <c r="G427" s="63" t="str">
        <f t="shared" si="234"/>
        <v/>
      </c>
      <c r="H427" s="64" t="str">
        <f t="shared" si="235"/>
        <v/>
      </c>
      <c r="J427" s="63" t="str">
        <f t="shared" si="236"/>
        <v/>
      </c>
      <c r="K427" s="64" t="str">
        <f t="shared" si="237"/>
        <v/>
      </c>
      <c r="L427" s="63" t="str">
        <f t="shared" si="238"/>
        <v/>
      </c>
      <c r="M427" s="64" t="str">
        <f t="shared" si="239"/>
        <v/>
      </c>
      <c r="O427" s="63" t="str">
        <f t="shared" si="240"/>
        <v/>
      </c>
      <c r="P427" s="63" t="str">
        <f t="shared" si="241"/>
        <v/>
      </c>
      <c r="R427" s="63" t="str">
        <f t="shared" si="242"/>
        <v/>
      </c>
      <c r="S427" s="64" t="str">
        <f t="shared" si="243"/>
        <v/>
      </c>
      <c r="T427" s="63" t="str">
        <f t="shared" si="244"/>
        <v/>
      </c>
      <c r="U427" s="64" t="str">
        <f t="shared" si="245"/>
        <v/>
      </c>
      <c r="V427" s="207" t="str">
        <f>IF($A428="","",IF(AND(MONTH(A427)&gt;3,MONTH(A427)&lt;11),(T427+R427+G427)*Summary!$T$8/(1-Summary!$T$8),(T427+R427+G427)*Summary!$U$8/(1-Summary!$U$8)))</f>
        <v/>
      </c>
      <c r="W427" s="63" t="str">
        <f t="shared" si="246"/>
        <v/>
      </c>
      <c r="X427" s="63" t="str">
        <f t="shared" si="247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8"/>
        <v/>
      </c>
      <c r="AP427" s="33" t="str">
        <f t="shared" si="249"/>
        <v/>
      </c>
      <c r="AQ427" s="58" t="str">
        <f t="shared" si="250"/>
        <v/>
      </c>
      <c r="AR427" s="38">
        <f>'ANR OK vs ML7'!AR427</f>
        <v>0.1</v>
      </c>
      <c r="AS427" s="35" t="str">
        <f t="shared" si="251"/>
        <v/>
      </c>
      <c r="AT427" s="3" t="str">
        <f t="shared" si="252"/>
        <v/>
      </c>
      <c r="AU427" s="3" t="str">
        <f t="shared" si="253"/>
        <v/>
      </c>
      <c r="AW427" s="32" t="str">
        <f t="shared" si="254"/>
        <v/>
      </c>
      <c r="AX427" s="32" t="str">
        <f t="shared" si="255"/>
        <v/>
      </c>
      <c r="AY427" s="32" t="str">
        <f t="shared" si="256"/>
        <v/>
      </c>
      <c r="BA427" s="32" t="str">
        <f>IF($A428="","",F427*Summary!$Q$8)</f>
        <v/>
      </c>
    </row>
    <row r="428" spans="1:53">
      <c r="A428" s="67" t="str">
        <f t="shared" si="257"/>
        <v/>
      </c>
      <c r="B428" s="69">
        <f t="shared" si="258"/>
        <v>0</v>
      </c>
      <c r="D428" s="69" t="str">
        <f t="shared" si="231"/>
        <v/>
      </c>
      <c r="E428" s="70" t="str">
        <f t="shared" si="232"/>
        <v/>
      </c>
      <c r="F428" s="70" t="str">
        <f t="shared" si="233"/>
        <v/>
      </c>
      <c r="G428" s="63" t="str">
        <f t="shared" si="234"/>
        <v/>
      </c>
      <c r="H428" s="64" t="str">
        <f t="shared" si="235"/>
        <v/>
      </c>
      <c r="J428" s="63" t="str">
        <f t="shared" si="236"/>
        <v/>
      </c>
      <c r="K428" s="64" t="str">
        <f t="shared" si="237"/>
        <v/>
      </c>
      <c r="L428" s="63" t="str">
        <f t="shared" si="238"/>
        <v/>
      </c>
      <c r="M428" s="64" t="str">
        <f t="shared" si="239"/>
        <v/>
      </c>
      <c r="O428" s="63" t="str">
        <f t="shared" si="240"/>
        <v/>
      </c>
      <c r="P428" s="63" t="str">
        <f t="shared" si="241"/>
        <v/>
      </c>
      <c r="R428" s="63" t="str">
        <f t="shared" si="242"/>
        <v/>
      </c>
      <c r="S428" s="64" t="str">
        <f t="shared" si="243"/>
        <v/>
      </c>
      <c r="T428" s="63" t="str">
        <f t="shared" si="244"/>
        <v/>
      </c>
      <c r="U428" s="64" t="str">
        <f t="shared" si="245"/>
        <v/>
      </c>
      <c r="V428" s="207" t="str">
        <f>IF($A429="","",IF(AND(MONTH(A428)&gt;3,MONTH(A428)&lt;11),(T428+R428+G428)*Summary!$T$8/(1-Summary!$T$8),(T428+R428+G428)*Summary!$U$8/(1-Summary!$U$8)))</f>
        <v/>
      </c>
      <c r="W428" s="63" t="str">
        <f t="shared" si="246"/>
        <v/>
      </c>
      <c r="X428" s="63" t="str">
        <f t="shared" si="247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8"/>
        <v/>
      </c>
      <c r="AP428" s="33" t="str">
        <f t="shared" si="249"/>
        <v/>
      </c>
      <c r="AQ428" s="58" t="str">
        <f t="shared" si="250"/>
        <v/>
      </c>
      <c r="AR428" s="38">
        <f>'ANR OK vs ML7'!AR428</f>
        <v>0.1</v>
      </c>
      <c r="AS428" s="35" t="str">
        <f t="shared" si="251"/>
        <v/>
      </c>
      <c r="AT428" s="3" t="str">
        <f t="shared" si="252"/>
        <v/>
      </c>
      <c r="AU428" s="3" t="str">
        <f t="shared" si="253"/>
        <v/>
      </c>
      <c r="AW428" s="32" t="str">
        <f t="shared" si="254"/>
        <v/>
      </c>
      <c r="AX428" s="32" t="str">
        <f t="shared" si="255"/>
        <v/>
      </c>
      <c r="AY428" s="32" t="str">
        <f t="shared" si="256"/>
        <v/>
      </c>
      <c r="BA428" s="32" t="str">
        <f>IF($A429="","",F428*Summary!$Q$8)</f>
        <v/>
      </c>
    </row>
    <row r="429" spans="1:53">
      <c r="A429" s="67" t="str">
        <f t="shared" si="257"/>
        <v/>
      </c>
      <c r="B429" s="69">
        <f t="shared" si="258"/>
        <v>0</v>
      </c>
      <c r="D429" s="69" t="str">
        <f t="shared" si="231"/>
        <v/>
      </c>
      <c r="E429" s="70" t="str">
        <f t="shared" si="232"/>
        <v/>
      </c>
      <c r="F429" s="70" t="str">
        <f t="shared" si="233"/>
        <v/>
      </c>
      <c r="G429" s="63" t="str">
        <f t="shared" si="234"/>
        <v/>
      </c>
      <c r="H429" s="64" t="str">
        <f t="shared" si="235"/>
        <v/>
      </c>
      <c r="J429" s="63" t="str">
        <f t="shared" si="236"/>
        <v/>
      </c>
      <c r="K429" s="64" t="str">
        <f t="shared" si="237"/>
        <v/>
      </c>
      <c r="L429" s="63" t="str">
        <f t="shared" si="238"/>
        <v/>
      </c>
      <c r="M429" s="64" t="str">
        <f t="shared" si="239"/>
        <v/>
      </c>
      <c r="O429" s="63" t="str">
        <f t="shared" si="240"/>
        <v/>
      </c>
      <c r="P429" s="63" t="str">
        <f t="shared" si="241"/>
        <v/>
      </c>
      <c r="R429" s="63" t="str">
        <f t="shared" si="242"/>
        <v/>
      </c>
      <c r="S429" s="64" t="str">
        <f t="shared" si="243"/>
        <v/>
      </c>
      <c r="T429" s="63" t="str">
        <f t="shared" si="244"/>
        <v/>
      </c>
      <c r="U429" s="64" t="str">
        <f t="shared" si="245"/>
        <v/>
      </c>
      <c r="V429" s="207" t="str">
        <f>IF($A430="","",IF(AND(MONTH(A429)&gt;3,MONTH(A429)&lt;11),(T429+R429+G429)*Summary!$T$8/(1-Summary!$T$8),(T429+R429+G429)*Summary!$U$8/(1-Summary!$U$8)))</f>
        <v/>
      </c>
      <c r="W429" s="63" t="str">
        <f t="shared" si="246"/>
        <v/>
      </c>
      <c r="X429" s="63" t="str">
        <f t="shared" si="247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8"/>
        <v/>
      </c>
      <c r="AP429" s="33" t="str">
        <f t="shared" si="249"/>
        <v/>
      </c>
      <c r="AQ429" s="58" t="str">
        <f t="shared" si="250"/>
        <v/>
      </c>
      <c r="AR429" s="38">
        <f>'ANR OK vs ML7'!AR429</f>
        <v>0.1</v>
      </c>
      <c r="AS429" s="35" t="str">
        <f t="shared" si="251"/>
        <v/>
      </c>
      <c r="AT429" s="3" t="str">
        <f t="shared" si="252"/>
        <v/>
      </c>
      <c r="AU429" s="3" t="str">
        <f t="shared" si="253"/>
        <v/>
      </c>
      <c r="AW429" s="32" t="str">
        <f t="shared" si="254"/>
        <v/>
      </c>
      <c r="AX429" s="32" t="str">
        <f t="shared" si="255"/>
        <v/>
      </c>
      <c r="AY429" s="32" t="str">
        <f t="shared" si="256"/>
        <v/>
      </c>
      <c r="BA429" s="32" t="str">
        <f>IF($A430="","",F429*Summary!$Q$8)</f>
        <v/>
      </c>
    </row>
    <row r="430" spans="1:53">
      <c r="A430" s="67" t="str">
        <f t="shared" si="257"/>
        <v/>
      </c>
      <c r="B430" s="69">
        <f t="shared" si="258"/>
        <v>0</v>
      </c>
      <c r="D430" s="69" t="str">
        <f t="shared" si="231"/>
        <v/>
      </c>
      <c r="E430" s="70" t="str">
        <f t="shared" si="232"/>
        <v/>
      </c>
      <c r="F430" s="70" t="str">
        <f t="shared" si="233"/>
        <v/>
      </c>
      <c r="G430" s="63" t="str">
        <f t="shared" si="234"/>
        <v/>
      </c>
      <c r="H430" s="64" t="str">
        <f t="shared" si="235"/>
        <v/>
      </c>
      <c r="J430" s="63" t="str">
        <f t="shared" si="236"/>
        <v/>
      </c>
      <c r="K430" s="64" t="str">
        <f t="shared" si="237"/>
        <v/>
      </c>
      <c r="L430" s="63" t="str">
        <f t="shared" si="238"/>
        <v/>
      </c>
      <c r="M430" s="64" t="str">
        <f t="shared" si="239"/>
        <v/>
      </c>
      <c r="O430" s="63" t="str">
        <f t="shared" si="240"/>
        <v/>
      </c>
      <c r="P430" s="63" t="str">
        <f t="shared" si="241"/>
        <v/>
      </c>
      <c r="R430" s="63" t="str">
        <f t="shared" si="242"/>
        <v/>
      </c>
      <c r="S430" s="64" t="str">
        <f t="shared" si="243"/>
        <v/>
      </c>
      <c r="T430" s="63" t="str">
        <f t="shared" si="244"/>
        <v/>
      </c>
      <c r="U430" s="64" t="str">
        <f t="shared" si="245"/>
        <v/>
      </c>
      <c r="V430" s="207" t="str">
        <f>IF($A431="","",IF(AND(MONTH(A430)&gt;3,MONTH(A430)&lt;11),(T430+R430+G430)*Summary!$T$8/(1-Summary!$T$8),(T430+R430+G430)*Summary!$U$8/(1-Summary!$U$8)))</f>
        <v/>
      </c>
      <c r="W430" s="63" t="str">
        <f t="shared" si="246"/>
        <v/>
      </c>
      <c r="X430" s="63" t="str">
        <f t="shared" si="247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8"/>
        <v/>
      </c>
      <c r="AP430" s="33" t="str">
        <f t="shared" si="249"/>
        <v/>
      </c>
      <c r="AQ430" s="58" t="str">
        <f t="shared" si="250"/>
        <v/>
      </c>
      <c r="AR430" s="38">
        <f>'ANR OK vs ML7'!AR430</f>
        <v>0.1</v>
      </c>
      <c r="AS430" s="35" t="str">
        <f t="shared" si="251"/>
        <v/>
      </c>
      <c r="AT430" s="3" t="str">
        <f t="shared" si="252"/>
        <v/>
      </c>
      <c r="AU430" s="3" t="str">
        <f t="shared" si="253"/>
        <v/>
      </c>
      <c r="AW430" s="32" t="str">
        <f t="shared" si="254"/>
        <v/>
      </c>
      <c r="AX430" s="32" t="str">
        <f t="shared" si="255"/>
        <v/>
      </c>
      <c r="AY430" s="32" t="str">
        <f t="shared" si="256"/>
        <v/>
      </c>
      <c r="BA430" s="32" t="str">
        <f>IF($A431="","",F430*Summary!$Q$8)</f>
        <v/>
      </c>
    </row>
    <row r="431" spans="1:53">
      <c r="A431" s="67" t="str">
        <f t="shared" si="257"/>
        <v/>
      </c>
      <c r="B431" s="69">
        <f t="shared" si="258"/>
        <v>0</v>
      </c>
      <c r="D431" s="69" t="str">
        <f t="shared" si="231"/>
        <v/>
      </c>
      <c r="E431" s="70" t="str">
        <f t="shared" si="232"/>
        <v/>
      </c>
      <c r="F431" s="70" t="str">
        <f t="shared" si="233"/>
        <v/>
      </c>
      <c r="G431" s="63" t="str">
        <f t="shared" si="234"/>
        <v/>
      </c>
      <c r="H431" s="64" t="str">
        <f t="shared" si="235"/>
        <v/>
      </c>
      <c r="J431" s="63" t="str">
        <f t="shared" si="236"/>
        <v/>
      </c>
      <c r="K431" s="64" t="str">
        <f t="shared" si="237"/>
        <v/>
      </c>
      <c r="L431" s="63" t="str">
        <f t="shared" si="238"/>
        <v/>
      </c>
      <c r="M431" s="64" t="str">
        <f t="shared" si="239"/>
        <v/>
      </c>
      <c r="O431" s="63" t="str">
        <f t="shared" si="240"/>
        <v/>
      </c>
      <c r="P431" s="63" t="str">
        <f t="shared" si="241"/>
        <v/>
      </c>
      <c r="R431" s="63" t="str">
        <f t="shared" si="242"/>
        <v/>
      </c>
      <c r="S431" s="64" t="str">
        <f t="shared" si="243"/>
        <v/>
      </c>
      <c r="T431" s="63" t="str">
        <f t="shared" si="244"/>
        <v/>
      </c>
      <c r="U431" s="64" t="str">
        <f t="shared" si="245"/>
        <v/>
      </c>
      <c r="V431" s="207" t="str">
        <f>IF($A432="","",IF(AND(MONTH(A431)&gt;3,MONTH(A431)&lt;11),(T431+R431+G431)*Summary!$T$8/(1-Summary!$T$8),(T431+R431+G431)*Summary!$U$8/(1-Summary!$U$8)))</f>
        <v/>
      </c>
      <c r="W431" s="63" t="str">
        <f t="shared" si="246"/>
        <v/>
      </c>
      <c r="X431" s="63" t="str">
        <f t="shared" si="247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8"/>
        <v/>
      </c>
      <c r="AP431" s="33" t="str">
        <f t="shared" si="249"/>
        <v/>
      </c>
      <c r="AQ431" s="58" t="str">
        <f t="shared" si="250"/>
        <v/>
      </c>
      <c r="AR431" s="38">
        <f>'ANR OK vs ML7'!AR431</f>
        <v>0.1</v>
      </c>
      <c r="AS431" s="35" t="str">
        <f t="shared" si="251"/>
        <v/>
      </c>
      <c r="AT431" s="3" t="str">
        <f t="shared" si="252"/>
        <v/>
      </c>
      <c r="AU431" s="3" t="str">
        <f t="shared" si="253"/>
        <v/>
      </c>
      <c r="AW431" s="32" t="str">
        <f t="shared" si="254"/>
        <v/>
      </c>
      <c r="AX431" s="32" t="str">
        <f t="shared" si="255"/>
        <v/>
      </c>
      <c r="AY431" s="32" t="str">
        <f t="shared" si="256"/>
        <v/>
      </c>
      <c r="BA431" s="32" t="str">
        <f>IF($A432="","",F431*Summary!$Q$8)</f>
        <v/>
      </c>
    </row>
    <row r="432" spans="1:53">
      <c r="A432" s="67" t="str">
        <f t="shared" si="257"/>
        <v/>
      </c>
      <c r="B432" s="69">
        <f t="shared" si="258"/>
        <v>0</v>
      </c>
      <c r="D432" s="69" t="str">
        <f t="shared" si="231"/>
        <v/>
      </c>
      <c r="E432" s="70" t="str">
        <f t="shared" si="232"/>
        <v/>
      </c>
      <c r="F432" s="70" t="str">
        <f t="shared" si="233"/>
        <v/>
      </c>
      <c r="G432" s="63" t="str">
        <f t="shared" si="234"/>
        <v/>
      </c>
      <c r="H432" s="64" t="str">
        <f t="shared" si="235"/>
        <v/>
      </c>
      <c r="J432" s="63" t="str">
        <f t="shared" si="236"/>
        <v/>
      </c>
      <c r="K432" s="64" t="str">
        <f t="shared" si="237"/>
        <v/>
      </c>
      <c r="L432" s="63" t="str">
        <f t="shared" si="238"/>
        <v/>
      </c>
      <c r="M432" s="64" t="str">
        <f t="shared" si="239"/>
        <v/>
      </c>
      <c r="O432" s="63" t="str">
        <f t="shared" si="240"/>
        <v/>
      </c>
      <c r="P432" s="63" t="str">
        <f t="shared" si="241"/>
        <v/>
      </c>
      <c r="R432" s="63" t="str">
        <f t="shared" si="242"/>
        <v/>
      </c>
      <c r="S432" s="64" t="str">
        <f t="shared" si="243"/>
        <v/>
      </c>
      <c r="T432" s="63" t="str">
        <f t="shared" si="244"/>
        <v/>
      </c>
      <c r="U432" s="64" t="str">
        <f t="shared" si="245"/>
        <v/>
      </c>
      <c r="V432" s="207" t="str">
        <f>IF($A433="","",IF(AND(MONTH(A432)&gt;3,MONTH(A432)&lt;11),(T432+R432+G432)*Summary!$T$8/(1-Summary!$T$8),(T432+R432+G432)*Summary!$U$8/(1-Summary!$U$8)))</f>
        <v/>
      </c>
      <c r="W432" s="63" t="str">
        <f t="shared" si="246"/>
        <v/>
      </c>
      <c r="X432" s="63" t="str">
        <f t="shared" si="247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8"/>
        <v/>
      </c>
      <c r="AP432" s="33" t="str">
        <f t="shared" si="249"/>
        <v/>
      </c>
      <c r="AQ432" s="58" t="str">
        <f t="shared" si="250"/>
        <v/>
      </c>
      <c r="AR432" s="38">
        <f>'ANR OK vs ML7'!AR432</f>
        <v>0.1</v>
      </c>
      <c r="AS432" s="35" t="str">
        <f t="shared" si="251"/>
        <v/>
      </c>
      <c r="AT432" s="3" t="str">
        <f t="shared" si="252"/>
        <v/>
      </c>
      <c r="AU432" s="3" t="str">
        <f t="shared" si="253"/>
        <v/>
      </c>
      <c r="AW432" s="32" t="str">
        <f t="shared" si="254"/>
        <v/>
      </c>
      <c r="AX432" s="32" t="str">
        <f t="shared" si="255"/>
        <v/>
      </c>
      <c r="AY432" s="32" t="str">
        <f t="shared" si="256"/>
        <v/>
      </c>
      <c r="BA432" s="32" t="str">
        <f>IF($A433="","",F432*Summary!$Q$8)</f>
        <v/>
      </c>
    </row>
    <row r="433" spans="1:53">
      <c r="A433" s="67" t="str">
        <f t="shared" si="257"/>
        <v/>
      </c>
      <c r="B433" s="69">
        <f t="shared" si="258"/>
        <v>0</v>
      </c>
      <c r="D433" s="69" t="str">
        <f t="shared" si="231"/>
        <v/>
      </c>
      <c r="E433" s="70" t="str">
        <f t="shared" si="232"/>
        <v/>
      </c>
      <c r="F433" s="70" t="str">
        <f t="shared" si="233"/>
        <v/>
      </c>
      <c r="G433" s="63" t="str">
        <f t="shared" si="234"/>
        <v/>
      </c>
      <c r="H433" s="64" t="str">
        <f t="shared" si="235"/>
        <v/>
      </c>
      <c r="J433" s="63" t="str">
        <f t="shared" si="236"/>
        <v/>
      </c>
      <c r="K433" s="64" t="str">
        <f t="shared" si="237"/>
        <v/>
      </c>
      <c r="L433" s="63" t="str">
        <f t="shared" si="238"/>
        <v/>
      </c>
      <c r="M433" s="64" t="str">
        <f t="shared" si="239"/>
        <v/>
      </c>
      <c r="O433" s="63" t="str">
        <f t="shared" si="240"/>
        <v/>
      </c>
      <c r="P433" s="63" t="str">
        <f t="shared" si="241"/>
        <v/>
      </c>
      <c r="R433" s="63" t="str">
        <f t="shared" si="242"/>
        <v/>
      </c>
      <c r="S433" s="64" t="str">
        <f t="shared" si="243"/>
        <v/>
      </c>
      <c r="T433" s="63" t="str">
        <f t="shared" si="244"/>
        <v/>
      </c>
      <c r="U433" s="64" t="str">
        <f t="shared" si="245"/>
        <v/>
      </c>
      <c r="V433" s="207" t="str">
        <f>IF($A434="","",IF(AND(MONTH(A433)&gt;3,MONTH(A433)&lt;11),(T433+R433+G433)*Summary!$T$8/(1-Summary!$T$8),(T433+R433+G433)*Summary!$U$8/(1-Summary!$U$8)))</f>
        <v/>
      </c>
      <c r="W433" s="63" t="str">
        <f t="shared" si="246"/>
        <v/>
      </c>
      <c r="X433" s="63" t="str">
        <f t="shared" si="247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8"/>
        <v/>
      </c>
      <c r="AP433" s="33" t="str">
        <f t="shared" si="249"/>
        <v/>
      </c>
      <c r="AQ433" s="58" t="str">
        <f t="shared" si="250"/>
        <v/>
      </c>
      <c r="AR433" s="38">
        <f>'ANR OK vs ML7'!AR433</f>
        <v>0.1</v>
      </c>
      <c r="AS433" s="35" t="str">
        <f t="shared" si="251"/>
        <v/>
      </c>
      <c r="AT433" s="3" t="str">
        <f t="shared" si="252"/>
        <v/>
      </c>
      <c r="AU433" s="3" t="str">
        <f t="shared" si="253"/>
        <v/>
      </c>
      <c r="AW433" s="32" t="str">
        <f t="shared" si="254"/>
        <v/>
      </c>
      <c r="AX433" s="32" t="str">
        <f t="shared" si="255"/>
        <v/>
      </c>
      <c r="AY433" s="32" t="str">
        <f t="shared" si="256"/>
        <v/>
      </c>
      <c r="BA433" s="32" t="str">
        <f>IF($A434="","",F433*Summary!$Q$8)</f>
        <v/>
      </c>
    </row>
    <row r="434" spans="1:53">
      <c r="A434" s="67" t="str">
        <f t="shared" si="257"/>
        <v/>
      </c>
      <c r="B434" s="69">
        <f t="shared" si="258"/>
        <v>0</v>
      </c>
      <c r="D434" s="69" t="str">
        <f t="shared" si="231"/>
        <v/>
      </c>
      <c r="E434" s="70" t="str">
        <f t="shared" si="232"/>
        <v/>
      </c>
      <c r="F434" s="70" t="str">
        <f t="shared" si="233"/>
        <v/>
      </c>
      <c r="G434" s="63" t="str">
        <f t="shared" si="234"/>
        <v/>
      </c>
      <c r="H434" s="64" t="str">
        <f t="shared" si="235"/>
        <v/>
      </c>
      <c r="J434" s="63" t="str">
        <f t="shared" si="236"/>
        <v/>
      </c>
      <c r="K434" s="64" t="str">
        <f t="shared" si="237"/>
        <v/>
      </c>
      <c r="L434" s="63" t="str">
        <f t="shared" si="238"/>
        <v/>
      </c>
      <c r="M434" s="64" t="str">
        <f t="shared" si="239"/>
        <v/>
      </c>
      <c r="O434" s="63" t="str">
        <f t="shared" si="240"/>
        <v/>
      </c>
      <c r="P434" s="63" t="str">
        <f t="shared" si="241"/>
        <v/>
      </c>
      <c r="R434" s="63" t="str">
        <f t="shared" si="242"/>
        <v/>
      </c>
      <c r="S434" s="64" t="str">
        <f t="shared" si="243"/>
        <v/>
      </c>
      <c r="T434" s="63" t="str">
        <f t="shared" si="244"/>
        <v/>
      </c>
      <c r="U434" s="64" t="str">
        <f t="shared" si="245"/>
        <v/>
      </c>
      <c r="V434" s="207" t="str">
        <f>IF($A435="","",IF(AND(MONTH(A434)&gt;3,MONTH(A434)&lt;11),(T434+R434+G434)*Summary!$T$8/(1-Summary!$T$8),(T434+R434+G434)*Summary!$U$8/(1-Summary!$U$8)))</f>
        <v/>
      </c>
      <c r="W434" s="63" t="str">
        <f t="shared" si="246"/>
        <v/>
      </c>
      <c r="X434" s="63" t="str">
        <f t="shared" si="247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8"/>
        <v/>
      </c>
      <c r="AP434" s="33" t="str">
        <f t="shared" si="249"/>
        <v/>
      </c>
      <c r="AQ434" s="58" t="str">
        <f t="shared" si="250"/>
        <v/>
      </c>
      <c r="AR434" s="38">
        <f>'ANR OK vs ML7'!AR434</f>
        <v>0.1</v>
      </c>
      <c r="AS434" s="35" t="str">
        <f t="shared" si="251"/>
        <v/>
      </c>
      <c r="AT434" s="3" t="str">
        <f t="shared" si="252"/>
        <v/>
      </c>
      <c r="AU434" s="3" t="str">
        <f t="shared" si="253"/>
        <v/>
      </c>
      <c r="AW434" s="32" t="str">
        <f t="shared" si="254"/>
        <v/>
      </c>
      <c r="AX434" s="32" t="str">
        <f t="shared" si="255"/>
        <v/>
      </c>
      <c r="AY434" s="32" t="str">
        <f t="shared" si="256"/>
        <v/>
      </c>
      <c r="BA434" s="32" t="str">
        <f>IF($A435="","",F434*Summary!$Q$8)</f>
        <v/>
      </c>
    </row>
    <row r="435" spans="1:53">
      <c r="A435" s="67" t="str">
        <f t="shared" si="257"/>
        <v/>
      </c>
      <c r="B435" s="69">
        <f t="shared" si="258"/>
        <v>0</v>
      </c>
      <c r="D435" s="69" t="str">
        <f t="shared" si="231"/>
        <v/>
      </c>
      <c r="E435" s="70" t="str">
        <f t="shared" si="232"/>
        <v/>
      </c>
      <c r="F435" s="70" t="str">
        <f t="shared" si="233"/>
        <v/>
      </c>
      <c r="G435" s="63" t="str">
        <f t="shared" si="234"/>
        <v/>
      </c>
      <c r="H435" s="64" t="str">
        <f t="shared" si="235"/>
        <v/>
      </c>
      <c r="J435" s="63" t="str">
        <f t="shared" si="236"/>
        <v/>
      </c>
      <c r="K435" s="64" t="str">
        <f t="shared" si="237"/>
        <v/>
      </c>
      <c r="L435" s="63" t="str">
        <f t="shared" si="238"/>
        <v/>
      </c>
      <c r="M435" s="64" t="str">
        <f t="shared" si="239"/>
        <v/>
      </c>
      <c r="O435" s="63" t="str">
        <f t="shared" si="240"/>
        <v/>
      </c>
      <c r="P435" s="63" t="str">
        <f t="shared" si="241"/>
        <v/>
      </c>
      <c r="R435" s="63" t="str">
        <f t="shared" si="242"/>
        <v/>
      </c>
      <c r="S435" s="64" t="str">
        <f t="shared" si="243"/>
        <v/>
      </c>
      <c r="T435" s="63" t="str">
        <f t="shared" si="244"/>
        <v/>
      </c>
      <c r="U435" s="64" t="str">
        <f t="shared" si="245"/>
        <v/>
      </c>
      <c r="V435" s="207" t="str">
        <f>IF($A436="","",IF(AND(MONTH(A435)&gt;3,MONTH(A435)&lt;11),(T435+R435+G435)*Summary!$T$8/(1-Summary!$T$8),(T435+R435+G435)*Summary!$U$8/(1-Summary!$U$8)))</f>
        <v/>
      </c>
      <c r="W435" s="63" t="str">
        <f t="shared" si="246"/>
        <v/>
      </c>
      <c r="X435" s="63" t="str">
        <f t="shared" si="247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8"/>
        <v/>
      </c>
      <c r="AP435" s="33" t="str">
        <f t="shared" si="249"/>
        <v/>
      </c>
      <c r="AQ435" s="58" t="str">
        <f t="shared" si="250"/>
        <v/>
      </c>
      <c r="AR435" s="38">
        <f>'ANR OK vs ML7'!AR435</f>
        <v>0.1</v>
      </c>
      <c r="AS435" s="35" t="str">
        <f t="shared" si="251"/>
        <v/>
      </c>
      <c r="AT435" s="3" t="str">
        <f t="shared" si="252"/>
        <v/>
      </c>
      <c r="AU435" s="3" t="str">
        <f t="shared" si="253"/>
        <v/>
      </c>
      <c r="AW435" s="32" t="str">
        <f t="shared" si="254"/>
        <v/>
      </c>
      <c r="AX435" s="32" t="str">
        <f t="shared" si="255"/>
        <v/>
      </c>
      <c r="AY435" s="32" t="str">
        <f t="shared" si="256"/>
        <v/>
      </c>
      <c r="BA435" s="32" t="str">
        <f>IF($A436="","",F435*Summary!$Q$8)</f>
        <v/>
      </c>
    </row>
    <row r="436" spans="1:53">
      <c r="A436" s="67" t="str">
        <f t="shared" si="257"/>
        <v/>
      </c>
      <c r="B436" s="69">
        <f t="shared" si="258"/>
        <v>0</v>
      </c>
      <c r="D436" s="69" t="str">
        <f t="shared" si="231"/>
        <v/>
      </c>
      <c r="E436" s="70" t="str">
        <f t="shared" si="232"/>
        <v/>
      </c>
      <c r="F436" s="70" t="str">
        <f t="shared" si="233"/>
        <v/>
      </c>
      <c r="G436" s="63" t="str">
        <f t="shared" si="234"/>
        <v/>
      </c>
      <c r="H436" s="64" t="str">
        <f t="shared" si="235"/>
        <v/>
      </c>
      <c r="J436" s="63" t="str">
        <f t="shared" si="236"/>
        <v/>
      </c>
      <c r="K436" s="64" t="str">
        <f t="shared" si="237"/>
        <v/>
      </c>
      <c r="L436" s="63" t="str">
        <f t="shared" si="238"/>
        <v/>
      </c>
      <c r="M436" s="64" t="str">
        <f t="shared" si="239"/>
        <v/>
      </c>
      <c r="O436" s="63" t="str">
        <f t="shared" si="240"/>
        <v/>
      </c>
      <c r="P436" s="63" t="str">
        <f t="shared" si="241"/>
        <v/>
      </c>
      <c r="R436" s="63" t="str">
        <f t="shared" si="242"/>
        <v/>
      </c>
      <c r="S436" s="64" t="str">
        <f t="shared" si="243"/>
        <v/>
      </c>
      <c r="T436" s="63" t="str">
        <f t="shared" si="244"/>
        <v/>
      </c>
      <c r="U436" s="64" t="str">
        <f t="shared" si="245"/>
        <v/>
      </c>
      <c r="V436" s="207" t="str">
        <f>IF($A437="","",IF(AND(MONTH(A436)&gt;3,MONTH(A436)&lt;11),(T436+R436+G436)*Summary!$T$8/(1-Summary!$T$8),(T436+R436+G436)*Summary!$U$8/(1-Summary!$U$8)))</f>
        <v/>
      </c>
      <c r="W436" s="63" t="str">
        <f t="shared" si="246"/>
        <v/>
      </c>
      <c r="X436" s="63" t="str">
        <f t="shared" si="247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8"/>
        <v/>
      </c>
      <c r="AP436" s="33" t="str">
        <f t="shared" si="249"/>
        <v/>
      </c>
      <c r="AQ436" s="58" t="str">
        <f t="shared" si="250"/>
        <v/>
      </c>
      <c r="AR436" s="38">
        <f>'ANR OK vs ML7'!AR436</f>
        <v>0.1</v>
      </c>
      <c r="AS436" s="35" t="str">
        <f t="shared" si="251"/>
        <v/>
      </c>
      <c r="AT436" s="3" t="str">
        <f t="shared" si="252"/>
        <v/>
      </c>
      <c r="AU436" s="3" t="str">
        <f t="shared" si="253"/>
        <v/>
      </c>
      <c r="AW436" s="32" t="str">
        <f t="shared" si="254"/>
        <v/>
      </c>
      <c r="AX436" s="32" t="str">
        <f t="shared" si="255"/>
        <v/>
      </c>
      <c r="AY436" s="32" t="str">
        <f t="shared" si="256"/>
        <v/>
      </c>
      <c r="BA436" s="32" t="str">
        <f>IF($A437="","",F436*Summary!$Q$8)</f>
        <v/>
      </c>
    </row>
    <row r="437" spans="1:53">
      <c r="A437" s="67" t="str">
        <f t="shared" si="257"/>
        <v/>
      </c>
      <c r="B437" s="69">
        <f t="shared" si="258"/>
        <v>0</v>
      </c>
      <c r="D437" s="69" t="str">
        <f t="shared" si="231"/>
        <v/>
      </c>
      <c r="E437" s="70" t="str">
        <f t="shared" si="232"/>
        <v/>
      </c>
      <c r="F437" s="70" t="str">
        <f t="shared" si="233"/>
        <v/>
      </c>
      <c r="G437" s="63" t="str">
        <f t="shared" si="234"/>
        <v/>
      </c>
      <c r="H437" s="64" t="str">
        <f t="shared" si="235"/>
        <v/>
      </c>
      <c r="J437" s="63" t="str">
        <f t="shared" si="236"/>
        <v/>
      </c>
      <c r="K437" s="64" t="str">
        <f t="shared" si="237"/>
        <v/>
      </c>
      <c r="L437" s="63" t="str">
        <f t="shared" si="238"/>
        <v/>
      </c>
      <c r="M437" s="64" t="str">
        <f t="shared" si="239"/>
        <v/>
      </c>
      <c r="O437" s="63" t="str">
        <f t="shared" si="240"/>
        <v/>
      </c>
      <c r="P437" s="63" t="str">
        <f t="shared" si="241"/>
        <v/>
      </c>
      <c r="R437" s="63" t="str">
        <f t="shared" si="242"/>
        <v/>
      </c>
      <c r="S437" s="64" t="str">
        <f t="shared" si="243"/>
        <v/>
      </c>
      <c r="T437" s="63" t="str">
        <f t="shared" si="244"/>
        <v/>
      </c>
      <c r="U437" s="64" t="str">
        <f t="shared" si="245"/>
        <v/>
      </c>
      <c r="V437" s="207" t="str">
        <f>IF($A438="","",IF(AND(MONTH(A437)&gt;3,MONTH(A437)&lt;11),(T437+R437+G437)*Summary!$T$8/(1-Summary!$T$8),(T437+R437+G437)*Summary!$U$8/(1-Summary!$U$8)))</f>
        <v/>
      </c>
      <c r="W437" s="63" t="str">
        <f t="shared" si="246"/>
        <v/>
      </c>
      <c r="X437" s="63" t="str">
        <f t="shared" si="247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8"/>
        <v/>
      </c>
      <c r="AP437" s="33" t="str">
        <f t="shared" si="249"/>
        <v/>
      </c>
      <c r="AQ437" s="58" t="str">
        <f t="shared" si="250"/>
        <v/>
      </c>
      <c r="AR437" s="38">
        <f>'ANR OK vs ML7'!AR437</f>
        <v>0.1</v>
      </c>
      <c r="AS437" s="35" t="str">
        <f t="shared" si="251"/>
        <v/>
      </c>
      <c r="AT437" s="3" t="str">
        <f t="shared" si="252"/>
        <v/>
      </c>
      <c r="AU437" s="3" t="str">
        <f t="shared" si="253"/>
        <v/>
      </c>
      <c r="AW437" s="32" t="str">
        <f t="shared" si="254"/>
        <v/>
      </c>
      <c r="AX437" s="32" t="str">
        <f t="shared" si="255"/>
        <v/>
      </c>
      <c r="AY437" s="32" t="str">
        <f t="shared" si="256"/>
        <v/>
      </c>
      <c r="BA437" s="32" t="str">
        <f>IF($A438="","",F437*Summary!$Q$8)</f>
        <v/>
      </c>
    </row>
    <row r="438" spans="1:53">
      <c r="A438" s="67" t="str">
        <f t="shared" si="257"/>
        <v/>
      </c>
      <c r="B438" s="69">
        <f t="shared" si="258"/>
        <v>0</v>
      </c>
      <c r="D438" s="69" t="str">
        <f t="shared" si="231"/>
        <v/>
      </c>
      <c r="E438" s="70" t="str">
        <f t="shared" si="232"/>
        <v/>
      </c>
      <c r="F438" s="70" t="str">
        <f t="shared" si="233"/>
        <v/>
      </c>
      <c r="G438" s="63" t="str">
        <f t="shared" si="234"/>
        <v/>
      </c>
      <c r="H438" s="64" t="str">
        <f t="shared" si="235"/>
        <v/>
      </c>
      <c r="J438" s="63" t="str">
        <f t="shared" si="236"/>
        <v/>
      </c>
      <c r="K438" s="64" t="str">
        <f t="shared" si="237"/>
        <v/>
      </c>
      <c r="L438" s="63" t="str">
        <f t="shared" si="238"/>
        <v/>
      </c>
      <c r="M438" s="64" t="str">
        <f t="shared" si="239"/>
        <v/>
      </c>
      <c r="O438" s="63" t="str">
        <f t="shared" si="240"/>
        <v/>
      </c>
      <c r="P438" s="63" t="str">
        <f t="shared" si="241"/>
        <v/>
      </c>
      <c r="R438" s="63" t="str">
        <f t="shared" si="242"/>
        <v/>
      </c>
      <c r="S438" s="64" t="str">
        <f t="shared" si="243"/>
        <v/>
      </c>
      <c r="T438" s="63" t="str">
        <f t="shared" si="244"/>
        <v/>
      </c>
      <c r="U438" s="64" t="str">
        <f t="shared" si="245"/>
        <v/>
      </c>
      <c r="V438" s="207" t="str">
        <f>IF($A439="","",IF(AND(MONTH(A438)&gt;3,MONTH(A438)&lt;11),(T438+R438+G438)*Summary!$T$8/(1-Summary!$T$8),(T438+R438+G438)*Summary!$U$8/(1-Summary!$U$8)))</f>
        <v/>
      </c>
      <c r="W438" s="63" t="str">
        <f t="shared" si="246"/>
        <v/>
      </c>
      <c r="X438" s="63" t="str">
        <f t="shared" si="247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8"/>
        <v/>
      </c>
      <c r="AP438" s="33" t="str">
        <f t="shared" si="249"/>
        <v/>
      </c>
      <c r="AQ438" s="58" t="str">
        <f t="shared" si="250"/>
        <v/>
      </c>
      <c r="AR438" s="38">
        <f>'ANR OK vs ML7'!AR438</f>
        <v>0.1</v>
      </c>
      <c r="AS438" s="35" t="str">
        <f t="shared" si="251"/>
        <v/>
      </c>
      <c r="AT438" s="3" t="str">
        <f t="shared" si="252"/>
        <v/>
      </c>
      <c r="AU438" s="3" t="str">
        <f t="shared" si="253"/>
        <v/>
      </c>
      <c r="AW438" s="32" t="str">
        <f t="shared" si="254"/>
        <v/>
      </c>
      <c r="AX438" s="32" t="str">
        <f t="shared" si="255"/>
        <v/>
      </c>
      <c r="AY438" s="32" t="str">
        <f t="shared" si="256"/>
        <v/>
      </c>
      <c r="BA438" s="32" t="str">
        <f>IF($A439="","",F438*Summary!$Q$8)</f>
        <v/>
      </c>
    </row>
    <row r="439" spans="1:53">
      <c r="A439" s="67" t="str">
        <f t="shared" si="257"/>
        <v/>
      </c>
      <c r="B439" s="69">
        <f t="shared" si="258"/>
        <v>0</v>
      </c>
      <c r="D439" s="69" t="str">
        <f t="shared" si="231"/>
        <v/>
      </c>
      <c r="E439" s="70" t="str">
        <f t="shared" si="232"/>
        <v/>
      </c>
      <c r="F439" s="70" t="str">
        <f t="shared" si="233"/>
        <v/>
      </c>
      <c r="G439" s="63" t="str">
        <f t="shared" si="234"/>
        <v/>
      </c>
      <c r="H439" s="64" t="str">
        <f t="shared" si="235"/>
        <v/>
      </c>
      <c r="J439" s="63" t="str">
        <f t="shared" si="236"/>
        <v/>
      </c>
      <c r="K439" s="64" t="str">
        <f t="shared" si="237"/>
        <v/>
      </c>
      <c r="L439" s="63" t="str">
        <f t="shared" si="238"/>
        <v/>
      </c>
      <c r="M439" s="64" t="str">
        <f t="shared" si="239"/>
        <v/>
      </c>
      <c r="O439" s="63" t="str">
        <f t="shared" si="240"/>
        <v/>
      </c>
      <c r="P439" s="63" t="str">
        <f t="shared" si="241"/>
        <v/>
      </c>
      <c r="R439" s="63" t="str">
        <f t="shared" si="242"/>
        <v/>
      </c>
      <c r="S439" s="64" t="str">
        <f t="shared" si="243"/>
        <v/>
      </c>
      <c r="T439" s="63" t="str">
        <f t="shared" si="244"/>
        <v/>
      </c>
      <c r="U439" s="64" t="str">
        <f t="shared" si="245"/>
        <v/>
      </c>
      <c r="V439" s="207" t="str">
        <f>IF($A440="","",IF(AND(MONTH(A439)&gt;3,MONTH(A439)&lt;11),(T439+R439+G439)*Summary!$T$8/(1-Summary!$T$8),(T439+R439+G439)*Summary!$U$8/(1-Summary!$U$8)))</f>
        <v/>
      </c>
      <c r="W439" s="63" t="str">
        <f t="shared" si="246"/>
        <v/>
      </c>
      <c r="X439" s="63" t="str">
        <f t="shared" si="247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8"/>
        <v/>
      </c>
      <c r="AP439" s="33" t="str">
        <f t="shared" si="249"/>
        <v/>
      </c>
      <c r="AQ439" s="58" t="str">
        <f t="shared" si="250"/>
        <v/>
      </c>
      <c r="AR439" s="38">
        <f>'ANR OK vs ML7'!AR439</f>
        <v>0.1</v>
      </c>
      <c r="AS439" s="35" t="str">
        <f t="shared" si="251"/>
        <v/>
      </c>
      <c r="AT439" s="3" t="str">
        <f t="shared" si="252"/>
        <v/>
      </c>
      <c r="AU439" s="3" t="str">
        <f t="shared" si="253"/>
        <v/>
      </c>
      <c r="AW439" s="32" t="str">
        <f t="shared" si="254"/>
        <v/>
      </c>
      <c r="AX439" s="32" t="str">
        <f t="shared" si="255"/>
        <v/>
      </c>
      <c r="AY439" s="32" t="str">
        <f t="shared" si="256"/>
        <v/>
      </c>
      <c r="BA439" s="32" t="str">
        <f>IF($A440="","",F439*Summary!$Q$8)</f>
        <v/>
      </c>
    </row>
    <row r="440" spans="1:53">
      <c r="A440" s="67" t="str">
        <f t="shared" si="257"/>
        <v/>
      </c>
      <c r="B440" s="69">
        <f t="shared" si="258"/>
        <v>0</v>
      </c>
      <c r="D440" s="69" t="str">
        <f t="shared" si="231"/>
        <v/>
      </c>
      <c r="E440" s="70" t="str">
        <f t="shared" si="232"/>
        <v/>
      </c>
      <c r="F440" s="70" t="str">
        <f t="shared" si="233"/>
        <v/>
      </c>
      <c r="G440" s="63" t="str">
        <f t="shared" si="234"/>
        <v/>
      </c>
      <c r="H440" s="64" t="str">
        <f t="shared" si="235"/>
        <v/>
      </c>
      <c r="J440" s="63" t="str">
        <f t="shared" si="236"/>
        <v/>
      </c>
      <c r="K440" s="64" t="str">
        <f t="shared" si="237"/>
        <v/>
      </c>
      <c r="L440" s="63" t="str">
        <f t="shared" si="238"/>
        <v/>
      </c>
      <c r="M440" s="64" t="str">
        <f t="shared" si="239"/>
        <v/>
      </c>
      <c r="O440" s="63" t="str">
        <f t="shared" si="240"/>
        <v/>
      </c>
      <c r="P440" s="63" t="str">
        <f t="shared" si="241"/>
        <v/>
      </c>
      <c r="R440" s="63" t="str">
        <f t="shared" si="242"/>
        <v/>
      </c>
      <c r="S440" s="64" t="str">
        <f t="shared" si="243"/>
        <v/>
      </c>
      <c r="T440" s="63" t="str">
        <f t="shared" si="244"/>
        <v/>
      </c>
      <c r="U440" s="64" t="str">
        <f t="shared" si="245"/>
        <v/>
      </c>
      <c r="V440" s="207" t="str">
        <f>IF($A441="","",IF(AND(MONTH(A440)&gt;3,MONTH(A440)&lt;11),(T440+R440+G440)*Summary!$T$8/(1-Summary!$T$8),(T440+R440+G440)*Summary!$U$8/(1-Summary!$U$8)))</f>
        <v/>
      </c>
      <c r="W440" s="63" t="str">
        <f t="shared" si="246"/>
        <v/>
      </c>
      <c r="X440" s="63" t="str">
        <f t="shared" si="247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8"/>
        <v/>
      </c>
      <c r="AP440" s="33" t="str">
        <f t="shared" si="249"/>
        <v/>
      </c>
      <c r="AQ440" s="58" t="str">
        <f t="shared" si="250"/>
        <v/>
      </c>
      <c r="AR440" s="38">
        <f>'ANR OK vs ML7'!AR440</f>
        <v>0.1</v>
      </c>
      <c r="AS440" s="35" t="str">
        <f t="shared" si="251"/>
        <v/>
      </c>
      <c r="AT440" s="3" t="str">
        <f t="shared" si="252"/>
        <v/>
      </c>
      <c r="AU440" s="3" t="str">
        <f t="shared" si="253"/>
        <v/>
      </c>
      <c r="AW440" s="32" t="str">
        <f t="shared" si="254"/>
        <v/>
      </c>
      <c r="AX440" s="32" t="str">
        <f t="shared" si="255"/>
        <v/>
      </c>
      <c r="AY440" s="32" t="str">
        <f t="shared" si="256"/>
        <v/>
      </c>
      <c r="BA440" s="32" t="str">
        <f>IF($A441="","",F440*Summary!$Q$8)</f>
        <v/>
      </c>
    </row>
    <row r="441" spans="1:53">
      <c r="A441" s="67" t="str">
        <f t="shared" si="257"/>
        <v/>
      </c>
      <c r="B441" s="69">
        <f t="shared" si="258"/>
        <v>0</v>
      </c>
      <c r="D441" s="69" t="str">
        <f t="shared" si="231"/>
        <v/>
      </c>
      <c r="E441" s="70" t="str">
        <f t="shared" si="232"/>
        <v/>
      </c>
      <c r="F441" s="70" t="str">
        <f t="shared" si="233"/>
        <v/>
      </c>
      <c r="G441" s="63" t="str">
        <f t="shared" si="234"/>
        <v/>
      </c>
      <c r="H441" s="64" t="str">
        <f t="shared" si="235"/>
        <v/>
      </c>
      <c r="J441" s="63" t="str">
        <f t="shared" si="236"/>
        <v/>
      </c>
      <c r="K441" s="64" t="str">
        <f t="shared" si="237"/>
        <v/>
      </c>
      <c r="L441" s="63" t="str">
        <f t="shared" si="238"/>
        <v/>
      </c>
      <c r="M441" s="64" t="str">
        <f t="shared" si="239"/>
        <v/>
      </c>
      <c r="O441" s="63" t="str">
        <f t="shared" si="240"/>
        <v/>
      </c>
      <c r="P441" s="63" t="str">
        <f t="shared" si="241"/>
        <v/>
      </c>
      <c r="R441" s="63" t="str">
        <f t="shared" si="242"/>
        <v/>
      </c>
      <c r="S441" s="64" t="str">
        <f t="shared" si="243"/>
        <v/>
      </c>
      <c r="T441" s="63" t="str">
        <f t="shared" si="244"/>
        <v/>
      </c>
      <c r="U441" s="64" t="str">
        <f t="shared" si="245"/>
        <v/>
      </c>
      <c r="V441" s="207" t="str">
        <f>IF($A442="","",IF(AND(MONTH(A441)&gt;3,MONTH(A441)&lt;11),(T441+R441+G441)*Summary!$T$8/(1-Summary!$T$8),(T441+R441+G441)*Summary!$U$8/(1-Summary!$U$8)))</f>
        <v/>
      </c>
      <c r="W441" s="63" t="str">
        <f t="shared" si="246"/>
        <v/>
      </c>
      <c r="X441" s="63" t="str">
        <f t="shared" si="247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8"/>
        <v/>
      </c>
      <c r="AP441" s="33" t="str">
        <f t="shared" si="249"/>
        <v/>
      </c>
      <c r="AQ441" s="58" t="str">
        <f t="shared" si="250"/>
        <v/>
      </c>
      <c r="AR441" s="38">
        <f>'ANR OK vs ML7'!AR441</f>
        <v>0.1</v>
      </c>
      <c r="AS441" s="35" t="str">
        <f t="shared" si="251"/>
        <v/>
      </c>
      <c r="AT441" s="3" t="str">
        <f t="shared" si="252"/>
        <v/>
      </c>
      <c r="AU441" s="3" t="str">
        <f t="shared" si="253"/>
        <v/>
      </c>
      <c r="AW441" s="32" t="str">
        <f t="shared" si="254"/>
        <v/>
      </c>
      <c r="AX441" s="32" t="str">
        <f t="shared" si="255"/>
        <v/>
      </c>
      <c r="AY441" s="32" t="str">
        <f t="shared" si="256"/>
        <v/>
      </c>
      <c r="BA441" s="32" t="str">
        <f>IF($A442="","",F441*Summary!$Q$8)</f>
        <v/>
      </c>
    </row>
    <row r="442" spans="1:53">
      <c r="A442" s="67" t="str">
        <f t="shared" si="257"/>
        <v/>
      </c>
      <c r="B442" s="69">
        <f t="shared" si="258"/>
        <v>0</v>
      </c>
      <c r="D442" s="69" t="str">
        <f t="shared" si="231"/>
        <v/>
      </c>
      <c r="E442" s="70" t="str">
        <f t="shared" si="232"/>
        <v/>
      </c>
      <c r="F442" s="70" t="str">
        <f t="shared" si="233"/>
        <v/>
      </c>
      <c r="G442" s="63" t="str">
        <f t="shared" si="234"/>
        <v/>
      </c>
      <c r="H442" s="64" t="str">
        <f t="shared" si="235"/>
        <v/>
      </c>
      <c r="J442" s="63" t="str">
        <f t="shared" si="236"/>
        <v/>
      </c>
      <c r="K442" s="64" t="str">
        <f t="shared" si="237"/>
        <v/>
      </c>
      <c r="L442" s="63" t="str">
        <f t="shared" si="238"/>
        <v/>
      </c>
      <c r="M442" s="64" t="str">
        <f t="shared" si="239"/>
        <v/>
      </c>
      <c r="O442" s="63" t="str">
        <f t="shared" si="240"/>
        <v/>
      </c>
      <c r="P442" s="63" t="str">
        <f t="shared" si="241"/>
        <v/>
      </c>
      <c r="R442" s="63" t="str">
        <f t="shared" si="242"/>
        <v/>
      </c>
      <c r="S442" s="64" t="str">
        <f t="shared" si="243"/>
        <v/>
      </c>
      <c r="T442" s="63" t="str">
        <f t="shared" si="244"/>
        <v/>
      </c>
      <c r="U442" s="64" t="str">
        <f t="shared" si="245"/>
        <v/>
      </c>
      <c r="V442" s="207" t="str">
        <f>IF($A443="","",IF(AND(MONTH(A442)&gt;3,MONTH(A442)&lt;11),(T442+R442+G442)*Summary!$T$8/(1-Summary!$T$8),(T442+R442+G442)*Summary!$U$8/(1-Summary!$U$8)))</f>
        <v/>
      </c>
      <c r="W442" s="63" t="str">
        <f t="shared" si="246"/>
        <v/>
      </c>
      <c r="X442" s="63" t="str">
        <f t="shared" si="247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8"/>
        <v/>
      </c>
      <c r="AP442" s="33" t="str">
        <f t="shared" si="249"/>
        <v/>
      </c>
      <c r="AQ442" s="58" t="str">
        <f t="shared" si="250"/>
        <v/>
      </c>
      <c r="AR442" s="38">
        <f>'ANR OK vs ML7'!AR442</f>
        <v>0.1</v>
      </c>
      <c r="AS442" s="35" t="str">
        <f t="shared" si="251"/>
        <v/>
      </c>
      <c r="AT442" s="3" t="str">
        <f t="shared" si="252"/>
        <v/>
      </c>
      <c r="AU442" s="3" t="str">
        <f t="shared" si="253"/>
        <v/>
      </c>
      <c r="AW442" s="32" t="str">
        <f t="shared" si="254"/>
        <v/>
      </c>
      <c r="AX442" s="32" t="str">
        <f t="shared" si="255"/>
        <v/>
      </c>
      <c r="AY442" s="32" t="str">
        <f t="shared" si="256"/>
        <v/>
      </c>
      <c r="BA442" s="32" t="str">
        <f>IF($A443="","",F442*Summary!$Q$8)</f>
        <v/>
      </c>
    </row>
    <row r="443" spans="1:53">
      <c r="A443" s="67" t="str">
        <f t="shared" si="257"/>
        <v/>
      </c>
      <c r="B443" s="69">
        <f t="shared" si="258"/>
        <v>0</v>
      </c>
      <c r="D443" s="69" t="str">
        <f t="shared" si="231"/>
        <v/>
      </c>
      <c r="E443" s="70" t="str">
        <f t="shared" si="232"/>
        <v/>
      </c>
      <c r="F443" s="70" t="str">
        <f t="shared" si="233"/>
        <v/>
      </c>
      <c r="G443" s="63" t="str">
        <f t="shared" si="234"/>
        <v/>
      </c>
      <c r="H443" s="64" t="str">
        <f t="shared" si="235"/>
        <v/>
      </c>
      <c r="J443" s="63" t="str">
        <f t="shared" si="236"/>
        <v/>
      </c>
      <c r="K443" s="64" t="str">
        <f t="shared" si="237"/>
        <v/>
      </c>
      <c r="L443" s="63" t="str">
        <f t="shared" si="238"/>
        <v/>
      </c>
      <c r="M443" s="64" t="str">
        <f t="shared" si="239"/>
        <v/>
      </c>
      <c r="O443" s="63" t="str">
        <f t="shared" si="240"/>
        <v/>
      </c>
      <c r="P443" s="63" t="str">
        <f t="shared" si="241"/>
        <v/>
      </c>
      <c r="R443" s="63" t="str">
        <f t="shared" si="242"/>
        <v/>
      </c>
      <c r="S443" s="64" t="str">
        <f t="shared" si="243"/>
        <v/>
      </c>
      <c r="T443" s="63" t="str">
        <f t="shared" si="244"/>
        <v/>
      </c>
      <c r="U443" s="64" t="str">
        <f t="shared" si="245"/>
        <v/>
      </c>
      <c r="V443" s="207" t="str">
        <f>IF($A444="","",IF(AND(MONTH(A443)&gt;3,MONTH(A443)&lt;11),(T443+R443+G443)*Summary!$T$8/(1-Summary!$T$8),(T443+R443+G443)*Summary!$U$8/(1-Summary!$U$8)))</f>
        <v/>
      </c>
      <c r="W443" s="63" t="str">
        <f t="shared" si="246"/>
        <v/>
      </c>
      <c r="X443" s="63" t="str">
        <f t="shared" si="247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8"/>
        <v/>
      </c>
      <c r="AP443" s="33" t="str">
        <f t="shared" si="249"/>
        <v/>
      </c>
      <c r="AQ443" s="58" t="str">
        <f t="shared" si="250"/>
        <v/>
      </c>
      <c r="AR443" s="38">
        <f>'ANR OK vs ML7'!AR443</f>
        <v>0.1</v>
      </c>
      <c r="AS443" s="35" t="str">
        <f t="shared" si="251"/>
        <v/>
      </c>
      <c r="AT443" s="3" t="str">
        <f t="shared" si="252"/>
        <v/>
      </c>
      <c r="AU443" s="3" t="str">
        <f t="shared" si="253"/>
        <v/>
      </c>
      <c r="AW443" s="32" t="str">
        <f t="shared" si="254"/>
        <v/>
      </c>
      <c r="AX443" s="32" t="str">
        <f t="shared" si="255"/>
        <v/>
      </c>
      <c r="AY443" s="32" t="str">
        <f t="shared" si="256"/>
        <v/>
      </c>
      <c r="BA443" s="32" t="str">
        <f>IF($A444="","",F443*Summary!$Q$8)</f>
        <v/>
      </c>
    </row>
    <row r="444" spans="1:53">
      <c r="A444" s="67" t="str">
        <f t="shared" si="257"/>
        <v/>
      </c>
      <c r="B444" s="69">
        <f t="shared" si="258"/>
        <v>0</v>
      </c>
      <c r="D444" s="69" t="str">
        <f t="shared" si="231"/>
        <v/>
      </c>
      <c r="E444" s="70" t="str">
        <f t="shared" si="232"/>
        <v/>
      </c>
      <c r="F444" s="70" t="str">
        <f t="shared" si="233"/>
        <v/>
      </c>
      <c r="G444" s="63" t="str">
        <f t="shared" si="234"/>
        <v/>
      </c>
      <c r="H444" s="64" t="str">
        <f t="shared" si="235"/>
        <v/>
      </c>
      <c r="J444" s="63" t="str">
        <f t="shared" si="236"/>
        <v/>
      </c>
      <c r="K444" s="64" t="str">
        <f t="shared" si="237"/>
        <v/>
      </c>
      <c r="L444" s="63" t="str">
        <f t="shared" si="238"/>
        <v/>
      </c>
      <c r="M444" s="64" t="str">
        <f t="shared" si="239"/>
        <v/>
      </c>
      <c r="O444" s="63" t="str">
        <f t="shared" si="240"/>
        <v/>
      </c>
      <c r="P444" s="63" t="str">
        <f t="shared" si="241"/>
        <v/>
      </c>
      <c r="R444" s="63" t="str">
        <f t="shared" si="242"/>
        <v/>
      </c>
      <c r="S444" s="64" t="str">
        <f t="shared" si="243"/>
        <v/>
      </c>
      <c r="T444" s="63" t="str">
        <f t="shared" si="244"/>
        <v/>
      </c>
      <c r="U444" s="64" t="str">
        <f t="shared" si="245"/>
        <v/>
      </c>
      <c r="V444" s="207" t="str">
        <f>IF($A445="","",IF(AND(MONTH(A444)&gt;3,MONTH(A444)&lt;11),(T444+R444+G444)*Summary!$T$8/(1-Summary!$T$8),(T444+R444+G444)*Summary!$U$8/(1-Summary!$U$8)))</f>
        <v/>
      </c>
      <c r="W444" s="63" t="str">
        <f t="shared" si="246"/>
        <v/>
      </c>
      <c r="X444" s="63" t="str">
        <f t="shared" si="247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8"/>
        <v/>
      </c>
      <c r="AP444" s="33" t="str">
        <f t="shared" si="249"/>
        <v/>
      </c>
      <c r="AQ444" s="58" t="str">
        <f t="shared" si="250"/>
        <v/>
      </c>
      <c r="AR444" s="38">
        <f>'ANR OK vs ML7'!AR444</f>
        <v>0.1</v>
      </c>
      <c r="AS444" s="35" t="str">
        <f t="shared" si="251"/>
        <v/>
      </c>
      <c r="AT444" s="3" t="str">
        <f t="shared" si="252"/>
        <v/>
      </c>
      <c r="AU444" s="3" t="str">
        <f t="shared" si="253"/>
        <v/>
      </c>
      <c r="AW444" s="32" t="str">
        <f t="shared" si="254"/>
        <v/>
      </c>
      <c r="AX444" s="32" t="str">
        <f t="shared" si="255"/>
        <v/>
      </c>
      <c r="AY444" s="32" t="str">
        <f t="shared" si="256"/>
        <v/>
      </c>
      <c r="BA444" s="32" t="str">
        <f>IF($A445="","",F444*Summary!$Q$8)</f>
        <v/>
      </c>
    </row>
    <row r="445" spans="1:53">
      <c r="A445" s="67" t="str">
        <f t="shared" si="257"/>
        <v/>
      </c>
      <c r="B445" s="69">
        <f t="shared" si="258"/>
        <v>0</v>
      </c>
      <c r="D445" s="69" t="str">
        <f t="shared" si="231"/>
        <v/>
      </c>
      <c r="E445" s="70" t="str">
        <f t="shared" si="232"/>
        <v/>
      </c>
      <c r="F445" s="70" t="str">
        <f t="shared" si="233"/>
        <v/>
      </c>
      <c r="G445" s="63" t="str">
        <f t="shared" si="234"/>
        <v/>
      </c>
      <c r="H445" s="64" t="str">
        <f t="shared" si="235"/>
        <v/>
      </c>
      <c r="J445" s="63" t="str">
        <f t="shared" si="236"/>
        <v/>
      </c>
      <c r="K445" s="64" t="str">
        <f t="shared" si="237"/>
        <v/>
      </c>
      <c r="L445" s="63" t="str">
        <f t="shared" si="238"/>
        <v/>
      </c>
      <c r="M445" s="64" t="str">
        <f t="shared" si="239"/>
        <v/>
      </c>
      <c r="O445" s="63" t="str">
        <f t="shared" si="240"/>
        <v/>
      </c>
      <c r="P445" s="63" t="str">
        <f t="shared" si="241"/>
        <v/>
      </c>
      <c r="R445" s="63" t="str">
        <f t="shared" si="242"/>
        <v/>
      </c>
      <c r="S445" s="64" t="str">
        <f t="shared" si="243"/>
        <v/>
      </c>
      <c r="T445" s="63" t="str">
        <f t="shared" si="244"/>
        <v/>
      </c>
      <c r="U445" s="64" t="str">
        <f t="shared" si="245"/>
        <v/>
      </c>
      <c r="V445" s="207" t="str">
        <f>IF($A446="","",IF(AND(MONTH(A445)&gt;3,MONTH(A445)&lt;11),(T445+R445+G445)*Summary!$T$8/(1-Summary!$T$8),(T445+R445+G445)*Summary!$U$8/(1-Summary!$U$8)))</f>
        <v/>
      </c>
      <c r="W445" s="63" t="str">
        <f t="shared" si="246"/>
        <v/>
      </c>
      <c r="X445" s="63" t="str">
        <f t="shared" si="247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8"/>
        <v/>
      </c>
      <c r="AP445" s="33" t="str">
        <f t="shared" si="249"/>
        <v/>
      </c>
      <c r="AQ445" s="58" t="str">
        <f t="shared" si="250"/>
        <v/>
      </c>
      <c r="AR445" s="38">
        <f>'ANR OK vs ML7'!AR445</f>
        <v>0.1</v>
      </c>
      <c r="AS445" s="35" t="str">
        <f t="shared" si="251"/>
        <v/>
      </c>
      <c r="AT445" s="3" t="str">
        <f t="shared" si="252"/>
        <v/>
      </c>
      <c r="AU445" s="3" t="str">
        <f t="shared" si="253"/>
        <v/>
      </c>
      <c r="AW445" s="32" t="str">
        <f t="shared" si="254"/>
        <v/>
      </c>
      <c r="AX445" s="32" t="str">
        <f t="shared" si="255"/>
        <v/>
      </c>
      <c r="AY445" s="32" t="str">
        <f t="shared" si="256"/>
        <v/>
      </c>
      <c r="BA445" s="32" t="str">
        <f>IF($A446="","",F445*Summary!$Q$8)</f>
        <v/>
      </c>
    </row>
    <row r="446" spans="1:53">
      <c r="A446" s="67" t="str">
        <f t="shared" si="257"/>
        <v/>
      </c>
      <c r="B446" s="69">
        <f t="shared" si="258"/>
        <v>0</v>
      </c>
      <c r="D446" s="69" t="str">
        <f t="shared" si="231"/>
        <v/>
      </c>
      <c r="E446" s="70" t="str">
        <f t="shared" si="232"/>
        <v/>
      </c>
      <c r="F446" s="70" t="str">
        <f t="shared" si="233"/>
        <v/>
      </c>
      <c r="G446" s="63" t="str">
        <f t="shared" si="234"/>
        <v/>
      </c>
      <c r="H446" s="64" t="str">
        <f t="shared" si="235"/>
        <v/>
      </c>
      <c r="J446" s="63" t="str">
        <f t="shared" si="236"/>
        <v/>
      </c>
      <c r="K446" s="64" t="str">
        <f t="shared" si="237"/>
        <v/>
      </c>
      <c r="L446" s="63" t="str">
        <f t="shared" si="238"/>
        <v/>
      </c>
      <c r="M446" s="64" t="str">
        <f t="shared" si="239"/>
        <v/>
      </c>
      <c r="O446" s="63" t="str">
        <f t="shared" si="240"/>
        <v/>
      </c>
      <c r="P446" s="63" t="str">
        <f t="shared" si="241"/>
        <v/>
      </c>
      <c r="R446" s="63" t="str">
        <f t="shared" si="242"/>
        <v/>
      </c>
      <c r="S446" s="64" t="str">
        <f t="shared" si="243"/>
        <v/>
      </c>
      <c r="T446" s="63" t="str">
        <f t="shared" si="244"/>
        <v/>
      </c>
      <c r="U446" s="64" t="str">
        <f t="shared" si="245"/>
        <v/>
      </c>
      <c r="V446" s="207" t="str">
        <f>IF($A447="","",IF(AND(MONTH(A446)&gt;3,MONTH(A446)&lt;11),(T446+R446+G446)*Summary!$T$8/(1-Summary!$T$8),(T446+R446+G446)*Summary!$U$8/(1-Summary!$U$8)))</f>
        <v/>
      </c>
      <c r="W446" s="63" t="str">
        <f t="shared" si="246"/>
        <v/>
      </c>
      <c r="X446" s="63" t="str">
        <f t="shared" si="247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8"/>
        <v/>
      </c>
      <c r="AP446" s="33" t="str">
        <f t="shared" si="249"/>
        <v/>
      </c>
      <c r="AQ446" s="58" t="str">
        <f t="shared" si="250"/>
        <v/>
      </c>
      <c r="AR446" s="38">
        <f>'ANR OK vs ML7'!AR446</f>
        <v>0.1</v>
      </c>
      <c r="AS446" s="35" t="str">
        <f t="shared" si="251"/>
        <v/>
      </c>
      <c r="AT446" s="3" t="str">
        <f t="shared" si="252"/>
        <v/>
      </c>
      <c r="AU446" s="3" t="str">
        <f t="shared" si="253"/>
        <v/>
      </c>
      <c r="AW446" s="32" t="str">
        <f t="shared" si="254"/>
        <v/>
      </c>
      <c r="AX446" s="32" t="str">
        <f t="shared" si="255"/>
        <v/>
      </c>
      <c r="AY446" s="32" t="str">
        <f t="shared" si="256"/>
        <v/>
      </c>
      <c r="BA446" s="32" t="str">
        <f>IF($A447="","",F446*Summary!$Q$8)</f>
        <v/>
      </c>
    </row>
    <row r="447" spans="1:53">
      <c r="A447" s="67" t="str">
        <f t="shared" si="257"/>
        <v/>
      </c>
      <c r="B447" s="69">
        <f t="shared" si="258"/>
        <v>0</v>
      </c>
      <c r="D447" s="69" t="str">
        <f t="shared" si="231"/>
        <v/>
      </c>
      <c r="E447" s="70" t="str">
        <f t="shared" si="232"/>
        <v/>
      </c>
      <c r="F447" s="70" t="str">
        <f t="shared" si="233"/>
        <v/>
      </c>
      <c r="G447" s="63" t="str">
        <f t="shared" si="234"/>
        <v/>
      </c>
      <c r="H447" s="64" t="str">
        <f t="shared" si="235"/>
        <v/>
      </c>
      <c r="J447" s="63" t="str">
        <f t="shared" si="236"/>
        <v/>
      </c>
      <c r="K447" s="64" t="str">
        <f t="shared" si="237"/>
        <v/>
      </c>
      <c r="L447" s="63" t="str">
        <f t="shared" si="238"/>
        <v/>
      </c>
      <c r="M447" s="64" t="str">
        <f t="shared" si="239"/>
        <v/>
      </c>
      <c r="O447" s="63" t="str">
        <f t="shared" si="240"/>
        <v/>
      </c>
      <c r="P447" s="63" t="str">
        <f t="shared" si="241"/>
        <v/>
      </c>
      <c r="R447" s="63" t="str">
        <f t="shared" si="242"/>
        <v/>
      </c>
      <c r="S447" s="64" t="str">
        <f t="shared" si="243"/>
        <v/>
      </c>
      <c r="T447" s="63" t="str">
        <f t="shared" si="244"/>
        <v/>
      </c>
      <c r="U447" s="64" t="str">
        <f t="shared" si="245"/>
        <v/>
      </c>
      <c r="V447" s="207" t="str">
        <f>IF($A448="","",IF(AND(MONTH(A447)&gt;3,MONTH(A447)&lt;11),(T447+R447+G447)*Summary!$T$8/(1-Summary!$T$8),(T447+R447+G447)*Summary!$U$8/(1-Summary!$U$8)))</f>
        <v/>
      </c>
      <c r="W447" s="63" t="str">
        <f t="shared" si="246"/>
        <v/>
      </c>
      <c r="X447" s="63" t="str">
        <f t="shared" si="247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8"/>
        <v/>
      </c>
      <c r="AP447" s="33" t="str">
        <f t="shared" si="249"/>
        <v/>
      </c>
      <c r="AQ447" s="58" t="str">
        <f t="shared" si="250"/>
        <v/>
      </c>
      <c r="AR447" s="38">
        <f>'ANR OK vs ML7'!AR447</f>
        <v>0.1</v>
      </c>
      <c r="AS447" s="35" t="str">
        <f t="shared" si="251"/>
        <v/>
      </c>
      <c r="AT447" s="3" t="str">
        <f t="shared" si="252"/>
        <v/>
      </c>
      <c r="AU447" s="3" t="str">
        <f t="shared" si="253"/>
        <v/>
      </c>
      <c r="AW447" s="32" t="str">
        <f t="shared" si="254"/>
        <v/>
      </c>
      <c r="AX447" s="32" t="str">
        <f t="shared" si="255"/>
        <v/>
      </c>
      <c r="AY447" s="32" t="str">
        <f t="shared" si="256"/>
        <v/>
      </c>
      <c r="BA447" s="32" t="str">
        <f>IF($A448="","",F447*Summary!$Q$8)</f>
        <v/>
      </c>
    </row>
    <row r="448" spans="1:53">
      <c r="A448" s="67" t="str">
        <f t="shared" si="257"/>
        <v/>
      </c>
      <c r="B448" s="69">
        <f t="shared" si="258"/>
        <v>0</v>
      </c>
      <c r="D448" s="69" t="str">
        <f t="shared" si="231"/>
        <v/>
      </c>
      <c r="E448" s="70" t="str">
        <f t="shared" si="232"/>
        <v/>
      </c>
      <c r="F448" s="70" t="str">
        <f t="shared" si="233"/>
        <v/>
      </c>
      <c r="G448" s="63" t="str">
        <f t="shared" si="234"/>
        <v/>
      </c>
      <c r="H448" s="64" t="str">
        <f t="shared" si="235"/>
        <v/>
      </c>
      <c r="J448" s="63" t="str">
        <f t="shared" si="236"/>
        <v/>
      </c>
      <c r="K448" s="64" t="str">
        <f t="shared" si="237"/>
        <v/>
      </c>
      <c r="L448" s="63" t="str">
        <f t="shared" si="238"/>
        <v/>
      </c>
      <c r="M448" s="64" t="str">
        <f t="shared" si="239"/>
        <v/>
      </c>
      <c r="O448" s="63" t="str">
        <f t="shared" si="240"/>
        <v/>
      </c>
      <c r="P448" s="63" t="str">
        <f t="shared" si="241"/>
        <v/>
      </c>
      <c r="R448" s="63" t="str">
        <f t="shared" si="242"/>
        <v/>
      </c>
      <c r="S448" s="64" t="str">
        <f t="shared" si="243"/>
        <v/>
      </c>
      <c r="T448" s="63" t="str">
        <f t="shared" si="244"/>
        <v/>
      </c>
      <c r="U448" s="64" t="str">
        <f t="shared" si="245"/>
        <v/>
      </c>
      <c r="V448" s="207" t="str">
        <f>IF($A449="","",IF(AND(MONTH(A448)&gt;3,MONTH(A448)&lt;11),(T448+R448+G448)*Summary!$T$8/(1-Summary!$T$8),(T448+R448+G448)*Summary!$U$8/(1-Summary!$U$8)))</f>
        <v/>
      </c>
      <c r="W448" s="63" t="str">
        <f t="shared" si="246"/>
        <v/>
      </c>
      <c r="X448" s="63" t="str">
        <f t="shared" si="247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8"/>
        <v/>
      </c>
      <c r="AP448" s="33" t="str">
        <f t="shared" si="249"/>
        <v/>
      </c>
      <c r="AQ448" s="58" t="str">
        <f t="shared" si="250"/>
        <v/>
      </c>
      <c r="AR448" s="38">
        <f>'ANR OK vs ML7'!AR448</f>
        <v>0.1</v>
      </c>
      <c r="AS448" s="35" t="str">
        <f t="shared" si="251"/>
        <v/>
      </c>
      <c r="AT448" s="3" t="str">
        <f t="shared" si="252"/>
        <v/>
      </c>
      <c r="AU448" s="3" t="str">
        <f t="shared" si="253"/>
        <v/>
      </c>
      <c r="AW448" s="32" t="str">
        <f t="shared" si="254"/>
        <v/>
      </c>
      <c r="AX448" s="32" t="str">
        <f t="shared" si="255"/>
        <v/>
      </c>
      <c r="AY448" s="32" t="str">
        <f t="shared" si="256"/>
        <v/>
      </c>
      <c r="BA448" s="32" t="str">
        <f>IF($A449="","",F448*Summary!$Q$8)</f>
        <v/>
      </c>
    </row>
    <row r="449" spans="1:53">
      <c r="A449" s="67" t="str">
        <f t="shared" si="257"/>
        <v/>
      </c>
      <c r="B449" s="69">
        <f t="shared" si="258"/>
        <v>0</v>
      </c>
      <c r="D449" s="69" t="str">
        <f t="shared" si="231"/>
        <v/>
      </c>
      <c r="E449" s="70" t="str">
        <f t="shared" si="232"/>
        <v/>
      </c>
      <c r="F449" s="70" t="str">
        <f t="shared" si="233"/>
        <v/>
      </c>
      <c r="G449" s="63" t="str">
        <f t="shared" si="234"/>
        <v/>
      </c>
      <c r="H449" s="64" t="str">
        <f t="shared" si="235"/>
        <v/>
      </c>
      <c r="J449" s="63" t="str">
        <f t="shared" si="236"/>
        <v/>
      </c>
      <c r="K449" s="64" t="str">
        <f t="shared" si="237"/>
        <v/>
      </c>
      <c r="L449" s="63" t="str">
        <f t="shared" si="238"/>
        <v/>
      </c>
      <c r="M449" s="64" t="str">
        <f t="shared" si="239"/>
        <v/>
      </c>
      <c r="O449" s="63" t="str">
        <f t="shared" si="240"/>
        <v/>
      </c>
      <c r="P449" s="63" t="str">
        <f t="shared" si="241"/>
        <v/>
      </c>
      <c r="R449" s="63" t="str">
        <f t="shared" si="242"/>
        <v/>
      </c>
      <c r="S449" s="64" t="str">
        <f t="shared" si="243"/>
        <v/>
      </c>
      <c r="T449" s="63" t="str">
        <f t="shared" si="244"/>
        <v/>
      </c>
      <c r="U449" s="64" t="str">
        <f t="shared" si="245"/>
        <v/>
      </c>
      <c r="V449" s="207" t="str">
        <f>IF($A450="","",IF(AND(MONTH(A449)&gt;3,MONTH(A449)&lt;11),(T449+R449+G449)*Summary!$T$8/(1-Summary!$T$8),(T449+R449+G449)*Summary!$U$8/(1-Summary!$U$8)))</f>
        <v/>
      </c>
      <c r="W449" s="63" t="str">
        <f t="shared" si="246"/>
        <v/>
      </c>
      <c r="X449" s="63" t="str">
        <f t="shared" si="247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8"/>
        <v/>
      </c>
      <c r="AP449" s="33" t="str">
        <f t="shared" si="249"/>
        <v/>
      </c>
      <c r="AQ449" s="58" t="str">
        <f t="shared" si="250"/>
        <v/>
      </c>
      <c r="AR449" s="38">
        <f>'ANR OK vs ML7'!AR449</f>
        <v>0.1</v>
      </c>
      <c r="AS449" s="35" t="str">
        <f t="shared" si="251"/>
        <v/>
      </c>
      <c r="AT449" s="3" t="str">
        <f t="shared" si="252"/>
        <v/>
      </c>
      <c r="AU449" s="3" t="str">
        <f t="shared" si="253"/>
        <v/>
      </c>
      <c r="AW449" s="32" t="str">
        <f t="shared" si="254"/>
        <v/>
      </c>
      <c r="AX449" s="32" t="str">
        <f t="shared" si="255"/>
        <v/>
      </c>
      <c r="AY449" s="32" t="str">
        <f t="shared" si="256"/>
        <v/>
      </c>
      <c r="BA449" s="32" t="str">
        <f>IF($A450="","",F449*Summary!$Q$8)</f>
        <v/>
      </c>
    </row>
    <row r="450" spans="1:53">
      <c r="A450" s="67" t="str">
        <f t="shared" si="257"/>
        <v/>
      </c>
      <c r="B450" s="69">
        <f t="shared" si="258"/>
        <v>0</v>
      </c>
      <c r="D450" s="69" t="str">
        <f t="shared" si="231"/>
        <v/>
      </c>
      <c r="E450" s="70" t="str">
        <f t="shared" si="232"/>
        <v/>
      </c>
      <c r="F450" s="70" t="str">
        <f t="shared" si="233"/>
        <v/>
      </c>
      <c r="G450" s="63" t="str">
        <f t="shared" si="234"/>
        <v/>
      </c>
      <c r="H450" s="64" t="str">
        <f t="shared" si="235"/>
        <v/>
      </c>
      <c r="J450" s="63" t="str">
        <f t="shared" si="236"/>
        <v/>
      </c>
      <c r="K450" s="64" t="str">
        <f t="shared" si="237"/>
        <v/>
      </c>
      <c r="L450" s="63" t="str">
        <f t="shared" si="238"/>
        <v/>
      </c>
      <c r="M450" s="64" t="str">
        <f t="shared" si="239"/>
        <v/>
      </c>
      <c r="O450" s="63" t="str">
        <f t="shared" si="240"/>
        <v/>
      </c>
      <c r="P450" s="63" t="str">
        <f t="shared" si="241"/>
        <v/>
      </c>
      <c r="R450" s="63" t="str">
        <f t="shared" si="242"/>
        <v/>
      </c>
      <c r="S450" s="64" t="str">
        <f t="shared" si="243"/>
        <v/>
      </c>
      <c r="T450" s="63" t="str">
        <f t="shared" si="244"/>
        <v/>
      </c>
      <c r="U450" s="64" t="str">
        <f t="shared" si="245"/>
        <v/>
      </c>
      <c r="V450" s="207" t="str">
        <f>IF($A451="","",IF(AND(MONTH(A450)&gt;3,MONTH(A450)&lt;11),(T450+R450+G450)*Summary!$T$8/(1-Summary!$T$8),(T450+R450+G450)*Summary!$U$8/(1-Summary!$U$8)))</f>
        <v/>
      </c>
      <c r="W450" s="63" t="str">
        <f t="shared" si="246"/>
        <v/>
      </c>
      <c r="X450" s="63" t="str">
        <f t="shared" si="247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8"/>
        <v/>
      </c>
      <c r="AP450" s="33" t="str">
        <f t="shared" si="249"/>
        <v/>
      </c>
      <c r="AQ450" s="58" t="str">
        <f t="shared" si="250"/>
        <v/>
      </c>
      <c r="AR450" s="38">
        <f>'ANR OK vs ML7'!AR450</f>
        <v>0.1</v>
      </c>
      <c r="AS450" s="35" t="str">
        <f t="shared" si="251"/>
        <v/>
      </c>
      <c r="AT450" s="3" t="str">
        <f t="shared" si="252"/>
        <v/>
      </c>
      <c r="AU450" s="3" t="str">
        <f t="shared" si="253"/>
        <v/>
      </c>
      <c r="AW450" s="32" t="str">
        <f t="shared" si="254"/>
        <v/>
      </c>
      <c r="AX450" s="32" t="str">
        <f t="shared" si="255"/>
        <v/>
      </c>
      <c r="AY450" s="32" t="str">
        <f t="shared" si="256"/>
        <v/>
      </c>
      <c r="BA450" s="32" t="str">
        <f>IF($A451="","",F450*Summary!$Q$8)</f>
        <v/>
      </c>
    </row>
    <row r="451" spans="1:53">
      <c r="A451" s="67" t="str">
        <f t="shared" si="257"/>
        <v/>
      </c>
      <c r="B451" s="69">
        <f t="shared" si="258"/>
        <v>0</v>
      </c>
      <c r="D451" s="69" t="str">
        <f t="shared" si="231"/>
        <v/>
      </c>
      <c r="E451" s="70" t="str">
        <f t="shared" si="232"/>
        <v/>
      </c>
      <c r="F451" s="70" t="str">
        <f t="shared" si="233"/>
        <v/>
      </c>
      <c r="G451" s="63" t="str">
        <f t="shared" si="234"/>
        <v/>
      </c>
      <c r="H451" s="64" t="str">
        <f t="shared" si="235"/>
        <v/>
      </c>
      <c r="J451" s="63" t="str">
        <f t="shared" si="236"/>
        <v/>
      </c>
      <c r="K451" s="64" t="str">
        <f t="shared" si="237"/>
        <v/>
      </c>
      <c r="L451" s="63" t="str">
        <f t="shared" si="238"/>
        <v/>
      </c>
      <c r="M451" s="64" t="str">
        <f t="shared" si="239"/>
        <v/>
      </c>
      <c r="O451" s="63" t="str">
        <f t="shared" si="240"/>
        <v/>
      </c>
      <c r="P451" s="63" t="str">
        <f t="shared" si="241"/>
        <v/>
      </c>
      <c r="R451" s="63" t="str">
        <f t="shared" si="242"/>
        <v/>
      </c>
      <c r="S451" s="64" t="str">
        <f t="shared" si="243"/>
        <v/>
      </c>
      <c r="T451" s="63" t="str">
        <f t="shared" si="244"/>
        <v/>
      </c>
      <c r="U451" s="64" t="str">
        <f t="shared" si="245"/>
        <v/>
      </c>
      <c r="V451" s="207" t="str">
        <f>IF($A452="","",IF(AND(MONTH(A451)&gt;3,MONTH(A451)&lt;11),(T451+R451+G451)*Summary!$T$8/(1-Summary!$T$8),(T451+R451+G451)*Summary!$U$8/(1-Summary!$U$8)))</f>
        <v/>
      </c>
      <c r="W451" s="63" t="str">
        <f t="shared" si="246"/>
        <v/>
      </c>
      <c r="X451" s="63" t="str">
        <f t="shared" si="247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8"/>
        <v/>
      </c>
      <c r="AP451" s="33" t="str">
        <f t="shared" si="249"/>
        <v/>
      </c>
      <c r="AQ451" s="58" t="str">
        <f t="shared" si="250"/>
        <v/>
      </c>
      <c r="AR451" s="38">
        <f>'ANR OK vs ML7'!AR451</f>
        <v>0.1</v>
      </c>
      <c r="AS451" s="35" t="str">
        <f t="shared" si="251"/>
        <v/>
      </c>
      <c r="AT451" s="3" t="str">
        <f t="shared" si="252"/>
        <v/>
      </c>
      <c r="AU451" s="3" t="str">
        <f t="shared" si="253"/>
        <v/>
      </c>
      <c r="AW451" s="32" t="str">
        <f t="shared" si="254"/>
        <v/>
      </c>
      <c r="AX451" s="32" t="str">
        <f t="shared" si="255"/>
        <v/>
      </c>
      <c r="AY451" s="32" t="str">
        <f t="shared" si="256"/>
        <v/>
      </c>
      <c r="BA451" s="32" t="str">
        <f>IF($A452="","",F451*Summary!$Q$8)</f>
        <v/>
      </c>
    </row>
    <row r="452" spans="1:53">
      <c r="A452" s="67" t="str">
        <f t="shared" si="257"/>
        <v/>
      </c>
      <c r="B452" s="69">
        <f t="shared" si="258"/>
        <v>0</v>
      </c>
      <c r="D452" s="69" t="str">
        <f t="shared" si="231"/>
        <v/>
      </c>
      <c r="E452" s="70" t="str">
        <f t="shared" si="232"/>
        <v/>
      </c>
      <c r="F452" s="70" t="str">
        <f t="shared" si="233"/>
        <v/>
      </c>
      <c r="G452" s="63" t="str">
        <f t="shared" si="234"/>
        <v/>
      </c>
      <c r="H452" s="64" t="str">
        <f t="shared" si="235"/>
        <v/>
      </c>
      <c r="J452" s="63" t="str">
        <f t="shared" si="236"/>
        <v/>
      </c>
      <c r="K452" s="64" t="str">
        <f t="shared" si="237"/>
        <v/>
      </c>
      <c r="L452" s="63" t="str">
        <f t="shared" si="238"/>
        <v/>
      </c>
      <c r="M452" s="64" t="str">
        <f t="shared" si="239"/>
        <v/>
      </c>
      <c r="O452" s="63" t="str">
        <f t="shared" si="240"/>
        <v/>
      </c>
      <c r="P452" s="63" t="str">
        <f t="shared" si="241"/>
        <v/>
      </c>
      <c r="R452" s="63" t="str">
        <f t="shared" si="242"/>
        <v/>
      </c>
      <c r="S452" s="64" t="str">
        <f t="shared" si="243"/>
        <v/>
      </c>
      <c r="T452" s="63" t="str">
        <f t="shared" si="244"/>
        <v/>
      </c>
      <c r="U452" s="64" t="str">
        <f t="shared" si="245"/>
        <v/>
      </c>
      <c r="V452" s="207" t="str">
        <f>IF($A453="","",IF(AND(MONTH(A452)&gt;3,MONTH(A452)&lt;11),(T452+R452+G452)*Summary!$T$8/(1-Summary!$T$8),(T452+R452+G452)*Summary!$U$8/(1-Summary!$U$8)))</f>
        <v/>
      </c>
      <c r="W452" s="63" t="str">
        <f t="shared" si="246"/>
        <v/>
      </c>
      <c r="X452" s="63" t="str">
        <f t="shared" si="247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8"/>
        <v/>
      </c>
      <c r="AP452" s="33" t="str">
        <f t="shared" si="249"/>
        <v/>
      </c>
      <c r="AQ452" s="58" t="str">
        <f t="shared" si="250"/>
        <v/>
      </c>
      <c r="AR452" s="38">
        <f>'ANR OK vs ML7'!AR452</f>
        <v>0.1</v>
      </c>
      <c r="AS452" s="35" t="str">
        <f t="shared" si="251"/>
        <v/>
      </c>
      <c r="AT452" s="3" t="str">
        <f t="shared" si="252"/>
        <v/>
      </c>
      <c r="AU452" s="3" t="str">
        <f t="shared" si="253"/>
        <v/>
      </c>
      <c r="AW452" s="32" t="str">
        <f t="shared" si="254"/>
        <v/>
      </c>
      <c r="AX452" s="32" t="str">
        <f t="shared" si="255"/>
        <v/>
      </c>
      <c r="AY452" s="32" t="str">
        <f t="shared" si="256"/>
        <v/>
      </c>
      <c r="BA452" s="32" t="str">
        <f>IF($A453="","",F452*Summary!$Q$8)</f>
        <v/>
      </c>
    </row>
    <row r="453" spans="1:53">
      <c r="A453" s="67" t="str">
        <f t="shared" si="257"/>
        <v/>
      </c>
      <c r="B453" s="69">
        <f t="shared" si="258"/>
        <v>0</v>
      </c>
      <c r="D453" s="69" t="str">
        <f t="shared" si="231"/>
        <v/>
      </c>
      <c r="E453" s="70" t="str">
        <f t="shared" si="232"/>
        <v/>
      </c>
      <c r="F453" s="70" t="str">
        <f t="shared" si="233"/>
        <v/>
      </c>
      <c r="G453" s="63" t="str">
        <f t="shared" si="234"/>
        <v/>
      </c>
      <c r="H453" s="64" t="str">
        <f t="shared" si="235"/>
        <v/>
      </c>
      <c r="J453" s="63" t="str">
        <f t="shared" si="236"/>
        <v/>
      </c>
      <c r="K453" s="64" t="str">
        <f t="shared" si="237"/>
        <v/>
      </c>
      <c r="L453" s="63" t="str">
        <f t="shared" si="238"/>
        <v/>
      </c>
      <c r="M453" s="64" t="str">
        <f t="shared" si="239"/>
        <v/>
      </c>
      <c r="O453" s="63" t="str">
        <f t="shared" si="240"/>
        <v/>
      </c>
      <c r="P453" s="63" t="str">
        <f t="shared" si="241"/>
        <v/>
      </c>
      <c r="R453" s="63" t="str">
        <f t="shared" si="242"/>
        <v/>
      </c>
      <c r="S453" s="64" t="str">
        <f t="shared" si="243"/>
        <v/>
      </c>
      <c r="T453" s="63" t="str">
        <f t="shared" si="244"/>
        <v/>
      </c>
      <c r="U453" s="64" t="str">
        <f t="shared" si="245"/>
        <v/>
      </c>
      <c r="V453" s="207" t="str">
        <f>IF($A454="","",IF(AND(MONTH(A453)&gt;3,MONTH(A453)&lt;11),(T453+R453+G453)*Summary!$T$8/(1-Summary!$T$8),(T453+R453+G453)*Summary!$U$8/(1-Summary!$U$8)))</f>
        <v/>
      </c>
      <c r="W453" s="63" t="str">
        <f t="shared" si="246"/>
        <v/>
      </c>
      <c r="X453" s="63" t="str">
        <f t="shared" si="247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8"/>
        <v/>
      </c>
      <c r="AP453" s="33" t="str">
        <f t="shared" si="249"/>
        <v/>
      </c>
      <c r="AQ453" s="58" t="str">
        <f t="shared" si="250"/>
        <v/>
      </c>
      <c r="AR453" s="38">
        <f>'ANR OK vs ML7'!AR453</f>
        <v>0.1</v>
      </c>
      <c r="AS453" s="35" t="str">
        <f t="shared" si="251"/>
        <v/>
      </c>
      <c r="AT453" s="3" t="str">
        <f t="shared" si="252"/>
        <v/>
      </c>
      <c r="AU453" s="3" t="str">
        <f t="shared" si="253"/>
        <v/>
      </c>
      <c r="AW453" s="32" t="str">
        <f t="shared" si="254"/>
        <v/>
      </c>
      <c r="AX453" s="32" t="str">
        <f t="shared" si="255"/>
        <v/>
      </c>
      <c r="AY453" s="32" t="str">
        <f t="shared" si="256"/>
        <v/>
      </c>
      <c r="BA453" s="32" t="str">
        <f>IF($A454="","",F453*Summary!$Q$8)</f>
        <v/>
      </c>
    </row>
    <row r="454" spans="1:53">
      <c r="A454" s="67" t="str">
        <f t="shared" si="257"/>
        <v/>
      </c>
      <c r="B454" s="69">
        <f t="shared" si="258"/>
        <v>0</v>
      </c>
      <c r="D454" s="69" t="str">
        <f t="shared" si="231"/>
        <v/>
      </c>
      <c r="E454" s="70" t="str">
        <f t="shared" si="232"/>
        <v/>
      </c>
      <c r="F454" s="70" t="str">
        <f t="shared" si="233"/>
        <v/>
      </c>
      <c r="G454" s="63" t="str">
        <f t="shared" si="234"/>
        <v/>
      </c>
      <c r="H454" s="64" t="str">
        <f t="shared" si="235"/>
        <v/>
      </c>
      <c r="J454" s="63" t="str">
        <f t="shared" si="236"/>
        <v/>
      </c>
      <c r="K454" s="64" t="str">
        <f t="shared" si="237"/>
        <v/>
      </c>
      <c r="L454" s="63" t="str">
        <f t="shared" si="238"/>
        <v/>
      </c>
      <c r="M454" s="64" t="str">
        <f t="shared" si="239"/>
        <v/>
      </c>
      <c r="O454" s="63" t="str">
        <f t="shared" si="240"/>
        <v/>
      </c>
      <c r="P454" s="63" t="str">
        <f t="shared" si="241"/>
        <v/>
      </c>
      <c r="R454" s="63" t="str">
        <f t="shared" si="242"/>
        <v/>
      </c>
      <c r="S454" s="64" t="str">
        <f t="shared" si="243"/>
        <v/>
      </c>
      <c r="T454" s="63" t="str">
        <f t="shared" si="244"/>
        <v/>
      </c>
      <c r="U454" s="64" t="str">
        <f t="shared" si="245"/>
        <v/>
      </c>
      <c r="V454" s="207" t="str">
        <f>IF($A455="","",IF(AND(MONTH(A454)&gt;3,MONTH(A454)&lt;11),(T454+R454+G454)*Summary!$T$8/(1-Summary!$T$8),(T454+R454+G454)*Summary!$U$8/(1-Summary!$U$8)))</f>
        <v/>
      </c>
      <c r="W454" s="63" t="str">
        <f t="shared" si="246"/>
        <v/>
      </c>
      <c r="X454" s="63" t="str">
        <f t="shared" si="247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8"/>
        <v/>
      </c>
      <c r="AP454" s="33" t="str">
        <f t="shared" si="249"/>
        <v/>
      </c>
      <c r="AQ454" s="58" t="str">
        <f t="shared" si="250"/>
        <v/>
      </c>
      <c r="AR454" s="38">
        <f>'ANR OK vs ML7'!AR454</f>
        <v>0.1</v>
      </c>
      <c r="AS454" s="35" t="str">
        <f t="shared" si="251"/>
        <v/>
      </c>
      <c r="AT454" s="3" t="str">
        <f t="shared" si="252"/>
        <v/>
      </c>
      <c r="AU454" s="3" t="str">
        <f t="shared" si="253"/>
        <v/>
      </c>
      <c r="AW454" s="32" t="str">
        <f t="shared" si="254"/>
        <v/>
      </c>
      <c r="AX454" s="32" t="str">
        <f t="shared" si="255"/>
        <v/>
      </c>
      <c r="AY454" s="32" t="str">
        <f t="shared" si="256"/>
        <v/>
      </c>
      <c r="BA454" s="32" t="str">
        <f>IF($A455="","",F454*Summary!$Q$8)</f>
        <v/>
      </c>
    </row>
    <row r="455" spans="1:53">
      <c r="A455" s="67" t="str">
        <f t="shared" si="257"/>
        <v/>
      </c>
      <c r="B455" s="69">
        <f t="shared" si="258"/>
        <v>0</v>
      </c>
      <c r="D455" s="69" t="str">
        <f t="shared" si="231"/>
        <v/>
      </c>
      <c r="E455" s="70" t="str">
        <f t="shared" si="232"/>
        <v/>
      </c>
      <c r="F455" s="70" t="str">
        <f t="shared" si="233"/>
        <v/>
      </c>
      <c r="G455" s="63" t="str">
        <f t="shared" si="234"/>
        <v/>
      </c>
      <c r="H455" s="64" t="str">
        <f t="shared" si="235"/>
        <v/>
      </c>
      <c r="J455" s="63" t="str">
        <f t="shared" si="236"/>
        <v/>
      </c>
      <c r="K455" s="64" t="str">
        <f t="shared" si="237"/>
        <v/>
      </c>
      <c r="L455" s="63" t="str">
        <f t="shared" si="238"/>
        <v/>
      </c>
      <c r="M455" s="64" t="str">
        <f t="shared" si="239"/>
        <v/>
      </c>
      <c r="O455" s="63" t="str">
        <f t="shared" si="240"/>
        <v/>
      </c>
      <c r="P455" s="63" t="str">
        <f t="shared" si="241"/>
        <v/>
      </c>
      <c r="R455" s="63" t="str">
        <f t="shared" si="242"/>
        <v/>
      </c>
      <c r="S455" s="64" t="str">
        <f t="shared" si="243"/>
        <v/>
      </c>
      <c r="T455" s="63" t="str">
        <f t="shared" si="244"/>
        <v/>
      </c>
      <c r="U455" s="64" t="str">
        <f t="shared" si="245"/>
        <v/>
      </c>
      <c r="V455" s="207" t="str">
        <f>IF($A456="","",IF(AND(MONTH(A455)&gt;3,MONTH(A455)&lt;11),(T455+R455+G455)*Summary!$T$8/(1-Summary!$T$8),(T455+R455+G455)*Summary!$U$8/(1-Summary!$U$8)))</f>
        <v/>
      </c>
      <c r="W455" s="63" t="str">
        <f t="shared" si="246"/>
        <v/>
      </c>
      <c r="X455" s="63" t="str">
        <f t="shared" si="247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8"/>
        <v/>
      </c>
      <c r="AP455" s="33" t="str">
        <f t="shared" si="249"/>
        <v/>
      </c>
      <c r="AQ455" s="58" t="str">
        <f t="shared" si="250"/>
        <v/>
      </c>
      <c r="AR455" s="38">
        <f>'ANR OK vs ML7'!AR455</f>
        <v>0.1</v>
      </c>
      <c r="AS455" s="35" t="str">
        <f t="shared" si="251"/>
        <v/>
      </c>
      <c r="AT455" s="3" t="str">
        <f t="shared" si="252"/>
        <v/>
      </c>
      <c r="AU455" s="3" t="str">
        <f t="shared" si="253"/>
        <v/>
      </c>
      <c r="AW455" s="32" t="str">
        <f t="shared" si="254"/>
        <v/>
      </c>
      <c r="AX455" s="32" t="str">
        <f t="shared" si="255"/>
        <v/>
      </c>
      <c r="AY455" s="32" t="str">
        <f t="shared" si="256"/>
        <v/>
      </c>
      <c r="BA455" s="32" t="str">
        <f>IF($A456="","",F455*Summary!$Q$8)</f>
        <v/>
      </c>
    </row>
    <row r="456" spans="1:53">
      <c r="A456" s="67" t="str">
        <f t="shared" si="257"/>
        <v/>
      </c>
      <c r="B456" s="69">
        <f t="shared" si="258"/>
        <v>0</v>
      </c>
      <c r="D456" s="69" t="str">
        <f t="shared" si="231"/>
        <v/>
      </c>
      <c r="E456" s="70" t="str">
        <f t="shared" si="232"/>
        <v/>
      </c>
      <c r="F456" s="70" t="str">
        <f t="shared" si="233"/>
        <v/>
      </c>
      <c r="G456" s="63" t="str">
        <f t="shared" si="234"/>
        <v/>
      </c>
      <c r="H456" s="64" t="str">
        <f t="shared" si="235"/>
        <v/>
      </c>
      <c r="J456" s="63" t="str">
        <f t="shared" si="236"/>
        <v/>
      </c>
      <c r="K456" s="64" t="str">
        <f t="shared" si="237"/>
        <v/>
      </c>
      <c r="L456" s="63" t="str">
        <f t="shared" si="238"/>
        <v/>
      </c>
      <c r="M456" s="64" t="str">
        <f t="shared" si="239"/>
        <v/>
      </c>
      <c r="O456" s="63" t="str">
        <f t="shared" si="240"/>
        <v/>
      </c>
      <c r="P456" s="63" t="str">
        <f t="shared" si="241"/>
        <v/>
      </c>
      <c r="R456" s="63" t="str">
        <f t="shared" si="242"/>
        <v/>
      </c>
      <c r="S456" s="64" t="str">
        <f t="shared" si="243"/>
        <v/>
      </c>
      <c r="T456" s="63" t="str">
        <f t="shared" si="244"/>
        <v/>
      </c>
      <c r="U456" s="64" t="str">
        <f t="shared" si="245"/>
        <v/>
      </c>
      <c r="V456" s="207" t="str">
        <f>IF($A457="","",IF(AND(MONTH(A456)&gt;3,MONTH(A456)&lt;11),(T456+R456+G456)*Summary!$T$8/(1-Summary!$T$8),(T456+R456+G456)*Summary!$U$8/(1-Summary!$U$8)))</f>
        <v/>
      </c>
      <c r="W456" s="63" t="str">
        <f t="shared" si="246"/>
        <v/>
      </c>
      <c r="X456" s="63" t="str">
        <f t="shared" si="247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8"/>
        <v/>
      </c>
      <c r="AP456" s="33" t="str">
        <f t="shared" si="249"/>
        <v/>
      </c>
      <c r="AQ456" s="58" t="str">
        <f t="shared" si="250"/>
        <v/>
      </c>
      <c r="AR456" s="38">
        <f>'ANR OK vs ML7'!AR456</f>
        <v>0.1</v>
      </c>
      <c r="AS456" s="35" t="str">
        <f t="shared" si="251"/>
        <v/>
      </c>
      <c r="AT456" s="3" t="str">
        <f t="shared" si="252"/>
        <v/>
      </c>
      <c r="AU456" s="3" t="str">
        <f t="shared" si="253"/>
        <v/>
      </c>
      <c r="AW456" s="32" t="str">
        <f t="shared" si="254"/>
        <v/>
      </c>
      <c r="AX456" s="32" t="str">
        <f t="shared" si="255"/>
        <v/>
      </c>
      <c r="AY456" s="32" t="str">
        <f t="shared" si="256"/>
        <v/>
      </c>
      <c r="BA456" s="32" t="str">
        <f>IF($A457="","",F456*Summary!$Q$8)</f>
        <v/>
      </c>
    </row>
    <row r="457" spans="1:53">
      <c r="A457" s="67" t="str">
        <f t="shared" si="257"/>
        <v/>
      </c>
      <c r="B457" s="69">
        <f t="shared" si="258"/>
        <v>0</v>
      </c>
      <c r="D457" s="69" t="str">
        <f t="shared" si="231"/>
        <v/>
      </c>
      <c r="E457" s="70" t="str">
        <f t="shared" si="232"/>
        <v/>
      </c>
      <c r="F457" s="70" t="str">
        <f t="shared" si="233"/>
        <v/>
      </c>
      <c r="G457" s="63" t="str">
        <f t="shared" si="234"/>
        <v/>
      </c>
      <c r="H457" s="64" t="str">
        <f t="shared" si="235"/>
        <v/>
      </c>
      <c r="J457" s="63" t="str">
        <f t="shared" si="236"/>
        <v/>
      </c>
      <c r="K457" s="64" t="str">
        <f t="shared" si="237"/>
        <v/>
      </c>
      <c r="L457" s="63" t="str">
        <f t="shared" si="238"/>
        <v/>
      </c>
      <c r="M457" s="64" t="str">
        <f t="shared" si="239"/>
        <v/>
      </c>
      <c r="O457" s="63" t="str">
        <f t="shared" si="240"/>
        <v/>
      </c>
      <c r="P457" s="63" t="str">
        <f t="shared" si="241"/>
        <v/>
      </c>
      <c r="R457" s="63" t="str">
        <f t="shared" si="242"/>
        <v/>
      </c>
      <c r="S457" s="64" t="str">
        <f t="shared" si="243"/>
        <v/>
      </c>
      <c r="T457" s="63" t="str">
        <f t="shared" si="244"/>
        <v/>
      </c>
      <c r="U457" s="64" t="str">
        <f t="shared" si="245"/>
        <v/>
      </c>
      <c r="V457" s="207" t="str">
        <f>IF($A458="","",IF(AND(MONTH(A457)&gt;3,MONTH(A457)&lt;11),(T457+R457+G457)*Summary!$T$8/(1-Summary!$T$8),(T457+R457+G457)*Summary!$U$8/(1-Summary!$U$8)))</f>
        <v/>
      </c>
      <c r="W457" s="63" t="str">
        <f t="shared" si="246"/>
        <v/>
      </c>
      <c r="X457" s="63" t="str">
        <f t="shared" si="247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8"/>
        <v/>
      </c>
      <c r="AP457" s="33" t="str">
        <f t="shared" si="249"/>
        <v/>
      </c>
      <c r="AQ457" s="58" t="str">
        <f t="shared" si="250"/>
        <v/>
      </c>
      <c r="AR457" s="38">
        <f>'ANR OK vs ML7'!AR457</f>
        <v>0.1</v>
      </c>
      <c r="AS457" s="35" t="str">
        <f t="shared" si="251"/>
        <v/>
      </c>
      <c r="AT457" s="3" t="str">
        <f t="shared" si="252"/>
        <v/>
      </c>
      <c r="AU457" s="3" t="str">
        <f t="shared" si="253"/>
        <v/>
      </c>
      <c r="AW457" s="32" t="str">
        <f t="shared" si="254"/>
        <v/>
      </c>
      <c r="AX457" s="32" t="str">
        <f t="shared" si="255"/>
        <v/>
      </c>
      <c r="AY457" s="32" t="str">
        <f t="shared" si="256"/>
        <v/>
      </c>
      <c r="BA457" s="32" t="str">
        <f>IF($A458="","",F457*Summary!$Q$8)</f>
        <v/>
      </c>
    </row>
    <row r="458" spans="1:53">
      <c r="A458" s="67" t="str">
        <f t="shared" si="257"/>
        <v/>
      </c>
      <c r="B458" s="69">
        <f t="shared" si="258"/>
        <v>0</v>
      </c>
      <c r="D458" s="69" t="str">
        <f t="shared" ref="D458:D499" si="259">IF(A459&lt;&gt;"",B458+C458,"")</f>
        <v/>
      </c>
      <c r="E458" s="70" t="str">
        <f t="shared" ref="E458:E499" si="260">IF(A459="","",IF(AND(AT458=1,$H$3=1),D458*AO458,IF($H$3=2,D458,"N/A")))</f>
        <v/>
      </c>
      <c r="F458" s="70" t="str">
        <f t="shared" ref="F458:F499" si="261">IF(A459="","",E458*AS458)</f>
        <v/>
      </c>
      <c r="G458" s="63" t="str">
        <f t="shared" ref="G458:G499" si="262">IF($A459="","",VLOOKUP($A458,Table,MATCH(G$4,Curves,0)))</f>
        <v/>
      </c>
      <c r="H458" s="64" t="str">
        <f t="shared" ref="H458:H499" si="263">IF(A459="","",G458)</f>
        <v/>
      </c>
      <c r="J458" s="63" t="str">
        <f t="shared" ref="J458:J499" si="264">IF($A459="","",VLOOKUP($A458,Table,MATCH(J$4,Curves,0)))</f>
        <v/>
      </c>
      <c r="K458" s="64" t="str">
        <f t="shared" ref="K458:K499" si="265">IF(A459="","",J458)</f>
        <v/>
      </c>
      <c r="L458" s="63" t="str">
        <f t="shared" ref="L458:L499" si="266">IF($A459="","",VLOOKUP($A458,Table,MATCH(L$4,Curves,0)))</f>
        <v/>
      </c>
      <c r="M458" s="64" t="str">
        <f t="shared" ref="M458:M499" si="267">IF(A459="","",L458)</f>
        <v/>
      </c>
      <c r="O458" s="63" t="str">
        <f t="shared" ref="O458:O499" si="268">IF(A459="","",L458+J458+G458)</f>
        <v/>
      </c>
      <c r="P458" s="63" t="str">
        <f t="shared" ref="P458:P499" si="269">IF(A459="","",M458+K458+H458)</f>
        <v/>
      </c>
      <c r="R458" s="63" t="str">
        <f t="shared" ref="R458:R499" si="270">IF($A459="","",VLOOKUP($A458,Table,MATCH(R$4,Curves,0)))</f>
        <v/>
      </c>
      <c r="S458" s="64" t="str">
        <f t="shared" ref="S458:S499" si="271">IF(A459="","",R458)</f>
        <v/>
      </c>
      <c r="T458" s="63" t="str">
        <f t="shared" ref="T458:T499" si="272">IF($A459="","",VLOOKUP($A458,Table,MATCH(T$4,Curves,0)))</f>
        <v/>
      </c>
      <c r="U458" s="64" t="str">
        <f t="shared" ref="U458:U499" si="273">IF(A459="","",T458)</f>
        <v/>
      </c>
      <c r="V458" s="207" t="str">
        <f>IF($A459="","",IF(AND(MONTH(A458)&gt;3,MONTH(A458)&lt;11),(T458+R458+G458)*Summary!$T$8/(1-Summary!$T$8),(T458+R458+G458)*Summary!$U$8/(1-Summary!$U$8)))</f>
        <v/>
      </c>
      <c r="W458" s="63" t="str">
        <f t="shared" ref="W458:W499" si="274">IF($A459="","",(T458+R458+G458+V458))</f>
        <v/>
      </c>
      <c r="X458" s="63" t="str">
        <f t="shared" ref="X458:X499" si="275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76">IF(A459="","",A459-A458)</f>
        <v/>
      </c>
      <c r="AP458" s="33" t="str">
        <f t="shared" ref="AP458:AP499" si="277">IF(A459="","",CHOOSE(F$3,A459+24,A458))</f>
        <v/>
      </c>
      <c r="AQ458" s="58" t="str">
        <f t="shared" ref="AQ458:AQ499" si="278">IF(A459="","",AP458-$E$1)</f>
        <v/>
      </c>
      <c r="AR458" s="38">
        <f>'ANR OK vs ML7'!AR458</f>
        <v>0.1</v>
      </c>
      <c r="AS458" s="35" t="str">
        <f t="shared" ref="AS458:AS499" si="279">IF(A459="","",1/(1+CHOOSE(F$3,(AR459+($I$3/10000))/2,(AR458+($I$3/10000))/2))^(2*AQ458/365.25))</f>
        <v/>
      </c>
      <c r="AT458" s="3" t="str">
        <f t="shared" ref="AT458:AT499" si="280">IF(A459="","",IF(AND(mthbeg&lt;=A458,mthend&gt;=A458),1,0))</f>
        <v/>
      </c>
      <c r="AU458" s="3" t="str">
        <f t="shared" ref="AU458:AU499" si="281">IF(A459="","",AO458*AT458)</f>
        <v/>
      </c>
      <c r="AW458" s="32" t="str">
        <f t="shared" ref="AW458:AW501" si="282">IF($A459="","",AL458*$E458)</f>
        <v/>
      </c>
      <c r="AX458" s="32" t="str">
        <f t="shared" ref="AX458:AX501" si="283">IF($A459="","",AM458*$E458)</f>
        <v/>
      </c>
      <c r="AY458" s="32" t="str">
        <f t="shared" ref="AY458:AY501" si="284">IF($A459="","",AN458*$E458)</f>
        <v/>
      </c>
      <c r="BA458" s="32" t="str">
        <f>IF($A459="","",F458*Summary!$Q$8)</f>
        <v/>
      </c>
    </row>
    <row r="459" spans="1:53">
      <c r="A459" s="67" t="str">
        <f t="shared" ref="A459:A501" si="285">IF(A458&lt;mthend,EDATE(A458,1),"")</f>
        <v/>
      </c>
      <c r="B459" s="69">
        <f t="shared" si="258"/>
        <v>0</v>
      </c>
      <c r="D459" s="69" t="str">
        <f t="shared" si="259"/>
        <v/>
      </c>
      <c r="E459" s="70" t="str">
        <f t="shared" si="260"/>
        <v/>
      </c>
      <c r="F459" s="70" t="str">
        <f t="shared" si="261"/>
        <v/>
      </c>
      <c r="G459" s="63" t="str">
        <f t="shared" si="262"/>
        <v/>
      </c>
      <c r="H459" s="64" t="str">
        <f t="shared" si="263"/>
        <v/>
      </c>
      <c r="J459" s="63" t="str">
        <f t="shared" si="264"/>
        <v/>
      </c>
      <c r="K459" s="64" t="str">
        <f t="shared" si="265"/>
        <v/>
      </c>
      <c r="L459" s="63" t="str">
        <f t="shared" si="266"/>
        <v/>
      </c>
      <c r="M459" s="64" t="str">
        <f t="shared" si="267"/>
        <v/>
      </c>
      <c r="O459" s="63" t="str">
        <f t="shared" si="268"/>
        <v/>
      </c>
      <c r="P459" s="63" t="str">
        <f t="shared" si="269"/>
        <v/>
      </c>
      <c r="R459" s="63" t="str">
        <f t="shared" si="270"/>
        <v/>
      </c>
      <c r="S459" s="64" t="str">
        <f t="shared" si="271"/>
        <v/>
      </c>
      <c r="T459" s="63" t="str">
        <f t="shared" si="272"/>
        <v/>
      </c>
      <c r="U459" s="64" t="str">
        <f t="shared" si="273"/>
        <v/>
      </c>
      <c r="V459" s="207" t="str">
        <f>IF($A460="","",IF(AND(MONTH(A459)&gt;3,MONTH(A459)&lt;11),(T459+R459+G459)*Summary!$T$8/(1-Summary!$T$8),(T459+R459+G459)*Summary!$U$8/(1-Summary!$U$8)))</f>
        <v/>
      </c>
      <c r="W459" s="63" t="str">
        <f t="shared" si="274"/>
        <v/>
      </c>
      <c r="X459" s="63" t="str">
        <f t="shared" si="275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76"/>
        <v/>
      </c>
      <c r="AP459" s="33" t="str">
        <f t="shared" si="277"/>
        <v/>
      </c>
      <c r="AQ459" s="58" t="str">
        <f t="shared" si="278"/>
        <v/>
      </c>
      <c r="AR459" s="38">
        <f>'ANR OK vs ML7'!AR459</f>
        <v>0.1</v>
      </c>
      <c r="AS459" s="35" t="str">
        <f t="shared" si="279"/>
        <v/>
      </c>
      <c r="AT459" s="3" t="str">
        <f t="shared" si="280"/>
        <v/>
      </c>
      <c r="AU459" s="3" t="str">
        <f t="shared" si="281"/>
        <v/>
      </c>
      <c r="AW459" s="32" t="str">
        <f t="shared" si="282"/>
        <v/>
      </c>
      <c r="AX459" s="32" t="str">
        <f t="shared" si="283"/>
        <v/>
      </c>
      <c r="AY459" s="32" t="str">
        <f t="shared" si="284"/>
        <v/>
      </c>
      <c r="BA459" s="32" t="str">
        <f>IF($A460="","",F459*Summary!$Q$8)</f>
        <v/>
      </c>
    </row>
    <row r="460" spans="1:53">
      <c r="A460" s="67" t="str">
        <f t="shared" si="285"/>
        <v/>
      </c>
      <c r="B460" s="69">
        <f t="shared" ref="B460:B501" si="286">IF(A460&lt;mthend,B459,0)</f>
        <v>0</v>
      </c>
      <c r="D460" s="69" t="str">
        <f t="shared" si="259"/>
        <v/>
      </c>
      <c r="E460" s="70" t="str">
        <f t="shared" si="260"/>
        <v/>
      </c>
      <c r="F460" s="70" t="str">
        <f t="shared" si="261"/>
        <v/>
      </c>
      <c r="G460" s="63" t="str">
        <f t="shared" si="262"/>
        <v/>
      </c>
      <c r="H460" s="64" t="str">
        <f t="shared" si="263"/>
        <v/>
      </c>
      <c r="J460" s="63" t="str">
        <f t="shared" si="264"/>
        <v/>
      </c>
      <c r="K460" s="64" t="str">
        <f t="shared" si="265"/>
        <v/>
      </c>
      <c r="L460" s="63" t="str">
        <f t="shared" si="266"/>
        <v/>
      </c>
      <c r="M460" s="64" t="str">
        <f t="shared" si="267"/>
        <v/>
      </c>
      <c r="O460" s="63" t="str">
        <f t="shared" si="268"/>
        <v/>
      </c>
      <c r="P460" s="63" t="str">
        <f t="shared" si="269"/>
        <v/>
      </c>
      <c r="R460" s="63" t="str">
        <f t="shared" si="270"/>
        <v/>
      </c>
      <c r="S460" s="64" t="str">
        <f t="shared" si="271"/>
        <v/>
      </c>
      <c r="T460" s="63" t="str">
        <f t="shared" si="272"/>
        <v/>
      </c>
      <c r="U460" s="64" t="str">
        <f t="shared" si="273"/>
        <v/>
      </c>
      <c r="V460" s="207" t="str">
        <f>IF($A461="","",IF(AND(MONTH(A460)&gt;3,MONTH(A460)&lt;11),(T460+R460+G460)*Summary!$T$8/(1-Summary!$T$8),(T460+R460+G460)*Summary!$U$8/(1-Summary!$U$8)))</f>
        <v/>
      </c>
      <c r="W460" s="63" t="str">
        <f t="shared" si="274"/>
        <v/>
      </c>
      <c r="X460" s="63" t="str">
        <f t="shared" si="275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76"/>
        <v/>
      </c>
      <c r="AP460" s="33" t="str">
        <f t="shared" si="277"/>
        <v/>
      </c>
      <c r="AQ460" s="58" t="str">
        <f t="shared" si="278"/>
        <v/>
      </c>
      <c r="AR460" s="38">
        <f>'ANR OK vs ML7'!AR460</f>
        <v>0.1</v>
      </c>
      <c r="AS460" s="35" t="str">
        <f t="shared" si="279"/>
        <v/>
      </c>
      <c r="AT460" s="3" t="str">
        <f t="shared" si="280"/>
        <v/>
      </c>
      <c r="AU460" s="3" t="str">
        <f t="shared" si="281"/>
        <v/>
      </c>
      <c r="AW460" s="32" t="str">
        <f t="shared" si="282"/>
        <v/>
      </c>
      <c r="AX460" s="32" t="str">
        <f t="shared" si="283"/>
        <v/>
      </c>
      <c r="AY460" s="32" t="str">
        <f t="shared" si="284"/>
        <v/>
      </c>
      <c r="BA460" s="32" t="str">
        <f>IF($A461="","",F460*Summary!$Q$8)</f>
        <v/>
      </c>
    </row>
    <row r="461" spans="1:53">
      <c r="A461" s="67" t="str">
        <f t="shared" si="285"/>
        <v/>
      </c>
      <c r="B461" s="69">
        <f t="shared" si="286"/>
        <v>0</v>
      </c>
      <c r="D461" s="69" t="str">
        <f t="shared" si="259"/>
        <v/>
      </c>
      <c r="E461" s="70" t="str">
        <f t="shared" si="260"/>
        <v/>
      </c>
      <c r="F461" s="70" t="str">
        <f t="shared" si="261"/>
        <v/>
      </c>
      <c r="G461" s="63" t="str">
        <f t="shared" si="262"/>
        <v/>
      </c>
      <c r="H461" s="64" t="str">
        <f t="shared" si="263"/>
        <v/>
      </c>
      <c r="J461" s="63" t="str">
        <f t="shared" si="264"/>
        <v/>
      </c>
      <c r="K461" s="64" t="str">
        <f t="shared" si="265"/>
        <v/>
      </c>
      <c r="L461" s="63" t="str">
        <f t="shared" si="266"/>
        <v/>
      </c>
      <c r="M461" s="64" t="str">
        <f t="shared" si="267"/>
        <v/>
      </c>
      <c r="O461" s="63" t="str">
        <f t="shared" si="268"/>
        <v/>
      </c>
      <c r="P461" s="63" t="str">
        <f t="shared" si="269"/>
        <v/>
      </c>
      <c r="R461" s="63" t="str">
        <f t="shared" si="270"/>
        <v/>
      </c>
      <c r="S461" s="64" t="str">
        <f t="shared" si="271"/>
        <v/>
      </c>
      <c r="T461" s="63" t="str">
        <f t="shared" si="272"/>
        <v/>
      </c>
      <c r="U461" s="64" t="str">
        <f t="shared" si="273"/>
        <v/>
      </c>
      <c r="V461" s="207" t="str">
        <f>IF($A462="","",IF(AND(MONTH(A461)&gt;3,MONTH(A461)&lt;11),(T461+R461+G461)*Summary!$T$8/(1-Summary!$T$8),(T461+R461+G461)*Summary!$U$8/(1-Summary!$U$8)))</f>
        <v/>
      </c>
      <c r="W461" s="63" t="str">
        <f t="shared" si="274"/>
        <v/>
      </c>
      <c r="X461" s="63" t="str">
        <f t="shared" si="275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76"/>
        <v/>
      </c>
      <c r="AP461" s="33" t="str">
        <f t="shared" si="277"/>
        <v/>
      </c>
      <c r="AQ461" s="58" t="str">
        <f t="shared" si="278"/>
        <v/>
      </c>
      <c r="AR461" s="38">
        <f>'ANR OK vs ML7'!AR461</f>
        <v>0.1</v>
      </c>
      <c r="AS461" s="35" t="str">
        <f t="shared" si="279"/>
        <v/>
      </c>
      <c r="AT461" s="3" t="str">
        <f t="shared" si="280"/>
        <v/>
      </c>
      <c r="AU461" s="3" t="str">
        <f t="shared" si="281"/>
        <v/>
      </c>
      <c r="AW461" s="32" t="str">
        <f t="shared" si="282"/>
        <v/>
      </c>
      <c r="AX461" s="32" t="str">
        <f t="shared" si="283"/>
        <v/>
      </c>
      <c r="AY461" s="32" t="str">
        <f t="shared" si="284"/>
        <v/>
      </c>
      <c r="BA461" s="32" t="str">
        <f>IF($A462="","",F461*Summary!$Q$8)</f>
        <v/>
      </c>
    </row>
    <row r="462" spans="1:53">
      <c r="A462" s="67" t="str">
        <f t="shared" si="285"/>
        <v/>
      </c>
      <c r="B462" s="69">
        <f t="shared" si="286"/>
        <v>0</v>
      </c>
      <c r="D462" s="69" t="str">
        <f t="shared" si="259"/>
        <v/>
      </c>
      <c r="E462" s="70" t="str">
        <f t="shared" si="260"/>
        <v/>
      </c>
      <c r="F462" s="70" t="str">
        <f t="shared" si="261"/>
        <v/>
      </c>
      <c r="G462" s="63" t="str">
        <f t="shared" si="262"/>
        <v/>
      </c>
      <c r="H462" s="64" t="str">
        <f t="shared" si="263"/>
        <v/>
      </c>
      <c r="J462" s="63" t="str">
        <f t="shared" si="264"/>
        <v/>
      </c>
      <c r="K462" s="64" t="str">
        <f t="shared" si="265"/>
        <v/>
      </c>
      <c r="L462" s="63" t="str">
        <f t="shared" si="266"/>
        <v/>
      </c>
      <c r="M462" s="64" t="str">
        <f t="shared" si="267"/>
        <v/>
      </c>
      <c r="O462" s="63" t="str">
        <f t="shared" si="268"/>
        <v/>
      </c>
      <c r="P462" s="63" t="str">
        <f t="shared" si="269"/>
        <v/>
      </c>
      <c r="R462" s="63" t="str">
        <f t="shared" si="270"/>
        <v/>
      </c>
      <c r="S462" s="64" t="str">
        <f t="shared" si="271"/>
        <v/>
      </c>
      <c r="T462" s="63" t="str">
        <f t="shared" si="272"/>
        <v/>
      </c>
      <c r="U462" s="64" t="str">
        <f t="shared" si="273"/>
        <v/>
      </c>
      <c r="V462" s="207" t="str">
        <f>IF($A463="","",IF(AND(MONTH(A462)&gt;3,MONTH(A462)&lt;11),(T462+R462+G462)*Summary!$T$8/(1-Summary!$T$8),(T462+R462+G462)*Summary!$U$8/(1-Summary!$U$8)))</f>
        <v/>
      </c>
      <c r="W462" s="63" t="str">
        <f t="shared" si="274"/>
        <v/>
      </c>
      <c r="X462" s="63" t="str">
        <f t="shared" si="275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76"/>
        <v/>
      </c>
      <c r="AP462" s="33" t="str">
        <f t="shared" si="277"/>
        <v/>
      </c>
      <c r="AQ462" s="58" t="str">
        <f t="shared" si="278"/>
        <v/>
      </c>
      <c r="AR462" s="38">
        <f>'ANR OK vs ML7'!AR462</f>
        <v>0.1</v>
      </c>
      <c r="AS462" s="35" t="str">
        <f t="shared" si="279"/>
        <v/>
      </c>
      <c r="AT462" s="3" t="str">
        <f t="shared" si="280"/>
        <v/>
      </c>
      <c r="AU462" s="3" t="str">
        <f t="shared" si="281"/>
        <v/>
      </c>
      <c r="AW462" s="32" t="str">
        <f t="shared" si="282"/>
        <v/>
      </c>
      <c r="AX462" s="32" t="str">
        <f t="shared" si="283"/>
        <v/>
      </c>
      <c r="AY462" s="32" t="str">
        <f t="shared" si="284"/>
        <v/>
      </c>
      <c r="BA462" s="32" t="str">
        <f>IF($A463="","",F462*Summary!$Q$8)</f>
        <v/>
      </c>
    </row>
    <row r="463" spans="1:53">
      <c r="A463" s="67" t="str">
        <f t="shared" si="285"/>
        <v/>
      </c>
      <c r="B463" s="69">
        <f t="shared" si="286"/>
        <v>0</v>
      </c>
      <c r="D463" s="69" t="str">
        <f t="shared" si="259"/>
        <v/>
      </c>
      <c r="E463" s="70" t="str">
        <f t="shared" si="260"/>
        <v/>
      </c>
      <c r="F463" s="70" t="str">
        <f t="shared" si="261"/>
        <v/>
      </c>
      <c r="G463" s="63" t="str">
        <f t="shared" si="262"/>
        <v/>
      </c>
      <c r="H463" s="64" t="str">
        <f t="shared" si="263"/>
        <v/>
      </c>
      <c r="J463" s="63" t="str">
        <f t="shared" si="264"/>
        <v/>
      </c>
      <c r="K463" s="64" t="str">
        <f t="shared" si="265"/>
        <v/>
      </c>
      <c r="L463" s="63" t="str">
        <f t="shared" si="266"/>
        <v/>
      </c>
      <c r="M463" s="64" t="str">
        <f t="shared" si="267"/>
        <v/>
      </c>
      <c r="O463" s="63" t="str">
        <f t="shared" si="268"/>
        <v/>
      </c>
      <c r="P463" s="63" t="str">
        <f t="shared" si="269"/>
        <v/>
      </c>
      <c r="R463" s="63" t="str">
        <f t="shared" si="270"/>
        <v/>
      </c>
      <c r="S463" s="64" t="str">
        <f t="shared" si="271"/>
        <v/>
      </c>
      <c r="T463" s="63" t="str">
        <f t="shared" si="272"/>
        <v/>
      </c>
      <c r="U463" s="64" t="str">
        <f t="shared" si="273"/>
        <v/>
      </c>
      <c r="V463" s="207" t="str">
        <f>IF($A464="","",IF(AND(MONTH(A463)&gt;3,MONTH(A463)&lt;11),(T463+R463+G463)*Summary!$T$8/(1-Summary!$T$8),(T463+R463+G463)*Summary!$U$8/(1-Summary!$U$8)))</f>
        <v/>
      </c>
      <c r="W463" s="63" t="str">
        <f t="shared" si="274"/>
        <v/>
      </c>
      <c r="X463" s="63" t="str">
        <f t="shared" si="275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76"/>
        <v/>
      </c>
      <c r="AP463" s="33" t="str">
        <f t="shared" si="277"/>
        <v/>
      </c>
      <c r="AQ463" s="58" t="str">
        <f t="shared" si="278"/>
        <v/>
      </c>
      <c r="AR463" s="38">
        <f>'ANR OK vs ML7'!AR463</f>
        <v>0.1</v>
      </c>
      <c r="AS463" s="35" t="str">
        <f t="shared" si="279"/>
        <v/>
      </c>
      <c r="AT463" s="3" t="str">
        <f t="shared" si="280"/>
        <v/>
      </c>
      <c r="AU463" s="3" t="str">
        <f t="shared" si="281"/>
        <v/>
      </c>
      <c r="AW463" s="32" t="str">
        <f t="shared" si="282"/>
        <v/>
      </c>
      <c r="AX463" s="32" t="str">
        <f t="shared" si="283"/>
        <v/>
      </c>
      <c r="AY463" s="32" t="str">
        <f t="shared" si="284"/>
        <v/>
      </c>
      <c r="BA463" s="32" t="str">
        <f>IF($A464="","",F463*Summary!$Q$8)</f>
        <v/>
      </c>
    </row>
    <row r="464" spans="1:53">
      <c r="A464" s="67" t="str">
        <f t="shared" si="285"/>
        <v/>
      </c>
      <c r="B464" s="69">
        <f t="shared" si="286"/>
        <v>0</v>
      </c>
      <c r="D464" s="69" t="str">
        <f t="shared" si="259"/>
        <v/>
      </c>
      <c r="E464" s="70" t="str">
        <f t="shared" si="260"/>
        <v/>
      </c>
      <c r="F464" s="70" t="str">
        <f t="shared" si="261"/>
        <v/>
      </c>
      <c r="G464" s="63" t="str">
        <f t="shared" si="262"/>
        <v/>
      </c>
      <c r="H464" s="64" t="str">
        <f t="shared" si="263"/>
        <v/>
      </c>
      <c r="J464" s="63" t="str">
        <f t="shared" si="264"/>
        <v/>
      </c>
      <c r="K464" s="64" t="str">
        <f t="shared" si="265"/>
        <v/>
      </c>
      <c r="L464" s="63" t="str">
        <f t="shared" si="266"/>
        <v/>
      </c>
      <c r="M464" s="64" t="str">
        <f t="shared" si="267"/>
        <v/>
      </c>
      <c r="O464" s="63" t="str">
        <f t="shared" si="268"/>
        <v/>
      </c>
      <c r="P464" s="63" t="str">
        <f t="shared" si="269"/>
        <v/>
      </c>
      <c r="R464" s="63" t="str">
        <f t="shared" si="270"/>
        <v/>
      </c>
      <c r="S464" s="64" t="str">
        <f t="shared" si="271"/>
        <v/>
      </c>
      <c r="T464" s="63" t="str">
        <f t="shared" si="272"/>
        <v/>
      </c>
      <c r="U464" s="64" t="str">
        <f t="shared" si="273"/>
        <v/>
      </c>
      <c r="V464" s="207" t="str">
        <f>IF($A465="","",IF(AND(MONTH(A464)&gt;3,MONTH(A464)&lt;11),(T464+R464+G464)*Summary!$T$8/(1-Summary!$T$8),(T464+R464+G464)*Summary!$U$8/(1-Summary!$U$8)))</f>
        <v/>
      </c>
      <c r="W464" s="63" t="str">
        <f t="shared" si="274"/>
        <v/>
      </c>
      <c r="X464" s="63" t="str">
        <f t="shared" si="275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76"/>
        <v/>
      </c>
      <c r="AP464" s="33" t="str">
        <f t="shared" si="277"/>
        <v/>
      </c>
      <c r="AQ464" s="58" t="str">
        <f t="shared" si="278"/>
        <v/>
      </c>
      <c r="AR464" s="38">
        <f>'ANR OK vs ML7'!AR464</f>
        <v>0.1</v>
      </c>
      <c r="AS464" s="35" t="str">
        <f t="shared" si="279"/>
        <v/>
      </c>
      <c r="AT464" s="3" t="str">
        <f t="shared" si="280"/>
        <v/>
      </c>
      <c r="AU464" s="3" t="str">
        <f t="shared" si="281"/>
        <v/>
      </c>
      <c r="AW464" s="32" t="str">
        <f t="shared" si="282"/>
        <v/>
      </c>
      <c r="AX464" s="32" t="str">
        <f t="shared" si="283"/>
        <v/>
      </c>
      <c r="AY464" s="32" t="str">
        <f t="shared" si="284"/>
        <v/>
      </c>
      <c r="BA464" s="32" t="str">
        <f>IF($A465="","",F464*Summary!$Q$8)</f>
        <v/>
      </c>
    </row>
    <row r="465" spans="1:53">
      <c r="A465" s="67" t="str">
        <f t="shared" si="285"/>
        <v/>
      </c>
      <c r="B465" s="69">
        <f t="shared" si="286"/>
        <v>0</v>
      </c>
      <c r="D465" s="69" t="str">
        <f t="shared" si="259"/>
        <v/>
      </c>
      <c r="E465" s="70" t="str">
        <f t="shared" si="260"/>
        <v/>
      </c>
      <c r="F465" s="70" t="str">
        <f t="shared" si="261"/>
        <v/>
      </c>
      <c r="G465" s="63" t="str">
        <f t="shared" si="262"/>
        <v/>
      </c>
      <c r="H465" s="64" t="str">
        <f t="shared" si="263"/>
        <v/>
      </c>
      <c r="J465" s="63" t="str">
        <f t="shared" si="264"/>
        <v/>
      </c>
      <c r="K465" s="64" t="str">
        <f t="shared" si="265"/>
        <v/>
      </c>
      <c r="L465" s="63" t="str">
        <f t="shared" si="266"/>
        <v/>
      </c>
      <c r="M465" s="64" t="str">
        <f t="shared" si="267"/>
        <v/>
      </c>
      <c r="O465" s="63" t="str">
        <f t="shared" si="268"/>
        <v/>
      </c>
      <c r="P465" s="63" t="str">
        <f t="shared" si="269"/>
        <v/>
      </c>
      <c r="R465" s="63" t="str">
        <f t="shared" si="270"/>
        <v/>
      </c>
      <c r="S465" s="64" t="str">
        <f t="shared" si="271"/>
        <v/>
      </c>
      <c r="T465" s="63" t="str">
        <f t="shared" si="272"/>
        <v/>
      </c>
      <c r="U465" s="64" t="str">
        <f t="shared" si="273"/>
        <v/>
      </c>
      <c r="V465" s="207" t="str">
        <f>IF($A466="","",IF(AND(MONTH(A465)&gt;3,MONTH(A465)&lt;11),(T465+R465+G465)*Summary!$T$8/(1-Summary!$T$8),(T465+R465+G465)*Summary!$U$8/(1-Summary!$U$8)))</f>
        <v/>
      </c>
      <c r="W465" s="63" t="str">
        <f t="shared" si="274"/>
        <v/>
      </c>
      <c r="X465" s="63" t="str">
        <f t="shared" si="275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76"/>
        <v/>
      </c>
      <c r="AP465" s="33" t="str">
        <f t="shared" si="277"/>
        <v/>
      </c>
      <c r="AQ465" s="58" t="str">
        <f t="shared" si="278"/>
        <v/>
      </c>
      <c r="AR465" s="38">
        <f>'ANR OK vs ML7'!AR465</f>
        <v>0.1</v>
      </c>
      <c r="AS465" s="35" t="str">
        <f t="shared" si="279"/>
        <v/>
      </c>
      <c r="AT465" s="3" t="str">
        <f t="shared" si="280"/>
        <v/>
      </c>
      <c r="AU465" s="3" t="str">
        <f t="shared" si="281"/>
        <v/>
      </c>
      <c r="AW465" s="32" t="str">
        <f t="shared" si="282"/>
        <v/>
      </c>
      <c r="AX465" s="32" t="str">
        <f t="shared" si="283"/>
        <v/>
      </c>
      <c r="AY465" s="32" t="str">
        <f t="shared" si="284"/>
        <v/>
      </c>
      <c r="BA465" s="32" t="str">
        <f>IF($A466="","",F465*Summary!$Q$8)</f>
        <v/>
      </c>
    </row>
    <row r="466" spans="1:53">
      <c r="A466" s="67" t="str">
        <f t="shared" si="285"/>
        <v/>
      </c>
      <c r="B466" s="69">
        <f t="shared" si="286"/>
        <v>0</v>
      </c>
      <c r="D466" s="69" t="str">
        <f t="shared" si="259"/>
        <v/>
      </c>
      <c r="E466" s="70" t="str">
        <f t="shared" si="260"/>
        <v/>
      </c>
      <c r="F466" s="70" t="str">
        <f t="shared" si="261"/>
        <v/>
      </c>
      <c r="G466" s="63" t="str">
        <f t="shared" si="262"/>
        <v/>
      </c>
      <c r="H466" s="64" t="str">
        <f t="shared" si="263"/>
        <v/>
      </c>
      <c r="J466" s="63" t="str">
        <f t="shared" si="264"/>
        <v/>
      </c>
      <c r="K466" s="64" t="str">
        <f t="shared" si="265"/>
        <v/>
      </c>
      <c r="L466" s="63" t="str">
        <f t="shared" si="266"/>
        <v/>
      </c>
      <c r="M466" s="64" t="str">
        <f t="shared" si="267"/>
        <v/>
      </c>
      <c r="O466" s="63" t="str">
        <f t="shared" si="268"/>
        <v/>
      </c>
      <c r="P466" s="63" t="str">
        <f t="shared" si="269"/>
        <v/>
      </c>
      <c r="R466" s="63" t="str">
        <f t="shared" si="270"/>
        <v/>
      </c>
      <c r="S466" s="64" t="str">
        <f t="shared" si="271"/>
        <v/>
      </c>
      <c r="T466" s="63" t="str">
        <f t="shared" si="272"/>
        <v/>
      </c>
      <c r="U466" s="64" t="str">
        <f t="shared" si="273"/>
        <v/>
      </c>
      <c r="V466" s="207" t="str">
        <f>IF($A467="","",IF(AND(MONTH(A466)&gt;3,MONTH(A466)&lt;11),(T466+R466+G466)*Summary!$T$8/(1-Summary!$T$8),(T466+R466+G466)*Summary!$U$8/(1-Summary!$U$8)))</f>
        <v/>
      </c>
      <c r="W466" s="63" t="str">
        <f t="shared" si="274"/>
        <v/>
      </c>
      <c r="X466" s="63" t="str">
        <f t="shared" si="275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76"/>
        <v/>
      </c>
      <c r="AP466" s="33" t="str">
        <f t="shared" si="277"/>
        <v/>
      </c>
      <c r="AQ466" s="58" t="str">
        <f t="shared" si="278"/>
        <v/>
      </c>
      <c r="AR466" s="38">
        <f>'ANR OK vs ML7'!AR466</f>
        <v>0.1</v>
      </c>
      <c r="AS466" s="35" t="str">
        <f t="shared" si="279"/>
        <v/>
      </c>
      <c r="AT466" s="3" t="str">
        <f t="shared" si="280"/>
        <v/>
      </c>
      <c r="AU466" s="3" t="str">
        <f t="shared" si="281"/>
        <v/>
      </c>
      <c r="AW466" s="32" t="str">
        <f t="shared" si="282"/>
        <v/>
      </c>
      <c r="AX466" s="32" t="str">
        <f t="shared" si="283"/>
        <v/>
      </c>
      <c r="AY466" s="32" t="str">
        <f t="shared" si="284"/>
        <v/>
      </c>
      <c r="BA466" s="32" t="str">
        <f>IF($A467="","",F466*Summary!$Q$8)</f>
        <v/>
      </c>
    </row>
    <row r="467" spans="1:53">
      <c r="A467" s="67" t="str">
        <f t="shared" si="285"/>
        <v/>
      </c>
      <c r="B467" s="69">
        <f t="shared" si="286"/>
        <v>0</v>
      </c>
      <c r="D467" s="69" t="str">
        <f t="shared" si="259"/>
        <v/>
      </c>
      <c r="E467" s="70" t="str">
        <f t="shared" si="260"/>
        <v/>
      </c>
      <c r="F467" s="70" t="str">
        <f t="shared" si="261"/>
        <v/>
      </c>
      <c r="G467" s="63" t="str">
        <f t="shared" si="262"/>
        <v/>
      </c>
      <c r="H467" s="64" t="str">
        <f t="shared" si="263"/>
        <v/>
      </c>
      <c r="J467" s="63" t="str">
        <f t="shared" si="264"/>
        <v/>
      </c>
      <c r="K467" s="64" t="str">
        <f t="shared" si="265"/>
        <v/>
      </c>
      <c r="L467" s="63" t="str">
        <f t="shared" si="266"/>
        <v/>
      </c>
      <c r="M467" s="64" t="str">
        <f t="shared" si="267"/>
        <v/>
      </c>
      <c r="O467" s="63" t="str">
        <f t="shared" si="268"/>
        <v/>
      </c>
      <c r="P467" s="63" t="str">
        <f t="shared" si="269"/>
        <v/>
      </c>
      <c r="R467" s="63" t="str">
        <f t="shared" si="270"/>
        <v/>
      </c>
      <c r="S467" s="64" t="str">
        <f t="shared" si="271"/>
        <v/>
      </c>
      <c r="T467" s="63" t="str">
        <f t="shared" si="272"/>
        <v/>
      </c>
      <c r="U467" s="64" t="str">
        <f t="shared" si="273"/>
        <v/>
      </c>
      <c r="V467" s="207" t="str">
        <f>IF($A468="","",IF(AND(MONTH(A467)&gt;3,MONTH(A467)&lt;11),(T467+R467+G467)*Summary!$T$8/(1-Summary!$T$8),(T467+R467+G467)*Summary!$U$8/(1-Summary!$U$8)))</f>
        <v/>
      </c>
      <c r="W467" s="63" t="str">
        <f t="shared" si="274"/>
        <v/>
      </c>
      <c r="X467" s="63" t="str">
        <f t="shared" si="275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76"/>
        <v/>
      </c>
      <c r="AP467" s="33" t="str">
        <f t="shared" si="277"/>
        <v/>
      </c>
      <c r="AQ467" s="58" t="str">
        <f t="shared" si="278"/>
        <v/>
      </c>
      <c r="AR467" s="38">
        <f>'ANR OK vs ML7'!AR467</f>
        <v>0.1</v>
      </c>
      <c r="AS467" s="35" t="str">
        <f t="shared" si="279"/>
        <v/>
      </c>
      <c r="AT467" s="3" t="str">
        <f t="shared" si="280"/>
        <v/>
      </c>
      <c r="AU467" s="3" t="str">
        <f t="shared" si="281"/>
        <v/>
      </c>
      <c r="AW467" s="32" t="str">
        <f t="shared" si="282"/>
        <v/>
      </c>
      <c r="AX467" s="32" t="str">
        <f t="shared" si="283"/>
        <v/>
      </c>
      <c r="AY467" s="32" t="str">
        <f t="shared" si="284"/>
        <v/>
      </c>
      <c r="BA467" s="32" t="str">
        <f>IF($A468="","",F467*Summary!$Q$8)</f>
        <v/>
      </c>
    </row>
    <row r="468" spans="1:53">
      <c r="A468" s="67" t="str">
        <f t="shared" si="285"/>
        <v/>
      </c>
      <c r="B468" s="69">
        <f t="shared" si="286"/>
        <v>0</v>
      </c>
      <c r="D468" s="69" t="str">
        <f t="shared" si="259"/>
        <v/>
      </c>
      <c r="E468" s="70" t="str">
        <f t="shared" si="260"/>
        <v/>
      </c>
      <c r="F468" s="70" t="str">
        <f t="shared" si="261"/>
        <v/>
      </c>
      <c r="G468" s="63" t="str">
        <f t="shared" si="262"/>
        <v/>
      </c>
      <c r="H468" s="64" t="str">
        <f t="shared" si="263"/>
        <v/>
      </c>
      <c r="J468" s="63" t="str">
        <f t="shared" si="264"/>
        <v/>
      </c>
      <c r="K468" s="64" t="str">
        <f t="shared" si="265"/>
        <v/>
      </c>
      <c r="L468" s="63" t="str">
        <f t="shared" si="266"/>
        <v/>
      </c>
      <c r="M468" s="64" t="str">
        <f t="shared" si="267"/>
        <v/>
      </c>
      <c r="O468" s="63" t="str">
        <f t="shared" si="268"/>
        <v/>
      </c>
      <c r="P468" s="63" t="str">
        <f t="shared" si="269"/>
        <v/>
      </c>
      <c r="R468" s="63" t="str">
        <f t="shared" si="270"/>
        <v/>
      </c>
      <c r="S468" s="64" t="str">
        <f t="shared" si="271"/>
        <v/>
      </c>
      <c r="T468" s="63" t="str">
        <f t="shared" si="272"/>
        <v/>
      </c>
      <c r="U468" s="64" t="str">
        <f t="shared" si="273"/>
        <v/>
      </c>
      <c r="V468" s="207" t="str">
        <f>IF($A469="","",IF(AND(MONTH(A468)&gt;3,MONTH(A468)&lt;11),(T468+R468+G468)*Summary!$T$8/(1-Summary!$T$8),(T468+R468+G468)*Summary!$U$8/(1-Summary!$U$8)))</f>
        <v/>
      </c>
      <c r="W468" s="63" t="str">
        <f t="shared" si="274"/>
        <v/>
      </c>
      <c r="X468" s="63" t="str">
        <f t="shared" si="275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76"/>
        <v/>
      </c>
      <c r="AP468" s="33" t="str">
        <f t="shared" si="277"/>
        <v/>
      </c>
      <c r="AQ468" s="58" t="str">
        <f t="shared" si="278"/>
        <v/>
      </c>
      <c r="AR468" s="38">
        <f>'ANR OK vs ML7'!AR468</f>
        <v>0.1</v>
      </c>
      <c r="AS468" s="35" t="str">
        <f t="shared" si="279"/>
        <v/>
      </c>
      <c r="AT468" s="3" t="str">
        <f t="shared" si="280"/>
        <v/>
      </c>
      <c r="AU468" s="3" t="str">
        <f t="shared" si="281"/>
        <v/>
      </c>
      <c r="AW468" s="32" t="str">
        <f t="shared" si="282"/>
        <v/>
      </c>
      <c r="AX468" s="32" t="str">
        <f t="shared" si="283"/>
        <v/>
      </c>
      <c r="AY468" s="32" t="str">
        <f t="shared" si="284"/>
        <v/>
      </c>
      <c r="BA468" s="32" t="str">
        <f>IF($A469="","",F468*Summary!$Q$8)</f>
        <v/>
      </c>
    </row>
    <row r="469" spans="1:53">
      <c r="A469" s="67" t="str">
        <f t="shared" si="285"/>
        <v/>
      </c>
      <c r="B469" s="69">
        <f t="shared" si="286"/>
        <v>0</v>
      </c>
      <c r="D469" s="69" t="str">
        <f t="shared" si="259"/>
        <v/>
      </c>
      <c r="E469" s="70" t="str">
        <f t="shared" si="260"/>
        <v/>
      </c>
      <c r="F469" s="70" t="str">
        <f t="shared" si="261"/>
        <v/>
      </c>
      <c r="G469" s="63" t="str">
        <f t="shared" si="262"/>
        <v/>
      </c>
      <c r="H469" s="64" t="str">
        <f t="shared" si="263"/>
        <v/>
      </c>
      <c r="J469" s="63" t="str">
        <f t="shared" si="264"/>
        <v/>
      </c>
      <c r="K469" s="64" t="str">
        <f t="shared" si="265"/>
        <v/>
      </c>
      <c r="L469" s="63" t="str">
        <f t="shared" si="266"/>
        <v/>
      </c>
      <c r="M469" s="64" t="str">
        <f t="shared" si="267"/>
        <v/>
      </c>
      <c r="O469" s="63" t="str">
        <f t="shared" si="268"/>
        <v/>
      </c>
      <c r="P469" s="63" t="str">
        <f t="shared" si="269"/>
        <v/>
      </c>
      <c r="R469" s="63" t="str">
        <f t="shared" si="270"/>
        <v/>
      </c>
      <c r="S469" s="64" t="str">
        <f t="shared" si="271"/>
        <v/>
      </c>
      <c r="T469" s="63" t="str">
        <f t="shared" si="272"/>
        <v/>
      </c>
      <c r="U469" s="64" t="str">
        <f t="shared" si="273"/>
        <v/>
      </c>
      <c r="V469" s="207" t="str">
        <f>IF($A470="","",IF(AND(MONTH(A469)&gt;3,MONTH(A469)&lt;11),(T469+R469+G469)*Summary!$T$8/(1-Summary!$T$8),(T469+R469+G469)*Summary!$U$8/(1-Summary!$U$8)))</f>
        <v/>
      </c>
      <c r="W469" s="63" t="str">
        <f t="shared" si="274"/>
        <v/>
      </c>
      <c r="X469" s="63" t="str">
        <f t="shared" si="275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76"/>
        <v/>
      </c>
      <c r="AP469" s="33" t="str">
        <f t="shared" si="277"/>
        <v/>
      </c>
      <c r="AQ469" s="58" t="str">
        <f t="shared" si="278"/>
        <v/>
      </c>
      <c r="AR469" s="38">
        <f>'ANR OK vs ML7'!AR469</f>
        <v>0.1</v>
      </c>
      <c r="AS469" s="35" t="str">
        <f t="shared" si="279"/>
        <v/>
      </c>
      <c r="AT469" s="3" t="str">
        <f t="shared" si="280"/>
        <v/>
      </c>
      <c r="AU469" s="3" t="str">
        <f t="shared" si="281"/>
        <v/>
      </c>
      <c r="AW469" s="32" t="str">
        <f t="shared" si="282"/>
        <v/>
      </c>
      <c r="AX469" s="32" t="str">
        <f t="shared" si="283"/>
        <v/>
      </c>
      <c r="AY469" s="32" t="str">
        <f t="shared" si="284"/>
        <v/>
      </c>
      <c r="BA469" s="32" t="str">
        <f>IF($A470="","",F469*Summary!$Q$8)</f>
        <v/>
      </c>
    </row>
    <row r="470" spans="1:53">
      <c r="A470" s="67" t="str">
        <f t="shared" si="285"/>
        <v/>
      </c>
      <c r="B470" s="69">
        <f t="shared" si="286"/>
        <v>0</v>
      </c>
      <c r="D470" s="69" t="str">
        <f t="shared" si="259"/>
        <v/>
      </c>
      <c r="E470" s="70" t="str">
        <f t="shared" si="260"/>
        <v/>
      </c>
      <c r="F470" s="70" t="str">
        <f t="shared" si="261"/>
        <v/>
      </c>
      <c r="G470" s="63" t="str">
        <f t="shared" si="262"/>
        <v/>
      </c>
      <c r="H470" s="64" t="str">
        <f t="shared" si="263"/>
        <v/>
      </c>
      <c r="J470" s="63" t="str">
        <f t="shared" si="264"/>
        <v/>
      </c>
      <c r="K470" s="64" t="str">
        <f t="shared" si="265"/>
        <v/>
      </c>
      <c r="L470" s="63" t="str">
        <f t="shared" si="266"/>
        <v/>
      </c>
      <c r="M470" s="64" t="str">
        <f t="shared" si="267"/>
        <v/>
      </c>
      <c r="O470" s="63" t="str">
        <f t="shared" si="268"/>
        <v/>
      </c>
      <c r="P470" s="63" t="str">
        <f t="shared" si="269"/>
        <v/>
      </c>
      <c r="R470" s="63" t="str">
        <f t="shared" si="270"/>
        <v/>
      </c>
      <c r="S470" s="64" t="str">
        <f t="shared" si="271"/>
        <v/>
      </c>
      <c r="T470" s="63" t="str">
        <f t="shared" si="272"/>
        <v/>
      </c>
      <c r="U470" s="64" t="str">
        <f t="shared" si="273"/>
        <v/>
      </c>
      <c r="V470" s="207" t="str">
        <f>IF($A471="","",IF(AND(MONTH(A470)&gt;3,MONTH(A470)&lt;11),(T470+R470+G470)*Summary!$T$8/(1-Summary!$T$8),(T470+R470+G470)*Summary!$U$8/(1-Summary!$U$8)))</f>
        <v/>
      </c>
      <c r="W470" s="63" t="str">
        <f t="shared" si="274"/>
        <v/>
      </c>
      <c r="X470" s="63" t="str">
        <f t="shared" si="275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76"/>
        <v/>
      </c>
      <c r="AP470" s="33" t="str">
        <f t="shared" si="277"/>
        <v/>
      </c>
      <c r="AQ470" s="58" t="str">
        <f t="shared" si="278"/>
        <v/>
      </c>
      <c r="AR470" s="38">
        <f>'ANR OK vs ML7'!AR470</f>
        <v>0.1</v>
      </c>
      <c r="AS470" s="35" t="str">
        <f t="shared" si="279"/>
        <v/>
      </c>
      <c r="AT470" s="3" t="str">
        <f t="shared" si="280"/>
        <v/>
      </c>
      <c r="AU470" s="3" t="str">
        <f t="shared" si="281"/>
        <v/>
      </c>
      <c r="AW470" s="32" t="str">
        <f t="shared" si="282"/>
        <v/>
      </c>
      <c r="AX470" s="32" t="str">
        <f t="shared" si="283"/>
        <v/>
      </c>
      <c r="AY470" s="32" t="str">
        <f t="shared" si="284"/>
        <v/>
      </c>
      <c r="BA470" s="32" t="str">
        <f>IF($A471="","",F470*Summary!$Q$8)</f>
        <v/>
      </c>
    </row>
    <row r="471" spans="1:53">
      <c r="A471" s="67" t="str">
        <f t="shared" si="285"/>
        <v/>
      </c>
      <c r="B471" s="69">
        <f t="shared" si="286"/>
        <v>0</v>
      </c>
      <c r="D471" s="69" t="str">
        <f t="shared" si="259"/>
        <v/>
      </c>
      <c r="E471" s="70" t="str">
        <f t="shared" si="260"/>
        <v/>
      </c>
      <c r="F471" s="70" t="str">
        <f t="shared" si="261"/>
        <v/>
      </c>
      <c r="G471" s="63" t="str">
        <f t="shared" si="262"/>
        <v/>
      </c>
      <c r="H471" s="64" t="str">
        <f t="shared" si="263"/>
        <v/>
      </c>
      <c r="J471" s="63" t="str">
        <f t="shared" si="264"/>
        <v/>
      </c>
      <c r="K471" s="64" t="str">
        <f t="shared" si="265"/>
        <v/>
      </c>
      <c r="L471" s="63" t="str">
        <f t="shared" si="266"/>
        <v/>
      </c>
      <c r="M471" s="64" t="str">
        <f t="shared" si="267"/>
        <v/>
      </c>
      <c r="O471" s="63" t="str">
        <f t="shared" si="268"/>
        <v/>
      </c>
      <c r="P471" s="63" t="str">
        <f t="shared" si="269"/>
        <v/>
      </c>
      <c r="R471" s="63" t="str">
        <f t="shared" si="270"/>
        <v/>
      </c>
      <c r="S471" s="64" t="str">
        <f t="shared" si="271"/>
        <v/>
      </c>
      <c r="T471" s="63" t="str">
        <f t="shared" si="272"/>
        <v/>
      </c>
      <c r="U471" s="64" t="str">
        <f t="shared" si="273"/>
        <v/>
      </c>
      <c r="V471" s="207" t="str">
        <f>IF($A472="","",IF(AND(MONTH(A471)&gt;3,MONTH(A471)&lt;11),(T471+R471+G471)*Summary!$T$8/(1-Summary!$T$8),(T471+R471+G471)*Summary!$U$8/(1-Summary!$U$8)))</f>
        <v/>
      </c>
      <c r="W471" s="63" t="str">
        <f t="shared" si="274"/>
        <v/>
      </c>
      <c r="X471" s="63" t="str">
        <f t="shared" si="275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76"/>
        <v/>
      </c>
      <c r="AP471" s="33" t="str">
        <f t="shared" si="277"/>
        <v/>
      </c>
      <c r="AQ471" s="58" t="str">
        <f t="shared" si="278"/>
        <v/>
      </c>
      <c r="AR471" s="38">
        <f>'ANR OK vs ML7'!AR471</f>
        <v>0.1</v>
      </c>
      <c r="AS471" s="35" t="str">
        <f t="shared" si="279"/>
        <v/>
      </c>
      <c r="AT471" s="3" t="str">
        <f t="shared" si="280"/>
        <v/>
      </c>
      <c r="AU471" s="3" t="str">
        <f t="shared" si="281"/>
        <v/>
      </c>
      <c r="AW471" s="32" t="str">
        <f t="shared" si="282"/>
        <v/>
      </c>
      <c r="AX471" s="32" t="str">
        <f t="shared" si="283"/>
        <v/>
      </c>
      <c r="AY471" s="32" t="str">
        <f t="shared" si="284"/>
        <v/>
      </c>
      <c r="BA471" s="32" t="str">
        <f>IF($A472="","",F471*Summary!$Q$8)</f>
        <v/>
      </c>
    </row>
    <row r="472" spans="1:53">
      <c r="A472" s="67" t="str">
        <f t="shared" si="285"/>
        <v/>
      </c>
      <c r="B472" s="69">
        <f t="shared" si="286"/>
        <v>0</v>
      </c>
      <c r="D472" s="69" t="str">
        <f t="shared" si="259"/>
        <v/>
      </c>
      <c r="E472" s="70" t="str">
        <f t="shared" si="260"/>
        <v/>
      </c>
      <c r="F472" s="70" t="str">
        <f t="shared" si="261"/>
        <v/>
      </c>
      <c r="G472" s="63" t="str">
        <f t="shared" si="262"/>
        <v/>
      </c>
      <c r="H472" s="64" t="str">
        <f t="shared" si="263"/>
        <v/>
      </c>
      <c r="J472" s="63" t="str">
        <f t="shared" si="264"/>
        <v/>
      </c>
      <c r="K472" s="64" t="str">
        <f t="shared" si="265"/>
        <v/>
      </c>
      <c r="L472" s="63" t="str">
        <f t="shared" si="266"/>
        <v/>
      </c>
      <c r="M472" s="64" t="str">
        <f t="shared" si="267"/>
        <v/>
      </c>
      <c r="O472" s="63" t="str">
        <f t="shared" si="268"/>
        <v/>
      </c>
      <c r="P472" s="63" t="str">
        <f t="shared" si="269"/>
        <v/>
      </c>
      <c r="R472" s="63" t="str">
        <f t="shared" si="270"/>
        <v/>
      </c>
      <c r="S472" s="64" t="str">
        <f t="shared" si="271"/>
        <v/>
      </c>
      <c r="T472" s="63" t="str">
        <f t="shared" si="272"/>
        <v/>
      </c>
      <c r="U472" s="64" t="str">
        <f t="shared" si="273"/>
        <v/>
      </c>
      <c r="V472" s="207" t="str">
        <f>IF($A473="","",IF(AND(MONTH(A472)&gt;3,MONTH(A472)&lt;11),(T472+R472+G472)*Summary!$T$8/(1-Summary!$T$8),(T472+R472+G472)*Summary!$U$8/(1-Summary!$U$8)))</f>
        <v/>
      </c>
      <c r="W472" s="63" t="str">
        <f t="shared" si="274"/>
        <v/>
      </c>
      <c r="X472" s="63" t="str">
        <f t="shared" si="275"/>
        <v/>
      </c>
      <c r="Y472" s="43"/>
      <c r="AJ472" s="86"/>
      <c r="AK472" s="86"/>
      <c r="AL472" s="86"/>
      <c r="AM472" s="86"/>
      <c r="AN472" s="86"/>
      <c r="AO472" s="3" t="str">
        <f t="shared" si="276"/>
        <v/>
      </c>
      <c r="AP472" s="33" t="str">
        <f t="shared" si="277"/>
        <v/>
      </c>
      <c r="AQ472" s="58" t="str">
        <f t="shared" si="278"/>
        <v/>
      </c>
      <c r="AR472" s="38">
        <f>'ANR OK vs ML7'!AR472</f>
        <v>0.1</v>
      </c>
      <c r="AS472" s="35" t="str">
        <f t="shared" si="279"/>
        <v/>
      </c>
      <c r="AT472" s="3" t="str">
        <f t="shared" si="280"/>
        <v/>
      </c>
      <c r="AU472" s="3" t="str">
        <f t="shared" si="281"/>
        <v/>
      </c>
      <c r="AW472" s="32" t="str">
        <f t="shared" si="282"/>
        <v/>
      </c>
      <c r="AX472" s="32" t="str">
        <f t="shared" si="283"/>
        <v/>
      </c>
      <c r="AY472" s="32" t="str">
        <f t="shared" si="284"/>
        <v/>
      </c>
      <c r="BA472" s="32" t="str">
        <f>IF($A473="","",F472*Summary!$Q$8)</f>
        <v/>
      </c>
    </row>
    <row r="473" spans="1:53">
      <c r="A473" s="67" t="str">
        <f t="shared" si="285"/>
        <v/>
      </c>
      <c r="B473" s="69">
        <f t="shared" si="286"/>
        <v>0</v>
      </c>
      <c r="D473" s="69" t="str">
        <f t="shared" si="259"/>
        <v/>
      </c>
      <c r="E473" s="70" t="str">
        <f t="shared" si="260"/>
        <v/>
      </c>
      <c r="F473" s="70" t="str">
        <f t="shared" si="261"/>
        <v/>
      </c>
      <c r="G473" s="63" t="str">
        <f t="shared" si="262"/>
        <v/>
      </c>
      <c r="H473" s="64" t="str">
        <f t="shared" si="263"/>
        <v/>
      </c>
      <c r="J473" s="63" t="str">
        <f t="shared" si="264"/>
        <v/>
      </c>
      <c r="K473" s="64" t="str">
        <f t="shared" si="265"/>
        <v/>
      </c>
      <c r="L473" s="63" t="str">
        <f t="shared" si="266"/>
        <v/>
      </c>
      <c r="M473" s="64" t="str">
        <f t="shared" si="267"/>
        <v/>
      </c>
      <c r="O473" s="63" t="str">
        <f t="shared" si="268"/>
        <v/>
      </c>
      <c r="P473" s="63" t="str">
        <f t="shared" si="269"/>
        <v/>
      </c>
      <c r="R473" s="63" t="str">
        <f t="shared" si="270"/>
        <v/>
      </c>
      <c r="S473" s="64" t="str">
        <f t="shared" si="271"/>
        <v/>
      </c>
      <c r="T473" s="63" t="str">
        <f t="shared" si="272"/>
        <v/>
      </c>
      <c r="U473" s="64" t="str">
        <f t="shared" si="273"/>
        <v/>
      </c>
      <c r="V473" s="207" t="str">
        <f>IF($A474="","",IF(AND(MONTH(A473)&gt;3,MONTH(A473)&lt;11),(T473+R473+G473)*Summary!$T$8/(1-Summary!$T$8),(T473+R473+G473)*Summary!$U$8/(1-Summary!$U$8)))</f>
        <v/>
      </c>
      <c r="W473" s="63" t="str">
        <f t="shared" si="274"/>
        <v/>
      </c>
      <c r="X473" s="63" t="str">
        <f t="shared" si="275"/>
        <v/>
      </c>
      <c r="Y473" s="43"/>
      <c r="AJ473" s="86"/>
      <c r="AK473" s="86"/>
      <c r="AL473" s="86"/>
      <c r="AM473" s="86"/>
      <c r="AN473" s="86"/>
      <c r="AO473" s="3" t="str">
        <f t="shared" si="276"/>
        <v/>
      </c>
      <c r="AP473" s="33" t="str">
        <f t="shared" si="277"/>
        <v/>
      </c>
      <c r="AQ473" s="58" t="str">
        <f t="shared" si="278"/>
        <v/>
      </c>
      <c r="AR473" s="38">
        <f>'ANR OK vs ML7'!AR473</f>
        <v>0.1</v>
      </c>
      <c r="AS473" s="35" t="str">
        <f t="shared" si="279"/>
        <v/>
      </c>
      <c r="AT473" s="3" t="str">
        <f t="shared" si="280"/>
        <v/>
      </c>
      <c r="AU473" s="3" t="str">
        <f t="shared" si="281"/>
        <v/>
      </c>
      <c r="AW473" s="32" t="str">
        <f t="shared" si="282"/>
        <v/>
      </c>
      <c r="AX473" s="32" t="str">
        <f t="shared" si="283"/>
        <v/>
      </c>
      <c r="AY473" s="32" t="str">
        <f t="shared" si="284"/>
        <v/>
      </c>
      <c r="BA473" s="32" t="str">
        <f>IF($A474="","",F473*Summary!$Q$8)</f>
        <v/>
      </c>
    </row>
    <row r="474" spans="1:53">
      <c r="A474" s="67" t="str">
        <f t="shared" si="285"/>
        <v/>
      </c>
      <c r="B474" s="69">
        <f t="shared" si="286"/>
        <v>0</v>
      </c>
      <c r="D474" s="69" t="str">
        <f t="shared" si="259"/>
        <v/>
      </c>
      <c r="E474" s="70" t="str">
        <f t="shared" si="260"/>
        <v/>
      </c>
      <c r="F474" s="70" t="str">
        <f t="shared" si="261"/>
        <v/>
      </c>
      <c r="G474" s="63" t="str">
        <f t="shared" si="262"/>
        <v/>
      </c>
      <c r="H474" s="64" t="str">
        <f t="shared" si="263"/>
        <v/>
      </c>
      <c r="J474" s="63" t="str">
        <f t="shared" si="264"/>
        <v/>
      </c>
      <c r="K474" s="64" t="str">
        <f t="shared" si="265"/>
        <v/>
      </c>
      <c r="L474" s="63" t="str">
        <f t="shared" si="266"/>
        <v/>
      </c>
      <c r="M474" s="64" t="str">
        <f t="shared" si="267"/>
        <v/>
      </c>
      <c r="O474" s="63" t="str">
        <f t="shared" si="268"/>
        <v/>
      </c>
      <c r="P474" s="63" t="str">
        <f t="shared" si="269"/>
        <v/>
      </c>
      <c r="R474" s="63" t="str">
        <f t="shared" si="270"/>
        <v/>
      </c>
      <c r="S474" s="64" t="str">
        <f t="shared" si="271"/>
        <v/>
      </c>
      <c r="T474" s="63" t="str">
        <f t="shared" si="272"/>
        <v/>
      </c>
      <c r="U474" s="64" t="str">
        <f t="shared" si="273"/>
        <v/>
      </c>
      <c r="V474" s="207" t="str">
        <f>IF($A475="","",IF(AND(MONTH(A474)&gt;3,MONTH(A474)&lt;11),(T474+R474+G474)*Summary!$T$8/(1-Summary!$T$8),(T474+R474+G474)*Summary!$U$8/(1-Summary!$U$8)))</f>
        <v/>
      </c>
      <c r="W474" s="63" t="str">
        <f t="shared" si="274"/>
        <v/>
      </c>
      <c r="X474" s="63" t="str">
        <f t="shared" si="275"/>
        <v/>
      </c>
      <c r="Y474" s="43"/>
      <c r="AJ474" s="86"/>
      <c r="AK474" s="86"/>
      <c r="AL474" s="86"/>
      <c r="AM474" s="86"/>
      <c r="AN474" s="86"/>
      <c r="AO474" s="3" t="str">
        <f t="shared" si="276"/>
        <v/>
      </c>
      <c r="AP474" s="33" t="str">
        <f t="shared" si="277"/>
        <v/>
      </c>
      <c r="AQ474" s="58" t="str">
        <f t="shared" si="278"/>
        <v/>
      </c>
      <c r="AR474" s="38">
        <f>'ANR OK vs ML7'!AR474</f>
        <v>0.1</v>
      </c>
      <c r="AS474" s="35" t="str">
        <f t="shared" si="279"/>
        <v/>
      </c>
      <c r="AT474" s="3" t="str">
        <f t="shared" si="280"/>
        <v/>
      </c>
      <c r="AU474" s="3" t="str">
        <f t="shared" si="281"/>
        <v/>
      </c>
      <c r="AW474" s="32" t="str">
        <f t="shared" si="282"/>
        <v/>
      </c>
      <c r="AX474" s="32" t="str">
        <f t="shared" si="283"/>
        <v/>
      </c>
      <c r="AY474" s="32" t="str">
        <f t="shared" si="284"/>
        <v/>
      </c>
      <c r="BA474" s="32" t="str">
        <f>IF($A475="","",F474*Summary!$Q$8)</f>
        <v/>
      </c>
    </row>
    <row r="475" spans="1:53">
      <c r="A475" s="67" t="str">
        <f t="shared" si="285"/>
        <v/>
      </c>
      <c r="B475" s="69">
        <f t="shared" si="286"/>
        <v>0</v>
      </c>
      <c r="D475" s="69" t="str">
        <f t="shared" si="259"/>
        <v/>
      </c>
      <c r="E475" s="70" t="str">
        <f t="shared" si="260"/>
        <v/>
      </c>
      <c r="F475" s="70" t="str">
        <f t="shared" si="261"/>
        <v/>
      </c>
      <c r="G475" s="63" t="str">
        <f t="shared" si="262"/>
        <v/>
      </c>
      <c r="H475" s="64" t="str">
        <f t="shared" si="263"/>
        <v/>
      </c>
      <c r="J475" s="63" t="str">
        <f t="shared" si="264"/>
        <v/>
      </c>
      <c r="K475" s="64" t="str">
        <f t="shared" si="265"/>
        <v/>
      </c>
      <c r="L475" s="63" t="str">
        <f t="shared" si="266"/>
        <v/>
      </c>
      <c r="M475" s="64" t="str">
        <f t="shared" si="267"/>
        <v/>
      </c>
      <c r="O475" s="63" t="str">
        <f t="shared" si="268"/>
        <v/>
      </c>
      <c r="P475" s="63" t="str">
        <f t="shared" si="269"/>
        <v/>
      </c>
      <c r="R475" s="63" t="str">
        <f t="shared" si="270"/>
        <v/>
      </c>
      <c r="S475" s="64" t="str">
        <f t="shared" si="271"/>
        <v/>
      </c>
      <c r="T475" s="63" t="str">
        <f t="shared" si="272"/>
        <v/>
      </c>
      <c r="U475" s="64" t="str">
        <f t="shared" si="273"/>
        <v/>
      </c>
      <c r="V475" s="207" t="str">
        <f>IF($A476="","",IF(AND(MONTH(A475)&gt;3,MONTH(A475)&lt;11),(T475+R475+G475)*Summary!$T$8/(1-Summary!$T$8),(T475+R475+G475)*Summary!$U$8/(1-Summary!$U$8)))</f>
        <v/>
      </c>
      <c r="W475" s="63" t="str">
        <f t="shared" si="274"/>
        <v/>
      </c>
      <c r="X475" s="63" t="str">
        <f t="shared" si="275"/>
        <v/>
      </c>
      <c r="Y475" s="43"/>
      <c r="AJ475" s="86"/>
      <c r="AK475" s="86"/>
      <c r="AL475" s="86"/>
      <c r="AM475" s="86"/>
      <c r="AN475" s="86"/>
      <c r="AO475" s="3" t="str">
        <f t="shared" si="276"/>
        <v/>
      </c>
      <c r="AP475" s="33" t="str">
        <f t="shared" si="277"/>
        <v/>
      </c>
      <c r="AQ475" s="58" t="str">
        <f t="shared" si="278"/>
        <v/>
      </c>
      <c r="AR475" s="38">
        <f>'ANR OK vs ML7'!AR475</f>
        <v>0.1</v>
      </c>
      <c r="AS475" s="35" t="str">
        <f t="shared" si="279"/>
        <v/>
      </c>
      <c r="AT475" s="3" t="str">
        <f t="shared" si="280"/>
        <v/>
      </c>
      <c r="AU475" s="3" t="str">
        <f t="shared" si="281"/>
        <v/>
      </c>
      <c r="AW475" s="32" t="str">
        <f t="shared" si="282"/>
        <v/>
      </c>
      <c r="AX475" s="32" t="str">
        <f t="shared" si="283"/>
        <v/>
      </c>
      <c r="AY475" s="32" t="str">
        <f t="shared" si="284"/>
        <v/>
      </c>
      <c r="BA475" s="32" t="str">
        <f>IF($A476="","",F475*Summary!$Q$8)</f>
        <v/>
      </c>
    </row>
    <row r="476" spans="1:53">
      <c r="A476" s="67" t="str">
        <f t="shared" si="285"/>
        <v/>
      </c>
      <c r="B476" s="69">
        <f t="shared" si="286"/>
        <v>0</v>
      </c>
      <c r="D476" s="69" t="str">
        <f t="shared" si="259"/>
        <v/>
      </c>
      <c r="E476" s="70" t="str">
        <f t="shared" si="260"/>
        <v/>
      </c>
      <c r="F476" s="70" t="str">
        <f t="shared" si="261"/>
        <v/>
      </c>
      <c r="G476" s="63" t="str">
        <f t="shared" si="262"/>
        <v/>
      </c>
      <c r="H476" s="64" t="str">
        <f t="shared" si="263"/>
        <v/>
      </c>
      <c r="J476" s="63" t="str">
        <f t="shared" si="264"/>
        <v/>
      </c>
      <c r="K476" s="64" t="str">
        <f t="shared" si="265"/>
        <v/>
      </c>
      <c r="L476" s="63" t="str">
        <f t="shared" si="266"/>
        <v/>
      </c>
      <c r="M476" s="64" t="str">
        <f t="shared" si="267"/>
        <v/>
      </c>
      <c r="O476" s="63" t="str">
        <f t="shared" si="268"/>
        <v/>
      </c>
      <c r="P476" s="63" t="str">
        <f t="shared" si="269"/>
        <v/>
      </c>
      <c r="R476" s="63" t="str">
        <f t="shared" si="270"/>
        <v/>
      </c>
      <c r="S476" s="64" t="str">
        <f t="shared" si="271"/>
        <v/>
      </c>
      <c r="T476" s="63" t="str">
        <f t="shared" si="272"/>
        <v/>
      </c>
      <c r="U476" s="64" t="str">
        <f t="shared" si="273"/>
        <v/>
      </c>
      <c r="V476" s="207" t="str">
        <f>IF($A477="","",IF(AND(MONTH(A476)&gt;3,MONTH(A476)&lt;11),(T476+R476+G476)*Summary!$T$8/(1-Summary!$T$8),(T476+R476+G476)*Summary!$U$8/(1-Summary!$U$8)))</f>
        <v/>
      </c>
      <c r="W476" s="63" t="str">
        <f t="shared" si="274"/>
        <v/>
      </c>
      <c r="X476" s="63" t="str">
        <f t="shared" si="275"/>
        <v/>
      </c>
      <c r="Y476" s="43"/>
      <c r="AJ476" s="86"/>
      <c r="AK476" s="86"/>
      <c r="AL476" s="86"/>
      <c r="AM476" s="86"/>
      <c r="AN476" s="86"/>
      <c r="AO476" s="3" t="str">
        <f t="shared" si="276"/>
        <v/>
      </c>
      <c r="AP476" s="33" t="str">
        <f t="shared" si="277"/>
        <v/>
      </c>
      <c r="AQ476" s="58" t="str">
        <f t="shared" si="278"/>
        <v/>
      </c>
      <c r="AR476" s="38">
        <f>'ANR OK vs ML7'!AR476</f>
        <v>0.1</v>
      </c>
      <c r="AS476" s="35" t="str">
        <f t="shared" si="279"/>
        <v/>
      </c>
      <c r="AT476" s="3" t="str">
        <f t="shared" si="280"/>
        <v/>
      </c>
      <c r="AU476" s="3" t="str">
        <f t="shared" si="281"/>
        <v/>
      </c>
      <c r="AW476" s="32" t="str">
        <f t="shared" si="282"/>
        <v/>
      </c>
      <c r="AX476" s="32" t="str">
        <f t="shared" si="283"/>
        <v/>
      </c>
      <c r="AY476" s="32" t="str">
        <f t="shared" si="284"/>
        <v/>
      </c>
      <c r="BA476" s="32" t="str">
        <f>IF($A477="","",F476*Summary!$Q$8)</f>
        <v/>
      </c>
    </row>
    <row r="477" spans="1:53">
      <c r="A477" s="67" t="str">
        <f t="shared" si="285"/>
        <v/>
      </c>
      <c r="B477" s="69">
        <f t="shared" si="286"/>
        <v>0</v>
      </c>
      <c r="D477" s="69" t="str">
        <f t="shared" si="259"/>
        <v/>
      </c>
      <c r="E477" s="70" t="str">
        <f t="shared" si="260"/>
        <v/>
      </c>
      <c r="F477" s="70" t="str">
        <f t="shared" si="261"/>
        <v/>
      </c>
      <c r="G477" s="63" t="str">
        <f t="shared" si="262"/>
        <v/>
      </c>
      <c r="H477" s="64" t="str">
        <f t="shared" si="263"/>
        <v/>
      </c>
      <c r="J477" s="63" t="str">
        <f t="shared" si="264"/>
        <v/>
      </c>
      <c r="K477" s="64" t="str">
        <f t="shared" si="265"/>
        <v/>
      </c>
      <c r="L477" s="63" t="str">
        <f t="shared" si="266"/>
        <v/>
      </c>
      <c r="M477" s="64" t="str">
        <f t="shared" si="267"/>
        <v/>
      </c>
      <c r="O477" s="63" t="str">
        <f t="shared" si="268"/>
        <v/>
      </c>
      <c r="P477" s="63" t="str">
        <f t="shared" si="269"/>
        <v/>
      </c>
      <c r="R477" s="63" t="str">
        <f t="shared" si="270"/>
        <v/>
      </c>
      <c r="S477" s="64" t="str">
        <f t="shared" si="271"/>
        <v/>
      </c>
      <c r="T477" s="63" t="str">
        <f t="shared" si="272"/>
        <v/>
      </c>
      <c r="U477" s="64" t="str">
        <f t="shared" si="273"/>
        <v/>
      </c>
      <c r="V477" s="207" t="str">
        <f>IF($A478="","",IF(AND(MONTH(A477)&gt;3,MONTH(A477)&lt;11),(T477+R477+G477)*Summary!$T$8/(1-Summary!$T$8),(T477+R477+G477)*Summary!$U$8/(1-Summary!$U$8)))</f>
        <v/>
      </c>
      <c r="W477" s="63" t="str">
        <f t="shared" si="274"/>
        <v/>
      </c>
      <c r="X477" s="63" t="str">
        <f t="shared" si="275"/>
        <v/>
      </c>
      <c r="Y477" s="43"/>
      <c r="AJ477" s="86"/>
      <c r="AK477" s="86"/>
      <c r="AL477" s="86"/>
      <c r="AM477" s="86"/>
      <c r="AN477" s="86"/>
      <c r="AO477" s="3" t="str">
        <f t="shared" si="276"/>
        <v/>
      </c>
      <c r="AP477" s="33" t="str">
        <f t="shared" si="277"/>
        <v/>
      </c>
      <c r="AQ477" s="58" t="str">
        <f t="shared" si="278"/>
        <v/>
      </c>
      <c r="AR477" s="38">
        <f>'ANR OK vs ML7'!AR477</f>
        <v>0.1</v>
      </c>
      <c r="AS477" s="35" t="str">
        <f t="shared" si="279"/>
        <v/>
      </c>
      <c r="AT477" s="3" t="str">
        <f t="shared" si="280"/>
        <v/>
      </c>
      <c r="AU477" s="3" t="str">
        <f t="shared" si="281"/>
        <v/>
      </c>
      <c r="AW477" s="32" t="str">
        <f t="shared" si="282"/>
        <v/>
      </c>
      <c r="AX477" s="32" t="str">
        <f t="shared" si="283"/>
        <v/>
      </c>
      <c r="AY477" s="32" t="str">
        <f t="shared" si="284"/>
        <v/>
      </c>
      <c r="BA477" s="32" t="str">
        <f>IF($A478="","",F477*Summary!$Q$8)</f>
        <v/>
      </c>
    </row>
    <row r="478" spans="1:53">
      <c r="A478" s="67" t="str">
        <f t="shared" si="285"/>
        <v/>
      </c>
      <c r="B478" s="69">
        <f t="shared" si="286"/>
        <v>0</v>
      </c>
      <c r="D478" s="69" t="str">
        <f t="shared" si="259"/>
        <v/>
      </c>
      <c r="E478" s="70" t="str">
        <f t="shared" si="260"/>
        <v/>
      </c>
      <c r="F478" s="70" t="str">
        <f t="shared" si="261"/>
        <v/>
      </c>
      <c r="G478" s="63" t="str">
        <f t="shared" si="262"/>
        <v/>
      </c>
      <c r="H478" s="64" t="str">
        <f t="shared" si="263"/>
        <v/>
      </c>
      <c r="J478" s="63" t="str">
        <f t="shared" si="264"/>
        <v/>
      </c>
      <c r="K478" s="64" t="str">
        <f t="shared" si="265"/>
        <v/>
      </c>
      <c r="L478" s="63" t="str">
        <f t="shared" si="266"/>
        <v/>
      </c>
      <c r="M478" s="64" t="str">
        <f t="shared" si="267"/>
        <v/>
      </c>
      <c r="O478" s="63" t="str">
        <f t="shared" si="268"/>
        <v/>
      </c>
      <c r="P478" s="63" t="str">
        <f t="shared" si="269"/>
        <v/>
      </c>
      <c r="R478" s="63" t="str">
        <f t="shared" si="270"/>
        <v/>
      </c>
      <c r="S478" s="64" t="str">
        <f t="shared" si="271"/>
        <v/>
      </c>
      <c r="T478" s="63" t="str">
        <f t="shared" si="272"/>
        <v/>
      </c>
      <c r="U478" s="64" t="str">
        <f t="shared" si="273"/>
        <v/>
      </c>
      <c r="V478" s="207" t="str">
        <f>IF($A479="","",IF(AND(MONTH(A478)&gt;3,MONTH(A478)&lt;11),(T478+R478+G478)*Summary!$T$8/(1-Summary!$T$8),(T478+R478+G478)*Summary!$U$8/(1-Summary!$U$8)))</f>
        <v/>
      </c>
      <c r="W478" s="63" t="str">
        <f t="shared" si="274"/>
        <v/>
      </c>
      <c r="X478" s="63" t="str">
        <f t="shared" si="275"/>
        <v/>
      </c>
      <c r="Y478" s="43"/>
      <c r="AJ478" s="86"/>
      <c r="AK478" s="86"/>
      <c r="AL478" s="86"/>
      <c r="AM478" s="86"/>
      <c r="AN478" s="86"/>
      <c r="AO478" s="3" t="str">
        <f t="shared" si="276"/>
        <v/>
      </c>
      <c r="AP478" s="33" t="str">
        <f t="shared" si="277"/>
        <v/>
      </c>
      <c r="AQ478" s="58" t="str">
        <f t="shared" si="278"/>
        <v/>
      </c>
      <c r="AR478" s="38">
        <f>'ANR OK vs ML7'!AR478</f>
        <v>0.1</v>
      </c>
      <c r="AS478" s="35" t="str">
        <f t="shared" si="279"/>
        <v/>
      </c>
      <c r="AT478" s="3" t="str">
        <f t="shared" si="280"/>
        <v/>
      </c>
      <c r="AU478" s="3" t="str">
        <f t="shared" si="281"/>
        <v/>
      </c>
      <c r="AW478" s="32" t="str">
        <f t="shared" si="282"/>
        <v/>
      </c>
      <c r="AX478" s="32" t="str">
        <f t="shared" si="283"/>
        <v/>
      </c>
      <c r="AY478" s="32" t="str">
        <f t="shared" si="284"/>
        <v/>
      </c>
      <c r="BA478" s="32" t="str">
        <f>IF($A479="","",F478*Summary!$Q$8)</f>
        <v/>
      </c>
    </row>
    <row r="479" spans="1:53">
      <c r="A479" s="67" t="str">
        <f t="shared" si="285"/>
        <v/>
      </c>
      <c r="B479" s="69">
        <f t="shared" si="286"/>
        <v>0</v>
      </c>
      <c r="D479" s="69" t="str">
        <f t="shared" si="259"/>
        <v/>
      </c>
      <c r="E479" s="70" t="str">
        <f t="shared" si="260"/>
        <v/>
      </c>
      <c r="F479" s="70" t="str">
        <f t="shared" si="261"/>
        <v/>
      </c>
      <c r="G479" s="63" t="str">
        <f t="shared" si="262"/>
        <v/>
      </c>
      <c r="H479" s="64" t="str">
        <f t="shared" si="263"/>
        <v/>
      </c>
      <c r="J479" s="63" t="str">
        <f t="shared" si="264"/>
        <v/>
      </c>
      <c r="K479" s="64" t="str">
        <f t="shared" si="265"/>
        <v/>
      </c>
      <c r="L479" s="63" t="str">
        <f t="shared" si="266"/>
        <v/>
      </c>
      <c r="M479" s="64" t="str">
        <f t="shared" si="267"/>
        <v/>
      </c>
      <c r="O479" s="63" t="str">
        <f t="shared" si="268"/>
        <v/>
      </c>
      <c r="P479" s="63" t="str">
        <f t="shared" si="269"/>
        <v/>
      </c>
      <c r="R479" s="63" t="str">
        <f t="shared" si="270"/>
        <v/>
      </c>
      <c r="S479" s="64" t="str">
        <f t="shared" si="271"/>
        <v/>
      </c>
      <c r="T479" s="63" t="str">
        <f t="shared" si="272"/>
        <v/>
      </c>
      <c r="U479" s="64" t="str">
        <f t="shared" si="273"/>
        <v/>
      </c>
      <c r="V479" s="207" t="str">
        <f>IF($A480="","",IF(AND(MONTH(A479)&gt;3,MONTH(A479)&lt;11),(T479+R479+G479)*Summary!$T$8/(1-Summary!$T$8),(T479+R479+G479)*Summary!$U$8/(1-Summary!$U$8)))</f>
        <v/>
      </c>
      <c r="W479" s="63" t="str">
        <f t="shared" si="274"/>
        <v/>
      </c>
      <c r="X479" s="63" t="str">
        <f t="shared" si="275"/>
        <v/>
      </c>
      <c r="Y479" s="43"/>
      <c r="AJ479" s="86"/>
      <c r="AK479" s="86"/>
      <c r="AL479" s="86"/>
      <c r="AM479" s="86"/>
      <c r="AN479" s="86"/>
      <c r="AO479" s="3" t="str">
        <f t="shared" si="276"/>
        <v/>
      </c>
      <c r="AP479" s="33" t="str">
        <f t="shared" si="277"/>
        <v/>
      </c>
      <c r="AQ479" s="58" t="str">
        <f t="shared" si="278"/>
        <v/>
      </c>
      <c r="AR479" s="38">
        <f>'ANR OK vs ML7'!AR479</f>
        <v>0.1</v>
      </c>
      <c r="AS479" s="35" t="str">
        <f t="shared" si="279"/>
        <v/>
      </c>
      <c r="AT479" s="3" t="str">
        <f t="shared" si="280"/>
        <v/>
      </c>
      <c r="AU479" s="3" t="str">
        <f t="shared" si="281"/>
        <v/>
      </c>
      <c r="AW479" s="32" t="str">
        <f t="shared" si="282"/>
        <v/>
      </c>
      <c r="AX479" s="32" t="str">
        <f t="shared" si="283"/>
        <v/>
      </c>
      <c r="AY479" s="32" t="str">
        <f t="shared" si="284"/>
        <v/>
      </c>
      <c r="BA479" s="32" t="str">
        <f>IF($A480="","",F479*Summary!$Q$8)</f>
        <v/>
      </c>
    </row>
    <row r="480" spans="1:53">
      <c r="A480" s="67" t="str">
        <f t="shared" si="285"/>
        <v/>
      </c>
      <c r="B480" s="69">
        <f t="shared" si="286"/>
        <v>0</v>
      </c>
      <c r="D480" s="69" t="str">
        <f t="shared" si="259"/>
        <v/>
      </c>
      <c r="E480" s="70" t="str">
        <f t="shared" si="260"/>
        <v/>
      </c>
      <c r="F480" s="70" t="str">
        <f t="shared" si="261"/>
        <v/>
      </c>
      <c r="G480" s="63" t="str">
        <f t="shared" si="262"/>
        <v/>
      </c>
      <c r="H480" s="64" t="str">
        <f t="shared" si="263"/>
        <v/>
      </c>
      <c r="J480" s="63" t="str">
        <f t="shared" si="264"/>
        <v/>
      </c>
      <c r="K480" s="64" t="str">
        <f t="shared" si="265"/>
        <v/>
      </c>
      <c r="L480" s="63" t="str">
        <f t="shared" si="266"/>
        <v/>
      </c>
      <c r="M480" s="64" t="str">
        <f t="shared" si="267"/>
        <v/>
      </c>
      <c r="O480" s="63" t="str">
        <f t="shared" si="268"/>
        <v/>
      </c>
      <c r="P480" s="63" t="str">
        <f t="shared" si="269"/>
        <v/>
      </c>
      <c r="R480" s="63" t="str">
        <f t="shared" si="270"/>
        <v/>
      </c>
      <c r="S480" s="64" t="str">
        <f t="shared" si="271"/>
        <v/>
      </c>
      <c r="T480" s="63" t="str">
        <f t="shared" si="272"/>
        <v/>
      </c>
      <c r="U480" s="64" t="str">
        <f t="shared" si="273"/>
        <v/>
      </c>
      <c r="V480" s="207" t="str">
        <f>IF($A481="","",IF(AND(MONTH(A480)&gt;3,MONTH(A480)&lt;11),(T480+R480+G480)*Summary!$T$8/(1-Summary!$T$8),(T480+R480+G480)*Summary!$U$8/(1-Summary!$U$8)))</f>
        <v/>
      </c>
      <c r="W480" s="63" t="str">
        <f t="shared" si="274"/>
        <v/>
      </c>
      <c r="X480" s="63" t="str">
        <f t="shared" si="275"/>
        <v/>
      </c>
      <c r="Y480" s="43"/>
      <c r="AJ480" s="86"/>
      <c r="AK480" s="86"/>
      <c r="AL480" s="86"/>
      <c r="AM480" s="86"/>
      <c r="AN480" s="86"/>
      <c r="AO480" s="3" t="str">
        <f t="shared" si="276"/>
        <v/>
      </c>
      <c r="AP480" s="33" t="str">
        <f t="shared" si="277"/>
        <v/>
      </c>
      <c r="AQ480" s="58" t="str">
        <f t="shared" si="278"/>
        <v/>
      </c>
      <c r="AR480" s="38">
        <f>'ANR OK vs ML7'!AR480</f>
        <v>0.1</v>
      </c>
      <c r="AS480" s="35" t="str">
        <f t="shared" si="279"/>
        <v/>
      </c>
      <c r="AT480" s="3" t="str">
        <f t="shared" si="280"/>
        <v/>
      </c>
      <c r="AU480" s="3" t="str">
        <f t="shared" si="281"/>
        <v/>
      </c>
      <c r="AW480" s="32" t="str">
        <f t="shared" si="282"/>
        <v/>
      </c>
      <c r="AX480" s="32" t="str">
        <f t="shared" si="283"/>
        <v/>
      </c>
      <c r="AY480" s="32" t="str">
        <f t="shared" si="284"/>
        <v/>
      </c>
      <c r="BA480" s="32" t="str">
        <f>IF($A481="","",F480*Summary!$Q$8)</f>
        <v/>
      </c>
    </row>
    <row r="481" spans="1:53">
      <c r="A481" s="67" t="str">
        <f t="shared" si="285"/>
        <v/>
      </c>
      <c r="B481" s="69">
        <f t="shared" si="286"/>
        <v>0</v>
      </c>
      <c r="D481" s="69" t="str">
        <f t="shared" si="259"/>
        <v/>
      </c>
      <c r="E481" s="70" t="str">
        <f t="shared" si="260"/>
        <v/>
      </c>
      <c r="F481" s="70" t="str">
        <f t="shared" si="261"/>
        <v/>
      </c>
      <c r="G481" s="63" t="str">
        <f t="shared" si="262"/>
        <v/>
      </c>
      <c r="H481" s="64" t="str">
        <f t="shared" si="263"/>
        <v/>
      </c>
      <c r="J481" s="63" t="str">
        <f t="shared" si="264"/>
        <v/>
      </c>
      <c r="K481" s="64" t="str">
        <f t="shared" si="265"/>
        <v/>
      </c>
      <c r="L481" s="63" t="str">
        <f t="shared" si="266"/>
        <v/>
      </c>
      <c r="M481" s="64" t="str">
        <f t="shared" si="267"/>
        <v/>
      </c>
      <c r="O481" s="63" t="str">
        <f t="shared" si="268"/>
        <v/>
      </c>
      <c r="P481" s="63" t="str">
        <f t="shared" si="269"/>
        <v/>
      </c>
      <c r="R481" s="63" t="str">
        <f t="shared" si="270"/>
        <v/>
      </c>
      <c r="S481" s="64" t="str">
        <f t="shared" si="271"/>
        <v/>
      </c>
      <c r="T481" s="63" t="str">
        <f t="shared" si="272"/>
        <v/>
      </c>
      <c r="U481" s="64" t="str">
        <f t="shared" si="273"/>
        <v/>
      </c>
      <c r="V481" s="207" t="str">
        <f>IF($A482="","",IF(AND(MONTH(A481)&gt;3,MONTH(A481)&lt;11),(T481+R481+G481)*Summary!$T$8/(1-Summary!$T$8),(T481+R481+G481)*Summary!$U$8/(1-Summary!$U$8)))</f>
        <v/>
      </c>
      <c r="W481" s="63" t="str">
        <f t="shared" si="274"/>
        <v/>
      </c>
      <c r="X481" s="63" t="str">
        <f t="shared" si="275"/>
        <v/>
      </c>
      <c r="Y481" s="43"/>
      <c r="AJ481" s="86"/>
      <c r="AK481" s="86"/>
      <c r="AL481" s="86"/>
      <c r="AM481" s="86"/>
      <c r="AN481" s="86"/>
      <c r="AO481" s="3" t="str">
        <f t="shared" si="276"/>
        <v/>
      </c>
      <c r="AP481" s="33" t="str">
        <f t="shared" si="277"/>
        <v/>
      </c>
      <c r="AQ481" s="58" t="str">
        <f t="shared" si="278"/>
        <v/>
      </c>
      <c r="AR481" s="38">
        <f>'ANR OK vs ML7'!AR481</f>
        <v>0.1</v>
      </c>
      <c r="AS481" s="35" t="str">
        <f t="shared" si="279"/>
        <v/>
      </c>
      <c r="AT481" s="3" t="str">
        <f t="shared" si="280"/>
        <v/>
      </c>
      <c r="AU481" s="3" t="str">
        <f t="shared" si="281"/>
        <v/>
      </c>
      <c r="AW481" s="32" t="str">
        <f t="shared" si="282"/>
        <v/>
      </c>
      <c r="AX481" s="32" t="str">
        <f t="shared" si="283"/>
        <v/>
      </c>
      <c r="AY481" s="32" t="str">
        <f t="shared" si="284"/>
        <v/>
      </c>
      <c r="BA481" s="32" t="str">
        <f>IF($A482="","",F481*Summary!$Q$8)</f>
        <v/>
      </c>
    </row>
    <row r="482" spans="1:53">
      <c r="A482" s="67" t="str">
        <f t="shared" si="285"/>
        <v/>
      </c>
      <c r="B482" s="69">
        <f t="shared" si="286"/>
        <v>0</v>
      </c>
      <c r="D482" s="69" t="str">
        <f t="shared" si="259"/>
        <v/>
      </c>
      <c r="E482" s="70" t="str">
        <f t="shared" si="260"/>
        <v/>
      </c>
      <c r="F482" s="70" t="str">
        <f t="shared" si="261"/>
        <v/>
      </c>
      <c r="G482" s="63" t="str">
        <f t="shared" si="262"/>
        <v/>
      </c>
      <c r="H482" s="64" t="str">
        <f t="shared" si="263"/>
        <v/>
      </c>
      <c r="J482" s="63" t="str">
        <f t="shared" si="264"/>
        <v/>
      </c>
      <c r="K482" s="64" t="str">
        <f t="shared" si="265"/>
        <v/>
      </c>
      <c r="L482" s="63" t="str">
        <f t="shared" si="266"/>
        <v/>
      </c>
      <c r="M482" s="64" t="str">
        <f t="shared" si="267"/>
        <v/>
      </c>
      <c r="O482" s="63" t="str">
        <f t="shared" si="268"/>
        <v/>
      </c>
      <c r="P482" s="63" t="str">
        <f t="shared" si="269"/>
        <v/>
      </c>
      <c r="R482" s="63" t="str">
        <f t="shared" si="270"/>
        <v/>
      </c>
      <c r="S482" s="64" t="str">
        <f t="shared" si="271"/>
        <v/>
      </c>
      <c r="T482" s="63" t="str">
        <f t="shared" si="272"/>
        <v/>
      </c>
      <c r="U482" s="64" t="str">
        <f t="shared" si="273"/>
        <v/>
      </c>
      <c r="V482" s="207" t="str">
        <f>IF($A483="","",IF(AND(MONTH(A482)&gt;3,MONTH(A482)&lt;11),(T482+R482+G482)*Summary!$T$8/(1-Summary!$T$8),(T482+R482+G482)*Summary!$U$8/(1-Summary!$U$8)))</f>
        <v/>
      </c>
      <c r="W482" s="63" t="str">
        <f t="shared" si="274"/>
        <v/>
      </c>
      <c r="X482" s="63" t="str">
        <f t="shared" si="275"/>
        <v/>
      </c>
      <c r="Y482" s="43"/>
      <c r="AJ482" s="86"/>
      <c r="AK482" s="86"/>
      <c r="AL482" s="86"/>
      <c r="AM482" s="86"/>
      <c r="AN482" s="86"/>
      <c r="AO482" s="3" t="str">
        <f t="shared" si="276"/>
        <v/>
      </c>
      <c r="AP482" s="33" t="str">
        <f t="shared" si="277"/>
        <v/>
      </c>
      <c r="AQ482" s="58" t="str">
        <f t="shared" si="278"/>
        <v/>
      </c>
      <c r="AR482" s="38">
        <f>'ANR OK vs ML7'!AR482</f>
        <v>0.1</v>
      </c>
      <c r="AS482" s="35" t="str">
        <f t="shared" si="279"/>
        <v/>
      </c>
      <c r="AT482" s="3" t="str">
        <f t="shared" si="280"/>
        <v/>
      </c>
      <c r="AU482" s="3" t="str">
        <f t="shared" si="281"/>
        <v/>
      </c>
      <c r="AW482" s="32" t="str">
        <f t="shared" si="282"/>
        <v/>
      </c>
      <c r="AX482" s="32" t="str">
        <f t="shared" si="283"/>
        <v/>
      </c>
      <c r="AY482" s="32" t="str">
        <f t="shared" si="284"/>
        <v/>
      </c>
      <c r="BA482" s="32" t="str">
        <f>IF($A483="","",F482*Summary!$Q$8)</f>
        <v/>
      </c>
    </row>
    <row r="483" spans="1:53">
      <c r="A483" s="67" t="str">
        <f t="shared" si="285"/>
        <v/>
      </c>
      <c r="B483" s="69">
        <f t="shared" si="286"/>
        <v>0</v>
      </c>
      <c r="D483" s="69" t="str">
        <f t="shared" si="259"/>
        <v/>
      </c>
      <c r="E483" s="70" t="str">
        <f t="shared" si="260"/>
        <v/>
      </c>
      <c r="F483" s="70" t="str">
        <f t="shared" si="261"/>
        <v/>
      </c>
      <c r="G483" s="63" t="str">
        <f t="shared" si="262"/>
        <v/>
      </c>
      <c r="H483" s="64" t="str">
        <f t="shared" si="263"/>
        <v/>
      </c>
      <c r="J483" s="63" t="str">
        <f t="shared" si="264"/>
        <v/>
      </c>
      <c r="K483" s="64" t="str">
        <f t="shared" si="265"/>
        <v/>
      </c>
      <c r="L483" s="63" t="str">
        <f t="shared" si="266"/>
        <v/>
      </c>
      <c r="M483" s="64" t="str">
        <f t="shared" si="267"/>
        <v/>
      </c>
      <c r="O483" s="63" t="str">
        <f t="shared" si="268"/>
        <v/>
      </c>
      <c r="P483" s="63" t="str">
        <f t="shared" si="269"/>
        <v/>
      </c>
      <c r="R483" s="63" t="str">
        <f t="shared" si="270"/>
        <v/>
      </c>
      <c r="S483" s="64" t="str">
        <f t="shared" si="271"/>
        <v/>
      </c>
      <c r="T483" s="63" t="str">
        <f t="shared" si="272"/>
        <v/>
      </c>
      <c r="U483" s="64" t="str">
        <f t="shared" si="273"/>
        <v/>
      </c>
      <c r="V483" s="207" t="str">
        <f>IF($A484="","",IF(AND(MONTH(A483)&gt;3,MONTH(A483)&lt;11),(T483+R483+G483)*Summary!$T$8/(1-Summary!$T$8),(T483+R483+G483)*Summary!$U$8/(1-Summary!$U$8)))</f>
        <v/>
      </c>
      <c r="W483" s="63" t="str">
        <f t="shared" si="274"/>
        <v/>
      </c>
      <c r="X483" s="63" t="str">
        <f t="shared" si="275"/>
        <v/>
      </c>
      <c r="Y483" s="43"/>
      <c r="AJ483" s="86"/>
      <c r="AK483" s="86"/>
      <c r="AL483" s="86"/>
      <c r="AM483" s="86"/>
      <c r="AN483" s="86"/>
      <c r="AO483" s="3" t="str">
        <f t="shared" si="276"/>
        <v/>
      </c>
      <c r="AP483" s="33" t="str">
        <f t="shared" si="277"/>
        <v/>
      </c>
      <c r="AQ483" s="58" t="str">
        <f t="shared" si="278"/>
        <v/>
      </c>
      <c r="AR483" s="38">
        <f>'ANR OK vs ML7'!AR483</f>
        <v>0.1</v>
      </c>
      <c r="AS483" s="35" t="str">
        <f t="shared" si="279"/>
        <v/>
      </c>
      <c r="AT483" s="3" t="str">
        <f t="shared" si="280"/>
        <v/>
      </c>
      <c r="AU483" s="3" t="str">
        <f t="shared" si="281"/>
        <v/>
      </c>
      <c r="AW483" s="32" t="str">
        <f t="shared" si="282"/>
        <v/>
      </c>
      <c r="AX483" s="32" t="str">
        <f t="shared" si="283"/>
        <v/>
      </c>
      <c r="AY483" s="32" t="str">
        <f t="shared" si="284"/>
        <v/>
      </c>
      <c r="BA483" s="32" t="str">
        <f>IF($A484="","",F483*Summary!$Q$8)</f>
        <v/>
      </c>
    </row>
    <row r="484" spans="1:53">
      <c r="A484" s="67" t="str">
        <f t="shared" si="285"/>
        <v/>
      </c>
      <c r="B484" s="69">
        <f t="shared" si="286"/>
        <v>0</v>
      </c>
      <c r="D484" s="69" t="str">
        <f t="shared" si="259"/>
        <v/>
      </c>
      <c r="E484" s="70" t="str">
        <f t="shared" si="260"/>
        <v/>
      </c>
      <c r="F484" s="70" t="str">
        <f t="shared" si="261"/>
        <v/>
      </c>
      <c r="G484" s="63" t="str">
        <f t="shared" si="262"/>
        <v/>
      </c>
      <c r="H484" s="64" t="str">
        <f t="shared" si="263"/>
        <v/>
      </c>
      <c r="J484" s="63" t="str">
        <f t="shared" si="264"/>
        <v/>
      </c>
      <c r="K484" s="64" t="str">
        <f t="shared" si="265"/>
        <v/>
      </c>
      <c r="L484" s="63" t="str">
        <f t="shared" si="266"/>
        <v/>
      </c>
      <c r="M484" s="64" t="str">
        <f t="shared" si="267"/>
        <v/>
      </c>
      <c r="O484" s="63" t="str">
        <f t="shared" si="268"/>
        <v/>
      </c>
      <c r="P484" s="63" t="str">
        <f t="shared" si="269"/>
        <v/>
      </c>
      <c r="R484" s="63" t="str">
        <f t="shared" si="270"/>
        <v/>
      </c>
      <c r="S484" s="64" t="str">
        <f t="shared" si="271"/>
        <v/>
      </c>
      <c r="T484" s="63" t="str">
        <f t="shared" si="272"/>
        <v/>
      </c>
      <c r="U484" s="64" t="str">
        <f t="shared" si="273"/>
        <v/>
      </c>
      <c r="V484" s="207" t="str">
        <f>IF($A485="","",IF(AND(MONTH(A484)&gt;3,MONTH(A484)&lt;11),(T484+R484+G484)*Summary!$T$8/(1-Summary!$T$8),(T484+R484+G484)*Summary!$U$8/(1-Summary!$U$8)))</f>
        <v/>
      </c>
      <c r="W484" s="63" t="str">
        <f t="shared" si="274"/>
        <v/>
      </c>
      <c r="X484" s="63" t="str">
        <f t="shared" si="275"/>
        <v/>
      </c>
      <c r="Y484" s="43"/>
      <c r="AJ484" s="86"/>
      <c r="AK484" s="86"/>
      <c r="AL484" s="86"/>
      <c r="AM484" s="86"/>
      <c r="AN484" s="86"/>
      <c r="AO484" s="3" t="str">
        <f t="shared" si="276"/>
        <v/>
      </c>
      <c r="AP484" s="33" t="str">
        <f t="shared" si="277"/>
        <v/>
      </c>
      <c r="AQ484" s="58" t="str">
        <f t="shared" si="278"/>
        <v/>
      </c>
      <c r="AR484" s="38">
        <f>'ANR OK vs ML7'!AR484</f>
        <v>0.1</v>
      </c>
      <c r="AS484" s="35" t="str">
        <f t="shared" si="279"/>
        <v/>
      </c>
      <c r="AT484" s="3" t="str">
        <f t="shared" si="280"/>
        <v/>
      </c>
      <c r="AU484" s="3" t="str">
        <f t="shared" si="281"/>
        <v/>
      </c>
      <c r="AW484" s="32" t="str">
        <f t="shared" si="282"/>
        <v/>
      </c>
      <c r="AX484" s="32" t="str">
        <f t="shared" si="283"/>
        <v/>
      </c>
      <c r="AY484" s="32" t="str">
        <f t="shared" si="284"/>
        <v/>
      </c>
      <c r="BA484" s="32" t="str">
        <f>IF($A485="","",F484*Summary!$Q$8)</f>
        <v/>
      </c>
    </row>
    <row r="485" spans="1:53">
      <c r="A485" s="67" t="str">
        <f t="shared" si="285"/>
        <v/>
      </c>
      <c r="B485" s="69">
        <f t="shared" si="286"/>
        <v>0</v>
      </c>
      <c r="D485" s="69" t="str">
        <f t="shared" si="259"/>
        <v/>
      </c>
      <c r="E485" s="70" t="str">
        <f t="shared" si="260"/>
        <v/>
      </c>
      <c r="F485" s="70" t="str">
        <f t="shared" si="261"/>
        <v/>
      </c>
      <c r="G485" s="63" t="str">
        <f t="shared" si="262"/>
        <v/>
      </c>
      <c r="H485" s="64" t="str">
        <f t="shared" si="263"/>
        <v/>
      </c>
      <c r="J485" s="63" t="str">
        <f t="shared" si="264"/>
        <v/>
      </c>
      <c r="K485" s="64" t="str">
        <f t="shared" si="265"/>
        <v/>
      </c>
      <c r="L485" s="63" t="str">
        <f t="shared" si="266"/>
        <v/>
      </c>
      <c r="M485" s="64" t="str">
        <f t="shared" si="267"/>
        <v/>
      </c>
      <c r="O485" s="63" t="str">
        <f t="shared" si="268"/>
        <v/>
      </c>
      <c r="P485" s="63" t="str">
        <f t="shared" si="269"/>
        <v/>
      </c>
      <c r="R485" s="63" t="str">
        <f t="shared" si="270"/>
        <v/>
      </c>
      <c r="S485" s="64" t="str">
        <f t="shared" si="271"/>
        <v/>
      </c>
      <c r="T485" s="63" t="str">
        <f t="shared" si="272"/>
        <v/>
      </c>
      <c r="U485" s="64" t="str">
        <f t="shared" si="273"/>
        <v/>
      </c>
      <c r="V485" s="207" t="str">
        <f>IF($A486="","",IF(AND(MONTH(A485)&gt;3,MONTH(A485)&lt;11),(T485+R485+G485)*Summary!$T$8/(1-Summary!$T$8),(T485+R485+G485)*Summary!$U$8/(1-Summary!$U$8)))</f>
        <v/>
      </c>
      <c r="W485" s="63" t="str">
        <f t="shared" si="274"/>
        <v/>
      </c>
      <c r="X485" s="63" t="str">
        <f t="shared" si="275"/>
        <v/>
      </c>
      <c r="Y485" s="43"/>
      <c r="AJ485" s="86"/>
      <c r="AK485" s="86"/>
      <c r="AL485" s="86"/>
      <c r="AM485" s="86"/>
      <c r="AN485" s="86"/>
      <c r="AO485" s="3" t="str">
        <f t="shared" si="276"/>
        <v/>
      </c>
      <c r="AP485" s="33" t="str">
        <f t="shared" si="277"/>
        <v/>
      </c>
      <c r="AQ485" s="58" t="str">
        <f t="shared" si="278"/>
        <v/>
      </c>
      <c r="AR485" s="38">
        <f>'ANR OK vs ML7'!AR485</f>
        <v>0.1</v>
      </c>
      <c r="AS485" s="35" t="str">
        <f t="shared" si="279"/>
        <v/>
      </c>
      <c r="AT485" s="3" t="str">
        <f t="shared" si="280"/>
        <v/>
      </c>
      <c r="AU485" s="3" t="str">
        <f t="shared" si="281"/>
        <v/>
      </c>
      <c r="AW485" s="32" t="str">
        <f t="shared" si="282"/>
        <v/>
      </c>
      <c r="AX485" s="32" t="str">
        <f t="shared" si="283"/>
        <v/>
      </c>
      <c r="AY485" s="32" t="str">
        <f t="shared" si="284"/>
        <v/>
      </c>
      <c r="BA485" s="32" t="str">
        <f>IF($A486="","",F485*Summary!$Q$8)</f>
        <v/>
      </c>
    </row>
    <row r="486" spans="1:53">
      <c r="A486" s="67" t="str">
        <f t="shared" si="285"/>
        <v/>
      </c>
      <c r="B486" s="69">
        <f t="shared" si="286"/>
        <v>0</v>
      </c>
      <c r="D486" s="69" t="str">
        <f t="shared" si="259"/>
        <v/>
      </c>
      <c r="E486" s="70" t="str">
        <f t="shared" si="260"/>
        <v/>
      </c>
      <c r="F486" s="70" t="str">
        <f t="shared" si="261"/>
        <v/>
      </c>
      <c r="G486" s="63" t="str">
        <f t="shared" si="262"/>
        <v/>
      </c>
      <c r="H486" s="64" t="str">
        <f t="shared" si="263"/>
        <v/>
      </c>
      <c r="J486" s="63" t="str">
        <f t="shared" si="264"/>
        <v/>
      </c>
      <c r="K486" s="64" t="str">
        <f t="shared" si="265"/>
        <v/>
      </c>
      <c r="L486" s="63" t="str">
        <f t="shared" si="266"/>
        <v/>
      </c>
      <c r="M486" s="64" t="str">
        <f t="shared" si="267"/>
        <v/>
      </c>
      <c r="O486" s="63" t="str">
        <f t="shared" si="268"/>
        <v/>
      </c>
      <c r="P486" s="63" t="str">
        <f t="shared" si="269"/>
        <v/>
      </c>
      <c r="R486" s="63" t="str">
        <f t="shared" si="270"/>
        <v/>
      </c>
      <c r="S486" s="64" t="str">
        <f t="shared" si="271"/>
        <v/>
      </c>
      <c r="T486" s="63" t="str">
        <f t="shared" si="272"/>
        <v/>
      </c>
      <c r="U486" s="64" t="str">
        <f t="shared" si="273"/>
        <v/>
      </c>
      <c r="V486" s="207" t="str">
        <f>IF($A487="","",IF(AND(MONTH(A486)&gt;3,MONTH(A486)&lt;11),(T486+R486+G486)*Summary!$T$8/(1-Summary!$T$8),(T486+R486+G486)*Summary!$U$8/(1-Summary!$U$8)))</f>
        <v/>
      </c>
      <c r="W486" s="63" t="str">
        <f t="shared" si="274"/>
        <v/>
      </c>
      <c r="X486" s="63" t="str">
        <f t="shared" si="275"/>
        <v/>
      </c>
      <c r="Y486" s="43"/>
      <c r="AJ486" s="86"/>
      <c r="AK486" s="86"/>
      <c r="AL486" s="86"/>
      <c r="AM486" s="86"/>
      <c r="AN486" s="86"/>
      <c r="AO486" s="3" t="str">
        <f t="shared" si="276"/>
        <v/>
      </c>
      <c r="AP486" s="33" t="str">
        <f t="shared" si="277"/>
        <v/>
      </c>
      <c r="AQ486" s="58" t="str">
        <f t="shared" si="278"/>
        <v/>
      </c>
      <c r="AR486" s="38">
        <f>'ANR OK vs ML7'!AR486</f>
        <v>0.1</v>
      </c>
      <c r="AS486" s="35" t="str">
        <f t="shared" si="279"/>
        <v/>
      </c>
      <c r="AT486" s="3" t="str">
        <f t="shared" si="280"/>
        <v/>
      </c>
      <c r="AU486" s="3" t="str">
        <f t="shared" si="281"/>
        <v/>
      </c>
      <c r="AW486" s="32" t="str">
        <f t="shared" si="282"/>
        <v/>
      </c>
      <c r="AX486" s="32" t="str">
        <f t="shared" si="283"/>
        <v/>
      </c>
      <c r="AY486" s="32" t="str">
        <f t="shared" si="284"/>
        <v/>
      </c>
      <c r="BA486" s="32" t="str">
        <f>IF($A487="","",F486*Summary!$Q$8)</f>
        <v/>
      </c>
    </row>
    <row r="487" spans="1:53">
      <c r="A487" s="67" t="str">
        <f t="shared" si="285"/>
        <v/>
      </c>
      <c r="B487" s="69">
        <f t="shared" si="286"/>
        <v>0</v>
      </c>
      <c r="D487" s="69" t="str">
        <f t="shared" si="259"/>
        <v/>
      </c>
      <c r="E487" s="70" t="str">
        <f t="shared" si="260"/>
        <v/>
      </c>
      <c r="F487" s="70" t="str">
        <f t="shared" si="261"/>
        <v/>
      </c>
      <c r="G487" s="63" t="str">
        <f t="shared" si="262"/>
        <v/>
      </c>
      <c r="H487" s="64" t="str">
        <f t="shared" si="263"/>
        <v/>
      </c>
      <c r="J487" s="63" t="str">
        <f t="shared" si="264"/>
        <v/>
      </c>
      <c r="K487" s="64" t="str">
        <f t="shared" si="265"/>
        <v/>
      </c>
      <c r="L487" s="63" t="str">
        <f t="shared" si="266"/>
        <v/>
      </c>
      <c r="M487" s="64" t="str">
        <f t="shared" si="267"/>
        <v/>
      </c>
      <c r="O487" s="63" t="str">
        <f t="shared" si="268"/>
        <v/>
      </c>
      <c r="P487" s="63" t="str">
        <f t="shared" si="269"/>
        <v/>
      </c>
      <c r="R487" s="63" t="str">
        <f t="shared" si="270"/>
        <v/>
      </c>
      <c r="S487" s="64" t="str">
        <f t="shared" si="271"/>
        <v/>
      </c>
      <c r="T487" s="63" t="str">
        <f t="shared" si="272"/>
        <v/>
      </c>
      <c r="U487" s="64" t="str">
        <f t="shared" si="273"/>
        <v/>
      </c>
      <c r="V487" s="207" t="str">
        <f>IF($A488="","",IF(AND(MONTH(A487)&gt;3,MONTH(A487)&lt;11),(T487+R487+G487)*Summary!$T$8/(1-Summary!$T$8),(T487+R487+G487)*Summary!$U$8/(1-Summary!$U$8)))</f>
        <v/>
      </c>
      <c r="W487" s="63" t="str">
        <f t="shared" si="274"/>
        <v/>
      </c>
      <c r="X487" s="63" t="str">
        <f t="shared" si="275"/>
        <v/>
      </c>
      <c r="Y487" s="43"/>
      <c r="AJ487" s="86"/>
      <c r="AK487" s="86"/>
      <c r="AL487" s="86"/>
      <c r="AM487" s="86"/>
      <c r="AN487" s="86"/>
      <c r="AO487" s="3" t="str">
        <f t="shared" si="276"/>
        <v/>
      </c>
      <c r="AP487" s="33" t="str">
        <f t="shared" si="277"/>
        <v/>
      </c>
      <c r="AQ487" s="58" t="str">
        <f t="shared" si="278"/>
        <v/>
      </c>
      <c r="AR487" s="38">
        <f>'ANR OK vs ML7'!AR487</f>
        <v>0.1</v>
      </c>
      <c r="AS487" s="35" t="str">
        <f t="shared" si="279"/>
        <v/>
      </c>
      <c r="AT487" s="3" t="str">
        <f t="shared" si="280"/>
        <v/>
      </c>
      <c r="AU487" s="3" t="str">
        <f t="shared" si="281"/>
        <v/>
      </c>
      <c r="AW487" s="32" t="str">
        <f t="shared" si="282"/>
        <v/>
      </c>
      <c r="AX487" s="32" t="str">
        <f t="shared" si="283"/>
        <v/>
      </c>
      <c r="AY487" s="32" t="str">
        <f t="shared" si="284"/>
        <v/>
      </c>
      <c r="BA487" s="32" t="str">
        <f>IF($A488="","",F487*Summary!$Q$8)</f>
        <v/>
      </c>
    </row>
    <row r="488" spans="1:53">
      <c r="A488" s="67" t="str">
        <f t="shared" si="285"/>
        <v/>
      </c>
      <c r="B488" s="69">
        <f t="shared" si="286"/>
        <v>0</v>
      </c>
      <c r="D488" s="69" t="str">
        <f t="shared" si="259"/>
        <v/>
      </c>
      <c r="E488" s="70" t="str">
        <f t="shared" si="260"/>
        <v/>
      </c>
      <c r="F488" s="70" t="str">
        <f t="shared" si="261"/>
        <v/>
      </c>
      <c r="G488" s="63" t="str">
        <f t="shared" si="262"/>
        <v/>
      </c>
      <c r="H488" s="64" t="str">
        <f t="shared" si="263"/>
        <v/>
      </c>
      <c r="J488" s="63" t="str">
        <f t="shared" si="264"/>
        <v/>
      </c>
      <c r="K488" s="64" t="str">
        <f t="shared" si="265"/>
        <v/>
      </c>
      <c r="L488" s="63" t="str">
        <f t="shared" si="266"/>
        <v/>
      </c>
      <c r="M488" s="64" t="str">
        <f t="shared" si="267"/>
        <v/>
      </c>
      <c r="O488" s="63" t="str">
        <f t="shared" si="268"/>
        <v/>
      </c>
      <c r="P488" s="63" t="str">
        <f t="shared" si="269"/>
        <v/>
      </c>
      <c r="R488" s="63" t="str">
        <f t="shared" si="270"/>
        <v/>
      </c>
      <c r="S488" s="64" t="str">
        <f t="shared" si="271"/>
        <v/>
      </c>
      <c r="T488" s="63" t="str">
        <f t="shared" si="272"/>
        <v/>
      </c>
      <c r="U488" s="64" t="str">
        <f t="shared" si="273"/>
        <v/>
      </c>
      <c r="V488" s="207" t="str">
        <f>IF($A489="","",IF(AND(MONTH(A488)&gt;3,MONTH(A488)&lt;11),(T488+R488+G488)*Summary!$T$8/(1-Summary!$T$8),(T488+R488+G488)*Summary!$U$8/(1-Summary!$U$8)))</f>
        <v/>
      </c>
      <c r="W488" s="63" t="str">
        <f t="shared" si="274"/>
        <v/>
      </c>
      <c r="X488" s="63" t="str">
        <f t="shared" si="275"/>
        <v/>
      </c>
      <c r="Y488" s="43"/>
      <c r="AJ488" s="86"/>
      <c r="AK488" s="86"/>
      <c r="AL488" s="86"/>
      <c r="AM488" s="86"/>
      <c r="AN488" s="86"/>
      <c r="AO488" s="3" t="str">
        <f t="shared" si="276"/>
        <v/>
      </c>
      <c r="AP488" s="33" t="str">
        <f t="shared" si="277"/>
        <v/>
      </c>
      <c r="AQ488" s="58" t="str">
        <f t="shared" si="278"/>
        <v/>
      </c>
      <c r="AR488" s="38">
        <f>'ANR OK vs ML7'!AR488</f>
        <v>0.1</v>
      </c>
      <c r="AS488" s="35" t="str">
        <f t="shared" si="279"/>
        <v/>
      </c>
      <c r="AT488" s="3" t="str">
        <f t="shared" si="280"/>
        <v/>
      </c>
      <c r="AU488" s="3" t="str">
        <f t="shared" si="281"/>
        <v/>
      </c>
      <c r="AW488" s="32" t="str">
        <f t="shared" si="282"/>
        <v/>
      </c>
      <c r="AX488" s="32" t="str">
        <f t="shared" si="283"/>
        <v/>
      </c>
      <c r="AY488" s="32" t="str">
        <f t="shared" si="284"/>
        <v/>
      </c>
      <c r="BA488" s="32" t="str">
        <f>IF($A489="","",F488*Summary!$Q$8)</f>
        <v/>
      </c>
    </row>
    <row r="489" spans="1:53">
      <c r="A489" s="67" t="str">
        <f t="shared" si="285"/>
        <v/>
      </c>
      <c r="B489" s="69">
        <f t="shared" si="286"/>
        <v>0</v>
      </c>
      <c r="D489" s="69" t="str">
        <f t="shared" si="259"/>
        <v/>
      </c>
      <c r="E489" s="70" t="str">
        <f t="shared" si="260"/>
        <v/>
      </c>
      <c r="F489" s="70" t="str">
        <f t="shared" si="261"/>
        <v/>
      </c>
      <c r="G489" s="63" t="str">
        <f t="shared" si="262"/>
        <v/>
      </c>
      <c r="H489" s="64" t="str">
        <f t="shared" si="263"/>
        <v/>
      </c>
      <c r="J489" s="63" t="str">
        <f t="shared" si="264"/>
        <v/>
      </c>
      <c r="K489" s="64" t="str">
        <f t="shared" si="265"/>
        <v/>
      </c>
      <c r="L489" s="63" t="str">
        <f t="shared" si="266"/>
        <v/>
      </c>
      <c r="M489" s="64" t="str">
        <f t="shared" si="267"/>
        <v/>
      </c>
      <c r="O489" s="63" t="str">
        <f t="shared" si="268"/>
        <v/>
      </c>
      <c r="P489" s="63" t="str">
        <f t="shared" si="269"/>
        <v/>
      </c>
      <c r="R489" s="63" t="str">
        <f t="shared" si="270"/>
        <v/>
      </c>
      <c r="S489" s="64" t="str">
        <f t="shared" si="271"/>
        <v/>
      </c>
      <c r="T489" s="63" t="str">
        <f t="shared" si="272"/>
        <v/>
      </c>
      <c r="U489" s="64" t="str">
        <f t="shared" si="273"/>
        <v/>
      </c>
      <c r="V489" s="207" t="str">
        <f>IF($A490="","",IF(AND(MONTH(A489)&gt;3,MONTH(A489)&lt;11),(T489+R489+G489)*Summary!$T$8/(1-Summary!$T$8),(T489+R489+G489)*Summary!$U$8/(1-Summary!$U$8)))</f>
        <v/>
      </c>
      <c r="W489" s="63" t="str">
        <f t="shared" si="274"/>
        <v/>
      </c>
      <c r="X489" s="63" t="str">
        <f t="shared" si="275"/>
        <v/>
      </c>
      <c r="Y489" s="43"/>
      <c r="AJ489" s="86"/>
      <c r="AK489" s="86"/>
      <c r="AL489" s="86"/>
      <c r="AM489" s="86"/>
      <c r="AN489" s="86"/>
      <c r="AO489" s="3" t="str">
        <f t="shared" si="276"/>
        <v/>
      </c>
      <c r="AP489" s="33" t="str">
        <f t="shared" si="277"/>
        <v/>
      </c>
      <c r="AQ489" s="58" t="str">
        <f t="shared" si="278"/>
        <v/>
      </c>
      <c r="AR489" s="38">
        <f>'ANR OK vs ML7'!AR489</f>
        <v>0.1</v>
      </c>
      <c r="AS489" s="35" t="str">
        <f t="shared" si="279"/>
        <v/>
      </c>
      <c r="AT489" s="3" t="str">
        <f t="shared" si="280"/>
        <v/>
      </c>
      <c r="AU489" s="3" t="str">
        <f t="shared" si="281"/>
        <v/>
      </c>
      <c r="AW489" s="32" t="str">
        <f t="shared" si="282"/>
        <v/>
      </c>
      <c r="AX489" s="32" t="str">
        <f t="shared" si="283"/>
        <v/>
      </c>
      <c r="AY489" s="32" t="str">
        <f t="shared" si="284"/>
        <v/>
      </c>
      <c r="BA489" s="32" t="str">
        <f>IF($A490="","",F489*Summary!$Q$8)</f>
        <v/>
      </c>
    </row>
    <row r="490" spans="1:53">
      <c r="A490" s="67" t="str">
        <f t="shared" si="285"/>
        <v/>
      </c>
      <c r="B490" s="69">
        <f t="shared" si="286"/>
        <v>0</v>
      </c>
      <c r="D490" s="69" t="str">
        <f t="shared" si="259"/>
        <v/>
      </c>
      <c r="E490" s="70" t="str">
        <f t="shared" si="260"/>
        <v/>
      </c>
      <c r="F490" s="70" t="str">
        <f t="shared" si="261"/>
        <v/>
      </c>
      <c r="G490" s="63" t="str">
        <f t="shared" si="262"/>
        <v/>
      </c>
      <c r="H490" s="64" t="str">
        <f t="shared" si="263"/>
        <v/>
      </c>
      <c r="J490" s="63" t="str">
        <f t="shared" si="264"/>
        <v/>
      </c>
      <c r="K490" s="64" t="str">
        <f t="shared" si="265"/>
        <v/>
      </c>
      <c r="L490" s="63" t="str">
        <f t="shared" si="266"/>
        <v/>
      </c>
      <c r="M490" s="64" t="str">
        <f t="shared" si="267"/>
        <v/>
      </c>
      <c r="O490" s="63" t="str">
        <f t="shared" si="268"/>
        <v/>
      </c>
      <c r="P490" s="63" t="str">
        <f t="shared" si="269"/>
        <v/>
      </c>
      <c r="R490" s="63" t="str">
        <f t="shared" si="270"/>
        <v/>
      </c>
      <c r="S490" s="64" t="str">
        <f t="shared" si="271"/>
        <v/>
      </c>
      <c r="T490" s="63" t="str">
        <f t="shared" si="272"/>
        <v/>
      </c>
      <c r="U490" s="64" t="str">
        <f t="shared" si="273"/>
        <v/>
      </c>
      <c r="V490" s="207" t="str">
        <f>IF($A491="","",IF(AND(MONTH(A490)&gt;3,MONTH(A490)&lt;11),(T490+R490+G490)*Summary!$T$8/(1-Summary!$T$8),(T490+R490+G490)*Summary!$U$8/(1-Summary!$U$8)))</f>
        <v/>
      </c>
      <c r="W490" s="63" t="str">
        <f t="shared" si="274"/>
        <v/>
      </c>
      <c r="X490" s="63" t="str">
        <f t="shared" si="275"/>
        <v/>
      </c>
      <c r="Y490" s="43"/>
      <c r="AJ490" s="86"/>
      <c r="AK490" s="86"/>
      <c r="AL490" s="86"/>
      <c r="AM490" s="86"/>
      <c r="AN490" s="86"/>
      <c r="AO490" s="3" t="str">
        <f t="shared" si="276"/>
        <v/>
      </c>
      <c r="AP490" s="33" t="str">
        <f t="shared" si="277"/>
        <v/>
      </c>
      <c r="AQ490" s="58" t="str">
        <f t="shared" si="278"/>
        <v/>
      </c>
      <c r="AR490" s="38">
        <f>'ANR OK vs ML7'!AR490</f>
        <v>0.1</v>
      </c>
      <c r="AS490" s="35" t="str">
        <f t="shared" si="279"/>
        <v/>
      </c>
      <c r="AT490" s="3" t="str">
        <f t="shared" si="280"/>
        <v/>
      </c>
      <c r="AU490" s="3" t="str">
        <f t="shared" si="281"/>
        <v/>
      </c>
      <c r="AW490" s="32" t="str">
        <f t="shared" si="282"/>
        <v/>
      </c>
      <c r="AX490" s="32" t="str">
        <f t="shared" si="283"/>
        <v/>
      </c>
      <c r="AY490" s="32" t="str">
        <f t="shared" si="284"/>
        <v/>
      </c>
      <c r="BA490" s="32" t="str">
        <f>IF($A491="","",F490*Summary!$Q$8)</f>
        <v/>
      </c>
    </row>
    <row r="491" spans="1:53">
      <c r="A491" s="67" t="str">
        <f t="shared" si="285"/>
        <v/>
      </c>
      <c r="B491" s="69">
        <f t="shared" si="286"/>
        <v>0</v>
      </c>
      <c r="D491" s="69" t="str">
        <f t="shared" si="259"/>
        <v/>
      </c>
      <c r="E491" s="70" t="str">
        <f t="shared" si="260"/>
        <v/>
      </c>
      <c r="F491" s="70" t="str">
        <f t="shared" si="261"/>
        <v/>
      </c>
      <c r="G491" s="63" t="str">
        <f t="shared" si="262"/>
        <v/>
      </c>
      <c r="H491" s="64" t="str">
        <f t="shared" si="263"/>
        <v/>
      </c>
      <c r="J491" s="63" t="str">
        <f t="shared" si="264"/>
        <v/>
      </c>
      <c r="K491" s="64" t="str">
        <f t="shared" si="265"/>
        <v/>
      </c>
      <c r="L491" s="63" t="str">
        <f t="shared" si="266"/>
        <v/>
      </c>
      <c r="M491" s="64" t="str">
        <f t="shared" si="267"/>
        <v/>
      </c>
      <c r="O491" s="63" t="str">
        <f t="shared" si="268"/>
        <v/>
      </c>
      <c r="P491" s="63" t="str">
        <f t="shared" si="269"/>
        <v/>
      </c>
      <c r="R491" s="63" t="str">
        <f t="shared" si="270"/>
        <v/>
      </c>
      <c r="S491" s="64" t="str">
        <f t="shared" si="271"/>
        <v/>
      </c>
      <c r="T491" s="63" t="str">
        <f t="shared" si="272"/>
        <v/>
      </c>
      <c r="U491" s="64" t="str">
        <f t="shared" si="273"/>
        <v/>
      </c>
      <c r="V491" s="207" t="str">
        <f>IF($A492="","",IF(AND(MONTH(A491)&gt;3,MONTH(A491)&lt;11),(T491+R491+G491)*Summary!$T$8/(1-Summary!$T$8),(T491+R491+G491)*Summary!$U$8/(1-Summary!$U$8)))</f>
        <v/>
      </c>
      <c r="W491" s="63" t="str">
        <f t="shared" si="274"/>
        <v/>
      </c>
      <c r="X491" s="63" t="str">
        <f t="shared" si="275"/>
        <v/>
      </c>
      <c r="Y491" s="43"/>
      <c r="AJ491" s="86"/>
      <c r="AK491" s="86"/>
      <c r="AL491" s="86"/>
      <c r="AM491" s="86"/>
      <c r="AN491" s="86"/>
      <c r="AO491" s="3" t="str">
        <f t="shared" si="276"/>
        <v/>
      </c>
      <c r="AP491" s="33" t="str">
        <f t="shared" si="277"/>
        <v/>
      </c>
      <c r="AQ491" s="58" t="str">
        <f t="shared" si="278"/>
        <v/>
      </c>
      <c r="AR491" s="38">
        <f>'ANR OK vs ML7'!AR491</f>
        <v>0.1</v>
      </c>
      <c r="AS491" s="35" t="str">
        <f t="shared" si="279"/>
        <v/>
      </c>
      <c r="AT491" s="3" t="str">
        <f t="shared" si="280"/>
        <v/>
      </c>
      <c r="AU491" s="3" t="str">
        <f t="shared" si="281"/>
        <v/>
      </c>
      <c r="AW491" s="32" t="str">
        <f t="shared" si="282"/>
        <v/>
      </c>
      <c r="AX491" s="32" t="str">
        <f t="shared" si="283"/>
        <v/>
      </c>
      <c r="AY491" s="32" t="str">
        <f t="shared" si="284"/>
        <v/>
      </c>
      <c r="BA491" s="32" t="str">
        <f>IF($A492="","",F491*Summary!$Q$8)</f>
        <v/>
      </c>
    </row>
    <row r="492" spans="1:53">
      <c r="A492" s="67" t="str">
        <f t="shared" si="285"/>
        <v/>
      </c>
      <c r="B492" s="69">
        <f t="shared" si="286"/>
        <v>0</v>
      </c>
      <c r="D492" s="69" t="str">
        <f t="shared" si="259"/>
        <v/>
      </c>
      <c r="E492" s="70" t="str">
        <f t="shared" si="260"/>
        <v/>
      </c>
      <c r="F492" s="70" t="str">
        <f t="shared" si="261"/>
        <v/>
      </c>
      <c r="G492" s="63" t="str">
        <f t="shared" si="262"/>
        <v/>
      </c>
      <c r="H492" s="64" t="str">
        <f t="shared" si="263"/>
        <v/>
      </c>
      <c r="J492" s="63" t="str">
        <f t="shared" si="264"/>
        <v/>
      </c>
      <c r="K492" s="64" t="str">
        <f t="shared" si="265"/>
        <v/>
      </c>
      <c r="L492" s="63" t="str">
        <f t="shared" si="266"/>
        <v/>
      </c>
      <c r="M492" s="64" t="str">
        <f t="shared" si="267"/>
        <v/>
      </c>
      <c r="O492" s="63" t="str">
        <f t="shared" si="268"/>
        <v/>
      </c>
      <c r="P492" s="63" t="str">
        <f t="shared" si="269"/>
        <v/>
      </c>
      <c r="R492" s="63" t="str">
        <f t="shared" si="270"/>
        <v/>
      </c>
      <c r="S492" s="64" t="str">
        <f t="shared" si="271"/>
        <v/>
      </c>
      <c r="T492" s="63" t="str">
        <f t="shared" si="272"/>
        <v/>
      </c>
      <c r="U492" s="64" t="str">
        <f t="shared" si="273"/>
        <v/>
      </c>
      <c r="V492" s="207" t="str">
        <f>IF($A493="","",IF(AND(MONTH(A492)&gt;3,MONTH(A492)&lt;11),(T492+R492+G492)*Summary!$T$8/(1-Summary!$T$8),(T492+R492+G492)*Summary!$U$8/(1-Summary!$U$8)))</f>
        <v/>
      </c>
      <c r="W492" s="63" t="str">
        <f t="shared" si="274"/>
        <v/>
      </c>
      <c r="X492" s="63" t="str">
        <f t="shared" si="275"/>
        <v/>
      </c>
      <c r="Y492" s="43"/>
      <c r="AJ492" s="86"/>
      <c r="AK492" s="86"/>
      <c r="AL492" s="86"/>
      <c r="AM492" s="86"/>
      <c r="AN492" s="86"/>
      <c r="AO492" s="3" t="str">
        <f t="shared" si="276"/>
        <v/>
      </c>
      <c r="AP492" s="33" t="str">
        <f t="shared" si="277"/>
        <v/>
      </c>
      <c r="AQ492" s="58" t="str">
        <f t="shared" si="278"/>
        <v/>
      </c>
      <c r="AR492" s="38">
        <f>'ANR OK vs ML7'!AR492</f>
        <v>0.1</v>
      </c>
      <c r="AS492" s="35" t="str">
        <f t="shared" si="279"/>
        <v/>
      </c>
      <c r="AT492" s="3" t="str">
        <f t="shared" si="280"/>
        <v/>
      </c>
      <c r="AU492" s="3" t="str">
        <f t="shared" si="281"/>
        <v/>
      </c>
      <c r="AW492" s="32" t="str">
        <f t="shared" si="282"/>
        <v/>
      </c>
      <c r="AX492" s="32" t="str">
        <f t="shared" si="283"/>
        <v/>
      </c>
      <c r="AY492" s="32" t="str">
        <f t="shared" si="284"/>
        <v/>
      </c>
      <c r="BA492" s="32" t="str">
        <f>IF($A493="","",F492*Summary!$Q$8)</f>
        <v/>
      </c>
    </row>
    <row r="493" spans="1:53">
      <c r="A493" s="67" t="str">
        <f t="shared" si="285"/>
        <v/>
      </c>
      <c r="B493" s="69">
        <f t="shared" si="286"/>
        <v>0</v>
      </c>
      <c r="D493" s="69" t="str">
        <f t="shared" si="259"/>
        <v/>
      </c>
      <c r="E493" s="70" t="str">
        <f t="shared" si="260"/>
        <v/>
      </c>
      <c r="F493" s="70" t="str">
        <f t="shared" si="261"/>
        <v/>
      </c>
      <c r="G493" s="63" t="str">
        <f t="shared" si="262"/>
        <v/>
      </c>
      <c r="H493" s="64" t="str">
        <f t="shared" si="263"/>
        <v/>
      </c>
      <c r="J493" s="63" t="str">
        <f t="shared" si="264"/>
        <v/>
      </c>
      <c r="K493" s="64" t="str">
        <f t="shared" si="265"/>
        <v/>
      </c>
      <c r="L493" s="63" t="str">
        <f t="shared" si="266"/>
        <v/>
      </c>
      <c r="M493" s="64" t="str">
        <f t="shared" si="267"/>
        <v/>
      </c>
      <c r="O493" s="63" t="str">
        <f t="shared" si="268"/>
        <v/>
      </c>
      <c r="P493" s="63" t="str">
        <f t="shared" si="269"/>
        <v/>
      </c>
      <c r="R493" s="63" t="str">
        <f t="shared" si="270"/>
        <v/>
      </c>
      <c r="S493" s="64" t="str">
        <f t="shared" si="271"/>
        <v/>
      </c>
      <c r="T493" s="63" t="str">
        <f t="shared" si="272"/>
        <v/>
      </c>
      <c r="U493" s="64" t="str">
        <f t="shared" si="273"/>
        <v/>
      </c>
      <c r="V493" s="207" t="str">
        <f>IF($A494="","",IF(AND(MONTH(A493)&gt;3,MONTH(A493)&lt;11),(T493+R493+G493)*Summary!$T$8/(1-Summary!$T$8),(T493+R493+G493)*Summary!$U$8/(1-Summary!$U$8)))</f>
        <v/>
      </c>
      <c r="W493" s="63" t="str">
        <f t="shared" si="274"/>
        <v/>
      </c>
      <c r="X493" s="63" t="str">
        <f t="shared" si="275"/>
        <v/>
      </c>
      <c r="Y493" s="43"/>
      <c r="AJ493" s="86"/>
      <c r="AK493" s="86"/>
      <c r="AL493" s="86"/>
      <c r="AM493" s="86"/>
      <c r="AN493" s="86"/>
      <c r="AO493" s="3" t="str">
        <f t="shared" si="276"/>
        <v/>
      </c>
      <c r="AP493" s="33" t="str">
        <f t="shared" si="277"/>
        <v/>
      </c>
      <c r="AQ493" s="58" t="str">
        <f t="shared" si="278"/>
        <v/>
      </c>
      <c r="AR493" s="38">
        <f>'ANR OK vs ML7'!AR493</f>
        <v>0.1</v>
      </c>
      <c r="AS493" s="35" t="str">
        <f t="shared" si="279"/>
        <v/>
      </c>
      <c r="AT493" s="3" t="str">
        <f t="shared" si="280"/>
        <v/>
      </c>
      <c r="AU493" s="3" t="str">
        <f t="shared" si="281"/>
        <v/>
      </c>
      <c r="AW493" s="32" t="str">
        <f t="shared" si="282"/>
        <v/>
      </c>
      <c r="AX493" s="32" t="str">
        <f t="shared" si="283"/>
        <v/>
      </c>
      <c r="AY493" s="32" t="str">
        <f t="shared" si="284"/>
        <v/>
      </c>
      <c r="BA493" s="32" t="str">
        <f>IF($A494="","",F493*Summary!$Q$8)</f>
        <v/>
      </c>
    </row>
    <row r="494" spans="1:53">
      <c r="A494" s="67" t="str">
        <f t="shared" si="285"/>
        <v/>
      </c>
      <c r="B494" s="69">
        <f t="shared" si="286"/>
        <v>0</v>
      </c>
      <c r="D494" s="69" t="str">
        <f t="shared" si="259"/>
        <v/>
      </c>
      <c r="E494" s="70" t="str">
        <f t="shared" si="260"/>
        <v/>
      </c>
      <c r="F494" s="70" t="str">
        <f t="shared" si="261"/>
        <v/>
      </c>
      <c r="G494" s="63" t="str">
        <f t="shared" si="262"/>
        <v/>
      </c>
      <c r="H494" s="64" t="str">
        <f t="shared" si="263"/>
        <v/>
      </c>
      <c r="J494" s="63" t="str">
        <f t="shared" si="264"/>
        <v/>
      </c>
      <c r="K494" s="64" t="str">
        <f t="shared" si="265"/>
        <v/>
      </c>
      <c r="L494" s="63" t="str">
        <f t="shared" si="266"/>
        <v/>
      </c>
      <c r="M494" s="64" t="str">
        <f t="shared" si="267"/>
        <v/>
      </c>
      <c r="O494" s="63" t="str">
        <f t="shared" si="268"/>
        <v/>
      </c>
      <c r="P494" s="63" t="str">
        <f t="shared" si="269"/>
        <v/>
      </c>
      <c r="R494" s="63" t="str">
        <f t="shared" si="270"/>
        <v/>
      </c>
      <c r="S494" s="64" t="str">
        <f t="shared" si="271"/>
        <v/>
      </c>
      <c r="T494" s="63" t="str">
        <f t="shared" si="272"/>
        <v/>
      </c>
      <c r="U494" s="64" t="str">
        <f t="shared" si="273"/>
        <v/>
      </c>
      <c r="V494" s="207" t="str">
        <f>IF($A495="","",IF(AND(MONTH(A494)&gt;3,MONTH(A494)&lt;11),(T494+R494+G494)*Summary!$T$8/(1-Summary!$T$8),(T494+R494+G494)*Summary!$U$8/(1-Summary!$U$8)))</f>
        <v/>
      </c>
      <c r="W494" s="63" t="str">
        <f t="shared" si="274"/>
        <v/>
      </c>
      <c r="X494" s="63" t="str">
        <f t="shared" si="275"/>
        <v/>
      </c>
      <c r="Y494" s="43"/>
      <c r="AJ494" s="86"/>
      <c r="AK494" s="86"/>
      <c r="AL494" s="86"/>
      <c r="AM494" s="86"/>
      <c r="AN494" s="86"/>
      <c r="AO494" s="3" t="str">
        <f t="shared" si="276"/>
        <v/>
      </c>
      <c r="AP494" s="33" t="str">
        <f t="shared" si="277"/>
        <v/>
      </c>
      <c r="AQ494" s="58" t="str">
        <f t="shared" si="278"/>
        <v/>
      </c>
      <c r="AR494" s="38">
        <f>'ANR OK vs ML7'!AR494</f>
        <v>0.1</v>
      </c>
      <c r="AS494" s="35" t="str">
        <f t="shared" si="279"/>
        <v/>
      </c>
      <c r="AT494" s="3" t="str">
        <f t="shared" si="280"/>
        <v/>
      </c>
      <c r="AU494" s="3" t="str">
        <f t="shared" si="281"/>
        <v/>
      </c>
      <c r="AW494" s="32" t="str">
        <f t="shared" si="282"/>
        <v/>
      </c>
      <c r="AX494" s="32" t="str">
        <f t="shared" si="283"/>
        <v/>
      </c>
      <c r="AY494" s="32" t="str">
        <f t="shared" si="284"/>
        <v/>
      </c>
      <c r="BA494" s="32" t="str">
        <f>IF($A495="","",F494*Summary!$Q$8)</f>
        <v/>
      </c>
    </row>
    <row r="495" spans="1:53">
      <c r="A495" s="67" t="str">
        <f t="shared" si="285"/>
        <v/>
      </c>
      <c r="B495" s="69">
        <f t="shared" si="286"/>
        <v>0</v>
      </c>
      <c r="D495" s="69" t="str">
        <f t="shared" si="259"/>
        <v/>
      </c>
      <c r="E495" s="70" t="str">
        <f t="shared" si="260"/>
        <v/>
      </c>
      <c r="F495" s="70" t="str">
        <f t="shared" si="261"/>
        <v/>
      </c>
      <c r="G495" s="63" t="str">
        <f t="shared" si="262"/>
        <v/>
      </c>
      <c r="H495" s="64" t="str">
        <f t="shared" si="263"/>
        <v/>
      </c>
      <c r="J495" s="63" t="str">
        <f t="shared" si="264"/>
        <v/>
      </c>
      <c r="K495" s="64" t="str">
        <f t="shared" si="265"/>
        <v/>
      </c>
      <c r="L495" s="63" t="str">
        <f t="shared" si="266"/>
        <v/>
      </c>
      <c r="M495" s="64" t="str">
        <f t="shared" si="267"/>
        <v/>
      </c>
      <c r="O495" s="63" t="str">
        <f t="shared" si="268"/>
        <v/>
      </c>
      <c r="P495" s="63" t="str">
        <f t="shared" si="269"/>
        <v/>
      </c>
      <c r="R495" s="63" t="str">
        <f t="shared" si="270"/>
        <v/>
      </c>
      <c r="S495" s="64" t="str">
        <f t="shared" si="271"/>
        <v/>
      </c>
      <c r="T495" s="63" t="str">
        <f t="shared" si="272"/>
        <v/>
      </c>
      <c r="U495" s="64" t="str">
        <f t="shared" si="273"/>
        <v/>
      </c>
      <c r="V495" s="207" t="str">
        <f>IF($A496="","",IF(AND(MONTH(A495)&gt;3,MONTH(A495)&lt;11),(T495+R495+G495)*Summary!$T$8/(1-Summary!$T$8),(T495+R495+G495)*Summary!$U$8/(1-Summary!$U$8)))</f>
        <v/>
      </c>
      <c r="W495" s="63" t="str">
        <f t="shared" si="274"/>
        <v/>
      </c>
      <c r="X495" s="63" t="str">
        <f t="shared" si="275"/>
        <v/>
      </c>
      <c r="Y495" s="43"/>
      <c r="AJ495" s="86"/>
      <c r="AK495" s="86"/>
      <c r="AL495" s="86"/>
      <c r="AM495" s="86"/>
      <c r="AN495" s="86"/>
      <c r="AO495" s="3" t="str">
        <f t="shared" si="276"/>
        <v/>
      </c>
      <c r="AP495" s="33" t="str">
        <f t="shared" si="277"/>
        <v/>
      </c>
      <c r="AQ495" s="58" t="str">
        <f t="shared" si="278"/>
        <v/>
      </c>
      <c r="AR495" s="38">
        <f>'ANR OK vs ML7'!AR495</f>
        <v>0.1</v>
      </c>
      <c r="AS495" s="35" t="str">
        <f t="shared" si="279"/>
        <v/>
      </c>
      <c r="AT495" s="3" t="str">
        <f t="shared" si="280"/>
        <v/>
      </c>
      <c r="AU495" s="3" t="str">
        <f t="shared" si="281"/>
        <v/>
      </c>
      <c r="AW495" s="32" t="str">
        <f t="shared" si="282"/>
        <v/>
      </c>
      <c r="AX495" s="32" t="str">
        <f t="shared" si="283"/>
        <v/>
      </c>
      <c r="AY495" s="32" t="str">
        <f t="shared" si="284"/>
        <v/>
      </c>
      <c r="BA495" s="32" t="str">
        <f>IF($A496="","",F495*Summary!$Q$8)</f>
        <v/>
      </c>
    </row>
    <row r="496" spans="1:53">
      <c r="A496" s="67" t="str">
        <f t="shared" si="285"/>
        <v/>
      </c>
      <c r="B496" s="69">
        <f t="shared" si="286"/>
        <v>0</v>
      </c>
      <c r="D496" s="69" t="str">
        <f t="shared" si="259"/>
        <v/>
      </c>
      <c r="E496" s="70" t="str">
        <f t="shared" si="260"/>
        <v/>
      </c>
      <c r="F496" s="70" t="str">
        <f t="shared" si="261"/>
        <v/>
      </c>
      <c r="G496" s="63" t="str">
        <f t="shared" si="262"/>
        <v/>
      </c>
      <c r="H496" s="64" t="str">
        <f t="shared" si="263"/>
        <v/>
      </c>
      <c r="J496" s="63" t="str">
        <f t="shared" si="264"/>
        <v/>
      </c>
      <c r="K496" s="64" t="str">
        <f t="shared" si="265"/>
        <v/>
      </c>
      <c r="L496" s="63" t="str">
        <f t="shared" si="266"/>
        <v/>
      </c>
      <c r="M496" s="64" t="str">
        <f t="shared" si="267"/>
        <v/>
      </c>
      <c r="O496" s="63" t="str">
        <f t="shared" si="268"/>
        <v/>
      </c>
      <c r="P496" s="63" t="str">
        <f t="shared" si="269"/>
        <v/>
      </c>
      <c r="R496" s="63" t="str">
        <f t="shared" si="270"/>
        <v/>
      </c>
      <c r="S496" s="64" t="str">
        <f t="shared" si="271"/>
        <v/>
      </c>
      <c r="T496" s="63" t="str">
        <f t="shared" si="272"/>
        <v/>
      </c>
      <c r="U496" s="64" t="str">
        <f t="shared" si="273"/>
        <v/>
      </c>
      <c r="V496" s="207" t="str">
        <f>IF($A497="","",IF(AND(MONTH(A496)&gt;3,MONTH(A496)&lt;11),(T496+R496+G496)*Summary!$T$8/(1-Summary!$T$8),(T496+R496+G496)*Summary!$U$8/(1-Summary!$U$8)))</f>
        <v/>
      </c>
      <c r="W496" s="63" t="str">
        <f t="shared" si="274"/>
        <v/>
      </c>
      <c r="X496" s="63" t="str">
        <f t="shared" si="275"/>
        <v/>
      </c>
      <c r="Y496" s="43"/>
      <c r="AJ496" s="86"/>
      <c r="AK496" s="86"/>
      <c r="AL496" s="86"/>
      <c r="AM496" s="86"/>
      <c r="AN496" s="86"/>
      <c r="AO496" s="3" t="str">
        <f t="shared" si="276"/>
        <v/>
      </c>
      <c r="AP496" s="33" t="str">
        <f t="shared" si="277"/>
        <v/>
      </c>
      <c r="AQ496" s="58" t="str">
        <f t="shared" si="278"/>
        <v/>
      </c>
      <c r="AR496" s="38">
        <f>'ANR OK vs ML7'!AR496</f>
        <v>0.1</v>
      </c>
      <c r="AS496" s="35" t="str">
        <f t="shared" si="279"/>
        <v/>
      </c>
      <c r="AT496" s="3" t="str">
        <f t="shared" si="280"/>
        <v/>
      </c>
      <c r="AU496" s="3" t="str">
        <f t="shared" si="281"/>
        <v/>
      </c>
      <c r="AW496" s="32" t="str">
        <f t="shared" si="282"/>
        <v/>
      </c>
      <c r="AX496" s="32" t="str">
        <f t="shared" si="283"/>
        <v/>
      </c>
      <c r="AY496" s="32" t="str">
        <f t="shared" si="284"/>
        <v/>
      </c>
      <c r="BA496" s="32" t="str">
        <f>IF($A497="","",F496*Summary!$Q$8)</f>
        <v/>
      </c>
    </row>
    <row r="497" spans="1:242">
      <c r="A497" s="67" t="str">
        <f t="shared" si="285"/>
        <v/>
      </c>
      <c r="B497" s="69">
        <f t="shared" si="286"/>
        <v>0</v>
      </c>
      <c r="D497" s="69" t="str">
        <f t="shared" si="259"/>
        <v/>
      </c>
      <c r="E497" s="70" t="str">
        <f t="shared" si="260"/>
        <v/>
      </c>
      <c r="F497" s="70" t="str">
        <f t="shared" si="261"/>
        <v/>
      </c>
      <c r="G497" s="63" t="str">
        <f t="shared" si="262"/>
        <v/>
      </c>
      <c r="H497" s="64" t="str">
        <f t="shared" si="263"/>
        <v/>
      </c>
      <c r="J497" s="63" t="str">
        <f t="shared" si="264"/>
        <v/>
      </c>
      <c r="K497" s="64" t="str">
        <f t="shared" si="265"/>
        <v/>
      </c>
      <c r="L497" s="63" t="str">
        <f t="shared" si="266"/>
        <v/>
      </c>
      <c r="M497" s="64" t="str">
        <f t="shared" si="267"/>
        <v/>
      </c>
      <c r="O497" s="63" t="str">
        <f t="shared" si="268"/>
        <v/>
      </c>
      <c r="P497" s="63" t="str">
        <f t="shared" si="269"/>
        <v/>
      </c>
      <c r="R497" s="63" t="str">
        <f t="shared" si="270"/>
        <v/>
      </c>
      <c r="S497" s="64" t="str">
        <f t="shared" si="271"/>
        <v/>
      </c>
      <c r="T497" s="63" t="str">
        <f t="shared" si="272"/>
        <v/>
      </c>
      <c r="U497" s="64" t="str">
        <f t="shared" si="273"/>
        <v/>
      </c>
      <c r="V497" s="207" t="str">
        <f>IF($A498="","",IF(AND(MONTH(A497)&gt;3,MONTH(A497)&lt;11),(T497+R497+G497)*Summary!$T$8/(1-Summary!$T$8),(T497+R497+G497)*Summary!$U$8/(1-Summary!$U$8)))</f>
        <v/>
      </c>
      <c r="W497" s="63" t="str">
        <f t="shared" si="274"/>
        <v/>
      </c>
      <c r="X497" s="63" t="str">
        <f t="shared" si="275"/>
        <v/>
      </c>
      <c r="Y497" s="43"/>
      <c r="AJ497" s="86"/>
      <c r="AK497" s="86"/>
      <c r="AL497" s="86"/>
      <c r="AM497" s="86"/>
      <c r="AN497" s="86"/>
      <c r="AO497" s="3" t="str">
        <f t="shared" si="276"/>
        <v/>
      </c>
      <c r="AP497" s="33" t="str">
        <f t="shared" si="277"/>
        <v/>
      </c>
      <c r="AQ497" s="58" t="str">
        <f t="shared" si="278"/>
        <v/>
      </c>
      <c r="AR497" s="38">
        <f>'ANR OK vs ML7'!AR497</f>
        <v>0.1</v>
      </c>
      <c r="AS497" s="35" t="str">
        <f t="shared" si="279"/>
        <v/>
      </c>
      <c r="AT497" s="3" t="str">
        <f t="shared" si="280"/>
        <v/>
      </c>
      <c r="AU497" s="3" t="str">
        <f t="shared" si="281"/>
        <v/>
      </c>
      <c r="AW497" s="32" t="str">
        <f t="shared" si="282"/>
        <v/>
      </c>
      <c r="AX497" s="32" t="str">
        <f t="shared" si="283"/>
        <v/>
      </c>
      <c r="AY497" s="32" t="str">
        <f t="shared" si="284"/>
        <v/>
      </c>
      <c r="BA497" s="32" t="str">
        <f>IF($A498="","",F497*Summary!$Q$8)</f>
        <v/>
      </c>
    </row>
    <row r="498" spans="1:242">
      <c r="A498" s="67" t="str">
        <f t="shared" si="285"/>
        <v/>
      </c>
      <c r="B498" s="69">
        <f t="shared" si="286"/>
        <v>0</v>
      </c>
      <c r="D498" s="69" t="str">
        <f t="shared" si="259"/>
        <v/>
      </c>
      <c r="E498" s="70" t="str">
        <f t="shared" si="260"/>
        <v/>
      </c>
      <c r="F498" s="70" t="str">
        <f t="shared" si="261"/>
        <v/>
      </c>
      <c r="G498" s="63" t="str">
        <f t="shared" si="262"/>
        <v/>
      </c>
      <c r="H498" s="64" t="str">
        <f t="shared" si="263"/>
        <v/>
      </c>
      <c r="J498" s="63" t="str">
        <f t="shared" si="264"/>
        <v/>
      </c>
      <c r="K498" s="64" t="str">
        <f t="shared" si="265"/>
        <v/>
      </c>
      <c r="L498" s="63" t="str">
        <f t="shared" si="266"/>
        <v/>
      </c>
      <c r="M498" s="64" t="str">
        <f t="shared" si="267"/>
        <v/>
      </c>
      <c r="O498" s="63" t="str">
        <f t="shared" si="268"/>
        <v/>
      </c>
      <c r="P498" s="63" t="str">
        <f t="shared" si="269"/>
        <v/>
      </c>
      <c r="R498" s="63" t="str">
        <f t="shared" si="270"/>
        <v/>
      </c>
      <c r="S498" s="64" t="str">
        <f t="shared" si="271"/>
        <v/>
      </c>
      <c r="T498" s="63" t="str">
        <f t="shared" si="272"/>
        <v/>
      </c>
      <c r="U498" s="64" t="str">
        <f t="shared" si="273"/>
        <v/>
      </c>
      <c r="V498" s="207" t="str">
        <f>IF($A499="","",IF(AND(MONTH(A498)&gt;3,MONTH(A498)&lt;11),(T498+R498+G498)*Summary!$T$8/(1-Summary!$T$8),(T498+R498+G498)*Summary!$U$8/(1-Summary!$U$8)))</f>
        <v/>
      </c>
      <c r="W498" s="63" t="str">
        <f t="shared" si="274"/>
        <v/>
      </c>
      <c r="X498" s="63" t="str">
        <f t="shared" si="275"/>
        <v/>
      </c>
      <c r="Y498" s="43"/>
      <c r="AJ498" s="86"/>
      <c r="AK498" s="86"/>
      <c r="AL498" s="86"/>
      <c r="AM498" s="86"/>
      <c r="AN498" s="86"/>
      <c r="AO498" s="3" t="str">
        <f t="shared" si="276"/>
        <v/>
      </c>
      <c r="AP498" s="33" t="str">
        <f t="shared" si="277"/>
        <v/>
      </c>
      <c r="AQ498" s="58" t="str">
        <f t="shared" si="278"/>
        <v/>
      </c>
      <c r="AR498" s="38">
        <f>'ANR OK vs ML7'!AR498</f>
        <v>0.1</v>
      </c>
      <c r="AS498" s="35" t="str">
        <f t="shared" si="279"/>
        <v/>
      </c>
      <c r="AT498" s="3" t="str">
        <f t="shared" si="280"/>
        <v/>
      </c>
      <c r="AU498" s="3" t="str">
        <f t="shared" si="281"/>
        <v/>
      </c>
      <c r="AW498" s="32" t="str">
        <f t="shared" si="282"/>
        <v/>
      </c>
      <c r="AX498" s="32" t="str">
        <f t="shared" si="283"/>
        <v/>
      </c>
      <c r="AY498" s="32" t="str">
        <f t="shared" si="284"/>
        <v/>
      </c>
      <c r="BA498" s="32" t="str">
        <f>IF($A499="","",F498*Summary!$Q$8)</f>
        <v/>
      </c>
    </row>
    <row r="499" spans="1:242">
      <c r="A499" s="67" t="str">
        <f t="shared" si="285"/>
        <v/>
      </c>
      <c r="B499" s="69">
        <f t="shared" si="286"/>
        <v>0</v>
      </c>
      <c r="D499" s="69" t="str">
        <f t="shared" si="259"/>
        <v/>
      </c>
      <c r="E499" s="70" t="str">
        <f t="shared" si="260"/>
        <v/>
      </c>
      <c r="F499" s="70" t="str">
        <f t="shared" si="261"/>
        <v/>
      </c>
      <c r="G499" s="63" t="str">
        <f t="shared" si="262"/>
        <v/>
      </c>
      <c r="H499" s="64" t="str">
        <f t="shared" si="263"/>
        <v/>
      </c>
      <c r="J499" s="63" t="str">
        <f t="shared" si="264"/>
        <v/>
      </c>
      <c r="K499" s="64" t="str">
        <f t="shared" si="265"/>
        <v/>
      </c>
      <c r="L499" s="63" t="str">
        <f t="shared" si="266"/>
        <v/>
      </c>
      <c r="M499" s="64" t="str">
        <f t="shared" si="267"/>
        <v/>
      </c>
      <c r="O499" s="63" t="str">
        <f t="shared" si="268"/>
        <v/>
      </c>
      <c r="P499" s="63" t="str">
        <f t="shared" si="269"/>
        <v/>
      </c>
      <c r="R499" s="63" t="str">
        <f t="shared" si="270"/>
        <v/>
      </c>
      <c r="S499" s="64" t="str">
        <f t="shared" si="271"/>
        <v/>
      </c>
      <c r="T499" s="63" t="str">
        <f t="shared" si="272"/>
        <v/>
      </c>
      <c r="U499" s="64" t="str">
        <f t="shared" si="273"/>
        <v/>
      </c>
      <c r="V499" s="207" t="str">
        <f>IF($A500="","",IF(AND(MONTH(A499)&gt;3,MONTH(A499)&lt;11),(T499+R499+G499)*Summary!$T$8/(1-Summary!$T$8),(T499+R499+G499)*Summary!$U$8/(1-Summary!$U$8)))</f>
        <v/>
      </c>
      <c r="W499" s="63" t="str">
        <f t="shared" si="274"/>
        <v/>
      </c>
      <c r="X499" s="63" t="str">
        <f t="shared" si="275"/>
        <v/>
      </c>
      <c r="Y499" s="43"/>
      <c r="AJ499" s="86"/>
      <c r="AK499" s="86"/>
      <c r="AL499" s="86"/>
      <c r="AM499" s="86"/>
      <c r="AN499" s="86"/>
      <c r="AO499" s="3" t="str">
        <f t="shared" si="276"/>
        <v/>
      </c>
      <c r="AP499" s="33" t="str">
        <f t="shared" si="277"/>
        <v/>
      </c>
      <c r="AQ499" s="58" t="str">
        <f t="shared" si="278"/>
        <v/>
      </c>
      <c r="AR499" s="38">
        <f>'ANR OK vs ML7'!AR499</f>
        <v>0.1</v>
      </c>
      <c r="AS499" s="35" t="str">
        <f t="shared" si="279"/>
        <v/>
      </c>
      <c r="AT499" s="3" t="str">
        <f t="shared" si="280"/>
        <v/>
      </c>
      <c r="AU499" s="3" t="str">
        <f t="shared" si="281"/>
        <v/>
      </c>
      <c r="AW499" s="32" t="str">
        <f t="shared" si="282"/>
        <v/>
      </c>
      <c r="AX499" s="32" t="str">
        <f t="shared" si="283"/>
        <v/>
      </c>
      <c r="AY499" s="32" t="str">
        <f t="shared" si="284"/>
        <v/>
      </c>
      <c r="BA499" s="32" t="str">
        <f>IF($A500="","",F499*Summary!$Q$8)</f>
        <v/>
      </c>
    </row>
    <row r="500" spans="1:242">
      <c r="A500" s="67" t="str">
        <f t="shared" si="285"/>
        <v/>
      </c>
      <c r="B500" s="69">
        <f t="shared" si="286"/>
        <v>0</v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82"/>
        <v/>
      </c>
      <c r="AX500" s="32" t="str">
        <f t="shared" si="283"/>
        <v/>
      </c>
      <c r="AY500" s="32" t="str">
        <f t="shared" si="284"/>
        <v/>
      </c>
      <c r="BA500" s="32" t="str">
        <f>IF($A501="","",F500*Summary!$Q$8)</f>
        <v/>
      </c>
    </row>
    <row r="501" spans="1:242">
      <c r="A501" s="67" t="str">
        <f t="shared" si="285"/>
        <v/>
      </c>
      <c r="B501" s="69">
        <f t="shared" si="286"/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82"/>
        <v/>
      </c>
      <c r="AX501" s="32" t="str">
        <f t="shared" si="283"/>
        <v/>
      </c>
      <c r="AY501" s="32" t="str">
        <f t="shared" si="284"/>
        <v/>
      </c>
      <c r="AZ501" s="1">
        <v>0</v>
      </c>
      <c r="BA501" s="32" t="str">
        <f>IF($A502="","",F501*Summary!$Q$8)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1"/>
  <dimension ref="A1:IH722"/>
  <sheetViews>
    <sheetView showGridLines="0" topLeftCell="L1" zoomScale="80" workbookViewId="0">
      <selection activeCell="AH8" sqref="AH8"/>
    </sheetView>
  </sheetViews>
  <sheetFormatPr defaultRowHeight="12.75"/>
  <cols>
    <col min="1" max="1" width="14.140625" style="1" customWidth="1"/>
    <col min="2" max="2" width="14.5703125" style="1" customWidth="1"/>
    <col min="3" max="3" width="5.140625" style="1" customWidth="1"/>
    <col min="4" max="4" width="16.42578125" style="1" customWidth="1"/>
    <col min="5" max="5" width="14.85546875" style="1" bestFit="1" customWidth="1"/>
    <col min="6" max="6" width="13.85546875" style="1" bestFit="1" customWidth="1"/>
    <col min="7" max="7" width="10.7109375" style="1" customWidth="1"/>
    <col min="8" max="8" width="14.5703125" style="1" bestFit="1" customWidth="1"/>
    <col min="9" max="9" width="10" style="1" customWidth="1"/>
    <col min="10" max="10" width="20.140625" style="1" bestFit="1" customWidth="1"/>
    <col min="11" max="11" width="17.85546875" style="1" bestFit="1" customWidth="1"/>
    <col min="12" max="12" width="19.140625" style="1" bestFit="1" customWidth="1"/>
    <col min="13" max="13" width="15" style="1" bestFit="1" customWidth="1"/>
    <col min="14" max="14" width="1.42578125" style="1" customWidth="1"/>
    <col min="15" max="15" width="15" style="1" bestFit="1" customWidth="1"/>
    <col min="16" max="16" width="16.85546875" style="1" bestFit="1" customWidth="1"/>
    <col min="17" max="17" width="3" style="1" customWidth="1"/>
    <col min="18" max="18" width="20.140625" style="1" customWidth="1"/>
    <col min="19" max="19" width="17.85546875" style="1" customWidth="1"/>
    <col min="20" max="20" width="21.5703125" style="1" customWidth="1"/>
    <col min="21" max="21" width="15" style="1" customWidth="1"/>
    <col min="22" max="22" width="10.42578125" style="1" customWidth="1"/>
    <col min="23" max="23" width="15" style="1" bestFit="1" customWidth="1"/>
    <col min="24" max="24" width="16.85546875" style="1" bestFit="1" customWidth="1"/>
    <col min="25" max="25" width="2" style="1" customWidth="1"/>
    <col min="26" max="26" width="16" style="3" customWidth="1"/>
    <col min="27" max="27" width="20.28515625" style="3" customWidth="1"/>
    <col min="28" max="28" width="15.28515625" style="3" customWidth="1"/>
    <col min="29" max="29" width="20.28515625" style="3" customWidth="1"/>
    <col min="30" max="31" width="15.7109375" style="3" customWidth="1"/>
    <col min="32" max="32" width="16.7109375" style="3" customWidth="1"/>
    <col min="33" max="33" width="13.28515625" style="3" customWidth="1"/>
    <col min="34" max="34" width="14.42578125" style="3" customWidth="1"/>
    <col min="35" max="35" width="16.7109375" style="3" customWidth="1"/>
    <col min="36" max="36" width="12.5703125" style="1" customWidth="1"/>
    <col min="37" max="37" width="10.7109375" style="1" customWidth="1"/>
    <col min="38" max="40" width="9.140625" style="1"/>
    <col min="41" max="41" width="8.28515625" style="3" bestFit="1" customWidth="1"/>
    <col min="42" max="43" width="8.5703125" style="3" bestFit="1" customWidth="1"/>
    <col min="44" max="44" width="11.7109375" style="3" bestFit="1" customWidth="1"/>
    <col min="45" max="45" width="10.28515625" style="3" bestFit="1" customWidth="1"/>
    <col min="46" max="46" width="7.5703125" style="3" bestFit="1" customWidth="1"/>
    <col min="47" max="47" width="6.42578125" style="3" bestFit="1" customWidth="1"/>
    <col min="48" max="48" width="1.42578125" style="1" customWidth="1"/>
    <col min="49" max="49" width="14.28515625" style="4" customWidth="1"/>
    <col min="50" max="51" width="14.28515625" style="1" customWidth="1"/>
    <col min="52" max="52" width="9.140625" style="1"/>
    <col min="53" max="53" width="15.140625" style="1" customWidth="1"/>
    <col min="54" max="54" width="9.140625" style="1"/>
    <col min="55" max="55" width="15" style="1" bestFit="1" customWidth="1"/>
    <col min="56" max="16384" width="9.140625" style="1"/>
  </cols>
  <sheetData>
    <row r="1" spans="1:55" ht="13.5" thickBot="1">
      <c r="A1" s="39" t="s">
        <v>62</v>
      </c>
      <c r="C1" s="40"/>
      <c r="D1" s="40" t="s">
        <v>15</v>
      </c>
      <c r="E1" s="57">
        <f ca="1">Summary!D9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Summary!J9</f>
        <v>NG_OMICRON_11</v>
      </c>
      <c r="AA1" s="24" t="str">
        <f>Summary!L9</f>
        <v>CGPR-DAWN</v>
      </c>
      <c r="AC1" s="24" t="str">
        <f>Summary!I9</f>
        <v>NG_OMICRON_3</v>
      </c>
      <c r="AD1" s="24" t="str">
        <f>Summary!K9</f>
        <v>IF-PAN/TX/OK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5" thickBot="1">
      <c r="A3" s="61">
        <f>Summary!E9</f>
        <v>37043</v>
      </c>
      <c r="B3" s="62">
        <f>Summary!F9</f>
        <v>42035</v>
      </c>
      <c r="C3" s="12"/>
      <c r="D3" s="12">
        <f>Summary!C9</f>
        <v>37025</v>
      </c>
      <c r="E3" s="13" t="str">
        <f>CONCATENATE(INT(AT8/12)," Y - ",AT8-INT(AT8/12)*12," M")</f>
        <v>13 Y - 8 M</v>
      </c>
      <c r="F3" s="59">
        <v>2</v>
      </c>
      <c r="G3" s="59">
        <v>1</v>
      </c>
      <c r="H3" s="44">
        <v>1</v>
      </c>
      <c r="I3" s="60">
        <f>Summary!P9</f>
        <v>0</v>
      </c>
      <c r="J3" s="171" t="str">
        <f>Summary!H9</f>
        <v>CGPR-DAWN</v>
      </c>
      <c r="K3" s="60" t="str">
        <f>J3</f>
        <v>CGPR-DAWN</v>
      </c>
      <c r="R3" s="171" t="str">
        <f>Summary!G9</f>
        <v>IF-PAN/TX/OK</v>
      </c>
      <c r="S3" s="60" t="str">
        <f>R3</f>
        <v>IF-PAN/TX/OK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  <c r="AH3" s="214"/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CGPR-DAWN-D</v>
      </c>
      <c r="K4" s="15" t="str">
        <f>J3</f>
        <v>CGPR-DAWN</v>
      </c>
      <c r="L4" s="41" t="str">
        <f>CONCATENATE(K3,"-","I")</f>
        <v>CGPR-DAWN-I</v>
      </c>
      <c r="M4" s="15" t="str">
        <f>K3</f>
        <v>CGPR-DAWN</v>
      </c>
      <c r="O4" s="15" t="str">
        <f>K4</f>
        <v>CGPR-DAWN</v>
      </c>
      <c r="P4" s="15" t="str">
        <f>J4</f>
        <v>CGPR-DAWN-D</v>
      </c>
      <c r="Q4" s="14"/>
      <c r="R4" s="41" t="str">
        <f>CONCATENATE(R3,"-","D")</f>
        <v>IF-PAN/TX/OK-D</v>
      </c>
      <c r="S4" s="15" t="str">
        <f>R3</f>
        <v>IF-PAN/TX/OK</v>
      </c>
      <c r="T4" s="41" t="str">
        <f>CONCATENATE(S3,"-","I")</f>
        <v>IF-PAN/TX/OK-I</v>
      </c>
      <c r="U4" s="15" t="str">
        <f>S3</f>
        <v>IF-PAN/TX/OK</v>
      </c>
      <c r="V4" s="15" t="s">
        <v>111</v>
      </c>
      <c r="W4" s="15" t="str">
        <f>S4</f>
        <v>IF-PAN/TX/OK</v>
      </c>
      <c r="X4" s="15" t="str">
        <f>R4</f>
        <v>IF-PAN/TX/OK-D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NG_OMICRON_3-P</v>
      </c>
      <c r="AD4" s="227" t="str">
        <f>IF(AD1="NG",CONCATENATE(AD1,"-","VO"),CONCATENATE(AD1,"-","P"))</f>
        <v>IF-PAN/TX/OK-P</v>
      </c>
      <c r="AE4" s="228" t="s">
        <v>93</v>
      </c>
      <c r="AF4" s="15" t="str">
        <f>J3</f>
        <v>CGPR-DAWN</v>
      </c>
      <c r="AG4" s="15" t="s">
        <v>81</v>
      </c>
      <c r="AH4" s="14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IF-PAN/TX/OK</v>
      </c>
      <c r="AG5" s="14" t="s">
        <v>125</v>
      </c>
      <c r="AH5" s="215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5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5" thickBot="1">
      <c r="A8" s="34" t="s">
        <v>31</v>
      </c>
      <c r="B8" s="25"/>
      <c r="C8" s="25"/>
      <c r="D8" s="25">
        <f>SUM(D10:D500)</f>
        <v>5912200</v>
      </c>
      <c r="E8" s="25">
        <f>SUM(E10:E500)</f>
        <v>179997650</v>
      </c>
      <c r="F8" s="25">
        <f ca="1">SUM(F10:F370)</f>
        <v>99342553.180863082</v>
      </c>
      <c r="G8" s="26">
        <f ca="1">SUMPRODUCT(G10:G499,$F$10:$F$499)/SUM($F$10:$F$499)</f>
        <v>4.3489122613790077</v>
      </c>
      <c r="H8" s="26">
        <f ca="1">SUMPRODUCT(H10:H499,$F$10:$F$499)/SUM($F$10:$F$499)</f>
        <v>4.3489122613790077</v>
      </c>
      <c r="I8" s="26"/>
      <c r="J8" s="26">
        <f ca="1">SUMPRODUCT(J10:J499,$F$10:$F$499)/SUM($F$10:$F$499)</f>
        <v>0.22856193698199523</v>
      </c>
      <c r="K8" s="26">
        <f ca="1">SUMPRODUCT(K10:K499,$F$10:$F$499)/SUM($F$10:$F$499)</f>
        <v>0.22856193698199523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4.5774741983610037</v>
      </c>
      <c r="P8" s="26">
        <f ca="1">SUMPRODUCT(P10:P499,$F$10:$F$499)/SUM($F$10:$F$499)</f>
        <v>4.5774741983610037</v>
      </c>
      <c r="Q8" s="26"/>
      <c r="R8" s="26">
        <f ca="1">SUMPRODUCT(R10:R499,$F$10:$F$499)/SUM($F$10:$F$499)</f>
        <v>-0.11306787374586232</v>
      </c>
      <c r="S8" s="26">
        <f ca="1">SUMPRODUCT(S10:S499,$F$10:$F$499)/SUM($F$10:$F$499)</f>
        <v>-0.11306787374586232</v>
      </c>
      <c r="T8" s="26">
        <f ca="1">SUMPRODUCT(T10:T499,$F$10:$F$499)/SUM($F$10:$F$499)</f>
        <v>-1.8425994378309656E-3</v>
      </c>
      <c r="U8" s="26">
        <f ca="1">SUMPRODUCT(U10:U499,$F$10:$F$499)/SUM($F$10:$F$499)</f>
        <v>-1.8425994378309656E-3</v>
      </c>
      <c r="V8" s="90">
        <f ca="1">SUMPRODUCT(V10:V499,F10:F499)/F8</f>
        <v>0.20276001437758132</v>
      </c>
      <c r="W8" s="26">
        <f ca="1">SUMPRODUCT(W10:W499,$F$10:$F$499)/SUM($F$10:$F$499)</f>
        <v>4.4367618025728959</v>
      </c>
      <c r="X8" s="26">
        <f ca="1">SUMPRODUCT(X10:X499,$F$10:$F$499)/SUM($F$10:$F$499)</f>
        <v>4.4367618025728959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SUMPRODUCT(AH10:AH300,F10:F300)/F8</f>
        <v>7.2045703880910111E-2</v>
      </c>
      <c r="AI8" s="26"/>
      <c r="AJ8" s="26"/>
      <c r="AK8" s="26"/>
      <c r="AL8" s="26">
        <f ca="1">AW8/$E8</f>
        <v>9.2343759580071585E-2</v>
      </c>
      <c r="AM8" s="26">
        <f ca="1">BC8/$F8</f>
        <v>6.8886959235676407E-2</v>
      </c>
      <c r="AN8" s="26">
        <f ca="1">AY8/$E8</f>
        <v>1.9433096555850952E-2</v>
      </c>
      <c r="AR8" s="27"/>
      <c r="AS8" s="11"/>
      <c r="AT8" s="28">
        <f>SUM(AT10:AT500)</f>
        <v>164</v>
      </c>
      <c r="AU8" s="28">
        <f>SUM(AU10:AU500)</f>
        <v>4993</v>
      </c>
      <c r="AW8" s="29">
        <f ca="1">SUM(AW10:AW501)</f>
        <v>16621659.716577873</v>
      </c>
      <c r="AX8" s="29">
        <f>SUM(AX10:AX501)</f>
        <v>13123748.004301606</v>
      </c>
      <c r="AY8" s="29">
        <f ca="1">SUM(AY10:AY501)</f>
        <v>3497911.712276265</v>
      </c>
      <c r="BA8" s="29">
        <f ca="1">SUM(BA10:BA501)</f>
        <v>0</v>
      </c>
      <c r="BC8" s="257">
        <f ca="1">SUM(BC10:BC501)</f>
        <v>6843406.4113381309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Summary!O9</f>
        <v>36050</v>
      </c>
      <c r="C10" s="68"/>
      <c r="D10" s="69">
        <f t="shared" ref="D10:D73" si="0">IF(A11&lt;&gt;"",B10+C10,"")</f>
        <v>36050</v>
      </c>
      <c r="E10" s="70">
        <f t="shared" ref="E10:E73" si="1">IF(A11="","",IF(AND(AT10=1,$H$3=1),D10*AO10,IF($H$3=2,D10,"N/A")))</f>
        <v>1081500</v>
      </c>
      <c r="F10" s="70">
        <f t="shared" ref="F10:F73" ca="1" si="2">IF(A11="","",E10*AS10)</f>
        <v>1076599.2601903265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L73" si="5">IF($A11="","",VLOOKUP($A10,Table,MATCH(J$4,Curves,0)))</f>
        <v>0.22</v>
      </c>
      <c r="K10" s="64">
        <f t="shared" ref="K10:K73" si="6">IF(A11="","",J10)</f>
        <v>0.22</v>
      </c>
      <c r="L10" s="63">
        <f t="shared" si="5"/>
        <v>0</v>
      </c>
      <c r="M10" s="64">
        <f t="shared" ref="M10:M73" si="7">IF(A11="","",L10)</f>
        <v>0</v>
      </c>
      <c r="N10" s="65"/>
      <c r="O10" s="63">
        <f t="shared" ref="O10:O73" si="8">IF(A11="","",L10+J10+G10)</f>
        <v>4.6139999999999999</v>
      </c>
      <c r="P10" s="63">
        <f t="shared" ref="P10:P73" si="9">IF(A11="","",M10+K10+H10)</f>
        <v>4.6139999999999999</v>
      </c>
      <c r="Q10" s="66"/>
      <c r="R10" s="63">
        <f t="shared" ref="R10:R73" si="10">IF($A11="","",VLOOKUP($A10,Table,MATCH(R$4,Curves,0)))</f>
        <v>-0.1</v>
      </c>
      <c r="S10" s="64">
        <f t="shared" ref="S10:S73" si="11">IF(A11="","",R10)</f>
        <v>-0.1</v>
      </c>
      <c r="T10" s="63">
        <f t="shared" ref="T10:T73" si="12">IF($A11="","",VLOOKUP($A10,Table,MATCH(T$4,Curves,0)))</f>
        <v>-0.01</v>
      </c>
      <c r="U10" s="64">
        <f t="shared" ref="U10:U73" si="13">IF(A11="","",T10)</f>
        <v>-0.01</v>
      </c>
      <c r="V10" s="327">
        <f>IF($A11="","",IF(AND(MONTH(A10)&gt;3,MONTH(A10)&lt;11),(T10+R10+G10)*Summary!$T$9/(1-Summary!$T$9),(T10+R10+G10)*Summary!$U$9/(1-Summary!$U$9)))</f>
        <v>0.20515435397673684</v>
      </c>
      <c r="W10" s="63">
        <f t="shared" ref="W10:W73" si="14">IF($A11="","",(T10+R10+G10+V10))</f>
        <v>4.4891543539767369</v>
      </c>
      <c r="X10" s="63">
        <f t="shared" ref="X10:X73" si="15">IF($A11="","",(U10+S10+H10+V10))</f>
        <v>4.4891543539767369</v>
      </c>
      <c r="Y10" s="43"/>
      <c r="Z10" s="38">
        <f t="shared" ref="Z10:Z73" si="16">IF($A11="","",VLOOKUP($A10,Table,MATCH(Z$4,Curves,0)))</f>
        <v>0.53</v>
      </c>
      <c r="AA10" s="38">
        <f t="shared" ref="AA10:AA73" si="17">IF($A11="","",VLOOKUP($A10,Table,MATCH(AA$4,Curves,0)))</f>
        <v>0.54</v>
      </c>
      <c r="AB10" s="38">
        <f t="shared" ref="AB10:AB73" ca="1" si="18">SQRT((AA10^2*(A10-$D$3)+Z10^2*(DAY(EOMONTH(A10,0))/2))/AK10)</f>
        <v>0.74606024043165653</v>
      </c>
      <c r="AC10" s="38">
        <f t="shared" ref="AC10:AD73" si="19">IF($A11="","",VLOOKUP($A10,Table,MATCH(AC$4,Curves,0)))</f>
        <v>0.38</v>
      </c>
      <c r="AD10" s="38">
        <f>IF($A11="","",VLOOKUP($A10,Table,MATCH(AD$4,Curves,0)))</f>
        <v>0.54</v>
      </c>
      <c r="AE10" s="38">
        <f t="shared" ref="AE10:AE73" ca="1" si="20">SQRT((AD10^2*(A10-$D$3)+AC10^2*(DAY(EOMONTH(A10,0))/2))/AK10)</f>
        <v>0.66042766892548721</v>
      </c>
      <c r="AF10" s="237">
        <f ca="1">((Summary!$N$9*(AA10*AD10)*(A10-$D$3))+(Summary!$M$9*Z10*AC10*(AJ10-EOMONTH(EDATE(A10,-1),0))))/(AK10*AB10*AE10)</f>
        <v>0.98723231809740553</v>
      </c>
      <c r="AG10" s="88">
        <f>IF($A11="","",Summary!$Q$9)</f>
        <v>0</v>
      </c>
      <c r="AH10" s="88">
        <f>IF($A11="","",IF(Summary!$R$9="Y",VLOOKUP($A10,Summary!$AD$6:$AF$9,3)+'Escalating commodity'!E23,'Escalating commodity'!E23))</f>
        <v>7.7700000000000005E-2</v>
      </c>
      <c r="AI10" s="88">
        <f>IF($A11="","",AH10)</f>
        <v>7.7700000000000005E-2</v>
      </c>
      <c r="AJ10" s="236">
        <f t="shared" ref="AJ10:AJ73" si="21">A10+DAY(EOMONTH(A10,0))/2-1</f>
        <v>37057</v>
      </c>
      <c r="AK10" s="58">
        <f t="shared" ref="AK10:AK73" ca="1" si="22">IF($A11="","",$A10-$E$1)</f>
        <v>17</v>
      </c>
      <c r="AL10" s="26">
        <f ca="1">IF($A11="","",_xll.SPRDOPT(P10,X10,AI10,0,AB10,AE10,AF10,AK10,$AJ$2,0))</f>
        <v>8.4878136582886732E-2</v>
      </c>
      <c r="AM10" s="89">
        <f t="shared" ref="AM10:AM73" si="23">IF($A11="","",MAX(0,O10-W10-AI10))</f>
        <v>4.7145646023262974E-2</v>
      </c>
      <c r="AN10" s="89">
        <f t="shared" ref="AN10:AN73" ca="1" si="24">IF($A11="","",AL10-AM10)</f>
        <v>3.7732490559623758E-2</v>
      </c>
      <c r="AO10" s="3">
        <f t="shared" ref="AO10:AO73" si="25">IF(A11="","",A11-A10)</f>
        <v>30</v>
      </c>
      <c r="AP10" s="33">
        <f t="shared" ref="AP10:AP73" si="26">IF(A11="","",CHOOSE(F$3,A11+24,A10))</f>
        <v>37043</v>
      </c>
      <c r="AQ10" s="58">
        <f t="shared" ref="AQ10:AQ73" ca="1" si="27">IF(A11="","",AP10-$E$1)</f>
        <v>17</v>
      </c>
      <c r="AR10" s="38">
        <f>'ANR OK vs ML7'!AR10</f>
        <v>0.1</v>
      </c>
      <c r="AS10" s="35">
        <f t="shared" ref="AS10:AS73" ca="1" si="28">IF(A11="","",1/(1+CHOOSE(F$3,(AR11+($I$3/10000))/2,(AR10+($I$3/10000))/2))^(2*AQ10/365.25))</f>
        <v>0.99546857160455515</v>
      </c>
      <c r="AT10" s="3">
        <f t="shared" ref="AT10:AT73" si="29">IF(A11="","",IF(AND(mthbeg&lt;=A10,mthend&gt;=A10),1,0))</f>
        <v>1</v>
      </c>
      <c r="AU10" s="3">
        <f t="shared" ref="AU10:AU73" si="30">IF(A11="","",AO10*AT10)</f>
        <v>30</v>
      </c>
      <c r="AW10" s="32">
        <f t="shared" ref="AW10:AW73" ca="1" si="31">IF($A11="","",AL10*$E10)</f>
        <v>91795.704714392006</v>
      </c>
      <c r="AX10" s="32">
        <f t="shared" ref="AX10:AX73" si="32">IF($A11="","",AM10*$E10)</f>
        <v>50988.016174158904</v>
      </c>
      <c r="AY10" s="32">
        <f t="shared" ref="AY10:AY73" ca="1" si="33">IF($A11="","",AN10*$E10)</f>
        <v>40807.688540233095</v>
      </c>
      <c r="AZ10" s="42"/>
      <c r="BA10" s="32">
        <f ca="1">IF($A11="","",F10*Summary!$Q$9)</f>
        <v>0</v>
      </c>
      <c r="BC10" s="256">
        <f ca="1">IF(A11="","",AM10*F10)</f>
        <v>50756.967629839928</v>
      </c>
    </row>
    <row r="11" spans="1:55">
      <c r="A11" s="67">
        <f t="shared" ref="A11:A74" si="34">IF(A10&lt;mthend,EDATE(A10,1),"")</f>
        <v>37073</v>
      </c>
      <c r="B11" s="69">
        <f>IF(A11&lt;mthend,B10,"")</f>
        <v>36050</v>
      </c>
      <c r="C11" s="71"/>
      <c r="D11" s="69">
        <f t="shared" si="0"/>
        <v>36050</v>
      </c>
      <c r="E11" s="70">
        <f t="shared" si="1"/>
        <v>1117550</v>
      </c>
      <c r="F11" s="70">
        <f t="shared" ca="1" si="2"/>
        <v>1103605.1737680207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0.19</v>
      </c>
      <c r="K11" s="64">
        <f t="shared" si="6"/>
        <v>0.19</v>
      </c>
      <c r="L11" s="63">
        <f t="shared" si="5"/>
        <v>0</v>
      </c>
      <c r="M11" s="64">
        <f t="shared" si="7"/>
        <v>0</v>
      </c>
      <c r="N11" s="65"/>
      <c r="O11" s="63">
        <f t="shared" si="8"/>
        <v>4.6550000000000002</v>
      </c>
      <c r="P11" s="63">
        <f t="shared" si="9"/>
        <v>4.6550000000000002</v>
      </c>
      <c r="Q11" s="66"/>
      <c r="R11" s="63">
        <f t="shared" si="10"/>
        <v>-0.1</v>
      </c>
      <c r="S11" s="64">
        <f t="shared" si="11"/>
        <v>-0.1</v>
      </c>
      <c r="T11" s="63">
        <f t="shared" si="12"/>
        <v>-0.01</v>
      </c>
      <c r="U11" s="64">
        <f t="shared" si="13"/>
        <v>-0.01</v>
      </c>
      <c r="V11" s="90">
        <f>IF($A12="","",IF(AND(MONTH(A11)&gt;3,MONTH(A11)&lt;11),(T11+R11+G11)*Summary!$T$9/(1-Summary!$T$9),(T11+R11+G11)*Summary!$U$9/(1-Summary!$U$9)))</f>
        <v>0.20855443780781721</v>
      </c>
      <c r="W11" s="63">
        <f t="shared" si="14"/>
        <v>4.5635544378078166</v>
      </c>
      <c r="X11" s="63">
        <f t="shared" si="15"/>
        <v>4.5635544378078166</v>
      </c>
      <c r="Y11" s="43"/>
      <c r="Z11" s="38">
        <f t="shared" si="16"/>
        <v>0.57999999999999996</v>
      </c>
      <c r="AA11" s="38">
        <f t="shared" si="17"/>
        <v>0.52500000000000002</v>
      </c>
      <c r="AB11" s="38">
        <f t="shared" ca="1" si="18"/>
        <v>0.62644216591321711</v>
      </c>
      <c r="AC11" s="38">
        <f t="shared" si="19"/>
        <v>0.38</v>
      </c>
      <c r="AD11" s="38">
        <f t="shared" si="19"/>
        <v>0.52500000000000002</v>
      </c>
      <c r="AE11" s="38">
        <f t="shared" ca="1" si="20"/>
        <v>0.57368165239780189</v>
      </c>
      <c r="AF11" s="237">
        <f ca="1">((Summary!$N$9*(AA11*AD11)*(A11-$D$3))+(Summary!$M$9*Z11*AC11*(AJ11-EOMONTH(EDATE(A11,-1),0))))/(AK11*AB11*AE11)</f>
        <v>0.98544136748197098</v>
      </c>
      <c r="AG11" s="88">
        <f>IF($A12="","",Summary!$Q$9)</f>
        <v>0</v>
      </c>
      <c r="AH11" s="88">
        <f>IF($A12="","",IF(Summary!$R$9="Y",VLOOKUP($A11,Summary!$AD$6:$AF$9,3)+'Escalating commodity'!E24,'Escalating commodity'!E24))</f>
        <v>7.7700000000000005E-2</v>
      </c>
      <c r="AI11" s="88">
        <f t="shared" ref="AI11:AI74" si="35">IF($A12="","",AH11)</f>
        <v>7.7700000000000005E-2</v>
      </c>
      <c r="AJ11" s="236">
        <f t="shared" si="21"/>
        <v>37087.5</v>
      </c>
      <c r="AK11" s="58">
        <f t="shared" ca="1" si="22"/>
        <v>47</v>
      </c>
      <c r="AL11" s="26">
        <f ca="1">IF($A12="","",_xll.SPRDOPT(P11,X11,AI11,0,AB11,AE11,AF11,AK11,$AJ$2,0))</f>
        <v>8.626752068156579E-2</v>
      </c>
      <c r="AM11" s="89">
        <f t="shared" si="23"/>
        <v>1.3745562192183688E-2</v>
      </c>
      <c r="AN11" s="89">
        <f t="shared" ca="1" si="24"/>
        <v>7.2521958489382102E-2</v>
      </c>
      <c r="AO11" s="3">
        <f t="shared" si="25"/>
        <v>31</v>
      </c>
      <c r="AP11" s="33">
        <f t="shared" si="26"/>
        <v>37073</v>
      </c>
      <c r="AQ11" s="58">
        <f t="shared" ca="1" si="27"/>
        <v>47</v>
      </c>
      <c r="AR11" s="38">
        <f>'ANR OK vs ML7'!AR11</f>
        <v>0.1</v>
      </c>
      <c r="AS11" s="35">
        <f t="shared" ca="1" si="28"/>
        <v>0.98752196659480185</v>
      </c>
      <c r="AT11" s="3">
        <f t="shared" si="29"/>
        <v>1</v>
      </c>
      <c r="AU11" s="3">
        <f t="shared" si="30"/>
        <v>31</v>
      </c>
      <c r="AW11" s="32">
        <f t="shared" ca="1" si="31"/>
        <v>96408.267737683855</v>
      </c>
      <c r="AX11" s="32">
        <f t="shared" si="32"/>
        <v>15361.35302787488</v>
      </c>
      <c r="AY11" s="32">
        <f t="shared" ca="1" si="33"/>
        <v>81046.914709808974</v>
      </c>
      <c r="BA11" s="32">
        <f ca="1">IF($A12="","",F11*Summary!$Q$9)</f>
        <v>0</v>
      </c>
      <c r="BC11" s="256">
        <f t="shared" ref="BC11:BC74" ca="1" si="36">IF(A12="","",AM11*F11)</f>
        <v>15169.673551644015</v>
      </c>
    </row>
    <row r="12" spans="1:55">
      <c r="A12" s="67">
        <f t="shared" si="34"/>
        <v>37104</v>
      </c>
      <c r="B12" s="69">
        <f t="shared" ref="B12:B75" si="37">IF(A12&lt;mthend,B11,"")</f>
        <v>36050</v>
      </c>
      <c r="C12" s="71"/>
      <c r="D12" s="69">
        <f t="shared" si="0"/>
        <v>36050</v>
      </c>
      <c r="E12" s="70">
        <f t="shared" si="1"/>
        <v>1117550</v>
      </c>
      <c r="F12" s="70">
        <f t="shared" ca="1" si="2"/>
        <v>1094502.8913560659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0.16500000000000001</v>
      </c>
      <c r="K12" s="64">
        <f t="shared" si="6"/>
        <v>0.16500000000000001</v>
      </c>
      <c r="L12" s="63">
        <f t="shared" si="5"/>
        <v>0</v>
      </c>
      <c r="M12" s="64">
        <f t="shared" si="7"/>
        <v>0</v>
      </c>
      <c r="N12" s="65"/>
      <c r="O12" s="63">
        <f t="shared" si="8"/>
        <v>4.6930000000000005</v>
      </c>
      <c r="P12" s="63">
        <f t="shared" si="9"/>
        <v>4.6930000000000005</v>
      </c>
      <c r="Q12" s="66"/>
      <c r="R12" s="63">
        <f t="shared" si="10"/>
        <v>-0.1</v>
      </c>
      <c r="S12" s="64">
        <f t="shared" si="11"/>
        <v>-0.1</v>
      </c>
      <c r="T12" s="63">
        <f t="shared" si="12"/>
        <v>-0.01</v>
      </c>
      <c r="U12" s="64">
        <f t="shared" si="13"/>
        <v>-0.01</v>
      </c>
      <c r="V12" s="90">
        <f>IF($A13="","",IF(AND(MONTH(A12)&gt;3,MONTH(A12)&lt;11),(T12+R12+G12)*Summary!$T$9/(1-Summary!$T$9),(T12+R12+G12)*Summary!$U$9/(1-Summary!$U$9)))</f>
        <v>0.21157141360159276</v>
      </c>
      <c r="W12" s="63">
        <f t="shared" si="14"/>
        <v>4.6295714136015933</v>
      </c>
      <c r="X12" s="63">
        <f t="shared" si="15"/>
        <v>4.6295714136015933</v>
      </c>
      <c r="Y12" s="43"/>
      <c r="Z12" s="38">
        <f t="shared" si="16"/>
        <v>0.63</v>
      </c>
      <c r="AA12" s="38">
        <f t="shared" si="17"/>
        <v>0.53</v>
      </c>
      <c r="AB12" s="38">
        <f t="shared" ca="1" si="18"/>
        <v>0.60280381211256118</v>
      </c>
      <c r="AC12" s="38">
        <f t="shared" si="19"/>
        <v>0.48</v>
      </c>
      <c r="AD12" s="38">
        <f t="shared" si="19"/>
        <v>0.53</v>
      </c>
      <c r="AE12" s="38">
        <f t="shared" ca="1" si="20"/>
        <v>0.57470505255817739</v>
      </c>
      <c r="AF12" s="237">
        <f ca="1">((Summary!$N$9*(AA12*AD12)*(A12-$D$3))+(Summary!$M$9*Z12*AC12*(AJ12-EOMONTH(EDATE(A12,-1),0))))/(AK12*AB12*AE12)</f>
        <v>0.99460429759343039</v>
      </c>
      <c r="AG12" s="88">
        <f>IF($A13="","",Summary!$Q$9)</f>
        <v>0</v>
      </c>
      <c r="AH12" s="88">
        <f>IF($A13="","",IF(Summary!$R$9="Y",VLOOKUP($A12,Summary!$AD$6:$AF$9,3)+'Escalating commodity'!E25,'Escalating commodity'!E25))</f>
        <v>7.7700000000000005E-2</v>
      </c>
      <c r="AI12" s="88">
        <f t="shared" si="35"/>
        <v>7.7700000000000005E-2</v>
      </c>
      <c r="AJ12" s="236">
        <f t="shared" si="21"/>
        <v>37118.5</v>
      </c>
      <c r="AK12" s="58">
        <f t="shared" ca="1" si="22"/>
        <v>78</v>
      </c>
      <c r="AL12" s="26">
        <f ca="1">IF($A13="","",_xll.SPRDOPT(P12,X12,AI12,0,AB12,AE12,AF12,AK12,$AJ$2,0))</f>
        <v>5.4914869140567132E-2</v>
      </c>
      <c r="AM12" s="89">
        <f t="shared" si="23"/>
        <v>0</v>
      </c>
      <c r="AN12" s="89">
        <f t="shared" ca="1" si="24"/>
        <v>5.4914869140567132E-2</v>
      </c>
      <c r="AO12" s="3">
        <f t="shared" si="25"/>
        <v>31</v>
      </c>
      <c r="AP12" s="33">
        <f t="shared" si="26"/>
        <v>37104</v>
      </c>
      <c r="AQ12" s="58">
        <f t="shared" ca="1" si="27"/>
        <v>78</v>
      </c>
      <c r="AR12" s="38">
        <f>'ANR OK vs ML7'!AR12</f>
        <v>0.1</v>
      </c>
      <c r="AS12" s="35">
        <f t="shared" ca="1" si="28"/>
        <v>0.97937711185724663</v>
      </c>
      <c r="AT12" s="3">
        <f t="shared" si="29"/>
        <v>1</v>
      </c>
      <c r="AU12" s="3">
        <f t="shared" si="30"/>
        <v>31</v>
      </c>
      <c r="AW12" s="32">
        <f t="shared" ca="1" si="31"/>
        <v>61370.1120080408</v>
      </c>
      <c r="AX12" s="32">
        <f t="shared" si="32"/>
        <v>0</v>
      </c>
      <c r="AY12" s="32">
        <f t="shared" ca="1" si="33"/>
        <v>61370.1120080408</v>
      </c>
      <c r="BA12" s="32">
        <f ca="1">IF($A13="","",F12*Summary!$Q$9)</f>
        <v>0</v>
      </c>
      <c r="BC12" s="256">
        <f t="shared" ca="1" si="36"/>
        <v>0</v>
      </c>
    </row>
    <row r="13" spans="1:55">
      <c r="A13" s="67">
        <f t="shared" si="34"/>
        <v>37135</v>
      </c>
      <c r="B13" s="69">
        <f t="shared" si="37"/>
        <v>36050</v>
      </c>
      <c r="C13" s="71"/>
      <c r="D13" s="69">
        <f t="shared" si="0"/>
        <v>36050</v>
      </c>
      <c r="E13" s="70">
        <f t="shared" si="1"/>
        <v>1081500</v>
      </c>
      <c r="F13" s="70">
        <f t="shared" ca="1" si="2"/>
        <v>1050460.3378860517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0.17499999999999999</v>
      </c>
      <c r="K13" s="64">
        <f t="shared" si="6"/>
        <v>0.17499999999999999</v>
      </c>
      <c r="L13" s="63">
        <f t="shared" si="5"/>
        <v>0</v>
      </c>
      <c r="M13" s="64">
        <f t="shared" si="7"/>
        <v>0</v>
      </c>
      <c r="N13" s="65"/>
      <c r="O13" s="63">
        <f t="shared" si="8"/>
        <v>4.718</v>
      </c>
      <c r="P13" s="63">
        <f t="shared" si="9"/>
        <v>4.718</v>
      </c>
      <c r="Q13" s="66"/>
      <c r="R13" s="63">
        <f t="shared" si="10"/>
        <v>-0.1</v>
      </c>
      <c r="S13" s="64">
        <f t="shared" si="11"/>
        <v>-0.1</v>
      </c>
      <c r="T13" s="63">
        <f t="shared" si="12"/>
        <v>-0.01</v>
      </c>
      <c r="U13" s="64">
        <f t="shared" si="13"/>
        <v>-0.01</v>
      </c>
      <c r="V13" s="90">
        <f>IF($A14="","",IF(AND(MONTH(A13)&gt;3,MONTH(A13)&lt;11),(T13+R13+G13)*Summary!$T$9/(1-Summary!$T$9),(T13+R13+G13)*Summary!$U$9/(1-Summary!$U$9)))</f>
        <v>0.21228974117153934</v>
      </c>
      <c r="W13" s="63">
        <f t="shared" si="14"/>
        <v>4.6452897411715393</v>
      </c>
      <c r="X13" s="63">
        <f t="shared" si="15"/>
        <v>4.6452897411715393</v>
      </c>
      <c r="Y13" s="43"/>
      <c r="Z13" s="38">
        <f t="shared" si="16"/>
        <v>0.63</v>
      </c>
      <c r="AA13" s="38">
        <f t="shared" si="17"/>
        <v>0.54</v>
      </c>
      <c r="AB13" s="38">
        <f t="shared" ca="1" si="18"/>
        <v>0.59067291745334316</v>
      </c>
      <c r="AC13" s="38">
        <f t="shared" si="19"/>
        <v>0.53</v>
      </c>
      <c r="AD13" s="38">
        <f t="shared" si="19"/>
        <v>0.54</v>
      </c>
      <c r="AE13" s="38">
        <f t="shared" ca="1" si="20"/>
        <v>0.57700190004934171</v>
      </c>
      <c r="AF13" s="237">
        <f ca="1">((Summary!$N$9*(AA13*AD13)*(A13-$D$3))+(Summary!$M$9*Z13*AC13*(AJ13-EOMONTH(EDATE(A13,-1),0))))/(AK13*AB13*AE13)</f>
        <v>0.99816896407037226</v>
      </c>
      <c r="AG13" s="88">
        <f>IF($A14="","",Summary!$Q$9)</f>
        <v>0</v>
      </c>
      <c r="AH13" s="88">
        <f>IF($A14="","",IF(Summary!$R$9="Y",VLOOKUP($A13,Summary!$AD$6:$AF$9,3)+'Escalating commodity'!E26,'Escalating commodity'!E26))</f>
        <v>7.7700000000000005E-2</v>
      </c>
      <c r="AI13" s="88">
        <f t="shared" si="35"/>
        <v>7.7700000000000005E-2</v>
      </c>
      <c r="AJ13" s="236">
        <f t="shared" si="21"/>
        <v>37149</v>
      </c>
      <c r="AK13" s="58">
        <f t="shared" ca="1" si="22"/>
        <v>109</v>
      </c>
      <c r="AL13" s="26">
        <f ca="1">IF($A14="","",_xll.SPRDOPT(P13,X13,AI13,0,AB13,AE13,AF13,AK13,$AJ$2,0))</f>
        <v>4.0742560990401466E-2</v>
      </c>
      <c r="AM13" s="89">
        <f t="shared" si="23"/>
        <v>0</v>
      </c>
      <c r="AN13" s="89">
        <f t="shared" ca="1" si="24"/>
        <v>4.0742560990401466E-2</v>
      </c>
      <c r="AO13" s="3">
        <f t="shared" si="25"/>
        <v>30</v>
      </c>
      <c r="AP13" s="33">
        <f t="shared" si="26"/>
        <v>37135</v>
      </c>
      <c r="AQ13" s="58">
        <f t="shared" ca="1" si="27"/>
        <v>109</v>
      </c>
      <c r="AR13" s="38">
        <f>'ANR OK vs ML7'!AR13</f>
        <v>0.1</v>
      </c>
      <c r="AS13" s="35">
        <f t="shared" ca="1" si="28"/>
        <v>0.9712994340139175</v>
      </c>
      <c r="AT13" s="3">
        <f t="shared" si="29"/>
        <v>1</v>
      </c>
      <c r="AU13" s="3">
        <f t="shared" si="30"/>
        <v>30</v>
      </c>
      <c r="AW13" s="32">
        <f t="shared" ca="1" si="31"/>
        <v>44063.079711119186</v>
      </c>
      <c r="AX13" s="32">
        <f t="shared" si="32"/>
        <v>0</v>
      </c>
      <c r="AY13" s="32">
        <f t="shared" ca="1" si="33"/>
        <v>44063.079711119186</v>
      </c>
      <c r="BA13" s="32">
        <f ca="1">IF($A14="","",F13*Summary!$Q$9)</f>
        <v>0</v>
      </c>
      <c r="BC13" s="256">
        <f t="shared" ca="1" si="36"/>
        <v>0</v>
      </c>
    </row>
    <row r="14" spans="1:55">
      <c r="A14" s="67">
        <f t="shared" si="34"/>
        <v>37165</v>
      </c>
      <c r="B14" s="69">
        <f t="shared" si="37"/>
        <v>36050</v>
      </c>
      <c r="C14" s="71"/>
      <c r="D14" s="69">
        <f t="shared" si="0"/>
        <v>36050</v>
      </c>
      <c r="E14" s="70">
        <f t="shared" si="1"/>
        <v>1117550</v>
      </c>
      <c r="F14" s="70">
        <f t="shared" ca="1" si="2"/>
        <v>1076810.5706520777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0.18</v>
      </c>
      <c r="K14" s="64">
        <f t="shared" si="6"/>
        <v>0.18</v>
      </c>
      <c r="L14" s="63">
        <f t="shared" si="5"/>
        <v>0</v>
      </c>
      <c r="M14" s="64">
        <f t="shared" si="7"/>
        <v>0</v>
      </c>
      <c r="N14" s="65"/>
      <c r="O14" s="63">
        <f t="shared" si="8"/>
        <v>4.7430000000000003</v>
      </c>
      <c r="P14" s="63">
        <f t="shared" si="9"/>
        <v>4.7430000000000003</v>
      </c>
      <c r="Q14" s="66"/>
      <c r="R14" s="63">
        <f t="shared" si="10"/>
        <v>-0.1</v>
      </c>
      <c r="S14" s="64">
        <f t="shared" si="11"/>
        <v>-0.1</v>
      </c>
      <c r="T14" s="63">
        <f t="shared" si="12"/>
        <v>-0.01</v>
      </c>
      <c r="U14" s="64">
        <f t="shared" si="13"/>
        <v>-0.01</v>
      </c>
      <c r="V14" s="90">
        <f>IF($A15="","",IF(AND(MONTH(A14)&gt;3,MONTH(A14)&lt;11),(T14+R14+G14)*Summary!$T$9/(1-Summary!$T$9),(T14+R14+G14)*Summary!$U$9/(1-Summary!$U$9)))</f>
        <v>0.2132475112648014</v>
      </c>
      <c r="W14" s="63">
        <f t="shared" si="14"/>
        <v>4.6662475112648014</v>
      </c>
      <c r="X14" s="63">
        <f t="shared" si="15"/>
        <v>4.6662475112648014</v>
      </c>
      <c r="Y14" s="43"/>
      <c r="Z14" s="38">
        <f t="shared" si="16"/>
        <v>0.68</v>
      </c>
      <c r="AA14" s="38">
        <f t="shared" si="17"/>
        <v>0.55000000000000004</v>
      </c>
      <c r="AB14" s="38">
        <f t="shared" ca="1" si="18"/>
        <v>0.59685747789640986</v>
      </c>
      <c r="AC14" s="38">
        <f t="shared" si="19"/>
        <v>0.53</v>
      </c>
      <c r="AD14" s="38">
        <f t="shared" si="19"/>
        <v>0.55000000000000004</v>
      </c>
      <c r="AE14" s="38">
        <f t="shared" ca="1" si="20"/>
        <v>0.57965475956621793</v>
      </c>
      <c r="AF14" s="237">
        <f ca="1">((Summary!$N$9*(AA14*AD14)*(A14-$D$3))+(Summary!$M$9*Z14*AC14*(AJ14-EOMONTH(EDATE(A14,-1),0))))/(AK14*AB14*AE14)</f>
        <v>0.99671360791310737</v>
      </c>
      <c r="AG14" s="88">
        <f>IF($A15="","",Summary!$Q$9)</f>
        <v>0</v>
      </c>
      <c r="AH14" s="88">
        <f>IF($A15="","",IF(Summary!$R$9="Y",VLOOKUP($A14,Summary!$AD$6:$AF$9,3)+'Escalating commodity'!E27,'Escalating commodity'!E27))</f>
        <v>7.7700000000000005E-2</v>
      </c>
      <c r="AI14" s="88">
        <f t="shared" si="35"/>
        <v>7.7700000000000005E-2</v>
      </c>
      <c r="AJ14" s="236">
        <f t="shared" si="21"/>
        <v>37179.5</v>
      </c>
      <c r="AK14" s="58">
        <f t="shared" ca="1" si="22"/>
        <v>139</v>
      </c>
      <c r="AL14" s="26">
        <f ca="1">IF($A15="","",_xll.SPRDOPT(P14,X14,AI14,0,AB14,AE14,AF14,AK14,$AJ$2,0))</f>
        <v>6.293254167031026E-2</v>
      </c>
      <c r="AM14" s="89">
        <f t="shared" si="23"/>
        <v>0</v>
      </c>
      <c r="AN14" s="89">
        <f t="shared" ca="1" si="24"/>
        <v>6.293254167031026E-2</v>
      </c>
      <c r="AO14" s="3">
        <f t="shared" si="25"/>
        <v>31</v>
      </c>
      <c r="AP14" s="33">
        <f t="shared" si="26"/>
        <v>37165</v>
      </c>
      <c r="AQ14" s="58">
        <f t="shared" ca="1" si="27"/>
        <v>139</v>
      </c>
      <c r="AR14" s="38">
        <f>'ANR OK vs ML7'!AR14</f>
        <v>0.1</v>
      </c>
      <c r="AS14" s="35">
        <f t="shared" ca="1" si="28"/>
        <v>0.96354576587363217</v>
      </c>
      <c r="AT14" s="3">
        <f t="shared" si="29"/>
        <v>1</v>
      </c>
      <c r="AU14" s="3">
        <f t="shared" si="30"/>
        <v>31</v>
      </c>
      <c r="AW14" s="32">
        <f t="shared" ca="1" si="31"/>
        <v>70330.261943655234</v>
      </c>
      <c r="AX14" s="32">
        <f t="shared" si="32"/>
        <v>0</v>
      </c>
      <c r="AY14" s="32">
        <f t="shared" ca="1" si="33"/>
        <v>70330.261943655234</v>
      </c>
      <c r="BA14" s="32">
        <f ca="1">IF($A15="","",F14*Summary!$Q$9)</f>
        <v>0</v>
      </c>
      <c r="BC14" s="256">
        <f t="shared" ca="1" si="36"/>
        <v>0</v>
      </c>
    </row>
    <row r="15" spans="1:55">
      <c r="A15" s="67">
        <f t="shared" si="34"/>
        <v>37196</v>
      </c>
      <c r="B15" s="69">
        <f t="shared" si="37"/>
        <v>36050</v>
      </c>
      <c r="C15" s="71"/>
      <c r="D15" s="69">
        <f t="shared" si="0"/>
        <v>36050</v>
      </c>
      <c r="E15" s="70">
        <f t="shared" si="1"/>
        <v>1081500</v>
      </c>
      <c r="F15" s="70">
        <f t="shared" ca="1" si="2"/>
        <v>1033479.9522411372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0.25</v>
      </c>
      <c r="K15" s="64">
        <f t="shared" si="6"/>
        <v>0.25</v>
      </c>
      <c r="L15" s="63">
        <f t="shared" si="5"/>
        <v>0</v>
      </c>
      <c r="M15" s="64">
        <f t="shared" si="7"/>
        <v>0</v>
      </c>
      <c r="N15" s="65"/>
      <c r="O15" s="63">
        <f t="shared" si="8"/>
        <v>4.9780000000000006</v>
      </c>
      <c r="P15" s="63">
        <f t="shared" si="9"/>
        <v>4.9780000000000006</v>
      </c>
      <c r="Q15" s="66"/>
      <c r="R15" s="63">
        <f t="shared" si="10"/>
        <v>-0.1</v>
      </c>
      <c r="S15" s="64">
        <f t="shared" si="11"/>
        <v>-0.1</v>
      </c>
      <c r="T15" s="63">
        <f t="shared" si="12"/>
        <v>0.01</v>
      </c>
      <c r="U15" s="64">
        <f t="shared" si="13"/>
        <v>0.01</v>
      </c>
      <c r="V15" s="90">
        <f>IF($A16="","",IF(AND(MONTH(A15)&gt;3,MONTH(A15)&lt;11),(T15+R15+G15)*Summary!$T$9/(1-Summary!$T$9),(T15+R15+G15)*Summary!$U$9/(1-Summary!$U$9)))</f>
        <v>0.22210688462747566</v>
      </c>
      <c r="W15" s="63">
        <f t="shared" si="14"/>
        <v>4.8601068846274762</v>
      </c>
      <c r="X15" s="63">
        <f t="shared" si="15"/>
        <v>4.8601068846274762</v>
      </c>
      <c r="Y15" s="43"/>
      <c r="Z15" s="38">
        <f t="shared" si="16"/>
        <v>1.05</v>
      </c>
      <c r="AA15" s="38">
        <f t="shared" si="17"/>
        <v>0.56000000000000005</v>
      </c>
      <c r="AB15" s="38">
        <f t="shared" ca="1" si="18"/>
        <v>0.64243608059250445</v>
      </c>
      <c r="AC15" s="38">
        <f t="shared" si="19"/>
        <v>1.05</v>
      </c>
      <c r="AD15" s="38">
        <f t="shared" si="19"/>
        <v>0.56000000000000005</v>
      </c>
      <c r="AE15" s="38">
        <f t="shared" ca="1" si="20"/>
        <v>0.64243608059250445</v>
      </c>
      <c r="AF15" s="237">
        <f ca="1">((Summary!$N$9*(AA15*AD15)*(A15-$D$3))+(Summary!$M$9*Z15*AC15*(AJ15-EOMONTH(EDATE(A15,-1),0))))/(AK15*AB15*AE15)</f>
        <v>0.99992357008170973</v>
      </c>
      <c r="AG15" s="88">
        <f>IF($A16="","",Summary!$Q$9)</f>
        <v>0</v>
      </c>
      <c r="AH15" s="88">
        <f>IF($A16="","",IF(Summary!$R$9="Y",VLOOKUP($A15,Summary!$AD$6:$AF$9,3)+'Escalating commodity'!E28,'Escalating commodity'!E28))</f>
        <v>7.7700000000000005E-2</v>
      </c>
      <c r="AI15" s="88">
        <f t="shared" si="35"/>
        <v>7.7700000000000005E-2</v>
      </c>
      <c r="AJ15" s="236">
        <f t="shared" si="21"/>
        <v>37210</v>
      </c>
      <c r="AK15" s="58">
        <f t="shared" ca="1" si="22"/>
        <v>170</v>
      </c>
      <c r="AL15" s="26">
        <f ca="1">IF($A16="","",_xll.SPRDOPT(P15,X15,AI15,0,AB15,AE15,AF15,AK15,$AJ$2,0))</f>
        <v>4.5495585973360335E-2</v>
      </c>
      <c r="AM15" s="89">
        <f t="shared" si="23"/>
        <v>4.0193115372524443E-2</v>
      </c>
      <c r="AN15" s="89">
        <f t="shared" ca="1" si="24"/>
        <v>5.3024706008358916E-3</v>
      </c>
      <c r="AO15" s="3">
        <f t="shared" si="25"/>
        <v>30</v>
      </c>
      <c r="AP15" s="33">
        <f t="shared" si="26"/>
        <v>37196</v>
      </c>
      <c r="AQ15" s="58">
        <f t="shared" ca="1" si="27"/>
        <v>170</v>
      </c>
      <c r="AR15" s="38">
        <f>'ANR OK vs ML7'!AR15</f>
        <v>0.1</v>
      </c>
      <c r="AS15" s="35">
        <f t="shared" ca="1" si="28"/>
        <v>0.95559866134178195</v>
      </c>
      <c r="AT15" s="3">
        <f t="shared" si="29"/>
        <v>1</v>
      </c>
      <c r="AU15" s="3">
        <f t="shared" si="30"/>
        <v>30</v>
      </c>
      <c r="AW15" s="32">
        <f t="shared" ca="1" si="31"/>
        <v>49203.476230189204</v>
      </c>
      <c r="AX15" s="32">
        <f t="shared" si="32"/>
        <v>43468.854275385187</v>
      </c>
      <c r="AY15" s="32">
        <f t="shared" ca="1" si="33"/>
        <v>5734.6219548040172</v>
      </c>
      <c r="BA15" s="32">
        <f ca="1">IF($A16="","",F15*Summary!$Q$9)</f>
        <v>0</v>
      </c>
      <c r="BC15" s="256">
        <f t="shared" ca="1" si="36"/>
        <v>41538.778955619076</v>
      </c>
    </row>
    <row r="16" spans="1:55">
      <c r="A16" s="67">
        <f t="shared" si="34"/>
        <v>37226</v>
      </c>
      <c r="B16" s="69">
        <f t="shared" si="37"/>
        <v>36050</v>
      </c>
      <c r="C16" s="71"/>
      <c r="D16" s="69">
        <f t="shared" si="0"/>
        <v>36050</v>
      </c>
      <c r="E16" s="70">
        <f t="shared" si="1"/>
        <v>1117550</v>
      </c>
      <c r="F16" s="70">
        <f t="shared" ca="1" si="2"/>
        <v>1059404.2411632473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0.25</v>
      </c>
      <c r="K16" s="64">
        <f t="shared" si="6"/>
        <v>0.25</v>
      </c>
      <c r="L16" s="63">
        <f t="shared" si="5"/>
        <v>0</v>
      </c>
      <c r="M16" s="64">
        <f t="shared" si="7"/>
        <v>0</v>
      </c>
      <c r="N16" s="65"/>
      <c r="O16" s="63">
        <f t="shared" si="8"/>
        <v>5.1349999999999998</v>
      </c>
      <c r="P16" s="63">
        <f t="shared" si="9"/>
        <v>5.1349999999999998</v>
      </c>
      <c r="Q16" s="66"/>
      <c r="R16" s="63">
        <f t="shared" si="10"/>
        <v>-0.10249999999999999</v>
      </c>
      <c r="S16" s="64">
        <f t="shared" si="11"/>
        <v>-0.10249999999999999</v>
      </c>
      <c r="T16" s="63">
        <f t="shared" si="12"/>
        <v>0.01</v>
      </c>
      <c r="U16" s="64">
        <f t="shared" si="13"/>
        <v>0.01</v>
      </c>
      <c r="V16" s="90">
        <f>IF($A17="","",IF(AND(MONTH(A16)&gt;3,MONTH(A16)&lt;11),(T16+R16+G16)*Summary!$T$9/(1-Summary!$T$9),(T16+R16+G16)*Summary!$U$9/(1-Summary!$U$9)))</f>
        <v>0.22950565859792513</v>
      </c>
      <c r="W16" s="63">
        <f t="shared" si="14"/>
        <v>5.0220056585979247</v>
      </c>
      <c r="X16" s="63">
        <f t="shared" si="15"/>
        <v>5.0220056585979247</v>
      </c>
      <c r="Y16" s="43"/>
      <c r="Z16" s="38">
        <f t="shared" si="16"/>
        <v>1.35</v>
      </c>
      <c r="AA16" s="38">
        <f t="shared" si="17"/>
        <v>0.56800000000000006</v>
      </c>
      <c r="AB16" s="38">
        <f t="shared" ca="1" si="18"/>
        <v>0.68226158473125254</v>
      </c>
      <c r="AC16" s="38">
        <f t="shared" si="19"/>
        <v>1.25</v>
      </c>
      <c r="AD16" s="38">
        <f t="shared" si="19"/>
        <v>0.56800000000000006</v>
      </c>
      <c r="AE16" s="38">
        <f t="shared" ca="1" si="20"/>
        <v>0.6673311546750984</v>
      </c>
      <c r="AF16" s="237">
        <f ca="1">((Summary!$N$9*(AA16*AD16)*(A16-$D$3))+(Summary!$M$9*Z16*AC16*(AJ16-EOMONTH(EDATE(A16,-1),0))))/(AK16*AB16*AE16)</f>
        <v>0.99932249367963</v>
      </c>
      <c r="AG16" s="88">
        <f>IF($A17="","",Summary!$Q$9)</f>
        <v>0</v>
      </c>
      <c r="AH16" s="88">
        <f>IF($A17="","",IF(Summary!$R$9="Y",VLOOKUP($A16,Summary!$AD$6:$AF$9,3)+'Escalating commodity'!E29,'Escalating commodity'!E29))</f>
        <v>7.7700000000000005E-2</v>
      </c>
      <c r="AI16" s="88">
        <f t="shared" si="35"/>
        <v>7.7700000000000005E-2</v>
      </c>
      <c r="AJ16" s="236">
        <f t="shared" si="21"/>
        <v>37240.5</v>
      </c>
      <c r="AK16" s="58">
        <f t="shared" ca="1" si="22"/>
        <v>200</v>
      </c>
      <c r="AL16" s="26">
        <f ca="1">IF($A17="","",_xll.SPRDOPT(P16,X16,AI16,0,AB16,AE16,AF16,AK16,$AJ$2,0))</f>
        <v>7.2289081478721415E-2</v>
      </c>
      <c r="AM16" s="89">
        <f t="shared" si="23"/>
        <v>3.5294341402075088E-2</v>
      </c>
      <c r="AN16" s="89">
        <f t="shared" ca="1" si="24"/>
        <v>3.6994740076646326E-2</v>
      </c>
      <c r="AO16" s="3">
        <f t="shared" si="25"/>
        <v>31</v>
      </c>
      <c r="AP16" s="33">
        <f t="shared" si="26"/>
        <v>37226</v>
      </c>
      <c r="AQ16" s="58">
        <f t="shared" ca="1" si="27"/>
        <v>200</v>
      </c>
      <c r="AR16" s="38">
        <f>'ANR OK vs ML7'!AR16</f>
        <v>0.1</v>
      </c>
      <c r="AS16" s="35">
        <f t="shared" ca="1" si="28"/>
        <v>0.94797032899042311</v>
      </c>
      <c r="AT16" s="3">
        <f t="shared" si="29"/>
        <v>1</v>
      </c>
      <c r="AU16" s="3">
        <f t="shared" si="30"/>
        <v>31</v>
      </c>
      <c r="AW16" s="32">
        <f t="shared" ca="1" si="31"/>
        <v>80786.663006545117</v>
      </c>
      <c r="AX16" s="32">
        <f t="shared" si="32"/>
        <v>39443.191233889018</v>
      </c>
      <c r="AY16" s="32">
        <f t="shared" ca="1" si="33"/>
        <v>41343.471772656099</v>
      </c>
      <c r="BA16" s="32">
        <f ca="1">IF($A17="","",F16*Summary!$Q$9)</f>
        <v>0</v>
      </c>
      <c r="BC16" s="256">
        <f t="shared" ca="1" si="36"/>
        <v>37390.974970421943</v>
      </c>
    </row>
    <row r="17" spans="1:55">
      <c r="A17" s="67">
        <f t="shared" si="34"/>
        <v>37257</v>
      </c>
      <c r="B17" s="69">
        <f t="shared" si="37"/>
        <v>36050</v>
      </c>
      <c r="C17" s="71"/>
      <c r="D17" s="69">
        <f t="shared" si="0"/>
        <v>36050</v>
      </c>
      <c r="E17" s="70">
        <f t="shared" si="1"/>
        <v>1117550</v>
      </c>
      <c r="F17" s="70">
        <f t="shared" ca="1" si="2"/>
        <v>1050666.5179079578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0.25</v>
      </c>
      <c r="K17" s="64">
        <f t="shared" si="6"/>
        <v>0.25</v>
      </c>
      <c r="L17" s="63">
        <f t="shared" si="5"/>
        <v>0</v>
      </c>
      <c r="M17" s="64">
        <f t="shared" si="7"/>
        <v>0</v>
      </c>
      <c r="N17" s="65"/>
      <c r="O17" s="63">
        <f t="shared" si="8"/>
        <v>5.1970000000000001</v>
      </c>
      <c r="P17" s="63">
        <f t="shared" si="9"/>
        <v>5.1970000000000001</v>
      </c>
      <c r="Q17" s="66"/>
      <c r="R17" s="63">
        <f t="shared" si="10"/>
        <v>-0.105</v>
      </c>
      <c r="S17" s="64">
        <f t="shared" si="11"/>
        <v>-0.105</v>
      </c>
      <c r="T17" s="63">
        <f t="shared" si="12"/>
        <v>0.01</v>
      </c>
      <c r="U17" s="64">
        <f t="shared" si="13"/>
        <v>0.01</v>
      </c>
      <c r="V17" s="90">
        <f>IF($A18="","",IF(AND(MONTH(A17)&gt;3,MONTH(A17)&lt;11),(T17+R17+G17)*Summary!$T$9/(1-Summary!$T$9),(T17+R17+G17)*Summary!$U$9/(1-Summary!$U$9)))</f>
        <v>0.23235502462537985</v>
      </c>
      <c r="W17" s="63">
        <f t="shared" si="14"/>
        <v>5.0843550246253804</v>
      </c>
      <c r="X17" s="63">
        <f t="shared" si="15"/>
        <v>5.0843550246253804</v>
      </c>
      <c r="Y17" s="43"/>
      <c r="Z17" s="38">
        <f t="shared" si="16"/>
        <v>1.35</v>
      </c>
      <c r="AA17" s="38">
        <f t="shared" si="17"/>
        <v>0.57499999999999996</v>
      </c>
      <c r="AB17" s="38">
        <f t="shared" ca="1" si="18"/>
        <v>0.67405136161515022</v>
      </c>
      <c r="AC17" s="38">
        <f t="shared" si="19"/>
        <v>1.25</v>
      </c>
      <c r="AD17" s="38">
        <f t="shared" si="19"/>
        <v>0.57499999999999996</v>
      </c>
      <c r="AE17" s="38">
        <f t="shared" ca="1" si="20"/>
        <v>0.66098362358635676</v>
      </c>
      <c r="AF17" s="237">
        <f ca="1">((Summary!$N$9*(AA17*AD17)*(A17-$D$3))+(Summary!$M$9*Z17*AC17*(AJ17-EOMONTH(EDATE(A17,-1),0))))/(AK17*AB17*AE17)</f>
        <v>0.99936409180180963</v>
      </c>
      <c r="AG17" s="88">
        <f>IF($A18="","",Summary!$Q$9)</f>
        <v>0</v>
      </c>
      <c r="AH17" s="88">
        <f>IF($A18="","",IF(Summary!$R$9="Y",VLOOKUP($A17,Summary!$AD$6:$AF$9,3)+'Escalating commodity'!E30,'Escalating commodity'!E30))</f>
        <v>7.5700000000000003E-2</v>
      </c>
      <c r="AI17" s="88">
        <f t="shared" si="35"/>
        <v>7.5700000000000003E-2</v>
      </c>
      <c r="AJ17" s="236">
        <f t="shared" si="21"/>
        <v>37271.5</v>
      </c>
      <c r="AK17" s="58">
        <f t="shared" ca="1" si="22"/>
        <v>231</v>
      </c>
      <c r="AL17" s="26">
        <f ca="1">IF($A18="","",_xll.SPRDOPT(P17,X17,AI17,0,AB17,AE17,AF17,AK17,$AJ$2,0))</f>
        <v>7.3845335787118077E-2</v>
      </c>
      <c r="AM17" s="89">
        <f t="shared" si="23"/>
        <v>3.6944975374619701E-2</v>
      </c>
      <c r="AN17" s="89">
        <f t="shared" ca="1" si="24"/>
        <v>3.6900360412498376E-2</v>
      </c>
      <c r="AO17" s="3">
        <f t="shared" si="25"/>
        <v>31</v>
      </c>
      <c r="AP17" s="33">
        <f t="shared" si="26"/>
        <v>37257</v>
      </c>
      <c r="AQ17" s="58">
        <f t="shared" ca="1" si="27"/>
        <v>231</v>
      </c>
      <c r="AR17" s="38">
        <f>'ANR OK vs ML7'!AR17</f>
        <v>0.1</v>
      </c>
      <c r="AS17" s="35">
        <f t="shared" ca="1" si="28"/>
        <v>0.94015168709047281</v>
      </c>
      <c r="AT17" s="3">
        <f t="shared" si="29"/>
        <v>1</v>
      </c>
      <c r="AU17" s="3">
        <f t="shared" si="30"/>
        <v>31</v>
      </c>
      <c r="AW17" s="32">
        <f t="shared" ca="1" si="31"/>
        <v>82525.855008893806</v>
      </c>
      <c r="AX17" s="32">
        <f t="shared" si="32"/>
        <v>41287.857229906251</v>
      </c>
      <c r="AY17" s="32">
        <f t="shared" ca="1" si="33"/>
        <v>41237.997778987563</v>
      </c>
      <c r="BA17" s="32">
        <f ca="1">IF($A18="","",F17*Summary!$Q$9)</f>
        <v>0</v>
      </c>
      <c r="BC17" s="256">
        <f t="shared" ca="1" si="36"/>
        <v>38816.848631046931</v>
      </c>
    </row>
    <row r="18" spans="1:55">
      <c r="A18" s="67">
        <f t="shared" si="34"/>
        <v>37288</v>
      </c>
      <c r="B18" s="69">
        <f t="shared" si="37"/>
        <v>36050</v>
      </c>
      <c r="C18" s="71"/>
      <c r="D18" s="69">
        <f t="shared" si="0"/>
        <v>36050</v>
      </c>
      <c r="E18" s="70">
        <f t="shared" si="1"/>
        <v>1009400</v>
      </c>
      <c r="F18" s="70">
        <f t="shared" ca="1" si="2"/>
        <v>941162.06835269299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0.36</v>
      </c>
      <c r="K18" s="64">
        <f t="shared" si="6"/>
        <v>0.36</v>
      </c>
      <c r="L18" s="63">
        <f t="shared" si="5"/>
        <v>0</v>
      </c>
      <c r="M18" s="64">
        <f t="shared" si="7"/>
        <v>0</v>
      </c>
      <c r="N18" s="65"/>
      <c r="O18" s="63">
        <f t="shared" si="8"/>
        <v>5.1770000000000005</v>
      </c>
      <c r="P18" s="63">
        <f t="shared" si="9"/>
        <v>5.1770000000000005</v>
      </c>
      <c r="Q18" s="66"/>
      <c r="R18" s="63">
        <f t="shared" si="10"/>
        <v>-9.7500000000000003E-2</v>
      </c>
      <c r="S18" s="64">
        <f t="shared" si="11"/>
        <v>-9.7500000000000003E-2</v>
      </c>
      <c r="T18" s="63">
        <f t="shared" si="12"/>
        <v>0.01</v>
      </c>
      <c r="U18" s="64">
        <f t="shared" si="13"/>
        <v>0.01</v>
      </c>
      <c r="V18" s="90">
        <f>IF($A19="","",IF(AND(MONTH(A18)&gt;3,MONTH(A18)&lt;11),(T18+R18+G18)*Summary!$T$9/(1-Summary!$T$9),(T18+R18+G18)*Summary!$U$9/(1-Summary!$U$9)))</f>
        <v>0.2264886828041496</v>
      </c>
      <c r="W18" s="63">
        <f t="shared" si="14"/>
        <v>4.9559886828041497</v>
      </c>
      <c r="X18" s="63">
        <f t="shared" si="15"/>
        <v>4.9559886828041497</v>
      </c>
      <c r="Y18" s="43"/>
      <c r="Z18" s="38">
        <f t="shared" si="16"/>
        <v>1.35</v>
      </c>
      <c r="AA18" s="38">
        <f t="shared" si="17"/>
        <v>0.56999999999999995</v>
      </c>
      <c r="AB18" s="38">
        <f t="shared" ca="1" si="18"/>
        <v>0.65078842377464263</v>
      </c>
      <c r="AC18" s="38">
        <f t="shared" si="19"/>
        <v>1.25</v>
      </c>
      <c r="AD18" s="38">
        <f t="shared" si="19"/>
        <v>0.56999999999999995</v>
      </c>
      <c r="AE18" s="38">
        <f t="shared" ca="1" si="20"/>
        <v>0.64002534539508005</v>
      </c>
      <c r="AF18" s="237">
        <f ca="1">((Summary!$N$9*(AA18*AD18)*(A18-$D$3))+(Summary!$M$9*Z18*AC18*(AJ18-EOMONTH(EDATE(A18,-1),0))))/(AK18*AB18*AE18)</f>
        <v>0.99941931474695789</v>
      </c>
      <c r="AG18" s="88">
        <f>IF($A19="","",Summary!$Q$9)</f>
        <v>0</v>
      </c>
      <c r="AH18" s="88">
        <f>IF($A19="","",IF(Summary!$R$9="Y",VLOOKUP($A18,Summary!$AD$6:$AF$9,3)+'Escalating commodity'!E31,'Escalating commodity'!E31))</f>
        <v>7.5700000000000003E-2</v>
      </c>
      <c r="AI18" s="88">
        <f t="shared" si="35"/>
        <v>7.5700000000000003E-2</v>
      </c>
      <c r="AJ18" s="236">
        <f t="shared" si="21"/>
        <v>37301</v>
      </c>
      <c r="AK18" s="58">
        <f t="shared" ca="1" si="22"/>
        <v>262</v>
      </c>
      <c r="AL18" s="26">
        <f ca="1">IF($A19="","",_xll.SPRDOPT(P18,X18,AI18,0,AB18,AE18,AF18,AK18,$AJ$2,0))</f>
        <v>0.15560118744402704</v>
      </c>
      <c r="AM18" s="89">
        <f t="shared" si="23"/>
        <v>0.14531131719585078</v>
      </c>
      <c r="AN18" s="89">
        <f t="shared" ca="1" si="24"/>
        <v>1.0289870248176264E-2</v>
      </c>
      <c r="AO18" s="3">
        <f t="shared" si="25"/>
        <v>28</v>
      </c>
      <c r="AP18" s="33">
        <f t="shared" si="26"/>
        <v>37288</v>
      </c>
      <c r="AQ18" s="58">
        <f t="shared" ca="1" si="27"/>
        <v>262</v>
      </c>
      <c r="AR18" s="38">
        <f>'ANR OK vs ML7'!AR18</f>
        <v>0.1</v>
      </c>
      <c r="AS18" s="35">
        <f t="shared" ca="1" si="28"/>
        <v>0.93239753155606597</v>
      </c>
      <c r="AT18" s="3">
        <f t="shared" si="29"/>
        <v>1</v>
      </c>
      <c r="AU18" s="3">
        <f t="shared" si="30"/>
        <v>28</v>
      </c>
      <c r="AW18" s="32">
        <f t="shared" ca="1" si="31"/>
        <v>157063.83860600091</v>
      </c>
      <c r="AX18" s="32">
        <f t="shared" si="32"/>
        <v>146677.24357749178</v>
      </c>
      <c r="AY18" s="32">
        <f t="shared" ca="1" si="33"/>
        <v>10386.59502850912</v>
      </c>
      <c r="BA18" s="32">
        <f ca="1">IF($A19="","",F18*Summary!$Q$9)</f>
        <v>0</v>
      </c>
      <c r="BC18" s="256">
        <f t="shared" ca="1" si="36"/>
        <v>136761.49984710116</v>
      </c>
    </row>
    <row r="19" spans="1:55">
      <c r="A19" s="67">
        <f t="shared" si="34"/>
        <v>37316</v>
      </c>
      <c r="B19" s="69">
        <f t="shared" si="37"/>
        <v>36050</v>
      </c>
      <c r="C19" s="71"/>
      <c r="D19" s="69">
        <f t="shared" si="0"/>
        <v>36050</v>
      </c>
      <c r="E19" s="70">
        <f t="shared" si="1"/>
        <v>1117550</v>
      </c>
      <c r="F19" s="70">
        <f t="shared" ca="1" si="2"/>
        <v>1034235.2651832168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0.36</v>
      </c>
      <c r="K19" s="64">
        <f t="shared" si="6"/>
        <v>0.36</v>
      </c>
      <c r="L19" s="63">
        <f t="shared" si="5"/>
        <v>0</v>
      </c>
      <c r="M19" s="64">
        <f t="shared" si="7"/>
        <v>0</v>
      </c>
      <c r="N19" s="65"/>
      <c r="O19" s="63">
        <f t="shared" si="8"/>
        <v>4.99</v>
      </c>
      <c r="P19" s="63">
        <f t="shared" si="9"/>
        <v>4.99</v>
      </c>
      <c r="Q19" s="66"/>
      <c r="R19" s="63">
        <f t="shared" si="10"/>
        <v>-9.5000000000000001E-2</v>
      </c>
      <c r="S19" s="64">
        <f t="shared" si="11"/>
        <v>-9.5000000000000001E-2</v>
      </c>
      <c r="T19" s="63">
        <f t="shared" si="12"/>
        <v>0.01</v>
      </c>
      <c r="U19" s="64">
        <f t="shared" si="13"/>
        <v>0.01</v>
      </c>
      <c r="V19" s="90">
        <f>IF($A20="","",IF(AND(MONTH(A19)&gt;3,MONTH(A19)&lt;11),(T19+R19+G19)*Summary!$T$9/(1-Summary!$T$9),(T19+R19+G19)*Summary!$U$9/(1-Summary!$U$9)))</f>
        <v>0.21765325369380695</v>
      </c>
      <c r="W19" s="63">
        <f t="shared" si="14"/>
        <v>4.7626532536938067</v>
      </c>
      <c r="X19" s="63">
        <f t="shared" si="15"/>
        <v>4.7626532536938067</v>
      </c>
      <c r="Y19" s="43"/>
      <c r="Z19" s="38">
        <f t="shared" si="16"/>
        <v>1</v>
      </c>
      <c r="AA19" s="38">
        <f t="shared" si="17"/>
        <v>0.52300000000000002</v>
      </c>
      <c r="AB19" s="38">
        <f t="shared" ca="1" si="18"/>
        <v>0.57264341374920646</v>
      </c>
      <c r="AC19" s="38">
        <f t="shared" si="19"/>
        <v>1</v>
      </c>
      <c r="AD19" s="38">
        <f t="shared" si="19"/>
        <v>0.52300000000000002</v>
      </c>
      <c r="AE19" s="38">
        <f t="shared" ca="1" si="20"/>
        <v>0.57264341374920646</v>
      </c>
      <c r="AF19" s="237">
        <f ca="1">((Summary!$N$9*(AA19*AD19)*(A19-$D$3))+(Summary!$M$9*Z19*AC19*(AJ19-EOMONTH(EDATE(A19,-1),0))))/(AK19*AB19*AE19)</f>
        <v>0.99991629915764157</v>
      </c>
      <c r="AG19" s="88">
        <f>IF($A20="","",Summary!$Q$9)</f>
        <v>0</v>
      </c>
      <c r="AH19" s="88">
        <f>IF($A20="","",IF(Summary!$R$9="Y",VLOOKUP($A19,Summary!$AD$6:$AF$9,3)+'Escalating commodity'!E32,'Escalating commodity'!E32))</f>
        <v>7.5700000000000003E-2</v>
      </c>
      <c r="AI19" s="88">
        <f t="shared" si="35"/>
        <v>7.5700000000000003E-2</v>
      </c>
      <c r="AJ19" s="236">
        <f t="shared" si="21"/>
        <v>37330.5</v>
      </c>
      <c r="AK19" s="58">
        <f t="shared" ca="1" si="22"/>
        <v>290</v>
      </c>
      <c r="AL19" s="26">
        <f ca="1">IF($A20="","",_xll.SPRDOPT(P19,X19,AI19,0,AB19,AE19,AF19,AK19,$AJ$2,0))</f>
        <v>0.15246844356513506</v>
      </c>
      <c r="AM19" s="89">
        <f t="shared" si="23"/>
        <v>0.15164674630619357</v>
      </c>
      <c r="AN19" s="89">
        <f t="shared" ca="1" si="24"/>
        <v>8.2169725894148948E-4</v>
      </c>
      <c r="AO19" s="3">
        <f t="shared" si="25"/>
        <v>31</v>
      </c>
      <c r="AP19" s="33">
        <f t="shared" si="26"/>
        <v>37316</v>
      </c>
      <c r="AQ19" s="58">
        <f t="shared" ca="1" si="27"/>
        <v>290</v>
      </c>
      <c r="AR19" s="38">
        <f>'ANR OK vs ML7'!AR19</f>
        <v>0.1</v>
      </c>
      <c r="AS19" s="35">
        <f t="shared" ca="1" si="28"/>
        <v>0.92544876308283008</v>
      </c>
      <c r="AT19" s="3">
        <f t="shared" si="29"/>
        <v>1</v>
      </c>
      <c r="AU19" s="3">
        <f t="shared" si="30"/>
        <v>31</v>
      </c>
      <c r="AW19" s="32">
        <f t="shared" ca="1" si="31"/>
        <v>170391.1091062167</v>
      </c>
      <c r="AX19" s="32">
        <f t="shared" si="32"/>
        <v>169472.82133448662</v>
      </c>
      <c r="AY19" s="32">
        <f t="shared" ca="1" si="33"/>
        <v>918.28777173006154</v>
      </c>
      <c r="BA19" s="32">
        <f ca="1">IF($A20="","",F19*Summary!$Q$9)</f>
        <v>0</v>
      </c>
      <c r="BC19" s="256">
        <f t="shared" ca="1" si="36"/>
        <v>156838.41288015811</v>
      </c>
    </row>
    <row r="20" spans="1:55">
      <c r="A20" s="67">
        <f t="shared" si="34"/>
        <v>37347</v>
      </c>
      <c r="B20" s="69">
        <f t="shared" si="37"/>
        <v>36050</v>
      </c>
      <c r="C20" s="71"/>
      <c r="D20" s="69">
        <f t="shared" si="0"/>
        <v>36050</v>
      </c>
      <c r="E20" s="70">
        <f t="shared" si="1"/>
        <v>1081500</v>
      </c>
      <c r="F20" s="70">
        <f t="shared" ca="1" si="2"/>
        <v>992617.86761657323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0.18</v>
      </c>
      <c r="K20" s="64">
        <f t="shared" si="6"/>
        <v>0.18</v>
      </c>
      <c r="L20" s="63">
        <f t="shared" si="5"/>
        <v>0</v>
      </c>
      <c r="M20" s="64">
        <f t="shared" si="7"/>
        <v>0</v>
      </c>
      <c r="N20" s="65"/>
      <c r="O20" s="63">
        <f t="shared" si="8"/>
        <v>4.4719999999999995</v>
      </c>
      <c r="P20" s="63">
        <f t="shared" si="9"/>
        <v>4.4719999999999995</v>
      </c>
      <c r="Q20" s="66"/>
      <c r="R20" s="63">
        <f t="shared" si="10"/>
        <v>-0.09</v>
      </c>
      <c r="S20" s="64">
        <f t="shared" si="11"/>
        <v>-0.09</v>
      </c>
      <c r="T20" s="63">
        <f t="shared" si="12"/>
        <v>-0.01</v>
      </c>
      <c r="U20" s="64">
        <f t="shared" si="13"/>
        <v>-0.01</v>
      </c>
      <c r="V20" s="90">
        <f>IF($A21="","",IF(AND(MONTH(A20)&gt;3,MONTH(A20)&lt;11),(T20+R20+G20)*Summary!$T$9/(1-Summary!$T$9),(T20+R20+G20)*Summary!$U$9/(1-Summary!$U$9)))</f>
        <v>0.20074861154773133</v>
      </c>
      <c r="W20" s="63">
        <f t="shared" si="14"/>
        <v>4.3927486115477317</v>
      </c>
      <c r="X20" s="63">
        <f t="shared" si="15"/>
        <v>4.3927486115477317</v>
      </c>
      <c r="Y20" s="43"/>
      <c r="Z20" s="38">
        <f t="shared" si="16"/>
        <v>0.45</v>
      </c>
      <c r="AA20" s="38">
        <f t="shared" si="17"/>
        <v>0.4</v>
      </c>
      <c r="AB20" s="38">
        <f t="shared" ca="1" si="18"/>
        <v>0.41226333718878178</v>
      </c>
      <c r="AC20" s="38">
        <f t="shared" si="19"/>
        <v>0.4</v>
      </c>
      <c r="AD20" s="38">
        <f t="shared" si="19"/>
        <v>0.4</v>
      </c>
      <c r="AE20" s="38">
        <f t="shared" ca="1" si="20"/>
        <v>0.40984762763937033</v>
      </c>
      <c r="AF20" s="237">
        <f ca="1">((Summary!$N$9*(AA20*AD20)*(A20-$D$3))+(Summary!$M$9*Z20*AC20*(AJ20-EOMONTH(EDATE(A20,-1),0))))/(AK20*AB20*AE20)</f>
        <v>0.99957657994813698</v>
      </c>
      <c r="AG20" s="88">
        <f>IF($A21="","",Summary!$Q$9)</f>
        <v>0</v>
      </c>
      <c r="AH20" s="88">
        <f>IF($A21="","",IF(Summary!$R$9="Y",VLOOKUP($A20,Summary!$AD$6:$AF$9,3)+'Escalating commodity'!E33,'Escalating commodity'!E33))</f>
        <v>7.5700000000000003E-2</v>
      </c>
      <c r="AI20" s="88">
        <f t="shared" si="35"/>
        <v>7.5700000000000003E-2</v>
      </c>
      <c r="AJ20" s="236">
        <f t="shared" si="21"/>
        <v>37361</v>
      </c>
      <c r="AK20" s="58">
        <f t="shared" ca="1" si="22"/>
        <v>321</v>
      </c>
      <c r="AL20" s="26">
        <f ca="1">IF($A21="","",_xll.SPRDOPT(P20,X20,AI20,0,AB20,AE20,AF20,AK20,$AJ$2,0))</f>
        <v>2.5441768713821231E-2</v>
      </c>
      <c r="AM20" s="89">
        <f t="shared" si="23"/>
        <v>3.5513884522678646E-3</v>
      </c>
      <c r="AN20" s="89">
        <f t="shared" ca="1" si="24"/>
        <v>2.1890380261553367E-2</v>
      </c>
      <c r="AO20" s="3">
        <f t="shared" si="25"/>
        <v>30</v>
      </c>
      <c r="AP20" s="33">
        <f t="shared" si="26"/>
        <v>37347</v>
      </c>
      <c r="AQ20" s="58">
        <f t="shared" ca="1" si="27"/>
        <v>321</v>
      </c>
      <c r="AR20" s="38">
        <f>'ANR OK vs ML7'!AR20</f>
        <v>0.1</v>
      </c>
      <c r="AS20" s="35">
        <f t="shared" ca="1" si="28"/>
        <v>0.91781587389419628</v>
      </c>
      <c r="AT20" s="3">
        <f t="shared" si="29"/>
        <v>1</v>
      </c>
      <c r="AU20" s="3">
        <f t="shared" si="30"/>
        <v>30</v>
      </c>
      <c r="AW20" s="32">
        <f t="shared" ca="1" si="31"/>
        <v>27515.272863997663</v>
      </c>
      <c r="AX20" s="32">
        <f t="shared" si="32"/>
        <v>3840.8266111276957</v>
      </c>
      <c r="AY20" s="32">
        <f t="shared" ca="1" si="33"/>
        <v>23674.446252869966</v>
      </c>
      <c r="BA20" s="32">
        <f ca="1">IF($A21="","",F20*Summary!$Q$9)</f>
        <v>0</v>
      </c>
      <c r="BC20" s="256">
        <f t="shared" ca="1" si="36"/>
        <v>3525.1716325682501</v>
      </c>
    </row>
    <row r="21" spans="1:55">
      <c r="A21" s="67">
        <f t="shared" si="34"/>
        <v>37377</v>
      </c>
      <c r="B21" s="69">
        <f t="shared" si="37"/>
        <v>36050</v>
      </c>
      <c r="C21" s="71"/>
      <c r="D21" s="69">
        <f t="shared" si="0"/>
        <v>36050</v>
      </c>
      <c r="E21" s="70">
        <f t="shared" si="1"/>
        <v>1117550</v>
      </c>
      <c r="F21" s="70">
        <f t="shared" ca="1" si="2"/>
        <v>1017517.1531165369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0.18</v>
      </c>
      <c r="K21" s="64">
        <f t="shared" si="6"/>
        <v>0.18</v>
      </c>
      <c r="L21" s="63">
        <f t="shared" si="5"/>
        <v>0</v>
      </c>
      <c r="M21" s="64">
        <f t="shared" si="7"/>
        <v>0</v>
      </c>
      <c r="N21" s="65"/>
      <c r="O21" s="63">
        <f t="shared" si="8"/>
        <v>4.3920000000000003</v>
      </c>
      <c r="P21" s="63">
        <f t="shared" si="9"/>
        <v>4.3920000000000003</v>
      </c>
      <c r="Q21" s="66"/>
      <c r="R21" s="63">
        <f t="shared" si="10"/>
        <v>-0.09</v>
      </c>
      <c r="S21" s="64">
        <f t="shared" si="11"/>
        <v>-0.09</v>
      </c>
      <c r="T21" s="63">
        <f t="shared" si="12"/>
        <v>-0.01</v>
      </c>
      <c r="U21" s="64">
        <f t="shared" si="13"/>
        <v>-0.01</v>
      </c>
      <c r="V21" s="90">
        <f>IF($A22="","",IF(AND(MONTH(A21)&gt;3,MONTH(A21)&lt;11),(T21+R21+G21)*Summary!$T$9/(1-Summary!$T$9),(T21+R21+G21)*Summary!$U$9/(1-Summary!$U$9)))</f>
        <v>0.19691753117468305</v>
      </c>
      <c r="W21" s="63">
        <f t="shared" si="14"/>
        <v>4.3089175311746839</v>
      </c>
      <c r="X21" s="63">
        <f t="shared" si="15"/>
        <v>4.3089175311746839</v>
      </c>
      <c r="Y21" s="43"/>
      <c r="Z21" s="38">
        <f t="shared" si="16"/>
        <v>0.5</v>
      </c>
      <c r="AA21" s="38">
        <f t="shared" si="17"/>
        <v>0.35</v>
      </c>
      <c r="AB21" s="38">
        <f t="shared" ca="1" si="18"/>
        <v>0.36590830666833579</v>
      </c>
      <c r="AC21" s="38">
        <f t="shared" si="19"/>
        <v>0.4</v>
      </c>
      <c r="AD21" s="38">
        <f t="shared" si="19"/>
        <v>0.35</v>
      </c>
      <c r="AE21" s="38">
        <f t="shared" ca="1" si="20"/>
        <v>0.36043658237549903</v>
      </c>
      <c r="AF21" s="237">
        <f ca="1">((Summary!$N$9*(AA21*AD21)*(A21-$D$3))+(Summary!$M$9*Z21*AC21*(AJ21-EOMONTH(EDATE(A21,-1),0))))/(AK21*AB21*AE21)</f>
        <v>0.99834621176844029</v>
      </c>
      <c r="AG21" s="88">
        <f>IF($A22="","",Summary!$Q$9)</f>
        <v>0</v>
      </c>
      <c r="AH21" s="88">
        <f>IF($A22="","",IF(Summary!$R$9="Y",VLOOKUP($A21,Summary!$AD$6:$AF$9,3)+'Escalating commodity'!E34,'Escalating commodity'!E34))</f>
        <v>7.5700000000000003E-2</v>
      </c>
      <c r="AI21" s="88">
        <f t="shared" si="35"/>
        <v>7.5700000000000003E-2</v>
      </c>
      <c r="AJ21" s="236">
        <f t="shared" si="21"/>
        <v>37391.5</v>
      </c>
      <c r="AK21" s="58">
        <f t="shared" ca="1" si="22"/>
        <v>351</v>
      </c>
      <c r="AL21" s="26">
        <f ca="1">IF($A22="","",_xll.SPRDOPT(P21,X21,AI21,0,AB21,AE21,AF21,AK21,$AJ$2,0))</f>
        <v>4.4662345178059205E-2</v>
      </c>
      <c r="AM21" s="89">
        <f t="shared" si="23"/>
        <v>7.3824688253164433E-3</v>
      </c>
      <c r="AN21" s="89">
        <f t="shared" ca="1" si="24"/>
        <v>3.7279876352742762E-2</v>
      </c>
      <c r="AO21" s="3">
        <f t="shared" si="25"/>
        <v>31</v>
      </c>
      <c r="AP21" s="33">
        <f t="shared" si="26"/>
        <v>37377</v>
      </c>
      <c r="AQ21" s="58">
        <f t="shared" ca="1" si="27"/>
        <v>351</v>
      </c>
      <c r="AR21" s="38">
        <f>'ANR OK vs ML7'!AR21</f>
        <v>0.1</v>
      </c>
      <c r="AS21" s="35">
        <f t="shared" ca="1" si="28"/>
        <v>0.91048915316230761</v>
      </c>
      <c r="AT21" s="3">
        <f t="shared" si="29"/>
        <v>1</v>
      </c>
      <c r="AU21" s="3">
        <f t="shared" si="30"/>
        <v>31</v>
      </c>
      <c r="AW21" s="32">
        <f t="shared" ca="1" si="31"/>
        <v>49912.403853740063</v>
      </c>
      <c r="AX21" s="32">
        <f t="shared" si="32"/>
        <v>8250.2780357323918</v>
      </c>
      <c r="AY21" s="32">
        <f t="shared" ca="1" si="33"/>
        <v>41662.125818007677</v>
      </c>
      <c r="BA21" s="32">
        <f ca="1">IF($A22="","",F21*Summary!$Q$9)</f>
        <v>0</v>
      </c>
      <c r="BC21" s="256">
        <f t="shared" ca="1" si="36"/>
        <v>7511.7886621075722</v>
      </c>
    </row>
    <row r="22" spans="1:55">
      <c r="A22" s="67">
        <f t="shared" si="34"/>
        <v>37408</v>
      </c>
      <c r="B22" s="69">
        <f t="shared" si="37"/>
        <v>36050</v>
      </c>
      <c r="C22" s="71"/>
      <c r="D22" s="69">
        <f t="shared" si="0"/>
        <v>36050</v>
      </c>
      <c r="E22" s="70">
        <f t="shared" si="1"/>
        <v>1081500</v>
      </c>
      <c r="F22" s="70">
        <f t="shared" ca="1" si="2"/>
        <v>976572.4886695859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0.18</v>
      </c>
      <c r="K22" s="64">
        <f t="shared" si="6"/>
        <v>0.18</v>
      </c>
      <c r="L22" s="63">
        <f t="shared" si="5"/>
        <v>0</v>
      </c>
      <c r="M22" s="64">
        <f t="shared" si="7"/>
        <v>0</v>
      </c>
      <c r="N22" s="65"/>
      <c r="O22" s="63">
        <f t="shared" si="8"/>
        <v>4.4319999999999995</v>
      </c>
      <c r="P22" s="63">
        <f t="shared" si="9"/>
        <v>4.4319999999999995</v>
      </c>
      <c r="Q22" s="66"/>
      <c r="R22" s="63">
        <f t="shared" si="10"/>
        <v>-0.09</v>
      </c>
      <c r="S22" s="64">
        <f t="shared" si="11"/>
        <v>-0.09</v>
      </c>
      <c r="T22" s="63">
        <f t="shared" si="12"/>
        <v>-0.01</v>
      </c>
      <c r="U22" s="64">
        <f t="shared" si="13"/>
        <v>-0.01</v>
      </c>
      <c r="V22" s="90">
        <f>IF($A23="","",IF(AND(MONTH(A22)&gt;3,MONTH(A22)&lt;11),(T22+R22+G22)*Summary!$T$9/(1-Summary!$T$9),(T22+R22+G22)*Summary!$U$9/(1-Summary!$U$9)))</f>
        <v>0.19883307136120718</v>
      </c>
      <c r="W22" s="63">
        <f t="shared" si="14"/>
        <v>4.3508330713612073</v>
      </c>
      <c r="X22" s="63">
        <f t="shared" si="15"/>
        <v>4.3508330713612073</v>
      </c>
      <c r="Y22" s="43"/>
      <c r="Z22" s="38">
        <f t="shared" si="16"/>
        <v>0.5</v>
      </c>
      <c r="AA22" s="38">
        <f t="shared" si="17"/>
        <v>0.35</v>
      </c>
      <c r="AB22" s="38">
        <f t="shared" ca="1" si="18"/>
        <v>0.36419422641630911</v>
      </c>
      <c r="AC22" s="38">
        <f t="shared" si="19"/>
        <v>0.4</v>
      </c>
      <c r="AD22" s="38">
        <f t="shared" si="19"/>
        <v>0.35</v>
      </c>
      <c r="AE22" s="38">
        <f t="shared" ca="1" si="20"/>
        <v>0.35930962016255735</v>
      </c>
      <c r="AF22" s="237">
        <f ca="1">((Summary!$N$9*(AA22*AD22)*(A22-$D$3))+(Summary!$M$9*Z22*AC22*(AJ22-EOMONTH(EDATE(A22,-1),0))))/(AK22*AB22*AE22)</f>
        <v>0.99849694537409228</v>
      </c>
      <c r="AG22" s="88">
        <f>IF($A23="","",Summary!$Q$9)</f>
        <v>0</v>
      </c>
      <c r="AH22" s="88">
        <f>IF($A23="","",IF(Summary!$R$9="Y",VLOOKUP($A22,Summary!$AD$6:$AF$9,3)+'Escalating commodity'!E35,'Escalating commodity'!E35))</f>
        <v>7.5700000000000003E-2</v>
      </c>
      <c r="AI22" s="88">
        <f t="shared" si="35"/>
        <v>7.5700000000000003E-2</v>
      </c>
      <c r="AJ22" s="236">
        <f t="shared" si="21"/>
        <v>37422</v>
      </c>
      <c r="AK22" s="58">
        <f t="shared" ca="1" si="22"/>
        <v>382</v>
      </c>
      <c r="AL22" s="26">
        <f ca="1">IF($A23="","",_xll.SPRDOPT(P22,X22,AI22,0,AB22,AE22,AF22,AK22,$AJ$2,0))</f>
        <v>4.3588429223396653E-2</v>
      </c>
      <c r="AM22" s="89">
        <f t="shared" si="23"/>
        <v>5.466928638792154E-3</v>
      </c>
      <c r="AN22" s="89">
        <f t="shared" ca="1" si="24"/>
        <v>3.8121500584604499E-2</v>
      </c>
      <c r="AO22" s="3">
        <f t="shared" si="25"/>
        <v>30</v>
      </c>
      <c r="AP22" s="33">
        <f t="shared" si="26"/>
        <v>37408</v>
      </c>
      <c r="AQ22" s="58">
        <f t="shared" ca="1" si="27"/>
        <v>382</v>
      </c>
      <c r="AR22" s="38">
        <f>'ANR OK vs ML7'!AR22</f>
        <v>0.1</v>
      </c>
      <c r="AS22" s="35">
        <f t="shared" ca="1" si="28"/>
        <v>0.90297964740599712</v>
      </c>
      <c r="AT22" s="3">
        <f t="shared" si="29"/>
        <v>1</v>
      </c>
      <c r="AU22" s="3">
        <f t="shared" si="30"/>
        <v>30</v>
      </c>
      <c r="AW22" s="32">
        <f t="shared" ca="1" si="31"/>
        <v>47140.886205103481</v>
      </c>
      <c r="AX22" s="32">
        <f t="shared" si="32"/>
        <v>5912.4833228537145</v>
      </c>
      <c r="AY22" s="32">
        <f t="shared" ca="1" si="33"/>
        <v>41228.402882249764</v>
      </c>
      <c r="BA22" s="32">
        <f ca="1">IF($A23="","",F22*Summary!$Q$9)</f>
        <v>0</v>
      </c>
      <c r="BC22" s="256">
        <f t="shared" ca="1" si="36"/>
        <v>5338.852106164285</v>
      </c>
    </row>
    <row r="23" spans="1:55">
      <c r="A23" s="67">
        <f t="shared" si="34"/>
        <v>37438</v>
      </c>
      <c r="B23" s="69">
        <f t="shared" si="37"/>
        <v>36050</v>
      </c>
      <c r="C23" s="71"/>
      <c r="D23" s="69">
        <f t="shared" si="0"/>
        <v>36050</v>
      </c>
      <c r="E23" s="70">
        <f t="shared" si="1"/>
        <v>1117550</v>
      </c>
      <c r="F23" s="70">
        <f t="shared" ca="1" si="2"/>
        <v>1001069.2844659182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0.18</v>
      </c>
      <c r="K23" s="64">
        <f t="shared" si="6"/>
        <v>0.18</v>
      </c>
      <c r="L23" s="63">
        <f t="shared" si="5"/>
        <v>0</v>
      </c>
      <c r="M23" s="64">
        <f t="shared" si="7"/>
        <v>0</v>
      </c>
      <c r="N23" s="65"/>
      <c r="O23" s="63">
        <f t="shared" si="8"/>
        <v>4.4770000000000003</v>
      </c>
      <c r="P23" s="63">
        <f t="shared" si="9"/>
        <v>4.4770000000000003</v>
      </c>
      <c r="Q23" s="66"/>
      <c r="R23" s="63">
        <f t="shared" si="10"/>
        <v>-0.09</v>
      </c>
      <c r="S23" s="64">
        <f t="shared" si="11"/>
        <v>-0.09</v>
      </c>
      <c r="T23" s="63">
        <f t="shared" si="12"/>
        <v>-0.01</v>
      </c>
      <c r="U23" s="64">
        <f t="shared" si="13"/>
        <v>-0.01</v>
      </c>
      <c r="V23" s="90">
        <f>IF($A24="","",IF(AND(MONTH(A23)&gt;3,MONTH(A23)&lt;11),(T23+R23+G23)*Summary!$T$9/(1-Summary!$T$9),(T23+R23+G23)*Summary!$U$9/(1-Summary!$U$9)))</f>
        <v>0.20098805407104686</v>
      </c>
      <c r="W23" s="63">
        <f t="shared" si="14"/>
        <v>4.3979880540710479</v>
      </c>
      <c r="X23" s="63">
        <f t="shared" si="15"/>
        <v>4.3979880540710479</v>
      </c>
      <c r="Y23" s="43"/>
      <c r="Z23" s="38">
        <f t="shared" si="16"/>
        <v>0.55000000000000004</v>
      </c>
      <c r="AA23" s="38">
        <f t="shared" si="17"/>
        <v>0.35</v>
      </c>
      <c r="AB23" s="38">
        <f t="shared" ca="1" si="18"/>
        <v>0.36630286821445435</v>
      </c>
      <c r="AC23" s="38">
        <f t="shared" si="19"/>
        <v>0.4</v>
      </c>
      <c r="AD23" s="38">
        <f t="shared" si="19"/>
        <v>0.35</v>
      </c>
      <c r="AE23" s="38">
        <f t="shared" ca="1" si="20"/>
        <v>0.35891050078371278</v>
      </c>
      <c r="AF23" s="237">
        <f ca="1">((Summary!$N$9*(AA23*AD23)*(A23-$D$3))+(Summary!$M$9*Z23*AC23*(AJ23-EOMONTH(EDATE(A23,-1),0))))/(AK23*AB23*AE23)</f>
        <v>0.99689513467540392</v>
      </c>
      <c r="AG23" s="88">
        <f>IF($A24="","",Summary!$Q$9)</f>
        <v>0</v>
      </c>
      <c r="AH23" s="88">
        <f>IF($A24="","",IF(Summary!$R$9="Y",VLOOKUP($A23,Summary!$AD$6:$AF$9,3)+'Escalating commodity'!E36,'Escalating commodity'!E36))</f>
        <v>7.5700000000000003E-2</v>
      </c>
      <c r="AI23" s="88">
        <f t="shared" si="35"/>
        <v>7.5700000000000003E-2</v>
      </c>
      <c r="AJ23" s="236">
        <f t="shared" si="21"/>
        <v>37452.5</v>
      </c>
      <c r="AK23" s="58">
        <f t="shared" ca="1" si="22"/>
        <v>412</v>
      </c>
      <c r="AL23" s="26">
        <f ca="1">IF($A24="","",_xll.SPRDOPT(P23,X23,AI23,0,AB23,AE23,AF23,AK23,$AJ$2,0))</f>
        <v>6.1189207613810345E-2</v>
      </c>
      <c r="AM23" s="89">
        <f t="shared" si="23"/>
        <v>3.3119459289524394E-3</v>
      </c>
      <c r="AN23" s="89">
        <f t="shared" ca="1" si="24"/>
        <v>5.7877261684857906E-2</v>
      </c>
      <c r="AO23" s="3">
        <f t="shared" si="25"/>
        <v>31</v>
      </c>
      <c r="AP23" s="33">
        <f t="shared" si="26"/>
        <v>37438</v>
      </c>
      <c r="AQ23" s="58">
        <f t="shared" ca="1" si="27"/>
        <v>412</v>
      </c>
      <c r="AR23" s="38">
        <f>'ANR OK vs ML7'!AR23</f>
        <v>0.1</v>
      </c>
      <c r="AS23" s="35">
        <f t="shared" ca="1" si="28"/>
        <v>0.89577136098243315</v>
      </c>
      <c r="AT23" s="3">
        <f t="shared" si="29"/>
        <v>1</v>
      </c>
      <c r="AU23" s="3">
        <f t="shared" si="30"/>
        <v>31</v>
      </c>
      <c r="AW23" s="32">
        <f t="shared" ca="1" si="31"/>
        <v>68381.998968813758</v>
      </c>
      <c r="AX23" s="32">
        <f t="shared" si="32"/>
        <v>3701.2651729007989</v>
      </c>
      <c r="AY23" s="32">
        <f t="shared" ca="1" si="33"/>
        <v>64680.733795912951</v>
      </c>
      <c r="BA23" s="32">
        <f ca="1">IF($A24="","",F23*Summary!$Q$9)</f>
        <v>0</v>
      </c>
      <c r="BC23" s="256">
        <f t="shared" ca="1" si="36"/>
        <v>3315.4873412862294</v>
      </c>
    </row>
    <row r="24" spans="1:55">
      <c r="A24" s="67">
        <f t="shared" si="34"/>
        <v>37469</v>
      </c>
      <c r="B24" s="69">
        <f t="shared" si="37"/>
        <v>36050</v>
      </c>
      <c r="C24" s="71"/>
      <c r="D24" s="69">
        <f t="shared" si="0"/>
        <v>36050</v>
      </c>
      <c r="E24" s="70">
        <f t="shared" si="1"/>
        <v>1117550</v>
      </c>
      <c r="F24" s="70">
        <f t="shared" ca="1" si="2"/>
        <v>992812.69455701881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0.18</v>
      </c>
      <c r="K24" s="64">
        <f t="shared" si="6"/>
        <v>0.18</v>
      </c>
      <c r="L24" s="63">
        <f t="shared" si="5"/>
        <v>0</v>
      </c>
      <c r="M24" s="64">
        <f t="shared" si="7"/>
        <v>0</v>
      </c>
      <c r="N24" s="65"/>
      <c r="O24" s="63">
        <f t="shared" si="8"/>
        <v>4.5019999999999998</v>
      </c>
      <c r="P24" s="63">
        <f t="shared" si="9"/>
        <v>4.5019999999999998</v>
      </c>
      <c r="Q24" s="66"/>
      <c r="R24" s="63">
        <f t="shared" si="10"/>
        <v>-0.09</v>
      </c>
      <c r="S24" s="64">
        <f t="shared" si="11"/>
        <v>-0.09</v>
      </c>
      <c r="T24" s="63">
        <f t="shared" si="12"/>
        <v>-0.01</v>
      </c>
      <c r="U24" s="64">
        <f t="shared" si="13"/>
        <v>-0.01</v>
      </c>
      <c r="V24" s="90">
        <f>IF($A25="","",IF(AND(MONTH(A24)&gt;3,MONTH(A24)&lt;11),(T24+R24+G24)*Summary!$T$9/(1-Summary!$T$9),(T24+R24+G24)*Summary!$U$9/(1-Summary!$U$9)))</f>
        <v>0.20218526668762446</v>
      </c>
      <c r="W24" s="63">
        <f t="shared" si="14"/>
        <v>4.4241852666876245</v>
      </c>
      <c r="X24" s="63">
        <f t="shared" si="15"/>
        <v>4.4241852666876245</v>
      </c>
      <c r="Y24" s="43"/>
      <c r="Z24" s="38">
        <f t="shared" si="16"/>
        <v>0.6</v>
      </c>
      <c r="AA24" s="38">
        <f t="shared" si="17"/>
        <v>0.35</v>
      </c>
      <c r="AB24" s="38">
        <f t="shared" ca="1" si="18"/>
        <v>0.36792996683691581</v>
      </c>
      <c r="AC24" s="38">
        <f t="shared" si="19"/>
        <v>0.5</v>
      </c>
      <c r="AD24" s="38">
        <f t="shared" si="19"/>
        <v>0.35</v>
      </c>
      <c r="AE24" s="38">
        <f t="shared" ca="1" si="20"/>
        <v>0.36266196661850647</v>
      </c>
      <c r="AF24" s="237">
        <f ca="1">((Summary!$N$9*(AA24*AD24)*(A24-$D$3))+(Summary!$M$9*Z24*AC24*(AJ24-EOMONTH(EDATE(A24,-1),0))))/(AK24*AB24*AE24)</f>
        <v>0.9987008930329736</v>
      </c>
      <c r="AG24" s="88">
        <f>IF($A25="","",Summary!$Q$9)</f>
        <v>0</v>
      </c>
      <c r="AH24" s="88">
        <f>IF($A25="","",IF(Summary!$R$9="Y",VLOOKUP($A24,Summary!$AD$6:$AF$9,3)+'Escalating commodity'!E37,'Escalating commodity'!E37))</f>
        <v>7.5700000000000003E-2</v>
      </c>
      <c r="AI24" s="88">
        <f t="shared" si="35"/>
        <v>7.5700000000000003E-2</v>
      </c>
      <c r="AJ24" s="236">
        <f t="shared" si="21"/>
        <v>37483.5</v>
      </c>
      <c r="AK24" s="58">
        <f t="shared" ca="1" si="22"/>
        <v>443</v>
      </c>
      <c r="AL24" s="26">
        <f ca="1">IF($A25="","",_xll.SPRDOPT(P24,X24,AI24,0,AB24,AE24,AF24,AK24,$AJ$2,0))</f>
        <v>4.3982311342806023E-2</v>
      </c>
      <c r="AM24" s="89">
        <f t="shared" si="23"/>
        <v>2.1147333123753137E-3</v>
      </c>
      <c r="AN24" s="89">
        <f t="shared" ca="1" si="24"/>
        <v>4.1867578030430709E-2</v>
      </c>
      <c r="AO24" s="3">
        <f t="shared" si="25"/>
        <v>31</v>
      </c>
      <c r="AP24" s="33">
        <f t="shared" si="26"/>
        <v>37469</v>
      </c>
      <c r="AQ24" s="58">
        <f t="shared" ca="1" si="27"/>
        <v>443</v>
      </c>
      <c r="AR24" s="38">
        <f>'ANR OK vs ML7'!AR24</f>
        <v>0.1</v>
      </c>
      <c r="AS24" s="35">
        <f t="shared" ca="1" si="28"/>
        <v>0.8883832442011711</v>
      </c>
      <c r="AT24" s="3">
        <f t="shared" si="29"/>
        <v>1</v>
      </c>
      <c r="AU24" s="3">
        <f t="shared" si="30"/>
        <v>31</v>
      </c>
      <c r="AW24" s="32">
        <f t="shared" ca="1" si="31"/>
        <v>49152.432041152868</v>
      </c>
      <c r="AX24" s="32">
        <f t="shared" si="32"/>
        <v>2363.3202132450319</v>
      </c>
      <c r="AY24" s="32">
        <f t="shared" ca="1" si="33"/>
        <v>46789.111827907836</v>
      </c>
      <c r="BA24" s="32">
        <f ca="1">IF($A25="","",F24*Summary!$Q$9)</f>
        <v>0</v>
      </c>
      <c r="BC24" s="256">
        <f t="shared" ca="1" si="36"/>
        <v>2099.5340781288251</v>
      </c>
    </row>
    <row r="25" spans="1:55">
      <c r="A25" s="67">
        <f t="shared" si="34"/>
        <v>37500</v>
      </c>
      <c r="B25" s="69">
        <f t="shared" si="37"/>
        <v>36050</v>
      </c>
      <c r="C25" s="71"/>
      <c r="D25" s="69">
        <f t="shared" si="0"/>
        <v>36050</v>
      </c>
      <c r="E25" s="70">
        <f t="shared" si="1"/>
        <v>1081500</v>
      </c>
      <c r="F25" s="70">
        <f t="shared" ca="1" si="2"/>
        <v>952862.13204040367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0.18</v>
      </c>
      <c r="K25" s="64">
        <f t="shared" si="6"/>
        <v>0.18</v>
      </c>
      <c r="L25" s="63">
        <f t="shared" si="5"/>
        <v>0</v>
      </c>
      <c r="M25" s="64">
        <f t="shared" si="7"/>
        <v>0</v>
      </c>
      <c r="N25" s="65"/>
      <c r="O25" s="63">
        <f t="shared" si="8"/>
        <v>4.5069999999999997</v>
      </c>
      <c r="P25" s="63">
        <f t="shared" si="9"/>
        <v>4.5069999999999997</v>
      </c>
      <c r="Q25" s="66"/>
      <c r="R25" s="63">
        <f t="shared" si="10"/>
        <v>-0.09</v>
      </c>
      <c r="S25" s="64">
        <f t="shared" si="11"/>
        <v>-0.09</v>
      </c>
      <c r="T25" s="63">
        <f t="shared" si="12"/>
        <v>-0.01</v>
      </c>
      <c r="U25" s="64">
        <f t="shared" si="13"/>
        <v>-0.01</v>
      </c>
      <c r="V25" s="90">
        <f>IF($A26="","",IF(AND(MONTH(A25)&gt;3,MONTH(A25)&lt;11),(T25+R25+G25)*Summary!$T$9/(1-Summary!$T$9),(T25+R25+G25)*Summary!$U$9/(1-Summary!$U$9)))</f>
        <v>0.20242470921093997</v>
      </c>
      <c r="W25" s="63">
        <f t="shared" si="14"/>
        <v>4.4294247092109407</v>
      </c>
      <c r="X25" s="63">
        <f t="shared" si="15"/>
        <v>4.4294247092109407</v>
      </c>
      <c r="Y25" s="43"/>
      <c r="Z25" s="38">
        <f t="shared" si="16"/>
        <v>0.6</v>
      </c>
      <c r="AA25" s="38">
        <f t="shared" si="17"/>
        <v>0.35</v>
      </c>
      <c r="AB25" s="38">
        <f t="shared" ca="1" si="18"/>
        <v>0.36626608344461342</v>
      </c>
      <c r="AC25" s="38">
        <f t="shared" si="19"/>
        <v>0.55000000000000004</v>
      </c>
      <c r="AD25" s="38">
        <f t="shared" si="19"/>
        <v>0.35</v>
      </c>
      <c r="AE25" s="38">
        <f t="shared" ca="1" si="20"/>
        <v>0.36377358841550322</v>
      </c>
      <c r="AF25" s="237">
        <f ca="1">((Summary!$N$9*(AA25*AD25)*(A25-$D$3))+(Summary!$M$9*Z25*AC25*(AJ25-EOMONTH(EDATE(A25,-1),0))))/(AK25*AB25*AE25)</f>
        <v>0.99963428926665121</v>
      </c>
      <c r="AG25" s="88">
        <f>IF($A26="","",Summary!$Q$9)</f>
        <v>0</v>
      </c>
      <c r="AH25" s="88">
        <f>IF($A26="","",IF(Summary!$R$9="Y",VLOOKUP($A25,Summary!$AD$6:$AF$9,3)+'Escalating commodity'!E38,'Escalating commodity'!E38))</f>
        <v>7.5700000000000003E-2</v>
      </c>
      <c r="AI25" s="88">
        <f t="shared" si="35"/>
        <v>7.5700000000000003E-2</v>
      </c>
      <c r="AJ25" s="236">
        <f t="shared" si="21"/>
        <v>37514</v>
      </c>
      <c r="AK25" s="58">
        <f t="shared" ca="1" si="22"/>
        <v>474</v>
      </c>
      <c r="AL25" s="26">
        <f ca="1">IF($A26="","",_xll.SPRDOPT(P25,X25,AI25,0,AB25,AE25,AF25,AK25,$AJ$2,0))</f>
        <v>2.5812666981406163E-2</v>
      </c>
      <c r="AM25" s="89">
        <f t="shared" si="23"/>
        <v>1.8752907890590004E-3</v>
      </c>
      <c r="AN25" s="89">
        <f t="shared" ca="1" si="24"/>
        <v>2.3937376192347162E-2</v>
      </c>
      <c r="AO25" s="3">
        <f t="shared" si="25"/>
        <v>30</v>
      </c>
      <c r="AP25" s="33">
        <f t="shared" si="26"/>
        <v>37500</v>
      </c>
      <c r="AQ25" s="58">
        <f t="shared" ca="1" si="27"/>
        <v>474</v>
      </c>
      <c r="AR25" s="38">
        <f>'ANR OK vs ML7'!AR25</f>
        <v>0.1</v>
      </c>
      <c r="AS25" s="35">
        <f t="shared" ca="1" si="28"/>
        <v>0.88105606291299465</v>
      </c>
      <c r="AT25" s="3">
        <f t="shared" si="29"/>
        <v>1</v>
      </c>
      <c r="AU25" s="3">
        <f t="shared" si="30"/>
        <v>30</v>
      </c>
      <c r="AW25" s="32">
        <f t="shared" ca="1" si="31"/>
        <v>27916.399340390766</v>
      </c>
      <c r="AX25" s="32">
        <f t="shared" si="32"/>
        <v>2028.126988367309</v>
      </c>
      <c r="AY25" s="32">
        <f t="shared" ca="1" si="33"/>
        <v>25888.272352023458</v>
      </c>
      <c r="BA25" s="32">
        <f ca="1">IF($A26="","",F25*Summary!$Q$9)</f>
        <v>0</v>
      </c>
      <c r="BC25" s="256">
        <f t="shared" ca="1" si="36"/>
        <v>1786.89357945849</v>
      </c>
    </row>
    <row r="26" spans="1:55">
      <c r="A26" s="67">
        <f t="shared" si="34"/>
        <v>37530</v>
      </c>
      <c r="B26" s="69">
        <f t="shared" si="37"/>
        <v>36050</v>
      </c>
      <c r="C26" s="71"/>
      <c r="D26" s="69">
        <f t="shared" si="0"/>
        <v>36050</v>
      </c>
      <c r="E26" s="70">
        <f t="shared" si="1"/>
        <v>1117550</v>
      </c>
      <c r="F26" s="70">
        <f t="shared" ca="1" si="2"/>
        <v>976764.16628923977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0.18</v>
      </c>
      <c r="K26" s="64">
        <f t="shared" si="6"/>
        <v>0.18</v>
      </c>
      <c r="L26" s="63">
        <f t="shared" si="5"/>
        <v>0</v>
      </c>
      <c r="M26" s="64">
        <f t="shared" si="7"/>
        <v>0</v>
      </c>
      <c r="N26" s="65"/>
      <c r="O26" s="63">
        <f t="shared" si="8"/>
        <v>4.5170000000000003</v>
      </c>
      <c r="P26" s="63">
        <f t="shared" si="9"/>
        <v>4.5170000000000003</v>
      </c>
      <c r="Q26" s="66"/>
      <c r="R26" s="63">
        <f t="shared" si="10"/>
        <v>-0.09</v>
      </c>
      <c r="S26" s="64">
        <f t="shared" si="11"/>
        <v>-0.09</v>
      </c>
      <c r="T26" s="63">
        <f t="shared" si="12"/>
        <v>-0.01</v>
      </c>
      <c r="U26" s="64">
        <f t="shared" si="13"/>
        <v>-0.01</v>
      </c>
      <c r="V26" s="90">
        <f>IF($A27="","",IF(AND(MONTH(A26)&gt;3,MONTH(A26)&lt;11),(T26+R26+G26)*Summary!$T$9/(1-Summary!$T$9),(T26+R26+G26)*Summary!$U$9/(1-Summary!$U$9)))</f>
        <v>0.20290359425757101</v>
      </c>
      <c r="W26" s="63">
        <f t="shared" si="14"/>
        <v>4.4399035942575722</v>
      </c>
      <c r="X26" s="63">
        <f t="shared" si="15"/>
        <v>4.4399035942575722</v>
      </c>
      <c r="Y26" s="43"/>
      <c r="Z26" s="38">
        <f t="shared" si="16"/>
        <v>0.65</v>
      </c>
      <c r="AA26" s="38">
        <f t="shared" si="17"/>
        <v>0.35300000000000004</v>
      </c>
      <c r="AB26" s="38">
        <f t="shared" ca="1" si="18"/>
        <v>0.37128128375487329</v>
      </c>
      <c r="AC26" s="38">
        <f t="shared" si="19"/>
        <v>0.55000000000000004</v>
      </c>
      <c r="AD26" s="38">
        <f t="shared" si="19"/>
        <v>0.35300000000000004</v>
      </c>
      <c r="AE26" s="38">
        <f t="shared" ca="1" si="20"/>
        <v>0.36627764807068219</v>
      </c>
      <c r="AF26" s="237">
        <f ca="1">((Summary!$N$9*(AA26*AD26)*(A26-$D$3))+(Summary!$M$9*Z26*AC26*(AJ26-EOMONTH(EDATE(A26,-1),0))))/(AK26*AB26*AE26)</f>
        <v>0.99886951261659607</v>
      </c>
      <c r="AG26" s="88">
        <f>IF($A27="","",Summary!$Q$9)</f>
        <v>0</v>
      </c>
      <c r="AH26" s="88">
        <f>IF($A27="","",IF(Summary!$R$9="Y",VLOOKUP($A26,Summary!$AD$6:$AF$9,3)+'Escalating commodity'!E39,'Escalating commodity'!E39))</f>
        <v>7.5700000000000003E-2</v>
      </c>
      <c r="AI26" s="88">
        <f t="shared" si="35"/>
        <v>7.5700000000000003E-2</v>
      </c>
      <c r="AJ26" s="236">
        <f t="shared" si="21"/>
        <v>37544.5</v>
      </c>
      <c r="AK26" s="58">
        <f t="shared" ca="1" si="22"/>
        <v>504</v>
      </c>
      <c r="AL26" s="26">
        <f ca="1">IF($A27="","",_xll.SPRDOPT(P26,X26,AI26,0,AB26,AE26,AF26,AK26,$AJ$2,0))</f>
        <v>4.4452260624470309E-2</v>
      </c>
      <c r="AM26" s="89">
        <f t="shared" si="23"/>
        <v>1.3964057424281501E-3</v>
      </c>
      <c r="AN26" s="89">
        <f t="shared" ca="1" si="24"/>
        <v>4.3055854882042159E-2</v>
      </c>
      <c r="AO26" s="3">
        <f t="shared" si="25"/>
        <v>31</v>
      </c>
      <c r="AP26" s="33">
        <f t="shared" si="26"/>
        <v>37530</v>
      </c>
      <c r="AQ26" s="58">
        <f t="shared" ca="1" si="27"/>
        <v>504</v>
      </c>
      <c r="AR26" s="38">
        <f>'ANR OK vs ML7'!AR26</f>
        <v>0.1</v>
      </c>
      <c r="AS26" s="35">
        <f t="shared" ca="1" si="28"/>
        <v>0.87402278760613827</v>
      </c>
      <c r="AT26" s="3">
        <f t="shared" si="29"/>
        <v>1</v>
      </c>
      <c r="AU26" s="3">
        <f t="shared" si="30"/>
        <v>31</v>
      </c>
      <c r="AW26" s="32">
        <f t="shared" ca="1" si="31"/>
        <v>49677.623860876796</v>
      </c>
      <c r="AX26" s="32">
        <f t="shared" si="32"/>
        <v>1560.5532374505792</v>
      </c>
      <c r="AY26" s="32">
        <f t="shared" ca="1" si="33"/>
        <v>48117.070623426218</v>
      </c>
      <c r="BA26" s="32">
        <f ca="1">IF($A27="","",F26*Summary!$Q$9)</f>
        <v>0</v>
      </c>
      <c r="BC26" s="256">
        <f t="shared" ca="1" si="36"/>
        <v>1363.959090804339</v>
      </c>
    </row>
    <row r="27" spans="1:55">
      <c r="A27" s="67">
        <f t="shared" si="34"/>
        <v>37561</v>
      </c>
      <c r="B27" s="69">
        <f t="shared" si="37"/>
        <v>36050</v>
      </c>
      <c r="C27" s="71"/>
      <c r="D27" s="69">
        <f t="shared" si="0"/>
        <v>36050</v>
      </c>
      <c r="E27" s="70">
        <f t="shared" si="1"/>
        <v>1081500</v>
      </c>
      <c r="F27" s="70">
        <f t="shared" ca="1" si="2"/>
        <v>937459.39298883511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0.26500000000000001</v>
      </c>
      <c r="K27" s="64">
        <f t="shared" si="6"/>
        <v>0.26500000000000001</v>
      </c>
      <c r="L27" s="63">
        <f t="shared" si="5"/>
        <v>0</v>
      </c>
      <c r="M27" s="64">
        <f t="shared" si="7"/>
        <v>0</v>
      </c>
      <c r="N27" s="65"/>
      <c r="O27" s="63">
        <f t="shared" si="8"/>
        <v>4.742</v>
      </c>
      <c r="P27" s="63">
        <f t="shared" si="9"/>
        <v>4.742</v>
      </c>
      <c r="Q27" s="66"/>
      <c r="R27" s="63">
        <f t="shared" si="10"/>
        <v>-0.09</v>
      </c>
      <c r="S27" s="64">
        <f t="shared" si="11"/>
        <v>-0.09</v>
      </c>
      <c r="T27" s="63">
        <f t="shared" si="12"/>
        <v>0.01</v>
      </c>
      <c r="U27" s="64">
        <f t="shared" si="13"/>
        <v>0.01</v>
      </c>
      <c r="V27" s="90">
        <f>IF($A28="","",IF(AND(MONTH(A27)&gt;3,MONTH(A27)&lt;11),(T27+R27+G27)*Summary!$T$9/(1-Summary!$T$9),(T27+R27+G27)*Summary!$U$9/(1-Summary!$U$9)))</f>
        <v>0.21056575500366762</v>
      </c>
      <c r="W27" s="63">
        <f t="shared" si="14"/>
        <v>4.6075657550036677</v>
      </c>
      <c r="X27" s="63">
        <f t="shared" si="15"/>
        <v>4.6075657550036677</v>
      </c>
      <c r="Y27" s="43"/>
      <c r="Z27" s="38">
        <f t="shared" si="16"/>
        <v>0.8</v>
      </c>
      <c r="AA27" s="38">
        <f t="shared" si="17"/>
        <v>0.35800000000000004</v>
      </c>
      <c r="AB27" s="38">
        <f t="shared" ca="1" si="18"/>
        <v>0.38255389700295767</v>
      </c>
      <c r="AC27" s="38">
        <f t="shared" si="19"/>
        <v>0.8</v>
      </c>
      <c r="AD27" s="38">
        <f t="shared" si="19"/>
        <v>0.35800000000000004</v>
      </c>
      <c r="AE27" s="38">
        <f t="shared" ca="1" si="20"/>
        <v>0.38255389700295767</v>
      </c>
      <c r="AF27" s="237">
        <f ca="1">((Summary!$N$9*(AA27*AD27)*(A27-$D$3))+(Summary!$M$9*Z27*AC27*(AJ27-EOMONTH(EDATE(A27,-1),0))))/(AK27*AB27*AE27)</f>
        <v>0.99991226117780074</v>
      </c>
      <c r="AG27" s="88">
        <f>IF($A28="","",Summary!$Q$9)</f>
        <v>0</v>
      </c>
      <c r="AH27" s="88">
        <f>IF($A28="","",IF(Summary!$R$9="Y",VLOOKUP($A27,Summary!$AD$6:$AF$9,3)+'Escalating commodity'!E40,'Escalating commodity'!E40))</f>
        <v>7.5700000000000003E-2</v>
      </c>
      <c r="AI27" s="88">
        <f t="shared" si="35"/>
        <v>7.5700000000000003E-2</v>
      </c>
      <c r="AJ27" s="236">
        <f t="shared" si="21"/>
        <v>37575</v>
      </c>
      <c r="AK27" s="58">
        <f t="shared" ca="1" si="22"/>
        <v>535</v>
      </c>
      <c r="AL27" s="26">
        <f ca="1">IF($A28="","",_xll.SPRDOPT(P27,X27,AI27,0,AB27,AE27,AF27,AK27,$AJ$2,0))</f>
        <v>6.2526984461424198E-2</v>
      </c>
      <c r="AM27" s="89">
        <f t="shared" si="23"/>
        <v>5.8734244996332272E-2</v>
      </c>
      <c r="AN27" s="89">
        <f t="shared" ca="1" si="24"/>
        <v>3.7927394650919266E-3</v>
      </c>
      <c r="AO27" s="3">
        <f t="shared" si="25"/>
        <v>30</v>
      </c>
      <c r="AP27" s="33">
        <f t="shared" si="26"/>
        <v>37561</v>
      </c>
      <c r="AQ27" s="58">
        <f t="shared" ca="1" si="27"/>
        <v>535</v>
      </c>
      <c r="AR27" s="38">
        <f>'ANR OK vs ML7'!AR27</f>
        <v>0.1</v>
      </c>
      <c r="AS27" s="35">
        <f t="shared" ca="1" si="28"/>
        <v>0.8668140480710449</v>
      </c>
      <c r="AT27" s="3">
        <f t="shared" si="29"/>
        <v>1</v>
      </c>
      <c r="AU27" s="3">
        <f t="shared" si="30"/>
        <v>30</v>
      </c>
      <c r="AW27" s="32">
        <f t="shared" ca="1" si="31"/>
        <v>67622.933695030268</v>
      </c>
      <c r="AX27" s="32">
        <f t="shared" si="32"/>
        <v>63521.085963533355</v>
      </c>
      <c r="AY27" s="32">
        <f t="shared" ca="1" si="33"/>
        <v>4101.8477314969186</v>
      </c>
      <c r="BA27" s="32">
        <f ca="1">IF($A28="","",F27*Summary!$Q$9)</f>
        <v>0</v>
      </c>
      <c r="BC27" s="256">
        <f t="shared" ca="1" si="36"/>
        <v>55060.969661919175</v>
      </c>
    </row>
    <row r="28" spans="1:55">
      <c r="A28" s="67">
        <f t="shared" si="34"/>
        <v>37591</v>
      </c>
      <c r="B28" s="69">
        <f t="shared" si="37"/>
        <v>36050</v>
      </c>
      <c r="C28" s="71"/>
      <c r="D28" s="69">
        <f t="shared" si="0"/>
        <v>36050</v>
      </c>
      <c r="E28" s="70">
        <f t="shared" si="1"/>
        <v>1117550</v>
      </c>
      <c r="F28" s="70">
        <f t="shared" ca="1" si="2"/>
        <v>960975.05781028292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0.255</v>
      </c>
      <c r="K28" s="64">
        <f t="shared" si="6"/>
        <v>0.255</v>
      </c>
      <c r="L28" s="63">
        <f t="shared" si="5"/>
        <v>0</v>
      </c>
      <c r="M28" s="64">
        <f t="shared" si="7"/>
        <v>0</v>
      </c>
      <c r="N28" s="65"/>
      <c r="O28" s="63">
        <f t="shared" si="8"/>
        <v>4.8620000000000001</v>
      </c>
      <c r="P28" s="63">
        <f t="shared" si="9"/>
        <v>4.8620000000000001</v>
      </c>
      <c r="Q28" s="66"/>
      <c r="R28" s="63">
        <f t="shared" si="10"/>
        <v>-9.2499999999999999E-2</v>
      </c>
      <c r="S28" s="64">
        <f t="shared" si="11"/>
        <v>-9.2499999999999999E-2</v>
      </c>
      <c r="T28" s="63">
        <f t="shared" si="12"/>
        <v>0.01</v>
      </c>
      <c r="U28" s="64">
        <f t="shared" si="13"/>
        <v>0.01</v>
      </c>
      <c r="V28" s="90">
        <f>IF($A29="","",IF(AND(MONTH(A28)&gt;3,MONTH(A28)&lt;11),(T28+R28+G28)*Summary!$T$9/(1-Summary!$T$9),(T28+R28+G28)*Summary!$U$9/(1-Summary!$U$9)))</f>
        <v>0.21667153934821337</v>
      </c>
      <c r="W28" s="63">
        <f t="shared" si="14"/>
        <v>4.7411715393482137</v>
      </c>
      <c r="X28" s="63">
        <f t="shared" si="15"/>
        <v>4.7411715393482137</v>
      </c>
      <c r="Y28" s="43"/>
      <c r="Z28" s="38">
        <f t="shared" si="16"/>
        <v>1.1000000000000001</v>
      </c>
      <c r="AA28" s="38">
        <f t="shared" si="17"/>
        <v>0.36300000000000004</v>
      </c>
      <c r="AB28" s="38">
        <f t="shared" ca="1" si="18"/>
        <v>0.40644422708966271</v>
      </c>
      <c r="AC28" s="38">
        <f t="shared" si="19"/>
        <v>1</v>
      </c>
      <c r="AD28" s="38">
        <f t="shared" si="19"/>
        <v>0.36300000000000004</v>
      </c>
      <c r="AE28" s="38">
        <f t="shared" ca="1" si="20"/>
        <v>0.3992941870195591</v>
      </c>
      <c r="AF28" s="237">
        <f ca="1">((Summary!$N$9*(AA28*AD28)*(A28-$D$3))+(Summary!$M$9*Z28*AC28*(AJ28-EOMONTH(EDATE(A28,-1),0))))/(AK28*AB28*AE28)</f>
        <v>0.9992309680290471</v>
      </c>
      <c r="AG28" s="88">
        <f>IF($A29="","",Summary!$Q$9)</f>
        <v>0</v>
      </c>
      <c r="AH28" s="88">
        <f>IF($A29="","",IF(Summary!$R$9="Y",VLOOKUP($A28,Summary!$AD$6:$AF$9,3)+'Escalating commodity'!E41,'Escalating commodity'!E41))</f>
        <v>7.5700000000000003E-2</v>
      </c>
      <c r="AI28" s="88">
        <f t="shared" si="35"/>
        <v>7.5700000000000003E-2</v>
      </c>
      <c r="AJ28" s="236">
        <f t="shared" si="21"/>
        <v>37605.5</v>
      </c>
      <c r="AK28" s="58">
        <f t="shared" ca="1" si="22"/>
        <v>565</v>
      </c>
      <c r="AL28" s="26">
        <f ca="1">IF($A29="","",_xll.SPRDOPT(P28,X28,AI28,0,AB28,AE28,AF28,AK28,$AJ$2,0))</f>
        <v>7.5370954215347952E-2</v>
      </c>
      <c r="AM28" s="89">
        <f t="shared" si="23"/>
        <v>4.5128460651786426E-2</v>
      </c>
      <c r="AN28" s="89">
        <f t="shared" ca="1" si="24"/>
        <v>3.0242493563561526E-2</v>
      </c>
      <c r="AO28" s="3">
        <f t="shared" si="25"/>
        <v>31</v>
      </c>
      <c r="AP28" s="33">
        <f t="shared" si="26"/>
        <v>37591</v>
      </c>
      <c r="AQ28" s="58">
        <f t="shared" ca="1" si="27"/>
        <v>565</v>
      </c>
      <c r="AR28" s="38">
        <f>'ANR OK vs ML7'!AR28</f>
        <v>0.1</v>
      </c>
      <c r="AS28" s="35">
        <f t="shared" ca="1" si="28"/>
        <v>0.85989446361261945</v>
      </c>
      <c r="AT28" s="3">
        <f t="shared" si="29"/>
        <v>1</v>
      </c>
      <c r="AU28" s="3">
        <f t="shared" si="30"/>
        <v>31</v>
      </c>
      <c r="AW28" s="32">
        <f t="shared" ca="1" si="31"/>
        <v>84230.809883362104</v>
      </c>
      <c r="AX28" s="32">
        <f t="shared" si="32"/>
        <v>50433.311201403922</v>
      </c>
      <c r="AY28" s="32">
        <f t="shared" ca="1" si="33"/>
        <v>33797.498681958183</v>
      </c>
      <c r="BA28" s="32">
        <f ca="1">IF($A29="","",F28*Summary!$Q$9)</f>
        <v>0</v>
      </c>
      <c r="BC28" s="256">
        <f t="shared" ca="1" si="36"/>
        <v>43367.325083739539</v>
      </c>
    </row>
    <row r="29" spans="1:55">
      <c r="A29" s="67">
        <f t="shared" si="34"/>
        <v>37622</v>
      </c>
      <c r="B29" s="69">
        <f t="shared" si="37"/>
        <v>36050</v>
      </c>
      <c r="C29" s="71"/>
      <c r="D29" s="69">
        <f t="shared" si="0"/>
        <v>36050</v>
      </c>
      <c r="E29" s="70">
        <f t="shared" si="1"/>
        <v>1117550</v>
      </c>
      <c r="F29" s="70">
        <f t="shared" ca="1" si="2"/>
        <v>953049.15588906512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0.27500000000000002</v>
      </c>
      <c r="K29" s="64">
        <f t="shared" si="6"/>
        <v>0.27500000000000002</v>
      </c>
      <c r="L29" s="63">
        <f t="shared" si="5"/>
        <v>0</v>
      </c>
      <c r="M29" s="64">
        <f t="shared" si="7"/>
        <v>0</v>
      </c>
      <c r="N29" s="65"/>
      <c r="O29" s="63">
        <f t="shared" si="8"/>
        <v>4.9260000000000002</v>
      </c>
      <c r="P29" s="63">
        <f t="shared" si="9"/>
        <v>4.9260000000000002</v>
      </c>
      <c r="Q29" s="66"/>
      <c r="R29" s="63">
        <f t="shared" si="10"/>
        <v>-9.5000000000000001E-2</v>
      </c>
      <c r="S29" s="64">
        <f t="shared" si="11"/>
        <v>-9.5000000000000001E-2</v>
      </c>
      <c r="T29" s="63">
        <f t="shared" si="12"/>
        <v>0.01</v>
      </c>
      <c r="U29" s="64">
        <f t="shared" si="13"/>
        <v>0.01</v>
      </c>
      <c r="V29" s="90">
        <f>IF($A30="","",IF(AND(MONTH(A29)&gt;3,MONTH(A29)&lt;11),(T29+R29+G29)*Summary!$T$9/(1-Summary!$T$9),(T29+R29+G29)*Summary!$U$9/(1-Summary!$U$9)))</f>
        <v>0.21865891229173212</v>
      </c>
      <c r="W29" s="63">
        <f t="shared" si="14"/>
        <v>4.7846589122917322</v>
      </c>
      <c r="X29" s="63">
        <f t="shared" si="15"/>
        <v>4.7846589122917322</v>
      </c>
      <c r="Y29" s="43"/>
      <c r="Z29" s="38">
        <f t="shared" si="16"/>
        <v>1.1000000000000001</v>
      </c>
      <c r="AA29" s="38">
        <f t="shared" si="17"/>
        <v>0.36799999999999999</v>
      </c>
      <c r="AB29" s="38">
        <f t="shared" ca="1" si="18"/>
        <v>0.4088023266590825</v>
      </c>
      <c r="AC29" s="38">
        <f t="shared" si="19"/>
        <v>1</v>
      </c>
      <c r="AD29" s="38">
        <f t="shared" si="19"/>
        <v>0.36799999999999999</v>
      </c>
      <c r="AE29" s="38">
        <f t="shared" ca="1" si="20"/>
        <v>0.40206707510800488</v>
      </c>
      <c r="AF29" s="237">
        <f ca="1">((Summary!$N$9*(AA29*AD29)*(A29-$D$3))+(Summary!$M$9*Z29*AC29*(AJ29-EOMONTH(EDATE(A29,-1),0))))/(AK29*AB29*AE29)</f>
        <v>0.99926434356862537</v>
      </c>
      <c r="AG29" s="88">
        <f>IF($A30="","",Summary!$Q$9)</f>
        <v>0</v>
      </c>
      <c r="AH29" s="88">
        <f>IF($A30="","",IF(Summary!$R$9="Y",VLOOKUP($A29,Summary!$AD$6:$AF$9,3)+'Escalating commodity'!E42,'Escalating commodity'!E42))</f>
        <v>7.4700000000000003E-2</v>
      </c>
      <c r="AI29" s="88">
        <f t="shared" si="35"/>
        <v>7.4700000000000003E-2</v>
      </c>
      <c r="AJ29" s="236">
        <f t="shared" si="21"/>
        <v>37636.5</v>
      </c>
      <c r="AK29" s="58">
        <f t="shared" ca="1" si="22"/>
        <v>596</v>
      </c>
      <c r="AL29" s="26">
        <f ca="1">IF($A30="","",_xll.SPRDOPT(P29,X29,AI29,0,AB29,AE29,AF29,AK29,$AJ$2,0))</f>
        <v>9.0804293626056382E-2</v>
      </c>
      <c r="AM29" s="89">
        <f t="shared" si="23"/>
        <v>6.6641087708267918E-2</v>
      </c>
      <c r="AN29" s="89">
        <f t="shared" ca="1" si="24"/>
        <v>2.4163205917788463E-2</v>
      </c>
      <c r="AO29" s="3">
        <f t="shared" si="25"/>
        <v>31</v>
      </c>
      <c r="AP29" s="33">
        <f t="shared" si="26"/>
        <v>37622</v>
      </c>
      <c r="AQ29" s="58">
        <f t="shared" ca="1" si="27"/>
        <v>596</v>
      </c>
      <c r="AR29" s="38">
        <f>'ANR OK vs ML7'!AR29</f>
        <v>0.1</v>
      </c>
      <c r="AS29" s="35">
        <f t="shared" ca="1" si="28"/>
        <v>0.85280225125414089</v>
      </c>
      <c r="AT29" s="3">
        <f t="shared" si="29"/>
        <v>1</v>
      </c>
      <c r="AU29" s="3">
        <f t="shared" si="30"/>
        <v>31</v>
      </c>
      <c r="AW29" s="32">
        <f t="shared" ca="1" si="31"/>
        <v>101478.3383417993</v>
      </c>
      <c r="AX29" s="32">
        <f t="shared" si="32"/>
        <v>74474.747568374805</v>
      </c>
      <c r="AY29" s="32">
        <f t="shared" ca="1" si="33"/>
        <v>27003.590773424497</v>
      </c>
      <c r="BA29" s="32">
        <f ca="1">IF($A30="","",F29*Summary!$Q$9)</f>
        <v>0</v>
      </c>
      <c r="BC29" s="256">
        <f t="shared" ca="1" si="36"/>
        <v>63512.232387893891</v>
      </c>
    </row>
    <row r="30" spans="1:55">
      <c r="A30" s="67">
        <f t="shared" si="34"/>
        <v>37653</v>
      </c>
      <c r="B30" s="69">
        <f t="shared" si="37"/>
        <v>36050</v>
      </c>
      <c r="C30" s="71"/>
      <c r="D30" s="69">
        <f t="shared" si="0"/>
        <v>36050</v>
      </c>
      <c r="E30" s="70">
        <f t="shared" si="1"/>
        <v>1009400</v>
      </c>
      <c r="F30" s="70">
        <f t="shared" ca="1" si="2"/>
        <v>853718.75805498799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0.33500000000000002</v>
      </c>
      <c r="K30" s="64">
        <f t="shared" si="6"/>
        <v>0.33500000000000002</v>
      </c>
      <c r="L30" s="63">
        <f t="shared" si="5"/>
        <v>0</v>
      </c>
      <c r="M30" s="64">
        <f t="shared" si="7"/>
        <v>0</v>
      </c>
      <c r="N30" s="65"/>
      <c r="O30" s="63">
        <f t="shared" si="8"/>
        <v>4.8310000000000004</v>
      </c>
      <c r="P30" s="63">
        <f t="shared" si="9"/>
        <v>4.8310000000000004</v>
      </c>
      <c r="Q30" s="66"/>
      <c r="R30" s="63">
        <f t="shared" si="10"/>
        <v>-8.7499999999999994E-2</v>
      </c>
      <c r="S30" s="64">
        <f t="shared" si="11"/>
        <v>-8.7499999999999994E-2</v>
      </c>
      <c r="T30" s="63">
        <f t="shared" si="12"/>
        <v>0.01</v>
      </c>
      <c r="U30" s="64">
        <f t="shared" si="13"/>
        <v>0.01</v>
      </c>
      <c r="V30" s="90">
        <f>IF($A31="","",IF(AND(MONTH(A30)&gt;3,MONTH(A30)&lt;11),(T30+R30+G30)*Summary!$T$9/(1-Summary!$T$9),(T30+R30+G30)*Summary!$U$9/(1-Summary!$U$9)))</f>
        <v>0.21159535785392436</v>
      </c>
      <c r="W30" s="63">
        <f t="shared" si="14"/>
        <v>4.630095357853925</v>
      </c>
      <c r="X30" s="63">
        <f t="shared" si="15"/>
        <v>4.630095357853925</v>
      </c>
      <c r="Y30" s="43"/>
      <c r="Z30" s="38">
        <f t="shared" si="16"/>
        <v>1.1000000000000001</v>
      </c>
      <c r="AA30" s="38">
        <f t="shared" si="17"/>
        <v>0.36</v>
      </c>
      <c r="AB30" s="38">
        <f t="shared" ca="1" si="18"/>
        <v>0.39601040696456752</v>
      </c>
      <c r="AC30" s="38">
        <f t="shared" si="19"/>
        <v>1</v>
      </c>
      <c r="AD30" s="38">
        <f t="shared" si="19"/>
        <v>0.36</v>
      </c>
      <c r="AE30" s="38">
        <f t="shared" ca="1" si="20"/>
        <v>0.39004518611172656</v>
      </c>
      <c r="AF30" s="237">
        <f ca="1">((Summary!$N$9*(AA30*AD30)*(A30-$D$3))+(Summary!$M$9*Z30*AC30*(AJ30-EOMONTH(EDATE(A30,-1),0))))/(AK30*AB30*AE30)</f>
        <v>0.99930836376745191</v>
      </c>
      <c r="AG30" s="88">
        <f>IF($A31="","",Summary!$Q$9)</f>
        <v>0</v>
      </c>
      <c r="AH30" s="88">
        <f>IF($A31="","",IF(Summary!$R$9="Y",VLOOKUP($A30,Summary!$AD$6:$AF$9,3)+'Escalating commodity'!E43,'Escalating commodity'!E43))</f>
        <v>7.4700000000000003E-2</v>
      </c>
      <c r="AI30" s="88">
        <f t="shared" si="35"/>
        <v>7.4700000000000003E-2</v>
      </c>
      <c r="AJ30" s="236">
        <f t="shared" si="21"/>
        <v>37666</v>
      </c>
      <c r="AK30" s="58">
        <f t="shared" ca="1" si="22"/>
        <v>627</v>
      </c>
      <c r="AL30" s="26">
        <f ca="1">IF($A31="","",_xll.SPRDOPT(P30,X30,AI30,0,AB30,AE30,AF30,AK30,$AJ$2,0))</f>
        <v>0.13628792541583129</v>
      </c>
      <c r="AM30" s="89">
        <f t="shared" si="23"/>
        <v>0.12620464214607541</v>
      </c>
      <c r="AN30" s="89">
        <f t="shared" ca="1" si="24"/>
        <v>1.0083283269755883E-2</v>
      </c>
      <c r="AO30" s="3">
        <f t="shared" si="25"/>
        <v>28</v>
      </c>
      <c r="AP30" s="33">
        <f t="shared" si="26"/>
        <v>37653</v>
      </c>
      <c r="AQ30" s="58">
        <f t="shared" ca="1" si="27"/>
        <v>627</v>
      </c>
      <c r="AR30" s="38">
        <f>'ANR OK vs ML7'!AR30</f>
        <v>0.1</v>
      </c>
      <c r="AS30" s="35">
        <f t="shared" ca="1" si="28"/>
        <v>0.84576853383692097</v>
      </c>
      <c r="AT30" s="3">
        <f t="shared" si="29"/>
        <v>1</v>
      </c>
      <c r="AU30" s="3">
        <f t="shared" si="30"/>
        <v>28</v>
      </c>
      <c r="AW30" s="32">
        <f t="shared" ca="1" si="31"/>
        <v>137569.0319147401</v>
      </c>
      <c r="AX30" s="32">
        <f t="shared" si="32"/>
        <v>127390.96578224852</v>
      </c>
      <c r="AY30" s="32">
        <f t="shared" ca="1" si="33"/>
        <v>10178.066132491587</v>
      </c>
      <c r="BA30" s="32">
        <f ca="1">IF($A31="","",F30*Summary!$Q$9)</f>
        <v>0</v>
      </c>
      <c r="BC30" s="256">
        <f t="shared" ca="1" si="36"/>
        <v>107743.27035372169</v>
      </c>
    </row>
    <row r="31" spans="1:55">
      <c r="A31" s="67">
        <f t="shared" si="34"/>
        <v>37681</v>
      </c>
      <c r="B31" s="69">
        <f t="shared" si="37"/>
        <v>36050</v>
      </c>
      <c r="C31" s="71"/>
      <c r="D31" s="69">
        <f t="shared" si="0"/>
        <v>36050</v>
      </c>
      <c r="E31" s="70">
        <f t="shared" si="1"/>
        <v>1117550</v>
      </c>
      <c r="F31" s="70">
        <f t="shared" ca="1" si="2"/>
        <v>938144.5298515897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0.33500000000000002</v>
      </c>
      <c r="K31" s="64">
        <f t="shared" si="6"/>
        <v>0.33500000000000002</v>
      </c>
      <c r="L31" s="63">
        <f t="shared" si="5"/>
        <v>0</v>
      </c>
      <c r="M31" s="64">
        <f t="shared" si="7"/>
        <v>0</v>
      </c>
      <c r="N31" s="65"/>
      <c r="O31" s="63">
        <f t="shared" si="8"/>
        <v>4.6429999999999998</v>
      </c>
      <c r="P31" s="63">
        <f t="shared" si="9"/>
        <v>4.6429999999999998</v>
      </c>
      <c r="Q31" s="66"/>
      <c r="R31" s="63">
        <f t="shared" si="10"/>
        <v>-8.5000000000000006E-2</v>
      </c>
      <c r="S31" s="64">
        <f t="shared" si="11"/>
        <v>-8.5000000000000006E-2</v>
      </c>
      <c r="T31" s="63">
        <f t="shared" si="12"/>
        <v>0.01</v>
      </c>
      <c r="U31" s="64">
        <f t="shared" si="13"/>
        <v>0.01</v>
      </c>
      <c r="V31" s="90">
        <f>IF($A32="","",IF(AND(MONTH(A31)&gt;3,MONTH(A31)&lt;11),(T31+R31+G31)*Summary!$T$9/(1-Summary!$T$9),(T31+R31+G31)*Summary!$U$9/(1-Summary!$U$9)))</f>
        <v>0.20271204023891856</v>
      </c>
      <c r="W31" s="63">
        <f t="shared" si="14"/>
        <v>4.4357120402389185</v>
      </c>
      <c r="X31" s="63">
        <f t="shared" si="15"/>
        <v>4.4357120402389185</v>
      </c>
      <c r="Y31" s="43"/>
      <c r="Z31" s="38">
        <f t="shared" si="16"/>
        <v>0.75</v>
      </c>
      <c r="AA31" s="38">
        <f t="shared" si="17"/>
        <v>0.33800000000000002</v>
      </c>
      <c r="AB31" s="38">
        <f t="shared" ca="1" si="18"/>
        <v>0.35739262306726582</v>
      </c>
      <c r="AC31" s="38">
        <f t="shared" si="19"/>
        <v>0.75</v>
      </c>
      <c r="AD31" s="38">
        <f t="shared" si="19"/>
        <v>0.33800000000000002</v>
      </c>
      <c r="AE31" s="38">
        <f t="shared" ca="1" si="20"/>
        <v>0.35739262306726582</v>
      </c>
      <c r="AF31" s="237">
        <f ca="1">((Summary!$N$9*(AA31*AD31)*(A31-$D$3))+(Summary!$M$9*Z31*AC31*(AJ31-EOMONTH(EDATE(A31,-1),0))))/(AK31*AB31*AE31)</f>
        <v>0.99991042129661112</v>
      </c>
      <c r="AG31" s="88">
        <f>IF($A32="","",Summary!$Q$9)</f>
        <v>0</v>
      </c>
      <c r="AH31" s="88">
        <f>IF($A32="","",IF(Summary!$R$9="Y",VLOOKUP($A31,Summary!$AD$6:$AF$9,3)+'Escalating commodity'!E44,'Escalating commodity'!E44))</f>
        <v>7.4700000000000003E-2</v>
      </c>
      <c r="AI31" s="88">
        <f t="shared" si="35"/>
        <v>7.4700000000000003E-2</v>
      </c>
      <c r="AJ31" s="236">
        <f t="shared" si="21"/>
        <v>37695.5</v>
      </c>
      <c r="AK31" s="58">
        <f t="shared" ca="1" si="22"/>
        <v>655</v>
      </c>
      <c r="AL31" s="26">
        <f ca="1">IF($A32="","",_xll.SPRDOPT(P31,X31,AI31,0,AB31,AE31,AF31,AK31,$AJ$2,0))</f>
        <v>0.13337109449170112</v>
      </c>
      <c r="AM31" s="89">
        <f t="shared" si="23"/>
        <v>0.13258795976108129</v>
      </c>
      <c r="AN31" s="89">
        <f t="shared" ca="1" si="24"/>
        <v>7.831347306198333E-4</v>
      </c>
      <c r="AO31" s="3">
        <f t="shared" si="25"/>
        <v>31</v>
      </c>
      <c r="AP31" s="33">
        <f t="shared" si="26"/>
        <v>37681</v>
      </c>
      <c r="AQ31" s="58">
        <f t="shared" ca="1" si="27"/>
        <v>655</v>
      </c>
      <c r="AR31" s="38">
        <f>'ANR OK vs ML7'!AR31</f>
        <v>0.1</v>
      </c>
      <c r="AS31" s="35">
        <f t="shared" ca="1" si="28"/>
        <v>0.83946537501820029</v>
      </c>
      <c r="AT31" s="3">
        <f t="shared" si="29"/>
        <v>1</v>
      </c>
      <c r="AU31" s="3">
        <f t="shared" si="30"/>
        <v>31</v>
      </c>
      <c r="AW31" s="32">
        <f t="shared" ca="1" si="31"/>
        <v>149048.86664920059</v>
      </c>
      <c r="AX31" s="32">
        <f t="shared" si="32"/>
        <v>148173.67443099638</v>
      </c>
      <c r="AY31" s="32">
        <f t="shared" ca="1" si="33"/>
        <v>875.19221820419466</v>
      </c>
      <c r="BA31" s="32">
        <f ca="1">IF($A32="","",F31*Summary!$Q$9)</f>
        <v>0</v>
      </c>
      <c r="BC31" s="256">
        <f t="shared" ca="1" si="36"/>
        <v>124386.6691740411</v>
      </c>
    </row>
    <row r="32" spans="1:55">
      <c r="A32" s="67">
        <f t="shared" si="34"/>
        <v>37712</v>
      </c>
      <c r="B32" s="69">
        <f t="shared" si="37"/>
        <v>36050</v>
      </c>
      <c r="C32" s="71"/>
      <c r="D32" s="69">
        <f t="shared" si="0"/>
        <v>36050</v>
      </c>
      <c r="E32" s="70">
        <f t="shared" si="1"/>
        <v>1081500</v>
      </c>
      <c r="F32" s="70">
        <f t="shared" ca="1" si="2"/>
        <v>900393.80215145776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0.20499999999999999</v>
      </c>
      <c r="K32" s="64">
        <f t="shared" si="6"/>
        <v>0.20499999999999999</v>
      </c>
      <c r="L32" s="63">
        <f t="shared" si="5"/>
        <v>0</v>
      </c>
      <c r="M32" s="64">
        <f t="shared" si="7"/>
        <v>0</v>
      </c>
      <c r="N32" s="65"/>
      <c r="O32" s="63">
        <f t="shared" si="8"/>
        <v>4.1849999999999996</v>
      </c>
      <c r="P32" s="63">
        <f t="shared" si="9"/>
        <v>4.1849999999999996</v>
      </c>
      <c r="Q32" s="66"/>
      <c r="R32" s="63">
        <f t="shared" si="10"/>
        <v>-0.09</v>
      </c>
      <c r="S32" s="64">
        <f t="shared" si="11"/>
        <v>-0.09</v>
      </c>
      <c r="T32" s="63">
        <f t="shared" si="12"/>
        <v>-0.01</v>
      </c>
      <c r="U32" s="64">
        <f t="shared" si="13"/>
        <v>-0.01</v>
      </c>
      <c r="V32" s="90">
        <f>IF($A33="","",IF(AND(MONTH(A32)&gt;3,MONTH(A32)&lt;11),(T32+R32+G32)*Summary!$T$9/(1-Summary!$T$9),(T32+R32+G32)*Summary!$U$9/(1-Summary!$U$9)))</f>
        <v>0.18580739809284288</v>
      </c>
      <c r="W32" s="63">
        <f t="shared" si="14"/>
        <v>4.0658073980928426</v>
      </c>
      <c r="X32" s="63">
        <f t="shared" si="15"/>
        <v>4.0658073980928426</v>
      </c>
      <c r="Y32" s="43"/>
      <c r="Z32" s="38">
        <f t="shared" si="16"/>
        <v>0.45</v>
      </c>
      <c r="AA32" s="38">
        <f t="shared" si="17"/>
        <v>0.32</v>
      </c>
      <c r="AB32" s="38">
        <f t="shared" ca="1" si="18"/>
        <v>0.32707356007880534</v>
      </c>
      <c r="AC32" s="38">
        <f t="shared" si="19"/>
        <v>0.4</v>
      </c>
      <c r="AD32" s="38">
        <f t="shared" si="19"/>
        <v>0.32</v>
      </c>
      <c r="AE32" s="38">
        <f t="shared" ca="1" si="20"/>
        <v>0.32564983250583551</v>
      </c>
      <c r="AF32" s="237">
        <f ca="1">((Summary!$N$9*(AA32*AD32)*(A32-$D$3))+(Summary!$M$9*Z32*AC32*(AJ32-EOMONTH(EDATE(A32,-1),0))))/(AK32*AB32*AE32)</f>
        <v>0.99965662106271957</v>
      </c>
      <c r="AG32" s="88">
        <f>IF($A33="","",Summary!$Q$9)</f>
        <v>0</v>
      </c>
      <c r="AH32" s="88">
        <f>IF($A33="","",IF(Summary!$R$9="Y",VLOOKUP($A32,Summary!$AD$6:$AF$9,3)+'Escalating commodity'!E45,'Escalating commodity'!E45))</f>
        <v>7.4700000000000003E-2</v>
      </c>
      <c r="AI32" s="88">
        <f t="shared" si="35"/>
        <v>7.4700000000000003E-2</v>
      </c>
      <c r="AJ32" s="236">
        <f t="shared" si="21"/>
        <v>37726</v>
      </c>
      <c r="AK32" s="58">
        <f t="shared" ca="1" si="22"/>
        <v>686</v>
      </c>
      <c r="AL32" s="26">
        <f ca="1">IF($A33="","",_xll.SPRDOPT(P32,X32,AI32,0,AB32,AE32,AF32,AK32,$AJ$2,0))</f>
        <v>5.4224134725384052E-2</v>
      </c>
      <c r="AM32" s="89">
        <f t="shared" si="23"/>
        <v>4.4492601907156967E-2</v>
      </c>
      <c r="AN32" s="89">
        <f t="shared" ca="1" si="24"/>
        <v>9.7315328182270844E-3</v>
      </c>
      <c r="AO32" s="3">
        <f t="shared" si="25"/>
        <v>30</v>
      </c>
      <c r="AP32" s="33">
        <f t="shared" si="26"/>
        <v>37712</v>
      </c>
      <c r="AQ32" s="58">
        <f t="shared" ca="1" si="27"/>
        <v>686</v>
      </c>
      <c r="AR32" s="38">
        <f>'ANR OK vs ML7'!AR32</f>
        <v>0.1</v>
      </c>
      <c r="AS32" s="35">
        <f t="shared" ca="1" si="28"/>
        <v>0.83254165709797301</v>
      </c>
      <c r="AT32" s="3">
        <f t="shared" si="29"/>
        <v>1</v>
      </c>
      <c r="AU32" s="3">
        <f t="shared" si="30"/>
        <v>30</v>
      </c>
      <c r="AW32" s="32">
        <f t="shared" ca="1" si="31"/>
        <v>58643.401705502853</v>
      </c>
      <c r="AX32" s="32">
        <f t="shared" si="32"/>
        <v>48118.74896259026</v>
      </c>
      <c r="AY32" s="32">
        <f t="shared" ca="1" si="33"/>
        <v>10524.652742912593</v>
      </c>
      <c r="BA32" s="32">
        <f ca="1">IF($A33="","",F32*Summary!$Q$9)</f>
        <v>0</v>
      </c>
      <c r="BC32" s="256">
        <f t="shared" ca="1" si="36"/>
        <v>40060.862998796263</v>
      </c>
    </row>
    <row r="33" spans="1:55">
      <c r="A33" s="67">
        <f t="shared" si="34"/>
        <v>37742</v>
      </c>
      <c r="B33" s="69">
        <f t="shared" si="37"/>
        <v>36050</v>
      </c>
      <c r="C33" s="71"/>
      <c r="D33" s="69">
        <f t="shared" si="0"/>
        <v>36050</v>
      </c>
      <c r="E33" s="70">
        <f t="shared" si="1"/>
        <v>1117550</v>
      </c>
      <c r="F33" s="70">
        <f t="shared" ca="1" si="2"/>
        <v>922979.69655611797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0.20499999999999999</v>
      </c>
      <c r="K33" s="64">
        <f t="shared" si="6"/>
        <v>0.20499999999999999</v>
      </c>
      <c r="L33" s="63">
        <f t="shared" si="5"/>
        <v>0</v>
      </c>
      <c r="M33" s="64">
        <f t="shared" si="7"/>
        <v>0</v>
      </c>
      <c r="N33" s="65"/>
      <c r="O33" s="63">
        <f t="shared" si="8"/>
        <v>4.1449999999999996</v>
      </c>
      <c r="P33" s="63">
        <f t="shared" si="9"/>
        <v>4.1449999999999996</v>
      </c>
      <c r="Q33" s="66"/>
      <c r="R33" s="63">
        <f t="shared" si="10"/>
        <v>-0.09</v>
      </c>
      <c r="S33" s="64">
        <f t="shared" si="11"/>
        <v>-0.09</v>
      </c>
      <c r="T33" s="63">
        <f t="shared" si="12"/>
        <v>-0.01</v>
      </c>
      <c r="U33" s="64">
        <f t="shared" si="13"/>
        <v>-0.01</v>
      </c>
      <c r="V33" s="90">
        <f>IF($A34="","",IF(AND(MONTH(A33)&gt;3,MONTH(A33)&lt;11),(T33+R33+G33)*Summary!$T$9/(1-Summary!$T$9),(T33+R33+G33)*Summary!$U$9/(1-Summary!$U$9)))</f>
        <v>0.18389185790631873</v>
      </c>
      <c r="W33" s="63">
        <f t="shared" si="14"/>
        <v>4.0238918579063183</v>
      </c>
      <c r="X33" s="63">
        <f t="shared" si="15"/>
        <v>4.0238918579063183</v>
      </c>
      <c r="Y33" s="43"/>
      <c r="Z33" s="38">
        <f t="shared" si="16"/>
        <v>0.5</v>
      </c>
      <c r="AA33" s="38">
        <f t="shared" si="17"/>
        <v>0.318</v>
      </c>
      <c r="AB33" s="38">
        <f t="shared" ca="1" si="18"/>
        <v>0.32661482790904622</v>
      </c>
      <c r="AC33" s="38">
        <f t="shared" si="19"/>
        <v>0.4</v>
      </c>
      <c r="AD33" s="38">
        <f t="shared" si="19"/>
        <v>0.318</v>
      </c>
      <c r="AE33" s="38">
        <f t="shared" ca="1" si="20"/>
        <v>0.32361848183889236</v>
      </c>
      <c r="AF33" s="237">
        <f ca="1">((Summary!$N$9*(AA33*AD33)*(A33-$D$3))+(Summary!$M$9*Z33*AC33*(AJ33-EOMONTH(EDATE(A33,-1),0))))/(AK33*AB33*AE33)</f>
        <v>0.99892261858063147</v>
      </c>
      <c r="AG33" s="88">
        <f>IF($A34="","",Summary!$Q$9)</f>
        <v>0</v>
      </c>
      <c r="AH33" s="88">
        <f>IF($A34="","",IF(Summary!$R$9="Y",VLOOKUP($A33,Summary!$AD$6:$AF$9,3)+'Escalating commodity'!E46,'Escalating commodity'!E46))</f>
        <v>7.4700000000000003E-2</v>
      </c>
      <c r="AI33" s="88">
        <f t="shared" si="35"/>
        <v>7.4700000000000003E-2</v>
      </c>
      <c r="AJ33" s="236">
        <f t="shared" si="21"/>
        <v>37756.5</v>
      </c>
      <c r="AK33" s="58">
        <f t="shared" ca="1" si="22"/>
        <v>716</v>
      </c>
      <c r="AL33" s="26">
        <f ca="1">IF($A34="","",_xll.SPRDOPT(P33,X33,AI33,0,AB33,AE33,AF33,AK33,$AJ$2,0))</f>
        <v>6.7859941282739894E-2</v>
      </c>
      <c r="AM33" s="89">
        <f t="shared" si="23"/>
        <v>4.6408142093681257E-2</v>
      </c>
      <c r="AN33" s="89">
        <f t="shared" ca="1" si="24"/>
        <v>2.1451799189058637E-2</v>
      </c>
      <c r="AO33" s="3">
        <f t="shared" si="25"/>
        <v>31</v>
      </c>
      <c r="AP33" s="33">
        <f t="shared" si="26"/>
        <v>37742</v>
      </c>
      <c r="AQ33" s="58">
        <f t="shared" ca="1" si="27"/>
        <v>716</v>
      </c>
      <c r="AR33" s="38">
        <f>'ANR OK vs ML7'!AR33</f>
        <v>0.1</v>
      </c>
      <c r="AS33" s="35">
        <f t="shared" ca="1" si="28"/>
        <v>0.825895661541871</v>
      </c>
      <c r="AT33" s="3">
        <f t="shared" si="29"/>
        <v>1</v>
      </c>
      <c r="AU33" s="3">
        <f t="shared" si="30"/>
        <v>31</v>
      </c>
      <c r="AW33" s="32">
        <f t="shared" ca="1" si="31"/>
        <v>75836.87738052597</v>
      </c>
      <c r="AX33" s="32">
        <f t="shared" si="32"/>
        <v>51863.419196793489</v>
      </c>
      <c r="AY33" s="32">
        <f t="shared" ca="1" si="33"/>
        <v>23973.45818373248</v>
      </c>
      <c r="BA33" s="32">
        <f ca="1">IF($A34="","",F33*Summary!$Q$9)</f>
        <v>0</v>
      </c>
      <c r="BC33" s="256">
        <f t="shared" ca="1" si="36"/>
        <v>42833.772907359133</v>
      </c>
    </row>
    <row r="34" spans="1:55">
      <c r="A34" s="67">
        <f t="shared" si="34"/>
        <v>37773</v>
      </c>
      <c r="B34" s="69">
        <f t="shared" si="37"/>
        <v>36050</v>
      </c>
      <c r="C34" s="71"/>
      <c r="D34" s="69">
        <f t="shared" si="0"/>
        <v>36050</v>
      </c>
      <c r="E34" s="70">
        <f t="shared" si="1"/>
        <v>1081500</v>
      </c>
      <c r="F34" s="70">
        <f t="shared" ca="1" si="2"/>
        <v>885839.19838260894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0.20499999999999999</v>
      </c>
      <c r="K34" s="64">
        <f t="shared" si="6"/>
        <v>0.20499999999999999</v>
      </c>
      <c r="L34" s="63">
        <f t="shared" si="5"/>
        <v>0</v>
      </c>
      <c r="M34" s="64">
        <f t="shared" si="7"/>
        <v>0</v>
      </c>
      <c r="N34" s="65"/>
      <c r="O34" s="63">
        <f t="shared" si="8"/>
        <v>4.1749999999999998</v>
      </c>
      <c r="P34" s="63">
        <f t="shared" si="9"/>
        <v>4.1749999999999998</v>
      </c>
      <c r="Q34" s="66"/>
      <c r="R34" s="63">
        <f t="shared" si="10"/>
        <v>-0.09</v>
      </c>
      <c r="S34" s="64">
        <f t="shared" si="11"/>
        <v>-0.09</v>
      </c>
      <c r="T34" s="63">
        <f t="shared" si="12"/>
        <v>-0.01</v>
      </c>
      <c r="U34" s="64">
        <f t="shared" si="13"/>
        <v>-0.01</v>
      </c>
      <c r="V34" s="90">
        <f>IF($A35="","",IF(AND(MONTH(A34)&gt;3,MONTH(A34)&lt;11),(T34+R34+G34)*Summary!$T$9/(1-Summary!$T$9),(T34+R34+G34)*Summary!$U$9/(1-Summary!$U$9)))</f>
        <v>0.18532851304621187</v>
      </c>
      <c r="W34" s="63">
        <f t="shared" si="14"/>
        <v>4.055328513046212</v>
      </c>
      <c r="X34" s="63">
        <f t="shared" si="15"/>
        <v>4.055328513046212</v>
      </c>
      <c r="Y34" s="43"/>
      <c r="Z34" s="38">
        <f t="shared" si="16"/>
        <v>0.5</v>
      </c>
      <c r="AA34" s="38">
        <f t="shared" si="17"/>
        <v>0.318</v>
      </c>
      <c r="AB34" s="38">
        <f t="shared" ca="1" si="18"/>
        <v>0.32600529721963267</v>
      </c>
      <c r="AC34" s="38">
        <f t="shared" si="19"/>
        <v>0.4</v>
      </c>
      <c r="AD34" s="38">
        <f t="shared" si="19"/>
        <v>0.318</v>
      </c>
      <c r="AE34" s="38">
        <f t="shared" ca="1" si="20"/>
        <v>0.32322163433099338</v>
      </c>
      <c r="AF34" s="237">
        <f ca="1">((Summary!$N$9*(AA34*AD34)*(A34-$D$3))+(Summary!$M$9*Z34*AC34*(AJ34-EOMONTH(EDATE(A34,-1),0))))/(AK34*AB34*AE34)</f>
        <v>0.9989878412700306</v>
      </c>
      <c r="AG34" s="88">
        <f>IF($A35="","",Summary!$Q$9)</f>
        <v>0</v>
      </c>
      <c r="AH34" s="88">
        <f>IF($A35="","",IF(Summary!$R$9="Y",VLOOKUP($A34,Summary!$AD$6:$AF$9,3)+'Escalating commodity'!E47,'Escalating commodity'!E47))</f>
        <v>7.4700000000000003E-2</v>
      </c>
      <c r="AI34" s="88">
        <f t="shared" si="35"/>
        <v>7.4700000000000003E-2</v>
      </c>
      <c r="AJ34" s="236">
        <f t="shared" si="21"/>
        <v>37787</v>
      </c>
      <c r="AK34" s="58">
        <f t="shared" ca="1" si="22"/>
        <v>747</v>
      </c>
      <c r="AL34" s="26">
        <f ca="1">IF($A35="","",_xll.SPRDOPT(P34,X34,AI34,0,AB34,AE34,AF34,AK34,$AJ$2,0))</f>
        <v>6.6779888695315176E-2</v>
      </c>
      <c r="AM34" s="89">
        <f t="shared" si="23"/>
        <v>4.4971486953787818E-2</v>
      </c>
      <c r="AN34" s="89">
        <f t="shared" ca="1" si="24"/>
        <v>2.1808401741527358E-2</v>
      </c>
      <c r="AO34" s="3">
        <f t="shared" si="25"/>
        <v>30</v>
      </c>
      <c r="AP34" s="33">
        <f t="shared" si="26"/>
        <v>37773</v>
      </c>
      <c r="AQ34" s="58">
        <f t="shared" ca="1" si="27"/>
        <v>747</v>
      </c>
      <c r="AR34" s="38">
        <f>'ANR OK vs ML7'!AR34</f>
        <v>0.1</v>
      </c>
      <c r="AS34" s="35">
        <f t="shared" ca="1" si="28"/>
        <v>0.8190838635068044</v>
      </c>
      <c r="AT34" s="3">
        <f t="shared" si="29"/>
        <v>1</v>
      </c>
      <c r="AU34" s="3">
        <f t="shared" si="30"/>
        <v>30</v>
      </c>
      <c r="AW34" s="32">
        <f t="shared" ca="1" si="31"/>
        <v>72222.449623983368</v>
      </c>
      <c r="AX34" s="32">
        <f t="shared" si="32"/>
        <v>48636.663140521523</v>
      </c>
      <c r="AY34" s="32">
        <f t="shared" ca="1" si="33"/>
        <v>23585.786483461838</v>
      </c>
      <c r="BA34" s="32">
        <f ca="1">IF($A35="","",F34*Summary!$Q$9)</f>
        <v>0</v>
      </c>
      <c r="BC34" s="256">
        <f t="shared" ca="1" si="36"/>
        <v>39837.505953217355</v>
      </c>
    </row>
    <row r="35" spans="1:55">
      <c r="A35" s="67">
        <f t="shared" si="34"/>
        <v>37803</v>
      </c>
      <c r="B35" s="69">
        <f t="shared" si="37"/>
        <v>36050</v>
      </c>
      <c r="C35" s="71"/>
      <c r="D35" s="69">
        <f t="shared" si="0"/>
        <v>36050</v>
      </c>
      <c r="E35" s="70">
        <f t="shared" si="1"/>
        <v>1117550</v>
      </c>
      <c r="F35" s="70">
        <f t="shared" ca="1" si="2"/>
        <v>908059.99837742373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0.20499999999999999</v>
      </c>
      <c r="K35" s="64">
        <f t="shared" si="6"/>
        <v>0.20499999999999999</v>
      </c>
      <c r="L35" s="63">
        <f t="shared" si="5"/>
        <v>0</v>
      </c>
      <c r="M35" s="64">
        <f t="shared" si="7"/>
        <v>0</v>
      </c>
      <c r="N35" s="65"/>
      <c r="O35" s="63">
        <f t="shared" si="8"/>
        <v>4.2149999999999999</v>
      </c>
      <c r="P35" s="63">
        <f t="shared" si="9"/>
        <v>4.2149999999999999</v>
      </c>
      <c r="Q35" s="66"/>
      <c r="R35" s="63">
        <f t="shared" si="10"/>
        <v>-0.09</v>
      </c>
      <c r="S35" s="64">
        <f t="shared" si="11"/>
        <v>-0.09</v>
      </c>
      <c r="T35" s="63">
        <f t="shared" si="12"/>
        <v>-0.01</v>
      </c>
      <c r="U35" s="64">
        <f t="shared" si="13"/>
        <v>-0.01</v>
      </c>
      <c r="V35" s="90">
        <f>IF($A36="","",IF(AND(MONTH(A35)&gt;3,MONTH(A35)&lt;11),(T35+R35+G35)*Summary!$T$9/(1-Summary!$T$9),(T35+R35+G35)*Summary!$U$9/(1-Summary!$U$9)))</f>
        <v>0.18724405323273602</v>
      </c>
      <c r="W35" s="63">
        <f t="shared" si="14"/>
        <v>4.0972440532327354</v>
      </c>
      <c r="X35" s="63">
        <f t="shared" si="15"/>
        <v>4.0972440532327354</v>
      </c>
      <c r="Y35" s="43"/>
      <c r="Z35" s="38">
        <f t="shared" si="16"/>
        <v>0.55000000000000004</v>
      </c>
      <c r="AA35" s="38">
        <f t="shared" si="17"/>
        <v>0.318</v>
      </c>
      <c r="AB35" s="38">
        <f t="shared" ca="1" si="18"/>
        <v>0.32754934590466517</v>
      </c>
      <c r="AC35" s="38">
        <f t="shared" si="19"/>
        <v>0.4</v>
      </c>
      <c r="AD35" s="38">
        <f t="shared" si="19"/>
        <v>0.318</v>
      </c>
      <c r="AE35" s="38">
        <f t="shared" ca="1" si="20"/>
        <v>0.32318092442146074</v>
      </c>
      <c r="AF35" s="237">
        <f ca="1">((Summary!$N$9*(AA35*AD35)*(A35-$D$3))+(Summary!$M$9*Z35*AC35*(AJ35-EOMONTH(EDATE(A35,-1),0))))/(AK35*AB35*AE35)</f>
        <v>0.99787446061922425</v>
      </c>
      <c r="AG35" s="88">
        <f>IF($A36="","",Summary!$Q$9)</f>
        <v>0</v>
      </c>
      <c r="AH35" s="88">
        <f>IF($A36="","",IF(Summary!$R$9="Y",VLOOKUP($A35,Summary!$AD$6:$AF$9,3)+'Escalating commodity'!E48,'Escalating commodity'!E48))</f>
        <v>7.4700000000000003E-2</v>
      </c>
      <c r="AI35" s="88">
        <f t="shared" si="35"/>
        <v>7.4700000000000003E-2</v>
      </c>
      <c r="AJ35" s="236">
        <f t="shared" si="21"/>
        <v>37817.5</v>
      </c>
      <c r="AK35" s="58">
        <f t="shared" ca="1" si="22"/>
        <v>777</v>
      </c>
      <c r="AL35" s="26">
        <f ca="1">IF($A36="","",_xll.SPRDOPT(P35,X35,AI35,0,AB35,AE35,AF35,AK35,$AJ$2,0))</f>
        <v>8.1315085383210042E-2</v>
      </c>
      <c r="AM35" s="89">
        <f t="shared" si="23"/>
        <v>4.3055946767264416E-2</v>
      </c>
      <c r="AN35" s="89">
        <f t="shared" ca="1" si="24"/>
        <v>3.8259138615945626E-2</v>
      </c>
      <c r="AO35" s="3">
        <f t="shared" si="25"/>
        <v>31</v>
      </c>
      <c r="AP35" s="33">
        <f t="shared" si="26"/>
        <v>37803</v>
      </c>
      <c r="AQ35" s="58">
        <f t="shared" ca="1" si="27"/>
        <v>777</v>
      </c>
      <c r="AR35" s="38">
        <f>'ANR OK vs ML7'!AR35</f>
        <v>0.1</v>
      </c>
      <c r="AS35" s="35">
        <f t="shared" ca="1" si="28"/>
        <v>0.81254529853467294</v>
      </c>
      <c r="AT35" s="3">
        <f t="shared" si="29"/>
        <v>1</v>
      </c>
      <c r="AU35" s="3">
        <f t="shared" si="30"/>
        <v>31</v>
      </c>
      <c r="AW35" s="32">
        <f t="shared" ca="1" si="31"/>
        <v>90873.673670006378</v>
      </c>
      <c r="AX35" s="32">
        <f t="shared" si="32"/>
        <v>48117.173309756348</v>
      </c>
      <c r="AY35" s="32">
        <f t="shared" ca="1" si="33"/>
        <v>42756.500360250036</v>
      </c>
      <c r="BA35" s="32">
        <f ca="1">IF($A36="","",F35*Summary!$Q$9)</f>
        <v>0</v>
      </c>
      <c r="BC35" s="256">
        <f t="shared" ca="1" si="36"/>
        <v>39097.382951620566</v>
      </c>
    </row>
    <row r="36" spans="1:55">
      <c r="A36" s="67">
        <f t="shared" si="34"/>
        <v>37834</v>
      </c>
      <c r="B36" s="69">
        <f t="shared" si="37"/>
        <v>36050</v>
      </c>
      <c r="C36" s="71"/>
      <c r="D36" s="69">
        <f t="shared" si="0"/>
        <v>36050</v>
      </c>
      <c r="E36" s="70">
        <f t="shared" si="1"/>
        <v>1117550</v>
      </c>
      <c r="F36" s="70">
        <f t="shared" ca="1" si="2"/>
        <v>900570.52773276367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0.20499999999999999</v>
      </c>
      <c r="K36" s="64">
        <f t="shared" si="6"/>
        <v>0.20499999999999999</v>
      </c>
      <c r="L36" s="63">
        <f t="shared" si="5"/>
        <v>0</v>
      </c>
      <c r="M36" s="64">
        <f t="shared" si="7"/>
        <v>0</v>
      </c>
      <c r="N36" s="65"/>
      <c r="O36" s="63">
        <f t="shared" si="8"/>
        <v>4.2610000000000001</v>
      </c>
      <c r="P36" s="63">
        <f t="shared" si="9"/>
        <v>4.2610000000000001</v>
      </c>
      <c r="Q36" s="66"/>
      <c r="R36" s="63">
        <f t="shared" si="10"/>
        <v>-0.09</v>
      </c>
      <c r="S36" s="64">
        <f t="shared" si="11"/>
        <v>-0.09</v>
      </c>
      <c r="T36" s="63">
        <f t="shared" si="12"/>
        <v>-0.01</v>
      </c>
      <c r="U36" s="64">
        <f t="shared" si="13"/>
        <v>-0.01</v>
      </c>
      <c r="V36" s="90">
        <f>IF($A37="","",IF(AND(MONTH(A36)&gt;3,MONTH(A36)&lt;11),(T36+R36+G36)*Summary!$T$9/(1-Summary!$T$9),(T36+R36+G36)*Summary!$U$9/(1-Summary!$U$9)))</f>
        <v>0.18944692444723879</v>
      </c>
      <c r="W36" s="63">
        <f t="shared" si="14"/>
        <v>4.1454469244472385</v>
      </c>
      <c r="X36" s="63">
        <f t="shared" si="15"/>
        <v>4.1454469244472385</v>
      </c>
      <c r="Y36" s="43"/>
      <c r="Z36" s="38">
        <f t="shared" si="16"/>
        <v>0.6</v>
      </c>
      <c r="AA36" s="38">
        <f t="shared" si="17"/>
        <v>0.318</v>
      </c>
      <c r="AB36" s="38">
        <f t="shared" ca="1" si="18"/>
        <v>0.32886941794488272</v>
      </c>
      <c r="AC36" s="38">
        <f t="shared" si="19"/>
        <v>0.5</v>
      </c>
      <c r="AD36" s="38">
        <f t="shared" si="19"/>
        <v>0.318</v>
      </c>
      <c r="AE36" s="38">
        <f t="shared" ca="1" si="20"/>
        <v>0.32564542917804706</v>
      </c>
      <c r="AF36" s="237">
        <f ca="1">((Summary!$N$9*(AA36*AD36)*(A36-$D$3))+(Summary!$M$9*Z36*AC36*(AJ36-EOMONTH(EDATE(A36,-1),0))))/(AK36*AB36*AE36)</f>
        <v>0.99905836993276909</v>
      </c>
      <c r="AG36" s="88">
        <f>IF($A37="","",Summary!$Q$9)</f>
        <v>0</v>
      </c>
      <c r="AH36" s="88">
        <f>IF($A37="","",IF(Summary!$R$9="Y",VLOOKUP($A36,Summary!$AD$6:$AF$9,3)+'Escalating commodity'!E49,'Escalating commodity'!E49))</f>
        <v>7.4700000000000003E-2</v>
      </c>
      <c r="AI36" s="88">
        <f t="shared" si="35"/>
        <v>7.4700000000000003E-2</v>
      </c>
      <c r="AJ36" s="236">
        <f t="shared" si="21"/>
        <v>37848.5</v>
      </c>
      <c r="AK36" s="58">
        <f t="shared" ca="1" si="22"/>
        <v>808</v>
      </c>
      <c r="AL36" s="26">
        <f ca="1">IF($A37="","",_xll.SPRDOPT(P36,X36,AI36,0,AB36,AE36,AF36,AK36,$AJ$2,0))</f>
        <v>6.5868270727348521E-2</v>
      </c>
      <c r="AM36" s="89">
        <f t="shared" si="23"/>
        <v>4.0853075552761617E-2</v>
      </c>
      <c r="AN36" s="89">
        <f t="shared" ca="1" si="24"/>
        <v>2.5015195174586904E-2</v>
      </c>
      <c r="AO36" s="3">
        <f t="shared" si="25"/>
        <v>31</v>
      </c>
      <c r="AP36" s="33">
        <f t="shared" si="26"/>
        <v>37834</v>
      </c>
      <c r="AQ36" s="58">
        <f t="shared" ca="1" si="27"/>
        <v>808</v>
      </c>
      <c r="AR36" s="38">
        <f>'ANR OK vs ML7'!AR36</f>
        <v>0.1</v>
      </c>
      <c r="AS36" s="35">
        <f t="shared" ca="1" si="28"/>
        <v>0.80584361123239556</v>
      </c>
      <c r="AT36" s="3">
        <f t="shared" si="29"/>
        <v>1</v>
      </c>
      <c r="AU36" s="3">
        <f t="shared" si="30"/>
        <v>31</v>
      </c>
      <c r="AW36" s="32">
        <f t="shared" ca="1" si="31"/>
        <v>73611.085951348345</v>
      </c>
      <c r="AX36" s="32">
        <f t="shared" si="32"/>
        <v>45655.354583988745</v>
      </c>
      <c r="AY36" s="32">
        <f t="shared" ca="1" si="33"/>
        <v>27955.731367359596</v>
      </c>
      <c r="BA36" s="32">
        <f ca="1">IF($A37="","",F36*Summary!$Q$9)</f>
        <v>0</v>
      </c>
      <c r="BC36" s="256">
        <f t="shared" ca="1" si="36"/>
        <v>36791.075810056995</v>
      </c>
    </row>
    <row r="37" spans="1:55">
      <c r="A37" s="67">
        <f t="shared" si="34"/>
        <v>37865</v>
      </c>
      <c r="B37" s="69">
        <f t="shared" si="37"/>
        <v>36050</v>
      </c>
      <c r="C37" s="71"/>
      <c r="D37" s="69">
        <f t="shared" si="0"/>
        <v>36050</v>
      </c>
      <c r="E37" s="70">
        <f t="shared" si="1"/>
        <v>1081500</v>
      </c>
      <c r="F37" s="70">
        <f t="shared" ca="1" si="2"/>
        <v>864331.7695399489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0.20499999999999999</v>
      </c>
      <c r="K37" s="64">
        <f t="shared" si="6"/>
        <v>0.20499999999999999</v>
      </c>
      <c r="L37" s="63">
        <f t="shared" si="5"/>
        <v>0</v>
      </c>
      <c r="M37" s="64">
        <f t="shared" si="7"/>
        <v>0</v>
      </c>
      <c r="N37" s="65"/>
      <c r="O37" s="63">
        <f t="shared" si="8"/>
        <v>4.2700000000000005</v>
      </c>
      <c r="P37" s="63">
        <f t="shared" si="9"/>
        <v>4.2700000000000005</v>
      </c>
      <c r="Q37" s="66"/>
      <c r="R37" s="63">
        <f t="shared" si="10"/>
        <v>-0.09</v>
      </c>
      <c r="S37" s="64">
        <f t="shared" si="11"/>
        <v>-0.09</v>
      </c>
      <c r="T37" s="63">
        <f t="shared" si="12"/>
        <v>-0.01</v>
      </c>
      <c r="U37" s="64">
        <f t="shared" si="13"/>
        <v>-0.01</v>
      </c>
      <c r="V37" s="90">
        <f>IF($A38="","",IF(AND(MONTH(A37)&gt;3,MONTH(A37)&lt;11),(T37+R37+G37)*Summary!$T$9/(1-Summary!$T$9),(T37+R37+G37)*Summary!$U$9/(1-Summary!$U$9)))</f>
        <v>0.18987792098920675</v>
      </c>
      <c r="W37" s="63">
        <f t="shared" si="14"/>
        <v>4.1548779209892075</v>
      </c>
      <c r="X37" s="63">
        <f t="shared" si="15"/>
        <v>4.1548779209892075</v>
      </c>
      <c r="Y37" s="43"/>
      <c r="Z37" s="38">
        <f t="shared" si="16"/>
        <v>0.6</v>
      </c>
      <c r="AA37" s="38">
        <f t="shared" si="17"/>
        <v>0.318</v>
      </c>
      <c r="AB37" s="38">
        <f t="shared" ca="1" si="18"/>
        <v>0.32814747113587894</v>
      </c>
      <c r="AC37" s="38">
        <f t="shared" si="19"/>
        <v>0.55000000000000004</v>
      </c>
      <c r="AD37" s="38">
        <f t="shared" si="19"/>
        <v>0.318</v>
      </c>
      <c r="AE37" s="38">
        <f t="shared" ca="1" si="20"/>
        <v>0.32657733123674026</v>
      </c>
      <c r="AF37" s="237">
        <f ca="1">((Summary!$N$9*(AA37*AD37)*(A37-$D$3))+(Summary!$M$9*Z37*AC37*(AJ37-EOMONTH(EDATE(A37,-1),0))))/(AK37*AB37*AE37)</f>
        <v>0.99970849005281981</v>
      </c>
      <c r="AG37" s="88">
        <f>IF($A38="","",Summary!$Q$9)</f>
        <v>0</v>
      </c>
      <c r="AH37" s="88">
        <f>IF($A38="","",IF(Summary!$R$9="Y",VLOOKUP($A37,Summary!$AD$6:$AF$9,3)+'Escalating commodity'!E50,'Escalating commodity'!E50))</f>
        <v>7.4700000000000003E-2</v>
      </c>
      <c r="AI37" s="88">
        <f t="shared" si="35"/>
        <v>7.4700000000000003E-2</v>
      </c>
      <c r="AJ37" s="236">
        <f t="shared" si="21"/>
        <v>37879</v>
      </c>
      <c r="AK37" s="58">
        <f t="shared" ca="1" si="22"/>
        <v>839</v>
      </c>
      <c r="AL37" s="26">
        <f ca="1">IF($A38="","",_xll.SPRDOPT(P37,X37,AI37,0,AB37,AE37,AF37,AK37,$AJ$2,0))</f>
        <v>5.2753119512275237E-2</v>
      </c>
      <c r="AM37" s="89">
        <f t="shared" si="23"/>
        <v>4.0422079010792963E-2</v>
      </c>
      <c r="AN37" s="89">
        <f t="shared" ca="1" si="24"/>
        <v>1.2331040501482274E-2</v>
      </c>
      <c r="AO37" s="3">
        <f t="shared" si="25"/>
        <v>30</v>
      </c>
      <c r="AP37" s="33">
        <f t="shared" si="26"/>
        <v>37865</v>
      </c>
      <c r="AQ37" s="58">
        <f t="shared" ca="1" si="27"/>
        <v>839</v>
      </c>
      <c r="AR37" s="38">
        <f>'ANR OK vs ML7'!AR37</f>
        <v>0.1</v>
      </c>
      <c r="AS37" s="35">
        <f t="shared" ca="1" si="28"/>
        <v>0.79919719791026256</v>
      </c>
      <c r="AT37" s="3">
        <f t="shared" si="29"/>
        <v>1</v>
      </c>
      <c r="AU37" s="3">
        <f t="shared" si="30"/>
        <v>30</v>
      </c>
      <c r="AW37" s="32">
        <f t="shared" ca="1" si="31"/>
        <v>57052.498752525666</v>
      </c>
      <c r="AX37" s="32">
        <f t="shared" si="32"/>
        <v>43716.478450172588</v>
      </c>
      <c r="AY37" s="32">
        <f t="shared" ca="1" si="33"/>
        <v>13336.020302353079</v>
      </c>
      <c r="BA37" s="32">
        <f ca="1">IF($A38="","",F37*Summary!$Q$9)</f>
        <v>0</v>
      </c>
      <c r="BC37" s="256">
        <f t="shared" ca="1" si="36"/>
        <v>34938.087079882309</v>
      </c>
    </row>
    <row r="38" spans="1:55">
      <c r="A38" s="67">
        <f t="shared" si="34"/>
        <v>37895</v>
      </c>
      <c r="B38" s="69">
        <f t="shared" si="37"/>
        <v>36050</v>
      </c>
      <c r="C38" s="71"/>
      <c r="D38" s="69">
        <f t="shared" si="0"/>
        <v>36050</v>
      </c>
      <c r="E38" s="70">
        <f t="shared" si="1"/>
        <v>1117550</v>
      </c>
      <c r="F38" s="70">
        <f t="shared" ca="1" si="2"/>
        <v>886013.06724632578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0.20499999999999999</v>
      </c>
      <c r="K38" s="64">
        <f t="shared" si="6"/>
        <v>0.20499999999999999</v>
      </c>
      <c r="L38" s="63">
        <f t="shared" si="5"/>
        <v>0</v>
      </c>
      <c r="M38" s="64">
        <f t="shared" si="7"/>
        <v>0</v>
      </c>
      <c r="N38" s="65"/>
      <c r="O38" s="63">
        <f t="shared" si="8"/>
        <v>4.2910000000000004</v>
      </c>
      <c r="P38" s="63">
        <f t="shared" si="9"/>
        <v>4.2910000000000004</v>
      </c>
      <c r="Q38" s="66"/>
      <c r="R38" s="63">
        <f t="shared" si="10"/>
        <v>-0.09</v>
      </c>
      <c r="S38" s="64">
        <f t="shared" si="11"/>
        <v>-0.09</v>
      </c>
      <c r="T38" s="63">
        <f t="shared" si="12"/>
        <v>-0.01</v>
      </c>
      <c r="U38" s="64">
        <f t="shared" si="13"/>
        <v>-0.01</v>
      </c>
      <c r="V38" s="90">
        <f>IF($A39="","",IF(AND(MONTH(A38)&gt;3,MONTH(A38)&lt;11),(T38+R38+G38)*Summary!$T$9/(1-Summary!$T$9),(T38+R38+G38)*Summary!$U$9/(1-Summary!$U$9)))</f>
        <v>0.19088357958713192</v>
      </c>
      <c r="W38" s="63">
        <f t="shared" si="14"/>
        <v>4.1768835795871322</v>
      </c>
      <c r="X38" s="63">
        <f t="shared" si="15"/>
        <v>4.1768835795871322</v>
      </c>
      <c r="Y38" s="43"/>
      <c r="Z38" s="38">
        <f t="shared" si="16"/>
        <v>0.65</v>
      </c>
      <c r="AA38" s="38">
        <f t="shared" si="17"/>
        <v>0.32</v>
      </c>
      <c r="AB38" s="38">
        <f t="shared" ca="1" si="18"/>
        <v>0.33174357185687026</v>
      </c>
      <c r="AC38" s="38">
        <f t="shared" si="19"/>
        <v>0.55000000000000004</v>
      </c>
      <c r="AD38" s="38">
        <f t="shared" si="19"/>
        <v>0.32</v>
      </c>
      <c r="AE38" s="38">
        <f t="shared" ca="1" si="20"/>
        <v>0.32850175983400626</v>
      </c>
      <c r="AF38" s="237">
        <f ca="1">((Summary!$N$9*(AA38*AD38)*(A38-$D$3))+(Summary!$M$9*Z38*AC38*(AJ38-EOMONTH(EDATE(A38,-1),0))))/(AK38*AB38*AE38)</f>
        <v>0.99913579089387661</v>
      </c>
      <c r="AG38" s="88">
        <f>IF($A39="","",Summary!$Q$9)</f>
        <v>0</v>
      </c>
      <c r="AH38" s="88">
        <f>IF($A39="","",IF(Summary!$R$9="Y",VLOOKUP($A38,Summary!$AD$6:$AF$9,3)+'Escalating commodity'!E51,'Escalating commodity'!E51))</f>
        <v>7.4700000000000003E-2</v>
      </c>
      <c r="AI38" s="88">
        <f t="shared" si="35"/>
        <v>7.4700000000000003E-2</v>
      </c>
      <c r="AJ38" s="236">
        <f t="shared" si="21"/>
        <v>37909.5</v>
      </c>
      <c r="AK38" s="58">
        <f t="shared" ca="1" si="22"/>
        <v>869</v>
      </c>
      <c r="AL38" s="26">
        <f ca="1">IF($A39="","",_xll.SPRDOPT(P38,X38,AI38,0,AB38,AE38,AF38,AK38,$AJ$2,0))</f>
        <v>6.5583263925635585E-2</v>
      </c>
      <c r="AM38" s="89">
        <f t="shared" si="23"/>
        <v>3.9416420412868178E-2</v>
      </c>
      <c r="AN38" s="89">
        <f t="shared" ca="1" si="24"/>
        <v>2.6166843512767407E-2</v>
      </c>
      <c r="AO38" s="3">
        <f t="shared" si="25"/>
        <v>31</v>
      </c>
      <c r="AP38" s="33">
        <f t="shared" si="26"/>
        <v>37895</v>
      </c>
      <c r="AQ38" s="58">
        <f t="shared" ca="1" si="27"/>
        <v>869</v>
      </c>
      <c r="AR38" s="38">
        <f>'ANR OK vs ML7'!AR38</f>
        <v>0.1</v>
      </c>
      <c r="AS38" s="35">
        <f t="shared" ca="1" si="28"/>
        <v>0.79281738378267264</v>
      </c>
      <c r="AT38" s="3">
        <f t="shared" si="29"/>
        <v>1</v>
      </c>
      <c r="AU38" s="3">
        <f t="shared" si="30"/>
        <v>31</v>
      </c>
      <c r="AW38" s="32">
        <f t="shared" ca="1" si="31"/>
        <v>73292.576600094049</v>
      </c>
      <c r="AX38" s="32">
        <f t="shared" si="32"/>
        <v>44049.820632400835</v>
      </c>
      <c r="AY38" s="32">
        <f t="shared" ca="1" si="33"/>
        <v>29242.755967693214</v>
      </c>
      <c r="BA38" s="32">
        <f ca="1">IF($A39="","",F38*Summary!$Q$9)</f>
        <v>0</v>
      </c>
      <c r="BC38" s="256">
        <f t="shared" ca="1" si="36"/>
        <v>34923.463549876018</v>
      </c>
    </row>
    <row r="39" spans="1:55">
      <c r="A39" s="67">
        <f t="shared" si="34"/>
        <v>37926</v>
      </c>
      <c r="B39" s="69">
        <f t="shared" si="37"/>
        <v>36050</v>
      </c>
      <c r="C39" s="71"/>
      <c r="D39" s="69">
        <f t="shared" si="0"/>
        <v>36050</v>
      </c>
      <c r="E39" s="70">
        <f t="shared" si="1"/>
        <v>1081500</v>
      </c>
      <c r="F39" s="70">
        <f t="shared" ca="1" si="2"/>
        <v>850360.09803307871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0.32</v>
      </c>
      <c r="K39" s="64">
        <f t="shared" si="6"/>
        <v>0.32</v>
      </c>
      <c r="L39" s="63">
        <f t="shared" si="5"/>
        <v>0</v>
      </c>
      <c r="M39" s="64">
        <f t="shared" si="7"/>
        <v>0</v>
      </c>
      <c r="N39" s="65"/>
      <c r="O39" s="63">
        <f t="shared" si="8"/>
        <v>4.5190000000000001</v>
      </c>
      <c r="P39" s="63">
        <f t="shared" si="9"/>
        <v>4.5190000000000001</v>
      </c>
      <c r="Q39" s="66"/>
      <c r="R39" s="63">
        <f t="shared" si="10"/>
        <v>-0.1</v>
      </c>
      <c r="S39" s="64">
        <f t="shared" si="11"/>
        <v>-0.1</v>
      </c>
      <c r="T39" s="63">
        <f t="shared" si="12"/>
        <v>0.01</v>
      </c>
      <c r="U39" s="64">
        <f t="shared" si="13"/>
        <v>0.01</v>
      </c>
      <c r="V39" s="90">
        <f>IF($A40="","",IF(AND(MONTH(A39)&gt;3,MONTH(A39)&lt;11),(T39+R39+G39)*Summary!$T$9/(1-Summary!$T$9),(T39+R39+G39)*Summary!$U$9/(1-Summary!$U$9)))</f>
        <v>0.19677386566069369</v>
      </c>
      <c r="W39" s="63">
        <f t="shared" si="14"/>
        <v>4.3057738656606936</v>
      </c>
      <c r="X39" s="63">
        <f t="shared" si="15"/>
        <v>4.3057738656606936</v>
      </c>
      <c r="Y39" s="43"/>
      <c r="Z39" s="38">
        <f t="shared" si="16"/>
        <v>0.8</v>
      </c>
      <c r="AA39" s="38">
        <f t="shared" si="17"/>
        <v>0.32</v>
      </c>
      <c r="AB39" s="38">
        <f t="shared" ca="1" si="18"/>
        <v>0.33642301414208342</v>
      </c>
      <c r="AC39" s="38">
        <f t="shared" si="19"/>
        <v>0.8</v>
      </c>
      <c r="AD39" s="38">
        <f t="shared" si="19"/>
        <v>0.32</v>
      </c>
      <c r="AE39" s="38">
        <f t="shared" ca="1" si="20"/>
        <v>0.33642301414208342</v>
      </c>
      <c r="AF39" s="237">
        <f ca="1">((Summary!$N$9*(AA39*AD39)*(A39-$D$3))+(Summary!$M$9*Z39*AC39*(AJ39-EOMONTH(EDATE(A39,-1),0))))/(AK39*AB39*AE39)</f>
        <v>0.99990942447851205</v>
      </c>
      <c r="AG39" s="88">
        <f>IF($A40="","",Summary!$Q$9)</f>
        <v>0</v>
      </c>
      <c r="AH39" s="88">
        <f>IF($A40="","",IF(Summary!$R$9="Y",VLOOKUP($A39,Summary!$AD$6:$AF$9,3)+'Escalating commodity'!E52,'Escalating commodity'!E52))</f>
        <v>7.4700000000000003E-2</v>
      </c>
      <c r="AI39" s="88">
        <f t="shared" si="35"/>
        <v>7.4700000000000003E-2</v>
      </c>
      <c r="AJ39" s="236">
        <f t="shared" si="21"/>
        <v>37940</v>
      </c>
      <c r="AK39" s="58">
        <f t="shared" ca="1" si="22"/>
        <v>900</v>
      </c>
      <c r="AL39" s="26">
        <f ca="1">IF($A40="","",_xll.SPRDOPT(P39,X39,AI39,0,AB39,AE39,AF39,AK39,$AJ$2,0))</f>
        <v>0.13961762904908837</v>
      </c>
      <c r="AM39" s="89">
        <f t="shared" si="23"/>
        <v>0.13852613433930649</v>
      </c>
      <c r="AN39" s="89">
        <f t="shared" ca="1" si="24"/>
        <v>1.0914947097818706E-3</v>
      </c>
      <c r="AO39" s="3">
        <f t="shared" si="25"/>
        <v>30</v>
      </c>
      <c r="AP39" s="33">
        <f t="shared" si="26"/>
        <v>37926</v>
      </c>
      <c r="AQ39" s="58">
        <f t="shared" ca="1" si="27"/>
        <v>900</v>
      </c>
      <c r="AR39" s="38">
        <f>'ANR OK vs ML7'!AR39</f>
        <v>0.1</v>
      </c>
      <c r="AS39" s="35">
        <f t="shared" ca="1" si="28"/>
        <v>0.7862784077975763</v>
      </c>
      <c r="AT39" s="3">
        <f t="shared" si="29"/>
        <v>1</v>
      </c>
      <c r="AU39" s="3">
        <f t="shared" si="30"/>
        <v>30</v>
      </c>
      <c r="AW39" s="32">
        <f t="shared" ca="1" si="31"/>
        <v>150996.46581658907</v>
      </c>
      <c r="AX39" s="32">
        <f t="shared" si="32"/>
        <v>149816.01428795999</v>
      </c>
      <c r="AY39" s="32">
        <f t="shared" ca="1" si="33"/>
        <v>1180.451528629093</v>
      </c>
      <c r="BA39" s="32">
        <f ca="1">IF($A40="","",F39*Summary!$Q$9)</f>
        <v>0</v>
      </c>
      <c r="BC39" s="256">
        <f t="shared" ca="1" si="36"/>
        <v>117797.0971769161</v>
      </c>
    </row>
    <row r="40" spans="1:55">
      <c r="A40" s="67">
        <f t="shared" si="34"/>
        <v>37956</v>
      </c>
      <c r="B40" s="69">
        <f t="shared" si="37"/>
        <v>36050</v>
      </c>
      <c r="C40" s="71"/>
      <c r="D40" s="69">
        <f t="shared" si="0"/>
        <v>36050</v>
      </c>
      <c r="E40" s="70">
        <f t="shared" si="1"/>
        <v>1117550</v>
      </c>
      <c r="F40" s="70">
        <f t="shared" ca="1" si="2"/>
        <v>871690.9238719719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0.32</v>
      </c>
      <c r="K40" s="64">
        <f t="shared" si="6"/>
        <v>0.32</v>
      </c>
      <c r="L40" s="63">
        <f t="shared" si="5"/>
        <v>0</v>
      </c>
      <c r="M40" s="64">
        <f t="shared" si="7"/>
        <v>0</v>
      </c>
      <c r="N40" s="65"/>
      <c r="O40" s="63">
        <f t="shared" si="8"/>
        <v>4.6570000000000009</v>
      </c>
      <c r="P40" s="63">
        <f t="shared" si="9"/>
        <v>4.6570000000000009</v>
      </c>
      <c r="Q40" s="66"/>
      <c r="R40" s="63">
        <f t="shared" si="10"/>
        <v>-0.10249999999999999</v>
      </c>
      <c r="S40" s="64">
        <f t="shared" si="11"/>
        <v>-0.10249999999999999</v>
      </c>
      <c r="T40" s="63">
        <f t="shared" si="12"/>
        <v>0.01</v>
      </c>
      <c r="U40" s="64">
        <f t="shared" si="13"/>
        <v>0.01</v>
      </c>
      <c r="V40" s="90">
        <f>IF($A41="","",IF(AND(MONTH(A40)&gt;3,MONTH(A40)&lt;11),(T40+R40+G40)*Summary!$T$9/(1-Summary!$T$9),(T40+R40+G40)*Summary!$U$9/(1-Summary!$U$9)))</f>
        <v>0.20326275804254426</v>
      </c>
      <c r="W40" s="63">
        <f t="shared" si="14"/>
        <v>4.4477627580425443</v>
      </c>
      <c r="X40" s="63">
        <f t="shared" si="15"/>
        <v>4.4477627580425443</v>
      </c>
      <c r="Y40" s="43"/>
      <c r="Z40" s="38">
        <f t="shared" si="16"/>
        <v>1.1000000000000001</v>
      </c>
      <c r="AA40" s="38">
        <f t="shared" si="17"/>
        <v>0.32</v>
      </c>
      <c r="AB40" s="38">
        <f t="shared" ca="1" si="18"/>
        <v>0.35025244352259471</v>
      </c>
      <c r="AC40" s="38">
        <f t="shared" si="19"/>
        <v>1</v>
      </c>
      <c r="AD40" s="38">
        <f t="shared" si="19"/>
        <v>0.32</v>
      </c>
      <c r="AE40" s="38">
        <f t="shared" ca="1" si="20"/>
        <v>0.34521989252293733</v>
      </c>
      <c r="AF40" s="237">
        <f ca="1">((Summary!$N$9*(AA40*AD40)*(A40-$D$3))+(Summary!$M$9*Z40*AC40*(AJ40-EOMONTH(EDATE(A40,-1),0))))/(AK40*AB40*AE40)</f>
        <v>0.99933075586715425</v>
      </c>
      <c r="AG40" s="88">
        <f>IF($A41="","",Summary!$Q$9)</f>
        <v>0</v>
      </c>
      <c r="AH40" s="88">
        <f>IF($A41="","",IF(Summary!$R$9="Y",VLOOKUP($A40,Summary!$AD$6:$AF$9,3)+'Escalating commodity'!E53,'Escalating commodity'!E53))</f>
        <v>7.4700000000000003E-2</v>
      </c>
      <c r="AI40" s="88">
        <f t="shared" si="35"/>
        <v>7.4700000000000003E-2</v>
      </c>
      <c r="AJ40" s="236">
        <f t="shared" si="21"/>
        <v>37970.5</v>
      </c>
      <c r="AK40" s="58">
        <f t="shared" ca="1" si="22"/>
        <v>930</v>
      </c>
      <c r="AL40" s="26">
        <f ca="1">IF($A41="","",_xll.SPRDOPT(P40,X40,AI40,0,AB40,AE40,AF40,AK40,$AJ$2,0))</f>
        <v>0.14444379546126557</v>
      </c>
      <c r="AM40" s="89">
        <f t="shared" si="23"/>
        <v>0.13453724195745664</v>
      </c>
      <c r="AN40" s="89">
        <f t="shared" ca="1" si="24"/>
        <v>9.9065535038089236E-3</v>
      </c>
      <c r="AO40" s="3">
        <f t="shared" si="25"/>
        <v>31</v>
      </c>
      <c r="AP40" s="33">
        <f t="shared" si="26"/>
        <v>37956</v>
      </c>
      <c r="AQ40" s="58">
        <f t="shared" ca="1" si="27"/>
        <v>930</v>
      </c>
      <c r="AR40" s="38">
        <f>'ANR OK vs ML7'!AR40</f>
        <v>0.1</v>
      </c>
      <c r="AS40" s="35">
        <f t="shared" ca="1" si="28"/>
        <v>0.78000172150863223</v>
      </c>
      <c r="AT40" s="3">
        <f t="shared" si="29"/>
        <v>1</v>
      </c>
      <c r="AU40" s="3">
        <f t="shared" si="30"/>
        <v>31</v>
      </c>
      <c r="AW40" s="32">
        <f t="shared" ca="1" si="31"/>
        <v>161423.16361773733</v>
      </c>
      <c r="AX40" s="32">
        <f t="shared" si="32"/>
        <v>150352.09474955566</v>
      </c>
      <c r="AY40" s="32">
        <f t="shared" ca="1" si="33"/>
        <v>11071.068868181663</v>
      </c>
      <c r="BA40" s="32">
        <f ca="1">IF($A41="","",F40*Summary!$Q$9)</f>
        <v>0</v>
      </c>
      <c r="BC40" s="256">
        <f t="shared" ca="1" si="36"/>
        <v>117274.89273708241</v>
      </c>
    </row>
    <row r="41" spans="1:55">
      <c r="A41" s="67">
        <f t="shared" si="34"/>
        <v>37987</v>
      </c>
      <c r="B41" s="69">
        <f t="shared" si="37"/>
        <v>36050</v>
      </c>
      <c r="C41" s="71"/>
      <c r="D41" s="69">
        <f t="shared" si="0"/>
        <v>36050</v>
      </c>
      <c r="E41" s="70">
        <f t="shared" si="1"/>
        <v>1117550</v>
      </c>
      <c r="F41" s="70">
        <f t="shared" ca="1" si="2"/>
        <v>864501.41701425193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0.32</v>
      </c>
      <c r="K41" s="64">
        <f t="shared" si="6"/>
        <v>0.32</v>
      </c>
      <c r="L41" s="63">
        <f t="shared" si="5"/>
        <v>0</v>
      </c>
      <c r="M41" s="64">
        <f t="shared" si="7"/>
        <v>0</v>
      </c>
      <c r="N41" s="65"/>
      <c r="O41" s="63">
        <f t="shared" si="8"/>
        <v>4.7140000000000004</v>
      </c>
      <c r="P41" s="63">
        <f t="shared" si="9"/>
        <v>4.7140000000000004</v>
      </c>
      <c r="Q41" s="66"/>
      <c r="R41" s="63">
        <f t="shared" si="10"/>
        <v>-0.105</v>
      </c>
      <c r="S41" s="64">
        <f t="shared" si="11"/>
        <v>-0.105</v>
      </c>
      <c r="T41" s="63">
        <f t="shared" si="12"/>
        <v>0.01</v>
      </c>
      <c r="U41" s="64">
        <f t="shared" si="13"/>
        <v>0.01</v>
      </c>
      <c r="V41" s="90">
        <f>IF($A42="","",IF(AND(MONTH(A41)&gt;3,MONTH(A41)&lt;11),(T41+R41+G41)*Summary!$T$9/(1-Summary!$T$9),(T41+R41+G41)*Summary!$U$9/(1-Summary!$U$9)))</f>
        <v>0.20587268154668342</v>
      </c>
      <c r="W41" s="63">
        <f t="shared" si="14"/>
        <v>4.5048726815466837</v>
      </c>
      <c r="X41" s="63">
        <f t="shared" si="15"/>
        <v>4.5048726815466837</v>
      </c>
      <c r="Y41" s="43"/>
      <c r="Z41" s="38">
        <f t="shared" si="16"/>
        <v>1.1000000000000001</v>
      </c>
      <c r="AA41" s="38">
        <f t="shared" si="17"/>
        <v>0.32300000000000001</v>
      </c>
      <c r="AB41" s="38">
        <f t="shared" ca="1" si="18"/>
        <v>0.35207057813386372</v>
      </c>
      <c r="AC41" s="38">
        <f t="shared" si="19"/>
        <v>1</v>
      </c>
      <c r="AD41" s="38">
        <f t="shared" si="19"/>
        <v>0.32300000000000001</v>
      </c>
      <c r="AE41" s="38">
        <f t="shared" ca="1" si="20"/>
        <v>0.34722700818530733</v>
      </c>
      <c r="AF41" s="237">
        <f ca="1">((Summary!$N$9*(AA41*AD41)*(A41-$D$3))+(Summary!$M$9*Z41*AC41*(AJ41-EOMONTH(EDATE(A41,-1),0))))/(AK41*AB41*AE41)</f>
        <v>0.99935083957017956</v>
      </c>
      <c r="AG41" s="88">
        <f>IF($A42="","",Summary!$Q$9)</f>
        <v>0</v>
      </c>
      <c r="AH41" s="88">
        <f>IF($A42="","",IF(Summary!$R$9="Y",VLOOKUP($A41,Summary!$AD$6:$AF$9,3)+'Escalating commodity'!E54,'Escalating commodity'!E54))</f>
        <v>7.0699999999999999E-2</v>
      </c>
      <c r="AI41" s="88">
        <f t="shared" si="35"/>
        <v>7.0699999999999999E-2</v>
      </c>
      <c r="AJ41" s="236">
        <f t="shared" si="21"/>
        <v>38001.5</v>
      </c>
      <c r="AK41" s="58">
        <f t="shared" ca="1" si="22"/>
        <v>961</v>
      </c>
      <c r="AL41" s="26">
        <f ca="1">IF($A42="","",_xll.SPRDOPT(P41,X41,AI41,0,AB41,AE41,AF41,AK41,$AJ$2,0))</f>
        <v>0.14792036334438827</v>
      </c>
      <c r="AM41" s="89">
        <f t="shared" si="23"/>
        <v>0.13842731845331668</v>
      </c>
      <c r="AN41" s="89">
        <f t="shared" ca="1" si="24"/>
        <v>9.4930448910715837E-3</v>
      </c>
      <c r="AO41" s="3">
        <f t="shared" si="25"/>
        <v>31</v>
      </c>
      <c r="AP41" s="33">
        <f t="shared" si="26"/>
        <v>37987</v>
      </c>
      <c r="AQ41" s="58">
        <f t="shared" ca="1" si="27"/>
        <v>961</v>
      </c>
      <c r="AR41" s="38">
        <f>'ANR OK vs ML7'!AR41</f>
        <v>0.1</v>
      </c>
      <c r="AS41" s="35">
        <f t="shared" ca="1" si="28"/>
        <v>0.77356844616728726</v>
      </c>
      <c r="AT41" s="3">
        <f t="shared" si="29"/>
        <v>1</v>
      </c>
      <c r="AU41" s="3">
        <f t="shared" si="30"/>
        <v>31</v>
      </c>
      <c r="AW41" s="32">
        <f t="shared" ca="1" si="31"/>
        <v>165308.40205552112</v>
      </c>
      <c r="AX41" s="32">
        <f t="shared" si="32"/>
        <v>154699.44973750407</v>
      </c>
      <c r="AY41" s="32">
        <f t="shared" ca="1" si="33"/>
        <v>10608.952318017049</v>
      </c>
      <c r="BA41" s="32">
        <f ca="1">IF($A42="","",F41*Summary!$Q$9)</f>
        <v>0</v>
      </c>
      <c r="BC41" s="256">
        <f t="shared" ca="1" si="36"/>
        <v>119670.61295637538</v>
      </c>
    </row>
    <row r="42" spans="1:55">
      <c r="A42" s="67">
        <f t="shared" si="34"/>
        <v>38018</v>
      </c>
      <c r="B42" s="69">
        <f t="shared" si="37"/>
        <v>36050</v>
      </c>
      <c r="C42" s="71"/>
      <c r="D42" s="69">
        <f t="shared" si="0"/>
        <v>36050</v>
      </c>
      <c r="E42" s="70">
        <f t="shared" si="1"/>
        <v>1045450</v>
      </c>
      <c r="F42" s="70">
        <f t="shared" ca="1" si="2"/>
        <v>802056.93610499357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0.32</v>
      </c>
      <c r="K42" s="64">
        <f t="shared" si="6"/>
        <v>0.32</v>
      </c>
      <c r="L42" s="63">
        <f t="shared" si="5"/>
        <v>0</v>
      </c>
      <c r="M42" s="64">
        <f t="shared" si="7"/>
        <v>0</v>
      </c>
      <c r="N42" s="65"/>
      <c r="O42" s="63">
        <f t="shared" si="8"/>
        <v>4.5940000000000003</v>
      </c>
      <c r="P42" s="63">
        <f t="shared" si="9"/>
        <v>4.5940000000000003</v>
      </c>
      <c r="Q42" s="66"/>
      <c r="R42" s="63">
        <f t="shared" si="10"/>
        <v>-9.7500000000000003E-2</v>
      </c>
      <c r="S42" s="64">
        <f t="shared" si="11"/>
        <v>-9.7500000000000003E-2</v>
      </c>
      <c r="T42" s="63">
        <f t="shared" si="12"/>
        <v>0.01</v>
      </c>
      <c r="U42" s="64">
        <f t="shared" si="13"/>
        <v>0.01</v>
      </c>
      <c r="V42" s="90">
        <f>IF($A43="","",IF(AND(MONTH(A42)&gt;3,MONTH(A42)&lt;11),(T42+R42+G42)*Summary!$T$9/(1-Summary!$T$9),(T42+R42+G42)*Summary!$U$9/(1-Summary!$U$9)))</f>
        <v>0.20048522477208422</v>
      </c>
      <c r="W42" s="63">
        <f t="shared" si="14"/>
        <v>4.3869852247720837</v>
      </c>
      <c r="X42" s="63">
        <f t="shared" si="15"/>
        <v>4.3869852247720837</v>
      </c>
      <c r="Y42" s="43"/>
      <c r="Z42" s="38">
        <f t="shared" si="16"/>
        <v>1.1000000000000001</v>
      </c>
      <c r="AA42" s="38">
        <f t="shared" si="17"/>
        <v>0.31</v>
      </c>
      <c r="AB42" s="38">
        <f t="shared" ca="1" si="18"/>
        <v>0.3374660974608914</v>
      </c>
      <c r="AC42" s="38">
        <f t="shared" si="19"/>
        <v>1</v>
      </c>
      <c r="AD42" s="38">
        <f t="shared" si="19"/>
        <v>0.31</v>
      </c>
      <c r="AE42" s="38">
        <f t="shared" ca="1" si="20"/>
        <v>0.33288708368434927</v>
      </c>
      <c r="AF42" s="237">
        <f ca="1">((Summary!$N$9*(AA42*AD42)*(A42-$D$3))+(Summary!$M$9*Z42*AC42*(AJ42-EOMONTH(EDATE(A42,-1),0))))/(AK42*AB42*AE42)</f>
        <v>0.99935711323135046</v>
      </c>
      <c r="AG42" s="88">
        <f>IF($A43="","",Summary!$Q$9)</f>
        <v>0</v>
      </c>
      <c r="AH42" s="88">
        <f>IF($A43="","",IF(Summary!$R$9="Y",VLOOKUP($A42,Summary!$AD$6:$AF$9,3)+'Escalating commodity'!E55,'Escalating commodity'!E55))</f>
        <v>7.0699999999999999E-2</v>
      </c>
      <c r="AI42" s="88">
        <f t="shared" si="35"/>
        <v>7.0699999999999999E-2</v>
      </c>
      <c r="AJ42" s="236">
        <f t="shared" si="21"/>
        <v>38031.5</v>
      </c>
      <c r="AK42" s="58">
        <f t="shared" ca="1" si="22"/>
        <v>992</v>
      </c>
      <c r="AL42" s="26">
        <f ca="1">IF($A43="","",_xll.SPRDOPT(P42,X42,AI42,0,AB42,AE42,AF42,AK42,$AJ$2,0))</f>
        <v>0.14474412635865905</v>
      </c>
      <c r="AM42" s="89">
        <f t="shared" si="23"/>
        <v>0.13631477522791657</v>
      </c>
      <c r="AN42" s="89">
        <f t="shared" ca="1" si="24"/>
        <v>8.429351130742474E-3</v>
      </c>
      <c r="AO42" s="3">
        <f t="shared" si="25"/>
        <v>29</v>
      </c>
      <c r="AP42" s="33">
        <f t="shared" si="26"/>
        <v>38018</v>
      </c>
      <c r="AQ42" s="58">
        <f t="shared" ca="1" si="27"/>
        <v>992</v>
      </c>
      <c r="AR42" s="38">
        <f>'ANR OK vs ML7'!AR42</f>
        <v>0.1</v>
      </c>
      <c r="AS42" s="35">
        <f t="shared" ca="1" si="28"/>
        <v>0.76718823100578082</v>
      </c>
      <c r="AT42" s="3">
        <f t="shared" si="29"/>
        <v>1</v>
      </c>
      <c r="AU42" s="3">
        <f t="shared" si="30"/>
        <v>29</v>
      </c>
      <c r="AW42" s="32">
        <f t="shared" ca="1" si="31"/>
        <v>151322.74690166011</v>
      </c>
      <c r="AX42" s="32">
        <f t="shared" si="32"/>
        <v>142510.28176202538</v>
      </c>
      <c r="AY42" s="32">
        <f t="shared" ca="1" si="33"/>
        <v>8812.4651396347199</v>
      </c>
      <c r="BA42" s="32">
        <f ca="1">IF($A43="","",F42*Summary!$Q$9)</f>
        <v>0</v>
      </c>
      <c r="BC42" s="256">
        <f t="shared" ca="1" si="36"/>
        <v>109332.21096514365</v>
      </c>
    </row>
    <row r="43" spans="1:55">
      <c r="A43" s="67">
        <f t="shared" si="34"/>
        <v>38047</v>
      </c>
      <c r="B43" s="69">
        <f t="shared" si="37"/>
        <v>36050</v>
      </c>
      <c r="C43" s="71"/>
      <c r="D43" s="69">
        <f t="shared" si="0"/>
        <v>36050</v>
      </c>
      <c r="E43" s="70">
        <f t="shared" si="1"/>
        <v>1117550</v>
      </c>
      <c r="F43" s="70">
        <f t="shared" ca="1" si="2"/>
        <v>850754.26067739143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0.32</v>
      </c>
      <c r="K43" s="64">
        <f t="shared" si="6"/>
        <v>0.32</v>
      </c>
      <c r="L43" s="63">
        <f t="shared" si="5"/>
        <v>0</v>
      </c>
      <c r="M43" s="64">
        <f t="shared" si="7"/>
        <v>0</v>
      </c>
      <c r="N43" s="65"/>
      <c r="O43" s="63">
        <f t="shared" si="8"/>
        <v>4.4550000000000001</v>
      </c>
      <c r="P43" s="63">
        <f t="shared" si="9"/>
        <v>4.4550000000000001</v>
      </c>
      <c r="Q43" s="66"/>
      <c r="R43" s="63">
        <f t="shared" si="10"/>
        <v>-9.5000000000000001E-2</v>
      </c>
      <c r="S43" s="64">
        <f t="shared" si="11"/>
        <v>-9.5000000000000001E-2</v>
      </c>
      <c r="T43" s="63">
        <f t="shared" si="12"/>
        <v>0.01</v>
      </c>
      <c r="U43" s="64">
        <f t="shared" si="13"/>
        <v>0.01</v>
      </c>
      <c r="V43" s="90">
        <f>IF($A44="","",IF(AND(MONTH(A43)&gt;3,MONTH(A43)&lt;11),(T43+R43+G43)*Summary!$T$9/(1-Summary!$T$9),(T43+R43+G43)*Summary!$U$9/(1-Summary!$U$9)))</f>
        <v>0.19394844388557053</v>
      </c>
      <c r="W43" s="63">
        <f t="shared" si="14"/>
        <v>4.2439484438855706</v>
      </c>
      <c r="X43" s="63">
        <f t="shared" si="15"/>
        <v>4.2439484438855706</v>
      </c>
      <c r="Y43" s="43"/>
      <c r="Z43" s="38">
        <f t="shared" si="16"/>
        <v>0.75</v>
      </c>
      <c r="AA43" s="38">
        <f t="shared" si="17"/>
        <v>0.30299999999999999</v>
      </c>
      <c r="AB43" s="38">
        <f t="shared" ca="1" si="18"/>
        <v>0.31692008898328822</v>
      </c>
      <c r="AC43" s="38">
        <f t="shared" si="19"/>
        <v>0.75</v>
      </c>
      <c r="AD43" s="38">
        <f t="shared" si="19"/>
        <v>0.30299999999999999</v>
      </c>
      <c r="AE43" s="38">
        <f t="shared" ca="1" si="20"/>
        <v>0.31692008898328822</v>
      </c>
      <c r="AF43" s="237">
        <f ca="1">((Summary!$N$9*(AA43*AD43)*(A43-$D$3))+(Summary!$M$9*Z43*AC43*(AJ43-EOMONTH(EDATE(A43,-1),0))))/(AK43*AB43*AE43)</f>
        <v>0.9999085021535572</v>
      </c>
      <c r="AG43" s="88">
        <f>IF($A44="","",Summary!$Q$9)</f>
        <v>0</v>
      </c>
      <c r="AH43" s="88">
        <f>IF($A44="","",IF(Summary!$R$9="Y",VLOOKUP($A43,Summary!$AD$6:$AF$9,3)+'Escalating commodity'!E56,'Escalating commodity'!E56))</f>
        <v>7.0699999999999999E-2</v>
      </c>
      <c r="AI43" s="88">
        <f t="shared" si="35"/>
        <v>7.0699999999999999E-2</v>
      </c>
      <c r="AJ43" s="236">
        <f t="shared" si="21"/>
        <v>38061.5</v>
      </c>
      <c r="AK43" s="58">
        <f t="shared" ca="1" si="22"/>
        <v>1021</v>
      </c>
      <c r="AL43" s="26">
        <f ca="1">IF($A44="","",_xll.SPRDOPT(P43,X43,AI43,0,AB43,AE43,AF43,AK43,$AJ$2,0))</f>
        <v>0.1412908779538791</v>
      </c>
      <c r="AM43" s="89">
        <f t="shared" si="23"/>
        <v>0.14035155611442951</v>
      </c>
      <c r="AN43" s="89">
        <f t="shared" ca="1" si="24"/>
        <v>9.3932183944958614E-4</v>
      </c>
      <c r="AO43" s="3">
        <f t="shared" si="25"/>
        <v>31</v>
      </c>
      <c r="AP43" s="33">
        <f t="shared" si="26"/>
        <v>38047</v>
      </c>
      <c r="AQ43" s="58">
        <f t="shared" ca="1" si="27"/>
        <v>1021</v>
      </c>
      <c r="AR43" s="38">
        <f>'ANR OK vs ML7'!AR43</f>
        <v>0.1</v>
      </c>
      <c r="AS43" s="35">
        <f t="shared" ca="1" si="28"/>
        <v>0.76126729066027599</v>
      </c>
      <c r="AT43" s="3">
        <f t="shared" si="29"/>
        <v>1</v>
      </c>
      <c r="AU43" s="3">
        <f t="shared" si="30"/>
        <v>31</v>
      </c>
      <c r="AW43" s="32">
        <f t="shared" ca="1" si="31"/>
        <v>157899.62065735759</v>
      </c>
      <c r="AX43" s="32">
        <f t="shared" si="32"/>
        <v>156849.8815356807</v>
      </c>
      <c r="AY43" s="32">
        <f t="shared" ca="1" si="33"/>
        <v>1049.7391216768849</v>
      </c>
      <c r="BA43" s="32">
        <f ca="1">IF($A44="","",F43*Summary!$Q$9)</f>
        <v>0</v>
      </c>
      <c r="BC43" s="256">
        <f t="shared" ca="1" si="36"/>
        <v>119404.68435705289</v>
      </c>
    </row>
    <row r="44" spans="1:55">
      <c r="A44" s="67">
        <f t="shared" si="34"/>
        <v>38078</v>
      </c>
      <c r="B44" s="69">
        <f t="shared" si="37"/>
        <v>36050</v>
      </c>
      <c r="C44" s="71"/>
      <c r="D44" s="69">
        <f t="shared" si="0"/>
        <v>36050</v>
      </c>
      <c r="E44" s="70">
        <f t="shared" si="1"/>
        <v>1081500</v>
      </c>
      <c r="F44" s="70">
        <f t="shared" ca="1" si="2"/>
        <v>816520.09801629267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0.19500000000000001</v>
      </c>
      <c r="K44" s="64">
        <f t="shared" si="6"/>
        <v>0.19500000000000001</v>
      </c>
      <c r="L44" s="63">
        <f t="shared" si="5"/>
        <v>0</v>
      </c>
      <c r="M44" s="64">
        <f t="shared" si="7"/>
        <v>0</v>
      </c>
      <c r="N44" s="65"/>
      <c r="O44" s="63">
        <f t="shared" si="8"/>
        <v>4.1550000000000002</v>
      </c>
      <c r="P44" s="63">
        <f t="shared" si="9"/>
        <v>4.1550000000000002</v>
      </c>
      <c r="Q44" s="66"/>
      <c r="R44" s="63">
        <f t="shared" si="10"/>
        <v>-0.1</v>
      </c>
      <c r="S44" s="64">
        <f t="shared" si="11"/>
        <v>-0.1</v>
      </c>
      <c r="T44" s="63">
        <f t="shared" si="12"/>
        <v>-0.01</v>
      </c>
      <c r="U44" s="64">
        <f t="shared" si="13"/>
        <v>-0.01</v>
      </c>
      <c r="V44" s="90">
        <f>IF($A45="","",IF(AND(MONTH(A44)&gt;3,MONTH(A44)&lt;11),(T44+R44+G44)*Summary!$T$9/(1-Summary!$T$9),(T44+R44+G44)*Summary!$U$9/(1-Summary!$U$9)))</f>
        <v>0.18437074295294978</v>
      </c>
      <c r="W44" s="63">
        <f t="shared" si="14"/>
        <v>4.0343707429529498</v>
      </c>
      <c r="X44" s="63">
        <f t="shared" si="15"/>
        <v>4.0343707429529498</v>
      </c>
      <c r="Y44" s="43"/>
      <c r="Z44" s="38">
        <f t="shared" si="16"/>
        <v>0.45</v>
      </c>
      <c r="AA44" s="38">
        <f t="shared" si="17"/>
        <v>0.28999999999999998</v>
      </c>
      <c r="AB44" s="38">
        <f t="shared" ca="1" si="18"/>
        <v>0.29507168684953172</v>
      </c>
      <c r="AC44" s="38">
        <f t="shared" si="19"/>
        <v>0.4</v>
      </c>
      <c r="AD44" s="38">
        <f t="shared" si="19"/>
        <v>0.28999999999999998</v>
      </c>
      <c r="AE44" s="38">
        <f t="shared" ca="1" si="20"/>
        <v>0.29404304410591359</v>
      </c>
      <c r="AF44" s="237">
        <f ca="1">((Summary!$N$9*(AA44*AD44)*(A44-$D$3))+(Summary!$M$9*Z44*AC44*(AJ44-EOMONTH(EDATE(A44,-1),0))))/(AK44*AB44*AE44)</f>
        <v>0.99970365357357804</v>
      </c>
      <c r="AG44" s="88">
        <f>IF($A45="","",Summary!$Q$9)</f>
        <v>0</v>
      </c>
      <c r="AH44" s="88">
        <f>IF($A45="","",IF(Summary!$R$9="Y",VLOOKUP($A44,Summary!$AD$6:$AF$9,3)+'Escalating commodity'!E57,'Escalating commodity'!E57))</f>
        <v>7.0699999999999999E-2</v>
      </c>
      <c r="AI44" s="88">
        <f t="shared" si="35"/>
        <v>7.0699999999999999E-2</v>
      </c>
      <c r="AJ44" s="236">
        <f t="shared" si="21"/>
        <v>38092</v>
      </c>
      <c r="AK44" s="58">
        <f t="shared" ca="1" si="22"/>
        <v>1052</v>
      </c>
      <c r="AL44" s="26">
        <f ca="1">IF($A45="","",_xll.SPRDOPT(P44,X44,AI44,0,AB44,AE44,AF44,AK44,$AJ$2,0))</f>
        <v>5.9271155218994377E-2</v>
      </c>
      <c r="AM44" s="89">
        <f t="shared" si="23"/>
        <v>4.992925704705041E-2</v>
      </c>
      <c r="AN44" s="89">
        <f t="shared" ca="1" si="24"/>
        <v>9.3418981719439673E-3</v>
      </c>
      <c r="AO44" s="3">
        <f t="shared" si="25"/>
        <v>30</v>
      </c>
      <c r="AP44" s="33">
        <f t="shared" si="26"/>
        <v>38078</v>
      </c>
      <c r="AQ44" s="58">
        <f t="shared" ca="1" si="27"/>
        <v>1052</v>
      </c>
      <c r="AR44" s="38">
        <f>'ANR OK vs ML7'!AR44</f>
        <v>0.1</v>
      </c>
      <c r="AS44" s="35">
        <f t="shared" ca="1" si="28"/>
        <v>0.75498853260868481</v>
      </c>
      <c r="AT44" s="3">
        <f t="shared" si="29"/>
        <v>1</v>
      </c>
      <c r="AU44" s="3">
        <f t="shared" si="30"/>
        <v>30</v>
      </c>
      <c r="AW44" s="32">
        <f t="shared" ca="1" si="31"/>
        <v>64101.754369342416</v>
      </c>
      <c r="AX44" s="32">
        <f t="shared" si="32"/>
        <v>53998.491496385017</v>
      </c>
      <c r="AY44" s="32">
        <f t="shared" ca="1" si="33"/>
        <v>10103.262872957401</v>
      </c>
      <c r="BA44" s="32">
        <f ca="1">IF($A45="","",F44*Summary!$Q$9)</f>
        <v>0</v>
      </c>
      <c r="BC44" s="256">
        <f t="shared" ca="1" si="36"/>
        <v>40768.241857938272</v>
      </c>
    </row>
    <row r="45" spans="1:55">
      <c r="A45" s="67">
        <f t="shared" si="34"/>
        <v>38108</v>
      </c>
      <c r="B45" s="69">
        <f t="shared" si="37"/>
        <v>36050</v>
      </c>
      <c r="C45" s="71"/>
      <c r="D45" s="69">
        <f t="shared" si="0"/>
        <v>36050</v>
      </c>
      <c r="E45" s="70">
        <f t="shared" si="1"/>
        <v>1117550</v>
      </c>
      <c r="F45" s="70">
        <f t="shared" ca="1" si="2"/>
        <v>837002.0656498021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0.19500000000000001</v>
      </c>
      <c r="K45" s="64">
        <f t="shared" si="6"/>
        <v>0.19500000000000001</v>
      </c>
      <c r="L45" s="63">
        <f t="shared" si="5"/>
        <v>0</v>
      </c>
      <c r="M45" s="64">
        <f t="shared" si="7"/>
        <v>0</v>
      </c>
      <c r="N45" s="65"/>
      <c r="O45" s="63">
        <f t="shared" si="8"/>
        <v>4.125</v>
      </c>
      <c r="P45" s="63">
        <f t="shared" si="9"/>
        <v>4.125</v>
      </c>
      <c r="Q45" s="66"/>
      <c r="R45" s="63">
        <f t="shared" si="10"/>
        <v>-0.1</v>
      </c>
      <c r="S45" s="64">
        <f t="shared" si="11"/>
        <v>-0.1</v>
      </c>
      <c r="T45" s="63">
        <f t="shared" si="12"/>
        <v>-0.01</v>
      </c>
      <c r="U45" s="64">
        <f t="shared" si="13"/>
        <v>-0.01</v>
      </c>
      <c r="V45" s="90">
        <f>IF($A46="","",IF(AND(MONTH(A45)&gt;3,MONTH(A45)&lt;11),(T45+R45+G45)*Summary!$T$9/(1-Summary!$T$9),(T45+R45+G45)*Summary!$U$9/(1-Summary!$U$9)))</f>
        <v>0.1829340878130567</v>
      </c>
      <c r="W45" s="63">
        <f t="shared" si="14"/>
        <v>4.002934087813057</v>
      </c>
      <c r="X45" s="63">
        <f t="shared" si="15"/>
        <v>4.002934087813057</v>
      </c>
      <c r="Y45" s="43"/>
      <c r="Z45" s="38">
        <f t="shared" si="16"/>
        <v>0.5</v>
      </c>
      <c r="AA45" s="38">
        <f t="shared" si="17"/>
        <v>0.28800000000000003</v>
      </c>
      <c r="AB45" s="38">
        <f t="shared" ca="1" si="18"/>
        <v>0.29428215866652024</v>
      </c>
      <c r="AC45" s="38">
        <f t="shared" si="19"/>
        <v>0.4</v>
      </c>
      <c r="AD45" s="38">
        <f t="shared" si="19"/>
        <v>0.28800000000000003</v>
      </c>
      <c r="AE45" s="38">
        <f t="shared" ca="1" si="20"/>
        <v>0.29208339527722704</v>
      </c>
      <c r="AF45" s="237">
        <f ca="1">((Summary!$N$9*(AA45*AD45)*(A45-$D$3))+(Summary!$M$9*Z45*AC45*(AJ45-EOMONTH(EDATE(A45,-1),0))))/(AK45*AB45*AE45)</f>
        <v>0.99909823204917925</v>
      </c>
      <c r="AG45" s="88">
        <f>IF($A46="","",Summary!$Q$9)</f>
        <v>0</v>
      </c>
      <c r="AH45" s="88">
        <f>IF($A46="","",IF(Summary!$R$9="Y",VLOOKUP($A45,Summary!$AD$6:$AF$9,3)+'Escalating commodity'!E58,'Escalating commodity'!E58))</f>
        <v>7.0699999999999999E-2</v>
      </c>
      <c r="AI45" s="88">
        <f t="shared" si="35"/>
        <v>7.0699999999999999E-2</v>
      </c>
      <c r="AJ45" s="236">
        <f t="shared" si="21"/>
        <v>38122.5</v>
      </c>
      <c r="AK45" s="58">
        <f t="shared" ca="1" si="22"/>
        <v>1082</v>
      </c>
      <c r="AL45" s="26">
        <f ca="1">IF($A46="","",_xll.SPRDOPT(P45,X45,AI45,0,AB45,AE45,AF45,AK45,$AJ$2,0))</f>
        <v>7.1482341192706522E-2</v>
      </c>
      <c r="AM45" s="89">
        <f t="shared" si="23"/>
        <v>5.1365912186942961E-2</v>
      </c>
      <c r="AN45" s="89">
        <f t="shared" ca="1" si="24"/>
        <v>2.0116429005763561E-2</v>
      </c>
      <c r="AO45" s="3">
        <f t="shared" si="25"/>
        <v>31</v>
      </c>
      <c r="AP45" s="33">
        <f t="shared" si="26"/>
        <v>38108</v>
      </c>
      <c r="AQ45" s="58">
        <f t="shared" ca="1" si="27"/>
        <v>1082</v>
      </c>
      <c r="AR45" s="38">
        <f>'ANR OK vs ML7'!AR45</f>
        <v>0.1</v>
      </c>
      <c r="AS45" s="35">
        <f t="shared" ca="1" si="28"/>
        <v>0.74896162645948916</v>
      </c>
      <c r="AT45" s="3">
        <f t="shared" si="29"/>
        <v>1</v>
      </c>
      <c r="AU45" s="3">
        <f t="shared" si="30"/>
        <v>31</v>
      </c>
      <c r="AW45" s="32">
        <f t="shared" ca="1" si="31"/>
        <v>79885.090399909168</v>
      </c>
      <c r="AX45" s="32">
        <f t="shared" si="32"/>
        <v>57403.975164518102</v>
      </c>
      <c r="AY45" s="32">
        <f t="shared" ca="1" si="33"/>
        <v>22481.115235391069</v>
      </c>
      <c r="BA45" s="32">
        <f ca="1">IF($A46="","",F45*Summary!$Q$9)</f>
        <v>0</v>
      </c>
      <c r="BC45" s="256">
        <f t="shared" ca="1" si="36"/>
        <v>42993.374604457604</v>
      </c>
    </row>
    <row r="46" spans="1:55">
      <c r="A46" s="67">
        <f t="shared" si="34"/>
        <v>38139</v>
      </c>
      <c r="B46" s="69">
        <f t="shared" si="37"/>
        <v>36050</v>
      </c>
      <c r="C46" s="71"/>
      <c r="D46" s="69">
        <f t="shared" si="0"/>
        <v>36050</v>
      </c>
      <c r="E46" s="70">
        <f t="shared" si="1"/>
        <v>1081500</v>
      </c>
      <c r="F46" s="70">
        <f t="shared" ca="1" si="2"/>
        <v>803321.28826490161</v>
      </c>
      <c r="G46" s="63">
        <f t="shared" si="3"/>
        <v>4</v>
      </c>
      <c r="H46" s="64">
        <f t="shared" si="4"/>
        <v>4</v>
      </c>
      <c r="I46" s="43"/>
      <c r="J46" s="63">
        <f t="shared" si="5"/>
        <v>0.19500000000000001</v>
      </c>
      <c r="K46" s="64">
        <f t="shared" si="6"/>
        <v>0.19500000000000001</v>
      </c>
      <c r="L46" s="63">
        <f t="shared" si="5"/>
        <v>0</v>
      </c>
      <c r="M46" s="64">
        <f t="shared" si="7"/>
        <v>0</v>
      </c>
      <c r="N46" s="65"/>
      <c r="O46" s="63">
        <f t="shared" si="8"/>
        <v>4.1950000000000003</v>
      </c>
      <c r="P46" s="63">
        <f t="shared" si="9"/>
        <v>4.1950000000000003</v>
      </c>
      <c r="Q46" s="66"/>
      <c r="R46" s="63">
        <f t="shared" si="10"/>
        <v>-0.1</v>
      </c>
      <c r="S46" s="64">
        <f t="shared" si="11"/>
        <v>-0.1</v>
      </c>
      <c r="T46" s="63">
        <f t="shared" si="12"/>
        <v>-0.01</v>
      </c>
      <c r="U46" s="64">
        <f t="shared" si="13"/>
        <v>-0.01</v>
      </c>
      <c r="V46" s="90">
        <f>IF($A47="","",IF(AND(MONTH(A46)&gt;3,MONTH(A46)&lt;11),(T46+R46+G46)*Summary!$T$9/(1-Summary!$T$9),(T46+R46+G46)*Summary!$U$9/(1-Summary!$U$9)))</f>
        <v>0.18628628313947393</v>
      </c>
      <c r="W46" s="63">
        <f t="shared" si="14"/>
        <v>4.0762862831394742</v>
      </c>
      <c r="X46" s="63">
        <f t="shared" si="15"/>
        <v>4.0762862831394742</v>
      </c>
      <c r="Y46" s="43"/>
      <c r="Z46" s="38">
        <f t="shared" si="16"/>
        <v>0.5</v>
      </c>
      <c r="AA46" s="38">
        <f t="shared" si="17"/>
        <v>0.28800000000000003</v>
      </c>
      <c r="AB46" s="38">
        <f t="shared" ca="1" si="18"/>
        <v>0.2939180075263304</v>
      </c>
      <c r="AC46" s="38">
        <f t="shared" si="19"/>
        <v>0.4</v>
      </c>
      <c r="AD46" s="38">
        <f t="shared" si="19"/>
        <v>0.28800000000000003</v>
      </c>
      <c r="AE46" s="38">
        <f t="shared" ca="1" si="20"/>
        <v>0.29184731820398346</v>
      </c>
      <c r="AF46" s="237">
        <f ca="1">((Summary!$N$9*(AA46*AD46)*(A46-$D$3))+(Summary!$M$9*Z46*AC46*(AJ46-EOMONTH(EDATE(A46,-1),0))))/(AK46*AB46*AE46)</f>
        <v>0.99914264256250318</v>
      </c>
      <c r="AG46" s="88">
        <f>IF($A47="","",Summary!$Q$9)</f>
        <v>0</v>
      </c>
      <c r="AH46" s="88">
        <f>IF($A47="","",IF(Summary!$R$9="Y",VLOOKUP($A46,Summary!$AD$6:$AF$9,3)+'Escalating commodity'!E59,'Escalating commodity'!E59))</f>
        <v>7.0699999999999999E-2</v>
      </c>
      <c r="AI46" s="88">
        <f t="shared" si="35"/>
        <v>7.0699999999999999E-2</v>
      </c>
      <c r="AJ46" s="236">
        <f t="shared" si="21"/>
        <v>38153</v>
      </c>
      <c r="AK46" s="58">
        <f t="shared" ca="1" si="22"/>
        <v>1113</v>
      </c>
      <c r="AL46" s="26">
        <f ca="1">IF($A47="","",_xll.SPRDOPT(P46,X46,AI46,0,AB46,AE46,AF46,AK46,$AJ$2,0))</f>
        <v>6.9192957326267346E-2</v>
      </c>
      <c r="AM46" s="89">
        <f t="shared" si="23"/>
        <v>4.8013716860526121E-2</v>
      </c>
      <c r="AN46" s="89">
        <f t="shared" ca="1" si="24"/>
        <v>2.1179240465741225E-2</v>
      </c>
      <c r="AO46" s="3">
        <f t="shared" si="25"/>
        <v>30</v>
      </c>
      <c r="AP46" s="33">
        <f t="shared" si="26"/>
        <v>38139</v>
      </c>
      <c r="AQ46" s="58">
        <f t="shared" ca="1" si="27"/>
        <v>1113</v>
      </c>
      <c r="AR46" s="38">
        <f>'ANR OK vs ML7'!AR46</f>
        <v>0.1</v>
      </c>
      <c r="AS46" s="35">
        <f t="shared" ca="1" si="28"/>
        <v>0.742784362704486</v>
      </c>
      <c r="AT46" s="3">
        <f t="shared" si="29"/>
        <v>1</v>
      </c>
      <c r="AU46" s="3">
        <f t="shared" si="30"/>
        <v>30</v>
      </c>
      <c r="AW46" s="32">
        <f t="shared" ca="1" si="31"/>
        <v>74832.183348358129</v>
      </c>
      <c r="AX46" s="32">
        <f t="shared" si="32"/>
        <v>51926.834784658997</v>
      </c>
      <c r="AY46" s="32">
        <f t="shared" ca="1" si="33"/>
        <v>22905.348563699135</v>
      </c>
      <c r="BA46" s="32">
        <f ca="1">IF($A47="","",F46*Summary!$Q$9)</f>
        <v>0</v>
      </c>
      <c r="BC46" s="256">
        <f t="shared" ca="1" si="36"/>
        <v>38570.440882784067</v>
      </c>
    </row>
    <row r="47" spans="1:55">
      <c r="A47" s="67">
        <f t="shared" si="34"/>
        <v>38169</v>
      </c>
      <c r="B47" s="69">
        <f t="shared" si="37"/>
        <v>36050</v>
      </c>
      <c r="C47" s="71"/>
      <c r="D47" s="69">
        <f t="shared" si="0"/>
        <v>36050</v>
      </c>
      <c r="E47" s="70">
        <f t="shared" si="1"/>
        <v>1117550</v>
      </c>
      <c r="F47" s="70">
        <f t="shared" ca="1" si="2"/>
        <v>823472.17085251247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0.19500000000000001</v>
      </c>
      <c r="K47" s="64">
        <f t="shared" si="6"/>
        <v>0.19500000000000001</v>
      </c>
      <c r="L47" s="63">
        <f t="shared" si="5"/>
        <v>0</v>
      </c>
      <c r="M47" s="64">
        <f t="shared" si="7"/>
        <v>0</v>
      </c>
      <c r="N47" s="65"/>
      <c r="O47" s="63">
        <f t="shared" si="8"/>
        <v>4.25</v>
      </c>
      <c r="P47" s="63">
        <f t="shared" si="9"/>
        <v>4.25</v>
      </c>
      <c r="Q47" s="66"/>
      <c r="R47" s="63">
        <f t="shared" si="10"/>
        <v>-0.1</v>
      </c>
      <c r="S47" s="64">
        <f t="shared" si="11"/>
        <v>-0.1</v>
      </c>
      <c r="T47" s="63">
        <f t="shared" si="12"/>
        <v>-0.01</v>
      </c>
      <c r="U47" s="64">
        <f t="shared" si="13"/>
        <v>-0.01</v>
      </c>
      <c r="V47" s="90">
        <f>IF($A48="","",IF(AND(MONTH(A47)&gt;3,MONTH(A47)&lt;11),(T47+R47+G47)*Summary!$T$9/(1-Summary!$T$9),(T47+R47+G47)*Summary!$U$9/(1-Summary!$U$9)))</f>
        <v>0.18892015089594466</v>
      </c>
      <c r="W47" s="63">
        <f t="shared" si="14"/>
        <v>4.1339201508959444</v>
      </c>
      <c r="X47" s="63">
        <f t="shared" si="15"/>
        <v>4.1339201508959444</v>
      </c>
      <c r="Y47" s="43"/>
      <c r="Z47" s="38">
        <f t="shared" si="16"/>
        <v>0.55000000000000004</v>
      </c>
      <c r="AA47" s="38">
        <f t="shared" si="17"/>
        <v>0.28800000000000003</v>
      </c>
      <c r="AB47" s="38">
        <f t="shared" ca="1" si="18"/>
        <v>0.29515878847020399</v>
      </c>
      <c r="AC47" s="38">
        <f t="shared" si="19"/>
        <v>0.4</v>
      </c>
      <c r="AD47" s="38">
        <f t="shared" si="19"/>
        <v>0.28800000000000003</v>
      </c>
      <c r="AE47" s="38">
        <f t="shared" ca="1" si="20"/>
        <v>0.29186691438571088</v>
      </c>
      <c r="AF47" s="237">
        <f ca="1">((Summary!$N$9*(AA47*AD47)*(A47-$D$3))+(Summary!$M$9*Z47*AC47*(AJ47-EOMONTH(EDATE(A47,-1),0))))/(AK47*AB47*AE47)</f>
        <v>0.9981956151552045</v>
      </c>
      <c r="AG47" s="88">
        <f>IF($A48="","",Summary!$Q$9)</f>
        <v>0</v>
      </c>
      <c r="AH47" s="88">
        <f>IF($A48="","",IF(Summary!$R$9="Y",VLOOKUP($A47,Summary!$AD$6:$AF$9,3)+'Escalating commodity'!E60,'Escalating commodity'!E60))</f>
        <v>7.0699999999999999E-2</v>
      </c>
      <c r="AI47" s="88">
        <f t="shared" si="35"/>
        <v>7.0699999999999999E-2</v>
      </c>
      <c r="AJ47" s="236">
        <f t="shared" si="21"/>
        <v>38183.5</v>
      </c>
      <c r="AK47" s="58">
        <f t="shared" ca="1" si="22"/>
        <v>1143</v>
      </c>
      <c r="AL47" s="26">
        <f ca="1">IF($A48="","",_xll.SPRDOPT(P47,X47,AI47,0,AB47,AE47,AF47,AK47,$AJ$2,0))</f>
        <v>8.3425400823830043E-2</v>
      </c>
      <c r="AM47" s="89">
        <f t="shared" si="23"/>
        <v>4.5379849104055556E-2</v>
      </c>
      <c r="AN47" s="89">
        <f t="shared" ca="1" si="24"/>
        <v>3.8045551719774487E-2</v>
      </c>
      <c r="AO47" s="3">
        <f t="shared" si="25"/>
        <v>31</v>
      </c>
      <c r="AP47" s="33">
        <f t="shared" si="26"/>
        <v>38169</v>
      </c>
      <c r="AQ47" s="58">
        <f t="shared" ca="1" si="27"/>
        <v>1143</v>
      </c>
      <c r="AR47" s="38">
        <f>'ANR OK vs ML7'!AR47</f>
        <v>0.1</v>
      </c>
      <c r="AS47" s="35">
        <f t="shared" ca="1" si="28"/>
        <v>0.73685487973917274</v>
      </c>
      <c r="AT47" s="3">
        <f t="shared" si="29"/>
        <v>1</v>
      </c>
      <c r="AU47" s="3">
        <f t="shared" si="30"/>
        <v>31</v>
      </c>
      <c r="AW47" s="32">
        <f t="shared" ca="1" si="31"/>
        <v>93232.056690671263</v>
      </c>
      <c r="AX47" s="32">
        <f t="shared" si="32"/>
        <v>50714.250366237284</v>
      </c>
      <c r="AY47" s="32">
        <f t="shared" ca="1" si="33"/>
        <v>42517.806324433979</v>
      </c>
      <c r="BA47" s="32">
        <f ca="1">IF($A48="","",F47*Summary!$Q$9)</f>
        <v>0</v>
      </c>
      <c r="BC47" s="256">
        <f t="shared" ca="1" si="36"/>
        <v>37369.042854676074</v>
      </c>
    </row>
    <row r="48" spans="1:55">
      <c r="A48" s="67">
        <f t="shared" si="34"/>
        <v>38200</v>
      </c>
      <c r="B48" s="69">
        <f t="shared" si="37"/>
        <v>36050</v>
      </c>
      <c r="C48" s="71"/>
      <c r="D48" s="69">
        <f t="shared" si="0"/>
        <v>36050</v>
      </c>
      <c r="E48" s="70">
        <f t="shared" si="1"/>
        <v>1117550</v>
      </c>
      <c r="F48" s="70">
        <f t="shared" ca="1" si="2"/>
        <v>816680.36121293518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0.19500000000000001</v>
      </c>
      <c r="K48" s="64">
        <f t="shared" si="6"/>
        <v>0.19500000000000001</v>
      </c>
      <c r="L48" s="63">
        <f t="shared" si="5"/>
        <v>0</v>
      </c>
      <c r="M48" s="64">
        <f t="shared" si="7"/>
        <v>0</v>
      </c>
      <c r="N48" s="65"/>
      <c r="O48" s="63">
        <f t="shared" si="8"/>
        <v>4.306</v>
      </c>
      <c r="P48" s="63">
        <f t="shared" si="9"/>
        <v>4.306</v>
      </c>
      <c r="Q48" s="66"/>
      <c r="R48" s="63">
        <f t="shared" si="10"/>
        <v>-0.1</v>
      </c>
      <c r="S48" s="64">
        <f t="shared" si="11"/>
        <v>-0.1</v>
      </c>
      <c r="T48" s="63">
        <f t="shared" si="12"/>
        <v>-0.01</v>
      </c>
      <c r="U48" s="64">
        <f t="shared" si="13"/>
        <v>-0.01</v>
      </c>
      <c r="V48" s="90">
        <f>IF($A49="","",IF(AND(MONTH(A48)&gt;3,MONTH(A48)&lt;11),(T48+R48+G48)*Summary!$T$9/(1-Summary!$T$9),(T48+R48+G48)*Summary!$U$9/(1-Summary!$U$9)))</f>
        <v>0.19160190715707845</v>
      </c>
      <c r="W48" s="63">
        <f t="shared" si="14"/>
        <v>4.1926019071570781</v>
      </c>
      <c r="X48" s="63">
        <f t="shared" si="15"/>
        <v>4.1926019071570781</v>
      </c>
      <c r="Y48" s="43"/>
      <c r="Z48" s="38">
        <f t="shared" si="16"/>
        <v>0.6</v>
      </c>
      <c r="AA48" s="38">
        <f t="shared" si="17"/>
        <v>0.28800000000000003</v>
      </c>
      <c r="AB48" s="38">
        <f t="shared" ca="1" si="18"/>
        <v>0.2962560244573218</v>
      </c>
      <c r="AC48" s="38">
        <f t="shared" si="19"/>
        <v>0.5</v>
      </c>
      <c r="AD48" s="38">
        <f t="shared" si="19"/>
        <v>0.28800000000000003</v>
      </c>
      <c r="AE48" s="38">
        <f t="shared" ca="1" si="20"/>
        <v>0.29379471097624443</v>
      </c>
      <c r="AF48" s="237">
        <f ca="1">((Summary!$N$9*(AA48*AD48)*(A48-$D$3))+(Summary!$M$9*Z48*AC48*(AJ48-EOMONTH(EDATE(A48,-1),0))))/(AK48*AB48*AE48)</f>
        <v>0.99918098197810545</v>
      </c>
      <c r="AG48" s="88">
        <f>IF($A49="","",Summary!$Q$9)</f>
        <v>0</v>
      </c>
      <c r="AH48" s="88">
        <f>IF($A49="","",IF(Summary!$R$9="Y",VLOOKUP($A48,Summary!$AD$6:$AF$9,3)+'Escalating commodity'!E61,'Escalating commodity'!E61))</f>
        <v>7.0699999999999999E-2</v>
      </c>
      <c r="AI48" s="88">
        <f t="shared" si="35"/>
        <v>7.0699999999999999E-2</v>
      </c>
      <c r="AJ48" s="236">
        <f t="shared" si="21"/>
        <v>38214.5</v>
      </c>
      <c r="AK48" s="58">
        <f t="shared" ca="1" si="22"/>
        <v>1174</v>
      </c>
      <c r="AL48" s="26">
        <f ca="1">IF($A49="","",_xll.SPRDOPT(P48,X48,AI48,0,AB48,AE48,AF48,AK48,$AJ$2,0))</f>
        <v>6.7449186908712461E-2</v>
      </c>
      <c r="AM48" s="89">
        <f t="shared" si="23"/>
        <v>4.2698092842921906E-2</v>
      </c>
      <c r="AN48" s="89">
        <f t="shared" ca="1" si="24"/>
        <v>2.4751094065790555E-2</v>
      </c>
      <c r="AO48" s="3">
        <f t="shared" si="25"/>
        <v>31</v>
      </c>
      <c r="AP48" s="33">
        <f t="shared" si="26"/>
        <v>38200</v>
      </c>
      <c r="AQ48" s="58">
        <f t="shared" ca="1" si="27"/>
        <v>1174</v>
      </c>
      <c r="AR48" s="38">
        <f>'ANR OK vs ML7'!AR48</f>
        <v>0.1</v>
      </c>
      <c r="AS48" s="35">
        <f t="shared" ca="1" si="28"/>
        <v>0.73077746965499102</v>
      </c>
      <c r="AT48" s="3">
        <f t="shared" si="29"/>
        <v>1</v>
      </c>
      <c r="AU48" s="3">
        <f t="shared" si="30"/>
        <v>31</v>
      </c>
      <c r="AW48" s="32">
        <f t="shared" ca="1" si="31"/>
        <v>75377.838829831613</v>
      </c>
      <c r="AX48" s="32">
        <f t="shared" si="32"/>
        <v>47717.253656607376</v>
      </c>
      <c r="AY48" s="32">
        <f t="shared" ca="1" si="33"/>
        <v>27660.585173224234</v>
      </c>
      <c r="BA48" s="32">
        <f ca="1">IF($A49="","",F48*Summary!$Q$9)</f>
        <v>0</v>
      </c>
      <c r="BC48" s="256">
        <f t="shared" ca="1" si="36"/>
        <v>34870.693886060908</v>
      </c>
    </row>
    <row r="49" spans="1:55">
      <c r="A49" s="67">
        <f t="shared" si="34"/>
        <v>38231</v>
      </c>
      <c r="B49" s="69">
        <f t="shared" si="37"/>
        <v>36050</v>
      </c>
      <c r="C49" s="71"/>
      <c r="D49" s="69">
        <f t="shared" si="0"/>
        <v>36050</v>
      </c>
      <c r="E49" s="70">
        <f t="shared" si="1"/>
        <v>1081500</v>
      </c>
      <c r="F49" s="70">
        <f t="shared" ca="1" si="2"/>
        <v>783817.32470503997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0.19500000000000001</v>
      </c>
      <c r="K49" s="64">
        <f t="shared" si="6"/>
        <v>0.19500000000000001</v>
      </c>
      <c r="L49" s="63">
        <f t="shared" si="5"/>
        <v>0</v>
      </c>
      <c r="M49" s="64">
        <f t="shared" si="7"/>
        <v>0</v>
      </c>
      <c r="N49" s="65"/>
      <c r="O49" s="63">
        <f t="shared" si="8"/>
        <v>4.32</v>
      </c>
      <c r="P49" s="63">
        <f t="shared" si="9"/>
        <v>4.32</v>
      </c>
      <c r="Q49" s="66"/>
      <c r="R49" s="63">
        <f t="shared" si="10"/>
        <v>-0.1</v>
      </c>
      <c r="S49" s="64">
        <f t="shared" si="11"/>
        <v>-0.1</v>
      </c>
      <c r="T49" s="63">
        <f t="shared" si="12"/>
        <v>-0.01</v>
      </c>
      <c r="U49" s="64">
        <f t="shared" si="13"/>
        <v>-0.01</v>
      </c>
      <c r="V49" s="90">
        <f>IF($A50="","",IF(AND(MONTH(A49)&gt;3,MONTH(A49)&lt;11),(T49+R49+G49)*Summary!$T$9/(1-Summary!$T$9),(T49+R49+G49)*Summary!$U$9/(1-Summary!$U$9)))</f>
        <v>0.19227234622236189</v>
      </c>
      <c r="W49" s="63">
        <f t="shared" si="14"/>
        <v>4.2072723462223616</v>
      </c>
      <c r="X49" s="63">
        <f t="shared" si="15"/>
        <v>4.2072723462223616</v>
      </c>
      <c r="Y49" s="43"/>
      <c r="Z49" s="38">
        <f t="shared" si="16"/>
        <v>0.6</v>
      </c>
      <c r="AA49" s="38">
        <f t="shared" si="17"/>
        <v>0.28800000000000003</v>
      </c>
      <c r="AB49" s="38">
        <f t="shared" ca="1" si="18"/>
        <v>0.29579411927191968</v>
      </c>
      <c r="AC49" s="38">
        <f t="shared" si="19"/>
        <v>0.55000000000000004</v>
      </c>
      <c r="AD49" s="38">
        <f t="shared" si="19"/>
        <v>0.28800000000000003</v>
      </c>
      <c r="AE49" s="38">
        <f t="shared" ca="1" si="20"/>
        <v>0.2945817261151748</v>
      </c>
      <c r="AF49" s="237">
        <f ca="1">((Summary!$N$9*(AA49*AD49)*(A49-$D$3))+(Summary!$M$9*Z49*AC49*(AJ49-EOMONTH(EDATE(A49,-1),0))))/(AK49*AB49*AE49)</f>
        <v>0.99973459164745504</v>
      </c>
      <c r="AG49" s="88">
        <f>IF($A50="","",Summary!$Q$9)</f>
        <v>0</v>
      </c>
      <c r="AH49" s="88">
        <f>IF($A50="","",IF(Summary!$R$9="Y",VLOOKUP($A49,Summary!$AD$6:$AF$9,3)+'Escalating commodity'!E62,'Escalating commodity'!E62))</f>
        <v>7.0699999999999999E-2</v>
      </c>
      <c r="AI49" s="88">
        <f t="shared" si="35"/>
        <v>7.0699999999999999E-2</v>
      </c>
      <c r="AJ49" s="236">
        <f t="shared" si="21"/>
        <v>38245</v>
      </c>
      <c r="AK49" s="58">
        <f t="shared" ca="1" si="22"/>
        <v>1205</v>
      </c>
      <c r="AL49" s="26">
        <f ca="1">IF($A50="","",_xll.SPRDOPT(P49,X49,AI49,0,AB49,AE49,AF49,AK49,$AJ$2,0))</f>
        <v>5.4528322863702454E-2</v>
      </c>
      <c r="AM49" s="89">
        <f t="shared" si="23"/>
        <v>4.2027653777638715E-2</v>
      </c>
      <c r="AN49" s="89">
        <f t="shared" ca="1" si="24"/>
        <v>1.2500669086063738E-2</v>
      </c>
      <c r="AO49" s="3">
        <f t="shared" si="25"/>
        <v>30</v>
      </c>
      <c r="AP49" s="33">
        <f t="shared" si="26"/>
        <v>38231</v>
      </c>
      <c r="AQ49" s="58">
        <f t="shared" ca="1" si="27"/>
        <v>1205</v>
      </c>
      <c r="AR49" s="38">
        <f>'ANR OK vs ML7'!AR49</f>
        <v>0.1</v>
      </c>
      <c r="AS49" s="35">
        <f t="shared" ca="1" si="28"/>
        <v>0.72475018465560792</v>
      </c>
      <c r="AT49" s="3">
        <f t="shared" si="29"/>
        <v>1</v>
      </c>
      <c r="AU49" s="3">
        <f t="shared" si="30"/>
        <v>30</v>
      </c>
      <c r="AW49" s="32">
        <f t="shared" ca="1" si="31"/>
        <v>58972.381177094205</v>
      </c>
      <c r="AX49" s="32">
        <f t="shared" si="32"/>
        <v>45452.907560516272</v>
      </c>
      <c r="AY49" s="32">
        <f t="shared" ca="1" si="33"/>
        <v>13519.473616577932</v>
      </c>
      <c r="BA49" s="32">
        <f ca="1">IF($A50="","",F49*Summary!$Q$9)</f>
        <v>0</v>
      </c>
      <c r="BC49" s="256">
        <f t="shared" ca="1" si="36"/>
        <v>32942.003147618445</v>
      </c>
    </row>
    <row r="50" spans="1:55">
      <c r="A50" s="67">
        <f t="shared" si="34"/>
        <v>38261</v>
      </c>
      <c r="B50" s="69">
        <f t="shared" si="37"/>
        <v>36050</v>
      </c>
      <c r="C50" s="71"/>
      <c r="D50" s="69">
        <f t="shared" si="0"/>
        <v>36050</v>
      </c>
      <c r="E50" s="70">
        <f t="shared" si="1"/>
        <v>1117550</v>
      </c>
      <c r="F50" s="70">
        <f t="shared" ca="1" si="2"/>
        <v>803478.96085361182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0.19500000000000001</v>
      </c>
      <c r="K50" s="64">
        <f t="shared" si="6"/>
        <v>0.19500000000000001</v>
      </c>
      <c r="L50" s="63">
        <f t="shared" si="5"/>
        <v>0</v>
      </c>
      <c r="M50" s="64">
        <f t="shared" si="7"/>
        <v>0</v>
      </c>
      <c r="N50" s="65"/>
      <c r="O50" s="63">
        <f t="shared" si="8"/>
        <v>4.3510000000000009</v>
      </c>
      <c r="P50" s="63">
        <f t="shared" si="9"/>
        <v>4.3510000000000009</v>
      </c>
      <c r="Q50" s="66"/>
      <c r="R50" s="63">
        <f t="shared" si="10"/>
        <v>-0.1</v>
      </c>
      <c r="S50" s="64">
        <f t="shared" si="11"/>
        <v>-0.1</v>
      </c>
      <c r="T50" s="63">
        <f t="shared" si="12"/>
        <v>-0.01</v>
      </c>
      <c r="U50" s="64">
        <f t="shared" si="13"/>
        <v>-0.01</v>
      </c>
      <c r="V50" s="90">
        <f>IF($A51="","",IF(AND(MONTH(A50)&gt;3,MONTH(A50)&lt;11),(T50+R50+G50)*Summary!$T$9/(1-Summary!$T$9),(T50+R50+G50)*Summary!$U$9/(1-Summary!$U$9)))</f>
        <v>0.19375688986691814</v>
      </c>
      <c r="W50" s="63">
        <f t="shared" si="14"/>
        <v>4.2397568898669187</v>
      </c>
      <c r="X50" s="63">
        <f t="shared" si="15"/>
        <v>4.2397568898669187</v>
      </c>
      <c r="Y50" s="43"/>
      <c r="Z50" s="38">
        <f t="shared" si="16"/>
        <v>0.65</v>
      </c>
      <c r="AA50" s="38">
        <f t="shared" si="17"/>
        <v>0.28800000000000003</v>
      </c>
      <c r="AB50" s="38">
        <f t="shared" ca="1" si="18"/>
        <v>0.29717636634253175</v>
      </c>
      <c r="AC50" s="38">
        <f t="shared" si="19"/>
        <v>0.55000000000000004</v>
      </c>
      <c r="AD50" s="38">
        <f t="shared" si="19"/>
        <v>0.28800000000000003</v>
      </c>
      <c r="AE50" s="38">
        <f t="shared" ca="1" si="20"/>
        <v>0.29463149838070046</v>
      </c>
      <c r="AF50" s="237">
        <f ca="1">((Summary!$N$9*(AA50*AD50)*(A50-$D$3))+(Summary!$M$9*Z50*AC50*(AJ50-EOMONTH(EDATE(A50,-1),0))))/(AK50*AB50*AE50)</f>
        <v>0.99922546941083368</v>
      </c>
      <c r="AG50" s="88">
        <f>IF($A51="","",Summary!$Q$9)</f>
        <v>0</v>
      </c>
      <c r="AH50" s="88">
        <f>IF($A51="","",IF(Summary!$R$9="Y",VLOOKUP($A50,Summary!$AD$6:$AF$9,3)+'Escalating commodity'!E63,'Escalating commodity'!E63))</f>
        <v>7.0699999999999999E-2</v>
      </c>
      <c r="AI50" s="88">
        <f t="shared" si="35"/>
        <v>7.0699999999999999E-2</v>
      </c>
      <c r="AJ50" s="236">
        <f t="shared" si="21"/>
        <v>38275.5</v>
      </c>
      <c r="AK50" s="58">
        <f t="shared" ca="1" si="22"/>
        <v>1235</v>
      </c>
      <c r="AL50" s="26">
        <f ca="1">IF($A51="","",_xll.SPRDOPT(P50,X50,AI50,0,AB50,AE50,AF50,AK50,$AJ$2,0))</f>
        <v>6.6673050990961408E-2</v>
      </c>
      <c r="AM50" s="89">
        <f t="shared" si="23"/>
        <v>4.0543110133082191E-2</v>
      </c>
      <c r="AN50" s="89">
        <f t="shared" ca="1" si="24"/>
        <v>2.6129940857879216E-2</v>
      </c>
      <c r="AO50" s="3">
        <f t="shared" si="25"/>
        <v>31</v>
      </c>
      <c r="AP50" s="33">
        <f t="shared" si="26"/>
        <v>38261</v>
      </c>
      <c r="AQ50" s="58">
        <f t="shared" ca="1" si="27"/>
        <v>1235</v>
      </c>
      <c r="AR50" s="38">
        <f>'ANR OK vs ML7'!AR50</f>
        <v>0.1</v>
      </c>
      <c r="AS50" s="35">
        <f t="shared" ca="1" si="28"/>
        <v>0.71896466453725727</v>
      </c>
      <c r="AT50" s="3">
        <f t="shared" si="29"/>
        <v>1</v>
      </c>
      <c r="AU50" s="3">
        <f t="shared" si="30"/>
        <v>31</v>
      </c>
      <c r="AW50" s="32">
        <f t="shared" ca="1" si="31"/>
        <v>74510.468134948926</v>
      </c>
      <c r="AX50" s="32">
        <f t="shared" si="32"/>
        <v>45308.952729226003</v>
      </c>
      <c r="AY50" s="32">
        <f t="shared" ca="1" si="33"/>
        <v>29201.515405722919</v>
      </c>
      <c r="BA50" s="32">
        <f ca="1">IF($A51="","",F50*Summary!$Q$9)</f>
        <v>0</v>
      </c>
      <c r="BC50" s="256">
        <f t="shared" ca="1" si="36"/>
        <v>32575.535999502419</v>
      </c>
    </row>
    <row r="51" spans="1:55">
      <c r="A51" s="67">
        <f t="shared" si="34"/>
        <v>38292</v>
      </c>
      <c r="B51" s="69">
        <f t="shared" si="37"/>
        <v>36050</v>
      </c>
      <c r="C51" s="71"/>
      <c r="D51" s="69">
        <f t="shared" si="0"/>
        <v>36050</v>
      </c>
      <c r="E51" s="70">
        <f t="shared" si="1"/>
        <v>1081500</v>
      </c>
      <c r="F51" s="70">
        <f t="shared" ca="1" si="2"/>
        <v>771147.14576668909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0.31</v>
      </c>
      <c r="K51" s="64">
        <f t="shared" si="6"/>
        <v>0.31</v>
      </c>
      <c r="L51" s="63">
        <f t="shared" si="5"/>
        <v>0</v>
      </c>
      <c r="M51" s="64">
        <f t="shared" si="7"/>
        <v>0</v>
      </c>
      <c r="N51" s="65"/>
      <c r="O51" s="63">
        <f t="shared" si="8"/>
        <v>4.5990000000000002</v>
      </c>
      <c r="P51" s="63">
        <f t="shared" si="9"/>
        <v>4.5990000000000002</v>
      </c>
      <c r="Q51" s="66"/>
      <c r="R51" s="63">
        <f t="shared" si="10"/>
        <v>-0.1</v>
      </c>
      <c r="S51" s="64">
        <f t="shared" si="11"/>
        <v>-0.1</v>
      </c>
      <c r="T51" s="63">
        <f t="shared" si="12"/>
        <v>0.01</v>
      </c>
      <c r="U51" s="64">
        <f t="shared" si="13"/>
        <v>0.01</v>
      </c>
      <c r="V51" s="90">
        <f>IF($A52="","",IF(AND(MONTH(A51)&gt;3,MONTH(A51)&lt;11),(T51+R51+G51)*Summary!$T$9/(1-Summary!$T$9),(T51+R51+G51)*Summary!$U$9/(1-Summary!$U$9)))</f>
        <v>0.20108383108037306</v>
      </c>
      <c r="W51" s="63">
        <f t="shared" si="14"/>
        <v>4.4000838310803738</v>
      </c>
      <c r="X51" s="63">
        <f t="shared" si="15"/>
        <v>4.4000838310803738</v>
      </c>
      <c r="Y51" s="43"/>
      <c r="Z51" s="38">
        <f t="shared" si="16"/>
        <v>0.8</v>
      </c>
      <c r="AA51" s="38">
        <f t="shared" si="17"/>
        <v>0.28800000000000003</v>
      </c>
      <c r="AB51" s="38">
        <f t="shared" ca="1" si="18"/>
        <v>0.30098580527377589</v>
      </c>
      <c r="AC51" s="38">
        <f t="shared" si="19"/>
        <v>0.8</v>
      </c>
      <c r="AD51" s="38">
        <f t="shared" si="19"/>
        <v>0.28800000000000003</v>
      </c>
      <c r="AE51" s="38">
        <f t="shared" ca="1" si="20"/>
        <v>0.30098580527377589</v>
      </c>
      <c r="AF51" s="237">
        <f ca="1">((Summary!$N$9*(AA51*AD51)*(A51-$D$3))+(Summary!$M$9*Z51*AC51*(AJ51-EOMONTH(EDATE(A51,-1),0))))/(AK51*AB51*AE51)</f>
        <v>0.99990837038624325</v>
      </c>
      <c r="AG51" s="88">
        <f>IF($A52="","",Summary!$Q$9)</f>
        <v>0</v>
      </c>
      <c r="AH51" s="88">
        <f>IF($A52="","",IF(Summary!$R$9="Y",VLOOKUP($A51,Summary!$AD$6:$AF$9,3)+'Escalating commodity'!E64,'Escalating commodity'!E64))</f>
        <v>7.0699999999999999E-2</v>
      </c>
      <c r="AI51" s="88">
        <f t="shared" si="35"/>
        <v>7.0699999999999999E-2</v>
      </c>
      <c r="AJ51" s="236">
        <f t="shared" si="21"/>
        <v>38306</v>
      </c>
      <c r="AK51" s="58">
        <f t="shared" ca="1" si="22"/>
        <v>1266</v>
      </c>
      <c r="AL51" s="26">
        <f ca="1">IF($A52="","",_xll.SPRDOPT(P51,X51,AI51,0,AB51,AE51,AF51,AK51,$AJ$2,0))</f>
        <v>0.12981876851433147</v>
      </c>
      <c r="AM51" s="89">
        <f t="shared" si="23"/>
        <v>0.12821616891962639</v>
      </c>
      <c r="AN51" s="89">
        <f t="shared" ca="1" si="24"/>
        <v>1.6025995947050731E-3</v>
      </c>
      <c r="AO51" s="3">
        <f t="shared" si="25"/>
        <v>30</v>
      </c>
      <c r="AP51" s="33">
        <f t="shared" si="26"/>
        <v>38292</v>
      </c>
      <c r="AQ51" s="58">
        <f t="shared" ca="1" si="27"/>
        <v>1266</v>
      </c>
      <c r="AR51" s="38">
        <f>'ANR OK vs ML7'!AR51</f>
        <v>0.1</v>
      </c>
      <c r="AS51" s="35">
        <f t="shared" ca="1" si="28"/>
        <v>0.71303480884575965</v>
      </c>
      <c r="AT51" s="3">
        <f t="shared" si="29"/>
        <v>1</v>
      </c>
      <c r="AU51" s="3">
        <f t="shared" si="30"/>
        <v>30</v>
      </c>
      <c r="AW51" s="32">
        <f t="shared" ca="1" si="31"/>
        <v>140398.99814824949</v>
      </c>
      <c r="AX51" s="32">
        <f t="shared" si="32"/>
        <v>138665.78668657594</v>
      </c>
      <c r="AY51" s="32">
        <f t="shared" ca="1" si="33"/>
        <v>1733.2114616735366</v>
      </c>
      <c r="BA51" s="32">
        <f ca="1">IF($A52="","",F51*Summary!$Q$9)</f>
        <v>0</v>
      </c>
      <c r="BC51" s="256">
        <f t="shared" ca="1" si="36"/>
        <v>98873.532703509569</v>
      </c>
    </row>
    <row r="52" spans="1:55">
      <c r="A52" s="67">
        <f t="shared" si="34"/>
        <v>38322</v>
      </c>
      <c r="B52" s="69">
        <f t="shared" si="37"/>
        <v>36050</v>
      </c>
      <c r="C52" s="71"/>
      <c r="D52" s="69">
        <f t="shared" si="0"/>
        <v>36050</v>
      </c>
      <c r="E52" s="70">
        <f t="shared" si="1"/>
        <v>1117550</v>
      </c>
      <c r="F52" s="70">
        <f t="shared" ca="1" si="2"/>
        <v>790490.9572890742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0.31</v>
      </c>
      <c r="K52" s="64">
        <f t="shared" si="6"/>
        <v>0.31</v>
      </c>
      <c r="L52" s="63">
        <f t="shared" si="5"/>
        <v>0</v>
      </c>
      <c r="M52" s="64">
        <f t="shared" si="7"/>
        <v>0</v>
      </c>
      <c r="N52" s="65"/>
      <c r="O52" s="63">
        <f t="shared" si="8"/>
        <v>4.7370000000000001</v>
      </c>
      <c r="P52" s="63">
        <f t="shared" si="9"/>
        <v>4.7370000000000001</v>
      </c>
      <c r="Q52" s="66"/>
      <c r="R52" s="63">
        <f t="shared" si="10"/>
        <v>-0.10249999999999999</v>
      </c>
      <c r="S52" s="64">
        <f t="shared" si="11"/>
        <v>-0.10249999999999999</v>
      </c>
      <c r="T52" s="63">
        <f t="shared" si="12"/>
        <v>0.01</v>
      </c>
      <c r="U52" s="64">
        <f t="shared" si="13"/>
        <v>0.01</v>
      </c>
      <c r="V52" s="90">
        <f>IF($A53="","",IF(AND(MONTH(A52)&gt;3,MONTH(A52)&lt;11),(T52+R52+G52)*Summary!$T$9/(1-Summary!$T$9),(T52+R52+G52)*Summary!$U$9/(1-Summary!$U$9)))</f>
        <v>0.20757272346222361</v>
      </c>
      <c r="W52" s="63">
        <f t="shared" si="14"/>
        <v>4.5420727234622236</v>
      </c>
      <c r="X52" s="63">
        <f t="shared" si="15"/>
        <v>4.5420727234622236</v>
      </c>
      <c r="Y52" s="43"/>
      <c r="Z52" s="38">
        <f t="shared" si="16"/>
        <v>1.1000000000000001</v>
      </c>
      <c r="AA52" s="38">
        <f t="shared" si="17"/>
        <v>0.28999999999999998</v>
      </c>
      <c r="AB52" s="38">
        <f t="shared" ca="1" si="18"/>
        <v>0.31406423322720561</v>
      </c>
      <c r="AC52" s="38">
        <f t="shared" si="19"/>
        <v>1</v>
      </c>
      <c r="AD52" s="38">
        <f t="shared" si="19"/>
        <v>0.28999999999999998</v>
      </c>
      <c r="AE52" s="38">
        <f t="shared" ca="1" si="20"/>
        <v>0.31003994664965112</v>
      </c>
      <c r="AF52" s="237">
        <f ca="1">((Summary!$N$9*(AA52*AD52)*(A52-$D$3))+(Summary!$M$9*Z52*AC52*(AJ52-EOMONTH(EDATE(A52,-1),0))))/(AK52*AB52*AE52)</f>
        <v>0.99938259306739641</v>
      </c>
      <c r="AG52" s="88">
        <f>IF($A53="","",Summary!$Q$9)</f>
        <v>0</v>
      </c>
      <c r="AH52" s="88">
        <f>IF($A53="","",IF(Summary!$R$9="Y",VLOOKUP($A52,Summary!$AD$6:$AF$9,3)+'Escalating commodity'!E65,'Escalating commodity'!E65))</f>
        <v>7.0699999999999999E-2</v>
      </c>
      <c r="AI52" s="88">
        <f t="shared" si="35"/>
        <v>7.0699999999999999E-2</v>
      </c>
      <c r="AJ52" s="236">
        <f t="shared" si="21"/>
        <v>38336.5</v>
      </c>
      <c r="AK52" s="58">
        <f t="shared" ca="1" si="22"/>
        <v>1296</v>
      </c>
      <c r="AL52" s="26">
        <f ca="1">IF($A53="","",_xll.SPRDOPT(P52,X52,AI52,0,AB52,AE52,AF52,AK52,$AJ$2,0))</f>
        <v>0.13609757114450977</v>
      </c>
      <c r="AM52" s="89">
        <f t="shared" si="23"/>
        <v>0.12422727653777653</v>
      </c>
      <c r="AN52" s="89">
        <f t="shared" ca="1" si="24"/>
        <v>1.1870294606733237E-2</v>
      </c>
      <c r="AO52" s="3">
        <f t="shared" si="25"/>
        <v>31</v>
      </c>
      <c r="AP52" s="33">
        <f t="shared" si="26"/>
        <v>38322</v>
      </c>
      <c r="AQ52" s="58">
        <f t="shared" ca="1" si="27"/>
        <v>1296</v>
      </c>
      <c r="AR52" s="38">
        <f>'ANR OK vs ML7'!AR52</f>
        <v>0.1</v>
      </c>
      <c r="AS52" s="35">
        <f t="shared" ca="1" si="28"/>
        <v>0.70734280997635379</v>
      </c>
      <c r="AT52" s="3">
        <f t="shared" si="29"/>
        <v>1</v>
      </c>
      <c r="AU52" s="3">
        <f t="shared" si="30"/>
        <v>31</v>
      </c>
      <c r="AW52" s="32">
        <f t="shared" ca="1" si="31"/>
        <v>152095.8406325469</v>
      </c>
      <c r="AX52" s="32">
        <f t="shared" si="32"/>
        <v>138830.19289479216</v>
      </c>
      <c r="AY52" s="32">
        <f t="shared" ca="1" si="33"/>
        <v>13265.647737754729</v>
      </c>
      <c r="BA52" s="32">
        <f ca="1">IF($A53="","",F52*Summary!$Q$9)</f>
        <v>0</v>
      </c>
      <c r="BC52" s="256">
        <f t="shared" ca="1" si="36"/>
        <v>98200.538751761516</v>
      </c>
    </row>
    <row r="53" spans="1:55">
      <c r="A53" s="67">
        <f t="shared" si="34"/>
        <v>38353</v>
      </c>
      <c r="B53" s="69">
        <f t="shared" si="37"/>
        <v>36050</v>
      </c>
      <c r="C53" s="71"/>
      <c r="D53" s="69">
        <f t="shared" si="0"/>
        <v>36050</v>
      </c>
      <c r="E53" s="70">
        <f t="shared" si="1"/>
        <v>1117550</v>
      </c>
      <c r="F53" s="70">
        <f t="shared" ca="1" si="2"/>
        <v>783971.16913623782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0.31</v>
      </c>
      <c r="K53" s="64">
        <f t="shared" si="6"/>
        <v>0.31</v>
      </c>
      <c r="L53" s="63">
        <f t="shared" si="5"/>
        <v>0</v>
      </c>
      <c r="M53" s="64">
        <f t="shared" si="7"/>
        <v>0</v>
      </c>
      <c r="N53" s="65"/>
      <c r="O53" s="63">
        <f t="shared" si="8"/>
        <v>4.7240000000000002</v>
      </c>
      <c r="P53" s="63">
        <f t="shared" si="9"/>
        <v>4.7240000000000002</v>
      </c>
      <c r="Q53" s="66"/>
      <c r="R53" s="63">
        <f t="shared" si="10"/>
        <v>-0.105</v>
      </c>
      <c r="S53" s="64">
        <f t="shared" si="11"/>
        <v>-0.105</v>
      </c>
      <c r="T53" s="63">
        <f t="shared" si="12"/>
        <v>0.01</v>
      </c>
      <c r="U53" s="64">
        <f t="shared" si="13"/>
        <v>0.01</v>
      </c>
      <c r="V53" s="90">
        <f>IF($A54="","",IF(AND(MONTH(A53)&gt;3,MONTH(A53)&lt;11),(T53+R53+G53)*Summary!$T$9/(1-Summary!$T$9),(T53+R53+G53)*Summary!$U$9/(1-Summary!$U$9)))</f>
        <v>0.20683045163994554</v>
      </c>
      <c r="W53" s="63">
        <f t="shared" si="14"/>
        <v>4.5258304516399468</v>
      </c>
      <c r="X53" s="63">
        <f t="shared" si="15"/>
        <v>4.5258304516399468</v>
      </c>
      <c r="Y53" s="43"/>
      <c r="Z53" s="38">
        <f t="shared" si="16"/>
        <v>1.1000000000000001</v>
      </c>
      <c r="AA53" s="38">
        <f t="shared" si="17"/>
        <v>0.29300000000000004</v>
      </c>
      <c r="AB53" s="38">
        <f t="shared" ca="1" si="18"/>
        <v>0.31630219350913263</v>
      </c>
      <c r="AC53" s="38">
        <f t="shared" si="19"/>
        <v>1</v>
      </c>
      <c r="AD53" s="38">
        <f t="shared" si="19"/>
        <v>0.29300000000000004</v>
      </c>
      <c r="AE53" s="38">
        <f t="shared" ca="1" si="20"/>
        <v>0.31240066635268826</v>
      </c>
      <c r="AF53" s="237">
        <f ca="1">((Summary!$N$9*(AA53*AD53)*(A53-$D$3))+(Summary!$M$9*Z53*AC53*(AJ53-EOMONTH(EDATE(A53,-1),0))))/(AK53*AB53*AE53)</f>
        <v>0.99939903844479183</v>
      </c>
      <c r="AG53" s="88">
        <f>IF($A54="","",Summary!$Q$9)</f>
        <v>0</v>
      </c>
      <c r="AH53" s="88">
        <f>IF($A54="","",IF(Summary!$R$9="Y",VLOOKUP($A53,Summary!$AD$6:$AF$9,3)+'Escalating commodity'!E66,'Escalating commodity'!E66))</f>
        <v>7.0699999999999999E-2</v>
      </c>
      <c r="AI53" s="88">
        <f t="shared" si="35"/>
        <v>7.0699999999999999E-2</v>
      </c>
      <c r="AJ53" s="236">
        <f t="shared" si="21"/>
        <v>38367.5</v>
      </c>
      <c r="AK53" s="58">
        <f t="shared" ca="1" si="22"/>
        <v>1327</v>
      </c>
      <c r="AL53" s="26">
        <f ca="1">IF($A54="","",_xll.SPRDOPT(P53,X53,AI53,0,AB53,AE53,AF53,AK53,$AJ$2,0))</f>
        <v>0.13901604912873944</v>
      </c>
      <c r="AM53" s="89">
        <f t="shared" si="23"/>
        <v>0.12746954836005342</v>
      </c>
      <c r="AN53" s="89">
        <f t="shared" ca="1" si="24"/>
        <v>1.1546500768686019E-2</v>
      </c>
      <c r="AO53" s="3">
        <f t="shared" si="25"/>
        <v>31</v>
      </c>
      <c r="AP53" s="33">
        <f t="shared" si="26"/>
        <v>38353</v>
      </c>
      <c r="AQ53" s="58">
        <f t="shared" ca="1" si="27"/>
        <v>1327</v>
      </c>
      <c r="AR53" s="38">
        <f>'ANR OK vs ML7'!AR53</f>
        <v>0.1</v>
      </c>
      <c r="AS53" s="35">
        <f t="shared" ca="1" si="28"/>
        <v>0.70150880867633469</v>
      </c>
      <c r="AT53" s="3">
        <f t="shared" si="29"/>
        <v>1</v>
      </c>
      <c r="AU53" s="3">
        <f t="shared" si="30"/>
        <v>31</v>
      </c>
      <c r="AW53" s="32">
        <f t="shared" ca="1" si="31"/>
        <v>155357.38570382277</v>
      </c>
      <c r="AX53" s="32">
        <f t="shared" si="32"/>
        <v>142453.59376977771</v>
      </c>
      <c r="AY53" s="32">
        <f t="shared" ca="1" si="33"/>
        <v>12903.791934045061</v>
      </c>
      <c r="BA53" s="32">
        <f ca="1">IF($A54="","",F53*Summary!$Q$9)</f>
        <v>0</v>
      </c>
      <c r="BC53" s="256">
        <f t="shared" ca="1" si="36"/>
        <v>99932.450857099291</v>
      </c>
    </row>
    <row r="54" spans="1:55">
      <c r="A54" s="67">
        <f t="shared" si="34"/>
        <v>38384</v>
      </c>
      <c r="B54" s="69">
        <f t="shared" si="37"/>
        <v>36050</v>
      </c>
      <c r="C54" s="71"/>
      <c r="D54" s="69">
        <f t="shared" si="0"/>
        <v>36050</v>
      </c>
      <c r="E54" s="70">
        <f t="shared" si="1"/>
        <v>1009400</v>
      </c>
      <c r="F54" s="70">
        <f t="shared" ca="1" si="2"/>
        <v>702262.72037516127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0.31</v>
      </c>
      <c r="K54" s="64">
        <f t="shared" si="6"/>
        <v>0.31</v>
      </c>
      <c r="L54" s="63">
        <f t="shared" si="5"/>
        <v>0</v>
      </c>
      <c r="M54" s="64">
        <f t="shared" si="7"/>
        <v>0</v>
      </c>
      <c r="N54" s="65"/>
      <c r="O54" s="63">
        <f t="shared" si="8"/>
        <v>4.6040000000000001</v>
      </c>
      <c r="P54" s="63">
        <f t="shared" si="9"/>
        <v>4.6040000000000001</v>
      </c>
      <c r="Q54" s="66"/>
      <c r="R54" s="63">
        <f t="shared" si="10"/>
        <v>-9.7500000000000003E-2</v>
      </c>
      <c r="S54" s="64">
        <f t="shared" si="11"/>
        <v>-9.7500000000000003E-2</v>
      </c>
      <c r="T54" s="63">
        <f t="shared" si="12"/>
        <v>0.01</v>
      </c>
      <c r="U54" s="64">
        <f t="shared" si="13"/>
        <v>0.01</v>
      </c>
      <c r="V54" s="90">
        <f>IF($A55="","",IF(AND(MONTH(A54)&gt;3,MONTH(A54)&lt;11),(T54+R54+G54)*Summary!$T$9/(1-Summary!$T$9),(T54+R54+G54)*Summary!$U$9/(1-Summary!$U$9)))</f>
        <v>0.20144299486534631</v>
      </c>
      <c r="W54" s="63">
        <f t="shared" si="14"/>
        <v>4.4079429948653468</v>
      </c>
      <c r="X54" s="63">
        <f t="shared" si="15"/>
        <v>4.4079429948653468</v>
      </c>
      <c r="Y54" s="43"/>
      <c r="Z54" s="38">
        <f t="shared" si="16"/>
        <v>1.1000000000000001</v>
      </c>
      <c r="AA54" s="38">
        <f t="shared" si="17"/>
        <v>0.28499999999999998</v>
      </c>
      <c r="AB54" s="38">
        <f t="shared" ca="1" si="18"/>
        <v>0.30620097816300706</v>
      </c>
      <c r="AC54" s="38">
        <f t="shared" si="19"/>
        <v>1</v>
      </c>
      <c r="AD54" s="38">
        <f t="shared" si="19"/>
        <v>0.28499999999999998</v>
      </c>
      <c r="AE54" s="38">
        <f t="shared" ca="1" si="20"/>
        <v>0.30264515620504168</v>
      </c>
      <c r="AF54" s="237">
        <f ca="1">((Summary!$N$9*(AA54*AD54)*(A54-$D$3))+(Summary!$M$9*Z54*AC54*(AJ54-EOMONTH(EDATE(A54,-1),0))))/(AK54*AB54*AE54)</f>
        <v>0.99942427108825449</v>
      </c>
      <c r="AG54" s="88">
        <f>IF($A55="","",Summary!$Q$9)</f>
        <v>0</v>
      </c>
      <c r="AH54" s="88">
        <f>IF($A55="","",IF(Summary!$R$9="Y",VLOOKUP($A54,Summary!$AD$6:$AF$9,3)+'Escalating commodity'!E67,'Escalating commodity'!E67))</f>
        <v>7.0699999999999999E-2</v>
      </c>
      <c r="AI54" s="88">
        <f t="shared" si="35"/>
        <v>7.0699999999999999E-2</v>
      </c>
      <c r="AJ54" s="236">
        <f t="shared" si="21"/>
        <v>38397</v>
      </c>
      <c r="AK54" s="58">
        <f t="shared" ca="1" si="22"/>
        <v>1358</v>
      </c>
      <c r="AL54" s="26">
        <f ca="1">IF($A55="","",_xll.SPRDOPT(P54,X54,AI54,0,AB54,AE54,AF54,AK54,$AJ$2,0))</f>
        <v>0.1354698609293648</v>
      </c>
      <c r="AM54" s="89">
        <f t="shared" si="23"/>
        <v>0.12535700513465331</v>
      </c>
      <c r="AN54" s="89">
        <f t="shared" ca="1" si="24"/>
        <v>1.0112855794711495E-2</v>
      </c>
      <c r="AO54" s="3">
        <f t="shared" si="25"/>
        <v>28</v>
      </c>
      <c r="AP54" s="33">
        <f t="shared" si="26"/>
        <v>38384</v>
      </c>
      <c r="AQ54" s="58">
        <f t="shared" ca="1" si="27"/>
        <v>1358</v>
      </c>
      <c r="AR54" s="38">
        <f>'ANR OK vs ML7'!AR54</f>
        <v>0.1</v>
      </c>
      <c r="AS54" s="35">
        <f t="shared" ca="1" si="28"/>
        <v>0.69572292488127729</v>
      </c>
      <c r="AT54" s="3">
        <f t="shared" si="29"/>
        <v>1</v>
      </c>
      <c r="AU54" s="3">
        <f t="shared" si="30"/>
        <v>28</v>
      </c>
      <c r="AW54" s="32">
        <f t="shared" ca="1" si="31"/>
        <v>136743.27762210084</v>
      </c>
      <c r="AX54" s="32">
        <f t="shared" si="32"/>
        <v>126535.36098291905</v>
      </c>
      <c r="AY54" s="32">
        <f t="shared" ca="1" si="33"/>
        <v>10207.916639181783</v>
      </c>
      <c r="BA54" s="32">
        <f ca="1">IF($A55="","",F54*Summary!$Q$9)</f>
        <v>0</v>
      </c>
      <c r="BC54" s="256">
        <f t="shared" ca="1" si="36"/>
        <v>88033.5514439447</v>
      </c>
    </row>
    <row r="55" spans="1:55">
      <c r="A55" s="67">
        <f t="shared" si="34"/>
        <v>38412</v>
      </c>
      <c r="B55" s="69">
        <f t="shared" si="37"/>
        <v>36050</v>
      </c>
      <c r="C55" s="71"/>
      <c r="D55" s="69">
        <f t="shared" si="0"/>
        <v>36050</v>
      </c>
      <c r="E55" s="70">
        <f t="shared" si="1"/>
        <v>1117550</v>
      </c>
      <c r="F55" s="70">
        <f t="shared" ca="1" si="2"/>
        <v>771710.73426996113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0.31</v>
      </c>
      <c r="K55" s="64">
        <f t="shared" si="6"/>
        <v>0.31</v>
      </c>
      <c r="L55" s="63">
        <f t="shared" si="5"/>
        <v>0</v>
      </c>
      <c r="M55" s="64">
        <f t="shared" si="7"/>
        <v>0</v>
      </c>
      <c r="N55" s="65"/>
      <c r="O55" s="63">
        <f t="shared" si="8"/>
        <v>4.4649999999999999</v>
      </c>
      <c r="P55" s="63">
        <f t="shared" si="9"/>
        <v>4.4649999999999999</v>
      </c>
      <c r="Q55" s="66"/>
      <c r="R55" s="63">
        <f t="shared" si="10"/>
        <v>-9.5000000000000001E-2</v>
      </c>
      <c r="S55" s="64">
        <f t="shared" si="11"/>
        <v>-9.5000000000000001E-2</v>
      </c>
      <c r="T55" s="63">
        <f t="shared" si="12"/>
        <v>0.01</v>
      </c>
      <c r="U55" s="64">
        <f t="shared" si="13"/>
        <v>0.01</v>
      </c>
      <c r="V55" s="90">
        <f>IF($A56="","",IF(AND(MONTH(A55)&gt;3,MONTH(A55)&lt;11),(T55+R55+G55)*Summary!$T$9/(1-Summary!$T$9),(T55+R55+G55)*Summary!$U$9/(1-Summary!$U$9)))</f>
        <v>0.19490621397883265</v>
      </c>
      <c r="W55" s="63">
        <f t="shared" si="14"/>
        <v>4.2649062139788327</v>
      </c>
      <c r="X55" s="63">
        <f t="shared" si="15"/>
        <v>4.2649062139788327</v>
      </c>
      <c r="Y55" s="43"/>
      <c r="Z55" s="38">
        <f t="shared" si="16"/>
        <v>0.75</v>
      </c>
      <c r="AA55" s="38">
        <f t="shared" si="17"/>
        <v>0.28000000000000003</v>
      </c>
      <c r="AB55" s="38">
        <f t="shared" ca="1" si="18"/>
        <v>0.2911136377295816</v>
      </c>
      <c r="AC55" s="38">
        <f t="shared" si="19"/>
        <v>0.75</v>
      </c>
      <c r="AD55" s="38">
        <f t="shared" si="19"/>
        <v>0.28000000000000003</v>
      </c>
      <c r="AE55" s="38">
        <f t="shared" ca="1" si="20"/>
        <v>0.2911136377295816</v>
      </c>
      <c r="AF55" s="237">
        <f ca="1">((Summary!$N$9*(AA55*AD55)*(A55-$D$3))+(Summary!$M$9*Z55*AC55*(AJ55-EOMONTH(EDATE(A55,-1),0))))/(AK55*AB55*AE55)</f>
        <v>0.99990742276809363</v>
      </c>
      <c r="AG55" s="88">
        <f>IF($A56="","",Summary!$Q$9)</f>
        <v>0</v>
      </c>
      <c r="AH55" s="88">
        <f>IF($A56="","",IF(Summary!$R$9="Y",VLOOKUP($A55,Summary!$AD$6:$AF$9,3)+'Escalating commodity'!E68,'Escalating commodity'!E68))</f>
        <v>7.0699999999999999E-2</v>
      </c>
      <c r="AI55" s="88">
        <f t="shared" si="35"/>
        <v>7.0699999999999999E-2</v>
      </c>
      <c r="AJ55" s="236">
        <f t="shared" si="21"/>
        <v>38426.5</v>
      </c>
      <c r="AK55" s="58">
        <f t="shared" ca="1" si="22"/>
        <v>1386</v>
      </c>
      <c r="AL55" s="26">
        <f ca="1">IF($A56="","",_xll.SPRDOPT(P55,X55,AI55,0,AB55,AE55,AF55,AK55,$AJ$2,0))</f>
        <v>0.13099046771421269</v>
      </c>
      <c r="AM55" s="89">
        <f t="shared" si="23"/>
        <v>0.12939378602116713</v>
      </c>
      <c r="AN55" s="89">
        <f t="shared" ca="1" si="24"/>
        <v>1.5966816930455541E-3</v>
      </c>
      <c r="AO55" s="3">
        <f t="shared" si="25"/>
        <v>31</v>
      </c>
      <c r="AP55" s="33">
        <f t="shared" si="26"/>
        <v>38412</v>
      </c>
      <c r="AQ55" s="58">
        <f t="shared" ca="1" si="27"/>
        <v>1386</v>
      </c>
      <c r="AR55" s="38">
        <f>'ANR OK vs ML7'!AR55</f>
        <v>0.1</v>
      </c>
      <c r="AS55" s="35">
        <f t="shared" ca="1" si="28"/>
        <v>0.69053799317253017</v>
      </c>
      <c r="AT55" s="3">
        <f t="shared" si="29"/>
        <v>1</v>
      </c>
      <c r="AU55" s="3">
        <f t="shared" si="30"/>
        <v>31</v>
      </c>
      <c r="AW55" s="32">
        <f t="shared" ca="1" si="31"/>
        <v>146388.39719401838</v>
      </c>
      <c r="AX55" s="32">
        <f t="shared" si="32"/>
        <v>144604.02556795534</v>
      </c>
      <c r="AY55" s="32">
        <f t="shared" ca="1" si="33"/>
        <v>1784.371626063059</v>
      </c>
      <c r="BA55" s="32">
        <f ca="1">IF($A56="","",F55*Summary!$Q$9)</f>
        <v>0</v>
      </c>
      <c r="BC55" s="256">
        <f t="shared" ca="1" si="36"/>
        <v>99854.573620365118</v>
      </c>
    </row>
    <row r="56" spans="1:55">
      <c r="A56" s="67">
        <f t="shared" si="34"/>
        <v>38443</v>
      </c>
      <c r="B56" s="69">
        <f t="shared" si="37"/>
        <v>36050</v>
      </c>
      <c r="C56" s="71"/>
      <c r="D56" s="69">
        <f t="shared" si="0"/>
        <v>36050</v>
      </c>
      <c r="E56" s="70">
        <f t="shared" si="1"/>
        <v>1081500</v>
      </c>
      <c r="F56" s="70">
        <f t="shared" ca="1" si="2"/>
        <v>740657.26557116397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0.18</v>
      </c>
      <c r="K56" s="64">
        <f t="shared" si="6"/>
        <v>0.18</v>
      </c>
      <c r="L56" s="63">
        <f t="shared" si="5"/>
        <v>0</v>
      </c>
      <c r="M56" s="64">
        <f t="shared" si="7"/>
        <v>0</v>
      </c>
      <c r="N56" s="65"/>
      <c r="O56" s="63">
        <f t="shared" si="8"/>
        <v>4.16</v>
      </c>
      <c r="P56" s="63">
        <f t="shared" si="9"/>
        <v>4.16</v>
      </c>
      <c r="Q56" s="66"/>
      <c r="R56" s="63">
        <f t="shared" si="10"/>
        <v>-0.1</v>
      </c>
      <c r="S56" s="64">
        <f t="shared" si="11"/>
        <v>-0.1</v>
      </c>
      <c r="T56" s="63">
        <f t="shared" si="12"/>
        <v>-0.01</v>
      </c>
      <c r="U56" s="64">
        <f t="shared" si="13"/>
        <v>-0.01</v>
      </c>
      <c r="V56" s="90">
        <f>IF($A57="","",IF(AND(MONTH(A56)&gt;3,MONTH(A56)&lt;11),(T56+R56+G56)*Summary!$T$9/(1-Summary!$T$9),(T56+R56+G56)*Summary!$U$9/(1-Summary!$U$9)))</f>
        <v>0.18532851304621187</v>
      </c>
      <c r="W56" s="63">
        <f t="shared" si="14"/>
        <v>4.055328513046212</v>
      </c>
      <c r="X56" s="63">
        <f t="shared" si="15"/>
        <v>4.055328513046212</v>
      </c>
      <c r="Y56" s="43"/>
      <c r="Z56" s="38">
        <f t="shared" si="16"/>
        <v>0.45</v>
      </c>
      <c r="AA56" s="38">
        <f t="shared" si="17"/>
        <v>0.27</v>
      </c>
      <c r="AB56" s="38">
        <f t="shared" ca="1" si="18"/>
        <v>0.27403477878890786</v>
      </c>
      <c r="AC56" s="38">
        <f t="shared" si="19"/>
        <v>0.4</v>
      </c>
      <c r="AD56" s="38">
        <f t="shared" si="19"/>
        <v>0.27</v>
      </c>
      <c r="AE56" s="38">
        <f t="shared" ca="1" si="20"/>
        <v>0.27321267511470071</v>
      </c>
      <c r="AF56" s="237">
        <f ca="1">((Summary!$N$9*(AA56*AD56)*(A56-$D$3))+(Summary!$M$9*Z56*AC56*(AJ56-EOMONTH(EDATE(A56,-1),0))))/(AK56*AB56*AE56)</f>
        <v>0.99973033980517467</v>
      </c>
      <c r="AG56" s="88">
        <f>IF($A57="","",Summary!$Q$9)</f>
        <v>0</v>
      </c>
      <c r="AH56" s="88">
        <f>IF($A57="","",IF(Summary!$R$9="Y",VLOOKUP($A56,Summary!$AD$6:$AF$9,3)+'Escalating commodity'!E69,'Escalating commodity'!E69))</f>
        <v>7.0699999999999999E-2</v>
      </c>
      <c r="AI56" s="88">
        <f t="shared" si="35"/>
        <v>7.0699999999999999E-2</v>
      </c>
      <c r="AJ56" s="236">
        <f t="shared" si="21"/>
        <v>38457</v>
      </c>
      <c r="AK56" s="58">
        <f t="shared" ca="1" si="22"/>
        <v>1417</v>
      </c>
      <c r="AL56" s="26">
        <f ca="1">IF($A57="","",_xll.SPRDOPT(P56,X56,AI56,0,AB56,AE56,AF56,AK56,$AJ$2,0))</f>
        <v>4.7550907979245924E-2</v>
      </c>
      <c r="AM56" s="89">
        <f t="shared" si="23"/>
        <v>3.3971486953788141E-2</v>
      </c>
      <c r="AN56" s="89">
        <f t="shared" ca="1" si="24"/>
        <v>1.3579421025457783E-2</v>
      </c>
      <c r="AO56" s="3">
        <f t="shared" si="25"/>
        <v>30</v>
      </c>
      <c r="AP56" s="33">
        <f t="shared" si="26"/>
        <v>38443</v>
      </c>
      <c r="AQ56" s="58">
        <f t="shared" ca="1" si="27"/>
        <v>1417</v>
      </c>
      <c r="AR56" s="38">
        <f>'ANR OK vs ML7'!AR56</f>
        <v>0.1</v>
      </c>
      <c r="AS56" s="35">
        <f t="shared" ca="1" si="28"/>
        <v>0.68484259414809423</v>
      </c>
      <c r="AT56" s="3">
        <f t="shared" si="29"/>
        <v>1</v>
      </c>
      <c r="AU56" s="3">
        <f t="shared" si="30"/>
        <v>30</v>
      </c>
      <c r="AW56" s="32">
        <f t="shared" ca="1" si="31"/>
        <v>51426.306979554465</v>
      </c>
      <c r="AX56" s="32">
        <f t="shared" si="32"/>
        <v>36740.163140521872</v>
      </c>
      <c r="AY56" s="32">
        <f t="shared" ca="1" si="33"/>
        <v>14686.143839032593</v>
      </c>
      <c r="BA56" s="32">
        <f ca="1">IF($A57="","",F56*Summary!$Q$9)</f>
        <v>0</v>
      </c>
      <c r="BC56" s="256">
        <f t="shared" ca="1" si="36"/>
        <v>25161.228634579194</v>
      </c>
    </row>
    <row r="57" spans="1:55">
      <c r="A57" s="67">
        <f t="shared" si="34"/>
        <v>38473</v>
      </c>
      <c r="B57" s="69">
        <f t="shared" si="37"/>
        <v>36050</v>
      </c>
      <c r="C57" s="71"/>
      <c r="D57" s="69">
        <f t="shared" si="0"/>
        <v>36050</v>
      </c>
      <c r="E57" s="70">
        <f t="shared" si="1"/>
        <v>1117550</v>
      </c>
      <c r="F57" s="70">
        <f t="shared" ca="1" si="2"/>
        <v>759236.25484259462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0.18</v>
      </c>
      <c r="K57" s="64">
        <f t="shared" si="6"/>
        <v>0.18</v>
      </c>
      <c r="L57" s="63">
        <f t="shared" si="5"/>
        <v>0</v>
      </c>
      <c r="M57" s="64">
        <f t="shared" si="7"/>
        <v>0</v>
      </c>
      <c r="N57" s="65"/>
      <c r="O57" s="63">
        <f t="shared" si="8"/>
        <v>4.13</v>
      </c>
      <c r="P57" s="63">
        <f t="shared" si="9"/>
        <v>4.13</v>
      </c>
      <c r="Q57" s="66"/>
      <c r="R57" s="63">
        <f t="shared" si="10"/>
        <v>-0.1</v>
      </c>
      <c r="S57" s="64">
        <f t="shared" si="11"/>
        <v>-0.1</v>
      </c>
      <c r="T57" s="63">
        <f t="shared" si="12"/>
        <v>-0.01</v>
      </c>
      <c r="U57" s="64">
        <f t="shared" si="13"/>
        <v>-0.01</v>
      </c>
      <c r="V57" s="90">
        <f>IF($A58="","",IF(AND(MONTH(A57)&gt;3,MONTH(A57)&lt;11),(T57+R57+G57)*Summary!$T$9/(1-Summary!$T$9),(T57+R57+G57)*Summary!$U$9/(1-Summary!$U$9)))</f>
        <v>0.18389185790631876</v>
      </c>
      <c r="W57" s="63">
        <f t="shared" si="14"/>
        <v>4.0238918579063192</v>
      </c>
      <c r="X57" s="63">
        <f t="shared" si="15"/>
        <v>4.0238918579063192</v>
      </c>
      <c r="Y57" s="43"/>
      <c r="Z57" s="38">
        <f t="shared" si="16"/>
        <v>0.5</v>
      </c>
      <c r="AA57" s="38">
        <f t="shared" si="17"/>
        <v>0.26300000000000001</v>
      </c>
      <c r="AB57" s="38">
        <f t="shared" ca="1" si="18"/>
        <v>0.26813197505518394</v>
      </c>
      <c r="AC57" s="38">
        <f t="shared" si="19"/>
        <v>0.4</v>
      </c>
      <c r="AD57" s="38">
        <f t="shared" si="19"/>
        <v>0.26300000000000001</v>
      </c>
      <c r="AE57" s="38">
        <f t="shared" ca="1" si="20"/>
        <v>0.26632816686782018</v>
      </c>
      <c r="AF57" s="237">
        <f ca="1">((Summary!$N$9*(AA57*AD57)*(A57-$D$3))+(Summary!$M$9*Z57*AC57*(AJ57-EOMONTH(EDATE(A57,-1),0))))/(AK57*AB57*AE57)</f>
        <v>0.99917584369807899</v>
      </c>
      <c r="AG57" s="88">
        <f>IF($A58="","",Summary!$Q$9)</f>
        <v>0</v>
      </c>
      <c r="AH57" s="88">
        <f>IF($A58="","",IF(Summary!$R$9="Y",VLOOKUP($A57,Summary!$AD$6:$AF$9,3)+'Escalating commodity'!E70,'Escalating commodity'!E70))</f>
        <v>7.0699999999999999E-2</v>
      </c>
      <c r="AI57" s="88">
        <f t="shared" si="35"/>
        <v>7.0699999999999999E-2</v>
      </c>
      <c r="AJ57" s="236">
        <f t="shared" si="21"/>
        <v>38487.5</v>
      </c>
      <c r="AK57" s="58">
        <f t="shared" ca="1" si="22"/>
        <v>1447</v>
      </c>
      <c r="AL57" s="26">
        <f ca="1">IF($A58="","",_xll.SPRDOPT(P57,X57,AI57,0,AB57,AE57,AF57,AK57,$AJ$2,0))</f>
        <v>6.0936780353124526E-2</v>
      </c>
      <c r="AM57" s="89">
        <f t="shared" si="23"/>
        <v>3.5408142093680692E-2</v>
      </c>
      <c r="AN57" s="89">
        <f t="shared" ca="1" si="24"/>
        <v>2.5528638259443834E-2</v>
      </c>
      <c r="AO57" s="3">
        <f t="shared" si="25"/>
        <v>31</v>
      </c>
      <c r="AP57" s="33">
        <f t="shared" si="26"/>
        <v>38473</v>
      </c>
      <c r="AQ57" s="58">
        <f t="shared" ca="1" si="27"/>
        <v>1447</v>
      </c>
      <c r="AR57" s="38">
        <f>'ANR OK vs ML7'!AR57</f>
        <v>0.1</v>
      </c>
      <c r="AS57" s="35">
        <f t="shared" ca="1" si="28"/>
        <v>0.67937564748118173</v>
      </c>
      <c r="AT57" s="3">
        <f t="shared" si="29"/>
        <v>1</v>
      </c>
      <c r="AU57" s="3">
        <f t="shared" si="30"/>
        <v>31</v>
      </c>
      <c r="AW57" s="32">
        <f t="shared" ca="1" si="31"/>
        <v>68099.89888363432</v>
      </c>
      <c r="AX57" s="32">
        <f t="shared" si="32"/>
        <v>39570.369196792853</v>
      </c>
      <c r="AY57" s="32">
        <f t="shared" ca="1" si="33"/>
        <v>28529.529686841455</v>
      </c>
      <c r="BA57" s="32">
        <f ca="1">IF($A58="","",F57*Summary!$Q$9)</f>
        <v>0</v>
      </c>
      <c r="BC57" s="256">
        <f t="shared" ca="1" si="36"/>
        <v>26883.145194140554</v>
      </c>
    </row>
    <row r="58" spans="1:55">
      <c r="A58" s="67">
        <f t="shared" si="34"/>
        <v>38504</v>
      </c>
      <c r="B58" s="69">
        <f t="shared" si="37"/>
        <v>36050</v>
      </c>
      <c r="C58" s="71"/>
      <c r="D58" s="69">
        <f t="shared" si="0"/>
        <v>36050</v>
      </c>
      <c r="E58" s="70">
        <f t="shared" si="1"/>
        <v>1081500</v>
      </c>
      <c r="F58" s="70">
        <f t="shared" ca="1" si="2"/>
        <v>728684.75642777677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0.18</v>
      </c>
      <c r="K58" s="64">
        <f t="shared" si="6"/>
        <v>0.18</v>
      </c>
      <c r="L58" s="63">
        <f t="shared" si="5"/>
        <v>0</v>
      </c>
      <c r="M58" s="64">
        <f t="shared" si="7"/>
        <v>0</v>
      </c>
      <c r="N58" s="65"/>
      <c r="O58" s="63">
        <f t="shared" si="8"/>
        <v>4.1999999999999993</v>
      </c>
      <c r="P58" s="63">
        <f t="shared" si="9"/>
        <v>4.1999999999999993</v>
      </c>
      <c r="Q58" s="66"/>
      <c r="R58" s="63">
        <f t="shared" si="10"/>
        <v>-0.1</v>
      </c>
      <c r="S58" s="64">
        <f t="shared" si="11"/>
        <v>-0.1</v>
      </c>
      <c r="T58" s="63">
        <f t="shared" si="12"/>
        <v>-0.01</v>
      </c>
      <c r="U58" s="64">
        <f t="shared" si="13"/>
        <v>-0.01</v>
      </c>
      <c r="V58" s="90">
        <f>IF($A59="","",IF(AND(MONTH(A58)&gt;3,MONTH(A58)&lt;11),(T58+R58+G58)*Summary!$T$9/(1-Summary!$T$9),(T58+R58+G58)*Summary!$U$9/(1-Summary!$U$9)))</f>
        <v>0.18724405323273602</v>
      </c>
      <c r="W58" s="63">
        <f t="shared" si="14"/>
        <v>4.0972440532327354</v>
      </c>
      <c r="X58" s="63">
        <f t="shared" si="15"/>
        <v>4.0972440532327354</v>
      </c>
      <c r="Y58" s="43"/>
      <c r="Z58" s="38">
        <f t="shared" si="16"/>
        <v>0.5</v>
      </c>
      <c r="AA58" s="38">
        <f t="shared" si="17"/>
        <v>0.25800000000000001</v>
      </c>
      <c r="AB58" s="38">
        <f t="shared" ca="1" si="18"/>
        <v>0.26295674356272941</v>
      </c>
      <c r="AC58" s="38">
        <f t="shared" si="19"/>
        <v>0.4</v>
      </c>
      <c r="AD58" s="38">
        <f t="shared" si="19"/>
        <v>0.25800000000000001</v>
      </c>
      <c r="AE58" s="38">
        <f t="shared" ca="1" si="20"/>
        <v>0.26121418893961895</v>
      </c>
      <c r="AF58" s="237">
        <f ca="1">((Summary!$N$9*(AA58*AD58)*(A58-$D$3))+(Summary!$M$9*Z58*AC58*(AJ58-EOMONTH(EDATE(A58,-1),0))))/(AK58*AB58*AE58)</f>
        <v>0.99918636620819279</v>
      </c>
      <c r="AG58" s="88">
        <f>IF($A59="","",Summary!$Q$9)</f>
        <v>0</v>
      </c>
      <c r="AH58" s="88">
        <f>IF($A59="","",IF(Summary!$R$9="Y",VLOOKUP($A58,Summary!$AD$6:$AF$9,3)+'Escalating commodity'!E71,'Escalating commodity'!E71))</f>
        <v>7.0699999999999999E-2</v>
      </c>
      <c r="AI58" s="88">
        <f t="shared" si="35"/>
        <v>7.0699999999999999E-2</v>
      </c>
      <c r="AJ58" s="236">
        <f t="shared" si="21"/>
        <v>38518</v>
      </c>
      <c r="AK58" s="58">
        <f t="shared" ca="1" si="22"/>
        <v>1478</v>
      </c>
      <c r="AL58" s="26">
        <f ca="1">IF($A59="","",_xll.SPRDOPT(P58,X58,AI58,0,AB58,AE58,AF58,AK58,$AJ$2,0))</f>
        <v>5.8648216673840098E-2</v>
      </c>
      <c r="AM58" s="89">
        <f t="shared" si="23"/>
        <v>3.2055946767263852E-2</v>
      </c>
      <c r="AN58" s="89">
        <f t="shared" ca="1" si="24"/>
        <v>2.6592269906576246E-2</v>
      </c>
      <c r="AO58" s="3">
        <f t="shared" si="25"/>
        <v>30</v>
      </c>
      <c r="AP58" s="33">
        <f t="shared" si="26"/>
        <v>38504</v>
      </c>
      <c r="AQ58" s="58">
        <f t="shared" ca="1" si="27"/>
        <v>1478</v>
      </c>
      <c r="AR58" s="38">
        <f>'ANR OK vs ML7'!AR58</f>
        <v>0.1</v>
      </c>
      <c r="AS58" s="35">
        <f t="shared" ca="1" si="28"/>
        <v>0.67377231292443529</v>
      </c>
      <c r="AT58" s="3">
        <f t="shared" si="29"/>
        <v>1</v>
      </c>
      <c r="AU58" s="3">
        <f t="shared" si="30"/>
        <v>30</v>
      </c>
      <c r="AW58" s="32">
        <f t="shared" ca="1" si="31"/>
        <v>63428.046332758066</v>
      </c>
      <c r="AX58" s="32">
        <f t="shared" si="32"/>
        <v>34668.506428795852</v>
      </c>
      <c r="AY58" s="32">
        <f t="shared" ca="1" si="33"/>
        <v>28759.53990396221</v>
      </c>
      <c r="BA58" s="32">
        <f ca="1">IF($A59="","",F58*Summary!$Q$9)</f>
        <v>0</v>
      </c>
      <c r="BC58" s="256">
        <f t="shared" ca="1" si="36"/>
        <v>23358.679762165437</v>
      </c>
    </row>
    <row r="59" spans="1:55">
      <c r="A59" s="67">
        <f t="shared" si="34"/>
        <v>38534</v>
      </c>
      <c r="B59" s="69">
        <f t="shared" si="37"/>
        <v>36050</v>
      </c>
      <c r="C59" s="71"/>
      <c r="D59" s="69">
        <f t="shared" si="0"/>
        <v>36050</v>
      </c>
      <c r="E59" s="70">
        <f t="shared" si="1"/>
        <v>1117550</v>
      </c>
      <c r="F59" s="70">
        <f t="shared" ca="1" si="2"/>
        <v>746963.42174470541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0.18</v>
      </c>
      <c r="K59" s="64">
        <f t="shared" si="6"/>
        <v>0.18</v>
      </c>
      <c r="L59" s="63">
        <f t="shared" si="5"/>
        <v>0</v>
      </c>
      <c r="M59" s="64">
        <f t="shared" si="7"/>
        <v>0</v>
      </c>
      <c r="N59" s="65"/>
      <c r="O59" s="63">
        <f t="shared" si="8"/>
        <v>4.2549999999999999</v>
      </c>
      <c r="P59" s="63">
        <f t="shared" si="9"/>
        <v>4.2549999999999999</v>
      </c>
      <c r="Q59" s="66"/>
      <c r="R59" s="63">
        <f t="shared" si="10"/>
        <v>-0.1</v>
      </c>
      <c r="S59" s="64">
        <f t="shared" si="11"/>
        <v>-0.1</v>
      </c>
      <c r="T59" s="63">
        <f t="shared" si="12"/>
        <v>-0.01</v>
      </c>
      <c r="U59" s="64">
        <f t="shared" si="13"/>
        <v>-0.01</v>
      </c>
      <c r="V59" s="90">
        <f>IF($A60="","",IF(AND(MONTH(A59)&gt;3,MONTH(A59)&lt;11),(T59+R59+G59)*Summary!$T$9/(1-Summary!$T$9),(T59+R59+G59)*Summary!$U$9/(1-Summary!$U$9)))</f>
        <v>0.18987792098920675</v>
      </c>
      <c r="W59" s="63">
        <f t="shared" si="14"/>
        <v>4.1548779209892075</v>
      </c>
      <c r="X59" s="63">
        <f t="shared" si="15"/>
        <v>4.1548779209892075</v>
      </c>
      <c r="Y59" s="43"/>
      <c r="Z59" s="38">
        <f t="shared" si="16"/>
        <v>0.55000000000000004</v>
      </c>
      <c r="AA59" s="38">
        <f t="shared" si="17"/>
        <v>0.25800000000000001</v>
      </c>
      <c r="AB59" s="38">
        <f t="shared" ca="1" si="18"/>
        <v>0.26404051061661798</v>
      </c>
      <c r="AC59" s="38">
        <f t="shared" si="19"/>
        <v>0.4</v>
      </c>
      <c r="AD59" s="38">
        <f t="shared" si="19"/>
        <v>0.25800000000000001</v>
      </c>
      <c r="AE59" s="38">
        <f t="shared" ca="1" si="20"/>
        <v>0.26125218260862793</v>
      </c>
      <c r="AF59" s="237">
        <f ca="1">((Summary!$N$9*(AA59*AD59)*(A59-$D$3))+(Summary!$M$9*Z59*AC59*(AJ59-EOMONTH(EDATE(A59,-1),0))))/(AK59*AB59*AE59)</f>
        <v>0.99828349193946131</v>
      </c>
      <c r="AG59" s="88">
        <f>IF($A60="","",Summary!$Q$9)</f>
        <v>0</v>
      </c>
      <c r="AH59" s="88">
        <f>IF($A60="","",IF(Summary!$R$9="Y",VLOOKUP($A59,Summary!$AD$6:$AF$9,3)+'Escalating commodity'!E72,'Escalating commodity'!E72))</f>
        <v>7.0699999999999999E-2</v>
      </c>
      <c r="AI59" s="88">
        <f t="shared" si="35"/>
        <v>7.0699999999999999E-2</v>
      </c>
      <c r="AJ59" s="236">
        <f t="shared" si="21"/>
        <v>38548.5</v>
      </c>
      <c r="AK59" s="58">
        <f t="shared" ca="1" si="22"/>
        <v>1508</v>
      </c>
      <c r="AL59" s="26">
        <f ca="1">IF($A60="","",_xll.SPRDOPT(P59,X59,AI59,0,AB59,AE59,AF59,AK59,$AJ$2,0))</f>
        <v>7.4092954037545011E-2</v>
      </c>
      <c r="AM59" s="89">
        <f t="shared" si="23"/>
        <v>2.9422079010792399E-2</v>
      </c>
      <c r="AN59" s="89">
        <f t="shared" ca="1" si="24"/>
        <v>4.4670875026752613E-2</v>
      </c>
      <c r="AO59" s="3">
        <f t="shared" si="25"/>
        <v>31</v>
      </c>
      <c r="AP59" s="33">
        <f t="shared" si="26"/>
        <v>38534</v>
      </c>
      <c r="AQ59" s="58">
        <f t="shared" ca="1" si="27"/>
        <v>1508</v>
      </c>
      <c r="AR59" s="38">
        <f>'ANR OK vs ML7'!AR59</f>
        <v>0.1</v>
      </c>
      <c r="AS59" s="35">
        <f t="shared" ca="1" si="28"/>
        <v>0.66839373785933998</v>
      </c>
      <c r="AT59" s="3">
        <f t="shared" si="29"/>
        <v>1</v>
      </c>
      <c r="AU59" s="3">
        <f t="shared" si="30"/>
        <v>31</v>
      </c>
      <c r="AW59" s="32">
        <f t="shared" ca="1" si="31"/>
        <v>82802.580784658421</v>
      </c>
      <c r="AX59" s="32">
        <f t="shared" si="32"/>
        <v>32880.644398511045</v>
      </c>
      <c r="AY59" s="32">
        <f t="shared" ca="1" si="33"/>
        <v>49921.936386147383</v>
      </c>
      <c r="BA59" s="32">
        <f ca="1">IF($A60="","",F59*Summary!$Q$9)</f>
        <v>0</v>
      </c>
      <c r="BC59" s="256">
        <f t="shared" ca="1" si="36"/>
        <v>21977.216812744566</v>
      </c>
    </row>
    <row r="60" spans="1:55">
      <c r="A60" s="67">
        <f t="shared" si="34"/>
        <v>38565</v>
      </c>
      <c r="B60" s="69">
        <f t="shared" si="37"/>
        <v>36050</v>
      </c>
      <c r="C60" s="71"/>
      <c r="D60" s="69">
        <f t="shared" si="0"/>
        <v>36050</v>
      </c>
      <c r="E60" s="70">
        <f t="shared" si="1"/>
        <v>1117550</v>
      </c>
      <c r="F60" s="70">
        <f t="shared" ca="1" si="2"/>
        <v>740802.63872399298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0.18</v>
      </c>
      <c r="K60" s="64">
        <f t="shared" si="6"/>
        <v>0.18</v>
      </c>
      <c r="L60" s="63">
        <f t="shared" si="5"/>
        <v>0</v>
      </c>
      <c r="M60" s="64">
        <f t="shared" si="7"/>
        <v>0</v>
      </c>
      <c r="N60" s="65"/>
      <c r="O60" s="63">
        <f t="shared" si="8"/>
        <v>4.3109999999999999</v>
      </c>
      <c r="P60" s="63">
        <f t="shared" si="9"/>
        <v>4.3109999999999999</v>
      </c>
      <c r="Q60" s="66"/>
      <c r="R60" s="63">
        <f t="shared" si="10"/>
        <v>-0.1</v>
      </c>
      <c r="S60" s="64">
        <f t="shared" si="11"/>
        <v>-0.1</v>
      </c>
      <c r="T60" s="63">
        <f t="shared" si="12"/>
        <v>-0.01</v>
      </c>
      <c r="U60" s="64">
        <f t="shared" si="13"/>
        <v>-0.01</v>
      </c>
      <c r="V60" s="90">
        <f>IF($A61="","",IF(AND(MONTH(A60)&gt;3,MONTH(A60)&lt;11),(T60+R60+G60)*Summary!$T$9/(1-Summary!$T$9),(T60+R60+G60)*Summary!$U$9/(1-Summary!$U$9)))</f>
        <v>0.19255967725034057</v>
      </c>
      <c r="W60" s="63">
        <f t="shared" si="14"/>
        <v>4.2135596772503403</v>
      </c>
      <c r="X60" s="63">
        <f t="shared" si="15"/>
        <v>4.2135596772503403</v>
      </c>
      <c r="Y60" s="43"/>
      <c r="Z60" s="38">
        <f t="shared" si="16"/>
        <v>0.6</v>
      </c>
      <c r="AA60" s="38">
        <f t="shared" si="17"/>
        <v>0.25800000000000001</v>
      </c>
      <c r="AB60" s="38">
        <f t="shared" ca="1" si="18"/>
        <v>0.2650150608100233</v>
      </c>
      <c r="AC60" s="38">
        <f t="shared" si="19"/>
        <v>0.5</v>
      </c>
      <c r="AD60" s="38">
        <f t="shared" si="19"/>
        <v>0.25800000000000001</v>
      </c>
      <c r="AE60" s="38">
        <f t="shared" ca="1" si="20"/>
        <v>0.26291656510750178</v>
      </c>
      <c r="AF60" s="237">
        <f ca="1">((Summary!$N$9*(AA60*AD60)*(A60-$D$3))+(Summary!$M$9*Z60*AC60*(AJ60-EOMONTH(EDATE(A60,-1),0))))/(AK60*AB60*AE60)</f>
        <v>0.99921327875241928</v>
      </c>
      <c r="AG60" s="88">
        <f>IF($A61="","",Summary!$Q$9)</f>
        <v>0</v>
      </c>
      <c r="AH60" s="88">
        <f>IF($A61="","",IF(Summary!$R$9="Y",VLOOKUP($A60,Summary!$AD$6:$AF$9,3)+'Escalating commodity'!E73,'Escalating commodity'!E73))</f>
        <v>7.0699999999999999E-2</v>
      </c>
      <c r="AI60" s="88">
        <f t="shared" si="35"/>
        <v>7.0699999999999999E-2</v>
      </c>
      <c r="AJ60" s="236">
        <f t="shared" si="21"/>
        <v>38579.5</v>
      </c>
      <c r="AK60" s="58">
        <f t="shared" ca="1" si="22"/>
        <v>1539</v>
      </c>
      <c r="AL60" s="26">
        <f ca="1">IF($A61="","",_xll.SPRDOPT(P60,X60,AI60,0,AB60,AE60,AF60,AK60,$AJ$2,0))</f>
        <v>5.7226327967658391E-2</v>
      </c>
      <c r="AM60" s="89">
        <f t="shared" si="23"/>
        <v>2.6740322749659637E-2</v>
      </c>
      <c r="AN60" s="89">
        <f t="shared" ca="1" si="24"/>
        <v>3.0486005217998755E-2</v>
      </c>
      <c r="AO60" s="3">
        <f t="shared" si="25"/>
        <v>31</v>
      </c>
      <c r="AP60" s="33">
        <f t="shared" si="26"/>
        <v>38565</v>
      </c>
      <c r="AQ60" s="58">
        <f t="shared" ca="1" si="27"/>
        <v>1539</v>
      </c>
      <c r="AR60" s="38">
        <f>'ANR OK vs ML7'!AR60</f>
        <v>0.1</v>
      </c>
      <c r="AS60" s="35">
        <f t="shared" ca="1" si="28"/>
        <v>0.66288097957495684</v>
      </c>
      <c r="AT60" s="3">
        <f t="shared" si="29"/>
        <v>1</v>
      </c>
      <c r="AU60" s="3">
        <f t="shared" si="30"/>
        <v>31</v>
      </c>
      <c r="AW60" s="32">
        <f t="shared" ca="1" si="31"/>
        <v>63953.282820256638</v>
      </c>
      <c r="AX60" s="32">
        <f t="shared" si="32"/>
        <v>29883.647688882127</v>
      </c>
      <c r="AY60" s="32">
        <f t="shared" ca="1" si="33"/>
        <v>34069.635131374511</v>
      </c>
      <c r="BA60" s="32">
        <f ca="1">IF($A61="","",F60*Summary!$Q$9)</f>
        <v>0</v>
      </c>
      <c r="BC60" s="256">
        <f t="shared" ca="1" si="36"/>
        <v>19809.301653279079</v>
      </c>
    </row>
    <row r="61" spans="1:55">
      <c r="A61" s="67">
        <f t="shared" si="34"/>
        <v>38596</v>
      </c>
      <c r="B61" s="69">
        <f t="shared" si="37"/>
        <v>36050</v>
      </c>
      <c r="C61" s="71"/>
      <c r="D61" s="69">
        <f t="shared" si="0"/>
        <v>36050</v>
      </c>
      <c r="E61" s="70">
        <f t="shared" si="1"/>
        <v>1081500</v>
      </c>
      <c r="F61" s="70">
        <f t="shared" ca="1" si="2"/>
        <v>710992.9049312342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0.18</v>
      </c>
      <c r="K61" s="64">
        <f t="shared" si="6"/>
        <v>0.18</v>
      </c>
      <c r="L61" s="63">
        <f t="shared" si="5"/>
        <v>0</v>
      </c>
      <c r="M61" s="64">
        <f t="shared" si="7"/>
        <v>0</v>
      </c>
      <c r="N61" s="65"/>
      <c r="O61" s="63">
        <f t="shared" si="8"/>
        <v>4.3249999999999993</v>
      </c>
      <c r="P61" s="63">
        <f t="shared" si="9"/>
        <v>4.3249999999999993</v>
      </c>
      <c r="Q61" s="66"/>
      <c r="R61" s="63">
        <f t="shared" si="10"/>
        <v>-0.1</v>
      </c>
      <c r="S61" s="64">
        <f t="shared" si="11"/>
        <v>-0.1</v>
      </c>
      <c r="T61" s="63">
        <f t="shared" si="12"/>
        <v>-0.01</v>
      </c>
      <c r="U61" s="64">
        <f t="shared" si="13"/>
        <v>-0.01</v>
      </c>
      <c r="V61" s="90">
        <f>IF($A62="","",IF(AND(MONTH(A61)&gt;3,MONTH(A61)&lt;11),(T61+R61+G61)*Summary!$T$9/(1-Summary!$T$9),(T61+R61+G61)*Summary!$U$9/(1-Summary!$U$9)))</f>
        <v>0.19323011631562398</v>
      </c>
      <c r="W61" s="63">
        <f t="shared" si="14"/>
        <v>4.2282301163156228</v>
      </c>
      <c r="X61" s="63">
        <f t="shared" si="15"/>
        <v>4.2282301163156228</v>
      </c>
      <c r="Y61" s="43"/>
      <c r="Z61" s="38">
        <f t="shared" si="16"/>
        <v>0.6</v>
      </c>
      <c r="AA61" s="38">
        <f t="shared" si="17"/>
        <v>0.25800000000000001</v>
      </c>
      <c r="AB61" s="38">
        <f t="shared" ca="1" si="18"/>
        <v>0.26466183687507566</v>
      </c>
      <c r="AC61" s="38">
        <f t="shared" si="19"/>
        <v>0.55000000000000004</v>
      </c>
      <c r="AD61" s="38">
        <f t="shared" si="19"/>
        <v>0.25800000000000001</v>
      </c>
      <c r="AE61" s="38">
        <f t="shared" ca="1" si="20"/>
        <v>0.26362193543171691</v>
      </c>
      <c r="AF61" s="237">
        <f ca="1">((Summary!$N$9*(AA61*AD61)*(A61-$D$3))+(Summary!$M$9*Z61*AC61*(AJ61-EOMONTH(EDATE(A61,-1),0))))/(AK61*AB61*AE61)</f>
        <v>0.99974111444652913</v>
      </c>
      <c r="AG61" s="88">
        <f>IF($A62="","",Summary!$Q$9)</f>
        <v>0</v>
      </c>
      <c r="AH61" s="88">
        <f>IF($A62="","",IF(Summary!$R$9="Y",VLOOKUP($A61,Summary!$AD$6:$AF$9,3)+'Escalating commodity'!E74,'Escalating commodity'!E74))</f>
        <v>7.0699999999999999E-2</v>
      </c>
      <c r="AI61" s="88">
        <f t="shared" si="35"/>
        <v>7.0699999999999999E-2</v>
      </c>
      <c r="AJ61" s="236">
        <f t="shared" si="21"/>
        <v>38610</v>
      </c>
      <c r="AK61" s="58">
        <f t="shared" ca="1" si="22"/>
        <v>1570</v>
      </c>
      <c r="AL61" s="26">
        <f ca="1">IF($A62="","",_xll.SPRDOPT(P61,X61,AI61,0,AB61,AE61,AF61,AK61,$AJ$2,0))</f>
        <v>4.2815871569734279E-2</v>
      </c>
      <c r="AM61" s="89">
        <f t="shared" si="23"/>
        <v>2.6069883684376446E-2</v>
      </c>
      <c r="AN61" s="89">
        <f t="shared" ca="1" si="24"/>
        <v>1.6745987885357833E-2</v>
      </c>
      <c r="AO61" s="3">
        <f t="shared" si="25"/>
        <v>30</v>
      </c>
      <c r="AP61" s="33">
        <f t="shared" si="26"/>
        <v>38596</v>
      </c>
      <c r="AQ61" s="58">
        <f t="shared" ca="1" si="27"/>
        <v>1570</v>
      </c>
      <c r="AR61" s="38">
        <f>'ANR OK vs ML7'!AR61</f>
        <v>0.1</v>
      </c>
      <c r="AS61" s="35">
        <f t="shared" ca="1" si="28"/>
        <v>0.65741368925680466</v>
      </c>
      <c r="AT61" s="3">
        <f t="shared" si="29"/>
        <v>1</v>
      </c>
      <c r="AU61" s="3">
        <f t="shared" si="30"/>
        <v>30</v>
      </c>
      <c r="AW61" s="32">
        <f t="shared" ca="1" si="31"/>
        <v>46305.365102667623</v>
      </c>
      <c r="AX61" s="32">
        <f t="shared" si="32"/>
        <v>28194.579204653128</v>
      </c>
      <c r="AY61" s="32">
        <f t="shared" ca="1" si="33"/>
        <v>18110.785898014496</v>
      </c>
      <c r="BA61" s="32">
        <f ca="1">IF($A62="","",F61*Summary!$Q$9)</f>
        <v>0</v>
      </c>
      <c r="BC61" s="256">
        <f t="shared" ca="1" si="36"/>
        <v>18535.502331974196</v>
      </c>
    </row>
    <row r="62" spans="1:55">
      <c r="A62" s="67">
        <f t="shared" si="34"/>
        <v>38626</v>
      </c>
      <c r="B62" s="69">
        <f t="shared" si="37"/>
        <v>36050</v>
      </c>
      <c r="C62" s="71"/>
      <c r="D62" s="69">
        <f t="shared" si="0"/>
        <v>36050</v>
      </c>
      <c r="E62" s="70">
        <f t="shared" si="1"/>
        <v>1117550</v>
      </c>
      <c r="F62" s="70">
        <f t="shared" ca="1" si="2"/>
        <v>728827.77966589865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0.18</v>
      </c>
      <c r="K62" s="64">
        <f t="shared" si="6"/>
        <v>0.18</v>
      </c>
      <c r="L62" s="63">
        <f t="shared" si="5"/>
        <v>0</v>
      </c>
      <c r="M62" s="64">
        <f t="shared" si="7"/>
        <v>0</v>
      </c>
      <c r="N62" s="65"/>
      <c r="O62" s="63">
        <f t="shared" si="8"/>
        <v>4.3559999999999999</v>
      </c>
      <c r="P62" s="63">
        <f t="shared" si="9"/>
        <v>4.3559999999999999</v>
      </c>
      <c r="Q62" s="66"/>
      <c r="R62" s="63">
        <f t="shared" si="10"/>
        <v>-0.1</v>
      </c>
      <c r="S62" s="64">
        <f t="shared" si="11"/>
        <v>-0.1</v>
      </c>
      <c r="T62" s="63">
        <f t="shared" si="12"/>
        <v>-0.01</v>
      </c>
      <c r="U62" s="64">
        <f t="shared" si="13"/>
        <v>-0.01</v>
      </c>
      <c r="V62" s="90">
        <f>IF($A63="","",IF(AND(MONTH(A62)&gt;3,MONTH(A62)&lt;11),(T62+R62+G62)*Summary!$T$9/(1-Summary!$T$9),(T62+R62+G62)*Summary!$U$9/(1-Summary!$U$9)))</f>
        <v>0.19471465996018023</v>
      </c>
      <c r="W62" s="63">
        <f t="shared" si="14"/>
        <v>4.26071465996018</v>
      </c>
      <c r="X62" s="63">
        <f t="shared" si="15"/>
        <v>4.26071465996018</v>
      </c>
      <c r="Y62" s="43"/>
      <c r="Z62" s="38">
        <f t="shared" si="16"/>
        <v>0.65</v>
      </c>
      <c r="AA62" s="38">
        <f t="shared" si="17"/>
        <v>0.25800000000000001</v>
      </c>
      <c r="AB62" s="38">
        <f t="shared" ca="1" si="18"/>
        <v>0.26589202930889072</v>
      </c>
      <c r="AC62" s="38">
        <f t="shared" si="19"/>
        <v>0.55000000000000004</v>
      </c>
      <c r="AD62" s="38">
        <f t="shared" si="19"/>
        <v>0.25800000000000001</v>
      </c>
      <c r="AE62" s="38">
        <f t="shared" ca="1" si="20"/>
        <v>0.26369693067990002</v>
      </c>
      <c r="AF62" s="237">
        <f ca="1">((Summary!$N$9*(AA62*AD62)*(A62-$D$3))+(Summary!$M$9*Z62*AC62*(AJ62-EOMONTH(EDATE(A62,-1),0))))/(AK62*AB62*AE62)</f>
        <v>0.99924853601415464</v>
      </c>
      <c r="AG62" s="88">
        <f>IF($A63="","",Summary!$Q$9)</f>
        <v>0</v>
      </c>
      <c r="AH62" s="88">
        <f>IF($A63="","",IF(Summary!$R$9="Y",VLOOKUP($A62,Summary!$AD$6:$AF$9,3)+'Escalating commodity'!E75,'Escalating commodity'!E75))</f>
        <v>7.0699999999999999E-2</v>
      </c>
      <c r="AI62" s="88">
        <f t="shared" si="35"/>
        <v>7.0699999999999999E-2</v>
      </c>
      <c r="AJ62" s="236">
        <f t="shared" si="21"/>
        <v>38640.5</v>
      </c>
      <c r="AK62" s="58">
        <f t="shared" ca="1" si="22"/>
        <v>1600</v>
      </c>
      <c r="AL62" s="26">
        <f ca="1">IF($A63="","",_xll.SPRDOPT(P62,X62,AI62,0,AB62,AE62,AF62,AK62,$AJ$2,0))</f>
        <v>5.6514812919237711E-2</v>
      </c>
      <c r="AM62" s="89">
        <f t="shared" si="23"/>
        <v>2.4585340039819922E-2</v>
      </c>
      <c r="AN62" s="89">
        <f t="shared" ca="1" si="24"/>
        <v>3.1929472879417789E-2</v>
      </c>
      <c r="AO62" s="3">
        <f t="shared" si="25"/>
        <v>31</v>
      </c>
      <c r="AP62" s="33">
        <f t="shared" si="26"/>
        <v>38626</v>
      </c>
      <c r="AQ62" s="58">
        <f t="shared" ca="1" si="27"/>
        <v>1600</v>
      </c>
      <c r="AR62" s="38">
        <f>'ANR OK vs ML7'!AR62</f>
        <v>0.1</v>
      </c>
      <c r="AS62" s="35">
        <f t="shared" ca="1" si="28"/>
        <v>0.65216570145935182</v>
      </c>
      <c r="AT62" s="3">
        <f t="shared" si="29"/>
        <v>1</v>
      </c>
      <c r="AU62" s="3">
        <f t="shared" si="30"/>
        <v>31</v>
      </c>
      <c r="AW62" s="32">
        <f t="shared" ca="1" si="31"/>
        <v>63158.129177894101</v>
      </c>
      <c r="AX62" s="32">
        <f t="shared" si="32"/>
        <v>27475.346761500754</v>
      </c>
      <c r="AY62" s="32">
        <f t="shared" ca="1" si="33"/>
        <v>35682.782416393347</v>
      </c>
      <c r="BA62" s="32">
        <f ca="1">IF($A63="","",F62*Summary!$Q$9)</f>
        <v>0</v>
      </c>
      <c r="BC62" s="256">
        <f t="shared" ca="1" si="36"/>
        <v>17918.478793553069</v>
      </c>
    </row>
    <row r="63" spans="1:55">
      <c r="A63" s="67">
        <f t="shared" si="34"/>
        <v>38657</v>
      </c>
      <c r="B63" s="69">
        <f t="shared" si="37"/>
        <v>36050</v>
      </c>
      <c r="C63" s="71"/>
      <c r="D63" s="69">
        <f t="shared" si="0"/>
        <v>36050</v>
      </c>
      <c r="E63" s="70">
        <f t="shared" si="1"/>
        <v>1081500</v>
      </c>
      <c r="F63" s="70">
        <f t="shared" ca="1" si="2"/>
        <v>699499.91154432937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0.33500000000000002</v>
      </c>
      <c r="K63" s="64">
        <f t="shared" si="6"/>
        <v>0.33500000000000002</v>
      </c>
      <c r="L63" s="63">
        <f t="shared" si="5"/>
        <v>0</v>
      </c>
      <c r="M63" s="64">
        <f t="shared" si="7"/>
        <v>0</v>
      </c>
      <c r="N63" s="65"/>
      <c r="O63" s="63">
        <f t="shared" si="8"/>
        <v>4.6440000000000001</v>
      </c>
      <c r="P63" s="63">
        <f t="shared" si="9"/>
        <v>4.6440000000000001</v>
      </c>
      <c r="Q63" s="66"/>
      <c r="R63" s="63">
        <f t="shared" si="10"/>
        <v>-0.1</v>
      </c>
      <c r="S63" s="64">
        <f t="shared" si="11"/>
        <v>-0.1</v>
      </c>
      <c r="T63" s="63">
        <f t="shared" si="12"/>
        <v>0.01</v>
      </c>
      <c r="U63" s="64">
        <f t="shared" si="13"/>
        <v>0.01</v>
      </c>
      <c r="V63" s="90">
        <f>IF($A64="","",IF(AND(MONTH(A63)&gt;3,MONTH(A63)&lt;11),(T63+R63+G63)*Summary!$T$9/(1-Summary!$T$9),(T63+R63+G63)*Summary!$U$9/(1-Summary!$U$9)))</f>
        <v>0.20204160117363512</v>
      </c>
      <c r="W63" s="63">
        <f t="shared" si="14"/>
        <v>4.4210416011736351</v>
      </c>
      <c r="X63" s="63">
        <f t="shared" si="15"/>
        <v>4.4210416011736351</v>
      </c>
      <c r="Y63" s="43"/>
      <c r="Z63" s="38">
        <f t="shared" si="16"/>
        <v>0.8</v>
      </c>
      <c r="AA63" s="38">
        <f t="shared" si="17"/>
        <v>0.25800000000000001</v>
      </c>
      <c r="AB63" s="38">
        <f t="shared" ca="1" si="18"/>
        <v>0.2692411025566997</v>
      </c>
      <c r="AC63" s="38">
        <f t="shared" si="19"/>
        <v>0.8</v>
      </c>
      <c r="AD63" s="38">
        <f t="shared" si="19"/>
        <v>0.25800000000000001</v>
      </c>
      <c r="AE63" s="38">
        <f t="shared" ca="1" si="20"/>
        <v>0.2692411025566997</v>
      </c>
      <c r="AF63" s="237">
        <f ca="1">((Summary!$N$9*(AA63*AD63)*(A63-$D$3))+(Summary!$M$9*Z63*AC63*(AJ63-EOMONTH(EDATE(A63,-1),0))))/(AK63*AB63*AE63)</f>
        <v>0.99990811959843706</v>
      </c>
      <c r="AG63" s="88">
        <f>IF($A64="","",Summary!$Q$9)</f>
        <v>0</v>
      </c>
      <c r="AH63" s="88">
        <f>IF($A64="","",IF(Summary!$R$9="Y",VLOOKUP($A63,Summary!$AD$6:$AF$9,3)+'Escalating commodity'!E76,'Escalating commodity'!E76))</f>
        <v>7.0699999999999999E-2</v>
      </c>
      <c r="AI63" s="88">
        <f t="shared" si="35"/>
        <v>7.0699999999999999E-2</v>
      </c>
      <c r="AJ63" s="236">
        <f t="shared" si="21"/>
        <v>38671</v>
      </c>
      <c r="AK63" s="58">
        <f t="shared" ca="1" si="22"/>
        <v>1631</v>
      </c>
      <c r="AL63" s="26">
        <f ca="1">IF($A64="","",_xll.SPRDOPT(P63,X63,AI63,0,AB63,AE63,AF63,AK63,$AJ$2,0))</f>
        <v>0.15339636620478658</v>
      </c>
      <c r="AM63" s="89">
        <f t="shared" si="23"/>
        <v>0.15225839882636505</v>
      </c>
      <c r="AN63" s="89">
        <f t="shared" ca="1" si="24"/>
        <v>1.1379673784215338E-3</v>
      </c>
      <c r="AO63" s="3">
        <f t="shared" si="25"/>
        <v>30</v>
      </c>
      <c r="AP63" s="33">
        <f t="shared" si="26"/>
        <v>38657</v>
      </c>
      <c r="AQ63" s="58">
        <f t="shared" ca="1" si="27"/>
        <v>1631</v>
      </c>
      <c r="AR63" s="38">
        <f>'ANR OK vs ML7'!AR63</f>
        <v>0.1</v>
      </c>
      <c r="AS63" s="35">
        <f t="shared" ca="1" si="28"/>
        <v>0.64678678829803915</v>
      </c>
      <c r="AT63" s="3">
        <f t="shared" si="29"/>
        <v>1</v>
      </c>
      <c r="AU63" s="3">
        <f t="shared" si="30"/>
        <v>30</v>
      </c>
      <c r="AW63" s="32">
        <f t="shared" ca="1" si="31"/>
        <v>165898.17005047668</v>
      </c>
      <c r="AX63" s="32">
        <f t="shared" si="32"/>
        <v>164667.45833071379</v>
      </c>
      <c r="AY63" s="32">
        <f t="shared" ca="1" si="33"/>
        <v>1230.7117197628888</v>
      </c>
      <c r="BA63" s="32">
        <f ca="1">IF($A64="","",F63*Summary!$Q$9)</f>
        <v>0</v>
      </c>
      <c r="BC63" s="256">
        <f t="shared" ca="1" si="36"/>
        <v>106504.73651092357</v>
      </c>
    </row>
    <row r="64" spans="1:55">
      <c r="A64" s="67">
        <f t="shared" si="34"/>
        <v>38687</v>
      </c>
      <c r="B64" s="69">
        <f t="shared" si="37"/>
        <v>36050</v>
      </c>
      <c r="C64" s="71"/>
      <c r="D64" s="69">
        <f t="shared" si="0"/>
        <v>36050</v>
      </c>
      <c r="E64" s="70">
        <f t="shared" si="1"/>
        <v>1117550</v>
      </c>
      <c r="F64" s="70">
        <f t="shared" ca="1" si="2"/>
        <v>717046.49071941746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0.33500000000000002</v>
      </c>
      <c r="K64" s="64">
        <f t="shared" si="6"/>
        <v>0.33500000000000002</v>
      </c>
      <c r="L64" s="63">
        <f t="shared" si="5"/>
        <v>0</v>
      </c>
      <c r="M64" s="64">
        <f t="shared" si="7"/>
        <v>0</v>
      </c>
      <c r="N64" s="65"/>
      <c r="O64" s="63">
        <f t="shared" si="8"/>
        <v>4.782</v>
      </c>
      <c r="P64" s="63">
        <f t="shared" si="9"/>
        <v>4.782</v>
      </c>
      <c r="Q64" s="66"/>
      <c r="R64" s="63">
        <f t="shared" si="10"/>
        <v>-0.1</v>
      </c>
      <c r="S64" s="64">
        <f t="shared" si="11"/>
        <v>-0.1</v>
      </c>
      <c r="T64" s="63">
        <f t="shared" si="12"/>
        <v>0.01</v>
      </c>
      <c r="U64" s="64">
        <f t="shared" si="13"/>
        <v>0.01</v>
      </c>
      <c r="V64" s="90">
        <f>IF($A65="","",IF(AND(MONTH(A64)&gt;3,MONTH(A64)&lt;11),(T64+R64+G64)*Summary!$T$9/(1-Summary!$T$9),(T64+R64+G64)*Summary!$U$9/(1-Summary!$U$9)))</f>
        <v>0.20865021481714346</v>
      </c>
      <c r="W64" s="63">
        <f t="shared" si="14"/>
        <v>4.5656502148171434</v>
      </c>
      <c r="X64" s="63">
        <f t="shared" si="15"/>
        <v>4.5656502148171434</v>
      </c>
      <c r="Y64" s="43"/>
      <c r="Z64" s="38">
        <f t="shared" si="16"/>
        <v>1.1000000000000001</v>
      </c>
      <c r="AA64" s="38">
        <f t="shared" si="17"/>
        <v>0.26</v>
      </c>
      <c r="AB64" s="38">
        <f t="shared" ca="1" si="18"/>
        <v>0.28094855241298189</v>
      </c>
      <c r="AC64" s="38">
        <f t="shared" si="19"/>
        <v>1</v>
      </c>
      <c r="AD64" s="38">
        <f t="shared" si="19"/>
        <v>0.26</v>
      </c>
      <c r="AE64" s="38">
        <f t="shared" ca="1" si="20"/>
        <v>0.27743904961134697</v>
      </c>
      <c r="AF64" s="237">
        <f ca="1">((Summary!$N$9*(AA64*AD64)*(A64-$D$3))+(Summary!$M$9*Z64*AC64*(AJ64-EOMONTH(EDATE(A64,-1),0))))/(AK64*AB64*AE64)</f>
        <v>0.99939362707518031</v>
      </c>
      <c r="AG64" s="88">
        <f>IF($A65="","",Summary!$Q$9)</f>
        <v>0</v>
      </c>
      <c r="AH64" s="88">
        <f>IF($A65="","",IF(Summary!$R$9="Y",VLOOKUP($A64,Summary!$AD$6:$AF$9,3)+'Escalating commodity'!E77,'Escalating commodity'!E77))</f>
        <v>7.0699999999999999E-2</v>
      </c>
      <c r="AI64" s="88">
        <f t="shared" si="35"/>
        <v>7.0699999999999999E-2</v>
      </c>
      <c r="AJ64" s="236">
        <f t="shared" si="21"/>
        <v>38701.5</v>
      </c>
      <c r="AK64" s="58">
        <f t="shared" ca="1" si="22"/>
        <v>1661</v>
      </c>
      <c r="AL64" s="26">
        <f ca="1">IF($A65="","",_xll.SPRDOPT(P64,X64,AI64,0,AB64,AE64,AF64,AK64,$AJ$2,0))</f>
        <v>0.15505400201783137</v>
      </c>
      <c r="AM64" s="89">
        <f t="shared" si="23"/>
        <v>0.14564978518285665</v>
      </c>
      <c r="AN64" s="89">
        <f t="shared" ca="1" si="24"/>
        <v>9.4042168349747213E-3</v>
      </c>
      <c r="AO64" s="3">
        <f t="shared" si="25"/>
        <v>31</v>
      </c>
      <c r="AP64" s="33">
        <f t="shared" si="26"/>
        <v>38687</v>
      </c>
      <c r="AQ64" s="58">
        <f t="shared" ca="1" si="27"/>
        <v>1661</v>
      </c>
      <c r="AR64" s="38">
        <f>'ANR OK vs ML7'!AR64</f>
        <v>0.1</v>
      </c>
      <c r="AS64" s="35">
        <f t="shared" ca="1" si="28"/>
        <v>0.64162363269600242</v>
      </c>
      <c r="AT64" s="3">
        <f t="shared" si="29"/>
        <v>1</v>
      </c>
      <c r="AU64" s="3">
        <f t="shared" si="30"/>
        <v>31</v>
      </c>
      <c r="AW64" s="32">
        <f t="shared" ca="1" si="31"/>
        <v>173280.59995502746</v>
      </c>
      <c r="AX64" s="32">
        <f t="shared" si="32"/>
        <v>162770.91743110144</v>
      </c>
      <c r="AY64" s="32">
        <f t="shared" ca="1" si="33"/>
        <v>10509.682523926</v>
      </c>
      <c r="BA64" s="32">
        <f ca="1">IF($A65="","",F64*Summary!$Q$9)</f>
        <v>0</v>
      </c>
      <c r="BC64" s="256">
        <f t="shared" ca="1" si="36"/>
        <v>104437.66733940436</v>
      </c>
    </row>
    <row r="65" spans="1:55">
      <c r="A65" s="67">
        <f t="shared" si="34"/>
        <v>38718</v>
      </c>
      <c r="B65" s="69">
        <f t="shared" si="37"/>
        <v>36050</v>
      </c>
      <c r="C65" s="71"/>
      <c r="D65" s="69">
        <f t="shared" si="0"/>
        <v>36050</v>
      </c>
      <c r="E65" s="70">
        <f t="shared" si="1"/>
        <v>1117550</v>
      </c>
      <c r="F65" s="70">
        <f t="shared" ca="1" si="2"/>
        <v>711132.45568572416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0.33500000000000002</v>
      </c>
      <c r="K65" s="64">
        <f t="shared" si="6"/>
        <v>0.33500000000000002</v>
      </c>
      <c r="L65" s="63">
        <f t="shared" si="5"/>
        <v>0</v>
      </c>
      <c r="M65" s="64">
        <f t="shared" si="7"/>
        <v>0</v>
      </c>
      <c r="N65" s="65"/>
      <c r="O65" s="63">
        <f t="shared" si="8"/>
        <v>4.7789999999999999</v>
      </c>
      <c r="P65" s="63">
        <f t="shared" si="9"/>
        <v>4.7789999999999999</v>
      </c>
      <c r="Q65" s="66"/>
      <c r="R65" s="63">
        <f t="shared" si="10"/>
        <v>-0.1</v>
      </c>
      <c r="S65" s="64">
        <f t="shared" si="11"/>
        <v>-0.1</v>
      </c>
      <c r="T65" s="63">
        <f t="shared" si="12"/>
        <v>0.01</v>
      </c>
      <c r="U65" s="64">
        <f t="shared" si="13"/>
        <v>0.01</v>
      </c>
      <c r="V65" s="90">
        <f>IF($A66="","",IF(AND(MONTH(A65)&gt;3,MONTH(A65)&lt;11),(T65+R65+G65)*Summary!$T$9/(1-Summary!$T$9),(T65+R65+G65)*Summary!$U$9/(1-Summary!$U$9)))</f>
        <v>0.20850654930315413</v>
      </c>
      <c r="W65" s="63">
        <f t="shared" si="14"/>
        <v>4.562506549303154</v>
      </c>
      <c r="X65" s="63">
        <f t="shared" si="15"/>
        <v>4.562506549303154</v>
      </c>
      <c r="Y65" s="43"/>
      <c r="Z65" s="38">
        <f t="shared" si="16"/>
        <v>1.1000000000000001</v>
      </c>
      <c r="AA65" s="38">
        <f t="shared" si="17"/>
        <v>0.26300000000000001</v>
      </c>
      <c r="AB65" s="38">
        <f t="shared" ca="1" si="18"/>
        <v>0.28336265701406554</v>
      </c>
      <c r="AC65" s="38">
        <f t="shared" si="19"/>
        <v>1</v>
      </c>
      <c r="AD65" s="38">
        <f t="shared" si="19"/>
        <v>0.26300000000000001</v>
      </c>
      <c r="AE65" s="38">
        <f t="shared" ca="1" si="20"/>
        <v>0.27994756031232471</v>
      </c>
      <c r="AF65" s="237">
        <f ca="1">((Summary!$N$9*(AA65*AD65)*(A65-$D$3))+(Summary!$M$9*Z65*AC65*(AJ65-EOMONTH(EDATE(A65,-1),0))))/(AK65*AB65*AE65)</f>
        <v>0.99940885809038871</v>
      </c>
      <c r="AG65" s="88">
        <f>IF($A66="","",Summary!$Q$9)</f>
        <v>0</v>
      </c>
      <c r="AH65" s="88">
        <f>IF($A66="","",IF(Summary!$R$9="Y",VLOOKUP($A65,Summary!$AD$6:$AF$9,3)+'Escalating commodity'!E78,'Escalating commodity'!E78))</f>
        <v>7.0699999999999999E-2</v>
      </c>
      <c r="AI65" s="88">
        <f t="shared" si="35"/>
        <v>7.0699999999999999E-2</v>
      </c>
      <c r="AJ65" s="236">
        <f t="shared" si="21"/>
        <v>38732.5</v>
      </c>
      <c r="AK65" s="58">
        <f t="shared" ca="1" si="22"/>
        <v>1692</v>
      </c>
      <c r="AL65" s="26">
        <f ca="1">IF($A66="","",_xll.SPRDOPT(P65,X65,AI65,0,AB65,AE65,AF65,AK65,$AJ$2,0))</f>
        <v>0.15536273342924772</v>
      </c>
      <c r="AM65" s="89">
        <f t="shared" si="23"/>
        <v>0.14579345069684591</v>
      </c>
      <c r="AN65" s="89">
        <f t="shared" ca="1" si="24"/>
        <v>9.5692827324018181E-3</v>
      </c>
      <c r="AO65" s="3">
        <f t="shared" si="25"/>
        <v>31</v>
      </c>
      <c r="AP65" s="33">
        <f t="shared" si="26"/>
        <v>38718</v>
      </c>
      <c r="AQ65" s="58">
        <f t="shared" ca="1" si="27"/>
        <v>1692</v>
      </c>
      <c r="AR65" s="38">
        <f>'ANR OK vs ML7'!AR65</f>
        <v>0.1</v>
      </c>
      <c r="AS65" s="35">
        <f t="shared" ca="1" si="28"/>
        <v>0.63633166810050934</v>
      </c>
      <c r="AT65" s="3">
        <f t="shared" si="29"/>
        <v>1</v>
      </c>
      <c r="AU65" s="3">
        <f t="shared" si="30"/>
        <v>31</v>
      </c>
      <c r="AW65" s="32">
        <f t="shared" ca="1" si="31"/>
        <v>173625.62274385578</v>
      </c>
      <c r="AX65" s="32">
        <f t="shared" si="32"/>
        <v>162931.47082626013</v>
      </c>
      <c r="AY65" s="32">
        <f t="shared" ca="1" si="33"/>
        <v>10694.151917595653</v>
      </c>
      <c r="BA65" s="32">
        <f ca="1">IF($A66="","",F65*Summary!$Q$9)</f>
        <v>0</v>
      </c>
      <c r="BC65" s="256">
        <f t="shared" ca="1" si="36"/>
        <v>103678.45461694358</v>
      </c>
    </row>
    <row r="66" spans="1:55">
      <c r="A66" s="67">
        <f t="shared" si="34"/>
        <v>38749</v>
      </c>
      <c r="B66" s="69">
        <f t="shared" si="37"/>
        <v>36050</v>
      </c>
      <c r="C66" s="71"/>
      <c r="D66" s="69">
        <f t="shared" si="0"/>
        <v>36050</v>
      </c>
      <c r="E66" s="70">
        <f t="shared" si="1"/>
        <v>1009400</v>
      </c>
      <c r="F66" s="70">
        <f t="shared" ca="1" si="2"/>
        <v>637015.5339094362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0.33500000000000002</v>
      </c>
      <c r="K66" s="64">
        <f t="shared" si="6"/>
        <v>0.33500000000000002</v>
      </c>
      <c r="L66" s="63">
        <f t="shared" si="5"/>
        <v>0</v>
      </c>
      <c r="M66" s="64">
        <f t="shared" si="7"/>
        <v>0</v>
      </c>
      <c r="N66" s="65"/>
      <c r="O66" s="63">
        <f t="shared" si="8"/>
        <v>4.6589999999999998</v>
      </c>
      <c r="P66" s="63">
        <f t="shared" si="9"/>
        <v>4.6589999999999998</v>
      </c>
      <c r="Q66" s="66"/>
      <c r="R66" s="63">
        <f t="shared" si="10"/>
        <v>-0.1</v>
      </c>
      <c r="S66" s="64">
        <f t="shared" si="11"/>
        <v>-0.1</v>
      </c>
      <c r="T66" s="63">
        <f t="shared" si="12"/>
        <v>0.01</v>
      </c>
      <c r="U66" s="64">
        <f t="shared" si="13"/>
        <v>0.01</v>
      </c>
      <c r="V66" s="90">
        <f>IF($A67="","",IF(AND(MONTH(A66)&gt;3,MONTH(A66)&lt;11),(T66+R66+G66)*Summary!$T$9/(1-Summary!$T$9),(T66+R66+G66)*Summary!$U$9/(1-Summary!$U$9)))</f>
        <v>0.20275992874358167</v>
      </c>
      <c r="W66" s="63">
        <f t="shared" si="14"/>
        <v>4.4367599287435819</v>
      </c>
      <c r="X66" s="63">
        <f t="shared" si="15"/>
        <v>4.4367599287435819</v>
      </c>
      <c r="Y66" s="43"/>
      <c r="Z66" s="38">
        <f t="shared" si="16"/>
        <v>1.1000000000000001</v>
      </c>
      <c r="AA66" s="38">
        <f t="shared" si="17"/>
        <v>0.255</v>
      </c>
      <c r="AB66" s="38">
        <f t="shared" ca="1" si="18"/>
        <v>0.27366846424586994</v>
      </c>
      <c r="AC66" s="38">
        <f t="shared" si="19"/>
        <v>1</v>
      </c>
      <c r="AD66" s="38">
        <f t="shared" si="19"/>
        <v>0.255</v>
      </c>
      <c r="AE66" s="38">
        <f t="shared" ca="1" si="20"/>
        <v>0.27053299641156031</v>
      </c>
      <c r="AF66" s="237">
        <f ca="1">((Summary!$N$9*(AA66*AD66)*(A66-$D$3))+(Summary!$M$9*Z66*AC66*(AJ66-EOMONTH(EDATE(A66,-1),0))))/(AK66*AB66*AE66)</f>
        <v>0.99942977323214688</v>
      </c>
      <c r="AG66" s="88">
        <f>IF($A67="","",Summary!$Q$9)</f>
        <v>0</v>
      </c>
      <c r="AH66" s="88">
        <f>IF($A67="","",IF(Summary!$R$9="Y",VLOOKUP($A66,Summary!$AD$6:$AF$9,3)+'Escalating commodity'!E79,'Escalating commodity'!E79))</f>
        <v>7.0699999999999999E-2</v>
      </c>
      <c r="AI66" s="88">
        <f t="shared" si="35"/>
        <v>7.0699999999999999E-2</v>
      </c>
      <c r="AJ66" s="236">
        <f t="shared" si="21"/>
        <v>38762</v>
      </c>
      <c r="AK66" s="58">
        <f t="shared" ca="1" si="22"/>
        <v>1723</v>
      </c>
      <c r="AL66" s="26">
        <f ca="1">IF($A67="","",_xll.SPRDOPT(P66,X66,AI66,0,AB66,AE66,AF66,AK66,$AJ$2,0))</f>
        <v>0.15895383958507978</v>
      </c>
      <c r="AM66" s="89">
        <f t="shared" si="23"/>
        <v>0.15154007125641789</v>
      </c>
      <c r="AN66" s="89">
        <f t="shared" ca="1" si="24"/>
        <v>7.4137683286618905E-3</v>
      </c>
      <c r="AO66" s="3">
        <f t="shared" si="25"/>
        <v>28</v>
      </c>
      <c r="AP66" s="33">
        <f t="shared" si="26"/>
        <v>38749</v>
      </c>
      <c r="AQ66" s="58">
        <f t="shared" ca="1" si="27"/>
        <v>1723</v>
      </c>
      <c r="AR66" s="38">
        <f>'ANR OK vs ML7'!AR66</f>
        <v>0.1</v>
      </c>
      <c r="AS66" s="35">
        <f t="shared" ca="1" si="28"/>
        <v>0.63108335041553021</v>
      </c>
      <c r="AT66" s="3">
        <f t="shared" si="29"/>
        <v>1</v>
      </c>
      <c r="AU66" s="3">
        <f t="shared" si="30"/>
        <v>28</v>
      </c>
      <c r="AW66" s="32">
        <f t="shared" ca="1" si="31"/>
        <v>160448.00567717952</v>
      </c>
      <c r="AX66" s="32">
        <f t="shared" si="32"/>
        <v>152964.5479262282</v>
      </c>
      <c r="AY66" s="32">
        <f t="shared" ca="1" si="33"/>
        <v>7483.4577509513119</v>
      </c>
      <c r="BA66" s="32">
        <f ca="1">IF($A67="","",F66*Summary!$Q$9)</f>
        <v>0</v>
      </c>
      <c r="BC66" s="256">
        <f t="shared" ca="1" si="36"/>
        <v>96533.379400081045</v>
      </c>
    </row>
    <row r="67" spans="1:55">
      <c r="A67" s="67">
        <f t="shared" si="34"/>
        <v>38777</v>
      </c>
      <c r="B67" s="69">
        <f t="shared" si="37"/>
        <v>36050</v>
      </c>
      <c r="C67" s="71"/>
      <c r="D67" s="69">
        <f t="shared" si="0"/>
        <v>36050</v>
      </c>
      <c r="E67" s="70">
        <f t="shared" si="1"/>
        <v>1117550</v>
      </c>
      <c r="F67" s="70">
        <f t="shared" ca="1" si="2"/>
        <v>700011.1370741782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0.33500000000000002</v>
      </c>
      <c r="K67" s="64">
        <f t="shared" si="6"/>
        <v>0.33500000000000002</v>
      </c>
      <c r="L67" s="63">
        <f t="shared" si="5"/>
        <v>0</v>
      </c>
      <c r="M67" s="64">
        <f t="shared" si="7"/>
        <v>0</v>
      </c>
      <c r="N67" s="65"/>
      <c r="O67" s="63">
        <f t="shared" si="8"/>
        <v>4.5199999999999996</v>
      </c>
      <c r="P67" s="63">
        <f t="shared" si="9"/>
        <v>4.5199999999999996</v>
      </c>
      <c r="Q67" s="66"/>
      <c r="R67" s="63">
        <f t="shared" si="10"/>
        <v>-0.1</v>
      </c>
      <c r="S67" s="64">
        <f t="shared" si="11"/>
        <v>-0.1</v>
      </c>
      <c r="T67" s="63">
        <f t="shared" si="12"/>
        <v>0.01</v>
      </c>
      <c r="U67" s="64">
        <f t="shared" si="13"/>
        <v>0.01</v>
      </c>
      <c r="V67" s="90">
        <f>IF($A68="","",IF(AND(MONTH(A67)&gt;3,MONTH(A67)&lt;11),(T67+R67+G67)*Summary!$T$9/(1-Summary!$T$9),(T67+R67+G67)*Summary!$U$9/(1-Summary!$U$9)))</f>
        <v>0.19610342659541022</v>
      </c>
      <c r="W67" s="63">
        <f t="shared" si="14"/>
        <v>4.2911034265954102</v>
      </c>
      <c r="X67" s="63">
        <f t="shared" si="15"/>
        <v>4.2911034265954102</v>
      </c>
      <c r="Y67" s="43"/>
      <c r="Z67" s="38">
        <f t="shared" si="16"/>
        <v>0.75</v>
      </c>
      <c r="AA67" s="38">
        <f t="shared" si="17"/>
        <v>0.25</v>
      </c>
      <c r="AB67" s="38">
        <f t="shared" ca="1" si="18"/>
        <v>0.25983647056074827</v>
      </c>
      <c r="AC67" s="38">
        <f t="shared" si="19"/>
        <v>0.75</v>
      </c>
      <c r="AD67" s="38">
        <f t="shared" si="19"/>
        <v>0.25</v>
      </c>
      <c r="AE67" s="38">
        <f t="shared" ca="1" si="20"/>
        <v>0.25983647056074827</v>
      </c>
      <c r="AF67" s="237">
        <f ca="1">((Summary!$N$9*(AA67*AD67)*(A67-$D$3))+(Summary!$M$9*Z67*AC67*(AJ67-EOMONTH(EDATE(A67,-1),0))))/(AK67*AB67*AE67)</f>
        <v>0.99990737509912764</v>
      </c>
      <c r="AG67" s="88">
        <f>IF($A68="","",Summary!$Q$9)</f>
        <v>0</v>
      </c>
      <c r="AH67" s="88">
        <f>IF($A68="","",IF(Summary!$R$9="Y",VLOOKUP($A67,Summary!$AD$6:$AF$9,3)+'Escalating commodity'!E80,'Escalating commodity'!E80))</f>
        <v>7.0699999999999999E-2</v>
      </c>
      <c r="AI67" s="88">
        <f t="shared" si="35"/>
        <v>7.0699999999999999E-2</v>
      </c>
      <c r="AJ67" s="236">
        <f t="shared" si="21"/>
        <v>38791.5</v>
      </c>
      <c r="AK67" s="58">
        <f t="shared" ca="1" si="22"/>
        <v>1751</v>
      </c>
      <c r="AL67" s="26">
        <f ca="1">IF($A68="","",_xll.SPRDOPT(P67,X67,AI67,0,AB67,AE67,AF67,AK67,$AJ$2,0))</f>
        <v>0.15918561007876664</v>
      </c>
      <c r="AM67" s="89">
        <f t="shared" si="23"/>
        <v>0.15819657340458937</v>
      </c>
      <c r="AN67" s="89">
        <f t="shared" ca="1" si="24"/>
        <v>9.8903667417726826E-4</v>
      </c>
      <c r="AO67" s="3">
        <f t="shared" si="25"/>
        <v>31</v>
      </c>
      <c r="AP67" s="33">
        <f t="shared" si="26"/>
        <v>38777</v>
      </c>
      <c r="AQ67" s="58">
        <f t="shared" ca="1" si="27"/>
        <v>1751</v>
      </c>
      <c r="AR67" s="38">
        <f>'ANR OK vs ML7'!AR67</f>
        <v>0.1</v>
      </c>
      <c r="AS67" s="35">
        <f t="shared" ca="1" si="28"/>
        <v>0.6263801503952201</v>
      </c>
      <c r="AT67" s="3">
        <f t="shared" si="29"/>
        <v>1</v>
      </c>
      <c r="AU67" s="3">
        <f t="shared" si="30"/>
        <v>31</v>
      </c>
      <c r="AW67" s="32">
        <f t="shared" ca="1" si="31"/>
        <v>177897.87854352564</v>
      </c>
      <c r="AX67" s="32">
        <f t="shared" si="32"/>
        <v>176792.58060829886</v>
      </c>
      <c r="AY67" s="32">
        <f t="shared" ca="1" si="33"/>
        <v>1105.2979352268062</v>
      </c>
      <c r="BA67" s="32">
        <f ca="1">IF($A68="","",F67*Summary!$Q$9)</f>
        <v>0</v>
      </c>
      <c r="BC67" s="256">
        <f t="shared" ca="1" si="36"/>
        <v>110739.36323018531</v>
      </c>
    </row>
    <row r="68" spans="1:55">
      <c r="A68" s="67">
        <f t="shared" si="34"/>
        <v>38808</v>
      </c>
      <c r="B68" s="69">
        <f t="shared" si="37"/>
        <v>36050</v>
      </c>
      <c r="C68" s="71"/>
      <c r="D68" s="69">
        <f t="shared" si="0"/>
        <v>36050</v>
      </c>
      <c r="E68" s="70">
        <f t="shared" si="1"/>
        <v>1081500</v>
      </c>
      <c r="F68" s="70">
        <f t="shared" ca="1" si="2"/>
        <v>671842.84425587708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0.18</v>
      </c>
      <c r="K68" s="64">
        <f t="shared" si="6"/>
        <v>0.18</v>
      </c>
      <c r="L68" s="63">
        <f t="shared" si="5"/>
        <v>0</v>
      </c>
      <c r="M68" s="64">
        <f t="shared" si="7"/>
        <v>0</v>
      </c>
      <c r="N68" s="65"/>
      <c r="O68" s="63">
        <f t="shared" si="8"/>
        <v>4.1899999999999995</v>
      </c>
      <c r="P68" s="63">
        <f t="shared" si="9"/>
        <v>4.1899999999999995</v>
      </c>
      <c r="Q68" s="66"/>
      <c r="R68" s="63">
        <f t="shared" si="10"/>
        <v>-0.1</v>
      </c>
      <c r="S68" s="64">
        <f t="shared" si="11"/>
        <v>-0.1</v>
      </c>
      <c r="T68" s="63">
        <f t="shared" si="12"/>
        <v>-0.01</v>
      </c>
      <c r="U68" s="64">
        <f t="shared" si="13"/>
        <v>-0.01</v>
      </c>
      <c r="V68" s="90">
        <f>IF($A69="","",IF(AND(MONTH(A68)&gt;3,MONTH(A68)&lt;11),(T68+R68+G68)*Summary!$T$9/(1-Summary!$T$9),(T68+R68+G68)*Summary!$U$9/(1-Summary!$U$9)))</f>
        <v>0.186765168186105</v>
      </c>
      <c r="W68" s="63">
        <f t="shared" si="14"/>
        <v>4.0867651681861048</v>
      </c>
      <c r="X68" s="63">
        <f t="shared" si="15"/>
        <v>4.0867651681861048</v>
      </c>
      <c r="Y68" s="43"/>
      <c r="Z68" s="38">
        <f t="shared" si="16"/>
        <v>0.45</v>
      </c>
      <c r="AA68" s="38">
        <f t="shared" si="17"/>
        <v>0.245</v>
      </c>
      <c r="AB68" s="38">
        <f t="shared" ca="1" si="18"/>
        <v>0.24852209060241742</v>
      </c>
      <c r="AC68" s="38">
        <f t="shared" si="19"/>
        <v>0.4</v>
      </c>
      <c r="AD68" s="38">
        <f t="shared" si="19"/>
        <v>0.245</v>
      </c>
      <c r="AE68" s="38">
        <f t="shared" ca="1" si="20"/>
        <v>0.24780130227594058</v>
      </c>
      <c r="AF68" s="237">
        <f ca="1">((Summary!$N$9*(AA68*AD68)*(A68-$D$3))+(Summary!$M$9*Z68*AC68*(AJ68-EOMONTH(EDATE(A68,-1),0))))/(AK68*AB68*AE68)</f>
        <v>0.9997358411240711</v>
      </c>
      <c r="AG68" s="88">
        <f>IF($A69="","",Summary!$Q$9)</f>
        <v>0</v>
      </c>
      <c r="AH68" s="88">
        <f>IF($A69="","",IF(Summary!$R$9="Y",VLOOKUP($A68,Summary!$AD$6:$AF$9,3)+'Escalating commodity'!E81,'Escalating commodity'!E81))</f>
        <v>7.0699999999999999E-2</v>
      </c>
      <c r="AI68" s="88">
        <f t="shared" si="35"/>
        <v>7.0699999999999999E-2</v>
      </c>
      <c r="AJ68" s="236">
        <f t="shared" si="21"/>
        <v>38822</v>
      </c>
      <c r="AK68" s="58">
        <f t="shared" ca="1" si="22"/>
        <v>1782</v>
      </c>
      <c r="AL68" s="26">
        <f ca="1">IF($A69="","",_xll.SPRDOPT(P68,X68,AI68,0,AB68,AE68,AF68,AK68,$AJ$2,0))</f>
        <v>4.6751288933311597E-2</v>
      </c>
      <c r="AM68" s="89">
        <f t="shared" si="23"/>
        <v>3.2534831813894702E-2</v>
      </c>
      <c r="AN68" s="89">
        <f t="shared" ca="1" si="24"/>
        <v>1.4216457119416895E-2</v>
      </c>
      <c r="AO68" s="3">
        <f t="shared" si="25"/>
        <v>30</v>
      </c>
      <c r="AP68" s="33">
        <f t="shared" si="26"/>
        <v>38808</v>
      </c>
      <c r="AQ68" s="58">
        <f t="shared" ca="1" si="27"/>
        <v>1782</v>
      </c>
      <c r="AR68" s="38">
        <f>'ANR OK vs ML7'!AR68</f>
        <v>0.1</v>
      </c>
      <c r="AS68" s="35">
        <f t="shared" ca="1" si="28"/>
        <v>0.62121391054634956</v>
      </c>
      <c r="AT68" s="3">
        <f t="shared" si="29"/>
        <v>1</v>
      </c>
      <c r="AU68" s="3">
        <f t="shared" si="30"/>
        <v>30</v>
      </c>
      <c r="AW68" s="32">
        <f t="shared" ca="1" si="31"/>
        <v>50561.518981376488</v>
      </c>
      <c r="AX68" s="32">
        <f t="shared" si="32"/>
        <v>35186.420606727123</v>
      </c>
      <c r="AY68" s="32">
        <f t="shared" ca="1" si="33"/>
        <v>15375.098374649371</v>
      </c>
      <c r="BA68" s="32">
        <f ca="1">IF($A69="","",F68*Summary!$Q$9)</f>
        <v>0</v>
      </c>
      <c r="BC68" s="256">
        <f t="shared" ca="1" si="36"/>
        <v>21858.293943233613</v>
      </c>
    </row>
    <row r="69" spans="1:55">
      <c r="A69" s="67">
        <f t="shared" si="34"/>
        <v>38838</v>
      </c>
      <c r="B69" s="69">
        <f t="shared" si="37"/>
        <v>36050</v>
      </c>
      <c r="C69" s="71"/>
      <c r="D69" s="69">
        <f t="shared" si="0"/>
        <v>36050</v>
      </c>
      <c r="E69" s="70">
        <f t="shared" si="1"/>
        <v>1117550</v>
      </c>
      <c r="F69" s="70">
        <f t="shared" ca="1" si="2"/>
        <v>688695.66076864256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0.18</v>
      </c>
      <c r="K69" s="64">
        <f t="shared" si="6"/>
        <v>0.18</v>
      </c>
      <c r="L69" s="63">
        <f t="shared" si="5"/>
        <v>0</v>
      </c>
      <c r="M69" s="64">
        <f t="shared" si="7"/>
        <v>0</v>
      </c>
      <c r="N69" s="65"/>
      <c r="O69" s="63">
        <f t="shared" si="8"/>
        <v>4.16</v>
      </c>
      <c r="P69" s="63">
        <f t="shared" si="9"/>
        <v>4.16</v>
      </c>
      <c r="Q69" s="66"/>
      <c r="R69" s="63">
        <f t="shared" si="10"/>
        <v>-0.1</v>
      </c>
      <c r="S69" s="64">
        <f t="shared" si="11"/>
        <v>-0.1</v>
      </c>
      <c r="T69" s="63">
        <f t="shared" si="12"/>
        <v>-0.01</v>
      </c>
      <c r="U69" s="64">
        <f t="shared" si="13"/>
        <v>-0.01</v>
      </c>
      <c r="V69" s="90">
        <f>IF($A70="","",IF(AND(MONTH(A69)&gt;3,MONTH(A69)&lt;11),(T69+R69+G69)*Summary!$T$9/(1-Summary!$T$9),(T69+R69+G69)*Summary!$U$9/(1-Summary!$U$9)))</f>
        <v>0.18532851304621187</v>
      </c>
      <c r="W69" s="63">
        <f t="shared" si="14"/>
        <v>4.055328513046212</v>
      </c>
      <c r="X69" s="63">
        <f t="shared" si="15"/>
        <v>4.055328513046212</v>
      </c>
      <c r="Y69" s="43"/>
      <c r="Z69" s="38">
        <f t="shared" si="16"/>
        <v>0.5</v>
      </c>
      <c r="AA69" s="38">
        <f t="shared" si="17"/>
        <v>0.23800000000000002</v>
      </c>
      <c r="AB69" s="38">
        <f t="shared" ca="1" si="18"/>
        <v>0.24251552828005396</v>
      </c>
      <c r="AC69" s="38">
        <f t="shared" si="19"/>
        <v>0.4</v>
      </c>
      <c r="AD69" s="38">
        <f t="shared" si="19"/>
        <v>0.23800000000000002</v>
      </c>
      <c r="AE69" s="38">
        <f t="shared" ca="1" si="20"/>
        <v>0.24092304561267022</v>
      </c>
      <c r="AF69" s="237">
        <f ca="1">((Summary!$N$9*(AA69*AD69)*(A69-$D$3))+(Summary!$M$9*Z69*AC69*(AJ69-EOMONTH(EDATE(A69,-1),0))))/(AK69*AB69*AE69)</f>
        <v>0.99919267672546563</v>
      </c>
      <c r="AG69" s="88">
        <f>IF($A70="","",Summary!$Q$9)</f>
        <v>0</v>
      </c>
      <c r="AH69" s="88">
        <f>IF($A70="","",IF(Summary!$R$9="Y",VLOOKUP($A69,Summary!$AD$6:$AF$9,3)+'Escalating commodity'!E82,'Escalating commodity'!E82))</f>
        <v>7.0699999999999999E-2</v>
      </c>
      <c r="AI69" s="88">
        <f t="shared" si="35"/>
        <v>7.0699999999999999E-2</v>
      </c>
      <c r="AJ69" s="236">
        <f t="shared" si="21"/>
        <v>38852.5</v>
      </c>
      <c r="AK69" s="58">
        <f t="shared" ca="1" si="22"/>
        <v>1812</v>
      </c>
      <c r="AL69" s="26">
        <f ca="1">IF($A70="","",_xll.SPRDOPT(P69,X69,AI69,0,AB69,AE69,AF69,AK69,$AJ$2,0))</f>
        <v>6.0264193059134143E-2</v>
      </c>
      <c r="AM69" s="89">
        <f t="shared" si="23"/>
        <v>3.3971486953788141E-2</v>
      </c>
      <c r="AN69" s="89">
        <f t="shared" ca="1" si="24"/>
        <v>2.6292706105346002E-2</v>
      </c>
      <c r="AO69" s="3">
        <f t="shared" si="25"/>
        <v>31</v>
      </c>
      <c r="AP69" s="33">
        <f t="shared" si="26"/>
        <v>38838</v>
      </c>
      <c r="AQ69" s="58">
        <f t="shared" ca="1" si="27"/>
        <v>1812</v>
      </c>
      <c r="AR69" s="38">
        <f>'ANR OK vs ML7'!AR69</f>
        <v>0.1</v>
      </c>
      <c r="AS69" s="35">
        <f t="shared" ca="1" si="28"/>
        <v>0.61625489756041574</v>
      </c>
      <c r="AT69" s="3">
        <f t="shared" si="29"/>
        <v>1</v>
      </c>
      <c r="AU69" s="3">
        <f t="shared" si="30"/>
        <v>31</v>
      </c>
      <c r="AW69" s="32">
        <f t="shared" ca="1" si="31"/>
        <v>67348.248953235365</v>
      </c>
      <c r="AX69" s="32">
        <f t="shared" si="32"/>
        <v>37964.835245205933</v>
      </c>
      <c r="AY69" s="32">
        <f t="shared" ca="1" si="33"/>
        <v>29383.413708029424</v>
      </c>
      <c r="BA69" s="32">
        <f ca="1">IF($A70="","",F69*Summary!$Q$9)</f>
        <v>0</v>
      </c>
      <c r="BC69" s="256">
        <f t="shared" ca="1" si="36"/>
        <v>23396.015654932442</v>
      </c>
    </row>
    <row r="70" spans="1:55">
      <c r="A70" s="67">
        <f t="shared" si="34"/>
        <v>38869</v>
      </c>
      <c r="B70" s="69">
        <f t="shared" si="37"/>
        <v>36050</v>
      </c>
      <c r="C70" s="71"/>
      <c r="D70" s="69">
        <f t="shared" si="0"/>
        <v>36050</v>
      </c>
      <c r="E70" s="70">
        <f t="shared" si="1"/>
        <v>1081500</v>
      </c>
      <c r="F70" s="70">
        <f t="shared" ca="1" si="2"/>
        <v>660982.70020588976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0.18</v>
      </c>
      <c r="K70" s="64">
        <f t="shared" si="6"/>
        <v>0.18</v>
      </c>
      <c r="L70" s="63">
        <f t="shared" si="5"/>
        <v>0</v>
      </c>
      <c r="M70" s="64">
        <f t="shared" si="7"/>
        <v>0</v>
      </c>
      <c r="N70" s="65"/>
      <c r="O70" s="63">
        <f t="shared" si="8"/>
        <v>4.2299999999999995</v>
      </c>
      <c r="P70" s="63">
        <f t="shared" si="9"/>
        <v>4.2299999999999995</v>
      </c>
      <c r="Q70" s="66"/>
      <c r="R70" s="63">
        <f t="shared" si="10"/>
        <v>-0.1</v>
      </c>
      <c r="S70" s="64">
        <f t="shared" si="11"/>
        <v>-0.1</v>
      </c>
      <c r="T70" s="63">
        <f t="shared" si="12"/>
        <v>-0.01</v>
      </c>
      <c r="U70" s="64">
        <f t="shared" si="13"/>
        <v>-0.01</v>
      </c>
      <c r="V70" s="90">
        <f>IF($A71="","",IF(AND(MONTH(A70)&gt;3,MONTH(A70)&lt;11),(T70+R70+G70)*Summary!$T$9/(1-Summary!$T$9),(T70+R70+G70)*Summary!$U$9/(1-Summary!$U$9)))</f>
        <v>0.18868070837262915</v>
      </c>
      <c r="W70" s="63">
        <f t="shared" si="14"/>
        <v>4.1286807083726291</v>
      </c>
      <c r="X70" s="63">
        <f t="shared" si="15"/>
        <v>4.1286807083726291</v>
      </c>
      <c r="Y70" s="43"/>
      <c r="Z70" s="38">
        <f t="shared" si="16"/>
        <v>0.5</v>
      </c>
      <c r="AA70" s="38">
        <f t="shared" si="17"/>
        <v>0.23800000000000002</v>
      </c>
      <c r="AB70" s="38">
        <f t="shared" ca="1" si="18"/>
        <v>0.24230035217053275</v>
      </c>
      <c r="AC70" s="38">
        <f t="shared" si="19"/>
        <v>0.4</v>
      </c>
      <c r="AD70" s="38">
        <f t="shared" si="19"/>
        <v>0.23800000000000002</v>
      </c>
      <c r="AE70" s="38">
        <f t="shared" ca="1" si="20"/>
        <v>0.24078405118587112</v>
      </c>
      <c r="AF70" s="237">
        <f ca="1">((Summary!$N$9*(AA70*AD70)*(A70-$D$3))+(Summary!$M$9*Z70*AC70*(AJ70-EOMONTH(EDATE(A70,-1),0))))/(AK70*AB70*AE70)</f>
        <v>0.99922504607097695</v>
      </c>
      <c r="AG70" s="88">
        <f>IF($A71="","",Summary!$Q$9)</f>
        <v>0</v>
      </c>
      <c r="AH70" s="88">
        <f>IF($A71="","",IF(Summary!$R$9="Y",VLOOKUP($A70,Summary!$AD$6:$AF$9,3)+'Escalating commodity'!E83,'Escalating commodity'!E83))</f>
        <v>7.0699999999999999E-2</v>
      </c>
      <c r="AI70" s="88">
        <f t="shared" si="35"/>
        <v>7.0699999999999999E-2</v>
      </c>
      <c r="AJ70" s="236">
        <f t="shared" si="21"/>
        <v>38883</v>
      </c>
      <c r="AK70" s="58">
        <f t="shared" ca="1" si="22"/>
        <v>1843</v>
      </c>
      <c r="AL70" s="26">
        <f ca="1">IF($A71="","",_xll.SPRDOPT(P70,X70,AI70,0,AB70,AE70,AF70,AK70,$AJ$2,0))</f>
        <v>5.8087633922526839E-2</v>
      </c>
      <c r="AM70" s="89">
        <f t="shared" si="23"/>
        <v>3.0619291627370412E-2</v>
      </c>
      <c r="AN70" s="89">
        <f t="shared" ca="1" si="24"/>
        <v>2.7468342295156427E-2</v>
      </c>
      <c r="AO70" s="3">
        <f t="shared" si="25"/>
        <v>30</v>
      </c>
      <c r="AP70" s="33">
        <f t="shared" si="26"/>
        <v>38869</v>
      </c>
      <c r="AQ70" s="58">
        <f t="shared" ca="1" si="27"/>
        <v>1843</v>
      </c>
      <c r="AR70" s="38">
        <f>'ANR OK vs ML7'!AR70</f>
        <v>0.1</v>
      </c>
      <c r="AS70" s="35">
        <f t="shared" ca="1" si="28"/>
        <v>0.61117216847516387</v>
      </c>
      <c r="AT70" s="3">
        <f t="shared" si="29"/>
        <v>1</v>
      </c>
      <c r="AU70" s="3">
        <f t="shared" si="30"/>
        <v>30</v>
      </c>
      <c r="AW70" s="32">
        <f t="shared" ca="1" si="31"/>
        <v>62821.776087212776</v>
      </c>
      <c r="AX70" s="32">
        <f t="shared" si="32"/>
        <v>33114.763895001102</v>
      </c>
      <c r="AY70" s="32">
        <f t="shared" ca="1" si="33"/>
        <v>29707.012192211674</v>
      </c>
      <c r="BA70" s="32">
        <f ca="1">IF($A71="","",F70*Summary!$Q$9)</f>
        <v>0</v>
      </c>
      <c r="BC70" s="256">
        <f t="shared" ca="1" si="36"/>
        <v>20238.822058250887</v>
      </c>
    </row>
    <row r="71" spans="1:55">
      <c r="A71" s="67">
        <f t="shared" si="34"/>
        <v>38899</v>
      </c>
      <c r="B71" s="69">
        <f t="shared" si="37"/>
        <v>36050</v>
      </c>
      <c r="C71" s="71"/>
      <c r="D71" s="69">
        <f t="shared" si="0"/>
        <v>36050</v>
      </c>
      <c r="E71" s="70">
        <f t="shared" si="1"/>
        <v>1117550</v>
      </c>
      <c r="F71" s="70">
        <f t="shared" ca="1" si="2"/>
        <v>677563.09584442619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0.18</v>
      </c>
      <c r="K71" s="64">
        <f t="shared" si="6"/>
        <v>0.18</v>
      </c>
      <c r="L71" s="63">
        <f t="shared" si="5"/>
        <v>0</v>
      </c>
      <c r="M71" s="64">
        <f t="shared" si="7"/>
        <v>0</v>
      </c>
      <c r="N71" s="65"/>
      <c r="O71" s="63">
        <f t="shared" si="8"/>
        <v>4.2850000000000001</v>
      </c>
      <c r="P71" s="63">
        <f t="shared" si="9"/>
        <v>4.2850000000000001</v>
      </c>
      <c r="Q71" s="66"/>
      <c r="R71" s="63">
        <f t="shared" si="10"/>
        <v>-0.1</v>
      </c>
      <c r="S71" s="64">
        <f t="shared" si="11"/>
        <v>-0.1</v>
      </c>
      <c r="T71" s="63">
        <f t="shared" si="12"/>
        <v>-0.01</v>
      </c>
      <c r="U71" s="64">
        <f t="shared" si="13"/>
        <v>-0.01</v>
      </c>
      <c r="V71" s="90">
        <f>IF($A72="","",IF(AND(MONTH(A71)&gt;3,MONTH(A71)&lt;11),(T71+R71+G71)*Summary!$T$9/(1-Summary!$T$9),(T71+R71+G71)*Summary!$U$9/(1-Summary!$U$9)))</f>
        <v>0.19131457612909988</v>
      </c>
      <c r="W71" s="63">
        <f t="shared" si="14"/>
        <v>4.1863145761291003</v>
      </c>
      <c r="X71" s="63">
        <f t="shared" si="15"/>
        <v>4.1863145761291003</v>
      </c>
      <c r="Y71" s="43"/>
      <c r="Z71" s="38">
        <f t="shared" si="16"/>
        <v>0.55000000000000004</v>
      </c>
      <c r="AA71" s="38">
        <f t="shared" si="17"/>
        <v>0.23800000000000002</v>
      </c>
      <c r="AB71" s="38">
        <f t="shared" ca="1" si="18"/>
        <v>0.24326442256230199</v>
      </c>
      <c r="AC71" s="38">
        <f t="shared" si="19"/>
        <v>0.4</v>
      </c>
      <c r="AD71" s="38">
        <f t="shared" si="19"/>
        <v>0.23800000000000002</v>
      </c>
      <c r="AE71" s="38">
        <f t="shared" ca="1" si="20"/>
        <v>0.2408284065667991</v>
      </c>
      <c r="AF71" s="237">
        <f ca="1">((Summary!$N$9*(AA71*AD71)*(A71-$D$3))+(Summary!$M$9*Z71*AC71*(AJ71-EOMONTH(EDATE(A71,-1),0))))/(AK71*AB71*AE71)</f>
        <v>0.99836477476190311</v>
      </c>
      <c r="AG71" s="88">
        <f>IF($A72="","",Summary!$Q$9)</f>
        <v>0</v>
      </c>
      <c r="AH71" s="88">
        <f>IF($A72="","",IF(Summary!$R$9="Y",VLOOKUP($A71,Summary!$AD$6:$AF$9,3)+'Escalating commodity'!E84,'Escalating commodity'!E84))</f>
        <v>7.0699999999999999E-2</v>
      </c>
      <c r="AI71" s="88">
        <f t="shared" si="35"/>
        <v>7.0699999999999999E-2</v>
      </c>
      <c r="AJ71" s="236">
        <f t="shared" si="21"/>
        <v>38913.5</v>
      </c>
      <c r="AK71" s="58">
        <f t="shared" ca="1" si="22"/>
        <v>1873</v>
      </c>
      <c r="AL71" s="26">
        <f ca="1">IF($A72="","",_xll.SPRDOPT(P71,X71,AI71,0,AB71,AE71,AF71,AK71,$AJ$2,0))</f>
        <v>7.3824547622776654E-2</v>
      </c>
      <c r="AM71" s="89">
        <f t="shared" si="23"/>
        <v>2.7985423870899848E-2</v>
      </c>
      <c r="AN71" s="89">
        <f t="shared" ca="1" si="24"/>
        <v>4.5839123751876806E-2</v>
      </c>
      <c r="AO71" s="3">
        <f t="shared" si="25"/>
        <v>31</v>
      </c>
      <c r="AP71" s="33">
        <f t="shared" si="26"/>
        <v>38899</v>
      </c>
      <c r="AQ71" s="58">
        <f t="shared" ca="1" si="27"/>
        <v>1873</v>
      </c>
      <c r="AR71" s="38">
        <f>'ANR OK vs ML7'!AR71</f>
        <v>0.1</v>
      </c>
      <c r="AS71" s="35">
        <f t="shared" ca="1" si="28"/>
        <v>0.60629331649091867</v>
      </c>
      <c r="AT71" s="3">
        <f t="shared" si="29"/>
        <v>1</v>
      </c>
      <c r="AU71" s="3">
        <f t="shared" si="30"/>
        <v>31</v>
      </c>
      <c r="AW71" s="32">
        <f t="shared" ca="1" si="31"/>
        <v>82502.62319583405</v>
      </c>
      <c r="AX71" s="32">
        <f t="shared" si="32"/>
        <v>31275.110446924125</v>
      </c>
      <c r="AY71" s="32">
        <f t="shared" ca="1" si="33"/>
        <v>51227.512748909925</v>
      </c>
      <c r="BA71" s="32">
        <f ca="1">IF($A72="","",F71*Summary!$Q$9)</f>
        <v>0</v>
      </c>
      <c r="BC71" s="256">
        <f t="shared" ca="1" si="36"/>
        <v>18961.890436485406</v>
      </c>
    </row>
    <row r="72" spans="1:55">
      <c r="A72" s="67">
        <f t="shared" si="34"/>
        <v>38930</v>
      </c>
      <c r="B72" s="69">
        <f t="shared" si="37"/>
        <v>36050</v>
      </c>
      <c r="C72" s="71"/>
      <c r="D72" s="69">
        <f t="shared" si="0"/>
        <v>36050</v>
      </c>
      <c r="E72" s="70">
        <f t="shared" si="1"/>
        <v>1117550</v>
      </c>
      <c r="F72" s="70">
        <f t="shared" ca="1" si="2"/>
        <v>671974.71079795412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0.18</v>
      </c>
      <c r="K72" s="64">
        <f t="shared" si="6"/>
        <v>0.18</v>
      </c>
      <c r="L72" s="63">
        <f t="shared" si="5"/>
        <v>0</v>
      </c>
      <c r="M72" s="64">
        <f t="shared" si="7"/>
        <v>0</v>
      </c>
      <c r="N72" s="65"/>
      <c r="O72" s="63">
        <f t="shared" si="8"/>
        <v>4.3410000000000002</v>
      </c>
      <c r="P72" s="63">
        <f t="shared" si="9"/>
        <v>4.3410000000000002</v>
      </c>
      <c r="Q72" s="66"/>
      <c r="R72" s="63">
        <f t="shared" si="10"/>
        <v>-0.1</v>
      </c>
      <c r="S72" s="64">
        <f t="shared" si="11"/>
        <v>-0.1</v>
      </c>
      <c r="T72" s="63">
        <f t="shared" si="12"/>
        <v>-0.01</v>
      </c>
      <c r="U72" s="64">
        <f t="shared" si="13"/>
        <v>-0.01</v>
      </c>
      <c r="V72" s="90">
        <f>IF($A73="","",IF(AND(MONTH(A72)&gt;3,MONTH(A72)&lt;11),(T72+R72+G72)*Summary!$T$9/(1-Summary!$T$9),(T72+R72+G72)*Summary!$U$9/(1-Summary!$U$9)))</f>
        <v>0.19399633239023367</v>
      </c>
      <c r="W72" s="63">
        <f t="shared" si="14"/>
        <v>4.244996332390234</v>
      </c>
      <c r="X72" s="63">
        <f t="shared" si="15"/>
        <v>4.244996332390234</v>
      </c>
      <c r="Y72" s="43"/>
      <c r="Z72" s="38">
        <f t="shared" si="16"/>
        <v>0.6</v>
      </c>
      <c r="AA72" s="38">
        <f t="shared" si="17"/>
        <v>0.23800000000000002</v>
      </c>
      <c r="AB72" s="38">
        <f t="shared" ca="1" si="18"/>
        <v>0.24414016930629742</v>
      </c>
      <c r="AC72" s="38">
        <f t="shared" si="19"/>
        <v>0.5</v>
      </c>
      <c r="AD72" s="38">
        <f t="shared" si="19"/>
        <v>0.23800000000000002</v>
      </c>
      <c r="AE72" s="38">
        <f t="shared" ca="1" si="20"/>
        <v>0.24229927584627706</v>
      </c>
      <c r="AF72" s="237">
        <f ca="1">((Summary!$N$9*(AA72*AD72)*(A72-$D$3))+(Summary!$M$9*Z72*AC72*(AJ72-EOMONTH(EDATE(A72,-1),0))))/(AK72*AB72*AE72)</f>
        <v>0.99924475154173986</v>
      </c>
      <c r="AG72" s="88">
        <f>IF($A73="","",Summary!$Q$9)</f>
        <v>0</v>
      </c>
      <c r="AH72" s="88">
        <f>IF($A73="","",IF(Summary!$R$9="Y",VLOOKUP($A72,Summary!$AD$6:$AF$9,3)+'Escalating commodity'!E85,'Escalating commodity'!E85))</f>
        <v>7.0699999999999999E-2</v>
      </c>
      <c r="AI72" s="88">
        <f t="shared" si="35"/>
        <v>7.0699999999999999E-2</v>
      </c>
      <c r="AJ72" s="236">
        <f t="shared" si="21"/>
        <v>38944.5</v>
      </c>
      <c r="AK72" s="58">
        <f t="shared" ca="1" si="22"/>
        <v>1904</v>
      </c>
      <c r="AL72" s="26">
        <f ca="1">IF($A73="","",_xll.SPRDOPT(P72,X72,AI72,0,AB72,AE72,AF72,AK72,$AJ$2,0))</f>
        <v>5.6651122865873475E-2</v>
      </c>
      <c r="AM72" s="89">
        <f t="shared" si="23"/>
        <v>2.5303667609766198E-2</v>
      </c>
      <c r="AN72" s="89">
        <f t="shared" ca="1" si="24"/>
        <v>3.1347455256107278E-2</v>
      </c>
      <c r="AO72" s="3">
        <f t="shared" si="25"/>
        <v>31</v>
      </c>
      <c r="AP72" s="33">
        <f t="shared" si="26"/>
        <v>38930</v>
      </c>
      <c r="AQ72" s="58">
        <f t="shared" ca="1" si="27"/>
        <v>1904</v>
      </c>
      <c r="AR72" s="38">
        <f>'ANR OK vs ML7'!AR72</f>
        <v>0.1</v>
      </c>
      <c r="AS72" s="35">
        <f t="shared" ca="1" si="28"/>
        <v>0.60129274824209578</v>
      </c>
      <c r="AT72" s="3">
        <f t="shared" si="29"/>
        <v>1</v>
      </c>
      <c r="AU72" s="3">
        <f t="shared" si="30"/>
        <v>31</v>
      </c>
      <c r="AW72" s="32">
        <f t="shared" ca="1" si="31"/>
        <v>63310.4623587569</v>
      </c>
      <c r="AX72" s="32">
        <f t="shared" si="32"/>
        <v>28278.113737294214</v>
      </c>
      <c r="AY72" s="32">
        <f t="shared" ca="1" si="33"/>
        <v>35032.34862146269</v>
      </c>
      <c r="BA72" s="32">
        <f ca="1">IF($A73="","",F72*Summary!$Q$9)</f>
        <v>0</v>
      </c>
      <c r="BC72" s="256">
        <f t="shared" ca="1" si="36"/>
        <v>17003.424724200198</v>
      </c>
    </row>
    <row r="73" spans="1:55">
      <c r="A73" s="67">
        <f t="shared" si="34"/>
        <v>38961</v>
      </c>
      <c r="B73" s="69">
        <f t="shared" si="37"/>
        <v>36050</v>
      </c>
      <c r="C73" s="71"/>
      <c r="D73" s="69">
        <f t="shared" si="0"/>
        <v>36050</v>
      </c>
      <c r="E73" s="70">
        <f t="shared" si="1"/>
        <v>1081500</v>
      </c>
      <c r="F73" s="70">
        <f t="shared" ca="1" si="2"/>
        <v>644934.59755152126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0.18</v>
      </c>
      <c r="K73" s="64">
        <f t="shared" si="6"/>
        <v>0.18</v>
      </c>
      <c r="L73" s="63">
        <f t="shared" si="5"/>
        <v>0</v>
      </c>
      <c r="M73" s="64">
        <f t="shared" si="7"/>
        <v>0</v>
      </c>
      <c r="N73" s="65"/>
      <c r="O73" s="63">
        <f t="shared" si="8"/>
        <v>4.3549999999999995</v>
      </c>
      <c r="P73" s="63">
        <f t="shared" si="9"/>
        <v>4.3549999999999995</v>
      </c>
      <c r="Q73" s="66"/>
      <c r="R73" s="63">
        <f t="shared" si="10"/>
        <v>-0.1</v>
      </c>
      <c r="S73" s="64">
        <f t="shared" si="11"/>
        <v>-0.1</v>
      </c>
      <c r="T73" s="63">
        <f t="shared" si="12"/>
        <v>-0.01</v>
      </c>
      <c r="U73" s="64">
        <f t="shared" si="13"/>
        <v>-0.01</v>
      </c>
      <c r="V73" s="90">
        <f>IF($A74="","",IF(AND(MONTH(A73)&gt;3,MONTH(A73)&lt;11),(T73+R73+G73)*Summary!$T$9/(1-Summary!$T$9),(T73+R73+G73)*Summary!$U$9/(1-Summary!$U$9)))</f>
        <v>0.19466677145551711</v>
      </c>
      <c r="W73" s="63">
        <f t="shared" si="14"/>
        <v>4.2596667714555165</v>
      </c>
      <c r="X73" s="63">
        <f t="shared" si="15"/>
        <v>4.2596667714555165</v>
      </c>
      <c r="Y73" s="43"/>
      <c r="Z73" s="38">
        <f t="shared" si="16"/>
        <v>0.6</v>
      </c>
      <c r="AA73" s="38">
        <f t="shared" si="17"/>
        <v>0.23800000000000002</v>
      </c>
      <c r="AB73" s="38">
        <f t="shared" ca="1" si="18"/>
        <v>0.24385235504179886</v>
      </c>
      <c r="AC73" s="38">
        <f t="shared" si="19"/>
        <v>0.55000000000000004</v>
      </c>
      <c r="AD73" s="38">
        <f t="shared" si="19"/>
        <v>0.23800000000000002</v>
      </c>
      <c r="AE73" s="38">
        <f t="shared" ca="1" si="20"/>
        <v>0.24293668851230149</v>
      </c>
      <c r="AF73" s="237">
        <f ca="1">((Summary!$N$9*(AA73*AD73)*(A73-$D$3))+(Summary!$M$9*Z73*AC73*(AJ73-EOMONTH(EDATE(A73,-1),0))))/(AK73*AB73*AE73)</f>
        <v>0.99974784174810727</v>
      </c>
      <c r="AG73" s="88">
        <f>IF($A74="","",Summary!$Q$9)</f>
        <v>0</v>
      </c>
      <c r="AH73" s="88">
        <f>IF($A74="","",IF(Summary!$R$9="Y",VLOOKUP($A73,Summary!$AD$6:$AF$9,3)+'Escalating commodity'!E86,'Escalating commodity'!E86))</f>
        <v>7.0699999999999999E-2</v>
      </c>
      <c r="AI73" s="88">
        <f t="shared" si="35"/>
        <v>7.0699999999999999E-2</v>
      </c>
      <c r="AJ73" s="236">
        <f t="shared" si="21"/>
        <v>38975</v>
      </c>
      <c r="AK73" s="58">
        <f t="shared" ca="1" si="22"/>
        <v>1935</v>
      </c>
      <c r="AL73" s="26">
        <f ca="1">IF($A74="","",_xll.SPRDOPT(P73,X73,AI73,0,AB73,AE73,AF73,AK73,$AJ$2,0))</f>
        <v>4.2188861462896354E-2</v>
      </c>
      <c r="AM73" s="89">
        <f t="shared" si="23"/>
        <v>2.4633228544483007E-2</v>
      </c>
      <c r="AN73" s="89">
        <f t="shared" ca="1" si="24"/>
        <v>1.7555632918413347E-2</v>
      </c>
      <c r="AO73" s="3">
        <f t="shared" si="25"/>
        <v>30</v>
      </c>
      <c r="AP73" s="33">
        <f t="shared" si="26"/>
        <v>38961</v>
      </c>
      <c r="AQ73" s="58">
        <f t="shared" ca="1" si="27"/>
        <v>1935</v>
      </c>
      <c r="AR73" s="38">
        <f>'ANR OK vs ML7'!AR73</f>
        <v>0.1</v>
      </c>
      <c r="AS73" s="35">
        <f t="shared" ca="1" si="28"/>
        <v>0.59633342353353791</v>
      </c>
      <c r="AT73" s="3">
        <f t="shared" si="29"/>
        <v>1</v>
      </c>
      <c r="AU73" s="3">
        <f t="shared" si="30"/>
        <v>30</v>
      </c>
      <c r="AW73" s="32">
        <f t="shared" ca="1" si="31"/>
        <v>45627.25367212241</v>
      </c>
      <c r="AX73" s="32">
        <f t="shared" si="32"/>
        <v>26640.836670858371</v>
      </c>
      <c r="AY73" s="32">
        <f t="shared" ca="1" si="33"/>
        <v>18986.417001264035</v>
      </c>
      <c r="BA73" s="32">
        <f ca="1">IF($A74="","",F73*Summary!$Q$9)</f>
        <v>0</v>
      </c>
      <c r="BC73" s="256">
        <f t="shared" ca="1" si="36"/>
        <v>15886.821337730795</v>
      </c>
    </row>
    <row r="74" spans="1:55">
      <c r="A74" s="67">
        <f t="shared" si="34"/>
        <v>38991</v>
      </c>
      <c r="B74" s="69">
        <f t="shared" si="37"/>
        <v>36050</v>
      </c>
      <c r="C74" s="71"/>
      <c r="D74" s="69">
        <f t="shared" ref="D74:D137" si="38">IF(A75&lt;&gt;"",B74+C74,"")</f>
        <v>36050</v>
      </c>
      <c r="E74" s="70">
        <f t="shared" ref="E74:E137" si="39">IF(A75="","",IF(AND(AT74=1,$H$3=1),D74*AO74,IF($H$3=2,D74,"N/A")))</f>
        <v>1117550</v>
      </c>
      <c r="F74" s="70">
        <f t="shared" ref="F74:F137" ca="1" si="40">IF(A75="","",E74*AS74)</f>
        <v>661112.43516369129</v>
      </c>
      <c r="G74" s="63">
        <f t="shared" ref="G74:G137" si="41">IF($A75="","",VLOOKUP($A74,Table,MATCH(G$4,Curves,0)))</f>
        <v>4.2060000000000004</v>
      </c>
      <c r="H74" s="64">
        <f t="shared" ref="H74:H137" si="42">IF(A75="","",G74)</f>
        <v>4.2060000000000004</v>
      </c>
      <c r="I74" s="43"/>
      <c r="J74" s="63">
        <f t="shared" ref="J74:J137" si="43">IF($A75="","",VLOOKUP($A74,Table,MATCH(J$4,Curves,0)))</f>
        <v>0.18</v>
      </c>
      <c r="K74" s="64">
        <f t="shared" ref="K74:K137" si="44">IF(A75="","",J74)</f>
        <v>0.18</v>
      </c>
      <c r="L74" s="63">
        <f t="shared" ref="L74:L137" si="45">IF($A75="","",VLOOKUP($A74,Table,MATCH(L$4,Curves,0)))</f>
        <v>0</v>
      </c>
      <c r="M74" s="64">
        <f t="shared" ref="M74:M137" si="46">IF(A75="","",L74)</f>
        <v>0</v>
      </c>
      <c r="N74" s="65"/>
      <c r="O74" s="63">
        <f t="shared" ref="O74:O137" si="47">IF(A75="","",L74+J74+G74)</f>
        <v>4.3860000000000001</v>
      </c>
      <c r="P74" s="63">
        <f t="shared" ref="P74:P137" si="48">IF(A75="","",M74+K74+H74)</f>
        <v>4.3860000000000001</v>
      </c>
      <c r="Q74" s="66"/>
      <c r="R74" s="63">
        <f t="shared" ref="R74:R137" si="49">IF($A75="","",VLOOKUP($A74,Table,MATCH(R$4,Curves,0)))</f>
        <v>-0.1</v>
      </c>
      <c r="S74" s="64">
        <f t="shared" ref="S74:S137" si="50">IF(A75="","",R74)</f>
        <v>-0.1</v>
      </c>
      <c r="T74" s="63">
        <f t="shared" ref="T74:T137" si="51">IF($A75="","",VLOOKUP($A74,Table,MATCH(T$4,Curves,0)))</f>
        <v>-0.01</v>
      </c>
      <c r="U74" s="64">
        <f t="shared" ref="U74:U137" si="52">IF(A75="","",T74)</f>
        <v>-0.01</v>
      </c>
      <c r="V74" s="90">
        <f>IF($A75="","",IF(AND(MONTH(A74)&gt;3,MONTH(A74)&lt;11),(T74+R74+G74)*Summary!$T$9/(1-Summary!$T$9),(T74+R74+G74)*Summary!$U$9/(1-Summary!$U$9)))</f>
        <v>0.19615131510007333</v>
      </c>
      <c r="W74" s="63">
        <f t="shared" ref="W74:W137" si="53">IF($A75="","",(T74+R74+G74+V74))</f>
        <v>4.2921513151000736</v>
      </c>
      <c r="X74" s="63">
        <f t="shared" ref="X74:X137" si="54">IF($A75="","",(U74+S74+H74+V74))</f>
        <v>4.2921513151000736</v>
      </c>
      <c r="Y74" s="43"/>
      <c r="Z74" s="38">
        <f t="shared" ref="Z74:Z137" si="55">IF($A75="","",VLOOKUP($A74,Table,MATCH(Z$4,Curves,0)))</f>
        <v>0.65</v>
      </c>
      <c r="AA74" s="38">
        <f t="shared" ref="AA74:AA137" si="56">IF($A75="","",VLOOKUP($A74,Table,MATCH(AA$4,Curves,0)))</f>
        <v>0.23800000000000002</v>
      </c>
      <c r="AB74" s="38">
        <f t="shared" ref="AB74:AB137" ca="1" si="57">SQRT((AA74^2*(A74-$D$3)+Z74^2*(DAY(EOMONTH(A74,0))/2))/AK74)</f>
        <v>0.24496024915100439</v>
      </c>
      <c r="AC74" s="38">
        <f t="shared" ref="AC74:AD137" si="58">IF($A75="","",VLOOKUP($A74,Table,MATCH(AC$4,Curves,0)))</f>
        <v>0.55000000000000004</v>
      </c>
      <c r="AD74" s="38">
        <f t="shared" si="58"/>
        <v>0.23800000000000002</v>
      </c>
      <c r="AE74" s="38">
        <f t="shared" ref="AE74:AE137" ca="1" si="59">SQRT((AD74^2*(A74-$D$3)+AC74^2*(DAY(EOMONTH(A74,0))/2))/AK74)</f>
        <v>0.24302049045013871</v>
      </c>
      <c r="AF74" s="237">
        <f ca="1">((Summary!$N$9*(AA74*AD74)*(A74-$D$3))+(Summary!$M$9*Z74*AC74*(AJ74-EOMONTH(EDATE(A74,-1),0))))/(AK74*AB74*AE74)</f>
        <v>0.99927388051441102</v>
      </c>
      <c r="AG74" s="88">
        <f>IF($A75="","",Summary!$Q$9)</f>
        <v>0</v>
      </c>
      <c r="AH74" s="88">
        <f>IF($A75="","",IF(Summary!$R$9="Y",VLOOKUP($A74,Summary!$AD$6:$AF$9,3)+'Escalating commodity'!E87,'Escalating commodity'!E87))</f>
        <v>7.0699999999999999E-2</v>
      </c>
      <c r="AI74" s="88">
        <f t="shared" si="35"/>
        <v>7.0699999999999999E-2</v>
      </c>
      <c r="AJ74" s="236">
        <f t="shared" ref="AJ74:AJ137" si="60">A74+DAY(EOMONTH(A74,0))/2-1</f>
        <v>39005.5</v>
      </c>
      <c r="AK74" s="58">
        <f t="shared" ref="AK74:AK137" ca="1" si="61">IF($A75="","",$A74-$E$1)</f>
        <v>1965</v>
      </c>
      <c r="AL74" s="26">
        <f ca="1">IF($A75="","",_xll.SPRDOPT(P74,X74,AI74,0,AB74,AE74,AF74,AK74,$AJ$2,0))</f>
        <v>5.5925764426135484E-2</v>
      </c>
      <c r="AM74" s="89">
        <f t="shared" ref="AM74:AM137" si="62">IF($A75="","",MAX(0,O74-W74-AI74))</f>
        <v>2.3148684899926483E-2</v>
      </c>
      <c r="AN74" s="89">
        <f t="shared" ref="AN74:AN137" ca="1" si="63">IF($A75="","",AL74-AM74)</f>
        <v>3.2777079526209001E-2</v>
      </c>
      <c r="AO74" s="3">
        <f t="shared" ref="AO74:AO137" si="64">IF(A75="","",A75-A74)</f>
        <v>31</v>
      </c>
      <c r="AP74" s="33">
        <f t="shared" ref="AP74:AP137" si="65">IF(A75="","",CHOOSE(F$3,A75+24,A74))</f>
        <v>38991</v>
      </c>
      <c r="AQ74" s="58">
        <f t="shared" ref="AQ74:AQ137" ca="1" si="66">IF(A75="","",AP74-$E$1)</f>
        <v>1965</v>
      </c>
      <c r="AR74" s="38">
        <f>'ANR OK vs ML7'!AR74</f>
        <v>0.1</v>
      </c>
      <c r="AS74" s="35">
        <f t="shared" ref="AS74:AS137" ca="1" si="67">IF(A75="","",1/(1+CHOOSE(F$3,(AR75+($I$3/10000))/2,(AR74+($I$3/10000))/2))^(2*AQ74/365.25))</f>
        <v>0.59157302596187311</v>
      </c>
      <c r="AT74" s="3">
        <f t="shared" ref="AT74:AT137" si="68">IF(A75="","",IF(AND(mthbeg&lt;=A74,mthend&gt;=A74),1,0))</f>
        <v>1</v>
      </c>
      <c r="AU74" s="3">
        <f t="shared" ref="AU74:AU137" si="69">IF(A75="","",AO74*AT74)</f>
        <v>31</v>
      </c>
      <c r="AW74" s="32">
        <f t="shared" ref="AW74:AW137" ca="1" si="70">IF($A75="","",AL74*$E74)</f>
        <v>62499.83803442771</v>
      </c>
      <c r="AX74" s="32">
        <f t="shared" ref="AX74:AX137" si="71">IF($A75="","",AM74*$E74)</f>
        <v>25869.812809912841</v>
      </c>
      <c r="AY74" s="32">
        <f t="shared" ref="AY74:AY137" ca="1" si="72">IF($A75="","",AN74*$E74)</f>
        <v>36630.025224514866</v>
      </c>
      <c r="BA74" s="32">
        <f ca="1">IF($A75="","",F74*Summary!$Q$9)</f>
        <v>0</v>
      </c>
      <c r="BC74" s="256">
        <f t="shared" ca="1" si="36"/>
        <v>15303.883445027366</v>
      </c>
    </row>
    <row r="75" spans="1:55">
      <c r="A75" s="67">
        <f t="shared" ref="A75:A138" si="73">IF(A74&lt;mthend,EDATE(A74,1),"")</f>
        <v>39022</v>
      </c>
      <c r="B75" s="69">
        <f t="shared" si="37"/>
        <v>36050</v>
      </c>
      <c r="C75" s="71"/>
      <c r="D75" s="69">
        <f t="shared" si="38"/>
        <v>36050</v>
      </c>
      <c r="E75" s="70">
        <f t="shared" si="39"/>
        <v>1081500</v>
      </c>
      <c r="F75" s="70">
        <f t="shared" ca="1" si="40"/>
        <v>634509.41747836326</v>
      </c>
      <c r="G75" s="63">
        <f t="shared" si="41"/>
        <v>4.3390000000000004</v>
      </c>
      <c r="H75" s="64">
        <f t="shared" si="42"/>
        <v>4.3390000000000004</v>
      </c>
      <c r="I75" s="43"/>
      <c r="J75" s="63">
        <f t="shared" si="43"/>
        <v>0.27500000000000002</v>
      </c>
      <c r="K75" s="64">
        <f t="shared" si="44"/>
        <v>0.27500000000000002</v>
      </c>
      <c r="L75" s="63">
        <f t="shared" si="45"/>
        <v>0</v>
      </c>
      <c r="M75" s="64">
        <f t="shared" si="46"/>
        <v>0</v>
      </c>
      <c r="N75" s="65"/>
      <c r="O75" s="63">
        <f t="shared" si="47"/>
        <v>4.6140000000000008</v>
      </c>
      <c r="P75" s="63">
        <f t="shared" si="48"/>
        <v>4.6140000000000008</v>
      </c>
      <c r="Q75" s="66"/>
      <c r="R75" s="63">
        <f t="shared" si="49"/>
        <v>-0.1225</v>
      </c>
      <c r="S75" s="64">
        <f t="shared" si="50"/>
        <v>-0.1225</v>
      </c>
      <c r="T75" s="63">
        <f t="shared" si="51"/>
        <v>0.01</v>
      </c>
      <c r="U75" s="64">
        <f t="shared" si="52"/>
        <v>0.01</v>
      </c>
      <c r="V75" s="90">
        <f>IF($A76="","",IF(AND(MONTH(A75)&gt;3,MONTH(A75)&lt;11),(T75+R75+G75)*Summary!$T$9/(1-Summary!$T$9),(T75+R75+G75)*Summary!$U$9/(1-Summary!$U$9)))</f>
        <v>0.20240076495860843</v>
      </c>
      <c r="W75" s="63">
        <f t="shared" si="53"/>
        <v>4.428900764958609</v>
      </c>
      <c r="X75" s="63">
        <f t="shared" si="54"/>
        <v>4.428900764958609</v>
      </c>
      <c r="Y75" s="43"/>
      <c r="Z75" s="38">
        <f t="shared" si="55"/>
        <v>0.8</v>
      </c>
      <c r="AA75" s="38">
        <f t="shared" si="56"/>
        <v>0.24</v>
      </c>
      <c r="AB75" s="38">
        <f t="shared" ca="1" si="57"/>
        <v>0.24987692361222116</v>
      </c>
      <c r="AC75" s="38">
        <f t="shared" si="58"/>
        <v>0.8</v>
      </c>
      <c r="AD75" s="38">
        <f t="shared" si="58"/>
        <v>0.24</v>
      </c>
      <c r="AE75" s="38">
        <f t="shared" ca="1" si="59"/>
        <v>0.24987692361222116</v>
      </c>
      <c r="AF75" s="237">
        <f ca="1">((Summary!$N$9*(AA75*AD75)*(A75-$D$3))+(Summary!$M$9*Z75*AC75*(AJ75-EOMONTH(EDATE(A75,-1),0))))/(AK75*AB75*AE75)</f>
        <v>0.99990770297334786</v>
      </c>
      <c r="AG75" s="88">
        <f>IF($A76="","",Summary!$Q$9)</f>
        <v>0</v>
      </c>
      <c r="AH75" s="88">
        <f>IF($A76="","",IF(Summary!$R$9="Y",VLOOKUP($A75,Summary!$AD$6:$AF$9,3)+'Escalating commodity'!E88,'Escalating commodity'!E88))</f>
        <v>7.0699999999999999E-2</v>
      </c>
      <c r="AI75" s="88">
        <f t="shared" ref="AI75:AI138" si="74">IF($A76="","",AH75)</f>
        <v>7.0699999999999999E-2</v>
      </c>
      <c r="AJ75" s="236">
        <f t="shared" si="60"/>
        <v>39036</v>
      </c>
      <c r="AK75" s="58">
        <f t="shared" ca="1" si="61"/>
        <v>1996</v>
      </c>
      <c r="AL75" s="26">
        <f ca="1">IF($A76="","",_xll.SPRDOPT(P75,X75,AI75,0,AB75,AE75,AF75,AK75,$AJ$2,0))</f>
        <v>0.11682009528023533</v>
      </c>
      <c r="AM75" s="89">
        <f t="shared" si="62"/>
        <v>0.11439923504139181</v>
      </c>
      <c r="AN75" s="89">
        <f t="shared" ca="1" si="63"/>
        <v>2.4208602388435252E-3</v>
      </c>
      <c r="AO75" s="3">
        <f t="shared" si="64"/>
        <v>30</v>
      </c>
      <c r="AP75" s="33">
        <f t="shared" si="65"/>
        <v>39022</v>
      </c>
      <c r="AQ75" s="58">
        <f t="shared" ca="1" si="66"/>
        <v>1996</v>
      </c>
      <c r="AR75" s="38">
        <f>'ANR OK vs ML7'!AR75</f>
        <v>0.1</v>
      </c>
      <c r="AS75" s="35">
        <f t="shared" ca="1" si="67"/>
        <v>0.5866938672939096</v>
      </c>
      <c r="AT75" s="3">
        <f t="shared" si="68"/>
        <v>1</v>
      </c>
      <c r="AU75" s="3">
        <f t="shared" si="69"/>
        <v>30</v>
      </c>
      <c r="AW75" s="32">
        <f t="shared" ca="1" si="70"/>
        <v>126340.93304557451</v>
      </c>
      <c r="AX75" s="32">
        <f t="shared" si="71"/>
        <v>123722.77269726525</v>
      </c>
      <c r="AY75" s="32">
        <f t="shared" ca="1" si="72"/>
        <v>2618.1603483092726</v>
      </c>
      <c r="BA75" s="32">
        <f ca="1">IF($A76="","",F75*Summary!$Q$9)</f>
        <v>0</v>
      </c>
      <c r="BC75" s="256">
        <f t="shared" ref="BC75:BC138" ca="1" si="75">IF(A76="","",AM75*F75)</f>
        <v>72587.39198608388</v>
      </c>
    </row>
    <row r="76" spans="1:55">
      <c r="A76" s="67">
        <f t="shared" si="73"/>
        <v>39052</v>
      </c>
      <c r="B76" s="69">
        <f t="shared" ref="B76:B139" si="76">IF(A76&lt;mthend,B75,"")</f>
        <v>36050</v>
      </c>
      <c r="C76" s="71"/>
      <c r="D76" s="69">
        <f t="shared" si="38"/>
        <v>36050</v>
      </c>
      <c r="E76" s="70">
        <f t="shared" si="39"/>
        <v>1117550</v>
      </c>
      <c r="F76" s="70">
        <f t="shared" ca="1" si="40"/>
        <v>650425.74505379237</v>
      </c>
      <c r="G76" s="63">
        <f t="shared" si="41"/>
        <v>4.4770000000000003</v>
      </c>
      <c r="H76" s="64">
        <f t="shared" si="42"/>
        <v>4.4770000000000003</v>
      </c>
      <c r="I76" s="43"/>
      <c r="J76" s="63">
        <f t="shared" si="43"/>
        <v>0.27500000000000002</v>
      </c>
      <c r="K76" s="64">
        <f t="shared" si="44"/>
        <v>0.27500000000000002</v>
      </c>
      <c r="L76" s="63">
        <f t="shared" si="45"/>
        <v>0</v>
      </c>
      <c r="M76" s="64">
        <f t="shared" si="46"/>
        <v>0</v>
      </c>
      <c r="N76" s="65"/>
      <c r="O76" s="63">
        <f t="shared" si="47"/>
        <v>4.7520000000000007</v>
      </c>
      <c r="P76" s="63">
        <f t="shared" si="48"/>
        <v>4.7520000000000007</v>
      </c>
      <c r="Q76" s="66"/>
      <c r="R76" s="63">
        <f t="shared" si="49"/>
        <v>-0.11749999999999999</v>
      </c>
      <c r="S76" s="64">
        <f t="shared" si="50"/>
        <v>-0.11749999999999999</v>
      </c>
      <c r="T76" s="63">
        <f t="shared" si="51"/>
        <v>0.01</v>
      </c>
      <c r="U76" s="64">
        <f t="shared" si="52"/>
        <v>0.01</v>
      </c>
      <c r="V76" s="90">
        <f>IF($A77="","",IF(AND(MONTH(A76)&gt;3,MONTH(A76)&lt;11),(T76+R76+G76)*Summary!$T$9/(1-Summary!$T$9),(T76+R76+G76)*Summary!$U$9/(1-Summary!$U$9)))</f>
        <v>0.20924882112543225</v>
      </c>
      <c r="W76" s="63">
        <f t="shared" si="53"/>
        <v>4.5787488211254326</v>
      </c>
      <c r="X76" s="63">
        <f t="shared" si="54"/>
        <v>4.5787488211254326</v>
      </c>
      <c r="Y76" s="43"/>
      <c r="Z76" s="38">
        <f t="shared" si="55"/>
        <v>1.1000000000000001</v>
      </c>
      <c r="AA76" s="38">
        <f t="shared" si="56"/>
        <v>0.245</v>
      </c>
      <c r="AB76" s="38">
        <f t="shared" ca="1" si="57"/>
        <v>0.26327131310503121</v>
      </c>
      <c r="AC76" s="38">
        <f t="shared" si="58"/>
        <v>1</v>
      </c>
      <c r="AD76" s="38">
        <f t="shared" si="58"/>
        <v>0.245</v>
      </c>
      <c r="AE76" s="38">
        <f t="shared" ca="1" si="59"/>
        <v>0.2602021719476576</v>
      </c>
      <c r="AF76" s="237">
        <f ca="1">((Summary!$N$9*(AA76*AD76)*(A76-$D$3))+(Summary!$M$9*Z76*AC76*(AJ76-EOMONTH(EDATE(A76,-1),0))))/(AK76*AB76*AE76)</f>
        <v>0.99942268337676443</v>
      </c>
      <c r="AG76" s="88">
        <f>IF($A77="","",Summary!$Q$9)</f>
        <v>0</v>
      </c>
      <c r="AH76" s="88">
        <f>IF($A77="","",IF(Summary!$R$9="Y",VLOOKUP($A76,Summary!$AD$6:$AF$9,3)+'Escalating commodity'!E89,'Escalating commodity'!E89))</f>
        <v>7.0699999999999999E-2</v>
      </c>
      <c r="AI76" s="88">
        <f t="shared" si="74"/>
        <v>7.0699999999999999E-2</v>
      </c>
      <c r="AJ76" s="236">
        <f t="shared" si="60"/>
        <v>39066.5</v>
      </c>
      <c r="AK76" s="58">
        <f t="shared" ca="1" si="61"/>
        <v>2026</v>
      </c>
      <c r="AL76" s="26">
        <f ca="1">IF($A77="","",_xll.SPRDOPT(P76,X76,AI76,0,AB76,AE76,AF76,AK76,$AJ$2,0))</f>
        <v>0.11858559168363794</v>
      </c>
      <c r="AM76" s="89">
        <f t="shared" si="62"/>
        <v>0.10255117887456809</v>
      </c>
      <c r="AN76" s="89">
        <f t="shared" ca="1" si="63"/>
        <v>1.6034412809069851E-2</v>
      </c>
      <c r="AO76" s="3">
        <f t="shared" si="64"/>
        <v>31</v>
      </c>
      <c r="AP76" s="33">
        <f t="shared" si="65"/>
        <v>39052</v>
      </c>
      <c r="AQ76" s="58">
        <f t="shared" ca="1" si="66"/>
        <v>2026</v>
      </c>
      <c r="AR76" s="38">
        <f>'ANR OK vs ML7'!AR76</f>
        <v>0.1</v>
      </c>
      <c r="AS76" s="35">
        <f t="shared" ca="1" si="67"/>
        <v>0.5820104201635653</v>
      </c>
      <c r="AT76" s="3">
        <f t="shared" si="68"/>
        <v>1</v>
      </c>
      <c r="AU76" s="3">
        <f t="shared" si="69"/>
        <v>31</v>
      </c>
      <c r="AW76" s="32">
        <f t="shared" ca="1" si="70"/>
        <v>132525.32798604958</v>
      </c>
      <c r="AX76" s="32">
        <f t="shared" si="71"/>
        <v>114606.06995127357</v>
      </c>
      <c r="AY76" s="32">
        <f t="shared" ca="1" si="72"/>
        <v>17919.258034776012</v>
      </c>
      <c r="BA76" s="32">
        <f ca="1">IF($A77="","",F76*Summary!$Q$9)</f>
        <v>0</v>
      </c>
      <c r="BC76" s="256">
        <f t="shared" ca="1" si="75"/>
        <v>66701.926925635678</v>
      </c>
    </row>
    <row r="77" spans="1:55">
      <c r="A77" s="67">
        <f t="shared" si="73"/>
        <v>39083</v>
      </c>
      <c r="B77" s="69">
        <f t="shared" si="76"/>
        <v>36050</v>
      </c>
      <c r="C77" s="71"/>
      <c r="D77" s="69">
        <f t="shared" si="38"/>
        <v>36050</v>
      </c>
      <c r="E77" s="70">
        <f t="shared" si="39"/>
        <v>1117550</v>
      </c>
      <c r="F77" s="70">
        <f t="shared" ca="1" si="40"/>
        <v>645061.18265393341</v>
      </c>
      <c r="G77" s="63">
        <f t="shared" si="41"/>
        <v>4.484</v>
      </c>
      <c r="H77" s="64">
        <f t="shared" si="42"/>
        <v>4.484</v>
      </c>
      <c r="I77" s="43"/>
      <c r="J77" s="63">
        <f t="shared" si="43"/>
        <v>0.27500000000000002</v>
      </c>
      <c r="K77" s="64">
        <f t="shared" si="44"/>
        <v>0.27500000000000002</v>
      </c>
      <c r="L77" s="63">
        <f t="shared" si="45"/>
        <v>0</v>
      </c>
      <c r="M77" s="64">
        <f t="shared" si="46"/>
        <v>0</v>
      </c>
      <c r="N77" s="65"/>
      <c r="O77" s="63">
        <f t="shared" si="47"/>
        <v>4.7590000000000003</v>
      </c>
      <c r="P77" s="63">
        <f t="shared" si="48"/>
        <v>4.7590000000000003</v>
      </c>
      <c r="Q77" s="66"/>
      <c r="R77" s="63">
        <f t="shared" si="49"/>
        <v>-0.11749999999999999</v>
      </c>
      <c r="S77" s="64">
        <f t="shared" si="50"/>
        <v>-0.11749999999999999</v>
      </c>
      <c r="T77" s="63">
        <f t="shared" si="51"/>
        <v>0.01</v>
      </c>
      <c r="U77" s="64">
        <f t="shared" si="52"/>
        <v>0.01</v>
      </c>
      <c r="V77" s="90">
        <f>IF($A78="","",IF(AND(MONTH(A77)&gt;3,MONTH(A77)&lt;11),(T77+R77+G77)*Summary!$T$9/(1-Summary!$T$9),(T77+R77+G77)*Summary!$U$9/(1-Summary!$U$9)))</f>
        <v>0.20958404065807396</v>
      </c>
      <c r="W77" s="63">
        <f t="shared" si="53"/>
        <v>4.5860840406580738</v>
      </c>
      <c r="X77" s="63">
        <f t="shared" si="54"/>
        <v>4.5860840406580738</v>
      </c>
      <c r="Y77" s="43"/>
      <c r="Z77" s="38">
        <f t="shared" si="55"/>
        <v>1.1000000000000001</v>
      </c>
      <c r="AA77" s="38">
        <f t="shared" si="56"/>
        <v>0.248</v>
      </c>
      <c r="AB77" s="38">
        <f t="shared" ca="1" si="57"/>
        <v>0.26580358709577279</v>
      </c>
      <c r="AC77" s="38">
        <f t="shared" si="58"/>
        <v>1</v>
      </c>
      <c r="AD77" s="38">
        <f t="shared" si="58"/>
        <v>0.248</v>
      </c>
      <c r="AE77" s="38">
        <f t="shared" ca="1" si="59"/>
        <v>0.26281009371277286</v>
      </c>
      <c r="AF77" s="237">
        <f ca="1">((Summary!$N$9*(AA77*AD77)*(A77-$D$3))+(Summary!$M$9*Z77*AC77*(AJ77-EOMONTH(EDATE(A77,-1),0))))/(AK77*AB77*AE77)</f>
        <v>0.99943670991938705</v>
      </c>
      <c r="AG77" s="88">
        <f>IF($A78="","",Summary!$Q$9)</f>
        <v>0</v>
      </c>
      <c r="AH77" s="88">
        <f>IF($A78="","",IF(Summary!$R$9="Y",VLOOKUP($A77,Summary!$AD$6:$AF$9,3)+'Escalating commodity'!E90,'Escalating commodity'!E90))</f>
        <v>7.0699999999999999E-2</v>
      </c>
      <c r="AI77" s="88">
        <f t="shared" si="74"/>
        <v>7.0699999999999999E-2</v>
      </c>
      <c r="AJ77" s="236">
        <f t="shared" si="60"/>
        <v>39097.5</v>
      </c>
      <c r="AK77" s="58">
        <f t="shared" ca="1" si="61"/>
        <v>2057</v>
      </c>
      <c r="AL77" s="26">
        <f ca="1">IF($A78="","",_xll.SPRDOPT(P77,X77,AI77,0,AB77,AE77,AF77,AK77,$AJ$2,0))</f>
        <v>0.11856348630049936</v>
      </c>
      <c r="AM77" s="89">
        <f t="shared" si="62"/>
        <v>0.1022159593419265</v>
      </c>
      <c r="AN77" s="89">
        <f t="shared" ca="1" si="63"/>
        <v>1.6347526958572861E-2</v>
      </c>
      <c r="AO77" s="3">
        <f t="shared" si="64"/>
        <v>31</v>
      </c>
      <c r="AP77" s="33">
        <f t="shared" si="65"/>
        <v>39083</v>
      </c>
      <c r="AQ77" s="58">
        <f t="shared" ca="1" si="66"/>
        <v>2057</v>
      </c>
      <c r="AR77" s="38">
        <f>'ANR OK vs ML7'!AR77</f>
        <v>0.1</v>
      </c>
      <c r="AS77" s="35">
        <f t="shared" ca="1" si="67"/>
        <v>0.57721013167548063</v>
      </c>
      <c r="AT77" s="3">
        <f t="shared" si="68"/>
        <v>1</v>
      </c>
      <c r="AU77" s="3">
        <f t="shared" si="69"/>
        <v>31</v>
      </c>
      <c r="AW77" s="32">
        <f t="shared" ca="1" si="70"/>
        <v>132500.62411512306</v>
      </c>
      <c r="AX77" s="32">
        <f t="shared" si="71"/>
        <v>114231.44536256995</v>
      </c>
      <c r="AY77" s="32">
        <f t="shared" ca="1" si="72"/>
        <v>18269.1787525531</v>
      </c>
      <c r="BA77" s="32">
        <f ca="1">IF($A78="","",F77*Summary!$Q$9)</f>
        <v>0</v>
      </c>
      <c r="BC77" s="256">
        <f t="shared" ca="1" si="75"/>
        <v>65935.547619209479</v>
      </c>
    </row>
    <row r="78" spans="1:55">
      <c r="A78" s="67">
        <f t="shared" si="73"/>
        <v>39114</v>
      </c>
      <c r="B78" s="69">
        <f t="shared" si="76"/>
        <v>36050</v>
      </c>
      <c r="C78" s="71"/>
      <c r="D78" s="69">
        <f t="shared" si="38"/>
        <v>36050</v>
      </c>
      <c r="E78" s="70">
        <f t="shared" si="39"/>
        <v>1009400</v>
      </c>
      <c r="F78" s="70">
        <f t="shared" ca="1" si="40"/>
        <v>577830.45955386106</v>
      </c>
      <c r="G78" s="63">
        <f t="shared" si="41"/>
        <v>4.3639999999999999</v>
      </c>
      <c r="H78" s="64">
        <f t="shared" si="42"/>
        <v>4.3639999999999999</v>
      </c>
      <c r="I78" s="43"/>
      <c r="J78" s="63">
        <f t="shared" si="43"/>
        <v>0.27500000000000002</v>
      </c>
      <c r="K78" s="64">
        <f t="shared" si="44"/>
        <v>0.27500000000000002</v>
      </c>
      <c r="L78" s="63">
        <f t="shared" si="45"/>
        <v>0</v>
      </c>
      <c r="M78" s="64">
        <f t="shared" si="46"/>
        <v>0</v>
      </c>
      <c r="N78" s="65"/>
      <c r="O78" s="63">
        <f t="shared" si="47"/>
        <v>4.6390000000000002</v>
      </c>
      <c r="P78" s="63">
        <f t="shared" si="48"/>
        <v>4.6390000000000002</v>
      </c>
      <c r="Q78" s="66"/>
      <c r="R78" s="63">
        <f t="shared" si="49"/>
        <v>-0.12</v>
      </c>
      <c r="S78" s="64">
        <f t="shared" si="50"/>
        <v>-0.12</v>
      </c>
      <c r="T78" s="63">
        <f t="shared" si="51"/>
        <v>0.01</v>
      </c>
      <c r="U78" s="64">
        <f t="shared" si="52"/>
        <v>0.01</v>
      </c>
      <c r="V78" s="90">
        <f>IF($A79="","",IF(AND(MONTH(A78)&gt;3,MONTH(A78)&lt;11),(T78+R78+G78)*Summary!$T$9/(1-Summary!$T$9),(T78+R78+G78)*Summary!$U$9/(1-Summary!$U$9)))</f>
        <v>0.20371769883684371</v>
      </c>
      <c r="W78" s="63">
        <f t="shared" si="53"/>
        <v>4.4577176988368432</v>
      </c>
      <c r="X78" s="63">
        <f t="shared" si="54"/>
        <v>4.4577176988368432</v>
      </c>
      <c r="Y78" s="43"/>
      <c r="Z78" s="38">
        <f t="shared" si="55"/>
        <v>1.1000000000000001</v>
      </c>
      <c r="AA78" s="38">
        <f t="shared" si="56"/>
        <v>0.23499999999999999</v>
      </c>
      <c r="AB78" s="38">
        <f t="shared" ca="1" si="57"/>
        <v>0.25172301359770949</v>
      </c>
      <c r="AC78" s="38">
        <f t="shared" si="58"/>
        <v>1</v>
      </c>
      <c r="AD78" s="38">
        <f t="shared" si="58"/>
        <v>0.23499999999999999</v>
      </c>
      <c r="AE78" s="38">
        <f t="shared" ca="1" si="59"/>
        <v>0.24891048511001129</v>
      </c>
      <c r="AF78" s="237">
        <f ca="1">((Summary!$N$9*(AA78*AD78)*(A78-$D$3))+(Summary!$M$9*Z78*AC78*(AJ78-EOMONTH(EDATE(A78,-1),0))))/(AK78*AB78*AE78)</f>
        <v>0.99943988425329189</v>
      </c>
      <c r="AG78" s="88">
        <f>IF($A79="","",Summary!$Q$9)</f>
        <v>0</v>
      </c>
      <c r="AH78" s="88">
        <f>IF($A79="","",IF(Summary!$R$9="Y",VLOOKUP($A78,Summary!$AD$6:$AF$9,3)+'Escalating commodity'!E91,'Escalating commodity'!E91))</f>
        <v>7.0699999999999999E-2</v>
      </c>
      <c r="AI78" s="88">
        <f t="shared" si="74"/>
        <v>7.0699999999999999E-2</v>
      </c>
      <c r="AJ78" s="236">
        <f t="shared" si="60"/>
        <v>39127</v>
      </c>
      <c r="AK78" s="58">
        <f t="shared" ca="1" si="61"/>
        <v>2088</v>
      </c>
      <c r="AL78" s="26">
        <f ca="1">IF($A79="","",_xll.SPRDOPT(P78,X78,AI78,0,AB78,AE78,AF78,AK78,$AJ$2,0))</f>
        <v>0.12321877731782278</v>
      </c>
      <c r="AM78" s="89">
        <f t="shared" si="62"/>
        <v>0.11058230116315702</v>
      </c>
      <c r="AN78" s="89">
        <f t="shared" ca="1" si="63"/>
        <v>1.263647615466576E-2</v>
      </c>
      <c r="AO78" s="3">
        <f t="shared" si="64"/>
        <v>28</v>
      </c>
      <c r="AP78" s="33">
        <f t="shared" si="65"/>
        <v>39114</v>
      </c>
      <c r="AQ78" s="58">
        <f t="shared" ca="1" si="66"/>
        <v>2088</v>
      </c>
      <c r="AR78" s="38">
        <f>'ANR OK vs ML7'!AR78</f>
        <v>0.1</v>
      </c>
      <c r="AS78" s="35">
        <f t="shared" ca="1" si="67"/>
        <v>0.57244943486611954</v>
      </c>
      <c r="AT78" s="3">
        <f t="shared" si="68"/>
        <v>1</v>
      </c>
      <c r="AU78" s="3">
        <f t="shared" si="69"/>
        <v>28</v>
      </c>
      <c r="AW78" s="32">
        <f t="shared" ca="1" si="70"/>
        <v>124377.03382461032</v>
      </c>
      <c r="AX78" s="32">
        <f t="shared" si="71"/>
        <v>111621.7747940907</v>
      </c>
      <c r="AY78" s="32">
        <f t="shared" ca="1" si="72"/>
        <v>12755.259030519619</v>
      </c>
      <c r="BA78" s="32">
        <f ca="1">IF($A79="","",F78*Summary!$Q$9)</f>
        <v>0</v>
      </c>
      <c r="BC78" s="256">
        <f t="shared" ca="1" si="75"/>
        <v>63897.821899630486</v>
      </c>
    </row>
    <row r="79" spans="1:55">
      <c r="A79" s="67">
        <f t="shared" si="73"/>
        <v>39142</v>
      </c>
      <c r="B79" s="69">
        <f t="shared" si="76"/>
        <v>36050</v>
      </c>
      <c r="C79" s="71"/>
      <c r="D79" s="69">
        <f t="shared" si="38"/>
        <v>36050</v>
      </c>
      <c r="E79" s="70">
        <f t="shared" si="39"/>
        <v>1117550</v>
      </c>
      <c r="F79" s="70">
        <f t="shared" ca="1" si="40"/>
        <v>634973.14507545251</v>
      </c>
      <c r="G79" s="63">
        <f t="shared" si="41"/>
        <v>4.2249999999999996</v>
      </c>
      <c r="H79" s="64">
        <f t="shared" si="42"/>
        <v>4.2249999999999996</v>
      </c>
      <c r="I79" s="43"/>
      <c r="J79" s="63">
        <f t="shared" si="43"/>
        <v>0.27500000000000002</v>
      </c>
      <c r="K79" s="64">
        <f t="shared" si="44"/>
        <v>0.27500000000000002</v>
      </c>
      <c r="L79" s="63">
        <f t="shared" si="45"/>
        <v>0</v>
      </c>
      <c r="M79" s="64">
        <f t="shared" si="46"/>
        <v>0</v>
      </c>
      <c r="N79" s="65"/>
      <c r="O79" s="63">
        <f t="shared" si="47"/>
        <v>4.5</v>
      </c>
      <c r="P79" s="63">
        <f t="shared" si="48"/>
        <v>4.5</v>
      </c>
      <c r="Q79" s="66"/>
      <c r="R79" s="63">
        <f t="shared" si="49"/>
        <v>-0.1225</v>
      </c>
      <c r="S79" s="64">
        <f t="shared" si="50"/>
        <v>-0.1225</v>
      </c>
      <c r="T79" s="63">
        <f t="shared" si="51"/>
        <v>0.01</v>
      </c>
      <c r="U79" s="64">
        <f t="shared" si="52"/>
        <v>0.01</v>
      </c>
      <c r="V79" s="90">
        <f>IF($A80="","",IF(AND(MONTH(A79)&gt;3,MONTH(A79)&lt;11),(T79+R79+G79)*Summary!$T$9/(1-Summary!$T$9),(T79+R79+G79)*Summary!$U$9/(1-Summary!$U$9)))</f>
        <v>0.19694147542701454</v>
      </c>
      <c r="W79" s="63">
        <f t="shared" si="53"/>
        <v>4.3094414754270147</v>
      </c>
      <c r="X79" s="63">
        <f t="shared" si="54"/>
        <v>4.3094414754270147</v>
      </c>
      <c r="Y79" s="43"/>
      <c r="Z79" s="38">
        <f t="shared" si="55"/>
        <v>0.75</v>
      </c>
      <c r="AA79" s="38">
        <f t="shared" si="56"/>
        <v>0.22800000000000001</v>
      </c>
      <c r="AB79" s="38">
        <f t="shared" ca="1" si="57"/>
        <v>0.2369155110103133</v>
      </c>
      <c r="AC79" s="38">
        <f t="shared" si="58"/>
        <v>0.75</v>
      </c>
      <c r="AD79" s="38">
        <f t="shared" si="58"/>
        <v>0.22800000000000001</v>
      </c>
      <c r="AE79" s="38">
        <f t="shared" ca="1" si="59"/>
        <v>0.2369155110103133</v>
      </c>
      <c r="AF79" s="237">
        <f ca="1">((Summary!$N$9*(AA79*AD79)*(A79-$D$3))+(Summary!$M$9*Z79*AC79*(AJ79-EOMONTH(EDATE(A79,-1),0))))/(AK79*AB79*AE79)</f>
        <v>0.99990734093825506</v>
      </c>
      <c r="AG79" s="88">
        <f>IF($A80="","",Summary!$Q$9)</f>
        <v>0</v>
      </c>
      <c r="AH79" s="88">
        <f>IF($A80="","",IF(Summary!$R$9="Y",VLOOKUP($A79,Summary!$AD$6:$AF$9,3)+'Escalating commodity'!E92,'Escalating commodity'!E92))</f>
        <v>7.0699999999999999E-2</v>
      </c>
      <c r="AI79" s="88">
        <f t="shared" si="74"/>
        <v>7.0699999999999999E-2</v>
      </c>
      <c r="AJ79" s="236">
        <f t="shared" si="60"/>
        <v>39156.5</v>
      </c>
      <c r="AK79" s="58">
        <f t="shared" ca="1" si="61"/>
        <v>2116</v>
      </c>
      <c r="AL79" s="26">
        <f ca="1">IF($A80="","",_xll.SPRDOPT(P79,X79,AI79,0,AB79,AE79,AF79,AK79,$AJ$2,0))</f>
        <v>0.12179279607895976</v>
      </c>
      <c r="AM79" s="89">
        <f t="shared" si="62"/>
        <v>0.11985852457298528</v>
      </c>
      <c r="AN79" s="89">
        <f t="shared" ca="1" si="63"/>
        <v>1.9342715059744858E-3</v>
      </c>
      <c r="AO79" s="3">
        <f t="shared" si="64"/>
        <v>31</v>
      </c>
      <c r="AP79" s="33">
        <f t="shared" si="65"/>
        <v>39142</v>
      </c>
      <c r="AQ79" s="58">
        <f t="shared" ca="1" si="66"/>
        <v>2116</v>
      </c>
      <c r="AR79" s="38">
        <f>'ANR OK vs ML7'!AR79</f>
        <v>0.1</v>
      </c>
      <c r="AS79" s="35">
        <f t="shared" ca="1" si="67"/>
        <v>0.56818320887249119</v>
      </c>
      <c r="AT79" s="3">
        <f t="shared" si="68"/>
        <v>1</v>
      </c>
      <c r="AU79" s="3">
        <f t="shared" si="69"/>
        <v>31</v>
      </c>
      <c r="AW79" s="32">
        <f t="shared" ca="1" si="70"/>
        <v>136109.53925804148</v>
      </c>
      <c r="AX79" s="32">
        <f t="shared" si="71"/>
        <v>133947.89413653969</v>
      </c>
      <c r="AY79" s="32">
        <f t="shared" ca="1" si="72"/>
        <v>2161.6451215017864</v>
      </c>
      <c r="BA79" s="32">
        <f ca="1">IF($A80="","",F79*Summary!$Q$9)</f>
        <v>0</v>
      </c>
      <c r="BC79" s="256">
        <f t="shared" ca="1" si="75"/>
        <v>76106.944312211868</v>
      </c>
    </row>
    <row r="80" spans="1:55">
      <c r="A80" s="67">
        <f t="shared" si="73"/>
        <v>39173</v>
      </c>
      <c r="B80" s="69">
        <f t="shared" si="76"/>
        <v>36050</v>
      </c>
      <c r="C80" s="71"/>
      <c r="D80" s="69">
        <f t="shared" si="38"/>
        <v>36050</v>
      </c>
      <c r="E80" s="70">
        <f t="shared" si="39"/>
        <v>1081500</v>
      </c>
      <c r="F80" s="70">
        <f t="shared" ca="1" si="40"/>
        <v>609421.96662277647</v>
      </c>
      <c r="G80" s="63">
        <f t="shared" si="41"/>
        <v>4.05</v>
      </c>
      <c r="H80" s="64">
        <f t="shared" si="42"/>
        <v>4.05</v>
      </c>
      <c r="I80" s="43"/>
      <c r="J80" s="63">
        <f t="shared" si="43"/>
        <v>0.18</v>
      </c>
      <c r="K80" s="64">
        <f t="shared" si="44"/>
        <v>0.18</v>
      </c>
      <c r="L80" s="63">
        <f t="shared" si="45"/>
        <v>0</v>
      </c>
      <c r="M80" s="64">
        <f t="shared" si="46"/>
        <v>0</v>
      </c>
      <c r="N80" s="65"/>
      <c r="O80" s="63">
        <f t="shared" si="47"/>
        <v>4.2299999999999995</v>
      </c>
      <c r="P80" s="63">
        <f t="shared" si="48"/>
        <v>4.2299999999999995</v>
      </c>
      <c r="Q80" s="66"/>
      <c r="R80" s="63">
        <f t="shared" si="49"/>
        <v>-0.12</v>
      </c>
      <c r="S80" s="64">
        <f t="shared" si="50"/>
        <v>-0.12</v>
      </c>
      <c r="T80" s="63">
        <f t="shared" si="51"/>
        <v>-0.01</v>
      </c>
      <c r="U80" s="64">
        <f t="shared" si="52"/>
        <v>-0.01</v>
      </c>
      <c r="V80" s="90">
        <f>IF($A81="","",IF(AND(MONTH(A80)&gt;3,MONTH(A80)&lt;11),(T80+R80+G80)*Summary!$T$9/(1-Summary!$T$9),(T80+R80+G80)*Summary!$U$9/(1-Summary!$U$9)))</f>
        <v>0.18772293827936706</v>
      </c>
      <c r="W80" s="63">
        <f t="shared" si="53"/>
        <v>4.107722938279367</v>
      </c>
      <c r="X80" s="63">
        <f t="shared" si="54"/>
        <v>4.107722938279367</v>
      </c>
      <c r="Y80" s="43"/>
      <c r="Z80" s="38">
        <f t="shared" si="55"/>
        <v>0.45</v>
      </c>
      <c r="AA80" s="38">
        <f t="shared" si="56"/>
        <v>0.22800000000000001</v>
      </c>
      <c r="AB80" s="38">
        <f t="shared" ca="1" si="57"/>
        <v>0.23113411080465152</v>
      </c>
      <c r="AC80" s="38">
        <f t="shared" si="58"/>
        <v>0.4</v>
      </c>
      <c r="AD80" s="38">
        <f t="shared" si="58"/>
        <v>0.22800000000000001</v>
      </c>
      <c r="AE80" s="38">
        <f t="shared" ca="1" si="59"/>
        <v>0.23049089186837818</v>
      </c>
      <c r="AF80" s="237">
        <f ca="1">((Summary!$N$9*(AA80*AD80)*(A80-$D$3))+(Summary!$M$9*Z80*AC80*(AJ80-EOMONTH(EDATE(A80,-1),0))))/(AK80*AB80*AE80)</f>
        <v>0.99974233223105136</v>
      </c>
      <c r="AG80" s="88">
        <f>IF($A81="","",Summary!$Q$9)</f>
        <v>0</v>
      </c>
      <c r="AH80" s="88">
        <f>IF($A81="","",IF(Summary!$R$9="Y",VLOOKUP($A80,Summary!$AD$6:$AF$9,3)+'Escalating commodity'!E93,'Escalating commodity'!E93))</f>
        <v>7.0699999999999999E-2</v>
      </c>
      <c r="AI80" s="88">
        <f t="shared" si="74"/>
        <v>7.0699999999999999E-2</v>
      </c>
      <c r="AJ80" s="236">
        <f t="shared" si="60"/>
        <v>39187</v>
      </c>
      <c r="AK80" s="58">
        <f t="shared" ca="1" si="61"/>
        <v>2147</v>
      </c>
      <c r="AL80" s="26">
        <f ca="1">IF($A81="","",_xll.SPRDOPT(P80,X80,AI80,0,AB80,AE80,AF80,AK80,$AJ$2,0))</f>
        <v>6.2207833604697435E-2</v>
      </c>
      <c r="AM80" s="89">
        <f t="shared" si="62"/>
        <v>5.1577061720632575E-2</v>
      </c>
      <c r="AN80" s="89">
        <f t="shared" ca="1" si="63"/>
        <v>1.063077188406486E-2</v>
      </c>
      <c r="AO80" s="3">
        <f t="shared" si="64"/>
        <v>30</v>
      </c>
      <c r="AP80" s="33">
        <f t="shared" si="65"/>
        <v>39173</v>
      </c>
      <c r="AQ80" s="58">
        <f t="shared" ca="1" si="66"/>
        <v>2147</v>
      </c>
      <c r="AR80" s="38">
        <f>'ANR OK vs ML7'!AR80</f>
        <v>0.1</v>
      </c>
      <c r="AS80" s="35">
        <f t="shared" ca="1" si="67"/>
        <v>0.56349696405249794</v>
      </c>
      <c r="AT80" s="3">
        <f t="shared" si="68"/>
        <v>1</v>
      </c>
      <c r="AU80" s="3">
        <f t="shared" si="69"/>
        <v>30</v>
      </c>
      <c r="AW80" s="32">
        <f t="shared" ca="1" si="70"/>
        <v>67277.772043480276</v>
      </c>
      <c r="AX80" s="32">
        <f t="shared" si="71"/>
        <v>55780.592250864131</v>
      </c>
      <c r="AY80" s="32">
        <f t="shared" ca="1" si="72"/>
        <v>11497.179792616147</v>
      </c>
      <c r="BA80" s="32">
        <f ca="1">IF($A81="","",F80*Summary!$Q$9)</f>
        <v>0</v>
      </c>
      <c r="BC80" s="256">
        <f t="shared" ca="1" si="75"/>
        <v>31432.194386412226</v>
      </c>
    </row>
    <row r="81" spans="1:55">
      <c r="A81" s="67">
        <f t="shared" si="73"/>
        <v>39203</v>
      </c>
      <c r="B81" s="69">
        <f t="shared" si="76"/>
        <v>36050</v>
      </c>
      <c r="C81" s="71"/>
      <c r="D81" s="69">
        <f t="shared" si="38"/>
        <v>36050</v>
      </c>
      <c r="E81" s="70">
        <f t="shared" si="39"/>
        <v>1117550</v>
      </c>
      <c r="F81" s="70">
        <f t="shared" ca="1" si="40"/>
        <v>624708.98898247397</v>
      </c>
      <c r="G81" s="63">
        <f t="shared" si="41"/>
        <v>4.0199999999999996</v>
      </c>
      <c r="H81" s="64">
        <f t="shared" si="42"/>
        <v>4.0199999999999996</v>
      </c>
      <c r="I81" s="43"/>
      <c r="J81" s="63">
        <f t="shared" si="43"/>
        <v>0.18</v>
      </c>
      <c r="K81" s="64">
        <f t="shared" si="44"/>
        <v>0.18</v>
      </c>
      <c r="L81" s="63">
        <f t="shared" si="45"/>
        <v>0</v>
      </c>
      <c r="M81" s="64">
        <f t="shared" si="46"/>
        <v>0</v>
      </c>
      <c r="N81" s="65"/>
      <c r="O81" s="63">
        <f t="shared" si="47"/>
        <v>4.1999999999999993</v>
      </c>
      <c r="P81" s="63">
        <f t="shared" si="48"/>
        <v>4.1999999999999993</v>
      </c>
      <c r="Q81" s="66"/>
      <c r="R81" s="63">
        <f t="shared" si="49"/>
        <v>-0.12</v>
      </c>
      <c r="S81" s="64">
        <f t="shared" si="50"/>
        <v>-0.12</v>
      </c>
      <c r="T81" s="63">
        <f t="shared" si="51"/>
        <v>-0.01</v>
      </c>
      <c r="U81" s="64">
        <f t="shared" si="52"/>
        <v>-0.01</v>
      </c>
      <c r="V81" s="90">
        <f>IF($A82="","",IF(AND(MONTH(A81)&gt;3,MONTH(A81)&lt;11),(T81+R81+G81)*Summary!$T$9/(1-Summary!$T$9),(T81+R81+G81)*Summary!$U$9/(1-Summary!$U$9)))</f>
        <v>0.18628628313947393</v>
      </c>
      <c r="W81" s="63">
        <f t="shared" si="53"/>
        <v>4.0762862831394733</v>
      </c>
      <c r="X81" s="63">
        <f t="shared" si="54"/>
        <v>4.0762862831394733</v>
      </c>
      <c r="Y81" s="43"/>
      <c r="Z81" s="38">
        <f t="shared" si="55"/>
        <v>0.5</v>
      </c>
      <c r="AA81" s="38">
        <f t="shared" si="56"/>
        <v>0.22800000000000001</v>
      </c>
      <c r="AB81" s="38">
        <f t="shared" ca="1" si="57"/>
        <v>0.2319220799564731</v>
      </c>
      <c r="AC81" s="38">
        <f t="shared" si="58"/>
        <v>0.4</v>
      </c>
      <c r="AD81" s="38">
        <f t="shared" si="58"/>
        <v>0.22800000000000001</v>
      </c>
      <c r="AE81" s="38">
        <f t="shared" ca="1" si="59"/>
        <v>0.23053646369554556</v>
      </c>
      <c r="AF81" s="237">
        <f ca="1">((Summary!$N$9*(AA81*AD81)*(A81-$D$3))+(Summary!$M$9*Z81*AC81*(AJ81-EOMONTH(EDATE(A81,-1),0))))/(AK81*AB81*AE81)</f>
        <v>0.99925485540849868</v>
      </c>
      <c r="AG81" s="88">
        <f>IF($A82="","",Summary!$Q$9)</f>
        <v>0</v>
      </c>
      <c r="AH81" s="88">
        <f>IF($A82="","",IF(Summary!$R$9="Y",VLOOKUP($A81,Summary!$AD$6:$AF$9,3)+'Escalating commodity'!E94,'Escalating commodity'!E94))</f>
        <v>7.0699999999999999E-2</v>
      </c>
      <c r="AI81" s="88">
        <f t="shared" si="74"/>
        <v>7.0699999999999999E-2</v>
      </c>
      <c r="AJ81" s="236">
        <f t="shared" si="60"/>
        <v>39217.5</v>
      </c>
      <c r="AK81" s="58">
        <f t="shared" ca="1" si="61"/>
        <v>2177</v>
      </c>
      <c r="AL81" s="26">
        <f ca="1">IF($A82="","",_xll.SPRDOPT(P81,X81,AI81,0,AB81,AE81,AF81,AK81,$AJ$2,0))</f>
        <v>7.3979562096566254E-2</v>
      </c>
      <c r="AM81" s="89">
        <f t="shared" si="62"/>
        <v>5.3013716860526014E-2</v>
      </c>
      <c r="AN81" s="89">
        <f t="shared" ca="1" si="63"/>
        <v>2.096584523604024E-2</v>
      </c>
      <c r="AO81" s="3">
        <f t="shared" si="64"/>
        <v>31</v>
      </c>
      <c r="AP81" s="33">
        <f t="shared" si="65"/>
        <v>39203</v>
      </c>
      <c r="AQ81" s="58">
        <f t="shared" ca="1" si="66"/>
        <v>2177</v>
      </c>
      <c r="AR81" s="38">
        <f>'ANR OK vs ML7'!AR81</f>
        <v>0.1</v>
      </c>
      <c r="AS81" s="35">
        <f t="shared" ca="1" si="67"/>
        <v>0.55899869266026037</v>
      </c>
      <c r="AT81" s="3">
        <f t="shared" si="68"/>
        <v>1</v>
      </c>
      <c r="AU81" s="3">
        <f t="shared" si="69"/>
        <v>31</v>
      </c>
      <c r="AW81" s="32">
        <f t="shared" ca="1" si="70"/>
        <v>82675.859621017618</v>
      </c>
      <c r="AX81" s="32">
        <f t="shared" si="71"/>
        <v>59245.479277480845</v>
      </c>
      <c r="AY81" s="32">
        <f t="shared" ca="1" si="72"/>
        <v>23430.38034353677</v>
      </c>
      <c r="BA81" s="32">
        <f ca="1">IF($A82="","",F81*Summary!$Q$9)</f>
        <v>0</v>
      </c>
      <c r="BC81" s="256">
        <f t="shared" ca="1" si="75"/>
        <v>33118.14546214234</v>
      </c>
    </row>
    <row r="82" spans="1:55">
      <c r="A82" s="67">
        <f t="shared" si="73"/>
        <v>39234</v>
      </c>
      <c r="B82" s="69">
        <f t="shared" si="76"/>
        <v>36050</v>
      </c>
      <c r="C82" s="71"/>
      <c r="D82" s="69">
        <f t="shared" si="38"/>
        <v>36050</v>
      </c>
      <c r="E82" s="70">
        <f t="shared" si="39"/>
        <v>1081500</v>
      </c>
      <c r="F82" s="70">
        <f t="shared" ca="1" si="40"/>
        <v>599570.83789328847</v>
      </c>
      <c r="G82" s="63">
        <f t="shared" si="41"/>
        <v>4.09</v>
      </c>
      <c r="H82" s="64">
        <f t="shared" si="42"/>
        <v>4.09</v>
      </c>
      <c r="I82" s="43"/>
      <c r="J82" s="63">
        <f t="shared" si="43"/>
        <v>0.18</v>
      </c>
      <c r="K82" s="64">
        <f t="shared" si="44"/>
        <v>0.18</v>
      </c>
      <c r="L82" s="63">
        <f t="shared" si="45"/>
        <v>0</v>
      </c>
      <c r="M82" s="64">
        <f t="shared" si="46"/>
        <v>0</v>
      </c>
      <c r="N82" s="65"/>
      <c r="O82" s="63">
        <f t="shared" si="47"/>
        <v>4.2699999999999996</v>
      </c>
      <c r="P82" s="63">
        <f t="shared" si="48"/>
        <v>4.2699999999999996</v>
      </c>
      <c r="Q82" s="66"/>
      <c r="R82" s="63">
        <f t="shared" si="49"/>
        <v>-0.12</v>
      </c>
      <c r="S82" s="64">
        <f t="shared" si="50"/>
        <v>-0.12</v>
      </c>
      <c r="T82" s="63">
        <f t="shared" si="51"/>
        <v>-0.01</v>
      </c>
      <c r="U82" s="64">
        <f t="shared" si="52"/>
        <v>-0.01</v>
      </c>
      <c r="V82" s="90">
        <f>IF($A83="","",IF(AND(MONTH(A82)&gt;3,MONTH(A82)&lt;11),(T82+R82+G82)*Summary!$T$9/(1-Summary!$T$9),(T82+R82+G82)*Summary!$U$9/(1-Summary!$U$9)))</f>
        <v>0.18963847846589121</v>
      </c>
      <c r="W82" s="63">
        <f t="shared" si="53"/>
        <v>4.1496384784658913</v>
      </c>
      <c r="X82" s="63">
        <f t="shared" si="54"/>
        <v>4.1496384784658913</v>
      </c>
      <c r="Y82" s="43"/>
      <c r="Z82" s="38">
        <f t="shared" si="55"/>
        <v>0.5</v>
      </c>
      <c r="AA82" s="38">
        <f t="shared" si="56"/>
        <v>0.218</v>
      </c>
      <c r="AB82" s="38">
        <f t="shared" ca="1" si="57"/>
        <v>0.22190965079496211</v>
      </c>
      <c r="AC82" s="38">
        <f t="shared" si="58"/>
        <v>0.4</v>
      </c>
      <c r="AD82" s="38">
        <f t="shared" si="58"/>
        <v>0.218</v>
      </c>
      <c r="AE82" s="38">
        <f t="shared" ca="1" si="59"/>
        <v>0.22052773084685692</v>
      </c>
      <c r="AF82" s="237">
        <f ca="1">((Summary!$N$9*(AA82*AD82)*(A82-$D$3))+(Summary!$M$9*Z82*AC82*(AJ82-EOMONTH(EDATE(A82,-1),0))))/(AK82*AB82*AE82)</f>
        <v>0.99922825442014351</v>
      </c>
      <c r="AG82" s="88">
        <f>IF($A83="","",Summary!$Q$9)</f>
        <v>0</v>
      </c>
      <c r="AH82" s="88">
        <f>IF($A83="","",IF(Summary!$R$9="Y",VLOOKUP($A82,Summary!$AD$6:$AF$9,3)+'Escalating commodity'!E95,'Escalating commodity'!E95))</f>
        <v>7.0699999999999999E-2</v>
      </c>
      <c r="AI82" s="88">
        <f t="shared" si="74"/>
        <v>7.0699999999999999E-2</v>
      </c>
      <c r="AJ82" s="236">
        <f t="shared" si="60"/>
        <v>39248</v>
      </c>
      <c r="AK82" s="58">
        <f t="shared" ca="1" si="61"/>
        <v>2208</v>
      </c>
      <c r="AL82" s="26">
        <f ca="1">IF($A83="","",_xll.SPRDOPT(P82,X82,AI82,0,AB82,AE82,AF82,AK82,$AJ$2,0))</f>
        <v>7.1268837062420168E-2</v>
      </c>
      <c r="AM82" s="89">
        <f t="shared" si="62"/>
        <v>4.9661521534108286E-2</v>
      </c>
      <c r="AN82" s="89">
        <f t="shared" ca="1" si="63"/>
        <v>2.1607315528311882E-2</v>
      </c>
      <c r="AO82" s="3">
        <f t="shared" si="64"/>
        <v>30</v>
      </c>
      <c r="AP82" s="33">
        <f t="shared" si="65"/>
        <v>39234</v>
      </c>
      <c r="AQ82" s="58">
        <f t="shared" ca="1" si="66"/>
        <v>2208</v>
      </c>
      <c r="AR82" s="38">
        <f>'ANR OK vs ML7'!AR82</f>
        <v>0.1</v>
      </c>
      <c r="AS82" s="35">
        <f t="shared" ca="1" si="67"/>
        <v>0.55438819962393759</v>
      </c>
      <c r="AT82" s="3">
        <f t="shared" si="68"/>
        <v>1</v>
      </c>
      <c r="AU82" s="3">
        <f t="shared" si="69"/>
        <v>30</v>
      </c>
      <c r="AW82" s="32">
        <f t="shared" ca="1" si="70"/>
        <v>77077.247283007411</v>
      </c>
      <c r="AX82" s="32">
        <f t="shared" si="71"/>
        <v>53708.93553913811</v>
      </c>
      <c r="AY82" s="32">
        <f t="shared" ca="1" si="72"/>
        <v>23368.311743869301</v>
      </c>
      <c r="BA82" s="32">
        <f ca="1">IF($A83="","",F82*Summary!$Q$9)</f>
        <v>0</v>
      </c>
      <c r="BC82" s="256">
        <f t="shared" ca="1" si="75"/>
        <v>29775.600077260893</v>
      </c>
    </row>
    <row r="83" spans="1:55">
      <c r="A83" s="67">
        <f t="shared" si="73"/>
        <v>39264</v>
      </c>
      <c r="B83" s="69">
        <f t="shared" si="76"/>
        <v>36050</v>
      </c>
      <c r="C83" s="71"/>
      <c r="D83" s="69">
        <f t="shared" si="38"/>
        <v>36050</v>
      </c>
      <c r="E83" s="70">
        <f t="shared" si="39"/>
        <v>1117550</v>
      </c>
      <c r="F83" s="70">
        <f t="shared" ca="1" si="40"/>
        <v>614610.74998554599</v>
      </c>
      <c r="G83" s="63">
        <f t="shared" si="41"/>
        <v>4.1449999999999996</v>
      </c>
      <c r="H83" s="64">
        <f t="shared" si="42"/>
        <v>4.1449999999999996</v>
      </c>
      <c r="I83" s="43"/>
      <c r="J83" s="63">
        <f t="shared" si="43"/>
        <v>0.18</v>
      </c>
      <c r="K83" s="64">
        <f t="shared" si="44"/>
        <v>0.18</v>
      </c>
      <c r="L83" s="63">
        <f t="shared" si="45"/>
        <v>0</v>
      </c>
      <c r="M83" s="64">
        <f t="shared" si="46"/>
        <v>0</v>
      </c>
      <c r="N83" s="65"/>
      <c r="O83" s="63">
        <f t="shared" si="47"/>
        <v>4.3249999999999993</v>
      </c>
      <c r="P83" s="63">
        <f t="shared" si="48"/>
        <v>4.3249999999999993</v>
      </c>
      <c r="Q83" s="66"/>
      <c r="R83" s="63">
        <f t="shared" si="49"/>
        <v>-0.12</v>
      </c>
      <c r="S83" s="64">
        <f t="shared" si="50"/>
        <v>-0.12</v>
      </c>
      <c r="T83" s="63">
        <f t="shared" si="51"/>
        <v>-0.01</v>
      </c>
      <c r="U83" s="64">
        <f t="shared" si="52"/>
        <v>-0.01</v>
      </c>
      <c r="V83" s="90">
        <f>IF($A84="","",IF(AND(MONTH(A83)&gt;3,MONTH(A83)&lt;11),(T83+R83+G83)*Summary!$T$9/(1-Summary!$T$9),(T83+R83+G83)*Summary!$U$9/(1-Summary!$U$9)))</f>
        <v>0.19227234622236189</v>
      </c>
      <c r="W83" s="63">
        <f t="shared" si="53"/>
        <v>4.2072723462223616</v>
      </c>
      <c r="X83" s="63">
        <f t="shared" si="54"/>
        <v>4.2072723462223616</v>
      </c>
      <c r="Y83" s="43"/>
      <c r="Z83" s="38">
        <f t="shared" si="55"/>
        <v>0.55000000000000004</v>
      </c>
      <c r="AA83" s="38">
        <f t="shared" si="56"/>
        <v>0.218</v>
      </c>
      <c r="AB83" s="38">
        <f t="shared" ca="1" si="57"/>
        <v>0.22280102689873618</v>
      </c>
      <c r="AC83" s="38">
        <f t="shared" si="58"/>
        <v>0.4</v>
      </c>
      <c r="AD83" s="38">
        <f t="shared" si="58"/>
        <v>0.218</v>
      </c>
      <c r="AE83" s="38">
        <f t="shared" ca="1" si="59"/>
        <v>0.2205750831173485</v>
      </c>
      <c r="AF83" s="237">
        <f ca="1">((Summary!$N$9*(AA83*AD83)*(A83-$D$3))+(Summary!$M$9*Z83*AC83*(AJ83-EOMONTH(EDATE(A83,-1),0))))/(AK83*AB83*AE83)</f>
        <v>0.99836822234825806</v>
      </c>
      <c r="AG83" s="88">
        <f>IF($A84="","",Summary!$Q$9)</f>
        <v>0</v>
      </c>
      <c r="AH83" s="88">
        <f>IF($A84="","",IF(Summary!$R$9="Y",VLOOKUP($A83,Summary!$AD$6:$AF$9,3)+'Escalating commodity'!E96,'Escalating commodity'!E96))</f>
        <v>7.0699999999999999E-2</v>
      </c>
      <c r="AI83" s="88">
        <f t="shared" si="74"/>
        <v>7.0699999999999999E-2</v>
      </c>
      <c r="AJ83" s="236">
        <f t="shared" si="60"/>
        <v>39278.5</v>
      </c>
      <c r="AK83" s="58">
        <f t="shared" ca="1" si="61"/>
        <v>2238</v>
      </c>
      <c r="AL83" s="26">
        <f ca="1">IF($A84="","",_xll.SPRDOPT(P83,X83,AI83,0,AB83,AE83,AF83,AK83,$AJ$2,0))</f>
        <v>8.5727659473145743E-2</v>
      </c>
      <c r="AM83" s="89">
        <f t="shared" si="62"/>
        <v>4.7027653777637721E-2</v>
      </c>
      <c r="AN83" s="89">
        <f t="shared" ca="1" si="63"/>
        <v>3.8700005695508022E-2</v>
      </c>
      <c r="AO83" s="3">
        <f t="shared" si="64"/>
        <v>31</v>
      </c>
      <c r="AP83" s="33">
        <f t="shared" si="65"/>
        <v>39264</v>
      </c>
      <c r="AQ83" s="58">
        <f t="shared" ca="1" si="66"/>
        <v>2238</v>
      </c>
      <c r="AR83" s="38">
        <f>'ANR OK vs ML7'!AR83</f>
        <v>0.1</v>
      </c>
      <c r="AS83" s="35">
        <f t="shared" ca="1" si="67"/>
        <v>0.54996264147961704</v>
      </c>
      <c r="AT83" s="3">
        <f t="shared" si="68"/>
        <v>1</v>
      </c>
      <c r="AU83" s="3">
        <f t="shared" si="69"/>
        <v>31</v>
      </c>
      <c r="AW83" s="32">
        <f t="shared" ca="1" si="70"/>
        <v>95804.945844214031</v>
      </c>
      <c r="AX83" s="32">
        <f t="shared" si="71"/>
        <v>52555.754479199037</v>
      </c>
      <c r="AY83" s="32">
        <f t="shared" ca="1" si="72"/>
        <v>43249.191365014987</v>
      </c>
      <c r="BA83" s="32">
        <f ca="1">IF($A84="","",F83*Summary!$Q$9)</f>
        <v>0</v>
      </c>
      <c r="BC83" s="256">
        <f t="shared" ca="1" si="75"/>
        <v>28903.701558334513</v>
      </c>
    </row>
    <row r="84" spans="1:55">
      <c r="A84" s="67">
        <f t="shared" si="73"/>
        <v>39295</v>
      </c>
      <c r="B84" s="69">
        <f t="shared" si="76"/>
        <v>36050</v>
      </c>
      <c r="C84" s="71"/>
      <c r="D84" s="69">
        <f t="shared" si="38"/>
        <v>36050</v>
      </c>
      <c r="E84" s="70">
        <f t="shared" si="39"/>
        <v>1117550</v>
      </c>
      <c r="F84" s="70">
        <f t="shared" ca="1" si="40"/>
        <v>609541.58145248168</v>
      </c>
      <c r="G84" s="63">
        <f t="shared" si="41"/>
        <v>4.2010000000000005</v>
      </c>
      <c r="H84" s="64">
        <f t="shared" si="42"/>
        <v>4.2010000000000005</v>
      </c>
      <c r="I84" s="43"/>
      <c r="J84" s="63">
        <f t="shared" si="43"/>
        <v>0.18</v>
      </c>
      <c r="K84" s="64">
        <f t="shared" si="44"/>
        <v>0.18</v>
      </c>
      <c r="L84" s="63">
        <f t="shared" si="45"/>
        <v>0</v>
      </c>
      <c r="M84" s="64">
        <f t="shared" si="46"/>
        <v>0</v>
      </c>
      <c r="N84" s="65"/>
      <c r="O84" s="63">
        <f t="shared" si="47"/>
        <v>4.3810000000000002</v>
      </c>
      <c r="P84" s="63">
        <f t="shared" si="48"/>
        <v>4.3810000000000002</v>
      </c>
      <c r="Q84" s="66"/>
      <c r="R84" s="63">
        <f t="shared" si="49"/>
        <v>-0.12</v>
      </c>
      <c r="S84" s="64">
        <f t="shared" si="50"/>
        <v>-0.12</v>
      </c>
      <c r="T84" s="63">
        <f t="shared" si="51"/>
        <v>-0.01</v>
      </c>
      <c r="U84" s="64">
        <f t="shared" si="52"/>
        <v>-0.01</v>
      </c>
      <c r="V84" s="90">
        <f>IF($A85="","",IF(AND(MONTH(A84)&gt;3,MONTH(A84)&lt;11),(T84+R84+G84)*Summary!$T$9/(1-Summary!$T$9),(T84+R84+G84)*Summary!$U$9/(1-Summary!$U$9)))</f>
        <v>0.19495410248349576</v>
      </c>
      <c r="W84" s="63">
        <f t="shared" si="53"/>
        <v>4.2659541024834962</v>
      </c>
      <c r="X84" s="63">
        <f t="shared" si="54"/>
        <v>4.2659541024834962</v>
      </c>
      <c r="Y84" s="43"/>
      <c r="Z84" s="38">
        <f t="shared" si="55"/>
        <v>0.6</v>
      </c>
      <c r="AA84" s="38">
        <f t="shared" si="56"/>
        <v>0.218</v>
      </c>
      <c r="AB84" s="38">
        <f t="shared" ca="1" si="57"/>
        <v>0.22361613996311913</v>
      </c>
      <c r="AC84" s="38">
        <f t="shared" si="58"/>
        <v>0.5</v>
      </c>
      <c r="AD84" s="38">
        <f t="shared" si="58"/>
        <v>0.218</v>
      </c>
      <c r="AE84" s="38">
        <f t="shared" ca="1" si="59"/>
        <v>0.22192959627537928</v>
      </c>
      <c r="AF84" s="237">
        <f ca="1">((Summary!$N$9*(AA84*AD84)*(A84-$D$3))+(Summary!$M$9*Z84*AC84*(AJ84-EOMONTH(EDATE(A84,-1),0))))/(AK84*AB84*AE84)</f>
        <v>0.99924459939971277</v>
      </c>
      <c r="AG84" s="88">
        <f>IF($A85="","",Summary!$Q$9)</f>
        <v>0</v>
      </c>
      <c r="AH84" s="88">
        <f>IF($A85="","",IF(Summary!$R$9="Y",VLOOKUP($A84,Summary!$AD$6:$AF$9,3)+'Escalating commodity'!E97,'Escalating commodity'!E97))</f>
        <v>7.0699999999999999E-2</v>
      </c>
      <c r="AI84" s="88">
        <f t="shared" si="74"/>
        <v>7.0699999999999999E-2</v>
      </c>
      <c r="AJ84" s="236">
        <f t="shared" si="60"/>
        <v>39309.5</v>
      </c>
      <c r="AK84" s="58">
        <f t="shared" ca="1" si="61"/>
        <v>2269</v>
      </c>
      <c r="AL84" s="26">
        <f ca="1">IF($A85="","",_xll.SPRDOPT(P84,X84,AI84,0,AB84,AE84,AF84,AK84,$AJ$2,0))</f>
        <v>6.9402129708142302E-2</v>
      </c>
      <c r="AM84" s="89">
        <f t="shared" si="62"/>
        <v>4.4345897516504071E-2</v>
      </c>
      <c r="AN84" s="89">
        <f t="shared" ca="1" si="63"/>
        <v>2.5056232191638231E-2</v>
      </c>
      <c r="AO84" s="3">
        <f t="shared" si="64"/>
        <v>31</v>
      </c>
      <c r="AP84" s="33">
        <f t="shared" si="65"/>
        <v>39295</v>
      </c>
      <c r="AQ84" s="58">
        <f t="shared" ca="1" si="66"/>
        <v>2269</v>
      </c>
      <c r="AR84" s="38">
        <f>'ANR OK vs ML7'!AR84</f>
        <v>0.1</v>
      </c>
      <c r="AS84" s="35">
        <f t="shared" ca="1" si="67"/>
        <v>0.54542667572142789</v>
      </c>
      <c r="AT84" s="3">
        <f t="shared" si="68"/>
        <v>1</v>
      </c>
      <c r="AU84" s="3">
        <f t="shared" si="69"/>
        <v>31</v>
      </c>
      <c r="AW84" s="32">
        <f t="shared" ca="1" si="70"/>
        <v>77560.350055334435</v>
      </c>
      <c r="AX84" s="32">
        <f t="shared" si="71"/>
        <v>49558.757769569122</v>
      </c>
      <c r="AY84" s="32">
        <f t="shared" ca="1" si="72"/>
        <v>28001.592285765306</v>
      </c>
      <c r="BA84" s="32">
        <f ca="1">IF($A85="","",F84*Summary!$Q$9)</f>
        <v>0</v>
      </c>
      <c r="BC84" s="256">
        <f t="shared" ca="1" si="75"/>
        <v>27030.668503139572</v>
      </c>
    </row>
    <row r="85" spans="1:55">
      <c r="A85" s="67">
        <f t="shared" si="73"/>
        <v>39326</v>
      </c>
      <c r="B85" s="69">
        <f t="shared" si="76"/>
        <v>36050</v>
      </c>
      <c r="C85" s="71"/>
      <c r="D85" s="69">
        <f t="shared" si="38"/>
        <v>36050</v>
      </c>
      <c r="E85" s="70">
        <f t="shared" si="39"/>
        <v>1081500</v>
      </c>
      <c r="F85" s="70">
        <f t="shared" ca="1" si="40"/>
        <v>585013.76347654499</v>
      </c>
      <c r="G85" s="63">
        <f t="shared" si="41"/>
        <v>4.2149999999999999</v>
      </c>
      <c r="H85" s="64">
        <f t="shared" si="42"/>
        <v>4.2149999999999999</v>
      </c>
      <c r="I85" s="43"/>
      <c r="J85" s="63">
        <f t="shared" si="43"/>
        <v>0.18</v>
      </c>
      <c r="K85" s="64">
        <f t="shared" si="44"/>
        <v>0.18</v>
      </c>
      <c r="L85" s="63">
        <f t="shared" si="45"/>
        <v>0</v>
      </c>
      <c r="M85" s="64">
        <f t="shared" si="46"/>
        <v>0</v>
      </c>
      <c r="N85" s="65"/>
      <c r="O85" s="63">
        <f t="shared" si="47"/>
        <v>4.3949999999999996</v>
      </c>
      <c r="P85" s="63">
        <f t="shared" si="48"/>
        <v>4.3949999999999996</v>
      </c>
      <c r="Q85" s="66"/>
      <c r="R85" s="63">
        <f t="shared" si="49"/>
        <v>-0.12</v>
      </c>
      <c r="S85" s="64">
        <f t="shared" si="50"/>
        <v>-0.12</v>
      </c>
      <c r="T85" s="63">
        <f t="shared" si="51"/>
        <v>-0.01</v>
      </c>
      <c r="U85" s="64">
        <f t="shared" si="52"/>
        <v>-0.01</v>
      </c>
      <c r="V85" s="90">
        <f>IF($A86="","",IF(AND(MONTH(A85)&gt;3,MONTH(A85)&lt;11),(T85+R85+G85)*Summary!$T$9/(1-Summary!$T$9),(T85+R85+G85)*Summary!$U$9/(1-Summary!$U$9)))</f>
        <v>0.19562454154877917</v>
      </c>
      <c r="W85" s="63">
        <f t="shared" si="53"/>
        <v>4.2806245415487787</v>
      </c>
      <c r="X85" s="63">
        <f t="shared" si="54"/>
        <v>4.2806245415487787</v>
      </c>
      <c r="Y85" s="43"/>
      <c r="Z85" s="38">
        <f t="shared" si="55"/>
        <v>0.6</v>
      </c>
      <c r="AA85" s="38">
        <f t="shared" si="56"/>
        <v>0.218</v>
      </c>
      <c r="AB85" s="38">
        <f t="shared" ca="1" si="57"/>
        <v>0.22336626579600638</v>
      </c>
      <c r="AC85" s="38">
        <f t="shared" si="58"/>
        <v>0.55000000000000004</v>
      </c>
      <c r="AD85" s="38">
        <f t="shared" si="58"/>
        <v>0.218</v>
      </c>
      <c r="AE85" s="38">
        <f t="shared" ca="1" si="59"/>
        <v>0.22252525406266177</v>
      </c>
      <c r="AF85" s="237">
        <f ca="1">((Summary!$N$9*(AA85*AD85)*(A85-$D$3))+(Summary!$M$9*Z85*AC85*(AJ85-EOMONTH(EDATE(A85,-1),0))))/(AK85*AB85*AE85)</f>
        <v>0.99974744830548179</v>
      </c>
      <c r="AG85" s="88">
        <f>IF($A86="","",Summary!$Q$9)</f>
        <v>0</v>
      </c>
      <c r="AH85" s="88">
        <f>IF($A86="","",IF(Summary!$R$9="Y",VLOOKUP($A85,Summary!$AD$6:$AF$9,3)+'Escalating commodity'!E98,'Escalating commodity'!E98))</f>
        <v>7.0699999999999999E-2</v>
      </c>
      <c r="AI85" s="88">
        <f t="shared" si="74"/>
        <v>7.0699999999999999E-2</v>
      </c>
      <c r="AJ85" s="236">
        <f t="shared" si="60"/>
        <v>39340</v>
      </c>
      <c r="AK85" s="58">
        <f t="shared" ca="1" si="61"/>
        <v>2300</v>
      </c>
      <c r="AL85" s="26">
        <f ca="1">IF($A86="","",_xll.SPRDOPT(P85,X85,AI85,0,AB85,AE85,AF85,AK85,$AJ$2,0))</f>
        <v>5.6584581483491242E-2</v>
      </c>
      <c r="AM85" s="89">
        <f t="shared" si="62"/>
        <v>4.367545845122088E-2</v>
      </c>
      <c r="AN85" s="89">
        <f t="shared" ca="1" si="63"/>
        <v>1.2909123032270362E-2</v>
      </c>
      <c r="AO85" s="3">
        <f t="shared" si="64"/>
        <v>30</v>
      </c>
      <c r="AP85" s="33">
        <f t="shared" si="65"/>
        <v>39326</v>
      </c>
      <c r="AQ85" s="58">
        <f t="shared" ca="1" si="66"/>
        <v>2300</v>
      </c>
      <c r="AR85" s="38">
        <f>'ANR OK vs ML7'!AR85</f>
        <v>0.1</v>
      </c>
      <c r="AS85" s="35">
        <f t="shared" ca="1" si="67"/>
        <v>0.5409281215686963</v>
      </c>
      <c r="AT85" s="3">
        <f t="shared" si="68"/>
        <v>1</v>
      </c>
      <c r="AU85" s="3">
        <f t="shared" si="69"/>
        <v>30</v>
      </c>
      <c r="AW85" s="32">
        <f t="shared" ca="1" si="70"/>
        <v>61196.224874395775</v>
      </c>
      <c r="AX85" s="32">
        <f t="shared" si="71"/>
        <v>47235.008314995379</v>
      </c>
      <c r="AY85" s="32">
        <f t="shared" ca="1" si="72"/>
        <v>13961.216559400396</v>
      </c>
      <c r="BA85" s="32">
        <f ca="1">IF($A86="","",F85*Summary!$Q$9)</f>
        <v>0</v>
      </c>
      <c r="BC85" s="256">
        <f t="shared" ca="1" si="75"/>
        <v>25550.744320112201</v>
      </c>
    </row>
    <row r="86" spans="1:55">
      <c r="A86" s="67">
        <f t="shared" si="73"/>
        <v>39356</v>
      </c>
      <c r="B86" s="69">
        <f t="shared" si="76"/>
        <v>36050</v>
      </c>
      <c r="C86" s="71"/>
      <c r="D86" s="69">
        <f t="shared" si="38"/>
        <v>36050</v>
      </c>
      <c r="E86" s="70">
        <f t="shared" si="39"/>
        <v>1117550</v>
      </c>
      <c r="F86" s="70">
        <f t="shared" ca="1" si="40"/>
        <v>599688.51918408321</v>
      </c>
      <c r="G86" s="63">
        <f t="shared" si="41"/>
        <v>4.2460000000000004</v>
      </c>
      <c r="H86" s="64">
        <f t="shared" si="42"/>
        <v>4.2460000000000004</v>
      </c>
      <c r="I86" s="43"/>
      <c r="J86" s="63">
        <f t="shared" si="43"/>
        <v>0.18</v>
      </c>
      <c r="K86" s="64">
        <f t="shared" si="44"/>
        <v>0.18</v>
      </c>
      <c r="L86" s="63">
        <f t="shared" si="45"/>
        <v>0</v>
      </c>
      <c r="M86" s="64">
        <f t="shared" si="46"/>
        <v>0</v>
      </c>
      <c r="N86" s="65"/>
      <c r="O86" s="63">
        <f t="shared" si="47"/>
        <v>4.4260000000000002</v>
      </c>
      <c r="P86" s="63">
        <f t="shared" si="48"/>
        <v>4.4260000000000002</v>
      </c>
      <c r="Q86" s="66"/>
      <c r="R86" s="63">
        <f t="shared" si="49"/>
        <v>-0.12</v>
      </c>
      <c r="S86" s="64">
        <f t="shared" si="50"/>
        <v>-0.12</v>
      </c>
      <c r="T86" s="63">
        <f t="shared" si="51"/>
        <v>-0.01</v>
      </c>
      <c r="U86" s="64">
        <f t="shared" si="52"/>
        <v>-0.01</v>
      </c>
      <c r="V86" s="90">
        <f>IF($A87="","",IF(AND(MONTH(A86)&gt;3,MONTH(A86)&lt;11),(T86+R86+G86)*Summary!$T$9/(1-Summary!$T$9),(T86+R86+G86)*Summary!$U$9/(1-Summary!$U$9)))</f>
        <v>0.19710908519333545</v>
      </c>
      <c r="W86" s="63">
        <f t="shared" si="53"/>
        <v>4.3131090851933358</v>
      </c>
      <c r="X86" s="63">
        <f t="shared" si="54"/>
        <v>4.3131090851933358</v>
      </c>
      <c r="Y86" s="43"/>
      <c r="Z86" s="38">
        <f t="shared" si="55"/>
        <v>0.65</v>
      </c>
      <c r="AA86" s="38">
        <f t="shared" si="56"/>
        <v>0.218</v>
      </c>
      <c r="AB86" s="38">
        <f t="shared" ca="1" si="57"/>
        <v>0.22439923993659197</v>
      </c>
      <c r="AC86" s="38">
        <f t="shared" si="58"/>
        <v>0.55000000000000004</v>
      </c>
      <c r="AD86" s="38">
        <f t="shared" si="58"/>
        <v>0.218</v>
      </c>
      <c r="AE86" s="38">
        <f t="shared" ca="1" si="59"/>
        <v>0.22261342192760433</v>
      </c>
      <c r="AF86" s="237">
        <f ca="1">((Summary!$N$9*(AA86*AD86)*(A86-$D$3))+(Summary!$M$9*Z86*AC86*(AJ86-EOMONTH(EDATE(A86,-1),0))))/(AK86*AB86*AE86)</f>
        <v>0.99927089996498841</v>
      </c>
      <c r="AG86" s="88">
        <f>IF($A87="","",Summary!$Q$9)</f>
        <v>0</v>
      </c>
      <c r="AH86" s="88">
        <f>IF($A87="","",IF(Summary!$R$9="Y",VLOOKUP($A86,Summary!$AD$6:$AF$9,3)+'Escalating commodity'!E99,'Escalating commodity'!E99))</f>
        <v>7.0699999999999999E-2</v>
      </c>
      <c r="AI86" s="88">
        <f t="shared" si="74"/>
        <v>7.0699999999999999E-2</v>
      </c>
      <c r="AJ86" s="236">
        <f t="shared" si="60"/>
        <v>39370.5</v>
      </c>
      <c r="AK86" s="58">
        <f t="shared" ca="1" si="61"/>
        <v>2330</v>
      </c>
      <c r="AL86" s="26">
        <f ca="1">IF($A87="","",_xll.SPRDOPT(P86,X86,AI86,0,AB86,AE86,AF86,AK86,$AJ$2,0))</f>
        <v>6.8543204575542083E-2</v>
      </c>
      <c r="AM86" s="89">
        <f t="shared" si="62"/>
        <v>4.2190914806664356E-2</v>
      </c>
      <c r="AN86" s="89">
        <f t="shared" ca="1" si="63"/>
        <v>2.6352289768877726E-2</v>
      </c>
      <c r="AO86" s="3">
        <f t="shared" si="64"/>
        <v>31</v>
      </c>
      <c r="AP86" s="33">
        <f t="shared" si="65"/>
        <v>39356</v>
      </c>
      <c r="AQ86" s="58">
        <f t="shared" ca="1" si="66"/>
        <v>2330</v>
      </c>
      <c r="AR86" s="38">
        <f>'ANR OK vs ML7'!AR86</f>
        <v>0.1</v>
      </c>
      <c r="AS86" s="35">
        <f t="shared" ca="1" si="67"/>
        <v>0.53661001224471672</v>
      </c>
      <c r="AT86" s="3">
        <f t="shared" si="68"/>
        <v>1</v>
      </c>
      <c r="AU86" s="3">
        <f t="shared" si="69"/>
        <v>31</v>
      </c>
      <c r="AW86" s="32">
        <f t="shared" ca="1" si="70"/>
        <v>76600.45827339706</v>
      </c>
      <c r="AX86" s="32">
        <f t="shared" si="71"/>
        <v>47150.456842187748</v>
      </c>
      <c r="AY86" s="32">
        <f t="shared" ca="1" si="72"/>
        <v>29450.001431209304</v>
      </c>
      <c r="BA86" s="32">
        <f ca="1">IF($A87="","",F86*Summary!$Q$9)</f>
        <v>0</v>
      </c>
      <c r="BC86" s="256">
        <f t="shared" ca="1" si="75"/>
        <v>25301.407223430357</v>
      </c>
    </row>
    <row r="87" spans="1:55">
      <c r="A87" s="67">
        <f t="shared" si="73"/>
        <v>39387</v>
      </c>
      <c r="B87" s="69">
        <f t="shared" si="76"/>
        <v>36050</v>
      </c>
      <c r="C87" s="71"/>
      <c r="D87" s="69">
        <f t="shared" si="38"/>
        <v>36050</v>
      </c>
      <c r="E87" s="70">
        <f t="shared" si="39"/>
        <v>1081500</v>
      </c>
      <c r="F87" s="70">
        <f t="shared" ca="1" si="40"/>
        <v>575557.18624736066</v>
      </c>
      <c r="G87" s="63">
        <f t="shared" si="41"/>
        <v>4.3790000000000004</v>
      </c>
      <c r="H87" s="64">
        <f t="shared" si="42"/>
        <v>4.3790000000000004</v>
      </c>
      <c r="I87" s="43"/>
      <c r="J87" s="63">
        <f t="shared" si="43"/>
        <v>0.27500000000000002</v>
      </c>
      <c r="K87" s="64">
        <f t="shared" si="44"/>
        <v>0.27500000000000002</v>
      </c>
      <c r="L87" s="63">
        <f t="shared" si="45"/>
        <v>0</v>
      </c>
      <c r="M87" s="64">
        <f t="shared" si="46"/>
        <v>0</v>
      </c>
      <c r="N87" s="65"/>
      <c r="O87" s="63">
        <f t="shared" si="47"/>
        <v>4.6540000000000008</v>
      </c>
      <c r="P87" s="63">
        <f t="shared" si="48"/>
        <v>4.6540000000000008</v>
      </c>
      <c r="Q87" s="66"/>
      <c r="R87" s="63">
        <f t="shared" si="49"/>
        <v>-0.1225</v>
      </c>
      <c r="S87" s="64">
        <f t="shared" si="50"/>
        <v>-0.1225</v>
      </c>
      <c r="T87" s="63">
        <f t="shared" si="51"/>
        <v>0.01</v>
      </c>
      <c r="U87" s="64">
        <f t="shared" si="52"/>
        <v>0.01</v>
      </c>
      <c r="V87" s="90">
        <f>IF($A88="","",IF(AND(MONTH(A87)&gt;3,MONTH(A87)&lt;11),(T87+R87+G87)*Summary!$T$9/(1-Summary!$T$9),(T87+R87+G87)*Summary!$U$9/(1-Summary!$U$9)))</f>
        <v>0.20431630514513258</v>
      </c>
      <c r="W87" s="63">
        <f t="shared" si="53"/>
        <v>4.4708163051451333</v>
      </c>
      <c r="X87" s="63">
        <f t="shared" si="54"/>
        <v>4.4708163051451333</v>
      </c>
      <c r="Y87" s="43"/>
      <c r="Z87" s="38">
        <f t="shared" si="55"/>
        <v>0.8</v>
      </c>
      <c r="AA87" s="38">
        <f t="shared" si="56"/>
        <v>0.218</v>
      </c>
      <c r="AB87" s="38">
        <f t="shared" ca="1" si="57"/>
        <v>0.22717878962743462</v>
      </c>
      <c r="AC87" s="38">
        <f t="shared" si="58"/>
        <v>0.8</v>
      </c>
      <c r="AD87" s="38">
        <f t="shared" si="58"/>
        <v>0.218</v>
      </c>
      <c r="AE87" s="38">
        <f t="shared" ca="1" si="59"/>
        <v>0.22717878962743462</v>
      </c>
      <c r="AF87" s="237">
        <f ca="1">((Summary!$N$9*(AA87*AD87)*(A87-$D$3))+(Summary!$M$9*Z87*AC87*(AJ87-EOMONTH(EDATE(A87,-1),0))))/(AK87*AB87*AE87)</f>
        <v>0.99990787843004669</v>
      </c>
      <c r="AG87" s="88">
        <f>IF($A88="","",Summary!$Q$9)</f>
        <v>0</v>
      </c>
      <c r="AH87" s="88">
        <f>IF($A88="","",IF(Summary!$R$9="Y",VLOOKUP($A87,Summary!$AD$6:$AF$9,3)+'Escalating commodity'!E100,'Escalating commodity'!E100))</f>
        <v>7.0699999999999999E-2</v>
      </c>
      <c r="AI87" s="88">
        <f t="shared" si="74"/>
        <v>7.0699999999999999E-2</v>
      </c>
      <c r="AJ87" s="236">
        <f t="shared" si="60"/>
        <v>39401</v>
      </c>
      <c r="AK87" s="58">
        <f t="shared" ca="1" si="61"/>
        <v>2361</v>
      </c>
      <c r="AL87" s="26">
        <f ca="1">IF($A88="","",_xll.SPRDOPT(P87,X87,AI87,0,AB87,AE87,AF87,AK87,$AJ$2,0))</f>
        <v>0.1149001212233357</v>
      </c>
      <c r="AM87" s="89">
        <f t="shared" si="62"/>
        <v>0.11248369485486752</v>
      </c>
      <c r="AN87" s="89">
        <f t="shared" ca="1" si="63"/>
        <v>2.4164263684681858E-3</v>
      </c>
      <c r="AO87" s="3">
        <f t="shared" si="64"/>
        <v>30</v>
      </c>
      <c r="AP87" s="33">
        <f t="shared" si="65"/>
        <v>39387</v>
      </c>
      <c r="AQ87" s="58">
        <f t="shared" ca="1" si="66"/>
        <v>2361</v>
      </c>
      <c r="AR87" s="38">
        <f>'ANR OK vs ML7'!AR87</f>
        <v>0.1</v>
      </c>
      <c r="AS87" s="35">
        <f t="shared" ca="1" si="67"/>
        <v>0.53218417591064326</v>
      </c>
      <c r="AT87" s="3">
        <f t="shared" si="68"/>
        <v>1</v>
      </c>
      <c r="AU87" s="3">
        <f t="shared" si="69"/>
        <v>30</v>
      </c>
      <c r="AW87" s="32">
        <f t="shared" ca="1" si="70"/>
        <v>124264.48110303757</v>
      </c>
      <c r="AX87" s="32">
        <f t="shared" si="71"/>
        <v>121651.11598553922</v>
      </c>
      <c r="AY87" s="32">
        <f t="shared" ca="1" si="72"/>
        <v>2613.3651174983429</v>
      </c>
      <c r="BA87" s="32">
        <f ca="1">IF($A88="","",F87*Summary!$Q$9)</f>
        <v>0</v>
      </c>
      <c r="BC87" s="256">
        <f t="shared" ca="1" si="75"/>
        <v>64740.798909374265</v>
      </c>
    </row>
    <row r="88" spans="1:55">
      <c r="A88" s="67">
        <f t="shared" si="73"/>
        <v>39417</v>
      </c>
      <c r="B88" s="69">
        <f t="shared" si="76"/>
        <v>36050</v>
      </c>
      <c r="C88" s="71"/>
      <c r="D88" s="69">
        <f t="shared" si="38"/>
        <v>36050</v>
      </c>
      <c r="E88" s="70">
        <f t="shared" si="39"/>
        <v>1117550</v>
      </c>
      <c r="F88" s="70">
        <f t="shared" ca="1" si="40"/>
        <v>589994.72879970225</v>
      </c>
      <c r="G88" s="63">
        <f t="shared" si="41"/>
        <v>4.5170000000000003</v>
      </c>
      <c r="H88" s="64">
        <f t="shared" si="42"/>
        <v>4.5170000000000003</v>
      </c>
      <c r="I88" s="43"/>
      <c r="J88" s="63">
        <f t="shared" si="43"/>
        <v>0.27500000000000002</v>
      </c>
      <c r="K88" s="64">
        <f t="shared" si="44"/>
        <v>0.27500000000000002</v>
      </c>
      <c r="L88" s="63">
        <f t="shared" si="45"/>
        <v>0</v>
      </c>
      <c r="M88" s="64">
        <f t="shared" si="46"/>
        <v>0</v>
      </c>
      <c r="N88" s="65"/>
      <c r="O88" s="63">
        <f t="shared" si="47"/>
        <v>4.7920000000000007</v>
      </c>
      <c r="P88" s="63">
        <f t="shared" si="48"/>
        <v>4.7920000000000007</v>
      </c>
      <c r="Q88" s="66"/>
      <c r="R88" s="63">
        <f t="shared" si="49"/>
        <v>-0.11749999999999999</v>
      </c>
      <c r="S88" s="64">
        <f t="shared" si="50"/>
        <v>-0.11749999999999999</v>
      </c>
      <c r="T88" s="63">
        <f t="shared" si="51"/>
        <v>0.01</v>
      </c>
      <c r="U88" s="64">
        <f t="shared" si="52"/>
        <v>0.01</v>
      </c>
      <c r="V88" s="90">
        <f>IF($A89="","",IF(AND(MONTH(A88)&gt;3,MONTH(A88)&lt;11),(T88+R88+G88)*Summary!$T$9/(1-Summary!$T$9),(T88+R88+G88)*Summary!$U$9/(1-Summary!$U$9)))</f>
        <v>0.2111643613119564</v>
      </c>
      <c r="W88" s="63">
        <f t="shared" si="53"/>
        <v>4.6206643613119569</v>
      </c>
      <c r="X88" s="63">
        <f t="shared" si="54"/>
        <v>4.6206643613119569</v>
      </c>
      <c r="Y88" s="43"/>
      <c r="Z88" s="38">
        <f t="shared" si="55"/>
        <v>1.1000000000000001</v>
      </c>
      <c r="AA88" s="38">
        <f t="shared" si="56"/>
        <v>0.218</v>
      </c>
      <c r="AB88" s="38">
        <f t="shared" ca="1" si="57"/>
        <v>0.23534628641532793</v>
      </c>
      <c r="AC88" s="38">
        <f t="shared" si="58"/>
        <v>1</v>
      </c>
      <c r="AD88" s="38">
        <f t="shared" si="58"/>
        <v>0.218</v>
      </c>
      <c r="AE88" s="38">
        <f t="shared" ca="1" si="59"/>
        <v>0.23243605453528446</v>
      </c>
      <c r="AF88" s="237">
        <f ca="1">((Summary!$N$9*(AA88*AD88)*(A88-$D$3))+(Summary!$M$9*Z88*AC88*(AJ88-EOMONTH(EDATE(A88,-1),0))))/(AK88*AB88*AE88)</f>
        <v>0.99939796900045252</v>
      </c>
      <c r="AG88" s="88">
        <f>IF($A89="","",Summary!$Q$9)</f>
        <v>0</v>
      </c>
      <c r="AH88" s="88">
        <f>IF($A89="","",IF(Summary!$R$9="Y",VLOOKUP($A88,Summary!$AD$6:$AF$9,3)+'Escalating commodity'!E101,'Escalating commodity'!E101))</f>
        <v>7.0699999999999999E-2</v>
      </c>
      <c r="AI88" s="88">
        <f t="shared" si="74"/>
        <v>7.0699999999999999E-2</v>
      </c>
      <c r="AJ88" s="236">
        <f t="shared" si="60"/>
        <v>39431.5</v>
      </c>
      <c r="AK88" s="58">
        <f t="shared" ca="1" si="61"/>
        <v>2391</v>
      </c>
      <c r="AL88" s="26">
        <f ca="1">IF($A89="","",_xll.SPRDOPT(P88,X88,AI88,0,AB88,AE88,AF88,AK88,$AJ$2,0))</f>
        <v>0.11691171561711233</v>
      </c>
      <c r="AM88" s="89">
        <f t="shared" si="62"/>
        <v>0.1006356386880438</v>
      </c>
      <c r="AN88" s="89">
        <f t="shared" ca="1" si="63"/>
        <v>1.6276076929068531E-2</v>
      </c>
      <c r="AO88" s="3">
        <f t="shared" si="64"/>
        <v>31</v>
      </c>
      <c r="AP88" s="33">
        <f t="shared" si="65"/>
        <v>39417</v>
      </c>
      <c r="AQ88" s="58">
        <f t="shared" ca="1" si="66"/>
        <v>2391</v>
      </c>
      <c r="AR88" s="38">
        <f>'ANR OK vs ML7'!AR88</f>
        <v>0.1</v>
      </c>
      <c r="AS88" s="35">
        <f t="shared" ca="1" si="67"/>
        <v>0.52793586756718025</v>
      </c>
      <c r="AT88" s="3">
        <f t="shared" si="68"/>
        <v>1</v>
      </c>
      <c r="AU88" s="3">
        <f t="shared" si="69"/>
        <v>31</v>
      </c>
      <c r="AW88" s="32">
        <f t="shared" ca="1" si="70"/>
        <v>130654.68778790389</v>
      </c>
      <c r="AX88" s="32">
        <f t="shared" si="71"/>
        <v>112465.35801582335</v>
      </c>
      <c r="AY88" s="32">
        <f t="shared" ca="1" si="72"/>
        <v>18189.329772080535</v>
      </c>
      <c r="BA88" s="32">
        <f ca="1">IF($A89="","",F88*Summary!$Q$9)</f>
        <v>0</v>
      </c>
      <c r="BC88" s="256">
        <f t="shared" ca="1" si="75"/>
        <v>59374.496355337229</v>
      </c>
    </row>
    <row r="89" spans="1:55">
      <c r="A89" s="67">
        <f t="shared" si="73"/>
        <v>39448</v>
      </c>
      <c r="B89" s="69">
        <f t="shared" si="76"/>
        <v>36050</v>
      </c>
      <c r="C89" s="71"/>
      <c r="D89" s="69">
        <f t="shared" si="38"/>
        <v>36050</v>
      </c>
      <c r="E89" s="70">
        <f t="shared" si="39"/>
        <v>1117550</v>
      </c>
      <c r="F89" s="70">
        <f t="shared" ca="1" si="40"/>
        <v>585128.58756482217</v>
      </c>
      <c r="G89" s="63">
        <f t="shared" si="41"/>
        <v>4.5339999999999998</v>
      </c>
      <c r="H89" s="64">
        <f t="shared" si="42"/>
        <v>4.5339999999999998</v>
      </c>
      <c r="I89" s="43"/>
      <c r="J89" s="63">
        <f t="shared" si="43"/>
        <v>0.27500000000000002</v>
      </c>
      <c r="K89" s="64">
        <f t="shared" si="44"/>
        <v>0.27500000000000002</v>
      </c>
      <c r="L89" s="63">
        <f t="shared" si="45"/>
        <v>0</v>
      </c>
      <c r="M89" s="64">
        <f t="shared" si="46"/>
        <v>0</v>
      </c>
      <c r="N89" s="65"/>
      <c r="O89" s="63">
        <f t="shared" si="47"/>
        <v>4.8090000000000002</v>
      </c>
      <c r="P89" s="63">
        <f t="shared" si="48"/>
        <v>4.8090000000000002</v>
      </c>
      <c r="Q89" s="66"/>
      <c r="R89" s="63">
        <f t="shared" si="49"/>
        <v>-0.11749999999999999</v>
      </c>
      <c r="S89" s="64">
        <f t="shared" si="50"/>
        <v>-0.11749999999999999</v>
      </c>
      <c r="T89" s="63">
        <f t="shared" si="51"/>
        <v>0.01</v>
      </c>
      <c r="U89" s="64">
        <f t="shared" si="52"/>
        <v>0.01</v>
      </c>
      <c r="V89" s="90">
        <f>IF($A90="","",IF(AND(MONTH(A89)&gt;3,MONTH(A89)&lt;11),(T89+R89+G89)*Summary!$T$9/(1-Summary!$T$9),(T89+R89+G89)*Summary!$U$9/(1-Summary!$U$9)))</f>
        <v>0.21197846589122912</v>
      </c>
      <c r="W89" s="63">
        <f t="shared" si="53"/>
        <v>4.6384784658912288</v>
      </c>
      <c r="X89" s="63">
        <f t="shared" si="54"/>
        <v>4.6384784658912288</v>
      </c>
      <c r="Y89" s="43"/>
      <c r="Z89" s="38">
        <f t="shared" si="55"/>
        <v>1.1000000000000001</v>
      </c>
      <c r="AA89" s="38">
        <f t="shared" si="56"/>
        <v>0.218</v>
      </c>
      <c r="AB89" s="38">
        <f t="shared" ca="1" si="57"/>
        <v>0.2351323502423065</v>
      </c>
      <c r="AC89" s="38">
        <f t="shared" si="58"/>
        <v>1</v>
      </c>
      <c r="AD89" s="38">
        <f t="shared" si="58"/>
        <v>0.218</v>
      </c>
      <c r="AE89" s="38">
        <f t="shared" ca="1" si="59"/>
        <v>0.23225695144523129</v>
      </c>
      <c r="AF89" s="237">
        <f ca="1">((Summary!$N$9*(AA89*AD89)*(A89-$D$3))+(Summary!$M$9*Z89*AC89*(AJ89-EOMONTH(EDATE(A89,-1),0))))/(AK89*AB89*AE89)</f>
        <v>0.99940270864565839</v>
      </c>
      <c r="AG89" s="88">
        <f>IF($A90="","",Summary!$Q$9)</f>
        <v>0</v>
      </c>
      <c r="AH89" s="88">
        <f>IF($A90="","",IF(Summary!$R$9="Y",VLOOKUP($A89,Summary!$AD$6:$AF$9,3)+'Escalating commodity'!E102,'Escalating commodity'!E102))</f>
        <v>7.0699999999999999E-2</v>
      </c>
      <c r="AI89" s="88">
        <f t="shared" si="74"/>
        <v>7.0699999999999999E-2</v>
      </c>
      <c r="AJ89" s="236">
        <f t="shared" si="60"/>
        <v>39462.5</v>
      </c>
      <c r="AK89" s="58">
        <f t="shared" ca="1" si="61"/>
        <v>2422</v>
      </c>
      <c r="AL89" s="26">
        <f ca="1">IF($A90="","",_xll.SPRDOPT(P89,X89,AI89,0,AB89,AE89,AF89,AK89,$AJ$2,0))</f>
        <v>0.11641416596888836</v>
      </c>
      <c r="AM89" s="89">
        <f t="shared" si="62"/>
        <v>9.9821534108771356E-2</v>
      </c>
      <c r="AN89" s="89">
        <f t="shared" ca="1" si="63"/>
        <v>1.6592631860117002E-2</v>
      </c>
      <c r="AO89" s="3">
        <f t="shared" si="64"/>
        <v>31</v>
      </c>
      <c r="AP89" s="33">
        <f t="shared" si="65"/>
        <v>39448</v>
      </c>
      <c r="AQ89" s="58">
        <f t="shared" ca="1" si="66"/>
        <v>2422</v>
      </c>
      <c r="AR89" s="38">
        <f>'ANR OK vs ML7'!AR89</f>
        <v>0.1</v>
      </c>
      <c r="AS89" s="35">
        <f t="shared" ca="1" si="67"/>
        <v>0.52358157358938939</v>
      </c>
      <c r="AT89" s="3">
        <f t="shared" si="68"/>
        <v>1</v>
      </c>
      <c r="AU89" s="3">
        <f t="shared" si="69"/>
        <v>31</v>
      </c>
      <c r="AW89" s="32">
        <f t="shared" ca="1" si="70"/>
        <v>130098.65117853119</v>
      </c>
      <c r="AX89" s="32">
        <f t="shared" si="71"/>
        <v>111555.55544325743</v>
      </c>
      <c r="AY89" s="32">
        <f t="shared" ca="1" si="72"/>
        <v>18543.095735273757</v>
      </c>
      <c r="BA89" s="32">
        <f ca="1">IF($A90="","",F89*Summary!$Q$9)</f>
        <v>0</v>
      </c>
      <c r="BC89" s="256">
        <f t="shared" ca="1" si="75"/>
        <v>58408.433261619102</v>
      </c>
    </row>
    <row r="90" spans="1:55">
      <c r="A90" s="67">
        <f t="shared" si="73"/>
        <v>39479</v>
      </c>
      <c r="B90" s="69">
        <f t="shared" si="76"/>
        <v>36050</v>
      </c>
      <c r="C90" s="71"/>
      <c r="D90" s="69">
        <f t="shared" si="38"/>
        <v>36050</v>
      </c>
      <c r="E90" s="70">
        <f t="shared" si="39"/>
        <v>1045450</v>
      </c>
      <c r="F90" s="70">
        <f t="shared" ca="1" si="40"/>
        <v>542863.70494398719</v>
      </c>
      <c r="G90" s="63">
        <f t="shared" si="41"/>
        <v>4.4140000000000006</v>
      </c>
      <c r="H90" s="64">
        <f t="shared" si="42"/>
        <v>4.4140000000000006</v>
      </c>
      <c r="I90" s="43"/>
      <c r="J90" s="63">
        <f t="shared" si="43"/>
        <v>0.27500000000000002</v>
      </c>
      <c r="K90" s="64">
        <f t="shared" si="44"/>
        <v>0.27500000000000002</v>
      </c>
      <c r="L90" s="63">
        <f t="shared" si="45"/>
        <v>0</v>
      </c>
      <c r="M90" s="64">
        <f t="shared" si="46"/>
        <v>0</v>
      </c>
      <c r="N90" s="65"/>
      <c r="O90" s="63">
        <f t="shared" si="47"/>
        <v>4.6890000000000009</v>
      </c>
      <c r="P90" s="63">
        <f t="shared" si="48"/>
        <v>4.6890000000000009</v>
      </c>
      <c r="Q90" s="66"/>
      <c r="R90" s="63">
        <f t="shared" si="49"/>
        <v>-0.12</v>
      </c>
      <c r="S90" s="64">
        <f t="shared" si="50"/>
        <v>-0.12</v>
      </c>
      <c r="T90" s="63">
        <f t="shared" si="51"/>
        <v>0.01</v>
      </c>
      <c r="U90" s="64">
        <f t="shared" si="52"/>
        <v>0.01</v>
      </c>
      <c r="V90" s="90">
        <f>IF($A91="","",IF(AND(MONTH(A90)&gt;3,MONTH(A90)&lt;11),(T90+R90+G90)*Summary!$T$9/(1-Summary!$T$9),(T90+R90+G90)*Summary!$U$9/(1-Summary!$U$9)))</f>
        <v>0.20611212406999896</v>
      </c>
      <c r="W90" s="63">
        <f t="shared" si="53"/>
        <v>4.5101121240699991</v>
      </c>
      <c r="X90" s="63">
        <f t="shared" si="54"/>
        <v>4.5101121240699991</v>
      </c>
      <c r="Y90" s="43"/>
      <c r="Z90" s="38">
        <f t="shared" si="55"/>
        <v>1.1000000000000001</v>
      </c>
      <c r="AA90" s="38">
        <f t="shared" si="56"/>
        <v>0.218</v>
      </c>
      <c r="AB90" s="38">
        <f t="shared" ca="1" si="57"/>
        <v>0.23387141808198528</v>
      </c>
      <c r="AC90" s="38">
        <f t="shared" si="58"/>
        <v>1</v>
      </c>
      <c r="AD90" s="38">
        <f t="shared" si="58"/>
        <v>0.218</v>
      </c>
      <c r="AE90" s="38">
        <f t="shared" ca="1" si="59"/>
        <v>0.23120229898831163</v>
      </c>
      <c r="AF90" s="237">
        <f ca="1">((Summary!$N$9*(AA90*AD90)*(A90-$D$3))+(Summary!$M$9*Z90*AC90*(AJ90-EOMONTH(EDATE(A90,-1),0))))/(AK90*AB90*AE90)</f>
        <v>0.99943134880891182</v>
      </c>
      <c r="AG90" s="88">
        <f>IF($A91="","",Summary!$Q$9)</f>
        <v>0</v>
      </c>
      <c r="AH90" s="88">
        <f>IF($A91="","",IF(Summary!$R$9="Y",VLOOKUP($A90,Summary!$AD$6:$AF$9,3)+'Escalating commodity'!E103,'Escalating commodity'!E103))</f>
        <v>7.0699999999999999E-2</v>
      </c>
      <c r="AI90" s="88">
        <f t="shared" si="74"/>
        <v>7.0699999999999999E-2</v>
      </c>
      <c r="AJ90" s="236">
        <f t="shared" si="60"/>
        <v>39492.5</v>
      </c>
      <c r="AK90" s="58">
        <f t="shared" ca="1" si="61"/>
        <v>2453</v>
      </c>
      <c r="AL90" s="26">
        <f ca="1">IF($A91="","",_xll.SPRDOPT(P90,X90,AI90,0,AB90,AE90,AF90,AK90,$AJ$2,0))</f>
        <v>0.12188460171442521</v>
      </c>
      <c r="AM90" s="89">
        <f t="shared" si="62"/>
        <v>0.10818787593000188</v>
      </c>
      <c r="AN90" s="89">
        <f t="shared" ca="1" si="63"/>
        <v>1.3696725784423325E-2</v>
      </c>
      <c r="AO90" s="3">
        <f t="shared" si="64"/>
        <v>29</v>
      </c>
      <c r="AP90" s="33">
        <f t="shared" si="65"/>
        <v>39479</v>
      </c>
      <c r="AQ90" s="58">
        <f t="shared" ca="1" si="66"/>
        <v>2453</v>
      </c>
      <c r="AR90" s="38">
        <f>'ANR OK vs ML7'!AR90</f>
        <v>0.1</v>
      </c>
      <c r="AS90" s="35">
        <f t="shared" ca="1" si="67"/>
        <v>0.51926319282986966</v>
      </c>
      <c r="AT90" s="3">
        <f t="shared" si="68"/>
        <v>1</v>
      </c>
      <c r="AU90" s="3">
        <f t="shared" si="69"/>
        <v>29</v>
      </c>
      <c r="AW90" s="32">
        <f t="shared" ca="1" si="70"/>
        <v>127424.25686234584</v>
      </c>
      <c r="AX90" s="32">
        <f t="shared" si="71"/>
        <v>113105.01489102047</v>
      </c>
      <c r="AY90" s="32">
        <f t="shared" ca="1" si="72"/>
        <v>14319.241971325366</v>
      </c>
      <c r="BA90" s="32">
        <f ca="1">IF($A91="","",F90*Summary!$Q$9)</f>
        <v>0</v>
      </c>
      <c r="BC90" s="256">
        <f t="shared" ca="1" si="75"/>
        <v>58731.271157381234</v>
      </c>
    </row>
    <row r="91" spans="1:55">
      <c r="A91" s="67">
        <f t="shared" si="73"/>
        <v>39508</v>
      </c>
      <c r="B91" s="69">
        <f t="shared" si="76"/>
        <v>36050</v>
      </c>
      <c r="C91" s="71"/>
      <c r="D91" s="69">
        <f t="shared" si="38"/>
        <v>36050</v>
      </c>
      <c r="E91" s="70">
        <f t="shared" si="39"/>
        <v>1117550</v>
      </c>
      <c r="F91" s="70">
        <f t="shared" ca="1" si="40"/>
        <v>575823.97104007273</v>
      </c>
      <c r="G91" s="63">
        <f t="shared" si="41"/>
        <v>4.2750000000000004</v>
      </c>
      <c r="H91" s="64">
        <f t="shared" si="42"/>
        <v>4.2750000000000004</v>
      </c>
      <c r="I91" s="43"/>
      <c r="J91" s="63">
        <f t="shared" si="43"/>
        <v>0.27500000000000002</v>
      </c>
      <c r="K91" s="64">
        <f t="shared" si="44"/>
        <v>0.27500000000000002</v>
      </c>
      <c r="L91" s="63">
        <f t="shared" si="45"/>
        <v>0</v>
      </c>
      <c r="M91" s="64">
        <f t="shared" si="46"/>
        <v>0</v>
      </c>
      <c r="N91" s="65"/>
      <c r="O91" s="63">
        <f t="shared" si="47"/>
        <v>4.5500000000000007</v>
      </c>
      <c r="P91" s="63">
        <f t="shared" si="48"/>
        <v>4.5500000000000007</v>
      </c>
      <c r="Q91" s="66"/>
      <c r="R91" s="63">
        <f t="shared" si="49"/>
        <v>-0.1225</v>
      </c>
      <c r="S91" s="64">
        <f t="shared" si="50"/>
        <v>-0.1225</v>
      </c>
      <c r="T91" s="63">
        <f t="shared" si="51"/>
        <v>0.01</v>
      </c>
      <c r="U91" s="64">
        <f t="shared" si="52"/>
        <v>0.01</v>
      </c>
      <c r="V91" s="90">
        <f>IF($A92="","",IF(AND(MONTH(A91)&gt;3,MONTH(A91)&lt;11),(T91+R91+G91)*Summary!$T$9/(1-Summary!$T$9),(T91+R91+G91)*Summary!$U$9/(1-Summary!$U$9)))</f>
        <v>0.19933590066016976</v>
      </c>
      <c r="W91" s="63">
        <f t="shared" si="53"/>
        <v>4.3618359006601706</v>
      </c>
      <c r="X91" s="63">
        <f t="shared" si="54"/>
        <v>4.3618359006601706</v>
      </c>
      <c r="Y91" s="43"/>
      <c r="Z91" s="38">
        <f t="shared" si="55"/>
        <v>0.75</v>
      </c>
      <c r="AA91" s="38">
        <f t="shared" si="56"/>
        <v>0.20499999999999999</v>
      </c>
      <c r="AB91" s="38">
        <f t="shared" ca="1" si="57"/>
        <v>0.21343552659501844</v>
      </c>
      <c r="AC91" s="38">
        <f t="shared" si="58"/>
        <v>0.75</v>
      </c>
      <c r="AD91" s="38">
        <f t="shared" si="58"/>
        <v>0.20499999999999999</v>
      </c>
      <c r="AE91" s="38">
        <f t="shared" ca="1" si="59"/>
        <v>0.21343552659501844</v>
      </c>
      <c r="AF91" s="237">
        <f ca="1">((Summary!$N$9*(AA91*AD91)*(A91-$D$3))+(Summary!$M$9*Z91*AC91*(AJ91-EOMONTH(EDATE(A91,-1),0))))/(AK91*AB91*AE91)</f>
        <v>0.99990771114781007</v>
      </c>
      <c r="AG91" s="88">
        <f>IF($A92="","",Summary!$Q$9)</f>
        <v>0</v>
      </c>
      <c r="AH91" s="88">
        <f>IF($A92="","",IF(Summary!$R$9="Y",VLOOKUP($A91,Summary!$AD$6:$AF$9,3)+'Escalating commodity'!E104,'Escalating commodity'!E104))</f>
        <v>7.0699999999999999E-2</v>
      </c>
      <c r="AI91" s="88">
        <f t="shared" si="74"/>
        <v>7.0699999999999999E-2</v>
      </c>
      <c r="AJ91" s="236">
        <f t="shared" si="60"/>
        <v>39522.5</v>
      </c>
      <c r="AK91" s="58">
        <f t="shared" ca="1" si="61"/>
        <v>2482</v>
      </c>
      <c r="AL91" s="26">
        <f ca="1">IF($A92="","",_xll.SPRDOPT(P91,X91,AI91,0,AB91,AE91,AF91,AK91,$AJ$2,0))</f>
        <v>0.11932246756484247</v>
      </c>
      <c r="AM91" s="89">
        <f t="shared" si="62"/>
        <v>0.11746409933983014</v>
      </c>
      <c r="AN91" s="89">
        <f t="shared" ca="1" si="63"/>
        <v>1.8583682250123273E-3</v>
      </c>
      <c r="AO91" s="3">
        <f t="shared" si="64"/>
        <v>31</v>
      </c>
      <c r="AP91" s="33">
        <f t="shared" si="65"/>
        <v>39508</v>
      </c>
      <c r="AQ91" s="58">
        <f t="shared" ca="1" si="66"/>
        <v>2482</v>
      </c>
      <c r="AR91" s="38">
        <f>'ANR OK vs ML7'!AR91</f>
        <v>0.1</v>
      </c>
      <c r="AS91" s="35">
        <f t="shared" ca="1" si="67"/>
        <v>0.51525566734380812</v>
      </c>
      <c r="AT91" s="3">
        <f t="shared" si="68"/>
        <v>1</v>
      </c>
      <c r="AU91" s="3">
        <f t="shared" si="69"/>
        <v>31</v>
      </c>
      <c r="AW91" s="32">
        <f t="shared" ca="1" si="70"/>
        <v>133348.8236270897</v>
      </c>
      <c r="AX91" s="32">
        <f t="shared" si="71"/>
        <v>131272.00421722716</v>
      </c>
      <c r="AY91" s="32">
        <f t="shared" ca="1" si="72"/>
        <v>2076.8194098625263</v>
      </c>
      <c r="BA91" s="32">
        <f ca="1">IF($A92="","",F91*Summary!$Q$9)</f>
        <v>0</v>
      </c>
      <c r="BC91" s="256">
        <f t="shared" ca="1" si="75"/>
        <v>67638.644136506569</v>
      </c>
    </row>
    <row r="92" spans="1:55">
      <c r="A92" s="67">
        <f t="shared" si="73"/>
        <v>39539</v>
      </c>
      <c r="B92" s="69">
        <f t="shared" si="76"/>
        <v>36050</v>
      </c>
      <c r="C92" s="71"/>
      <c r="D92" s="69">
        <f t="shared" si="38"/>
        <v>36050</v>
      </c>
      <c r="E92" s="70">
        <f t="shared" si="39"/>
        <v>1081500</v>
      </c>
      <c r="F92" s="70">
        <f t="shared" ca="1" si="40"/>
        <v>552652.94222494855</v>
      </c>
      <c r="G92" s="63">
        <f t="shared" si="41"/>
        <v>4.0999999999999996</v>
      </c>
      <c r="H92" s="64">
        <f t="shared" si="42"/>
        <v>4.0999999999999996</v>
      </c>
      <c r="I92" s="43"/>
      <c r="J92" s="63">
        <f t="shared" si="43"/>
        <v>0.18</v>
      </c>
      <c r="K92" s="64">
        <f t="shared" si="44"/>
        <v>0.18</v>
      </c>
      <c r="L92" s="63">
        <f t="shared" si="45"/>
        <v>0</v>
      </c>
      <c r="M92" s="64">
        <f t="shared" si="46"/>
        <v>0</v>
      </c>
      <c r="N92" s="65"/>
      <c r="O92" s="63">
        <f t="shared" si="47"/>
        <v>4.2799999999999994</v>
      </c>
      <c r="P92" s="63">
        <f t="shared" si="48"/>
        <v>4.2799999999999994</v>
      </c>
      <c r="Q92" s="66"/>
      <c r="R92" s="63">
        <f t="shared" si="49"/>
        <v>-0.12</v>
      </c>
      <c r="S92" s="64">
        <f t="shared" si="50"/>
        <v>-0.12</v>
      </c>
      <c r="T92" s="63">
        <f t="shared" si="51"/>
        <v>-0.01</v>
      </c>
      <c r="U92" s="64">
        <f t="shared" si="52"/>
        <v>-0.01</v>
      </c>
      <c r="V92" s="90">
        <f>IF($A93="","",IF(AND(MONTH(A92)&gt;3,MONTH(A92)&lt;11),(T92+R92+G92)*Summary!$T$9/(1-Summary!$T$9),(T92+R92+G92)*Summary!$U$9/(1-Summary!$U$9)))</f>
        <v>0.19011736351252223</v>
      </c>
      <c r="W92" s="63">
        <f t="shared" si="53"/>
        <v>4.1601173635125219</v>
      </c>
      <c r="X92" s="63">
        <f t="shared" si="54"/>
        <v>4.1601173635125219</v>
      </c>
      <c r="Y92" s="43"/>
      <c r="Z92" s="38">
        <f t="shared" si="55"/>
        <v>0.45</v>
      </c>
      <c r="AA92" s="38">
        <f t="shared" si="56"/>
        <v>0.20499999999999999</v>
      </c>
      <c r="AB92" s="38">
        <f t="shared" ca="1" si="57"/>
        <v>0.20796739581923904</v>
      </c>
      <c r="AC92" s="38">
        <f t="shared" si="58"/>
        <v>0.4</v>
      </c>
      <c r="AD92" s="38">
        <f t="shared" si="58"/>
        <v>0.20499999999999999</v>
      </c>
      <c r="AE92" s="38">
        <f t="shared" ca="1" si="59"/>
        <v>0.20735659349127436</v>
      </c>
      <c r="AF92" s="237">
        <f ca="1">((Summary!$N$9*(AA92*AD92)*(A92-$D$3))+(Summary!$M$9*Z92*AC92*(AJ92-EOMONTH(EDATE(A92,-1),0))))/(AK92*AB92*AE92)</f>
        <v>0.99973381432237862</v>
      </c>
      <c r="AG92" s="88">
        <f>IF($A93="","",Summary!$Q$9)</f>
        <v>0</v>
      </c>
      <c r="AH92" s="88">
        <f>IF($A93="","",IF(Summary!$R$9="Y",VLOOKUP($A92,Summary!$AD$6:$AF$9,3)+'Escalating commodity'!E105,'Escalating commodity'!E105))</f>
        <v>7.0699999999999999E-2</v>
      </c>
      <c r="AI92" s="88">
        <f t="shared" si="74"/>
        <v>7.0699999999999999E-2</v>
      </c>
      <c r="AJ92" s="236">
        <f t="shared" si="60"/>
        <v>39553</v>
      </c>
      <c r="AK92" s="58">
        <f t="shared" ca="1" si="61"/>
        <v>2513</v>
      </c>
      <c r="AL92" s="26">
        <f ca="1">IF($A93="","",_xll.SPRDOPT(P92,X92,AI92,0,AB92,AE92,AF92,AK92,$AJ$2,0))</f>
        <v>6.0010602031013265E-2</v>
      </c>
      <c r="AM92" s="89">
        <f t="shared" si="62"/>
        <v>4.9182636487477435E-2</v>
      </c>
      <c r="AN92" s="89">
        <f t="shared" ca="1" si="63"/>
        <v>1.0827965543535829E-2</v>
      </c>
      <c r="AO92" s="3">
        <f t="shared" si="64"/>
        <v>30</v>
      </c>
      <c r="AP92" s="33">
        <f t="shared" si="65"/>
        <v>39539</v>
      </c>
      <c r="AQ92" s="58">
        <f t="shared" ca="1" si="66"/>
        <v>2513</v>
      </c>
      <c r="AR92" s="38">
        <f>'ANR OK vs ML7'!AR92</f>
        <v>0.1</v>
      </c>
      <c r="AS92" s="35">
        <f t="shared" ca="1" si="67"/>
        <v>0.51100595674983684</v>
      </c>
      <c r="AT92" s="3">
        <f t="shared" si="68"/>
        <v>1</v>
      </c>
      <c r="AU92" s="3">
        <f t="shared" si="69"/>
        <v>30</v>
      </c>
      <c r="AW92" s="32">
        <f t="shared" ca="1" si="70"/>
        <v>64901.466096540848</v>
      </c>
      <c r="AX92" s="32">
        <f t="shared" si="71"/>
        <v>53191.021361206847</v>
      </c>
      <c r="AY92" s="32">
        <f t="shared" ca="1" si="72"/>
        <v>11710.444735334</v>
      </c>
      <c r="BA92" s="32">
        <f ca="1">IF($A93="","",F92*Summary!$Q$9)</f>
        <v>0</v>
      </c>
      <c r="BC92" s="256">
        <f t="shared" ca="1" si="75"/>
        <v>27180.928761184514</v>
      </c>
    </row>
    <row r="93" spans="1:55">
      <c r="A93" s="67">
        <f t="shared" si="73"/>
        <v>39569</v>
      </c>
      <c r="B93" s="69">
        <f t="shared" si="76"/>
        <v>36050</v>
      </c>
      <c r="C93" s="71"/>
      <c r="D93" s="69">
        <f t="shared" si="38"/>
        <v>36050</v>
      </c>
      <c r="E93" s="70">
        <f t="shared" si="39"/>
        <v>1117550</v>
      </c>
      <c r="F93" s="70">
        <f t="shared" ca="1" si="40"/>
        <v>566515.94413110521</v>
      </c>
      <c r="G93" s="63">
        <f t="shared" si="41"/>
        <v>4.07</v>
      </c>
      <c r="H93" s="64">
        <f t="shared" si="42"/>
        <v>4.07</v>
      </c>
      <c r="I93" s="43"/>
      <c r="J93" s="63">
        <f t="shared" si="43"/>
        <v>0.18</v>
      </c>
      <c r="K93" s="64">
        <f t="shared" si="44"/>
        <v>0.18</v>
      </c>
      <c r="L93" s="63">
        <f t="shared" si="45"/>
        <v>0</v>
      </c>
      <c r="M93" s="64">
        <f t="shared" si="46"/>
        <v>0</v>
      </c>
      <c r="N93" s="65"/>
      <c r="O93" s="63">
        <f t="shared" si="47"/>
        <v>4.25</v>
      </c>
      <c r="P93" s="63">
        <f t="shared" si="48"/>
        <v>4.25</v>
      </c>
      <c r="Q93" s="66"/>
      <c r="R93" s="63">
        <f t="shared" si="49"/>
        <v>-0.12</v>
      </c>
      <c r="S93" s="64">
        <f t="shared" si="50"/>
        <v>-0.12</v>
      </c>
      <c r="T93" s="63">
        <f t="shared" si="51"/>
        <v>-0.01</v>
      </c>
      <c r="U93" s="64">
        <f t="shared" si="52"/>
        <v>-0.01</v>
      </c>
      <c r="V93" s="90">
        <f>IF($A94="","",IF(AND(MONTH(A93)&gt;3,MONTH(A93)&lt;11),(T93+R93+G93)*Summary!$T$9/(1-Summary!$T$9),(T93+R93+G93)*Summary!$U$9/(1-Summary!$U$9)))</f>
        <v>0.18868070837262915</v>
      </c>
      <c r="W93" s="63">
        <f t="shared" si="53"/>
        <v>4.1286807083726291</v>
      </c>
      <c r="X93" s="63">
        <f t="shared" si="54"/>
        <v>4.1286807083726291</v>
      </c>
      <c r="Y93" s="43"/>
      <c r="Z93" s="38">
        <f t="shared" si="55"/>
        <v>0.5</v>
      </c>
      <c r="AA93" s="38">
        <f t="shared" si="56"/>
        <v>0.20499999999999999</v>
      </c>
      <c r="AB93" s="38">
        <f t="shared" ca="1" si="57"/>
        <v>0.20872306186727355</v>
      </c>
      <c r="AC93" s="38">
        <f t="shared" si="58"/>
        <v>0.4</v>
      </c>
      <c r="AD93" s="38">
        <f t="shared" si="58"/>
        <v>0.20499999999999999</v>
      </c>
      <c r="AE93" s="38">
        <f t="shared" ca="1" si="59"/>
        <v>0.2074048019402458</v>
      </c>
      <c r="AF93" s="237">
        <f ca="1">((Summary!$N$9*(AA93*AD93)*(A93-$D$3))+(Summary!$M$9*Z93*AC93*(AJ93-EOMONTH(EDATE(A93,-1),0))))/(AK93*AB93*AE93)</f>
        <v>0.99921896662478038</v>
      </c>
      <c r="AG93" s="88">
        <f>IF($A94="","",Summary!$Q$9)</f>
        <v>0</v>
      </c>
      <c r="AH93" s="88">
        <f>IF($A94="","",IF(Summary!$R$9="Y",VLOOKUP($A93,Summary!$AD$6:$AF$9,3)+'Escalating commodity'!E106,'Escalating commodity'!E106))</f>
        <v>7.0699999999999999E-2</v>
      </c>
      <c r="AI93" s="88">
        <f t="shared" si="74"/>
        <v>7.0699999999999999E-2</v>
      </c>
      <c r="AJ93" s="236">
        <f t="shared" si="60"/>
        <v>39583.5</v>
      </c>
      <c r="AK93" s="58">
        <f t="shared" ca="1" si="61"/>
        <v>2543</v>
      </c>
      <c r="AL93" s="26">
        <f ca="1">IF($A94="","",_xll.SPRDOPT(P93,X93,AI93,0,AB93,AE93,AF93,AK93,$AJ$2,0))</f>
        <v>7.2371966287697667E-2</v>
      </c>
      <c r="AM93" s="89">
        <f t="shared" si="62"/>
        <v>5.0619291627370874E-2</v>
      </c>
      <c r="AN93" s="89">
        <f t="shared" ca="1" si="63"/>
        <v>2.1752674660326793E-2</v>
      </c>
      <c r="AO93" s="3">
        <f t="shared" si="64"/>
        <v>31</v>
      </c>
      <c r="AP93" s="33">
        <f t="shared" si="65"/>
        <v>39569</v>
      </c>
      <c r="AQ93" s="58">
        <f t="shared" ca="1" si="66"/>
        <v>2543</v>
      </c>
      <c r="AR93" s="38">
        <f>'ANR OK vs ML7'!AR93</f>
        <v>0.1</v>
      </c>
      <c r="AS93" s="35">
        <f t="shared" ca="1" si="67"/>
        <v>0.5069267094368084</v>
      </c>
      <c r="AT93" s="3">
        <f t="shared" si="68"/>
        <v>1</v>
      </c>
      <c r="AU93" s="3">
        <f t="shared" si="69"/>
        <v>31</v>
      </c>
      <c r="AW93" s="32">
        <f t="shared" ca="1" si="70"/>
        <v>80879.290924816523</v>
      </c>
      <c r="AX93" s="32">
        <f t="shared" si="71"/>
        <v>56569.589358168319</v>
      </c>
      <c r="AY93" s="32">
        <f t="shared" ca="1" si="72"/>
        <v>24309.701566648208</v>
      </c>
      <c r="BA93" s="32">
        <f ca="1">IF($A94="","",F93*Summary!$Q$9)</f>
        <v>0</v>
      </c>
      <c r="BC93" s="256">
        <f t="shared" ca="1" si="75"/>
        <v>28676.635787527761</v>
      </c>
    </row>
    <row r="94" spans="1:55">
      <c r="A94" s="67">
        <f t="shared" si="73"/>
        <v>39600</v>
      </c>
      <c r="B94" s="69">
        <f t="shared" si="76"/>
        <v>36050</v>
      </c>
      <c r="C94" s="71"/>
      <c r="D94" s="69">
        <f t="shared" si="38"/>
        <v>36050</v>
      </c>
      <c r="E94" s="70">
        <f t="shared" si="39"/>
        <v>1081500</v>
      </c>
      <c r="F94" s="70">
        <f t="shared" ca="1" si="40"/>
        <v>543719.46825327899</v>
      </c>
      <c r="G94" s="63">
        <f t="shared" si="41"/>
        <v>4.1399999999999997</v>
      </c>
      <c r="H94" s="64">
        <f t="shared" si="42"/>
        <v>4.1399999999999997</v>
      </c>
      <c r="I94" s="43"/>
      <c r="J94" s="63">
        <f t="shared" si="43"/>
        <v>0.18</v>
      </c>
      <c r="K94" s="64">
        <f t="shared" si="44"/>
        <v>0.18</v>
      </c>
      <c r="L94" s="63">
        <f t="shared" si="45"/>
        <v>0</v>
      </c>
      <c r="M94" s="64">
        <f t="shared" si="46"/>
        <v>0</v>
      </c>
      <c r="N94" s="65"/>
      <c r="O94" s="63">
        <f t="shared" si="47"/>
        <v>4.3199999999999994</v>
      </c>
      <c r="P94" s="63">
        <f t="shared" si="48"/>
        <v>4.3199999999999994</v>
      </c>
      <c r="Q94" s="66"/>
      <c r="R94" s="63">
        <f t="shared" si="49"/>
        <v>-0.12</v>
      </c>
      <c r="S94" s="64">
        <f t="shared" si="50"/>
        <v>-0.12</v>
      </c>
      <c r="T94" s="63">
        <f t="shared" si="51"/>
        <v>-0.01</v>
      </c>
      <c r="U94" s="64">
        <f t="shared" si="52"/>
        <v>-0.01</v>
      </c>
      <c r="V94" s="90">
        <f>IF($A95="","",IF(AND(MONTH(A94)&gt;3,MONTH(A94)&lt;11),(T94+R94+G94)*Summary!$T$9/(1-Summary!$T$9),(T94+R94+G94)*Summary!$U$9/(1-Summary!$U$9)))</f>
        <v>0.19203290369904638</v>
      </c>
      <c r="W94" s="63">
        <f t="shared" si="53"/>
        <v>4.2020329036990463</v>
      </c>
      <c r="X94" s="63">
        <f t="shared" si="54"/>
        <v>4.2020329036990463</v>
      </c>
      <c r="Y94" s="43"/>
      <c r="Z94" s="38">
        <f t="shared" si="55"/>
        <v>0.5</v>
      </c>
      <c r="AA94" s="38">
        <f t="shared" si="56"/>
        <v>0.20499999999999999</v>
      </c>
      <c r="AB94" s="38">
        <f t="shared" ca="1" si="57"/>
        <v>0.2085622285690848</v>
      </c>
      <c r="AC94" s="38">
        <f t="shared" si="58"/>
        <v>0.4</v>
      </c>
      <c r="AD94" s="38">
        <f t="shared" si="58"/>
        <v>0.20499999999999999</v>
      </c>
      <c r="AE94" s="38">
        <f t="shared" ca="1" si="59"/>
        <v>0.20730105562014789</v>
      </c>
      <c r="AF94" s="237">
        <f ca="1">((Summary!$N$9*(AA94*AD94)*(A94-$D$3))+(Summary!$M$9*Z94*AC94*(AJ94-EOMONTH(EDATE(A94,-1),0))))/(AK94*AB94*AE94)</f>
        <v>0.99924722435235491</v>
      </c>
      <c r="AG94" s="88">
        <f>IF($A95="","",Summary!$Q$9)</f>
        <v>0</v>
      </c>
      <c r="AH94" s="88">
        <f>IF($A95="","",IF(Summary!$R$9="Y",VLOOKUP($A94,Summary!$AD$6:$AF$9,3)+'Escalating commodity'!E107,'Escalating commodity'!E107))</f>
        <v>7.0699999999999999E-2</v>
      </c>
      <c r="AI94" s="88">
        <f t="shared" si="74"/>
        <v>7.0699999999999999E-2</v>
      </c>
      <c r="AJ94" s="236">
        <f t="shared" si="60"/>
        <v>39614</v>
      </c>
      <c r="AK94" s="58">
        <f t="shared" ca="1" si="61"/>
        <v>2574</v>
      </c>
      <c r="AL94" s="26">
        <f ca="1">IF($A95="","",_xll.SPRDOPT(P94,X94,AI94,0,AB94,AE94,AF94,AK94,$AJ$2,0))</f>
        <v>7.0034713161943082E-2</v>
      </c>
      <c r="AM94" s="89">
        <f t="shared" si="62"/>
        <v>4.7267096300953146E-2</v>
      </c>
      <c r="AN94" s="89">
        <f t="shared" ca="1" si="63"/>
        <v>2.2767616860989937E-2</v>
      </c>
      <c r="AO94" s="3">
        <f t="shared" si="64"/>
        <v>30</v>
      </c>
      <c r="AP94" s="33">
        <f t="shared" si="65"/>
        <v>39600</v>
      </c>
      <c r="AQ94" s="58">
        <f t="shared" ca="1" si="66"/>
        <v>2574</v>
      </c>
      <c r="AR94" s="38">
        <f>'ANR OK vs ML7'!AR94</f>
        <v>0.1</v>
      </c>
      <c r="AS94" s="35">
        <f t="shared" ca="1" si="67"/>
        <v>0.50274569417778914</v>
      </c>
      <c r="AT94" s="3">
        <f t="shared" si="68"/>
        <v>1</v>
      </c>
      <c r="AU94" s="3">
        <f t="shared" si="69"/>
        <v>30</v>
      </c>
      <c r="AW94" s="32">
        <f t="shared" ca="1" si="70"/>
        <v>75742.542284641444</v>
      </c>
      <c r="AX94" s="32">
        <f t="shared" si="71"/>
        <v>51119.364649480827</v>
      </c>
      <c r="AY94" s="32">
        <f t="shared" ca="1" si="72"/>
        <v>24623.177635160617</v>
      </c>
      <c r="BA94" s="32">
        <f ca="1">IF($A95="","",F94*Summary!$Q$9)</f>
        <v>0</v>
      </c>
      <c r="BC94" s="256">
        <f t="shared" ca="1" si="75"/>
        <v>25700.040466630773</v>
      </c>
    </row>
    <row r="95" spans="1:55">
      <c r="A95" s="67">
        <f t="shared" si="73"/>
        <v>39630</v>
      </c>
      <c r="B95" s="69">
        <f t="shared" si="76"/>
        <v>36050</v>
      </c>
      <c r="C95" s="71"/>
      <c r="D95" s="69">
        <f t="shared" si="38"/>
        <v>36050</v>
      </c>
      <c r="E95" s="70">
        <f t="shared" si="39"/>
        <v>1117550</v>
      </c>
      <c r="F95" s="70">
        <f t="shared" ca="1" si="40"/>
        <v>557358.37876819249</v>
      </c>
      <c r="G95" s="63">
        <f t="shared" si="41"/>
        <v>4.1950000000000003</v>
      </c>
      <c r="H95" s="64">
        <f t="shared" si="42"/>
        <v>4.1950000000000003</v>
      </c>
      <c r="I95" s="43"/>
      <c r="J95" s="63">
        <f t="shared" si="43"/>
        <v>0.18</v>
      </c>
      <c r="K95" s="64">
        <f t="shared" si="44"/>
        <v>0.18</v>
      </c>
      <c r="L95" s="63">
        <f t="shared" si="45"/>
        <v>0</v>
      </c>
      <c r="M95" s="64">
        <f t="shared" si="46"/>
        <v>0</v>
      </c>
      <c r="N95" s="65"/>
      <c r="O95" s="63">
        <f t="shared" si="47"/>
        <v>4.375</v>
      </c>
      <c r="P95" s="63">
        <f t="shared" si="48"/>
        <v>4.375</v>
      </c>
      <c r="Q95" s="66"/>
      <c r="R95" s="63">
        <f t="shared" si="49"/>
        <v>-0.12</v>
      </c>
      <c r="S95" s="64">
        <f t="shared" si="50"/>
        <v>-0.12</v>
      </c>
      <c r="T95" s="63">
        <f t="shared" si="51"/>
        <v>-0.01</v>
      </c>
      <c r="U95" s="64">
        <f t="shared" si="52"/>
        <v>-0.01</v>
      </c>
      <c r="V95" s="90">
        <f>IF($A96="","",IF(AND(MONTH(A95)&gt;3,MONTH(A95)&lt;11),(T95+R95+G95)*Summary!$T$9/(1-Summary!$T$9),(T95+R95+G95)*Summary!$U$9/(1-Summary!$U$9)))</f>
        <v>0.19466677145551714</v>
      </c>
      <c r="W95" s="63">
        <f t="shared" si="53"/>
        <v>4.2596667714555174</v>
      </c>
      <c r="X95" s="63">
        <f t="shared" si="54"/>
        <v>4.2596667714555174</v>
      </c>
      <c r="Y95" s="43"/>
      <c r="Z95" s="38">
        <f t="shared" si="55"/>
        <v>0.55000000000000004</v>
      </c>
      <c r="AA95" s="38">
        <f t="shared" si="56"/>
        <v>0.20300000000000001</v>
      </c>
      <c r="AB95" s="38">
        <f t="shared" ca="1" si="57"/>
        <v>0.20742569876202044</v>
      </c>
      <c r="AC95" s="38">
        <f t="shared" si="58"/>
        <v>0.4</v>
      </c>
      <c r="AD95" s="38">
        <f t="shared" si="58"/>
        <v>0.20300000000000001</v>
      </c>
      <c r="AE95" s="38">
        <f t="shared" ca="1" si="59"/>
        <v>0.20537089915856666</v>
      </c>
      <c r="AF95" s="237">
        <f ca="1">((Summary!$N$9*(AA95*AD95)*(A95-$D$3))+(Summary!$M$9*Z95*AC95*(AJ95-EOMONTH(EDATE(A95,-1),0))))/(AK95*AB95*AE95)</f>
        <v>0.99838082255368121</v>
      </c>
      <c r="AG95" s="88">
        <f>IF($A96="","",Summary!$Q$9)</f>
        <v>0</v>
      </c>
      <c r="AH95" s="88">
        <f>IF($A96="","",IF(Summary!$R$9="Y",VLOOKUP($A95,Summary!$AD$6:$AF$9,3)+'Escalating commodity'!E108,'Escalating commodity'!E108))</f>
        <v>7.0699999999999999E-2</v>
      </c>
      <c r="AI95" s="88">
        <f t="shared" si="74"/>
        <v>7.0699999999999999E-2</v>
      </c>
      <c r="AJ95" s="236">
        <f t="shared" si="60"/>
        <v>39644.5</v>
      </c>
      <c r="AK95" s="58">
        <f t="shared" ca="1" si="61"/>
        <v>2604</v>
      </c>
      <c r="AL95" s="26">
        <f ca="1">IF($A96="","",_xll.SPRDOPT(P95,X95,AI95,0,AB95,AE95,AF95,AK95,$AJ$2,0))</f>
        <v>8.4855141471123219E-2</v>
      </c>
      <c r="AM95" s="89">
        <f t="shared" si="62"/>
        <v>4.4633228544482581E-2</v>
      </c>
      <c r="AN95" s="89">
        <f t="shared" ca="1" si="63"/>
        <v>4.0221912926640638E-2</v>
      </c>
      <c r="AO95" s="3">
        <f t="shared" si="64"/>
        <v>31</v>
      </c>
      <c r="AP95" s="33">
        <f t="shared" si="65"/>
        <v>39630</v>
      </c>
      <c r="AQ95" s="58">
        <f t="shared" ca="1" si="66"/>
        <v>2604</v>
      </c>
      <c r="AR95" s="38">
        <f>'ANR OK vs ML7'!AR95</f>
        <v>0.1</v>
      </c>
      <c r="AS95" s="35">
        <f t="shared" ca="1" si="67"/>
        <v>0.49873238671038655</v>
      </c>
      <c r="AT95" s="3">
        <f t="shared" si="68"/>
        <v>1</v>
      </c>
      <c r="AU95" s="3">
        <f t="shared" si="69"/>
        <v>31</v>
      </c>
      <c r="AW95" s="32">
        <f t="shared" ca="1" si="70"/>
        <v>94829.863351053747</v>
      </c>
      <c r="AX95" s="32">
        <f t="shared" si="71"/>
        <v>49879.864559886511</v>
      </c>
      <c r="AY95" s="32">
        <f t="shared" ca="1" si="72"/>
        <v>44949.998791167243</v>
      </c>
      <c r="BA95" s="32">
        <f ca="1">IF($A96="","",F95*Summary!$Q$9)</f>
        <v>0</v>
      </c>
      <c r="BC95" s="256">
        <f t="shared" ca="1" si="75"/>
        <v>24876.703900743025</v>
      </c>
    </row>
    <row r="96" spans="1:55">
      <c r="A96" s="67">
        <f t="shared" si="73"/>
        <v>39661</v>
      </c>
      <c r="B96" s="69">
        <f t="shared" si="76"/>
        <v>36050</v>
      </c>
      <c r="C96" s="71"/>
      <c r="D96" s="69">
        <f t="shared" si="38"/>
        <v>36050</v>
      </c>
      <c r="E96" s="70">
        <f t="shared" si="39"/>
        <v>1117550</v>
      </c>
      <c r="F96" s="70">
        <f t="shared" ca="1" si="40"/>
        <v>552761.41466472065</v>
      </c>
      <c r="G96" s="63">
        <f t="shared" si="41"/>
        <v>4.2510000000000003</v>
      </c>
      <c r="H96" s="64">
        <f t="shared" si="42"/>
        <v>4.2510000000000003</v>
      </c>
      <c r="I96" s="43"/>
      <c r="J96" s="63">
        <f t="shared" si="43"/>
        <v>0.18</v>
      </c>
      <c r="K96" s="64">
        <f t="shared" si="44"/>
        <v>0.18</v>
      </c>
      <c r="L96" s="63">
        <f t="shared" si="45"/>
        <v>0</v>
      </c>
      <c r="M96" s="64">
        <f t="shared" si="46"/>
        <v>0</v>
      </c>
      <c r="N96" s="65"/>
      <c r="O96" s="63">
        <f t="shared" si="47"/>
        <v>4.431</v>
      </c>
      <c r="P96" s="63">
        <f t="shared" si="48"/>
        <v>4.431</v>
      </c>
      <c r="Q96" s="66"/>
      <c r="R96" s="63">
        <f t="shared" si="49"/>
        <v>-0.12</v>
      </c>
      <c r="S96" s="64">
        <f t="shared" si="50"/>
        <v>-0.12</v>
      </c>
      <c r="T96" s="63">
        <f t="shared" si="51"/>
        <v>-0.01</v>
      </c>
      <c r="U96" s="64">
        <f t="shared" si="52"/>
        <v>-0.01</v>
      </c>
      <c r="V96" s="90">
        <f>IF($A97="","",IF(AND(MONTH(A96)&gt;3,MONTH(A96)&lt;11),(T96+R96+G96)*Summary!$T$9/(1-Summary!$T$9),(T96+R96+G96)*Summary!$U$9/(1-Summary!$U$9)))</f>
        <v>0.19734852771665096</v>
      </c>
      <c r="W96" s="63">
        <f t="shared" si="53"/>
        <v>4.3183485277166511</v>
      </c>
      <c r="X96" s="63">
        <f t="shared" si="54"/>
        <v>4.3183485277166511</v>
      </c>
      <c r="Y96" s="43"/>
      <c r="Z96" s="38">
        <f t="shared" si="55"/>
        <v>0.6</v>
      </c>
      <c r="AA96" s="38">
        <f t="shared" si="56"/>
        <v>0.20300000000000001</v>
      </c>
      <c r="AB96" s="38">
        <f t="shared" ca="1" si="57"/>
        <v>0.20818810280130706</v>
      </c>
      <c r="AC96" s="38">
        <f t="shared" si="58"/>
        <v>0.5</v>
      </c>
      <c r="AD96" s="38">
        <f t="shared" si="58"/>
        <v>0.20300000000000001</v>
      </c>
      <c r="AE96" s="38">
        <f t="shared" ca="1" si="59"/>
        <v>0.20662823457717047</v>
      </c>
      <c r="AF96" s="237">
        <f ca="1">((Summary!$N$9*(AA96*AD96)*(A96-$D$3))+(Summary!$M$9*Z96*AC96*(AJ96-EOMONTH(EDATE(A96,-1),0))))/(AK96*AB96*AE96)</f>
        <v>0.99924873356147448</v>
      </c>
      <c r="AG96" s="88">
        <f>IF($A97="","",Summary!$Q$9)</f>
        <v>0</v>
      </c>
      <c r="AH96" s="88">
        <f>IF($A97="","",IF(Summary!$R$9="Y",VLOOKUP($A96,Summary!$AD$6:$AF$9,3)+'Escalating commodity'!E109,'Escalating commodity'!E109))</f>
        <v>7.0699999999999999E-2</v>
      </c>
      <c r="AI96" s="88">
        <f t="shared" si="74"/>
        <v>7.0699999999999999E-2</v>
      </c>
      <c r="AJ96" s="236">
        <f t="shared" si="60"/>
        <v>39675.5</v>
      </c>
      <c r="AK96" s="58">
        <f t="shared" ca="1" si="61"/>
        <v>2635</v>
      </c>
      <c r="AL96" s="26">
        <f ca="1">IF($A97="","",_xll.SPRDOPT(P96,X96,AI96,0,AB96,AE96,AF96,AK96,$AJ$2,0))</f>
        <v>6.8130671513360386E-2</v>
      </c>
      <c r="AM96" s="89">
        <f t="shared" si="62"/>
        <v>4.1951472283348931E-2</v>
      </c>
      <c r="AN96" s="89">
        <f t="shared" ca="1" si="63"/>
        <v>2.6179199230011455E-2</v>
      </c>
      <c r="AO96" s="3">
        <f t="shared" si="64"/>
        <v>31</v>
      </c>
      <c r="AP96" s="33">
        <f t="shared" si="65"/>
        <v>39661</v>
      </c>
      <c r="AQ96" s="58">
        <f t="shared" ca="1" si="66"/>
        <v>2635</v>
      </c>
      <c r="AR96" s="38">
        <f>'ANR OK vs ML7'!AR96</f>
        <v>0.1</v>
      </c>
      <c r="AS96" s="35">
        <f t="shared" ca="1" si="67"/>
        <v>0.49461895634622222</v>
      </c>
      <c r="AT96" s="3">
        <f t="shared" si="68"/>
        <v>1</v>
      </c>
      <c r="AU96" s="3">
        <f t="shared" si="69"/>
        <v>31</v>
      </c>
      <c r="AW96" s="32">
        <f t="shared" ca="1" si="70"/>
        <v>76139.431949755904</v>
      </c>
      <c r="AX96" s="32">
        <f t="shared" si="71"/>
        <v>46882.867850256596</v>
      </c>
      <c r="AY96" s="32">
        <f t="shared" ca="1" si="72"/>
        <v>29256.564099499301</v>
      </c>
      <c r="BA96" s="32">
        <f ca="1">IF($A97="","",F96*Summary!$Q$9)</f>
        <v>0</v>
      </c>
      <c r="BC96" s="256">
        <f t="shared" ca="1" si="75"/>
        <v>23189.155166611774</v>
      </c>
    </row>
    <row r="97" spans="1:55">
      <c r="A97" s="67">
        <f t="shared" si="73"/>
        <v>39692</v>
      </c>
      <c r="B97" s="69">
        <f t="shared" si="76"/>
        <v>36050</v>
      </c>
      <c r="C97" s="71"/>
      <c r="D97" s="69">
        <f t="shared" si="38"/>
        <v>36050</v>
      </c>
      <c r="E97" s="70">
        <f t="shared" si="39"/>
        <v>1081500</v>
      </c>
      <c r="F97" s="70">
        <f t="shared" ca="1" si="40"/>
        <v>530518.41800039145</v>
      </c>
      <c r="G97" s="63">
        <f t="shared" si="41"/>
        <v>4.2649999999999997</v>
      </c>
      <c r="H97" s="64">
        <f t="shared" si="42"/>
        <v>4.2649999999999997</v>
      </c>
      <c r="I97" s="43"/>
      <c r="J97" s="63">
        <f t="shared" si="43"/>
        <v>0.18</v>
      </c>
      <c r="K97" s="64">
        <f t="shared" si="44"/>
        <v>0.18</v>
      </c>
      <c r="L97" s="63">
        <f t="shared" si="45"/>
        <v>0</v>
      </c>
      <c r="M97" s="64">
        <f t="shared" si="46"/>
        <v>0</v>
      </c>
      <c r="N97" s="65"/>
      <c r="O97" s="63">
        <f t="shared" si="47"/>
        <v>4.4449999999999994</v>
      </c>
      <c r="P97" s="63">
        <f t="shared" si="48"/>
        <v>4.4449999999999994</v>
      </c>
      <c r="Q97" s="66"/>
      <c r="R97" s="63">
        <f t="shared" si="49"/>
        <v>-0.12</v>
      </c>
      <c r="S97" s="64">
        <f t="shared" si="50"/>
        <v>-0.12</v>
      </c>
      <c r="T97" s="63">
        <f t="shared" si="51"/>
        <v>-0.01</v>
      </c>
      <c r="U97" s="64">
        <f t="shared" si="52"/>
        <v>-0.01</v>
      </c>
      <c r="V97" s="90">
        <f>IF($A98="","",IF(AND(MONTH(A97)&gt;3,MONTH(A97)&lt;11),(T97+R97+G97)*Summary!$T$9/(1-Summary!$T$9),(T97+R97+G97)*Summary!$U$9/(1-Summary!$U$9)))</f>
        <v>0.19801896678193437</v>
      </c>
      <c r="W97" s="63">
        <f t="shared" si="53"/>
        <v>4.3330189667819345</v>
      </c>
      <c r="X97" s="63">
        <f t="shared" si="54"/>
        <v>4.3330189667819345</v>
      </c>
      <c r="Y97" s="43"/>
      <c r="Z97" s="38">
        <f t="shared" si="55"/>
        <v>0.6</v>
      </c>
      <c r="AA97" s="38">
        <f t="shared" si="56"/>
        <v>0.20300000000000001</v>
      </c>
      <c r="AB97" s="38">
        <f t="shared" ca="1" si="57"/>
        <v>0.207966255954912</v>
      </c>
      <c r="AC97" s="38">
        <f t="shared" si="58"/>
        <v>0.55000000000000004</v>
      </c>
      <c r="AD97" s="38">
        <f t="shared" si="58"/>
        <v>0.20300000000000001</v>
      </c>
      <c r="AE97" s="38">
        <f t="shared" ca="1" si="59"/>
        <v>0.2071869813388599</v>
      </c>
      <c r="AF97" s="237">
        <f ca="1">((Summary!$N$9*(AA97*AD97)*(A97-$D$3))+(Summary!$M$9*Z97*AC97*(AJ97-EOMONTH(EDATE(A97,-1),0))))/(AK97*AB97*AE97)</f>
        <v>0.99974814694350378</v>
      </c>
      <c r="AG97" s="88">
        <f>IF($A98="","",Summary!$Q$9)</f>
        <v>0</v>
      </c>
      <c r="AH97" s="88">
        <f>IF($A98="","",IF(Summary!$R$9="Y",VLOOKUP($A97,Summary!$AD$6:$AF$9,3)+'Escalating commodity'!E110,'Escalating commodity'!E110))</f>
        <v>7.0699999999999999E-2</v>
      </c>
      <c r="AI97" s="88">
        <f t="shared" si="74"/>
        <v>7.0699999999999999E-2</v>
      </c>
      <c r="AJ97" s="236">
        <f t="shared" si="60"/>
        <v>39706</v>
      </c>
      <c r="AK97" s="58">
        <f t="shared" ca="1" si="61"/>
        <v>2666</v>
      </c>
      <c r="AL97" s="26">
        <f ca="1">IF($A98="","",_xll.SPRDOPT(P97,X97,AI97,0,AB97,AE97,AF97,AK97,$AJ$2,0))</f>
        <v>5.4894088387337024E-2</v>
      </c>
      <c r="AM97" s="89">
        <f t="shared" si="62"/>
        <v>4.1281033218064853E-2</v>
      </c>
      <c r="AN97" s="89">
        <f t="shared" ca="1" si="63"/>
        <v>1.3613055169272172E-2</v>
      </c>
      <c r="AO97" s="3">
        <f t="shared" si="64"/>
        <v>30</v>
      </c>
      <c r="AP97" s="33">
        <f t="shared" si="65"/>
        <v>39692</v>
      </c>
      <c r="AQ97" s="58">
        <f t="shared" ca="1" si="66"/>
        <v>2666</v>
      </c>
      <c r="AR97" s="38">
        <f>'ANR OK vs ML7'!AR97</f>
        <v>0.1</v>
      </c>
      <c r="AS97" s="35">
        <f t="shared" ca="1" si="67"/>
        <v>0.49053945261247472</v>
      </c>
      <c r="AT97" s="3">
        <f t="shared" si="68"/>
        <v>1</v>
      </c>
      <c r="AU97" s="3">
        <f t="shared" si="69"/>
        <v>30</v>
      </c>
      <c r="AW97" s="32">
        <f t="shared" ca="1" si="70"/>
        <v>59367.956590904992</v>
      </c>
      <c r="AX97" s="32">
        <f t="shared" si="71"/>
        <v>44645.437425337135</v>
      </c>
      <c r="AY97" s="32">
        <f t="shared" ca="1" si="72"/>
        <v>14722.519165567854</v>
      </c>
      <c r="BA97" s="32">
        <f ca="1">IF($A98="","",F97*Summary!$Q$9)</f>
        <v>0</v>
      </c>
      <c r="BC97" s="256">
        <f t="shared" ca="1" si="75"/>
        <v>21900.348436269374</v>
      </c>
    </row>
    <row r="98" spans="1:55">
      <c r="A98" s="67">
        <f t="shared" si="73"/>
        <v>39722</v>
      </c>
      <c r="B98" s="69">
        <f t="shared" si="76"/>
        <v>36050</v>
      </c>
      <c r="C98" s="71"/>
      <c r="D98" s="69">
        <f t="shared" si="38"/>
        <v>36050</v>
      </c>
      <c r="E98" s="70">
        <f t="shared" si="39"/>
        <v>1117550</v>
      </c>
      <c r="F98" s="70">
        <f t="shared" ca="1" si="40"/>
        <v>543826.18726763106</v>
      </c>
      <c r="G98" s="63">
        <f t="shared" si="41"/>
        <v>4.2960000000000003</v>
      </c>
      <c r="H98" s="64">
        <f t="shared" si="42"/>
        <v>4.2960000000000003</v>
      </c>
      <c r="I98" s="43"/>
      <c r="J98" s="63">
        <f t="shared" si="43"/>
        <v>0.18</v>
      </c>
      <c r="K98" s="64">
        <f t="shared" si="44"/>
        <v>0.18</v>
      </c>
      <c r="L98" s="63">
        <f t="shared" si="45"/>
        <v>0</v>
      </c>
      <c r="M98" s="64">
        <f t="shared" si="46"/>
        <v>0</v>
      </c>
      <c r="N98" s="65"/>
      <c r="O98" s="63">
        <f t="shared" si="47"/>
        <v>4.476</v>
      </c>
      <c r="P98" s="63">
        <f t="shared" si="48"/>
        <v>4.476</v>
      </c>
      <c r="Q98" s="66"/>
      <c r="R98" s="63">
        <f t="shared" si="49"/>
        <v>-0.12</v>
      </c>
      <c r="S98" s="64">
        <f t="shared" si="50"/>
        <v>-0.12</v>
      </c>
      <c r="T98" s="63">
        <f t="shared" si="51"/>
        <v>-0.01</v>
      </c>
      <c r="U98" s="64">
        <f t="shared" si="52"/>
        <v>-0.01</v>
      </c>
      <c r="V98" s="90">
        <f>IF($A99="","",IF(AND(MONTH(A98)&gt;3,MONTH(A98)&lt;11),(T98+R98+G98)*Summary!$T$9/(1-Summary!$T$9),(T98+R98+G98)*Summary!$U$9/(1-Summary!$U$9)))</f>
        <v>0.19950351042649062</v>
      </c>
      <c r="W98" s="63">
        <f t="shared" si="53"/>
        <v>4.3655035104264908</v>
      </c>
      <c r="X98" s="63">
        <f t="shared" si="54"/>
        <v>4.3655035104264908</v>
      </c>
      <c r="Y98" s="43"/>
      <c r="Z98" s="38">
        <f t="shared" si="55"/>
        <v>0.65</v>
      </c>
      <c r="AA98" s="38">
        <f t="shared" si="56"/>
        <v>0.20300000000000001</v>
      </c>
      <c r="AB98" s="38">
        <f t="shared" ca="1" si="57"/>
        <v>0.2089338335695993</v>
      </c>
      <c r="AC98" s="38">
        <f t="shared" si="58"/>
        <v>0.55000000000000004</v>
      </c>
      <c r="AD98" s="38">
        <f t="shared" si="58"/>
        <v>0.20300000000000001</v>
      </c>
      <c r="AE98" s="38">
        <f t="shared" ca="1" si="59"/>
        <v>0.20727623074260235</v>
      </c>
      <c r="AF98" s="237">
        <f ca="1">((Summary!$N$9*(AA98*AD98)*(A98-$D$3))+(Summary!$M$9*Z98*AC98*(AJ98-EOMONTH(EDATE(A98,-1),0))))/(AK98*AB98*AE98)</f>
        <v>0.99927275306453212</v>
      </c>
      <c r="AG98" s="88">
        <f>IF($A99="","",Summary!$Q$9)</f>
        <v>0</v>
      </c>
      <c r="AH98" s="88">
        <f>IF($A99="","",IF(Summary!$R$9="Y",VLOOKUP($A98,Summary!$AD$6:$AF$9,3)+'Escalating commodity'!E111,'Escalating commodity'!E111))</f>
        <v>7.0699999999999999E-2</v>
      </c>
      <c r="AI98" s="88">
        <f t="shared" si="74"/>
        <v>7.0699999999999999E-2</v>
      </c>
      <c r="AJ98" s="236">
        <f t="shared" si="60"/>
        <v>39736.5</v>
      </c>
      <c r="AK98" s="58">
        <f t="shared" ca="1" si="61"/>
        <v>2696</v>
      </c>
      <c r="AL98" s="26">
        <f ca="1">IF($A99="","",_xll.SPRDOPT(P98,X98,AI98,0,AB98,AE98,AF98,AK98,$AJ$2,0))</f>
        <v>6.7272300021894549E-2</v>
      </c>
      <c r="AM98" s="89">
        <f t="shared" si="62"/>
        <v>3.9796489573509217E-2</v>
      </c>
      <c r="AN98" s="89">
        <f t="shared" ca="1" si="63"/>
        <v>2.7475810448385332E-2</v>
      </c>
      <c r="AO98" s="3">
        <f t="shared" si="64"/>
        <v>31</v>
      </c>
      <c r="AP98" s="33">
        <f t="shared" si="65"/>
        <v>39722</v>
      </c>
      <c r="AQ98" s="58">
        <f t="shared" ca="1" si="66"/>
        <v>2696</v>
      </c>
      <c r="AR98" s="38">
        <f>'ANR OK vs ML7'!AR98</f>
        <v>0.1</v>
      </c>
      <c r="AS98" s="35">
        <f t="shared" ca="1" si="67"/>
        <v>0.48662358486656621</v>
      </c>
      <c r="AT98" s="3">
        <f t="shared" si="68"/>
        <v>1</v>
      </c>
      <c r="AU98" s="3">
        <f t="shared" si="69"/>
        <v>31</v>
      </c>
      <c r="AW98" s="32">
        <f t="shared" ca="1" si="70"/>
        <v>75180.15888946825</v>
      </c>
      <c r="AX98" s="32">
        <f t="shared" si="71"/>
        <v>44474.566922875223</v>
      </c>
      <c r="AY98" s="32">
        <f t="shared" ca="1" si="72"/>
        <v>30705.591966593027</v>
      </c>
      <c r="BA98" s="32">
        <f ca="1">IF($A99="","",F98*Summary!$Q$9)</f>
        <v>0</v>
      </c>
      <c r="BC98" s="256">
        <f t="shared" ca="1" si="75"/>
        <v>21642.37319139755</v>
      </c>
    </row>
    <row r="99" spans="1:55">
      <c r="A99" s="67">
        <f t="shared" si="73"/>
        <v>39753</v>
      </c>
      <c r="B99" s="69">
        <f t="shared" si="76"/>
        <v>36050</v>
      </c>
      <c r="C99" s="71"/>
      <c r="D99" s="69">
        <f t="shared" si="38"/>
        <v>36050</v>
      </c>
      <c r="E99" s="70">
        <f t="shared" si="39"/>
        <v>1081500</v>
      </c>
      <c r="F99" s="70">
        <f t="shared" ca="1" si="40"/>
        <v>521942.74217096873</v>
      </c>
      <c r="G99" s="63">
        <f t="shared" si="41"/>
        <v>4.4290000000000003</v>
      </c>
      <c r="H99" s="64">
        <f t="shared" si="42"/>
        <v>4.4290000000000003</v>
      </c>
      <c r="I99" s="43"/>
      <c r="J99" s="63">
        <f t="shared" si="43"/>
        <v>0.27500000000000002</v>
      </c>
      <c r="K99" s="64">
        <f t="shared" si="44"/>
        <v>0.27500000000000002</v>
      </c>
      <c r="L99" s="63">
        <f t="shared" si="45"/>
        <v>0</v>
      </c>
      <c r="M99" s="64">
        <f t="shared" si="46"/>
        <v>0</v>
      </c>
      <c r="N99" s="65"/>
      <c r="O99" s="63">
        <f t="shared" si="47"/>
        <v>4.7040000000000006</v>
      </c>
      <c r="P99" s="63">
        <f t="shared" si="48"/>
        <v>4.7040000000000006</v>
      </c>
      <c r="Q99" s="66"/>
      <c r="R99" s="63">
        <f t="shared" si="49"/>
        <v>-0.14249999999999999</v>
      </c>
      <c r="S99" s="64">
        <f t="shared" si="50"/>
        <v>-0.14249999999999999</v>
      </c>
      <c r="T99" s="63">
        <f t="shared" si="51"/>
        <v>0.01</v>
      </c>
      <c r="U99" s="64">
        <f t="shared" si="52"/>
        <v>0.01</v>
      </c>
      <c r="V99" s="90">
        <f>IF($A100="","",IF(AND(MONTH(A99)&gt;3,MONTH(A99)&lt;11),(T99+R99+G99)*Summary!$T$9/(1-Summary!$T$9),(T99+R99+G99)*Summary!$U$9/(1-Summary!$U$9)))</f>
        <v>0.20575296028502565</v>
      </c>
      <c r="W99" s="63">
        <f t="shared" si="53"/>
        <v>4.5022529602850252</v>
      </c>
      <c r="X99" s="63">
        <f t="shared" si="54"/>
        <v>4.5022529602850252</v>
      </c>
      <c r="Y99" s="43"/>
      <c r="Z99" s="38">
        <f t="shared" si="55"/>
        <v>0.8</v>
      </c>
      <c r="AA99" s="38">
        <f t="shared" si="56"/>
        <v>0.20300000000000001</v>
      </c>
      <c r="AB99" s="38">
        <f t="shared" ca="1" si="57"/>
        <v>0.21152887158262337</v>
      </c>
      <c r="AC99" s="38">
        <f t="shared" si="58"/>
        <v>0.8</v>
      </c>
      <c r="AD99" s="38">
        <f t="shared" si="58"/>
        <v>0.20300000000000001</v>
      </c>
      <c r="AE99" s="38">
        <f t="shared" ca="1" si="59"/>
        <v>0.21152887158262337</v>
      </c>
      <c r="AF99" s="237">
        <f ca="1">((Summary!$N$9*(AA99*AD99)*(A99-$D$3))+(Summary!$M$9*Z99*AC99*(AJ99-EOMONTH(EDATE(A99,-1),0))))/(AK99*AB99*AE99)</f>
        <v>0.99990786768185114</v>
      </c>
      <c r="AG99" s="88">
        <f>IF($A100="","",Summary!$Q$9)</f>
        <v>0</v>
      </c>
      <c r="AH99" s="88">
        <f>IF($A100="","",IF(Summary!$R$9="Y",VLOOKUP($A99,Summary!$AD$6:$AF$9,3)+'Escalating commodity'!E112,'Escalating commodity'!E112))</f>
        <v>7.0699999999999999E-2</v>
      </c>
      <c r="AI99" s="88">
        <f t="shared" si="74"/>
        <v>7.0699999999999999E-2</v>
      </c>
      <c r="AJ99" s="236">
        <f t="shared" si="60"/>
        <v>39767</v>
      </c>
      <c r="AK99" s="58">
        <f t="shared" ca="1" si="61"/>
        <v>2727</v>
      </c>
      <c r="AL99" s="26">
        <f ca="1">IF($A100="","",_xll.SPRDOPT(P99,X99,AI99,0,AB99,AE99,AF99,AK99,$AJ$2,0))</f>
        <v>0.13284401559365894</v>
      </c>
      <c r="AM99" s="89">
        <f t="shared" si="62"/>
        <v>0.13104703971497544</v>
      </c>
      <c r="AN99" s="89">
        <f t="shared" ca="1" si="63"/>
        <v>1.7969758786834933E-3</v>
      </c>
      <c r="AO99" s="3">
        <f t="shared" si="64"/>
        <v>30</v>
      </c>
      <c r="AP99" s="33">
        <f t="shared" si="65"/>
        <v>39753</v>
      </c>
      <c r="AQ99" s="58">
        <f t="shared" ca="1" si="66"/>
        <v>2727</v>
      </c>
      <c r="AR99" s="38">
        <f>'ANR OK vs ML7'!AR99</f>
        <v>0.1</v>
      </c>
      <c r="AS99" s="35">
        <f t="shared" ca="1" si="67"/>
        <v>0.48261002512341078</v>
      </c>
      <c r="AT99" s="3">
        <f t="shared" si="68"/>
        <v>1</v>
      </c>
      <c r="AU99" s="3">
        <f t="shared" si="69"/>
        <v>30</v>
      </c>
      <c r="AW99" s="32">
        <f t="shared" ca="1" si="70"/>
        <v>143670.80286454214</v>
      </c>
      <c r="AX99" s="32">
        <f t="shared" si="71"/>
        <v>141727.37345174595</v>
      </c>
      <c r="AY99" s="32">
        <f t="shared" ca="1" si="72"/>
        <v>1943.429412796198</v>
      </c>
      <c r="BA99" s="32">
        <f ca="1">IF($A100="","",F99*Summary!$Q$9)</f>
        <v>0</v>
      </c>
      <c r="BC99" s="256">
        <f t="shared" ca="1" si="75"/>
        <v>68399.051262222129</v>
      </c>
    </row>
    <row r="100" spans="1:55">
      <c r="A100" s="67">
        <f t="shared" si="73"/>
        <v>39783</v>
      </c>
      <c r="B100" s="69">
        <f t="shared" si="76"/>
        <v>36050</v>
      </c>
      <c r="C100" s="71"/>
      <c r="D100" s="69">
        <f t="shared" si="38"/>
        <v>36050</v>
      </c>
      <c r="E100" s="70">
        <f t="shared" si="39"/>
        <v>1117550</v>
      </c>
      <c r="F100" s="70">
        <f t="shared" ca="1" si="40"/>
        <v>535035.39522098307</v>
      </c>
      <c r="G100" s="63">
        <f t="shared" si="41"/>
        <v>4.5670000000000002</v>
      </c>
      <c r="H100" s="64">
        <f t="shared" si="42"/>
        <v>4.5670000000000002</v>
      </c>
      <c r="I100" s="43"/>
      <c r="J100" s="63">
        <f t="shared" si="43"/>
        <v>0.27500000000000002</v>
      </c>
      <c r="K100" s="64">
        <f t="shared" si="44"/>
        <v>0.27500000000000002</v>
      </c>
      <c r="L100" s="63">
        <f t="shared" si="45"/>
        <v>0</v>
      </c>
      <c r="M100" s="64">
        <f t="shared" si="46"/>
        <v>0</v>
      </c>
      <c r="N100" s="65"/>
      <c r="O100" s="63">
        <f t="shared" si="47"/>
        <v>4.8420000000000005</v>
      </c>
      <c r="P100" s="63">
        <f t="shared" si="48"/>
        <v>4.8420000000000005</v>
      </c>
      <c r="Q100" s="66"/>
      <c r="R100" s="63">
        <f t="shared" si="49"/>
        <v>-0.13750000000000001</v>
      </c>
      <c r="S100" s="64">
        <f t="shared" si="50"/>
        <v>-0.13750000000000001</v>
      </c>
      <c r="T100" s="63">
        <f t="shared" si="51"/>
        <v>0.01</v>
      </c>
      <c r="U100" s="64">
        <f t="shared" si="52"/>
        <v>0.01</v>
      </c>
      <c r="V100" s="90">
        <f>IF($A101="","",IF(AND(MONTH(A100)&gt;3,MONTH(A100)&lt;11),(T100+R100+G100)*Summary!$T$9/(1-Summary!$T$9),(T100+R100+G100)*Summary!$U$9/(1-Summary!$U$9)))</f>
        <v>0.21260101645184951</v>
      </c>
      <c r="W100" s="63">
        <f t="shared" si="53"/>
        <v>4.6521010164518497</v>
      </c>
      <c r="X100" s="63">
        <f t="shared" si="54"/>
        <v>4.6521010164518497</v>
      </c>
      <c r="Y100" s="43"/>
      <c r="Z100" s="38">
        <f t="shared" si="55"/>
        <v>1.1000000000000001</v>
      </c>
      <c r="AA100" s="38">
        <f t="shared" si="56"/>
        <v>0.20499999999999999</v>
      </c>
      <c r="AB100" s="38">
        <f t="shared" ca="1" si="57"/>
        <v>0.22100435989968187</v>
      </c>
      <c r="AC100" s="38">
        <f t="shared" si="58"/>
        <v>1</v>
      </c>
      <c r="AD100" s="38">
        <f t="shared" si="58"/>
        <v>0.20499999999999999</v>
      </c>
      <c r="AE100" s="38">
        <f t="shared" ca="1" si="59"/>
        <v>0.21831696217629232</v>
      </c>
      <c r="AF100" s="237">
        <f ca="1">((Summary!$N$9*(AA100*AD100)*(A100-$D$3))+(Summary!$M$9*Z100*AC100*(AJ100-EOMONTH(EDATE(A100,-1),0))))/(AK100*AB100*AE100)</f>
        <v>0.9994051019599508</v>
      </c>
      <c r="AG100" s="88">
        <f>IF($A101="","",Summary!$Q$9)</f>
        <v>0</v>
      </c>
      <c r="AH100" s="88">
        <f>IF($A101="","",IF(Summary!$R$9="Y",VLOOKUP($A100,Summary!$AD$6:$AF$9,3)+'Escalating commodity'!E113,'Escalating commodity'!E113))</f>
        <v>7.0699999999999999E-2</v>
      </c>
      <c r="AI100" s="88">
        <f t="shared" si="74"/>
        <v>7.0699999999999999E-2</v>
      </c>
      <c r="AJ100" s="236">
        <f t="shared" si="60"/>
        <v>39797.5</v>
      </c>
      <c r="AK100" s="58">
        <f t="shared" ca="1" si="61"/>
        <v>2757</v>
      </c>
      <c r="AL100" s="26">
        <f ca="1">IF($A101="","",_xll.SPRDOPT(P100,X100,AI100,0,AB100,AE100,AF100,AK100,$AJ$2,0))</f>
        <v>0.13264447294134729</v>
      </c>
      <c r="AM100" s="89">
        <f t="shared" si="62"/>
        <v>0.11919898354815082</v>
      </c>
      <c r="AN100" s="89">
        <f t="shared" ca="1" si="63"/>
        <v>1.3445489393196466E-2</v>
      </c>
      <c r="AO100" s="3">
        <f t="shared" si="64"/>
        <v>31</v>
      </c>
      <c r="AP100" s="33">
        <f t="shared" si="65"/>
        <v>39783</v>
      </c>
      <c r="AQ100" s="58">
        <f t="shared" ca="1" si="66"/>
        <v>2757</v>
      </c>
      <c r="AR100" s="38">
        <f>'ANR OK vs ML7'!AR100</f>
        <v>0.1</v>
      </c>
      <c r="AS100" s="35">
        <f t="shared" ca="1" si="67"/>
        <v>0.47875745623997412</v>
      </c>
      <c r="AT100" s="3">
        <f t="shared" si="68"/>
        <v>1</v>
      </c>
      <c r="AU100" s="3">
        <f t="shared" si="69"/>
        <v>31</v>
      </c>
      <c r="AW100" s="32">
        <f t="shared" ca="1" si="70"/>
        <v>148236.83073560268</v>
      </c>
      <c r="AX100" s="32">
        <f t="shared" si="71"/>
        <v>133210.82406423596</v>
      </c>
      <c r="AY100" s="32">
        <f t="shared" ca="1" si="72"/>
        <v>15026.006671366711</v>
      </c>
      <c r="BA100" s="32">
        <f ca="1">IF($A101="","",F100*Summary!$Q$9)</f>
        <v>0</v>
      </c>
      <c r="BC100" s="256">
        <f t="shared" ca="1" si="75"/>
        <v>63775.675272624336</v>
      </c>
    </row>
    <row r="101" spans="1:55">
      <c r="A101" s="67">
        <f t="shared" si="73"/>
        <v>39814</v>
      </c>
      <c r="B101" s="69">
        <f t="shared" si="76"/>
        <v>36050</v>
      </c>
      <c r="C101" s="71"/>
      <c r="D101" s="69">
        <f t="shared" si="38"/>
        <v>36050</v>
      </c>
      <c r="E101" s="70">
        <f t="shared" si="39"/>
        <v>1117550</v>
      </c>
      <c r="F101" s="70">
        <f t="shared" ca="1" si="40"/>
        <v>530622.54596705502</v>
      </c>
      <c r="G101" s="63">
        <f t="shared" si="41"/>
        <v>4.5890000000000004</v>
      </c>
      <c r="H101" s="64">
        <f t="shared" si="42"/>
        <v>4.5890000000000004</v>
      </c>
      <c r="I101" s="43"/>
      <c r="J101" s="63">
        <f t="shared" si="43"/>
        <v>0.27500000000000002</v>
      </c>
      <c r="K101" s="64">
        <f t="shared" si="44"/>
        <v>0.27500000000000002</v>
      </c>
      <c r="L101" s="63">
        <f t="shared" si="45"/>
        <v>0</v>
      </c>
      <c r="M101" s="64">
        <f t="shared" si="46"/>
        <v>0</v>
      </c>
      <c r="N101" s="65"/>
      <c r="O101" s="63">
        <f t="shared" si="47"/>
        <v>4.8640000000000008</v>
      </c>
      <c r="P101" s="63">
        <f t="shared" si="48"/>
        <v>4.8640000000000008</v>
      </c>
      <c r="Q101" s="66"/>
      <c r="R101" s="63">
        <f t="shared" si="49"/>
        <v>-0.13750000000000001</v>
      </c>
      <c r="S101" s="64">
        <f t="shared" si="50"/>
        <v>-0.13750000000000001</v>
      </c>
      <c r="T101" s="63">
        <f t="shared" si="51"/>
        <v>0.01</v>
      </c>
      <c r="U101" s="64">
        <f t="shared" si="52"/>
        <v>0.01</v>
      </c>
      <c r="V101" s="90">
        <f>IF($A102="","",IF(AND(MONTH(A101)&gt;3,MONTH(A101)&lt;11),(T101+R101+G101)*Summary!$T$9/(1-Summary!$T$9),(T101+R101+G101)*Summary!$U$9/(1-Summary!$U$9)))</f>
        <v>0.21365456355443779</v>
      </c>
      <c r="W101" s="63">
        <f t="shared" si="53"/>
        <v>4.6751545635544378</v>
      </c>
      <c r="X101" s="63">
        <f t="shared" si="54"/>
        <v>4.6751545635544378</v>
      </c>
      <c r="Y101" s="43"/>
      <c r="Z101" s="38">
        <f t="shared" si="55"/>
        <v>1.1000000000000001</v>
      </c>
      <c r="AA101" s="38">
        <f t="shared" si="56"/>
        <v>0.20499999999999999</v>
      </c>
      <c r="AB101" s="38">
        <f t="shared" ca="1" si="57"/>
        <v>0.22083278290538946</v>
      </c>
      <c r="AC101" s="38">
        <f t="shared" si="58"/>
        <v>1</v>
      </c>
      <c r="AD101" s="38">
        <f t="shared" si="58"/>
        <v>0.20499999999999999</v>
      </c>
      <c r="AE101" s="38">
        <f t="shared" ca="1" si="59"/>
        <v>0.21817335863697543</v>
      </c>
      <c r="AF101" s="237">
        <f ca="1">((Summary!$N$9*(AA101*AD101)*(A101-$D$3))+(Summary!$M$9*Z101*AC101*(AJ101-EOMONTH(EDATE(A101,-1),0))))/(AK101*AB101*AE101)</f>
        <v>0.99940918340487772</v>
      </c>
      <c r="AG101" s="88">
        <f>IF($A102="","",Summary!$Q$9)</f>
        <v>0</v>
      </c>
      <c r="AH101" s="88">
        <f>IF($A102="","",IF(Summary!$R$9="Y",VLOOKUP($A101,Summary!$AD$6:$AF$9,3)+'Escalating commodity'!E114,'Escalating commodity'!E114))</f>
        <v>7.0699999999999999E-2</v>
      </c>
      <c r="AI101" s="88">
        <f t="shared" si="74"/>
        <v>7.0699999999999999E-2</v>
      </c>
      <c r="AJ101" s="236">
        <f t="shared" si="60"/>
        <v>39828.5</v>
      </c>
      <c r="AK101" s="58">
        <f t="shared" ca="1" si="61"/>
        <v>2788</v>
      </c>
      <c r="AL101" s="26">
        <f ca="1">IF($A102="","",_xll.SPRDOPT(P101,X101,AI101,0,AB101,AE101,AF101,AK101,$AJ$2,0))</f>
        <v>0.13192141182650824</v>
      </c>
      <c r="AM101" s="89">
        <f t="shared" si="62"/>
        <v>0.11814543644556295</v>
      </c>
      <c r="AN101" s="89">
        <f t="shared" ca="1" si="63"/>
        <v>1.3775975380945285E-2</v>
      </c>
      <c r="AO101" s="3">
        <f t="shared" si="64"/>
        <v>31</v>
      </c>
      <c r="AP101" s="33">
        <f t="shared" si="65"/>
        <v>39814</v>
      </c>
      <c r="AQ101" s="58">
        <f t="shared" ca="1" si="66"/>
        <v>2788</v>
      </c>
      <c r="AR101" s="38">
        <f>'ANR OK vs ML7'!AR101</f>
        <v>0.1</v>
      </c>
      <c r="AS101" s="35">
        <f t="shared" ca="1" si="67"/>
        <v>0.4748087745219946</v>
      </c>
      <c r="AT101" s="3">
        <f t="shared" si="68"/>
        <v>1</v>
      </c>
      <c r="AU101" s="3">
        <f t="shared" si="69"/>
        <v>31</v>
      </c>
      <c r="AW101" s="32">
        <f t="shared" ca="1" si="70"/>
        <v>147428.77378671427</v>
      </c>
      <c r="AX101" s="32">
        <f t="shared" si="71"/>
        <v>132033.43249973888</v>
      </c>
      <c r="AY101" s="32">
        <f t="shared" ca="1" si="72"/>
        <v>15395.341286975403</v>
      </c>
      <c r="BA101" s="32">
        <f ca="1">IF($A102="","",F101*Summary!$Q$9)</f>
        <v>0</v>
      </c>
      <c r="BC101" s="256">
        <f t="shared" ca="1" si="75"/>
        <v>62690.632281133505</v>
      </c>
    </row>
    <row r="102" spans="1:55">
      <c r="A102" s="67">
        <f t="shared" si="73"/>
        <v>39845</v>
      </c>
      <c r="B102" s="69">
        <f t="shared" si="76"/>
        <v>36050</v>
      </c>
      <c r="C102" s="71"/>
      <c r="D102" s="69">
        <f t="shared" si="38"/>
        <v>36050</v>
      </c>
      <c r="E102" s="70">
        <f t="shared" si="39"/>
        <v>1009400</v>
      </c>
      <c r="F102" s="70">
        <f t="shared" ca="1" si="40"/>
        <v>475319.05163525435</v>
      </c>
      <c r="G102" s="63">
        <f t="shared" si="41"/>
        <v>4.4690000000000003</v>
      </c>
      <c r="H102" s="64">
        <f t="shared" si="42"/>
        <v>4.4690000000000003</v>
      </c>
      <c r="I102" s="43"/>
      <c r="J102" s="63">
        <f t="shared" si="43"/>
        <v>0.27500000000000002</v>
      </c>
      <c r="K102" s="64">
        <f t="shared" si="44"/>
        <v>0.27500000000000002</v>
      </c>
      <c r="L102" s="63">
        <f t="shared" si="45"/>
        <v>0</v>
      </c>
      <c r="M102" s="64">
        <f t="shared" si="46"/>
        <v>0</v>
      </c>
      <c r="N102" s="65"/>
      <c r="O102" s="63">
        <f t="shared" si="47"/>
        <v>4.7440000000000007</v>
      </c>
      <c r="P102" s="63">
        <f t="shared" si="48"/>
        <v>4.7440000000000007</v>
      </c>
      <c r="Q102" s="66"/>
      <c r="R102" s="63">
        <f t="shared" si="49"/>
        <v>-0.14000000000000001</v>
      </c>
      <c r="S102" s="64">
        <f t="shared" si="50"/>
        <v>-0.14000000000000001</v>
      </c>
      <c r="T102" s="63">
        <f t="shared" si="51"/>
        <v>0.01</v>
      </c>
      <c r="U102" s="64">
        <f t="shared" si="52"/>
        <v>0.01</v>
      </c>
      <c r="V102" s="90">
        <f>IF($A103="","",IF(AND(MONTH(A102)&gt;3,MONTH(A102)&lt;11),(T102+R102+G102)*Summary!$T$9/(1-Summary!$T$9),(T102+R102+G102)*Summary!$U$9/(1-Summary!$U$9)))</f>
        <v>0.20778822173320757</v>
      </c>
      <c r="W102" s="63">
        <f t="shared" si="53"/>
        <v>4.5467882217332081</v>
      </c>
      <c r="X102" s="63">
        <f t="shared" si="54"/>
        <v>4.5467882217332081</v>
      </c>
      <c r="Y102" s="43"/>
      <c r="Z102" s="38">
        <f t="shared" si="55"/>
        <v>1.1000000000000001</v>
      </c>
      <c r="AA102" s="38">
        <f t="shared" si="56"/>
        <v>0.20300000000000001</v>
      </c>
      <c r="AB102" s="38">
        <f t="shared" ca="1" si="57"/>
        <v>0.21733117915552824</v>
      </c>
      <c r="AC102" s="38">
        <f t="shared" si="58"/>
        <v>1</v>
      </c>
      <c r="AD102" s="38">
        <f t="shared" si="58"/>
        <v>0.20300000000000001</v>
      </c>
      <c r="AE102" s="38">
        <f t="shared" ca="1" si="59"/>
        <v>0.21491839942355789</v>
      </c>
      <c r="AF102" s="237">
        <f ca="1">((Summary!$N$9*(AA102*AD102)*(A102-$D$3))+(Summary!$M$9*Z102*AC102*(AJ102-EOMONTH(EDATE(A102,-1),0))))/(AK102*AB102*AE102)</f>
        <v>0.99944243282196121</v>
      </c>
      <c r="AG102" s="88">
        <f>IF($A103="","",Summary!$Q$9)</f>
        <v>0</v>
      </c>
      <c r="AH102" s="88">
        <f>IF($A103="","",IF(Summary!$R$9="Y",VLOOKUP($A102,Summary!$AD$6:$AF$9,3)+'Escalating commodity'!E115,'Escalating commodity'!E115))</f>
        <v>7.0699999999999999E-2</v>
      </c>
      <c r="AI102" s="88">
        <f t="shared" si="74"/>
        <v>7.0699999999999999E-2</v>
      </c>
      <c r="AJ102" s="236">
        <f t="shared" si="60"/>
        <v>39858</v>
      </c>
      <c r="AK102" s="58">
        <f t="shared" ca="1" si="61"/>
        <v>2819</v>
      </c>
      <c r="AL102" s="26">
        <f ca="1">IF($A103="","",_xll.SPRDOPT(P102,X102,AI102,0,AB102,AE102,AF102,AK102,$AJ$2,0))</f>
        <v>0.13730310457202083</v>
      </c>
      <c r="AM102" s="89">
        <f t="shared" si="62"/>
        <v>0.12651177826679261</v>
      </c>
      <c r="AN102" s="89">
        <f t="shared" ca="1" si="63"/>
        <v>1.0791326305228222E-2</v>
      </c>
      <c r="AO102" s="3">
        <f t="shared" si="64"/>
        <v>28</v>
      </c>
      <c r="AP102" s="33">
        <f t="shared" si="65"/>
        <v>39845</v>
      </c>
      <c r="AQ102" s="58">
        <f t="shared" ca="1" si="66"/>
        <v>2819</v>
      </c>
      <c r="AR102" s="38">
        <f>'ANR OK vs ML7'!AR102</f>
        <v>0.1</v>
      </c>
      <c r="AS102" s="35">
        <f t="shared" ca="1" si="67"/>
        <v>0.47089266062537583</v>
      </c>
      <c r="AT102" s="3">
        <f t="shared" si="68"/>
        <v>1</v>
      </c>
      <c r="AU102" s="3">
        <f t="shared" si="69"/>
        <v>28</v>
      </c>
      <c r="AW102" s="32">
        <f t="shared" ca="1" si="70"/>
        <v>138593.75375499783</v>
      </c>
      <c r="AX102" s="32">
        <f t="shared" si="71"/>
        <v>127700.98898250046</v>
      </c>
      <c r="AY102" s="32">
        <f t="shared" ca="1" si="72"/>
        <v>10892.764772497367</v>
      </c>
      <c r="BA102" s="32">
        <f ca="1">IF($A103="","",F102*Summary!$Q$9)</f>
        <v>0</v>
      </c>
      <c r="BC102" s="256">
        <f t="shared" ca="1" si="75"/>
        <v>60133.458466461445</v>
      </c>
    </row>
    <row r="103" spans="1:55">
      <c r="A103" s="67">
        <f t="shared" si="73"/>
        <v>39873</v>
      </c>
      <c r="B103" s="69">
        <f t="shared" si="76"/>
        <v>36050</v>
      </c>
      <c r="C103" s="71"/>
      <c r="D103" s="69">
        <f t="shared" si="38"/>
        <v>36050</v>
      </c>
      <c r="E103" s="70">
        <f t="shared" si="39"/>
        <v>1117550</v>
      </c>
      <c r="F103" s="70">
        <f t="shared" ca="1" si="40"/>
        <v>522324.20105397014</v>
      </c>
      <c r="G103" s="63">
        <f t="shared" si="41"/>
        <v>4.33</v>
      </c>
      <c r="H103" s="64">
        <f t="shared" si="42"/>
        <v>4.33</v>
      </c>
      <c r="I103" s="43"/>
      <c r="J103" s="63">
        <f t="shared" si="43"/>
        <v>0.27500000000000002</v>
      </c>
      <c r="K103" s="64">
        <f t="shared" si="44"/>
        <v>0.27500000000000002</v>
      </c>
      <c r="L103" s="63">
        <f t="shared" si="45"/>
        <v>0</v>
      </c>
      <c r="M103" s="64">
        <f t="shared" si="46"/>
        <v>0</v>
      </c>
      <c r="N103" s="65"/>
      <c r="O103" s="63">
        <f t="shared" si="47"/>
        <v>4.6050000000000004</v>
      </c>
      <c r="P103" s="63">
        <f t="shared" si="48"/>
        <v>4.6050000000000004</v>
      </c>
      <c r="Q103" s="66"/>
      <c r="R103" s="63">
        <f t="shared" si="49"/>
        <v>-0.14249999999999999</v>
      </c>
      <c r="S103" s="64">
        <f t="shared" si="50"/>
        <v>-0.14249999999999999</v>
      </c>
      <c r="T103" s="63">
        <f t="shared" si="51"/>
        <v>0.01</v>
      </c>
      <c r="U103" s="64">
        <f t="shared" si="52"/>
        <v>0.01</v>
      </c>
      <c r="V103" s="90">
        <f>IF($A104="","",IF(AND(MONTH(A103)&gt;3,MONTH(A103)&lt;11),(T103+R103+G103)*Summary!$T$9/(1-Summary!$T$9),(T103+R103+G103)*Summary!$U$9/(1-Summary!$U$9)))</f>
        <v>0.20101199832337838</v>
      </c>
      <c r="W103" s="63">
        <f t="shared" si="53"/>
        <v>4.3985119983233778</v>
      </c>
      <c r="X103" s="63">
        <f t="shared" si="54"/>
        <v>4.3985119983233778</v>
      </c>
      <c r="Y103" s="43"/>
      <c r="Z103" s="38">
        <f t="shared" si="55"/>
        <v>0.75</v>
      </c>
      <c r="AA103" s="38">
        <f t="shared" si="56"/>
        <v>0.193</v>
      </c>
      <c r="AB103" s="38">
        <f t="shared" ca="1" si="57"/>
        <v>0.20080965548989368</v>
      </c>
      <c r="AC103" s="38">
        <f t="shared" si="58"/>
        <v>0.75</v>
      </c>
      <c r="AD103" s="38">
        <f t="shared" si="58"/>
        <v>0.193</v>
      </c>
      <c r="AE103" s="38">
        <f t="shared" ca="1" si="59"/>
        <v>0.20080965548989368</v>
      </c>
      <c r="AF103" s="237">
        <f ca="1">((Summary!$N$9*(AA103*AD103)*(A103-$D$3))+(Summary!$M$9*Z103*AC103*(AJ103-EOMONTH(EDATE(A103,-1),0))))/(AK103*AB103*AE103)</f>
        <v>0.99990759447183253</v>
      </c>
      <c r="AG103" s="88">
        <f>IF($A104="","",Summary!$Q$9)</f>
        <v>0</v>
      </c>
      <c r="AH103" s="88">
        <f>IF($A104="","",IF(Summary!$R$9="Y",VLOOKUP($A103,Summary!$AD$6:$AF$9,3)+'Escalating commodity'!E116,'Escalating commodity'!E116))</f>
        <v>7.0699999999999999E-2</v>
      </c>
      <c r="AI103" s="88">
        <f t="shared" si="74"/>
        <v>7.0699999999999999E-2</v>
      </c>
      <c r="AJ103" s="236">
        <f t="shared" si="60"/>
        <v>39887.5</v>
      </c>
      <c r="AK103" s="58">
        <f t="shared" ca="1" si="61"/>
        <v>2847</v>
      </c>
      <c r="AL103" s="26">
        <f ca="1">IF($A104="","",_xll.SPRDOPT(P103,X103,AI103,0,AB103,AE103,AF103,AK103,$AJ$2,0))</f>
        <v>0.13718623077053996</v>
      </c>
      <c r="AM103" s="89">
        <f t="shared" si="62"/>
        <v>0.13578800167662264</v>
      </c>
      <c r="AN103" s="89">
        <f t="shared" ca="1" si="63"/>
        <v>1.3982290939173192E-3</v>
      </c>
      <c r="AO103" s="3">
        <f t="shared" si="64"/>
        <v>31</v>
      </c>
      <c r="AP103" s="33">
        <f t="shared" si="65"/>
        <v>39873</v>
      </c>
      <c r="AQ103" s="58">
        <f t="shared" ca="1" si="66"/>
        <v>2847</v>
      </c>
      <c r="AR103" s="38">
        <f>'ANR OK vs ML7'!AR103</f>
        <v>0.1</v>
      </c>
      <c r="AS103" s="35">
        <f t="shared" ca="1" si="67"/>
        <v>0.4673832947554652</v>
      </c>
      <c r="AT103" s="3">
        <f t="shared" si="68"/>
        <v>1</v>
      </c>
      <c r="AU103" s="3">
        <f t="shared" si="69"/>
        <v>31</v>
      </c>
      <c r="AW103" s="32">
        <f t="shared" ca="1" si="70"/>
        <v>153312.47219761694</v>
      </c>
      <c r="AX103" s="32">
        <f t="shared" si="71"/>
        <v>151749.88127370962</v>
      </c>
      <c r="AY103" s="32">
        <f t="shared" ca="1" si="72"/>
        <v>1562.5909239073001</v>
      </c>
      <c r="BA103" s="32">
        <f ca="1">IF($A104="","",F103*Summary!$Q$9)</f>
        <v>0</v>
      </c>
      <c r="BC103" s="256">
        <f t="shared" ca="1" si="75"/>
        <v>70925.359488457078</v>
      </c>
    </row>
    <row r="104" spans="1:55">
      <c r="A104" s="67">
        <f t="shared" si="73"/>
        <v>39904</v>
      </c>
      <c r="B104" s="69">
        <f t="shared" si="76"/>
        <v>36050</v>
      </c>
      <c r="C104" s="71"/>
      <c r="D104" s="69">
        <f t="shared" si="38"/>
        <v>36050</v>
      </c>
      <c r="E104" s="70">
        <f t="shared" si="39"/>
        <v>1081500</v>
      </c>
      <c r="F104" s="70">
        <f t="shared" ca="1" si="40"/>
        <v>501305.99111109838</v>
      </c>
      <c r="G104" s="63">
        <f t="shared" si="41"/>
        <v>4.1550000000000002</v>
      </c>
      <c r="H104" s="64">
        <f t="shared" si="42"/>
        <v>4.1550000000000002</v>
      </c>
      <c r="I104" s="43"/>
      <c r="J104" s="63">
        <f t="shared" si="43"/>
        <v>0.18</v>
      </c>
      <c r="K104" s="64">
        <f t="shared" si="44"/>
        <v>0.18</v>
      </c>
      <c r="L104" s="63">
        <f t="shared" si="45"/>
        <v>0</v>
      </c>
      <c r="M104" s="64">
        <f t="shared" si="46"/>
        <v>0</v>
      </c>
      <c r="N104" s="65"/>
      <c r="O104" s="63">
        <f t="shared" si="47"/>
        <v>4.335</v>
      </c>
      <c r="P104" s="63">
        <f t="shared" si="48"/>
        <v>4.335</v>
      </c>
      <c r="Q104" s="66"/>
      <c r="R104" s="63">
        <f t="shared" si="49"/>
        <v>-0.14000000000000001</v>
      </c>
      <c r="S104" s="64">
        <f t="shared" si="50"/>
        <v>-0.14000000000000001</v>
      </c>
      <c r="T104" s="63">
        <f t="shared" si="51"/>
        <v>-0.01</v>
      </c>
      <c r="U104" s="64">
        <f t="shared" si="52"/>
        <v>-0.01</v>
      </c>
      <c r="V104" s="90">
        <f>IF($A105="","",IF(AND(MONTH(A104)&gt;3,MONTH(A104)&lt;11),(T104+R104+G104)*Summary!$T$9/(1-Summary!$T$9),(T104+R104+G104)*Summary!$U$9/(1-Summary!$U$9)))</f>
        <v>0.19179346117573087</v>
      </c>
      <c r="W104" s="63">
        <f t="shared" si="53"/>
        <v>4.1967934611757309</v>
      </c>
      <c r="X104" s="63">
        <f t="shared" si="54"/>
        <v>4.1967934611757309</v>
      </c>
      <c r="Y104" s="43"/>
      <c r="Z104" s="38">
        <f t="shared" si="55"/>
        <v>0.45</v>
      </c>
      <c r="AA104" s="38">
        <f t="shared" si="56"/>
        <v>0.19</v>
      </c>
      <c r="AB104" s="38">
        <f t="shared" ca="1" si="57"/>
        <v>0.19278994751748416</v>
      </c>
      <c r="AC104" s="38">
        <f t="shared" si="58"/>
        <v>0.4</v>
      </c>
      <c r="AD104" s="38">
        <f t="shared" si="58"/>
        <v>0.19</v>
      </c>
      <c r="AE104" s="38">
        <f t="shared" ca="1" si="59"/>
        <v>0.19221460889363595</v>
      </c>
      <c r="AF104" s="237">
        <f ca="1">((Summary!$N$9*(AA104*AD104)*(A104-$D$3))+(Summary!$M$9*Z104*AC104*(AJ104-EOMONTH(EDATE(A104,-1),0))))/(AK104*AB104*AE104)</f>
        <v>0.99973120662534498</v>
      </c>
      <c r="AG104" s="88">
        <f>IF($A105="","",Summary!$Q$9)</f>
        <v>0</v>
      </c>
      <c r="AH104" s="88">
        <f>IF($A105="","",IF(Summary!$R$9="Y",VLOOKUP($A104,Summary!$AD$6:$AF$9,3)+'Escalating commodity'!E117,'Escalating commodity'!E117))</f>
        <v>7.0699999999999999E-2</v>
      </c>
      <c r="AI104" s="88">
        <f t="shared" si="74"/>
        <v>7.0699999999999999E-2</v>
      </c>
      <c r="AJ104" s="236">
        <f t="shared" si="60"/>
        <v>39918</v>
      </c>
      <c r="AK104" s="58">
        <f t="shared" ca="1" si="61"/>
        <v>2878</v>
      </c>
      <c r="AL104" s="26">
        <f ca="1">IF($A105="","",_xll.SPRDOPT(P104,X104,AI104,0,AB104,AE104,AF104,AK104,$AJ$2,0))</f>
        <v>7.5461218212788783E-2</v>
      </c>
      <c r="AM104" s="89">
        <f t="shared" si="62"/>
        <v>6.7506538824269033E-2</v>
      </c>
      <c r="AN104" s="89">
        <f t="shared" ca="1" si="63"/>
        <v>7.9546793885197503E-3</v>
      </c>
      <c r="AO104" s="3">
        <f t="shared" si="64"/>
        <v>30</v>
      </c>
      <c r="AP104" s="33">
        <f t="shared" si="65"/>
        <v>39904</v>
      </c>
      <c r="AQ104" s="58">
        <f t="shared" ca="1" si="66"/>
        <v>2878</v>
      </c>
      <c r="AR104" s="38">
        <f>'ANR OK vs ML7'!AR104</f>
        <v>0.1</v>
      </c>
      <c r="AS104" s="35">
        <f t="shared" ca="1" si="67"/>
        <v>0.46352842451326709</v>
      </c>
      <c r="AT104" s="3">
        <f t="shared" si="68"/>
        <v>1</v>
      </c>
      <c r="AU104" s="3">
        <f t="shared" si="69"/>
        <v>30</v>
      </c>
      <c r="AW104" s="32">
        <f t="shared" ca="1" si="70"/>
        <v>81611.307497131071</v>
      </c>
      <c r="AX104" s="32">
        <f t="shared" si="71"/>
        <v>73008.321738446961</v>
      </c>
      <c r="AY104" s="32">
        <f t="shared" ca="1" si="72"/>
        <v>8602.9857586841099</v>
      </c>
      <c r="BA104" s="32">
        <f ca="1">IF($A105="","",F104*Summary!$Q$9)</f>
        <v>0</v>
      </c>
      <c r="BC104" s="256">
        <f t="shared" ca="1" si="75"/>
        <v>33841.432351780029</v>
      </c>
    </row>
    <row r="105" spans="1:55">
      <c r="A105" s="67">
        <f t="shared" si="73"/>
        <v>39934</v>
      </c>
      <c r="B105" s="69">
        <f t="shared" si="76"/>
        <v>36050</v>
      </c>
      <c r="C105" s="71"/>
      <c r="D105" s="69">
        <f t="shared" si="38"/>
        <v>36050</v>
      </c>
      <c r="E105" s="70">
        <f t="shared" si="39"/>
        <v>1117550</v>
      </c>
      <c r="F105" s="70">
        <f t="shared" ca="1" si="40"/>
        <v>513880.98235671135</v>
      </c>
      <c r="G105" s="63">
        <f t="shared" si="41"/>
        <v>4.125</v>
      </c>
      <c r="H105" s="64">
        <f t="shared" si="42"/>
        <v>4.125</v>
      </c>
      <c r="I105" s="43"/>
      <c r="J105" s="63">
        <f t="shared" si="43"/>
        <v>0.18</v>
      </c>
      <c r="K105" s="64">
        <f t="shared" si="44"/>
        <v>0.18</v>
      </c>
      <c r="L105" s="63">
        <f t="shared" si="45"/>
        <v>0</v>
      </c>
      <c r="M105" s="64">
        <f t="shared" si="46"/>
        <v>0</v>
      </c>
      <c r="N105" s="65"/>
      <c r="O105" s="63">
        <f t="shared" si="47"/>
        <v>4.3049999999999997</v>
      </c>
      <c r="P105" s="63">
        <f t="shared" si="48"/>
        <v>4.3049999999999997</v>
      </c>
      <c r="Q105" s="66"/>
      <c r="R105" s="63">
        <f t="shared" si="49"/>
        <v>-0.14000000000000001</v>
      </c>
      <c r="S105" s="64">
        <f t="shared" si="50"/>
        <v>-0.14000000000000001</v>
      </c>
      <c r="T105" s="63">
        <f t="shared" si="51"/>
        <v>-0.01</v>
      </c>
      <c r="U105" s="64">
        <f t="shared" si="52"/>
        <v>-0.01</v>
      </c>
      <c r="V105" s="90">
        <f>IF($A106="","",IF(AND(MONTH(A105)&gt;3,MONTH(A105)&lt;11),(T105+R105+G105)*Summary!$T$9/(1-Summary!$T$9),(T105+R105+G105)*Summary!$U$9/(1-Summary!$U$9)))</f>
        <v>0.19035680603583777</v>
      </c>
      <c r="W105" s="63">
        <f t="shared" si="53"/>
        <v>4.1653568060358381</v>
      </c>
      <c r="X105" s="63">
        <f t="shared" si="54"/>
        <v>4.1653568060358381</v>
      </c>
      <c r="Y105" s="43"/>
      <c r="Z105" s="38">
        <f t="shared" si="55"/>
        <v>0.5</v>
      </c>
      <c r="AA105" s="38">
        <f t="shared" si="56"/>
        <v>0.19</v>
      </c>
      <c r="AB105" s="38">
        <f t="shared" ca="1" si="57"/>
        <v>0.19350696364567158</v>
      </c>
      <c r="AC105" s="38">
        <f t="shared" si="58"/>
        <v>0.4</v>
      </c>
      <c r="AD105" s="38">
        <f t="shared" si="58"/>
        <v>0.19</v>
      </c>
      <c r="AE105" s="38">
        <f t="shared" ca="1" si="59"/>
        <v>0.19226344904242496</v>
      </c>
      <c r="AF105" s="237">
        <f ca="1">((Summary!$N$9*(AA105*AD105)*(A105-$D$3))+(Summary!$M$9*Z105*AC105*(AJ105-EOMONTH(EDATE(A105,-1),0))))/(AK105*AB105*AE105)</f>
        <v>0.99920738508114726</v>
      </c>
      <c r="AG105" s="88">
        <f>IF($A106="","",Summary!$Q$9)</f>
        <v>0</v>
      </c>
      <c r="AH105" s="88">
        <f>IF($A106="","",IF(Summary!$R$9="Y",VLOOKUP($A105,Summary!$AD$6:$AF$9,3)+'Escalating commodity'!E118,'Escalating commodity'!E118))</f>
        <v>7.0699999999999999E-2</v>
      </c>
      <c r="AI105" s="88">
        <f t="shared" si="74"/>
        <v>7.0699999999999999E-2</v>
      </c>
      <c r="AJ105" s="236">
        <f t="shared" si="60"/>
        <v>39948.5</v>
      </c>
      <c r="AK105" s="58">
        <f t="shared" ca="1" si="61"/>
        <v>2908</v>
      </c>
      <c r="AL105" s="26">
        <f ca="1">IF($A106="","",_xll.SPRDOPT(P105,X105,AI105,0,AB105,AE105,AF105,AK105,$AJ$2,0))</f>
        <v>8.6137757802208531E-2</v>
      </c>
      <c r="AM105" s="89">
        <f t="shared" si="62"/>
        <v>6.8943193964161584E-2</v>
      </c>
      <c r="AN105" s="89">
        <f t="shared" ca="1" si="63"/>
        <v>1.7194563838046947E-2</v>
      </c>
      <c r="AO105" s="3">
        <f t="shared" si="64"/>
        <v>31</v>
      </c>
      <c r="AP105" s="33">
        <f t="shared" si="65"/>
        <v>39934</v>
      </c>
      <c r="AQ105" s="58">
        <f t="shared" ca="1" si="66"/>
        <v>2908</v>
      </c>
      <c r="AR105" s="38">
        <f>'ANR OK vs ML7'!AR105</f>
        <v>0.1</v>
      </c>
      <c r="AS105" s="35">
        <f t="shared" ca="1" si="67"/>
        <v>0.45982817981898916</v>
      </c>
      <c r="AT105" s="3">
        <f t="shared" si="68"/>
        <v>1</v>
      </c>
      <c r="AU105" s="3">
        <f t="shared" si="69"/>
        <v>31</v>
      </c>
      <c r="AW105" s="32">
        <f t="shared" ca="1" si="70"/>
        <v>96263.251231858143</v>
      </c>
      <c r="AX105" s="32">
        <f t="shared" si="71"/>
        <v>77047.466414648778</v>
      </c>
      <c r="AY105" s="32">
        <f t="shared" ca="1" si="72"/>
        <v>19215.784817209365</v>
      </c>
      <c r="BA105" s="32">
        <f ca="1">IF($A106="","",F105*Summary!$Q$9)</f>
        <v>0</v>
      </c>
      <c r="BC105" s="256">
        <f t="shared" ca="1" si="75"/>
        <v>35428.596241112646</v>
      </c>
    </row>
    <row r="106" spans="1:55">
      <c r="A106" s="67">
        <f t="shared" si="73"/>
        <v>39965</v>
      </c>
      <c r="B106" s="69">
        <f t="shared" si="76"/>
        <v>36050</v>
      </c>
      <c r="C106" s="71"/>
      <c r="D106" s="69">
        <f t="shared" si="38"/>
        <v>36050</v>
      </c>
      <c r="E106" s="70">
        <f t="shared" si="39"/>
        <v>1081500</v>
      </c>
      <c r="F106" s="70">
        <f t="shared" ca="1" si="40"/>
        <v>493202.52566060564</v>
      </c>
      <c r="G106" s="63">
        <f t="shared" si="41"/>
        <v>4.1950000000000003</v>
      </c>
      <c r="H106" s="64">
        <f t="shared" si="42"/>
        <v>4.1950000000000003</v>
      </c>
      <c r="I106" s="43"/>
      <c r="J106" s="63">
        <f t="shared" si="43"/>
        <v>0.18</v>
      </c>
      <c r="K106" s="64">
        <f t="shared" si="44"/>
        <v>0.18</v>
      </c>
      <c r="L106" s="63">
        <f t="shared" si="45"/>
        <v>0</v>
      </c>
      <c r="M106" s="64">
        <f t="shared" si="46"/>
        <v>0</v>
      </c>
      <c r="N106" s="65"/>
      <c r="O106" s="63">
        <f t="shared" si="47"/>
        <v>4.375</v>
      </c>
      <c r="P106" s="63">
        <f t="shared" si="48"/>
        <v>4.375</v>
      </c>
      <c r="Q106" s="66"/>
      <c r="R106" s="63">
        <f t="shared" si="49"/>
        <v>-0.14000000000000001</v>
      </c>
      <c r="S106" s="64">
        <f t="shared" si="50"/>
        <v>-0.14000000000000001</v>
      </c>
      <c r="T106" s="63">
        <f t="shared" si="51"/>
        <v>-0.01</v>
      </c>
      <c r="U106" s="64">
        <f t="shared" si="52"/>
        <v>-0.01</v>
      </c>
      <c r="V106" s="90">
        <f>IF($A107="","",IF(AND(MONTH(A106)&gt;3,MONTH(A106)&lt;11),(T106+R106+G106)*Summary!$T$9/(1-Summary!$T$9),(T106+R106+G106)*Summary!$U$9/(1-Summary!$U$9)))</f>
        <v>0.19370900136225502</v>
      </c>
      <c r="W106" s="63">
        <f t="shared" si="53"/>
        <v>4.2387090013622553</v>
      </c>
      <c r="X106" s="63">
        <f t="shared" si="54"/>
        <v>4.2387090013622553</v>
      </c>
      <c r="Y106" s="43"/>
      <c r="Z106" s="38">
        <f t="shared" si="55"/>
        <v>0.5</v>
      </c>
      <c r="AA106" s="38">
        <f t="shared" si="56"/>
        <v>0.19</v>
      </c>
      <c r="AB106" s="38">
        <f t="shared" ca="1" si="57"/>
        <v>0.19336035604071808</v>
      </c>
      <c r="AC106" s="38">
        <f t="shared" si="58"/>
        <v>0.4</v>
      </c>
      <c r="AD106" s="38">
        <f t="shared" si="58"/>
        <v>0.19</v>
      </c>
      <c r="AE106" s="38">
        <f t="shared" ca="1" si="59"/>
        <v>0.19216890325091293</v>
      </c>
      <c r="AF106" s="237">
        <f ca="1">((Summary!$N$9*(AA106*AD106)*(A106-$D$3))+(Summary!$M$9*Z106*AC106*(AJ106-EOMONTH(EDATE(A106,-1),0))))/(AK106*AB106*AE106)</f>
        <v>0.99923514589030671</v>
      </c>
      <c r="AG106" s="88">
        <f>IF($A107="","",Summary!$Q$9)</f>
        <v>0</v>
      </c>
      <c r="AH106" s="88">
        <f>IF($A107="","",IF(Summary!$R$9="Y",VLOOKUP($A106,Summary!$AD$6:$AF$9,3)+'Escalating commodity'!E119,'Escalating commodity'!E119))</f>
        <v>7.0699999999999999E-2</v>
      </c>
      <c r="AI106" s="88">
        <f t="shared" si="74"/>
        <v>7.0699999999999999E-2</v>
      </c>
      <c r="AJ106" s="236">
        <f t="shared" si="60"/>
        <v>39979</v>
      </c>
      <c r="AK106" s="58">
        <f t="shared" ca="1" si="61"/>
        <v>2939</v>
      </c>
      <c r="AL106" s="26">
        <f ca="1">IF($A107="","",_xll.SPRDOPT(P106,X106,AI106,0,AB106,AE106,AF106,AK106,$AJ$2,0))</f>
        <v>8.3655194681400452E-2</v>
      </c>
      <c r="AM106" s="89">
        <f t="shared" si="62"/>
        <v>6.5590998637744743E-2</v>
      </c>
      <c r="AN106" s="89">
        <f t="shared" ca="1" si="63"/>
        <v>1.8064196043655709E-2</v>
      </c>
      <c r="AO106" s="3">
        <f t="shared" si="64"/>
        <v>30</v>
      </c>
      <c r="AP106" s="33">
        <f t="shared" si="65"/>
        <v>39965</v>
      </c>
      <c r="AQ106" s="58">
        <f t="shared" ca="1" si="66"/>
        <v>2939</v>
      </c>
      <c r="AR106" s="38">
        <f>'ANR OK vs ML7'!AR106</f>
        <v>0.1</v>
      </c>
      <c r="AS106" s="35">
        <f t="shared" ca="1" si="67"/>
        <v>0.45603562243236767</v>
      </c>
      <c r="AT106" s="3">
        <f t="shared" si="68"/>
        <v>1</v>
      </c>
      <c r="AU106" s="3">
        <f t="shared" si="69"/>
        <v>30</v>
      </c>
      <c r="AW106" s="32">
        <f t="shared" ca="1" si="70"/>
        <v>90473.093047934584</v>
      </c>
      <c r="AX106" s="32">
        <f t="shared" si="71"/>
        <v>70936.665026720933</v>
      </c>
      <c r="AY106" s="32">
        <f t="shared" ca="1" si="72"/>
        <v>19536.428021213647</v>
      </c>
      <c r="BA106" s="32">
        <f ca="1">IF($A107="","",F106*Summary!$Q$9)</f>
        <v>0</v>
      </c>
      <c r="BC106" s="256">
        <f t="shared" ca="1" si="75"/>
        <v>32349.64618873705</v>
      </c>
    </row>
    <row r="107" spans="1:55">
      <c r="A107" s="67">
        <f t="shared" si="73"/>
        <v>39995</v>
      </c>
      <c r="B107" s="69">
        <f t="shared" si="76"/>
        <v>36050</v>
      </c>
      <c r="C107" s="71"/>
      <c r="D107" s="69">
        <f t="shared" si="38"/>
        <v>36050</v>
      </c>
      <c r="E107" s="70">
        <f t="shared" si="39"/>
        <v>1117550</v>
      </c>
      <c r="F107" s="70">
        <f t="shared" ca="1" si="40"/>
        <v>505574.24583245139</v>
      </c>
      <c r="G107" s="63">
        <f t="shared" si="41"/>
        <v>4.25</v>
      </c>
      <c r="H107" s="64">
        <f t="shared" si="42"/>
        <v>4.25</v>
      </c>
      <c r="I107" s="43"/>
      <c r="J107" s="63">
        <f t="shared" si="43"/>
        <v>0.18</v>
      </c>
      <c r="K107" s="64">
        <f t="shared" si="44"/>
        <v>0.18</v>
      </c>
      <c r="L107" s="63">
        <f t="shared" si="45"/>
        <v>0</v>
      </c>
      <c r="M107" s="64">
        <f t="shared" si="46"/>
        <v>0</v>
      </c>
      <c r="N107" s="65"/>
      <c r="O107" s="63">
        <f t="shared" si="47"/>
        <v>4.43</v>
      </c>
      <c r="P107" s="63">
        <f t="shared" si="48"/>
        <v>4.43</v>
      </c>
      <c r="Q107" s="66"/>
      <c r="R107" s="63">
        <f t="shared" si="49"/>
        <v>-0.14000000000000001</v>
      </c>
      <c r="S107" s="64">
        <f t="shared" si="50"/>
        <v>-0.14000000000000001</v>
      </c>
      <c r="T107" s="63">
        <f t="shared" si="51"/>
        <v>-0.01</v>
      </c>
      <c r="U107" s="64">
        <f t="shared" si="52"/>
        <v>-0.01</v>
      </c>
      <c r="V107" s="90">
        <f>IF($A108="","",IF(AND(MONTH(A107)&gt;3,MONTH(A107)&lt;11),(T107+R107+G107)*Summary!$T$9/(1-Summary!$T$9),(T107+R107+G107)*Summary!$U$9/(1-Summary!$U$9)))</f>
        <v>0.19634286911872573</v>
      </c>
      <c r="W107" s="63">
        <f t="shared" si="53"/>
        <v>4.2963428691187255</v>
      </c>
      <c r="X107" s="63">
        <f t="shared" si="54"/>
        <v>4.2963428691187255</v>
      </c>
      <c r="Y107" s="43"/>
      <c r="Z107" s="38">
        <f t="shared" si="55"/>
        <v>0.55000000000000004</v>
      </c>
      <c r="AA107" s="38">
        <f t="shared" si="56"/>
        <v>0.19</v>
      </c>
      <c r="AB107" s="38">
        <f t="shared" ca="1" si="57"/>
        <v>0.19414271660016474</v>
      </c>
      <c r="AC107" s="38">
        <f t="shared" si="58"/>
        <v>0.4</v>
      </c>
      <c r="AD107" s="38">
        <f t="shared" si="58"/>
        <v>0.19</v>
      </c>
      <c r="AE107" s="38">
        <f t="shared" ca="1" si="59"/>
        <v>0.19221721321527865</v>
      </c>
      <c r="AF107" s="237">
        <f ca="1">((Summary!$N$9*(AA107*AD107)*(A107-$D$3))+(Summary!$M$9*Z107*AC107*(AJ107-EOMONTH(EDATE(A107,-1),0))))/(AK107*AB107*AE107)</f>
        <v>0.99837906574961754</v>
      </c>
      <c r="AG107" s="88">
        <f>IF($A108="","",Summary!$Q$9)</f>
        <v>0</v>
      </c>
      <c r="AH107" s="88">
        <f>IF($A108="","",IF(Summary!$R$9="Y",VLOOKUP($A107,Summary!$AD$6:$AF$9,3)+'Escalating commodity'!E120,'Escalating commodity'!E120))</f>
        <v>7.0699999999999999E-2</v>
      </c>
      <c r="AI107" s="88">
        <f t="shared" si="74"/>
        <v>7.0699999999999999E-2</v>
      </c>
      <c r="AJ107" s="236">
        <f t="shared" si="60"/>
        <v>40009.5</v>
      </c>
      <c r="AK107" s="58">
        <f t="shared" ca="1" si="61"/>
        <v>2969</v>
      </c>
      <c r="AL107" s="26">
        <f ca="1">IF($A108="","",_xll.SPRDOPT(P107,X107,AI107,0,AB107,AE107,AF107,AK107,$AJ$2,0))</f>
        <v>9.7186789827195627E-2</v>
      </c>
      <c r="AM107" s="89">
        <f t="shared" si="62"/>
        <v>6.2957130881274179E-2</v>
      </c>
      <c r="AN107" s="89">
        <f t="shared" ca="1" si="63"/>
        <v>3.4229658945921448E-2</v>
      </c>
      <c r="AO107" s="3">
        <f t="shared" si="64"/>
        <v>31</v>
      </c>
      <c r="AP107" s="33">
        <f t="shared" si="65"/>
        <v>39995</v>
      </c>
      <c r="AQ107" s="58">
        <f t="shared" ca="1" si="66"/>
        <v>2969</v>
      </c>
      <c r="AR107" s="38">
        <f>'ANR OK vs ML7'!AR107</f>
        <v>0.1</v>
      </c>
      <c r="AS107" s="35">
        <f t="shared" ca="1" si="67"/>
        <v>0.45239519111668508</v>
      </c>
      <c r="AT107" s="3">
        <f t="shared" si="68"/>
        <v>1</v>
      </c>
      <c r="AU107" s="3">
        <f t="shared" si="69"/>
        <v>31</v>
      </c>
      <c r="AW107" s="32">
        <f t="shared" ca="1" si="70"/>
        <v>108611.09697138247</v>
      </c>
      <c r="AX107" s="32">
        <f t="shared" si="71"/>
        <v>70357.741616367959</v>
      </c>
      <c r="AY107" s="32">
        <f t="shared" ca="1" si="72"/>
        <v>38253.355355014515</v>
      </c>
      <c r="BA107" s="32">
        <f ca="1">IF($A108="","",F107*Summary!$Q$9)</f>
        <v>0</v>
      </c>
      <c r="BC107" s="256">
        <f t="shared" ca="1" si="75"/>
        <v>31829.503965075128</v>
      </c>
    </row>
    <row r="108" spans="1:55">
      <c r="A108" s="67">
        <f t="shared" si="73"/>
        <v>40026</v>
      </c>
      <c r="B108" s="69">
        <f t="shared" si="76"/>
        <v>36050</v>
      </c>
      <c r="C108" s="71"/>
      <c r="D108" s="69">
        <f t="shared" si="38"/>
        <v>36050</v>
      </c>
      <c r="E108" s="70">
        <f t="shared" si="39"/>
        <v>1117550</v>
      </c>
      <c r="F108" s="70">
        <f t="shared" ca="1" si="40"/>
        <v>501404.38538311527</v>
      </c>
      <c r="G108" s="63">
        <f t="shared" si="41"/>
        <v>4.306</v>
      </c>
      <c r="H108" s="64">
        <f t="shared" si="42"/>
        <v>4.306</v>
      </c>
      <c r="I108" s="43"/>
      <c r="J108" s="63">
        <f t="shared" si="43"/>
        <v>0.18</v>
      </c>
      <c r="K108" s="64">
        <f t="shared" si="44"/>
        <v>0.18</v>
      </c>
      <c r="L108" s="63">
        <f t="shared" si="45"/>
        <v>0</v>
      </c>
      <c r="M108" s="64">
        <f t="shared" si="46"/>
        <v>0</v>
      </c>
      <c r="N108" s="65"/>
      <c r="O108" s="63">
        <f t="shared" si="47"/>
        <v>4.4859999999999998</v>
      </c>
      <c r="P108" s="63">
        <f t="shared" si="48"/>
        <v>4.4859999999999998</v>
      </c>
      <c r="Q108" s="66"/>
      <c r="R108" s="63">
        <f t="shared" si="49"/>
        <v>-0.14000000000000001</v>
      </c>
      <c r="S108" s="64">
        <f t="shared" si="50"/>
        <v>-0.14000000000000001</v>
      </c>
      <c r="T108" s="63">
        <f t="shared" si="51"/>
        <v>-0.01</v>
      </c>
      <c r="U108" s="64">
        <f t="shared" si="52"/>
        <v>-0.01</v>
      </c>
      <c r="V108" s="90">
        <f>IF($A109="","",IF(AND(MONTH(A108)&gt;3,MONTH(A108)&lt;11),(T108+R108+G108)*Summary!$T$9/(1-Summary!$T$9),(T108+R108+G108)*Summary!$U$9/(1-Summary!$U$9)))</f>
        <v>0.19902462537985954</v>
      </c>
      <c r="W108" s="63">
        <f t="shared" si="53"/>
        <v>4.3550246253798592</v>
      </c>
      <c r="X108" s="63">
        <f t="shared" si="54"/>
        <v>4.3550246253798592</v>
      </c>
      <c r="Y108" s="43"/>
      <c r="Z108" s="38">
        <f t="shared" si="55"/>
        <v>0.6</v>
      </c>
      <c r="AA108" s="38">
        <f t="shared" si="56"/>
        <v>0.19</v>
      </c>
      <c r="AB108" s="38">
        <f t="shared" ca="1" si="57"/>
        <v>0.19486414070663011</v>
      </c>
      <c r="AC108" s="38">
        <f t="shared" si="58"/>
        <v>0.5</v>
      </c>
      <c r="AD108" s="38">
        <f t="shared" si="58"/>
        <v>0.19</v>
      </c>
      <c r="AE108" s="38">
        <f t="shared" ca="1" si="59"/>
        <v>0.19340036194381849</v>
      </c>
      <c r="AF108" s="237">
        <f ca="1">((Summary!$N$9*(AA108*AD108)*(A108-$D$3))+(Summary!$M$9*Z108*AC108*(AJ108-EOMONTH(EDATE(A108,-1),0))))/(AK108*AB108*AE108)</f>
        <v>0.99924713119607134</v>
      </c>
      <c r="AG108" s="88">
        <f>IF($A109="","",Summary!$Q$9)</f>
        <v>0</v>
      </c>
      <c r="AH108" s="88">
        <f>IF($A109="","",IF(Summary!$R$9="Y",VLOOKUP($A108,Summary!$AD$6:$AF$9,3)+'Escalating commodity'!E121,'Escalating commodity'!E121))</f>
        <v>7.0699999999999999E-2</v>
      </c>
      <c r="AI108" s="88">
        <f t="shared" si="74"/>
        <v>7.0699999999999999E-2</v>
      </c>
      <c r="AJ108" s="236">
        <f t="shared" si="60"/>
        <v>40040.5</v>
      </c>
      <c r="AK108" s="58">
        <f t="shared" ca="1" si="61"/>
        <v>3000</v>
      </c>
      <c r="AL108" s="26">
        <f ca="1">IF($A109="","",_xll.SPRDOPT(P108,X108,AI108,0,AB108,AE108,AF108,AK108,$AJ$2,0))</f>
        <v>8.1406684742498625E-2</v>
      </c>
      <c r="AM108" s="89">
        <f t="shared" si="62"/>
        <v>6.0275374620140529E-2</v>
      </c>
      <c r="AN108" s="89">
        <f t="shared" ca="1" si="63"/>
        <v>2.1131310122358096E-2</v>
      </c>
      <c r="AO108" s="3">
        <f t="shared" si="64"/>
        <v>31</v>
      </c>
      <c r="AP108" s="33">
        <f t="shared" si="65"/>
        <v>40026</v>
      </c>
      <c r="AQ108" s="58">
        <f t="shared" ca="1" si="66"/>
        <v>3000</v>
      </c>
      <c r="AR108" s="38">
        <f>'ANR OK vs ML7'!AR108</f>
        <v>0.1</v>
      </c>
      <c r="AS108" s="35">
        <f t="shared" ca="1" si="67"/>
        <v>0.44866393931646481</v>
      </c>
      <c r="AT108" s="3">
        <f t="shared" si="68"/>
        <v>1</v>
      </c>
      <c r="AU108" s="3">
        <f t="shared" si="69"/>
        <v>31</v>
      </c>
      <c r="AW108" s="32">
        <f t="shared" ca="1" si="70"/>
        <v>90976.040533979336</v>
      </c>
      <c r="AX108" s="32">
        <f t="shared" si="71"/>
        <v>67360.744906738051</v>
      </c>
      <c r="AY108" s="32">
        <f t="shared" ca="1" si="72"/>
        <v>23615.295627241292</v>
      </c>
      <c r="BA108" s="32">
        <f ca="1">IF($A109="","",F108*Summary!$Q$9)</f>
        <v>0</v>
      </c>
      <c r="BC108" s="256">
        <f t="shared" ca="1" si="75"/>
        <v>30222.337165148587</v>
      </c>
    </row>
    <row r="109" spans="1:55">
      <c r="A109" s="67">
        <f t="shared" si="73"/>
        <v>40057</v>
      </c>
      <c r="B109" s="69">
        <f t="shared" si="76"/>
        <v>36050</v>
      </c>
      <c r="C109" s="71"/>
      <c r="D109" s="69">
        <f t="shared" si="38"/>
        <v>36050</v>
      </c>
      <c r="E109" s="70">
        <f t="shared" si="39"/>
        <v>1081500</v>
      </c>
      <c r="F109" s="70">
        <f t="shared" ca="1" si="40"/>
        <v>481227.98418057943</v>
      </c>
      <c r="G109" s="63">
        <f t="shared" si="41"/>
        <v>4.32</v>
      </c>
      <c r="H109" s="64">
        <f t="shared" si="42"/>
        <v>4.32</v>
      </c>
      <c r="I109" s="43"/>
      <c r="J109" s="63">
        <f t="shared" si="43"/>
        <v>0.18</v>
      </c>
      <c r="K109" s="64">
        <f t="shared" si="44"/>
        <v>0.18</v>
      </c>
      <c r="L109" s="63">
        <f t="shared" si="45"/>
        <v>0</v>
      </c>
      <c r="M109" s="64">
        <f t="shared" si="46"/>
        <v>0</v>
      </c>
      <c r="N109" s="65"/>
      <c r="O109" s="63">
        <f t="shared" si="47"/>
        <v>4.5</v>
      </c>
      <c r="P109" s="63">
        <f t="shared" si="48"/>
        <v>4.5</v>
      </c>
      <c r="Q109" s="66"/>
      <c r="R109" s="63">
        <f t="shared" si="49"/>
        <v>-0.14000000000000001</v>
      </c>
      <c r="S109" s="64">
        <f t="shared" si="50"/>
        <v>-0.14000000000000001</v>
      </c>
      <c r="T109" s="63">
        <f t="shared" si="51"/>
        <v>-0.01</v>
      </c>
      <c r="U109" s="64">
        <f t="shared" si="52"/>
        <v>-0.01</v>
      </c>
      <c r="V109" s="90">
        <f>IF($A110="","",IF(AND(MONTH(A109)&gt;3,MONTH(A109)&lt;11),(T109+R109+G109)*Summary!$T$9/(1-Summary!$T$9),(T109+R109+G109)*Summary!$U$9/(1-Summary!$U$9)))</f>
        <v>0.19969506444514301</v>
      </c>
      <c r="W109" s="63">
        <f t="shared" si="53"/>
        <v>4.3696950644451427</v>
      </c>
      <c r="X109" s="63">
        <f t="shared" si="54"/>
        <v>4.3696950644451427</v>
      </c>
      <c r="Y109" s="43"/>
      <c r="Z109" s="38">
        <f t="shared" si="55"/>
        <v>0.6</v>
      </c>
      <c r="AA109" s="38">
        <f t="shared" si="56"/>
        <v>0.19</v>
      </c>
      <c r="AB109" s="38">
        <f t="shared" ca="1" si="57"/>
        <v>0.19466252976596748</v>
      </c>
      <c r="AC109" s="38">
        <f t="shared" si="58"/>
        <v>0.55000000000000004</v>
      </c>
      <c r="AD109" s="38">
        <f t="shared" si="58"/>
        <v>0.19</v>
      </c>
      <c r="AE109" s="38">
        <f t="shared" ca="1" si="59"/>
        <v>0.19393024762419858</v>
      </c>
      <c r="AF109" s="237">
        <f ca="1">((Summary!$N$9*(AA109*AD109)*(A109-$D$3))+(Summary!$M$9*Z109*AC109*(AJ109-EOMONTH(EDATE(A109,-1),0))))/(AK109*AB109*AE109)</f>
        <v>0.99974757856413499</v>
      </c>
      <c r="AG109" s="88">
        <f>IF($A110="","",Summary!$Q$9)</f>
        <v>0</v>
      </c>
      <c r="AH109" s="88">
        <f>IF($A110="","",IF(Summary!$R$9="Y",VLOOKUP($A109,Summary!$AD$6:$AF$9,3)+'Escalating commodity'!E122,'Escalating commodity'!E122))</f>
        <v>7.0699999999999999E-2</v>
      </c>
      <c r="AI109" s="88">
        <f t="shared" si="74"/>
        <v>7.0699999999999999E-2</v>
      </c>
      <c r="AJ109" s="236">
        <f t="shared" si="60"/>
        <v>40071</v>
      </c>
      <c r="AK109" s="58">
        <f t="shared" ca="1" si="61"/>
        <v>3031</v>
      </c>
      <c r="AL109" s="26">
        <f ca="1">IF($A110="","",_xll.SPRDOPT(P109,X109,AI109,0,AB109,AE109,AF109,AK109,$AJ$2,0))</f>
        <v>6.984154649327777E-2</v>
      </c>
      <c r="AM109" s="89">
        <f t="shared" si="62"/>
        <v>5.9604935554857338E-2</v>
      </c>
      <c r="AN109" s="89">
        <f t="shared" ca="1" si="63"/>
        <v>1.0236610938420432E-2</v>
      </c>
      <c r="AO109" s="3">
        <f t="shared" si="64"/>
        <v>30</v>
      </c>
      <c r="AP109" s="33">
        <f t="shared" si="65"/>
        <v>40057</v>
      </c>
      <c r="AQ109" s="58">
        <f t="shared" ca="1" si="66"/>
        <v>3031</v>
      </c>
      <c r="AR109" s="38">
        <f>'ANR OK vs ML7'!AR109</f>
        <v>0.1</v>
      </c>
      <c r="AS109" s="35">
        <f t="shared" ca="1" si="67"/>
        <v>0.44496346202550108</v>
      </c>
      <c r="AT109" s="3">
        <f t="shared" si="68"/>
        <v>1</v>
      </c>
      <c r="AU109" s="3">
        <f t="shared" si="69"/>
        <v>30</v>
      </c>
      <c r="AW109" s="32">
        <f t="shared" ca="1" si="70"/>
        <v>75533.632532479911</v>
      </c>
      <c r="AX109" s="32">
        <f t="shared" si="71"/>
        <v>64462.737802578209</v>
      </c>
      <c r="AY109" s="32">
        <f t="shared" ca="1" si="72"/>
        <v>11070.894729901696</v>
      </c>
      <c r="BA109" s="32">
        <f ca="1">IF($A110="","",F109*Summary!$Q$9)</f>
        <v>0</v>
      </c>
      <c r="BC109" s="256">
        <f t="shared" ca="1" si="75"/>
        <v>28683.562984277345</v>
      </c>
    </row>
    <row r="110" spans="1:55">
      <c r="A110" s="67">
        <f t="shared" si="73"/>
        <v>40087</v>
      </c>
      <c r="B110" s="69">
        <f t="shared" si="76"/>
        <v>36050</v>
      </c>
      <c r="C110" s="71"/>
      <c r="D110" s="69">
        <f t="shared" si="38"/>
        <v>36050</v>
      </c>
      <c r="E110" s="70">
        <f t="shared" si="39"/>
        <v>1117550</v>
      </c>
      <c r="F110" s="70">
        <f t="shared" ca="1" si="40"/>
        <v>493299.32941785123</v>
      </c>
      <c r="G110" s="63">
        <f t="shared" si="41"/>
        <v>4.351</v>
      </c>
      <c r="H110" s="64">
        <f t="shared" si="42"/>
        <v>4.351</v>
      </c>
      <c r="I110" s="43"/>
      <c r="J110" s="63">
        <f t="shared" si="43"/>
        <v>0.18</v>
      </c>
      <c r="K110" s="64">
        <f t="shared" si="44"/>
        <v>0.18</v>
      </c>
      <c r="L110" s="63">
        <f t="shared" si="45"/>
        <v>0</v>
      </c>
      <c r="M110" s="64">
        <f t="shared" si="46"/>
        <v>0</v>
      </c>
      <c r="N110" s="65"/>
      <c r="O110" s="63">
        <f t="shared" si="47"/>
        <v>4.5309999999999997</v>
      </c>
      <c r="P110" s="63">
        <f t="shared" si="48"/>
        <v>4.5309999999999997</v>
      </c>
      <c r="Q110" s="66"/>
      <c r="R110" s="63">
        <f t="shared" si="49"/>
        <v>-0.14000000000000001</v>
      </c>
      <c r="S110" s="64">
        <f t="shared" si="50"/>
        <v>-0.14000000000000001</v>
      </c>
      <c r="T110" s="63">
        <f t="shared" si="51"/>
        <v>-0.01</v>
      </c>
      <c r="U110" s="64">
        <f t="shared" si="52"/>
        <v>-0.01</v>
      </c>
      <c r="V110" s="90">
        <f>IF($A111="","",IF(AND(MONTH(A110)&gt;3,MONTH(A110)&lt;11),(T110+R110+G110)*Summary!$T$9/(1-Summary!$T$9),(T110+R110+G110)*Summary!$U$9/(1-Summary!$U$9)))</f>
        <v>0.20117960808969923</v>
      </c>
      <c r="W110" s="63">
        <f t="shared" si="53"/>
        <v>4.4021796080896989</v>
      </c>
      <c r="X110" s="63">
        <f t="shared" si="54"/>
        <v>4.4021796080896989</v>
      </c>
      <c r="Y110" s="43"/>
      <c r="Z110" s="38">
        <f t="shared" si="55"/>
        <v>0.65</v>
      </c>
      <c r="AA110" s="38">
        <f t="shared" si="56"/>
        <v>0.19</v>
      </c>
      <c r="AB110" s="38">
        <f t="shared" ca="1" si="57"/>
        <v>0.19557916237500539</v>
      </c>
      <c r="AC110" s="38">
        <f t="shared" si="58"/>
        <v>0.55000000000000004</v>
      </c>
      <c r="AD110" s="38">
        <f t="shared" si="58"/>
        <v>0.19</v>
      </c>
      <c r="AE110" s="38">
        <f t="shared" ca="1" si="59"/>
        <v>0.19401949436772487</v>
      </c>
      <c r="AF110" s="237">
        <f ca="1">((Summary!$N$9*(AA110*AD110)*(A110-$D$3))+(Summary!$M$9*Z110*AC110*(AJ110-EOMONTH(EDATE(A110,-1),0))))/(AK110*AB110*AE110)</f>
        <v>0.99926966488517255</v>
      </c>
      <c r="AG110" s="88">
        <f>IF($A111="","",Summary!$Q$9)</f>
        <v>0</v>
      </c>
      <c r="AH110" s="88">
        <f>IF($A111="","",IF(Summary!$R$9="Y",VLOOKUP($A110,Summary!$AD$6:$AF$9,3)+'Escalating commodity'!E123,'Escalating commodity'!E123))</f>
        <v>7.0699999999999999E-2</v>
      </c>
      <c r="AI110" s="88">
        <f t="shared" si="74"/>
        <v>7.0699999999999999E-2</v>
      </c>
      <c r="AJ110" s="236">
        <f t="shared" si="60"/>
        <v>40101.5</v>
      </c>
      <c r="AK110" s="58">
        <f t="shared" ca="1" si="61"/>
        <v>3061</v>
      </c>
      <c r="AL110" s="26">
        <f ca="1">IF($A111="","",_xll.SPRDOPT(P110,X110,AI110,0,AB110,AE110,AF110,AK110,$AJ$2,0))</f>
        <v>8.0416532782804903E-2</v>
      </c>
      <c r="AM110" s="89">
        <f t="shared" si="62"/>
        <v>5.8120391910300814E-2</v>
      </c>
      <c r="AN110" s="89">
        <f t="shared" ca="1" si="63"/>
        <v>2.2296140872504089E-2</v>
      </c>
      <c r="AO110" s="3">
        <f t="shared" si="64"/>
        <v>31</v>
      </c>
      <c r="AP110" s="33">
        <f t="shared" si="65"/>
        <v>40087</v>
      </c>
      <c r="AQ110" s="58">
        <f t="shared" ca="1" si="66"/>
        <v>3061</v>
      </c>
      <c r="AR110" s="38">
        <f>'ANR OK vs ML7'!AR110</f>
        <v>0.1</v>
      </c>
      <c r="AS110" s="35">
        <f t="shared" ca="1" si="67"/>
        <v>0.44141141731273881</v>
      </c>
      <c r="AT110" s="3">
        <f t="shared" si="68"/>
        <v>1</v>
      </c>
      <c r="AU110" s="3">
        <f t="shared" si="69"/>
        <v>31</v>
      </c>
      <c r="AW110" s="32">
        <f t="shared" ca="1" si="70"/>
        <v>89869.496211423626</v>
      </c>
      <c r="AX110" s="32">
        <f t="shared" si="71"/>
        <v>64952.443979356678</v>
      </c>
      <c r="AY110" s="32">
        <f t="shared" ca="1" si="72"/>
        <v>24917.052232066944</v>
      </c>
      <c r="BA110" s="32">
        <f ca="1">IF($A111="","",F110*Summary!$Q$9)</f>
        <v>0</v>
      </c>
      <c r="BC110" s="256">
        <f t="shared" ca="1" si="75"/>
        <v>28670.750354854095</v>
      </c>
    </row>
    <row r="111" spans="1:55">
      <c r="A111" s="67">
        <f t="shared" si="73"/>
        <v>40118</v>
      </c>
      <c r="B111" s="69">
        <f t="shared" si="76"/>
        <v>36050</v>
      </c>
      <c r="C111" s="71"/>
      <c r="D111" s="69">
        <f t="shared" si="38"/>
        <v>36050</v>
      </c>
      <c r="E111" s="70">
        <f t="shared" si="39"/>
        <v>1081500</v>
      </c>
      <c r="F111" s="70">
        <f t="shared" ca="1" si="40"/>
        <v>473449.0738687868</v>
      </c>
      <c r="G111" s="63">
        <f t="shared" si="41"/>
        <v>4.484</v>
      </c>
      <c r="H111" s="64">
        <f t="shared" si="42"/>
        <v>4.484</v>
      </c>
      <c r="I111" s="43"/>
      <c r="J111" s="63">
        <f t="shared" si="43"/>
        <v>0.27500000000000002</v>
      </c>
      <c r="K111" s="64">
        <f t="shared" si="44"/>
        <v>0.27500000000000002</v>
      </c>
      <c r="L111" s="63">
        <f t="shared" si="45"/>
        <v>0</v>
      </c>
      <c r="M111" s="64">
        <f t="shared" si="46"/>
        <v>0</v>
      </c>
      <c r="N111" s="65"/>
      <c r="O111" s="63">
        <f t="shared" si="47"/>
        <v>4.7590000000000003</v>
      </c>
      <c r="P111" s="63">
        <f t="shared" si="48"/>
        <v>4.7590000000000003</v>
      </c>
      <c r="Q111" s="66"/>
      <c r="R111" s="63">
        <f t="shared" si="49"/>
        <v>-0.14249999999999999</v>
      </c>
      <c r="S111" s="64">
        <f t="shared" si="50"/>
        <v>-0.14249999999999999</v>
      </c>
      <c r="T111" s="63">
        <f t="shared" si="51"/>
        <v>0.01</v>
      </c>
      <c r="U111" s="64">
        <f t="shared" si="52"/>
        <v>0.01</v>
      </c>
      <c r="V111" s="90">
        <f>IF($A112="","",IF(AND(MONTH(A111)&gt;3,MONTH(A111)&lt;11),(T111+R111+G111)*Summary!$T$9/(1-Summary!$T$9),(T111+R111+G111)*Summary!$U$9/(1-Summary!$U$9)))</f>
        <v>0.20838682804149636</v>
      </c>
      <c r="W111" s="63">
        <f t="shared" si="53"/>
        <v>4.5598868280414964</v>
      </c>
      <c r="X111" s="63">
        <f t="shared" si="54"/>
        <v>4.5598868280414964</v>
      </c>
      <c r="Y111" s="43"/>
      <c r="Z111" s="38">
        <f t="shared" si="55"/>
        <v>0.8</v>
      </c>
      <c r="AA111" s="38">
        <f t="shared" si="56"/>
        <v>0.19</v>
      </c>
      <c r="AB111" s="38">
        <f t="shared" ca="1" si="57"/>
        <v>0.1980314667849499</v>
      </c>
      <c r="AC111" s="38">
        <f t="shared" si="58"/>
        <v>0.8</v>
      </c>
      <c r="AD111" s="38">
        <f t="shared" si="58"/>
        <v>0.19</v>
      </c>
      <c r="AE111" s="38">
        <f t="shared" ca="1" si="59"/>
        <v>0.1980314667849499</v>
      </c>
      <c r="AF111" s="237">
        <f ca="1">((Summary!$N$9*(AA111*AD111)*(A111-$D$3))+(Summary!$M$9*Z111*AC111*(AJ111-EOMONTH(EDATE(A111,-1),0))))/(AK111*AB111*AE111)</f>
        <v>0.99990791704911763</v>
      </c>
      <c r="AG111" s="88">
        <f>IF($A112="","",Summary!$Q$9)</f>
        <v>0</v>
      </c>
      <c r="AH111" s="88">
        <f>IF($A112="","",IF(Summary!$R$9="Y",VLOOKUP($A111,Summary!$AD$6:$AF$9,3)+'Escalating commodity'!E124,'Escalating commodity'!E124))</f>
        <v>7.0699999999999999E-2</v>
      </c>
      <c r="AI111" s="88">
        <f t="shared" si="74"/>
        <v>7.0699999999999999E-2</v>
      </c>
      <c r="AJ111" s="236">
        <f t="shared" si="60"/>
        <v>40132</v>
      </c>
      <c r="AK111" s="58">
        <f t="shared" ca="1" si="61"/>
        <v>3092</v>
      </c>
      <c r="AL111" s="26">
        <f ca="1">IF($A112="","",_xll.SPRDOPT(P111,X111,AI111,0,AB111,AE111,AF111,AK111,$AJ$2,0))</f>
        <v>0.13029310205919076</v>
      </c>
      <c r="AM111" s="89">
        <f t="shared" si="62"/>
        <v>0.12841317195850399</v>
      </c>
      <c r="AN111" s="89">
        <f t="shared" ca="1" si="63"/>
        <v>1.8799301006867664E-3</v>
      </c>
      <c r="AO111" s="3">
        <f t="shared" si="64"/>
        <v>30</v>
      </c>
      <c r="AP111" s="33">
        <f t="shared" si="65"/>
        <v>40118</v>
      </c>
      <c r="AQ111" s="58">
        <f t="shared" ca="1" si="66"/>
        <v>3092</v>
      </c>
      <c r="AR111" s="38">
        <f>'ANR OK vs ML7'!AR111</f>
        <v>0.1</v>
      </c>
      <c r="AS111" s="35">
        <f t="shared" ca="1" si="67"/>
        <v>0.43777075716022817</v>
      </c>
      <c r="AT111" s="3">
        <f t="shared" si="68"/>
        <v>1</v>
      </c>
      <c r="AU111" s="3">
        <f t="shared" si="69"/>
        <v>30</v>
      </c>
      <c r="AW111" s="32">
        <f t="shared" ca="1" si="70"/>
        <v>140911.9898770148</v>
      </c>
      <c r="AX111" s="32">
        <f t="shared" si="71"/>
        <v>138878.84547312206</v>
      </c>
      <c r="AY111" s="32">
        <f t="shared" ca="1" si="72"/>
        <v>2033.1444038927377</v>
      </c>
      <c r="BA111" s="32">
        <f ca="1">IF($A112="","",F111*Summary!$Q$9)</f>
        <v>0</v>
      </c>
      <c r="BC111" s="256">
        <f t="shared" ca="1" si="75"/>
        <v>60797.097336306979</v>
      </c>
    </row>
    <row r="112" spans="1:55">
      <c r="A112" s="67">
        <f t="shared" si="73"/>
        <v>40148</v>
      </c>
      <c r="B112" s="69">
        <f t="shared" si="76"/>
        <v>36050</v>
      </c>
      <c r="C112" s="71"/>
      <c r="D112" s="69">
        <f t="shared" si="38"/>
        <v>36050</v>
      </c>
      <c r="E112" s="70">
        <f t="shared" si="39"/>
        <v>1117550</v>
      </c>
      <c r="F112" s="70">
        <f t="shared" ca="1" si="40"/>
        <v>485325.2893234393</v>
      </c>
      <c r="G112" s="63">
        <f t="shared" si="41"/>
        <v>4.6219999999999999</v>
      </c>
      <c r="H112" s="64">
        <f t="shared" si="42"/>
        <v>4.6219999999999999</v>
      </c>
      <c r="I112" s="43"/>
      <c r="J112" s="63">
        <f t="shared" si="43"/>
        <v>0.27500000000000002</v>
      </c>
      <c r="K112" s="64">
        <f t="shared" si="44"/>
        <v>0.27500000000000002</v>
      </c>
      <c r="L112" s="63">
        <f t="shared" si="45"/>
        <v>0</v>
      </c>
      <c r="M112" s="64">
        <f t="shared" si="46"/>
        <v>0</v>
      </c>
      <c r="N112" s="65"/>
      <c r="O112" s="63">
        <f t="shared" si="47"/>
        <v>4.8970000000000002</v>
      </c>
      <c r="P112" s="63">
        <f t="shared" si="48"/>
        <v>4.8970000000000002</v>
      </c>
      <c r="Q112" s="66"/>
      <c r="R112" s="63">
        <f t="shared" si="49"/>
        <v>-0.13750000000000001</v>
      </c>
      <c r="S112" s="64">
        <f t="shared" si="50"/>
        <v>-0.13750000000000001</v>
      </c>
      <c r="T112" s="63">
        <f t="shared" si="51"/>
        <v>0.01</v>
      </c>
      <c r="U112" s="64">
        <f t="shared" si="52"/>
        <v>0.01</v>
      </c>
      <c r="V112" s="90">
        <f>IF($A113="","",IF(AND(MONTH(A112)&gt;3,MONTH(A112)&lt;11),(T112+R112+G112)*Summary!$T$9/(1-Summary!$T$9),(T112+R112+G112)*Summary!$U$9/(1-Summary!$U$9)))</f>
        <v>0.21523488420832018</v>
      </c>
      <c r="W112" s="63">
        <f t="shared" si="53"/>
        <v>4.70973488420832</v>
      </c>
      <c r="X112" s="63">
        <f t="shared" si="54"/>
        <v>4.70973488420832</v>
      </c>
      <c r="Y112" s="43"/>
      <c r="Z112" s="38">
        <f t="shared" si="55"/>
        <v>1.1000000000000001</v>
      </c>
      <c r="AA112" s="38">
        <f t="shared" si="56"/>
        <v>0.19</v>
      </c>
      <c r="AB112" s="38">
        <f t="shared" ca="1" si="57"/>
        <v>0.20522897011135161</v>
      </c>
      <c r="AC112" s="38">
        <f t="shared" si="58"/>
        <v>1</v>
      </c>
      <c r="AD112" s="38">
        <f t="shared" si="58"/>
        <v>0.19</v>
      </c>
      <c r="AE112" s="38">
        <f t="shared" ca="1" si="59"/>
        <v>0.20267296138386356</v>
      </c>
      <c r="AF112" s="237">
        <f ca="1">((Summary!$N$9*(AA112*AD112)*(A112-$D$3))+(Summary!$M$9*Z112*AC112*(AJ112-EOMONTH(EDATE(A112,-1),0))))/(AK112*AB112*AE112)</f>
        <v>0.99939490846875145</v>
      </c>
      <c r="AG112" s="88">
        <f>IF($A113="","",Summary!$Q$9)</f>
        <v>0</v>
      </c>
      <c r="AH112" s="88">
        <f>IF($A113="","",IF(Summary!$R$9="Y",VLOOKUP($A112,Summary!$AD$6:$AF$9,3)+'Escalating commodity'!E125,'Escalating commodity'!E125))</f>
        <v>7.0699999999999999E-2</v>
      </c>
      <c r="AI112" s="88">
        <f t="shared" si="74"/>
        <v>7.0699999999999999E-2</v>
      </c>
      <c r="AJ112" s="236">
        <f t="shared" si="60"/>
        <v>40162.5</v>
      </c>
      <c r="AK112" s="58">
        <f t="shared" ca="1" si="61"/>
        <v>3122</v>
      </c>
      <c r="AL112" s="26">
        <f ca="1">IF($A113="","",_xll.SPRDOPT(P112,X112,AI112,0,AB112,AE112,AF112,AK112,$AJ$2,0))</f>
        <v>0.13057242678004166</v>
      </c>
      <c r="AM112" s="89">
        <f t="shared" si="62"/>
        <v>0.11656511579168026</v>
      </c>
      <c r="AN112" s="89">
        <f t="shared" ca="1" si="63"/>
        <v>1.4007310988361402E-2</v>
      </c>
      <c r="AO112" s="3">
        <f t="shared" si="64"/>
        <v>31</v>
      </c>
      <c r="AP112" s="33">
        <f t="shared" si="65"/>
        <v>40148</v>
      </c>
      <c r="AQ112" s="58">
        <f t="shared" ca="1" si="66"/>
        <v>3122</v>
      </c>
      <c r="AR112" s="38">
        <f>'ANR OK vs ML7'!AR112</f>
        <v>0.1</v>
      </c>
      <c r="AS112" s="35">
        <f t="shared" ca="1" si="67"/>
        <v>0.43427613021649081</v>
      </c>
      <c r="AT112" s="3">
        <f t="shared" si="68"/>
        <v>1</v>
      </c>
      <c r="AU112" s="3">
        <f t="shared" si="69"/>
        <v>31</v>
      </c>
      <c r="AW112" s="32">
        <f t="shared" ca="1" si="70"/>
        <v>145921.21554803557</v>
      </c>
      <c r="AX112" s="32">
        <f t="shared" si="71"/>
        <v>130267.34515299227</v>
      </c>
      <c r="AY112" s="32">
        <f t="shared" ca="1" si="72"/>
        <v>15653.870395043285</v>
      </c>
      <c r="BA112" s="32">
        <f ca="1">IF($A113="","",F112*Summary!$Q$9)</f>
        <v>0</v>
      </c>
      <c r="BC112" s="256">
        <f t="shared" ca="1" si="75"/>
        <v>56571.998546617426</v>
      </c>
    </row>
    <row r="113" spans="1:55">
      <c r="A113" s="67">
        <f t="shared" si="73"/>
        <v>40179</v>
      </c>
      <c r="B113" s="69">
        <f t="shared" si="76"/>
        <v>36050</v>
      </c>
      <c r="C113" s="71"/>
      <c r="D113" s="69">
        <f t="shared" si="38"/>
        <v>36050</v>
      </c>
      <c r="E113" s="70">
        <f t="shared" si="39"/>
        <v>1117550</v>
      </c>
      <c r="F113" s="70">
        <f t="shared" ca="1" si="40"/>
        <v>481322.43762421899</v>
      </c>
      <c r="G113" s="63">
        <f t="shared" si="41"/>
        <v>4.649</v>
      </c>
      <c r="H113" s="64">
        <f t="shared" si="42"/>
        <v>4.649</v>
      </c>
      <c r="I113" s="43"/>
      <c r="J113" s="63">
        <f t="shared" si="43"/>
        <v>0.27500000000000002</v>
      </c>
      <c r="K113" s="64">
        <f t="shared" si="44"/>
        <v>0.27500000000000002</v>
      </c>
      <c r="L113" s="63">
        <f t="shared" si="45"/>
        <v>0</v>
      </c>
      <c r="M113" s="64">
        <f t="shared" si="46"/>
        <v>0</v>
      </c>
      <c r="N113" s="65"/>
      <c r="O113" s="63">
        <f t="shared" si="47"/>
        <v>4.9240000000000004</v>
      </c>
      <c r="P113" s="63">
        <f t="shared" si="48"/>
        <v>4.9240000000000004</v>
      </c>
      <c r="Q113" s="66"/>
      <c r="R113" s="63">
        <f t="shared" si="49"/>
        <v>-0.13750000000000001</v>
      </c>
      <c r="S113" s="64">
        <f t="shared" si="50"/>
        <v>-0.13750000000000001</v>
      </c>
      <c r="T113" s="63">
        <f t="shared" si="51"/>
        <v>0.01</v>
      </c>
      <c r="U113" s="64">
        <f t="shared" si="52"/>
        <v>0.01</v>
      </c>
      <c r="V113" s="90">
        <f>IF($A114="","",IF(AND(MONTH(A113)&gt;3,MONTH(A113)&lt;11),(T113+R113+G113)*Summary!$T$9/(1-Summary!$T$9),(T113+R113+G113)*Summary!$U$9/(1-Summary!$U$9)))</f>
        <v>0.21652787383422401</v>
      </c>
      <c r="W113" s="63">
        <f t="shared" si="53"/>
        <v>4.7380278738342234</v>
      </c>
      <c r="X113" s="63">
        <f t="shared" si="54"/>
        <v>4.7380278738342234</v>
      </c>
      <c r="Y113" s="43"/>
      <c r="Z113" s="38">
        <f t="shared" si="55"/>
        <v>1.1000000000000001</v>
      </c>
      <c r="AA113" s="38">
        <f t="shared" si="56"/>
        <v>0.19</v>
      </c>
      <c r="AB113" s="38">
        <f t="shared" ca="1" si="57"/>
        <v>0.20508474496304122</v>
      </c>
      <c r="AC113" s="38">
        <f t="shared" si="58"/>
        <v>1</v>
      </c>
      <c r="AD113" s="38">
        <f t="shared" si="58"/>
        <v>0.19</v>
      </c>
      <c r="AE113" s="38">
        <f t="shared" ca="1" si="59"/>
        <v>0.20255222159688707</v>
      </c>
      <c r="AF113" s="237">
        <f ca="1">((Summary!$N$9*(AA113*AD113)*(A113-$D$3))+(Summary!$M$9*Z113*AC113*(AJ113-EOMONTH(EDATE(A113,-1),0))))/(AK113*AB113*AE113)</f>
        <v>0.99939855922038268</v>
      </c>
      <c r="AG113" s="88">
        <f>IF($A114="","",Summary!$Q$9)</f>
        <v>0</v>
      </c>
      <c r="AH113" s="88">
        <f>IF($A114="","",IF(Summary!$R$9="Y",VLOOKUP($A113,Summary!$AD$6:$AF$9,3)+'Escalating commodity'!E126,'Escalating commodity'!E126))</f>
        <v>7.0699999999999999E-2</v>
      </c>
      <c r="AI113" s="88">
        <f t="shared" si="74"/>
        <v>7.0699999999999999E-2</v>
      </c>
      <c r="AJ113" s="236">
        <f t="shared" si="60"/>
        <v>40193.5</v>
      </c>
      <c r="AK113" s="58">
        <f t="shared" ca="1" si="61"/>
        <v>3153</v>
      </c>
      <c r="AL113" s="26">
        <f ca="1">IF($A114="","",_xll.SPRDOPT(P113,X113,AI113,0,AB113,AE113,AF113,AK113,$AJ$2,0))</f>
        <v>0.12967413058278091</v>
      </c>
      <c r="AM113" s="89">
        <f t="shared" si="62"/>
        <v>0.11527212616577696</v>
      </c>
      <c r="AN113" s="89">
        <f t="shared" ca="1" si="63"/>
        <v>1.4402004417003941E-2</v>
      </c>
      <c r="AO113" s="3">
        <f t="shared" si="64"/>
        <v>31</v>
      </c>
      <c r="AP113" s="33">
        <f t="shared" si="65"/>
        <v>40179</v>
      </c>
      <c r="AQ113" s="58">
        <f t="shared" ca="1" si="66"/>
        <v>3153</v>
      </c>
      <c r="AR113" s="38">
        <f>'ANR OK vs ML7'!AR113</f>
        <v>0.1</v>
      </c>
      <c r="AS113" s="35">
        <f t="shared" ca="1" si="67"/>
        <v>0.43069432027579885</v>
      </c>
      <c r="AT113" s="3">
        <f t="shared" si="68"/>
        <v>1</v>
      </c>
      <c r="AU113" s="3">
        <f t="shared" si="69"/>
        <v>31</v>
      </c>
      <c r="AW113" s="32">
        <f t="shared" ca="1" si="70"/>
        <v>144917.3246327868</v>
      </c>
      <c r="AX113" s="32">
        <f t="shared" si="71"/>
        <v>128822.36459656405</v>
      </c>
      <c r="AY113" s="32">
        <f t="shared" ca="1" si="72"/>
        <v>16094.960036222754</v>
      </c>
      <c r="BA113" s="32">
        <f ca="1">IF($A114="","",F113*Summary!$Q$9)</f>
        <v>0</v>
      </c>
      <c r="BC113" s="256">
        <f t="shared" ca="1" si="75"/>
        <v>55483.060756238287</v>
      </c>
    </row>
    <row r="114" spans="1:55">
      <c r="A114" s="67">
        <f t="shared" si="73"/>
        <v>40210</v>
      </c>
      <c r="B114" s="69">
        <f t="shared" si="76"/>
        <v>36050</v>
      </c>
      <c r="C114" s="71"/>
      <c r="D114" s="69">
        <f t="shared" si="38"/>
        <v>36050</v>
      </c>
      <c r="E114" s="70">
        <f t="shared" si="39"/>
        <v>1009400</v>
      </c>
      <c r="F114" s="70">
        <f t="shared" ca="1" si="40"/>
        <v>431157.18757362623</v>
      </c>
      <c r="G114" s="63">
        <f t="shared" si="41"/>
        <v>4.5289999999999999</v>
      </c>
      <c r="H114" s="64">
        <f t="shared" si="42"/>
        <v>4.5289999999999999</v>
      </c>
      <c r="I114" s="43"/>
      <c r="J114" s="63">
        <f t="shared" si="43"/>
        <v>0.27500000000000002</v>
      </c>
      <c r="K114" s="64">
        <f t="shared" si="44"/>
        <v>0.27500000000000002</v>
      </c>
      <c r="L114" s="63">
        <f t="shared" si="45"/>
        <v>0</v>
      </c>
      <c r="M114" s="64">
        <f t="shared" si="46"/>
        <v>0</v>
      </c>
      <c r="N114" s="65"/>
      <c r="O114" s="63">
        <f t="shared" si="47"/>
        <v>4.8040000000000003</v>
      </c>
      <c r="P114" s="63">
        <f t="shared" si="48"/>
        <v>4.8040000000000003</v>
      </c>
      <c r="Q114" s="66"/>
      <c r="R114" s="63">
        <f t="shared" si="49"/>
        <v>-0.14000000000000001</v>
      </c>
      <c r="S114" s="64">
        <f t="shared" si="50"/>
        <v>-0.14000000000000001</v>
      </c>
      <c r="T114" s="63">
        <f t="shared" si="51"/>
        <v>0.01</v>
      </c>
      <c r="U114" s="64">
        <f t="shared" si="52"/>
        <v>0.01</v>
      </c>
      <c r="V114" s="90">
        <f>IF($A115="","",IF(AND(MONTH(A114)&gt;3,MONTH(A114)&lt;11),(T114+R114+G114)*Summary!$T$9/(1-Summary!$T$9),(T114+R114+G114)*Summary!$U$9/(1-Summary!$U$9)))</f>
        <v>0.21066153201299381</v>
      </c>
      <c r="W114" s="63">
        <f t="shared" si="53"/>
        <v>4.6096615320129937</v>
      </c>
      <c r="X114" s="63">
        <f t="shared" si="54"/>
        <v>4.6096615320129937</v>
      </c>
      <c r="Y114" s="43"/>
      <c r="Z114" s="38">
        <f t="shared" si="55"/>
        <v>1.1000000000000001</v>
      </c>
      <c r="AA114" s="38">
        <f t="shared" si="56"/>
        <v>0.185</v>
      </c>
      <c r="AB114" s="38">
        <f t="shared" ca="1" si="57"/>
        <v>0.19888715598696391</v>
      </c>
      <c r="AC114" s="38">
        <f t="shared" si="58"/>
        <v>1</v>
      </c>
      <c r="AD114" s="38">
        <f t="shared" si="58"/>
        <v>0.185</v>
      </c>
      <c r="AE114" s="38">
        <f t="shared" ca="1" si="59"/>
        <v>0.19655211518172999</v>
      </c>
      <c r="AF114" s="237">
        <f ca="1">((Summary!$N$9*(AA114*AD114)*(A114-$D$3))+(Summary!$M$9*Z114*AC114*(AJ114-EOMONTH(EDATE(A114,-1),0))))/(AK114*AB114*AE114)</f>
        <v>0.99941976693623724</v>
      </c>
      <c r="AG114" s="88">
        <f>IF($A115="","",Summary!$Q$9)</f>
        <v>0</v>
      </c>
      <c r="AH114" s="88">
        <f>IF($A115="","",IF(Summary!$R$9="Y",VLOOKUP($A114,Summary!$AD$6:$AF$9,3)+'Escalating commodity'!E127,'Escalating commodity'!E127))</f>
        <v>7.0699999999999999E-2</v>
      </c>
      <c r="AI114" s="88">
        <f t="shared" si="74"/>
        <v>7.0699999999999999E-2</v>
      </c>
      <c r="AJ114" s="236">
        <f t="shared" si="60"/>
        <v>40223</v>
      </c>
      <c r="AK114" s="58">
        <f t="shared" ca="1" si="61"/>
        <v>3184</v>
      </c>
      <c r="AL114" s="26">
        <f ca="1">IF($A115="","",_xll.SPRDOPT(P114,X114,AI114,0,AB114,AE114,AF114,AK114,$AJ$2,0))</f>
        <v>0.13477756468431829</v>
      </c>
      <c r="AM114" s="89">
        <f t="shared" si="62"/>
        <v>0.1236384679870066</v>
      </c>
      <c r="AN114" s="89">
        <f t="shared" ca="1" si="63"/>
        <v>1.1139096697311682E-2</v>
      </c>
      <c r="AO114" s="3">
        <f t="shared" si="64"/>
        <v>28</v>
      </c>
      <c r="AP114" s="33">
        <f t="shared" si="65"/>
        <v>40210</v>
      </c>
      <c r="AQ114" s="58">
        <f t="shared" ca="1" si="66"/>
        <v>3184</v>
      </c>
      <c r="AR114" s="38">
        <f>'ANR OK vs ML7'!AR114</f>
        <v>0.1</v>
      </c>
      <c r="AS114" s="35">
        <f t="shared" ca="1" si="67"/>
        <v>0.42714205228217378</v>
      </c>
      <c r="AT114" s="3">
        <f t="shared" si="68"/>
        <v>1</v>
      </c>
      <c r="AU114" s="3">
        <f t="shared" si="69"/>
        <v>28</v>
      </c>
      <c r="AW114" s="32">
        <f t="shared" ca="1" si="70"/>
        <v>136044.47379235088</v>
      </c>
      <c r="AX114" s="32">
        <f t="shared" si="71"/>
        <v>124800.66958608446</v>
      </c>
      <c r="AY114" s="32">
        <f t="shared" ca="1" si="72"/>
        <v>11243.804206266412</v>
      </c>
      <c r="BA114" s="32">
        <f ca="1">IF($A115="","",F114*Summary!$Q$9)</f>
        <v>0</v>
      </c>
      <c r="BC114" s="256">
        <f t="shared" ca="1" si="75"/>
        <v>53307.614133189585</v>
      </c>
    </row>
    <row r="115" spans="1:55">
      <c r="A115" s="67">
        <f t="shared" si="73"/>
        <v>40238</v>
      </c>
      <c r="B115" s="69">
        <f t="shared" si="76"/>
        <v>36050</v>
      </c>
      <c r="C115" s="71"/>
      <c r="D115" s="69">
        <f t="shared" si="38"/>
        <v>36050</v>
      </c>
      <c r="E115" s="70">
        <f t="shared" si="39"/>
        <v>1117550</v>
      </c>
      <c r="F115" s="70">
        <f t="shared" ca="1" si="40"/>
        <v>473795.09143026266</v>
      </c>
      <c r="G115" s="63">
        <f t="shared" si="41"/>
        <v>4.3899999999999997</v>
      </c>
      <c r="H115" s="64">
        <f t="shared" si="42"/>
        <v>4.3899999999999997</v>
      </c>
      <c r="I115" s="43"/>
      <c r="J115" s="63">
        <f t="shared" si="43"/>
        <v>0.27500000000000002</v>
      </c>
      <c r="K115" s="64">
        <f t="shared" si="44"/>
        <v>0.27500000000000002</v>
      </c>
      <c r="L115" s="63">
        <f t="shared" si="45"/>
        <v>0</v>
      </c>
      <c r="M115" s="64">
        <f t="shared" si="46"/>
        <v>0</v>
      </c>
      <c r="N115" s="65"/>
      <c r="O115" s="63">
        <f t="shared" si="47"/>
        <v>4.665</v>
      </c>
      <c r="P115" s="63">
        <f t="shared" si="48"/>
        <v>4.665</v>
      </c>
      <c r="Q115" s="66"/>
      <c r="R115" s="63">
        <f t="shared" si="49"/>
        <v>-0.14249999999999999</v>
      </c>
      <c r="S115" s="64">
        <f t="shared" si="50"/>
        <v>-0.14249999999999999</v>
      </c>
      <c r="T115" s="63">
        <f t="shared" si="51"/>
        <v>0.01</v>
      </c>
      <c r="U115" s="64">
        <f t="shared" si="52"/>
        <v>0.01</v>
      </c>
      <c r="V115" s="90">
        <f>IF($A116="","",IF(AND(MONTH(A115)&gt;3,MONTH(A115)&lt;11),(T115+R115+G115)*Summary!$T$9/(1-Summary!$T$9),(T115+R115+G115)*Summary!$U$9/(1-Summary!$U$9)))</f>
        <v>0.20388530860316456</v>
      </c>
      <c r="W115" s="63">
        <f t="shared" si="53"/>
        <v>4.4613853086031643</v>
      </c>
      <c r="X115" s="63">
        <f t="shared" si="54"/>
        <v>4.4613853086031643</v>
      </c>
      <c r="Y115" s="43"/>
      <c r="Z115" s="38">
        <f t="shared" si="55"/>
        <v>0.75</v>
      </c>
      <c r="AA115" s="38">
        <f t="shared" si="56"/>
        <v>0.183</v>
      </c>
      <c r="AB115" s="38">
        <f t="shared" ca="1" si="57"/>
        <v>0.19029938643021441</v>
      </c>
      <c r="AC115" s="38">
        <f t="shared" si="58"/>
        <v>0.75</v>
      </c>
      <c r="AD115" s="38">
        <f t="shared" si="58"/>
        <v>0.183</v>
      </c>
      <c r="AE115" s="38">
        <f t="shared" ca="1" si="59"/>
        <v>0.19029938643021441</v>
      </c>
      <c r="AF115" s="237">
        <f ca="1">((Summary!$N$9*(AA115*AD115)*(A115-$D$3))+(Summary!$M$9*Z115*AC115*(AJ115-EOMONTH(EDATE(A115,-1),0))))/(AK115*AB115*AE115)</f>
        <v>0.99990749555702041</v>
      </c>
      <c r="AG115" s="88">
        <f>IF($A116="","",Summary!$Q$9)</f>
        <v>0</v>
      </c>
      <c r="AH115" s="88">
        <f>IF($A116="","",IF(Summary!$R$9="Y",VLOOKUP($A115,Summary!$AD$6:$AF$9,3)+'Escalating commodity'!E128,'Escalating commodity'!E128))</f>
        <v>7.0699999999999999E-2</v>
      </c>
      <c r="AI115" s="88">
        <f t="shared" si="74"/>
        <v>7.0699999999999999E-2</v>
      </c>
      <c r="AJ115" s="236">
        <f t="shared" si="60"/>
        <v>40252.5</v>
      </c>
      <c r="AK115" s="58">
        <f t="shared" ca="1" si="61"/>
        <v>3212</v>
      </c>
      <c r="AL115" s="26">
        <f ca="1">IF($A116="","",_xll.SPRDOPT(P115,X115,AI115,0,AB115,AE115,AF115,AK115,$AJ$2,0))</f>
        <v>0.13446934886498321</v>
      </c>
      <c r="AM115" s="89">
        <f t="shared" si="62"/>
        <v>0.13291469139683576</v>
      </c>
      <c r="AN115" s="89">
        <f t="shared" ca="1" si="63"/>
        <v>1.5546574681474523E-3</v>
      </c>
      <c r="AO115" s="3">
        <f t="shared" si="64"/>
        <v>31</v>
      </c>
      <c r="AP115" s="33">
        <f t="shared" si="65"/>
        <v>40238</v>
      </c>
      <c r="AQ115" s="58">
        <f t="shared" ca="1" si="66"/>
        <v>3212</v>
      </c>
      <c r="AR115" s="38">
        <f>'ANR OK vs ML7'!AR115</f>
        <v>0.1</v>
      </c>
      <c r="AS115" s="35">
        <f t="shared" ca="1" si="67"/>
        <v>0.42395874138093387</v>
      </c>
      <c r="AT115" s="3">
        <f t="shared" si="68"/>
        <v>1</v>
      </c>
      <c r="AU115" s="3">
        <f t="shared" si="69"/>
        <v>31</v>
      </c>
      <c r="AW115" s="32">
        <f t="shared" ca="1" si="70"/>
        <v>150276.22082406198</v>
      </c>
      <c r="AX115" s="32">
        <f t="shared" si="71"/>
        <v>148538.81337053381</v>
      </c>
      <c r="AY115" s="32">
        <f t="shared" ca="1" si="72"/>
        <v>1737.4074535281854</v>
      </c>
      <c r="BA115" s="32">
        <f ca="1">IF($A116="","",F115*Summary!$Q$9)</f>
        <v>0</v>
      </c>
      <c r="BC115" s="256">
        <f t="shared" ca="1" si="75"/>
        <v>62974.328362788947</v>
      </c>
    </row>
    <row r="116" spans="1:55">
      <c r="A116" s="67">
        <f t="shared" si="73"/>
        <v>40269</v>
      </c>
      <c r="B116" s="69">
        <f t="shared" si="76"/>
        <v>36050</v>
      </c>
      <c r="C116" s="71"/>
      <c r="D116" s="69">
        <f t="shared" si="38"/>
        <v>36050</v>
      </c>
      <c r="E116" s="70">
        <f t="shared" si="39"/>
        <v>1081500</v>
      </c>
      <c r="F116" s="70">
        <f t="shared" ca="1" si="40"/>
        <v>454729.68208968628</v>
      </c>
      <c r="G116" s="63">
        <f t="shared" si="41"/>
        <v>4.2149999999999999</v>
      </c>
      <c r="H116" s="64">
        <f t="shared" si="42"/>
        <v>4.2149999999999999</v>
      </c>
      <c r="I116" s="43"/>
      <c r="J116" s="63">
        <f t="shared" si="43"/>
        <v>0.18</v>
      </c>
      <c r="K116" s="64">
        <f t="shared" si="44"/>
        <v>0.18</v>
      </c>
      <c r="L116" s="63">
        <f t="shared" si="45"/>
        <v>0</v>
      </c>
      <c r="M116" s="64">
        <f t="shared" si="46"/>
        <v>0</v>
      </c>
      <c r="N116" s="65"/>
      <c r="O116" s="63">
        <f t="shared" si="47"/>
        <v>4.3949999999999996</v>
      </c>
      <c r="P116" s="63">
        <f t="shared" si="48"/>
        <v>4.3949999999999996</v>
      </c>
      <c r="Q116" s="66"/>
      <c r="R116" s="63">
        <f t="shared" si="49"/>
        <v>-0.14000000000000001</v>
      </c>
      <c r="S116" s="64">
        <f t="shared" si="50"/>
        <v>-0.14000000000000001</v>
      </c>
      <c r="T116" s="63">
        <f t="shared" si="51"/>
        <v>-0.01</v>
      </c>
      <c r="U116" s="64">
        <f t="shared" si="52"/>
        <v>-0.01</v>
      </c>
      <c r="V116" s="90">
        <f>IF($A117="","",IF(AND(MONTH(A116)&gt;3,MONTH(A116)&lt;11),(T116+R116+G116)*Summary!$T$9/(1-Summary!$T$9),(T116+R116+G116)*Summary!$U$9/(1-Summary!$U$9)))</f>
        <v>0.19466677145551711</v>
      </c>
      <c r="W116" s="63">
        <f t="shared" si="53"/>
        <v>4.2596667714555165</v>
      </c>
      <c r="X116" s="63">
        <f t="shared" si="54"/>
        <v>4.2596667714555165</v>
      </c>
      <c r="Y116" s="43"/>
      <c r="Z116" s="38">
        <f t="shared" si="55"/>
        <v>0.45</v>
      </c>
      <c r="AA116" s="38">
        <f t="shared" si="56"/>
        <v>0.183</v>
      </c>
      <c r="AB116" s="38">
        <f t="shared" ca="1" si="57"/>
        <v>0.18556928435747999</v>
      </c>
      <c r="AC116" s="38">
        <f t="shared" si="58"/>
        <v>0.4</v>
      </c>
      <c r="AD116" s="38">
        <f t="shared" si="58"/>
        <v>0.183</v>
      </c>
      <c r="AE116" s="38">
        <f t="shared" ca="1" si="59"/>
        <v>0.18503886633260058</v>
      </c>
      <c r="AF116" s="237">
        <f ca="1">((Summary!$N$9*(AA116*AD116)*(A116-$D$3))+(Summary!$M$9*Z116*AC116*(AJ116-EOMONTH(EDATE(A116,-1),0))))/(AK116*AB116*AE116)</f>
        <v>0.99973815983154002</v>
      </c>
      <c r="AG116" s="88">
        <f>IF($A117="","",Summary!$Q$9)</f>
        <v>0</v>
      </c>
      <c r="AH116" s="88">
        <f>IF($A117="","",IF(Summary!$R$9="Y",VLOOKUP($A116,Summary!$AD$6:$AF$9,3)+'Escalating commodity'!E129,'Escalating commodity'!E129))</f>
        <v>7.0699999999999999E-2</v>
      </c>
      <c r="AI116" s="88">
        <f t="shared" si="74"/>
        <v>7.0699999999999999E-2</v>
      </c>
      <c r="AJ116" s="236">
        <f t="shared" si="60"/>
        <v>40283</v>
      </c>
      <c r="AK116" s="58">
        <f t="shared" ca="1" si="61"/>
        <v>3243</v>
      </c>
      <c r="AL116" s="26">
        <f ca="1">IF($A117="","",_xll.SPRDOPT(P116,X116,AI116,0,AB116,AE116,AF116,AK116,$AJ$2,0))</f>
        <v>7.3366256895887508E-2</v>
      </c>
      <c r="AM116" s="89">
        <f t="shared" si="62"/>
        <v>6.4633228544483043E-2</v>
      </c>
      <c r="AN116" s="89">
        <f t="shared" ca="1" si="63"/>
        <v>8.7330283514044649E-3</v>
      </c>
      <c r="AO116" s="3">
        <f t="shared" si="64"/>
        <v>30</v>
      </c>
      <c r="AP116" s="33">
        <f t="shared" si="65"/>
        <v>40269</v>
      </c>
      <c r="AQ116" s="58">
        <f t="shared" ca="1" si="66"/>
        <v>3243</v>
      </c>
      <c r="AR116" s="38">
        <f>'ANR OK vs ML7'!AR116</f>
        <v>0.1</v>
      </c>
      <c r="AS116" s="35">
        <f t="shared" ca="1" si="67"/>
        <v>0.42046202689753703</v>
      </c>
      <c r="AT116" s="3">
        <f t="shared" si="68"/>
        <v>1</v>
      </c>
      <c r="AU116" s="3">
        <f t="shared" si="69"/>
        <v>30</v>
      </c>
      <c r="AW116" s="32">
        <f t="shared" ca="1" si="70"/>
        <v>79345.60683290234</v>
      </c>
      <c r="AX116" s="32">
        <f t="shared" si="71"/>
        <v>69900.836670858407</v>
      </c>
      <c r="AY116" s="32">
        <f t="shared" ca="1" si="72"/>
        <v>9444.7701620439293</v>
      </c>
      <c r="BA116" s="32">
        <f ca="1">IF($A117="","",F116*Summary!$Q$9)</f>
        <v>0</v>
      </c>
      <c r="BC116" s="256">
        <f t="shared" ca="1" si="75"/>
        <v>29390.647468462812</v>
      </c>
    </row>
    <row r="117" spans="1:55">
      <c r="A117" s="67">
        <f t="shared" si="73"/>
        <v>40299</v>
      </c>
      <c r="B117" s="69">
        <f t="shared" si="76"/>
        <v>36050</v>
      </c>
      <c r="C117" s="71"/>
      <c r="D117" s="69">
        <f t="shared" si="38"/>
        <v>36050</v>
      </c>
      <c r="E117" s="70">
        <f t="shared" si="39"/>
        <v>1117550</v>
      </c>
      <c r="F117" s="70">
        <f t="shared" ca="1" si="40"/>
        <v>466136.33166657307</v>
      </c>
      <c r="G117" s="63">
        <f t="shared" si="41"/>
        <v>4.1849999999999996</v>
      </c>
      <c r="H117" s="64">
        <f t="shared" si="42"/>
        <v>4.1849999999999996</v>
      </c>
      <c r="I117" s="43"/>
      <c r="J117" s="63">
        <f t="shared" si="43"/>
        <v>0.18</v>
      </c>
      <c r="K117" s="64">
        <f t="shared" si="44"/>
        <v>0.18</v>
      </c>
      <c r="L117" s="63">
        <f t="shared" si="45"/>
        <v>0</v>
      </c>
      <c r="M117" s="64">
        <f t="shared" si="46"/>
        <v>0</v>
      </c>
      <c r="N117" s="65"/>
      <c r="O117" s="63">
        <f t="shared" si="47"/>
        <v>4.3649999999999993</v>
      </c>
      <c r="P117" s="63">
        <f t="shared" si="48"/>
        <v>4.3649999999999993</v>
      </c>
      <c r="Q117" s="66"/>
      <c r="R117" s="63">
        <f t="shared" si="49"/>
        <v>-0.14000000000000001</v>
      </c>
      <c r="S117" s="64">
        <f t="shared" si="50"/>
        <v>-0.14000000000000001</v>
      </c>
      <c r="T117" s="63">
        <f t="shared" si="51"/>
        <v>-0.01</v>
      </c>
      <c r="U117" s="64">
        <f t="shared" si="52"/>
        <v>-0.01</v>
      </c>
      <c r="V117" s="90">
        <f>IF($A118="","",IF(AND(MONTH(A117)&gt;3,MONTH(A117)&lt;11),(T117+R117+G117)*Summary!$T$9/(1-Summary!$T$9),(T117+R117+G117)*Summary!$U$9/(1-Summary!$U$9)))</f>
        <v>0.19323011631562398</v>
      </c>
      <c r="W117" s="63">
        <f t="shared" si="53"/>
        <v>4.2282301163156228</v>
      </c>
      <c r="X117" s="63">
        <f t="shared" si="54"/>
        <v>4.2282301163156228</v>
      </c>
      <c r="Y117" s="43"/>
      <c r="Z117" s="38">
        <f t="shared" si="55"/>
        <v>0.5</v>
      </c>
      <c r="AA117" s="38">
        <f t="shared" si="56"/>
        <v>0.183</v>
      </c>
      <c r="AB117" s="38">
        <f t="shared" ca="1" si="57"/>
        <v>0.18623415641165267</v>
      </c>
      <c r="AC117" s="38">
        <f t="shared" si="58"/>
        <v>0.4</v>
      </c>
      <c r="AD117" s="38">
        <f t="shared" si="58"/>
        <v>0.183</v>
      </c>
      <c r="AE117" s="38">
        <f t="shared" ca="1" si="59"/>
        <v>0.18508632183992804</v>
      </c>
      <c r="AF117" s="237">
        <f ca="1">((Summary!$N$9*(AA117*AD117)*(A117-$D$3))+(Summary!$M$9*Z117*AC117*(AJ117-EOMONTH(EDATE(A117,-1),0))))/(AK117*AB117*AE117)</f>
        <v>0.99923498096153107</v>
      </c>
      <c r="AG117" s="88">
        <f>IF($A118="","",Summary!$Q$9)</f>
        <v>0</v>
      </c>
      <c r="AH117" s="88">
        <f>IF($A118="","",IF(Summary!$R$9="Y",VLOOKUP($A117,Summary!$AD$6:$AF$9,3)+'Escalating commodity'!E130,'Escalating commodity'!E130))</f>
        <v>7.0699999999999999E-2</v>
      </c>
      <c r="AI117" s="88">
        <f t="shared" si="74"/>
        <v>7.0699999999999999E-2</v>
      </c>
      <c r="AJ117" s="236">
        <f t="shared" si="60"/>
        <v>40313.5</v>
      </c>
      <c r="AK117" s="58">
        <f t="shared" ca="1" si="61"/>
        <v>3273</v>
      </c>
      <c r="AL117" s="26">
        <f ca="1">IF($A118="","",_xll.SPRDOPT(P117,X117,AI117,0,AB117,AE117,AF117,AK117,$AJ$2,0))</f>
        <v>8.4539577939490698E-2</v>
      </c>
      <c r="AM117" s="89">
        <f t="shared" si="62"/>
        <v>6.6069883684376482E-2</v>
      </c>
      <c r="AN117" s="89">
        <f t="shared" ca="1" si="63"/>
        <v>1.8469694255114216E-2</v>
      </c>
      <c r="AO117" s="3">
        <f t="shared" si="64"/>
        <v>31</v>
      </c>
      <c r="AP117" s="33">
        <f t="shared" si="65"/>
        <v>40299</v>
      </c>
      <c r="AQ117" s="58">
        <f t="shared" ca="1" si="66"/>
        <v>3273</v>
      </c>
      <c r="AR117" s="38">
        <f>'ANR OK vs ML7'!AR117</f>
        <v>0.1</v>
      </c>
      <c r="AS117" s="35">
        <f t="shared" ca="1" si="67"/>
        <v>0.41710557171184559</v>
      </c>
      <c r="AT117" s="3">
        <f t="shared" si="68"/>
        <v>1</v>
      </c>
      <c r="AU117" s="3">
        <f t="shared" si="69"/>
        <v>31</v>
      </c>
      <c r="AW117" s="32">
        <f t="shared" ca="1" si="70"/>
        <v>94477.205326277835</v>
      </c>
      <c r="AX117" s="32">
        <f t="shared" si="71"/>
        <v>73836.398511474938</v>
      </c>
      <c r="AY117" s="32">
        <f t="shared" ca="1" si="72"/>
        <v>20640.806814802891</v>
      </c>
      <c r="BA117" s="32">
        <f ca="1">IF($A118="","",F117*Summary!$Q$9)</f>
        <v>0</v>
      </c>
      <c r="BC117" s="256">
        <f t="shared" ca="1" si="75"/>
        <v>30797.573214272419</v>
      </c>
    </row>
    <row r="118" spans="1:55">
      <c r="A118" s="67">
        <f t="shared" si="73"/>
        <v>40330</v>
      </c>
      <c r="B118" s="69">
        <f t="shared" si="76"/>
        <v>36050</v>
      </c>
      <c r="C118" s="71"/>
      <c r="D118" s="69">
        <f t="shared" si="38"/>
        <v>36050</v>
      </c>
      <c r="E118" s="70">
        <f t="shared" si="39"/>
        <v>1081500</v>
      </c>
      <c r="F118" s="70">
        <f t="shared" ca="1" si="40"/>
        <v>447379.10911935323</v>
      </c>
      <c r="G118" s="63">
        <f t="shared" si="41"/>
        <v>4.2549999999999999</v>
      </c>
      <c r="H118" s="64">
        <f t="shared" si="42"/>
        <v>4.2549999999999999</v>
      </c>
      <c r="I118" s="43"/>
      <c r="J118" s="63">
        <f t="shared" si="43"/>
        <v>0.18</v>
      </c>
      <c r="K118" s="64">
        <f t="shared" si="44"/>
        <v>0.18</v>
      </c>
      <c r="L118" s="63">
        <f t="shared" si="45"/>
        <v>0</v>
      </c>
      <c r="M118" s="64">
        <f t="shared" si="46"/>
        <v>0</v>
      </c>
      <c r="N118" s="65"/>
      <c r="O118" s="63">
        <f t="shared" si="47"/>
        <v>4.4349999999999996</v>
      </c>
      <c r="P118" s="63">
        <f t="shared" si="48"/>
        <v>4.4349999999999996</v>
      </c>
      <c r="Q118" s="66"/>
      <c r="R118" s="63">
        <f t="shared" si="49"/>
        <v>-0.14000000000000001</v>
      </c>
      <c r="S118" s="64">
        <f t="shared" si="50"/>
        <v>-0.14000000000000001</v>
      </c>
      <c r="T118" s="63">
        <f t="shared" si="51"/>
        <v>-0.01</v>
      </c>
      <c r="U118" s="64">
        <f t="shared" si="52"/>
        <v>-0.01</v>
      </c>
      <c r="V118" s="90">
        <f>IF($A119="","",IF(AND(MONTH(A118)&gt;3,MONTH(A118)&lt;11),(T118+R118+G118)*Summary!$T$9/(1-Summary!$T$9),(T118+R118+G118)*Summary!$U$9/(1-Summary!$U$9)))</f>
        <v>0.19658231164204126</v>
      </c>
      <c r="W118" s="63">
        <f t="shared" si="53"/>
        <v>4.3015823116420409</v>
      </c>
      <c r="X118" s="63">
        <f t="shared" si="54"/>
        <v>4.3015823116420409</v>
      </c>
      <c r="Y118" s="43"/>
      <c r="Z118" s="38">
        <f t="shared" si="55"/>
        <v>0.5</v>
      </c>
      <c r="AA118" s="38">
        <f t="shared" si="56"/>
        <v>0.183</v>
      </c>
      <c r="AB118" s="38">
        <f t="shared" ca="1" si="57"/>
        <v>0.18610245508683179</v>
      </c>
      <c r="AC118" s="38">
        <f t="shared" si="58"/>
        <v>0.4</v>
      </c>
      <c r="AD118" s="38">
        <f t="shared" si="58"/>
        <v>0.183</v>
      </c>
      <c r="AE118" s="38">
        <f t="shared" ca="1" si="59"/>
        <v>0.18500142742070871</v>
      </c>
      <c r="AF118" s="237">
        <f ca="1">((Summary!$N$9*(AA118*AD118)*(A118-$D$3))+(Summary!$M$9*Z118*AC118*(AJ118-EOMONTH(EDATE(A118,-1),0))))/(AK118*AB118*AE118)</f>
        <v>0.99926098992024537</v>
      </c>
      <c r="AG118" s="88">
        <f>IF($A119="","",Summary!$Q$9)</f>
        <v>0</v>
      </c>
      <c r="AH118" s="88">
        <f>IF($A119="","",IF(Summary!$R$9="Y",VLOOKUP($A118,Summary!$AD$6:$AF$9,3)+'Escalating commodity'!E131,'Escalating commodity'!E131))</f>
        <v>7.0699999999999999E-2</v>
      </c>
      <c r="AI118" s="88">
        <f t="shared" si="74"/>
        <v>7.0699999999999999E-2</v>
      </c>
      <c r="AJ118" s="236">
        <f t="shared" si="60"/>
        <v>40344</v>
      </c>
      <c r="AK118" s="58">
        <f t="shared" ca="1" si="61"/>
        <v>3304</v>
      </c>
      <c r="AL118" s="26">
        <f ca="1">IF($A119="","",_xll.SPRDOPT(P118,X118,AI118,0,AB118,AE118,AF118,AK118,$AJ$2,0))</f>
        <v>8.2062064769531151E-2</v>
      </c>
      <c r="AM118" s="89">
        <f t="shared" si="62"/>
        <v>6.2717688357958754E-2</v>
      </c>
      <c r="AN118" s="89">
        <f t="shared" ca="1" si="63"/>
        <v>1.9344376411572398E-2</v>
      </c>
      <c r="AO118" s="3">
        <f t="shared" si="64"/>
        <v>30</v>
      </c>
      <c r="AP118" s="33">
        <f t="shared" si="65"/>
        <v>40330</v>
      </c>
      <c r="AQ118" s="58">
        <f t="shared" ca="1" si="66"/>
        <v>3304</v>
      </c>
      <c r="AR118" s="38">
        <f>'ANR OK vs ML7'!AR118</f>
        <v>0.1</v>
      </c>
      <c r="AS118" s="35">
        <f t="shared" ca="1" si="67"/>
        <v>0.41366538060041907</v>
      </c>
      <c r="AT118" s="3">
        <f t="shared" si="68"/>
        <v>1</v>
      </c>
      <c r="AU118" s="3">
        <f t="shared" si="69"/>
        <v>30</v>
      </c>
      <c r="AW118" s="32">
        <f t="shared" ca="1" si="70"/>
        <v>88750.123048247944</v>
      </c>
      <c r="AX118" s="32">
        <f t="shared" si="71"/>
        <v>67829.179959132394</v>
      </c>
      <c r="AY118" s="32">
        <f t="shared" ca="1" si="72"/>
        <v>20920.94308911555</v>
      </c>
      <c r="BA118" s="32">
        <f ca="1">IF($A119="","",F118*Summary!$Q$9)</f>
        <v>0</v>
      </c>
      <c r="BC118" s="256">
        <f t="shared" ca="1" si="75"/>
        <v>28058.58354360882</v>
      </c>
    </row>
    <row r="119" spans="1:55">
      <c r="A119" s="67">
        <f t="shared" si="73"/>
        <v>40360</v>
      </c>
      <c r="B119" s="69">
        <f t="shared" si="76"/>
        <v>36050</v>
      </c>
      <c r="C119" s="71"/>
      <c r="D119" s="69">
        <f t="shared" si="38"/>
        <v>36050</v>
      </c>
      <c r="E119" s="70">
        <f t="shared" si="39"/>
        <v>1117550</v>
      </c>
      <c r="F119" s="70">
        <f t="shared" ca="1" si="40"/>
        <v>458601.37352552346</v>
      </c>
      <c r="G119" s="63">
        <f t="shared" si="41"/>
        <v>4.3099999999999996</v>
      </c>
      <c r="H119" s="64">
        <f t="shared" si="42"/>
        <v>4.3099999999999996</v>
      </c>
      <c r="I119" s="43"/>
      <c r="J119" s="63">
        <f t="shared" si="43"/>
        <v>0.18</v>
      </c>
      <c r="K119" s="64">
        <f t="shared" si="44"/>
        <v>0.18</v>
      </c>
      <c r="L119" s="63">
        <f t="shared" si="45"/>
        <v>0</v>
      </c>
      <c r="M119" s="64">
        <f t="shared" si="46"/>
        <v>0</v>
      </c>
      <c r="N119" s="65"/>
      <c r="O119" s="63">
        <f t="shared" si="47"/>
        <v>4.4899999999999993</v>
      </c>
      <c r="P119" s="63">
        <f t="shared" si="48"/>
        <v>4.4899999999999993</v>
      </c>
      <c r="Q119" s="66"/>
      <c r="R119" s="63">
        <f t="shared" si="49"/>
        <v>-0.14000000000000001</v>
      </c>
      <c r="S119" s="64">
        <f t="shared" si="50"/>
        <v>-0.14000000000000001</v>
      </c>
      <c r="T119" s="63">
        <f t="shared" si="51"/>
        <v>-0.01</v>
      </c>
      <c r="U119" s="64">
        <f t="shared" si="52"/>
        <v>-0.01</v>
      </c>
      <c r="V119" s="90">
        <f>IF($A120="","",IF(AND(MONTH(A119)&gt;3,MONTH(A119)&lt;11),(T119+R119+G119)*Summary!$T$9/(1-Summary!$T$9),(T119+R119+G119)*Summary!$U$9/(1-Summary!$U$9)))</f>
        <v>0.19921617939851194</v>
      </c>
      <c r="W119" s="63">
        <f t="shared" si="53"/>
        <v>4.3592161793985111</v>
      </c>
      <c r="X119" s="63">
        <f t="shared" si="54"/>
        <v>4.3592161793985111</v>
      </c>
      <c r="Y119" s="43"/>
      <c r="Z119" s="38">
        <f t="shared" si="55"/>
        <v>0.55000000000000004</v>
      </c>
      <c r="AA119" s="38">
        <f t="shared" si="56"/>
        <v>0.183</v>
      </c>
      <c r="AB119" s="38">
        <f t="shared" ca="1" si="57"/>
        <v>0.18682983814775286</v>
      </c>
      <c r="AC119" s="38">
        <f t="shared" si="58"/>
        <v>0.4</v>
      </c>
      <c r="AD119" s="38">
        <f t="shared" si="58"/>
        <v>0.183</v>
      </c>
      <c r="AE119" s="38">
        <f t="shared" ca="1" si="59"/>
        <v>0.18504836103250372</v>
      </c>
      <c r="AF119" s="237">
        <f ca="1">((Summary!$N$9*(AA119*AD119)*(A119-$D$3))+(Summary!$M$9*Z119*AC119*(AJ119-EOMONTH(EDATE(A119,-1),0))))/(AK119*AB119*AE119)</f>
        <v>0.99843618404333956</v>
      </c>
      <c r="AG119" s="88">
        <f>IF($A120="","",Summary!$Q$9)</f>
        <v>0</v>
      </c>
      <c r="AH119" s="88">
        <f>IF($A120="","",IF(Summary!$R$9="Y",VLOOKUP($A119,Summary!$AD$6:$AF$9,3)+'Escalating commodity'!E132,'Escalating commodity'!E132))</f>
        <v>7.0699999999999999E-2</v>
      </c>
      <c r="AI119" s="88">
        <f t="shared" si="74"/>
        <v>7.0699999999999999E-2</v>
      </c>
      <c r="AJ119" s="236">
        <f t="shared" si="60"/>
        <v>40374.5</v>
      </c>
      <c r="AK119" s="58">
        <f t="shared" ca="1" si="61"/>
        <v>3334</v>
      </c>
      <c r="AL119" s="26">
        <f ca="1">IF($A120="","",_xll.SPRDOPT(P119,X119,AI119,0,AB119,AE119,AF119,AK119,$AJ$2,0))</f>
        <v>9.6129138017660654E-2</v>
      </c>
      <c r="AM119" s="89">
        <f t="shared" si="62"/>
        <v>6.0083820601488189E-2</v>
      </c>
      <c r="AN119" s="89">
        <f t="shared" ca="1" si="63"/>
        <v>3.6045317416172465E-2</v>
      </c>
      <c r="AO119" s="3">
        <f t="shared" si="64"/>
        <v>31</v>
      </c>
      <c r="AP119" s="33">
        <f t="shared" si="65"/>
        <v>40360</v>
      </c>
      <c r="AQ119" s="58">
        <f t="shared" ca="1" si="66"/>
        <v>3334</v>
      </c>
      <c r="AR119" s="38">
        <f>'ANR OK vs ML7'!AR119</f>
        <v>0.1</v>
      </c>
      <c r="AS119" s="35">
        <f t="shared" ca="1" si="67"/>
        <v>0.41036318153597018</v>
      </c>
      <c r="AT119" s="3">
        <f t="shared" si="68"/>
        <v>1</v>
      </c>
      <c r="AU119" s="3">
        <f t="shared" si="69"/>
        <v>31</v>
      </c>
      <c r="AW119" s="32">
        <f t="shared" ca="1" si="70"/>
        <v>107429.11819163666</v>
      </c>
      <c r="AX119" s="32">
        <f t="shared" si="71"/>
        <v>67146.67371319313</v>
      </c>
      <c r="AY119" s="32">
        <f t="shared" ca="1" si="72"/>
        <v>40282.44447844354</v>
      </c>
      <c r="BA119" s="32">
        <f ca="1">IF($A120="","",F119*Summary!$Q$9)</f>
        <v>0</v>
      </c>
      <c r="BC119" s="256">
        <f t="shared" ca="1" si="75"/>
        <v>27554.522654503628</v>
      </c>
    </row>
    <row r="120" spans="1:55">
      <c r="A120" s="67">
        <f t="shared" si="73"/>
        <v>40391</v>
      </c>
      <c r="B120" s="69">
        <f t="shared" si="76"/>
        <v>36050</v>
      </c>
      <c r="C120" s="71"/>
      <c r="D120" s="69">
        <f t="shared" si="38"/>
        <v>36050</v>
      </c>
      <c r="E120" s="70">
        <f t="shared" si="39"/>
        <v>1117550</v>
      </c>
      <c r="F120" s="70">
        <f t="shared" ca="1" si="40"/>
        <v>454818.93455589871</v>
      </c>
      <c r="G120" s="63">
        <f t="shared" si="41"/>
        <v>4.3660000000000005</v>
      </c>
      <c r="H120" s="64">
        <f t="shared" si="42"/>
        <v>4.3660000000000005</v>
      </c>
      <c r="I120" s="43"/>
      <c r="J120" s="63">
        <f t="shared" si="43"/>
        <v>0.18</v>
      </c>
      <c r="K120" s="64">
        <f t="shared" si="44"/>
        <v>0.18</v>
      </c>
      <c r="L120" s="63">
        <f t="shared" si="45"/>
        <v>0</v>
      </c>
      <c r="M120" s="64">
        <f t="shared" si="46"/>
        <v>0</v>
      </c>
      <c r="N120" s="65"/>
      <c r="O120" s="63">
        <f t="shared" si="47"/>
        <v>4.5460000000000003</v>
      </c>
      <c r="P120" s="63">
        <f t="shared" si="48"/>
        <v>4.5460000000000003</v>
      </c>
      <c r="Q120" s="66"/>
      <c r="R120" s="63">
        <f t="shared" si="49"/>
        <v>-0.14000000000000001</v>
      </c>
      <c r="S120" s="64">
        <f t="shared" si="50"/>
        <v>-0.14000000000000001</v>
      </c>
      <c r="T120" s="63">
        <f t="shared" si="51"/>
        <v>-0.01</v>
      </c>
      <c r="U120" s="64">
        <f t="shared" si="52"/>
        <v>-0.01</v>
      </c>
      <c r="V120" s="90">
        <f>IF($A121="","",IF(AND(MONTH(A120)&gt;3,MONTH(A120)&lt;11),(T120+R120+G120)*Summary!$T$9/(1-Summary!$T$9),(T120+R120+G120)*Summary!$U$9/(1-Summary!$U$9)))</f>
        <v>0.20189793565964578</v>
      </c>
      <c r="W120" s="63">
        <f t="shared" si="53"/>
        <v>4.4178979356596457</v>
      </c>
      <c r="X120" s="63">
        <f t="shared" si="54"/>
        <v>4.4178979356596457</v>
      </c>
      <c r="Y120" s="43"/>
      <c r="Z120" s="38">
        <f t="shared" si="55"/>
        <v>0.6</v>
      </c>
      <c r="AA120" s="38">
        <f t="shared" si="56"/>
        <v>0.183</v>
      </c>
      <c r="AB120" s="38">
        <f t="shared" ca="1" si="57"/>
        <v>0.18750253014637622</v>
      </c>
      <c r="AC120" s="38">
        <f t="shared" si="58"/>
        <v>0.5</v>
      </c>
      <c r="AD120" s="38">
        <f t="shared" si="58"/>
        <v>0.183</v>
      </c>
      <c r="AE120" s="38">
        <f t="shared" ca="1" si="59"/>
        <v>0.1861464808499963</v>
      </c>
      <c r="AF120" s="237">
        <f ca="1">((Summary!$N$9*(AA120*AD120)*(A120-$D$3))+(Summary!$M$9*Z120*AC120*(AJ120-EOMONTH(EDATE(A120,-1),0))))/(AK120*AB120*AE120)</f>
        <v>0.99927050080158386</v>
      </c>
      <c r="AG120" s="88">
        <f>IF($A121="","",Summary!$Q$9)</f>
        <v>0</v>
      </c>
      <c r="AH120" s="88">
        <f>IF($A121="","",IF(Summary!$R$9="Y",VLOOKUP($A120,Summary!$AD$6:$AF$9,3)+'Escalating commodity'!E133,'Escalating commodity'!E133))</f>
        <v>7.0699999999999999E-2</v>
      </c>
      <c r="AI120" s="88">
        <f t="shared" si="74"/>
        <v>7.0699999999999999E-2</v>
      </c>
      <c r="AJ120" s="236">
        <f t="shared" si="60"/>
        <v>40405.5</v>
      </c>
      <c r="AK120" s="58">
        <f t="shared" ca="1" si="61"/>
        <v>3365</v>
      </c>
      <c r="AL120" s="26">
        <f ca="1">IF($A121="","",_xll.SPRDOPT(P120,X120,AI120,0,AB120,AE120,AF120,AK120,$AJ$2,0))</f>
        <v>7.9842648101008037E-2</v>
      </c>
      <c r="AM120" s="89">
        <f t="shared" si="62"/>
        <v>5.7402064340354539E-2</v>
      </c>
      <c r="AN120" s="89">
        <f t="shared" ca="1" si="63"/>
        <v>2.2440583760653499E-2</v>
      </c>
      <c r="AO120" s="3">
        <f t="shared" si="64"/>
        <v>31</v>
      </c>
      <c r="AP120" s="33">
        <f t="shared" si="65"/>
        <v>40391</v>
      </c>
      <c r="AQ120" s="58">
        <f t="shared" ca="1" si="66"/>
        <v>3365</v>
      </c>
      <c r="AR120" s="38">
        <f>'ANR OK vs ML7'!AR120</f>
        <v>0.1</v>
      </c>
      <c r="AS120" s="35">
        <f t="shared" ca="1" si="67"/>
        <v>0.40697860011265602</v>
      </c>
      <c r="AT120" s="3">
        <f t="shared" si="68"/>
        <v>1</v>
      </c>
      <c r="AU120" s="3">
        <f t="shared" si="69"/>
        <v>31</v>
      </c>
      <c r="AW120" s="32">
        <f t="shared" ca="1" si="70"/>
        <v>89228.151385281526</v>
      </c>
      <c r="AX120" s="32">
        <f t="shared" si="71"/>
        <v>64149.677003563214</v>
      </c>
      <c r="AY120" s="32">
        <f t="shared" ca="1" si="72"/>
        <v>25078.474381718319</v>
      </c>
      <c r="BA120" s="32">
        <f ca="1">IF($A121="","",F120*Summary!$Q$9)</f>
        <v>0</v>
      </c>
      <c r="BC120" s="256">
        <f t="shared" ca="1" si="75"/>
        <v>26107.545744589199</v>
      </c>
    </row>
    <row r="121" spans="1:55">
      <c r="A121" s="67">
        <f t="shared" si="73"/>
        <v>40422</v>
      </c>
      <c r="B121" s="69">
        <f t="shared" si="76"/>
        <v>36050</v>
      </c>
      <c r="C121" s="71"/>
      <c r="D121" s="69">
        <f t="shared" si="38"/>
        <v>36050</v>
      </c>
      <c r="E121" s="70">
        <f t="shared" si="39"/>
        <v>1081500</v>
      </c>
      <c r="F121" s="70">
        <f t="shared" ca="1" si="40"/>
        <v>436517.12155699969</v>
      </c>
      <c r="G121" s="63">
        <f t="shared" si="41"/>
        <v>4.38</v>
      </c>
      <c r="H121" s="64">
        <f t="shared" si="42"/>
        <v>4.38</v>
      </c>
      <c r="I121" s="43"/>
      <c r="J121" s="63">
        <f t="shared" si="43"/>
        <v>0.18</v>
      </c>
      <c r="K121" s="64">
        <f t="shared" si="44"/>
        <v>0.18</v>
      </c>
      <c r="L121" s="63">
        <f t="shared" si="45"/>
        <v>0</v>
      </c>
      <c r="M121" s="64">
        <f t="shared" si="46"/>
        <v>0</v>
      </c>
      <c r="N121" s="65"/>
      <c r="O121" s="63">
        <f t="shared" si="47"/>
        <v>4.5599999999999996</v>
      </c>
      <c r="P121" s="63">
        <f t="shared" si="48"/>
        <v>4.5599999999999996</v>
      </c>
      <c r="Q121" s="66"/>
      <c r="R121" s="63">
        <f t="shared" si="49"/>
        <v>-0.14000000000000001</v>
      </c>
      <c r="S121" s="64">
        <f t="shared" si="50"/>
        <v>-0.14000000000000001</v>
      </c>
      <c r="T121" s="63">
        <f t="shared" si="51"/>
        <v>-0.01</v>
      </c>
      <c r="U121" s="64">
        <f t="shared" si="52"/>
        <v>-0.01</v>
      </c>
      <c r="V121" s="90">
        <f>IF($A122="","",IF(AND(MONTH(A121)&gt;3,MONTH(A121)&lt;11),(T121+R121+G121)*Summary!$T$9/(1-Summary!$T$9),(T121+R121+G121)*Summary!$U$9/(1-Summary!$U$9)))</f>
        <v>0.20256837472492922</v>
      </c>
      <c r="W121" s="63">
        <f t="shared" si="53"/>
        <v>4.4325683747249291</v>
      </c>
      <c r="X121" s="63">
        <f t="shared" si="54"/>
        <v>4.4325683747249291</v>
      </c>
      <c r="Y121" s="43"/>
      <c r="Z121" s="38">
        <f t="shared" si="55"/>
        <v>0.6</v>
      </c>
      <c r="AA121" s="38">
        <f t="shared" si="56"/>
        <v>0.183</v>
      </c>
      <c r="AB121" s="38">
        <f t="shared" ca="1" si="57"/>
        <v>0.18732049357848604</v>
      </c>
      <c r="AC121" s="38">
        <f t="shared" si="58"/>
        <v>0.55000000000000004</v>
      </c>
      <c r="AD121" s="38">
        <f t="shared" si="58"/>
        <v>0.183</v>
      </c>
      <c r="AE121" s="38">
        <f t="shared" ca="1" si="59"/>
        <v>0.18664134603423208</v>
      </c>
      <c r="AF121" s="237">
        <f ca="1">((Summary!$N$9*(AA121*AD121)*(A121-$D$3))+(Summary!$M$9*Z121*AC121*(AJ121-EOMONTH(EDATE(A121,-1),0))))/(AK121*AB121*AE121)</f>
        <v>0.99975285942257686</v>
      </c>
      <c r="AG121" s="88">
        <f>IF($A122="","",Summary!$Q$9)</f>
        <v>0</v>
      </c>
      <c r="AH121" s="88">
        <f>IF($A122="","",IF(Summary!$R$9="Y",VLOOKUP($A121,Summary!$AD$6:$AF$9,3)+'Escalating commodity'!E134,'Escalating commodity'!E134))</f>
        <v>7.0699999999999999E-2</v>
      </c>
      <c r="AI121" s="88">
        <f t="shared" si="74"/>
        <v>7.0699999999999999E-2</v>
      </c>
      <c r="AJ121" s="236">
        <f t="shared" si="60"/>
        <v>40436</v>
      </c>
      <c r="AK121" s="58">
        <f t="shared" ca="1" si="61"/>
        <v>3396</v>
      </c>
      <c r="AL121" s="26">
        <f ca="1">IF($A122="","",_xll.SPRDOPT(P121,X121,AI121,0,AB121,AE121,AF121,AK121,$AJ$2,0))</f>
        <v>6.785630079400376E-2</v>
      </c>
      <c r="AM121" s="89">
        <f t="shared" si="62"/>
        <v>5.673162527507046E-2</v>
      </c>
      <c r="AN121" s="89">
        <f t="shared" ca="1" si="63"/>
        <v>1.11246755189333E-2</v>
      </c>
      <c r="AO121" s="3">
        <f t="shared" si="64"/>
        <v>30</v>
      </c>
      <c r="AP121" s="33">
        <f t="shared" si="65"/>
        <v>40422</v>
      </c>
      <c r="AQ121" s="58">
        <f t="shared" ca="1" si="66"/>
        <v>3396</v>
      </c>
      <c r="AR121" s="38">
        <f>'ANR OK vs ML7'!AR121</f>
        <v>0.1</v>
      </c>
      <c r="AS121" s="35">
        <f t="shared" ca="1" si="67"/>
        <v>0.40362193394082263</v>
      </c>
      <c r="AT121" s="3">
        <f t="shared" si="68"/>
        <v>1</v>
      </c>
      <c r="AU121" s="3">
        <f t="shared" si="69"/>
        <v>30</v>
      </c>
      <c r="AW121" s="32">
        <f t="shared" ca="1" si="70"/>
        <v>73386.589308715062</v>
      </c>
      <c r="AX121" s="32">
        <f t="shared" si="71"/>
        <v>61355.252734988702</v>
      </c>
      <c r="AY121" s="32">
        <f t="shared" ca="1" si="72"/>
        <v>12031.336573726363</v>
      </c>
      <c r="BA121" s="32">
        <f ca="1">IF($A122="","",F121*Summary!$Q$9)</f>
        <v>0</v>
      </c>
      <c r="BC121" s="256">
        <f t="shared" ca="1" si="75"/>
        <v>24764.325766324087</v>
      </c>
    </row>
    <row r="122" spans="1:55">
      <c r="A122" s="67">
        <f t="shared" si="73"/>
        <v>40452</v>
      </c>
      <c r="B122" s="69">
        <f t="shared" si="76"/>
        <v>36050</v>
      </c>
      <c r="C122" s="71"/>
      <c r="D122" s="69">
        <f t="shared" si="38"/>
        <v>36050</v>
      </c>
      <c r="E122" s="70">
        <f t="shared" si="39"/>
        <v>1117550</v>
      </c>
      <c r="F122" s="70">
        <f t="shared" ca="1" si="40"/>
        <v>447466.91884542454</v>
      </c>
      <c r="G122" s="63">
        <f t="shared" si="41"/>
        <v>4.4110000000000005</v>
      </c>
      <c r="H122" s="64">
        <f t="shared" si="42"/>
        <v>4.4110000000000005</v>
      </c>
      <c r="I122" s="43"/>
      <c r="J122" s="63">
        <f t="shared" si="43"/>
        <v>0.18</v>
      </c>
      <c r="K122" s="64">
        <f t="shared" si="44"/>
        <v>0.18</v>
      </c>
      <c r="L122" s="63">
        <f t="shared" si="45"/>
        <v>0</v>
      </c>
      <c r="M122" s="64">
        <f t="shared" si="46"/>
        <v>0</v>
      </c>
      <c r="N122" s="65"/>
      <c r="O122" s="63">
        <f t="shared" si="47"/>
        <v>4.5910000000000002</v>
      </c>
      <c r="P122" s="63">
        <f t="shared" si="48"/>
        <v>4.5910000000000002</v>
      </c>
      <c r="Q122" s="66"/>
      <c r="R122" s="63">
        <f t="shared" si="49"/>
        <v>-0.14000000000000001</v>
      </c>
      <c r="S122" s="64">
        <f t="shared" si="50"/>
        <v>-0.14000000000000001</v>
      </c>
      <c r="T122" s="63">
        <f t="shared" si="51"/>
        <v>-0.01</v>
      </c>
      <c r="U122" s="64">
        <f t="shared" si="52"/>
        <v>-0.01</v>
      </c>
      <c r="V122" s="90">
        <f>IF($A123="","",IF(AND(MONTH(A122)&gt;3,MONTH(A122)&lt;11),(T122+R122+G122)*Summary!$T$9/(1-Summary!$T$9),(T122+R122+G122)*Summary!$U$9/(1-Summary!$U$9)))</f>
        <v>0.20405291836948547</v>
      </c>
      <c r="W122" s="63">
        <f t="shared" si="53"/>
        <v>4.4650529183694854</v>
      </c>
      <c r="X122" s="63">
        <f t="shared" si="54"/>
        <v>4.4650529183694854</v>
      </c>
      <c r="Y122" s="43"/>
      <c r="Z122" s="38">
        <f t="shared" si="55"/>
        <v>0.65</v>
      </c>
      <c r="AA122" s="38">
        <f t="shared" si="56"/>
        <v>0.183</v>
      </c>
      <c r="AB122" s="38">
        <f t="shared" ca="1" si="57"/>
        <v>0.18817614262659255</v>
      </c>
      <c r="AC122" s="38">
        <f t="shared" si="58"/>
        <v>0.55000000000000004</v>
      </c>
      <c r="AD122" s="38">
        <f t="shared" si="58"/>
        <v>0.183</v>
      </c>
      <c r="AE122" s="38">
        <f t="shared" ca="1" si="59"/>
        <v>0.18672802005440536</v>
      </c>
      <c r="AF122" s="237">
        <f ca="1">((Summary!$N$9*(AA122*AD122)*(A122-$D$3))+(Summary!$M$9*Z122*AC122*(AJ122-EOMONTH(EDATE(A122,-1),0))))/(AK122*AB122*AE122)</f>
        <v>0.99929072082115256</v>
      </c>
      <c r="AG122" s="88">
        <f>IF($A123="","",Summary!$Q$9)</f>
        <v>0</v>
      </c>
      <c r="AH122" s="88">
        <f>IF($A123="","",IF(Summary!$R$9="Y",VLOOKUP($A122,Summary!$AD$6:$AF$9,3)+'Escalating commodity'!E135,'Escalating commodity'!E135))</f>
        <v>7.0699999999999999E-2</v>
      </c>
      <c r="AI122" s="88">
        <f t="shared" si="74"/>
        <v>7.0699999999999999E-2</v>
      </c>
      <c r="AJ122" s="236">
        <f t="shared" si="60"/>
        <v>40466.5</v>
      </c>
      <c r="AK122" s="58">
        <f t="shared" ca="1" si="61"/>
        <v>3426</v>
      </c>
      <c r="AL122" s="26">
        <f ca="1">IF($A123="","",_xll.SPRDOPT(P122,X122,AI122,0,AB122,AE122,AF122,AK122,$AJ$2,0))</f>
        <v>7.8911836876293287E-2</v>
      </c>
      <c r="AM122" s="89">
        <f t="shared" si="62"/>
        <v>5.5247081630514824E-2</v>
      </c>
      <c r="AN122" s="89">
        <f t="shared" ca="1" si="63"/>
        <v>2.3664755245778463E-2</v>
      </c>
      <c r="AO122" s="3">
        <f t="shared" si="64"/>
        <v>31</v>
      </c>
      <c r="AP122" s="33">
        <f t="shared" si="65"/>
        <v>40452</v>
      </c>
      <c r="AQ122" s="58">
        <f t="shared" ca="1" si="66"/>
        <v>3426</v>
      </c>
      <c r="AR122" s="38">
        <f>'ANR OK vs ML7'!AR122</f>
        <v>0.1</v>
      </c>
      <c r="AS122" s="35">
        <f t="shared" ca="1" si="67"/>
        <v>0.4003999094854141</v>
      </c>
      <c r="AT122" s="3">
        <f t="shared" si="68"/>
        <v>1</v>
      </c>
      <c r="AU122" s="3">
        <f t="shared" si="69"/>
        <v>31</v>
      </c>
      <c r="AW122" s="32">
        <f t="shared" ca="1" si="70"/>
        <v>88187.92330110156</v>
      </c>
      <c r="AX122" s="32">
        <f t="shared" si="71"/>
        <v>61741.376076181841</v>
      </c>
      <c r="AY122" s="32">
        <f t="shared" ca="1" si="72"/>
        <v>26446.547224919719</v>
      </c>
      <c r="BA122" s="32">
        <f ca="1">IF($A123="","",F122*Summary!$Q$9)</f>
        <v>0</v>
      </c>
      <c r="BC122" s="256">
        <f t="shared" ca="1" si="75"/>
        <v>24721.241392408123</v>
      </c>
    </row>
    <row r="123" spans="1:55">
      <c r="A123" s="67">
        <f t="shared" si="73"/>
        <v>40483</v>
      </c>
      <c r="B123" s="69">
        <f t="shared" si="76"/>
        <v>36050</v>
      </c>
      <c r="C123" s="71"/>
      <c r="D123" s="69">
        <f t="shared" si="38"/>
        <v>36050</v>
      </c>
      <c r="E123" s="70">
        <f t="shared" si="39"/>
        <v>1081500</v>
      </c>
      <c r="F123" s="70">
        <f t="shared" ca="1" si="40"/>
        <v>429460.94932724914</v>
      </c>
      <c r="G123" s="63">
        <f t="shared" si="41"/>
        <v>4.5440000000000005</v>
      </c>
      <c r="H123" s="64">
        <f t="shared" si="42"/>
        <v>4.5440000000000005</v>
      </c>
      <c r="I123" s="43"/>
      <c r="J123" s="63">
        <f t="shared" si="43"/>
        <v>0.27500000000000002</v>
      </c>
      <c r="K123" s="64">
        <f t="shared" si="44"/>
        <v>0.27500000000000002</v>
      </c>
      <c r="L123" s="63">
        <f t="shared" si="45"/>
        <v>0</v>
      </c>
      <c r="M123" s="64">
        <f t="shared" si="46"/>
        <v>0</v>
      </c>
      <c r="N123" s="65"/>
      <c r="O123" s="63">
        <f t="shared" si="47"/>
        <v>4.8190000000000008</v>
      </c>
      <c r="P123" s="63">
        <f t="shared" si="48"/>
        <v>4.8190000000000008</v>
      </c>
      <c r="Q123" s="66"/>
      <c r="R123" s="63">
        <f t="shared" si="49"/>
        <v>-0.14249999999999999</v>
      </c>
      <c r="S123" s="64">
        <f t="shared" si="50"/>
        <v>-0.14249999999999999</v>
      </c>
      <c r="T123" s="63">
        <f t="shared" si="51"/>
        <v>0.01</v>
      </c>
      <c r="U123" s="64">
        <f t="shared" si="52"/>
        <v>0.01</v>
      </c>
      <c r="V123" s="90">
        <f>IF($A124="","",IF(AND(MONTH(A123)&gt;3,MONTH(A123)&lt;11),(T123+R123+G123)*Summary!$T$9/(1-Summary!$T$9),(T123+R123+G123)*Summary!$U$9/(1-Summary!$U$9)))</f>
        <v>0.2112601383212826</v>
      </c>
      <c r="W123" s="63">
        <f t="shared" si="53"/>
        <v>4.6227601383212829</v>
      </c>
      <c r="X123" s="63">
        <f t="shared" si="54"/>
        <v>4.6227601383212829</v>
      </c>
      <c r="Y123" s="43"/>
      <c r="Z123" s="38">
        <f t="shared" si="55"/>
        <v>0.8</v>
      </c>
      <c r="AA123" s="38">
        <f t="shared" si="56"/>
        <v>0.183</v>
      </c>
      <c r="AB123" s="38">
        <f t="shared" ca="1" si="57"/>
        <v>0.19046170627258027</v>
      </c>
      <c r="AC123" s="38">
        <f t="shared" si="58"/>
        <v>0.8</v>
      </c>
      <c r="AD123" s="38">
        <f t="shared" si="58"/>
        <v>0.183</v>
      </c>
      <c r="AE123" s="38">
        <f t="shared" ca="1" si="59"/>
        <v>0.19046170627258027</v>
      </c>
      <c r="AF123" s="237">
        <f ca="1">((Summary!$N$9*(AA123*AD123)*(A123-$D$3))+(Summary!$M$9*Z123*AC123*(AJ123-EOMONTH(EDATE(A123,-1),0))))/(AK123*AB123*AE123)</f>
        <v>0.9999076551994811</v>
      </c>
      <c r="AG123" s="88">
        <f>IF($A124="","",Summary!$Q$9)</f>
        <v>0</v>
      </c>
      <c r="AH123" s="88">
        <f>IF($A124="","",IF(Summary!$R$9="Y",VLOOKUP($A123,Summary!$AD$6:$AF$9,3)+'Escalating commodity'!E136,'Escalating commodity'!E136))</f>
        <v>7.0699999999999999E-2</v>
      </c>
      <c r="AI123" s="88">
        <f t="shared" si="74"/>
        <v>7.0699999999999999E-2</v>
      </c>
      <c r="AJ123" s="236">
        <f t="shared" si="60"/>
        <v>40497</v>
      </c>
      <c r="AK123" s="58">
        <f t="shared" ca="1" si="61"/>
        <v>3457</v>
      </c>
      <c r="AL123" s="26">
        <f ca="1">IF($A124="","",_xll.SPRDOPT(P123,X123,AI123,0,AB123,AE123,AF123,AK123,$AJ$2,0))</f>
        <v>0.12766662585292335</v>
      </c>
      <c r="AM123" s="89">
        <f t="shared" si="62"/>
        <v>0.125539861678718</v>
      </c>
      <c r="AN123" s="89">
        <f t="shared" ca="1" si="63"/>
        <v>2.1267641742053478E-3</v>
      </c>
      <c r="AO123" s="3">
        <f t="shared" si="64"/>
        <v>30</v>
      </c>
      <c r="AP123" s="33">
        <f t="shared" si="65"/>
        <v>40483</v>
      </c>
      <c r="AQ123" s="58">
        <f t="shared" ca="1" si="66"/>
        <v>3457</v>
      </c>
      <c r="AR123" s="38">
        <f>'ANR OK vs ML7'!AR123</f>
        <v>0.1</v>
      </c>
      <c r="AS123" s="35">
        <f t="shared" ca="1" si="67"/>
        <v>0.39709750284535289</v>
      </c>
      <c r="AT123" s="3">
        <f t="shared" si="68"/>
        <v>1</v>
      </c>
      <c r="AU123" s="3">
        <f t="shared" si="69"/>
        <v>30</v>
      </c>
      <c r="AW123" s="32">
        <f t="shared" ca="1" si="70"/>
        <v>138071.4558599366</v>
      </c>
      <c r="AX123" s="32">
        <f t="shared" si="71"/>
        <v>135771.36040553352</v>
      </c>
      <c r="AY123" s="32">
        <f t="shared" ca="1" si="72"/>
        <v>2300.0954544030837</v>
      </c>
      <c r="BA123" s="32">
        <f ca="1">IF($A124="","",F123*Summary!$Q$9)</f>
        <v>0</v>
      </c>
      <c r="BC123" s="256">
        <f t="shared" ca="1" si="75"/>
        <v>53914.468174953778</v>
      </c>
    </row>
    <row r="124" spans="1:55">
      <c r="A124" s="67">
        <f t="shared" si="73"/>
        <v>40513</v>
      </c>
      <c r="B124" s="69">
        <f t="shared" si="76"/>
        <v>36050</v>
      </c>
      <c r="C124" s="71"/>
      <c r="D124" s="69">
        <f t="shared" si="38"/>
        <v>36050</v>
      </c>
      <c r="E124" s="70">
        <f t="shared" si="39"/>
        <v>1117550</v>
      </c>
      <c r="F124" s="70">
        <f t="shared" ca="1" si="40"/>
        <v>440233.74632924219</v>
      </c>
      <c r="G124" s="63">
        <f t="shared" si="41"/>
        <v>4.6820000000000004</v>
      </c>
      <c r="H124" s="64">
        <f t="shared" si="42"/>
        <v>4.6820000000000004</v>
      </c>
      <c r="I124" s="43"/>
      <c r="J124" s="63">
        <f t="shared" si="43"/>
        <v>0.27500000000000002</v>
      </c>
      <c r="K124" s="64">
        <f t="shared" si="44"/>
        <v>0.27500000000000002</v>
      </c>
      <c r="L124" s="63">
        <f t="shared" si="45"/>
        <v>0</v>
      </c>
      <c r="M124" s="64">
        <f t="shared" si="46"/>
        <v>0</v>
      </c>
      <c r="N124" s="65"/>
      <c r="O124" s="63">
        <f t="shared" si="47"/>
        <v>4.9570000000000007</v>
      </c>
      <c r="P124" s="63">
        <f t="shared" si="48"/>
        <v>4.9570000000000007</v>
      </c>
      <c r="Q124" s="66"/>
      <c r="R124" s="63">
        <f t="shared" si="49"/>
        <v>-0.13750000000000001</v>
      </c>
      <c r="S124" s="64">
        <f t="shared" si="50"/>
        <v>-0.13750000000000001</v>
      </c>
      <c r="T124" s="63">
        <f t="shared" si="51"/>
        <v>0.01</v>
      </c>
      <c r="U124" s="64">
        <f t="shared" si="52"/>
        <v>0.01</v>
      </c>
      <c r="V124" s="90">
        <f>IF($A125="","",IF(AND(MONTH(A124)&gt;3,MONTH(A124)&lt;11),(T124+R124+G124)*Summary!$T$9/(1-Summary!$T$9),(T124+R124+G124)*Summary!$U$9/(1-Summary!$U$9)))</f>
        <v>0.21810819448810645</v>
      </c>
      <c r="W124" s="63">
        <f t="shared" si="53"/>
        <v>4.7726081944881065</v>
      </c>
      <c r="X124" s="63">
        <f t="shared" si="54"/>
        <v>4.7726081944881065</v>
      </c>
      <c r="Y124" s="43"/>
      <c r="Z124" s="38">
        <f t="shared" si="55"/>
        <v>1.1000000000000001</v>
      </c>
      <c r="AA124" s="38">
        <f t="shared" si="56"/>
        <v>0.183</v>
      </c>
      <c r="AB124" s="38">
        <f t="shared" ca="1" si="57"/>
        <v>0.19717290091048437</v>
      </c>
      <c r="AC124" s="38">
        <f t="shared" si="58"/>
        <v>1</v>
      </c>
      <c r="AD124" s="38">
        <f t="shared" si="58"/>
        <v>0.183</v>
      </c>
      <c r="AE124" s="38">
        <f t="shared" ca="1" si="59"/>
        <v>0.1947913901837158</v>
      </c>
      <c r="AF124" s="237">
        <f ca="1">((Summary!$N$9*(AA124*AD124)*(A124-$D$3))+(Summary!$M$9*Z124*AC124*(AJ124-EOMONTH(EDATE(A124,-1),0))))/(AK124*AB124*AE124)</f>
        <v>0.99940794316308701</v>
      </c>
      <c r="AG124" s="88">
        <f>IF($A125="","",Summary!$Q$9)</f>
        <v>0</v>
      </c>
      <c r="AH124" s="88">
        <f>IF($A125="","",IF(Summary!$R$9="Y",VLOOKUP($A124,Summary!$AD$6:$AF$9,3)+'Escalating commodity'!E137,'Escalating commodity'!E137))</f>
        <v>7.0699999999999999E-2</v>
      </c>
      <c r="AI124" s="88">
        <f t="shared" si="74"/>
        <v>7.0699999999999999E-2</v>
      </c>
      <c r="AJ124" s="236">
        <f t="shared" si="60"/>
        <v>40527.5</v>
      </c>
      <c r="AK124" s="58">
        <f t="shared" ca="1" si="61"/>
        <v>3487</v>
      </c>
      <c r="AL124" s="26">
        <f ca="1">IF($A125="","",_xll.SPRDOPT(P124,X124,AI124,0,AB124,AE124,AF124,AK124,$AJ$2,0))</f>
        <v>0.12864532883629287</v>
      </c>
      <c r="AM124" s="89">
        <f t="shared" si="62"/>
        <v>0.11369180551189427</v>
      </c>
      <c r="AN124" s="89">
        <f t="shared" ca="1" si="63"/>
        <v>1.4953523324398602E-2</v>
      </c>
      <c r="AO124" s="3">
        <f t="shared" si="64"/>
        <v>31</v>
      </c>
      <c r="AP124" s="33">
        <f t="shared" si="65"/>
        <v>40513</v>
      </c>
      <c r="AQ124" s="58">
        <f t="shared" ca="1" si="66"/>
        <v>3487</v>
      </c>
      <c r="AR124" s="38">
        <f>'ANR OK vs ML7'!AR124</f>
        <v>0.1</v>
      </c>
      <c r="AS124" s="35">
        <f t="shared" ca="1" si="67"/>
        <v>0.39392756147755553</v>
      </c>
      <c r="AT124" s="3">
        <f t="shared" si="68"/>
        <v>1</v>
      </c>
      <c r="AU124" s="3">
        <f t="shared" si="69"/>
        <v>31</v>
      </c>
      <c r="AW124" s="32">
        <f t="shared" ca="1" si="70"/>
        <v>143767.5872409991</v>
      </c>
      <c r="AX124" s="32">
        <f t="shared" si="71"/>
        <v>127056.27724981745</v>
      </c>
      <c r="AY124" s="32">
        <f t="shared" ca="1" si="72"/>
        <v>16711.309991181657</v>
      </c>
      <c r="BA124" s="32">
        <f ca="1">IF($A125="","",F124*Summary!$Q$9)</f>
        <v>0</v>
      </c>
      <c r="BC124" s="256">
        <f t="shared" ca="1" si="75"/>
        <v>50050.9694674368</v>
      </c>
    </row>
    <row r="125" spans="1:55">
      <c r="A125" s="67">
        <f t="shared" si="73"/>
        <v>40544</v>
      </c>
      <c r="B125" s="69">
        <f t="shared" si="76"/>
        <v>36050</v>
      </c>
      <c r="C125" s="71"/>
      <c r="D125" s="69">
        <f t="shared" si="38"/>
        <v>36050</v>
      </c>
      <c r="E125" s="70">
        <f t="shared" si="39"/>
        <v>1117550</v>
      </c>
      <c r="F125" s="70">
        <f t="shared" ca="1" si="40"/>
        <v>436602.79933695868</v>
      </c>
      <c r="G125" s="63">
        <f t="shared" si="41"/>
        <v>4.7140000000000004</v>
      </c>
      <c r="H125" s="64">
        <f t="shared" si="42"/>
        <v>4.7140000000000004</v>
      </c>
      <c r="I125" s="43"/>
      <c r="J125" s="63">
        <f t="shared" si="43"/>
        <v>0.27500000000000002</v>
      </c>
      <c r="K125" s="64">
        <f t="shared" si="44"/>
        <v>0.27500000000000002</v>
      </c>
      <c r="L125" s="63">
        <f t="shared" si="45"/>
        <v>0</v>
      </c>
      <c r="M125" s="64">
        <f t="shared" si="46"/>
        <v>0</v>
      </c>
      <c r="N125" s="65"/>
      <c r="O125" s="63">
        <f t="shared" si="47"/>
        <v>4.9890000000000008</v>
      </c>
      <c r="P125" s="63">
        <f t="shared" si="48"/>
        <v>4.9890000000000008</v>
      </c>
      <c r="Q125" s="66"/>
      <c r="R125" s="63">
        <f t="shared" si="49"/>
        <v>-0.13750000000000001</v>
      </c>
      <c r="S125" s="64">
        <f t="shared" si="50"/>
        <v>-0.13750000000000001</v>
      </c>
      <c r="T125" s="63">
        <f t="shared" si="51"/>
        <v>0.01</v>
      </c>
      <c r="U125" s="64">
        <f t="shared" si="52"/>
        <v>0.01</v>
      </c>
      <c r="V125" s="90">
        <f>IF($A126="","",IF(AND(MONTH(A125)&gt;3,MONTH(A125)&lt;11),(T125+R125+G125)*Summary!$T$9/(1-Summary!$T$9),(T125+R125+G125)*Summary!$U$9/(1-Summary!$U$9)))</f>
        <v>0.21964062663732575</v>
      </c>
      <c r="W125" s="63">
        <f t="shared" si="53"/>
        <v>4.8061406266373261</v>
      </c>
      <c r="X125" s="63">
        <f t="shared" si="54"/>
        <v>4.8061406266373261</v>
      </c>
      <c r="Y125" s="43"/>
      <c r="Z125" s="38">
        <f t="shared" si="55"/>
        <v>1.1000000000000001</v>
      </c>
      <c r="AA125" s="38">
        <f t="shared" si="56"/>
        <v>0.183</v>
      </c>
      <c r="AB125" s="38">
        <f t="shared" ca="1" si="57"/>
        <v>0.19705246355723099</v>
      </c>
      <c r="AC125" s="38">
        <f t="shared" si="58"/>
        <v>1</v>
      </c>
      <c r="AD125" s="38">
        <f t="shared" si="58"/>
        <v>0.183</v>
      </c>
      <c r="AE125" s="38">
        <f t="shared" ca="1" si="59"/>
        <v>0.19469060526748616</v>
      </c>
      <c r="AF125" s="237">
        <f ca="1">((Summary!$N$9*(AA125*AD125)*(A125-$D$3))+(Summary!$M$9*Z125*AC125*(AJ125-EOMONTH(EDATE(A125,-1),0))))/(AK125*AB125*AE125)</f>
        <v>0.99941116484738457</v>
      </c>
      <c r="AG125" s="88">
        <f>IF($A126="","",Summary!$Q$9)</f>
        <v>0</v>
      </c>
      <c r="AH125" s="88">
        <f>IF($A126="","",IF(Summary!$R$9="Y",VLOOKUP($A125,Summary!$AD$6:$AF$9,3)+'Escalating commodity'!E138,'Escalating commodity'!E138))</f>
        <v>7.0699999999999999E-2</v>
      </c>
      <c r="AI125" s="88">
        <f t="shared" si="74"/>
        <v>7.0699999999999999E-2</v>
      </c>
      <c r="AJ125" s="236">
        <f t="shared" si="60"/>
        <v>40558.5</v>
      </c>
      <c r="AK125" s="58">
        <f t="shared" ca="1" si="61"/>
        <v>3518</v>
      </c>
      <c r="AL125" s="26">
        <f ca="1">IF($A126="","",_xll.SPRDOPT(P125,X125,AI125,0,AB125,AE125,AF125,AK125,$AJ$2,0))</f>
        <v>0.12757673154277069</v>
      </c>
      <c r="AM125" s="89">
        <f t="shared" si="62"/>
        <v>0.11215937336267466</v>
      </c>
      <c r="AN125" s="89">
        <f t="shared" ca="1" si="63"/>
        <v>1.5417358180096027E-2</v>
      </c>
      <c r="AO125" s="3">
        <f t="shared" si="64"/>
        <v>31</v>
      </c>
      <c r="AP125" s="33">
        <f t="shared" si="65"/>
        <v>40544</v>
      </c>
      <c r="AQ125" s="58">
        <f t="shared" ca="1" si="66"/>
        <v>3518</v>
      </c>
      <c r="AR125" s="38">
        <f>'ANR OK vs ML7'!AR125</f>
        <v>0.1</v>
      </c>
      <c r="AS125" s="35">
        <f t="shared" ca="1" si="67"/>
        <v>0.39067853727972679</v>
      </c>
      <c r="AT125" s="3">
        <f t="shared" si="68"/>
        <v>1</v>
      </c>
      <c r="AU125" s="3">
        <f t="shared" si="69"/>
        <v>31</v>
      </c>
      <c r="AW125" s="32">
        <f t="shared" ca="1" si="70"/>
        <v>142573.37633562338</v>
      </c>
      <c r="AX125" s="32">
        <f t="shared" si="71"/>
        <v>125343.70770145707</v>
      </c>
      <c r="AY125" s="32">
        <f t="shared" ca="1" si="72"/>
        <v>17229.668634166315</v>
      </c>
      <c r="BA125" s="32">
        <f ca="1">IF($A126="","",F125*Summary!$Q$9)</f>
        <v>0</v>
      </c>
      <c r="BC125" s="256">
        <f t="shared" ca="1" si="75"/>
        <v>48969.096382022872</v>
      </c>
    </row>
    <row r="126" spans="1:55">
      <c r="A126" s="67">
        <f t="shared" si="73"/>
        <v>40575</v>
      </c>
      <c r="B126" s="69">
        <f t="shared" si="76"/>
        <v>36050</v>
      </c>
      <c r="C126" s="71"/>
      <c r="D126" s="69">
        <f t="shared" si="38"/>
        <v>36050</v>
      </c>
      <c r="E126" s="70">
        <f t="shared" si="39"/>
        <v>1009400</v>
      </c>
      <c r="F126" s="70">
        <f t="shared" ca="1" si="40"/>
        <v>391098.39960517839</v>
      </c>
      <c r="G126" s="63">
        <f t="shared" si="41"/>
        <v>4.5940000000000003</v>
      </c>
      <c r="H126" s="64">
        <f t="shared" si="42"/>
        <v>4.5940000000000003</v>
      </c>
      <c r="I126" s="43"/>
      <c r="J126" s="63">
        <f t="shared" si="43"/>
        <v>0.27500000000000002</v>
      </c>
      <c r="K126" s="64">
        <f t="shared" si="44"/>
        <v>0.27500000000000002</v>
      </c>
      <c r="L126" s="63">
        <f t="shared" si="45"/>
        <v>0</v>
      </c>
      <c r="M126" s="64">
        <f t="shared" si="46"/>
        <v>0</v>
      </c>
      <c r="N126" s="65"/>
      <c r="O126" s="63">
        <f t="shared" si="47"/>
        <v>4.8690000000000007</v>
      </c>
      <c r="P126" s="63">
        <f t="shared" si="48"/>
        <v>4.8690000000000007</v>
      </c>
      <c r="Q126" s="66"/>
      <c r="R126" s="63">
        <f t="shared" si="49"/>
        <v>-0.14000000000000001</v>
      </c>
      <c r="S126" s="64">
        <f t="shared" si="50"/>
        <v>-0.14000000000000001</v>
      </c>
      <c r="T126" s="63">
        <f t="shared" si="51"/>
        <v>0.01</v>
      </c>
      <c r="U126" s="64">
        <f t="shared" si="52"/>
        <v>0.01</v>
      </c>
      <c r="V126" s="90">
        <f>IF($A127="","",IF(AND(MONTH(A126)&gt;3,MONTH(A126)&lt;11),(T126+R126+G126)*Summary!$T$9/(1-Summary!$T$9),(T126+R126+G126)*Summary!$U$9/(1-Summary!$U$9)))</f>
        <v>0.21377428481609556</v>
      </c>
      <c r="W126" s="63">
        <f t="shared" si="53"/>
        <v>4.6777742848160964</v>
      </c>
      <c r="X126" s="63">
        <f t="shared" si="54"/>
        <v>4.6777742848160964</v>
      </c>
      <c r="Y126" s="43"/>
      <c r="Z126" s="38">
        <f t="shared" si="55"/>
        <v>1.1000000000000001</v>
      </c>
      <c r="AA126" s="38">
        <f t="shared" si="56"/>
        <v>0.183</v>
      </c>
      <c r="AB126" s="38">
        <f t="shared" ca="1" si="57"/>
        <v>0.19563131579992946</v>
      </c>
      <c r="AC126" s="38">
        <f t="shared" si="58"/>
        <v>1</v>
      </c>
      <c r="AD126" s="38">
        <f t="shared" si="58"/>
        <v>0.183</v>
      </c>
      <c r="AE126" s="38">
        <f t="shared" ca="1" si="59"/>
        <v>0.19350247893695785</v>
      </c>
      <c r="AF126" s="237">
        <f ca="1">((Summary!$N$9*(AA126*AD126)*(A126-$D$3))+(Summary!$M$9*Z126*AC126*(AJ126-EOMONTH(EDATE(A126,-1),0))))/(AK126*AB126*AE126)</f>
        <v>0.99945033266838157</v>
      </c>
      <c r="AG126" s="88">
        <f>IF($A127="","",Summary!$Q$9)</f>
        <v>0</v>
      </c>
      <c r="AH126" s="88">
        <f>IF($A127="","",IF(Summary!$R$9="Y",VLOOKUP($A126,Summary!$AD$6:$AF$9,3)+'Escalating commodity'!E139,'Escalating commodity'!E139))</f>
        <v>7.0699999999999999E-2</v>
      </c>
      <c r="AI126" s="88">
        <f t="shared" si="74"/>
        <v>7.0699999999999999E-2</v>
      </c>
      <c r="AJ126" s="236">
        <f t="shared" si="60"/>
        <v>40588</v>
      </c>
      <c r="AK126" s="58">
        <f t="shared" ca="1" si="61"/>
        <v>3549</v>
      </c>
      <c r="AL126" s="26">
        <f ca="1">IF($A127="","",_xll.SPRDOPT(P126,X126,AI126,0,AB126,AE126,AF126,AK126,$AJ$2,0))</f>
        <v>0.13285855853179596</v>
      </c>
      <c r="AM126" s="89">
        <f t="shared" si="62"/>
        <v>0.1205257151839043</v>
      </c>
      <c r="AN126" s="89">
        <f t="shared" ca="1" si="63"/>
        <v>1.2332843347891656E-2</v>
      </c>
      <c r="AO126" s="3">
        <f t="shared" si="64"/>
        <v>28</v>
      </c>
      <c r="AP126" s="33">
        <f t="shared" si="65"/>
        <v>40575</v>
      </c>
      <c r="AQ126" s="58">
        <f t="shared" ca="1" si="66"/>
        <v>3549</v>
      </c>
      <c r="AR126" s="38">
        <f>'ANR OK vs ML7'!AR126</f>
        <v>0.1</v>
      </c>
      <c r="AS126" s="35">
        <f t="shared" ca="1" si="67"/>
        <v>0.38745631028846678</v>
      </c>
      <c r="AT126" s="3">
        <f t="shared" si="68"/>
        <v>1</v>
      </c>
      <c r="AU126" s="3">
        <f t="shared" si="69"/>
        <v>28</v>
      </c>
      <c r="AW126" s="32">
        <f t="shared" ca="1" si="70"/>
        <v>134107.42898199483</v>
      </c>
      <c r="AX126" s="32">
        <f t="shared" si="71"/>
        <v>121658.656906633</v>
      </c>
      <c r="AY126" s="32">
        <f t="shared" ca="1" si="72"/>
        <v>12448.772075361838</v>
      </c>
      <c r="BA126" s="32">
        <f ca="1">IF($A127="","",F126*Summary!$Q$9)</f>
        <v>0</v>
      </c>
      <c r="BC126" s="256">
        <f t="shared" ca="1" si="75"/>
        <v>47137.414319694522</v>
      </c>
    </row>
    <row r="127" spans="1:55">
      <c r="A127" s="67">
        <f t="shared" si="73"/>
        <v>40603</v>
      </c>
      <c r="B127" s="69">
        <f t="shared" si="76"/>
        <v>36050</v>
      </c>
      <c r="C127" s="71"/>
      <c r="D127" s="69">
        <f t="shared" si="38"/>
        <v>36050</v>
      </c>
      <c r="E127" s="70">
        <f t="shared" si="39"/>
        <v>1117550</v>
      </c>
      <c r="F127" s="70">
        <f t="shared" ca="1" si="40"/>
        <v>429774.81841821817</v>
      </c>
      <c r="G127" s="63">
        <f t="shared" si="41"/>
        <v>4.4550000000000001</v>
      </c>
      <c r="H127" s="64">
        <f t="shared" si="42"/>
        <v>4.4550000000000001</v>
      </c>
      <c r="I127" s="43"/>
      <c r="J127" s="63">
        <f t="shared" si="43"/>
        <v>0.27500000000000002</v>
      </c>
      <c r="K127" s="64">
        <f t="shared" si="44"/>
        <v>0.27500000000000002</v>
      </c>
      <c r="L127" s="63">
        <f t="shared" si="45"/>
        <v>0</v>
      </c>
      <c r="M127" s="64">
        <f t="shared" si="46"/>
        <v>0</v>
      </c>
      <c r="N127" s="65"/>
      <c r="O127" s="63">
        <f t="shared" si="47"/>
        <v>4.7300000000000004</v>
      </c>
      <c r="P127" s="63">
        <f t="shared" si="48"/>
        <v>4.7300000000000004</v>
      </c>
      <c r="Q127" s="66"/>
      <c r="R127" s="63">
        <f t="shared" si="49"/>
        <v>-0.14249999999999999</v>
      </c>
      <c r="S127" s="64">
        <f t="shared" si="50"/>
        <v>-0.14249999999999999</v>
      </c>
      <c r="T127" s="63">
        <f t="shared" si="51"/>
        <v>0.01</v>
      </c>
      <c r="U127" s="64">
        <f t="shared" si="52"/>
        <v>0.01</v>
      </c>
      <c r="V127" s="90">
        <f>IF($A128="","",IF(AND(MONTH(A127)&gt;3,MONTH(A127)&lt;11),(T127+R127+G127)*Summary!$T$9/(1-Summary!$T$9),(T127+R127+G127)*Summary!$U$9/(1-Summary!$U$9)))</f>
        <v>0.20699806140626634</v>
      </c>
      <c r="W127" s="63">
        <f t="shared" si="53"/>
        <v>4.5294980614062661</v>
      </c>
      <c r="X127" s="63">
        <f t="shared" si="54"/>
        <v>4.5294980614062661</v>
      </c>
      <c r="Y127" s="43"/>
      <c r="Z127" s="38">
        <f t="shared" si="55"/>
        <v>0.75</v>
      </c>
      <c r="AA127" s="38">
        <f t="shared" si="56"/>
        <v>0.18</v>
      </c>
      <c r="AB127" s="38">
        <f t="shared" ca="1" si="57"/>
        <v>0.18667218713963701</v>
      </c>
      <c r="AC127" s="38">
        <f t="shared" si="58"/>
        <v>0.75</v>
      </c>
      <c r="AD127" s="38">
        <f t="shared" si="58"/>
        <v>0.18</v>
      </c>
      <c r="AE127" s="38">
        <f t="shared" ca="1" si="59"/>
        <v>0.18667218713963701</v>
      </c>
      <c r="AF127" s="237">
        <f ca="1">((Summary!$N$9*(AA127*AD127)*(A127-$D$3))+(Summary!$M$9*Z127*AC127*(AJ127-EOMONTH(EDATE(A127,-1),0))))/(AK127*AB127*AE127)</f>
        <v>0.99990699481210599</v>
      </c>
      <c r="AG127" s="88">
        <f>IF($A128="","",Summary!$Q$9)</f>
        <v>0</v>
      </c>
      <c r="AH127" s="88">
        <f>IF($A128="","",IF(Summary!$R$9="Y",VLOOKUP($A127,Summary!$AD$6:$AF$9,3)+'Escalating commodity'!E140,'Escalating commodity'!E140))</f>
        <v>7.0699999999999999E-2</v>
      </c>
      <c r="AI127" s="88">
        <f t="shared" si="74"/>
        <v>7.0699999999999999E-2</v>
      </c>
      <c r="AJ127" s="236">
        <f t="shared" si="60"/>
        <v>40617.5</v>
      </c>
      <c r="AK127" s="58">
        <f t="shared" ca="1" si="61"/>
        <v>3577</v>
      </c>
      <c r="AL127" s="26">
        <f ca="1">IF($A128="","",_xll.SPRDOPT(P127,X127,AI127,0,AB127,AE127,AF127,AK127,$AJ$2,0))</f>
        <v>0.1317356955850803</v>
      </c>
      <c r="AM127" s="89">
        <f t="shared" si="62"/>
        <v>0.12980193859373435</v>
      </c>
      <c r="AN127" s="89">
        <f t="shared" ca="1" si="63"/>
        <v>1.9337569913459585E-3</v>
      </c>
      <c r="AO127" s="3">
        <f t="shared" si="64"/>
        <v>31</v>
      </c>
      <c r="AP127" s="33">
        <f t="shared" si="65"/>
        <v>40603</v>
      </c>
      <c r="AQ127" s="58">
        <f t="shared" ca="1" si="66"/>
        <v>3577</v>
      </c>
      <c r="AR127" s="38">
        <f>'ANR OK vs ML7'!AR127</f>
        <v>0.1</v>
      </c>
      <c r="AS127" s="35">
        <f t="shared" ca="1" si="67"/>
        <v>0.38456876060866912</v>
      </c>
      <c r="AT127" s="3">
        <f t="shared" si="68"/>
        <v>1</v>
      </c>
      <c r="AU127" s="3">
        <f t="shared" si="69"/>
        <v>31</v>
      </c>
      <c r="AW127" s="32">
        <f t="shared" ca="1" si="70"/>
        <v>147221.22660110649</v>
      </c>
      <c r="AX127" s="32">
        <f t="shared" si="71"/>
        <v>145060.15647542782</v>
      </c>
      <c r="AY127" s="32">
        <f t="shared" ca="1" si="72"/>
        <v>2161.070125678676</v>
      </c>
      <c r="BA127" s="32">
        <f ca="1">IF($A128="","",F127*Summary!$Q$9)</f>
        <v>0</v>
      </c>
      <c r="BC127" s="256">
        <f t="shared" ca="1" si="75"/>
        <v>55785.604589454881</v>
      </c>
    </row>
    <row r="128" spans="1:55">
      <c r="A128" s="67">
        <f t="shared" si="73"/>
        <v>40634</v>
      </c>
      <c r="B128" s="69">
        <f t="shared" si="76"/>
        <v>36050</v>
      </c>
      <c r="C128" s="71"/>
      <c r="D128" s="69">
        <f t="shared" si="38"/>
        <v>36050</v>
      </c>
      <c r="E128" s="70">
        <f t="shared" si="39"/>
        <v>1081500</v>
      </c>
      <c r="F128" s="70">
        <f t="shared" ca="1" si="40"/>
        <v>412480.77509522776</v>
      </c>
      <c r="G128" s="63">
        <f t="shared" si="41"/>
        <v>4.28</v>
      </c>
      <c r="H128" s="64">
        <f t="shared" si="42"/>
        <v>4.28</v>
      </c>
      <c r="I128" s="43"/>
      <c r="J128" s="63">
        <f t="shared" si="43"/>
        <v>0.18</v>
      </c>
      <c r="K128" s="64">
        <f t="shared" si="44"/>
        <v>0.18</v>
      </c>
      <c r="L128" s="63">
        <f t="shared" si="45"/>
        <v>0</v>
      </c>
      <c r="M128" s="64">
        <f t="shared" si="46"/>
        <v>0</v>
      </c>
      <c r="N128" s="65"/>
      <c r="O128" s="63">
        <f t="shared" si="47"/>
        <v>4.46</v>
      </c>
      <c r="P128" s="63">
        <f t="shared" si="48"/>
        <v>4.46</v>
      </c>
      <c r="Q128" s="66"/>
      <c r="R128" s="63">
        <f t="shared" si="49"/>
        <v>-0.14000000000000001</v>
      </c>
      <c r="S128" s="64">
        <f t="shared" si="50"/>
        <v>-0.14000000000000001</v>
      </c>
      <c r="T128" s="63">
        <f t="shared" si="51"/>
        <v>-0.01</v>
      </c>
      <c r="U128" s="64">
        <f t="shared" si="52"/>
        <v>-0.01</v>
      </c>
      <c r="V128" s="90">
        <f>IF($A129="","",IF(AND(MONTH(A128)&gt;3,MONTH(A128)&lt;11),(T128+R128+G128)*Summary!$T$9/(1-Summary!$T$9),(T128+R128+G128)*Summary!$U$9/(1-Summary!$U$9)))</f>
        <v>0.19777952425861886</v>
      </c>
      <c r="W128" s="63">
        <f t="shared" si="53"/>
        <v>4.3277795242586183</v>
      </c>
      <c r="X128" s="63">
        <f t="shared" si="54"/>
        <v>4.3277795242586183</v>
      </c>
      <c r="Y128" s="43"/>
      <c r="Z128" s="38">
        <f t="shared" si="55"/>
        <v>0.45</v>
      </c>
      <c r="AA128" s="38">
        <f t="shared" si="56"/>
        <v>0.18</v>
      </c>
      <c r="AB128" s="38">
        <f t="shared" ca="1" si="57"/>
        <v>0.18234818124065244</v>
      </c>
      <c r="AC128" s="38">
        <f t="shared" si="58"/>
        <v>0.4</v>
      </c>
      <c r="AD128" s="38">
        <f t="shared" si="58"/>
        <v>0.18</v>
      </c>
      <c r="AE128" s="38">
        <f t="shared" ca="1" si="59"/>
        <v>0.18186304878785139</v>
      </c>
      <c r="AF128" s="237">
        <f ca="1">((Summary!$N$9*(AA128*AD128)*(A128-$D$3))+(Summary!$M$9*Z128*AC128*(AJ128-EOMONTH(EDATE(A128,-1),0))))/(AK128*AB128*AE128)</f>
        <v>0.9997491132385925</v>
      </c>
      <c r="AG128" s="88">
        <f>IF($A129="","",Summary!$Q$9)</f>
        <v>0</v>
      </c>
      <c r="AH128" s="88">
        <f>IF($A129="","",IF(Summary!$R$9="Y",VLOOKUP($A128,Summary!$AD$6:$AF$9,3)+'Escalating commodity'!E141,'Escalating commodity'!E141))</f>
        <v>7.0699999999999999E-2</v>
      </c>
      <c r="AI128" s="88">
        <f t="shared" si="74"/>
        <v>7.0699999999999999E-2</v>
      </c>
      <c r="AJ128" s="236">
        <f t="shared" si="60"/>
        <v>40648</v>
      </c>
      <c r="AK128" s="58">
        <f t="shared" ca="1" si="61"/>
        <v>3608</v>
      </c>
      <c r="AL128" s="26">
        <f ca="1">IF($A129="","",_xll.SPRDOPT(P128,X128,AI128,0,AB128,AE128,AF128,AK128,$AJ$2,0))</f>
        <v>7.1297252594413774E-2</v>
      </c>
      <c r="AM128" s="89">
        <f t="shared" si="62"/>
        <v>6.1520475741381628E-2</v>
      </c>
      <c r="AN128" s="89">
        <f t="shared" ca="1" si="63"/>
        <v>9.7767768530321458E-3</v>
      </c>
      <c r="AO128" s="3">
        <f t="shared" si="64"/>
        <v>30</v>
      </c>
      <c r="AP128" s="33">
        <f t="shared" si="65"/>
        <v>40634</v>
      </c>
      <c r="AQ128" s="58">
        <f t="shared" ca="1" si="66"/>
        <v>3608</v>
      </c>
      <c r="AR128" s="38">
        <f>'ANR OK vs ML7'!AR128</f>
        <v>0.1</v>
      </c>
      <c r="AS128" s="35">
        <f t="shared" ca="1" si="67"/>
        <v>0.38139692565439459</v>
      </c>
      <c r="AT128" s="3">
        <f t="shared" si="68"/>
        <v>1</v>
      </c>
      <c r="AU128" s="3">
        <f t="shared" si="69"/>
        <v>30</v>
      </c>
      <c r="AW128" s="32">
        <f t="shared" ca="1" si="70"/>
        <v>77107.97868085849</v>
      </c>
      <c r="AX128" s="32">
        <f t="shared" si="71"/>
        <v>66534.394514304237</v>
      </c>
      <c r="AY128" s="32">
        <f t="shared" ca="1" si="72"/>
        <v>10573.584166554265</v>
      </c>
      <c r="BA128" s="32">
        <f ca="1">IF($A129="","",F128*Summary!$Q$9)</f>
        <v>0</v>
      </c>
      <c r="BC128" s="256">
        <f t="shared" ca="1" si="75"/>
        <v>25376.01351803225</v>
      </c>
    </row>
    <row r="129" spans="1:55">
      <c r="A129" s="67">
        <f t="shared" si="73"/>
        <v>40664</v>
      </c>
      <c r="B129" s="69">
        <f t="shared" si="76"/>
        <v>36050</v>
      </c>
      <c r="C129" s="71"/>
      <c r="D129" s="69">
        <f t="shared" si="38"/>
        <v>36050</v>
      </c>
      <c r="E129" s="70">
        <f t="shared" si="39"/>
        <v>1117550</v>
      </c>
      <c r="F129" s="70">
        <f t="shared" ca="1" si="40"/>
        <v>422827.63355648372</v>
      </c>
      <c r="G129" s="63">
        <f t="shared" si="41"/>
        <v>4.25</v>
      </c>
      <c r="H129" s="64">
        <f t="shared" si="42"/>
        <v>4.25</v>
      </c>
      <c r="I129" s="43"/>
      <c r="J129" s="63">
        <f t="shared" si="43"/>
        <v>0.18</v>
      </c>
      <c r="K129" s="64">
        <f t="shared" si="44"/>
        <v>0.18</v>
      </c>
      <c r="L129" s="63">
        <f t="shared" si="45"/>
        <v>0</v>
      </c>
      <c r="M129" s="64">
        <f t="shared" si="46"/>
        <v>0</v>
      </c>
      <c r="N129" s="65"/>
      <c r="O129" s="63">
        <f t="shared" si="47"/>
        <v>4.43</v>
      </c>
      <c r="P129" s="63">
        <f t="shared" si="48"/>
        <v>4.43</v>
      </c>
      <c r="Q129" s="66"/>
      <c r="R129" s="63">
        <f t="shared" si="49"/>
        <v>-0.14000000000000001</v>
      </c>
      <c r="S129" s="64">
        <f t="shared" si="50"/>
        <v>-0.14000000000000001</v>
      </c>
      <c r="T129" s="63">
        <f t="shared" si="51"/>
        <v>-0.01</v>
      </c>
      <c r="U129" s="64">
        <f t="shared" si="52"/>
        <v>-0.01</v>
      </c>
      <c r="V129" s="90">
        <f>IF($A130="","",IF(AND(MONTH(A129)&gt;3,MONTH(A129)&lt;11),(T129+R129+G129)*Summary!$T$9/(1-Summary!$T$9),(T129+R129+G129)*Summary!$U$9/(1-Summary!$U$9)))</f>
        <v>0.19634286911872573</v>
      </c>
      <c r="W129" s="63">
        <f t="shared" si="53"/>
        <v>4.2963428691187255</v>
      </c>
      <c r="X129" s="63">
        <f t="shared" si="54"/>
        <v>4.2963428691187255</v>
      </c>
      <c r="Y129" s="43"/>
      <c r="Z129" s="38">
        <f t="shared" si="55"/>
        <v>0.5</v>
      </c>
      <c r="AA129" s="38">
        <f t="shared" si="56"/>
        <v>0.18</v>
      </c>
      <c r="AB129" s="38">
        <f t="shared" ca="1" si="57"/>
        <v>0.18295915302806107</v>
      </c>
      <c r="AC129" s="38">
        <f t="shared" si="58"/>
        <v>0.4</v>
      </c>
      <c r="AD129" s="38">
        <f t="shared" si="58"/>
        <v>0.18</v>
      </c>
      <c r="AE129" s="38">
        <f t="shared" ca="1" si="59"/>
        <v>0.18190821650037237</v>
      </c>
      <c r="AF129" s="237">
        <f ca="1">((Summary!$N$9*(AA129*AD129)*(A129-$D$3))+(Summary!$M$9*Z129*AC129*(AJ129-EOMONTH(EDATE(A129,-1),0))))/(AK129*AB129*AE129)</f>
        <v>0.99927913785311107</v>
      </c>
      <c r="AG129" s="88">
        <f>IF($A130="","",Summary!$Q$9)</f>
        <v>0</v>
      </c>
      <c r="AH129" s="88">
        <f>IF($A130="","",IF(Summary!$R$9="Y",VLOOKUP($A129,Summary!$AD$6:$AF$9,3)+'Escalating commodity'!E142,'Escalating commodity'!E142))</f>
        <v>7.0699999999999999E-2</v>
      </c>
      <c r="AI129" s="88">
        <f t="shared" si="74"/>
        <v>7.0699999999999999E-2</v>
      </c>
      <c r="AJ129" s="236">
        <f t="shared" si="60"/>
        <v>40678.5</v>
      </c>
      <c r="AK129" s="58">
        <f t="shared" ca="1" si="61"/>
        <v>3638</v>
      </c>
      <c r="AL129" s="26">
        <f ca="1">IF($A130="","",_xll.SPRDOPT(P129,X129,AI129,0,AB129,AE129,AF129,AK129,$AJ$2,0))</f>
        <v>8.2947497148061447E-2</v>
      </c>
      <c r="AM129" s="89">
        <f t="shared" si="62"/>
        <v>6.2957130881274179E-2</v>
      </c>
      <c r="AN129" s="89">
        <f t="shared" ca="1" si="63"/>
        <v>1.9990366266787268E-2</v>
      </c>
      <c r="AO129" s="3">
        <f t="shared" si="64"/>
        <v>31</v>
      </c>
      <c r="AP129" s="33">
        <f t="shared" si="65"/>
        <v>40664</v>
      </c>
      <c r="AQ129" s="58">
        <f t="shared" ca="1" si="66"/>
        <v>3638</v>
      </c>
      <c r="AR129" s="38">
        <f>'ANR OK vs ML7'!AR129</f>
        <v>0.1</v>
      </c>
      <c r="AS129" s="35">
        <f t="shared" ca="1" si="67"/>
        <v>0.3783523185150407</v>
      </c>
      <c r="AT129" s="3">
        <f t="shared" si="68"/>
        <v>1</v>
      </c>
      <c r="AU129" s="3">
        <f t="shared" si="69"/>
        <v>31</v>
      </c>
      <c r="AW129" s="32">
        <f t="shared" ca="1" si="70"/>
        <v>92697.975437816072</v>
      </c>
      <c r="AX129" s="32">
        <f t="shared" si="71"/>
        <v>70357.741616367959</v>
      </c>
      <c r="AY129" s="32">
        <f t="shared" ca="1" si="72"/>
        <v>22340.233821448113</v>
      </c>
      <c r="BA129" s="32">
        <f ca="1">IF($A130="","",F129*Summary!$Q$9)</f>
        <v>0</v>
      </c>
      <c r="BC129" s="256">
        <f t="shared" ca="1" si="75"/>
        <v>26620.014666034982</v>
      </c>
    </row>
    <row r="130" spans="1:55">
      <c r="A130" s="67">
        <f t="shared" si="73"/>
        <v>40695</v>
      </c>
      <c r="B130" s="69">
        <f t="shared" si="76"/>
        <v>36050</v>
      </c>
      <c r="C130" s="71"/>
      <c r="D130" s="69">
        <f t="shared" si="38"/>
        <v>36050</v>
      </c>
      <c r="E130" s="70">
        <f t="shared" si="39"/>
        <v>1081500</v>
      </c>
      <c r="F130" s="70">
        <f t="shared" ca="1" si="40"/>
        <v>405813.14341069869</v>
      </c>
      <c r="G130" s="63">
        <f t="shared" si="41"/>
        <v>4.32</v>
      </c>
      <c r="H130" s="64">
        <f t="shared" si="42"/>
        <v>4.32</v>
      </c>
      <c r="I130" s="43"/>
      <c r="J130" s="63">
        <f t="shared" si="43"/>
        <v>0.18</v>
      </c>
      <c r="K130" s="64">
        <f t="shared" si="44"/>
        <v>0.18</v>
      </c>
      <c r="L130" s="63">
        <f t="shared" si="45"/>
        <v>0</v>
      </c>
      <c r="M130" s="64">
        <f t="shared" si="46"/>
        <v>0</v>
      </c>
      <c r="N130" s="65"/>
      <c r="O130" s="63">
        <f t="shared" si="47"/>
        <v>4.5</v>
      </c>
      <c r="P130" s="63">
        <f t="shared" si="48"/>
        <v>4.5</v>
      </c>
      <c r="Q130" s="66"/>
      <c r="R130" s="63">
        <f t="shared" si="49"/>
        <v>-0.14000000000000001</v>
      </c>
      <c r="S130" s="64">
        <f t="shared" si="50"/>
        <v>-0.14000000000000001</v>
      </c>
      <c r="T130" s="63">
        <f t="shared" si="51"/>
        <v>-0.01</v>
      </c>
      <c r="U130" s="64">
        <f t="shared" si="52"/>
        <v>-0.01</v>
      </c>
      <c r="V130" s="90">
        <f>IF($A131="","",IF(AND(MONTH(A130)&gt;3,MONTH(A130)&lt;11),(T130+R130+G130)*Summary!$T$9/(1-Summary!$T$9),(T130+R130+G130)*Summary!$U$9/(1-Summary!$U$9)))</f>
        <v>0.19969506444514301</v>
      </c>
      <c r="W130" s="63">
        <f t="shared" si="53"/>
        <v>4.3696950644451427</v>
      </c>
      <c r="X130" s="63">
        <f t="shared" si="54"/>
        <v>4.3696950644451427</v>
      </c>
      <c r="Y130" s="43"/>
      <c r="Z130" s="38">
        <f t="shared" si="55"/>
        <v>0.5</v>
      </c>
      <c r="AA130" s="38">
        <f t="shared" si="56"/>
        <v>0.18</v>
      </c>
      <c r="AB130" s="38">
        <f t="shared" ca="1" si="57"/>
        <v>0.18284120871469822</v>
      </c>
      <c r="AC130" s="38">
        <f t="shared" si="58"/>
        <v>0.4</v>
      </c>
      <c r="AD130" s="38">
        <f t="shared" si="58"/>
        <v>0.18</v>
      </c>
      <c r="AE130" s="38">
        <f t="shared" ca="1" si="59"/>
        <v>0.18183223018647457</v>
      </c>
      <c r="AF130" s="237">
        <f ca="1">((Summary!$N$9*(AA130*AD130)*(A130-$D$3))+(Summary!$M$9*Z130*AC130*(AJ130-EOMONTH(EDATE(A130,-1),0))))/(AK130*AB130*AE130)</f>
        <v>0.99930298064779466</v>
      </c>
      <c r="AG130" s="88">
        <f>IF($A131="","",Summary!$Q$9)</f>
        <v>0</v>
      </c>
      <c r="AH130" s="88">
        <f>IF($A131="","",IF(Summary!$R$9="Y",VLOOKUP($A130,Summary!$AD$6:$AF$9,3)+'Escalating commodity'!E143,'Escalating commodity'!E143))</f>
        <v>7.0699999999999999E-2</v>
      </c>
      <c r="AI130" s="88">
        <f t="shared" si="74"/>
        <v>7.0699999999999999E-2</v>
      </c>
      <c r="AJ130" s="236">
        <f t="shared" si="60"/>
        <v>40709</v>
      </c>
      <c r="AK130" s="58">
        <f t="shared" ca="1" si="61"/>
        <v>3669</v>
      </c>
      <c r="AL130" s="26">
        <f ca="1">IF($A131="","",_xll.SPRDOPT(P130,X130,AI130,0,AB130,AE130,AF130,AK130,$AJ$2,0))</f>
        <v>8.0464032715850092E-2</v>
      </c>
      <c r="AM130" s="89">
        <f t="shared" si="62"/>
        <v>5.9604935554857338E-2</v>
      </c>
      <c r="AN130" s="89">
        <f t="shared" ca="1" si="63"/>
        <v>2.0859097160992754E-2</v>
      </c>
      <c r="AO130" s="3">
        <f t="shared" si="64"/>
        <v>30</v>
      </c>
      <c r="AP130" s="33">
        <f t="shared" si="65"/>
        <v>40695</v>
      </c>
      <c r="AQ130" s="58">
        <f t="shared" ca="1" si="66"/>
        <v>3669</v>
      </c>
      <c r="AR130" s="38">
        <f>'ANR OK vs ML7'!AR130</f>
        <v>0.1</v>
      </c>
      <c r="AS130" s="35">
        <f t="shared" ca="1" si="67"/>
        <v>0.37523175534969827</v>
      </c>
      <c r="AT130" s="3">
        <f t="shared" si="68"/>
        <v>1</v>
      </c>
      <c r="AU130" s="3">
        <f t="shared" si="69"/>
        <v>30</v>
      </c>
      <c r="AW130" s="32">
        <f t="shared" ca="1" si="70"/>
        <v>87021.851382191875</v>
      </c>
      <c r="AX130" s="32">
        <f t="shared" si="71"/>
        <v>64462.737802578209</v>
      </c>
      <c r="AY130" s="32">
        <f t="shared" ca="1" si="72"/>
        <v>22559.113579613662</v>
      </c>
      <c r="BA130" s="32">
        <f ca="1">IF($A131="","",F130*Summary!$Q$9)</f>
        <v>0</v>
      </c>
      <c r="BC130" s="256">
        <f t="shared" ca="1" si="75"/>
        <v>24188.466260308775</v>
      </c>
    </row>
    <row r="131" spans="1:55">
      <c r="A131" s="67">
        <f t="shared" si="73"/>
        <v>40725</v>
      </c>
      <c r="B131" s="69">
        <f t="shared" si="76"/>
        <v>36050</v>
      </c>
      <c r="C131" s="71"/>
      <c r="D131" s="69">
        <f t="shared" si="38"/>
        <v>36050</v>
      </c>
      <c r="E131" s="70">
        <f t="shared" si="39"/>
        <v>1117550</v>
      </c>
      <c r="F131" s="70">
        <f t="shared" ca="1" si="40"/>
        <v>415992.74791618978</v>
      </c>
      <c r="G131" s="63">
        <f t="shared" si="41"/>
        <v>4.375</v>
      </c>
      <c r="H131" s="64">
        <f t="shared" si="42"/>
        <v>4.375</v>
      </c>
      <c r="I131" s="43"/>
      <c r="J131" s="63">
        <f t="shared" si="43"/>
        <v>0.18</v>
      </c>
      <c r="K131" s="64">
        <f t="shared" si="44"/>
        <v>0.18</v>
      </c>
      <c r="L131" s="63">
        <f t="shared" si="45"/>
        <v>0</v>
      </c>
      <c r="M131" s="64">
        <f t="shared" si="46"/>
        <v>0</v>
      </c>
      <c r="N131" s="65"/>
      <c r="O131" s="63">
        <f t="shared" si="47"/>
        <v>4.5549999999999997</v>
      </c>
      <c r="P131" s="63">
        <f t="shared" si="48"/>
        <v>4.5549999999999997</v>
      </c>
      <c r="Q131" s="66"/>
      <c r="R131" s="63">
        <f t="shared" si="49"/>
        <v>-0.14000000000000001</v>
      </c>
      <c r="S131" s="64">
        <f t="shared" si="50"/>
        <v>-0.14000000000000001</v>
      </c>
      <c r="T131" s="63">
        <f t="shared" si="51"/>
        <v>-0.01</v>
      </c>
      <c r="U131" s="64">
        <f t="shared" si="52"/>
        <v>-0.01</v>
      </c>
      <c r="V131" s="90">
        <f>IF($A132="","",IF(AND(MONTH(A131)&gt;3,MONTH(A131)&lt;11),(T131+R131+G131)*Summary!$T$9/(1-Summary!$T$9),(T131+R131+G131)*Summary!$U$9/(1-Summary!$U$9)))</f>
        <v>0.20232893220161371</v>
      </c>
      <c r="W131" s="63">
        <f t="shared" si="53"/>
        <v>4.4273289322016129</v>
      </c>
      <c r="X131" s="63">
        <f t="shared" si="54"/>
        <v>4.4273289322016129</v>
      </c>
      <c r="Y131" s="43"/>
      <c r="Z131" s="38">
        <f t="shared" si="55"/>
        <v>0.55000000000000004</v>
      </c>
      <c r="AA131" s="38">
        <f t="shared" si="56"/>
        <v>0.18</v>
      </c>
      <c r="AB131" s="38">
        <f t="shared" ca="1" si="57"/>
        <v>0.18351112075547349</v>
      </c>
      <c r="AC131" s="38">
        <f t="shared" si="58"/>
        <v>0.4</v>
      </c>
      <c r="AD131" s="38">
        <f t="shared" si="58"/>
        <v>0.18</v>
      </c>
      <c r="AE131" s="38">
        <f t="shared" ca="1" si="59"/>
        <v>0.18187691056717115</v>
      </c>
      <c r="AF131" s="237">
        <f ca="1">((Summary!$N$9*(AA131*AD131)*(A131-$D$3))+(Summary!$M$9*Z131*AC131*(AJ131-EOMONTH(EDATE(A131,-1),0))))/(AK131*AB131*AE131)</f>
        <v>0.99853049995786747</v>
      </c>
      <c r="AG131" s="88">
        <f>IF($A132="","",Summary!$Q$9)</f>
        <v>0</v>
      </c>
      <c r="AH131" s="88">
        <f>IF($A132="","",IF(Summary!$R$9="Y",VLOOKUP($A131,Summary!$AD$6:$AF$9,3)+'Escalating commodity'!E144,'Escalating commodity'!E144))</f>
        <v>7.0699999999999999E-2</v>
      </c>
      <c r="AI131" s="88">
        <f t="shared" si="74"/>
        <v>7.0699999999999999E-2</v>
      </c>
      <c r="AJ131" s="236">
        <f t="shared" si="60"/>
        <v>40739.5</v>
      </c>
      <c r="AK131" s="58">
        <f t="shared" ca="1" si="61"/>
        <v>3699</v>
      </c>
      <c r="AL131" s="26">
        <f ca="1">IF($A132="","",_xll.SPRDOPT(P131,X131,AI131,0,AB131,AE131,AF131,AK131,$AJ$2,0))</f>
        <v>9.513929990612921E-2</v>
      </c>
      <c r="AM131" s="89">
        <f t="shared" si="62"/>
        <v>5.6971067798386774E-2</v>
      </c>
      <c r="AN131" s="89">
        <f t="shared" ca="1" si="63"/>
        <v>3.8168232107742436E-2</v>
      </c>
      <c r="AO131" s="3">
        <f t="shared" si="64"/>
        <v>31</v>
      </c>
      <c r="AP131" s="33">
        <f t="shared" si="65"/>
        <v>40725</v>
      </c>
      <c r="AQ131" s="58">
        <f t="shared" ca="1" si="66"/>
        <v>3699</v>
      </c>
      <c r="AR131" s="38">
        <f>'ANR OK vs ML7'!AR131</f>
        <v>0.1</v>
      </c>
      <c r="AS131" s="35">
        <f t="shared" ca="1" si="67"/>
        <v>0.3722363633986755</v>
      </c>
      <c r="AT131" s="3">
        <f t="shared" si="68"/>
        <v>1</v>
      </c>
      <c r="AU131" s="3">
        <f t="shared" si="69"/>
        <v>31</v>
      </c>
      <c r="AW131" s="32">
        <f t="shared" ca="1" si="70"/>
        <v>106322.92461009471</v>
      </c>
      <c r="AX131" s="32">
        <f t="shared" si="71"/>
        <v>63668.016818087141</v>
      </c>
      <c r="AY131" s="32">
        <f t="shared" ca="1" si="72"/>
        <v>42654.907792007558</v>
      </c>
      <c r="BA131" s="32">
        <f ca="1">IF($A132="","",F131*Summary!$Q$9)</f>
        <v>0</v>
      </c>
      <c r="BC131" s="256">
        <f t="shared" ca="1" si="75"/>
        <v>23699.551045170465</v>
      </c>
    </row>
    <row r="132" spans="1:55">
      <c r="A132" s="67">
        <f t="shared" si="73"/>
        <v>40756</v>
      </c>
      <c r="B132" s="69">
        <f t="shared" si="76"/>
        <v>36050</v>
      </c>
      <c r="C132" s="71"/>
      <c r="D132" s="69">
        <f t="shared" si="38"/>
        <v>36050</v>
      </c>
      <c r="E132" s="70">
        <f t="shared" si="39"/>
        <v>1117550</v>
      </c>
      <c r="F132" s="70">
        <f t="shared" ca="1" si="40"/>
        <v>412561.73512025469</v>
      </c>
      <c r="G132" s="63">
        <f t="shared" si="41"/>
        <v>4.431</v>
      </c>
      <c r="H132" s="64">
        <f t="shared" si="42"/>
        <v>4.431</v>
      </c>
      <c r="I132" s="43"/>
      <c r="J132" s="63">
        <f t="shared" si="43"/>
        <v>0.18</v>
      </c>
      <c r="K132" s="64">
        <f t="shared" si="44"/>
        <v>0.18</v>
      </c>
      <c r="L132" s="63">
        <f t="shared" si="45"/>
        <v>0</v>
      </c>
      <c r="M132" s="64">
        <f t="shared" si="46"/>
        <v>0</v>
      </c>
      <c r="N132" s="65"/>
      <c r="O132" s="63">
        <f t="shared" si="47"/>
        <v>4.6109999999999998</v>
      </c>
      <c r="P132" s="63">
        <f t="shared" si="48"/>
        <v>4.6109999999999998</v>
      </c>
      <c r="Q132" s="66"/>
      <c r="R132" s="63">
        <f t="shared" si="49"/>
        <v>-0.14000000000000001</v>
      </c>
      <c r="S132" s="64">
        <f t="shared" si="50"/>
        <v>-0.14000000000000001</v>
      </c>
      <c r="T132" s="63">
        <f t="shared" si="51"/>
        <v>-0.01</v>
      </c>
      <c r="U132" s="64">
        <f t="shared" si="52"/>
        <v>-0.01</v>
      </c>
      <c r="V132" s="90">
        <f>IF($A133="","",IF(AND(MONTH(A132)&gt;3,MONTH(A132)&lt;11),(T132+R132+G132)*Summary!$T$9/(1-Summary!$T$9),(T132+R132+G132)*Summary!$U$9/(1-Summary!$U$9)))</f>
        <v>0.20501068846274753</v>
      </c>
      <c r="W132" s="63">
        <f t="shared" si="53"/>
        <v>4.4860106884627475</v>
      </c>
      <c r="X132" s="63">
        <f t="shared" si="54"/>
        <v>4.4860106884627475</v>
      </c>
      <c r="Y132" s="43"/>
      <c r="Z132" s="38">
        <f t="shared" si="55"/>
        <v>0.6</v>
      </c>
      <c r="AA132" s="38">
        <f t="shared" si="56"/>
        <v>0.18</v>
      </c>
      <c r="AB132" s="38">
        <f t="shared" ca="1" si="57"/>
        <v>0.18413219403286479</v>
      </c>
      <c r="AC132" s="38">
        <f t="shared" si="58"/>
        <v>0.5</v>
      </c>
      <c r="AD132" s="38">
        <f t="shared" si="58"/>
        <v>0.18</v>
      </c>
      <c r="AE132" s="38">
        <f t="shared" ca="1" si="59"/>
        <v>0.18288674178768621</v>
      </c>
      <c r="AF132" s="237">
        <f ca="1">((Summary!$N$9*(AA132*AD132)*(A132-$D$3))+(Summary!$M$9*Z132*AC132*(AJ132-EOMONTH(EDATE(A132,-1),0))))/(AK132*AB132*AE132)</f>
        <v>0.99930979835893607</v>
      </c>
      <c r="AG132" s="88">
        <f>IF($A133="","",Summary!$Q$9)</f>
        <v>0</v>
      </c>
      <c r="AH132" s="88">
        <f>IF($A133="","",IF(Summary!$R$9="Y",VLOOKUP($A132,Summary!$AD$6:$AF$9,3)+'Escalating commodity'!E145,'Escalating commodity'!E145))</f>
        <v>7.0699999999999999E-2</v>
      </c>
      <c r="AI132" s="88">
        <f t="shared" si="74"/>
        <v>7.0699999999999999E-2</v>
      </c>
      <c r="AJ132" s="236">
        <f t="shared" si="60"/>
        <v>40770.5</v>
      </c>
      <c r="AK132" s="58">
        <f t="shared" ca="1" si="61"/>
        <v>3730</v>
      </c>
      <c r="AL132" s="26">
        <f ca="1">IF($A133="","",_xll.SPRDOPT(P132,X132,AI132,0,AB132,AE132,AF132,AK132,$AJ$2,0))</f>
        <v>7.8333539849942443E-2</v>
      </c>
      <c r="AM132" s="89">
        <f t="shared" si="62"/>
        <v>5.4289311537252236E-2</v>
      </c>
      <c r="AN132" s="89">
        <f t="shared" ca="1" si="63"/>
        <v>2.4044228312690208E-2</v>
      </c>
      <c r="AO132" s="3">
        <f t="shared" si="64"/>
        <v>31</v>
      </c>
      <c r="AP132" s="33">
        <f t="shared" si="65"/>
        <v>40756</v>
      </c>
      <c r="AQ132" s="58">
        <f t="shared" ca="1" si="66"/>
        <v>3730</v>
      </c>
      <c r="AR132" s="38">
        <f>'ANR OK vs ML7'!AR132</f>
        <v>0.1</v>
      </c>
      <c r="AS132" s="35">
        <f t="shared" ca="1" si="67"/>
        <v>0.36916624322871877</v>
      </c>
      <c r="AT132" s="3">
        <f t="shared" si="68"/>
        <v>1</v>
      </c>
      <c r="AU132" s="3">
        <f t="shared" si="69"/>
        <v>31</v>
      </c>
      <c r="AW132" s="32">
        <f t="shared" ca="1" si="70"/>
        <v>87541.647459303174</v>
      </c>
      <c r="AX132" s="32">
        <f t="shared" si="71"/>
        <v>60671.020108456236</v>
      </c>
      <c r="AY132" s="32">
        <f t="shared" ca="1" si="72"/>
        <v>26870.627350846942</v>
      </c>
      <c r="BA132" s="32">
        <f ca="1">IF($A133="","",F132*Summary!$Q$9)</f>
        <v>0</v>
      </c>
      <c r="BC132" s="256">
        <f t="shared" ca="1" si="75"/>
        <v>22397.692566292844</v>
      </c>
    </row>
    <row r="133" spans="1:55">
      <c r="A133" s="67">
        <f t="shared" si="73"/>
        <v>40787</v>
      </c>
      <c r="B133" s="69">
        <f t="shared" si="76"/>
        <v>36050</v>
      </c>
      <c r="C133" s="71"/>
      <c r="D133" s="69">
        <f t="shared" si="38"/>
        <v>36050</v>
      </c>
      <c r="E133" s="70">
        <f t="shared" si="39"/>
        <v>1081500</v>
      </c>
      <c r="F133" s="70">
        <f t="shared" ca="1" si="40"/>
        <v>395960.342449466</v>
      </c>
      <c r="G133" s="63">
        <f t="shared" si="41"/>
        <v>4.4450000000000003</v>
      </c>
      <c r="H133" s="64">
        <f t="shared" si="42"/>
        <v>4.4450000000000003</v>
      </c>
      <c r="I133" s="43"/>
      <c r="J133" s="63">
        <f t="shared" si="43"/>
        <v>0.18</v>
      </c>
      <c r="K133" s="64">
        <f t="shared" si="44"/>
        <v>0.18</v>
      </c>
      <c r="L133" s="63">
        <f t="shared" si="45"/>
        <v>0</v>
      </c>
      <c r="M133" s="64">
        <f t="shared" si="46"/>
        <v>0</v>
      </c>
      <c r="N133" s="65"/>
      <c r="O133" s="63">
        <f t="shared" si="47"/>
        <v>4.625</v>
      </c>
      <c r="P133" s="63">
        <f t="shared" si="48"/>
        <v>4.625</v>
      </c>
      <c r="Q133" s="66"/>
      <c r="R133" s="63">
        <f t="shared" si="49"/>
        <v>-0.14000000000000001</v>
      </c>
      <c r="S133" s="64">
        <f t="shared" si="50"/>
        <v>-0.14000000000000001</v>
      </c>
      <c r="T133" s="63">
        <f t="shared" si="51"/>
        <v>-0.01</v>
      </c>
      <c r="U133" s="64">
        <f t="shared" si="52"/>
        <v>-0.01</v>
      </c>
      <c r="V133" s="90">
        <f>IF($A134="","",IF(AND(MONTH(A133)&gt;3,MONTH(A133)&lt;11),(T133+R133+G133)*Summary!$T$9/(1-Summary!$T$9),(T133+R133+G133)*Summary!$U$9/(1-Summary!$U$9)))</f>
        <v>0.205681127528031</v>
      </c>
      <c r="W133" s="63">
        <f t="shared" si="53"/>
        <v>4.500681127528031</v>
      </c>
      <c r="X133" s="63">
        <f t="shared" si="54"/>
        <v>4.500681127528031</v>
      </c>
      <c r="Y133" s="43"/>
      <c r="Z133" s="38">
        <f t="shared" si="55"/>
        <v>0.6</v>
      </c>
      <c r="AA133" s="38">
        <f t="shared" si="56"/>
        <v>0.18</v>
      </c>
      <c r="AB133" s="38">
        <f t="shared" ca="1" si="57"/>
        <v>0.18396848394300067</v>
      </c>
      <c r="AC133" s="38">
        <f t="shared" si="58"/>
        <v>0.55000000000000004</v>
      </c>
      <c r="AD133" s="38">
        <f t="shared" si="58"/>
        <v>0.18</v>
      </c>
      <c r="AE133" s="38">
        <f t="shared" ca="1" si="59"/>
        <v>0.18334414574160443</v>
      </c>
      <c r="AF133" s="237">
        <f ca="1">((Summary!$N$9*(AA133*AD133)*(A133-$D$3))+(Summary!$M$9*Z133*AC133*(AJ133-EOMONTH(EDATE(A133,-1),0))))/(AK133*AB133*AE133)</f>
        <v>0.99976189009607652</v>
      </c>
      <c r="AG133" s="88">
        <f>IF($A134="","",Summary!$Q$9)</f>
        <v>0</v>
      </c>
      <c r="AH133" s="88">
        <f>IF($A134="","",IF(Summary!$R$9="Y",VLOOKUP($A133,Summary!$AD$6:$AF$9,3)+'Escalating commodity'!E146,'Escalating commodity'!E146))</f>
        <v>7.0699999999999999E-2</v>
      </c>
      <c r="AI133" s="88">
        <f t="shared" si="74"/>
        <v>7.0699999999999999E-2</v>
      </c>
      <c r="AJ133" s="236">
        <f t="shared" si="60"/>
        <v>40801</v>
      </c>
      <c r="AK133" s="58">
        <f t="shared" ca="1" si="61"/>
        <v>3761</v>
      </c>
      <c r="AL133" s="26">
        <f ca="1">IF($A134="","",_xll.SPRDOPT(P133,X133,AI133,0,AB133,AE133,AF133,AK133,$AJ$2,0))</f>
        <v>6.588369214632489E-2</v>
      </c>
      <c r="AM133" s="89">
        <f t="shared" si="62"/>
        <v>5.3618872471969045E-2</v>
      </c>
      <c r="AN133" s="89">
        <f t="shared" ca="1" si="63"/>
        <v>1.2264819674355845E-2</v>
      </c>
      <c r="AO133" s="3">
        <f t="shared" si="64"/>
        <v>30</v>
      </c>
      <c r="AP133" s="33">
        <f t="shared" si="65"/>
        <v>40787</v>
      </c>
      <c r="AQ133" s="58">
        <f t="shared" ca="1" si="66"/>
        <v>3761</v>
      </c>
      <c r="AR133" s="38">
        <f>'ANR OK vs ML7'!AR133</f>
        <v>0.1</v>
      </c>
      <c r="AS133" s="35">
        <f t="shared" ca="1" si="67"/>
        <v>0.3661214447059325</v>
      </c>
      <c r="AT133" s="3">
        <f t="shared" si="68"/>
        <v>1</v>
      </c>
      <c r="AU133" s="3">
        <f t="shared" si="69"/>
        <v>30</v>
      </c>
      <c r="AW133" s="32">
        <f t="shared" ca="1" si="70"/>
        <v>71253.213056250373</v>
      </c>
      <c r="AX133" s="32">
        <f t="shared" si="71"/>
        <v>57988.810578434524</v>
      </c>
      <c r="AY133" s="32">
        <f t="shared" ca="1" si="72"/>
        <v>13264.402477815847</v>
      </c>
      <c r="BA133" s="32">
        <f ca="1">IF($A134="","",F133*Summary!$Q$9)</f>
        <v>0</v>
      </c>
      <c r="BC133" s="256">
        <f t="shared" ca="1" si="75"/>
        <v>21230.947105755109</v>
      </c>
    </row>
    <row r="134" spans="1:55">
      <c r="A134" s="67">
        <f t="shared" si="73"/>
        <v>40817</v>
      </c>
      <c r="B134" s="69">
        <f t="shared" si="76"/>
        <v>36050</v>
      </c>
      <c r="C134" s="71"/>
      <c r="D134" s="69">
        <f t="shared" si="38"/>
        <v>36050</v>
      </c>
      <c r="E134" s="70">
        <f t="shared" si="39"/>
        <v>1117550</v>
      </c>
      <c r="F134" s="70">
        <f t="shared" ca="1" si="40"/>
        <v>405892.79474048287</v>
      </c>
      <c r="G134" s="63">
        <f t="shared" si="41"/>
        <v>4.476</v>
      </c>
      <c r="H134" s="64">
        <f t="shared" si="42"/>
        <v>4.476</v>
      </c>
      <c r="I134" s="43"/>
      <c r="J134" s="63">
        <f t="shared" si="43"/>
        <v>0.18</v>
      </c>
      <c r="K134" s="64">
        <f t="shared" si="44"/>
        <v>0.18</v>
      </c>
      <c r="L134" s="63">
        <f t="shared" si="45"/>
        <v>0</v>
      </c>
      <c r="M134" s="64">
        <f t="shared" si="46"/>
        <v>0</v>
      </c>
      <c r="N134" s="65"/>
      <c r="O134" s="63">
        <f t="shared" si="47"/>
        <v>4.6559999999999997</v>
      </c>
      <c r="P134" s="63">
        <f t="shared" si="48"/>
        <v>4.6559999999999997</v>
      </c>
      <c r="Q134" s="66"/>
      <c r="R134" s="63">
        <f t="shared" si="49"/>
        <v>-0.14000000000000001</v>
      </c>
      <c r="S134" s="64">
        <f t="shared" si="50"/>
        <v>-0.14000000000000001</v>
      </c>
      <c r="T134" s="63">
        <f t="shared" si="51"/>
        <v>-0.01</v>
      </c>
      <c r="U134" s="64">
        <f t="shared" si="52"/>
        <v>-0.01</v>
      </c>
      <c r="V134" s="90">
        <f>IF($A135="","",IF(AND(MONTH(A134)&gt;3,MONTH(A134)&lt;11),(T134+R134+G134)*Summary!$T$9/(1-Summary!$T$9),(T134+R134+G134)*Summary!$U$9/(1-Summary!$U$9)))</f>
        <v>0.20716567117258719</v>
      </c>
      <c r="W134" s="63">
        <f t="shared" si="53"/>
        <v>4.5331656711725872</v>
      </c>
      <c r="X134" s="63">
        <f t="shared" si="54"/>
        <v>4.5331656711725872</v>
      </c>
      <c r="Y134" s="43"/>
      <c r="Z134" s="38">
        <f t="shared" si="55"/>
        <v>0.65</v>
      </c>
      <c r="AA134" s="38">
        <f t="shared" si="56"/>
        <v>0.18</v>
      </c>
      <c r="AB134" s="38">
        <f t="shared" ca="1" si="57"/>
        <v>0.18475928431786934</v>
      </c>
      <c r="AC134" s="38">
        <f t="shared" si="58"/>
        <v>0.55000000000000004</v>
      </c>
      <c r="AD134" s="38">
        <f t="shared" si="58"/>
        <v>0.18</v>
      </c>
      <c r="AE134" s="38">
        <f t="shared" ca="1" si="59"/>
        <v>0.18342670859359986</v>
      </c>
      <c r="AF134" s="237">
        <f ca="1">((Summary!$N$9*(AA134*AD134)*(A134-$D$3))+(Summary!$M$9*Z134*AC134*(AJ134-EOMONTH(EDATE(A134,-1),0))))/(AK134*AB134*AE134)</f>
        <v>0.99932734513221888</v>
      </c>
      <c r="AG134" s="88">
        <f>IF($A135="","",Summary!$Q$9)</f>
        <v>0</v>
      </c>
      <c r="AH134" s="88">
        <f>IF($A135="","",IF(Summary!$R$9="Y",VLOOKUP($A134,Summary!$AD$6:$AF$9,3)+'Escalating commodity'!E147,'Escalating commodity'!E147))</f>
        <v>7.0699999999999999E-2</v>
      </c>
      <c r="AI134" s="88">
        <f t="shared" si="74"/>
        <v>7.0699999999999999E-2</v>
      </c>
      <c r="AJ134" s="236">
        <f t="shared" si="60"/>
        <v>40831.5</v>
      </c>
      <c r="AK134" s="58">
        <f t="shared" ca="1" si="61"/>
        <v>3791</v>
      </c>
      <c r="AL134" s="26">
        <f ca="1">IF($A135="","",_xll.SPRDOPT(P134,X134,AI134,0,AB134,AE134,AF134,AK134,$AJ$2,0))</f>
        <v>7.7402093059863911E-2</v>
      </c>
      <c r="AM134" s="89">
        <f t="shared" si="62"/>
        <v>5.2134328827412521E-2</v>
      </c>
      <c r="AN134" s="89">
        <f t="shared" ca="1" si="63"/>
        <v>2.526776423245139E-2</v>
      </c>
      <c r="AO134" s="3">
        <f t="shared" si="64"/>
        <v>31</v>
      </c>
      <c r="AP134" s="33">
        <f t="shared" si="65"/>
        <v>40817</v>
      </c>
      <c r="AQ134" s="58">
        <f t="shared" ca="1" si="66"/>
        <v>3791</v>
      </c>
      <c r="AR134" s="38">
        <f>'ANR OK vs ML7'!AR134</f>
        <v>0.1</v>
      </c>
      <c r="AS134" s="35">
        <f t="shared" ca="1" si="67"/>
        <v>0.36319877834591996</v>
      </c>
      <c r="AT134" s="3">
        <f t="shared" si="68"/>
        <v>1</v>
      </c>
      <c r="AU134" s="3">
        <f t="shared" si="69"/>
        <v>31</v>
      </c>
      <c r="AW134" s="32">
        <f t="shared" ca="1" si="70"/>
        <v>86500.709099050917</v>
      </c>
      <c r="AX134" s="32">
        <f t="shared" si="71"/>
        <v>58262.719181074863</v>
      </c>
      <c r="AY134" s="32">
        <f t="shared" ca="1" si="72"/>
        <v>28237.98991797605</v>
      </c>
      <c r="BA134" s="32">
        <f ca="1">IF($A135="","",F134*Summary!$Q$9)</f>
        <v>0</v>
      </c>
      <c r="BC134" s="256">
        <f t="shared" ca="1" si="75"/>
        <v>21160.948429677788</v>
      </c>
    </row>
    <row r="135" spans="1:55">
      <c r="A135" s="67">
        <f t="shared" si="73"/>
        <v>40848</v>
      </c>
      <c r="B135" s="69">
        <f t="shared" si="76"/>
        <v>36050</v>
      </c>
      <c r="C135" s="71"/>
      <c r="D135" s="69">
        <f t="shared" si="38"/>
        <v>36050</v>
      </c>
      <c r="E135" s="70">
        <f t="shared" si="39"/>
        <v>1081500</v>
      </c>
      <c r="F135" s="70">
        <f t="shared" ca="1" si="40"/>
        <v>389559.7587506898</v>
      </c>
      <c r="G135" s="63">
        <f t="shared" si="41"/>
        <v>4.609</v>
      </c>
      <c r="H135" s="64">
        <f t="shared" si="42"/>
        <v>4.609</v>
      </c>
      <c r="I135" s="43"/>
      <c r="J135" s="63">
        <f t="shared" si="43"/>
        <v>0.27500000000000002</v>
      </c>
      <c r="K135" s="64">
        <f t="shared" si="44"/>
        <v>0.27500000000000002</v>
      </c>
      <c r="L135" s="63">
        <f t="shared" si="45"/>
        <v>0</v>
      </c>
      <c r="M135" s="64">
        <f t="shared" si="46"/>
        <v>0</v>
      </c>
      <c r="N135" s="65"/>
      <c r="O135" s="63">
        <f t="shared" si="47"/>
        <v>4.8840000000000003</v>
      </c>
      <c r="P135" s="63">
        <f t="shared" si="48"/>
        <v>4.8840000000000003</v>
      </c>
      <c r="Q135" s="66"/>
      <c r="R135" s="63">
        <f t="shared" si="49"/>
        <v>-0.14249999999999999</v>
      </c>
      <c r="S135" s="64">
        <f t="shared" si="50"/>
        <v>-0.14249999999999999</v>
      </c>
      <c r="T135" s="63">
        <f t="shared" si="51"/>
        <v>0.01</v>
      </c>
      <c r="U135" s="64">
        <f t="shared" si="52"/>
        <v>0.01</v>
      </c>
      <c r="V135" s="90">
        <f>IF($A136="","",IF(AND(MONTH(A135)&gt;3,MONTH(A135)&lt;11),(T135+R135+G135)*Summary!$T$9/(1-Summary!$T$9),(T135+R135+G135)*Summary!$U$9/(1-Summary!$U$9)))</f>
        <v>0.21437289112438435</v>
      </c>
      <c r="W135" s="63">
        <f t="shared" si="53"/>
        <v>4.6908728911243838</v>
      </c>
      <c r="X135" s="63">
        <f t="shared" si="54"/>
        <v>4.6908728911243838</v>
      </c>
      <c r="Y135" s="43"/>
      <c r="Z135" s="38">
        <f t="shared" si="55"/>
        <v>0.8</v>
      </c>
      <c r="AA135" s="38">
        <f t="shared" si="56"/>
        <v>0.18</v>
      </c>
      <c r="AB135" s="38">
        <f t="shared" ca="1" si="57"/>
        <v>0.18686961009590092</v>
      </c>
      <c r="AC135" s="38">
        <f t="shared" si="58"/>
        <v>0.8</v>
      </c>
      <c r="AD135" s="38">
        <f t="shared" si="58"/>
        <v>0.18</v>
      </c>
      <c r="AE135" s="38">
        <f t="shared" ca="1" si="59"/>
        <v>0.18686961009590092</v>
      </c>
      <c r="AF135" s="237">
        <f ca="1">((Summary!$N$9*(AA135*AD135)*(A135-$D$3))+(Summary!$M$9*Z135*AC135*(AJ135-EOMONTH(EDATE(A135,-1),0))))/(AK135*AB135*AE135)</f>
        <v>0.99990719288623542</v>
      </c>
      <c r="AG135" s="88">
        <f>IF($A136="","",Summary!$Q$9)</f>
        <v>0</v>
      </c>
      <c r="AH135" s="88">
        <f>IF($A136="","",IF(Summary!$R$9="Y",VLOOKUP($A135,Summary!$AD$6:$AF$9,3)+'Escalating commodity'!E148,'Escalating commodity'!E148))</f>
        <v>7.0699999999999999E-2</v>
      </c>
      <c r="AI135" s="88">
        <f t="shared" si="74"/>
        <v>7.0699999999999999E-2</v>
      </c>
      <c r="AJ135" s="236">
        <f t="shared" si="60"/>
        <v>40862</v>
      </c>
      <c r="AK135" s="58">
        <f t="shared" ca="1" si="61"/>
        <v>3822</v>
      </c>
      <c r="AL135" s="26">
        <f ca="1">IF($A136="","",_xll.SPRDOPT(P135,X135,AI135,0,AB135,AE135,AF135,AK135,$AJ$2,0))</f>
        <v>0.12501457023687923</v>
      </c>
      <c r="AM135" s="89">
        <f t="shared" si="62"/>
        <v>0.12242710887561657</v>
      </c>
      <c r="AN135" s="89">
        <f t="shared" ca="1" si="63"/>
        <v>2.5874613612626579E-3</v>
      </c>
      <c r="AO135" s="3">
        <f t="shared" si="64"/>
        <v>30</v>
      </c>
      <c r="AP135" s="33">
        <f t="shared" si="65"/>
        <v>40848</v>
      </c>
      <c r="AQ135" s="58">
        <f t="shared" ca="1" si="66"/>
        <v>3822</v>
      </c>
      <c r="AR135" s="38">
        <f>'ANR OK vs ML7'!AR135</f>
        <v>0.1</v>
      </c>
      <c r="AS135" s="35">
        <f t="shared" ca="1" si="67"/>
        <v>0.3602031981051223</v>
      </c>
      <c r="AT135" s="3">
        <f t="shared" si="68"/>
        <v>1</v>
      </c>
      <c r="AU135" s="3">
        <f t="shared" si="69"/>
        <v>30</v>
      </c>
      <c r="AW135" s="32">
        <f t="shared" ca="1" si="70"/>
        <v>135203.25771118488</v>
      </c>
      <c r="AX135" s="32">
        <f t="shared" si="71"/>
        <v>132404.91824897932</v>
      </c>
      <c r="AY135" s="32">
        <f t="shared" ca="1" si="72"/>
        <v>2798.3394622055644</v>
      </c>
      <c r="BA135" s="32">
        <f ca="1">IF($A136="","",F135*Summary!$Q$9)</f>
        <v>0</v>
      </c>
      <c r="BC135" s="256">
        <f t="shared" ca="1" si="75"/>
        <v>47692.674998129623</v>
      </c>
    </row>
    <row r="136" spans="1:55">
      <c r="A136" s="67">
        <f t="shared" si="73"/>
        <v>40878</v>
      </c>
      <c r="B136" s="69">
        <f t="shared" si="76"/>
        <v>36050</v>
      </c>
      <c r="C136" s="71"/>
      <c r="D136" s="69">
        <f t="shared" si="38"/>
        <v>36050</v>
      </c>
      <c r="E136" s="70">
        <f t="shared" si="39"/>
        <v>1117550</v>
      </c>
      <c r="F136" s="70">
        <f t="shared" ca="1" si="40"/>
        <v>399331.65584107855</v>
      </c>
      <c r="G136" s="63">
        <f t="shared" si="41"/>
        <v>4.7469999999999999</v>
      </c>
      <c r="H136" s="64">
        <f t="shared" si="42"/>
        <v>4.7469999999999999</v>
      </c>
      <c r="I136" s="43"/>
      <c r="J136" s="63">
        <f t="shared" si="43"/>
        <v>0.27500000000000002</v>
      </c>
      <c r="K136" s="64">
        <f t="shared" si="44"/>
        <v>0.27500000000000002</v>
      </c>
      <c r="L136" s="63">
        <f t="shared" si="45"/>
        <v>0</v>
      </c>
      <c r="M136" s="64">
        <f t="shared" si="46"/>
        <v>0</v>
      </c>
      <c r="N136" s="65"/>
      <c r="O136" s="63">
        <f t="shared" si="47"/>
        <v>5.0220000000000002</v>
      </c>
      <c r="P136" s="63">
        <f t="shared" si="48"/>
        <v>5.0220000000000002</v>
      </c>
      <c r="Q136" s="66"/>
      <c r="R136" s="63">
        <f t="shared" si="49"/>
        <v>-0.13750000000000001</v>
      </c>
      <c r="S136" s="64">
        <f t="shared" si="50"/>
        <v>-0.13750000000000001</v>
      </c>
      <c r="T136" s="63">
        <f t="shared" si="51"/>
        <v>0.01</v>
      </c>
      <c r="U136" s="64">
        <f t="shared" si="52"/>
        <v>0.01</v>
      </c>
      <c r="V136" s="90">
        <f>IF($A137="","",IF(AND(MONTH(A136)&gt;3,MONTH(A136)&lt;11),(T136+R136+G136)*Summary!$T$9/(1-Summary!$T$9),(T136+R136+G136)*Summary!$U$9/(1-Summary!$U$9)))</f>
        <v>0.22122094729120817</v>
      </c>
      <c r="W136" s="63">
        <f t="shared" si="53"/>
        <v>4.8407209472912074</v>
      </c>
      <c r="X136" s="63">
        <f t="shared" si="54"/>
        <v>4.8407209472912074</v>
      </c>
      <c r="Y136" s="43"/>
      <c r="Z136" s="38">
        <f t="shared" si="55"/>
        <v>1.1000000000000001</v>
      </c>
      <c r="AA136" s="38">
        <f t="shared" si="56"/>
        <v>0.18</v>
      </c>
      <c r="AB136" s="38">
        <f t="shared" ca="1" si="57"/>
        <v>0.19307332930277593</v>
      </c>
      <c r="AC136" s="38">
        <f t="shared" si="58"/>
        <v>1</v>
      </c>
      <c r="AD136" s="38">
        <f t="shared" si="58"/>
        <v>0.18</v>
      </c>
      <c r="AE136" s="38">
        <f t="shared" ca="1" si="59"/>
        <v>0.19087245718472365</v>
      </c>
      <c r="AF136" s="237">
        <f ca="1">((Summary!$N$9*(AA136*AD136)*(A136-$D$3))+(Summary!$M$9*Z136*AC136*(AJ136-EOMONTH(EDATE(A136,-1),0))))/(AK136*AB136*AE136)</f>
        <v>0.99943183207918362</v>
      </c>
      <c r="AG136" s="88">
        <f>IF($A137="","",Summary!$Q$9)</f>
        <v>0</v>
      </c>
      <c r="AH136" s="88">
        <f>IF($A137="","",IF(Summary!$R$9="Y",VLOOKUP($A136,Summary!$AD$6:$AF$9,3)+'Escalating commodity'!E149,'Escalating commodity'!E149))</f>
        <v>7.0699999999999999E-2</v>
      </c>
      <c r="AI136" s="88">
        <f t="shared" si="74"/>
        <v>7.0699999999999999E-2</v>
      </c>
      <c r="AJ136" s="236">
        <f t="shared" si="60"/>
        <v>40892.5</v>
      </c>
      <c r="AK136" s="58">
        <f t="shared" ca="1" si="61"/>
        <v>3852</v>
      </c>
      <c r="AL136" s="26">
        <f ca="1">IF($A137="","",_xll.SPRDOPT(P136,X136,AI136,0,AB136,AE136,AF136,AK136,$AJ$2,0))</f>
        <v>0.12671218354461669</v>
      </c>
      <c r="AM136" s="89">
        <f t="shared" si="62"/>
        <v>0.11057905270879285</v>
      </c>
      <c r="AN136" s="89">
        <f t="shared" ca="1" si="63"/>
        <v>1.6133130835823836E-2</v>
      </c>
      <c r="AO136" s="3">
        <f t="shared" si="64"/>
        <v>31</v>
      </c>
      <c r="AP136" s="33">
        <f t="shared" si="65"/>
        <v>40878</v>
      </c>
      <c r="AQ136" s="58">
        <f t="shared" ca="1" si="66"/>
        <v>3852</v>
      </c>
      <c r="AR136" s="38">
        <f>'ANR OK vs ML7'!AR136</f>
        <v>0.1</v>
      </c>
      <c r="AS136" s="35">
        <f t="shared" ca="1" si="67"/>
        <v>0.35732777579623154</v>
      </c>
      <c r="AT136" s="3">
        <f t="shared" si="68"/>
        <v>1</v>
      </c>
      <c r="AU136" s="3">
        <f t="shared" si="69"/>
        <v>31</v>
      </c>
      <c r="AW136" s="32">
        <f t="shared" ca="1" si="70"/>
        <v>141607.20072028638</v>
      </c>
      <c r="AX136" s="32">
        <f t="shared" si="71"/>
        <v>123577.62035471146</v>
      </c>
      <c r="AY136" s="32">
        <f t="shared" ca="1" si="72"/>
        <v>18029.58036557493</v>
      </c>
      <c r="BA136" s="32">
        <f ca="1">IF($A137="","",F136*Summary!$Q$9)</f>
        <v>0</v>
      </c>
      <c r="BC136" s="256">
        <f t="shared" ca="1" si="75"/>
        <v>44157.716219540154</v>
      </c>
    </row>
    <row r="137" spans="1:55">
      <c r="A137" s="67">
        <f t="shared" si="73"/>
        <v>40909</v>
      </c>
      <c r="B137" s="69">
        <f t="shared" si="76"/>
        <v>36050</v>
      </c>
      <c r="C137" s="71"/>
      <c r="D137" s="69">
        <f t="shared" si="38"/>
        <v>36050</v>
      </c>
      <c r="E137" s="70">
        <f t="shared" si="39"/>
        <v>1117550</v>
      </c>
      <c r="F137" s="70">
        <f t="shared" ca="1" si="40"/>
        <v>396038.05991212087</v>
      </c>
      <c r="G137" s="63">
        <f t="shared" si="41"/>
        <v>4.7890000000000006</v>
      </c>
      <c r="H137" s="64">
        <f t="shared" si="42"/>
        <v>4.7890000000000006</v>
      </c>
      <c r="I137" s="43"/>
      <c r="J137" s="63">
        <f t="shared" si="43"/>
        <v>0.27500000000000002</v>
      </c>
      <c r="K137" s="64">
        <f t="shared" si="44"/>
        <v>0.27500000000000002</v>
      </c>
      <c r="L137" s="63">
        <f t="shared" si="45"/>
        <v>0</v>
      </c>
      <c r="M137" s="64">
        <f t="shared" si="46"/>
        <v>0</v>
      </c>
      <c r="N137" s="65"/>
      <c r="O137" s="63">
        <f t="shared" si="47"/>
        <v>5.0640000000000009</v>
      </c>
      <c r="P137" s="63">
        <f t="shared" si="48"/>
        <v>5.0640000000000009</v>
      </c>
      <c r="Q137" s="66"/>
      <c r="R137" s="63">
        <f t="shared" si="49"/>
        <v>-0.13750000000000001</v>
      </c>
      <c r="S137" s="64">
        <f t="shared" si="50"/>
        <v>-0.13750000000000001</v>
      </c>
      <c r="T137" s="63">
        <f t="shared" si="51"/>
        <v>0.01</v>
      </c>
      <c r="U137" s="64">
        <f t="shared" si="52"/>
        <v>0.01</v>
      </c>
      <c r="V137" s="90">
        <f>IF($A138="","",IF(AND(MONTH(A137)&gt;3,MONTH(A137)&lt;11),(T137+R137+G137)*Summary!$T$9/(1-Summary!$T$9),(T137+R137+G137)*Summary!$U$9/(1-Summary!$U$9)))</f>
        <v>0.22323226448705855</v>
      </c>
      <c r="W137" s="63">
        <f t="shared" si="53"/>
        <v>4.8847322644870586</v>
      </c>
      <c r="X137" s="63">
        <f t="shared" si="54"/>
        <v>4.8847322644870586</v>
      </c>
      <c r="Y137" s="43"/>
      <c r="Z137" s="38">
        <f t="shared" si="55"/>
        <v>1.1000000000000001</v>
      </c>
      <c r="AA137" s="38">
        <f t="shared" si="56"/>
        <v>0.18</v>
      </c>
      <c r="AB137" s="38">
        <f t="shared" ca="1" si="57"/>
        <v>0.19297246537389742</v>
      </c>
      <c r="AC137" s="38">
        <f t="shared" si="58"/>
        <v>1</v>
      </c>
      <c r="AD137" s="38">
        <f t="shared" si="58"/>
        <v>0.18</v>
      </c>
      <c r="AE137" s="38">
        <f t="shared" ca="1" si="59"/>
        <v>0.19078811025096448</v>
      </c>
      <c r="AF137" s="237">
        <f ca="1">((Summary!$N$9*(AA137*AD137)*(A137-$D$3))+(Summary!$M$9*Z137*AC137*(AJ137-EOMONTH(EDATE(A137,-1),0))))/(AK137*AB137*AE137)</f>
        <v>0.99943466308576157</v>
      </c>
      <c r="AG137" s="88">
        <f>IF($A138="","",Summary!$Q$9)</f>
        <v>0</v>
      </c>
      <c r="AH137" s="88">
        <f>IF($A138="","",IF(Summary!$R$9="Y",VLOOKUP($A137,Summary!$AD$6:$AF$9,3)+'Escalating commodity'!E150,'Escalating commodity'!E150))</f>
        <v>7.0699999999999999E-2</v>
      </c>
      <c r="AI137" s="88">
        <f t="shared" si="74"/>
        <v>7.0699999999999999E-2</v>
      </c>
      <c r="AJ137" s="236">
        <f t="shared" si="60"/>
        <v>40923.5</v>
      </c>
      <c r="AK137" s="58">
        <f t="shared" ca="1" si="61"/>
        <v>3883</v>
      </c>
      <c r="AL137" s="26">
        <f ca="1">IF($A138="","",_xll.SPRDOPT(P137,X137,AI137,0,AB137,AE137,AF137,AK137,$AJ$2,0))</f>
        <v>0.12534205640237681</v>
      </c>
      <c r="AM137" s="89">
        <f t="shared" si="62"/>
        <v>0.1085677355129424</v>
      </c>
      <c r="AN137" s="89">
        <f t="shared" ca="1" si="63"/>
        <v>1.677432088943441E-2</v>
      </c>
      <c r="AO137" s="3">
        <f t="shared" si="64"/>
        <v>31</v>
      </c>
      <c r="AP137" s="33">
        <f t="shared" si="65"/>
        <v>40909</v>
      </c>
      <c r="AQ137" s="58">
        <f t="shared" ca="1" si="66"/>
        <v>3883</v>
      </c>
      <c r="AR137" s="38">
        <f>'ANR OK vs ML7'!AR137</f>
        <v>0.1</v>
      </c>
      <c r="AS137" s="35">
        <f t="shared" ca="1" si="67"/>
        <v>0.35438061823821831</v>
      </c>
      <c r="AT137" s="3">
        <f t="shared" si="68"/>
        <v>1</v>
      </c>
      <c r="AU137" s="3">
        <f t="shared" si="69"/>
        <v>31</v>
      </c>
      <c r="AW137" s="32">
        <f t="shared" ca="1" si="70"/>
        <v>140076.0151324762</v>
      </c>
      <c r="AX137" s="32">
        <f t="shared" si="71"/>
        <v>121329.87282248877</v>
      </c>
      <c r="AY137" s="32">
        <f t="shared" ca="1" si="72"/>
        <v>18746.142309987426</v>
      </c>
      <c r="BA137" s="32">
        <f ca="1">IF($A138="","",F137*Summary!$Q$9)</f>
        <v>0</v>
      </c>
      <c r="BC137" s="256">
        <f t="shared" ca="1" si="75"/>
        <v>42996.955341597975</v>
      </c>
    </row>
    <row r="138" spans="1:55">
      <c r="A138" s="67">
        <f t="shared" si="73"/>
        <v>40940</v>
      </c>
      <c r="B138" s="69">
        <f t="shared" si="76"/>
        <v>36050</v>
      </c>
      <c r="C138" s="71"/>
      <c r="D138" s="69">
        <f t="shared" ref="D138:D201" si="77">IF(A139&lt;&gt;"",B138+C138,"")</f>
        <v>36050</v>
      </c>
      <c r="E138" s="70">
        <f t="shared" ref="E138:E201" si="78">IF(A139="","",IF(AND(AT138=1,$H$3=1),D138*AO138,IF($H$3=2,D138,"N/A")))</f>
        <v>1045450</v>
      </c>
      <c r="F138" s="70">
        <f t="shared" ref="F138:F201" ca="1" si="79">IF(A139="","",E138*AS138)</f>
        <v>367431.52372281766</v>
      </c>
      <c r="G138" s="63">
        <f t="shared" ref="G138:G201" si="80">IF($A139="","",VLOOKUP($A138,Table,MATCH(G$4,Curves,0)))</f>
        <v>4.6690000000000005</v>
      </c>
      <c r="H138" s="64">
        <f t="shared" ref="H138:H201" si="81">IF(A139="","",G138)</f>
        <v>4.6690000000000005</v>
      </c>
      <c r="I138" s="43"/>
      <c r="J138" s="63">
        <f t="shared" ref="J138:J201" si="82">IF($A139="","",VLOOKUP($A138,Table,MATCH(J$4,Curves,0)))</f>
        <v>0.27500000000000002</v>
      </c>
      <c r="K138" s="64">
        <f t="shared" ref="K138:K201" si="83">IF(A139="","",J138)</f>
        <v>0.27500000000000002</v>
      </c>
      <c r="L138" s="63">
        <f t="shared" ref="L138:L201" si="84">IF($A139="","",VLOOKUP($A138,Table,MATCH(L$4,Curves,0)))</f>
        <v>0</v>
      </c>
      <c r="M138" s="64">
        <f t="shared" ref="M138:M201" si="85">IF(A139="","",L138)</f>
        <v>0</v>
      </c>
      <c r="N138" s="65"/>
      <c r="O138" s="63">
        <f t="shared" ref="O138:O201" si="86">IF(A139="","",L138+J138+G138)</f>
        <v>4.9440000000000008</v>
      </c>
      <c r="P138" s="63">
        <f t="shared" ref="P138:P201" si="87">IF(A139="","",M138+K138+H138)</f>
        <v>4.9440000000000008</v>
      </c>
      <c r="Q138" s="66"/>
      <c r="R138" s="63">
        <f t="shared" ref="R138:R201" si="88">IF($A139="","",VLOOKUP($A138,Table,MATCH(R$4,Curves,0)))</f>
        <v>-0.14000000000000001</v>
      </c>
      <c r="S138" s="64">
        <f t="shared" ref="S138:S201" si="89">IF(A139="","",R138)</f>
        <v>-0.14000000000000001</v>
      </c>
      <c r="T138" s="63">
        <f t="shared" ref="T138:T201" si="90">IF($A139="","",VLOOKUP($A138,Table,MATCH(T$4,Curves,0)))</f>
        <v>0.01</v>
      </c>
      <c r="U138" s="64">
        <f t="shared" ref="U138:U201" si="91">IF(A139="","",T138)</f>
        <v>0.01</v>
      </c>
      <c r="V138" s="90">
        <f>IF($A139="","",IF(AND(MONTH(A138)&gt;3,MONTH(A138)&lt;11),(T138+R138+G138)*Summary!$T$9/(1-Summary!$T$9),(T138+R138+G138)*Summary!$U$9/(1-Summary!$U$9)))</f>
        <v>0.21736592266582835</v>
      </c>
      <c r="W138" s="63">
        <f t="shared" ref="W138:W201" si="92">IF($A139="","",(T138+R138+G138+V138))</f>
        <v>4.7563659226658288</v>
      </c>
      <c r="X138" s="63">
        <f t="shared" ref="X138:X201" si="93">IF($A139="","",(U138+S138+H138+V138))</f>
        <v>4.7563659226658288</v>
      </c>
      <c r="Y138" s="43"/>
      <c r="Z138" s="38">
        <f t="shared" ref="Z138:Z201" si="94">IF($A139="","",VLOOKUP($A138,Table,MATCH(Z$4,Curves,0)))</f>
        <v>1.1000000000000001</v>
      </c>
      <c r="AA138" s="38">
        <f t="shared" ref="AA138:AA201" si="95">IF($A139="","",VLOOKUP($A138,Table,MATCH(AA$4,Curves,0)))</f>
        <v>0.17499999999999999</v>
      </c>
      <c r="AB138" s="38">
        <f t="shared" ref="AB138:AB201" ca="1" si="96">SQRT((AA138^2*(A138-$D$3)+Z138^2*(DAY(EOMONTH(A138,0))/2))/AK138)</f>
        <v>0.18739117093749233</v>
      </c>
      <c r="AC138" s="38">
        <f t="shared" ref="AC138:AD201" si="97">IF($A139="","",VLOOKUP($A138,Table,MATCH(AC$4,Curves,0)))</f>
        <v>1</v>
      </c>
      <c r="AD138" s="38">
        <f t="shared" si="97"/>
        <v>0.17499999999999999</v>
      </c>
      <c r="AE138" s="38">
        <f t="shared" ref="AE138:AE201" ca="1" si="98">SQRT((AD138^2*(A138-$D$3)+AC138^2*(DAY(EOMONTH(A138,0))/2))/AK138)</f>
        <v>0.18530373566307246</v>
      </c>
      <c r="AF138" s="237">
        <f ca="1">((Summary!$N$9*(AA138*AD138)*(A138-$D$3))+(Summary!$M$9*Z138*AC138*(AJ138-EOMONTH(EDATE(A138,-1),0))))/(AK138*AB138*AE138)</f>
        <v>0.9994410874158085</v>
      </c>
      <c r="AG138" s="88">
        <f>IF($A139="","",Summary!$Q$9)</f>
        <v>0</v>
      </c>
      <c r="AH138" s="88">
        <f>IF($A139="","",IF(Summary!$R$9="Y",VLOOKUP($A138,Summary!$AD$6:$AF$9,3)+'Escalating commodity'!E151,'Escalating commodity'!E151))</f>
        <v>7.0699999999999999E-2</v>
      </c>
      <c r="AI138" s="88">
        <f t="shared" si="74"/>
        <v>7.0699999999999999E-2</v>
      </c>
      <c r="AJ138" s="236">
        <f t="shared" ref="AJ138:AJ201" si="99">A138+DAY(EOMONTH(A138,0))/2-1</f>
        <v>40953.5</v>
      </c>
      <c r="AK138" s="58">
        <f t="shared" ref="AK138:AK201" ca="1" si="100">IF($A139="","",$A138-$E$1)</f>
        <v>3914</v>
      </c>
      <c r="AL138" s="26">
        <f ca="1">IF($A139="","",_xll.SPRDOPT(P138,X138,AI138,0,AB138,AE138,AF138,AK138,$AJ$2,0))</f>
        <v>0.13060843830174917</v>
      </c>
      <c r="AM138" s="89">
        <f t="shared" ref="AM138:AM201" si="101">IF($A139="","",MAX(0,O138-W138-AI138))</f>
        <v>0.11693407733417203</v>
      </c>
      <c r="AN138" s="89">
        <f t="shared" ref="AN138:AN201" ca="1" si="102">IF($A139="","",AL138-AM138)</f>
        <v>1.367436096757714E-2</v>
      </c>
      <c r="AO138" s="3">
        <f t="shared" ref="AO138:AO201" si="103">IF(A139="","",A139-A138)</f>
        <v>29</v>
      </c>
      <c r="AP138" s="33">
        <f t="shared" ref="AP138:AP201" si="104">IF(A139="","",CHOOSE(F$3,A139+24,A138))</f>
        <v>40940</v>
      </c>
      <c r="AQ138" s="58">
        <f t="shared" ref="AQ138:AQ201" ca="1" si="105">IF(A139="","",AP138-$E$1)</f>
        <v>3914</v>
      </c>
      <c r="AR138" s="38">
        <f>'ANR OK vs ML7'!AR138</f>
        <v>0.1</v>
      </c>
      <c r="AS138" s="35">
        <f t="shared" ref="AS138:AS201" ca="1" si="106">IF(A139="","",1/(1+CHOOSE(F$3,(AR139+($I$3/10000))/2,(AR138+($I$3/10000))/2))^(2*AQ138/365.25))</f>
        <v>0.351457768159948</v>
      </c>
      <c r="AT138" s="3">
        <f t="shared" ref="AT138:AT201" si="107">IF(A139="","",IF(AND(mthbeg&lt;=A138,mthend&gt;=A138),1,0))</f>
        <v>1</v>
      </c>
      <c r="AU138" s="3">
        <f t="shared" ref="AU138:AU201" si="108">IF(A139="","",AO138*AT138)</f>
        <v>29</v>
      </c>
      <c r="AW138" s="32">
        <f t="shared" ref="AW138:AW201" ca="1" si="109">IF($A139="","",AL138*$E138)</f>
        <v>136544.59182256367</v>
      </c>
      <c r="AX138" s="32">
        <f t="shared" ref="AX138:AX201" si="110">IF($A139="","",AM138*$E138)</f>
        <v>122248.73114901016</v>
      </c>
      <c r="AY138" s="32">
        <f t="shared" ref="AY138:AY201" ca="1" si="111">IF($A139="","",AN138*$E138)</f>
        <v>14295.860673553521</v>
      </c>
      <c r="BA138" s="32">
        <f ca="1">IF($A139="","",F138*Summary!$Q$9)</f>
        <v>0</v>
      </c>
      <c r="BC138" s="256">
        <f t="shared" ca="1" si="75"/>
        <v>42965.266210016627</v>
      </c>
    </row>
    <row r="139" spans="1:55">
      <c r="A139" s="67">
        <f t="shared" ref="A139:A202" si="112">IF(A138&lt;mthend,EDATE(A138,1),"")</f>
        <v>40969</v>
      </c>
      <c r="B139" s="69">
        <f t="shared" si="76"/>
        <v>36050</v>
      </c>
      <c r="C139" s="71"/>
      <c r="D139" s="69">
        <f t="shared" si="77"/>
        <v>36050</v>
      </c>
      <c r="E139" s="70">
        <f t="shared" si="78"/>
        <v>1117550</v>
      </c>
      <c r="F139" s="70">
        <f t="shared" ca="1" si="79"/>
        <v>389740.32919958798</v>
      </c>
      <c r="G139" s="63">
        <f t="shared" si="80"/>
        <v>4.53</v>
      </c>
      <c r="H139" s="64">
        <f t="shared" si="81"/>
        <v>4.53</v>
      </c>
      <c r="I139" s="43"/>
      <c r="J139" s="63">
        <f t="shared" si="82"/>
        <v>0.27500000000000002</v>
      </c>
      <c r="K139" s="64">
        <f t="shared" si="83"/>
        <v>0.27500000000000002</v>
      </c>
      <c r="L139" s="63">
        <f t="shared" si="84"/>
        <v>0</v>
      </c>
      <c r="M139" s="64">
        <f t="shared" si="85"/>
        <v>0</v>
      </c>
      <c r="N139" s="65"/>
      <c r="O139" s="63">
        <f t="shared" si="86"/>
        <v>4.8050000000000006</v>
      </c>
      <c r="P139" s="63">
        <f t="shared" si="87"/>
        <v>4.8050000000000006</v>
      </c>
      <c r="Q139" s="66"/>
      <c r="R139" s="63">
        <f t="shared" si="88"/>
        <v>-0.14249999999999999</v>
      </c>
      <c r="S139" s="64">
        <f t="shared" si="89"/>
        <v>-0.14249999999999999</v>
      </c>
      <c r="T139" s="63">
        <f t="shared" si="90"/>
        <v>0.01</v>
      </c>
      <c r="U139" s="64">
        <f t="shared" si="91"/>
        <v>0.01</v>
      </c>
      <c r="V139" s="90">
        <f>IF($A140="","",IF(AND(MONTH(A139)&gt;3,MONTH(A139)&lt;11),(T139+R139+G139)*Summary!$T$9/(1-Summary!$T$9),(T139+R139+G139)*Summary!$U$9/(1-Summary!$U$9)))</f>
        <v>0.21058969925599916</v>
      </c>
      <c r="W139" s="63">
        <f t="shared" si="92"/>
        <v>4.6080896992559994</v>
      </c>
      <c r="X139" s="63">
        <f t="shared" si="93"/>
        <v>4.6080896992559994</v>
      </c>
      <c r="Y139" s="43"/>
      <c r="Z139" s="38">
        <f t="shared" si="94"/>
        <v>0.75</v>
      </c>
      <c r="AA139" s="38">
        <f t="shared" si="95"/>
        <v>0.17</v>
      </c>
      <c r="AB139" s="38">
        <f t="shared" ca="1" si="96"/>
        <v>0.17640444014441065</v>
      </c>
      <c r="AC139" s="38">
        <f t="shared" si="97"/>
        <v>0.75</v>
      </c>
      <c r="AD139" s="38">
        <f t="shared" si="97"/>
        <v>0.17</v>
      </c>
      <c r="AE139" s="38">
        <f t="shared" ca="1" si="98"/>
        <v>0.17640444014441065</v>
      </c>
      <c r="AF139" s="237">
        <f ca="1">((Summary!$N$9*(AA139*AD139)*(A139-$D$3))+(Summary!$M$9*Z139*AC139*(AJ139-EOMONTH(EDATE(A139,-1),0))))/(AK139*AB139*AE139)</f>
        <v>0.99990710572545216</v>
      </c>
      <c r="AG139" s="88">
        <f>IF($A140="","",Summary!$Q$9)</f>
        <v>0</v>
      </c>
      <c r="AH139" s="88">
        <f>IF($A140="","",IF(Summary!$R$9="Y",VLOOKUP($A139,Summary!$AD$6:$AF$9,3)+'Escalating commodity'!E152,'Escalating commodity'!E152))</f>
        <v>7.0699999999999999E-2</v>
      </c>
      <c r="AI139" s="88">
        <f t="shared" ref="AI139:AI202" si="113">IF($A140="","",AH139)</f>
        <v>7.0699999999999999E-2</v>
      </c>
      <c r="AJ139" s="236">
        <f t="shared" si="99"/>
        <v>40983.5</v>
      </c>
      <c r="AK139" s="58">
        <f t="shared" ca="1" si="100"/>
        <v>3943</v>
      </c>
      <c r="AL139" s="26">
        <f ca="1">IF($A140="","",_xll.SPRDOPT(P139,X139,AI139,0,AB139,AE139,AF139,AK139,$AJ$2,0))</f>
        <v>0.12823355832092564</v>
      </c>
      <c r="AM139" s="89">
        <f t="shared" si="101"/>
        <v>0.12621030074400119</v>
      </c>
      <c r="AN139" s="89">
        <f t="shared" ca="1" si="102"/>
        <v>2.0232575769244532E-3</v>
      </c>
      <c r="AO139" s="3">
        <f t="shared" si="103"/>
        <v>31</v>
      </c>
      <c r="AP139" s="33">
        <f t="shared" si="104"/>
        <v>40969</v>
      </c>
      <c r="AQ139" s="58">
        <f t="shared" ca="1" si="105"/>
        <v>3943</v>
      </c>
      <c r="AR139" s="38">
        <f>'ANR OK vs ML7'!AR139</f>
        <v>0.1</v>
      </c>
      <c r="AS139" s="35">
        <f t="shared" ca="1" si="106"/>
        <v>0.34874531716664847</v>
      </c>
      <c r="AT139" s="3">
        <f t="shared" si="107"/>
        <v>1</v>
      </c>
      <c r="AU139" s="3">
        <f t="shared" si="108"/>
        <v>31</v>
      </c>
      <c r="AW139" s="32">
        <f t="shared" ca="1" si="109"/>
        <v>143307.41310155045</v>
      </c>
      <c r="AX139" s="32">
        <f t="shared" si="110"/>
        <v>141046.32159645853</v>
      </c>
      <c r="AY139" s="32">
        <f t="shared" ca="1" si="111"/>
        <v>2261.0915050919225</v>
      </c>
      <c r="BA139" s="32">
        <f ca="1">IF($A140="","",F139*Summary!$Q$9)</f>
        <v>0</v>
      </c>
      <c r="BC139" s="256">
        <f t="shared" ref="BC139:BC173" ca="1" si="114">IF(A140="","",AM139*F139)</f>
        <v>49189.244160346032</v>
      </c>
    </row>
    <row r="140" spans="1:55">
      <c r="A140" s="67">
        <f t="shared" si="112"/>
        <v>41000</v>
      </c>
      <c r="B140" s="69">
        <f t="shared" ref="B140:B203" si="115">IF(A140&lt;mthend,B139,"")</f>
        <v>36050</v>
      </c>
      <c r="C140" s="71"/>
      <c r="D140" s="69">
        <f t="shared" si="77"/>
        <v>36050</v>
      </c>
      <c r="E140" s="70">
        <f t="shared" si="78"/>
        <v>1081500</v>
      </c>
      <c r="F140" s="70">
        <f t="shared" ca="1" si="79"/>
        <v>374057.26483881089</v>
      </c>
      <c r="G140" s="63">
        <f t="shared" si="80"/>
        <v>4.3550000000000004</v>
      </c>
      <c r="H140" s="64">
        <f t="shared" si="81"/>
        <v>4.3550000000000004</v>
      </c>
      <c r="I140" s="43"/>
      <c r="J140" s="63">
        <f t="shared" si="82"/>
        <v>0.18</v>
      </c>
      <c r="K140" s="64">
        <f t="shared" si="83"/>
        <v>0.18</v>
      </c>
      <c r="L140" s="63">
        <f t="shared" si="84"/>
        <v>0</v>
      </c>
      <c r="M140" s="64">
        <f t="shared" si="85"/>
        <v>0</v>
      </c>
      <c r="N140" s="65"/>
      <c r="O140" s="63">
        <f t="shared" si="86"/>
        <v>4.5350000000000001</v>
      </c>
      <c r="P140" s="63">
        <f t="shared" si="87"/>
        <v>4.5350000000000001</v>
      </c>
      <c r="Q140" s="66"/>
      <c r="R140" s="63">
        <f t="shared" si="88"/>
        <v>-0.14000000000000001</v>
      </c>
      <c r="S140" s="64">
        <f t="shared" si="89"/>
        <v>-0.14000000000000001</v>
      </c>
      <c r="T140" s="63">
        <f t="shared" si="90"/>
        <v>-0.01</v>
      </c>
      <c r="U140" s="64">
        <f t="shared" si="91"/>
        <v>-0.01</v>
      </c>
      <c r="V140" s="90">
        <f>IF($A141="","",IF(AND(MONTH(A140)&gt;3,MONTH(A140)&lt;11),(T140+R140+G140)*Summary!$T$9/(1-Summary!$T$9),(T140+R140+G140)*Summary!$U$9/(1-Summary!$U$9)))</f>
        <v>0.20137116210835165</v>
      </c>
      <c r="W140" s="63">
        <f t="shared" si="92"/>
        <v>4.4063711621083517</v>
      </c>
      <c r="X140" s="63">
        <f t="shared" si="93"/>
        <v>4.4063711621083517</v>
      </c>
      <c r="Y140" s="43"/>
      <c r="Z140" s="38">
        <f t="shared" si="94"/>
        <v>0.45</v>
      </c>
      <c r="AA140" s="38">
        <f t="shared" si="95"/>
        <v>0.17</v>
      </c>
      <c r="AB140" s="38">
        <f t="shared" ca="1" si="96"/>
        <v>0.1722545079257867</v>
      </c>
      <c r="AC140" s="38">
        <f t="shared" si="97"/>
        <v>0.4</v>
      </c>
      <c r="AD140" s="38">
        <f t="shared" si="97"/>
        <v>0.17</v>
      </c>
      <c r="AE140" s="38">
        <f t="shared" ca="1" si="98"/>
        <v>0.17178823529452317</v>
      </c>
      <c r="AF140" s="237">
        <f ca="1">((Summary!$N$9*(AA140*AD140)*(A140-$D$3))+(Summary!$M$9*Z140*AC140*(AJ140-EOMONTH(EDATE(A140,-1),0))))/(AK140*AB140*AE140)</f>
        <v>0.99974654068057645</v>
      </c>
      <c r="AG140" s="88">
        <f>IF($A141="","",Summary!$Q$9)</f>
        <v>0</v>
      </c>
      <c r="AH140" s="88">
        <f>IF($A141="","",IF(Summary!$R$9="Y",VLOOKUP($A140,Summary!$AD$6:$AF$9,3)+'Escalating commodity'!E153,'Escalating commodity'!E153))</f>
        <v>7.0699999999999999E-2</v>
      </c>
      <c r="AI140" s="88">
        <f t="shared" si="113"/>
        <v>7.0699999999999999E-2</v>
      </c>
      <c r="AJ140" s="236">
        <f t="shared" si="99"/>
        <v>41014</v>
      </c>
      <c r="AK140" s="58">
        <f t="shared" ca="1" si="100"/>
        <v>3974</v>
      </c>
      <c r="AL140" s="26">
        <f ca="1">IF($A141="","",_xll.SPRDOPT(P140,X140,AI140,0,AB140,AE140,AF140,AK140,$AJ$2,0))</f>
        <v>6.8368667165178434E-2</v>
      </c>
      <c r="AM140" s="89">
        <f t="shared" si="101"/>
        <v>5.7928837891648474E-2</v>
      </c>
      <c r="AN140" s="89">
        <f t="shared" ca="1" si="102"/>
        <v>1.043982927352996E-2</v>
      </c>
      <c r="AO140" s="3">
        <f t="shared" si="103"/>
        <v>30</v>
      </c>
      <c r="AP140" s="33">
        <f t="shared" si="104"/>
        <v>41000</v>
      </c>
      <c r="AQ140" s="58">
        <f t="shared" ca="1" si="105"/>
        <v>3974</v>
      </c>
      <c r="AR140" s="38">
        <f>'ANR OK vs ML7'!AR140</f>
        <v>0.1</v>
      </c>
      <c r="AS140" s="35">
        <f t="shared" ca="1" si="106"/>
        <v>0.34586894575941829</v>
      </c>
      <c r="AT140" s="3">
        <f t="shared" si="107"/>
        <v>1</v>
      </c>
      <c r="AU140" s="3">
        <f t="shared" si="108"/>
        <v>30</v>
      </c>
      <c r="AW140" s="32">
        <f t="shared" ca="1" si="109"/>
        <v>73940.713539140474</v>
      </c>
      <c r="AX140" s="32">
        <f t="shared" si="110"/>
        <v>62650.038179817828</v>
      </c>
      <c r="AY140" s="32">
        <f t="shared" ca="1" si="111"/>
        <v>11290.675359322651</v>
      </c>
      <c r="BA140" s="32">
        <f ca="1">IF($A141="","",F140*Summary!$Q$9)</f>
        <v>0</v>
      </c>
      <c r="BC140" s="256">
        <f t="shared" ca="1" si="114"/>
        <v>21668.702657040896</v>
      </c>
    </row>
    <row r="141" spans="1:55">
      <c r="A141" s="67">
        <f t="shared" si="112"/>
        <v>41030</v>
      </c>
      <c r="B141" s="69">
        <f t="shared" si="115"/>
        <v>36050</v>
      </c>
      <c r="C141" s="71"/>
      <c r="D141" s="69">
        <f t="shared" si="77"/>
        <v>36050</v>
      </c>
      <c r="E141" s="70">
        <f t="shared" si="78"/>
        <v>1117550</v>
      </c>
      <c r="F141" s="70">
        <f t="shared" ca="1" si="79"/>
        <v>383440.29020477651</v>
      </c>
      <c r="G141" s="63">
        <f t="shared" si="80"/>
        <v>4.3250000000000002</v>
      </c>
      <c r="H141" s="64">
        <f t="shared" si="81"/>
        <v>4.3250000000000002</v>
      </c>
      <c r="I141" s="43"/>
      <c r="J141" s="63">
        <f t="shared" si="82"/>
        <v>0.18</v>
      </c>
      <c r="K141" s="64">
        <f t="shared" si="83"/>
        <v>0.18</v>
      </c>
      <c r="L141" s="63">
        <f t="shared" si="84"/>
        <v>0</v>
      </c>
      <c r="M141" s="64">
        <f t="shared" si="85"/>
        <v>0</v>
      </c>
      <c r="N141" s="65"/>
      <c r="O141" s="63">
        <f t="shared" si="86"/>
        <v>4.5049999999999999</v>
      </c>
      <c r="P141" s="63">
        <f t="shared" si="87"/>
        <v>4.5049999999999999</v>
      </c>
      <c r="Q141" s="66"/>
      <c r="R141" s="63">
        <f t="shared" si="88"/>
        <v>-0.14000000000000001</v>
      </c>
      <c r="S141" s="64">
        <f t="shared" si="89"/>
        <v>-0.14000000000000001</v>
      </c>
      <c r="T141" s="63">
        <f t="shared" si="90"/>
        <v>-0.01</v>
      </c>
      <c r="U141" s="64">
        <f t="shared" si="91"/>
        <v>-0.01</v>
      </c>
      <c r="V141" s="90">
        <f>IF($A142="","",IF(AND(MONTH(A141)&gt;3,MONTH(A141)&lt;11),(T141+R141+G141)*Summary!$T$9/(1-Summary!$T$9),(T141+R141+G141)*Summary!$U$9/(1-Summary!$U$9)))</f>
        <v>0.19993450696845852</v>
      </c>
      <c r="W141" s="63">
        <f t="shared" si="92"/>
        <v>4.374934506968458</v>
      </c>
      <c r="X141" s="63">
        <f t="shared" si="93"/>
        <v>4.374934506968458</v>
      </c>
      <c r="Y141" s="43"/>
      <c r="Z141" s="38">
        <f t="shared" si="94"/>
        <v>0.5</v>
      </c>
      <c r="AA141" s="38">
        <f t="shared" si="95"/>
        <v>0.17</v>
      </c>
      <c r="AB141" s="38">
        <f t="shared" ca="1" si="96"/>
        <v>0.17284386017443606</v>
      </c>
      <c r="AC141" s="38">
        <f t="shared" si="97"/>
        <v>0.4</v>
      </c>
      <c r="AD141" s="38">
        <f t="shared" si="97"/>
        <v>0.17</v>
      </c>
      <c r="AE141" s="38">
        <f t="shared" ca="1" si="98"/>
        <v>0.17183305386798667</v>
      </c>
      <c r="AF141" s="237">
        <f ca="1">((Summary!$N$9*(AA141*AD141)*(A141-$D$3))+(Summary!$M$9*Z141*AC141*(AJ141-EOMONTH(EDATE(A141,-1),0))))/(AK141*AB141*AE141)</f>
        <v>0.99926817203949947</v>
      </c>
      <c r="AG141" s="88">
        <f>IF($A142="","",Summary!$Q$9)</f>
        <v>0</v>
      </c>
      <c r="AH141" s="88">
        <f>IF($A142="","",IF(Summary!$R$9="Y",VLOOKUP($A141,Summary!$AD$6:$AF$9,3)+'Escalating commodity'!E154,'Escalating commodity'!E154))</f>
        <v>7.0699999999999999E-2</v>
      </c>
      <c r="AI141" s="88">
        <f t="shared" si="113"/>
        <v>7.0699999999999999E-2</v>
      </c>
      <c r="AJ141" s="236">
        <f t="shared" si="99"/>
        <v>41044.5</v>
      </c>
      <c r="AK141" s="58">
        <f t="shared" ca="1" si="100"/>
        <v>4004</v>
      </c>
      <c r="AL141" s="26">
        <f ca="1">IF($A142="","",_xll.SPRDOPT(P141,X141,AI141,0,AB141,AE141,AF141,AK141,$AJ$2,0))</f>
        <v>8.0685669705787111E-2</v>
      </c>
      <c r="AM141" s="89">
        <f t="shared" si="101"/>
        <v>5.9365493031541913E-2</v>
      </c>
      <c r="AN141" s="89">
        <f t="shared" ca="1" si="102"/>
        <v>2.1320176674245198E-2</v>
      </c>
      <c r="AO141" s="3">
        <f t="shared" si="103"/>
        <v>31</v>
      </c>
      <c r="AP141" s="33">
        <f t="shared" si="104"/>
        <v>41030</v>
      </c>
      <c r="AQ141" s="58">
        <f t="shared" ca="1" si="105"/>
        <v>4004</v>
      </c>
      <c r="AR141" s="38">
        <f>'ANR OK vs ML7'!AR141</f>
        <v>0.1</v>
      </c>
      <c r="AS141" s="35">
        <f t="shared" ca="1" si="106"/>
        <v>0.34310795061051097</v>
      </c>
      <c r="AT141" s="3">
        <f t="shared" si="107"/>
        <v>1</v>
      </c>
      <c r="AU141" s="3">
        <f t="shared" si="108"/>
        <v>31</v>
      </c>
      <c r="AW141" s="32">
        <f t="shared" ca="1" si="109"/>
        <v>90170.270179702391</v>
      </c>
      <c r="AX141" s="32">
        <f t="shared" si="110"/>
        <v>66343.906737399666</v>
      </c>
      <c r="AY141" s="32">
        <f t="shared" ca="1" si="111"/>
        <v>23826.363442302722</v>
      </c>
      <c r="BA141" s="32">
        <f ca="1">IF($A142="","",F141*Summary!$Q$9)</f>
        <v>0</v>
      </c>
      <c r="BC141" s="256">
        <f t="shared" ca="1" si="114"/>
        <v>22763.12187616407</v>
      </c>
    </row>
    <row r="142" spans="1:55">
      <c r="A142" s="67">
        <f t="shared" si="112"/>
        <v>41061</v>
      </c>
      <c r="B142" s="69">
        <f t="shared" si="115"/>
        <v>36050</v>
      </c>
      <c r="C142" s="71"/>
      <c r="D142" s="69">
        <f t="shared" si="77"/>
        <v>36050</v>
      </c>
      <c r="E142" s="70">
        <f t="shared" si="78"/>
        <v>1081500</v>
      </c>
      <c r="F142" s="70">
        <f t="shared" ca="1" si="79"/>
        <v>368010.73801512626</v>
      </c>
      <c r="G142" s="63">
        <f t="shared" si="80"/>
        <v>4.3949999999999996</v>
      </c>
      <c r="H142" s="64">
        <f t="shared" si="81"/>
        <v>4.3949999999999996</v>
      </c>
      <c r="I142" s="43"/>
      <c r="J142" s="63">
        <f t="shared" si="82"/>
        <v>0.18</v>
      </c>
      <c r="K142" s="64">
        <f t="shared" si="83"/>
        <v>0.18</v>
      </c>
      <c r="L142" s="63">
        <f t="shared" si="84"/>
        <v>0</v>
      </c>
      <c r="M142" s="64">
        <f t="shared" si="85"/>
        <v>0</v>
      </c>
      <c r="N142" s="65"/>
      <c r="O142" s="63">
        <f t="shared" si="86"/>
        <v>4.5749999999999993</v>
      </c>
      <c r="P142" s="63">
        <f t="shared" si="87"/>
        <v>4.5749999999999993</v>
      </c>
      <c r="Q142" s="66"/>
      <c r="R142" s="63">
        <f t="shared" si="88"/>
        <v>-0.14000000000000001</v>
      </c>
      <c r="S142" s="64">
        <f t="shared" si="89"/>
        <v>-0.14000000000000001</v>
      </c>
      <c r="T142" s="63">
        <f t="shared" si="90"/>
        <v>-0.01</v>
      </c>
      <c r="U142" s="64">
        <f t="shared" si="91"/>
        <v>-0.01</v>
      </c>
      <c r="V142" s="90">
        <f>IF($A143="","",IF(AND(MONTH(A142)&gt;3,MONTH(A142)&lt;11),(T142+R142+G142)*Summary!$T$9/(1-Summary!$T$9),(T142+R142+G142)*Summary!$U$9/(1-Summary!$U$9)))</f>
        <v>0.20328670229487578</v>
      </c>
      <c r="W142" s="63">
        <f t="shared" si="92"/>
        <v>4.4482867022948751</v>
      </c>
      <c r="X142" s="63">
        <f t="shared" si="93"/>
        <v>4.4482867022948751</v>
      </c>
      <c r="Y142" s="43"/>
      <c r="Z142" s="38">
        <f t="shared" si="94"/>
        <v>0.5</v>
      </c>
      <c r="AA142" s="38">
        <f t="shared" si="95"/>
        <v>0.17</v>
      </c>
      <c r="AB142" s="38">
        <f t="shared" ca="1" si="96"/>
        <v>0.17273253995514465</v>
      </c>
      <c r="AC142" s="38">
        <f t="shared" si="97"/>
        <v>0.4</v>
      </c>
      <c r="AD142" s="38">
        <f t="shared" si="97"/>
        <v>0.17</v>
      </c>
      <c r="AE142" s="38">
        <f t="shared" ca="1" si="98"/>
        <v>0.17176133985460559</v>
      </c>
      <c r="AF142" s="237">
        <f ca="1">((Summary!$N$9*(AA142*AD142)*(A142-$D$3))+(Summary!$M$9*Z142*AC142*(AJ142-EOMONTH(EDATE(A142,-1),0))))/(AK142*AB142*AE142)</f>
        <v>0.99929196726926639</v>
      </c>
      <c r="AG142" s="88">
        <f>IF($A143="","",Summary!$Q$9)</f>
        <v>0</v>
      </c>
      <c r="AH142" s="88">
        <f>IF($A143="","",IF(Summary!$R$9="Y",VLOOKUP($A142,Summary!$AD$6:$AF$9,3)+'Escalating commodity'!E155,'Escalating commodity'!E155))</f>
        <v>7.0699999999999999E-2</v>
      </c>
      <c r="AI142" s="88">
        <f t="shared" si="113"/>
        <v>7.0699999999999999E-2</v>
      </c>
      <c r="AJ142" s="236">
        <f t="shared" si="99"/>
        <v>41075</v>
      </c>
      <c r="AK142" s="58">
        <f t="shared" ca="1" si="100"/>
        <v>4035</v>
      </c>
      <c r="AL142" s="26">
        <f ca="1">IF($A143="","",_xll.SPRDOPT(P142,X142,AI142,0,AB142,AE142,AF142,AK142,$AJ$2,0))</f>
        <v>7.8212440458482385E-2</v>
      </c>
      <c r="AM142" s="89">
        <f t="shared" si="101"/>
        <v>5.6013297705124185E-2</v>
      </c>
      <c r="AN142" s="89">
        <f t="shared" ca="1" si="102"/>
        <v>2.21991427533582E-2</v>
      </c>
      <c r="AO142" s="3">
        <f t="shared" si="103"/>
        <v>30</v>
      </c>
      <c r="AP142" s="33">
        <f t="shared" si="104"/>
        <v>41061</v>
      </c>
      <c r="AQ142" s="58">
        <f t="shared" ca="1" si="105"/>
        <v>4035</v>
      </c>
      <c r="AR142" s="38">
        <f>'ANR OK vs ML7'!AR142</f>
        <v>0.1</v>
      </c>
      <c r="AS142" s="35">
        <f t="shared" ca="1" si="106"/>
        <v>0.3402780749099642</v>
      </c>
      <c r="AT142" s="3">
        <f t="shared" si="107"/>
        <v>1</v>
      </c>
      <c r="AU142" s="3">
        <f t="shared" si="108"/>
        <v>30</v>
      </c>
      <c r="AW142" s="32">
        <f t="shared" ca="1" si="109"/>
        <v>84586.754355848694</v>
      </c>
      <c r="AX142" s="32">
        <f t="shared" si="110"/>
        <v>60578.381468091808</v>
      </c>
      <c r="AY142" s="32">
        <f t="shared" ca="1" si="111"/>
        <v>24008.372887756894</v>
      </c>
      <c r="BA142" s="32">
        <f ca="1">IF($A143="","",F142*Summary!$Q$9)</f>
        <v>0</v>
      </c>
      <c r="BC142" s="256">
        <f t="shared" ca="1" si="114"/>
        <v>20613.495027123729</v>
      </c>
    </row>
    <row r="143" spans="1:55">
      <c r="A143" s="67">
        <f t="shared" si="112"/>
        <v>41091</v>
      </c>
      <c r="B143" s="69">
        <f t="shared" si="115"/>
        <v>36050</v>
      </c>
      <c r="C143" s="71"/>
      <c r="D143" s="69">
        <f t="shared" si="77"/>
        <v>36050</v>
      </c>
      <c r="E143" s="70">
        <f t="shared" si="78"/>
        <v>1117550</v>
      </c>
      <c r="F143" s="70">
        <f t="shared" ca="1" si="79"/>
        <v>377242.08950680669</v>
      </c>
      <c r="G143" s="63">
        <f t="shared" si="80"/>
        <v>4.45</v>
      </c>
      <c r="H143" s="64">
        <f t="shared" si="81"/>
        <v>4.45</v>
      </c>
      <c r="I143" s="43"/>
      <c r="J143" s="63">
        <f t="shared" si="82"/>
        <v>0.18</v>
      </c>
      <c r="K143" s="64">
        <f t="shared" si="83"/>
        <v>0.18</v>
      </c>
      <c r="L143" s="63">
        <f t="shared" si="84"/>
        <v>0</v>
      </c>
      <c r="M143" s="64">
        <f t="shared" si="85"/>
        <v>0</v>
      </c>
      <c r="N143" s="65"/>
      <c r="O143" s="63">
        <f t="shared" si="86"/>
        <v>4.63</v>
      </c>
      <c r="P143" s="63">
        <f t="shared" si="87"/>
        <v>4.63</v>
      </c>
      <c r="Q143" s="66"/>
      <c r="R143" s="63">
        <f t="shared" si="88"/>
        <v>-0.14000000000000001</v>
      </c>
      <c r="S143" s="64">
        <f t="shared" si="89"/>
        <v>-0.14000000000000001</v>
      </c>
      <c r="T143" s="63">
        <f t="shared" si="90"/>
        <v>-0.01</v>
      </c>
      <c r="U143" s="64">
        <f t="shared" si="91"/>
        <v>-0.01</v>
      </c>
      <c r="V143" s="90">
        <f>IF($A144="","",IF(AND(MONTH(A143)&gt;3,MONTH(A143)&lt;11),(T143+R143+G143)*Summary!$T$9/(1-Summary!$T$9),(T143+R143+G143)*Summary!$U$9/(1-Summary!$U$9)))</f>
        <v>0.20592057005134651</v>
      </c>
      <c r="W143" s="63">
        <f t="shared" si="92"/>
        <v>4.5059205700513463</v>
      </c>
      <c r="X143" s="63">
        <f t="shared" si="93"/>
        <v>4.5059205700513463</v>
      </c>
      <c r="Y143" s="43"/>
      <c r="Z143" s="38">
        <f t="shared" si="94"/>
        <v>0.55000000000000004</v>
      </c>
      <c r="AA143" s="38">
        <f t="shared" si="95"/>
        <v>0.17</v>
      </c>
      <c r="AB143" s="38">
        <f t="shared" ca="1" si="96"/>
        <v>0.17337979555165894</v>
      </c>
      <c r="AC143" s="38">
        <f t="shared" si="97"/>
        <v>0.4</v>
      </c>
      <c r="AD143" s="38">
        <f t="shared" si="97"/>
        <v>0.17</v>
      </c>
      <c r="AE143" s="38">
        <f t="shared" ca="1" si="98"/>
        <v>0.17180569132585721</v>
      </c>
      <c r="AF143" s="237">
        <f ca="1">((Summary!$N$9*(AA143*AD143)*(A143-$D$3))+(Summary!$M$9*Z143*AC143*(AJ143-EOMONTH(EDATE(A143,-1),0))))/(AK143*AB143*AE143)</f>
        <v>0.99850446378489399</v>
      </c>
      <c r="AG143" s="88">
        <f>IF($A144="","",Summary!$Q$9)</f>
        <v>0</v>
      </c>
      <c r="AH143" s="88">
        <f>IF($A144="","",IF(Summary!$R$9="Y",VLOOKUP($A143,Summary!$AD$6:$AF$9,3)+'Escalating commodity'!E156,'Escalating commodity'!E156))</f>
        <v>7.0699999999999999E-2</v>
      </c>
      <c r="AI143" s="88">
        <f t="shared" si="113"/>
        <v>7.0699999999999999E-2</v>
      </c>
      <c r="AJ143" s="236">
        <f t="shared" si="99"/>
        <v>41105.5</v>
      </c>
      <c r="AK143" s="58">
        <f t="shared" ca="1" si="100"/>
        <v>4065</v>
      </c>
      <c r="AL143" s="26">
        <f ca="1">IF($A144="","",_xll.SPRDOPT(P143,X143,AI143,0,AB143,AE143,AF143,AK143,$AJ$2,0))</f>
        <v>9.3627009549999141E-2</v>
      </c>
      <c r="AM143" s="89">
        <f t="shared" si="101"/>
        <v>5.337942994865362E-2</v>
      </c>
      <c r="AN143" s="89">
        <f t="shared" ca="1" si="102"/>
        <v>4.0247579601345521E-2</v>
      </c>
      <c r="AO143" s="3">
        <f t="shared" si="103"/>
        <v>31</v>
      </c>
      <c r="AP143" s="33">
        <f t="shared" si="104"/>
        <v>41091</v>
      </c>
      <c r="AQ143" s="58">
        <f t="shared" ca="1" si="105"/>
        <v>4065</v>
      </c>
      <c r="AR143" s="38">
        <f>'ANR OK vs ML7'!AR143</f>
        <v>0.1</v>
      </c>
      <c r="AS143" s="35">
        <f t="shared" ca="1" si="106"/>
        <v>0.33756171044410244</v>
      </c>
      <c r="AT143" s="3">
        <f t="shared" si="107"/>
        <v>1</v>
      </c>
      <c r="AU143" s="3">
        <f t="shared" si="108"/>
        <v>31</v>
      </c>
      <c r="AW143" s="32">
        <f t="shared" ca="1" si="109"/>
        <v>104632.86452260154</v>
      </c>
      <c r="AX143" s="32">
        <f t="shared" si="110"/>
        <v>59654.181939117851</v>
      </c>
      <c r="AY143" s="32">
        <f t="shared" ca="1" si="111"/>
        <v>44978.682583483685</v>
      </c>
      <c r="BA143" s="32">
        <f ca="1">IF($A144="","",F143*Summary!$Q$9)</f>
        <v>0</v>
      </c>
      <c r="BC143" s="256">
        <f t="shared" ca="1" si="114"/>
        <v>20136.967690512305</v>
      </c>
    </row>
    <row r="144" spans="1:55">
      <c r="A144" s="67">
        <f t="shared" si="112"/>
        <v>41122</v>
      </c>
      <c r="B144" s="69">
        <f t="shared" si="115"/>
        <v>36050</v>
      </c>
      <c r="C144" s="71"/>
      <c r="D144" s="69">
        <f t="shared" si="77"/>
        <v>36050</v>
      </c>
      <c r="E144" s="70">
        <f t="shared" si="78"/>
        <v>1117550</v>
      </c>
      <c r="F144" s="70">
        <f t="shared" ca="1" si="79"/>
        <v>374130.68325574399</v>
      </c>
      <c r="G144" s="63">
        <f t="shared" si="80"/>
        <v>4.5060000000000002</v>
      </c>
      <c r="H144" s="64">
        <f t="shared" si="81"/>
        <v>4.5060000000000002</v>
      </c>
      <c r="I144" s="43"/>
      <c r="J144" s="63">
        <f t="shared" si="82"/>
        <v>0.18</v>
      </c>
      <c r="K144" s="64">
        <f t="shared" si="83"/>
        <v>0.18</v>
      </c>
      <c r="L144" s="63">
        <f t="shared" si="84"/>
        <v>0</v>
      </c>
      <c r="M144" s="64">
        <f t="shared" si="85"/>
        <v>0</v>
      </c>
      <c r="N144" s="65"/>
      <c r="O144" s="63">
        <f t="shared" si="86"/>
        <v>4.6859999999999999</v>
      </c>
      <c r="P144" s="63">
        <f t="shared" si="87"/>
        <v>4.6859999999999999</v>
      </c>
      <c r="Q144" s="66"/>
      <c r="R144" s="63">
        <f t="shared" si="88"/>
        <v>-0.14000000000000001</v>
      </c>
      <c r="S144" s="64">
        <f t="shared" si="89"/>
        <v>-0.14000000000000001</v>
      </c>
      <c r="T144" s="63">
        <f t="shared" si="90"/>
        <v>-0.01</v>
      </c>
      <c r="U144" s="64">
        <f t="shared" si="91"/>
        <v>-0.01</v>
      </c>
      <c r="V144" s="90">
        <f>IF($A145="","",IF(AND(MONTH(A144)&gt;3,MONTH(A144)&lt;11),(T144+R144+G144)*Summary!$T$9/(1-Summary!$T$9),(T144+R144+G144)*Summary!$U$9/(1-Summary!$U$9)))</f>
        <v>0.20860232631248032</v>
      </c>
      <c r="W144" s="63">
        <f t="shared" si="92"/>
        <v>4.56460232631248</v>
      </c>
      <c r="X144" s="63">
        <f t="shared" si="93"/>
        <v>4.56460232631248</v>
      </c>
      <c r="Y144" s="43"/>
      <c r="Z144" s="38">
        <f t="shared" si="94"/>
        <v>0.6</v>
      </c>
      <c r="AA144" s="38">
        <f t="shared" si="95"/>
        <v>0.17</v>
      </c>
      <c r="AB144" s="38">
        <f t="shared" ca="1" si="96"/>
        <v>0.17398091950430225</v>
      </c>
      <c r="AC144" s="38">
        <f t="shared" si="97"/>
        <v>0.5</v>
      </c>
      <c r="AD144" s="38">
        <f t="shared" si="97"/>
        <v>0.17</v>
      </c>
      <c r="AE144" s="38">
        <f t="shared" ca="1" si="98"/>
        <v>0.17278049828015168</v>
      </c>
      <c r="AF144" s="237">
        <f ca="1">((Summary!$N$9*(AA144*AD144)*(A144-$D$3))+(Summary!$M$9*Z144*AC144*(AJ144-EOMONTH(EDATE(A144,-1),0))))/(AK144*AB144*AE144)</f>
        <v>0.99929837855472092</v>
      </c>
      <c r="AG144" s="88">
        <f>IF($A145="","",Summary!$Q$9)</f>
        <v>0</v>
      </c>
      <c r="AH144" s="88">
        <f>IF($A145="","",IF(Summary!$R$9="Y",VLOOKUP($A144,Summary!$AD$6:$AF$9,3)+'Escalating commodity'!E157,'Escalating commodity'!E157))</f>
        <v>7.0699999999999999E-2</v>
      </c>
      <c r="AI144" s="88">
        <f t="shared" si="113"/>
        <v>7.0699999999999999E-2</v>
      </c>
      <c r="AJ144" s="236">
        <f t="shared" si="99"/>
        <v>41136.5</v>
      </c>
      <c r="AK144" s="58">
        <f t="shared" ca="1" si="100"/>
        <v>4096</v>
      </c>
      <c r="AL144" s="26">
        <f ca="1">IF($A145="","",_xll.SPRDOPT(P144,X144,AI144,0,AB144,AE144,AF144,AK144,$AJ$2,0))</f>
        <v>7.621498707303509E-2</v>
      </c>
      <c r="AM144" s="89">
        <f t="shared" si="101"/>
        <v>5.069767368751997E-2</v>
      </c>
      <c r="AN144" s="89">
        <f t="shared" ca="1" si="102"/>
        <v>2.551731338551512E-2</v>
      </c>
      <c r="AO144" s="3">
        <f t="shared" si="103"/>
        <v>31</v>
      </c>
      <c r="AP144" s="33">
        <f t="shared" si="104"/>
        <v>41122</v>
      </c>
      <c r="AQ144" s="58">
        <f t="shared" ca="1" si="105"/>
        <v>4096</v>
      </c>
      <c r="AR144" s="38">
        <f>'ANR OK vs ML7'!AR144</f>
        <v>0.1</v>
      </c>
      <c r="AS144" s="35">
        <f t="shared" ca="1" si="106"/>
        <v>0.334777578860672</v>
      </c>
      <c r="AT144" s="3">
        <f t="shared" si="107"/>
        <v>1</v>
      </c>
      <c r="AU144" s="3">
        <f t="shared" si="108"/>
        <v>31</v>
      </c>
      <c r="AW144" s="32">
        <f t="shared" ca="1" si="109"/>
        <v>85174.058803470369</v>
      </c>
      <c r="AX144" s="32">
        <f t="shared" si="110"/>
        <v>56657.185229487943</v>
      </c>
      <c r="AY144" s="32">
        <f t="shared" ca="1" si="111"/>
        <v>28516.873573982422</v>
      </c>
      <c r="BA144" s="32">
        <f ca="1">IF($A145="","",F144*Summary!$Q$9)</f>
        <v>0</v>
      </c>
      <c r="BC144" s="256">
        <f t="shared" ca="1" si="114"/>
        <v>18967.555296188599</v>
      </c>
    </row>
    <row r="145" spans="1:55">
      <c r="A145" s="67">
        <f t="shared" si="112"/>
        <v>41153</v>
      </c>
      <c r="B145" s="69">
        <f t="shared" si="115"/>
        <v>36050</v>
      </c>
      <c r="C145" s="71"/>
      <c r="D145" s="69">
        <f t="shared" si="77"/>
        <v>36050</v>
      </c>
      <c r="E145" s="70">
        <f t="shared" si="78"/>
        <v>1081500</v>
      </c>
      <c r="F145" s="70">
        <f t="shared" ca="1" si="79"/>
        <v>359075.74758385326</v>
      </c>
      <c r="G145" s="63">
        <f t="shared" si="80"/>
        <v>4.5199999999999996</v>
      </c>
      <c r="H145" s="64">
        <f t="shared" si="81"/>
        <v>4.5199999999999996</v>
      </c>
      <c r="I145" s="43"/>
      <c r="J145" s="63">
        <f t="shared" si="82"/>
        <v>0.18</v>
      </c>
      <c r="K145" s="64">
        <f t="shared" si="83"/>
        <v>0.18</v>
      </c>
      <c r="L145" s="63">
        <f t="shared" si="84"/>
        <v>0</v>
      </c>
      <c r="M145" s="64">
        <f t="shared" si="85"/>
        <v>0</v>
      </c>
      <c r="N145" s="65"/>
      <c r="O145" s="63">
        <f t="shared" si="86"/>
        <v>4.6999999999999993</v>
      </c>
      <c r="P145" s="63">
        <f t="shared" si="87"/>
        <v>4.6999999999999993</v>
      </c>
      <c r="Q145" s="66"/>
      <c r="R145" s="63">
        <f t="shared" si="88"/>
        <v>-0.14000000000000001</v>
      </c>
      <c r="S145" s="64">
        <f t="shared" si="89"/>
        <v>-0.14000000000000001</v>
      </c>
      <c r="T145" s="63">
        <f t="shared" si="90"/>
        <v>-0.01</v>
      </c>
      <c r="U145" s="64">
        <f t="shared" si="91"/>
        <v>-0.01</v>
      </c>
      <c r="V145" s="90">
        <f>IF($A146="","",IF(AND(MONTH(A145)&gt;3,MONTH(A145)&lt;11),(T145+R145+G145)*Summary!$T$9/(1-Summary!$T$9),(T145+R145+G145)*Summary!$U$9/(1-Summary!$U$9)))</f>
        <v>0.20927276537776374</v>
      </c>
      <c r="W145" s="63">
        <f t="shared" si="92"/>
        <v>4.5792727653777625</v>
      </c>
      <c r="X145" s="63">
        <f t="shared" si="93"/>
        <v>4.5792727653777625</v>
      </c>
      <c r="Y145" s="43"/>
      <c r="Z145" s="38">
        <f t="shared" si="94"/>
        <v>0.6</v>
      </c>
      <c r="AA145" s="38">
        <f t="shared" si="95"/>
        <v>0.17</v>
      </c>
      <c r="AB145" s="38">
        <f t="shared" ca="1" si="96"/>
        <v>0.17382594504650589</v>
      </c>
      <c r="AC145" s="38">
        <f t="shared" si="97"/>
        <v>0.55000000000000004</v>
      </c>
      <c r="AD145" s="38">
        <f t="shared" si="97"/>
        <v>0.17</v>
      </c>
      <c r="AE145" s="38">
        <f t="shared" ca="1" si="98"/>
        <v>0.17322375584919517</v>
      </c>
      <c r="AF145" s="237">
        <f ca="1">((Summary!$N$9*(AA145*AD145)*(A145-$D$3))+(Summary!$M$9*Z145*AC145*(AJ145-EOMONTH(EDATE(A145,-1),0))))/(AK145*AB145*AE145)</f>
        <v>0.99975913492209989</v>
      </c>
      <c r="AG145" s="88">
        <f>IF($A146="","",Summary!$Q$9)</f>
        <v>0</v>
      </c>
      <c r="AH145" s="88">
        <f>IF($A146="","",IF(Summary!$R$9="Y",VLOOKUP($A145,Summary!$AD$6:$AF$9,3)+'Escalating commodity'!E158,'Escalating commodity'!E158))</f>
        <v>7.0699999999999999E-2</v>
      </c>
      <c r="AI145" s="88">
        <f t="shared" si="113"/>
        <v>7.0699999999999999E-2</v>
      </c>
      <c r="AJ145" s="236">
        <f t="shared" si="99"/>
        <v>41167</v>
      </c>
      <c r="AK145" s="58">
        <f t="shared" ca="1" si="100"/>
        <v>4127</v>
      </c>
      <c r="AL145" s="26">
        <f ca="1">IF($A146="","",_xll.SPRDOPT(P145,X145,AI145,0,AB145,AE145,AF145,AK145,$AJ$2,0))</f>
        <v>6.2962780958266254E-2</v>
      </c>
      <c r="AM145" s="89">
        <f t="shared" si="101"/>
        <v>5.002723462223678E-2</v>
      </c>
      <c r="AN145" s="89">
        <f t="shared" ca="1" si="102"/>
        <v>1.2935546336029474E-2</v>
      </c>
      <c r="AO145" s="3">
        <f t="shared" si="103"/>
        <v>30</v>
      </c>
      <c r="AP145" s="33">
        <f t="shared" si="104"/>
        <v>41153</v>
      </c>
      <c r="AQ145" s="58">
        <f t="shared" ca="1" si="105"/>
        <v>4127</v>
      </c>
      <c r="AR145" s="38">
        <f>'ANR OK vs ML7'!AR145</f>
        <v>0.1</v>
      </c>
      <c r="AS145" s="35">
        <f t="shared" ca="1" si="106"/>
        <v>0.33201641015612876</v>
      </c>
      <c r="AT145" s="3">
        <f t="shared" si="107"/>
        <v>1</v>
      </c>
      <c r="AU145" s="3">
        <f t="shared" si="108"/>
        <v>30</v>
      </c>
      <c r="AW145" s="32">
        <f t="shared" ca="1" si="109"/>
        <v>68094.247606364952</v>
      </c>
      <c r="AX145" s="32">
        <f t="shared" si="110"/>
        <v>54104.454243949076</v>
      </c>
      <c r="AY145" s="32">
        <f t="shared" ca="1" si="111"/>
        <v>13989.793362415876</v>
      </c>
      <c r="BA145" s="32">
        <f ca="1">IF($A146="","",F145*Summary!$Q$9)</f>
        <v>0</v>
      </c>
      <c r="BC145" s="256">
        <f t="shared" ca="1" si="114"/>
        <v>17963.566671532499</v>
      </c>
    </row>
    <row r="146" spans="1:55">
      <c r="A146" s="67">
        <f t="shared" si="112"/>
        <v>41183</v>
      </c>
      <c r="B146" s="69">
        <f t="shared" si="115"/>
        <v>36050</v>
      </c>
      <c r="C146" s="71"/>
      <c r="D146" s="69">
        <f t="shared" si="77"/>
        <v>36050</v>
      </c>
      <c r="E146" s="70">
        <f t="shared" si="78"/>
        <v>1117550</v>
      </c>
      <c r="F146" s="70">
        <f t="shared" ca="1" si="79"/>
        <v>368082.96964471665</v>
      </c>
      <c r="G146" s="63">
        <f t="shared" si="80"/>
        <v>4.5510000000000002</v>
      </c>
      <c r="H146" s="64">
        <f t="shared" si="81"/>
        <v>4.5510000000000002</v>
      </c>
      <c r="I146" s="43"/>
      <c r="J146" s="63">
        <f t="shared" si="82"/>
        <v>0.18</v>
      </c>
      <c r="K146" s="64">
        <f t="shared" si="83"/>
        <v>0.18</v>
      </c>
      <c r="L146" s="63">
        <f t="shared" si="84"/>
        <v>0</v>
      </c>
      <c r="M146" s="64">
        <f t="shared" si="85"/>
        <v>0</v>
      </c>
      <c r="N146" s="65"/>
      <c r="O146" s="63">
        <f t="shared" si="86"/>
        <v>4.7309999999999999</v>
      </c>
      <c r="P146" s="63">
        <f t="shared" si="87"/>
        <v>4.7309999999999999</v>
      </c>
      <c r="Q146" s="66"/>
      <c r="R146" s="63">
        <f t="shared" si="88"/>
        <v>-0.14000000000000001</v>
      </c>
      <c r="S146" s="64">
        <f t="shared" si="89"/>
        <v>-0.14000000000000001</v>
      </c>
      <c r="T146" s="63">
        <f t="shared" si="90"/>
        <v>-0.01</v>
      </c>
      <c r="U146" s="64">
        <f t="shared" si="91"/>
        <v>-0.01</v>
      </c>
      <c r="V146" s="90">
        <f>IF($A147="","",IF(AND(MONTH(A146)&gt;3,MONTH(A146)&lt;11),(T146+R146+G146)*Summary!$T$9/(1-Summary!$T$9),(T146+R146+G146)*Summary!$U$9/(1-Summary!$U$9)))</f>
        <v>0.21075730902232001</v>
      </c>
      <c r="W146" s="63">
        <f t="shared" si="92"/>
        <v>4.6117573090223196</v>
      </c>
      <c r="X146" s="63">
        <f t="shared" si="93"/>
        <v>4.6117573090223196</v>
      </c>
      <c r="Y146" s="43"/>
      <c r="Z146" s="38">
        <f t="shared" si="94"/>
        <v>0.65</v>
      </c>
      <c r="AA146" s="38">
        <f t="shared" si="95"/>
        <v>0.17</v>
      </c>
      <c r="AB146" s="38">
        <f t="shared" ca="1" si="96"/>
        <v>0.17459182956865119</v>
      </c>
      <c r="AC146" s="38">
        <f t="shared" si="97"/>
        <v>0.55000000000000004</v>
      </c>
      <c r="AD146" s="38">
        <f t="shared" si="97"/>
        <v>0.17</v>
      </c>
      <c r="AE146" s="38">
        <f t="shared" ca="1" si="98"/>
        <v>0.17330570935730405</v>
      </c>
      <c r="AF146" s="237">
        <f ca="1">((Summary!$N$9*(AA146*AD146)*(A146-$D$3))+(Summary!$M$9*Z146*AC146*(AJ146-EOMONTH(EDATE(A146,-1),0))))/(AK146*AB146*AE146)</f>
        <v>0.99931565012205215</v>
      </c>
      <c r="AG146" s="88">
        <f>IF($A147="","",Summary!$Q$9)</f>
        <v>0</v>
      </c>
      <c r="AH146" s="88">
        <f>IF($A147="","",IF(Summary!$R$9="Y",VLOOKUP($A146,Summary!$AD$6:$AF$9,3)+'Escalating commodity'!E159,'Escalating commodity'!E159))</f>
        <v>7.0699999999999999E-2</v>
      </c>
      <c r="AI146" s="88">
        <f t="shared" si="113"/>
        <v>7.0699999999999999E-2</v>
      </c>
      <c r="AJ146" s="236">
        <f t="shared" si="99"/>
        <v>41197.5</v>
      </c>
      <c r="AK146" s="58">
        <f t="shared" ca="1" si="100"/>
        <v>4157</v>
      </c>
      <c r="AL146" s="26">
        <f ca="1">IF($A147="","",_xll.SPRDOPT(P146,X146,AI146,0,AB146,AE146,AF146,AK146,$AJ$2,0))</f>
        <v>7.5294282606860455E-2</v>
      </c>
      <c r="AM146" s="89">
        <f t="shared" si="101"/>
        <v>4.8542690977680256E-2</v>
      </c>
      <c r="AN146" s="89">
        <f t="shared" ca="1" si="102"/>
        <v>2.6751591629180199E-2</v>
      </c>
      <c r="AO146" s="3">
        <f t="shared" si="103"/>
        <v>31</v>
      </c>
      <c r="AP146" s="33">
        <f t="shared" si="104"/>
        <v>41183</v>
      </c>
      <c r="AQ146" s="58">
        <f t="shared" ca="1" si="105"/>
        <v>4157</v>
      </c>
      <c r="AR146" s="38">
        <f>'ANR OK vs ML7'!AR146</f>
        <v>0.1</v>
      </c>
      <c r="AS146" s="35">
        <f t="shared" ca="1" si="106"/>
        <v>0.32936599672919925</v>
      </c>
      <c r="AT146" s="3">
        <f t="shared" si="107"/>
        <v>1</v>
      </c>
      <c r="AU146" s="3">
        <f t="shared" si="108"/>
        <v>31</v>
      </c>
      <c r="AW146" s="32">
        <f t="shared" ca="1" si="109"/>
        <v>84145.125527296899</v>
      </c>
      <c r="AX146" s="32">
        <f t="shared" si="110"/>
        <v>54248.88430210657</v>
      </c>
      <c r="AY146" s="32">
        <f t="shared" ca="1" si="111"/>
        <v>29896.241225190333</v>
      </c>
      <c r="BA146" s="32">
        <f ca="1">IF($A147="","",F146*Summary!$Q$9)</f>
        <v>0</v>
      </c>
      <c r="BC146" s="256">
        <f t="shared" ca="1" si="114"/>
        <v>17867.737849610341</v>
      </c>
    </row>
    <row r="147" spans="1:55">
      <c r="A147" s="67">
        <f t="shared" si="112"/>
        <v>41214</v>
      </c>
      <c r="B147" s="69">
        <f t="shared" si="115"/>
        <v>36050</v>
      </c>
      <c r="C147" s="71"/>
      <c r="D147" s="69">
        <f t="shared" si="77"/>
        <v>36050</v>
      </c>
      <c r="E147" s="70">
        <f t="shared" si="78"/>
        <v>1081500</v>
      </c>
      <c r="F147" s="70">
        <f t="shared" ca="1" si="79"/>
        <v>353271.39262650191</v>
      </c>
      <c r="G147" s="63">
        <f t="shared" si="80"/>
        <v>4.6840000000000002</v>
      </c>
      <c r="H147" s="64">
        <f t="shared" si="81"/>
        <v>4.6840000000000002</v>
      </c>
      <c r="I147" s="43"/>
      <c r="J147" s="63">
        <f t="shared" si="82"/>
        <v>0.27500000000000002</v>
      </c>
      <c r="K147" s="64">
        <f t="shared" si="83"/>
        <v>0.27500000000000002</v>
      </c>
      <c r="L147" s="63">
        <f t="shared" si="84"/>
        <v>0</v>
      </c>
      <c r="M147" s="64">
        <f t="shared" si="85"/>
        <v>0</v>
      </c>
      <c r="N147" s="65"/>
      <c r="O147" s="63">
        <f t="shared" si="86"/>
        <v>4.9590000000000005</v>
      </c>
      <c r="P147" s="63">
        <f t="shared" si="87"/>
        <v>4.9590000000000005</v>
      </c>
      <c r="Q147" s="66"/>
      <c r="R147" s="63">
        <f t="shared" si="88"/>
        <v>-0.14249999999999999</v>
      </c>
      <c r="S147" s="64">
        <f t="shared" si="89"/>
        <v>-0.14249999999999999</v>
      </c>
      <c r="T147" s="63">
        <f t="shared" si="90"/>
        <v>0.01</v>
      </c>
      <c r="U147" s="64">
        <f t="shared" si="91"/>
        <v>0.01</v>
      </c>
      <c r="V147" s="90">
        <f>IF($A148="","",IF(AND(MONTH(A147)&gt;3,MONTH(A147)&lt;11),(T147+R147+G147)*Summary!$T$9/(1-Summary!$T$9),(T147+R147+G147)*Summary!$U$9/(1-Summary!$U$9)))</f>
        <v>0.21796452897411714</v>
      </c>
      <c r="W147" s="63">
        <f t="shared" si="92"/>
        <v>4.7694645289741171</v>
      </c>
      <c r="X147" s="63">
        <f t="shared" si="93"/>
        <v>4.7694645289741171</v>
      </c>
      <c r="Y147" s="43"/>
      <c r="Z147" s="38">
        <f t="shared" si="94"/>
        <v>0.8</v>
      </c>
      <c r="AA147" s="38">
        <f t="shared" si="95"/>
        <v>0.17</v>
      </c>
      <c r="AB147" s="38">
        <f t="shared" ca="1" si="96"/>
        <v>0.17663285164117143</v>
      </c>
      <c r="AC147" s="38">
        <f t="shared" si="97"/>
        <v>0.8</v>
      </c>
      <c r="AD147" s="38">
        <f t="shared" si="97"/>
        <v>0.17</v>
      </c>
      <c r="AE147" s="38">
        <f t="shared" ca="1" si="98"/>
        <v>0.17663285164117143</v>
      </c>
      <c r="AF147" s="237">
        <f ca="1">((Summary!$N$9*(AA147*AD147)*(A147-$D$3))+(Summary!$M$9*Z147*AC147*(AJ147-EOMONTH(EDATE(A147,-1),0))))/(AK147*AB147*AE147)</f>
        <v>0.99990734719555263</v>
      </c>
      <c r="AG147" s="88">
        <f>IF($A148="","",Summary!$Q$9)</f>
        <v>0</v>
      </c>
      <c r="AH147" s="88">
        <f>IF($A148="","",IF(Summary!$R$9="Y",VLOOKUP($A147,Summary!$AD$6:$AF$9,3)+'Escalating commodity'!E160,'Escalating commodity'!E160))</f>
        <v>7.0699999999999999E-2</v>
      </c>
      <c r="AI147" s="88">
        <f t="shared" si="113"/>
        <v>7.0699999999999999E-2</v>
      </c>
      <c r="AJ147" s="236">
        <f t="shared" si="99"/>
        <v>41228</v>
      </c>
      <c r="AK147" s="58">
        <f t="shared" ca="1" si="100"/>
        <v>4188</v>
      </c>
      <c r="AL147" s="26">
        <f ca="1">IF($A148="","",_xll.SPRDOPT(P147,X147,AI147,0,AB147,AE147,AF147,AK147,$AJ$2,0))</f>
        <v>0.12151333916481317</v>
      </c>
      <c r="AM147" s="89">
        <f t="shared" si="101"/>
        <v>0.11883547102588342</v>
      </c>
      <c r="AN147" s="89">
        <f t="shared" ca="1" si="102"/>
        <v>2.6778681389297565E-3</v>
      </c>
      <c r="AO147" s="3">
        <f t="shared" si="103"/>
        <v>30</v>
      </c>
      <c r="AP147" s="33">
        <f t="shared" si="104"/>
        <v>41214</v>
      </c>
      <c r="AQ147" s="58">
        <f t="shared" ca="1" si="105"/>
        <v>4188</v>
      </c>
      <c r="AR147" s="38">
        <f>'ANR OK vs ML7'!AR147</f>
        <v>0.1</v>
      </c>
      <c r="AS147" s="35">
        <f t="shared" ca="1" si="106"/>
        <v>0.32664946151317792</v>
      </c>
      <c r="AT147" s="3">
        <f t="shared" si="107"/>
        <v>1</v>
      </c>
      <c r="AU147" s="3">
        <f t="shared" si="108"/>
        <v>30</v>
      </c>
      <c r="AW147" s="32">
        <f t="shared" ca="1" si="109"/>
        <v>131416.67630674544</v>
      </c>
      <c r="AX147" s="32">
        <f t="shared" si="110"/>
        <v>128520.56191449292</v>
      </c>
      <c r="AY147" s="32">
        <f t="shared" ca="1" si="111"/>
        <v>2896.1143922525316</v>
      </c>
      <c r="BA147" s="32">
        <f ca="1">IF($A148="","",F147*Summary!$Q$9)</f>
        <v>0</v>
      </c>
      <c r="BC147" s="256">
        <f t="shared" ca="1" si="114"/>
        <v>41981.172342740152</v>
      </c>
    </row>
    <row r="148" spans="1:55">
      <c r="A148" s="67">
        <f t="shared" si="112"/>
        <v>41244</v>
      </c>
      <c r="B148" s="69">
        <f t="shared" si="115"/>
        <v>36050</v>
      </c>
      <c r="C148" s="71"/>
      <c r="D148" s="69">
        <f t="shared" si="77"/>
        <v>36050</v>
      </c>
      <c r="E148" s="70">
        <f t="shared" si="78"/>
        <v>1117550</v>
      </c>
      <c r="F148" s="70">
        <f t="shared" ca="1" si="79"/>
        <v>362133.01556413656</v>
      </c>
      <c r="G148" s="63">
        <f t="shared" si="80"/>
        <v>4.8220000000000001</v>
      </c>
      <c r="H148" s="64">
        <f t="shared" si="81"/>
        <v>4.8220000000000001</v>
      </c>
      <c r="I148" s="43"/>
      <c r="J148" s="63">
        <f t="shared" si="82"/>
        <v>0.27500000000000002</v>
      </c>
      <c r="K148" s="64">
        <f t="shared" si="83"/>
        <v>0.27500000000000002</v>
      </c>
      <c r="L148" s="63">
        <f t="shared" si="84"/>
        <v>0</v>
      </c>
      <c r="M148" s="64">
        <f t="shared" si="85"/>
        <v>0</v>
      </c>
      <c r="N148" s="65"/>
      <c r="O148" s="63">
        <f t="shared" si="86"/>
        <v>5.0970000000000004</v>
      </c>
      <c r="P148" s="63">
        <f t="shared" si="87"/>
        <v>5.0970000000000004</v>
      </c>
      <c r="Q148" s="66"/>
      <c r="R148" s="63">
        <f t="shared" si="88"/>
        <v>-0.13750000000000001</v>
      </c>
      <c r="S148" s="64">
        <f t="shared" si="89"/>
        <v>-0.13750000000000001</v>
      </c>
      <c r="T148" s="63">
        <f t="shared" si="90"/>
        <v>0.01</v>
      </c>
      <c r="U148" s="64">
        <f t="shared" si="91"/>
        <v>0.01</v>
      </c>
      <c r="V148" s="90">
        <f>IF($A149="","",IF(AND(MONTH(A148)&gt;3,MONTH(A148)&lt;11),(T148+R148+G148)*Summary!$T$9/(1-Summary!$T$9),(T148+R148+G148)*Summary!$U$9/(1-Summary!$U$9)))</f>
        <v>0.22481258514094096</v>
      </c>
      <c r="W148" s="63">
        <f t="shared" si="92"/>
        <v>4.9193125851409407</v>
      </c>
      <c r="X148" s="63">
        <f t="shared" si="93"/>
        <v>4.9193125851409407</v>
      </c>
      <c r="Y148" s="43"/>
      <c r="Z148" s="38">
        <f t="shared" si="94"/>
        <v>1.1000000000000001</v>
      </c>
      <c r="AA148" s="38">
        <f t="shared" si="95"/>
        <v>0.17</v>
      </c>
      <c r="AB148" s="38">
        <f t="shared" ca="1" si="96"/>
        <v>0.18262878111827113</v>
      </c>
      <c r="AC148" s="38">
        <f t="shared" si="97"/>
        <v>1</v>
      </c>
      <c r="AD148" s="38">
        <f t="shared" si="97"/>
        <v>0.17</v>
      </c>
      <c r="AE148" s="38">
        <f t="shared" ca="1" si="98"/>
        <v>0.18050368125711017</v>
      </c>
      <c r="AF148" s="237">
        <f ca="1">((Summary!$N$9*(AA148*AD148)*(A148-$D$3))+(Summary!$M$9*Z148*AC148*(AJ148-EOMONTH(EDATE(A148,-1),0))))/(AK148*AB148*AE148)</f>
        <v>0.99942344302174191</v>
      </c>
      <c r="AG148" s="88">
        <f>IF($A149="","",Summary!$Q$9)</f>
        <v>0</v>
      </c>
      <c r="AH148" s="88">
        <f>IF($A149="","",IF(Summary!$R$9="Y",VLOOKUP($A148,Summary!$AD$6:$AF$9,3)+'Escalating commodity'!E161,'Escalating commodity'!E161))</f>
        <v>7.0699999999999999E-2</v>
      </c>
      <c r="AI148" s="88">
        <f t="shared" si="113"/>
        <v>7.0699999999999999E-2</v>
      </c>
      <c r="AJ148" s="236">
        <f t="shared" si="99"/>
        <v>41258.5</v>
      </c>
      <c r="AK148" s="58">
        <f t="shared" ca="1" si="100"/>
        <v>4218</v>
      </c>
      <c r="AL148" s="26">
        <f ca="1">IF($A149="","",_xll.SPRDOPT(P148,X148,AI148,0,AB148,AE148,AF148,AK148,$AJ$2,0))</f>
        <v>0.12407429650392535</v>
      </c>
      <c r="AM148" s="89">
        <f t="shared" si="101"/>
        <v>0.1069874148590597</v>
      </c>
      <c r="AN148" s="89">
        <f t="shared" ca="1" si="102"/>
        <v>1.7086881644865645E-2</v>
      </c>
      <c r="AO148" s="3">
        <f t="shared" si="103"/>
        <v>31</v>
      </c>
      <c r="AP148" s="33">
        <f t="shared" si="104"/>
        <v>41244</v>
      </c>
      <c r="AQ148" s="58">
        <f t="shared" ca="1" si="105"/>
        <v>4218</v>
      </c>
      <c r="AR148" s="38">
        <f>'ANR OK vs ML7'!AR148</f>
        <v>0.1</v>
      </c>
      <c r="AS148" s="35">
        <f t="shared" ca="1" si="106"/>
        <v>0.32404189124794108</v>
      </c>
      <c r="AT148" s="3">
        <f t="shared" si="107"/>
        <v>1</v>
      </c>
      <c r="AU148" s="3">
        <f t="shared" si="108"/>
        <v>31</v>
      </c>
      <c r="AW148" s="32">
        <f t="shared" ca="1" si="109"/>
        <v>138659.23005796177</v>
      </c>
      <c r="AX148" s="32">
        <f t="shared" si="110"/>
        <v>119563.78547574217</v>
      </c>
      <c r="AY148" s="32">
        <f t="shared" ca="1" si="111"/>
        <v>19095.444582219603</v>
      </c>
      <c r="BA148" s="32">
        <f ca="1">IF($A149="","",F148*Summary!$Q$9)</f>
        <v>0</v>
      </c>
      <c r="BC148" s="256">
        <f t="shared" ca="1" si="114"/>
        <v>38743.675170322604</v>
      </c>
    </row>
    <row r="149" spans="1:55">
      <c r="A149" s="67">
        <f t="shared" si="112"/>
        <v>41275</v>
      </c>
      <c r="B149" s="69">
        <f t="shared" si="115"/>
        <v>36050</v>
      </c>
      <c r="C149" s="71"/>
      <c r="D149" s="69">
        <f t="shared" si="77"/>
        <v>36050</v>
      </c>
      <c r="E149" s="70">
        <f t="shared" si="78"/>
        <v>1117550</v>
      </c>
      <c r="F149" s="70">
        <f t="shared" ca="1" si="79"/>
        <v>359146.22549037926</v>
      </c>
      <c r="G149" s="63">
        <f t="shared" si="80"/>
        <v>4.8690000000000007</v>
      </c>
      <c r="H149" s="64">
        <f t="shared" si="81"/>
        <v>4.8690000000000007</v>
      </c>
      <c r="I149" s="43"/>
      <c r="J149" s="63">
        <f t="shared" si="82"/>
        <v>0.27500000000000002</v>
      </c>
      <c r="K149" s="64">
        <f t="shared" si="83"/>
        <v>0.27500000000000002</v>
      </c>
      <c r="L149" s="63">
        <f t="shared" si="84"/>
        <v>0</v>
      </c>
      <c r="M149" s="64">
        <f t="shared" si="85"/>
        <v>0</v>
      </c>
      <c r="N149" s="65"/>
      <c r="O149" s="63">
        <f t="shared" si="86"/>
        <v>5.144000000000001</v>
      </c>
      <c r="P149" s="63">
        <f t="shared" si="87"/>
        <v>5.144000000000001</v>
      </c>
      <c r="Q149" s="66"/>
      <c r="R149" s="63">
        <f t="shared" si="88"/>
        <v>-0.13750000000000001</v>
      </c>
      <c r="S149" s="64">
        <f t="shared" si="89"/>
        <v>-0.13750000000000001</v>
      </c>
      <c r="T149" s="63">
        <f t="shared" si="90"/>
        <v>0.01</v>
      </c>
      <c r="U149" s="64">
        <f t="shared" si="91"/>
        <v>0.01</v>
      </c>
      <c r="V149" s="90">
        <f>IF($A150="","",IF(AND(MONTH(A149)&gt;3,MONTH(A149)&lt;11),(T149+R149+G149)*Summary!$T$9/(1-Summary!$T$9),(T149+R149+G149)*Summary!$U$9/(1-Summary!$U$9)))</f>
        <v>0.22706334486010687</v>
      </c>
      <c r="W149" s="63">
        <f t="shared" si="92"/>
        <v>4.9685633448601072</v>
      </c>
      <c r="X149" s="63">
        <f t="shared" si="93"/>
        <v>4.9685633448601072</v>
      </c>
      <c r="Y149" s="43"/>
      <c r="Z149" s="38">
        <f t="shared" si="94"/>
        <v>1.1000000000000001</v>
      </c>
      <c r="AA149" s="38">
        <f t="shared" si="95"/>
        <v>0.17</v>
      </c>
      <c r="AB149" s="38">
        <f t="shared" ca="1" si="96"/>
        <v>0.18253980760458821</v>
      </c>
      <c r="AC149" s="38">
        <f t="shared" si="97"/>
        <v>1</v>
      </c>
      <c r="AD149" s="38">
        <f t="shared" si="97"/>
        <v>0.17</v>
      </c>
      <c r="AE149" s="38">
        <f t="shared" ca="1" si="98"/>
        <v>0.18042926247522789</v>
      </c>
      <c r="AF149" s="237">
        <f ca="1">((Summary!$N$9*(AA149*AD149)*(A149-$D$3))+(Summary!$M$9*Z149*AC149*(AJ149-EOMONTH(EDATE(A149,-1),0))))/(AK149*AB149*AE149)</f>
        <v>0.99942605843378818</v>
      </c>
      <c r="AG149" s="88">
        <f>IF($A150="","",Summary!$Q$9)</f>
        <v>0</v>
      </c>
      <c r="AH149" s="88">
        <f>IF($A150="","",IF(Summary!$R$9="Y",VLOOKUP($A149,Summary!$AD$6:$AF$9,3)+'Escalating commodity'!E162,'Escalating commodity'!E162))</f>
        <v>7.0699999999999999E-2</v>
      </c>
      <c r="AI149" s="88">
        <f t="shared" si="113"/>
        <v>7.0699999999999999E-2</v>
      </c>
      <c r="AJ149" s="236">
        <f t="shared" si="99"/>
        <v>41289.5</v>
      </c>
      <c r="AK149" s="58">
        <f t="shared" ca="1" si="100"/>
        <v>4249</v>
      </c>
      <c r="AL149" s="26">
        <f ca="1">IF($A150="","",_xll.SPRDOPT(P149,X149,AI149,0,AB149,AE149,AF149,AK149,$AJ$2,0))</f>
        <v>0.1225590536963314</v>
      </c>
      <c r="AM149" s="89">
        <f t="shared" si="101"/>
        <v>0.10473665513989382</v>
      </c>
      <c r="AN149" s="89">
        <f t="shared" ca="1" si="102"/>
        <v>1.782239855643758E-2</v>
      </c>
      <c r="AO149" s="3">
        <f t="shared" si="103"/>
        <v>31</v>
      </c>
      <c r="AP149" s="33">
        <f t="shared" si="104"/>
        <v>41275</v>
      </c>
      <c r="AQ149" s="58">
        <f t="shared" ca="1" si="105"/>
        <v>4249</v>
      </c>
      <c r="AR149" s="38">
        <f>'ANR OK vs ML7'!AR149</f>
        <v>0.1</v>
      </c>
      <c r="AS149" s="35">
        <f t="shared" ca="1" si="106"/>
        <v>0.32136926803308957</v>
      </c>
      <c r="AT149" s="3">
        <f t="shared" si="107"/>
        <v>1</v>
      </c>
      <c r="AU149" s="3">
        <f t="shared" si="108"/>
        <v>31</v>
      </c>
      <c r="AW149" s="32">
        <f t="shared" ca="1" si="109"/>
        <v>136965.87045833515</v>
      </c>
      <c r="AX149" s="32">
        <f t="shared" si="110"/>
        <v>117048.44895158833</v>
      </c>
      <c r="AY149" s="32">
        <f t="shared" ca="1" si="111"/>
        <v>19917.421506746818</v>
      </c>
      <c r="BA149" s="32">
        <f ca="1">IF($A150="","",F149*Summary!$Q$9)</f>
        <v>0</v>
      </c>
      <c r="BC149" s="256">
        <f t="shared" ca="1" si="114"/>
        <v>37615.774363980396</v>
      </c>
    </row>
    <row r="150" spans="1:55">
      <c r="A150" s="67">
        <f t="shared" si="112"/>
        <v>41306</v>
      </c>
      <c r="B150" s="69">
        <f t="shared" si="115"/>
        <v>36050</v>
      </c>
      <c r="C150" s="71"/>
      <c r="D150" s="69">
        <f t="shared" si="77"/>
        <v>36050</v>
      </c>
      <c r="E150" s="70">
        <f t="shared" si="78"/>
        <v>1009400</v>
      </c>
      <c r="F150" s="70">
        <f t="shared" ca="1" si="79"/>
        <v>321714.64366888598</v>
      </c>
      <c r="G150" s="63">
        <f t="shared" si="80"/>
        <v>4.7490000000000006</v>
      </c>
      <c r="H150" s="64">
        <f t="shared" si="81"/>
        <v>4.7490000000000006</v>
      </c>
      <c r="I150" s="43"/>
      <c r="J150" s="63">
        <f t="shared" si="82"/>
        <v>0.27500000000000002</v>
      </c>
      <c r="K150" s="64">
        <f t="shared" si="83"/>
        <v>0.27500000000000002</v>
      </c>
      <c r="L150" s="63">
        <f t="shared" si="84"/>
        <v>0</v>
      </c>
      <c r="M150" s="64">
        <f t="shared" si="85"/>
        <v>0</v>
      </c>
      <c r="N150" s="65"/>
      <c r="O150" s="63">
        <f t="shared" si="86"/>
        <v>5.0240000000000009</v>
      </c>
      <c r="P150" s="63">
        <f t="shared" si="87"/>
        <v>5.0240000000000009</v>
      </c>
      <c r="Q150" s="66"/>
      <c r="R150" s="63">
        <f t="shared" si="88"/>
        <v>-0.14000000000000001</v>
      </c>
      <c r="S150" s="64">
        <f t="shared" si="89"/>
        <v>-0.14000000000000001</v>
      </c>
      <c r="T150" s="63">
        <f t="shared" si="90"/>
        <v>0.01</v>
      </c>
      <c r="U150" s="64">
        <f t="shared" si="91"/>
        <v>0.01</v>
      </c>
      <c r="V150" s="90">
        <f>IF($A151="","",IF(AND(MONTH(A150)&gt;3,MONTH(A150)&lt;11),(T150+R150+G150)*Summary!$T$9/(1-Summary!$T$9),(T150+R150+G150)*Summary!$U$9/(1-Summary!$U$9)))</f>
        <v>0.22119700303887666</v>
      </c>
      <c r="W150" s="63">
        <f t="shared" si="92"/>
        <v>4.8401970030388775</v>
      </c>
      <c r="X150" s="63">
        <f t="shared" si="93"/>
        <v>4.8401970030388775</v>
      </c>
      <c r="Y150" s="43"/>
      <c r="Z150" s="38">
        <f t="shared" si="94"/>
        <v>1.1000000000000001</v>
      </c>
      <c r="AA150" s="38">
        <f t="shared" si="95"/>
        <v>0.17</v>
      </c>
      <c r="AB150" s="38">
        <f t="shared" ca="1" si="96"/>
        <v>0.181286227446219</v>
      </c>
      <c r="AC150" s="38">
        <f t="shared" si="97"/>
        <v>1</v>
      </c>
      <c r="AD150" s="38">
        <f t="shared" si="97"/>
        <v>0.17</v>
      </c>
      <c r="AE150" s="38">
        <f t="shared" ca="1" si="98"/>
        <v>0.17938166119710169</v>
      </c>
      <c r="AF150" s="237">
        <f ca="1">((Summary!$N$9*(AA150*AD150)*(A150-$D$3))+(Summary!$M$9*Z150*AC150*(AJ150-EOMONTH(EDATE(A150,-1),0))))/(AK150*AB150*AE150)</f>
        <v>0.99946394718481413</v>
      </c>
      <c r="AG150" s="88">
        <f>IF($A151="","",Summary!$Q$9)</f>
        <v>0</v>
      </c>
      <c r="AH150" s="88">
        <f>IF($A151="","",IF(Summary!$R$9="Y",VLOOKUP($A150,Summary!$AD$6:$AF$9,3)+'Escalating commodity'!E163,'Escalating commodity'!E163))</f>
        <v>7.0699999999999999E-2</v>
      </c>
      <c r="AI150" s="88">
        <f t="shared" si="113"/>
        <v>7.0699999999999999E-2</v>
      </c>
      <c r="AJ150" s="236">
        <f t="shared" si="99"/>
        <v>41319</v>
      </c>
      <c r="AK150" s="58">
        <f t="shared" ca="1" si="100"/>
        <v>4280</v>
      </c>
      <c r="AL150" s="26">
        <f ca="1">IF($A151="","",_xll.SPRDOPT(P150,X150,AI150,0,AB150,AE150,AF150,AK150,$AJ$2,0))</f>
        <v>0.12751346623104035</v>
      </c>
      <c r="AM150" s="89">
        <f t="shared" si="101"/>
        <v>0.11310299696112346</v>
      </c>
      <c r="AN150" s="89">
        <f t="shared" ca="1" si="102"/>
        <v>1.441046926991689E-2</v>
      </c>
      <c r="AO150" s="3">
        <f t="shared" si="103"/>
        <v>28</v>
      </c>
      <c r="AP150" s="33">
        <f t="shared" si="104"/>
        <v>41306</v>
      </c>
      <c r="AQ150" s="58">
        <f t="shared" ca="1" si="105"/>
        <v>4280</v>
      </c>
      <c r="AR150" s="38">
        <f>'ANR OK vs ML7'!AR150</f>
        <v>0.1</v>
      </c>
      <c r="AS150" s="35">
        <f t="shared" ca="1" si="106"/>
        <v>0.3187186880016703</v>
      </c>
      <c r="AT150" s="3">
        <f t="shared" si="107"/>
        <v>1</v>
      </c>
      <c r="AU150" s="3">
        <f t="shared" si="108"/>
        <v>28</v>
      </c>
      <c r="AW150" s="32">
        <f t="shared" ca="1" si="109"/>
        <v>128712.09281361212</v>
      </c>
      <c r="AX150" s="32">
        <f t="shared" si="110"/>
        <v>114166.16513255802</v>
      </c>
      <c r="AY150" s="32">
        <f t="shared" ca="1" si="111"/>
        <v>14545.927681054109</v>
      </c>
      <c r="BA150" s="32">
        <f ca="1">IF($A151="","",F150*Summary!$Q$9)</f>
        <v>0</v>
      </c>
      <c r="BC150" s="256">
        <f t="shared" ca="1" si="114"/>
        <v>36386.890365230924</v>
      </c>
    </row>
    <row r="151" spans="1:55">
      <c r="A151" s="67">
        <f t="shared" si="112"/>
        <v>41334</v>
      </c>
      <c r="B151" s="69">
        <f t="shared" si="115"/>
        <v>36050</v>
      </c>
      <c r="C151" s="71"/>
      <c r="D151" s="69">
        <f t="shared" si="77"/>
        <v>36050</v>
      </c>
      <c r="E151" s="70">
        <f t="shared" si="78"/>
        <v>1117550</v>
      </c>
      <c r="F151" s="70">
        <f t="shared" ca="1" si="79"/>
        <v>353529.57901351276</v>
      </c>
      <c r="G151" s="63">
        <f t="shared" si="80"/>
        <v>4.6100000000000003</v>
      </c>
      <c r="H151" s="64">
        <f t="shared" si="81"/>
        <v>4.6100000000000003</v>
      </c>
      <c r="I151" s="43"/>
      <c r="J151" s="63">
        <f t="shared" si="82"/>
        <v>0.27500000000000002</v>
      </c>
      <c r="K151" s="64">
        <f t="shared" si="83"/>
        <v>0.27500000000000002</v>
      </c>
      <c r="L151" s="63">
        <f t="shared" si="84"/>
        <v>0</v>
      </c>
      <c r="M151" s="64">
        <f t="shared" si="85"/>
        <v>0</v>
      </c>
      <c r="N151" s="65"/>
      <c r="O151" s="63">
        <f t="shared" si="86"/>
        <v>4.8850000000000007</v>
      </c>
      <c r="P151" s="63">
        <f t="shared" si="87"/>
        <v>4.8850000000000007</v>
      </c>
      <c r="Q151" s="66"/>
      <c r="R151" s="63">
        <f t="shared" si="88"/>
        <v>-0.14249999999999999</v>
      </c>
      <c r="S151" s="64">
        <f t="shared" si="89"/>
        <v>-0.14249999999999999</v>
      </c>
      <c r="T151" s="63">
        <f t="shared" si="90"/>
        <v>0.01</v>
      </c>
      <c r="U151" s="64">
        <f t="shared" si="91"/>
        <v>0.01</v>
      </c>
      <c r="V151" s="90">
        <f>IF($A152="","",IF(AND(MONTH(A151)&gt;3,MONTH(A151)&lt;11),(T151+R151+G151)*Summary!$T$9/(1-Summary!$T$9),(T151+R151+G151)*Summary!$U$9/(1-Summary!$U$9)))</f>
        <v>0.21442077962904746</v>
      </c>
      <c r="W151" s="63">
        <f t="shared" si="92"/>
        <v>4.6919207796290472</v>
      </c>
      <c r="X151" s="63">
        <f t="shared" si="93"/>
        <v>4.6919207796290472</v>
      </c>
      <c r="Y151" s="43"/>
      <c r="Z151" s="38">
        <f t="shared" si="94"/>
        <v>0.75</v>
      </c>
      <c r="AA151" s="38">
        <f t="shared" si="95"/>
        <v>0.17</v>
      </c>
      <c r="AB151" s="38">
        <f t="shared" ca="1" si="96"/>
        <v>0.17587086007729316</v>
      </c>
      <c r="AC151" s="38">
        <f t="shared" si="97"/>
        <v>0.75</v>
      </c>
      <c r="AD151" s="38">
        <f t="shared" si="97"/>
        <v>0.17</v>
      </c>
      <c r="AE151" s="38">
        <f t="shared" ca="1" si="98"/>
        <v>0.17587086007729316</v>
      </c>
      <c r="AF151" s="237">
        <f ca="1">((Summary!$N$9*(AA151*AD151)*(A151-$D$3))+(Summary!$M$9*Z151*AC151*(AJ151-EOMONTH(EDATE(A151,-1),0))))/(AK151*AB151*AE151)</f>
        <v>0.99990654320844086</v>
      </c>
      <c r="AG151" s="88">
        <f>IF($A152="","",Summary!$Q$9)</f>
        <v>0</v>
      </c>
      <c r="AH151" s="88">
        <f>IF($A152="","",IF(Summary!$R$9="Y",VLOOKUP($A151,Summary!$AD$6:$AF$9,3)+'Escalating commodity'!E164,'Escalating commodity'!E164))</f>
        <v>7.0699999999999999E-2</v>
      </c>
      <c r="AI151" s="88">
        <f t="shared" si="113"/>
        <v>7.0699999999999999E-2</v>
      </c>
      <c r="AJ151" s="236">
        <f t="shared" si="99"/>
        <v>41348.5</v>
      </c>
      <c r="AK151" s="58">
        <f t="shared" ca="1" si="100"/>
        <v>4308</v>
      </c>
      <c r="AL151" s="26">
        <f ca="1">IF($A152="","",_xll.SPRDOPT(P151,X151,AI151,0,AB151,AE151,AF151,AK151,$AJ$2,0))</f>
        <v>0.12496944632270485</v>
      </c>
      <c r="AM151" s="89">
        <f t="shared" si="101"/>
        <v>0.12237922037095349</v>
      </c>
      <c r="AN151" s="89">
        <f t="shared" ca="1" si="102"/>
        <v>2.5902259517513598E-3</v>
      </c>
      <c r="AO151" s="3">
        <f t="shared" si="103"/>
        <v>31</v>
      </c>
      <c r="AP151" s="33">
        <f t="shared" si="104"/>
        <v>41334</v>
      </c>
      <c r="AQ151" s="58">
        <f t="shared" ca="1" si="105"/>
        <v>4308</v>
      </c>
      <c r="AR151" s="38">
        <f>'ANR OK vs ML7'!AR151</f>
        <v>0.1</v>
      </c>
      <c r="AS151" s="35">
        <f t="shared" ca="1" si="106"/>
        <v>0.31634341104515479</v>
      </c>
      <c r="AT151" s="3">
        <f t="shared" si="107"/>
        <v>1</v>
      </c>
      <c r="AU151" s="3">
        <f t="shared" si="108"/>
        <v>31</v>
      </c>
      <c r="AW151" s="32">
        <f t="shared" ca="1" si="109"/>
        <v>139659.60473793879</v>
      </c>
      <c r="AX151" s="32">
        <f t="shared" si="110"/>
        <v>136764.89772555907</v>
      </c>
      <c r="AY151" s="32">
        <f t="shared" ca="1" si="111"/>
        <v>2894.7070123797321</v>
      </c>
      <c r="BA151" s="32">
        <f ca="1">IF($A152="","",F151*Summary!$Q$9)</f>
        <v>0</v>
      </c>
      <c r="BC151" s="256">
        <f t="shared" ca="1" si="114"/>
        <v>43264.674257745093</v>
      </c>
    </row>
    <row r="152" spans="1:55">
      <c r="A152" s="67">
        <f t="shared" si="112"/>
        <v>41365</v>
      </c>
      <c r="B152" s="69">
        <f t="shared" si="115"/>
        <v>36050</v>
      </c>
      <c r="C152" s="71"/>
      <c r="D152" s="69">
        <f t="shared" si="77"/>
        <v>36050</v>
      </c>
      <c r="E152" s="70">
        <f t="shared" si="78"/>
        <v>1081500</v>
      </c>
      <c r="F152" s="70">
        <f t="shared" ca="1" si="79"/>
        <v>339303.62720479449</v>
      </c>
      <c r="G152" s="63">
        <f t="shared" si="80"/>
        <v>4.4349999999999996</v>
      </c>
      <c r="H152" s="64">
        <f t="shared" si="81"/>
        <v>4.4349999999999996</v>
      </c>
      <c r="I152" s="43"/>
      <c r="J152" s="63">
        <f t="shared" si="82"/>
        <v>0.18</v>
      </c>
      <c r="K152" s="64">
        <f t="shared" si="83"/>
        <v>0.18</v>
      </c>
      <c r="L152" s="63">
        <f t="shared" si="84"/>
        <v>0</v>
      </c>
      <c r="M152" s="64">
        <f t="shared" si="85"/>
        <v>0</v>
      </c>
      <c r="N152" s="65"/>
      <c r="O152" s="63">
        <f t="shared" si="86"/>
        <v>4.6149999999999993</v>
      </c>
      <c r="P152" s="63">
        <f t="shared" si="87"/>
        <v>4.6149999999999993</v>
      </c>
      <c r="Q152" s="66"/>
      <c r="R152" s="63">
        <f t="shared" si="88"/>
        <v>-0.14000000000000001</v>
      </c>
      <c r="S152" s="64">
        <f t="shared" si="89"/>
        <v>-0.14000000000000001</v>
      </c>
      <c r="T152" s="63">
        <f t="shared" si="90"/>
        <v>-0.01</v>
      </c>
      <c r="U152" s="64">
        <f t="shared" si="91"/>
        <v>-0.01</v>
      </c>
      <c r="V152" s="90">
        <f>IF($A153="","",IF(AND(MONTH(A152)&gt;3,MONTH(A152)&lt;11),(T152+R152+G152)*Summary!$T$9/(1-Summary!$T$9),(T152+R152+G152)*Summary!$U$9/(1-Summary!$U$9)))</f>
        <v>0.20520224248139993</v>
      </c>
      <c r="W152" s="63">
        <f t="shared" si="92"/>
        <v>4.4902022424813994</v>
      </c>
      <c r="X152" s="63">
        <f t="shared" si="93"/>
        <v>4.4902022424813994</v>
      </c>
      <c r="Y152" s="43"/>
      <c r="Z152" s="38">
        <f t="shared" si="94"/>
        <v>0.45</v>
      </c>
      <c r="AA152" s="38">
        <f t="shared" si="95"/>
        <v>0.17</v>
      </c>
      <c r="AB152" s="38">
        <f t="shared" ca="1" si="96"/>
        <v>0.1720659949392305</v>
      </c>
      <c r="AC152" s="38">
        <f t="shared" si="97"/>
        <v>0.4</v>
      </c>
      <c r="AD152" s="38">
        <f t="shared" si="97"/>
        <v>0.17</v>
      </c>
      <c r="AE152" s="38">
        <f t="shared" ca="1" si="98"/>
        <v>0.17163852527979043</v>
      </c>
      <c r="AF152" s="237">
        <f ca="1">((Summary!$N$9*(AA152*AD152)*(A152-$D$3))+(Summary!$M$9*Z152*AC152*(AJ152-EOMONTH(EDATE(A152,-1),0))))/(AK152*AB152*AE152)</f>
        <v>0.9997588956069221</v>
      </c>
      <c r="AG152" s="88">
        <f>IF($A153="","",Summary!$Q$9)</f>
        <v>0</v>
      </c>
      <c r="AH152" s="88">
        <f>IF($A153="","",IF(Summary!$R$9="Y",VLOOKUP($A152,Summary!$AD$6:$AF$9,3)+'Escalating commodity'!E165,'Escalating commodity'!E165))</f>
        <v>7.0699999999999999E-2</v>
      </c>
      <c r="AI152" s="88">
        <f t="shared" si="113"/>
        <v>7.0699999999999999E-2</v>
      </c>
      <c r="AJ152" s="236">
        <f t="shared" si="99"/>
        <v>41379</v>
      </c>
      <c r="AK152" s="58">
        <f t="shared" ca="1" si="100"/>
        <v>4339</v>
      </c>
      <c r="AL152" s="26">
        <f ca="1">IF($A153="","",_xll.SPRDOPT(P152,X152,AI152,0,AB152,AE152,AF152,AK152,$AJ$2,0))</f>
        <v>6.5991415726938507E-2</v>
      </c>
      <c r="AM152" s="89">
        <f t="shared" si="101"/>
        <v>5.4097757518599895E-2</v>
      </c>
      <c r="AN152" s="89">
        <f t="shared" ca="1" si="102"/>
        <v>1.1893658208338612E-2</v>
      </c>
      <c r="AO152" s="3">
        <f t="shared" si="103"/>
        <v>30</v>
      </c>
      <c r="AP152" s="33">
        <f t="shared" si="104"/>
        <v>41365</v>
      </c>
      <c r="AQ152" s="58">
        <f t="shared" ca="1" si="105"/>
        <v>4339</v>
      </c>
      <c r="AR152" s="38">
        <f>'ANR OK vs ML7'!AR152</f>
        <v>0.1</v>
      </c>
      <c r="AS152" s="35">
        <f t="shared" ca="1" si="106"/>
        <v>0.31373428312972212</v>
      </c>
      <c r="AT152" s="3">
        <f t="shared" si="107"/>
        <v>1</v>
      </c>
      <c r="AU152" s="3">
        <f t="shared" si="108"/>
        <v>30</v>
      </c>
      <c r="AW152" s="32">
        <f t="shared" ca="1" si="109"/>
        <v>71369.716108683991</v>
      </c>
      <c r="AX152" s="32">
        <f t="shared" si="110"/>
        <v>58506.724756365787</v>
      </c>
      <c r="AY152" s="32">
        <f t="shared" ca="1" si="111"/>
        <v>12862.991352318208</v>
      </c>
      <c r="BA152" s="32">
        <f ca="1">IF($A153="","",F152*Summary!$Q$9)</f>
        <v>0</v>
      </c>
      <c r="BC152" s="256">
        <f t="shared" ca="1" si="114"/>
        <v>18355.565349706387</v>
      </c>
    </row>
    <row r="153" spans="1:55">
      <c r="A153" s="67">
        <f t="shared" si="112"/>
        <v>41395</v>
      </c>
      <c r="B153" s="69">
        <f t="shared" si="115"/>
        <v>36050</v>
      </c>
      <c r="C153" s="71"/>
      <c r="D153" s="69">
        <f t="shared" si="77"/>
        <v>36050</v>
      </c>
      <c r="E153" s="70">
        <f t="shared" si="78"/>
        <v>1117550</v>
      </c>
      <c r="F153" s="70">
        <f t="shared" ca="1" si="79"/>
        <v>347814.87625699141</v>
      </c>
      <c r="G153" s="63">
        <f t="shared" si="80"/>
        <v>4.4050000000000002</v>
      </c>
      <c r="H153" s="64">
        <f t="shared" si="81"/>
        <v>4.4050000000000002</v>
      </c>
      <c r="I153" s="43"/>
      <c r="J153" s="63">
        <f t="shared" si="82"/>
        <v>0.18</v>
      </c>
      <c r="K153" s="64">
        <f t="shared" si="83"/>
        <v>0.18</v>
      </c>
      <c r="L153" s="63">
        <f t="shared" si="84"/>
        <v>0</v>
      </c>
      <c r="M153" s="64">
        <f t="shared" si="85"/>
        <v>0</v>
      </c>
      <c r="N153" s="65"/>
      <c r="O153" s="63">
        <f t="shared" si="86"/>
        <v>4.585</v>
      </c>
      <c r="P153" s="63">
        <f t="shared" si="87"/>
        <v>4.585</v>
      </c>
      <c r="Q153" s="66"/>
      <c r="R153" s="63">
        <f t="shared" si="88"/>
        <v>-0.14000000000000001</v>
      </c>
      <c r="S153" s="64">
        <f t="shared" si="89"/>
        <v>-0.14000000000000001</v>
      </c>
      <c r="T153" s="63">
        <f t="shared" si="90"/>
        <v>-0.01</v>
      </c>
      <c r="U153" s="64">
        <f t="shared" si="91"/>
        <v>-0.01</v>
      </c>
      <c r="V153" s="90">
        <f>IF($A154="","",IF(AND(MONTH(A153)&gt;3,MONTH(A153)&lt;11),(T153+R153+G153)*Summary!$T$9/(1-Summary!$T$9),(T153+R153+G153)*Summary!$U$9/(1-Summary!$U$9)))</f>
        <v>0.20376558734150682</v>
      </c>
      <c r="W153" s="63">
        <f t="shared" si="92"/>
        <v>4.4587655873415066</v>
      </c>
      <c r="X153" s="63">
        <f t="shared" si="93"/>
        <v>4.4587655873415066</v>
      </c>
      <c r="Y153" s="43"/>
      <c r="Z153" s="38">
        <f t="shared" si="94"/>
        <v>0.5</v>
      </c>
      <c r="AA153" s="38">
        <f t="shared" si="95"/>
        <v>0.17</v>
      </c>
      <c r="AB153" s="38">
        <f t="shared" ca="1" si="96"/>
        <v>0.17260806885466767</v>
      </c>
      <c r="AC153" s="38">
        <f t="shared" si="97"/>
        <v>0.4</v>
      </c>
      <c r="AD153" s="38">
        <f t="shared" si="97"/>
        <v>0.17</v>
      </c>
      <c r="AE153" s="38">
        <f t="shared" ca="1" si="98"/>
        <v>0.17168066402641077</v>
      </c>
      <c r="AF153" s="237">
        <f ca="1">((Summary!$N$9*(AA153*AD153)*(A153-$D$3))+(Summary!$M$9*Z153*AC153*(AJ153-EOMONTH(EDATE(A153,-1),0))))/(AK153*AB153*AE153)</f>
        <v>0.9993183641327632</v>
      </c>
      <c r="AG153" s="88">
        <f>IF($A154="","",Summary!$Q$9)</f>
        <v>0</v>
      </c>
      <c r="AH153" s="88">
        <f>IF($A154="","",IF(Summary!$R$9="Y",VLOOKUP($A153,Summary!$AD$6:$AF$9,3)+'Escalating commodity'!E166,'Escalating commodity'!E166))</f>
        <v>7.0699999999999999E-2</v>
      </c>
      <c r="AI153" s="88">
        <f t="shared" si="113"/>
        <v>7.0699999999999999E-2</v>
      </c>
      <c r="AJ153" s="236">
        <f t="shared" si="99"/>
        <v>41409.5</v>
      </c>
      <c r="AK153" s="58">
        <f t="shared" ca="1" si="100"/>
        <v>4369</v>
      </c>
      <c r="AL153" s="26">
        <f ca="1">IF($A154="","",_xll.SPRDOPT(P153,X153,AI153,0,AB153,AE153,AF153,AK153,$AJ$2,0))</f>
        <v>7.8760248722488602E-2</v>
      </c>
      <c r="AM153" s="89">
        <f t="shared" si="101"/>
        <v>5.5534412658493335E-2</v>
      </c>
      <c r="AN153" s="89">
        <f t="shared" ca="1" si="102"/>
        <v>2.3225836063995267E-2</v>
      </c>
      <c r="AO153" s="3">
        <f t="shared" si="103"/>
        <v>31</v>
      </c>
      <c r="AP153" s="33">
        <f t="shared" si="104"/>
        <v>41395</v>
      </c>
      <c r="AQ153" s="58">
        <f t="shared" ca="1" si="105"/>
        <v>4369</v>
      </c>
      <c r="AR153" s="38">
        <f>'ANR OK vs ML7'!AR153</f>
        <v>0.1</v>
      </c>
      <c r="AS153" s="35">
        <f t="shared" ca="1" si="106"/>
        <v>0.31122981187149695</v>
      </c>
      <c r="AT153" s="3">
        <f t="shared" si="107"/>
        <v>1</v>
      </c>
      <c r="AU153" s="3">
        <f t="shared" si="108"/>
        <v>31</v>
      </c>
      <c r="AW153" s="32">
        <f t="shared" ca="1" si="109"/>
        <v>88018.51595981713</v>
      </c>
      <c r="AX153" s="32">
        <f t="shared" si="110"/>
        <v>62062.482866499224</v>
      </c>
      <c r="AY153" s="32">
        <f t="shared" ca="1" si="111"/>
        <v>25956.03309331791</v>
      </c>
      <c r="BA153" s="32">
        <f ca="1">IF($A154="","",F153*Summary!$Q$9)</f>
        <v>0</v>
      </c>
      <c r="BC153" s="256">
        <f t="shared" ca="1" si="114"/>
        <v>19315.694866818558</v>
      </c>
    </row>
    <row r="154" spans="1:55">
      <c r="A154" s="67">
        <f t="shared" si="112"/>
        <v>41426</v>
      </c>
      <c r="B154" s="69">
        <f t="shared" si="115"/>
        <v>36050</v>
      </c>
      <c r="C154" s="71"/>
      <c r="D154" s="69">
        <f t="shared" si="77"/>
        <v>36050</v>
      </c>
      <c r="E154" s="70">
        <f t="shared" si="78"/>
        <v>1081500</v>
      </c>
      <c r="F154" s="70">
        <f t="shared" ca="1" si="79"/>
        <v>333818.8828190614</v>
      </c>
      <c r="G154" s="63">
        <f t="shared" si="80"/>
        <v>4.4749999999999996</v>
      </c>
      <c r="H154" s="64">
        <f t="shared" si="81"/>
        <v>4.4749999999999996</v>
      </c>
      <c r="I154" s="43"/>
      <c r="J154" s="63">
        <f t="shared" si="82"/>
        <v>0.18</v>
      </c>
      <c r="K154" s="64">
        <f t="shared" si="83"/>
        <v>0.18</v>
      </c>
      <c r="L154" s="63">
        <f t="shared" si="84"/>
        <v>0</v>
      </c>
      <c r="M154" s="64">
        <f t="shared" si="85"/>
        <v>0</v>
      </c>
      <c r="N154" s="65"/>
      <c r="O154" s="63">
        <f t="shared" si="86"/>
        <v>4.6549999999999994</v>
      </c>
      <c r="P154" s="63">
        <f t="shared" si="87"/>
        <v>4.6549999999999994</v>
      </c>
      <c r="Q154" s="66"/>
      <c r="R154" s="63">
        <f t="shared" si="88"/>
        <v>-0.14000000000000001</v>
      </c>
      <c r="S154" s="64">
        <f t="shared" si="89"/>
        <v>-0.14000000000000001</v>
      </c>
      <c r="T154" s="63">
        <f t="shared" si="90"/>
        <v>-0.01</v>
      </c>
      <c r="U154" s="64">
        <f t="shared" si="91"/>
        <v>-0.01</v>
      </c>
      <c r="V154" s="90">
        <f>IF($A155="","",IF(AND(MONTH(A154)&gt;3,MONTH(A154)&lt;11),(T154+R154+G154)*Summary!$T$9/(1-Summary!$T$9),(T154+R154+G154)*Summary!$U$9/(1-Summary!$U$9)))</f>
        <v>0.20711778266792408</v>
      </c>
      <c r="W154" s="63">
        <f t="shared" si="92"/>
        <v>4.5321177826679238</v>
      </c>
      <c r="X154" s="63">
        <f t="shared" si="93"/>
        <v>4.5321177826679238</v>
      </c>
      <c r="Y154" s="43"/>
      <c r="Z154" s="38">
        <f t="shared" si="94"/>
        <v>0.5</v>
      </c>
      <c r="AA154" s="38">
        <f t="shared" si="95"/>
        <v>0.17</v>
      </c>
      <c r="AB154" s="38">
        <f t="shared" ca="1" si="96"/>
        <v>0.17250750971795667</v>
      </c>
      <c r="AC154" s="38">
        <f t="shared" si="97"/>
        <v>0.4</v>
      </c>
      <c r="AD154" s="38">
        <f t="shared" si="97"/>
        <v>0.17</v>
      </c>
      <c r="AE154" s="38">
        <f t="shared" ca="1" si="98"/>
        <v>0.17161591629937106</v>
      </c>
      <c r="AF154" s="237">
        <f ca="1">((Summary!$N$9*(AA154*AD154)*(A154-$D$3))+(Summary!$M$9*Z154*AC154*(AJ154-EOMONTH(EDATE(A154,-1),0))))/(AK154*AB154*AE154)</f>
        <v>0.99934002299333857</v>
      </c>
      <c r="AG154" s="88">
        <f>IF($A155="","",Summary!$Q$9)</f>
        <v>0</v>
      </c>
      <c r="AH154" s="88">
        <f>IF($A155="","",IF(Summary!$R$9="Y",VLOOKUP($A154,Summary!$AD$6:$AF$9,3)+'Escalating commodity'!E167,'Escalating commodity'!E167))</f>
        <v>7.0699999999999999E-2</v>
      </c>
      <c r="AI154" s="88">
        <f t="shared" si="113"/>
        <v>7.0699999999999999E-2</v>
      </c>
      <c r="AJ154" s="236">
        <f t="shared" si="99"/>
        <v>41440</v>
      </c>
      <c r="AK154" s="58">
        <f t="shared" ca="1" si="100"/>
        <v>4400</v>
      </c>
      <c r="AL154" s="26">
        <f ca="1">IF($A155="","",_xll.SPRDOPT(P154,X154,AI154,0,AB154,AE154,AF154,AK154,$AJ$2,0))</f>
        <v>7.632926669603439E-2</v>
      </c>
      <c r="AM154" s="89">
        <f t="shared" si="101"/>
        <v>5.2182217332075606E-2</v>
      </c>
      <c r="AN154" s="89">
        <f t="shared" ca="1" si="102"/>
        <v>2.4147049363958784E-2</v>
      </c>
      <c r="AO154" s="3">
        <f t="shared" si="103"/>
        <v>30</v>
      </c>
      <c r="AP154" s="33">
        <f t="shared" si="104"/>
        <v>41426</v>
      </c>
      <c r="AQ154" s="58">
        <f t="shared" ca="1" si="105"/>
        <v>4400</v>
      </c>
      <c r="AR154" s="38">
        <f>'ANR OK vs ML7'!AR154</f>
        <v>0.1</v>
      </c>
      <c r="AS154" s="35">
        <f t="shared" ca="1" si="106"/>
        <v>0.30866285974947888</v>
      </c>
      <c r="AT154" s="3">
        <f t="shared" si="107"/>
        <v>1</v>
      </c>
      <c r="AU154" s="3">
        <f t="shared" si="108"/>
        <v>30</v>
      </c>
      <c r="AW154" s="32">
        <f t="shared" ca="1" si="109"/>
        <v>82550.101931761194</v>
      </c>
      <c r="AX154" s="32">
        <f t="shared" si="110"/>
        <v>56435.068044639767</v>
      </c>
      <c r="AY154" s="32">
        <f t="shared" ca="1" si="111"/>
        <v>26115.033887121423</v>
      </c>
      <c r="BA154" s="32">
        <f ca="1">IF($A155="","",F154*Summary!$Q$9)</f>
        <v>0</v>
      </c>
      <c r="BC154" s="256">
        <f t="shared" ca="1" si="114"/>
        <v>17419.409492814942</v>
      </c>
    </row>
    <row r="155" spans="1:55">
      <c r="A155" s="67">
        <f t="shared" si="112"/>
        <v>41456</v>
      </c>
      <c r="B155" s="69">
        <f t="shared" si="115"/>
        <v>36050</v>
      </c>
      <c r="C155" s="71"/>
      <c r="D155" s="69">
        <f t="shared" si="77"/>
        <v>36050</v>
      </c>
      <c r="E155" s="70">
        <f t="shared" si="78"/>
        <v>1117550</v>
      </c>
      <c r="F155" s="70">
        <f t="shared" ca="1" si="79"/>
        <v>342192.550007371</v>
      </c>
      <c r="G155" s="63">
        <f t="shared" si="80"/>
        <v>4.53</v>
      </c>
      <c r="H155" s="64">
        <f t="shared" si="81"/>
        <v>4.53</v>
      </c>
      <c r="I155" s="43"/>
      <c r="J155" s="63">
        <f t="shared" si="82"/>
        <v>0.18</v>
      </c>
      <c r="K155" s="64">
        <f t="shared" si="83"/>
        <v>0.18</v>
      </c>
      <c r="L155" s="63">
        <f t="shared" si="84"/>
        <v>0</v>
      </c>
      <c r="M155" s="64">
        <f t="shared" si="85"/>
        <v>0</v>
      </c>
      <c r="N155" s="65"/>
      <c r="O155" s="63">
        <f t="shared" si="86"/>
        <v>4.71</v>
      </c>
      <c r="P155" s="63">
        <f t="shared" si="87"/>
        <v>4.71</v>
      </c>
      <c r="Q155" s="66"/>
      <c r="R155" s="63">
        <f t="shared" si="88"/>
        <v>-0.14000000000000001</v>
      </c>
      <c r="S155" s="64">
        <f t="shared" si="89"/>
        <v>-0.14000000000000001</v>
      </c>
      <c r="T155" s="63">
        <f t="shared" si="90"/>
        <v>-0.01</v>
      </c>
      <c r="U155" s="64">
        <f t="shared" si="91"/>
        <v>-0.01</v>
      </c>
      <c r="V155" s="90">
        <f>IF($A156="","",IF(AND(MONTH(A155)&gt;3,MONTH(A155)&lt;11),(T155+R155+G155)*Summary!$T$9/(1-Summary!$T$9),(T155+R155+G155)*Summary!$U$9/(1-Summary!$U$9)))</f>
        <v>0.20975165042439481</v>
      </c>
      <c r="W155" s="63">
        <f t="shared" si="92"/>
        <v>4.5897516504243949</v>
      </c>
      <c r="X155" s="63">
        <f t="shared" si="93"/>
        <v>4.5897516504243949</v>
      </c>
      <c r="Y155" s="43"/>
      <c r="Z155" s="38">
        <f t="shared" si="94"/>
        <v>0.55000000000000004</v>
      </c>
      <c r="AA155" s="38">
        <f t="shared" si="95"/>
        <v>0.17</v>
      </c>
      <c r="AB155" s="38">
        <f t="shared" ca="1" si="96"/>
        <v>0.17310381936834818</v>
      </c>
      <c r="AC155" s="38">
        <f t="shared" si="97"/>
        <v>0.4</v>
      </c>
      <c r="AD155" s="38">
        <f t="shared" si="97"/>
        <v>0.17</v>
      </c>
      <c r="AE155" s="38">
        <f t="shared" ca="1" si="98"/>
        <v>0.17165763343097842</v>
      </c>
      <c r="AF155" s="237">
        <f ca="1">((Summary!$N$9*(AA155*AD155)*(A155-$D$3))+(Summary!$M$9*Z155*AC155*(AJ155-EOMONTH(EDATE(A155,-1),0))))/(AK155*AB155*AE155)</f>
        <v>0.99861323258245394</v>
      </c>
      <c r="AG155" s="88">
        <f>IF($A156="","",Summary!$Q$9)</f>
        <v>0</v>
      </c>
      <c r="AH155" s="88">
        <f>IF($A156="","",IF(Summary!$R$9="Y",VLOOKUP($A155,Summary!$AD$6:$AF$9,3)+'Escalating commodity'!E168,'Escalating commodity'!E168))</f>
        <v>7.0699999999999999E-2</v>
      </c>
      <c r="AI155" s="88">
        <f t="shared" si="113"/>
        <v>7.0699999999999999E-2</v>
      </c>
      <c r="AJ155" s="236">
        <f t="shared" si="99"/>
        <v>41470.5</v>
      </c>
      <c r="AK155" s="58">
        <f t="shared" ca="1" si="100"/>
        <v>4430</v>
      </c>
      <c r="AL155" s="26">
        <f ca="1">IF($A156="","",_xll.SPRDOPT(P155,X155,AI155,0,AB155,AE155,AF155,AK155,$AJ$2,0))</f>
        <v>9.2529061619212441E-2</v>
      </c>
      <c r="AM155" s="89">
        <f t="shared" si="101"/>
        <v>4.9548349575605041E-2</v>
      </c>
      <c r="AN155" s="89">
        <f t="shared" ca="1" si="102"/>
        <v>4.29807120436074E-2</v>
      </c>
      <c r="AO155" s="3">
        <f t="shared" si="103"/>
        <v>31</v>
      </c>
      <c r="AP155" s="33">
        <f t="shared" si="104"/>
        <v>41456</v>
      </c>
      <c r="AQ155" s="58">
        <f t="shared" ca="1" si="105"/>
        <v>4430</v>
      </c>
      <c r="AR155" s="38">
        <f>'ANR OK vs ML7'!AR155</f>
        <v>0.1</v>
      </c>
      <c r="AS155" s="35">
        <f t="shared" ca="1" si="106"/>
        <v>0.30619887254026307</v>
      </c>
      <c r="AT155" s="3">
        <f t="shared" si="107"/>
        <v>1</v>
      </c>
      <c r="AU155" s="3">
        <f t="shared" si="108"/>
        <v>31</v>
      </c>
      <c r="AW155" s="32">
        <f t="shared" ca="1" si="109"/>
        <v>103405.85281255086</v>
      </c>
      <c r="AX155" s="32">
        <f t="shared" si="110"/>
        <v>55372.758068217416</v>
      </c>
      <c r="AY155" s="32">
        <f t="shared" ca="1" si="111"/>
        <v>48033.094744333452</v>
      </c>
      <c r="BA155" s="32">
        <f ca="1">IF($A156="","",F155*Summary!$Q$9)</f>
        <v>0</v>
      </c>
      <c r="BC155" s="256">
        <f t="shared" ca="1" si="114"/>
        <v>16955.076089932929</v>
      </c>
    </row>
    <row r="156" spans="1:55">
      <c r="A156" s="67">
        <f t="shared" si="112"/>
        <v>41487</v>
      </c>
      <c r="B156" s="69">
        <f t="shared" si="115"/>
        <v>36050</v>
      </c>
      <c r="C156" s="71"/>
      <c r="D156" s="69">
        <f t="shared" si="77"/>
        <v>36050</v>
      </c>
      <c r="E156" s="70">
        <f t="shared" si="78"/>
        <v>1117550</v>
      </c>
      <c r="F156" s="70">
        <f t="shared" ca="1" si="79"/>
        <v>339370.2243210937</v>
      </c>
      <c r="G156" s="63">
        <f t="shared" si="80"/>
        <v>4.5860000000000003</v>
      </c>
      <c r="H156" s="64">
        <f t="shared" si="81"/>
        <v>4.5860000000000003</v>
      </c>
      <c r="I156" s="43"/>
      <c r="J156" s="63">
        <f t="shared" si="82"/>
        <v>0.18</v>
      </c>
      <c r="K156" s="64">
        <f t="shared" si="83"/>
        <v>0.18</v>
      </c>
      <c r="L156" s="63">
        <f t="shared" si="84"/>
        <v>0</v>
      </c>
      <c r="M156" s="64">
        <f t="shared" si="85"/>
        <v>0</v>
      </c>
      <c r="N156" s="65"/>
      <c r="O156" s="63">
        <f t="shared" si="86"/>
        <v>4.766</v>
      </c>
      <c r="P156" s="63">
        <f t="shared" si="87"/>
        <v>4.766</v>
      </c>
      <c r="Q156" s="66"/>
      <c r="R156" s="63">
        <f t="shared" si="88"/>
        <v>-0.14000000000000001</v>
      </c>
      <c r="S156" s="64">
        <f t="shared" si="89"/>
        <v>-0.14000000000000001</v>
      </c>
      <c r="T156" s="63">
        <f t="shared" si="90"/>
        <v>-0.01</v>
      </c>
      <c r="U156" s="64">
        <f t="shared" si="91"/>
        <v>-0.01</v>
      </c>
      <c r="V156" s="90">
        <f>IF($A157="","",IF(AND(MONTH(A156)&gt;3,MONTH(A156)&lt;11),(T156+R156+G156)*Summary!$T$9/(1-Summary!$T$9),(T156+R156+G156)*Summary!$U$9/(1-Summary!$U$9)))</f>
        <v>0.21243340668552865</v>
      </c>
      <c r="W156" s="63">
        <f t="shared" si="92"/>
        <v>4.6484334066855286</v>
      </c>
      <c r="X156" s="63">
        <f t="shared" si="93"/>
        <v>4.6484334066855286</v>
      </c>
      <c r="Y156" s="43"/>
      <c r="Z156" s="38">
        <f t="shared" si="94"/>
        <v>0.6</v>
      </c>
      <c r="AA156" s="38">
        <f t="shared" si="95"/>
        <v>0.17</v>
      </c>
      <c r="AB156" s="38">
        <f t="shared" ca="1" si="96"/>
        <v>0.17365862773491639</v>
      </c>
      <c r="AC156" s="38">
        <f t="shared" si="97"/>
        <v>0.5</v>
      </c>
      <c r="AD156" s="38">
        <f t="shared" si="97"/>
        <v>0.17</v>
      </c>
      <c r="AE156" s="38">
        <f t="shared" ca="1" si="98"/>
        <v>0.17255468028024437</v>
      </c>
      <c r="AF156" s="237">
        <f ca="1">((Summary!$N$9*(AA156*AD156)*(A156-$D$3))+(Summary!$M$9*Z156*AC156*(AJ156-EOMONTH(EDATE(A156,-1),0))))/(AK156*AB156*AE156)</f>
        <v>0.9993441119709946</v>
      </c>
      <c r="AG156" s="88">
        <f>IF($A157="","",Summary!$Q$9)</f>
        <v>0</v>
      </c>
      <c r="AH156" s="88">
        <f>IF($A157="","",IF(Summary!$R$9="Y",VLOOKUP($A156,Summary!$AD$6:$AF$9,3)+'Escalating commodity'!E169,'Escalating commodity'!E169))</f>
        <v>7.0699999999999999E-2</v>
      </c>
      <c r="AI156" s="88">
        <f t="shared" si="113"/>
        <v>7.0699999999999999E-2</v>
      </c>
      <c r="AJ156" s="236">
        <f t="shared" si="99"/>
        <v>41501.5</v>
      </c>
      <c r="AK156" s="58">
        <f t="shared" ca="1" si="100"/>
        <v>4461</v>
      </c>
      <c r="AL156" s="26">
        <f ca="1">IF($A157="","",_xll.SPRDOPT(P156,X156,AI156,0,AB156,AE156,AF156,AK156,$AJ$2,0))</f>
        <v>7.4375198195205661E-2</v>
      </c>
      <c r="AM156" s="89">
        <f t="shared" si="101"/>
        <v>4.6866593314471391E-2</v>
      </c>
      <c r="AN156" s="89">
        <f t="shared" ca="1" si="102"/>
        <v>2.7508604880734269E-2</v>
      </c>
      <c r="AO156" s="3">
        <f t="shared" si="103"/>
        <v>31</v>
      </c>
      <c r="AP156" s="33">
        <f t="shared" si="104"/>
        <v>41487</v>
      </c>
      <c r="AQ156" s="58">
        <f t="shared" ca="1" si="105"/>
        <v>4461</v>
      </c>
      <c r="AR156" s="38">
        <f>'ANR OK vs ML7'!AR156</f>
        <v>0.1</v>
      </c>
      <c r="AS156" s="35">
        <f t="shared" ca="1" si="106"/>
        <v>0.30367341445223361</v>
      </c>
      <c r="AT156" s="3">
        <f t="shared" si="107"/>
        <v>1</v>
      </c>
      <c r="AU156" s="3">
        <f t="shared" si="108"/>
        <v>31</v>
      </c>
      <c r="AW156" s="32">
        <f t="shared" ca="1" si="109"/>
        <v>83118.002743052086</v>
      </c>
      <c r="AX156" s="32">
        <f t="shared" si="110"/>
        <v>52375.761358587501</v>
      </c>
      <c r="AY156" s="32">
        <f t="shared" ca="1" si="111"/>
        <v>30742.241384464582</v>
      </c>
      <c r="BA156" s="32">
        <f ca="1">IF($A157="","",F156*Summary!$Q$9)</f>
        <v>0</v>
      </c>
      <c r="BC156" s="256">
        <f t="shared" ca="1" si="114"/>
        <v>15905.126286297627</v>
      </c>
    </row>
    <row r="157" spans="1:55">
      <c r="A157" s="67">
        <f t="shared" si="112"/>
        <v>41518</v>
      </c>
      <c r="B157" s="69">
        <f t="shared" si="115"/>
        <v>36050</v>
      </c>
      <c r="C157" s="71"/>
      <c r="D157" s="69">
        <f t="shared" si="77"/>
        <v>36050</v>
      </c>
      <c r="E157" s="70">
        <f t="shared" si="78"/>
        <v>1081500</v>
      </c>
      <c r="F157" s="70">
        <f t="shared" ca="1" si="79"/>
        <v>325714.04180313437</v>
      </c>
      <c r="G157" s="63">
        <f t="shared" si="80"/>
        <v>4.5999999999999996</v>
      </c>
      <c r="H157" s="64">
        <f t="shared" si="81"/>
        <v>4.5999999999999996</v>
      </c>
      <c r="I157" s="43"/>
      <c r="J157" s="63">
        <f t="shared" si="82"/>
        <v>0.18</v>
      </c>
      <c r="K157" s="64">
        <f t="shared" si="83"/>
        <v>0.18</v>
      </c>
      <c r="L157" s="63">
        <f t="shared" si="84"/>
        <v>0</v>
      </c>
      <c r="M157" s="64">
        <f t="shared" si="85"/>
        <v>0</v>
      </c>
      <c r="N157" s="65"/>
      <c r="O157" s="63">
        <f t="shared" si="86"/>
        <v>4.7799999999999994</v>
      </c>
      <c r="P157" s="63">
        <f t="shared" si="87"/>
        <v>4.7799999999999994</v>
      </c>
      <c r="Q157" s="66"/>
      <c r="R157" s="63">
        <f t="shared" si="88"/>
        <v>-0.14000000000000001</v>
      </c>
      <c r="S157" s="64">
        <f t="shared" si="89"/>
        <v>-0.14000000000000001</v>
      </c>
      <c r="T157" s="63">
        <f t="shared" si="90"/>
        <v>-0.01</v>
      </c>
      <c r="U157" s="64">
        <f t="shared" si="91"/>
        <v>-0.01</v>
      </c>
      <c r="V157" s="90">
        <f>IF($A158="","",IF(AND(MONTH(A157)&gt;3,MONTH(A157)&lt;11),(T157+R157+G157)*Summary!$T$9/(1-Summary!$T$9),(T157+R157+G157)*Summary!$U$9/(1-Summary!$U$9)))</f>
        <v>0.21310384575081207</v>
      </c>
      <c r="W157" s="63">
        <f t="shared" si="92"/>
        <v>4.6631038457508112</v>
      </c>
      <c r="X157" s="63">
        <f t="shared" si="93"/>
        <v>4.6631038457508112</v>
      </c>
      <c r="Y157" s="43"/>
      <c r="Z157" s="38">
        <f t="shared" si="94"/>
        <v>0.6</v>
      </c>
      <c r="AA157" s="38">
        <f t="shared" si="95"/>
        <v>0.17</v>
      </c>
      <c r="AB157" s="38">
        <f t="shared" ca="1" si="96"/>
        <v>0.17351821458429095</v>
      </c>
      <c r="AC157" s="38">
        <f t="shared" si="97"/>
        <v>0.55000000000000004</v>
      </c>
      <c r="AD157" s="38">
        <f t="shared" si="97"/>
        <v>0.17</v>
      </c>
      <c r="AE157" s="38">
        <f t="shared" ca="1" si="98"/>
        <v>0.17296405053730815</v>
      </c>
      <c r="AF157" s="237">
        <f ca="1">((Summary!$N$9*(AA157*AD157)*(A157-$D$3))+(Summary!$M$9*Z157*AC157*(AJ157-EOMONTH(EDATE(A157,-1),0))))/(AK157*AB157*AE157)</f>
        <v>0.99976972255838636</v>
      </c>
      <c r="AG157" s="88">
        <f>IF($A158="","",Summary!$Q$9)</f>
        <v>0</v>
      </c>
      <c r="AH157" s="88">
        <f>IF($A158="","",IF(Summary!$R$9="Y",VLOOKUP($A157,Summary!$AD$6:$AF$9,3)+'Escalating commodity'!E170,'Escalating commodity'!E170))</f>
        <v>7.0699999999999999E-2</v>
      </c>
      <c r="AI157" s="88">
        <f t="shared" si="113"/>
        <v>7.0699999999999999E-2</v>
      </c>
      <c r="AJ157" s="236">
        <f t="shared" si="99"/>
        <v>41532</v>
      </c>
      <c r="AK157" s="58">
        <f t="shared" ca="1" si="100"/>
        <v>4492</v>
      </c>
      <c r="AL157" s="26">
        <f ca="1">IF($A158="","",_xll.SPRDOPT(P157,X157,AI157,0,AB157,AE157,AF157,AK157,$AJ$2,0))</f>
        <v>6.0789733828728168E-2</v>
      </c>
      <c r="AM157" s="89">
        <f t="shared" si="101"/>
        <v>4.6196154249188201E-2</v>
      </c>
      <c r="AN157" s="89">
        <f t="shared" ca="1" si="102"/>
        <v>1.4593579579539967E-2</v>
      </c>
      <c r="AO157" s="3">
        <f t="shared" si="103"/>
        <v>30</v>
      </c>
      <c r="AP157" s="33">
        <f t="shared" si="104"/>
        <v>41518</v>
      </c>
      <c r="AQ157" s="58">
        <f t="shared" ca="1" si="105"/>
        <v>4492</v>
      </c>
      <c r="AR157" s="38">
        <f>'ANR OK vs ML7'!AR157</f>
        <v>0.1</v>
      </c>
      <c r="AS157" s="35">
        <f t="shared" ca="1" si="106"/>
        <v>0.30116878576341599</v>
      </c>
      <c r="AT157" s="3">
        <f t="shared" si="107"/>
        <v>1</v>
      </c>
      <c r="AU157" s="3">
        <f t="shared" si="108"/>
        <v>30</v>
      </c>
      <c r="AW157" s="32">
        <f t="shared" ca="1" si="109"/>
        <v>65744.097135769509</v>
      </c>
      <c r="AX157" s="32">
        <f t="shared" si="110"/>
        <v>49961.140820497043</v>
      </c>
      <c r="AY157" s="32">
        <f t="shared" ca="1" si="111"/>
        <v>15782.956315272475</v>
      </c>
      <c r="BA157" s="32">
        <f ca="1">IF($A158="","",F157*Summary!$Q$9)</f>
        <v>0</v>
      </c>
      <c r="BC157" s="256">
        <f t="shared" ca="1" si="114"/>
        <v>15046.73611626413</v>
      </c>
    </row>
    <row r="158" spans="1:55">
      <c r="A158" s="67">
        <f t="shared" si="112"/>
        <v>41548</v>
      </c>
      <c r="B158" s="69">
        <f t="shared" si="115"/>
        <v>36050</v>
      </c>
      <c r="C158" s="71"/>
      <c r="D158" s="69">
        <f t="shared" si="77"/>
        <v>36050</v>
      </c>
      <c r="E158" s="70">
        <f t="shared" si="78"/>
        <v>1117550</v>
      </c>
      <c r="F158" s="70">
        <f t="shared" ca="1" si="79"/>
        <v>333884.40341235755</v>
      </c>
      <c r="G158" s="63">
        <f t="shared" si="80"/>
        <v>4.6310000000000002</v>
      </c>
      <c r="H158" s="64">
        <f t="shared" si="81"/>
        <v>4.6310000000000002</v>
      </c>
      <c r="I158" s="43"/>
      <c r="J158" s="63">
        <f t="shared" si="82"/>
        <v>0.18</v>
      </c>
      <c r="K158" s="64">
        <f t="shared" si="83"/>
        <v>0.18</v>
      </c>
      <c r="L158" s="63">
        <f t="shared" si="84"/>
        <v>0</v>
      </c>
      <c r="M158" s="64">
        <f t="shared" si="85"/>
        <v>0</v>
      </c>
      <c r="N158" s="65"/>
      <c r="O158" s="63">
        <f t="shared" si="86"/>
        <v>4.8109999999999999</v>
      </c>
      <c r="P158" s="63">
        <f t="shared" si="87"/>
        <v>4.8109999999999999</v>
      </c>
      <c r="Q158" s="66"/>
      <c r="R158" s="63">
        <f t="shared" si="88"/>
        <v>-0.14000000000000001</v>
      </c>
      <c r="S158" s="64">
        <f t="shared" si="89"/>
        <v>-0.14000000000000001</v>
      </c>
      <c r="T158" s="63">
        <f t="shared" si="90"/>
        <v>-0.01</v>
      </c>
      <c r="U158" s="64">
        <f t="shared" si="91"/>
        <v>-0.01</v>
      </c>
      <c r="V158" s="90">
        <f>IF($A159="","",IF(AND(MONTH(A158)&gt;3,MONTH(A158)&lt;11),(T158+R158+G158)*Summary!$T$9/(1-Summary!$T$9),(T158+R158+G158)*Summary!$U$9/(1-Summary!$U$9)))</f>
        <v>0.21458838939536831</v>
      </c>
      <c r="W158" s="63">
        <f t="shared" si="92"/>
        <v>4.6955883893953683</v>
      </c>
      <c r="X158" s="63">
        <f t="shared" si="93"/>
        <v>4.6955883893953683</v>
      </c>
      <c r="Y158" s="43"/>
      <c r="Z158" s="38">
        <f t="shared" si="94"/>
        <v>0.65</v>
      </c>
      <c r="AA158" s="38">
        <f t="shared" si="95"/>
        <v>0.17</v>
      </c>
      <c r="AB158" s="38">
        <f t="shared" ca="1" si="96"/>
        <v>0.17422568317437101</v>
      </c>
      <c r="AC158" s="38">
        <f t="shared" si="97"/>
        <v>0.55000000000000004</v>
      </c>
      <c r="AD158" s="38">
        <f t="shared" si="97"/>
        <v>0.17</v>
      </c>
      <c r="AE158" s="38">
        <f t="shared" ca="1" si="98"/>
        <v>0.17304122703526456</v>
      </c>
      <c r="AF158" s="237">
        <f ca="1">((Summary!$N$9*(AA158*AD158)*(A158-$D$3))+(Summary!$M$9*Z158*AC158*(AJ158-EOMONTH(EDATE(A158,-1),0))))/(AK158*AB158*AE158)</f>
        <v>0.99935891401213162</v>
      </c>
      <c r="AG158" s="88">
        <f>IF($A159="","",Summary!$Q$9)</f>
        <v>0</v>
      </c>
      <c r="AH158" s="88">
        <f>IF($A159="","",IF(Summary!$R$9="Y",VLOOKUP($A158,Summary!$AD$6:$AF$9,3)+'Escalating commodity'!E171,'Escalating commodity'!E171))</f>
        <v>7.0699999999999999E-2</v>
      </c>
      <c r="AI158" s="88">
        <f t="shared" si="113"/>
        <v>7.0699999999999999E-2</v>
      </c>
      <c r="AJ158" s="236">
        <f t="shared" si="99"/>
        <v>41562.5</v>
      </c>
      <c r="AK158" s="58">
        <f t="shared" ca="1" si="100"/>
        <v>4522</v>
      </c>
      <c r="AL158" s="26">
        <f ca="1">IF($A159="","",_xll.SPRDOPT(P158,X158,AI158,0,AB158,AE158,AF158,AK158,$AJ$2,0))</f>
        <v>7.3442100724866607E-2</v>
      </c>
      <c r="AM158" s="89">
        <f t="shared" si="101"/>
        <v>4.4711610604631677E-2</v>
      </c>
      <c r="AN158" s="89">
        <f t="shared" ca="1" si="102"/>
        <v>2.8730490120234931E-2</v>
      </c>
      <c r="AO158" s="3">
        <f t="shared" si="103"/>
        <v>31</v>
      </c>
      <c r="AP158" s="33">
        <f t="shared" si="104"/>
        <v>41548</v>
      </c>
      <c r="AQ158" s="58">
        <f t="shared" ca="1" si="105"/>
        <v>4522</v>
      </c>
      <c r="AR158" s="38">
        <f>'ANR OK vs ML7'!AR158</f>
        <v>0.1</v>
      </c>
      <c r="AS158" s="35">
        <f t="shared" ca="1" si="106"/>
        <v>0.29876462208613264</v>
      </c>
      <c r="AT158" s="3">
        <f t="shared" si="107"/>
        <v>1</v>
      </c>
      <c r="AU158" s="3">
        <f t="shared" si="108"/>
        <v>31</v>
      </c>
      <c r="AW158" s="32">
        <f t="shared" ca="1" si="109"/>
        <v>82075.219665074677</v>
      </c>
      <c r="AX158" s="32">
        <f t="shared" si="110"/>
        <v>49967.460431206127</v>
      </c>
      <c r="AY158" s="32">
        <f t="shared" ca="1" si="111"/>
        <v>32107.759233868546</v>
      </c>
      <c r="BA158" s="32">
        <f ca="1">IF($A159="","",F158*Summary!$Q$9)</f>
        <v>0</v>
      </c>
      <c r="BC158" s="256">
        <f t="shared" ca="1" si="114"/>
        <v>14928.509432333087</v>
      </c>
    </row>
    <row r="159" spans="1:55">
      <c r="A159" s="67">
        <f t="shared" si="112"/>
        <v>41579</v>
      </c>
      <c r="B159" s="69">
        <f t="shared" si="115"/>
        <v>36050</v>
      </c>
      <c r="C159" s="71"/>
      <c r="D159" s="69">
        <f t="shared" si="77"/>
        <v>36050</v>
      </c>
      <c r="E159" s="70">
        <f t="shared" si="78"/>
        <v>1081500</v>
      </c>
      <c r="F159" s="70">
        <f t="shared" ca="1" si="79"/>
        <v>320448.96911042236</v>
      </c>
      <c r="G159" s="63">
        <f t="shared" si="80"/>
        <v>4.7640000000000002</v>
      </c>
      <c r="H159" s="64">
        <f t="shared" si="81"/>
        <v>4.7640000000000002</v>
      </c>
      <c r="I159" s="43"/>
      <c r="J159" s="63">
        <f t="shared" si="82"/>
        <v>0.27500000000000002</v>
      </c>
      <c r="K159" s="64">
        <f t="shared" si="83"/>
        <v>0.27500000000000002</v>
      </c>
      <c r="L159" s="63">
        <f t="shared" si="84"/>
        <v>0</v>
      </c>
      <c r="M159" s="64">
        <f t="shared" si="85"/>
        <v>0</v>
      </c>
      <c r="N159" s="65"/>
      <c r="O159" s="63">
        <f t="shared" si="86"/>
        <v>5.0390000000000006</v>
      </c>
      <c r="P159" s="63">
        <f t="shared" si="87"/>
        <v>5.0390000000000006</v>
      </c>
      <c r="Q159" s="66"/>
      <c r="R159" s="63">
        <f t="shared" si="88"/>
        <v>-0.14249999999999999</v>
      </c>
      <c r="S159" s="64">
        <f t="shared" si="89"/>
        <v>-0.14249999999999999</v>
      </c>
      <c r="T159" s="63">
        <f t="shared" si="90"/>
        <v>0.01</v>
      </c>
      <c r="U159" s="64">
        <f t="shared" si="91"/>
        <v>0.01</v>
      </c>
      <c r="V159" s="90">
        <f>IF($A160="","",IF(AND(MONTH(A159)&gt;3,MONTH(A159)&lt;11),(T159+R159+G159)*Summary!$T$9/(1-Summary!$T$9),(T159+R159+G159)*Summary!$U$9/(1-Summary!$U$9)))</f>
        <v>0.22179560934716541</v>
      </c>
      <c r="W159" s="63">
        <f t="shared" si="92"/>
        <v>4.8532956093471658</v>
      </c>
      <c r="X159" s="63">
        <f t="shared" si="93"/>
        <v>4.8532956093471658</v>
      </c>
      <c r="Y159" s="43"/>
      <c r="Z159" s="38">
        <f t="shared" si="94"/>
        <v>0.8</v>
      </c>
      <c r="AA159" s="38">
        <f t="shared" si="95"/>
        <v>0.17</v>
      </c>
      <c r="AB159" s="38">
        <f t="shared" ca="1" si="96"/>
        <v>0.17611032721959655</v>
      </c>
      <c r="AC159" s="38">
        <f t="shared" si="97"/>
        <v>0.8</v>
      </c>
      <c r="AD159" s="38">
        <f t="shared" si="97"/>
        <v>0.17</v>
      </c>
      <c r="AE159" s="38">
        <f t="shared" ca="1" si="98"/>
        <v>0.17611032721959655</v>
      </c>
      <c r="AF159" s="237">
        <f ca="1">((Summary!$N$9*(AA159*AD159)*(A159-$D$3))+(Summary!$M$9*Z159*AC159*(AJ159-EOMONTH(EDATE(A159,-1),0))))/(AK159*AB159*AE159)</f>
        <v>0.99990679835649765</v>
      </c>
      <c r="AG159" s="88">
        <f>IF($A160="","",Summary!$Q$9)</f>
        <v>0</v>
      </c>
      <c r="AH159" s="88">
        <f>IF($A160="","",IF(Summary!$R$9="Y",VLOOKUP($A159,Summary!$AD$6:$AF$9,3)+'Escalating commodity'!E172,'Escalating commodity'!E172))</f>
        <v>7.0699999999999999E-2</v>
      </c>
      <c r="AI159" s="88">
        <f t="shared" si="113"/>
        <v>7.0699999999999999E-2</v>
      </c>
      <c r="AJ159" s="236">
        <f t="shared" si="99"/>
        <v>41593</v>
      </c>
      <c r="AK159" s="58">
        <f t="shared" ca="1" si="100"/>
        <v>4553</v>
      </c>
      <c r="AL159" s="26">
        <f ca="1">IF($A160="","",_xll.SPRDOPT(P159,X159,AI159,0,AB159,AE159,AF159,AK159,$AJ$2,0))</f>
        <v>0.11831748798784393</v>
      </c>
      <c r="AM159" s="89">
        <f t="shared" si="101"/>
        <v>0.11500439065283484</v>
      </c>
      <c r="AN159" s="89">
        <f t="shared" ca="1" si="102"/>
        <v>3.3130973350090909E-3</v>
      </c>
      <c r="AO159" s="3">
        <f t="shared" si="103"/>
        <v>30</v>
      </c>
      <c r="AP159" s="33">
        <f t="shared" si="104"/>
        <v>41579</v>
      </c>
      <c r="AQ159" s="58">
        <f t="shared" ca="1" si="105"/>
        <v>4553</v>
      </c>
      <c r="AR159" s="38">
        <f>'ANR OK vs ML7'!AR159</f>
        <v>0.1</v>
      </c>
      <c r="AS159" s="35">
        <f t="shared" ca="1" si="106"/>
        <v>0.29630047999114412</v>
      </c>
      <c r="AT159" s="3">
        <f t="shared" si="107"/>
        <v>1</v>
      </c>
      <c r="AU159" s="3">
        <f t="shared" si="108"/>
        <v>30</v>
      </c>
      <c r="AW159" s="32">
        <f t="shared" ca="1" si="109"/>
        <v>127960.36325885321</v>
      </c>
      <c r="AX159" s="32">
        <f t="shared" si="110"/>
        <v>124377.24849104088</v>
      </c>
      <c r="AY159" s="32">
        <f t="shared" ca="1" si="111"/>
        <v>3583.1147678123316</v>
      </c>
      <c r="BA159" s="32">
        <f ca="1">IF($A160="","",F159*Summary!$Q$9)</f>
        <v>0</v>
      </c>
      <c r="BC159" s="256">
        <f t="shared" ca="1" si="114"/>
        <v>36853.038427873216</v>
      </c>
    </row>
    <row r="160" spans="1:55">
      <c r="A160" s="67">
        <f t="shared" si="112"/>
        <v>41609</v>
      </c>
      <c r="B160" s="69">
        <f t="shared" si="115"/>
        <v>36050</v>
      </c>
      <c r="C160" s="71"/>
      <c r="D160" s="69">
        <f t="shared" si="77"/>
        <v>36050</v>
      </c>
      <c r="E160" s="70">
        <f t="shared" si="78"/>
        <v>1117550</v>
      </c>
      <c r="F160" s="70">
        <f t="shared" ca="1" si="79"/>
        <v>328487.25920206466</v>
      </c>
      <c r="G160" s="63">
        <f t="shared" si="80"/>
        <v>4.9020000000000001</v>
      </c>
      <c r="H160" s="64">
        <f t="shared" si="81"/>
        <v>4.9020000000000001</v>
      </c>
      <c r="I160" s="43"/>
      <c r="J160" s="63">
        <f t="shared" si="82"/>
        <v>0.27500000000000002</v>
      </c>
      <c r="K160" s="64">
        <f t="shared" si="83"/>
        <v>0.27500000000000002</v>
      </c>
      <c r="L160" s="63">
        <f t="shared" si="84"/>
        <v>0</v>
      </c>
      <c r="M160" s="64">
        <f t="shared" si="85"/>
        <v>0</v>
      </c>
      <c r="N160" s="65"/>
      <c r="O160" s="63">
        <f t="shared" si="86"/>
        <v>5.1770000000000005</v>
      </c>
      <c r="P160" s="63">
        <f t="shared" si="87"/>
        <v>5.1770000000000005</v>
      </c>
      <c r="Q160" s="66"/>
      <c r="R160" s="63">
        <f t="shared" si="88"/>
        <v>-0.13750000000000001</v>
      </c>
      <c r="S160" s="64">
        <f t="shared" si="89"/>
        <v>-0.13750000000000001</v>
      </c>
      <c r="T160" s="63">
        <f t="shared" si="90"/>
        <v>0.01</v>
      </c>
      <c r="U160" s="64">
        <f t="shared" si="91"/>
        <v>0.01</v>
      </c>
      <c r="V160" s="90">
        <f>IF($A161="","",IF(AND(MONTH(A160)&gt;3,MONTH(A160)&lt;11),(T160+R160+G160)*Summary!$T$9/(1-Summary!$T$9),(T160+R160+G160)*Summary!$U$9/(1-Summary!$U$9)))</f>
        <v>0.22864366551398929</v>
      </c>
      <c r="W160" s="63">
        <f t="shared" si="92"/>
        <v>5.0031436655139894</v>
      </c>
      <c r="X160" s="63">
        <f t="shared" si="93"/>
        <v>5.0031436655139894</v>
      </c>
      <c r="Y160" s="43"/>
      <c r="Z160" s="38">
        <f t="shared" si="94"/>
        <v>1.1000000000000001</v>
      </c>
      <c r="AA160" s="38">
        <f t="shared" si="95"/>
        <v>0.17</v>
      </c>
      <c r="AB160" s="38">
        <f t="shared" ca="1" si="96"/>
        <v>0.18165517756123148</v>
      </c>
      <c r="AC160" s="38">
        <f t="shared" si="97"/>
        <v>1</v>
      </c>
      <c r="AD160" s="38">
        <f t="shared" si="97"/>
        <v>0.17</v>
      </c>
      <c r="AE160" s="38">
        <f t="shared" ca="1" si="98"/>
        <v>0.17968964929365669</v>
      </c>
      <c r="AF160" s="237">
        <f ca="1">((Summary!$N$9*(AA160*AD160)*(A160-$D$3))+(Summary!$M$9*Z160*AC160*(AJ160-EOMONTH(EDATE(A160,-1),0))))/(AK160*AB160*AE160)</f>
        <v>0.99945255976391512</v>
      </c>
      <c r="AG160" s="88">
        <f>IF($A161="","",Summary!$Q$9)</f>
        <v>0</v>
      </c>
      <c r="AH160" s="88">
        <f>IF($A161="","",IF(Summary!$R$9="Y",VLOOKUP($A160,Summary!$AD$6:$AF$9,3)+'Escalating commodity'!E173,'Escalating commodity'!E173))</f>
        <v>7.0699999999999999E-2</v>
      </c>
      <c r="AI160" s="88">
        <f t="shared" si="113"/>
        <v>7.0699999999999999E-2</v>
      </c>
      <c r="AJ160" s="236">
        <f t="shared" si="99"/>
        <v>41623.5</v>
      </c>
      <c r="AK160" s="58">
        <f t="shared" ca="1" si="100"/>
        <v>4583</v>
      </c>
      <c r="AL160" s="26">
        <f ca="1">IF($A161="","",_xll.SPRDOPT(P160,X160,AI160,0,AB160,AE160,AF160,AK160,$AJ$2,0))</f>
        <v>0.12187500265000024</v>
      </c>
      <c r="AM160" s="89">
        <f t="shared" si="101"/>
        <v>0.10315633448601112</v>
      </c>
      <c r="AN160" s="89">
        <f t="shared" ca="1" si="102"/>
        <v>1.8718668163989122E-2</v>
      </c>
      <c r="AO160" s="3">
        <f t="shared" si="103"/>
        <v>31</v>
      </c>
      <c r="AP160" s="33">
        <f t="shared" si="104"/>
        <v>41609</v>
      </c>
      <c r="AQ160" s="58">
        <f t="shared" ca="1" si="105"/>
        <v>4583</v>
      </c>
      <c r="AR160" s="38">
        <f>'ANR OK vs ML7'!AR160</f>
        <v>0.1</v>
      </c>
      <c r="AS160" s="35">
        <f t="shared" ca="1" si="106"/>
        <v>0.29393517892001669</v>
      </c>
      <c r="AT160" s="3">
        <f t="shared" si="107"/>
        <v>1</v>
      </c>
      <c r="AU160" s="3">
        <f t="shared" si="108"/>
        <v>31</v>
      </c>
      <c r="AW160" s="32">
        <f t="shared" ca="1" si="109"/>
        <v>136201.40921150777</v>
      </c>
      <c r="AX160" s="32">
        <f t="shared" si="110"/>
        <v>115282.36160484173</v>
      </c>
      <c r="AY160" s="32">
        <f t="shared" ca="1" si="111"/>
        <v>20919.047606666041</v>
      </c>
      <c r="BA160" s="32">
        <f ca="1">IF($A161="","",F160*Summary!$Q$9)</f>
        <v>0</v>
      </c>
      <c r="BC160" s="256">
        <f t="shared" ca="1" si="114"/>
        <v>33885.541584641214</v>
      </c>
    </row>
    <row r="161" spans="1:55">
      <c r="A161" s="67">
        <f t="shared" si="112"/>
        <v>41640</v>
      </c>
      <c r="B161" s="69">
        <f t="shared" si="115"/>
        <v>36050</v>
      </c>
      <c r="C161" s="71"/>
      <c r="D161" s="69">
        <f t="shared" si="77"/>
        <v>36050</v>
      </c>
      <c r="E161" s="70">
        <f t="shared" si="78"/>
        <v>1117550</v>
      </c>
      <c r="F161" s="70">
        <f t="shared" ca="1" si="79"/>
        <v>325777.97161166888</v>
      </c>
      <c r="G161" s="63">
        <f t="shared" si="80"/>
        <v>4.9540000000000006</v>
      </c>
      <c r="H161" s="64">
        <f t="shared" si="81"/>
        <v>4.9540000000000006</v>
      </c>
      <c r="I161" s="43"/>
      <c r="J161" s="63">
        <f t="shared" si="82"/>
        <v>0.27500000000000002</v>
      </c>
      <c r="K161" s="64">
        <f t="shared" si="83"/>
        <v>0.27500000000000002</v>
      </c>
      <c r="L161" s="63">
        <f t="shared" si="84"/>
        <v>0</v>
      </c>
      <c r="M161" s="64">
        <f t="shared" si="85"/>
        <v>0</v>
      </c>
      <c r="N161" s="65"/>
      <c r="O161" s="63">
        <f t="shared" si="86"/>
        <v>5.229000000000001</v>
      </c>
      <c r="P161" s="63">
        <f t="shared" si="87"/>
        <v>5.229000000000001</v>
      </c>
      <c r="Q161" s="66"/>
      <c r="R161" s="63">
        <f t="shared" si="88"/>
        <v>-0.13750000000000001</v>
      </c>
      <c r="S161" s="64">
        <f t="shared" si="89"/>
        <v>-0.13750000000000001</v>
      </c>
      <c r="T161" s="63">
        <f t="shared" si="90"/>
        <v>0.01</v>
      </c>
      <c r="U161" s="64">
        <f t="shared" si="91"/>
        <v>0.01</v>
      </c>
      <c r="V161" s="90">
        <f>IF($A162="","",IF(AND(MONTH(A161)&gt;3,MONTH(A161)&lt;11),(T161+R161+G161)*Summary!$T$9/(1-Summary!$T$9),(T161+R161+G161)*Summary!$U$9/(1-Summary!$U$9)))</f>
        <v>0.23113386775647068</v>
      </c>
      <c r="W161" s="63">
        <f t="shared" si="92"/>
        <v>5.0576338677564712</v>
      </c>
      <c r="X161" s="63">
        <f t="shared" si="93"/>
        <v>5.0576338677564712</v>
      </c>
      <c r="Y161" s="43"/>
      <c r="Z161" s="38">
        <f t="shared" si="94"/>
        <v>1.1000000000000001</v>
      </c>
      <c r="AA161" s="38">
        <f t="shared" si="95"/>
        <v>0.17</v>
      </c>
      <c r="AB161" s="38">
        <f t="shared" ca="1" si="96"/>
        <v>0.18157936644865785</v>
      </c>
      <c r="AC161" s="38">
        <f t="shared" si="97"/>
        <v>1</v>
      </c>
      <c r="AD161" s="38">
        <f t="shared" si="97"/>
        <v>0.17</v>
      </c>
      <c r="AE161" s="38">
        <f t="shared" ca="1" si="98"/>
        <v>0.17962629173204137</v>
      </c>
      <c r="AF161" s="237">
        <f ca="1">((Summary!$N$9*(AA161*AD161)*(A161-$D$3))+(Summary!$M$9*Z161*AC161*(AJ161-EOMONTH(EDATE(A161,-1),0))))/(AK161*AB161*AE161)</f>
        <v>0.99945487343150541</v>
      </c>
      <c r="AG161" s="88">
        <f>IF($A162="","",Summary!$Q$9)</f>
        <v>0</v>
      </c>
      <c r="AH161" s="88">
        <f>IF($A162="","",IF(Summary!$R$9="Y",VLOOKUP($A161,Summary!$AD$6:$AF$9,3)+'Escalating commodity'!E174,'Escalating commodity'!E174))</f>
        <v>7.0699999999999999E-2</v>
      </c>
      <c r="AI161" s="88">
        <f t="shared" si="113"/>
        <v>7.0699999999999999E-2</v>
      </c>
      <c r="AJ161" s="236">
        <f t="shared" si="99"/>
        <v>41654.5</v>
      </c>
      <c r="AK161" s="58">
        <f t="shared" ca="1" si="100"/>
        <v>4614</v>
      </c>
      <c r="AL161" s="26">
        <f ca="1">IF($A162="","",_xll.SPRDOPT(P161,X161,AI161,0,AB161,AE161,AF161,AK161,$AJ$2,0))</f>
        <v>0.12020406666884459</v>
      </c>
      <c r="AM161" s="89">
        <f t="shared" si="101"/>
        <v>0.10066613224352981</v>
      </c>
      <c r="AN161" s="89">
        <f t="shared" ca="1" si="102"/>
        <v>1.9537934425314776E-2</v>
      </c>
      <c r="AO161" s="3">
        <f t="shared" si="103"/>
        <v>31</v>
      </c>
      <c r="AP161" s="33">
        <f t="shared" si="104"/>
        <v>41640</v>
      </c>
      <c r="AQ161" s="58">
        <f t="shared" ca="1" si="105"/>
        <v>4614</v>
      </c>
      <c r="AR161" s="38">
        <f>'ANR OK vs ML7'!AR161</f>
        <v>0.1</v>
      </c>
      <c r="AS161" s="35">
        <f t="shared" ca="1" si="106"/>
        <v>0.29151086896485068</v>
      </c>
      <c r="AT161" s="3">
        <f t="shared" si="107"/>
        <v>1</v>
      </c>
      <c r="AU161" s="3">
        <f t="shared" si="108"/>
        <v>31</v>
      </c>
      <c r="AW161" s="32">
        <f t="shared" ca="1" si="109"/>
        <v>134334.05470576728</v>
      </c>
      <c r="AX161" s="32">
        <f t="shared" si="110"/>
        <v>112499.43608875675</v>
      </c>
      <c r="AY161" s="32">
        <f t="shared" ca="1" si="111"/>
        <v>21834.618617010528</v>
      </c>
      <c r="BA161" s="32">
        <f ca="1">IF($A162="","",F161*Summary!$Q$9)</f>
        <v>0</v>
      </c>
      <c r="BC161" s="256">
        <f t="shared" ca="1" si="114"/>
        <v>32794.808372289161</v>
      </c>
    </row>
    <row r="162" spans="1:55">
      <c r="A162" s="67">
        <f t="shared" si="112"/>
        <v>41671</v>
      </c>
      <c r="B162" s="69">
        <f t="shared" si="115"/>
        <v>36050</v>
      </c>
      <c r="C162" s="71"/>
      <c r="D162" s="69">
        <f t="shared" si="77"/>
        <v>36050</v>
      </c>
      <c r="E162" s="70">
        <f t="shared" si="78"/>
        <v>1009400</v>
      </c>
      <c r="F162" s="70">
        <f t="shared" ca="1" si="79"/>
        <v>291824.15577141609</v>
      </c>
      <c r="G162" s="63">
        <f t="shared" si="80"/>
        <v>4.8340000000000005</v>
      </c>
      <c r="H162" s="64">
        <f t="shared" si="81"/>
        <v>4.8340000000000005</v>
      </c>
      <c r="I162" s="43"/>
      <c r="J162" s="63">
        <f t="shared" si="82"/>
        <v>0.27500000000000002</v>
      </c>
      <c r="K162" s="64">
        <f t="shared" si="83"/>
        <v>0.27500000000000002</v>
      </c>
      <c r="L162" s="63">
        <f t="shared" si="84"/>
        <v>0</v>
      </c>
      <c r="M162" s="64">
        <f t="shared" si="85"/>
        <v>0</v>
      </c>
      <c r="N162" s="65"/>
      <c r="O162" s="63">
        <f t="shared" si="86"/>
        <v>5.1090000000000009</v>
      </c>
      <c r="P162" s="63">
        <f t="shared" si="87"/>
        <v>5.1090000000000009</v>
      </c>
      <c r="Q162" s="66"/>
      <c r="R162" s="63">
        <f t="shared" si="88"/>
        <v>-0.14000000000000001</v>
      </c>
      <c r="S162" s="64">
        <f t="shared" si="89"/>
        <v>-0.14000000000000001</v>
      </c>
      <c r="T162" s="63">
        <f t="shared" si="90"/>
        <v>0.01</v>
      </c>
      <c r="U162" s="64">
        <f t="shared" si="91"/>
        <v>0.01</v>
      </c>
      <c r="V162" s="90">
        <f>IF($A163="","",IF(AND(MONTH(A162)&gt;3,MONTH(A162)&lt;11),(T162+R162+G162)*Summary!$T$9/(1-Summary!$T$9),(T162+R162+G162)*Summary!$U$9/(1-Summary!$U$9)))</f>
        <v>0.22526752593524049</v>
      </c>
      <c r="W162" s="63">
        <f t="shared" si="92"/>
        <v>4.9292675259352414</v>
      </c>
      <c r="X162" s="63">
        <f t="shared" si="93"/>
        <v>4.9292675259352414</v>
      </c>
      <c r="Y162" s="43"/>
      <c r="Z162" s="38">
        <f t="shared" si="94"/>
        <v>1.1000000000000001</v>
      </c>
      <c r="AA162" s="38">
        <f t="shared" si="95"/>
        <v>0.17</v>
      </c>
      <c r="AB162" s="38">
        <f t="shared" ca="1" si="96"/>
        <v>0.18042492601898405</v>
      </c>
      <c r="AC162" s="38">
        <f t="shared" si="97"/>
        <v>1</v>
      </c>
      <c r="AD162" s="38">
        <f t="shared" si="97"/>
        <v>0.17</v>
      </c>
      <c r="AE162" s="38">
        <f t="shared" ca="1" si="98"/>
        <v>0.1786622939661667</v>
      </c>
      <c r="AF162" s="237">
        <f ca="1">((Summary!$N$9*(AA162*AD162)*(A162-$D$3))+(Summary!$M$9*Z162*AC162*(AJ162-EOMONTH(EDATE(A162,-1),0))))/(AK162*AB162*AE162)</f>
        <v>0.99949101637224236</v>
      </c>
      <c r="AG162" s="88">
        <f>IF($A163="","",Summary!$Q$9)</f>
        <v>0</v>
      </c>
      <c r="AH162" s="88">
        <f>IF($A163="","",IF(Summary!$R$9="Y",VLOOKUP($A162,Summary!$AD$6:$AF$9,3)+'Escalating commodity'!E175,'Escalating commodity'!E175))</f>
        <v>7.0699999999999999E-2</v>
      </c>
      <c r="AI162" s="88">
        <f t="shared" si="113"/>
        <v>7.0699999999999999E-2</v>
      </c>
      <c r="AJ162" s="236">
        <f t="shared" si="99"/>
        <v>41684</v>
      </c>
      <c r="AK162" s="58">
        <f t="shared" ca="1" si="100"/>
        <v>4645</v>
      </c>
      <c r="AL162" s="26">
        <f ca="1">IF($A163="","",_xll.SPRDOPT(P162,X162,AI162,0,AB162,AE162,AF162,AK162,$AJ$2,0))</f>
        <v>0.12493675145067437</v>
      </c>
      <c r="AM162" s="89">
        <f t="shared" si="101"/>
        <v>0.10903247406475945</v>
      </c>
      <c r="AN162" s="89">
        <f t="shared" ca="1" si="102"/>
        <v>1.5904277385914919E-2</v>
      </c>
      <c r="AO162" s="3">
        <f t="shared" si="103"/>
        <v>28</v>
      </c>
      <c r="AP162" s="33">
        <f t="shared" si="104"/>
        <v>41671</v>
      </c>
      <c r="AQ162" s="58">
        <f t="shared" ca="1" si="105"/>
        <v>4645</v>
      </c>
      <c r="AR162" s="38">
        <f>'ANR OK vs ML7'!AR162</f>
        <v>0.1</v>
      </c>
      <c r="AS162" s="35">
        <f t="shared" ca="1" si="106"/>
        <v>0.28910655416229053</v>
      </c>
      <c r="AT162" s="3">
        <f t="shared" si="107"/>
        <v>1</v>
      </c>
      <c r="AU162" s="3">
        <f t="shared" si="108"/>
        <v>28</v>
      </c>
      <c r="AW162" s="32">
        <f t="shared" ca="1" si="109"/>
        <v>126111.1569143107</v>
      </c>
      <c r="AX162" s="32">
        <f t="shared" si="110"/>
        <v>110057.37932096819</v>
      </c>
      <c r="AY162" s="32">
        <f t="shared" ca="1" si="111"/>
        <v>16053.77759334252</v>
      </c>
      <c r="BA162" s="32">
        <f ca="1">IF($A163="","",F162*Summary!$Q$9)</f>
        <v>0</v>
      </c>
      <c r="BC162" s="256">
        <f t="shared" ca="1" si="114"/>
        <v>31818.309695617249</v>
      </c>
    </row>
    <row r="163" spans="1:55">
      <c r="A163" s="67">
        <f t="shared" si="112"/>
        <v>41699</v>
      </c>
      <c r="B163" s="69">
        <f t="shared" si="115"/>
        <v>36050</v>
      </c>
      <c r="C163" s="71"/>
      <c r="D163" s="69">
        <f t="shared" si="77"/>
        <v>36050</v>
      </c>
      <c r="E163" s="70">
        <f t="shared" si="78"/>
        <v>1117550</v>
      </c>
      <c r="F163" s="70">
        <f t="shared" ca="1" si="79"/>
        <v>320683.16741598229</v>
      </c>
      <c r="G163" s="63">
        <f t="shared" si="80"/>
        <v>4.6950000000000003</v>
      </c>
      <c r="H163" s="64">
        <f t="shared" si="81"/>
        <v>4.6950000000000003</v>
      </c>
      <c r="I163" s="43"/>
      <c r="J163" s="63">
        <f t="shared" si="82"/>
        <v>0.27500000000000002</v>
      </c>
      <c r="K163" s="64">
        <f t="shared" si="83"/>
        <v>0.27500000000000002</v>
      </c>
      <c r="L163" s="63">
        <f t="shared" si="84"/>
        <v>0</v>
      </c>
      <c r="M163" s="64">
        <f t="shared" si="85"/>
        <v>0</v>
      </c>
      <c r="N163" s="65"/>
      <c r="O163" s="63">
        <f t="shared" si="86"/>
        <v>4.9700000000000006</v>
      </c>
      <c r="P163" s="63">
        <f t="shared" si="87"/>
        <v>4.9700000000000006</v>
      </c>
      <c r="Q163" s="66"/>
      <c r="R163" s="63">
        <f t="shared" si="88"/>
        <v>-0.14249999999999999</v>
      </c>
      <c r="S163" s="64">
        <f t="shared" si="89"/>
        <v>-0.14249999999999999</v>
      </c>
      <c r="T163" s="63">
        <f t="shared" si="90"/>
        <v>0.01</v>
      </c>
      <c r="U163" s="64">
        <f t="shared" si="91"/>
        <v>0.01</v>
      </c>
      <c r="V163" s="90">
        <f>IF($A164="","",IF(AND(MONTH(A163)&gt;3,MONTH(A163)&lt;11),(T163+R163+G163)*Summary!$T$9/(1-Summary!$T$9),(T163+R163+G163)*Summary!$U$9/(1-Summary!$U$9)))</f>
        <v>0.21849130252541127</v>
      </c>
      <c r="W163" s="63">
        <f t="shared" si="92"/>
        <v>4.7809913025254112</v>
      </c>
      <c r="X163" s="63">
        <f t="shared" si="93"/>
        <v>4.7809913025254112</v>
      </c>
      <c r="Y163" s="43"/>
      <c r="Z163" s="38">
        <f t="shared" si="94"/>
        <v>0.75</v>
      </c>
      <c r="AA163" s="38">
        <f t="shared" si="95"/>
        <v>0.17</v>
      </c>
      <c r="AB163" s="38">
        <f t="shared" ca="1" si="96"/>
        <v>0.17541937155562332</v>
      </c>
      <c r="AC163" s="38">
        <f t="shared" si="97"/>
        <v>0.75</v>
      </c>
      <c r="AD163" s="38">
        <f t="shared" si="97"/>
        <v>0.17</v>
      </c>
      <c r="AE163" s="38">
        <f t="shared" ca="1" si="98"/>
        <v>0.17541937155562332</v>
      </c>
      <c r="AF163" s="237">
        <f ca="1">((Summary!$N$9*(AA163*AD163)*(A163-$D$3))+(Summary!$M$9*Z163*AC163*(AJ163-EOMONTH(EDATE(A163,-1),0))))/(AK163*AB163*AE163)</f>
        <v>0.99990606322021969</v>
      </c>
      <c r="AG163" s="88">
        <f>IF($A164="","",Summary!$Q$9)</f>
        <v>0</v>
      </c>
      <c r="AH163" s="88">
        <f>IF($A164="","",IF(Summary!$R$9="Y",VLOOKUP($A163,Summary!$AD$6:$AF$9,3)+'Escalating commodity'!E176,'Escalating commodity'!E176))</f>
        <v>7.0699999999999999E-2</v>
      </c>
      <c r="AI163" s="88">
        <f t="shared" si="113"/>
        <v>7.0699999999999999E-2</v>
      </c>
      <c r="AJ163" s="236">
        <f t="shared" si="99"/>
        <v>41713.5</v>
      </c>
      <c r="AK163" s="58">
        <f t="shared" ca="1" si="100"/>
        <v>4673</v>
      </c>
      <c r="AL163" s="26">
        <f ca="1">IF($A164="","",_xll.SPRDOPT(P163,X163,AI163,0,AB163,AE163,AF163,AK163,$AJ$2,0))</f>
        <v>0.12153638596212248</v>
      </c>
      <c r="AM163" s="89">
        <f t="shared" si="101"/>
        <v>0.11830869747458948</v>
      </c>
      <c r="AN163" s="89">
        <f t="shared" ca="1" si="102"/>
        <v>3.2276884875329925E-3</v>
      </c>
      <c r="AO163" s="3">
        <f t="shared" si="103"/>
        <v>31</v>
      </c>
      <c r="AP163" s="33">
        <f t="shared" si="104"/>
        <v>41699</v>
      </c>
      <c r="AQ163" s="58">
        <f t="shared" ca="1" si="105"/>
        <v>4673</v>
      </c>
      <c r="AR163" s="38">
        <f>'ANR OK vs ML7'!AR163</f>
        <v>0.1</v>
      </c>
      <c r="AS163" s="35">
        <f t="shared" ca="1" si="106"/>
        <v>0.2869519640427563</v>
      </c>
      <c r="AT163" s="3">
        <f t="shared" si="107"/>
        <v>1</v>
      </c>
      <c r="AU163" s="3">
        <f t="shared" si="108"/>
        <v>31</v>
      </c>
      <c r="AW163" s="32">
        <f t="shared" ca="1" si="109"/>
        <v>135822.98813196996</v>
      </c>
      <c r="AX163" s="32">
        <f t="shared" si="110"/>
        <v>132215.88486272749</v>
      </c>
      <c r="AY163" s="32">
        <f t="shared" ca="1" si="111"/>
        <v>3607.103269242496</v>
      </c>
      <c r="BA163" s="32">
        <f ca="1">IF($A164="","",F163*Summary!$Q$9)</f>
        <v>0</v>
      </c>
      <c r="BC163" s="256">
        <f t="shared" ca="1" si="114"/>
        <v>37939.607839010583</v>
      </c>
    </row>
    <row r="164" spans="1:55">
      <c r="A164" s="67">
        <f t="shared" si="112"/>
        <v>41730</v>
      </c>
      <c r="B164" s="69">
        <f t="shared" si="115"/>
        <v>36050</v>
      </c>
      <c r="C164" s="71"/>
      <c r="D164" s="69">
        <f t="shared" si="77"/>
        <v>36050</v>
      </c>
      <c r="E164" s="70">
        <f t="shared" si="78"/>
        <v>1081500</v>
      </c>
      <c r="F164" s="70">
        <f t="shared" ca="1" si="79"/>
        <v>307778.94792109093</v>
      </c>
      <c r="G164" s="63">
        <f t="shared" si="80"/>
        <v>4.5199999999999996</v>
      </c>
      <c r="H164" s="64">
        <f t="shared" si="81"/>
        <v>4.5199999999999996</v>
      </c>
      <c r="I164" s="43"/>
      <c r="J164" s="63">
        <f t="shared" si="82"/>
        <v>0.18</v>
      </c>
      <c r="K164" s="64">
        <f t="shared" si="83"/>
        <v>0.18</v>
      </c>
      <c r="L164" s="63">
        <f t="shared" si="84"/>
        <v>0</v>
      </c>
      <c r="M164" s="64">
        <f t="shared" si="85"/>
        <v>0</v>
      </c>
      <c r="N164" s="65"/>
      <c r="O164" s="63">
        <f t="shared" si="86"/>
        <v>4.6999999999999993</v>
      </c>
      <c r="P164" s="63">
        <f t="shared" si="87"/>
        <v>4.6999999999999993</v>
      </c>
      <c r="Q164" s="66"/>
      <c r="R164" s="63">
        <f t="shared" si="88"/>
        <v>-0.14000000000000001</v>
      </c>
      <c r="S164" s="64">
        <f t="shared" si="89"/>
        <v>-0.14000000000000001</v>
      </c>
      <c r="T164" s="63">
        <f t="shared" si="90"/>
        <v>-0.01</v>
      </c>
      <c r="U164" s="64">
        <f t="shared" si="91"/>
        <v>-0.01</v>
      </c>
      <c r="V164" s="90">
        <f>IF($A165="","",IF(AND(MONTH(A164)&gt;3,MONTH(A164)&lt;11),(T164+R164+G164)*Summary!$T$9/(1-Summary!$T$9),(T164+R164+G164)*Summary!$U$9/(1-Summary!$U$9)))</f>
        <v>0.20927276537776374</v>
      </c>
      <c r="W164" s="63">
        <f t="shared" si="92"/>
        <v>4.5792727653777625</v>
      </c>
      <c r="X164" s="63">
        <f t="shared" si="93"/>
        <v>4.5792727653777625</v>
      </c>
      <c r="Y164" s="43"/>
      <c r="Z164" s="38">
        <f t="shared" si="94"/>
        <v>0.45</v>
      </c>
      <c r="AA164" s="38">
        <f t="shared" si="95"/>
        <v>0.17</v>
      </c>
      <c r="AB164" s="38">
        <f t="shared" ca="1" si="96"/>
        <v>0.17190657564008227</v>
      </c>
      <c r="AC164" s="38">
        <f t="shared" si="97"/>
        <v>0.4</v>
      </c>
      <c r="AD164" s="38">
        <f t="shared" si="97"/>
        <v>0.17</v>
      </c>
      <c r="AE164" s="38">
        <f t="shared" ca="1" si="98"/>
        <v>0.17151194649095339</v>
      </c>
      <c r="AF164" s="237">
        <f ca="1">((Summary!$N$9*(AA164*AD164)*(A164-$D$3))+(Summary!$M$9*Z164*AC164*(AJ164-EOMONTH(EDATE(A164,-1),0))))/(AK164*AB164*AE164)</f>
        <v>0.99976941017383303</v>
      </c>
      <c r="AG164" s="88">
        <f>IF($A165="","",Summary!$Q$9)</f>
        <v>0</v>
      </c>
      <c r="AH164" s="88">
        <f>IF($A165="","",IF(Summary!$R$9="Y",VLOOKUP($A164,Summary!$AD$6:$AF$9,3)+'Escalating commodity'!E177,'Escalating commodity'!E177))</f>
        <v>7.0699999999999999E-2</v>
      </c>
      <c r="AI164" s="88">
        <f t="shared" si="113"/>
        <v>7.0699999999999999E-2</v>
      </c>
      <c r="AJ164" s="236">
        <f t="shared" si="99"/>
        <v>41744</v>
      </c>
      <c r="AK164" s="58">
        <f t="shared" ca="1" si="100"/>
        <v>4704</v>
      </c>
      <c r="AL164" s="26">
        <f ca="1">IF($A165="","",_xll.SPRDOPT(P164,X164,AI164,0,AB164,AE164,AF164,AK164,$AJ$2,0))</f>
        <v>6.3416161420934175E-2</v>
      </c>
      <c r="AM164" s="89">
        <f t="shared" si="101"/>
        <v>5.002723462223678E-2</v>
      </c>
      <c r="AN164" s="89">
        <f t="shared" ca="1" si="102"/>
        <v>1.3388926798697395E-2</v>
      </c>
      <c r="AO164" s="3">
        <f t="shared" si="103"/>
        <v>30</v>
      </c>
      <c r="AP164" s="33">
        <f t="shared" si="104"/>
        <v>41730</v>
      </c>
      <c r="AQ164" s="58">
        <f t="shared" ca="1" si="105"/>
        <v>4704</v>
      </c>
      <c r="AR164" s="38">
        <f>'ANR OK vs ML7'!AR164</f>
        <v>0.1</v>
      </c>
      <c r="AS164" s="35">
        <f t="shared" ca="1" si="106"/>
        <v>0.28458525004261759</v>
      </c>
      <c r="AT164" s="3">
        <f t="shared" si="107"/>
        <v>1</v>
      </c>
      <c r="AU164" s="3">
        <f t="shared" si="108"/>
        <v>30</v>
      </c>
      <c r="AW164" s="32">
        <f t="shared" ca="1" si="109"/>
        <v>68584.578576740314</v>
      </c>
      <c r="AX164" s="32">
        <f t="shared" si="110"/>
        <v>54104.454243949076</v>
      </c>
      <c r="AY164" s="32">
        <f t="shared" ca="1" si="111"/>
        <v>14480.124332791233</v>
      </c>
      <c r="BA164" s="32">
        <f ca="1">IF($A165="","",F164*Summary!$Q$9)</f>
        <v>0</v>
      </c>
      <c r="BC164" s="256">
        <f t="shared" ca="1" si="114"/>
        <v>15397.32963943361</v>
      </c>
    </row>
    <row r="165" spans="1:55">
      <c r="A165" s="67">
        <f t="shared" si="112"/>
        <v>41760</v>
      </c>
      <c r="B165" s="69">
        <f t="shared" si="115"/>
        <v>36050</v>
      </c>
      <c r="C165" s="71"/>
      <c r="D165" s="69">
        <f t="shared" si="77"/>
        <v>36050</v>
      </c>
      <c r="E165" s="70">
        <f t="shared" si="78"/>
        <v>1117550</v>
      </c>
      <c r="F165" s="70">
        <f t="shared" ca="1" si="79"/>
        <v>315499.41734359571</v>
      </c>
      <c r="G165" s="63">
        <f t="shared" si="80"/>
        <v>4.49</v>
      </c>
      <c r="H165" s="64">
        <f t="shared" si="81"/>
        <v>4.49</v>
      </c>
      <c r="I165" s="43"/>
      <c r="J165" s="63">
        <f t="shared" si="82"/>
        <v>0.18</v>
      </c>
      <c r="K165" s="64">
        <f t="shared" si="83"/>
        <v>0.18</v>
      </c>
      <c r="L165" s="63">
        <f t="shared" si="84"/>
        <v>0</v>
      </c>
      <c r="M165" s="64">
        <f t="shared" si="85"/>
        <v>0</v>
      </c>
      <c r="N165" s="65"/>
      <c r="O165" s="63">
        <f t="shared" si="86"/>
        <v>4.67</v>
      </c>
      <c r="P165" s="63">
        <f t="shared" si="87"/>
        <v>4.67</v>
      </c>
      <c r="Q165" s="66"/>
      <c r="R165" s="63">
        <f t="shared" si="88"/>
        <v>-0.14000000000000001</v>
      </c>
      <c r="S165" s="64">
        <f t="shared" si="89"/>
        <v>-0.14000000000000001</v>
      </c>
      <c r="T165" s="63">
        <f t="shared" si="90"/>
        <v>-0.01</v>
      </c>
      <c r="U165" s="64">
        <f t="shared" si="91"/>
        <v>-0.01</v>
      </c>
      <c r="V165" s="90">
        <f>IF($A166="","",IF(AND(MONTH(A165)&gt;3,MONTH(A165)&lt;11),(T165+R165+G165)*Summary!$T$9/(1-Summary!$T$9),(T165+R165+G165)*Summary!$U$9/(1-Summary!$U$9)))</f>
        <v>0.20783611023787066</v>
      </c>
      <c r="W165" s="63">
        <f t="shared" si="92"/>
        <v>4.5478361102378706</v>
      </c>
      <c r="X165" s="63">
        <f t="shared" si="93"/>
        <v>4.5478361102378706</v>
      </c>
      <c r="Y165" s="43"/>
      <c r="Z165" s="38">
        <f t="shared" si="94"/>
        <v>0.5</v>
      </c>
      <c r="AA165" s="38">
        <f t="shared" si="95"/>
        <v>0.17</v>
      </c>
      <c r="AB165" s="38">
        <f t="shared" ca="1" si="96"/>
        <v>0.17240838569379738</v>
      </c>
      <c r="AC165" s="38">
        <f t="shared" si="97"/>
        <v>0.4</v>
      </c>
      <c r="AD165" s="38">
        <f t="shared" si="97"/>
        <v>0.17</v>
      </c>
      <c r="AE165" s="38">
        <f t="shared" ca="1" si="98"/>
        <v>0.17155166758576712</v>
      </c>
      <c r="AF165" s="237">
        <f ca="1">((Summary!$N$9*(AA165*AD165)*(A165-$D$3))+(Summary!$M$9*Z165*AC165*(AJ165-EOMONTH(EDATE(A165,-1),0))))/(AK165*AB165*AE165)</f>
        <v>0.99936117268007674</v>
      </c>
      <c r="AG165" s="88">
        <f>IF($A166="","",Summary!$Q$9)</f>
        <v>0</v>
      </c>
      <c r="AH165" s="88">
        <f>IF($A166="","",IF(Summary!$R$9="Y",VLOOKUP($A165,Summary!$AD$6:$AF$9,3)+'Escalating commodity'!E178,'Escalating commodity'!E178))</f>
        <v>7.0699999999999999E-2</v>
      </c>
      <c r="AI165" s="88">
        <f t="shared" si="113"/>
        <v>7.0699999999999999E-2</v>
      </c>
      <c r="AJ165" s="236">
        <f t="shared" si="99"/>
        <v>41774.5</v>
      </c>
      <c r="AK165" s="58">
        <f t="shared" ca="1" si="100"/>
        <v>4734</v>
      </c>
      <c r="AL165" s="26">
        <f ca="1">IF($A166="","",_xll.SPRDOPT(P165,X165,AI165,0,AB165,AE165,AF165,AK165,$AJ$2,0))</f>
        <v>7.676403732253706E-2</v>
      </c>
      <c r="AM165" s="89">
        <f t="shared" si="101"/>
        <v>5.1463889762129331E-2</v>
      </c>
      <c r="AN165" s="89">
        <f t="shared" ca="1" si="102"/>
        <v>2.5300147560407729E-2</v>
      </c>
      <c r="AO165" s="3">
        <f t="shared" si="103"/>
        <v>31</v>
      </c>
      <c r="AP165" s="33">
        <f t="shared" si="104"/>
        <v>41760</v>
      </c>
      <c r="AQ165" s="58">
        <f t="shared" ca="1" si="105"/>
        <v>4734</v>
      </c>
      <c r="AR165" s="38">
        <f>'ANR OK vs ML7'!AR165</f>
        <v>0.1</v>
      </c>
      <c r="AS165" s="35">
        <f t="shared" ca="1" si="106"/>
        <v>0.28231346905605631</v>
      </c>
      <c r="AT165" s="3">
        <f t="shared" si="107"/>
        <v>1</v>
      </c>
      <c r="AU165" s="3">
        <f t="shared" si="108"/>
        <v>31</v>
      </c>
      <c r="AW165" s="32">
        <f t="shared" ca="1" si="109"/>
        <v>85787.649909801286</v>
      </c>
      <c r="AX165" s="32">
        <f t="shared" si="110"/>
        <v>57513.470003667637</v>
      </c>
      <c r="AY165" s="32">
        <f t="shared" ca="1" si="111"/>
        <v>28274.179906133657</v>
      </c>
      <c r="BA165" s="32">
        <f ca="1">IF($A166="","",F165*Summary!$Q$9)</f>
        <v>0</v>
      </c>
      <c r="BC165" s="256">
        <f t="shared" ca="1" si="114"/>
        <v>16236.827234186843</v>
      </c>
    </row>
    <row r="166" spans="1:55">
      <c r="A166" s="67">
        <f t="shared" si="112"/>
        <v>41791</v>
      </c>
      <c r="B166" s="69">
        <f t="shared" si="115"/>
        <v>36050</v>
      </c>
      <c r="C166" s="71"/>
      <c r="D166" s="69">
        <f t="shared" si="77"/>
        <v>36050</v>
      </c>
      <c r="E166" s="70">
        <f t="shared" si="78"/>
        <v>1081500</v>
      </c>
      <c r="F166" s="70">
        <f t="shared" ca="1" si="79"/>
        <v>302803.79080130538</v>
      </c>
      <c r="G166" s="63">
        <f t="shared" si="80"/>
        <v>4.5599999999999996</v>
      </c>
      <c r="H166" s="64">
        <f t="shared" si="81"/>
        <v>4.5599999999999996</v>
      </c>
      <c r="I166" s="43"/>
      <c r="J166" s="63">
        <f t="shared" si="82"/>
        <v>0.18</v>
      </c>
      <c r="K166" s="64">
        <f t="shared" si="83"/>
        <v>0.18</v>
      </c>
      <c r="L166" s="63">
        <f t="shared" si="84"/>
        <v>0</v>
      </c>
      <c r="M166" s="64">
        <f t="shared" si="85"/>
        <v>0</v>
      </c>
      <c r="N166" s="65"/>
      <c r="O166" s="63">
        <f t="shared" si="86"/>
        <v>4.7399999999999993</v>
      </c>
      <c r="P166" s="63">
        <f t="shared" si="87"/>
        <v>4.7399999999999993</v>
      </c>
      <c r="Q166" s="66"/>
      <c r="R166" s="63">
        <f t="shared" si="88"/>
        <v>-0.14000000000000001</v>
      </c>
      <c r="S166" s="64">
        <f t="shared" si="89"/>
        <v>-0.14000000000000001</v>
      </c>
      <c r="T166" s="63">
        <f t="shared" si="90"/>
        <v>-0.01</v>
      </c>
      <c r="U166" s="64">
        <f t="shared" si="91"/>
        <v>-0.01</v>
      </c>
      <c r="V166" s="90">
        <f>IF($A167="","",IF(AND(MONTH(A166)&gt;3,MONTH(A166)&lt;11),(T166+R166+G166)*Summary!$T$9/(1-Summary!$T$9),(T166+R166+G166)*Summary!$U$9/(1-Summary!$U$9)))</f>
        <v>0.21118830556428791</v>
      </c>
      <c r="W166" s="63">
        <f t="shared" si="92"/>
        <v>4.6211883055642868</v>
      </c>
      <c r="X166" s="63">
        <f t="shared" si="93"/>
        <v>4.6211883055642868</v>
      </c>
      <c r="Y166" s="43"/>
      <c r="Z166" s="38">
        <f t="shared" si="94"/>
        <v>0.5</v>
      </c>
      <c r="AA166" s="38">
        <f t="shared" si="95"/>
        <v>0.17</v>
      </c>
      <c r="AB166" s="38">
        <f t="shared" ca="1" si="96"/>
        <v>0.17231672442109361</v>
      </c>
      <c r="AC166" s="38">
        <f t="shared" si="97"/>
        <v>0.4</v>
      </c>
      <c r="AD166" s="38">
        <f t="shared" si="97"/>
        <v>0.17</v>
      </c>
      <c r="AE166" s="38">
        <f t="shared" ca="1" si="98"/>
        <v>0.17149267526782061</v>
      </c>
      <c r="AF166" s="237">
        <f ca="1">((Summary!$N$9*(AA166*AD166)*(A166-$D$3))+(Summary!$M$9*Z166*AC166*(AJ166-EOMONTH(EDATE(A166,-1),0))))/(AK166*AB166*AE166)</f>
        <v>0.99938104252137427</v>
      </c>
      <c r="AG166" s="88">
        <f>IF($A167="","",Summary!$Q$9)</f>
        <v>0</v>
      </c>
      <c r="AH166" s="88">
        <f>IF($A167="","",IF(Summary!$R$9="Y",VLOOKUP($A166,Summary!$AD$6:$AF$9,3)+'Escalating commodity'!E179,'Escalating commodity'!E179))</f>
        <v>7.0699999999999999E-2</v>
      </c>
      <c r="AI166" s="88">
        <f t="shared" si="113"/>
        <v>7.0699999999999999E-2</v>
      </c>
      <c r="AJ166" s="236">
        <f t="shared" si="99"/>
        <v>41805</v>
      </c>
      <c r="AK166" s="58">
        <f t="shared" ca="1" si="100"/>
        <v>4765</v>
      </c>
      <c r="AL166" s="26">
        <f ca="1">IF($A167="","",_xll.SPRDOPT(P166,X166,AI166,0,AB166,AE166,AF166,AK166,$AJ$2,0))</f>
        <v>7.4320912071568962E-2</v>
      </c>
      <c r="AM166" s="89">
        <f t="shared" si="101"/>
        <v>4.811169443571249E-2</v>
      </c>
      <c r="AN166" s="89">
        <f t="shared" ca="1" si="102"/>
        <v>2.6209217635856472E-2</v>
      </c>
      <c r="AO166" s="3">
        <f t="shared" si="103"/>
        <v>30</v>
      </c>
      <c r="AP166" s="33">
        <f t="shared" si="104"/>
        <v>41791</v>
      </c>
      <c r="AQ166" s="58">
        <f t="shared" ca="1" si="105"/>
        <v>4765</v>
      </c>
      <c r="AR166" s="38">
        <f>'ANR OK vs ML7'!AR166</f>
        <v>0.1</v>
      </c>
      <c r="AS166" s="35">
        <f t="shared" ca="1" si="106"/>
        <v>0.27998501229894163</v>
      </c>
      <c r="AT166" s="3">
        <f t="shared" si="107"/>
        <v>1</v>
      </c>
      <c r="AU166" s="3">
        <f t="shared" si="108"/>
        <v>30</v>
      </c>
      <c r="AW166" s="32">
        <f t="shared" ca="1" si="109"/>
        <v>80378.066405401827</v>
      </c>
      <c r="AX166" s="32">
        <f t="shared" si="110"/>
        <v>52032.797532223056</v>
      </c>
      <c r="AY166" s="32">
        <f t="shared" ca="1" si="111"/>
        <v>28345.268873178775</v>
      </c>
      <c r="BA166" s="32">
        <f ca="1">IF($A167="","",F166*Summary!$Q$9)</f>
        <v>0</v>
      </c>
      <c r="BC166" s="256">
        <f t="shared" ca="1" si="114"/>
        <v>14568.403457007813</v>
      </c>
    </row>
    <row r="167" spans="1:55">
      <c r="A167" s="67">
        <f t="shared" si="112"/>
        <v>41821</v>
      </c>
      <c r="B167" s="69">
        <f t="shared" si="115"/>
        <v>36050</v>
      </c>
      <c r="C167" s="71"/>
      <c r="D167" s="69">
        <f t="shared" si="77"/>
        <v>36050</v>
      </c>
      <c r="E167" s="70">
        <f t="shared" si="78"/>
        <v>1117550</v>
      </c>
      <c r="F167" s="70">
        <f t="shared" ca="1" si="79"/>
        <v>310399.46108249488</v>
      </c>
      <c r="G167" s="63">
        <f t="shared" si="80"/>
        <v>4.6150000000000002</v>
      </c>
      <c r="H167" s="64">
        <f t="shared" si="81"/>
        <v>4.6150000000000002</v>
      </c>
      <c r="I167" s="43"/>
      <c r="J167" s="63">
        <f t="shared" si="82"/>
        <v>0.18</v>
      </c>
      <c r="K167" s="64">
        <f t="shared" si="83"/>
        <v>0.18</v>
      </c>
      <c r="L167" s="63">
        <f t="shared" si="84"/>
        <v>0</v>
      </c>
      <c r="M167" s="64">
        <f t="shared" si="85"/>
        <v>0</v>
      </c>
      <c r="N167" s="65"/>
      <c r="O167" s="63">
        <f t="shared" si="86"/>
        <v>4.7949999999999999</v>
      </c>
      <c r="P167" s="63">
        <f t="shared" si="87"/>
        <v>4.7949999999999999</v>
      </c>
      <c r="Q167" s="66"/>
      <c r="R167" s="63">
        <f t="shared" si="88"/>
        <v>-0.14000000000000001</v>
      </c>
      <c r="S167" s="64">
        <f t="shared" si="89"/>
        <v>-0.14000000000000001</v>
      </c>
      <c r="T167" s="63">
        <f t="shared" si="90"/>
        <v>-0.01</v>
      </c>
      <c r="U167" s="64">
        <f t="shared" si="91"/>
        <v>-0.01</v>
      </c>
      <c r="V167" s="90">
        <f>IF($A168="","",IF(AND(MONTH(A167)&gt;3,MONTH(A167)&lt;11),(T167+R167+G167)*Summary!$T$9/(1-Summary!$T$9),(T167+R167+G167)*Summary!$U$9/(1-Summary!$U$9)))</f>
        <v>0.21382217332075865</v>
      </c>
      <c r="W167" s="63">
        <f t="shared" si="92"/>
        <v>4.6788221733207589</v>
      </c>
      <c r="X167" s="63">
        <f t="shared" si="93"/>
        <v>4.6788221733207589</v>
      </c>
      <c r="Y167" s="43"/>
      <c r="Z167" s="38">
        <f t="shared" si="94"/>
        <v>0.55000000000000004</v>
      </c>
      <c r="AA167" s="38">
        <f t="shared" si="95"/>
        <v>0.17</v>
      </c>
      <c r="AB167" s="38">
        <f t="shared" ca="1" si="96"/>
        <v>0.1728695132553415</v>
      </c>
      <c r="AC167" s="38">
        <f t="shared" si="97"/>
        <v>0.4</v>
      </c>
      <c r="AD167" s="38">
        <f t="shared" si="97"/>
        <v>0.17</v>
      </c>
      <c r="AE167" s="38">
        <f t="shared" ca="1" si="98"/>
        <v>0.17153201606082016</v>
      </c>
      <c r="AF167" s="237">
        <f ca="1">((Summary!$N$9*(AA167*AD167)*(A167-$D$3))+(Summary!$M$9*Z167*AC167*(AJ167-EOMONTH(EDATE(A167,-1),0))))/(AK167*AB167*AE167)</f>
        <v>0.99870628251869276</v>
      </c>
      <c r="AG167" s="88">
        <f>IF($A168="","",Summary!$Q$9)</f>
        <v>0</v>
      </c>
      <c r="AH167" s="88">
        <f>IF($A168="","",IF(Summary!$R$9="Y",VLOOKUP($A167,Summary!$AD$6:$AF$9,3)+'Escalating commodity'!E180,'Escalating commodity'!E180))</f>
        <v>7.0699999999999999E-2</v>
      </c>
      <c r="AI167" s="88">
        <f t="shared" si="113"/>
        <v>7.0699999999999999E-2</v>
      </c>
      <c r="AJ167" s="236">
        <f t="shared" si="99"/>
        <v>41835.5</v>
      </c>
      <c r="AK167" s="58">
        <f t="shared" ca="1" si="100"/>
        <v>4795</v>
      </c>
      <c r="AL167" s="26">
        <f ca="1">IF($A168="","",_xll.SPRDOPT(P167,X167,AI167,0,AB167,AE167,AF167,AK167,$AJ$2,0))</f>
        <v>9.1397708801218447E-2</v>
      </c>
      <c r="AM167" s="89">
        <f t="shared" si="101"/>
        <v>4.5477826679241037E-2</v>
      </c>
      <c r="AN167" s="89">
        <f t="shared" ca="1" si="102"/>
        <v>4.5919882121977409E-2</v>
      </c>
      <c r="AO167" s="3">
        <f t="shared" si="103"/>
        <v>31</v>
      </c>
      <c r="AP167" s="33">
        <f t="shared" si="104"/>
        <v>41821</v>
      </c>
      <c r="AQ167" s="58">
        <f t="shared" ca="1" si="105"/>
        <v>4795</v>
      </c>
      <c r="AR167" s="38">
        <f>'ANR OK vs ML7'!AR167</f>
        <v>0.1</v>
      </c>
      <c r="AS167" s="35">
        <f t="shared" ca="1" si="106"/>
        <v>0.27774995399086833</v>
      </c>
      <c r="AT167" s="3">
        <f t="shared" si="107"/>
        <v>1</v>
      </c>
      <c r="AU167" s="3">
        <f t="shared" si="108"/>
        <v>31</v>
      </c>
      <c r="AW167" s="32">
        <f t="shared" ca="1" si="109"/>
        <v>102141.50947080167</v>
      </c>
      <c r="AX167" s="32">
        <f t="shared" si="110"/>
        <v>50823.745205385821</v>
      </c>
      <c r="AY167" s="32">
        <f t="shared" ca="1" si="111"/>
        <v>51317.764265415855</v>
      </c>
      <c r="BA167" s="32">
        <f ca="1">IF($A168="","",F167*Summary!$Q$9)</f>
        <v>0</v>
      </c>
      <c r="BC167" s="256">
        <f t="shared" ca="1" si="114"/>
        <v>14116.292892439526</v>
      </c>
    </row>
    <row r="168" spans="1:55">
      <c r="A168" s="67">
        <f t="shared" si="112"/>
        <v>41852</v>
      </c>
      <c r="B168" s="69">
        <f t="shared" si="115"/>
        <v>36050</v>
      </c>
      <c r="C168" s="71"/>
      <c r="D168" s="69">
        <f t="shared" si="77"/>
        <v>36050</v>
      </c>
      <c r="E168" s="70">
        <f t="shared" si="78"/>
        <v>1117550</v>
      </c>
      <c r="F168" s="70">
        <f t="shared" ca="1" si="79"/>
        <v>307839.35750338156</v>
      </c>
      <c r="G168" s="63">
        <f t="shared" si="80"/>
        <v>4.6710000000000003</v>
      </c>
      <c r="H168" s="64">
        <f t="shared" si="81"/>
        <v>4.6710000000000003</v>
      </c>
      <c r="I168" s="43"/>
      <c r="J168" s="63">
        <f t="shared" si="82"/>
        <v>0.18</v>
      </c>
      <c r="K168" s="64">
        <f t="shared" si="83"/>
        <v>0.18</v>
      </c>
      <c r="L168" s="63">
        <f t="shared" si="84"/>
        <v>0</v>
      </c>
      <c r="M168" s="64">
        <f t="shared" si="85"/>
        <v>0</v>
      </c>
      <c r="N168" s="65"/>
      <c r="O168" s="63">
        <f t="shared" si="86"/>
        <v>4.851</v>
      </c>
      <c r="P168" s="63">
        <f t="shared" si="87"/>
        <v>4.851</v>
      </c>
      <c r="Q168" s="66"/>
      <c r="R168" s="63">
        <f t="shared" si="88"/>
        <v>-0.14000000000000001</v>
      </c>
      <c r="S168" s="64">
        <f t="shared" si="89"/>
        <v>-0.14000000000000001</v>
      </c>
      <c r="T168" s="63">
        <f t="shared" si="90"/>
        <v>-0.01</v>
      </c>
      <c r="U168" s="64">
        <f t="shared" si="91"/>
        <v>-0.01</v>
      </c>
      <c r="V168" s="90">
        <f>IF($A169="","",IF(AND(MONTH(A168)&gt;3,MONTH(A168)&lt;11),(T168+R168+G168)*Summary!$T$9/(1-Summary!$T$9),(T168+R168+G168)*Summary!$U$9/(1-Summary!$U$9)))</f>
        <v>0.21650392958189246</v>
      </c>
      <c r="W168" s="63">
        <f t="shared" si="92"/>
        <v>4.7375039295818926</v>
      </c>
      <c r="X168" s="63">
        <f t="shared" si="93"/>
        <v>4.7375039295818926</v>
      </c>
      <c r="Y168" s="43"/>
      <c r="Z168" s="38">
        <f t="shared" si="94"/>
        <v>0.6</v>
      </c>
      <c r="AA168" s="38">
        <f t="shared" si="95"/>
        <v>0.17</v>
      </c>
      <c r="AB168" s="38">
        <f t="shared" ca="1" si="96"/>
        <v>0.17338461709593367</v>
      </c>
      <c r="AC168" s="38">
        <f t="shared" si="97"/>
        <v>0.5</v>
      </c>
      <c r="AD168" s="38">
        <f t="shared" si="97"/>
        <v>0.17</v>
      </c>
      <c r="AE168" s="38">
        <f t="shared" ca="1" si="98"/>
        <v>0.1723627883028869</v>
      </c>
      <c r="AF168" s="237">
        <f ca="1">((Summary!$N$9*(AA168*AD168)*(A168-$D$3))+(Summary!$M$9*Z168*AC168*(AJ168-EOMONTH(EDATE(A168,-1),0))))/(AK168*AB168*AE168)</f>
        <v>0.99938339149594024</v>
      </c>
      <c r="AG168" s="88">
        <f>IF($A169="","",Summary!$Q$9)</f>
        <v>0</v>
      </c>
      <c r="AH168" s="88">
        <f>IF($A169="","",IF(Summary!$R$9="Y",VLOOKUP($A168,Summary!$AD$6:$AF$9,3)+'Escalating commodity'!E181,'Escalating commodity'!E181))</f>
        <v>7.0699999999999999E-2</v>
      </c>
      <c r="AI168" s="88">
        <f t="shared" si="113"/>
        <v>7.0699999999999999E-2</v>
      </c>
      <c r="AJ168" s="236">
        <f t="shared" si="99"/>
        <v>41866.5</v>
      </c>
      <c r="AK168" s="58">
        <f t="shared" ca="1" si="100"/>
        <v>4826</v>
      </c>
      <c r="AL168" s="26">
        <f ca="1">IF($A169="","",_xll.SPRDOPT(P168,X168,AI168,0,AB168,AE168,AF168,AK168,$AJ$2,0))</f>
        <v>7.2412540396804392E-2</v>
      </c>
      <c r="AM168" s="89">
        <f t="shared" si="101"/>
        <v>4.2796070418107388E-2</v>
      </c>
      <c r="AN168" s="89">
        <f t="shared" ca="1" si="102"/>
        <v>2.9616469978697005E-2</v>
      </c>
      <c r="AO168" s="3">
        <f t="shared" si="103"/>
        <v>31</v>
      </c>
      <c r="AP168" s="33">
        <f t="shared" si="104"/>
        <v>41852</v>
      </c>
      <c r="AQ168" s="58">
        <f t="shared" ca="1" si="105"/>
        <v>4826</v>
      </c>
      <c r="AR168" s="38">
        <f>'ANR OK vs ML7'!AR168</f>
        <v>0.1</v>
      </c>
      <c r="AS168" s="35">
        <f t="shared" ca="1" si="106"/>
        <v>0.27545913605957817</v>
      </c>
      <c r="AT168" s="3">
        <f t="shared" si="107"/>
        <v>1</v>
      </c>
      <c r="AU168" s="3">
        <f t="shared" si="108"/>
        <v>31</v>
      </c>
      <c r="AW168" s="32">
        <f t="shared" ca="1" si="109"/>
        <v>80924.634520448744</v>
      </c>
      <c r="AX168" s="32">
        <f t="shared" si="110"/>
        <v>47826.748495755914</v>
      </c>
      <c r="AY168" s="32">
        <f t="shared" ca="1" si="111"/>
        <v>33097.886024692838</v>
      </c>
      <c r="BA168" s="32">
        <f ca="1">IF($A169="","",F168*Summary!$Q$9)</f>
        <v>0</v>
      </c>
      <c r="BC168" s="256">
        <f t="shared" ca="1" si="114"/>
        <v>13174.314821179652</v>
      </c>
    </row>
    <row r="169" spans="1:55">
      <c r="A169" s="67">
        <f t="shared" si="112"/>
        <v>41883</v>
      </c>
      <c r="B169" s="69">
        <f t="shared" si="115"/>
        <v>36050</v>
      </c>
      <c r="C169" s="71"/>
      <c r="D169" s="69">
        <f t="shared" si="77"/>
        <v>36050</v>
      </c>
      <c r="E169" s="70">
        <f t="shared" si="78"/>
        <v>1081500</v>
      </c>
      <c r="F169" s="70">
        <f t="shared" ca="1" si="79"/>
        <v>295451.97006923845</v>
      </c>
      <c r="G169" s="63">
        <f t="shared" si="80"/>
        <v>4.6849999999999996</v>
      </c>
      <c r="H169" s="64">
        <f t="shared" si="81"/>
        <v>4.6849999999999996</v>
      </c>
      <c r="I169" s="43"/>
      <c r="J169" s="63">
        <f t="shared" si="82"/>
        <v>0.18</v>
      </c>
      <c r="K169" s="64">
        <f t="shared" si="83"/>
        <v>0.18</v>
      </c>
      <c r="L169" s="63">
        <f t="shared" si="84"/>
        <v>0</v>
      </c>
      <c r="M169" s="64">
        <f t="shared" si="85"/>
        <v>0</v>
      </c>
      <c r="N169" s="65"/>
      <c r="O169" s="63">
        <f t="shared" si="86"/>
        <v>4.8649999999999993</v>
      </c>
      <c r="P169" s="63">
        <f t="shared" si="87"/>
        <v>4.8649999999999993</v>
      </c>
      <c r="Q169" s="66"/>
      <c r="R169" s="63">
        <f t="shared" si="88"/>
        <v>-0.14000000000000001</v>
      </c>
      <c r="S169" s="64">
        <f t="shared" si="89"/>
        <v>-0.14000000000000001</v>
      </c>
      <c r="T169" s="63">
        <f t="shared" si="90"/>
        <v>-0.01</v>
      </c>
      <c r="U169" s="64">
        <f t="shared" si="91"/>
        <v>-0.01</v>
      </c>
      <c r="V169" s="90">
        <f>IF($A170="","",IF(AND(MONTH(A169)&gt;3,MONTH(A169)&lt;11),(T169+R169+G169)*Summary!$T$9/(1-Summary!$T$9),(T169+R169+G169)*Summary!$U$9/(1-Summary!$U$9)))</f>
        <v>0.21717436864717587</v>
      </c>
      <c r="W169" s="63">
        <f t="shared" si="92"/>
        <v>4.7521743686471751</v>
      </c>
      <c r="X169" s="63">
        <f t="shared" si="93"/>
        <v>4.7521743686471751</v>
      </c>
      <c r="Y169" s="43"/>
      <c r="Z169" s="38">
        <f t="shared" si="94"/>
        <v>0.6</v>
      </c>
      <c r="AA169" s="38">
        <f t="shared" si="95"/>
        <v>0.17</v>
      </c>
      <c r="AB169" s="38">
        <f t="shared" ca="1" si="96"/>
        <v>0.17325630603476228</v>
      </c>
      <c r="AC169" s="38">
        <f t="shared" si="97"/>
        <v>0.55000000000000004</v>
      </c>
      <c r="AD169" s="38">
        <f t="shared" si="97"/>
        <v>0.17</v>
      </c>
      <c r="AE169" s="38">
        <f t="shared" ca="1" si="98"/>
        <v>0.17274307172357148</v>
      </c>
      <c r="AF169" s="237">
        <f ca="1">((Summary!$N$9*(AA169*AD169)*(A169-$D$3))+(Summary!$M$9*Z169*AC169*(AJ169-EOMONTH(EDATE(A169,-1),0))))/(AK169*AB169*AE169)</f>
        <v>0.99977883202512219</v>
      </c>
      <c r="AG169" s="88">
        <f>IF($A170="","",Summary!$Q$9)</f>
        <v>0</v>
      </c>
      <c r="AH169" s="88">
        <f>IF($A170="","",IF(Summary!$R$9="Y",VLOOKUP($A169,Summary!$AD$6:$AF$9,3)+'Escalating commodity'!E182,'Escalating commodity'!E182))</f>
        <v>7.0699999999999999E-2</v>
      </c>
      <c r="AI169" s="88">
        <f t="shared" si="113"/>
        <v>7.0699999999999999E-2</v>
      </c>
      <c r="AJ169" s="236">
        <f t="shared" si="99"/>
        <v>41897</v>
      </c>
      <c r="AK169" s="58">
        <f t="shared" ca="1" si="100"/>
        <v>4857</v>
      </c>
      <c r="AL169" s="26">
        <f ca="1">IF($A170="","",_xll.SPRDOPT(P169,X169,AI169,0,AB169,AE169,AF169,AK169,$AJ$2,0))</f>
        <v>5.8398255511350368E-2</v>
      </c>
      <c r="AM169" s="89">
        <f t="shared" si="101"/>
        <v>4.2125631352824197E-2</v>
      </c>
      <c r="AN169" s="89">
        <f t="shared" ca="1" si="102"/>
        <v>1.6272624158526171E-2</v>
      </c>
      <c r="AO169" s="3">
        <f t="shared" si="103"/>
        <v>30</v>
      </c>
      <c r="AP169" s="33">
        <f t="shared" si="104"/>
        <v>41883</v>
      </c>
      <c r="AQ169" s="58">
        <f t="shared" ca="1" si="105"/>
        <v>4857</v>
      </c>
      <c r="AR169" s="38">
        <f>'ANR OK vs ML7'!AR169</f>
        <v>0.1</v>
      </c>
      <c r="AS169" s="35">
        <f t="shared" ca="1" si="106"/>
        <v>0.27318721226929121</v>
      </c>
      <c r="AT169" s="3">
        <f t="shared" si="107"/>
        <v>1</v>
      </c>
      <c r="AU169" s="3">
        <f t="shared" si="108"/>
        <v>30</v>
      </c>
      <c r="AW169" s="32">
        <f t="shared" ca="1" si="109"/>
        <v>63157.713335525426</v>
      </c>
      <c r="AX169" s="32">
        <f t="shared" si="110"/>
        <v>45558.870308079371</v>
      </c>
      <c r="AY169" s="32">
        <f t="shared" ca="1" si="111"/>
        <v>17598.843027446055</v>
      </c>
      <c r="BA169" s="32">
        <f ca="1">IF($A170="","",F169*Summary!$Q$9)</f>
        <v>0</v>
      </c>
      <c r="BC169" s="256">
        <f t="shared" ca="1" si="114"/>
        <v>12446.100773602388</v>
      </c>
    </row>
    <row r="170" spans="1:55" ht="12" customHeight="1">
      <c r="A170" s="67">
        <f t="shared" si="112"/>
        <v>41913</v>
      </c>
      <c r="B170" s="69">
        <f t="shared" si="115"/>
        <v>36050</v>
      </c>
      <c r="C170" s="71"/>
      <c r="D170" s="69">
        <f t="shared" si="77"/>
        <v>36050</v>
      </c>
      <c r="E170" s="70">
        <f t="shared" si="78"/>
        <v>1117550</v>
      </c>
      <c r="F170" s="70">
        <f t="shared" ca="1" si="79"/>
        <v>302863.22388027934</v>
      </c>
      <c r="G170" s="63">
        <f t="shared" si="80"/>
        <v>4.7160000000000002</v>
      </c>
      <c r="H170" s="64">
        <f t="shared" si="81"/>
        <v>4.7160000000000002</v>
      </c>
      <c r="I170" s="43"/>
      <c r="J170" s="63">
        <f t="shared" si="82"/>
        <v>0.18</v>
      </c>
      <c r="K170" s="64">
        <f t="shared" si="83"/>
        <v>0.18</v>
      </c>
      <c r="L170" s="63">
        <f t="shared" si="84"/>
        <v>0</v>
      </c>
      <c r="M170" s="64">
        <f t="shared" si="85"/>
        <v>0</v>
      </c>
      <c r="N170" s="65"/>
      <c r="O170" s="63">
        <f t="shared" si="86"/>
        <v>4.8959999999999999</v>
      </c>
      <c r="P170" s="63">
        <f t="shared" si="87"/>
        <v>4.8959999999999999</v>
      </c>
      <c r="Q170" s="66"/>
      <c r="R170" s="63">
        <f t="shared" si="88"/>
        <v>-0.14000000000000001</v>
      </c>
      <c r="S170" s="64">
        <f t="shared" si="89"/>
        <v>-0.14000000000000001</v>
      </c>
      <c r="T170" s="63">
        <f t="shared" si="90"/>
        <v>-0.01</v>
      </c>
      <c r="U170" s="64">
        <f t="shared" si="91"/>
        <v>-0.01</v>
      </c>
      <c r="V170" s="90">
        <f>IF($A171="","",IF(AND(MONTH(A170)&gt;3,MONTH(A170)&lt;11),(T170+R170+G170)*Summary!$T$9/(1-Summary!$T$9),(T170+R170+G170)*Summary!$U$9/(1-Summary!$U$9)))</f>
        <v>0.21865891229173212</v>
      </c>
      <c r="W170" s="63">
        <f t="shared" si="92"/>
        <v>4.7846589122917322</v>
      </c>
      <c r="X170" s="63">
        <f t="shared" si="93"/>
        <v>4.7846589122917322</v>
      </c>
      <c r="Y170" s="43"/>
      <c r="Z170" s="38">
        <f t="shared" si="94"/>
        <v>0.65</v>
      </c>
      <c r="AA170" s="38">
        <f t="shared" si="95"/>
        <v>0.17</v>
      </c>
      <c r="AB170" s="38">
        <f t="shared" ca="1" si="96"/>
        <v>0.17391362348770287</v>
      </c>
      <c r="AC170" s="38">
        <f t="shared" si="97"/>
        <v>0.55000000000000004</v>
      </c>
      <c r="AD170" s="38">
        <f t="shared" si="97"/>
        <v>0.17</v>
      </c>
      <c r="AE170" s="38">
        <f t="shared" ca="1" si="98"/>
        <v>0.17281593340473925</v>
      </c>
      <c r="AF170" s="237">
        <f ca="1">((Summary!$N$9*(AA170*AD170)*(A170-$D$3))+(Summary!$M$9*Z170*AC170*(AJ170-EOMONTH(EDATE(A170,-1),0))))/(AK170*AB170*AE170)</f>
        <v>0.99939622351799917</v>
      </c>
      <c r="AG170" s="88">
        <f>IF($A171="","",Summary!$Q$9)</f>
        <v>0</v>
      </c>
      <c r="AH170" s="88">
        <f>IF($A171="","",IF(Summary!$R$9="Y",VLOOKUP($A170,Summary!$AD$6:$AF$9,3)+'Escalating commodity'!E183,'Escalating commodity'!E183))</f>
        <v>7.0699999999999999E-2</v>
      </c>
      <c r="AI170" s="88">
        <f t="shared" si="113"/>
        <v>7.0699999999999999E-2</v>
      </c>
      <c r="AJ170" s="236">
        <f t="shared" si="99"/>
        <v>41927.5</v>
      </c>
      <c r="AK170" s="58">
        <f t="shared" ca="1" si="100"/>
        <v>4887</v>
      </c>
      <c r="AL170" s="26">
        <f ca="1">IF($A171="","",_xll.SPRDOPT(P170,X170,AI170,0,AB170,AE170,AF170,AK170,$AJ$2,0))</f>
        <v>7.1571131633875545E-2</v>
      </c>
      <c r="AM170" s="89">
        <f t="shared" si="101"/>
        <v>4.0641087708267673E-2</v>
      </c>
      <c r="AN170" s="89">
        <f t="shared" ca="1" si="102"/>
        <v>3.0930043925607872E-2</v>
      </c>
      <c r="AO170" s="3">
        <f t="shared" si="103"/>
        <v>31</v>
      </c>
      <c r="AP170" s="33">
        <f t="shared" si="104"/>
        <v>41913</v>
      </c>
      <c r="AQ170" s="58">
        <f t="shared" ca="1" si="105"/>
        <v>4887</v>
      </c>
      <c r="AR170" s="38">
        <f>'ANR OK vs ML7'!AR170</f>
        <v>0.1</v>
      </c>
      <c r="AS170" s="35">
        <f t="shared" ca="1" si="106"/>
        <v>0.27100641929245167</v>
      </c>
      <c r="AT170" s="3">
        <f t="shared" si="107"/>
        <v>1</v>
      </c>
      <c r="AU170" s="3">
        <f t="shared" si="108"/>
        <v>31</v>
      </c>
      <c r="AW170" s="32">
        <f t="shared" ca="1" si="109"/>
        <v>79984.318157437621</v>
      </c>
      <c r="AX170" s="32">
        <f t="shared" si="110"/>
        <v>45418.44756837454</v>
      </c>
      <c r="AY170" s="32">
        <f t="shared" ca="1" si="111"/>
        <v>34565.870589063081</v>
      </c>
      <c r="BA170" s="32">
        <f ca="1">IF($A171="","",F170*Summary!$Q$9)</f>
        <v>0</v>
      </c>
      <c r="BC170" s="256">
        <f t="shared" ca="1" si="114"/>
        <v>12308.690845327141</v>
      </c>
    </row>
    <row r="171" spans="1:55" ht="12" customHeight="1">
      <c r="A171" s="67">
        <f t="shared" si="112"/>
        <v>41944</v>
      </c>
      <c r="B171" s="69">
        <f t="shared" si="115"/>
        <v>36050</v>
      </c>
      <c r="C171" s="71"/>
      <c r="D171" s="69">
        <f t="shared" si="77"/>
        <v>36050</v>
      </c>
      <c r="E171" s="70">
        <f t="shared" si="78"/>
        <v>1081500</v>
      </c>
      <c r="F171" s="70">
        <f t="shared" ca="1" si="79"/>
        <v>290676.07495888957</v>
      </c>
      <c r="G171" s="63">
        <f t="shared" si="80"/>
        <v>4.8490000000000002</v>
      </c>
      <c r="H171" s="64">
        <f t="shared" si="81"/>
        <v>4.8490000000000002</v>
      </c>
      <c r="I171" s="43"/>
      <c r="J171" s="328">
        <f>J159</f>
        <v>0.27500000000000002</v>
      </c>
      <c r="K171" s="64">
        <f t="shared" si="83"/>
        <v>0.27500000000000002</v>
      </c>
      <c r="L171" s="63">
        <f t="shared" si="84"/>
        <v>0</v>
      </c>
      <c r="M171" s="64">
        <f t="shared" si="85"/>
        <v>0</v>
      </c>
      <c r="N171" s="65"/>
      <c r="O171" s="63">
        <f t="shared" si="86"/>
        <v>5.1240000000000006</v>
      </c>
      <c r="P171" s="63">
        <f t="shared" si="87"/>
        <v>5.1240000000000006</v>
      </c>
      <c r="Q171" s="66"/>
      <c r="R171" s="63">
        <f t="shared" si="88"/>
        <v>-0.14249999999999999</v>
      </c>
      <c r="S171" s="64">
        <f t="shared" si="89"/>
        <v>-0.14249999999999999</v>
      </c>
      <c r="T171" s="63">
        <f t="shared" si="90"/>
        <v>0.01</v>
      </c>
      <c r="U171" s="64">
        <f t="shared" si="91"/>
        <v>0.01</v>
      </c>
      <c r="V171" s="90">
        <f>IF($A172="","",IF(AND(MONTH(A171)&gt;3,MONTH(A171)&lt;11),(T171+R171+G171)*Summary!$T$9/(1-Summary!$T$9),(T171+R171+G171)*Summary!$U$9/(1-Summary!$U$9)))</f>
        <v>0.22586613224352928</v>
      </c>
      <c r="W171" s="63">
        <f t="shared" si="92"/>
        <v>4.9423661322435288</v>
      </c>
      <c r="X171" s="63">
        <f t="shared" si="93"/>
        <v>4.9423661322435288</v>
      </c>
      <c r="Y171" s="43"/>
      <c r="Z171" s="38">
        <f t="shared" si="94"/>
        <v>0.8</v>
      </c>
      <c r="AA171" s="38">
        <f t="shared" si="95"/>
        <v>0.17</v>
      </c>
      <c r="AB171" s="38">
        <f t="shared" ca="1" si="96"/>
        <v>0.17566413801891734</v>
      </c>
      <c r="AC171" s="38">
        <f t="shared" si="97"/>
        <v>0.8</v>
      </c>
      <c r="AD171" s="38">
        <f t="shared" si="97"/>
        <v>0.17</v>
      </c>
      <c r="AE171" s="38">
        <f t="shared" ca="1" si="98"/>
        <v>0.17566413801891734</v>
      </c>
      <c r="AF171" s="237">
        <f ca="1">((Summary!$N$9*(AA171*AD171)*(A171-$D$3))+(Summary!$M$9*Z171*AC171*(AJ171-EOMONTH(EDATE(A171,-1),0))))/(AK171*AB171*AE171)</f>
        <v>0.99990632581505845</v>
      </c>
      <c r="AG171" s="88">
        <f>IF($A172="","",Summary!$Q$9)</f>
        <v>0</v>
      </c>
      <c r="AH171" s="88">
        <f>IF($A172="","",IF(Summary!$R$9="Y",VLOOKUP($A171,Summary!$AD$6:$AF$9,3)+'Escalating commodity'!E184,'Escalating commodity'!E184))</f>
        <v>7.0699999999999999E-2</v>
      </c>
      <c r="AI171" s="88">
        <f t="shared" si="113"/>
        <v>7.0699999999999999E-2</v>
      </c>
      <c r="AJ171" s="236">
        <f t="shared" si="99"/>
        <v>41958</v>
      </c>
      <c r="AK171" s="58">
        <f t="shared" ca="1" si="100"/>
        <v>4918</v>
      </c>
      <c r="AL171" s="26">
        <f ca="1">IF($A172="","",_xll.SPRDOPT(P171,X171,AI171,0,AB171,AE171,AF171,AK171,$AJ$2,0))</f>
        <v>0.11497031830851442</v>
      </c>
      <c r="AM171" s="89">
        <f t="shared" si="101"/>
        <v>0.11093386775647172</v>
      </c>
      <c r="AN171" s="89">
        <f t="shared" ca="1" si="102"/>
        <v>4.0364505520427002E-3</v>
      </c>
      <c r="AO171" s="3">
        <f t="shared" si="103"/>
        <v>30</v>
      </c>
      <c r="AP171" s="33">
        <f t="shared" si="104"/>
        <v>41944</v>
      </c>
      <c r="AQ171" s="58">
        <f t="shared" ca="1" si="105"/>
        <v>4918</v>
      </c>
      <c r="AR171" s="38">
        <f>'ANR OK vs ML7'!AR171</f>
        <v>0.1</v>
      </c>
      <c r="AS171" s="35">
        <f t="shared" ca="1" si="106"/>
        <v>0.26877122048903335</v>
      </c>
      <c r="AT171" s="3">
        <f t="shared" si="107"/>
        <v>1</v>
      </c>
      <c r="AU171" s="3">
        <f t="shared" si="108"/>
        <v>30</v>
      </c>
      <c r="AW171" s="32">
        <f t="shared" ca="1" si="109"/>
        <v>124340.39925065835</v>
      </c>
      <c r="AX171" s="32">
        <f t="shared" si="110"/>
        <v>119974.97797862417</v>
      </c>
      <c r="AY171" s="32">
        <f t="shared" ca="1" si="111"/>
        <v>4365.4212720341802</v>
      </c>
      <c r="BA171" s="32">
        <f ca="1">IF($A172="","",F171*Summary!$Q$9)</f>
        <v>0</v>
      </c>
      <c r="BC171" s="256">
        <f t="shared" ca="1" si="114"/>
        <v>32245.821259459717</v>
      </c>
    </row>
    <row r="172" spans="1:55" ht="12" customHeight="1">
      <c r="A172" s="67">
        <f t="shared" si="112"/>
        <v>41974</v>
      </c>
      <c r="B172" s="69">
        <f t="shared" si="115"/>
        <v>36050</v>
      </c>
      <c r="C172" s="71"/>
      <c r="D172" s="69">
        <f t="shared" si="77"/>
        <v>36050</v>
      </c>
      <c r="E172" s="70">
        <f t="shared" si="78"/>
        <v>1117550</v>
      </c>
      <c r="F172" s="70">
        <f t="shared" ca="1" si="79"/>
        <v>297967.52800898312</v>
      </c>
      <c r="G172" s="63">
        <f t="shared" si="80"/>
        <v>4.9870000000000001</v>
      </c>
      <c r="H172" s="64">
        <f t="shared" si="81"/>
        <v>4.9870000000000001</v>
      </c>
      <c r="I172" s="43"/>
      <c r="J172" s="328">
        <f>J160</f>
        <v>0.27500000000000002</v>
      </c>
      <c r="K172" s="64">
        <f t="shared" si="83"/>
        <v>0.27500000000000002</v>
      </c>
      <c r="L172" s="63">
        <f t="shared" si="84"/>
        <v>0</v>
      </c>
      <c r="M172" s="64">
        <f t="shared" si="85"/>
        <v>0</v>
      </c>
      <c r="N172" s="65"/>
      <c r="O172" s="63">
        <f t="shared" si="86"/>
        <v>5.2620000000000005</v>
      </c>
      <c r="P172" s="63">
        <f t="shared" si="87"/>
        <v>5.2620000000000005</v>
      </c>
      <c r="Q172" s="66"/>
      <c r="R172" s="63">
        <f t="shared" si="88"/>
        <v>-0.13750000000000001</v>
      </c>
      <c r="S172" s="64">
        <f t="shared" si="89"/>
        <v>-0.13750000000000001</v>
      </c>
      <c r="T172" s="63">
        <f t="shared" si="90"/>
        <v>0.01</v>
      </c>
      <c r="U172" s="64">
        <f t="shared" si="91"/>
        <v>0.01</v>
      </c>
      <c r="V172" s="90">
        <f>IF($A173="","",IF(AND(MONTH(A172)&gt;3,MONTH(A172)&lt;11),(T172+R172+G172)*Summary!$T$9/(1-Summary!$T$9),(T172+R172+G172)*Summary!$U$9/(1-Summary!$U$9)))</f>
        <v>0.2327141884103531</v>
      </c>
      <c r="W172" s="63">
        <f t="shared" si="92"/>
        <v>5.0922141884103524</v>
      </c>
      <c r="X172" s="63">
        <f t="shared" si="93"/>
        <v>5.0922141884103524</v>
      </c>
      <c r="Y172" s="43"/>
      <c r="Z172" s="38">
        <f t="shared" si="94"/>
        <v>1.1000000000000001</v>
      </c>
      <c r="AA172" s="38">
        <f t="shared" si="95"/>
        <v>0.17</v>
      </c>
      <c r="AB172" s="38">
        <f t="shared" ca="1" si="96"/>
        <v>0.18082107486574198</v>
      </c>
      <c r="AC172" s="38">
        <f t="shared" si="97"/>
        <v>1</v>
      </c>
      <c r="AD172" s="38">
        <f t="shared" si="97"/>
        <v>0.17</v>
      </c>
      <c r="AE172" s="38">
        <f t="shared" ca="1" si="98"/>
        <v>0.17899279193157469</v>
      </c>
      <c r="AF172" s="237">
        <f ca="1">((Summary!$N$9*(AA172*AD172)*(A172-$D$3))+(Summary!$M$9*Z172*AC172*(AJ172-EOMONTH(EDATE(A172,-1),0))))/(AK172*AB172*AE172)</f>
        <v>0.99947839270946282</v>
      </c>
      <c r="AG172" s="88">
        <f>IF($A173="","",Summary!$Q$9)</f>
        <v>0</v>
      </c>
      <c r="AH172" s="88">
        <f>IF($A173="","",IF(Summary!$R$9="Y",VLOOKUP($A172,Summary!$AD$6:$AF$9,3)+'Escalating commodity'!E185,'Escalating commodity'!E185))</f>
        <v>7.0699999999999999E-2</v>
      </c>
      <c r="AI172" s="88">
        <f t="shared" si="113"/>
        <v>7.0699999999999999E-2</v>
      </c>
      <c r="AJ172" s="236">
        <f t="shared" si="99"/>
        <v>41988.5</v>
      </c>
      <c r="AK172" s="58">
        <f t="shared" ca="1" si="100"/>
        <v>4948</v>
      </c>
      <c r="AL172" s="26">
        <f ca="1">IF($A173="","",_xll.SPRDOPT(P172,X172,AI172,0,AB172,AE172,AF172,AK172,$AJ$2,0))</f>
        <v>0.1195037005196028</v>
      </c>
      <c r="AM172" s="89">
        <f t="shared" si="101"/>
        <v>9.9085811589648007E-2</v>
      </c>
      <c r="AN172" s="89">
        <f t="shared" ca="1" si="102"/>
        <v>2.0417888929954789E-2</v>
      </c>
      <c r="AO172" s="3">
        <f t="shared" si="103"/>
        <v>31</v>
      </c>
      <c r="AP172" s="33">
        <f t="shared" si="104"/>
        <v>41974</v>
      </c>
      <c r="AQ172" s="58">
        <f t="shared" ca="1" si="105"/>
        <v>4948</v>
      </c>
      <c r="AR172" s="38">
        <f>'ANR OK vs ML7'!AR172</f>
        <v>0.1</v>
      </c>
      <c r="AS172" s="35">
        <f t="shared" ca="1" si="106"/>
        <v>0.26662567939598508</v>
      </c>
      <c r="AT172" s="3">
        <f t="shared" si="107"/>
        <v>1</v>
      </c>
      <c r="AU172" s="3">
        <f t="shared" si="108"/>
        <v>31</v>
      </c>
      <c r="AW172" s="32">
        <f t="shared" ca="1" si="109"/>
        <v>133551.36051568211</v>
      </c>
      <c r="AX172" s="32">
        <f t="shared" si="110"/>
        <v>110733.34874201113</v>
      </c>
      <c r="AY172" s="32">
        <f t="shared" ca="1" si="111"/>
        <v>22818.011773670973</v>
      </c>
      <c r="BA172" s="32">
        <f ca="1">IF($A173="","",F172*Summary!$Q$9)</f>
        <v>0</v>
      </c>
      <c r="BC172" s="256">
        <f t="shared" ca="1" si="114"/>
        <v>29524.354340131267</v>
      </c>
    </row>
    <row r="173" spans="1:55" ht="12" customHeight="1">
      <c r="A173" s="67">
        <f t="shared" si="112"/>
        <v>42005</v>
      </c>
      <c r="B173" s="69">
        <f t="shared" si="115"/>
        <v>36050</v>
      </c>
      <c r="C173" s="71"/>
      <c r="D173" s="69">
        <f t="shared" si="77"/>
        <v>36050</v>
      </c>
      <c r="E173" s="70">
        <f t="shared" si="78"/>
        <v>1117550</v>
      </c>
      <c r="F173" s="70">
        <f t="shared" ca="1" si="79"/>
        <v>295509.96016316587</v>
      </c>
      <c r="G173" s="63">
        <f t="shared" si="80"/>
        <v>5.0440000000000005</v>
      </c>
      <c r="H173" s="64">
        <f t="shared" si="81"/>
        <v>5.0440000000000005</v>
      </c>
      <c r="I173" s="43"/>
      <c r="J173" s="328">
        <f>J161</f>
        <v>0.27500000000000002</v>
      </c>
      <c r="K173" s="64">
        <f t="shared" si="83"/>
        <v>0.27500000000000002</v>
      </c>
      <c r="L173" s="63">
        <f t="shared" si="84"/>
        <v>0</v>
      </c>
      <c r="M173" s="64">
        <f t="shared" si="85"/>
        <v>0</v>
      </c>
      <c r="N173" s="65"/>
      <c r="O173" s="63">
        <f t="shared" si="86"/>
        <v>5.3190000000000008</v>
      </c>
      <c r="P173" s="63">
        <f t="shared" si="87"/>
        <v>5.3190000000000008</v>
      </c>
      <c r="Q173" s="66"/>
      <c r="R173" s="63">
        <f t="shared" si="88"/>
        <v>-0.13750000000000001</v>
      </c>
      <c r="S173" s="64">
        <f t="shared" si="89"/>
        <v>-0.13750000000000001</v>
      </c>
      <c r="T173" s="63">
        <f t="shared" si="90"/>
        <v>0.01</v>
      </c>
      <c r="U173" s="64">
        <f t="shared" si="91"/>
        <v>0.01</v>
      </c>
      <c r="V173" s="90">
        <f>IF($A174="","",IF(AND(MONTH(A173)&gt;3,MONTH(A173)&lt;11),(T173+R173+G173)*Summary!$T$9/(1-Summary!$T$9),(T173+R173+G173)*Summary!$U$9/(1-Summary!$U$9)))</f>
        <v>0.23544383317615006</v>
      </c>
      <c r="W173" s="63">
        <f t="shared" si="92"/>
        <v>5.1519438331761505</v>
      </c>
      <c r="X173" s="63">
        <f t="shared" si="93"/>
        <v>5.1519438331761505</v>
      </c>
      <c r="Y173" s="43"/>
      <c r="Z173" s="38">
        <f t="shared" si="94"/>
        <v>1.1000000000000001</v>
      </c>
      <c r="AA173" s="38">
        <f t="shared" si="95"/>
        <v>0.17</v>
      </c>
      <c r="AB173" s="38">
        <f t="shared" ca="1" si="96"/>
        <v>0.18075570537359381</v>
      </c>
      <c r="AC173" s="38">
        <f t="shared" si="97"/>
        <v>1</v>
      </c>
      <c r="AD173" s="38">
        <f t="shared" si="97"/>
        <v>0.17</v>
      </c>
      <c r="AE173" s="38">
        <f t="shared" ca="1" si="98"/>
        <v>0.1789381996473384</v>
      </c>
      <c r="AF173" s="237">
        <f ca="1">((Summary!$N$9*(AA173*AD173)*(A173-$D$3))+(Summary!$M$9*Z173*AC173*(AJ173-EOMONTH(EDATE(A173,-1),0))))/(AK173*AB173*AE173)</f>
        <v>0.99948045265686458</v>
      </c>
      <c r="AG173" s="88">
        <f>IF($A174="","",Summary!$Q$9)</f>
        <v>0</v>
      </c>
      <c r="AH173" s="88">
        <f>IF($A174="","",IF(Summary!$R$9="Y",VLOOKUP($A173,Summary!$AD$6:$AF$9,3)+'Escalating commodity'!E186,'Escalating commodity'!E186))</f>
        <v>0</v>
      </c>
      <c r="AI173" s="88">
        <f t="shared" si="113"/>
        <v>0</v>
      </c>
      <c r="AJ173" s="236">
        <f t="shared" si="99"/>
        <v>42019.5</v>
      </c>
      <c r="AK173" s="58">
        <f t="shared" ca="1" si="100"/>
        <v>4979</v>
      </c>
      <c r="AL173" s="26">
        <f ca="1">IF($A174="","",_xll.SPRDOPT(P173,X173,AI173,0,AB173,AE173,AF173,AK173,$AJ$2,0))</f>
        <v>0.1733440261289349</v>
      </c>
      <c r="AM173" s="89">
        <f t="shared" si="101"/>
        <v>0.16705616682385038</v>
      </c>
      <c r="AN173" s="89">
        <f t="shared" ca="1" si="102"/>
        <v>6.28785930508452E-3</v>
      </c>
      <c r="AO173" s="3">
        <f t="shared" si="103"/>
        <v>31</v>
      </c>
      <c r="AP173" s="33">
        <f t="shared" si="104"/>
        <v>42005</v>
      </c>
      <c r="AQ173" s="58">
        <f t="shared" ca="1" si="105"/>
        <v>4979</v>
      </c>
      <c r="AR173" s="38">
        <f>'ANR OK vs ML7'!AR173</f>
        <v>0.1</v>
      </c>
      <c r="AS173" s="35">
        <f t="shared" ca="1" si="106"/>
        <v>0.26442661193071082</v>
      </c>
      <c r="AT173" s="3">
        <f t="shared" si="107"/>
        <v>1</v>
      </c>
      <c r="AU173" s="3">
        <f t="shared" si="108"/>
        <v>31</v>
      </c>
      <c r="AW173" s="32">
        <f t="shared" ca="1" si="109"/>
        <v>193720.61640039121</v>
      </c>
      <c r="AX173" s="32">
        <f t="shared" si="110"/>
        <v>186693.61923399399</v>
      </c>
      <c r="AY173" s="32">
        <f t="shared" ca="1" si="111"/>
        <v>7026.9971663972055</v>
      </c>
      <c r="BA173" s="32">
        <f ca="1">IF($A174="","",F173*Summary!$Q$9)</f>
        <v>0</v>
      </c>
      <c r="BC173" s="256">
        <f t="shared" ca="1" si="114"/>
        <v>49366.761203127222</v>
      </c>
    </row>
    <row r="174" spans="1:55" ht="12" customHeight="1">
      <c r="A174" s="67">
        <f t="shared" si="112"/>
        <v>42036</v>
      </c>
      <c r="B174" s="69" t="str">
        <f t="shared" si="115"/>
        <v/>
      </c>
      <c r="C174" s="71"/>
      <c r="D174" s="69" t="str">
        <f t="shared" si="77"/>
        <v/>
      </c>
      <c r="E174" s="70" t="str">
        <f t="shared" si="78"/>
        <v/>
      </c>
      <c r="F174" s="70" t="str">
        <f t="shared" si="79"/>
        <v/>
      </c>
      <c r="G174" s="63" t="str">
        <f t="shared" si="80"/>
        <v/>
      </c>
      <c r="H174" s="64" t="str">
        <f t="shared" si="81"/>
        <v/>
      </c>
      <c r="I174" s="43"/>
      <c r="J174" s="63" t="str">
        <f t="shared" si="82"/>
        <v/>
      </c>
      <c r="K174" s="64" t="str">
        <f t="shared" si="83"/>
        <v/>
      </c>
      <c r="L174" s="63" t="str">
        <f t="shared" si="84"/>
        <v/>
      </c>
      <c r="M174" s="64" t="str">
        <f t="shared" si="85"/>
        <v/>
      </c>
      <c r="N174" s="65"/>
      <c r="O174" s="63" t="str">
        <f t="shared" si="86"/>
        <v/>
      </c>
      <c r="P174" s="63" t="str">
        <f t="shared" si="87"/>
        <v/>
      </c>
      <c r="Q174" s="66"/>
      <c r="R174" s="63" t="str">
        <f t="shared" si="88"/>
        <v/>
      </c>
      <c r="S174" s="64" t="str">
        <f t="shared" si="89"/>
        <v/>
      </c>
      <c r="T174" s="63" t="str">
        <f t="shared" si="90"/>
        <v/>
      </c>
      <c r="U174" s="64" t="str">
        <f t="shared" si="91"/>
        <v/>
      </c>
      <c r="V174" s="90" t="str">
        <f>IF($A175="","",IF(AND(MONTH(A174)&gt;3,MONTH(A174)&lt;11),(T174+R174+G174)*Summary!$T$9/(1-Summary!$T$9),(T174+R174+G174)*Summary!$U$9/(1-Summary!$U$9)))</f>
        <v/>
      </c>
      <c r="W174" s="63" t="str">
        <f t="shared" si="92"/>
        <v/>
      </c>
      <c r="X174" s="63" t="str">
        <f t="shared" si="93"/>
        <v/>
      </c>
      <c r="Y174" s="43"/>
      <c r="Z174" s="38" t="str">
        <f t="shared" si="94"/>
        <v/>
      </c>
      <c r="AA174" s="38" t="str">
        <f t="shared" si="95"/>
        <v/>
      </c>
      <c r="AB174" s="38" t="e">
        <f t="shared" si="96"/>
        <v>#VALUE!</v>
      </c>
      <c r="AC174" s="38" t="str">
        <f t="shared" si="97"/>
        <v/>
      </c>
      <c r="AD174" s="38" t="str">
        <f t="shared" si="97"/>
        <v/>
      </c>
      <c r="AE174" s="38" t="e">
        <f t="shared" si="98"/>
        <v>#VALUE!</v>
      </c>
      <c r="AF174" s="237" t="e">
        <f>((Summary!$N$9*(AA174*AD174)*(A174-$D$3))+(Summary!$M$9*Z174*AC174*(AJ174-EOMONTH(EDATE(A174,-1),0))))/(AK174*AB174*AE174)</f>
        <v>#VALUE!</v>
      </c>
      <c r="AG174" s="88" t="str">
        <f>IF($A175="","",Summary!$Q$9)</f>
        <v/>
      </c>
      <c r="AH174" s="88" t="str">
        <f>IF($A175="","",IF(Summary!$R$9="Y",VLOOKUP($A174,Summary!$AD$6:$AF$9,3)+'Escalating commodity'!E187,'Escalating commodity'!E187))</f>
        <v/>
      </c>
      <c r="AI174" s="88" t="str">
        <f t="shared" si="113"/>
        <v/>
      </c>
      <c r="AJ174" s="236">
        <f t="shared" si="99"/>
        <v>42049</v>
      </c>
      <c r="AK174" s="58" t="str">
        <f t="shared" si="100"/>
        <v/>
      </c>
      <c r="AL174" s="26" t="str">
        <f>IF($A175="","",_xll.SPRDOPT(P174,X174,AI174,0,AB174,AE174,AF174,AK174,$AJ$2,0))</f>
        <v/>
      </c>
      <c r="AM174" s="89" t="str">
        <f t="shared" si="101"/>
        <v/>
      </c>
      <c r="AN174" s="89" t="str">
        <f t="shared" si="102"/>
        <v/>
      </c>
      <c r="AO174" s="3" t="str">
        <f t="shared" si="103"/>
        <v/>
      </c>
      <c r="AP174" s="33" t="str">
        <f t="shared" si="104"/>
        <v/>
      </c>
      <c r="AQ174" s="58" t="str">
        <f t="shared" si="105"/>
        <v/>
      </c>
      <c r="AR174" s="38">
        <f>'ANR OK vs ML7'!AR174</f>
        <v>0.1</v>
      </c>
      <c r="AS174" s="35" t="str">
        <f t="shared" si="106"/>
        <v/>
      </c>
      <c r="AT174" s="3" t="str">
        <f t="shared" si="107"/>
        <v/>
      </c>
      <c r="AU174" s="3" t="str">
        <f t="shared" si="108"/>
        <v/>
      </c>
      <c r="AW174" s="32" t="str">
        <f t="shared" si="109"/>
        <v/>
      </c>
      <c r="AX174" s="32" t="str">
        <f t="shared" si="110"/>
        <v/>
      </c>
      <c r="AY174" s="32" t="str">
        <f t="shared" si="111"/>
        <v/>
      </c>
      <c r="BA174" s="32" t="str">
        <f>IF($A175="","",F174*Summary!$Q$9)</f>
        <v/>
      </c>
    </row>
    <row r="175" spans="1:55" ht="12" customHeight="1">
      <c r="A175" s="67" t="str">
        <f t="shared" si="112"/>
        <v/>
      </c>
      <c r="B175" s="69" t="str">
        <f t="shared" si="115"/>
        <v/>
      </c>
      <c r="C175" s="71"/>
      <c r="D175" s="69" t="str">
        <f t="shared" si="77"/>
        <v/>
      </c>
      <c r="E175" s="70" t="str">
        <f t="shared" si="78"/>
        <v/>
      </c>
      <c r="F175" s="70" t="str">
        <f t="shared" si="79"/>
        <v/>
      </c>
      <c r="G175" s="63" t="str">
        <f t="shared" si="80"/>
        <v/>
      </c>
      <c r="H175" s="64" t="str">
        <f t="shared" si="81"/>
        <v/>
      </c>
      <c r="I175" s="43"/>
      <c r="J175" s="63" t="str">
        <f t="shared" si="82"/>
        <v/>
      </c>
      <c r="K175" s="64" t="str">
        <f t="shared" si="83"/>
        <v/>
      </c>
      <c r="L175" s="63" t="str">
        <f t="shared" si="84"/>
        <v/>
      </c>
      <c r="M175" s="64" t="str">
        <f t="shared" si="85"/>
        <v/>
      </c>
      <c r="N175" s="65"/>
      <c r="O175" s="63" t="str">
        <f t="shared" si="86"/>
        <v/>
      </c>
      <c r="P175" s="63" t="str">
        <f t="shared" si="87"/>
        <v/>
      </c>
      <c r="Q175" s="66"/>
      <c r="R175" s="63" t="str">
        <f t="shared" si="88"/>
        <v/>
      </c>
      <c r="S175" s="64" t="str">
        <f t="shared" si="89"/>
        <v/>
      </c>
      <c r="T175" s="63" t="str">
        <f t="shared" si="90"/>
        <v/>
      </c>
      <c r="U175" s="64" t="str">
        <f t="shared" si="91"/>
        <v/>
      </c>
      <c r="V175" s="90" t="str">
        <f>IF($A176="","",IF(AND(MONTH(A175)&gt;3,MONTH(A175)&lt;11),(T175+R175+G175)*Summary!$T$9/(1-Summary!$T$9),(T175+R175+G175)*Summary!$U$9/(1-Summary!$U$9)))</f>
        <v/>
      </c>
      <c r="W175" s="63" t="str">
        <f t="shared" si="92"/>
        <v/>
      </c>
      <c r="X175" s="63" t="str">
        <f t="shared" si="93"/>
        <v/>
      </c>
      <c r="Y175" s="43"/>
      <c r="Z175" s="38" t="str">
        <f t="shared" si="94"/>
        <v/>
      </c>
      <c r="AA175" s="38" t="str">
        <f t="shared" si="95"/>
        <v/>
      </c>
      <c r="AB175" s="38" t="e">
        <f t="shared" si="96"/>
        <v>#VALUE!</v>
      </c>
      <c r="AC175" s="38" t="str">
        <f t="shared" si="97"/>
        <v/>
      </c>
      <c r="AD175" s="38" t="str">
        <f t="shared" si="97"/>
        <v/>
      </c>
      <c r="AE175" s="38" t="e">
        <f t="shared" si="98"/>
        <v>#VALUE!</v>
      </c>
      <c r="AF175" s="237" t="e">
        <f>((Summary!$N$9*(AA175*AD175)*(A175-$D$3))+(Summary!$M$9*Z175*AC175*(AJ175-EOMONTH(EDATE(A175,-1),0))))/(AK175*AB175*AE175)</f>
        <v>#VALUE!</v>
      </c>
      <c r="AG175" s="88" t="str">
        <f>IF($A176="","",Summary!$Q$9)</f>
        <v/>
      </c>
      <c r="AH175" s="88" t="str">
        <f>IF($A176="","",IF(Summary!$R$9="Y",VLOOKUP($A175,Summary!$AD$6:$AF$9,3)+'Escalating commodity'!E188,'Escalating commodity'!E188))</f>
        <v/>
      </c>
      <c r="AI175" s="88" t="str">
        <f t="shared" si="113"/>
        <v/>
      </c>
      <c r="AJ175" s="236" t="e">
        <f t="shared" si="99"/>
        <v>#VALUE!</v>
      </c>
      <c r="AK175" s="58" t="str">
        <f t="shared" si="100"/>
        <v/>
      </c>
      <c r="AL175" s="26" t="str">
        <f>IF($A176="","",_xll.SPRDOPT(P175,X175,AI175,0,AB175,AE175,AF175,AK175,$AJ$2,0))</f>
        <v/>
      </c>
      <c r="AM175" s="89" t="str">
        <f t="shared" si="101"/>
        <v/>
      </c>
      <c r="AN175" s="89" t="str">
        <f t="shared" si="102"/>
        <v/>
      </c>
      <c r="AO175" s="3" t="str">
        <f t="shared" si="103"/>
        <v/>
      </c>
      <c r="AP175" s="33" t="str">
        <f t="shared" si="104"/>
        <v/>
      </c>
      <c r="AQ175" s="58" t="str">
        <f t="shared" si="105"/>
        <v/>
      </c>
      <c r="AR175" s="38">
        <f>'ANR OK vs ML7'!AR175</f>
        <v>0.1</v>
      </c>
      <c r="AS175" s="35" t="str">
        <f t="shared" si="106"/>
        <v/>
      </c>
      <c r="AT175" s="3" t="str">
        <f t="shared" si="107"/>
        <v/>
      </c>
      <c r="AU175" s="3" t="str">
        <f t="shared" si="108"/>
        <v/>
      </c>
      <c r="AW175" s="32" t="str">
        <f t="shared" si="109"/>
        <v/>
      </c>
      <c r="AX175" s="32" t="str">
        <f t="shared" si="110"/>
        <v/>
      </c>
      <c r="AY175" s="32" t="str">
        <f t="shared" si="111"/>
        <v/>
      </c>
      <c r="BA175" s="32" t="str">
        <f>IF($A176="","",F175*Summary!$Q$9)</f>
        <v/>
      </c>
    </row>
    <row r="176" spans="1:55" ht="12" customHeight="1">
      <c r="A176" s="67" t="str">
        <f t="shared" si="112"/>
        <v/>
      </c>
      <c r="B176" s="69" t="str">
        <f t="shared" si="115"/>
        <v/>
      </c>
      <c r="C176" s="71"/>
      <c r="D176" s="69" t="str">
        <f t="shared" si="77"/>
        <v/>
      </c>
      <c r="E176" s="70" t="str">
        <f t="shared" si="78"/>
        <v/>
      </c>
      <c r="F176" s="70" t="str">
        <f t="shared" si="79"/>
        <v/>
      </c>
      <c r="G176" s="63" t="str">
        <f t="shared" si="80"/>
        <v/>
      </c>
      <c r="H176" s="64" t="str">
        <f t="shared" si="81"/>
        <v/>
      </c>
      <c r="I176" s="43"/>
      <c r="J176" s="63" t="str">
        <f t="shared" si="82"/>
        <v/>
      </c>
      <c r="K176" s="64" t="str">
        <f t="shared" si="83"/>
        <v/>
      </c>
      <c r="L176" s="63" t="str">
        <f t="shared" si="84"/>
        <v/>
      </c>
      <c r="M176" s="64" t="str">
        <f t="shared" si="85"/>
        <v/>
      </c>
      <c r="N176" s="65"/>
      <c r="O176" s="63" t="str">
        <f t="shared" si="86"/>
        <v/>
      </c>
      <c r="P176" s="63" t="str">
        <f t="shared" si="87"/>
        <v/>
      </c>
      <c r="Q176" s="66"/>
      <c r="R176" s="63" t="str">
        <f t="shared" si="88"/>
        <v/>
      </c>
      <c r="S176" s="64" t="str">
        <f t="shared" si="89"/>
        <v/>
      </c>
      <c r="T176" s="63" t="str">
        <f t="shared" si="90"/>
        <v/>
      </c>
      <c r="U176" s="64" t="str">
        <f t="shared" si="91"/>
        <v/>
      </c>
      <c r="V176" s="90" t="str">
        <f>IF($A177="","",IF(AND(MONTH(A176)&gt;3,MONTH(A176)&lt;11),(T176+R176+G176)*Summary!$T$9/(1-Summary!$T$9),(T176+R176+G176)*Summary!$U$9/(1-Summary!$U$9)))</f>
        <v/>
      </c>
      <c r="W176" s="63" t="str">
        <f t="shared" si="92"/>
        <v/>
      </c>
      <c r="X176" s="63" t="str">
        <f t="shared" si="93"/>
        <v/>
      </c>
      <c r="Y176" s="43"/>
      <c r="Z176" s="38" t="str">
        <f t="shared" si="94"/>
        <v/>
      </c>
      <c r="AA176" s="38" t="str">
        <f t="shared" si="95"/>
        <v/>
      </c>
      <c r="AB176" s="38" t="e">
        <f t="shared" si="96"/>
        <v>#VALUE!</v>
      </c>
      <c r="AC176" s="38" t="str">
        <f t="shared" si="97"/>
        <v/>
      </c>
      <c r="AD176" s="38" t="str">
        <f t="shared" si="97"/>
        <v/>
      </c>
      <c r="AE176" s="38" t="e">
        <f t="shared" si="98"/>
        <v>#VALUE!</v>
      </c>
      <c r="AF176" s="237" t="e">
        <f>((Summary!$N$9*(AA176*AD176)*(A176-$D$3))+(Summary!$M$9*Z176*AC176*(AJ176-EOMONTH(EDATE(A176,-1),0))))/(AK176*AB176*AE176)</f>
        <v>#VALUE!</v>
      </c>
      <c r="AG176" s="88" t="str">
        <f>IF($A177="","",Summary!$Q$9)</f>
        <v/>
      </c>
      <c r="AH176" s="88" t="str">
        <f>IF($A177="","",IF(Summary!$R$9="Y",VLOOKUP($A176,Summary!$AD$6:$AF$9,3)+'Escalating commodity'!E189,'Escalating commodity'!E189))</f>
        <v/>
      </c>
      <c r="AI176" s="88" t="str">
        <f t="shared" si="113"/>
        <v/>
      </c>
      <c r="AJ176" s="236" t="e">
        <f t="shared" si="99"/>
        <v>#VALUE!</v>
      </c>
      <c r="AK176" s="58" t="str">
        <f t="shared" si="100"/>
        <v/>
      </c>
      <c r="AL176" s="26" t="str">
        <f>IF($A177="","",_xll.SPRDOPT(P176,X176,AI176,0,AB176,AE176,AF176,AK176,$AJ$2,0))</f>
        <v/>
      </c>
      <c r="AM176" s="89" t="str">
        <f t="shared" si="101"/>
        <v/>
      </c>
      <c r="AN176" s="89" t="str">
        <f t="shared" si="102"/>
        <v/>
      </c>
      <c r="AO176" s="3" t="str">
        <f t="shared" si="103"/>
        <v/>
      </c>
      <c r="AP176" s="33" t="str">
        <f t="shared" si="104"/>
        <v/>
      </c>
      <c r="AQ176" s="58" t="str">
        <f t="shared" si="105"/>
        <v/>
      </c>
      <c r="AR176" s="38">
        <f>'ANR OK vs ML7'!AR176</f>
        <v>0.1</v>
      </c>
      <c r="AS176" s="35" t="str">
        <f t="shared" si="106"/>
        <v/>
      </c>
      <c r="AT176" s="3" t="str">
        <f t="shared" si="107"/>
        <v/>
      </c>
      <c r="AU176" s="3" t="str">
        <f t="shared" si="108"/>
        <v/>
      </c>
      <c r="AW176" s="32" t="str">
        <f t="shared" si="109"/>
        <v/>
      </c>
      <c r="AX176" s="32" t="str">
        <f t="shared" si="110"/>
        <v/>
      </c>
      <c r="AY176" s="32" t="str">
        <f t="shared" si="111"/>
        <v/>
      </c>
      <c r="BA176" s="32" t="str">
        <f>IF($A177="","",F176*Summary!$Q$9)</f>
        <v/>
      </c>
    </row>
    <row r="177" spans="1:53" ht="12" customHeight="1">
      <c r="A177" s="67" t="str">
        <f t="shared" si="112"/>
        <v/>
      </c>
      <c r="B177" s="69" t="str">
        <f t="shared" si="115"/>
        <v/>
      </c>
      <c r="C177" s="71"/>
      <c r="D177" s="69" t="str">
        <f t="shared" si="77"/>
        <v/>
      </c>
      <c r="E177" s="70" t="str">
        <f t="shared" si="78"/>
        <v/>
      </c>
      <c r="F177" s="70" t="str">
        <f t="shared" si="79"/>
        <v/>
      </c>
      <c r="G177" s="63" t="str">
        <f t="shared" si="80"/>
        <v/>
      </c>
      <c r="H177" s="64" t="str">
        <f t="shared" si="81"/>
        <v/>
      </c>
      <c r="I177" s="43"/>
      <c r="J177" s="63" t="str">
        <f t="shared" si="82"/>
        <v/>
      </c>
      <c r="K177" s="64" t="str">
        <f t="shared" si="83"/>
        <v/>
      </c>
      <c r="L177" s="63" t="str">
        <f t="shared" si="84"/>
        <v/>
      </c>
      <c r="M177" s="64" t="str">
        <f t="shared" si="85"/>
        <v/>
      </c>
      <c r="N177" s="65"/>
      <c r="O177" s="63" t="str">
        <f t="shared" si="86"/>
        <v/>
      </c>
      <c r="P177" s="63" t="str">
        <f t="shared" si="87"/>
        <v/>
      </c>
      <c r="Q177" s="66"/>
      <c r="R177" s="63" t="str">
        <f t="shared" si="88"/>
        <v/>
      </c>
      <c r="S177" s="64" t="str">
        <f t="shared" si="89"/>
        <v/>
      </c>
      <c r="T177" s="63" t="str">
        <f t="shared" si="90"/>
        <v/>
      </c>
      <c r="U177" s="64" t="str">
        <f t="shared" si="91"/>
        <v/>
      </c>
      <c r="V177" s="90" t="str">
        <f>IF($A178="","",IF(AND(MONTH(A177)&gt;3,MONTH(A177)&lt;11),(T177+R177+G177)*Summary!$T$9/(1-Summary!$T$9),(T177+R177+G177)*Summary!$U$9/(1-Summary!$U$9)))</f>
        <v/>
      </c>
      <c r="W177" s="63" t="str">
        <f t="shared" si="92"/>
        <v/>
      </c>
      <c r="X177" s="63" t="str">
        <f t="shared" si="93"/>
        <v/>
      </c>
      <c r="Y177" s="43"/>
      <c r="Z177" s="38" t="str">
        <f t="shared" si="94"/>
        <v/>
      </c>
      <c r="AA177" s="38" t="str">
        <f t="shared" si="95"/>
        <v/>
      </c>
      <c r="AB177" s="38" t="e">
        <f t="shared" si="96"/>
        <v>#VALUE!</v>
      </c>
      <c r="AC177" s="38" t="str">
        <f t="shared" si="97"/>
        <v/>
      </c>
      <c r="AD177" s="38" t="str">
        <f t="shared" si="97"/>
        <v/>
      </c>
      <c r="AE177" s="38" t="e">
        <f t="shared" si="98"/>
        <v>#VALUE!</v>
      </c>
      <c r="AF177" s="237" t="e">
        <f>((Summary!$N$9*(AA177*AD177)*(A177-$D$3))+(Summary!$M$9*Z177*AC177*(AJ177-EOMONTH(EDATE(A177,-1),0))))/(AK177*AB177*AE177)</f>
        <v>#VALUE!</v>
      </c>
      <c r="AG177" s="88" t="str">
        <f>IF($A178="","",Summary!$Q$9)</f>
        <v/>
      </c>
      <c r="AH177" s="88" t="str">
        <f>IF($A178="","",IF(Summary!$R$9="Y",VLOOKUP($A177,Summary!$AD$6:$AF$9,3)+'Escalating commodity'!E190,'Escalating commodity'!E190))</f>
        <v/>
      </c>
      <c r="AI177" s="88" t="str">
        <f t="shared" si="113"/>
        <v/>
      </c>
      <c r="AJ177" s="236" t="e">
        <f t="shared" si="99"/>
        <v>#VALUE!</v>
      </c>
      <c r="AK177" s="58" t="str">
        <f t="shared" si="100"/>
        <v/>
      </c>
      <c r="AL177" s="26" t="str">
        <f>IF($A178="","",_xll.SPRDOPT(P177,X177,AI177,0,AB177,AE177,AF177,AK177,$AJ$2,0))</f>
        <v/>
      </c>
      <c r="AM177" s="89" t="str">
        <f t="shared" si="101"/>
        <v/>
      </c>
      <c r="AN177" s="89" t="str">
        <f t="shared" si="102"/>
        <v/>
      </c>
      <c r="AO177" s="3" t="str">
        <f t="shared" si="103"/>
        <v/>
      </c>
      <c r="AP177" s="33" t="str">
        <f t="shared" si="104"/>
        <v/>
      </c>
      <c r="AQ177" s="58" t="str">
        <f t="shared" si="105"/>
        <v/>
      </c>
      <c r="AR177" s="38">
        <f>'ANR OK vs ML7'!AR177</f>
        <v>0.1</v>
      </c>
      <c r="AS177" s="35" t="str">
        <f t="shared" si="106"/>
        <v/>
      </c>
      <c r="AT177" s="3" t="str">
        <f t="shared" si="107"/>
        <v/>
      </c>
      <c r="AU177" s="3" t="str">
        <f t="shared" si="108"/>
        <v/>
      </c>
      <c r="AW177" s="32" t="str">
        <f t="shared" si="109"/>
        <v/>
      </c>
      <c r="AX177" s="32" t="str">
        <f t="shared" si="110"/>
        <v/>
      </c>
      <c r="AY177" s="32" t="str">
        <f t="shared" si="111"/>
        <v/>
      </c>
      <c r="BA177" s="32" t="str">
        <f>IF($A178="","",F177*Summary!$Q$9)</f>
        <v/>
      </c>
    </row>
    <row r="178" spans="1:53" ht="12" customHeight="1">
      <c r="A178" s="67" t="str">
        <f t="shared" si="112"/>
        <v/>
      </c>
      <c r="B178" s="69" t="str">
        <f t="shared" si="115"/>
        <v/>
      </c>
      <c r="C178" s="71"/>
      <c r="D178" s="69" t="str">
        <f t="shared" si="77"/>
        <v/>
      </c>
      <c r="E178" s="70" t="str">
        <f t="shared" si="78"/>
        <v/>
      </c>
      <c r="F178" s="70" t="str">
        <f t="shared" si="79"/>
        <v/>
      </c>
      <c r="G178" s="63" t="str">
        <f t="shared" si="80"/>
        <v/>
      </c>
      <c r="H178" s="64" t="str">
        <f t="shared" si="81"/>
        <v/>
      </c>
      <c r="I178" s="43"/>
      <c r="J178" s="63" t="str">
        <f t="shared" si="82"/>
        <v/>
      </c>
      <c r="K178" s="64" t="str">
        <f t="shared" si="83"/>
        <v/>
      </c>
      <c r="L178" s="63" t="str">
        <f t="shared" si="84"/>
        <v/>
      </c>
      <c r="M178" s="64" t="str">
        <f t="shared" si="85"/>
        <v/>
      </c>
      <c r="N178" s="65"/>
      <c r="O178" s="63" t="str">
        <f t="shared" si="86"/>
        <v/>
      </c>
      <c r="P178" s="63" t="str">
        <f t="shared" si="87"/>
        <v/>
      </c>
      <c r="Q178" s="66"/>
      <c r="R178" s="63" t="str">
        <f t="shared" si="88"/>
        <v/>
      </c>
      <c r="S178" s="64" t="str">
        <f t="shared" si="89"/>
        <v/>
      </c>
      <c r="T178" s="63" t="str">
        <f t="shared" si="90"/>
        <v/>
      </c>
      <c r="U178" s="64" t="str">
        <f t="shared" si="91"/>
        <v/>
      </c>
      <c r="V178" s="90" t="str">
        <f>IF($A179="","",IF(AND(MONTH(A178)&gt;3,MONTH(A178)&lt;11),(T178+R178+G178)*Summary!$T$9/(1-Summary!$T$9),(T178+R178+G178)*Summary!$U$9/(1-Summary!$U$9)))</f>
        <v/>
      </c>
      <c r="W178" s="63" t="str">
        <f t="shared" si="92"/>
        <v/>
      </c>
      <c r="X178" s="63" t="str">
        <f t="shared" si="93"/>
        <v/>
      </c>
      <c r="Y178" s="43"/>
      <c r="Z178" s="38" t="str">
        <f t="shared" si="94"/>
        <v/>
      </c>
      <c r="AA178" s="38" t="str">
        <f t="shared" si="95"/>
        <v/>
      </c>
      <c r="AB178" s="38" t="e">
        <f t="shared" si="96"/>
        <v>#VALUE!</v>
      </c>
      <c r="AC178" s="38" t="str">
        <f t="shared" si="97"/>
        <v/>
      </c>
      <c r="AD178" s="38" t="str">
        <f t="shared" si="97"/>
        <v/>
      </c>
      <c r="AE178" s="38" t="e">
        <f t="shared" si="98"/>
        <v>#VALUE!</v>
      </c>
      <c r="AF178" s="237" t="e">
        <f>((Summary!$N$9*(AA178*AD178)*(A178-$D$3))+(Summary!$M$9*Z178*AC178*(AJ178-EOMONTH(EDATE(A178,-1),0))))/(AK178*AB178*AE178)</f>
        <v>#VALUE!</v>
      </c>
      <c r="AG178" s="88" t="str">
        <f>IF($A179="","",Summary!$Q$9)</f>
        <v/>
      </c>
      <c r="AH178" s="88" t="str">
        <f>IF($A179="","",IF(Summary!$R$9="Y",VLOOKUP($A178,Summary!$AD$6:$AF$9,3)+'Escalating commodity'!E191,'Escalating commodity'!E191))</f>
        <v/>
      </c>
      <c r="AI178" s="88" t="str">
        <f t="shared" si="113"/>
        <v/>
      </c>
      <c r="AJ178" s="236" t="e">
        <f t="shared" si="99"/>
        <v>#VALUE!</v>
      </c>
      <c r="AK178" s="58" t="str">
        <f t="shared" si="100"/>
        <v/>
      </c>
      <c r="AL178" s="26" t="str">
        <f>IF($A179="","",_xll.SPRDOPT(P178,X178,AI178,0,AB178,AE178,AF178,AK178,$AJ$2,0))</f>
        <v/>
      </c>
      <c r="AM178" s="89" t="str">
        <f t="shared" si="101"/>
        <v/>
      </c>
      <c r="AN178" s="89" t="str">
        <f t="shared" si="102"/>
        <v/>
      </c>
      <c r="AO178" s="3" t="str">
        <f t="shared" si="103"/>
        <v/>
      </c>
      <c r="AP178" s="33" t="str">
        <f t="shared" si="104"/>
        <v/>
      </c>
      <c r="AQ178" s="58" t="str">
        <f t="shared" si="105"/>
        <v/>
      </c>
      <c r="AR178" s="38">
        <f>'ANR OK vs ML7'!AR178</f>
        <v>0.1</v>
      </c>
      <c r="AS178" s="35" t="str">
        <f t="shared" si="106"/>
        <v/>
      </c>
      <c r="AT178" s="3" t="str">
        <f t="shared" si="107"/>
        <v/>
      </c>
      <c r="AU178" s="3" t="str">
        <f t="shared" si="108"/>
        <v/>
      </c>
      <c r="AW178" s="32" t="str">
        <f t="shared" si="109"/>
        <v/>
      </c>
      <c r="AX178" s="32" t="str">
        <f t="shared" si="110"/>
        <v/>
      </c>
      <c r="AY178" s="32" t="str">
        <f t="shared" si="111"/>
        <v/>
      </c>
      <c r="BA178" s="32" t="str">
        <f>IF($A179="","",F178*Summary!$Q$9)</f>
        <v/>
      </c>
    </row>
    <row r="179" spans="1:53" ht="12" customHeight="1">
      <c r="A179" s="67" t="str">
        <f t="shared" si="112"/>
        <v/>
      </c>
      <c r="B179" s="69" t="str">
        <f t="shared" si="115"/>
        <v/>
      </c>
      <c r="C179" s="71"/>
      <c r="D179" s="69" t="str">
        <f t="shared" si="77"/>
        <v/>
      </c>
      <c r="E179" s="70" t="str">
        <f t="shared" si="78"/>
        <v/>
      </c>
      <c r="F179" s="70" t="str">
        <f t="shared" si="79"/>
        <v/>
      </c>
      <c r="G179" s="63" t="str">
        <f t="shared" si="80"/>
        <v/>
      </c>
      <c r="H179" s="64" t="str">
        <f t="shared" si="81"/>
        <v/>
      </c>
      <c r="I179" s="43"/>
      <c r="J179" s="63" t="str">
        <f t="shared" si="82"/>
        <v/>
      </c>
      <c r="K179" s="64" t="str">
        <f t="shared" si="83"/>
        <v/>
      </c>
      <c r="L179" s="63" t="str">
        <f t="shared" si="84"/>
        <v/>
      </c>
      <c r="M179" s="64" t="str">
        <f t="shared" si="85"/>
        <v/>
      </c>
      <c r="N179" s="65"/>
      <c r="O179" s="63" t="str">
        <f t="shared" si="86"/>
        <v/>
      </c>
      <c r="P179" s="63" t="str">
        <f t="shared" si="87"/>
        <v/>
      </c>
      <c r="Q179" s="66"/>
      <c r="R179" s="63" t="str">
        <f t="shared" si="88"/>
        <v/>
      </c>
      <c r="S179" s="64" t="str">
        <f t="shared" si="89"/>
        <v/>
      </c>
      <c r="T179" s="63" t="str">
        <f t="shared" si="90"/>
        <v/>
      </c>
      <c r="U179" s="64" t="str">
        <f t="shared" si="91"/>
        <v/>
      </c>
      <c r="V179" s="90" t="str">
        <f>IF($A180="","",IF(AND(MONTH(A179)&gt;3,MONTH(A179)&lt;11),(T179+R179+G179)*Summary!$T$9/(1-Summary!$T$9),(T179+R179+G179)*Summary!$U$9/(1-Summary!$U$9)))</f>
        <v/>
      </c>
      <c r="W179" s="63" t="str">
        <f t="shared" si="92"/>
        <v/>
      </c>
      <c r="X179" s="63" t="str">
        <f t="shared" si="93"/>
        <v/>
      </c>
      <c r="Y179" s="43"/>
      <c r="Z179" s="38" t="str">
        <f t="shared" si="94"/>
        <v/>
      </c>
      <c r="AA179" s="38" t="str">
        <f t="shared" si="95"/>
        <v/>
      </c>
      <c r="AB179" s="38" t="e">
        <f t="shared" si="96"/>
        <v>#VALUE!</v>
      </c>
      <c r="AC179" s="38" t="str">
        <f t="shared" si="97"/>
        <v/>
      </c>
      <c r="AD179" s="38" t="str">
        <f t="shared" si="97"/>
        <v/>
      </c>
      <c r="AE179" s="38" t="e">
        <f t="shared" si="98"/>
        <v>#VALUE!</v>
      </c>
      <c r="AF179" s="237" t="e">
        <f>((Summary!$N$9*(AA179*AD179)*(A179-$D$3))+(Summary!$M$9*Z179*AC179*(AJ179-EOMONTH(EDATE(A179,-1),0))))/(AK179*AB179*AE179)</f>
        <v>#VALUE!</v>
      </c>
      <c r="AG179" s="88" t="str">
        <f>IF($A180="","",Summary!$Q$9)</f>
        <v/>
      </c>
      <c r="AH179" s="88" t="str">
        <f>IF($A180="","",IF(Summary!$R$9="Y",VLOOKUP($A179,Summary!$AD$6:$AF$9,3)+'Escalating commodity'!E192,'Escalating commodity'!E192))</f>
        <v/>
      </c>
      <c r="AI179" s="88" t="str">
        <f t="shared" si="113"/>
        <v/>
      </c>
      <c r="AJ179" s="236" t="e">
        <f t="shared" si="99"/>
        <v>#VALUE!</v>
      </c>
      <c r="AK179" s="58" t="str">
        <f t="shared" si="100"/>
        <v/>
      </c>
      <c r="AL179" s="26" t="str">
        <f>IF($A180="","",_xll.SPRDOPT(P179,X179,AI179,0,AB179,AE179,AF179,AK179,$AJ$2,0))</f>
        <v/>
      </c>
      <c r="AM179" s="89" t="str">
        <f t="shared" si="101"/>
        <v/>
      </c>
      <c r="AN179" s="89" t="str">
        <f t="shared" si="102"/>
        <v/>
      </c>
      <c r="AO179" s="3" t="str">
        <f t="shared" si="103"/>
        <v/>
      </c>
      <c r="AP179" s="33" t="str">
        <f t="shared" si="104"/>
        <v/>
      </c>
      <c r="AQ179" s="58" t="str">
        <f t="shared" si="105"/>
        <v/>
      </c>
      <c r="AR179" s="38">
        <f>'ANR OK vs ML7'!AR179</f>
        <v>0.1</v>
      </c>
      <c r="AS179" s="35" t="str">
        <f t="shared" si="106"/>
        <v/>
      </c>
      <c r="AT179" s="3" t="str">
        <f t="shared" si="107"/>
        <v/>
      </c>
      <c r="AU179" s="3" t="str">
        <f t="shared" si="108"/>
        <v/>
      </c>
      <c r="AW179" s="32" t="str">
        <f t="shared" si="109"/>
        <v/>
      </c>
      <c r="AX179" s="32" t="str">
        <f t="shared" si="110"/>
        <v/>
      </c>
      <c r="AY179" s="32" t="str">
        <f t="shared" si="111"/>
        <v/>
      </c>
      <c r="BA179" s="32" t="str">
        <f>IF($A180="","",F179*Summary!$Q$9)</f>
        <v/>
      </c>
    </row>
    <row r="180" spans="1:53" ht="12" customHeight="1">
      <c r="A180" s="67" t="str">
        <f t="shared" si="112"/>
        <v/>
      </c>
      <c r="B180" s="69" t="str">
        <f t="shared" si="115"/>
        <v/>
      </c>
      <c r="C180" s="71"/>
      <c r="D180" s="69" t="str">
        <f t="shared" si="77"/>
        <v/>
      </c>
      <c r="E180" s="70" t="str">
        <f t="shared" si="78"/>
        <v/>
      </c>
      <c r="F180" s="70" t="str">
        <f t="shared" si="79"/>
        <v/>
      </c>
      <c r="G180" s="63" t="str">
        <f t="shared" si="80"/>
        <v/>
      </c>
      <c r="H180" s="64" t="str">
        <f t="shared" si="81"/>
        <v/>
      </c>
      <c r="I180" s="43"/>
      <c r="J180" s="63" t="str">
        <f t="shared" si="82"/>
        <v/>
      </c>
      <c r="K180" s="64" t="str">
        <f t="shared" si="83"/>
        <v/>
      </c>
      <c r="L180" s="63" t="str">
        <f t="shared" si="84"/>
        <v/>
      </c>
      <c r="M180" s="64" t="str">
        <f t="shared" si="85"/>
        <v/>
      </c>
      <c r="N180" s="65"/>
      <c r="O180" s="63" t="str">
        <f t="shared" si="86"/>
        <v/>
      </c>
      <c r="P180" s="63" t="str">
        <f t="shared" si="87"/>
        <v/>
      </c>
      <c r="Q180" s="66"/>
      <c r="R180" s="63" t="str">
        <f t="shared" si="88"/>
        <v/>
      </c>
      <c r="S180" s="64" t="str">
        <f t="shared" si="89"/>
        <v/>
      </c>
      <c r="T180" s="63" t="str">
        <f t="shared" si="90"/>
        <v/>
      </c>
      <c r="U180" s="64" t="str">
        <f t="shared" si="91"/>
        <v/>
      </c>
      <c r="V180" s="90" t="str">
        <f>IF($A181="","",IF(AND(MONTH(A180)&gt;3,MONTH(A180)&lt;11),(T180+R180+G180)*Summary!$T$9/(1-Summary!$T$9),(T180+R180+G180)*Summary!$U$9/(1-Summary!$U$9)))</f>
        <v/>
      </c>
      <c r="W180" s="63" t="str">
        <f t="shared" si="92"/>
        <v/>
      </c>
      <c r="X180" s="63" t="str">
        <f t="shared" si="93"/>
        <v/>
      </c>
      <c r="Y180" s="43"/>
      <c r="Z180" s="38" t="str">
        <f t="shared" si="94"/>
        <v/>
      </c>
      <c r="AA180" s="38" t="str">
        <f t="shared" si="95"/>
        <v/>
      </c>
      <c r="AB180" s="38" t="e">
        <f t="shared" si="96"/>
        <v>#VALUE!</v>
      </c>
      <c r="AC180" s="38" t="str">
        <f t="shared" si="97"/>
        <v/>
      </c>
      <c r="AD180" s="38" t="str">
        <f t="shared" si="97"/>
        <v/>
      </c>
      <c r="AE180" s="38" t="e">
        <f t="shared" si="98"/>
        <v>#VALUE!</v>
      </c>
      <c r="AF180" s="237" t="e">
        <f>((Summary!$N$9*(AA180*AD180)*(A180-$D$3))+(Summary!$M$9*Z180*AC180*(AJ180-EOMONTH(EDATE(A180,-1),0))))/(AK180*AB180*AE180)</f>
        <v>#VALUE!</v>
      </c>
      <c r="AG180" s="88" t="str">
        <f>IF($A181="","",Summary!$Q$9)</f>
        <v/>
      </c>
      <c r="AH180" s="88" t="str">
        <f>IF($A181="","",IF(Summary!$R$9="Y",VLOOKUP($A180,Summary!$AD$6:$AF$9,3)+'Escalating commodity'!E193,'Escalating commodity'!E193))</f>
        <v/>
      </c>
      <c r="AI180" s="88" t="str">
        <f t="shared" si="113"/>
        <v/>
      </c>
      <c r="AJ180" s="236" t="e">
        <f t="shared" si="99"/>
        <v>#VALUE!</v>
      </c>
      <c r="AK180" s="58" t="str">
        <f t="shared" si="100"/>
        <v/>
      </c>
      <c r="AL180" s="26" t="str">
        <f>IF($A181="","",_xll.SPRDOPT(P180,X180,AI180,0,AB180,AE180,AF180,AK180,$AJ$2,0))</f>
        <v/>
      </c>
      <c r="AM180" s="89" t="str">
        <f t="shared" si="101"/>
        <v/>
      </c>
      <c r="AN180" s="89" t="str">
        <f t="shared" si="102"/>
        <v/>
      </c>
      <c r="AO180" s="3" t="str">
        <f t="shared" si="103"/>
        <v/>
      </c>
      <c r="AP180" s="33" t="str">
        <f t="shared" si="104"/>
        <v/>
      </c>
      <c r="AQ180" s="58" t="str">
        <f t="shared" si="105"/>
        <v/>
      </c>
      <c r="AR180" s="38">
        <f>'ANR OK vs ML7'!AR180</f>
        <v>0.1</v>
      </c>
      <c r="AS180" s="35" t="str">
        <f t="shared" si="106"/>
        <v/>
      </c>
      <c r="AT180" s="3" t="str">
        <f t="shared" si="107"/>
        <v/>
      </c>
      <c r="AU180" s="3" t="str">
        <f t="shared" si="108"/>
        <v/>
      </c>
      <c r="AW180" s="32" t="str">
        <f t="shared" si="109"/>
        <v/>
      </c>
      <c r="AX180" s="32" t="str">
        <f t="shared" si="110"/>
        <v/>
      </c>
      <c r="AY180" s="32" t="str">
        <f t="shared" si="111"/>
        <v/>
      </c>
      <c r="BA180" s="32" t="str">
        <f>IF($A181="","",F180*Summary!$Q$9)</f>
        <v/>
      </c>
    </row>
    <row r="181" spans="1:53" ht="12" customHeight="1">
      <c r="A181" s="67" t="str">
        <f t="shared" si="112"/>
        <v/>
      </c>
      <c r="B181" s="69" t="str">
        <f t="shared" si="115"/>
        <v/>
      </c>
      <c r="C181" s="71"/>
      <c r="D181" s="69" t="str">
        <f t="shared" si="77"/>
        <v/>
      </c>
      <c r="E181" s="70" t="str">
        <f t="shared" si="78"/>
        <v/>
      </c>
      <c r="F181" s="70" t="str">
        <f t="shared" si="79"/>
        <v/>
      </c>
      <c r="G181" s="63" t="str">
        <f t="shared" si="80"/>
        <v/>
      </c>
      <c r="H181" s="64" t="str">
        <f t="shared" si="81"/>
        <v/>
      </c>
      <c r="I181" s="43"/>
      <c r="J181" s="63" t="str">
        <f t="shared" si="82"/>
        <v/>
      </c>
      <c r="K181" s="64" t="str">
        <f t="shared" si="83"/>
        <v/>
      </c>
      <c r="L181" s="63" t="str">
        <f t="shared" si="84"/>
        <v/>
      </c>
      <c r="M181" s="64" t="str">
        <f t="shared" si="85"/>
        <v/>
      </c>
      <c r="N181" s="65"/>
      <c r="O181" s="63" t="str">
        <f t="shared" si="86"/>
        <v/>
      </c>
      <c r="P181" s="63" t="str">
        <f t="shared" si="87"/>
        <v/>
      </c>
      <c r="Q181" s="66"/>
      <c r="R181" s="63" t="str">
        <f t="shared" si="88"/>
        <v/>
      </c>
      <c r="S181" s="64" t="str">
        <f t="shared" si="89"/>
        <v/>
      </c>
      <c r="T181" s="63" t="str">
        <f t="shared" si="90"/>
        <v/>
      </c>
      <c r="U181" s="64" t="str">
        <f t="shared" si="91"/>
        <v/>
      </c>
      <c r="V181" s="90" t="str">
        <f>IF($A182="","",IF(AND(MONTH(A181)&gt;3,MONTH(A181)&lt;11),(T181+R181+G181)*Summary!$T$9/(1-Summary!$T$9),(T181+R181+G181)*Summary!$U$9/(1-Summary!$U$9)))</f>
        <v/>
      </c>
      <c r="W181" s="63" t="str">
        <f t="shared" si="92"/>
        <v/>
      </c>
      <c r="X181" s="63" t="str">
        <f t="shared" si="93"/>
        <v/>
      </c>
      <c r="Y181" s="43"/>
      <c r="Z181" s="38" t="str">
        <f t="shared" si="94"/>
        <v/>
      </c>
      <c r="AA181" s="38" t="str">
        <f t="shared" si="95"/>
        <v/>
      </c>
      <c r="AB181" s="38" t="e">
        <f t="shared" si="96"/>
        <v>#VALUE!</v>
      </c>
      <c r="AC181" s="38" t="str">
        <f t="shared" si="97"/>
        <v/>
      </c>
      <c r="AD181" s="38" t="str">
        <f t="shared" si="97"/>
        <v/>
      </c>
      <c r="AE181" s="38" t="e">
        <f t="shared" si="98"/>
        <v>#VALUE!</v>
      </c>
      <c r="AF181" s="237" t="e">
        <f>((Summary!$N$9*(AA181*AD181)*(A181-$D$3))+(Summary!$M$9*Z181*AC181*(AJ181-EOMONTH(EDATE(A181,-1),0))))/(AK181*AB181*AE181)</f>
        <v>#VALUE!</v>
      </c>
      <c r="AG181" s="88" t="str">
        <f>IF($A182="","",Summary!$Q$9)</f>
        <v/>
      </c>
      <c r="AH181" s="88" t="str">
        <f>IF($A182="","",IF(Summary!$R$9="Y",VLOOKUP($A181,Summary!$AD$6:$AF$9,3)+'Escalating commodity'!E194,'Escalating commodity'!E194))</f>
        <v/>
      </c>
      <c r="AI181" s="88" t="str">
        <f t="shared" si="113"/>
        <v/>
      </c>
      <c r="AJ181" s="236" t="e">
        <f t="shared" si="99"/>
        <v>#VALUE!</v>
      </c>
      <c r="AK181" s="58" t="str">
        <f t="shared" si="100"/>
        <v/>
      </c>
      <c r="AL181" s="26" t="str">
        <f>IF($A182="","",_xll.SPRDOPT(P181,X181,AI181,0,AB181,AE181,AF181,AK181,$AJ$2,0))</f>
        <v/>
      </c>
      <c r="AM181" s="89" t="str">
        <f t="shared" si="101"/>
        <v/>
      </c>
      <c r="AN181" s="89" t="str">
        <f t="shared" si="102"/>
        <v/>
      </c>
      <c r="AO181" s="3" t="str">
        <f t="shared" si="103"/>
        <v/>
      </c>
      <c r="AP181" s="33" t="str">
        <f t="shared" si="104"/>
        <v/>
      </c>
      <c r="AQ181" s="58" t="str">
        <f t="shared" si="105"/>
        <v/>
      </c>
      <c r="AR181" s="38">
        <f>'ANR OK vs ML7'!AR181</f>
        <v>0.1</v>
      </c>
      <c r="AS181" s="35" t="str">
        <f t="shared" si="106"/>
        <v/>
      </c>
      <c r="AT181" s="3" t="str">
        <f t="shared" si="107"/>
        <v/>
      </c>
      <c r="AU181" s="3" t="str">
        <f t="shared" si="108"/>
        <v/>
      </c>
      <c r="AW181" s="32" t="str">
        <f t="shared" si="109"/>
        <v/>
      </c>
      <c r="AX181" s="32" t="str">
        <f t="shared" si="110"/>
        <v/>
      </c>
      <c r="AY181" s="32" t="str">
        <f t="shared" si="111"/>
        <v/>
      </c>
      <c r="BA181" s="32" t="str">
        <f>IF($A182="","",F181*Summary!$Q$9)</f>
        <v/>
      </c>
    </row>
    <row r="182" spans="1:53" ht="12" customHeight="1">
      <c r="A182" s="67" t="str">
        <f t="shared" si="112"/>
        <v/>
      </c>
      <c r="B182" s="69" t="str">
        <f t="shared" si="115"/>
        <v/>
      </c>
      <c r="C182" s="71"/>
      <c r="D182" s="69" t="str">
        <f t="shared" si="77"/>
        <v/>
      </c>
      <c r="E182" s="70" t="str">
        <f t="shared" si="78"/>
        <v/>
      </c>
      <c r="F182" s="70" t="str">
        <f t="shared" si="79"/>
        <v/>
      </c>
      <c r="G182" s="63" t="str">
        <f t="shared" si="80"/>
        <v/>
      </c>
      <c r="H182" s="64" t="str">
        <f t="shared" si="81"/>
        <v/>
      </c>
      <c r="I182" s="43"/>
      <c r="J182" s="63" t="str">
        <f t="shared" si="82"/>
        <v/>
      </c>
      <c r="K182" s="64" t="str">
        <f t="shared" si="83"/>
        <v/>
      </c>
      <c r="L182" s="63" t="str">
        <f t="shared" si="84"/>
        <v/>
      </c>
      <c r="M182" s="64" t="str">
        <f t="shared" si="85"/>
        <v/>
      </c>
      <c r="N182" s="65"/>
      <c r="O182" s="63" t="str">
        <f t="shared" si="86"/>
        <v/>
      </c>
      <c r="P182" s="63" t="str">
        <f t="shared" si="87"/>
        <v/>
      </c>
      <c r="Q182" s="66"/>
      <c r="R182" s="63" t="str">
        <f t="shared" si="88"/>
        <v/>
      </c>
      <c r="S182" s="64" t="str">
        <f t="shared" si="89"/>
        <v/>
      </c>
      <c r="T182" s="63" t="str">
        <f t="shared" si="90"/>
        <v/>
      </c>
      <c r="U182" s="64" t="str">
        <f t="shared" si="91"/>
        <v/>
      </c>
      <c r="V182" s="90" t="str">
        <f>IF($A183="","",IF(AND(MONTH(A182)&gt;3,MONTH(A182)&lt;11),(T182+R182+G182)*Summary!$T$9/(1-Summary!$T$9),(T182+R182+G182)*Summary!$U$9/(1-Summary!$U$9)))</f>
        <v/>
      </c>
      <c r="W182" s="63" t="str">
        <f t="shared" si="92"/>
        <v/>
      </c>
      <c r="X182" s="63" t="str">
        <f t="shared" si="93"/>
        <v/>
      </c>
      <c r="Y182" s="43"/>
      <c r="Z182" s="38" t="str">
        <f t="shared" si="94"/>
        <v/>
      </c>
      <c r="AA182" s="38" t="str">
        <f t="shared" si="95"/>
        <v/>
      </c>
      <c r="AB182" s="38" t="e">
        <f t="shared" si="96"/>
        <v>#VALUE!</v>
      </c>
      <c r="AC182" s="38" t="str">
        <f t="shared" si="97"/>
        <v/>
      </c>
      <c r="AD182" s="38" t="str">
        <f t="shared" si="97"/>
        <v/>
      </c>
      <c r="AE182" s="38" t="e">
        <f t="shared" si="98"/>
        <v>#VALUE!</v>
      </c>
      <c r="AF182" s="237" t="e">
        <f>((Summary!$N$9*(AA182*AD182)*(A182-$D$3))+(Summary!$M$9*Z182*AC182*(AJ182-EOMONTH(EDATE(A182,-1),0))))/(AK182*AB182*AE182)</f>
        <v>#VALUE!</v>
      </c>
      <c r="AG182" s="88" t="str">
        <f>IF($A183="","",Summary!$Q$9)</f>
        <v/>
      </c>
      <c r="AH182" s="88" t="str">
        <f>IF($A183="","",IF(Summary!$R$9="Y",VLOOKUP($A182,Summary!$AD$6:$AF$9,3)+'Escalating commodity'!E195,'Escalating commodity'!E195))</f>
        <v/>
      </c>
      <c r="AI182" s="88" t="str">
        <f t="shared" si="113"/>
        <v/>
      </c>
      <c r="AJ182" s="236" t="e">
        <f t="shared" si="99"/>
        <v>#VALUE!</v>
      </c>
      <c r="AK182" s="58" t="str">
        <f t="shared" si="100"/>
        <v/>
      </c>
      <c r="AL182" s="26" t="str">
        <f>IF($A183="","",_xll.SPRDOPT(P182,X182,AI182,0,AB182,AE182,AF182,AK182,$AJ$2,0))</f>
        <v/>
      </c>
      <c r="AM182" s="89" t="str">
        <f t="shared" si="101"/>
        <v/>
      </c>
      <c r="AN182" s="89" t="str">
        <f t="shared" si="102"/>
        <v/>
      </c>
      <c r="AO182" s="3" t="str">
        <f t="shared" si="103"/>
        <v/>
      </c>
      <c r="AP182" s="33" t="str">
        <f t="shared" si="104"/>
        <v/>
      </c>
      <c r="AQ182" s="58" t="str">
        <f t="shared" si="105"/>
        <v/>
      </c>
      <c r="AR182" s="38">
        <f>'ANR OK vs ML7'!AR182</f>
        <v>0.1</v>
      </c>
      <c r="AS182" s="35" t="str">
        <f t="shared" si="106"/>
        <v/>
      </c>
      <c r="AT182" s="3" t="str">
        <f t="shared" si="107"/>
        <v/>
      </c>
      <c r="AU182" s="3" t="str">
        <f t="shared" si="108"/>
        <v/>
      </c>
      <c r="AW182" s="32" t="str">
        <f t="shared" si="109"/>
        <v/>
      </c>
      <c r="AX182" s="32" t="str">
        <f t="shared" si="110"/>
        <v/>
      </c>
      <c r="AY182" s="32" t="str">
        <f t="shared" si="111"/>
        <v/>
      </c>
      <c r="BA182" s="32" t="str">
        <f>IF($A183="","",F182*Summary!$Q$9)</f>
        <v/>
      </c>
    </row>
    <row r="183" spans="1:53" ht="12" customHeight="1">
      <c r="A183" s="67" t="str">
        <f t="shared" si="112"/>
        <v/>
      </c>
      <c r="B183" s="69" t="str">
        <f t="shared" si="115"/>
        <v/>
      </c>
      <c r="C183" s="71"/>
      <c r="D183" s="69" t="str">
        <f t="shared" si="77"/>
        <v/>
      </c>
      <c r="E183" s="70" t="str">
        <f t="shared" si="78"/>
        <v/>
      </c>
      <c r="F183" s="70" t="str">
        <f t="shared" si="79"/>
        <v/>
      </c>
      <c r="G183" s="63" t="str">
        <f t="shared" si="80"/>
        <v/>
      </c>
      <c r="H183" s="64" t="str">
        <f t="shared" si="81"/>
        <v/>
      </c>
      <c r="I183" s="43"/>
      <c r="J183" s="63" t="str">
        <f t="shared" si="82"/>
        <v/>
      </c>
      <c r="K183" s="64" t="str">
        <f t="shared" si="83"/>
        <v/>
      </c>
      <c r="L183" s="63" t="str">
        <f t="shared" si="84"/>
        <v/>
      </c>
      <c r="M183" s="64" t="str">
        <f t="shared" si="85"/>
        <v/>
      </c>
      <c r="N183" s="65"/>
      <c r="O183" s="63" t="str">
        <f t="shared" si="86"/>
        <v/>
      </c>
      <c r="P183" s="63" t="str">
        <f t="shared" si="87"/>
        <v/>
      </c>
      <c r="Q183" s="66"/>
      <c r="R183" s="63" t="str">
        <f t="shared" si="88"/>
        <v/>
      </c>
      <c r="S183" s="64" t="str">
        <f t="shared" si="89"/>
        <v/>
      </c>
      <c r="T183" s="63" t="str">
        <f t="shared" si="90"/>
        <v/>
      </c>
      <c r="U183" s="64" t="str">
        <f t="shared" si="91"/>
        <v/>
      </c>
      <c r="V183" s="90" t="str">
        <f>IF($A184="","",IF(AND(MONTH(A183)&gt;3,MONTH(A183)&lt;11),(T183+R183+G183)*Summary!$T$9/(1-Summary!$T$9),(T183+R183+G183)*Summary!$U$9/(1-Summary!$U$9)))</f>
        <v/>
      </c>
      <c r="W183" s="63" t="str">
        <f t="shared" si="92"/>
        <v/>
      </c>
      <c r="X183" s="63" t="str">
        <f t="shared" si="93"/>
        <v/>
      </c>
      <c r="Y183" s="43"/>
      <c r="Z183" s="38" t="str">
        <f t="shared" si="94"/>
        <v/>
      </c>
      <c r="AA183" s="38" t="str">
        <f t="shared" si="95"/>
        <v/>
      </c>
      <c r="AB183" s="38" t="e">
        <f t="shared" si="96"/>
        <v>#VALUE!</v>
      </c>
      <c r="AC183" s="38" t="str">
        <f t="shared" si="97"/>
        <v/>
      </c>
      <c r="AD183" s="38" t="str">
        <f t="shared" si="97"/>
        <v/>
      </c>
      <c r="AE183" s="38" t="e">
        <f t="shared" si="98"/>
        <v>#VALUE!</v>
      </c>
      <c r="AF183" s="237" t="e">
        <f>((Summary!$N$9*(AA183*AD183)*(A183-$D$3))+(Summary!$M$9*Z183*AC183*(AJ183-EOMONTH(EDATE(A183,-1),0))))/(AK183*AB183*AE183)</f>
        <v>#VALUE!</v>
      </c>
      <c r="AG183" s="88" t="str">
        <f>IF($A184="","",Summary!$Q$9)</f>
        <v/>
      </c>
      <c r="AH183" s="88" t="str">
        <f>IF($A184="","",IF(Summary!$R$9="Y",VLOOKUP($A183,Summary!$AD$6:$AF$9,3)+'Escalating commodity'!E196,'Escalating commodity'!E196))</f>
        <v/>
      </c>
      <c r="AI183" s="88" t="str">
        <f t="shared" si="113"/>
        <v/>
      </c>
      <c r="AJ183" s="236" t="e">
        <f t="shared" si="99"/>
        <v>#VALUE!</v>
      </c>
      <c r="AK183" s="58" t="str">
        <f t="shared" si="100"/>
        <v/>
      </c>
      <c r="AL183" s="26" t="str">
        <f>IF($A184="","",_xll.SPRDOPT(P183,X183,AI183,0,AB183,AE183,AF183,AK183,$AJ$2,0))</f>
        <v/>
      </c>
      <c r="AM183" s="89" t="str">
        <f t="shared" si="101"/>
        <v/>
      </c>
      <c r="AN183" s="89" t="str">
        <f t="shared" si="102"/>
        <v/>
      </c>
      <c r="AO183" s="3" t="str">
        <f t="shared" si="103"/>
        <v/>
      </c>
      <c r="AP183" s="33" t="str">
        <f t="shared" si="104"/>
        <v/>
      </c>
      <c r="AQ183" s="58" t="str">
        <f t="shared" si="105"/>
        <v/>
      </c>
      <c r="AR183" s="38">
        <f>'ANR OK vs ML7'!AR183</f>
        <v>0.1</v>
      </c>
      <c r="AS183" s="35" t="str">
        <f t="shared" si="106"/>
        <v/>
      </c>
      <c r="AT183" s="3" t="str">
        <f t="shared" si="107"/>
        <v/>
      </c>
      <c r="AU183" s="3" t="str">
        <f t="shared" si="108"/>
        <v/>
      </c>
      <c r="AW183" s="32" t="str">
        <f t="shared" si="109"/>
        <v/>
      </c>
      <c r="AX183" s="32" t="str">
        <f t="shared" si="110"/>
        <v/>
      </c>
      <c r="AY183" s="32" t="str">
        <f t="shared" si="111"/>
        <v/>
      </c>
      <c r="BA183" s="32" t="str">
        <f>IF($A184="","",F183*Summary!$Q$9)</f>
        <v/>
      </c>
    </row>
    <row r="184" spans="1:53" ht="12" customHeight="1">
      <c r="A184" s="67" t="str">
        <f t="shared" si="112"/>
        <v/>
      </c>
      <c r="B184" s="69" t="str">
        <f t="shared" si="115"/>
        <v/>
      </c>
      <c r="C184" s="71"/>
      <c r="D184" s="69" t="str">
        <f t="shared" si="77"/>
        <v/>
      </c>
      <c r="E184" s="70" t="str">
        <f t="shared" si="78"/>
        <v/>
      </c>
      <c r="F184" s="70" t="str">
        <f t="shared" si="79"/>
        <v/>
      </c>
      <c r="G184" s="63" t="str">
        <f t="shared" si="80"/>
        <v/>
      </c>
      <c r="H184" s="64" t="str">
        <f t="shared" si="81"/>
        <v/>
      </c>
      <c r="I184" s="43"/>
      <c r="J184" s="63" t="str">
        <f t="shared" si="82"/>
        <v/>
      </c>
      <c r="K184" s="64" t="str">
        <f t="shared" si="83"/>
        <v/>
      </c>
      <c r="L184" s="63" t="str">
        <f t="shared" si="84"/>
        <v/>
      </c>
      <c r="M184" s="64" t="str">
        <f t="shared" si="85"/>
        <v/>
      </c>
      <c r="N184" s="65"/>
      <c r="O184" s="63" t="str">
        <f t="shared" si="86"/>
        <v/>
      </c>
      <c r="P184" s="63" t="str">
        <f t="shared" si="87"/>
        <v/>
      </c>
      <c r="Q184" s="66"/>
      <c r="R184" s="63" t="str">
        <f t="shared" si="88"/>
        <v/>
      </c>
      <c r="S184" s="64" t="str">
        <f t="shared" si="89"/>
        <v/>
      </c>
      <c r="T184" s="63" t="str">
        <f t="shared" si="90"/>
        <v/>
      </c>
      <c r="U184" s="64" t="str">
        <f t="shared" si="91"/>
        <v/>
      </c>
      <c r="V184" s="90" t="str">
        <f>IF($A185="","",IF(AND(MONTH(A184)&gt;3,MONTH(A184)&lt;11),(T184+R184+G184)*Summary!$T$9/(1-Summary!$T$9),(T184+R184+G184)*Summary!$U$9/(1-Summary!$U$9)))</f>
        <v/>
      </c>
      <c r="W184" s="63" t="str">
        <f t="shared" si="92"/>
        <v/>
      </c>
      <c r="X184" s="63" t="str">
        <f t="shared" si="93"/>
        <v/>
      </c>
      <c r="Y184" s="43"/>
      <c r="Z184" s="38" t="str">
        <f t="shared" si="94"/>
        <v/>
      </c>
      <c r="AA184" s="38" t="str">
        <f t="shared" si="95"/>
        <v/>
      </c>
      <c r="AB184" s="38" t="e">
        <f t="shared" si="96"/>
        <v>#VALUE!</v>
      </c>
      <c r="AC184" s="38" t="str">
        <f t="shared" si="97"/>
        <v/>
      </c>
      <c r="AD184" s="38" t="str">
        <f t="shared" si="97"/>
        <v/>
      </c>
      <c r="AE184" s="38" t="e">
        <f t="shared" si="98"/>
        <v>#VALUE!</v>
      </c>
      <c r="AF184" s="237" t="e">
        <f>((Summary!$N$9*(AA184*AD184)*(A184-$D$3))+(Summary!$M$9*Z184*AC184*(AJ184-EOMONTH(EDATE(A184,-1),0))))/(AK184*AB184*AE184)</f>
        <v>#VALUE!</v>
      </c>
      <c r="AG184" s="88" t="str">
        <f>IF($A185="","",Summary!$Q$9)</f>
        <v/>
      </c>
      <c r="AH184" s="88" t="str">
        <f>IF($A185="","",IF(Summary!$R$9="Y",VLOOKUP($A184,Summary!$AD$6:$AF$9,3)+'Escalating commodity'!E197,'Escalating commodity'!E197))</f>
        <v/>
      </c>
      <c r="AI184" s="88" t="str">
        <f t="shared" si="113"/>
        <v/>
      </c>
      <c r="AJ184" s="236" t="e">
        <f t="shared" si="99"/>
        <v>#VALUE!</v>
      </c>
      <c r="AK184" s="58" t="str">
        <f t="shared" si="100"/>
        <v/>
      </c>
      <c r="AL184" s="26" t="str">
        <f>IF($A185="","",_xll.SPRDOPT(P184,X184,AI184,0,AB184,AE184,AF184,AK184,$AJ$2,0))</f>
        <v/>
      </c>
      <c r="AM184" s="89" t="str">
        <f t="shared" si="101"/>
        <v/>
      </c>
      <c r="AN184" s="89" t="str">
        <f t="shared" si="102"/>
        <v/>
      </c>
      <c r="AO184" s="3" t="str">
        <f t="shared" si="103"/>
        <v/>
      </c>
      <c r="AP184" s="33" t="str">
        <f t="shared" si="104"/>
        <v/>
      </c>
      <c r="AQ184" s="58" t="str">
        <f t="shared" si="105"/>
        <v/>
      </c>
      <c r="AR184" s="38">
        <f>'ANR OK vs ML7'!AR184</f>
        <v>0.1</v>
      </c>
      <c r="AS184" s="35" t="str">
        <f t="shared" si="106"/>
        <v/>
      </c>
      <c r="AT184" s="3" t="str">
        <f t="shared" si="107"/>
        <v/>
      </c>
      <c r="AU184" s="3" t="str">
        <f t="shared" si="108"/>
        <v/>
      </c>
      <c r="AW184" s="32" t="str">
        <f t="shared" si="109"/>
        <v/>
      </c>
      <c r="AX184" s="32" t="str">
        <f t="shared" si="110"/>
        <v/>
      </c>
      <c r="AY184" s="32" t="str">
        <f t="shared" si="111"/>
        <v/>
      </c>
      <c r="BA184" s="32" t="str">
        <f>IF($A185="","",F184*Summary!$Q$9)</f>
        <v/>
      </c>
    </row>
    <row r="185" spans="1:53" ht="12" customHeight="1">
      <c r="A185" s="67" t="str">
        <f t="shared" si="112"/>
        <v/>
      </c>
      <c r="B185" s="69" t="str">
        <f t="shared" si="115"/>
        <v/>
      </c>
      <c r="C185" s="71"/>
      <c r="D185" s="69" t="str">
        <f t="shared" si="77"/>
        <v/>
      </c>
      <c r="E185" s="70" t="str">
        <f t="shared" si="78"/>
        <v/>
      </c>
      <c r="F185" s="70" t="str">
        <f t="shared" si="79"/>
        <v/>
      </c>
      <c r="G185" s="63" t="str">
        <f t="shared" si="80"/>
        <v/>
      </c>
      <c r="H185" s="64" t="str">
        <f t="shared" si="81"/>
        <v/>
      </c>
      <c r="I185" s="43"/>
      <c r="J185" s="63" t="str">
        <f t="shared" si="82"/>
        <v/>
      </c>
      <c r="K185" s="64" t="str">
        <f t="shared" si="83"/>
        <v/>
      </c>
      <c r="L185" s="63" t="str">
        <f t="shared" si="84"/>
        <v/>
      </c>
      <c r="M185" s="64" t="str">
        <f t="shared" si="85"/>
        <v/>
      </c>
      <c r="N185" s="65"/>
      <c r="O185" s="63" t="str">
        <f t="shared" si="86"/>
        <v/>
      </c>
      <c r="P185" s="63" t="str">
        <f t="shared" si="87"/>
        <v/>
      </c>
      <c r="Q185" s="66"/>
      <c r="R185" s="63" t="str">
        <f t="shared" si="88"/>
        <v/>
      </c>
      <c r="S185" s="64" t="str">
        <f t="shared" si="89"/>
        <v/>
      </c>
      <c r="T185" s="63" t="str">
        <f t="shared" si="90"/>
        <v/>
      </c>
      <c r="U185" s="64" t="str">
        <f t="shared" si="91"/>
        <v/>
      </c>
      <c r="V185" s="90" t="str">
        <f>IF($A186="","",IF(AND(MONTH(A185)&gt;3,MONTH(A185)&lt;11),(T185+R185+G185)*Summary!$T$9/(1-Summary!$T$9),(T185+R185+G185)*Summary!$U$9/(1-Summary!$U$9)))</f>
        <v/>
      </c>
      <c r="W185" s="63" t="str">
        <f t="shared" si="92"/>
        <v/>
      </c>
      <c r="X185" s="63" t="str">
        <f t="shared" si="93"/>
        <v/>
      </c>
      <c r="Y185" s="43"/>
      <c r="Z185" s="38" t="str">
        <f t="shared" si="94"/>
        <v/>
      </c>
      <c r="AA185" s="38" t="str">
        <f t="shared" si="95"/>
        <v/>
      </c>
      <c r="AB185" s="38" t="e">
        <f t="shared" si="96"/>
        <v>#VALUE!</v>
      </c>
      <c r="AC185" s="38" t="str">
        <f t="shared" si="97"/>
        <v/>
      </c>
      <c r="AD185" s="38" t="str">
        <f t="shared" si="97"/>
        <v/>
      </c>
      <c r="AE185" s="38" t="e">
        <f t="shared" si="98"/>
        <v>#VALUE!</v>
      </c>
      <c r="AF185" s="237" t="e">
        <f>((Summary!$N$9*(AA185*AD185)*(A185-$D$3))+(Summary!$M$9*Z185*AC185*(AJ185-EOMONTH(EDATE(A185,-1),0))))/(AK185*AB185*AE185)</f>
        <v>#VALUE!</v>
      </c>
      <c r="AG185" s="88" t="str">
        <f>IF($A186="","",Summary!$Q$9)</f>
        <v/>
      </c>
      <c r="AH185" s="88" t="str">
        <f>IF($A186="","",IF(Summary!$R$9="Y",VLOOKUP($A185,Summary!$AD$6:$AF$9,3)+'Escalating commodity'!E198,'Escalating commodity'!E198))</f>
        <v/>
      </c>
      <c r="AI185" s="88" t="str">
        <f t="shared" si="113"/>
        <v/>
      </c>
      <c r="AJ185" s="236" t="e">
        <f t="shared" si="99"/>
        <v>#VALUE!</v>
      </c>
      <c r="AK185" s="58" t="str">
        <f t="shared" si="100"/>
        <v/>
      </c>
      <c r="AL185" s="26" t="str">
        <f>IF($A186="","",_xll.SPRDOPT(P185,X185,AI185,0,AB185,AE185,AF185,AK185,$AJ$2,0))</f>
        <v/>
      </c>
      <c r="AM185" s="89" t="str">
        <f t="shared" si="101"/>
        <v/>
      </c>
      <c r="AN185" s="89" t="str">
        <f t="shared" si="102"/>
        <v/>
      </c>
      <c r="AO185" s="3" t="str">
        <f t="shared" si="103"/>
        <v/>
      </c>
      <c r="AP185" s="33" t="str">
        <f t="shared" si="104"/>
        <v/>
      </c>
      <c r="AQ185" s="58" t="str">
        <f t="shared" si="105"/>
        <v/>
      </c>
      <c r="AR185" s="38">
        <f>'ANR OK vs ML7'!AR185</f>
        <v>0.1</v>
      </c>
      <c r="AS185" s="35" t="str">
        <f t="shared" si="106"/>
        <v/>
      </c>
      <c r="AT185" s="3" t="str">
        <f t="shared" si="107"/>
        <v/>
      </c>
      <c r="AU185" s="3" t="str">
        <f t="shared" si="108"/>
        <v/>
      </c>
      <c r="AW185" s="32" t="str">
        <f t="shared" si="109"/>
        <v/>
      </c>
      <c r="AX185" s="32" t="str">
        <f t="shared" si="110"/>
        <v/>
      </c>
      <c r="AY185" s="32" t="str">
        <f t="shared" si="111"/>
        <v/>
      </c>
      <c r="BA185" s="32" t="str">
        <f>IF($A186="","",F185*Summary!$Q$9)</f>
        <v/>
      </c>
    </row>
    <row r="186" spans="1:53" ht="12" customHeight="1">
      <c r="A186" s="67" t="str">
        <f t="shared" si="112"/>
        <v/>
      </c>
      <c r="B186" s="69" t="str">
        <f t="shared" si="115"/>
        <v/>
      </c>
      <c r="C186" s="71"/>
      <c r="D186" s="69" t="str">
        <f t="shared" si="77"/>
        <v/>
      </c>
      <c r="E186" s="70" t="str">
        <f t="shared" si="78"/>
        <v/>
      </c>
      <c r="F186" s="70" t="str">
        <f t="shared" si="79"/>
        <v/>
      </c>
      <c r="G186" s="63" t="str">
        <f t="shared" si="80"/>
        <v/>
      </c>
      <c r="H186" s="64" t="str">
        <f t="shared" si="81"/>
        <v/>
      </c>
      <c r="I186" s="43"/>
      <c r="J186" s="63" t="str">
        <f t="shared" si="82"/>
        <v/>
      </c>
      <c r="K186" s="64" t="str">
        <f t="shared" si="83"/>
        <v/>
      </c>
      <c r="L186" s="63" t="str">
        <f t="shared" si="84"/>
        <v/>
      </c>
      <c r="M186" s="64" t="str">
        <f t="shared" si="85"/>
        <v/>
      </c>
      <c r="N186" s="65"/>
      <c r="O186" s="63" t="str">
        <f t="shared" si="86"/>
        <v/>
      </c>
      <c r="P186" s="63" t="str">
        <f t="shared" si="87"/>
        <v/>
      </c>
      <c r="Q186" s="66"/>
      <c r="R186" s="63" t="str">
        <f t="shared" si="88"/>
        <v/>
      </c>
      <c r="S186" s="64" t="str">
        <f t="shared" si="89"/>
        <v/>
      </c>
      <c r="T186" s="63" t="str">
        <f t="shared" si="90"/>
        <v/>
      </c>
      <c r="U186" s="64" t="str">
        <f t="shared" si="91"/>
        <v/>
      </c>
      <c r="V186" s="90" t="str">
        <f>IF($A187="","",IF(AND(MONTH(A186)&gt;3,MONTH(A186)&lt;11),(T186+R186+G186)*Summary!$T$9/(1-Summary!$T$9),(T186+R186+G186)*Summary!$U$9/(1-Summary!$U$9)))</f>
        <v/>
      </c>
      <c r="W186" s="63" t="str">
        <f t="shared" si="92"/>
        <v/>
      </c>
      <c r="X186" s="63" t="str">
        <f t="shared" si="93"/>
        <v/>
      </c>
      <c r="Y186" s="43"/>
      <c r="Z186" s="38" t="str">
        <f t="shared" si="94"/>
        <v/>
      </c>
      <c r="AA186" s="38" t="str">
        <f t="shared" si="95"/>
        <v/>
      </c>
      <c r="AB186" s="38" t="e">
        <f t="shared" si="96"/>
        <v>#VALUE!</v>
      </c>
      <c r="AC186" s="38" t="str">
        <f t="shared" si="97"/>
        <v/>
      </c>
      <c r="AD186" s="38" t="str">
        <f t="shared" si="97"/>
        <v/>
      </c>
      <c r="AE186" s="38" t="e">
        <f t="shared" si="98"/>
        <v>#VALUE!</v>
      </c>
      <c r="AF186" s="237" t="e">
        <f>((Summary!$N$9*(AA186*AD186)*(A186-$D$3))+(Summary!$M$9*Z186*AC186*(AJ186-EOMONTH(EDATE(A186,-1),0))))/(AK186*AB186*AE186)</f>
        <v>#VALUE!</v>
      </c>
      <c r="AG186" s="88" t="str">
        <f>IF($A187="","",Summary!$Q$9)</f>
        <v/>
      </c>
      <c r="AH186" s="88" t="str">
        <f>IF($A187="","",IF(Summary!$R$9="Y",VLOOKUP($A186,Summary!$AD$6:$AF$9,3)+'Escalating commodity'!E199,'Escalating commodity'!E199))</f>
        <v/>
      </c>
      <c r="AI186" s="88" t="str">
        <f t="shared" si="113"/>
        <v/>
      </c>
      <c r="AJ186" s="236" t="e">
        <f t="shared" si="99"/>
        <v>#VALUE!</v>
      </c>
      <c r="AK186" s="58" t="str">
        <f t="shared" si="100"/>
        <v/>
      </c>
      <c r="AL186" s="26" t="str">
        <f>IF($A187="","",_xll.SPRDOPT(P186,X186,AI186,0,AB186,AE186,AF186,AK186,$AJ$2,0))</f>
        <v/>
      </c>
      <c r="AM186" s="89" t="str">
        <f t="shared" si="101"/>
        <v/>
      </c>
      <c r="AN186" s="89" t="str">
        <f t="shared" si="102"/>
        <v/>
      </c>
      <c r="AO186" s="3" t="str">
        <f t="shared" si="103"/>
        <v/>
      </c>
      <c r="AP186" s="33" t="str">
        <f t="shared" si="104"/>
        <v/>
      </c>
      <c r="AQ186" s="58" t="str">
        <f t="shared" si="105"/>
        <v/>
      </c>
      <c r="AR186" s="38">
        <f>'ANR OK vs ML7'!AR186</f>
        <v>0.1</v>
      </c>
      <c r="AS186" s="35" t="str">
        <f t="shared" si="106"/>
        <v/>
      </c>
      <c r="AT186" s="3" t="str">
        <f t="shared" si="107"/>
        <v/>
      </c>
      <c r="AU186" s="3" t="str">
        <f t="shared" si="108"/>
        <v/>
      </c>
      <c r="AW186" s="32" t="str">
        <f t="shared" si="109"/>
        <v/>
      </c>
      <c r="AX186" s="32" t="str">
        <f t="shared" si="110"/>
        <v/>
      </c>
      <c r="AY186" s="32" t="str">
        <f t="shared" si="111"/>
        <v/>
      </c>
      <c r="BA186" s="32" t="str">
        <f>IF($A187="","",F186*Summary!$Q$9)</f>
        <v/>
      </c>
    </row>
    <row r="187" spans="1:53" ht="12" customHeight="1">
      <c r="A187" s="67" t="str">
        <f t="shared" si="112"/>
        <v/>
      </c>
      <c r="B187" s="69" t="str">
        <f t="shared" si="115"/>
        <v/>
      </c>
      <c r="C187" s="71"/>
      <c r="D187" s="69" t="str">
        <f t="shared" si="77"/>
        <v/>
      </c>
      <c r="E187" s="70" t="str">
        <f t="shared" si="78"/>
        <v/>
      </c>
      <c r="F187" s="70" t="str">
        <f t="shared" si="79"/>
        <v/>
      </c>
      <c r="G187" s="63" t="str">
        <f t="shared" si="80"/>
        <v/>
      </c>
      <c r="H187" s="64" t="str">
        <f t="shared" si="81"/>
        <v/>
      </c>
      <c r="I187" s="43"/>
      <c r="J187" s="63" t="str">
        <f t="shared" si="82"/>
        <v/>
      </c>
      <c r="K187" s="64" t="str">
        <f t="shared" si="83"/>
        <v/>
      </c>
      <c r="L187" s="63" t="str">
        <f t="shared" si="84"/>
        <v/>
      </c>
      <c r="M187" s="64" t="str">
        <f t="shared" si="85"/>
        <v/>
      </c>
      <c r="N187" s="65"/>
      <c r="O187" s="63" t="str">
        <f t="shared" si="86"/>
        <v/>
      </c>
      <c r="P187" s="63" t="str">
        <f t="shared" si="87"/>
        <v/>
      </c>
      <c r="Q187" s="66"/>
      <c r="R187" s="63" t="str">
        <f t="shared" si="88"/>
        <v/>
      </c>
      <c r="S187" s="64" t="str">
        <f t="shared" si="89"/>
        <v/>
      </c>
      <c r="T187" s="63" t="str">
        <f t="shared" si="90"/>
        <v/>
      </c>
      <c r="U187" s="64" t="str">
        <f t="shared" si="91"/>
        <v/>
      </c>
      <c r="V187" s="90" t="str">
        <f>IF($A188="","",IF(AND(MONTH(A187)&gt;3,MONTH(A187)&lt;11),(T187+R187+G187)*Summary!$T$9/(1-Summary!$T$9),(T187+R187+G187)*Summary!$U$9/(1-Summary!$U$9)))</f>
        <v/>
      </c>
      <c r="W187" s="63" t="str">
        <f t="shared" si="92"/>
        <v/>
      </c>
      <c r="X187" s="63" t="str">
        <f t="shared" si="93"/>
        <v/>
      </c>
      <c r="Y187" s="43"/>
      <c r="Z187" s="38" t="str">
        <f t="shared" si="94"/>
        <v/>
      </c>
      <c r="AA187" s="38" t="str">
        <f t="shared" si="95"/>
        <v/>
      </c>
      <c r="AB187" s="38" t="e">
        <f t="shared" si="96"/>
        <v>#VALUE!</v>
      </c>
      <c r="AC187" s="38" t="str">
        <f t="shared" si="97"/>
        <v/>
      </c>
      <c r="AD187" s="38" t="str">
        <f t="shared" si="97"/>
        <v/>
      </c>
      <c r="AE187" s="38" t="e">
        <f t="shared" si="98"/>
        <v>#VALUE!</v>
      </c>
      <c r="AF187" s="237" t="e">
        <f>((Summary!$N$9*(AA187*AD187)*(A187-$D$3))+(Summary!$M$9*Z187*AC187*(AJ187-EOMONTH(EDATE(A187,-1),0))))/(AK187*AB187*AE187)</f>
        <v>#VALUE!</v>
      </c>
      <c r="AG187" s="88" t="str">
        <f>IF($A188="","",Summary!$Q$9)</f>
        <v/>
      </c>
      <c r="AH187" s="88" t="str">
        <f>IF($A188="","",IF(Summary!$R$9="Y",VLOOKUP($A187,Summary!$AD$6:$AF$9,3)+'Escalating commodity'!E200,'Escalating commodity'!E200))</f>
        <v/>
      </c>
      <c r="AI187" s="88" t="str">
        <f t="shared" si="113"/>
        <v/>
      </c>
      <c r="AJ187" s="236" t="e">
        <f t="shared" si="99"/>
        <v>#VALUE!</v>
      </c>
      <c r="AK187" s="58" t="str">
        <f t="shared" si="100"/>
        <v/>
      </c>
      <c r="AL187" s="26" t="str">
        <f>IF($A188="","",_xll.SPRDOPT(P187,X187,AI187,0,AB187,AE187,AF187,AK187,$AJ$2,0))</f>
        <v/>
      </c>
      <c r="AM187" s="89" t="str">
        <f t="shared" si="101"/>
        <v/>
      </c>
      <c r="AN187" s="89" t="str">
        <f t="shared" si="102"/>
        <v/>
      </c>
      <c r="AO187" s="3" t="str">
        <f t="shared" si="103"/>
        <v/>
      </c>
      <c r="AP187" s="33" t="str">
        <f t="shared" si="104"/>
        <v/>
      </c>
      <c r="AQ187" s="58" t="str">
        <f t="shared" si="105"/>
        <v/>
      </c>
      <c r="AR187" s="38">
        <f>'ANR OK vs ML7'!AR187</f>
        <v>0.1</v>
      </c>
      <c r="AS187" s="35" t="str">
        <f t="shared" si="106"/>
        <v/>
      </c>
      <c r="AT187" s="3" t="str">
        <f t="shared" si="107"/>
        <v/>
      </c>
      <c r="AU187" s="3" t="str">
        <f t="shared" si="108"/>
        <v/>
      </c>
      <c r="AW187" s="32" t="str">
        <f t="shared" si="109"/>
        <v/>
      </c>
      <c r="AX187" s="32" t="str">
        <f t="shared" si="110"/>
        <v/>
      </c>
      <c r="AY187" s="32" t="str">
        <f t="shared" si="111"/>
        <v/>
      </c>
      <c r="BA187" s="32" t="str">
        <f>IF($A188="","",F187*Summary!$Q$9)</f>
        <v/>
      </c>
    </row>
    <row r="188" spans="1:53" ht="12" customHeight="1">
      <c r="A188" s="67" t="str">
        <f t="shared" si="112"/>
        <v/>
      </c>
      <c r="B188" s="69" t="str">
        <f t="shared" si="115"/>
        <v/>
      </c>
      <c r="C188" s="71"/>
      <c r="D188" s="69" t="str">
        <f t="shared" si="77"/>
        <v/>
      </c>
      <c r="E188" s="70" t="str">
        <f t="shared" si="78"/>
        <v/>
      </c>
      <c r="F188" s="70" t="str">
        <f t="shared" si="79"/>
        <v/>
      </c>
      <c r="G188" s="63" t="str">
        <f t="shared" si="80"/>
        <v/>
      </c>
      <c r="H188" s="64" t="str">
        <f t="shared" si="81"/>
        <v/>
      </c>
      <c r="I188" s="43"/>
      <c r="J188" s="63" t="str">
        <f t="shared" si="82"/>
        <v/>
      </c>
      <c r="K188" s="64" t="str">
        <f t="shared" si="83"/>
        <v/>
      </c>
      <c r="L188" s="63" t="str">
        <f t="shared" si="84"/>
        <v/>
      </c>
      <c r="M188" s="64" t="str">
        <f t="shared" si="85"/>
        <v/>
      </c>
      <c r="N188" s="65"/>
      <c r="O188" s="63" t="str">
        <f t="shared" si="86"/>
        <v/>
      </c>
      <c r="P188" s="63" t="str">
        <f t="shared" si="87"/>
        <v/>
      </c>
      <c r="Q188" s="66"/>
      <c r="R188" s="63" t="str">
        <f t="shared" si="88"/>
        <v/>
      </c>
      <c r="S188" s="64" t="str">
        <f t="shared" si="89"/>
        <v/>
      </c>
      <c r="T188" s="63" t="str">
        <f t="shared" si="90"/>
        <v/>
      </c>
      <c r="U188" s="64" t="str">
        <f t="shared" si="91"/>
        <v/>
      </c>
      <c r="V188" s="90" t="str">
        <f>IF($A189="","",IF(AND(MONTH(A188)&gt;3,MONTH(A188)&lt;11),(T188+R188+G188)*Summary!$T$9/(1-Summary!$T$9),(T188+R188+G188)*Summary!$U$9/(1-Summary!$U$9)))</f>
        <v/>
      </c>
      <c r="W188" s="63" t="str">
        <f t="shared" si="92"/>
        <v/>
      </c>
      <c r="X188" s="63" t="str">
        <f t="shared" si="93"/>
        <v/>
      </c>
      <c r="Y188" s="43"/>
      <c r="Z188" s="38" t="str">
        <f t="shared" si="94"/>
        <v/>
      </c>
      <c r="AA188" s="38" t="str">
        <f t="shared" si="95"/>
        <v/>
      </c>
      <c r="AB188" s="38" t="e">
        <f t="shared" si="96"/>
        <v>#VALUE!</v>
      </c>
      <c r="AC188" s="38" t="str">
        <f t="shared" si="97"/>
        <v/>
      </c>
      <c r="AD188" s="38" t="str">
        <f t="shared" si="97"/>
        <v/>
      </c>
      <c r="AE188" s="38" t="e">
        <f t="shared" si="98"/>
        <v>#VALUE!</v>
      </c>
      <c r="AF188" s="237" t="e">
        <f>((Summary!$N$9*(AA188*AD188)*(A188-$D$3))+(Summary!$M$9*Z188*AC188*(AJ188-EOMONTH(EDATE(A188,-1),0))))/(AK188*AB188*AE188)</f>
        <v>#VALUE!</v>
      </c>
      <c r="AG188" s="88" t="str">
        <f>IF($A189="","",Summary!$Q$9)</f>
        <v/>
      </c>
      <c r="AH188" s="88" t="str">
        <f>IF($A189="","",IF(Summary!$R$9="Y",VLOOKUP($A188,Summary!$AD$6:$AF$9,3)+'Escalating commodity'!E201,'Escalating commodity'!E201))</f>
        <v/>
      </c>
      <c r="AI188" s="88" t="str">
        <f t="shared" si="113"/>
        <v/>
      </c>
      <c r="AJ188" s="236" t="e">
        <f t="shared" si="99"/>
        <v>#VALUE!</v>
      </c>
      <c r="AK188" s="58" t="str">
        <f t="shared" si="100"/>
        <v/>
      </c>
      <c r="AL188" s="26" t="str">
        <f>IF($A189="","",_xll.SPRDOPT(P188,X188,AI188,0,AB188,AE188,AF188,AK188,$AJ$2,0))</f>
        <v/>
      </c>
      <c r="AM188" s="89" t="str">
        <f t="shared" si="101"/>
        <v/>
      </c>
      <c r="AN188" s="89" t="str">
        <f t="shared" si="102"/>
        <v/>
      </c>
      <c r="AO188" s="3" t="str">
        <f t="shared" si="103"/>
        <v/>
      </c>
      <c r="AP188" s="33" t="str">
        <f t="shared" si="104"/>
        <v/>
      </c>
      <c r="AQ188" s="58" t="str">
        <f t="shared" si="105"/>
        <v/>
      </c>
      <c r="AR188" s="38">
        <f>'ANR OK vs ML7'!AR188</f>
        <v>0.1</v>
      </c>
      <c r="AS188" s="35" t="str">
        <f t="shared" si="106"/>
        <v/>
      </c>
      <c r="AT188" s="3" t="str">
        <f t="shared" si="107"/>
        <v/>
      </c>
      <c r="AU188" s="3" t="str">
        <f t="shared" si="108"/>
        <v/>
      </c>
      <c r="AW188" s="32" t="str">
        <f t="shared" si="109"/>
        <v/>
      </c>
      <c r="AX188" s="32" t="str">
        <f t="shared" si="110"/>
        <v/>
      </c>
      <c r="AY188" s="32" t="str">
        <f t="shared" si="111"/>
        <v/>
      </c>
      <c r="BA188" s="32" t="str">
        <f>IF($A189="","",F188*Summary!$Q$9)</f>
        <v/>
      </c>
    </row>
    <row r="189" spans="1:53" ht="12" customHeight="1">
      <c r="A189" s="67" t="str">
        <f t="shared" si="112"/>
        <v/>
      </c>
      <c r="B189" s="69" t="str">
        <f t="shared" si="115"/>
        <v/>
      </c>
      <c r="C189" s="71"/>
      <c r="D189" s="69" t="str">
        <f t="shared" si="77"/>
        <v/>
      </c>
      <c r="E189" s="70" t="str">
        <f t="shared" si="78"/>
        <v/>
      </c>
      <c r="F189" s="70" t="str">
        <f t="shared" si="79"/>
        <v/>
      </c>
      <c r="G189" s="63" t="str">
        <f t="shared" si="80"/>
        <v/>
      </c>
      <c r="H189" s="64" t="str">
        <f t="shared" si="81"/>
        <v/>
      </c>
      <c r="I189" s="43"/>
      <c r="J189" s="63" t="str">
        <f t="shared" si="82"/>
        <v/>
      </c>
      <c r="K189" s="64" t="str">
        <f t="shared" si="83"/>
        <v/>
      </c>
      <c r="L189" s="63" t="str">
        <f t="shared" si="84"/>
        <v/>
      </c>
      <c r="M189" s="64" t="str">
        <f t="shared" si="85"/>
        <v/>
      </c>
      <c r="N189" s="65"/>
      <c r="O189" s="63" t="str">
        <f t="shared" si="86"/>
        <v/>
      </c>
      <c r="P189" s="63" t="str">
        <f t="shared" si="87"/>
        <v/>
      </c>
      <c r="Q189" s="66"/>
      <c r="R189" s="63" t="str">
        <f t="shared" si="88"/>
        <v/>
      </c>
      <c r="S189" s="64" t="str">
        <f t="shared" si="89"/>
        <v/>
      </c>
      <c r="T189" s="63" t="str">
        <f t="shared" si="90"/>
        <v/>
      </c>
      <c r="U189" s="64" t="str">
        <f t="shared" si="91"/>
        <v/>
      </c>
      <c r="V189" s="90" t="str">
        <f>IF($A190="","",IF(AND(MONTH(A189)&gt;3,MONTH(A189)&lt;11),(T189+R189+G189)*Summary!$T$9/(1-Summary!$T$9),(T189+R189+G189)*Summary!$U$9/(1-Summary!$U$9)))</f>
        <v/>
      </c>
      <c r="W189" s="63" t="str">
        <f t="shared" si="92"/>
        <v/>
      </c>
      <c r="X189" s="63" t="str">
        <f t="shared" si="93"/>
        <v/>
      </c>
      <c r="Y189" s="43"/>
      <c r="Z189" s="38" t="str">
        <f t="shared" si="94"/>
        <v/>
      </c>
      <c r="AA189" s="38" t="str">
        <f t="shared" si="95"/>
        <v/>
      </c>
      <c r="AB189" s="38" t="e">
        <f t="shared" si="96"/>
        <v>#VALUE!</v>
      </c>
      <c r="AC189" s="38" t="str">
        <f t="shared" si="97"/>
        <v/>
      </c>
      <c r="AD189" s="38" t="str">
        <f t="shared" si="97"/>
        <v/>
      </c>
      <c r="AE189" s="38" t="e">
        <f t="shared" si="98"/>
        <v>#VALUE!</v>
      </c>
      <c r="AF189" s="237" t="e">
        <f>((Summary!$N$9*(AA189*AD189)*(A189-$D$3))+(Summary!$M$9*Z189*AC189*(AJ189-EOMONTH(EDATE(A189,-1),0))))/(AK189*AB189*AE189)</f>
        <v>#VALUE!</v>
      </c>
      <c r="AG189" s="88" t="str">
        <f>IF($A190="","",Summary!$Q$9)</f>
        <v/>
      </c>
      <c r="AH189" s="88" t="str">
        <f>IF($A190="","",IF(Summary!$R$9="Y",VLOOKUP($A189,Summary!$AD$6:$AF$9,3)+'Escalating commodity'!E202,'Escalating commodity'!E202))</f>
        <v/>
      </c>
      <c r="AI189" s="88" t="str">
        <f t="shared" si="113"/>
        <v/>
      </c>
      <c r="AJ189" s="236" t="e">
        <f t="shared" si="99"/>
        <v>#VALUE!</v>
      </c>
      <c r="AK189" s="58" t="str">
        <f t="shared" si="100"/>
        <v/>
      </c>
      <c r="AL189" s="26" t="str">
        <f>IF($A190="","",_xll.SPRDOPT(P189,X189,AI189,0,AB189,AE189,AF189,AK189,$AJ$2,0))</f>
        <v/>
      </c>
      <c r="AM189" s="89" t="str">
        <f t="shared" si="101"/>
        <v/>
      </c>
      <c r="AN189" s="89" t="str">
        <f t="shared" si="102"/>
        <v/>
      </c>
      <c r="AO189" s="3" t="str">
        <f t="shared" si="103"/>
        <v/>
      </c>
      <c r="AP189" s="33" t="str">
        <f t="shared" si="104"/>
        <v/>
      </c>
      <c r="AQ189" s="58" t="str">
        <f t="shared" si="105"/>
        <v/>
      </c>
      <c r="AR189" s="38">
        <f>'ANR OK vs ML7'!AR189</f>
        <v>0.1</v>
      </c>
      <c r="AS189" s="35" t="str">
        <f t="shared" si="106"/>
        <v/>
      </c>
      <c r="AT189" s="3" t="str">
        <f t="shared" si="107"/>
        <v/>
      </c>
      <c r="AU189" s="3" t="str">
        <f t="shared" si="108"/>
        <v/>
      </c>
      <c r="AW189" s="32" t="str">
        <f t="shared" si="109"/>
        <v/>
      </c>
      <c r="AX189" s="32" t="str">
        <f t="shared" si="110"/>
        <v/>
      </c>
      <c r="AY189" s="32" t="str">
        <f t="shared" si="111"/>
        <v/>
      </c>
      <c r="BA189" s="32" t="str">
        <f>IF($A190="","",F189*Summary!$Q$9)</f>
        <v/>
      </c>
    </row>
    <row r="190" spans="1:53" ht="12" customHeight="1">
      <c r="A190" s="67" t="str">
        <f t="shared" si="112"/>
        <v/>
      </c>
      <c r="B190" s="69" t="str">
        <f t="shared" si="115"/>
        <v/>
      </c>
      <c r="C190" s="71"/>
      <c r="D190" s="69" t="str">
        <f t="shared" si="77"/>
        <v/>
      </c>
      <c r="E190" s="70" t="str">
        <f t="shared" si="78"/>
        <v/>
      </c>
      <c r="F190" s="70" t="str">
        <f t="shared" si="79"/>
        <v/>
      </c>
      <c r="G190" s="63" t="str">
        <f t="shared" si="80"/>
        <v/>
      </c>
      <c r="H190" s="64" t="str">
        <f t="shared" si="81"/>
        <v/>
      </c>
      <c r="I190" s="43"/>
      <c r="J190" s="63" t="str">
        <f t="shared" si="82"/>
        <v/>
      </c>
      <c r="K190" s="64" t="str">
        <f t="shared" si="83"/>
        <v/>
      </c>
      <c r="L190" s="63" t="str">
        <f t="shared" si="84"/>
        <v/>
      </c>
      <c r="M190" s="64" t="str">
        <f t="shared" si="85"/>
        <v/>
      </c>
      <c r="N190" s="65"/>
      <c r="O190" s="63" t="str">
        <f t="shared" si="86"/>
        <v/>
      </c>
      <c r="P190" s="63" t="str">
        <f t="shared" si="87"/>
        <v/>
      </c>
      <c r="Q190" s="66"/>
      <c r="R190" s="63" t="str">
        <f t="shared" si="88"/>
        <v/>
      </c>
      <c r="S190" s="64" t="str">
        <f t="shared" si="89"/>
        <v/>
      </c>
      <c r="T190" s="63" t="str">
        <f t="shared" si="90"/>
        <v/>
      </c>
      <c r="U190" s="64" t="str">
        <f t="shared" si="91"/>
        <v/>
      </c>
      <c r="V190" s="90" t="str">
        <f>IF($A191="","",IF(AND(MONTH(A190)&gt;3,MONTH(A190)&lt;11),(T190+R190+G190)*Summary!$T$9/(1-Summary!$T$9),(T190+R190+G190)*Summary!$U$9/(1-Summary!$U$9)))</f>
        <v/>
      </c>
      <c r="W190" s="63" t="str">
        <f t="shared" si="92"/>
        <v/>
      </c>
      <c r="X190" s="63" t="str">
        <f t="shared" si="93"/>
        <v/>
      </c>
      <c r="Y190" s="43"/>
      <c r="Z190" s="38" t="str">
        <f t="shared" si="94"/>
        <v/>
      </c>
      <c r="AA190" s="38" t="str">
        <f t="shared" si="95"/>
        <v/>
      </c>
      <c r="AB190" s="38" t="e">
        <f t="shared" si="96"/>
        <v>#VALUE!</v>
      </c>
      <c r="AC190" s="38" t="str">
        <f t="shared" si="97"/>
        <v/>
      </c>
      <c r="AD190" s="38" t="str">
        <f t="shared" si="97"/>
        <v/>
      </c>
      <c r="AE190" s="38" t="e">
        <f t="shared" si="98"/>
        <v>#VALUE!</v>
      </c>
      <c r="AF190" s="237" t="e">
        <f>((Summary!$N$9*(AA190*AD190)*(A190-$D$3))+(Summary!$M$9*Z190*AC190*(AJ190-EOMONTH(EDATE(A190,-1),0))))/(AK190*AB190*AE190)</f>
        <v>#VALUE!</v>
      </c>
      <c r="AG190" s="88" t="str">
        <f>IF($A191="","",Summary!$Q$9)</f>
        <v/>
      </c>
      <c r="AH190" s="88" t="str">
        <f>IF($A191="","",IF(Summary!$R$9="Y",VLOOKUP($A190,Summary!$AD$6:$AF$9,3)+'Escalating commodity'!E203,'Escalating commodity'!E203))</f>
        <v/>
      </c>
      <c r="AI190" s="88" t="str">
        <f t="shared" si="113"/>
        <v/>
      </c>
      <c r="AJ190" s="236" t="e">
        <f t="shared" si="99"/>
        <v>#VALUE!</v>
      </c>
      <c r="AK190" s="58" t="str">
        <f t="shared" si="100"/>
        <v/>
      </c>
      <c r="AL190" s="26" t="str">
        <f>IF($A191="","",_xll.SPRDOPT(P190,X190,AI190,0,AB190,AE190,AF190,AK190,$AJ$2,0))</f>
        <v/>
      </c>
      <c r="AM190" s="89" t="str">
        <f t="shared" si="101"/>
        <v/>
      </c>
      <c r="AN190" s="89" t="str">
        <f t="shared" si="102"/>
        <v/>
      </c>
      <c r="AO190" s="3" t="str">
        <f t="shared" si="103"/>
        <v/>
      </c>
      <c r="AP190" s="33" t="str">
        <f t="shared" si="104"/>
        <v/>
      </c>
      <c r="AQ190" s="58" t="str">
        <f t="shared" si="105"/>
        <v/>
      </c>
      <c r="AR190" s="38">
        <f>'ANR OK vs ML7'!AR190</f>
        <v>0.1</v>
      </c>
      <c r="AS190" s="35" t="str">
        <f t="shared" si="106"/>
        <v/>
      </c>
      <c r="AT190" s="3" t="str">
        <f t="shared" si="107"/>
        <v/>
      </c>
      <c r="AU190" s="3" t="str">
        <f t="shared" si="108"/>
        <v/>
      </c>
      <c r="AW190" s="32" t="str">
        <f t="shared" si="109"/>
        <v/>
      </c>
      <c r="AX190" s="32" t="str">
        <f t="shared" si="110"/>
        <v/>
      </c>
      <c r="AY190" s="32" t="str">
        <f t="shared" si="111"/>
        <v/>
      </c>
      <c r="BA190" s="32" t="str">
        <f>IF($A191="","",F190*Summary!$Q$9)</f>
        <v/>
      </c>
    </row>
    <row r="191" spans="1:53" ht="12" customHeight="1">
      <c r="A191" s="67" t="str">
        <f t="shared" si="112"/>
        <v/>
      </c>
      <c r="B191" s="69" t="str">
        <f t="shared" si="115"/>
        <v/>
      </c>
      <c r="C191" s="71"/>
      <c r="D191" s="69" t="str">
        <f t="shared" si="77"/>
        <v/>
      </c>
      <c r="E191" s="70" t="str">
        <f t="shared" si="78"/>
        <v/>
      </c>
      <c r="F191" s="70" t="str">
        <f t="shared" si="79"/>
        <v/>
      </c>
      <c r="G191" s="63" t="str">
        <f t="shared" si="80"/>
        <v/>
      </c>
      <c r="H191" s="64" t="str">
        <f t="shared" si="81"/>
        <v/>
      </c>
      <c r="I191" s="43"/>
      <c r="J191" s="63" t="str">
        <f t="shared" si="82"/>
        <v/>
      </c>
      <c r="K191" s="64" t="str">
        <f t="shared" si="83"/>
        <v/>
      </c>
      <c r="L191" s="63" t="str">
        <f t="shared" si="84"/>
        <v/>
      </c>
      <c r="M191" s="64" t="str">
        <f t="shared" si="85"/>
        <v/>
      </c>
      <c r="N191" s="65"/>
      <c r="O191" s="63" t="str">
        <f t="shared" si="86"/>
        <v/>
      </c>
      <c r="P191" s="63" t="str">
        <f t="shared" si="87"/>
        <v/>
      </c>
      <c r="Q191" s="66"/>
      <c r="R191" s="63" t="str">
        <f t="shared" si="88"/>
        <v/>
      </c>
      <c r="S191" s="64" t="str">
        <f t="shared" si="89"/>
        <v/>
      </c>
      <c r="T191" s="63" t="str">
        <f t="shared" si="90"/>
        <v/>
      </c>
      <c r="U191" s="64" t="str">
        <f t="shared" si="91"/>
        <v/>
      </c>
      <c r="V191" s="90" t="str">
        <f>IF($A192="","",IF(AND(MONTH(A191)&gt;3,MONTH(A191)&lt;11),(T191+R191+G191)*Summary!$T$9/(1-Summary!$T$9),(T191+R191+G191)*Summary!$U$9/(1-Summary!$U$9)))</f>
        <v/>
      </c>
      <c r="W191" s="63" t="str">
        <f t="shared" si="92"/>
        <v/>
      </c>
      <c r="X191" s="63" t="str">
        <f t="shared" si="93"/>
        <v/>
      </c>
      <c r="Y191" s="43"/>
      <c r="Z191" s="38" t="str">
        <f t="shared" si="94"/>
        <v/>
      </c>
      <c r="AA191" s="38" t="str">
        <f t="shared" si="95"/>
        <v/>
      </c>
      <c r="AB191" s="38" t="e">
        <f t="shared" si="96"/>
        <v>#VALUE!</v>
      </c>
      <c r="AC191" s="38" t="str">
        <f t="shared" si="97"/>
        <v/>
      </c>
      <c r="AD191" s="38" t="str">
        <f t="shared" si="97"/>
        <v/>
      </c>
      <c r="AE191" s="38" t="e">
        <f t="shared" si="98"/>
        <v>#VALUE!</v>
      </c>
      <c r="AF191" s="237" t="e">
        <f>((Summary!$N$9*(AA191*AD191)*(A191-$D$3))+(Summary!$M$9*Z191*AC191*(AJ191-EOMONTH(EDATE(A191,-1),0))))/(AK191*AB191*AE191)</f>
        <v>#VALUE!</v>
      </c>
      <c r="AG191" s="88" t="str">
        <f>IF($A192="","",Summary!$Q$9)</f>
        <v/>
      </c>
      <c r="AH191" s="88" t="str">
        <f>IF($A192="","",IF(Summary!$R$9="Y",VLOOKUP($A191,Summary!$AD$6:$AF$9,3)+'Escalating commodity'!E204,'Escalating commodity'!E204))</f>
        <v/>
      </c>
      <c r="AI191" s="88" t="str">
        <f t="shared" si="113"/>
        <v/>
      </c>
      <c r="AJ191" s="236" t="e">
        <f t="shared" si="99"/>
        <v>#VALUE!</v>
      </c>
      <c r="AK191" s="58" t="str">
        <f t="shared" si="100"/>
        <v/>
      </c>
      <c r="AL191" s="26" t="str">
        <f>IF($A192="","",_xll.SPRDOPT(P191,X191,AI191,0,AB191,AE191,AF191,AK191,$AJ$2,0))</f>
        <v/>
      </c>
      <c r="AM191" s="89" t="str">
        <f t="shared" si="101"/>
        <v/>
      </c>
      <c r="AN191" s="89" t="str">
        <f t="shared" si="102"/>
        <v/>
      </c>
      <c r="AO191" s="3" t="str">
        <f t="shared" si="103"/>
        <v/>
      </c>
      <c r="AP191" s="33" t="str">
        <f t="shared" si="104"/>
        <v/>
      </c>
      <c r="AQ191" s="58" t="str">
        <f t="shared" si="105"/>
        <v/>
      </c>
      <c r="AR191" s="38">
        <f>'ANR OK vs ML7'!AR191</f>
        <v>0.1</v>
      </c>
      <c r="AS191" s="35" t="str">
        <f t="shared" si="106"/>
        <v/>
      </c>
      <c r="AT191" s="3" t="str">
        <f t="shared" si="107"/>
        <v/>
      </c>
      <c r="AU191" s="3" t="str">
        <f t="shared" si="108"/>
        <v/>
      </c>
      <c r="AW191" s="32" t="str">
        <f t="shared" si="109"/>
        <v/>
      </c>
      <c r="AX191" s="32" t="str">
        <f t="shared" si="110"/>
        <v/>
      </c>
      <c r="AY191" s="32" t="str">
        <f t="shared" si="111"/>
        <v/>
      </c>
      <c r="BA191" s="32" t="str">
        <f>IF($A192="","",F191*Summary!$Q$9)</f>
        <v/>
      </c>
    </row>
    <row r="192" spans="1:53" ht="12" customHeight="1">
      <c r="A192" s="67" t="str">
        <f t="shared" si="112"/>
        <v/>
      </c>
      <c r="B192" s="69" t="str">
        <f t="shared" si="115"/>
        <v/>
      </c>
      <c r="C192" s="71"/>
      <c r="D192" s="69" t="str">
        <f t="shared" si="77"/>
        <v/>
      </c>
      <c r="E192" s="70" t="str">
        <f t="shared" si="78"/>
        <v/>
      </c>
      <c r="F192" s="70" t="str">
        <f t="shared" si="79"/>
        <v/>
      </c>
      <c r="G192" s="63" t="str">
        <f t="shared" si="80"/>
        <v/>
      </c>
      <c r="H192" s="64" t="str">
        <f t="shared" si="81"/>
        <v/>
      </c>
      <c r="I192" s="43"/>
      <c r="J192" s="63" t="str">
        <f t="shared" si="82"/>
        <v/>
      </c>
      <c r="K192" s="64" t="str">
        <f t="shared" si="83"/>
        <v/>
      </c>
      <c r="L192" s="63" t="str">
        <f t="shared" si="84"/>
        <v/>
      </c>
      <c r="M192" s="64" t="str">
        <f t="shared" si="85"/>
        <v/>
      </c>
      <c r="N192" s="65"/>
      <c r="O192" s="63" t="str">
        <f t="shared" si="86"/>
        <v/>
      </c>
      <c r="P192" s="63" t="str">
        <f t="shared" si="87"/>
        <v/>
      </c>
      <c r="Q192" s="66"/>
      <c r="R192" s="63" t="str">
        <f t="shared" si="88"/>
        <v/>
      </c>
      <c r="S192" s="64" t="str">
        <f t="shared" si="89"/>
        <v/>
      </c>
      <c r="T192" s="63" t="str">
        <f t="shared" si="90"/>
        <v/>
      </c>
      <c r="U192" s="64" t="str">
        <f t="shared" si="91"/>
        <v/>
      </c>
      <c r="V192" s="90" t="str">
        <f>IF($A193="","",IF(AND(MONTH(A192)&gt;3,MONTH(A192)&lt;11),(T192+R192+G192)*Summary!$T$9/(1-Summary!$T$9),(T192+R192+G192)*Summary!$U$9/(1-Summary!$U$9)))</f>
        <v/>
      </c>
      <c r="W192" s="63" t="str">
        <f t="shared" si="92"/>
        <v/>
      </c>
      <c r="X192" s="63" t="str">
        <f t="shared" si="93"/>
        <v/>
      </c>
      <c r="Y192" s="43"/>
      <c r="Z192" s="38" t="str">
        <f t="shared" si="94"/>
        <v/>
      </c>
      <c r="AA192" s="38" t="str">
        <f t="shared" si="95"/>
        <v/>
      </c>
      <c r="AB192" s="38" t="e">
        <f t="shared" si="96"/>
        <v>#VALUE!</v>
      </c>
      <c r="AC192" s="38" t="str">
        <f t="shared" si="97"/>
        <v/>
      </c>
      <c r="AD192" s="38" t="str">
        <f t="shared" si="97"/>
        <v/>
      </c>
      <c r="AE192" s="38" t="e">
        <f t="shared" si="98"/>
        <v>#VALUE!</v>
      </c>
      <c r="AF192" s="237" t="e">
        <f>((Summary!$N$9*(AA192*AD192)*(A192-$D$3))+(Summary!$M$9*Z192*AC192*(AJ192-EOMONTH(EDATE(A192,-1),0))))/(AK192*AB192*AE192)</f>
        <v>#VALUE!</v>
      </c>
      <c r="AG192" s="88" t="str">
        <f>IF($A193="","",Summary!$Q$9)</f>
        <v/>
      </c>
      <c r="AH192" s="88" t="str">
        <f>IF($A193="","",IF(Summary!$R$9="Y",VLOOKUP($A192,Summary!$AD$6:$AF$9,3)+'Escalating commodity'!E205,'Escalating commodity'!E205))</f>
        <v/>
      </c>
      <c r="AI192" s="88" t="str">
        <f t="shared" si="113"/>
        <v/>
      </c>
      <c r="AJ192" s="236" t="e">
        <f t="shared" si="99"/>
        <v>#VALUE!</v>
      </c>
      <c r="AK192" s="58" t="str">
        <f t="shared" si="100"/>
        <v/>
      </c>
      <c r="AL192" s="26" t="str">
        <f>IF($A193="","",_xll.SPRDOPT(P192,X192,AI192,0,AB192,AE192,AF192,AK192,$AJ$2,0))</f>
        <v/>
      </c>
      <c r="AM192" s="89" t="str">
        <f t="shared" si="101"/>
        <v/>
      </c>
      <c r="AN192" s="89" t="str">
        <f t="shared" si="102"/>
        <v/>
      </c>
      <c r="AO192" s="3" t="str">
        <f t="shared" si="103"/>
        <v/>
      </c>
      <c r="AP192" s="33" t="str">
        <f t="shared" si="104"/>
        <v/>
      </c>
      <c r="AQ192" s="58" t="str">
        <f t="shared" si="105"/>
        <v/>
      </c>
      <c r="AR192" s="38">
        <f>'ANR OK vs ML7'!AR192</f>
        <v>0.1</v>
      </c>
      <c r="AS192" s="35" t="str">
        <f t="shared" si="106"/>
        <v/>
      </c>
      <c r="AT192" s="3" t="str">
        <f t="shared" si="107"/>
        <v/>
      </c>
      <c r="AU192" s="3" t="str">
        <f t="shared" si="108"/>
        <v/>
      </c>
      <c r="AW192" s="32" t="str">
        <f t="shared" si="109"/>
        <v/>
      </c>
      <c r="AX192" s="32" t="str">
        <f t="shared" si="110"/>
        <v/>
      </c>
      <c r="AY192" s="32" t="str">
        <f t="shared" si="111"/>
        <v/>
      </c>
      <c r="BA192" s="32" t="str">
        <f>IF($A193="","",F192*Summary!$Q$9)</f>
        <v/>
      </c>
    </row>
    <row r="193" spans="1:53" ht="12" customHeight="1">
      <c r="A193" s="67" t="str">
        <f t="shared" si="112"/>
        <v/>
      </c>
      <c r="B193" s="69" t="str">
        <f t="shared" si="115"/>
        <v/>
      </c>
      <c r="C193" s="71"/>
      <c r="D193" s="69" t="str">
        <f t="shared" si="77"/>
        <v/>
      </c>
      <c r="E193" s="70" t="str">
        <f t="shared" si="78"/>
        <v/>
      </c>
      <c r="F193" s="70" t="str">
        <f t="shared" si="79"/>
        <v/>
      </c>
      <c r="G193" s="63" t="str">
        <f t="shared" si="80"/>
        <v/>
      </c>
      <c r="H193" s="64" t="str">
        <f t="shared" si="81"/>
        <v/>
      </c>
      <c r="I193" s="43"/>
      <c r="J193" s="63" t="str">
        <f t="shared" si="82"/>
        <v/>
      </c>
      <c r="K193" s="64" t="str">
        <f t="shared" si="83"/>
        <v/>
      </c>
      <c r="L193" s="63" t="str">
        <f t="shared" si="84"/>
        <v/>
      </c>
      <c r="M193" s="64" t="str">
        <f t="shared" si="85"/>
        <v/>
      </c>
      <c r="N193" s="65"/>
      <c r="O193" s="63" t="str">
        <f t="shared" si="86"/>
        <v/>
      </c>
      <c r="P193" s="63" t="str">
        <f t="shared" si="87"/>
        <v/>
      </c>
      <c r="Q193" s="66"/>
      <c r="R193" s="63" t="str">
        <f t="shared" si="88"/>
        <v/>
      </c>
      <c r="S193" s="64" t="str">
        <f t="shared" si="89"/>
        <v/>
      </c>
      <c r="T193" s="63" t="str">
        <f t="shared" si="90"/>
        <v/>
      </c>
      <c r="U193" s="64" t="str">
        <f t="shared" si="91"/>
        <v/>
      </c>
      <c r="V193" s="90" t="str">
        <f>IF($A194="","",IF(AND(MONTH(A193)&gt;3,MONTH(A193)&lt;11),(T193+R193+G193)*Summary!$T$9/(1-Summary!$T$9),(T193+R193+G193)*Summary!$U$9/(1-Summary!$U$9)))</f>
        <v/>
      </c>
      <c r="W193" s="63" t="str">
        <f t="shared" si="92"/>
        <v/>
      </c>
      <c r="X193" s="63" t="str">
        <f t="shared" si="93"/>
        <v/>
      </c>
      <c r="Y193" s="43"/>
      <c r="Z193" s="38" t="str">
        <f t="shared" si="94"/>
        <v/>
      </c>
      <c r="AA193" s="38" t="str">
        <f t="shared" si="95"/>
        <v/>
      </c>
      <c r="AB193" s="38" t="e">
        <f t="shared" si="96"/>
        <v>#VALUE!</v>
      </c>
      <c r="AC193" s="38" t="str">
        <f t="shared" si="97"/>
        <v/>
      </c>
      <c r="AD193" s="38" t="str">
        <f t="shared" si="97"/>
        <v/>
      </c>
      <c r="AE193" s="38" t="e">
        <f t="shared" si="98"/>
        <v>#VALUE!</v>
      </c>
      <c r="AF193" s="237" t="e">
        <f>((Summary!$N$9*(AA193*AD193)*(A193-$D$3))+(Summary!$M$9*Z193*AC193*(AJ193-EOMONTH(EDATE(A193,-1),0))))/(AK193*AB193*AE193)</f>
        <v>#VALUE!</v>
      </c>
      <c r="AG193" s="88" t="str">
        <f>IF($A194="","",Summary!$Q$9)</f>
        <v/>
      </c>
      <c r="AH193" s="88" t="str">
        <f>IF($A194="","",IF(Summary!$R$9="Y",VLOOKUP($A193,Summary!$AD$6:$AF$9,3)+'Escalating commodity'!E206,'Escalating commodity'!E206))</f>
        <v/>
      </c>
      <c r="AI193" s="88" t="str">
        <f t="shared" si="113"/>
        <v/>
      </c>
      <c r="AJ193" s="236" t="e">
        <f t="shared" si="99"/>
        <v>#VALUE!</v>
      </c>
      <c r="AK193" s="58" t="str">
        <f t="shared" si="100"/>
        <v/>
      </c>
      <c r="AL193" s="26" t="str">
        <f>IF($A194="","",_xll.SPRDOPT(P193,X193,AI193,0,AB193,AE193,AF193,AK193,$AJ$2,0))</f>
        <v/>
      </c>
      <c r="AM193" s="89" t="str">
        <f t="shared" si="101"/>
        <v/>
      </c>
      <c r="AN193" s="89" t="str">
        <f t="shared" si="102"/>
        <v/>
      </c>
      <c r="AO193" s="3" t="str">
        <f t="shared" si="103"/>
        <v/>
      </c>
      <c r="AP193" s="33" t="str">
        <f t="shared" si="104"/>
        <v/>
      </c>
      <c r="AQ193" s="58" t="str">
        <f t="shared" si="105"/>
        <v/>
      </c>
      <c r="AR193" s="38">
        <f>'ANR OK vs ML7'!AR193</f>
        <v>0.1</v>
      </c>
      <c r="AS193" s="35" t="str">
        <f t="shared" si="106"/>
        <v/>
      </c>
      <c r="AT193" s="3" t="str">
        <f t="shared" si="107"/>
        <v/>
      </c>
      <c r="AU193" s="3" t="str">
        <f t="shared" si="108"/>
        <v/>
      </c>
      <c r="AW193" s="32" t="str">
        <f t="shared" si="109"/>
        <v/>
      </c>
      <c r="AX193" s="32" t="str">
        <f t="shared" si="110"/>
        <v/>
      </c>
      <c r="AY193" s="32" t="str">
        <f t="shared" si="111"/>
        <v/>
      </c>
      <c r="BA193" s="32" t="str">
        <f>IF($A194="","",F193*Summary!$Q$9)</f>
        <v/>
      </c>
    </row>
    <row r="194" spans="1:53" ht="12" customHeight="1">
      <c r="A194" s="67" t="str">
        <f t="shared" si="112"/>
        <v/>
      </c>
      <c r="B194" s="69" t="str">
        <f t="shared" si="115"/>
        <v/>
      </c>
      <c r="C194" s="71"/>
      <c r="D194" s="69" t="str">
        <f t="shared" si="77"/>
        <v/>
      </c>
      <c r="E194" s="70" t="str">
        <f t="shared" si="78"/>
        <v/>
      </c>
      <c r="F194" s="70" t="str">
        <f t="shared" si="79"/>
        <v/>
      </c>
      <c r="G194" s="63" t="str">
        <f t="shared" si="80"/>
        <v/>
      </c>
      <c r="H194" s="64" t="str">
        <f t="shared" si="81"/>
        <v/>
      </c>
      <c r="I194" s="43"/>
      <c r="J194" s="63" t="str">
        <f t="shared" si="82"/>
        <v/>
      </c>
      <c r="K194" s="64" t="str">
        <f t="shared" si="83"/>
        <v/>
      </c>
      <c r="L194" s="63" t="str">
        <f t="shared" si="84"/>
        <v/>
      </c>
      <c r="M194" s="64" t="str">
        <f t="shared" si="85"/>
        <v/>
      </c>
      <c r="N194" s="65"/>
      <c r="O194" s="63" t="str">
        <f t="shared" si="86"/>
        <v/>
      </c>
      <c r="P194" s="63" t="str">
        <f t="shared" si="87"/>
        <v/>
      </c>
      <c r="Q194" s="66"/>
      <c r="R194" s="63" t="str">
        <f t="shared" si="88"/>
        <v/>
      </c>
      <c r="S194" s="64" t="str">
        <f t="shared" si="89"/>
        <v/>
      </c>
      <c r="T194" s="63" t="str">
        <f t="shared" si="90"/>
        <v/>
      </c>
      <c r="U194" s="64" t="str">
        <f t="shared" si="91"/>
        <v/>
      </c>
      <c r="V194" s="90" t="str">
        <f>IF($A195="","",IF(AND(MONTH(A194)&gt;3,MONTH(A194)&lt;11),(T194+R194+G194)*Summary!$T$9/(1-Summary!$T$9),(T194+R194+G194)*Summary!$U$9/(1-Summary!$U$9)))</f>
        <v/>
      </c>
      <c r="W194" s="63" t="str">
        <f t="shared" si="92"/>
        <v/>
      </c>
      <c r="X194" s="63" t="str">
        <f t="shared" si="93"/>
        <v/>
      </c>
      <c r="Y194" s="43"/>
      <c r="Z194" s="38" t="str">
        <f t="shared" si="94"/>
        <v/>
      </c>
      <c r="AA194" s="38" t="str">
        <f t="shared" si="95"/>
        <v/>
      </c>
      <c r="AB194" s="38" t="e">
        <f t="shared" si="96"/>
        <v>#VALUE!</v>
      </c>
      <c r="AC194" s="38" t="str">
        <f t="shared" si="97"/>
        <v/>
      </c>
      <c r="AD194" s="38" t="str">
        <f t="shared" si="97"/>
        <v/>
      </c>
      <c r="AE194" s="38" t="e">
        <f t="shared" si="98"/>
        <v>#VALUE!</v>
      </c>
      <c r="AF194" s="237" t="e">
        <f>((Summary!$N$9*(AA194*AD194)*(A194-$D$3))+(Summary!$M$9*Z194*AC194*(AJ194-EOMONTH(EDATE(A194,-1),0))))/(AK194*AB194*AE194)</f>
        <v>#VALUE!</v>
      </c>
      <c r="AG194" s="88" t="str">
        <f>IF($A195="","",Summary!$Q$9)</f>
        <v/>
      </c>
      <c r="AH194" s="88" t="str">
        <f>IF($A195="","",IF(Summary!$R$9="Y",VLOOKUP($A194,Summary!$AD$6:$AF$9,3)+'Escalating commodity'!E207,'Escalating commodity'!E207))</f>
        <v/>
      </c>
      <c r="AI194" s="88" t="str">
        <f t="shared" si="113"/>
        <v/>
      </c>
      <c r="AJ194" s="236" t="e">
        <f t="shared" si="99"/>
        <v>#VALUE!</v>
      </c>
      <c r="AK194" s="58" t="str">
        <f t="shared" si="100"/>
        <v/>
      </c>
      <c r="AL194" s="26" t="str">
        <f>IF($A195="","",_xll.SPRDOPT(P194,X194,AI194,0,AB194,AE194,AF194,AK194,$AJ$2,0))</f>
        <v/>
      </c>
      <c r="AM194" s="89" t="str">
        <f t="shared" si="101"/>
        <v/>
      </c>
      <c r="AN194" s="89" t="str">
        <f t="shared" si="102"/>
        <v/>
      </c>
      <c r="AO194" s="3" t="str">
        <f t="shared" si="103"/>
        <v/>
      </c>
      <c r="AP194" s="33" t="str">
        <f t="shared" si="104"/>
        <v/>
      </c>
      <c r="AQ194" s="58" t="str">
        <f t="shared" si="105"/>
        <v/>
      </c>
      <c r="AR194" s="38">
        <f>'ANR OK vs ML7'!AR194</f>
        <v>0.1</v>
      </c>
      <c r="AS194" s="35" t="str">
        <f t="shared" si="106"/>
        <v/>
      </c>
      <c r="AT194" s="3" t="str">
        <f t="shared" si="107"/>
        <v/>
      </c>
      <c r="AU194" s="3" t="str">
        <f t="shared" si="108"/>
        <v/>
      </c>
      <c r="AW194" s="32" t="str">
        <f t="shared" si="109"/>
        <v/>
      </c>
      <c r="AX194" s="32" t="str">
        <f t="shared" si="110"/>
        <v/>
      </c>
      <c r="AY194" s="32" t="str">
        <f t="shared" si="111"/>
        <v/>
      </c>
      <c r="BA194" s="32" t="str">
        <f>IF($A195="","",F194*Summary!$Q$9)</f>
        <v/>
      </c>
    </row>
    <row r="195" spans="1:53" ht="12" customHeight="1">
      <c r="A195" s="67" t="str">
        <f t="shared" si="112"/>
        <v/>
      </c>
      <c r="B195" s="69" t="str">
        <f t="shared" si="115"/>
        <v/>
      </c>
      <c r="C195" s="71"/>
      <c r="D195" s="69" t="str">
        <f t="shared" si="77"/>
        <v/>
      </c>
      <c r="E195" s="70" t="str">
        <f t="shared" si="78"/>
        <v/>
      </c>
      <c r="F195" s="70" t="str">
        <f t="shared" si="79"/>
        <v/>
      </c>
      <c r="G195" s="63" t="str">
        <f t="shared" si="80"/>
        <v/>
      </c>
      <c r="H195" s="64" t="str">
        <f t="shared" si="81"/>
        <v/>
      </c>
      <c r="I195" s="43"/>
      <c r="J195" s="63" t="str">
        <f t="shared" si="82"/>
        <v/>
      </c>
      <c r="K195" s="64" t="str">
        <f t="shared" si="83"/>
        <v/>
      </c>
      <c r="L195" s="63" t="str">
        <f t="shared" si="84"/>
        <v/>
      </c>
      <c r="M195" s="64" t="str">
        <f t="shared" si="85"/>
        <v/>
      </c>
      <c r="N195" s="65"/>
      <c r="O195" s="63" t="str">
        <f t="shared" si="86"/>
        <v/>
      </c>
      <c r="P195" s="63" t="str">
        <f t="shared" si="87"/>
        <v/>
      </c>
      <c r="Q195" s="66"/>
      <c r="R195" s="63" t="str">
        <f t="shared" si="88"/>
        <v/>
      </c>
      <c r="S195" s="64" t="str">
        <f t="shared" si="89"/>
        <v/>
      </c>
      <c r="T195" s="63" t="str">
        <f t="shared" si="90"/>
        <v/>
      </c>
      <c r="U195" s="64" t="str">
        <f t="shared" si="91"/>
        <v/>
      </c>
      <c r="V195" s="90" t="str">
        <f>IF($A196="","",IF(AND(MONTH(A195)&gt;3,MONTH(A195)&lt;11),(T195+R195+G195)*Summary!$T$9/(1-Summary!$T$9),(T195+R195+G195)*Summary!$U$9/(1-Summary!$U$9)))</f>
        <v/>
      </c>
      <c r="W195" s="63" t="str">
        <f t="shared" si="92"/>
        <v/>
      </c>
      <c r="X195" s="63" t="str">
        <f t="shared" si="93"/>
        <v/>
      </c>
      <c r="Y195" s="43"/>
      <c r="Z195" s="38" t="str">
        <f t="shared" si="94"/>
        <v/>
      </c>
      <c r="AA195" s="38" t="str">
        <f t="shared" si="95"/>
        <v/>
      </c>
      <c r="AB195" s="38" t="e">
        <f t="shared" si="96"/>
        <v>#VALUE!</v>
      </c>
      <c r="AC195" s="38" t="str">
        <f t="shared" si="97"/>
        <v/>
      </c>
      <c r="AD195" s="38" t="str">
        <f t="shared" si="97"/>
        <v/>
      </c>
      <c r="AE195" s="38" t="e">
        <f t="shared" si="98"/>
        <v>#VALUE!</v>
      </c>
      <c r="AF195" s="237" t="e">
        <f>((Summary!$N$9*(AA195*AD195)*(A195-$D$3))+(Summary!$M$9*Z195*AC195*(AJ195-EOMONTH(EDATE(A195,-1),0))))/(AK195*AB195*AE195)</f>
        <v>#VALUE!</v>
      </c>
      <c r="AG195" s="88" t="str">
        <f>IF($A196="","",Summary!$Q$9)</f>
        <v/>
      </c>
      <c r="AH195" s="88" t="str">
        <f>IF($A196="","",IF(Summary!$R$9="Y",VLOOKUP($A195,Summary!$AD$6:$AF$9,3)+'Escalating commodity'!E208,'Escalating commodity'!E208))</f>
        <v/>
      </c>
      <c r="AI195" s="88" t="str">
        <f t="shared" si="113"/>
        <v/>
      </c>
      <c r="AJ195" s="236" t="e">
        <f t="shared" si="99"/>
        <v>#VALUE!</v>
      </c>
      <c r="AK195" s="58" t="str">
        <f t="shared" si="100"/>
        <v/>
      </c>
      <c r="AL195" s="26" t="str">
        <f>IF($A196="","",_xll.SPRDOPT(P195,X195,AI195,0,AB195,AE195,AF195,AK195,$AJ$2,0))</f>
        <v/>
      </c>
      <c r="AM195" s="89" t="str">
        <f t="shared" si="101"/>
        <v/>
      </c>
      <c r="AN195" s="89" t="str">
        <f t="shared" si="102"/>
        <v/>
      </c>
      <c r="AO195" s="3" t="str">
        <f t="shared" si="103"/>
        <v/>
      </c>
      <c r="AP195" s="33" t="str">
        <f t="shared" si="104"/>
        <v/>
      </c>
      <c r="AQ195" s="58" t="str">
        <f t="shared" si="105"/>
        <v/>
      </c>
      <c r="AR195" s="38">
        <f>'ANR OK vs ML7'!AR195</f>
        <v>0.1</v>
      </c>
      <c r="AS195" s="35" t="str">
        <f t="shared" si="106"/>
        <v/>
      </c>
      <c r="AT195" s="3" t="str">
        <f t="shared" si="107"/>
        <v/>
      </c>
      <c r="AU195" s="3" t="str">
        <f t="shared" si="108"/>
        <v/>
      </c>
      <c r="AW195" s="32" t="str">
        <f t="shared" si="109"/>
        <v/>
      </c>
      <c r="AX195" s="32" t="str">
        <f t="shared" si="110"/>
        <v/>
      </c>
      <c r="AY195" s="32" t="str">
        <f t="shared" si="111"/>
        <v/>
      </c>
      <c r="BA195" s="32" t="str">
        <f>IF($A196="","",F195*Summary!$Q$9)</f>
        <v/>
      </c>
    </row>
    <row r="196" spans="1:53" ht="12" customHeight="1">
      <c r="A196" s="67" t="str">
        <f t="shared" si="112"/>
        <v/>
      </c>
      <c r="B196" s="69" t="str">
        <f t="shared" si="115"/>
        <v/>
      </c>
      <c r="C196" s="71"/>
      <c r="D196" s="69" t="str">
        <f t="shared" si="77"/>
        <v/>
      </c>
      <c r="E196" s="70" t="str">
        <f t="shared" si="78"/>
        <v/>
      </c>
      <c r="F196" s="70" t="str">
        <f t="shared" si="79"/>
        <v/>
      </c>
      <c r="G196" s="63" t="str">
        <f t="shared" si="80"/>
        <v/>
      </c>
      <c r="H196" s="64" t="str">
        <f t="shared" si="81"/>
        <v/>
      </c>
      <c r="I196" s="43"/>
      <c r="J196" s="63" t="str">
        <f t="shared" si="82"/>
        <v/>
      </c>
      <c r="K196" s="64" t="str">
        <f t="shared" si="83"/>
        <v/>
      </c>
      <c r="L196" s="63" t="str">
        <f t="shared" si="84"/>
        <v/>
      </c>
      <c r="M196" s="64" t="str">
        <f t="shared" si="85"/>
        <v/>
      </c>
      <c r="N196" s="65"/>
      <c r="O196" s="63" t="str">
        <f t="shared" si="86"/>
        <v/>
      </c>
      <c r="P196" s="63" t="str">
        <f t="shared" si="87"/>
        <v/>
      </c>
      <c r="Q196" s="66"/>
      <c r="R196" s="63" t="str">
        <f t="shared" si="88"/>
        <v/>
      </c>
      <c r="S196" s="64" t="str">
        <f t="shared" si="89"/>
        <v/>
      </c>
      <c r="T196" s="63" t="str">
        <f t="shared" si="90"/>
        <v/>
      </c>
      <c r="U196" s="64" t="str">
        <f t="shared" si="91"/>
        <v/>
      </c>
      <c r="V196" s="90" t="str">
        <f>IF($A197="","",IF(AND(MONTH(A196)&gt;3,MONTH(A196)&lt;11),(T196+R196+G196)*Summary!$T$9/(1-Summary!$T$9),(T196+R196+G196)*Summary!$U$9/(1-Summary!$U$9)))</f>
        <v/>
      </c>
      <c r="W196" s="63" t="str">
        <f t="shared" si="92"/>
        <v/>
      </c>
      <c r="X196" s="63" t="str">
        <f t="shared" si="93"/>
        <v/>
      </c>
      <c r="Y196" s="43"/>
      <c r="Z196" s="38" t="str">
        <f t="shared" si="94"/>
        <v/>
      </c>
      <c r="AA196" s="38" t="str">
        <f t="shared" si="95"/>
        <v/>
      </c>
      <c r="AB196" s="38" t="e">
        <f t="shared" si="96"/>
        <v>#VALUE!</v>
      </c>
      <c r="AC196" s="38" t="str">
        <f t="shared" si="97"/>
        <v/>
      </c>
      <c r="AD196" s="38" t="str">
        <f t="shared" si="97"/>
        <v/>
      </c>
      <c r="AE196" s="38" t="e">
        <f t="shared" si="98"/>
        <v>#VALUE!</v>
      </c>
      <c r="AF196" s="237" t="e">
        <f>((Summary!$N$9*(AA196*AD196)*(A196-$D$3))+(Summary!$M$9*Z196*AC196*(AJ196-EOMONTH(EDATE(A196,-1),0))))/(AK196*AB196*AE196)</f>
        <v>#VALUE!</v>
      </c>
      <c r="AG196" s="88" t="str">
        <f>IF($A197="","",Summary!$Q$9)</f>
        <v/>
      </c>
      <c r="AH196" s="88" t="str">
        <f>IF($A197="","",IF(Summary!$R$9="Y",VLOOKUP($A196,Summary!$AD$6:$AF$9,3)+'Escalating commodity'!E209,'Escalating commodity'!E209))</f>
        <v/>
      </c>
      <c r="AI196" s="88" t="str">
        <f t="shared" si="113"/>
        <v/>
      </c>
      <c r="AJ196" s="236" t="e">
        <f t="shared" si="99"/>
        <v>#VALUE!</v>
      </c>
      <c r="AK196" s="58" t="str">
        <f t="shared" si="100"/>
        <v/>
      </c>
      <c r="AL196" s="26" t="str">
        <f>IF($A197="","",_xll.SPRDOPT(P196,X196,AI196,0,AB196,AE196,AF196,AK196,$AJ$2,0))</f>
        <v/>
      </c>
      <c r="AM196" s="89" t="str">
        <f t="shared" si="101"/>
        <v/>
      </c>
      <c r="AN196" s="89" t="str">
        <f t="shared" si="102"/>
        <v/>
      </c>
      <c r="AO196" s="3" t="str">
        <f t="shared" si="103"/>
        <v/>
      </c>
      <c r="AP196" s="33" t="str">
        <f t="shared" si="104"/>
        <v/>
      </c>
      <c r="AQ196" s="58" t="str">
        <f t="shared" si="105"/>
        <v/>
      </c>
      <c r="AR196" s="38">
        <f>'ANR OK vs ML7'!AR196</f>
        <v>0.1</v>
      </c>
      <c r="AS196" s="35" t="str">
        <f t="shared" si="106"/>
        <v/>
      </c>
      <c r="AT196" s="3" t="str">
        <f t="shared" si="107"/>
        <v/>
      </c>
      <c r="AU196" s="3" t="str">
        <f t="shared" si="108"/>
        <v/>
      </c>
      <c r="AW196" s="32" t="str">
        <f t="shared" si="109"/>
        <v/>
      </c>
      <c r="AX196" s="32" t="str">
        <f t="shared" si="110"/>
        <v/>
      </c>
      <c r="AY196" s="32" t="str">
        <f t="shared" si="111"/>
        <v/>
      </c>
      <c r="BA196" s="32" t="str">
        <f>IF($A197="","",F196*Summary!$Q$9)</f>
        <v/>
      </c>
    </row>
    <row r="197" spans="1:53" ht="12" customHeight="1">
      <c r="A197" s="67" t="str">
        <f t="shared" si="112"/>
        <v/>
      </c>
      <c r="B197" s="69" t="str">
        <f t="shared" si="115"/>
        <v/>
      </c>
      <c r="C197" s="71"/>
      <c r="D197" s="69" t="str">
        <f t="shared" si="77"/>
        <v/>
      </c>
      <c r="E197" s="70" t="str">
        <f t="shared" si="78"/>
        <v/>
      </c>
      <c r="F197" s="70" t="str">
        <f t="shared" si="79"/>
        <v/>
      </c>
      <c r="G197" s="63" t="str">
        <f t="shared" si="80"/>
        <v/>
      </c>
      <c r="H197" s="64" t="str">
        <f t="shared" si="81"/>
        <v/>
      </c>
      <c r="I197" s="43"/>
      <c r="J197" s="63" t="str">
        <f t="shared" si="82"/>
        <v/>
      </c>
      <c r="K197" s="64" t="str">
        <f t="shared" si="83"/>
        <v/>
      </c>
      <c r="L197" s="63" t="str">
        <f t="shared" si="84"/>
        <v/>
      </c>
      <c r="M197" s="64" t="str">
        <f t="shared" si="85"/>
        <v/>
      </c>
      <c r="N197" s="65"/>
      <c r="O197" s="63" t="str">
        <f t="shared" si="86"/>
        <v/>
      </c>
      <c r="P197" s="63" t="str">
        <f t="shared" si="87"/>
        <v/>
      </c>
      <c r="Q197" s="66"/>
      <c r="R197" s="63" t="str">
        <f t="shared" si="88"/>
        <v/>
      </c>
      <c r="S197" s="64" t="str">
        <f t="shared" si="89"/>
        <v/>
      </c>
      <c r="T197" s="63" t="str">
        <f t="shared" si="90"/>
        <v/>
      </c>
      <c r="U197" s="64" t="str">
        <f t="shared" si="91"/>
        <v/>
      </c>
      <c r="V197" s="90" t="str">
        <f>IF($A198="","",IF(AND(MONTH(A197)&gt;3,MONTH(A197)&lt;11),(T197+R197+G197)*Summary!$T$9/(1-Summary!$T$9),(T197+R197+G197)*Summary!$U$9/(1-Summary!$U$9)))</f>
        <v/>
      </c>
      <c r="W197" s="63" t="str">
        <f t="shared" si="92"/>
        <v/>
      </c>
      <c r="X197" s="63" t="str">
        <f t="shared" si="93"/>
        <v/>
      </c>
      <c r="Y197" s="43"/>
      <c r="Z197" s="38" t="str">
        <f t="shared" si="94"/>
        <v/>
      </c>
      <c r="AA197" s="38" t="str">
        <f t="shared" si="95"/>
        <v/>
      </c>
      <c r="AB197" s="38" t="e">
        <f t="shared" si="96"/>
        <v>#VALUE!</v>
      </c>
      <c r="AC197" s="38" t="str">
        <f t="shared" si="97"/>
        <v/>
      </c>
      <c r="AD197" s="38" t="str">
        <f t="shared" si="97"/>
        <v/>
      </c>
      <c r="AE197" s="38" t="e">
        <f t="shared" si="98"/>
        <v>#VALUE!</v>
      </c>
      <c r="AF197" s="237" t="e">
        <f>((Summary!$N$9*(AA197*AD197)*(A197-$D$3))+(Summary!$M$9*Z197*AC197*(AJ197-EOMONTH(EDATE(A197,-1),0))))/(AK197*AB197*AE197)</f>
        <v>#VALUE!</v>
      </c>
      <c r="AG197" s="88" t="str">
        <f>IF($A198="","",Summary!$Q$9)</f>
        <v/>
      </c>
      <c r="AH197" s="88" t="str">
        <f>IF($A198="","",IF(Summary!$R$9="Y",VLOOKUP($A197,Summary!$AD$6:$AF$9,3)+'Escalating commodity'!E210,'Escalating commodity'!E210))</f>
        <v/>
      </c>
      <c r="AI197" s="88" t="str">
        <f t="shared" si="113"/>
        <v/>
      </c>
      <c r="AJ197" s="236" t="e">
        <f t="shared" si="99"/>
        <v>#VALUE!</v>
      </c>
      <c r="AK197" s="58" t="str">
        <f t="shared" si="100"/>
        <v/>
      </c>
      <c r="AL197" s="26" t="str">
        <f>IF($A198="","",_xll.SPRDOPT(P197,X197,AI197,0,AB197,AE197,AF197,AK197,$AJ$2,0))</f>
        <v/>
      </c>
      <c r="AM197" s="89" t="str">
        <f t="shared" si="101"/>
        <v/>
      </c>
      <c r="AN197" s="89" t="str">
        <f t="shared" si="102"/>
        <v/>
      </c>
      <c r="AO197" s="3" t="str">
        <f t="shared" si="103"/>
        <v/>
      </c>
      <c r="AP197" s="33" t="str">
        <f t="shared" si="104"/>
        <v/>
      </c>
      <c r="AQ197" s="58" t="str">
        <f t="shared" si="105"/>
        <v/>
      </c>
      <c r="AR197" s="38">
        <f>'ANR OK vs ML7'!AR197</f>
        <v>0.1</v>
      </c>
      <c r="AS197" s="35" t="str">
        <f t="shared" si="106"/>
        <v/>
      </c>
      <c r="AT197" s="3" t="str">
        <f t="shared" si="107"/>
        <v/>
      </c>
      <c r="AU197" s="3" t="str">
        <f t="shared" si="108"/>
        <v/>
      </c>
      <c r="AW197" s="32" t="str">
        <f t="shared" si="109"/>
        <v/>
      </c>
      <c r="AX197" s="32" t="str">
        <f t="shared" si="110"/>
        <v/>
      </c>
      <c r="AY197" s="32" t="str">
        <f t="shared" si="111"/>
        <v/>
      </c>
      <c r="BA197" s="32" t="str">
        <f>IF($A198="","",F197*Summary!$Q$9)</f>
        <v/>
      </c>
    </row>
    <row r="198" spans="1:53" ht="12" customHeight="1">
      <c r="A198" s="67" t="str">
        <f t="shared" si="112"/>
        <v/>
      </c>
      <c r="B198" s="69" t="str">
        <f t="shared" si="115"/>
        <v/>
      </c>
      <c r="C198" s="71"/>
      <c r="D198" s="69" t="str">
        <f t="shared" si="77"/>
        <v/>
      </c>
      <c r="E198" s="70" t="str">
        <f t="shared" si="78"/>
        <v/>
      </c>
      <c r="F198" s="70" t="str">
        <f t="shared" si="79"/>
        <v/>
      </c>
      <c r="G198" s="63" t="str">
        <f t="shared" si="80"/>
        <v/>
      </c>
      <c r="H198" s="64" t="str">
        <f t="shared" si="81"/>
        <v/>
      </c>
      <c r="I198" s="43"/>
      <c r="J198" s="63" t="str">
        <f t="shared" si="82"/>
        <v/>
      </c>
      <c r="K198" s="64" t="str">
        <f t="shared" si="83"/>
        <v/>
      </c>
      <c r="L198" s="63" t="str">
        <f t="shared" si="84"/>
        <v/>
      </c>
      <c r="M198" s="64" t="str">
        <f t="shared" si="85"/>
        <v/>
      </c>
      <c r="N198" s="65"/>
      <c r="O198" s="63" t="str">
        <f t="shared" si="86"/>
        <v/>
      </c>
      <c r="P198" s="63" t="str">
        <f t="shared" si="87"/>
        <v/>
      </c>
      <c r="Q198" s="66"/>
      <c r="R198" s="63" t="str">
        <f t="shared" si="88"/>
        <v/>
      </c>
      <c r="S198" s="64" t="str">
        <f t="shared" si="89"/>
        <v/>
      </c>
      <c r="T198" s="63" t="str">
        <f t="shared" si="90"/>
        <v/>
      </c>
      <c r="U198" s="64" t="str">
        <f t="shared" si="91"/>
        <v/>
      </c>
      <c r="V198" s="90" t="str">
        <f>IF($A199="","",IF(AND(MONTH(A198)&gt;3,MONTH(A198)&lt;11),(T198+R198+G198)*Summary!$T$9/(1-Summary!$T$9),(T198+R198+G198)*Summary!$U$9/(1-Summary!$U$9)))</f>
        <v/>
      </c>
      <c r="W198" s="63" t="str">
        <f t="shared" si="92"/>
        <v/>
      </c>
      <c r="X198" s="63" t="str">
        <f t="shared" si="93"/>
        <v/>
      </c>
      <c r="Y198" s="43"/>
      <c r="Z198" s="38" t="str">
        <f t="shared" si="94"/>
        <v/>
      </c>
      <c r="AA198" s="38" t="str">
        <f t="shared" si="95"/>
        <v/>
      </c>
      <c r="AB198" s="38" t="e">
        <f t="shared" si="96"/>
        <v>#VALUE!</v>
      </c>
      <c r="AC198" s="38" t="str">
        <f t="shared" si="97"/>
        <v/>
      </c>
      <c r="AD198" s="38" t="str">
        <f t="shared" si="97"/>
        <v/>
      </c>
      <c r="AE198" s="38" t="e">
        <f t="shared" si="98"/>
        <v>#VALUE!</v>
      </c>
      <c r="AF198" s="237" t="e">
        <f>((Summary!$N$9*(AA198*AD198)*(A198-$D$3))+(Summary!$M$9*Z198*AC198*(AJ198-EOMONTH(EDATE(A198,-1),0))))/(AK198*AB198*AE198)</f>
        <v>#VALUE!</v>
      </c>
      <c r="AG198" s="88" t="str">
        <f>IF($A199="","",Summary!$Q$9)</f>
        <v/>
      </c>
      <c r="AH198" s="88" t="str">
        <f>IF($A199="","",IF(Summary!$R$9="Y",VLOOKUP($A198,Summary!$AD$6:$AF$9,3)+'Escalating commodity'!E211,'Escalating commodity'!E211))</f>
        <v/>
      </c>
      <c r="AI198" s="88" t="str">
        <f t="shared" si="113"/>
        <v/>
      </c>
      <c r="AJ198" s="236" t="e">
        <f t="shared" si="99"/>
        <v>#VALUE!</v>
      </c>
      <c r="AK198" s="58" t="str">
        <f t="shared" si="100"/>
        <v/>
      </c>
      <c r="AL198" s="26" t="str">
        <f>IF($A199="","",_xll.SPRDOPT(P198,X198,AI198,0,AB198,AE198,AF198,AK198,$AJ$2,0))</f>
        <v/>
      </c>
      <c r="AM198" s="89" t="str">
        <f t="shared" si="101"/>
        <v/>
      </c>
      <c r="AN198" s="89" t="str">
        <f t="shared" si="102"/>
        <v/>
      </c>
      <c r="AO198" s="3" t="str">
        <f t="shared" si="103"/>
        <v/>
      </c>
      <c r="AP198" s="33" t="str">
        <f t="shared" si="104"/>
        <v/>
      </c>
      <c r="AQ198" s="58" t="str">
        <f t="shared" si="105"/>
        <v/>
      </c>
      <c r="AR198" s="38">
        <f>'ANR OK vs ML7'!AR198</f>
        <v>0.1</v>
      </c>
      <c r="AS198" s="35" t="str">
        <f t="shared" si="106"/>
        <v/>
      </c>
      <c r="AT198" s="3" t="str">
        <f t="shared" si="107"/>
        <v/>
      </c>
      <c r="AU198" s="3" t="str">
        <f t="shared" si="108"/>
        <v/>
      </c>
      <c r="AW198" s="32" t="str">
        <f t="shared" si="109"/>
        <v/>
      </c>
      <c r="AX198" s="32" t="str">
        <f t="shared" si="110"/>
        <v/>
      </c>
      <c r="AY198" s="32" t="str">
        <f t="shared" si="111"/>
        <v/>
      </c>
      <c r="BA198" s="32" t="str">
        <f>IF($A199="","",F198*Summary!$Q$9)</f>
        <v/>
      </c>
    </row>
    <row r="199" spans="1:53" ht="12" customHeight="1">
      <c r="A199" s="67" t="str">
        <f t="shared" si="112"/>
        <v/>
      </c>
      <c r="B199" s="69" t="str">
        <f t="shared" si="115"/>
        <v/>
      </c>
      <c r="C199" s="71"/>
      <c r="D199" s="69" t="str">
        <f t="shared" si="77"/>
        <v/>
      </c>
      <c r="E199" s="70" t="str">
        <f t="shared" si="78"/>
        <v/>
      </c>
      <c r="F199" s="70" t="str">
        <f t="shared" si="79"/>
        <v/>
      </c>
      <c r="G199" s="63" t="str">
        <f t="shared" si="80"/>
        <v/>
      </c>
      <c r="H199" s="64" t="str">
        <f t="shared" si="81"/>
        <v/>
      </c>
      <c r="I199" s="43"/>
      <c r="J199" s="63" t="str">
        <f t="shared" si="82"/>
        <v/>
      </c>
      <c r="K199" s="64" t="str">
        <f t="shared" si="83"/>
        <v/>
      </c>
      <c r="L199" s="63" t="str">
        <f t="shared" si="84"/>
        <v/>
      </c>
      <c r="M199" s="64" t="str">
        <f t="shared" si="85"/>
        <v/>
      </c>
      <c r="N199" s="65"/>
      <c r="O199" s="63" t="str">
        <f t="shared" si="86"/>
        <v/>
      </c>
      <c r="P199" s="63" t="str">
        <f t="shared" si="87"/>
        <v/>
      </c>
      <c r="Q199" s="66"/>
      <c r="R199" s="63" t="str">
        <f t="shared" si="88"/>
        <v/>
      </c>
      <c r="S199" s="64" t="str">
        <f t="shared" si="89"/>
        <v/>
      </c>
      <c r="T199" s="63" t="str">
        <f t="shared" si="90"/>
        <v/>
      </c>
      <c r="U199" s="64" t="str">
        <f t="shared" si="91"/>
        <v/>
      </c>
      <c r="V199" s="90" t="str">
        <f>IF($A200="","",IF(AND(MONTH(A199)&gt;3,MONTH(A199)&lt;11),(T199+R199+G199)*Summary!$T$9/(1-Summary!$T$9),(T199+R199+G199)*Summary!$U$9/(1-Summary!$U$9)))</f>
        <v/>
      </c>
      <c r="W199" s="63" t="str">
        <f t="shared" si="92"/>
        <v/>
      </c>
      <c r="X199" s="63" t="str">
        <f t="shared" si="93"/>
        <v/>
      </c>
      <c r="Y199" s="43"/>
      <c r="Z199" s="38" t="str">
        <f t="shared" si="94"/>
        <v/>
      </c>
      <c r="AA199" s="38" t="str">
        <f t="shared" si="95"/>
        <v/>
      </c>
      <c r="AB199" s="38" t="e">
        <f t="shared" si="96"/>
        <v>#VALUE!</v>
      </c>
      <c r="AC199" s="38" t="str">
        <f t="shared" si="97"/>
        <v/>
      </c>
      <c r="AD199" s="38" t="str">
        <f t="shared" si="97"/>
        <v/>
      </c>
      <c r="AE199" s="38" t="e">
        <f t="shared" si="98"/>
        <v>#VALUE!</v>
      </c>
      <c r="AF199" s="237" t="e">
        <f>((Summary!$N$9*(AA199*AD199)*(A199-$D$3))+(Summary!$M$9*Z199*AC199*(AJ199-EOMONTH(EDATE(A199,-1),0))))/(AK199*AB199*AE199)</f>
        <v>#VALUE!</v>
      </c>
      <c r="AG199" s="88" t="str">
        <f>IF($A200="","",Summary!$Q$9)</f>
        <v/>
      </c>
      <c r="AH199" s="88" t="str">
        <f>IF($A200="","",IF(Summary!$R$9="Y",VLOOKUP($A199,Summary!$AD$6:$AF$9,3)+'Escalating commodity'!E212,'Escalating commodity'!E212))</f>
        <v/>
      </c>
      <c r="AI199" s="88" t="str">
        <f t="shared" si="113"/>
        <v/>
      </c>
      <c r="AJ199" s="236" t="e">
        <f t="shared" si="99"/>
        <v>#VALUE!</v>
      </c>
      <c r="AK199" s="58" t="str">
        <f t="shared" si="100"/>
        <v/>
      </c>
      <c r="AL199" s="26" t="str">
        <f>IF($A200="","",_xll.SPRDOPT(P199,X199,AI199,0,AB199,AE199,AF199,AK199,$AJ$2,0))</f>
        <v/>
      </c>
      <c r="AM199" s="89" t="str">
        <f t="shared" si="101"/>
        <v/>
      </c>
      <c r="AN199" s="89" t="str">
        <f t="shared" si="102"/>
        <v/>
      </c>
      <c r="AO199" s="3" t="str">
        <f t="shared" si="103"/>
        <v/>
      </c>
      <c r="AP199" s="33" t="str">
        <f t="shared" si="104"/>
        <v/>
      </c>
      <c r="AQ199" s="58" t="str">
        <f t="shared" si="105"/>
        <v/>
      </c>
      <c r="AR199" s="38">
        <f>'ANR OK vs ML7'!AR199</f>
        <v>0.1</v>
      </c>
      <c r="AS199" s="35" t="str">
        <f t="shared" si="106"/>
        <v/>
      </c>
      <c r="AT199" s="3" t="str">
        <f t="shared" si="107"/>
        <v/>
      </c>
      <c r="AU199" s="3" t="str">
        <f t="shared" si="108"/>
        <v/>
      </c>
      <c r="AW199" s="32" t="str">
        <f t="shared" si="109"/>
        <v/>
      </c>
      <c r="AX199" s="32" t="str">
        <f t="shared" si="110"/>
        <v/>
      </c>
      <c r="AY199" s="32" t="str">
        <f t="shared" si="111"/>
        <v/>
      </c>
      <c r="BA199" s="32" t="str">
        <f>IF($A200="","",F199*Summary!$Q$9)</f>
        <v/>
      </c>
    </row>
    <row r="200" spans="1:53" ht="12" customHeight="1">
      <c r="A200" s="67" t="str">
        <f t="shared" si="112"/>
        <v/>
      </c>
      <c r="B200" s="69" t="str">
        <f t="shared" si="115"/>
        <v/>
      </c>
      <c r="C200" s="71"/>
      <c r="D200" s="69" t="str">
        <f t="shared" si="77"/>
        <v/>
      </c>
      <c r="E200" s="70" t="str">
        <f t="shared" si="78"/>
        <v/>
      </c>
      <c r="F200" s="70" t="str">
        <f t="shared" si="79"/>
        <v/>
      </c>
      <c r="G200" s="63" t="str">
        <f t="shared" si="80"/>
        <v/>
      </c>
      <c r="H200" s="64" t="str">
        <f t="shared" si="81"/>
        <v/>
      </c>
      <c r="I200" s="43"/>
      <c r="J200" s="63" t="str">
        <f t="shared" si="82"/>
        <v/>
      </c>
      <c r="K200" s="64" t="str">
        <f t="shared" si="83"/>
        <v/>
      </c>
      <c r="L200" s="63" t="str">
        <f t="shared" si="84"/>
        <v/>
      </c>
      <c r="M200" s="64" t="str">
        <f t="shared" si="85"/>
        <v/>
      </c>
      <c r="N200" s="65"/>
      <c r="O200" s="63" t="str">
        <f t="shared" si="86"/>
        <v/>
      </c>
      <c r="P200" s="63" t="str">
        <f t="shared" si="87"/>
        <v/>
      </c>
      <c r="Q200" s="66"/>
      <c r="R200" s="63" t="str">
        <f t="shared" si="88"/>
        <v/>
      </c>
      <c r="S200" s="64" t="str">
        <f t="shared" si="89"/>
        <v/>
      </c>
      <c r="T200" s="63" t="str">
        <f t="shared" si="90"/>
        <v/>
      </c>
      <c r="U200" s="64" t="str">
        <f t="shared" si="91"/>
        <v/>
      </c>
      <c r="V200" s="90" t="str">
        <f>IF($A201="","",IF(AND(MONTH(A200)&gt;3,MONTH(A200)&lt;11),(T200+R200+G200)*Summary!$T$9/(1-Summary!$T$9),(T200+R200+G200)*Summary!$U$9/(1-Summary!$U$9)))</f>
        <v/>
      </c>
      <c r="W200" s="63" t="str">
        <f t="shared" si="92"/>
        <v/>
      </c>
      <c r="X200" s="63" t="str">
        <f t="shared" si="93"/>
        <v/>
      </c>
      <c r="Y200" s="43"/>
      <c r="Z200" s="38" t="str">
        <f t="shared" si="94"/>
        <v/>
      </c>
      <c r="AA200" s="38" t="str">
        <f t="shared" si="95"/>
        <v/>
      </c>
      <c r="AB200" s="38" t="e">
        <f t="shared" si="96"/>
        <v>#VALUE!</v>
      </c>
      <c r="AC200" s="38" t="str">
        <f t="shared" si="97"/>
        <v/>
      </c>
      <c r="AD200" s="38" t="str">
        <f t="shared" si="97"/>
        <v/>
      </c>
      <c r="AE200" s="38" t="e">
        <f t="shared" si="98"/>
        <v>#VALUE!</v>
      </c>
      <c r="AF200" s="237" t="e">
        <f>((Summary!$N$9*(AA200*AD200)*(A200-$D$3))+(Summary!$M$9*Z200*AC200*(AJ200-EOMONTH(EDATE(A200,-1),0))))/(AK200*AB200*AE200)</f>
        <v>#VALUE!</v>
      </c>
      <c r="AG200" s="88" t="str">
        <f>IF($A201="","",Summary!$Q$9)</f>
        <v/>
      </c>
      <c r="AH200" s="88" t="str">
        <f>IF($A201="","",IF(Summary!$R$9="Y",VLOOKUP($A200,Summary!$AD$6:$AF$9,3)+'Escalating commodity'!E213,'Escalating commodity'!E213))</f>
        <v/>
      </c>
      <c r="AI200" s="88" t="str">
        <f t="shared" si="113"/>
        <v/>
      </c>
      <c r="AJ200" s="236" t="e">
        <f t="shared" si="99"/>
        <v>#VALUE!</v>
      </c>
      <c r="AK200" s="58" t="str">
        <f t="shared" si="100"/>
        <v/>
      </c>
      <c r="AL200" s="26" t="str">
        <f>IF($A201="","",_xll.SPRDOPT(P200,X200,AI200,0,AB200,AE200,AF200,AK200,$AJ$2,0))</f>
        <v/>
      </c>
      <c r="AM200" s="89" t="str">
        <f t="shared" si="101"/>
        <v/>
      </c>
      <c r="AN200" s="89" t="str">
        <f t="shared" si="102"/>
        <v/>
      </c>
      <c r="AO200" s="3" t="str">
        <f t="shared" si="103"/>
        <v/>
      </c>
      <c r="AP200" s="33" t="str">
        <f t="shared" si="104"/>
        <v/>
      </c>
      <c r="AQ200" s="58" t="str">
        <f t="shared" si="105"/>
        <v/>
      </c>
      <c r="AR200" s="38">
        <f>'ANR OK vs ML7'!AR200</f>
        <v>0.1</v>
      </c>
      <c r="AS200" s="35" t="str">
        <f t="shared" si="106"/>
        <v/>
      </c>
      <c r="AT200" s="3" t="str">
        <f t="shared" si="107"/>
        <v/>
      </c>
      <c r="AU200" s="3" t="str">
        <f t="shared" si="108"/>
        <v/>
      </c>
      <c r="AW200" s="32" t="str">
        <f t="shared" si="109"/>
        <v/>
      </c>
      <c r="AX200" s="32" t="str">
        <f t="shared" si="110"/>
        <v/>
      </c>
      <c r="AY200" s="32" t="str">
        <f t="shared" si="111"/>
        <v/>
      </c>
      <c r="BA200" s="32" t="str">
        <f>IF($A201="","",F200*Summary!$Q$9)</f>
        <v/>
      </c>
    </row>
    <row r="201" spans="1:53" ht="12" customHeight="1">
      <c r="A201" s="67" t="str">
        <f t="shared" si="112"/>
        <v/>
      </c>
      <c r="B201" s="69" t="str">
        <f t="shared" si="115"/>
        <v/>
      </c>
      <c r="C201" s="71"/>
      <c r="D201" s="69" t="str">
        <f t="shared" si="77"/>
        <v/>
      </c>
      <c r="E201" s="70" t="str">
        <f t="shared" si="78"/>
        <v/>
      </c>
      <c r="F201" s="70" t="str">
        <f t="shared" si="79"/>
        <v/>
      </c>
      <c r="G201" s="63" t="str">
        <f t="shared" si="80"/>
        <v/>
      </c>
      <c r="H201" s="64" t="str">
        <f t="shared" si="81"/>
        <v/>
      </c>
      <c r="I201" s="43"/>
      <c r="J201" s="63" t="str">
        <f t="shared" si="82"/>
        <v/>
      </c>
      <c r="K201" s="64" t="str">
        <f t="shared" si="83"/>
        <v/>
      </c>
      <c r="L201" s="63" t="str">
        <f t="shared" si="84"/>
        <v/>
      </c>
      <c r="M201" s="64" t="str">
        <f t="shared" si="85"/>
        <v/>
      </c>
      <c r="N201" s="65"/>
      <c r="O201" s="63" t="str">
        <f t="shared" si="86"/>
        <v/>
      </c>
      <c r="P201" s="63" t="str">
        <f t="shared" si="87"/>
        <v/>
      </c>
      <c r="Q201" s="66"/>
      <c r="R201" s="63" t="str">
        <f t="shared" si="88"/>
        <v/>
      </c>
      <c r="S201" s="64" t="str">
        <f t="shared" si="89"/>
        <v/>
      </c>
      <c r="T201" s="63" t="str">
        <f t="shared" si="90"/>
        <v/>
      </c>
      <c r="U201" s="64" t="str">
        <f t="shared" si="91"/>
        <v/>
      </c>
      <c r="V201" s="90" t="str">
        <f>IF($A202="","",IF(AND(MONTH(A201)&gt;3,MONTH(A201)&lt;11),(T201+R201+G201)*Summary!$T$9/(1-Summary!$T$9),(T201+R201+G201)*Summary!$U$9/(1-Summary!$U$9)))</f>
        <v/>
      </c>
      <c r="W201" s="63" t="str">
        <f t="shared" si="92"/>
        <v/>
      </c>
      <c r="X201" s="63" t="str">
        <f t="shared" si="93"/>
        <v/>
      </c>
      <c r="Y201" s="43"/>
      <c r="Z201" s="38" t="str">
        <f t="shared" si="94"/>
        <v/>
      </c>
      <c r="AA201" s="38" t="str">
        <f t="shared" si="95"/>
        <v/>
      </c>
      <c r="AB201" s="38" t="e">
        <f t="shared" si="96"/>
        <v>#VALUE!</v>
      </c>
      <c r="AC201" s="38" t="str">
        <f t="shared" si="97"/>
        <v/>
      </c>
      <c r="AD201" s="38" t="str">
        <f t="shared" si="97"/>
        <v/>
      </c>
      <c r="AE201" s="38" t="e">
        <f t="shared" si="98"/>
        <v>#VALUE!</v>
      </c>
      <c r="AF201" s="237" t="e">
        <f>((Summary!$N$9*(AA201*AD201)*(A201-$D$3))+(Summary!$M$9*Z201*AC201*(AJ201-EOMONTH(EDATE(A201,-1),0))))/(AK201*AB201*AE201)</f>
        <v>#VALUE!</v>
      </c>
      <c r="AG201" s="88" t="str">
        <f>IF($A202="","",Summary!$Q$9)</f>
        <v/>
      </c>
      <c r="AH201" s="88" t="str">
        <f>IF($A202="","",IF(Summary!$R$9="Y",VLOOKUP($A201,Summary!$AD$6:$AF$9,3)+'Escalating commodity'!E214,'Escalating commodity'!E214))</f>
        <v/>
      </c>
      <c r="AI201" s="88" t="str">
        <f t="shared" si="113"/>
        <v/>
      </c>
      <c r="AJ201" s="236" t="e">
        <f t="shared" si="99"/>
        <v>#VALUE!</v>
      </c>
      <c r="AK201" s="58" t="str">
        <f t="shared" si="100"/>
        <v/>
      </c>
      <c r="AL201" s="26" t="str">
        <f>IF($A202="","",_xll.SPRDOPT(P201,X201,AI201,0,AB201,AE201,AF201,AK201,$AJ$2,0))</f>
        <v/>
      </c>
      <c r="AM201" s="89" t="str">
        <f t="shared" si="101"/>
        <v/>
      </c>
      <c r="AN201" s="89" t="str">
        <f t="shared" si="102"/>
        <v/>
      </c>
      <c r="AO201" s="3" t="str">
        <f t="shared" si="103"/>
        <v/>
      </c>
      <c r="AP201" s="33" t="str">
        <f t="shared" si="104"/>
        <v/>
      </c>
      <c r="AQ201" s="58" t="str">
        <f t="shared" si="105"/>
        <v/>
      </c>
      <c r="AR201" s="38">
        <f>'ANR OK vs ML7'!AR201</f>
        <v>0.1</v>
      </c>
      <c r="AS201" s="35" t="str">
        <f t="shared" si="106"/>
        <v/>
      </c>
      <c r="AT201" s="3" t="str">
        <f t="shared" si="107"/>
        <v/>
      </c>
      <c r="AU201" s="3" t="str">
        <f t="shared" si="108"/>
        <v/>
      </c>
      <c r="AW201" s="32" t="str">
        <f t="shared" si="109"/>
        <v/>
      </c>
      <c r="AX201" s="32" t="str">
        <f t="shared" si="110"/>
        <v/>
      </c>
      <c r="AY201" s="32" t="str">
        <f t="shared" si="111"/>
        <v/>
      </c>
      <c r="BA201" s="32" t="str">
        <f>IF($A202="","",F201*Summary!$Q$9)</f>
        <v/>
      </c>
    </row>
    <row r="202" spans="1:53" ht="12" customHeight="1">
      <c r="A202" s="67" t="str">
        <f t="shared" si="112"/>
        <v/>
      </c>
      <c r="B202" s="69" t="str">
        <f t="shared" si="115"/>
        <v/>
      </c>
      <c r="C202" s="71"/>
      <c r="D202" s="69" t="str">
        <f t="shared" ref="D202:D265" si="116">IF(A203&lt;&gt;"",B202+C202,"")</f>
        <v/>
      </c>
      <c r="E202" s="70" t="str">
        <f t="shared" ref="E202:E265" si="117">IF(A203="","",IF(AND(AT202=1,$H$3=1),D202*AO202,IF($H$3=2,D202,"N/A")))</f>
        <v/>
      </c>
      <c r="F202" s="70" t="str">
        <f t="shared" ref="F202:F265" si="118">IF(A203="","",E202*AS202)</f>
        <v/>
      </c>
      <c r="G202" s="63" t="str">
        <f t="shared" ref="G202:G265" si="119">IF($A203="","",VLOOKUP($A202,Table,MATCH(G$4,Curves,0)))</f>
        <v/>
      </c>
      <c r="H202" s="64" t="str">
        <f t="shared" ref="H202:H265" si="120">IF(A203="","",G202)</f>
        <v/>
      </c>
      <c r="I202" s="43"/>
      <c r="J202" s="63" t="str">
        <f t="shared" ref="J202:J265" si="121">IF($A203="","",VLOOKUP($A202,Table,MATCH(J$4,Curves,0)))</f>
        <v/>
      </c>
      <c r="K202" s="64" t="str">
        <f t="shared" ref="K202:K265" si="122">IF(A203="","",J202)</f>
        <v/>
      </c>
      <c r="L202" s="63" t="str">
        <f t="shared" ref="L202:L265" si="123">IF($A203="","",VLOOKUP($A202,Table,MATCH(L$4,Curves,0)))</f>
        <v/>
      </c>
      <c r="M202" s="64" t="str">
        <f t="shared" ref="M202:M265" si="124">IF(A203="","",L202)</f>
        <v/>
      </c>
      <c r="N202" s="65"/>
      <c r="O202" s="63" t="str">
        <f t="shared" ref="O202:O265" si="125">IF(A203="","",L202+J202+G202)</f>
        <v/>
      </c>
      <c r="P202" s="63" t="str">
        <f t="shared" ref="P202:P265" si="126">IF(A203="","",M202+K202+H202)</f>
        <v/>
      </c>
      <c r="Q202" s="66"/>
      <c r="R202" s="63" t="str">
        <f t="shared" ref="R202:R265" si="127">IF($A203="","",VLOOKUP($A202,Table,MATCH(R$4,Curves,0)))</f>
        <v/>
      </c>
      <c r="S202" s="64" t="str">
        <f t="shared" ref="S202:S265" si="128">IF(A203="","",R202)</f>
        <v/>
      </c>
      <c r="T202" s="63" t="str">
        <f t="shared" ref="T202:T265" si="129">IF($A203="","",VLOOKUP($A202,Table,MATCH(T$4,Curves,0)))</f>
        <v/>
      </c>
      <c r="U202" s="64" t="str">
        <f t="shared" ref="U202:U265" si="130">IF(A203="","",T202)</f>
        <v/>
      </c>
      <c r="V202" s="90" t="str">
        <f>IF($A203="","",IF(AND(MONTH(A202)&gt;3,MONTH(A202)&lt;11),(T202+R202+G202)*Summary!$T$9/(1-Summary!$T$9),(T202+R202+G202)*Summary!$U$9/(1-Summary!$U$9)))</f>
        <v/>
      </c>
      <c r="W202" s="63" t="str">
        <f t="shared" ref="W202:W265" si="131">IF($A203="","",(T202+R202+G202+V202))</f>
        <v/>
      </c>
      <c r="X202" s="63" t="str">
        <f t="shared" ref="X202:X265" si="132">IF($A203="","",(U202+S202+H202+V202))</f>
        <v/>
      </c>
      <c r="Y202" s="43"/>
      <c r="Z202" s="38" t="str">
        <f t="shared" ref="Z202:Z265" si="133">IF($A203="","",VLOOKUP($A202,Table,MATCH(Z$4,Curves,0)))</f>
        <v/>
      </c>
      <c r="AA202" s="38" t="str">
        <f t="shared" ref="AA202:AA265" si="134">IF($A203="","",VLOOKUP($A202,Table,MATCH(AA$4,Curves,0)))</f>
        <v/>
      </c>
      <c r="AB202" s="38" t="e">
        <f t="shared" ref="AB202:AB265" si="135">SQRT((AA202^2*(A202-$D$3)+Z202^2*(DAY(EOMONTH(A202,0))/2))/AK202)</f>
        <v>#VALUE!</v>
      </c>
      <c r="AC202" s="38" t="str">
        <f t="shared" ref="AC202:AD265" si="136">IF($A203="","",VLOOKUP($A202,Table,MATCH(AC$4,Curves,0)))</f>
        <v/>
      </c>
      <c r="AD202" s="38" t="str">
        <f t="shared" si="136"/>
        <v/>
      </c>
      <c r="AE202" s="38" t="e">
        <f t="shared" ref="AE202:AE265" si="137">SQRT((AD202^2*(A202-$D$3)+AC202^2*(DAY(EOMONTH(A202,0))/2))/AK202)</f>
        <v>#VALUE!</v>
      </c>
      <c r="AF202" s="237" t="e">
        <f>((Summary!$N$9*(AA202*AD202)*(A202-$D$3))+(Summary!$M$9*Z202*AC202*(AJ202-EOMONTH(EDATE(A202,-1),0))))/(AK202*AB202*AE202)</f>
        <v>#VALUE!</v>
      </c>
      <c r="AG202" s="88" t="str">
        <f>IF($A203="","",Summary!$Q$9)</f>
        <v/>
      </c>
      <c r="AH202" s="88" t="str">
        <f>IF($A203="","",IF(Summary!$R$9="Y",VLOOKUP($A202,Summary!$AD$6:$AF$9,3)+'Escalating commodity'!E215,'Escalating commodity'!E215))</f>
        <v/>
      </c>
      <c r="AI202" s="88" t="str">
        <f t="shared" si="113"/>
        <v/>
      </c>
      <c r="AJ202" s="236" t="e">
        <f t="shared" ref="AJ202:AJ265" si="138">A202+DAY(EOMONTH(A202,0))/2-1</f>
        <v>#VALUE!</v>
      </c>
      <c r="AK202" s="58" t="str">
        <f t="shared" ref="AK202:AK265" si="139">IF($A203="","",$A202-$E$1)</f>
        <v/>
      </c>
      <c r="AL202" s="26" t="str">
        <f>IF($A203="","",_xll.SPRDOPT(P202,X202,AI202,0,AB202,AE202,AF202,AK202,$AJ$2,0))</f>
        <v/>
      </c>
      <c r="AM202" s="89" t="str">
        <f t="shared" ref="AM202:AM265" si="140">IF($A203="","",MAX(0,O202-W202-AI202))</f>
        <v/>
      </c>
      <c r="AN202" s="89" t="str">
        <f t="shared" ref="AN202:AN265" si="141">IF($A203="","",AL202-AM202)</f>
        <v/>
      </c>
      <c r="AO202" s="3" t="str">
        <f t="shared" ref="AO202:AO265" si="142">IF(A203="","",A203-A202)</f>
        <v/>
      </c>
      <c r="AP202" s="33" t="str">
        <f t="shared" ref="AP202:AP265" si="143">IF(A203="","",CHOOSE(F$3,A203+24,A202))</f>
        <v/>
      </c>
      <c r="AQ202" s="58" t="str">
        <f t="shared" ref="AQ202:AQ265" si="144">IF(A203="","",AP202-$E$1)</f>
        <v/>
      </c>
      <c r="AR202" s="38">
        <f>'ANR OK vs ML7'!AR202</f>
        <v>0.1</v>
      </c>
      <c r="AS202" s="35" t="str">
        <f t="shared" ref="AS202:AS265" si="145">IF(A203="","",1/(1+CHOOSE(F$3,(AR203+($I$3/10000))/2,(AR202+($I$3/10000))/2))^(2*AQ202/365.25))</f>
        <v/>
      </c>
      <c r="AT202" s="3" t="str">
        <f t="shared" ref="AT202:AT265" si="146">IF(A203="","",IF(AND(mthbeg&lt;=A202,mthend&gt;=A202),1,0))</f>
        <v/>
      </c>
      <c r="AU202" s="3" t="str">
        <f t="shared" ref="AU202:AU265" si="147">IF(A203="","",AO202*AT202)</f>
        <v/>
      </c>
      <c r="AW202" s="32" t="str">
        <f t="shared" ref="AW202:AW265" si="148">IF($A203="","",AL202*$E202)</f>
        <v/>
      </c>
      <c r="AX202" s="32" t="str">
        <f t="shared" ref="AX202:AX265" si="149">IF($A203="","",AM202*$E202)</f>
        <v/>
      </c>
      <c r="AY202" s="32" t="str">
        <f t="shared" ref="AY202:AY265" si="150">IF($A203="","",AN202*$E202)</f>
        <v/>
      </c>
      <c r="BA202" s="32" t="str">
        <f>IF($A203="","",F202*Summary!$Q$9)</f>
        <v/>
      </c>
    </row>
    <row r="203" spans="1:53" ht="12" customHeight="1">
      <c r="A203" s="67" t="str">
        <f t="shared" ref="A203:A266" si="151">IF(A202&lt;mthend,EDATE(A202,1),"")</f>
        <v/>
      </c>
      <c r="B203" s="69" t="str">
        <f t="shared" si="115"/>
        <v/>
      </c>
      <c r="C203" s="71"/>
      <c r="D203" s="69" t="str">
        <f t="shared" si="116"/>
        <v/>
      </c>
      <c r="E203" s="70" t="str">
        <f t="shared" si="117"/>
        <v/>
      </c>
      <c r="F203" s="70" t="str">
        <f t="shared" si="118"/>
        <v/>
      </c>
      <c r="G203" s="63" t="str">
        <f t="shared" si="119"/>
        <v/>
      </c>
      <c r="H203" s="64" t="str">
        <f t="shared" si="120"/>
        <v/>
      </c>
      <c r="I203" s="43"/>
      <c r="J203" s="63" t="str">
        <f t="shared" si="121"/>
        <v/>
      </c>
      <c r="K203" s="64" t="str">
        <f t="shared" si="122"/>
        <v/>
      </c>
      <c r="L203" s="63" t="str">
        <f t="shared" si="123"/>
        <v/>
      </c>
      <c r="M203" s="64" t="str">
        <f t="shared" si="124"/>
        <v/>
      </c>
      <c r="N203" s="65"/>
      <c r="O203" s="63" t="str">
        <f t="shared" si="125"/>
        <v/>
      </c>
      <c r="P203" s="63" t="str">
        <f t="shared" si="126"/>
        <v/>
      </c>
      <c r="Q203" s="66"/>
      <c r="R203" s="63" t="str">
        <f t="shared" si="127"/>
        <v/>
      </c>
      <c r="S203" s="64" t="str">
        <f t="shared" si="128"/>
        <v/>
      </c>
      <c r="T203" s="63" t="str">
        <f t="shared" si="129"/>
        <v/>
      </c>
      <c r="U203" s="64" t="str">
        <f t="shared" si="130"/>
        <v/>
      </c>
      <c r="V203" s="90" t="str">
        <f>IF($A204="","",IF(AND(MONTH(A203)&gt;3,MONTH(A203)&lt;11),(T203+R203+G203)*Summary!$T$9/(1-Summary!$T$9),(T203+R203+G203)*Summary!$U$9/(1-Summary!$U$9)))</f>
        <v/>
      </c>
      <c r="W203" s="63" t="str">
        <f t="shared" si="131"/>
        <v/>
      </c>
      <c r="X203" s="63" t="str">
        <f t="shared" si="132"/>
        <v/>
      </c>
      <c r="Y203" s="43"/>
      <c r="Z203" s="38" t="str">
        <f t="shared" si="133"/>
        <v/>
      </c>
      <c r="AA203" s="38" t="str">
        <f t="shared" si="134"/>
        <v/>
      </c>
      <c r="AB203" s="38" t="e">
        <f t="shared" si="135"/>
        <v>#VALUE!</v>
      </c>
      <c r="AC203" s="38" t="str">
        <f t="shared" si="136"/>
        <v/>
      </c>
      <c r="AD203" s="38" t="str">
        <f t="shared" si="136"/>
        <v/>
      </c>
      <c r="AE203" s="38" t="e">
        <f t="shared" si="137"/>
        <v>#VALUE!</v>
      </c>
      <c r="AF203" s="237" t="e">
        <f>((Summary!$N$9*(AA203*AD203)*(A203-$D$3))+(Summary!$M$9*Z203*AC203*(AJ203-EOMONTH(EDATE(A203,-1),0))))/(AK203*AB203*AE203)</f>
        <v>#VALUE!</v>
      </c>
      <c r="AG203" s="88" t="str">
        <f>IF($A204="","",Summary!$Q$9)</f>
        <v/>
      </c>
      <c r="AH203" s="88" t="str">
        <f>IF($A204="","",IF(Summary!$R$9="Y",VLOOKUP($A203,Summary!$AD$6:$AF$9,3)+'Escalating commodity'!E216,'Escalating commodity'!E216))</f>
        <v/>
      </c>
      <c r="AI203" s="88" t="str">
        <f t="shared" ref="AI203:AI266" si="152">IF($A204="","",AH203)</f>
        <v/>
      </c>
      <c r="AJ203" s="236" t="e">
        <f t="shared" si="138"/>
        <v>#VALUE!</v>
      </c>
      <c r="AK203" s="58" t="str">
        <f t="shared" si="139"/>
        <v/>
      </c>
      <c r="AL203" s="26" t="str">
        <f>IF($A204="","",_xll.SPRDOPT(P203,X203,AI203,0,AB203,AE203,AF203,AK203,$AJ$2,0))</f>
        <v/>
      </c>
      <c r="AM203" s="89" t="str">
        <f t="shared" si="140"/>
        <v/>
      </c>
      <c r="AN203" s="89" t="str">
        <f t="shared" si="141"/>
        <v/>
      </c>
      <c r="AO203" s="3" t="str">
        <f t="shared" si="142"/>
        <v/>
      </c>
      <c r="AP203" s="33" t="str">
        <f t="shared" si="143"/>
        <v/>
      </c>
      <c r="AQ203" s="58" t="str">
        <f t="shared" si="144"/>
        <v/>
      </c>
      <c r="AR203" s="38">
        <f>'ANR OK vs ML7'!AR203</f>
        <v>0.1</v>
      </c>
      <c r="AS203" s="35" t="str">
        <f t="shared" si="145"/>
        <v/>
      </c>
      <c r="AT203" s="3" t="str">
        <f t="shared" si="146"/>
        <v/>
      </c>
      <c r="AU203" s="3" t="str">
        <f t="shared" si="147"/>
        <v/>
      </c>
      <c r="AW203" s="32" t="str">
        <f t="shared" si="148"/>
        <v/>
      </c>
      <c r="AX203" s="32" t="str">
        <f t="shared" si="149"/>
        <v/>
      </c>
      <c r="AY203" s="32" t="str">
        <f t="shared" si="150"/>
        <v/>
      </c>
      <c r="BA203" s="32" t="str">
        <f>IF($A204="","",F203*Summary!$Q$9)</f>
        <v/>
      </c>
    </row>
    <row r="204" spans="1:53" ht="12" customHeight="1">
      <c r="A204" s="67" t="str">
        <f t="shared" si="151"/>
        <v/>
      </c>
      <c r="B204" s="69" t="str">
        <f t="shared" ref="B204:B267" si="153">IF(A204&lt;mthend,B203,"")</f>
        <v/>
      </c>
      <c r="C204" s="71"/>
      <c r="D204" s="69" t="str">
        <f t="shared" si="116"/>
        <v/>
      </c>
      <c r="E204" s="70" t="str">
        <f t="shared" si="117"/>
        <v/>
      </c>
      <c r="F204" s="70" t="str">
        <f t="shared" si="118"/>
        <v/>
      </c>
      <c r="G204" s="63" t="str">
        <f t="shared" si="119"/>
        <v/>
      </c>
      <c r="H204" s="64" t="str">
        <f t="shared" si="120"/>
        <v/>
      </c>
      <c r="I204" s="43"/>
      <c r="J204" s="63" t="str">
        <f t="shared" si="121"/>
        <v/>
      </c>
      <c r="K204" s="64" t="str">
        <f t="shared" si="122"/>
        <v/>
      </c>
      <c r="L204" s="63" t="str">
        <f t="shared" si="123"/>
        <v/>
      </c>
      <c r="M204" s="64" t="str">
        <f t="shared" si="124"/>
        <v/>
      </c>
      <c r="N204" s="65"/>
      <c r="O204" s="63" t="str">
        <f t="shared" si="125"/>
        <v/>
      </c>
      <c r="P204" s="63" t="str">
        <f t="shared" si="126"/>
        <v/>
      </c>
      <c r="Q204" s="66"/>
      <c r="R204" s="63" t="str">
        <f t="shared" si="127"/>
        <v/>
      </c>
      <c r="S204" s="64" t="str">
        <f t="shared" si="128"/>
        <v/>
      </c>
      <c r="T204" s="63" t="str">
        <f t="shared" si="129"/>
        <v/>
      </c>
      <c r="U204" s="64" t="str">
        <f t="shared" si="130"/>
        <v/>
      </c>
      <c r="V204" s="90" t="str">
        <f>IF($A205="","",IF(AND(MONTH(A204)&gt;3,MONTH(A204)&lt;11),(T204+R204+G204)*Summary!$T$9/(1-Summary!$T$9),(T204+R204+G204)*Summary!$U$9/(1-Summary!$U$9)))</f>
        <v/>
      </c>
      <c r="W204" s="63" t="str">
        <f t="shared" si="131"/>
        <v/>
      </c>
      <c r="X204" s="63" t="str">
        <f t="shared" si="132"/>
        <v/>
      </c>
      <c r="Y204" s="43"/>
      <c r="Z204" s="38" t="str">
        <f t="shared" si="133"/>
        <v/>
      </c>
      <c r="AA204" s="38" t="str">
        <f t="shared" si="134"/>
        <v/>
      </c>
      <c r="AB204" s="38" t="e">
        <f t="shared" si="135"/>
        <v>#VALUE!</v>
      </c>
      <c r="AC204" s="38" t="str">
        <f t="shared" si="136"/>
        <v/>
      </c>
      <c r="AD204" s="38" t="str">
        <f t="shared" si="136"/>
        <v/>
      </c>
      <c r="AE204" s="38" t="e">
        <f t="shared" si="137"/>
        <v>#VALUE!</v>
      </c>
      <c r="AF204" s="237" t="e">
        <f>((Summary!$N$9*(AA204*AD204)*(A204-$D$3))+(Summary!$M$9*Z204*AC204*(AJ204-EOMONTH(EDATE(A204,-1),0))))/(AK204*AB204*AE204)</f>
        <v>#VALUE!</v>
      </c>
      <c r="AG204" s="88" t="str">
        <f>IF($A205="","",Summary!$Q$9)</f>
        <v/>
      </c>
      <c r="AH204" s="88" t="str">
        <f>IF($A205="","",IF(Summary!$R$9="Y",VLOOKUP($A204,Summary!$AD$6:$AF$9,3)+'Escalating commodity'!E217,'Escalating commodity'!E217))</f>
        <v/>
      </c>
      <c r="AI204" s="88" t="str">
        <f t="shared" si="152"/>
        <v/>
      </c>
      <c r="AJ204" s="236" t="e">
        <f t="shared" si="138"/>
        <v>#VALUE!</v>
      </c>
      <c r="AK204" s="58" t="str">
        <f t="shared" si="139"/>
        <v/>
      </c>
      <c r="AL204" s="26" t="str">
        <f>IF($A205="","",_xll.SPRDOPT(P204,X204,AI204,0,AB204,AE204,AF204,AK204,$AJ$2,0))</f>
        <v/>
      </c>
      <c r="AM204" s="89" t="str">
        <f t="shared" si="140"/>
        <v/>
      </c>
      <c r="AN204" s="89" t="str">
        <f t="shared" si="141"/>
        <v/>
      </c>
      <c r="AO204" s="3" t="str">
        <f t="shared" si="142"/>
        <v/>
      </c>
      <c r="AP204" s="33" t="str">
        <f t="shared" si="143"/>
        <v/>
      </c>
      <c r="AQ204" s="58" t="str">
        <f t="shared" si="144"/>
        <v/>
      </c>
      <c r="AR204" s="38">
        <f>'ANR OK vs ML7'!AR204</f>
        <v>0.1</v>
      </c>
      <c r="AS204" s="35" t="str">
        <f t="shared" si="145"/>
        <v/>
      </c>
      <c r="AT204" s="3" t="str">
        <f t="shared" si="146"/>
        <v/>
      </c>
      <c r="AU204" s="3" t="str">
        <f t="shared" si="147"/>
        <v/>
      </c>
      <c r="AW204" s="32" t="str">
        <f t="shared" si="148"/>
        <v/>
      </c>
      <c r="AX204" s="32" t="str">
        <f t="shared" si="149"/>
        <v/>
      </c>
      <c r="AY204" s="32" t="str">
        <f t="shared" si="150"/>
        <v/>
      </c>
      <c r="BA204" s="32" t="str">
        <f>IF($A205="","",F204*Summary!$Q$9)</f>
        <v/>
      </c>
    </row>
    <row r="205" spans="1:53" ht="12" customHeight="1">
      <c r="A205" s="67" t="str">
        <f t="shared" si="151"/>
        <v/>
      </c>
      <c r="B205" s="69" t="str">
        <f t="shared" si="153"/>
        <v/>
      </c>
      <c r="C205" s="71"/>
      <c r="D205" s="69" t="str">
        <f t="shared" si="116"/>
        <v/>
      </c>
      <c r="E205" s="70" t="str">
        <f t="shared" si="117"/>
        <v/>
      </c>
      <c r="F205" s="70" t="str">
        <f t="shared" si="118"/>
        <v/>
      </c>
      <c r="G205" s="63" t="str">
        <f t="shared" si="119"/>
        <v/>
      </c>
      <c r="H205" s="64" t="str">
        <f t="shared" si="120"/>
        <v/>
      </c>
      <c r="I205" s="43"/>
      <c r="J205" s="63" t="str">
        <f t="shared" si="121"/>
        <v/>
      </c>
      <c r="K205" s="64" t="str">
        <f t="shared" si="122"/>
        <v/>
      </c>
      <c r="L205" s="63" t="str">
        <f t="shared" si="123"/>
        <v/>
      </c>
      <c r="M205" s="64" t="str">
        <f t="shared" si="124"/>
        <v/>
      </c>
      <c r="N205" s="65"/>
      <c r="O205" s="63" t="str">
        <f t="shared" si="125"/>
        <v/>
      </c>
      <c r="P205" s="63" t="str">
        <f t="shared" si="126"/>
        <v/>
      </c>
      <c r="Q205" s="66"/>
      <c r="R205" s="63" t="str">
        <f t="shared" si="127"/>
        <v/>
      </c>
      <c r="S205" s="64" t="str">
        <f t="shared" si="128"/>
        <v/>
      </c>
      <c r="T205" s="63" t="str">
        <f t="shared" si="129"/>
        <v/>
      </c>
      <c r="U205" s="64" t="str">
        <f t="shared" si="130"/>
        <v/>
      </c>
      <c r="V205" s="90" t="str">
        <f>IF($A206="","",IF(AND(MONTH(A205)&gt;3,MONTH(A205)&lt;11),(T205+R205+G205)*Summary!$T$9/(1-Summary!$T$9),(T205+R205+G205)*Summary!$U$9/(1-Summary!$U$9)))</f>
        <v/>
      </c>
      <c r="W205" s="63" t="str">
        <f t="shared" si="131"/>
        <v/>
      </c>
      <c r="X205" s="63" t="str">
        <f t="shared" si="132"/>
        <v/>
      </c>
      <c r="Y205" s="43"/>
      <c r="Z205" s="38" t="str">
        <f t="shared" si="133"/>
        <v/>
      </c>
      <c r="AA205" s="38" t="str">
        <f t="shared" si="134"/>
        <v/>
      </c>
      <c r="AB205" s="38" t="e">
        <f t="shared" si="135"/>
        <v>#VALUE!</v>
      </c>
      <c r="AC205" s="38" t="str">
        <f t="shared" si="136"/>
        <v/>
      </c>
      <c r="AD205" s="38" t="str">
        <f t="shared" si="136"/>
        <v/>
      </c>
      <c r="AE205" s="38" t="e">
        <f t="shared" si="137"/>
        <v>#VALUE!</v>
      </c>
      <c r="AF205" s="237" t="e">
        <f>((Summary!$N$9*(AA205*AD205)*(A205-$D$3))+(Summary!$M$9*Z205*AC205*(AJ205-EOMONTH(EDATE(A205,-1),0))))/(AK205*AB205*AE205)</f>
        <v>#VALUE!</v>
      </c>
      <c r="AG205" s="88" t="str">
        <f>IF($A206="","",Summary!$Q$9)</f>
        <v/>
      </c>
      <c r="AH205" s="88" t="str">
        <f>IF($A206="","",IF(Summary!$R$9="Y",VLOOKUP($A205,Summary!$AD$6:$AF$9,3)+'Escalating commodity'!E218,'Escalating commodity'!E218))</f>
        <v/>
      </c>
      <c r="AI205" s="88" t="str">
        <f t="shared" si="152"/>
        <v/>
      </c>
      <c r="AJ205" s="236" t="e">
        <f t="shared" si="138"/>
        <v>#VALUE!</v>
      </c>
      <c r="AK205" s="58" t="str">
        <f t="shared" si="139"/>
        <v/>
      </c>
      <c r="AL205" s="26" t="str">
        <f>IF($A206="","",_xll.SPRDOPT(P205,X205,AI205,0,AB205,AE205,AF205,AK205,$AJ$2,0))</f>
        <v/>
      </c>
      <c r="AM205" s="89" t="str">
        <f t="shared" si="140"/>
        <v/>
      </c>
      <c r="AN205" s="89" t="str">
        <f t="shared" si="141"/>
        <v/>
      </c>
      <c r="AO205" s="3" t="str">
        <f t="shared" si="142"/>
        <v/>
      </c>
      <c r="AP205" s="33" t="str">
        <f t="shared" si="143"/>
        <v/>
      </c>
      <c r="AQ205" s="58" t="str">
        <f t="shared" si="144"/>
        <v/>
      </c>
      <c r="AR205" s="38">
        <f>'ANR OK vs ML7'!AR205</f>
        <v>0.1</v>
      </c>
      <c r="AS205" s="35" t="str">
        <f t="shared" si="145"/>
        <v/>
      </c>
      <c r="AT205" s="3" t="str">
        <f t="shared" si="146"/>
        <v/>
      </c>
      <c r="AU205" s="3" t="str">
        <f t="shared" si="147"/>
        <v/>
      </c>
      <c r="AW205" s="32" t="str">
        <f t="shared" si="148"/>
        <v/>
      </c>
      <c r="AX205" s="32" t="str">
        <f t="shared" si="149"/>
        <v/>
      </c>
      <c r="AY205" s="32" t="str">
        <f t="shared" si="150"/>
        <v/>
      </c>
      <c r="BA205" s="32" t="str">
        <f>IF($A206="","",F205*Summary!$Q$9)</f>
        <v/>
      </c>
    </row>
    <row r="206" spans="1:53" ht="12" customHeight="1">
      <c r="A206" s="67" t="str">
        <f t="shared" si="151"/>
        <v/>
      </c>
      <c r="B206" s="69" t="str">
        <f t="shared" si="153"/>
        <v/>
      </c>
      <c r="C206" s="71"/>
      <c r="D206" s="69" t="str">
        <f t="shared" si="116"/>
        <v/>
      </c>
      <c r="E206" s="70" t="str">
        <f t="shared" si="117"/>
        <v/>
      </c>
      <c r="F206" s="70" t="str">
        <f t="shared" si="118"/>
        <v/>
      </c>
      <c r="G206" s="63" t="str">
        <f t="shared" si="119"/>
        <v/>
      </c>
      <c r="H206" s="64" t="str">
        <f t="shared" si="120"/>
        <v/>
      </c>
      <c r="I206" s="43"/>
      <c r="J206" s="63" t="str">
        <f t="shared" si="121"/>
        <v/>
      </c>
      <c r="K206" s="64" t="str">
        <f t="shared" si="122"/>
        <v/>
      </c>
      <c r="L206" s="63" t="str">
        <f t="shared" si="123"/>
        <v/>
      </c>
      <c r="M206" s="64" t="str">
        <f t="shared" si="124"/>
        <v/>
      </c>
      <c r="N206" s="65"/>
      <c r="O206" s="63" t="str">
        <f t="shared" si="125"/>
        <v/>
      </c>
      <c r="P206" s="63" t="str">
        <f t="shared" si="126"/>
        <v/>
      </c>
      <c r="Q206" s="66"/>
      <c r="R206" s="63" t="str">
        <f t="shared" si="127"/>
        <v/>
      </c>
      <c r="S206" s="64" t="str">
        <f t="shared" si="128"/>
        <v/>
      </c>
      <c r="T206" s="63" t="str">
        <f t="shared" si="129"/>
        <v/>
      </c>
      <c r="U206" s="64" t="str">
        <f t="shared" si="130"/>
        <v/>
      </c>
      <c r="V206" s="90" t="str">
        <f>IF($A207="","",IF(AND(MONTH(A206)&gt;3,MONTH(A206)&lt;11),(T206+R206+G206)*Summary!$T$9/(1-Summary!$T$9),(T206+R206+G206)*Summary!$U$9/(1-Summary!$U$9)))</f>
        <v/>
      </c>
      <c r="W206" s="63" t="str">
        <f t="shared" si="131"/>
        <v/>
      </c>
      <c r="X206" s="63" t="str">
        <f t="shared" si="132"/>
        <v/>
      </c>
      <c r="Y206" s="43"/>
      <c r="Z206" s="38" t="str">
        <f t="shared" si="133"/>
        <v/>
      </c>
      <c r="AA206" s="38" t="str">
        <f t="shared" si="134"/>
        <v/>
      </c>
      <c r="AB206" s="38" t="e">
        <f t="shared" si="135"/>
        <v>#VALUE!</v>
      </c>
      <c r="AC206" s="38" t="str">
        <f t="shared" si="136"/>
        <v/>
      </c>
      <c r="AD206" s="38" t="str">
        <f t="shared" si="136"/>
        <v/>
      </c>
      <c r="AE206" s="38" t="e">
        <f t="shared" si="137"/>
        <v>#VALUE!</v>
      </c>
      <c r="AF206" s="237" t="e">
        <f>((Summary!$N$9*(AA206*AD206)*(A206-$D$3))+(Summary!$M$9*Z206*AC206*(AJ206-EOMONTH(EDATE(A206,-1),0))))/(AK206*AB206*AE206)</f>
        <v>#VALUE!</v>
      </c>
      <c r="AG206" s="88" t="str">
        <f>IF($A207="","",Summary!$Q$9)</f>
        <v/>
      </c>
      <c r="AH206" s="88" t="str">
        <f>IF($A207="","",IF(Summary!$R$9="Y",VLOOKUP($A206,Summary!$AD$6:$AF$9,3)+'Escalating commodity'!E219,'Escalating commodity'!E219))</f>
        <v/>
      </c>
      <c r="AI206" s="88" t="str">
        <f t="shared" si="152"/>
        <v/>
      </c>
      <c r="AJ206" s="236" t="e">
        <f t="shared" si="138"/>
        <v>#VALUE!</v>
      </c>
      <c r="AK206" s="58" t="str">
        <f t="shared" si="139"/>
        <v/>
      </c>
      <c r="AL206" s="26" t="str">
        <f>IF($A207="","",_xll.SPRDOPT(P206,X206,AI206,0,AB206,AE206,AF206,AK206,$AJ$2,0))</f>
        <v/>
      </c>
      <c r="AM206" s="89" t="str">
        <f t="shared" si="140"/>
        <v/>
      </c>
      <c r="AN206" s="89" t="str">
        <f t="shared" si="141"/>
        <v/>
      </c>
      <c r="AO206" s="3" t="str">
        <f t="shared" si="142"/>
        <v/>
      </c>
      <c r="AP206" s="33" t="str">
        <f t="shared" si="143"/>
        <v/>
      </c>
      <c r="AQ206" s="58" t="str">
        <f t="shared" si="144"/>
        <v/>
      </c>
      <c r="AR206" s="38">
        <f>'ANR OK vs ML7'!AR206</f>
        <v>0.1</v>
      </c>
      <c r="AS206" s="35" t="str">
        <f t="shared" si="145"/>
        <v/>
      </c>
      <c r="AT206" s="3" t="str">
        <f t="shared" si="146"/>
        <v/>
      </c>
      <c r="AU206" s="3" t="str">
        <f t="shared" si="147"/>
        <v/>
      </c>
      <c r="AW206" s="32" t="str">
        <f t="shared" si="148"/>
        <v/>
      </c>
      <c r="AX206" s="32" t="str">
        <f t="shared" si="149"/>
        <v/>
      </c>
      <c r="AY206" s="32" t="str">
        <f t="shared" si="150"/>
        <v/>
      </c>
      <c r="BA206" s="32" t="str">
        <f>IF($A207="","",F206*Summary!$Q$9)</f>
        <v/>
      </c>
    </row>
    <row r="207" spans="1:53" ht="12" customHeight="1">
      <c r="A207" s="67" t="str">
        <f t="shared" si="151"/>
        <v/>
      </c>
      <c r="B207" s="69" t="str">
        <f t="shared" si="153"/>
        <v/>
      </c>
      <c r="C207" s="71"/>
      <c r="D207" s="69" t="str">
        <f t="shared" si="116"/>
        <v/>
      </c>
      <c r="E207" s="70" t="str">
        <f t="shared" si="117"/>
        <v/>
      </c>
      <c r="F207" s="70" t="str">
        <f t="shared" si="118"/>
        <v/>
      </c>
      <c r="G207" s="63" t="str">
        <f t="shared" si="119"/>
        <v/>
      </c>
      <c r="H207" s="64" t="str">
        <f t="shared" si="120"/>
        <v/>
      </c>
      <c r="I207" s="43"/>
      <c r="J207" s="63" t="str">
        <f t="shared" si="121"/>
        <v/>
      </c>
      <c r="K207" s="64" t="str">
        <f t="shared" si="122"/>
        <v/>
      </c>
      <c r="L207" s="63" t="str">
        <f t="shared" si="123"/>
        <v/>
      </c>
      <c r="M207" s="64" t="str">
        <f t="shared" si="124"/>
        <v/>
      </c>
      <c r="N207" s="65"/>
      <c r="O207" s="63" t="str">
        <f t="shared" si="125"/>
        <v/>
      </c>
      <c r="P207" s="63" t="str">
        <f t="shared" si="126"/>
        <v/>
      </c>
      <c r="Q207" s="66"/>
      <c r="R207" s="63" t="str">
        <f t="shared" si="127"/>
        <v/>
      </c>
      <c r="S207" s="64" t="str">
        <f t="shared" si="128"/>
        <v/>
      </c>
      <c r="T207" s="63" t="str">
        <f t="shared" si="129"/>
        <v/>
      </c>
      <c r="U207" s="64" t="str">
        <f t="shared" si="130"/>
        <v/>
      </c>
      <c r="V207" s="90" t="str">
        <f>IF($A208="","",IF(AND(MONTH(A207)&gt;3,MONTH(A207)&lt;11),(T207+R207+G207)*Summary!$T$9/(1-Summary!$T$9),(T207+R207+G207)*Summary!$U$9/(1-Summary!$U$9)))</f>
        <v/>
      </c>
      <c r="W207" s="63" t="str">
        <f t="shared" si="131"/>
        <v/>
      </c>
      <c r="X207" s="63" t="str">
        <f t="shared" si="132"/>
        <v/>
      </c>
      <c r="Y207" s="43"/>
      <c r="Z207" s="38" t="str">
        <f t="shared" si="133"/>
        <v/>
      </c>
      <c r="AA207" s="38" t="str">
        <f t="shared" si="134"/>
        <v/>
      </c>
      <c r="AB207" s="38" t="e">
        <f t="shared" si="135"/>
        <v>#VALUE!</v>
      </c>
      <c r="AC207" s="38" t="str">
        <f t="shared" si="136"/>
        <v/>
      </c>
      <c r="AD207" s="38" t="str">
        <f t="shared" si="136"/>
        <v/>
      </c>
      <c r="AE207" s="38" t="e">
        <f t="shared" si="137"/>
        <v>#VALUE!</v>
      </c>
      <c r="AF207" s="237" t="e">
        <f>((Summary!$N$9*(AA207*AD207)*(A207-$D$3))+(Summary!$M$9*Z207*AC207*(AJ207-EOMONTH(EDATE(A207,-1),0))))/(AK207*AB207*AE207)</f>
        <v>#VALUE!</v>
      </c>
      <c r="AG207" s="88" t="str">
        <f>IF($A208="","",Summary!$Q$9)</f>
        <v/>
      </c>
      <c r="AH207" s="88" t="str">
        <f>IF($A208="","",IF(Summary!$R$9="Y",VLOOKUP($A207,Summary!$AD$6:$AF$9,3)+'Escalating commodity'!E220,'Escalating commodity'!E220))</f>
        <v/>
      </c>
      <c r="AI207" s="88" t="str">
        <f t="shared" si="152"/>
        <v/>
      </c>
      <c r="AJ207" s="236" t="e">
        <f t="shared" si="138"/>
        <v>#VALUE!</v>
      </c>
      <c r="AK207" s="58" t="str">
        <f t="shared" si="139"/>
        <v/>
      </c>
      <c r="AL207" s="26" t="str">
        <f>IF($A208="","",_xll.SPRDOPT(P207,X207,AI207,0,AB207,AE207,AF207,AK207,$AJ$2,0))</f>
        <v/>
      </c>
      <c r="AM207" s="89" t="str">
        <f t="shared" si="140"/>
        <v/>
      </c>
      <c r="AN207" s="89" t="str">
        <f t="shared" si="141"/>
        <v/>
      </c>
      <c r="AO207" s="3" t="str">
        <f t="shared" si="142"/>
        <v/>
      </c>
      <c r="AP207" s="33" t="str">
        <f t="shared" si="143"/>
        <v/>
      </c>
      <c r="AQ207" s="58" t="str">
        <f t="shared" si="144"/>
        <v/>
      </c>
      <c r="AR207" s="38">
        <f>'ANR OK vs ML7'!AR207</f>
        <v>0.1</v>
      </c>
      <c r="AS207" s="35" t="str">
        <f t="shared" si="145"/>
        <v/>
      </c>
      <c r="AT207" s="3" t="str">
        <f t="shared" si="146"/>
        <v/>
      </c>
      <c r="AU207" s="3" t="str">
        <f t="shared" si="147"/>
        <v/>
      </c>
      <c r="AW207" s="32" t="str">
        <f t="shared" si="148"/>
        <v/>
      </c>
      <c r="AX207" s="32" t="str">
        <f t="shared" si="149"/>
        <v/>
      </c>
      <c r="AY207" s="32" t="str">
        <f t="shared" si="150"/>
        <v/>
      </c>
      <c r="BA207" s="32" t="str">
        <f>IF($A208="","",F207*Summary!$Q$9)</f>
        <v/>
      </c>
    </row>
    <row r="208" spans="1:53" ht="12" customHeight="1">
      <c r="A208" s="67" t="str">
        <f t="shared" si="151"/>
        <v/>
      </c>
      <c r="B208" s="69" t="str">
        <f t="shared" si="153"/>
        <v/>
      </c>
      <c r="C208" s="71"/>
      <c r="D208" s="69" t="str">
        <f t="shared" si="116"/>
        <v/>
      </c>
      <c r="E208" s="70" t="str">
        <f t="shared" si="117"/>
        <v/>
      </c>
      <c r="F208" s="70" t="str">
        <f t="shared" si="118"/>
        <v/>
      </c>
      <c r="G208" s="63" t="str">
        <f t="shared" si="119"/>
        <v/>
      </c>
      <c r="H208" s="64" t="str">
        <f t="shared" si="120"/>
        <v/>
      </c>
      <c r="I208" s="43"/>
      <c r="J208" s="63" t="str">
        <f t="shared" si="121"/>
        <v/>
      </c>
      <c r="K208" s="64" t="str">
        <f t="shared" si="122"/>
        <v/>
      </c>
      <c r="L208" s="63" t="str">
        <f t="shared" si="123"/>
        <v/>
      </c>
      <c r="M208" s="64" t="str">
        <f t="shared" si="124"/>
        <v/>
      </c>
      <c r="N208" s="65"/>
      <c r="O208" s="63" t="str">
        <f t="shared" si="125"/>
        <v/>
      </c>
      <c r="P208" s="63" t="str">
        <f t="shared" si="126"/>
        <v/>
      </c>
      <c r="Q208" s="66"/>
      <c r="R208" s="63" t="str">
        <f t="shared" si="127"/>
        <v/>
      </c>
      <c r="S208" s="64" t="str">
        <f t="shared" si="128"/>
        <v/>
      </c>
      <c r="T208" s="63" t="str">
        <f t="shared" si="129"/>
        <v/>
      </c>
      <c r="U208" s="64" t="str">
        <f t="shared" si="130"/>
        <v/>
      </c>
      <c r="V208" s="90" t="str">
        <f>IF($A209="","",IF(AND(MONTH(A208)&gt;3,MONTH(A208)&lt;11),(T208+R208+G208)*Summary!$T$9/(1-Summary!$T$9),(T208+R208+G208)*Summary!$U$9/(1-Summary!$U$9)))</f>
        <v/>
      </c>
      <c r="W208" s="63" t="str">
        <f t="shared" si="131"/>
        <v/>
      </c>
      <c r="X208" s="63" t="str">
        <f t="shared" si="132"/>
        <v/>
      </c>
      <c r="Y208" s="43"/>
      <c r="Z208" s="38" t="str">
        <f t="shared" si="133"/>
        <v/>
      </c>
      <c r="AA208" s="38" t="str">
        <f t="shared" si="134"/>
        <v/>
      </c>
      <c r="AB208" s="38" t="e">
        <f t="shared" si="135"/>
        <v>#VALUE!</v>
      </c>
      <c r="AC208" s="38" t="str">
        <f t="shared" si="136"/>
        <v/>
      </c>
      <c r="AD208" s="38" t="str">
        <f t="shared" si="136"/>
        <v/>
      </c>
      <c r="AE208" s="38" t="e">
        <f t="shared" si="137"/>
        <v>#VALUE!</v>
      </c>
      <c r="AF208" s="237" t="e">
        <f>((Summary!$N$9*(AA208*AD208)*(A208-$D$3))+(Summary!$M$9*Z208*AC208*(AJ208-EOMONTH(EDATE(A208,-1),0))))/(AK208*AB208*AE208)</f>
        <v>#VALUE!</v>
      </c>
      <c r="AG208" s="88" t="str">
        <f>IF($A209="","",Summary!$Q$9)</f>
        <v/>
      </c>
      <c r="AH208" s="88" t="str">
        <f>IF($A209="","",IF(Summary!$R$9="Y",VLOOKUP($A208,Summary!$AD$6:$AF$9,3)+'Escalating commodity'!E221,'Escalating commodity'!E221))</f>
        <v/>
      </c>
      <c r="AI208" s="88" t="str">
        <f t="shared" si="152"/>
        <v/>
      </c>
      <c r="AJ208" s="236" t="e">
        <f t="shared" si="138"/>
        <v>#VALUE!</v>
      </c>
      <c r="AK208" s="58" t="str">
        <f t="shared" si="139"/>
        <v/>
      </c>
      <c r="AL208" s="26" t="str">
        <f>IF($A209="","",_xll.SPRDOPT(P208,X208,AI208,0,AB208,AE208,AF208,AK208,$AJ$2,0))</f>
        <v/>
      </c>
      <c r="AM208" s="89" t="str">
        <f t="shared" si="140"/>
        <v/>
      </c>
      <c r="AN208" s="89" t="str">
        <f t="shared" si="141"/>
        <v/>
      </c>
      <c r="AO208" s="3" t="str">
        <f t="shared" si="142"/>
        <v/>
      </c>
      <c r="AP208" s="33" t="str">
        <f t="shared" si="143"/>
        <v/>
      </c>
      <c r="AQ208" s="58" t="str">
        <f t="shared" si="144"/>
        <v/>
      </c>
      <c r="AR208" s="38">
        <f>'ANR OK vs ML7'!AR208</f>
        <v>0.1</v>
      </c>
      <c r="AS208" s="35" t="str">
        <f t="shared" si="145"/>
        <v/>
      </c>
      <c r="AT208" s="3" t="str">
        <f t="shared" si="146"/>
        <v/>
      </c>
      <c r="AU208" s="3" t="str">
        <f t="shared" si="147"/>
        <v/>
      </c>
      <c r="AW208" s="32" t="str">
        <f t="shared" si="148"/>
        <v/>
      </c>
      <c r="AX208" s="32" t="str">
        <f t="shared" si="149"/>
        <v/>
      </c>
      <c r="AY208" s="32" t="str">
        <f t="shared" si="150"/>
        <v/>
      </c>
      <c r="BA208" s="32" t="str">
        <f>IF($A209="","",F208*Summary!$Q$9)</f>
        <v/>
      </c>
    </row>
    <row r="209" spans="1:53" ht="12" customHeight="1">
      <c r="A209" s="67" t="str">
        <f t="shared" si="151"/>
        <v/>
      </c>
      <c r="B209" s="69" t="str">
        <f t="shared" si="153"/>
        <v/>
      </c>
      <c r="C209" s="71"/>
      <c r="D209" s="69" t="str">
        <f t="shared" si="116"/>
        <v/>
      </c>
      <c r="E209" s="70" t="str">
        <f t="shared" si="117"/>
        <v/>
      </c>
      <c r="F209" s="70" t="str">
        <f t="shared" si="118"/>
        <v/>
      </c>
      <c r="G209" s="63" t="str">
        <f t="shared" si="119"/>
        <v/>
      </c>
      <c r="H209" s="64" t="str">
        <f t="shared" si="120"/>
        <v/>
      </c>
      <c r="I209" s="43"/>
      <c r="J209" s="63" t="str">
        <f t="shared" si="121"/>
        <v/>
      </c>
      <c r="K209" s="64" t="str">
        <f t="shared" si="122"/>
        <v/>
      </c>
      <c r="L209" s="63" t="str">
        <f t="shared" si="123"/>
        <v/>
      </c>
      <c r="M209" s="64" t="str">
        <f t="shared" si="124"/>
        <v/>
      </c>
      <c r="N209" s="65"/>
      <c r="O209" s="63" t="str">
        <f t="shared" si="125"/>
        <v/>
      </c>
      <c r="P209" s="63" t="str">
        <f t="shared" si="126"/>
        <v/>
      </c>
      <c r="Q209" s="66"/>
      <c r="R209" s="63" t="str">
        <f t="shared" si="127"/>
        <v/>
      </c>
      <c r="S209" s="64" t="str">
        <f t="shared" si="128"/>
        <v/>
      </c>
      <c r="T209" s="63" t="str">
        <f t="shared" si="129"/>
        <v/>
      </c>
      <c r="U209" s="64" t="str">
        <f t="shared" si="130"/>
        <v/>
      </c>
      <c r="V209" s="90" t="str">
        <f>IF($A210="","",IF(AND(MONTH(A209)&gt;3,MONTH(A209)&lt;11),(T209+R209+G209)*Summary!$T$9/(1-Summary!$T$9),(T209+R209+G209)*Summary!$U$9/(1-Summary!$U$9)))</f>
        <v/>
      </c>
      <c r="W209" s="63" t="str">
        <f t="shared" si="131"/>
        <v/>
      </c>
      <c r="X209" s="63" t="str">
        <f t="shared" si="132"/>
        <v/>
      </c>
      <c r="Y209" s="43"/>
      <c r="Z209" s="38" t="str">
        <f t="shared" si="133"/>
        <v/>
      </c>
      <c r="AA209" s="38" t="str">
        <f t="shared" si="134"/>
        <v/>
      </c>
      <c r="AB209" s="38" t="e">
        <f t="shared" si="135"/>
        <v>#VALUE!</v>
      </c>
      <c r="AC209" s="38" t="str">
        <f t="shared" si="136"/>
        <v/>
      </c>
      <c r="AD209" s="38" t="str">
        <f t="shared" si="136"/>
        <v/>
      </c>
      <c r="AE209" s="38" t="e">
        <f t="shared" si="137"/>
        <v>#VALUE!</v>
      </c>
      <c r="AF209" s="237" t="e">
        <f>((Summary!$N$9*(AA209*AD209)*(A209-$D$3))+(Summary!$M$9*Z209*AC209*(AJ209-EOMONTH(EDATE(A209,-1),0))))/(AK209*AB209*AE209)</f>
        <v>#VALUE!</v>
      </c>
      <c r="AG209" s="88" t="str">
        <f>IF($A210="","",Summary!$Q$9)</f>
        <v/>
      </c>
      <c r="AH209" s="88" t="str">
        <f>IF($A210="","",IF(Summary!$R$9="Y",VLOOKUP($A209,Summary!$AD$6:$AF$9,3)+'Escalating commodity'!E222,'Escalating commodity'!E222))</f>
        <v/>
      </c>
      <c r="AI209" s="88" t="str">
        <f t="shared" si="152"/>
        <v/>
      </c>
      <c r="AJ209" s="236" t="e">
        <f t="shared" si="138"/>
        <v>#VALUE!</v>
      </c>
      <c r="AK209" s="58" t="str">
        <f t="shared" si="139"/>
        <v/>
      </c>
      <c r="AL209" s="26" t="str">
        <f>IF($A210="","",_xll.SPRDOPT(P209,X209,AI209,0,AB209,AE209,AF209,AK209,$AJ$2,0))</f>
        <v/>
      </c>
      <c r="AM209" s="89" t="str">
        <f t="shared" si="140"/>
        <v/>
      </c>
      <c r="AN209" s="89" t="str">
        <f t="shared" si="141"/>
        <v/>
      </c>
      <c r="AO209" s="3" t="str">
        <f t="shared" si="142"/>
        <v/>
      </c>
      <c r="AP209" s="33" t="str">
        <f t="shared" si="143"/>
        <v/>
      </c>
      <c r="AQ209" s="58" t="str">
        <f t="shared" si="144"/>
        <v/>
      </c>
      <c r="AR209" s="38">
        <f>'ANR OK vs ML7'!AR209</f>
        <v>0.1</v>
      </c>
      <c r="AS209" s="35" t="str">
        <f t="shared" si="145"/>
        <v/>
      </c>
      <c r="AT209" s="3" t="str">
        <f t="shared" si="146"/>
        <v/>
      </c>
      <c r="AU209" s="3" t="str">
        <f t="shared" si="147"/>
        <v/>
      </c>
      <c r="AW209" s="32" t="str">
        <f t="shared" si="148"/>
        <v/>
      </c>
      <c r="AX209" s="32" t="str">
        <f t="shared" si="149"/>
        <v/>
      </c>
      <c r="AY209" s="32" t="str">
        <f t="shared" si="150"/>
        <v/>
      </c>
      <c r="BA209" s="32" t="str">
        <f>IF($A210="","",F209*Summary!$Q$9)</f>
        <v/>
      </c>
    </row>
    <row r="210" spans="1:53" ht="12" customHeight="1">
      <c r="A210" s="67" t="str">
        <f t="shared" si="151"/>
        <v/>
      </c>
      <c r="B210" s="69" t="str">
        <f t="shared" si="153"/>
        <v/>
      </c>
      <c r="C210" s="71"/>
      <c r="D210" s="69" t="str">
        <f t="shared" si="116"/>
        <v/>
      </c>
      <c r="E210" s="70" t="str">
        <f t="shared" si="117"/>
        <v/>
      </c>
      <c r="F210" s="70" t="str">
        <f t="shared" si="118"/>
        <v/>
      </c>
      <c r="G210" s="63" t="str">
        <f t="shared" si="119"/>
        <v/>
      </c>
      <c r="H210" s="64" t="str">
        <f t="shared" si="120"/>
        <v/>
      </c>
      <c r="I210" s="43"/>
      <c r="J210" s="63" t="str">
        <f t="shared" si="121"/>
        <v/>
      </c>
      <c r="K210" s="64" t="str">
        <f t="shared" si="122"/>
        <v/>
      </c>
      <c r="L210" s="63" t="str">
        <f t="shared" si="123"/>
        <v/>
      </c>
      <c r="M210" s="64" t="str">
        <f t="shared" si="124"/>
        <v/>
      </c>
      <c r="N210" s="65"/>
      <c r="O210" s="63" t="str">
        <f t="shared" si="125"/>
        <v/>
      </c>
      <c r="P210" s="63" t="str">
        <f t="shared" si="126"/>
        <v/>
      </c>
      <c r="Q210" s="66"/>
      <c r="R210" s="63" t="str">
        <f t="shared" si="127"/>
        <v/>
      </c>
      <c r="S210" s="64" t="str">
        <f t="shared" si="128"/>
        <v/>
      </c>
      <c r="T210" s="63" t="str">
        <f t="shared" si="129"/>
        <v/>
      </c>
      <c r="U210" s="64" t="str">
        <f t="shared" si="130"/>
        <v/>
      </c>
      <c r="V210" s="90" t="str">
        <f>IF($A211="","",IF(AND(MONTH(A210)&gt;3,MONTH(A210)&lt;11),(T210+R210+G210)*Summary!$T$9/(1-Summary!$T$9),(T210+R210+G210)*Summary!$U$9/(1-Summary!$U$9)))</f>
        <v/>
      </c>
      <c r="W210" s="63" t="str">
        <f t="shared" si="131"/>
        <v/>
      </c>
      <c r="X210" s="63" t="str">
        <f t="shared" si="132"/>
        <v/>
      </c>
      <c r="Y210" s="43"/>
      <c r="Z210" s="38" t="str">
        <f t="shared" si="133"/>
        <v/>
      </c>
      <c r="AA210" s="38" t="str">
        <f t="shared" si="134"/>
        <v/>
      </c>
      <c r="AB210" s="38" t="e">
        <f t="shared" si="135"/>
        <v>#VALUE!</v>
      </c>
      <c r="AC210" s="38" t="str">
        <f t="shared" si="136"/>
        <v/>
      </c>
      <c r="AD210" s="38" t="str">
        <f t="shared" si="136"/>
        <v/>
      </c>
      <c r="AE210" s="38" t="e">
        <f t="shared" si="137"/>
        <v>#VALUE!</v>
      </c>
      <c r="AF210" s="237" t="e">
        <f>((Summary!$N$9*(AA210*AD210)*(A210-$D$3))+(Summary!$M$9*Z210*AC210*(AJ210-EOMONTH(EDATE(A210,-1),0))))/(AK210*AB210*AE210)</f>
        <v>#VALUE!</v>
      </c>
      <c r="AG210" s="88" t="str">
        <f>IF($A211="","",Summary!$Q$9)</f>
        <v/>
      </c>
      <c r="AH210" s="88" t="str">
        <f>IF($A211="","",IF(Summary!$R$9="Y",VLOOKUP($A210,Summary!$AD$6:$AF$9,3)+'Escalating commodity'!E223,'Escalating commodity'!E223))</f>
        <v/>
      </c>
      <c r="AI210" s="88" t="str">
        <f t="shared" si="152"/>
        <v/>
      </c>
      <c r="AJ210" s="236" t="e">
        <f t="shared" si="138"/>
        <v>#VALUE!</v>
      </c>
      <c r="AK210" s="58" t="str">
        <f t="shared" si="139"/>
        <v/>
      </c>
      <c r="AL210" s="26" t="str">
        <f>IF($A211="","",_xll.SPRDOPT(P210,X210,AI210,0,AB210,AE210,AF210,AK210,$AJ$2,0))</f>
        <v/>
      </c>
      <c r="AM210" s="89" t="str">
        <f t="shared" si="140"/>
        <v/>
      </c>
      <c r="AN210" s="89" t="str">
        <f t="shared" si="141"/>
        <v/>
      </c>
      <c r="AO210" s="3" t="str">
        <f t="shared" si="142"/>
        <v/>
      </c>
      <c r="AP210" s="33" t="str">
        <f t="shared" si="143"/>
        <v/>
      </c>
      <c r="AQ210" s="58" t="str">
        <f t="shared" si="144"/>
        <v/>
      </c>
      <c r="AR210" s="38">
        <f>'ANR OK vs ML7'!AR210</f>
        <v>0.1</v>
      </c>
      <c r="AS210" s="35" t="str">
        <f t="shared" si="145"/>
        <v/>
      </c>
      <c r="AT210" s="3" t="str">
        <f t="shared" si="146"/>
        <v/>
      </c>
      <c r="AU210" s="3" t="str">
        <f t="shared" si="147"/>
        <v/>
      </c>
      <c r="AW210" s="32" t="str">
        <f t="shared" si="148"/>
        <v/>
      </c>
      <c r="AX210" s="32" t="str">
        <f t="shared" si="149"/>
        <v/>
      </c>
      <c r="AY210" s="32" t="str">
        <f t="shared" si="150"/>
        <v/>
      </c>
      <c r="BA210" s="32" t="str">
        <f>IF($A211="","",F210*Summary!$Q$9)</f>
        <v/>
      </c>
    </row>
    <row r="211" spans="1:53" ht="12" customHeight="1">
      <c r="A211" s="67" t="str">
        <f t="shared" si="151"/>
        <v/>
      </c>
      <c r="B211" s="69" t="str">
        <f t="shared" si="153"/>
        <v/>
      </c>
      <c r="C211" s="71"/>
      <c r="D211" s="69" t="str">
        <f t="shared" si="116"/>
        <v/>
      </c>
      <c r="E211" s="70" t="str">
        <f t="shared" si="117"/>
        <v/>
      </c>
      <c r="F211" s="70" t="str">
        <f t="shared" si="118"/>
        <v/>
      </c>
      <c r="G211" s="63" t="str">
        <f t="shared" si="119"/>
        <v/>
      </c>
      <c r="H211" s="64" t="str">
        <f t="shared" si="120"/>
        <v/>
      </c>
      <c r="I211" s="43"/>
      <c r="J211" s="63" t="str">
        <f t="shared" si="121"/>
        <v/>
      </c>
      <c r="K211" s="64" t="str">
        <f t="shared" si="122"/>
        <v/>
      </c>
      <c r="L211" s="63" t="str">
        <f t="shared" si="123"/>
        <v/>
      </c>
      <c r="M211" s="64" t="str">
        <f t="shared" si="124"/>
        <v/>
      </c>
      <c r="N211" s="65"/>
      <c r="O211" s="63" t="str">
        <f t="shared" si="125"/>
        <v/>
      </c>
      <c r="P211" s="63" t="str">
        <f t="shared" si="126"/>
        <v/>
      </c>
      <c r="Q211" s="66"/>
      <c r="R211" s="63" t="str">
        <f t="shared" si="127"/>
        <v/>
      </c>
      <c r="S211" s="64" t="str">
        <f t="shared" si="128"/>
        <v/>
      </c>
      <c r="T211" s="63" t="str">
        <f t="shared" si="129"/>
        <v/>
      </c>
      <c r="U211" s="64" t="str">
        <f t="shared" si="130"/>
        <v/>
      </c>
      <c r="V211" s="90" t="str">
        <f>IF($A212="","",IF(AND(MONTH(A211)&gt;3,MONTH(A211)&lt;11),(T211+R211+G211)*Summary!$T$9/(1-Summary!$T$9),(T211+R211+G211)*Summary!$U$9/(1-Summary!$U$9)))</f>
        <v/>
      </c>
      <c r="W211" s="63" t="str">
        <f t="shared" si="131"/>
        <v/>
      </c>
      <c r="X211" s="63" t="str">
        <f t="shared" si="132"/>
        <v/>
      </c>
      <c r="Y211" s="43"/>
      <c r="Z211" s="38" t="str">
        <f t="shared" si="133"/>
        <v/>
      </c>
      <c r="AA211" s="38" t="str">
        <f t="shared" si="134"/>
        <v/>
      </c>
      <c r="AB211" s="38" t="e">
        <f t="shared" si="135"/>
        <v>#VALUE!</v>
      </c>
      <c r="AC211" s="38" t="str">
        <f t="shared" si="136"/>
        <v/>
      </c>
      <c r="AD211" s="38" t="str">
        <f t="shared" si="136"/>
        <v/>
      </c>
      <c r="AE211" s="38" t="e">
        <f t="shared" si="137"/>
        <v>#VALUE!</v>
      </c>
      <c r="AF211" s="237" t="e">
        <f>((Summary!$N$9*(AA211*AD211)*(A211-$D$3))+(Summary!$M$9*Z211*AC211*(AJ211-EOMONTH(EDATE(A211,-1),0))))/(AK211*AB211*AE211)</f>
        <v>#VALUE!</v>
      </c>
      <c r="AG211" s="88" t="str">
        <f>IF($A212="","",Summary!$Q$9)</f>
        <v/>
      </c>
      <c r="AH211" s="88" t="str">
        <f>IF($A212="","",IF(Summary!$R$9="Y",VLOOKUP($A211,Summary!$AD$6:$AF$9,3)+'Escalating commodity'!E224,'Escalating commodity'!E224))</f>
        <v/>
      </c>
      <c r="AI211" s="88" t="str">
        <f t="shared" si="152"/>
        <v/>
      </c>
      <c r="AJ211" s="236" t="e">
        <f t="shared" si="138"/>
        <v>#VALUE!</v>
      </c>
      <c r="AK211" s="58" t="str">
        <f t="shared" si="139"/>
        <v/>
      </c>
      <c r="AL211" s="26" t="str">
        <f>IF($A212="","",_xll.SPRDOPT(P211,X211,AI211,0,AB211,AE211,AF211,AK211,$AJ$2,0))</f>
        <v/>
      </c>
      <c r="AM211" s="89" t="str">
        <f t="shared" si="140"/>
        <v/>
      </c>
      <c r="AN211" s="89" t="str">
        <f t="shared" si="141"/>
        <v/>
      </c>
      <c r="AO211" s="3" t="str">
        <f t="shared" si="142"/>
        <v/>
      </c>
      <c r="AP211" s="33" t="str">
        <f t="shared" si="143"/>
        <v/>
      </c>
      <c r="AQ211" s="58" t="str">
        <f t="shared" si="144"/>
        <v/>
      </c>
      <c r="AR211" s="38">
        <f>'ANR OK vs ML7'!AR211</f>
        <v>0.1</v>
      </c>
      <c r="AS211" s="35" t="str">
        <f t="shared" si="145"/>
        <v/>
      </c>
      <c r="AT211" s="3" t="str">
        <f t="shared" si="146"/>
        <v/>
      </c>
      <c r="AU211" s="3" t="str">
        <f t="shared" si="147"/>
        <v/>
      </c>
      <c r="AW211" s="32" t="str">
        <f t="shared" si="148"/>
        <v/>
      </c>
      <c r="AX211" s="32" t="str">
        <f t="shared" si="149"/>
        <v/>
      </c>
      <c r="AY211" s="32" t="str">
        <f t="shared" si="150"/>
        <v/>
      </c>
      <c r="BA211" s="32" t="str">
        <f>IF($A212="","",F211*Summary!$Q$9)</f>
        <v/>
      </c>
    </row>
    <row r="212" spans="1:53" ht="12" customHeight="1">
      <c r="A212" s="67" t="str">
        <f t="shared" si="151"/>
        <v/>
      </c>
      <c r="B212" s="69" t="str">
        <f t="shared" si="153"/>
        <v/>
      </c>
      <c r="C212" s="71"/>
      <c r="D212" s="69" t="str">
        <f t="shared" si="116"/>
        <v/>
      </c>
      <c r="E212" s="70" t="str">
        <f t="shared" si="117"/>
        <v/>
      </c>
      <c r="F212" s="70" t="str">
        <f t="shared" si="118"/>
        <v/>
      </c>
      <c r="G212" s="63" t="str">
        <f t="shared" si="119"/>
        <v/>
      </c>
      <c r="H212" s="64" t="str">
        <f t="shared" si="120"/>
        <v/>
      </c>
      <c r="I212" s="43"/>
      <c r="J212" s="63" t="str">
        <f t="shared" si="121"/>
        <v/>
      </c>
      <c r="K212" s="64" t="str">
        <f t="shared" si="122"/>
        <v/>
      </c>
      <c r="L212" s="63" t="str">
        <f t="shared" si="123"/>
        <v/>
      </c>
      <c r="M212" s="64" t="str">
        <f t="shared" si="124"/>
        <v/>
      </c>
      <c r="N212" s="65"/>
      <c r="O212" s="63" t="str">
        <f t="shared" si="125"/>
        <v/>
      </c>
      <c r="P212" s="63" t="str">
        <f t="shared" si="126"/>
        <v/>
      </c>
      <c r="Q212" s="66"/>
      <c r="R212" s="63" t="str">
        <f t="shared" si="127"/>
        <v/>
      </c>
      <c r="S212" s="64" t="str">
        <f t="shared" si="128"/>
        <v/>
      </c>
      <c r="T212" s="63" t="str">
        <f t="shared" si="129"/>
        <v/>
      </c>
      <c r="U212" s="64" t="str">
        <f t="shared" si="130"/>
        <v/>
      </c>
      <c r="V212" s="90" t="str">
        <f>IF($A213="","",IF(AND(MONTH(A212)&gt;3,MONTH(A212)&lt;11),(T212+R212+G212)*Summary!$T$9/(1-Summary!$T$9),(T212+R212+G212)*Summary!$U$9/(1-Summary!$U$9)))</f>
        <v/>
      </c>
      <c r="W212" s="63" t="str">
        <f t="shared" si="131"/>
        <v/>
      </c>
      <c r="X212" s="63" t="str">
        <f t="shared" si="132"/>
        <v/>
      </c>
      <c r="Y212" s="43"/>
      <c r="Z212" s="38" t="str">
        <f t="shared" si="133"/>
        <v/>
      </c>
      <c r="AA212" s="38" t="str">
        <f t="shared" si="134"/>
        <v/>
      </c>
      <c r="AB212" s="38" t="e">
        <f t="shared" si="135"/>
        <v>#VALUE!</v>
      </c>
      <c r="AC212" s="38" t="str">
        <f t="shared" si="136"/>
        <v/>
      </c>
      <c r="AD212" s="38" t="str">
        <f t="shared" si="136"/>
        <v/>
      </c>
      <c r="AE212" s="38" t="e">
        <f t="shared" si="137"/>
        <v>#VALUE!</v>
      </c>
      <c r="AF212" s="237" t="e">
        <f>((Summary!$N$9*(AA212*AD212)*(A212-$D$3))+(Summary!$M$9*Z212*AC212*(AJ212-EOMONTH(EDATE(A212,-1),0))))/(AK212*AB212*AE212)</f>
        <v>#VALUE!</v>
      </c>
      <c r="AG212" s="88" t="str">
        <f>IF($A213="","",Summary!$Q$9)</f>
        <v/>
      </c>
      <c r="AH212" s="88" t="str">
        <f>IF($A213="","",IF(Summary!$R$9="Y",VLOOKUP($A212,Summary!$AD$6:$AF$9,3)+'Escalating commodity'!E225,'Escalating commodity'!E225))</f>
        <v/>
      </c>
      <c r="AI212" s="88" t="str">
        <f t="shared" si="152"/>
        <v/>
      </c>
      <c r="AJ212" s="236" t="e">
        <f t="shared" si="138"/>
        <v>#VALUE!</v>
      </c>
      <c r="AK212" s="58" t="str">
        <f t="shared" si="139"/>
        <v/>
      </c>
      <c r="AL212" s="26" t="str">
        <f>IF($A213="","",_xll.SPRDOPT(P212,X212,AI212,0,AB212,AE212,AF212,AK212,$AJ$2,0))</f>
        <v/>
      </c>
      <c r="AM212" s="89" t="str">
        <f t="shared" si="140"/>
        <v/>
      </c>
      <c r="AN212" s="89" t="str">
        <f t="shared" si="141"/>
        <v/>
      </c>
      <c r="AO212" s="3" t="str">
        <f t="shared" si="142"/>
        <v/>
      </c>
      <c r="AP212" s="33" t="str">
        <f t="shared" si="143"/>
        <v/>
      </c>
      <c r="AQ212" s="58" t="str">
        <f t="shared" si="144"/>
        <v/>
      </c>
      <c r="AR212" s="38">
        <f>'ANR OK vs ML7'!AR212</f>
        <v>0.1</v>
      </c>
      <c r="AS212" s="35" t="str">
        <f t="shared" si="145"/>
        <v/>
      </c>
      <c r="AT212" s="3" t="str">
        <f t="shared" si="146"/>
        <v/>
      </c>
      <c r="AU212" s="3" t="str">
        <f t="shared" si="147"/>
        <v/>
      </c>
      <c r="AW212" s="32" t="str">
        <f t="shared" si="148"/>
        <v/>
      </c>
      <c r="AX212" s="32" t="str">
        <f t="shared" si="149"/>
        <v/>
      </c>
      <c r="AY212" s="32" t="str">
        <f t="shared" si="150"/>
        <v/>
      </c>
      <c r="BA212" s="32" t="str">
        <f>IF($A213="","",F212*Summary!$Q$9)</f>
        <v/>
      </c>
    </row>
    <row r="213" spans="1:53" ht="12" customHeight="1">
      <c r="A213" s="67" t="str">
        <f t="shared" si="151"/>
        <v/>
      </c>
      <c r="B213" s="69" t="str">
        <f t="shared" si="153"/>
        <v/>
      </c>
      <c r="C213" s="71"/>
      <c r="D213" s="69" t="str">
        <f t="shared" si="116"/>
        <v/>
      </c>
      <c r="E213" s="70" t="str">
        <f t="shared" si="117"/>
        <v/>
      </c>
      <c r="F213" s="70" t="str">
        <f t="shared" si="118"/>
        <v/>
      </c>
      <c r="G213" s="63" t="str">
        <f t="shared" si="119"/>
        <v/>
      </c>
      <c r="H213" s="64" t="str">
        <f t="shared" si="120"/>
        <v/>
      </c>
      <c r="I213" s="43"/>
      <c r="J213" s="63" t="str">
        <f t="shared" si="121"/>
        <v/>
      </c>
      <c r="K213" s="64" t="str">
        <f t="shared" si="122"/>
        <v/>
      </c>
      <c r="L213" s="63" t="str">
        <f t="shared" si="123"/>
        <v/>
      </c>
      <c r="M213" s="64" t="str">
        <f t="shared" si="124"/>
        <v/>
      </c>
      <c r="N213" s="65"/>
      <c r="O213" s="63" t="str">
        <f t="shared" si="125"/>
        <v/>
      </c>
      <c r="P213" s="63" t="str">
        <f t="shared" si="126"/>
        <v/>
      </c>
      <c r="Q213" s="66"/>
      <c r="R213" s="63" t="str">
        <f t="shared" si="127"/>
        <v/>
      </c>
      <c r="S213" s="64" t="str">
        <f t="shared" si="128"/>
        <v/>
      </c>
      <c r="T213" s="63" t="str">
        <f t="shared" si="129"/>
        <v/>
      </c>
      <c r="U213" s="64" t="str">
        <f t="shared" si="130"/>
        <v/>
      </c>
      <c r="V213" s="90" t="str">
        <f>IF($A214="","",IF(AND(MONTH(A213)&gt;3,MONTH(A213)&lt;11),(T213+R213+G213)*Summary!$T$9/(1-Summary!$T$9),(T213+R213+G213)*Summary!$U$9/(1-Summary!$U$9)))</f>
        <v/>
      </c>
      <c r="W213" s="63" t="str">
        <f t="shared" si="131"/>
        <v/>
      </c>
      <c r="X213" s="63" t="str">
        <f t="shared" si="132"/>
        <v/>
      </c>
      <c r="Y213" s="43"/>
      <c r="Z213" s="38" t="str">
        <f t="shared" si="133"/>
        <v/>
      </c>
      <c r="AA213" s="38" t="str">
        <f t="shared" si="134"/>
        <v/>
      </c>
      <c r="AB213" s="38" t="e">
        <f t="shared" si="135"/>
        <v>#VALUE!</v>
      </c>
      <c r="AC213" s="38" t="str">
        <f t="shared" si="136"/>
        <v/>
      </c>
      <c r="AD213" s="38" t="str">
        <f t="shared" si="136"/>
        <v/>
      </c>
      <c r="AE213" s="38" t="e">
        <f t="shared" si="137"/>
        <v>#VALUE!</v>
      </c>
      <c r="AF213" s="237" t="e">
        <f>((Summary!$N$9*(AA213*AD213)*(A213-$D$3))+(Summary!$M$9*Z213*AC213*(AJ213-EOMONTH(EDATE(A213,-1),0))))/(AK213*AB213*AE213)</f>
        <v>#VALUE!</v>
      </c>
      <c r="AG213" s="88" t="str">
        <f>IF($A214="","",Summary!$Q$9)</f>
        <v/>
      </c>
      <c r="AH213" s="88" t="str">
        <f>IF($A214="","",IF(Summary!$R$9="Y",VLOOKUP($A213,Summary!$AD$6:$AF$9,3)+'Escalating commodity'!E226,'Escalating commodity'!E226))</f>
        <v/>
      </c>
      <c r="AI213" s="88" t="str">
        <f t="shared" si="152"/>
        <v/>
      </c>
      <c r="AJ213" s="236" t="e">
        <f t="shared" si="138"/>
        <v>#VALUE!</v>
      </c>
      <c r="AK213" s="58" t="str">
        <f t="shared" si="139"/>
        <v/>
      </c>
      <c r="AL213" s="26" t="str">
        <f>IF($A214="","",_xll.SPRDOPT(P213,X213,AI213,0,AB213,AE213,AF213,AK213,$AJ$2,0))</f>
        <v/>
      </c>
      <c r="AM213" s="89" t="str">
        <f t="shared" si="140"/>
        <v/>
      </c>
      <c r="AN213" s="89" t="str">
        <f t="shared" si="141"/>
        <v/>
      </c>
      <c r="AO213" s="3" t="str">
        <f t="shared" si="142"/>
        <v/>
      </c>
      <c r="AP213" s="33" t="str">
        <f t="shared" si="143"/>
        <v/>
      </c>
      <c r="AQ213" s="58" t="str">
        <f t="shared" si="144"/>
        <v/>
      </c>
      <c r="AR213" s="38">
        <f>'ANR OK vs ML7'!AR213</f>
        <v>0.1</v>
      </c>
      <c r="AS213" s="35" t="str">
        <f t="shared" si="145"/>
        <v/>
      </c>
      <c r="AT213" s="3" t="str">
        <f t="shared" si="146"/>
        <v/>
      </c>
      <c r="AU213" s="3" t="str">
        <f t="shared" si="147"/>
        <v/>
      </c>
      <c r="AW213" s="32" t="str">
        <f t="shared" si="148"/>
        <v/>
      </c>
      <c r="AX213" s="32" t="str">
        <f t="shared" si="149"/>
        <v/>
      </c>
      <c r="AY213" s="32" t="str">
        <f t="shared" si="150"/>
        <v/>
      </c>
      <c r="BA213" s="32" t="str">
        <f>IF($A214="","",F213*Summary!$Q$9)</f>
        <v/>
      </c>
    </row>
    <row r="214" spans="1:53" ht="12" customHeight="1">
      <c r="A214" s="67" t="str">
        <f t="shared" si="151"/>
        <v/>
      </c>
      <c r="B214" s="69" t="str">
        <f t="shared" si="153"/>
        <v/>
      </c>
      <c r="C214" s="71"/>
      <c r="D214" s="69" t="str">
        <f t="shared" si="116"/>
        <v/>
      </c>
      <c r="E214" s="70" t="str">
        <f t="shared" si="117"/>
        <v/>
      </c>
      <c r="F214" s="70" t="str">
        <f t="shared" si="118"/>
        <v/>
      </c>
      <c r="G214" s="63" t="str">
        <f t="shared" si="119"/>
        <v/>
      </c>
      <c r="H214" s="64" t="str">
        <f t="shared" si="120"/>
        <v/>
      </c>
      <c r="I214" s="43"/>
      <c r="J214" s="63" t="str">
        <f t="shared" si="121"/>
        <v/>
      </c>
      <c r="K214" s="64" t="str">
        <f t="shared" si="122"/>
        <v/>
      </c>
      <c r="L214" s="63" t="str">
        <f t="shared" si="123"/>
        <v/>
      </c>
      <c r="M214" s="64" t="str">
        <f t="shared" si="124"/>
        <v/>
      </c>
      <c r="N214" s="65"/>
      <c r="O214" s="63" t="str">
        <f t="shared" si="125"/>
        <v/>
      </c>
      <c r="P214" s="63" t="str">
        <f t="shared" si="126"/>
        <v/>
      </c>
      <c r="Q214" s="66"/>
      <c r="R214" s="63" t="str">
        <f t="shared" si="127"/>
        <v/>
      </c>
      <c r="S214" s="64" t="str">
        <f t="shared" si="128"/>
        <v/>
      </c>
      <c r="T214" s="63" t="str">
        <f t="shared" si="129"/>
        <v/>
      </c>
      <c r="U214" s="64" t="str">
        <f t="shared" si="130"/>
        <v/>
      </c>
      <c r="V214" s="90" t="str">
        <f>IF($A215="","",IF(AND(MONTH(A214)&gt;3,MONTH(A214)&lt;11),(T214+R214+G214)*Summary!$T$9/(1-Summary!$T$9),(T214+R214+G214)*Summary!$U$9/(1-Summary!$U$9)))</f>
        <v/>
      </c>
      <c r="W214" s="63" t="str">
        <f t="shared" si="131"/>
        <v/>
      </c>
      <c r="X214" s="63" t="str">
        <f t="shared" si="132"/>
        <v/>
      </c>
      <c r="Y214" s="43"/>
      <c r="Z214" s="38" t="str">
        <f t="shared" si="133"/>
        <v/>
      </c>
      <c r="AA214" s="38" t="str">
        <f t="shared" si="134"/>
        <v/>
      </c>
      <c r="AB214" s="38" t="e">
        <f t="shared" si="135"/>
        <v>#VALUE!</v>
      </c>
      <c r="AC214" s="38" t="str">
        <f t="shared" si="136"/>
        <v/>
      </c>
      <c r="AD214" s="38" t="str">
        <f t="shared" si="136"/>
        <v/>
      </c>
      <c r="AE214" s="38" t="e">
        <f t="shared" si="137"/>
        <v>#VALUE!</v>
      </c>
      <c r="AF214" s="237" t="e">
        <f>((Summary!$N$9*(AA214*AD214)*(A214-$D$3))+(Summary!$M$9*Z214*AC214*(AJ214-EOMONTH(EDATE(A214,-1),0))))/(AK214*AB214*AE214)</f>
        <v>#VALUE!</v>
      </c>
      <c r="AG214" s="88" t="str">
        <f>IF($A215="","",Summary!$Q$9)</f>
        <v/>
      </c>
      <c r="AH214" s="88" t="str">
        <f>IF($A215="","",IF(Summary!$R$9="Y",VLOOKUP($A214,Summary!$AD$6:$AF$9,3)+'Escalating commodity'!E227,'Escalating commodity'!E227))</f>
        <v/>
      </c>
      <c r="AI214" s="88" t="str">
        <f t="shared" si="152"/>
        <v/>
      </c>
      <c r="AJ214" s="236" t="e">
        <f t="shared" si="138"/>
        <v>#VALUE!</v>
      </c>
      <c r="AK214" s="58" t="str">
        <f t="shared" si="139"/>
        <v/>
      </c>
      <c r="AL214" s="26" t="str">
        <f>IF($A215="","",_xll.SPRDOPT(P214,X214,AI214,0,AB214,AE214,AF214,AK214,$AJ$2,0))</f>
        <v/>
      </c>
      <c r="AM214" s="89" t="str">
        <f t="shared" si="140"/>
        <v/>
      </c>
      <c r="AN214" s="89" t="str">
        <f t="shared" si="141"/>
        <v/>
      </c>
      <c r="AO214" s="3" t="str">
        <f t="shared" si="142"/>
        <v/>
      </c>
      <c r="AP214" s="33" t="str">
        <f t="shared" si="143"/>
        <v/>
      </c>
      <c r="AQ214" s="58" t="str">
        <f t="shared" si="144"/>
        <v/>
      </c>
      <c r="AR214" s="38">
        <f>'ANR OK vs ML7'!AR214</f>
        <v>0.1</v>
      </c>
      <c r="AS214" s="35" t="str">
        <f t="shared" si="145"/>
        <v/>
      </c>
      <c r="AT214" s="3" t="str">
        <f t="shared" si="146"/>
        <v/>
      </c>
      <c r="AU214" s="3" t="str">
        <f t="shared" si="147"/>
        <v/>
      </c>
      <c r="AW214" s="32" t="str">
        <f t="shared" si="148"/>
        <v/>
      </c>
      <c r="AX214" s="32" t="str">
        <f t="shared" si="149"/>
        <v/>
      </c>
      <c r="AY214" s="32" t="str">
        <f t="shared" si="150"/>
        <v/>
      </c>
      <c r="BA214" s="32" t="str">
        <f>IF($A215="","",F214*Summary!$Q$9)</f>
        <v/>
      </c>
    </row>
    <row r="215" spans="1:53" ht="12" customHeight="1">
      <c r="A215" s="67" t="str">
        <f t="shared" si="151"/>
        <v/>
      </c>
      <c r="B215" s="69" t="str">
        <f t="shared" si="153"/>
        <v/>
      </c>
      <c r="C215" s="71"/>
      <c r="D215" s="69" t="str">
        <f t="shared" si="116"/>
        <v/>
      </c>
      <c r="E215" s="70" t="str">
        <f t="shared" si="117"/>
        <v/>
      </c>
      <c r="F215" s="70" t="str">
        <f t="shared" si="118"/>
        <v/>
      </c>
      <c r="G215" s="63" t="str">
        <f t="shared" si="119"/>
        <v/>
      </c>
      <c r="H215" s="64" t="str">
        <f t="shared" si="120"/>
        <v/>
      </c>
      <c r="I215" s="43"/>
      <c r="J215" s="63" t="str">
        <f t="shared" si="121"/>
        <v/>
      </c>
      <c r="K215" s="64" t="str">
        <f t="shared" si="122"/>
        <v/>
      </c>
      <c r="L215" s="63" t="str">
        <f t="shared" si="123"/>
        <v/>
      </c>
      <c r="M215" s="64" t="str">
        <f t="shared" si="124"/>
        <v/>
      </c>
      <c r="N215" s="65"/>
      <c r="O215" s="63" t="str">
        <f t="shared" si="125"/>
        <v/>
      </c>
      <c r="P215" s="63" t="str">
        <f t="shared" si="126"/>
        <v/>
      </c>
      <c r="Q215" s="66"/>
      <c r="R215" s="63" t="str">
        <f t="shared" si="127"/>
        <v/>
      </c>
      <c r="S215" s="64" t="str">
        <f t="shared" si="128"/>
        <v/>
      </c>
      <c r="T215" s="63" t="str">
        <f t="shared" si="129"/>
        <v/>
      </c>
      <c r="U215" s="64" t="str">
        <f t="shared" si="130"/>
        <v/>
      </c>
      <c r="V215" s="90" t="str">
        <f>IF($A216="","",IF(AND(MONTH(A215)&gt;3,MONTH(A215)&lt;11),(T215+R215+G215)*Summary!$T$9/(1-Summary!$T$9),(T215+R215+G215)*Summary!$U$9/(1-Summary!$U$9)))</f>
        <v/>
      </c>
      <c r="W215" s="63" t="str">
        <f t="shared" si="131"/>
        <v/>
      </c>
      <c r="X215" s="63" t="str">
        <f t="shared" si="132"/>
        <v/>
      </c>
      <c r="Y215" s="43"/>
      <c r="Z215" s="38" t="str">
        <f t="shared" si="133"/>
        <v/>
      </c>
      <c r="AA215" s="38" t="str">
        <f t="shared" si="134"/>
        <v/>
      </c>
      <c r="AB215" s="38" t="e">
        <f t="shared" si="135"/>
        <v>#VALUE!</v>
      </c>
      <c r="AC215" s="38" t="str">
        <f t="shared" si="136"/>
        <v/>
      </c>
      <c r="AD215" s="38" t="str">
        <f t="shared" si="136"/>
        <v/>
      </c>
      <c r="AE215" s="38" t="e">
        <f t="shared" si="137"/>
        <v>#VALUE!</v>
      </c>
      <c r="AF215" s="237" t="e">
        <f>((Summary!$N$9*(AA215*AD215)*(A215-$D$3))+(Summary!$M$9*Z215*AC215*(AJ215-EOMONTH(EDATE(A215,-1),0))))/(AK215*AB215*AE215)</f>
        <v>#VALUE!</v>
      </c>
      <c r="AG215" s="88" t="str">
        <f>IF($A216="","",Summary!$Q$9)</f>
        <v/>
      </c>
      <c r="AH215" s="88" t="str">
        <f>IF($A216="","",IF(Summary!$R$9="Y",VLOOKUP($A215,Summary!$AD$6:$AF$9,3)+'Escalating commodity'!E228,'Escalating commodity'!E228))</f>
        <v/>
      </c>
      <c r="AI215" s="88" t="str">
        <f t="shared" si="152"/>
        <v/>
      </c>
      <c r="AJ215" s="236" t="e">
        <f t="shared" si="138"/>
        <v>#VALUE!</v>
      </c>
      <c r="AK215" s="58" t="str">
        <f t="shared" si="139"/>
        <v/>
      </c>
      <c r="AL215" s="26" t="str">
        <f>IF($A216="","",_xll.SPRDOPT(P215,X215,AI215,0,AB215,AE215,AF215,AK215,$AJ$2,0))</f>
        <v/>
      </c>
      <c r="AM215" s="89" t="str">
        <f t="shared" si="140"/>
        <v/>
      </c>
      <c r="AN215" s="89" t="str">
        <f t="shared" si="141"/>
        <v/>
      </c>
      <c r="AO215" s="3" t="str">
        <f t="shared" si="142"/>
        <v/>
      </c>
      <c r="AP215" s="33" t="str">
        <f t="shared" si="143"/>
        <v/>
      </c>
      <c r="AQ215" s="58" t="str">
        <f t="shared" si="144"/>
        <v/>
      </c>
      <c r="AR215" s="38">
        <f>'ANR OK vs ML7'!AR215</f>
        <v>0.1</v>
      </c>
      <c r="AS215" s="35" t="str">
        <f t="shared" si="145"/>
        <v/>
      </c>
      <c r="AT215" s="3" t="str">
        <f t="shared" si="146"/>
        <v/>
      </c>
      <c r="AU215" s="3" t="str">
        <f t="shared" si="147"/>
        <v/>
      </c>
      <c r="AW215" s="32" t="str">
        <f t="shared" si="148"/>
        <v/>
      </c>
      <c r="AX215" s="32" t="str">
        <f t="shared" si="149"/>
        <v/>
      </c>
      <c r="AY215" s="32" t="str">
        <f t="shared" si="150"/>
        <v/>
      </c>
      <c r="BA215" s="32" t="str">
        <f>IF($A216="","",F215*Summary!$Q$9)</f>
        <v/>
      </c>
    </row>
    <row r="216" spans="1:53" ht="12" customHeight="1">
      <c r="A216" s="67" t="str">
        <f t="shared" si="151"/>
        <v/>
      </c>
      <c r="B216" s="69" t="str">
        <f t="shared" si="153"/>
        <v/>
      </c>
      <c r="C216" s="71"/>
      <c r="D216" s="69" t="str">
        <f t="shared" si="116"/>
        <v/>
      </c>
      <c r="E216" s="70" t="str">
        <f t="shared" si="117"/>
        <v/>
      </c>
      <c r="F216" s="70" t="str">
        <f t="shared" si="118"/>
        <v/>
      </c>
      <c r="G216" s="63" t="str">
        <f t="shared" si="119"/>
        <v/>
      </c>
      <c r="H216" s="64" t="str">
        <f t="shared" si="120"/>
        <v/>
      </c>
      <c r="I216" s="43"/>
      <c r="J216" s="63" t="str">
        <f t="shared" si="121"/>
        <v/>
      </c>
      <c r="K216" s="64" t="str">
        <f t="shared" si="122"/>
        <v/>
      </c>
      <c r="L216" s="63" t="str">
        <f t="shared" si="123"/>
        <v/>
      </c>
      <c r="M216" s="64" t="str">
        <f t="shared" si="124"/>
        <v/>
      </c>
      <c r="N216" s="65"/>
      <c r="O216" s="63" t="str">
        <f t="shared" si="125"/>
        <v/>
      </c>
      <c r="P216" s="63" t="str">
        <f t="shared" si="126"/>
        <v/>
      </c>
      <c r="Q216" s="66"/>
      <c r="R216" s="63" t="str">
        <f t="shared" si="127"/>
        <v/>
      </c>
      <c r="S216" s="64" t="str">
        <f t="shared" si="128"/>
        <v/>
      </c>
      <c r="T216" s="63" t="str">
        <f t="shared" si="129"/>
        <v/>
      </c>
      <c r="U216" s="64" t="str">
        <f t="shared" si="130"/>
        <v/>
      </c>
      <c r="V216" s="90" t="str">
        <f>IF($A217="","",IF(AND(MONTH(A216)&gt;3,MONTH(A216)&lt;11),(T216+R216+G216)*Summary!$T$9/(1-Summary!$T$9),(T216+R216+G216)*Summary!$U$9/(1-Summary!$U$9)))</f>
        <v/>
      </c>
      <c r="W216" s="63" t="str">
        <f t="shared" si="131"/>
        <v/>
      </c>
      <c r="X216" s="63" t="str">
        <f t="shared" si="132"/>
        <v/>
      </c>
      <c r="Y216" s="43"/>
      <c r="Z216" s="38" t="str">
        <f t="shared" si="133"/>
        <v/>
      </c>
      <c r="AA216" s="38" t="str">
        <f t="shared" si="134"/>
        <v/>
      </c>
      <c r="AB216" s="38" t="e">
        <f t="shared" si="135"/>
        <v>#VALUE!</v>
      </c>
      <c r="AC216" s="38" t="str">
        <f t="shared" si="136"/>
        <v/>
      </c>
      <c r="AD216" s="38" t="str">
        <f t="shared" si="136"/>
        <v/>
      </c>
      <c r="AE216" s="38" t="e">
        <f t="shared" si="137"/>
        <v>#VALUE!</v>
      </c>
      <c r="AF216" s="237" t="e">
        <f>((Summary!$N$9*(AA216*AD216)*(A216-$D$3))+(Summary!$M$9*Z216*AC216*(AJ216-EOMONTH(EDATE(A216,-1),0))))/(AK216*AB216*AE216)</f>
        <v>#VALUE!</v>
      </c>
      <c r="AG216" s="88" t="str">
        <f>IF($A217="","",Summary!$Q$9)</f>
        <v/>
      </c>
      <c r="AH216" s="88" t="str">
        <f>IF($A217="","",IF(Summary!$R$9="Y",VLOOKUP($A216,Summary!$AD$6:$AF$9,3)+'Escalating commodity'!E229,'Escalating commodity'!E229))</f>
        <v/>
      </c>
      <c r="AI216" s="88" t="str">
        <f t="shared" si="152"/>
        <v/>
      </c>
      <c r="AJ216" s="236" t="e">
        <f t="shared" si="138"/>
        <v>#VALUE!</v>
      </c>
      <c r="AK216" s="58" t="str">
        <f t="shared" si="139"/>
        <v/>
      </c>
      <c r="AL216" s="26" t="str">
        <f>IF($A217="","",_xll.SPRDOPT(P216,X216,AI216,0,AB216,AE216,AF216,AK216,$AJ$2,0))</f>
        <v/>
      </c>
      <c r="AM216" s="89" t="str">
        <f t="shared" si="140"/>
        <v/>
      </c>
      <c r="AN216" s="89" t="str">
        <f t="shared" si="141"/>
        <v/>
      </c>
      <c r="AO216" s="3" t="str">
        <f t="shared" si="142"/>
        <v/>
      </c>
      <c r="AP216" s="33" t="str">
        <f t="shared" si="143"/>
        <v/>
      </c>
      <c r="AQ216" s="58" t="str">
        <f t="shared" si="144"/>
        <v/>
      </c>
      <c r="AR216" s="38">
        <f>'ANR OK vs ML7'!AR216</f>
        <v>0.1</v>
      </c>
      <c r="AS216" s="35" t="str">
        <f t="shared" si="145"/>
        <v/>
      </c>
      <c r="AT216" s="3" t="str">
        <f t="shared" si="146"/>
        <v/>
      </c>
      <c r="AU216" s="3" t="str">
        <f t="shared" si="147"/>
        <v/>
      </c>
      <c r="AW216" s="32" t="str">
        <f t="shared" si="148"/>
        <v/>
      </c>
      <c r="AX216" s="32" t="str">
        <f t="shared" si="149"/>
        <v/>
      </c>
      <c r="AY216" s="32" t="str">
        <f t="shared" si="150"/>
        <v/>
      </c>
      <c r="BA216" s="32" t="str">
        <f>IF($A217="","",F216*Summary!$Q$9)</f>
        <v/>
      </c>
    </row>
    <row r="217" spans="1:53" ht="12" customHeight="1">
      <c r="A217" s="67" t="str">
        <f t="shared" si="151"/>
        <v/>
      </c>
      <c r="B217" s="69" t="str">
        <f t="shared" si="153"/>
        <v/>
      </c>
      <c r="C217" s="71"/>
      <c r="D217" s="69" t="str">
        <f t="shared" si="116"/>
        <v/>
      </c>
      <c r="E217" s="70" t="str">
        <f t="shared" si="117"/>
        <v/>
      </c>
      <c r="F217" s="70" t="str">
        <f t="shared" si="118"/>
        <v/>
      </c>
      <c r="G217" s="63" t="str">
        <f t="shared" si="119"/>
        <v/>
      </c>
      <c r="H217" s="64" t="str">
        <f t="shared" si="120"/>
        <v/>
      </c>
      <c r="I217" s="43"/>
      <c r="J217" s="63" t="str">
        <f t="shared" si="121"/>
        <v/>
      </c>
      <c r="K217" s="64" t="str">
        <f t="shared" si="122"/>
        <v/>
      </c>
      <c r="L217" s="63" t="str">
        <f t="shared" si="123"/>
        <v/>
      </c>
      <c r="M217" s="64" t="str">
        <f t="shared" si="124"/>
        <v/>
      </c>
      <c r="N217" s="65"/>
      <c r="O217" s="63" t="str">
        <f t="shared" si="125"/>
        <v/>
      </c>
      <c r="P217" s="63" t="str">
        <f t="shared" si="126"/>
        <v/>
      </c>
      <c r="Q217" s="66"/>
      <c r="R217" s="63" t="str">
        <f t="shared" si="127"/>
        <v/>
      </c>
      <c r="S217" s="64" t="str">
        <f t="shared" si="128"/>
        <v/>
      </c>
      <c r="T217" s="63" t="str">
        <f t="shared" si="129"/>
        <v/>
      </c>
      <c r="U217" s="64" t="str">
        <f t="shared" si="130"/>
        <v/>
      </c>
      <c r="V217" s="90" t="str">
        <f>IF($A218="","",IF(AND(MONTH(A217)&gt;3,MONTH(A217)&lt;11),(T217+R217+G217)*Summary!$T$9/(1-Summary!$T$9),(T217+R217+G217)*Summary!$U$9/(1-Summary!$U$9)))</f>
        <v/>
      </c>
      <c r="W217" s="63" t="str">
        <f t="shared" si="131"/>
        <v/>
      </c>
      <c r="X217" s="63" t="str">
        <f t="shared" si="132"/>
        <v/>
      </c>
      <c r="Y217" s="43"/>
      <c r="Z217" s="38" t="str">
        <f t="shared" si="133"/>
        <v/>
      </c>
      <c r="AA217" s="38" t="str">
        <f t="shared" si="134"/>
        <v/>
      </c>
      <c r="AB217" s="38" t="e">
        <f t="shared" si="135"/>
        <v>#VALUE!</v>
      </c>
      <c r="AC217" s="38" t="str">
        <f t="shared" si="136"/>
        <v/>
      </c>
      <c r="AD217" s="38" t="str">
        <f t="shared" si="136"/>
        <v/>
      </c>
      <c r="AE217" s="38" t="e">
        <f t="shared" si="137"/>
        <v>#VALUE!</v>
      </c>
      <c r="AF217" s="237" t="e">
        <f>((Summary!$N$9*(AA217*AD217)*(A217-$D$3))+(Summary!$M$9*Z217*AC217*(AJ217-EOMONTH(EDATE(A217,-1),0))))/(AK217*AB217*AE217)</f>
        <v>#VALUE!</v>
      </c>
      <c r="AG217" s="88" t="str">
        <f>IF($A218="","",Summary!$Q$9)</f>
        <v/>
      </c>
      <c r="AH217" s="88" t="str">
        <f>IF($A218="","",IF(Summary!$R$9="Y",VLOOKUP($A217,Summary!$AD$6:$AF$9,3)+'Escalating commodity'!E230,'Escalating commodity'!E230))</f>
        <v/>
      </c>
      <c r="AI217" s="88" t="str">
        <f t="shared" si="152"/>
        <v/>
      </c>
      <c r="AJ217" s="236" t="e">
        <f t="shared" si="138"/>
        <v>#VALUE!</v>
      </c>
      <c r="AK217" s="58" t="str">
        <f t="shared" si="139"/>
        <v/>
      </c>
      <c r="AL217" s="26" t="str">
        <f>IF($A218="","",_xll.SPRDOPT(P217,X217,AI217,0,AB217,AE217,AF217,AK217,$AJ$2,0))</f>
        <v/>
      </c>
      <c r="AM217" s="89" t="str">
        <f t="shared" si="140"/>
        <v/>
      </c>
      <c r="AN217" s="89" t="str">
        <f t="shared" si="141"/>
        <v/>
      </c>
      <c r="AO217" s="3" t="str">
        <f t="shared" si="142"/>
        <v/>
      </c>
      <c r="AP217" s="33" t="str">
        <f t="shared" si="143"/>
        <v/>
      </c>
      <c r="AQ217" s="58" t="str">
        <f t="shared" si="144"/>
        <v/>
      </c>
      <c r="AR217" s="38">
        <f>'ANR OK vs ML7'!AR217</f>
        <v>0.1</v>
      </c>
      <c r="AS217" s="35" t="str">
        <f t="shared" si="145"/>
        <v/>
      </c>
      <c r="AT217" s="3" t="str">
        <f t="shared" si="146"/>
        <v/>
      </c>
      <c r="AU217" s="3" t="str">
        <f t="shared" si="147"/>
        <v/>
      </c>
      <c r="AW217" s="32" t="str">
        <f t="shared" si="148"/>
        <v/>
      </c>
      <c r="AX217" s="32" t="str">
        <f t="shared" si="149"/>
        <v/>
      </c>
      <c r="AY217" s="32" t="str">
        <f t="shared" si="150"/>
        <v/>
      </c>
      <c r="BA217" s="32" t="str">
        <f>IF($A218="","",F217*Summary!$Q$9)</f>
        <v/>
      </c>
    </row>
    <row r="218" spans="1:53" ht="12" customHeight="1">
      <c r="A218" s="67" t="str">
        <f t="shared" si="151"/>
        <v/>
      </c>
      <c r="B218" s="69" t="str">
        <f t="shared" si="153"/>
        <v/>
      </c>
      <c r="C218" s="71"/>
      <c r="D218" s="69" t="str">
        <f t="shared" si="116"/>
        <v/>
      </c>
      <c r="E218" s="70" t="str">
        <f t="shared" si="117"/>
        <v/>
      </c>
      <c r="F218" s="70" t="str">
        <f t="shared" si="118"/>
        <v/>
      </c>
      <c r="G218" s="63" t="str">
        <f t="shared" si="119"/>
        <v/>
      </c>
      <c r="H218" s="64" t="str">
        <f t="shared" si="120"/>
        <v/>
      </c>
      <c r="I218" s="43"/>
      <c r="J218" s="63" t="str">
        <f t="shared" si="121"/>
        <v/>
      </c>
      <c r="K218" s="64" t="str">
        <f t="shared" si="122"/>
        <v/>
      </c>
      <c r="L218" s="63" t="str">
        <f t="shared" si="123"/>
        <v/>
      </c>
      <c r="M218" s="64" t="str">
        <f t="shared" si="124"/>
        <v/>
      </c>
      <c r="N218" s="65"/>
      <c r="O218" s="63" t="str">
        <f t="shared" si="125"/>
        <v/>
      </c>
      <c r="P218" s="63" t="str">
        <f t="shared" si="126"/>
        <v/>
      </c>
      <c r="Q218" s="66"/>
      <c r="R218" s="63" t="str">
        <f t="shared" si="127"/>
        <v/>
      </c>
      <c r="S218" s="64" t="str">
        <f t="shared" si="128"/>
        <v/>
      </c>
      <c r="T218" s="63" t="str">
        <f t="shared" si="129"/>
        <v/>
      </c>
      <c r="U218" s="64" t="str">
        <f t="shared" si="130"/>
        <v/>
      </c>
      <c r="V218" s="90" t="str">
        <f>IF($A219="","",IF(AND(MONTH(A218)&gt;3,MONTH(A218)&lt;11),(T218+R218+G218)*Summary!$T$9/(1-Summary!$T$9),(T218+R218+G218)*Summary!$U$9/(1-Summary!$U$9)))</f>
        <v/>
      </c>
      <c r="W218" s="63" t="str">
        <f t="shared" si="131"/>
        <v/>
      </c>
      <c r="X218" s="63" t="str">
        <f t="shared" si="132"/>
        <v/>
      </c>
      <c r="Y218" s="43"/>
      <c r="Z218" s="38" t="str">
        <f t="shared" si="133"/>
        <v/>
      </c>
      <c r="AA218" s="38" t="str">
        <f t="shared" si="134"/>
        <v/>
      </c>
      <c r="AB218" s="38" t="e">
        <f t="shared" si="135"/>
        <v>#VALUE!</v>
      </c>
      <c r="AC218" s="38" t="str">
        <f t="shared" si="136"/>
        <v/>
      </c>
      <c r="AD218" s="38" t="str">
        <f t="shared" si="136"/>
        <v/>
      </c>
      <c r="AE218" s="38" t="e">
        <f t="shared" si="137"/>
        <v>#VALUE!</v>
      </c>
      <c r="AF218" s="237" t="e">
        <f>((Summary!$N$9*(AA218*AD218)*(A218-$D$3))+(Summary!$M$9*Z218*AC218*(AJ218-EOMONTH(EDATE(A218,-1),0))))/(AK218*AB218*AE218)</f>
        <v>#VALUE!</v>
      </c>
      <c r="AG218" s="88" t="str">
        <f>IF($A219="","",Summary!$Q$9)</f>
        <v/>
      </c>
      <c r="AH218" s="88" t="str">
        <f>IF($A219="","",IF(Summary!$R$9="Y",VLOOKUP($A218,Summary!$AD$6:$AF$9,3)+'Escalating commodity'!E231,'Escalating commodity'!E231))</f>
        <v/>
      </c>
      <c r="AI218" s="88" t="str">
        <f t="shared" si="152"/>
        <v/>
      </c>
      <c r="AJ218" s="236" t="e">
        <f t="shared" si="138"/>
        <v>#VALUE!</v>
      </c>
      <c r="AK218" s="58" t="str">
        <f t="shared" si="139"/>
        <v/>
      </c>
      <c r="AL218" s="26" t="str">
        <f>IF($A219="","",_xll.SPRDOPT(P218,X218,AI218,0,AB218,AE218,AF218,AK218,$AJ$2,0))</f>
        <v/>
      </c>
      <c r="AM218" s="89" t="str">
        <f t="shared" si="140"/>
        <v/>
      </c>
      <c r="AN218" s="89" t="str">
        <f t="shared" si="141"/>
        <v/>
      </c>
      <c r="AO218" s="3" t="str">
        <f t="shared" si="142"/>
        <v/>
      </c>
      <c r="AP218" s="33" t="str">
        <f t="shared" si="143"/>
        <v/>
      </c>
      <c r="AQ218" s="58" t="str">
        <f t="shared" si="144"/>
        <v/>
      </c>
      <c r="AR218" s="38">
        <f>'ANR OK vs ML7'!AR218</f>
        <v>0.1</v>
      </c>
      <c r="AS218" s="35" t="str">
        <f t="shared" si="145"/>
        <v/>
      </c>
      <c r="AT218" s="3" t="str">
        <f t="shared" si="146"/>
        <v/>
      </c>
      <c r="AU218" s="3" t="str">
        <f t="shared" si="147"/>
        <v/>
      </c>
      <c r="AW218" s="32" t="str">
        <f t="shared" si="148"/>
        <v/>
      </c>
      <c r="AX218" s="32" t="str">
        <f t="shared" si="149"/>
        <v/>
      </c>
      <c r="AY218" s="32" t="str">
        <f t="shared" si="150"/>
        <v/>
      </c>
      <c r="BA218" s="32" t="str">
        <f>IF($A219="","",F218*Summary!$Q$9)</f>
        <v/>
      </c>
    </row>
    <row r="219" spans="1:53" ht="12" customHeight="1">
      <c r="A219" s="67" t="str">
        <f t="shared" si="151"/>
        <v/>
      </c>
      <c r="B219" s="69" t="str">
        <f t="shared" si="153"/>
        <v/>
      </c>
      <c r="C219" s="71"/>
      <c r="D219" s="69" t="str">
        <f t="shared" si="116"/>
        <v/>
      </c>
      <c r="E219" s="70" t="str">
        <f t="shared" si="117"/>
        <v/>
      </c>
      <c r="F219" s="70" t="str">
        <f t="shared" si="118"/>
        <v/>
      </c>
      <c r="G219" s="63" t="str">
        <f t="shared" si="119"/>
        <v/>
      </c>
      <c r="H219" s="64" t="str">
        <f t="shared" si="120"/>
        <v/>
      </c>
      <c r="I219" s="43"/>
      <c r="J219" s="63" t="str">
        <f t="shared" si="121"/>
        <v/>
      </c>
      <c r="K219" s="64" t="str">
        <f t="shared" si="122"/>
        <v/>
      </c>
      <c r="L219" s="63" t="str">
        <f t="shared" si="123"/>
        <v/>
      </c>
      <c r="M219" s="64" t="str">
        <f t="shared" si="124"/>
        <v/>
      </c>
      <c r="N219" s="65"/>
      <c r="O219" s="63" t="str">
        <f t="shared" si="125"/>
        <v/>
      </c>
      <c r="P219" s="63" t="str">
        <f t="shared" si="126"/>
        <v/>
      </c>
      <c r="Q219" s="66"/>
      <c r="R219" s="63" t="str">
        <f t="shared" si="127"/>
        <v/>
      </c>
      <c r="S219" s="64" t="str">
        <f t="shared" si="128"/>
        <v/>
      </c>
      <c r="T219" s="63" t="str">
        <f t="shared" si="129"/>
        <v/>
      </c>
      <c r="U219" s="64" t="str">
        <f t="shared" si="130"/>
        <v/>
      </c>
      <c r="V219" s="90" t="str">
        <f>IF($A220="","",IF(AND(MONTH(A219)&gt;3,MONTH(A219)&lt;11),(T219+R219+G219)*Summary!$T$9/(1-Summary!$T$9),(T219+R219+G219)*Summary!$U$9/(1-Summary!$U$9)))</f>
        <v/>
      </c>
      <c r="W219" s="63" t="str">
        <f t="shared" si="131"/>
        <v/>
      </c>
      <c r="X219" s="63" t="str">
        <f t="shared" si="132"/>
        <v/>
      </c>
      <c r="Y219" s="43"/>
      <c r="Z219" s="38" t="str">
        <f t="shared" si="133"/>
        <v/>
      </c>
      <c r="AA219" s="38" t="str">
        <f t="shared" si="134"/>
        <v/>
      </c>
      <c r="AB219" s="38" t="e">
        <f t="shared" si="135"/>
        <v>#VALUE!</v>
      </c>
      <c r="AC219" s="38" t="str">
        <f t="shared" si="136"/>
        <v/>
      </c>
      <c r="AD219" s="38" t="str">
        <f t="shared" si="136"/>
        <v/>
      </c>
      <c r="AE219" s="38" t="e">
        <f t="shared" si="137"/>
        <v>#VALUE!</v>
      </c>
      <c r="AF219" s="237" t="e">
        <f>((Summary!$N$9*(AA219*AD219)*(A219-$D$3))+(Summary!$M$9*Z219*AC219*(AJ219-EOMONTH(EDATE(A219,-1),0))))/(AK219*AB219*AE219)</f>
        <v>#VALUE!</v>
      </c>
      <c r="AG219" s="88" t="str">
        <f>IF($A220="","",Summary!$Q$9)</f>
        <v/>
      </c>
      <c r="AH219" s="88" t="str">
        <f>IF($A220="","",IF(Summary!$R$9="Y",VLOOKUP($A219,Summary!$AD$6:$AF$9,3)+'Escalating commodity'!E232,'Escalating commodity'!E232))</f>
        <v/>
      </c>
      <c r="AI219" s="88" t="str">
        <f t="shared" si="152"/>
        <v/>
      </c>
      <c r="AJ219" s="236" t="e">
        <f t="shared" si="138"/>
        <v>#VALUE!</v>
      </c>
      <c r="AK219" s="58" t="str">
        <f t="shared" si="139"/>
        <v/>
      </c>
      <c r="AL219" s="26" t="str">
        <f>IF($A220="","",_xll.SPRDOPT(P219,X219,AI219,0,AB219,AE219,AF219,AK219,$AJ$2,0))</f>
        <v/>
      </c>
      <c r="AM219" s="89" t="str">
        <f t="shared" si="140"/>
        <v/>
      </c>
      <c r="AN219" s="89" t="str">
        <f t="shared" si="141"/>
        <v/>
      </c>
      <c r="AO219" s="3" t="str">
        <f t="shared" si="142"/>
        <v/>
      </c>
      <c r="AP219" s="33" t="str">
        <f t="shared" si="143"/>
        <v/>
      </c>
      <c r="AQ219" s="58" t="str">
        <f t="shared" si="144"/>
        <v/>
      </c>
      <c r="AR219" s="38">
        <f>'ANR OK vs ML7'!AR219</f>
        <v>0.1</v>
      </c>
      <c r="AS219" s="35" t="str">
        <f t="shared" si="145"/>
        <v/>
      </c>
      <c r="AT219" s="3" t="str">
        <f t="shared" si="146"/>
        <v/>
      </c>
      <c r="AU219" s="3" t="str">
        <f t="shared" si="147"/>
        <v/>
      </c>
      <c r="AW219" s="32" t="str">
        <f t="shared" si="148"/>
        <v/>
      </c>
      <c r="AX219" s="32" t="str">
        <f t="shared" si="149"/>
        <v/>
      </c>
      <c r="AY219" s="32" t="str">
        <f t="shared" si="150"/>
        <v/>
      </c>
      <c r="BA219" s="32" t="str">
        <f>IF($A220="","",F219*Summary!$Q$9)</f>
        <v/>
      </c>
    </row>
    <row r="220" spans="1:53" ht="12" customHeight="1">
      <c r="A220" s="67" t="str">
        <f t="shared" si="151"/>
        <v/>
      </c>
      <c r="B220" s="69" t="str">
        <f t="shared" si="153"/>
        <v/>
      </c>
      <c r="C220" s="71"/>
      <c r="D220" s="69" t="str">
        <f t="shared" si="116"/>
        <v/>
      </c>
      <c r="E220" s="70" t="str">
        <f t="shared" si="117"/>
        <v/>
      </c>
      <c r="F220" s="70" t="str">
        <f t="shared" si="118"/>
        <v/>
      </c>
      <c r="G220" s="63" t="str">
        <f t="shared" si="119"/>
        <v/>
      </c>
      <c r="H220" s="64" t="str">
        <f t="shared" si="120"/>
        <v/>
      </c>
      <c r="I220" s="43"/>
      <c r="J220" s="63" t="str">
        <f t="shared" si="121"/>
        <v/>
      </c>
      <c r="K220" s="64" t="str">
        <f t="shared" si="122"/>
        <v/>
      </c>
      <c r="L220" s="63" t="str">
        <f t="shared" si="123"/>
        <v/>
      </c>
      <c r="M220" s="64" t="str">
        <f t="shared" si="124"/>
        <v/>
      </c>
      <c r="N220" s="65"/>
      <c r="O220" s="63" t="str">
        <f t="shared" si="125"/>
        <v/>
      </c>
      <c r="P220" s="63" t="str">
        <f t="shared" si="126"/>
        <v/>
      </c>
      <c r="Q220" s="66"/>
      <c r="R220" s="63" t="str">
        <f t="shared" si="127"/>
        <v/>
      </c>
      <c r="S220" s="64" t="str">
        <f t="shared" si="128"/>
        <v/>
      </c>
      <c r="T220" s="63" t="str">
        <f t="shared" si="129"/>
        <v/>
      </c>
      <c r="U220" s="64" t="str">
        <f t="shared" si="130"/>
        <v/>
      </c>
      <c r="V220" s="90" t="str">
        <f>IF($A221="","",IF(AND(MONTH(A220)&gt;3,MONTH(A220)&lt;11),(T220+R220+G220)*Summary!$T$9/(1-Summary!$T$9),(T220+R220+G220)*Summary!$U$9/(1-Summary!$U$9)))</f>
        <v/>
      </c>
      <c r="W220" s="63" t="str">
        <f t="shared" si="131"/>
        <v/>
      </c>
      <c r="X220" s="63" t="str">
        <f t="shared" si="132"/>
        <v/>
      </c>
      <c r="Y220" s="43"/>
      <c r="Z220" s="38" t="str">
        <f t="shared" si="133"/>
        <v/>
      </c>
      <c r="AA220" s="38" t="str">
        <f t="shared" si="134"/>
        <v/>
      </c>
      <c r="AB220" s="38" t="e">
        <f t="shared" si="135"/>
        <v>#VALUE!</v>
      </c>
      <c r="AC220" s="38" t="str">
        <f t="shared" si="136"/>
        <v/>
      </c>
      <c r="AD220" s="38" t="str">
        <f t="shared" si="136"/>
        <v/>
      </c>
      <c r="AE220" s="38" t="e">
        <f t="shared" si="137"/>
        <v>#VALUE!</v>
      </c>
      <c r="AF220" s="237" t="e">
        <f>((Summary!$N$9*(AA220*AD220)*(A220-$D$3))+(Summary!$M$9*Z220*AC220*(AJ220-EOMONTH(EDATE(A220,-1),0))))/(AK220*AB220*AE220)</f>
        <v>#VALUE!</v>
      </c>
      <c r="AG220" s="88" t="str">
        <f>IF($A221="","",Summary!$Q$9)</f>
        <v/>
      </c>
      <c r="AH220" s="88" t="str">
        <f>IF($A221="","",IF(Summary!$R$9="Y",VLOOKUP($A220,Summary!$AD$6:$AF$9,3)+'Escalating commodity'!E233,'Escalating commodity'!E233))</f>
        <v/>
      </c>
      <c r="AI220" s="88" t="str">
        <f t="shared" si="152"/>
        <v/>
      </c>
      <c r="AJ220" s="236" t="e">
        <f t="shared" si="138"/>
        <v>#VALUE!</v>
      </c>
      <c r="AK220" s="58" t="str">
        <f t="shared" si="139"/>
        <v/>
      </c>
      <c r="AL220" s="26" t="str">
        <f>IF($A221="","",_xll.SPRDOPT(P220,X220,AI220,0,AB220,AE220,AF220,AK220,$AJ$2,0))</f>
        <v/>
      </c>
      <c r="AM220" s="89" t="str">
        <f t="shared" si="140"/>
        <v/>
      </c>
      <c r="AN220" s="89" t="str">
        <f t="shared" si="141"/>
        <v/>
      </c>
      <c r="AO220" s="3" t="str">
        <f t="shared" si="142"/>
        <v/>
      </c>
      <c r="AP220" s="33" t="str">
        <f t="shared" si="143"/>
        <v/>
      </c>
      <c r="AQ220" s="58" t="str">
        <f t="shared" si="144"/>
        <v/>
      </c>
      <c r="AR220" s="38">
        <f>'ANR OK vs ML7'!AR220</f>
        <v>0.1</v>
      </c>
      <c r="AS220" s="35" t="str">
        <f t="shared" si="145"/>
        <v/>
      </c>
      <c r="AT220" s="3" t="str">
        <f t="shared" si="146"/>
        <v/>
      </c>
      <c r="AU220" s="3" t="str">
        <f t="shared" si="147"/>
        <v/>
      </c>
      <c r="AW220" s="32" t="str">
        <f t="shared" si="148"/>
        <v/>
      </c>
      <c r="AX220" s="32" t="str">
        <f t="shared" si="149"/>
        <v/>
      </c>
      <c r="AY220" s="32" t="str">
        <f t="shared" si="150"/>
        <v/>
      </c>
      <c r="BA220" s="32" t="str">
        <f>IF($A221="","",F220*Summary!$Q$9)</f>
        <v/>
      </c>
    </row>
    <row r="221" spans="1:53" ht="12" customHeight="1">
      <c r="A221" s="67" t="str">
        <f t="shared" si="151"/>
        <v/>
      </c>
      <c r="B221" s="69" t="str">
        <f t="shared" si="153"/>
        <v/>
      </c>
      <c r="C221" s="71"/>
      <c r="D221" s="69" t="str">
        <f t="shared" si="116"/>
        <v/>
      </c>
      <c r="E221" s="70" t="str">
        <f t="shared" si="117"/>
        <v/>
      </c>
      <c r="F221" s="70" t="str">
        <f t="shared" si="118"/>
        <v/>
      </c>
      <c r="G221" s="63" t="str">
        <f t="shared" si="119"/>
        <v/>
      </c>
      <c r="H221" s="64" t="str">
        <f t="shared" si="120"/>
        <v/>
      </c>
      <c r="I221" s="43"/>
      <c r="J221" s="63" t="str">
        <f t="shared" si="121"/>
        <v/>
      </c>
      <c r="K221" s="64" t="str">
        <f t="shared" si="122"/>
        <v/>
      </c>
      <c r="L221" s="63" t="str">
        <f t="shared" si="123"/>
        <v/>
      </c>
      <c r="M221" s="64" t="str">
        <f t="shared" si="124"/>
        <v/>
      </c>
      <c r="N221" s="65"/>
      <c r="O221" s="63" t="str">
        <f t="shared" si="125"/>
        <v/>
      </c>
      <c r="P221" s="63" t="str">
        <f t="shared" si="126"/>
        <v/>
      </c>
      <c r="Q221" s="66"/>
      <c r="R221" s="63" t="str">
        <f t="shared" si="127"/>
        <v/>
      </c>
      <c r="S221" s="64" t="str">
        <f t="shared" si="128"/>
        <v/>
      </c>
      <c r="T221" s="63" t="str">
        <f t="shared" si="129"/>
        <v/>
      </c>
      <c r="U221" s="64" t="str">
        <f t="shared" si="130"/>
        <v/>
      </c>
      <c r="V221" s="90" t="str">
        <f>IF($A222="","",IF(AND(MONTH(A221)&gt;3,MONTH(A221)&lt;11),(T221+R221+G221)*Summary!$T$9/(1-Summary!$T$9),(T221+R221+G221)*Summary!$U$9/(1-Summary!$U$9)))</f>
        <v/>
      </c>
      <c r="W221" s="63" t="str">
        <f t="shared" si="131"/>
        <v/>
      </c>
      <c r="X221" s="63" t="str">
        <f t="shared" si="132"/>
        <v/>
      </c>
      <c r="Y221" s="43"/>
      <c r="Z221" s="38" t="str">
        <f t="shared" si="133"/>
        <v/>
      </c>
      <c r="AA221" s="38" t="str">
        <f t="shared" si="134"/>
        <v/>
      </c>
      <c r="AB221" s="38" t="e">
        <f t="shared" si="135"/>
        <v>#VALUE!</v>
      </c>
      <c r="AC221" s="38" t="str">
        <f t="shared" si="136"/>
        <v/>
      </c>
      <c r="AD221" s="38" t="str">
        <f t="shared" si="136"/>
        <v/>
      </c>
      <c r="AE221" s="38" t="e">
        <f t="shared" si="137"/>
        <v>#VALUE!</v>
      </c>
      <c r="AF221" s="237" t="e">
        <f>((Summary!$N$9*(AA221*AD221)*(A221-$D$3))+(Summary!$M$9*Z221*AC221*(AJ221-EOMONTH(EDATE(A221,-1),0))))/(AK221*AB221*AE221)</f>
        <v>#VALUE!</v>
      </c>
      <c r="AG221" s="88" t="str">
        <f>IF($A222="","",Summary!$Q$9)</f>
        <v/>
      </c>
      <c r="AH221" s="88" t="str">
        <f>IF($A222="","",IF(Summary!$R$9="Y",VLOOKUP($A221,Summary!$AD$6:$AF$9,3)+'Escalating commodity'!E234,'Escalating commodity'!E234))</f>
        <v/>
      </c>
      <c r="AI221" s="88" t="str">
        <f t="shared" si="152"/>
        <v/>
      </c>
      <c r="AJ221" s="236" t="e">
        <f t="shared" si="138"/>
        <v>#VALUE!</v>
      </c>
      <c r="AK221" s="58" t="str">
        <f t="shared" si="139"/>
        <v/>
      </c>
      <c r="AL221" s="26" t="str">
        <f>IF($A222="","",_xll.SPRDOPT(P221,X221,AI221,0,AB221,AE221,AF221,AK221,$AJ$2,0))</f>
        <v/>
      </c>
      <c r="AM221" s="89" t="str">
        <f t="shared" si="140"/>
        <v/>
      </c>
      <c r="AN221" s="89" t="str">
        <f t="shared" si="141"/>
        <v/>
      </c>
      <c r="AO221" s="3" t="str">
        <f t="shared" si="142"/>
        <v/>
      </c>
      <c r="AP221" s="33" t="str">
        <f t="shared" si="143"/>
        <v/>
      </c>
      <c r="AQ221" s="58" t="str">
        <f t="shared" si="144"/>
        <v/>
      </c>
      <c r="AR221" s="38">
        <f>'ANR OK vs ML7'!AR221</f>
        <v>0.1</v>
      </c>
      <c r="AS221" s="35" t="str">
        <f t="shared" si="145"/>
        <v/>
      </c>
      <c r="AT221" s="3" t="str">
        <f t="shared" si="146"/>
        <v/>
      </c>
      <c r="AU221" s="3" t="str">
        <f t="shared" si="147"/>
        <v/>
      </c>
      <c r="AW221" s="32" t="str">
        <f t="shared" si="148"/>
        <v/>
      </c>
      <c r="AX221" s="32" t="str">
        <f t="shared" si="149"/>
        <v/>
      </c>
      <c r="AY221" s="32" t="str">
        <f t="shared" si="150"/>
        <v/>
      </c>
      <c r="BA221" s="32" t="str">
        <f>IF($A222="","",F221*Summary!$Q$9)</f>
        <v/>
      </c>
    </row>
    <row r="222" spans="1:53" ht="12" customHeight="1">
      <c r="A222" s="67" t="str">
        <f t="shared" si="151"/>
        <v/>
      </c>
      <c r="B222" s="69" t="str">
        <f t="shared" si="153"/>
        <v/>
      </c>
      <c r="C222" s="71"/>
      <c r="D222" s="69" t="str">
        <f t="shared" si="116"/>
        <v/>
      </c>
      <c r="E222" s="70" t="str">
        <f t="shared" si="117"/>
        <v/>
      </c>
      <c r="F222" s="70" t="str">
        <f t="shared" si="118"/>
        <v/>
      </c>
      <c r="G222" s="63" t="str">
        <f t="shared" si="119"/>
        <v/>
      </c>
      <c r="H222" s="64" t="str">
        <f t="shared" si="120"/>
        <v/>
      </c>
      <c r="I222" s="43"/>
      <c r="J222" s="63" t="str">
        <f t="shared" si="121"/>
        <v/>
      </c>
      <c r="K222" s="64" t="str">
        <f t="shared" si="122"/>
        <v/>
      </c>
      <c r="L222" s="63" t="str">
        <f t="shared" si="123"/>
        <v/>
      </c>
      <c r="M222" s="64" t="str">
        <f t="shared" si="124"/>
        <v/>
      </c>
      <c r="N222" s="65"/>
      <c r="O222" s="63" t="str">
        <f t="shared" si="125"/>
        <v/>
      </c>
      <c r="P222" s="63" t="str">
        <f t="shared" si="126"/>
        <v/>
      </c>
      <c r="Q222" s="66"/>
      <c r="R222" s="63" t="str">
        <f t="shared" si="127"/>
        <v/>
      </c>
      <c r="S222" s="64" t="str">
        <f t="shared" si="128"/>
        <v/>
      </c>
      <c r="T222" s="63" t="str">
        <f t="shared" si="129"/>
        <v/>
      </c>
      <c r="U222" s="64" t="str">
        <f t="shared" si="130"/>
        <v/>
      </c>
      <c r="V222" s="90" t="str">
        <f>IF($A223="","",IF(AND(MONTH(A222)&gt;3,MONTH(A222)&lt;11),(T222+R222+G222)*Summary!$T$9/(1-Summary!$T$9),(T222+R222+G222)*Summary!$U$9/(1-Summary!$U$9)))</f>
        <v/>
      </c>
      <c r="W222" s="63" t="str">
        <f t="shared" si="131"/>
        <v/>
      </c>
      <c r="X222" s="63" t="str">
        <f t="shared" si="132"/>
        <v/>
      </c>
      <c r="Y222" s="43"/>
      <c r="Z222" s="38" t="str">
        <f t="shared" si="133"/>
        <v/>
      </c>
      <c r="AA222" s="38" t="str">
        <f t="shared" si="134"/>
        <v/>
      </c>
      <c r="AB222" s="38" t="e">
        <f t="shared" si="135"/>
        <v>#VALUE!</v>
      </c>
      <c r="AC222" s="38" t="str">
        <f t="shared" si="136"/>
        <v/>
      </c>
      <c r="AD222" s="38" t="str">
        <f t="shared" si="136"/>
        <v/>
      </c>
      <c r="AE222" s="38" t="e">
        <f t="shared" si="137"/>
        <v>#VALUE!</v>
      </c>
      <c r="AF222" s="237" t="e">
        <f>((Summary!$N$9*(AA222*AD222)*(A222-$D$3))+(Summary!$M$9*Z222*AC222*(AJ222-EOMONTH(EDATE(A222,-1),0))))/(AK222*AB222*AE222)</f>
        <v>#VALUE!</v>
      </c>
      <c r="AG222" s="88" t="str">
        <f>IF($A223="","",Summary!$Q$9)</f>
        <v/>
      </c>
      <c r="AH222" s="88" t="str">
        <f>IF($A223="","",IF(Summary!$R$9="Y",VLOOKUP($A222,Summary!$AD$6:$AF$9,3)+'Escalating commodity'!E235,'Escalating commodity'!E235))</f>
        <v/>
      </c>
      <c r="AI222" s="88" t="str">
        <f t="shared" si="152"/>
        <v/>
      </c>
      <c r="AJ222" s="236" t="e">
        <f t="shared" si="138"/>
        <v>#VALUE!</v>
      </c>
      <c r="AK222" s="58" t="str">
        <f t="shared" si="139"/>
        <v/>
      </c>
      <c r="AL222" s="26" t="str">
        <f>IF($A223="","",_xll.SPRDOPT(P222,X222,AI222,0,AB222,AE222,AF222,AK222,$AJ$2,0))</f>
        <v/>
      </c>
      <c r="AM222" s="89" t="str">
        <f t="shared" si="140"/>
        <v/>
      </c>
      <c r="AN222" s="89" t="str">
        <f t="shared" si="141"/>
        <v/>
      </c>
      <c r="AO222" s="3" t="str">
        <f t="shared" si="142"/>
        <v/>
      </c>
      <c r="AP222" s="33" t="str">
        <f t="shared" si="143"/>
        <v/>
      </c>
      <c r="AQ222" s="58" t="str">
        <f t="shared" si="144"/>
        <v/>
      </c>
      <c r="AR222" s="38">
        <f>'ANR OK vs ML7'!AR222</f>
        <v>0.1</v>
      </c>
      <c r="AS222" s="35" t="str">
        <f t="shared" si="145"/>
        <v/>
      </c>
      <c r="AT222" s="3" t="str">
        <f t="shared" si="146"/>
        <v/>
      </c>
      <c r="AU222" s="3" t="str">
        <f t="shared" si="147"/>
        <v/>
      </c>
      <c r="AW222" s="32" t="str">
        <f t="shared" si="148"/>
        <v/>
      </c>
      <c r="AX222" s="32" t="str">
        <f t="shared" si="149"/>
        <v/>
      </c>
      <c r="AY222" s="32" t="str">
        <f t="shared" si="150"/>
        <v/>
      </c>
      <c r="BA222" s="32" t="str">
        <f>IF($A223="","",F222*Summary!$Q$9)</f>
        <v/>
      </c>
    </row>
    <row r="223" spans="1:53" ht="12" customHeight="1">
      <c r="A223" s="67" t="str">
        <f t="shared" si="151"/>
        <v/>
      </c>
      <c r="B223" s="69" t="str">
        <f t="shared" si="153"/>
        <v/>
      </c>
      <c r="C223" s="71"/>
      <c r="D223" s="69" t="str">
        <f t="shared" si="116"/>
        <v/>
      </c>
      <c r="E223" s="70" t="str">
        <f t="shared" si="117"/>
        <v/>
      </c>
      <c r="F223" s="70" t="str">
        <f t="shared" si="118"/>
        <v/>
      </c>
      <c r="G223" s="63" t="str">
        <f t="shared" si="119"/>
        <v/>
      </c>
      <c r="H223" s="64" t="str">
        <f t="shared" si="120"/>
        <v/>
      </c>
      <c r="I223" s="43"/>
      <c r="J223" s="63" t="str">
        <f t="shared" si="121"/>
        <v/>
      </c>
      <c r="K223" s="64" t="str">
        <f t="shared" si="122"/>
        <v/>
      </c>
      <c r="L223" s="63" t="str">
        <f t="shared" si="123"/>
        <v/>
      </c>
      <c r="M223" s="64" t="str">
        <f t="shared" si="124"/>
        <v/>
      </c>
      <c r="N223" s="65"/>
      <c r="O223" s="63" t="str">
        <f t="shared" si="125"/>
        <v/>
      </c>
      <c r="P223" s="63" t="str">
        <f t="shared" si="126"/>
        <v/>
      </c>
      <c r="Q223" s="66"/>
      <c r="R223" s="63" t="str">
        <f t="shared" si="127"/>
        <v/>
      </c>
      <c r="S223" s="64" t="str">
        <f t="shared" si="128"/>
        <v/>
      </c>
      <c r="T223" s="63" t="str">
        <f t="shared" si="129"/>
        <v/>
      </c>
      <c r="U223" s="64" t="str">
        <f t="shared" si="130"/>
        <v/>
      </c>
      <c r="V223" s="90" t="str">
        <f>IF($A224="","",IF(AND(MONTH(A223)&gt;3,MONTH(A223)&lt;11),(T223+R223+G223)*Summary!$T$9/(1-Summary!$T$9),(T223+R223+G223)*Summary!$U$9/(1-Summary!$U$9)))</f>
        <v/>
      </c>
      <c r="W223" s="63" t="str">
        <f t="shared" si="131"/>
        <v/>
      </c>
      <c r="X223" s="63" t="str">
        <f t="shared" si="132"/>
        <v/>
      </c>
      <c r="Y223" s="43"/>
      <c r="Z223" s="38" t="str">
        <f t="shared" si="133"/>
        <v/>
      </c>
      <c r="AA223" s="38" t="str">
        <f t="shared" si="134"/>
        <v/>
      </c>
      <c r="AB223" s="38" t="e">
        <f t="shared" si="135"/>
        <v>#VALUE!</v>
      </c>
      <c r="AC223" s="38" t="str">
        <f t="shared" si="136"/>
        <v/>
      </c>
      <c r="AD223" s="38" t="str">
        <f t="shared" si="136"/>
        <v/>
      </c>
      <c r="AE223" s="38" t="e">
        <f t="shared" si="137"/>
        <v>#VALUE!</v>
      </c>
      <c r="AF223" s="237" t="e">
        <f>((Summary!$N$9*(AA223*AD223)*(A223-$D$3))+(Summary!$M$9*Z223*AC223*(AJ223-EOMONTH(EDATE(A223,-1),0))))/(AK223*AB223*AE223)</f>
        <v>#VALUE!</v>
      </c>
      <c r="AG223" s="88" t="str">
        <f>IF($A224="","",Summary!$Q$9)</f>
        <v/>
      </c>
      <c r="AH223" s="88" t="str">
        <f>IF($A224="","",IF(Summary!$R$9="Y",VLOOKUP($A223,Summary!$AD$6:$AF$9,3)+'Escalating commodity'!E236,'Escalating commodity'!E236))</f>
        <v/>
      </c>
      <c r="AI223" s="88" t="str">
        <f t="shared" si="152"/>
        <v/>
      </c>
      <c r="AJ223" s="236" t="e">
        <f t="shared" si="138"/>
        <v>#VALUE!</v>
      </c>
      <c r="AK223" s="58" t="str">
        <f t="shared" si="139"/>
        <v/>
      </c>
      <c r="AL223" s="26" t="str">
        <f>IF($A224="","",_xll.SPRDOPT(P223,X223,AI223,0,AB223,AE223,AF223,AK223,$AJ$2,0))</f>
        <v/>
      </c>
      <c r="AM223" s="89" t="str">
        <f t="shared" si="140"/>
        <v/>
      </c>
      <c r="AN223" s="89" t="str">
        <f t="shared" si="141"/>
        <v/>
      </c>
      <c r="AO223" s="3" t="str">
        <f t="shared" si="142"/>
        <v/>
      </c>
      <c r="AP223" s="33" t="str">
        <f t="shared" si="143"/>
        <v/>
      </c>
      <c r="AQ223" s="58" t="str">
        <f t="shared" si="144"/>
        <v/>
      </c>
      <c r="AR223" s="38">
        <f>'ANR OK vs ML7'!AR223</f>
        <v>0.1</v>
      </c>
      <c r="AS223" s="35" t="str">
        <f t="shared" si="145"/>
        <v/>
      </c>
      <c r="AT223" s="3" t="str">
        <f t="shared" si="146"/>
        <v/>
      </c>
      <c r="AU223" s="3" t="str">
        <f t="shared" si="147"/>
        <v/>
      </c>
      <c r="AW223" s="32" t="str">
        <f t="shared" si="148"/>
        <v/>
      </c>
      <c r="AX223" s="32" t="str">
        <f t="shared" si="149"/>
        <v/>
      </c>
      <c r="AY223" s="32" t="str">
        <f t="shared" si="150"/>
        <v/>
      </c>
      <c r="BA223" s="32" t="str">
        <f>IF($A224="","",F223*Summary!$Q$9)</f>
        <v/>
      </c>
    </row>
    <row r="224" spans="1:53" ht="12" customHeight="1">
      <c r="A224" s="67" t="str">
        <f t="shared" si="151"/>
        <v/>
      </c>
      <c r="B224" s="69" t="str">
        <f t="shared" si="153"/>
        <v/>
      </c>
      <c r="C224" s="71"/>
      <c r="D224" s="69" t="str">
        <f t="shared" si="116"/>
        <v/>
      </c>
      <c r="E224" s="70" t="str">
        <f t="shared" si="117"/>
        <v/>
      </c>
      <c r="F224" s="70" t="str">
        <f t="shared" si="118"/>
        <v/>
      </c>
      <c r="G224" s="63" t="str">
        <f t="shared" si="119"/>
        <v/>
      </c>
      <c r="H224" s="64" t="str">
        <f t="shared" si="120"/>
        <v/>
      </c>
      <c r="I224" s="43"/>
      <c r="J224" s="63" t="str">
        <f t="shared" si="121"/>
        <v/>
      </c>
      <c r="K224" s="64" t="str">
        <f t="shared" si="122"/>
        <v/>
      </c>
      <c r="L224" s="63" t="str">
        <f t="shared" si="123"/>
        <v/>
      </c>
      <c r="M224" s="64" t="str">
        <f t="shared" si="124"/>
        <v/>
      </c>
      <c r="N224" s="65"/>
      <c r="O224" s="63" t="str">
        <f t="shared" si="125"/>
        <v/>
      </c>
      <c r="P224" s="63" t="str">
        <f t="shared" si="126"/>
        <v/>
      </c>
      <c r="Q224" s="66"/>
      <c r="R224" s="63" t="str">
        <f t="shared" si="127"/>
        <v/>
      </c>
      <c r="S224" s="64" t="str">
        <f t="shared" si="128"/>
        <v/>
      </c>
      <c r="T224" s="63" t="str">
        <f t="shared" si="129"/>
        <v/>
      </c>
      <c r="U224" s="64" t="str">
        <f t="shared" si="130"/>
        <v/>
      </c>
      <c r="V224" s="90" t="str">
        <f>IF($A225="","",IF(AND(MONTH(A224)&gt;3,MONTH(A224)&lt;11),(T224+R224+G224)*Summary!$T$9/(1-Summary!$T$9),(T224+R224+G224)*Summary!$U$9/(1-Summary!$U$9)))</f>
        <v/>
      </c>
      <c r="W224" s="63" t="str">
        <f t="shared" si="131"/>
        <v/>
      </c>
      <c r="X224" s="63" t="str">
        <f t="shared" si="132"/>
        <v/>
      </c>
      <c r="Y224" s="43"/>
      <c r="Z224" s="38" t="str">
        <f t="shared" si="133"/>
        <v/>
      </c>
      <c r="AA224" s="38" t="str">
        <f t="shared" si="134"/>
        <v/>
      </c>
      <c r="AB224" s="38" t="e">
        <f t="shared" si="135"/>
        <v>#VALUE!</v>
      </c>
      <c r="AC224" s="38" t="str">
        <f t="shared" si="136"/>
        <v/>
      </c>
      <c r="AD224" s="38" t="str">
        <f t="shared" si="136"/>
        <v/>
      </c>
      <c r="AE224" s="38" t="e">
        <f t="shared" si="137"/>
        <v>#VALUE!</v>
      </c>
      <c r="AF224" s="237" t="e">
        <f>((Summary!$N$9*(AA224*AD224)*(A224-$D$3))+(Summary!$M$9*Z224*AC224*(AJ224-EOMONTH(EDATE(A224,-1),0))))/(AK224*AB224*AE224)</f>
        <v>#VALUE!</v>
      </c>
      <c r="AG224" s="88" t="str">
        <f>IF($A225="","",Summary!$Q$9)</f>
        <v/>
      </c>
      <c r="AH224" s="88" t="str">
        <f>IF($A225="","",IF(Summary!$R$9="Y",VLOOKUP($A224,Summary!$AD$6:$AF$9,3)+'Escalating commodity'!E237,'Escalating commodity'!E237))</f>
        <v/>
      </c>
      <c r="AI224" s="88" t="str">
        <f t="shared" si="152"/>
        <v/>
      </c>
      <c r="AJ224" s="236" t="e">
        <f t="shared" si="138"/>
        <v>#VALUE!</v>
      </c>
      <c r="AK224" s="58" t="str">
        <f t="shared" si="139"/>
        <v/>
      </c>
      <c r="AL224" s="26" t="str">
        <f>IF($A225="","",_xll.SPRDOPT(P224,X224,AI224,0,AB224,AE224,AF224,AK224,$AJ$2,0))</f>
        <v/>
      </c>
      <c r="AM224" s="89" t="str">
        <f t="shared" si="140"/>
        <v/>
      </c>
      <c r="AN224" s="89" t="str">
        <f t="shared" si="141"/>
        <v/>
      </c>
      <c r="AO224" s="3" t="str">
        <f t="shared" si="142"/>
        <v/>
      </c>
      <c r="AP224" s="33" t="str">
        <f t="shared" si="143"/>
        <v/>
      </c>
      <c r="AQ224" s="58" t="str">
        <f t="shared" si="144"/>
        <v/>
      </c>
      <c r="AR224" s="38">
        <f>'ANR OK vs ML7'!AR224</f>
        <v>0.1</v>
      </c>
      <c r="AS224" s="35" t="str">
        <f t="shared" si="145"/>
        <v/>
      </c>
      <c r="AT224" s="3" t="str">
        <f t="shared" si="146"/>
        <v/>
      </c>
      <c r="AU224" s="3" t="str">
        <f t="shared" si="147"/>
        <v/>
      </c>
      <c r="AW224" s="32" t="str">
        <f t="shared" si="148"/>
        <v/>
      </c>
      <c r="AX224" s="32" t="str">
        <f t="shared" si="149"/>
        <v/>
      </c>
      <c r="AY224" s="32" t="str">
        <f t="shared" si="150"/>
        <v/>
      </c>
      <c r="BA224" s="32" t="str">
        <f>IF($A225="","",F224*Summary!$Q$9)</f>
        <v/>
      </c>
    </row>
    <row r="225" spans="1:53" ht="12" customHeight="1">
      <c r="A225" s="67" t="str">
        <f t="shared" si="151"/>
        <v/>
      </c>
      <c r="B225" s="69" t="str">
        <f t="shared" si="153"/>
        <v/>
      </c>
      <c r="C225" s="71"/>
      <c r="D225" s="69" t="str">
        <f t="shared" si="116"/>
        <v/>
      </c>
      <c r="E225" s="70" t="str">
        <f t="shared" si="117"/>
        <v/>
      </c>
      <c r="F225" s="70" t="str">
        <f t="shared" si="118"/>
        <v/>
      </c>
      <c r="G225" s="63" t="str">
        <f t="shared" si="119"/>
        <v/>
      </c>
      <c r="H225" s="64" t="str">
        <f t="shared" si="120"/>
        <v/>
      </c>
      <c r="I225" s="43"/>
      <c r="J225" s="63" t="str">
        <f t="shared" si="121"/>
        <v/>
      </c>
      <c r="K225" s="64" t="str">
        <f t="shared" si="122"/>
        <v/>
      </c>
      <c r="L225" s="63" t="str">
        <f t="shared" si="123"/>
        <v/>
      </c>
      <c r="M225" s="64" t="str">
        <f t="shared" si="124"/>
        <v/>
      </c>
      <c r="N225" s="65"/>
      <c r="O225" s="63" t="str">
        <f t="shared" si="125"/>
        <v/>
      </c>
      <c r="P225" s="63" t="str">
        <f t="shared" si="126"/>
        <v/>
      </c>
      <c r="Q225" s="66"/>
      <c r="R225" s="63" t="str">
        <f t="shared" si="127"/>
        <v/>
      </c>
      <c r="S225" s="64" t="str">
        <f t="shared" si="128"/>
        <v/>
      </c>
      <c r="T225" s="63" t="str">
        <f t="shared" si="129"/>
        <v/>
      </c>
      <c r="U225" s="64" t="str">
        <f t="shared" si="130"/>
        <v/>
      </c>
      <c r="V225" s="90" t="str">
        <f>IF($A226="","",IF(AND(MONTH(A225)&gt;3,MONTH(A225)&lt;11),(T225+R225+G225)*Summary!$T$9/(1-Summary!$T$9),(T225+R225+G225)*Summary!$U$9/(1-Summary!$U$9)))</f>
        <v/>
      </c>
      <c r="W225" s="63" t="str">
        <f t="shared" si="131"/>
        <v/>
      </c>
      <c r="X225" s="63" t="str">
        <f t="shared" si="132"/>
        <v/>
      </c>
      <c r="Y225" s="43"/>
      <c r="Z225" s="38" t="str">
        <f t="shared" si="133"/>
        <v/>
      </c>
      <c r="AA225" s="38" t="str">
        <f t="shared" si="134"/>
        <v/>
      </c>
      <c r="AB225" s="38" t="e">
        <f t="shared" si="135"/>
        <v>#VALUE!</v>
      </c>
      <c r="AC225" s="38" t="str">
        <f t="shared" si="136"/>
        <v/>
      </c>
      <c r="AD225" s="38" t="str">
        <f t="shared" si="136"/>
        <v/>
      </c>
      <c r="AE225" s="38" t="e">
        <f t="shared" si="137"/>
        <v>#VALUE!</v>
      </c>
      <c r="AF225" s="237" t="e">
        <f>((Summary!$N$9*(AA225*AD225)*(A225-$D$3))+(Summary!$M$9*Z225*AC225*(AJ225-EOMONTH(EDATE(A225,-1),0))))/(AK225*AB225*AE225)</f>
        <v>#VALUE!</v>
      </c>
      <c r="AG225" s="88" t="str">
        <f>IF($A226="","",Summary!$Q$9)</f>
        <v/>
      </c>
      <c r="AH225" s="88" t="str">
        <f>IF($A226="","",IF(Summary!$R$9="Y",VLOOKUP($A225,Summary!$AD$6:$AF$9,3)+'Escalating commodity'!E238,'Escalating commodity'!E238))</f>
        <v/>
      </c>
      <c r="AI225" s="88" t="str">
        <f t="shared" si="152"/>
        <v/>
      </c>
      <c r="AJ225" s="236" t="e">
        <f t="shared" si="138"/>
        <v>#VALUE!</v>
      </c>
      <c r="AK225" s="58" t="str">
        <f t="shared" si="139"/>
        <v/>
      </c>
      <c r="AL225" s="26" t="str">
        <f>IF($A226="","",_xll.SPRDOPT(P225,X225,AI225,0,AB225,AE225,AF225,AK225,$AJ$2,0))</f>
        <v/>
      </c>
      <c r="AM225" s="89" t="str">
        <f t="shared" si="140"/>
        <v/>
      </c>
      <c r="AN225" s="89" t="str">
        <f t="shared" si="141"/>
        <v/>
      </c>
      <c r="AO225" s="3" t="str">
        <f t="shared" si="142"/>
        <v/>
      </c>
      <c r="AP225" s="33" t="str">
        <f t="shared" si="143"/>
        <v/>
      </c>
      <c r="AQ225" s="58" t="str">
        <f t="shared" si="144"/>
        <v/>
      </c>
      <c r="AR225" s="38">
        <f>'ANR OK vs ML7'!AR225</f>
        <v>0.1</v>
      </c>
      <c r="AS225" s="35" t="str">
        <f t="shared" si="145"/>
        <v/>
      </c>
      <c r="AT225" s="3" t="str">
        <f t="shared" si="146"/>
        <v/>
      </c>
      <c r="AU225" s="3" t="str">
        <f t="shared" si="147"/>
        <v/>
      </c>
      <c r="AW225" s="32" t="str">
        <f t="shared" si="148"/>
        <v/>
      </c>
      <c r="AX225" s="32" t="str">
        <f t="shared" si="149"/>
        <v/>
      </c>
      <c r="AY225" s="32" t="str">
        <f t="shared" si="150"/>
        <v/>
      </c>
      <c r="BA225" s="32" t="str">
        <f>IF($A226="","",F225*Summary!$Q$9)</f>
        <v/>
      </c>
    </row>
    <row r="226" spans="1:53" ht="12" customHeight="1">
      <c r="A226" s="67" t="str">
        <f t="shared" si="151"/>
        <v/>
      </c>
      <c r="B226" s="69" t="str">
        <f t="shared" si="153"/>
        <v/>
      </c>
      <c r="C226" s="71"/>
      <c r="D226" s="69" t="str">
        <f t="shared" si="116"/>
        <v/>
      </c>
      <c r="E226" s="70" t="str">
        <f t="shared" si="117"/>
        <v/>
      </c>
      <c r="F226" s="70" t="str">
        <f t="shared" si="118"/>
        <v/>
      </c>
      <c r="G226" s="63" t="str">
        <f t="shared" si="119"/>
        <v/>
      </c>
      <c r="H226" s="64" t="str">
        <f t="shared" si="120"/>
        <v/>
      </c>
      <c r="I226" s="43"/>
      <c r="J226" s="63" t="str">
        <f t="shared" si="121"/>
        <v/>
      </c>
      <c r="K226" s="64" t="str">
        <f t="shared" si="122"/>
        <v/>
      </c>
      <c r="L226" s="63" t="str">
        <f t="shared" si="123"/>
        <v/>
      </c>
      <c r="M226" s="64" t="str">
        <f t="shared" si="124"/>
        <v/>
      </c>
      <c r="N226" s="65"/>
      <c r="O226" s="63" t="str">
        <f t="shared" si="125"/>
        <v/>
      </c>
      <c r="P226" s="63" t="str">
        <f t="shared" si="126"/>
        <v/>
      </c>
      <c r="Q226" s="66"/>
      <c r="R226" s="63" t="str">
        <f t="shared" si="127"/>
        <v/>
      </c>
      <c r="S226" s="64" t="str">
        <f t="shared" si="128"/>
        <v/>
      </c>
      <c r="T226" s="63" t="str">
        <f t="shared" si="129"/>
        <v/>
      </c>
      <c r="U226" s="64" t="str">
        <f t="shared" si="130"/>
        <v/>
      </c>
      <c r="V226" s="90" t="str">
        <f>IF($A227="","",IF(AND(MONTH(A226)&gt;3,MONTH(A226)&lt;11),(T226+R226+G226)*Summary!$T$9/(1-Summary!$T$9),(T226+R226+G226)*Summary!$U$9/(1-Summary!$U$9)))</f>
        <v/>
      </c>
      <c r="W226" s="63" t="str">
        <f t="shared" si="131"/>
        <v/>
      </c>
      <c r="X226" s="63" t="str">
        <f t="shared" si="132"/>
        <v/>
      </c>
      <c r="Y226" s="43"/>
      <c r="Z226" s="38" t="str">
        <f t="shared" si="133"/>
        <v/>
      </c>
      <c r="AA226" s="38" t="str">
        <f t="shared" si="134"/>
        <v/>
      </c>
      <c r="AB226" s="38" t="e">
        <f t="shared" si="135"/>
        <v>#VALUE!</v>
      </c>
      <c r="AC226" s="38" t="str">
        <f t="shared" si="136"/>
        <v/>
      </c>
      <c r="AD226" s="38" t="str">
        <f t="shared" si="136"/>
        <v/>
      </c>
      <c r="AE226" s="38" t="e">
        <f t="shared" si="137"/>
        <v>#VALUE!</v>
      </c>
      <c r="AF226" s="237" t="e">
        <f>((Summary!$N$9*(AA226*AD226)*(A226-$D$3))+(Summary!$M$9*Z226*AC226*(AJ226-EOMONTH(EDATE(A226,-1),0))))/(AK226*AB226*AE226)</f>
        <v>#VALUE!</v>
      </c>
      <c r="AG226" s="88" t="str">
        <f>IF($A227="","",Summary!$Q$9)</f>
        <v/>
      </c>
      <c r="AH226" s="88" t="str">
        <f>IF($A227="","",IF(Summary!$R$9="Y",VLOOKUP($A226,Summary!$AD$6:$AF$9,3)+'Escalating commodity'!E239,'Escalating commodity'!E239))</f>
        <v/>
      </c>
      <c r="AI226" s="88" t="str">
        <f t="shared" si="152"/>
        <v/>
      </c>
      <c r="AJ226" s="236" t="e">
        <f t="shared" si="138"/>
        <v>#VALUE!</v>
      </c>
      <c r="AK226" s="58" t="str">
        <f t="shared" si="139"/>
        <v/>
      </c>
      <c r="AL226" s="26" t="str">
        <f>IF($A227="","",_xll.SPRDOPT(P226,X226,AI226,0,AB226,AE226,AF226,AK226,$AJ$2,0))</f>
        <v/>
      </c>
      <c r="AM226" s="89" t="str">
        <f t="shared" si="140"/>
        <v/>
      </c>
      <c r="AN226" s="89" t="str">
        <f t="shared" si="141"/>
        <v/>
      </c>
      <c r="AO226" s="3" t="str">
        <f t="shared" si="142"/>
        <v/>
      </c>
      <c r="AP226" s="33" t="str">
        <f t="shared" si="143"/>
        <v/>
      </c>
      <c r="AQ226" s="58" t="str">
        <f t="shared" si="144"/>
        <v/>
      </c>
      <c r="AR226" s="38">
        <f>'ANR OK vs ML7'!AR226</f>
        <v>0.1</v>
      </c>
      <c r="AS226" s="35" t="str">
        <f t="shared" si="145"/>
        <v/>
      </c>
      <c r="AT226" s="3" t="str">
        <f t="shared" si="146"/>
        <v/>
      </c>
      <c r="AU226" s="3" t="str">
        <f t="shared" si="147"/>
        <v/>
      </c>
      <c r="AW226" s="32" t="str">
        <f t="shared" si="148"/>
        <v/>
      </c>
      <c r="AX226" s="32" t="str">
        <f t="shared" si="149"/>
        <v/>
      </c>
      <c r="AY226" s="32" t="str">
        <f t="shared" si="150"/>
        <v/>
      </c>
      <c r="BA226" s="32" t="str">
        <f>IF($A227="","",F226*Summary!$Q$9)</f>
        <v/>
      </c>
    </row>
    <row r="227" spans="1:53" ht="12" customHeight="1">
      <c r="A227" s="67" t="str">
        <f t="shared" si="151"/>
        <v/>
      </c>
      <c r="B227" s="69" t="str">
        <f t="shared" si="153"/>
        <v/>
      </c>
      <c r="C227" s="71"/>
      <c r="D227" s="69" t="str">
        <f t="shared" si="116"/>
        <v/>
      </c>
      <c r="E227" s="70" t="str">
        <f t="shared" si="117"/>
        <v/>
      </c>
      <c r="F227" s="70" t="str">
        <f t="shared" si="118"/>
        <v/>
      </c>
      <c r="G227" s="63" t="str">
        <f t="shared" si="119"/>
        <v/>
      </c>
      <c r="H227" s="64" t="str">
        <f t="shared" si="120"/>
        <v/>
      </c>
      <c r="I227" s="43"/>
      <c r="J227" s="63" t="str">
        <f t="shared" si="121"/>
        <v/>
      </c>
      <c r="K227" s="64" t="str">
        <f t="shared" si="122"/>
        <v/>
      </c>
      <c r="L227" s="63" t="str">
        <f t="shared" si="123"/>
        <v/>
      </c>
      <c r="M227" s="64" t="str">
        <f t="shared" si="124"/>
        <v/>
      </c>
      <c r="N227" s="65"/>
      <c r="O227" s="63" t="str">
        <f t="shared" si="125"/>
        <v/>
      </c>
      <c r="P227" s="63" t="str">
        <f t="shared" si="126"/>
        <v/>
      </c>
      <c r="Q227" s="66"/>
      <c r="R227" s="63" t="str">
        <f t="shared" si="127"/>
        <v/>
      </c>
      <c r="S227" s="64" t="str">
        <f t="shared" si="128"/>
        <v/>
      </c>
      <c r="T227" s="63" t="str">
        <f t="shared" si="129"/>
        <v/>
      </c>
      <c r="U227" s="64" t="str">
        <f t="shared" si="130"/>
        <v/>
      </c>
      <c r="V227" s="90" t="str">
        <f>IF($A228="","",IF(AND(MONTH(A227)&gt;3,MONTH(A227)&lt;11),(T227+R227+G227)*Summary!$T$9/(1-Summary!$T$9),(T227+R227+G227)*Summary!$U$9/(1-Summary!$U$9)))</f>
        <v/>
      </c>
      <c r="W227" s="63" t="str">
        <f t="shared" si="131"/>
        <v/>
      </c>
      <c r="X227" s="63" t="str">
        <f t="shared" si="132"/>
        <v/>
      </c>
      <c r="Y227" s="43"/>
      <c r="Z227" s="38" t="str">
        <f t="shared" si="133"/>
        <v/>
      </c>
      <c r="AA227" s="38" t="str">
        <f t="shared" si="134"/>
        <v/>
      </c>
      <c r="AB227" s="38" t="e">
        <f t="shared" si="135"/>
        <v>#VALUE!</v>
      </c>
      <c r="AC227" s="38" t="str">
        <f t="shared" si="136"/>
        <v/>
      </c>
      <c r="AD227" s="38" t="str">
        <f t="shared" si="136"/>
        <v/>
      </c>
      <c r="AE227" s="38" t="e">
        <f t="shared" si="137"/>
        <v>#VALUE!</v>
      </c>
      <c r="AF227" s="237" t="e">
        <f>((Summary!$N$9*(AA227*AD227)*(A227-$D$3))+(Summary!$M$9*Z227*AC227*(AJ227-EOMONTH(EDATE(A227,-1),0))))/(AK227*AB227*AE227)</f>
        <v>#VALUE!</v>
      </c>
      <c r="AG227" s="88" t="str">
        <f>IF($A228="","",Summary!$Q$9)</f>
        <v/>
      </c>
      <c r="AH227" s="88" t="str">
        <f>IF($A228="","",IF(Summary!$R$9="Y",VLOOKUP($A227,Summary!$AD$6:$AF$9,3)+'Escalating commodity'!E240,'Escalating commodity'!E240))</f>
        <v/>
      </c>
      <c r="AI227" s="88" t="str">
        <f t="shared" si="152"/>
        <v/>
      </c>
      <c r="AJ227" s="236" t="e">
        <f t="shared" si="138"/>
        <v>#VALUE!</v>
      </c>
      <c r="AK227" s="58" t="str">
        <f t="shared" si="139"/>
        <v/>
      </c>
      <c r="AL227" s="26" t="str">
        <f>IF($A228="","",_xll.SPRDOPT(P227,X227,AI227,0,AB227,AE227,AF227,AK227,$AJ$2,0))</f>
        <v/>
      </c>
      <c r="AM227" s="89" t="str">
        <f t="shared" si="140"/>
        <v/>
      </c>
      <c r="AN227" s="89" t="str">
        <f t="shared" si="141"/>
        <v/>
      </c>
      <c r="AO227" s="3" t="str">
        <f t="shared" si="142"/>
        <v/>
      </c>
      <c r="AP227" s="33" t="str">
        <f t="shared" si="143"/>
        <v/>
      </c>
      <c r="AQ227" s="58" t="str">
        <f t="shared" si="144"/>
        <v/>
      </c>
      <c r="AR227" s="38">
        <f>'ANR OK vs ML7'!AR227</f>
        <v>0.1</v>
      </c>
      <c r="AS227" s="35" t="str">
        <f t="shared" si="145"/>
        <v/>
      </c>
      <c r="AT227" s="3" t="str">
        <f t="shared" si="146"/>
        <v/>
      </c>
      <c r="AU227" s="3" t="str">
        <f t="shared" si="147"/>
        <v/>
      </c>
      <c r="AW227" s="32" t="str">
        <f t="shared" si="148"/>
        <v/>
      </c>
      <c r="AX227" s="32" t="str">
        <f t="shared" si="149"/>
        <v/>
      </c>
      <c r="AY227" s="32" t="str">
        <f t="shared" si="150"/>
        <v/>
      </c>
      <c r="BA227" s="32" t="str">
        <f>IF($A228="","",F227*Summary!$Q$9)</f>
        <v/>
      </c>
    </row>
    <row r="228" spans="1:53" ht="12" customHeight="1">
      <c r="A228" s="67" t="str">
        <f t="shared" si="151"/>
        <v/>
      </c>
      <c r="B228" s="69" t="str">
        <f t="shared" si="153"/>
        <v/>
      </c>
      <c r="C228" s="71"/>
      <c r="D228" s="69" t="str">
        <f t="shared" si="116"/>
        <v/>
      </c>
      <c r="E228" s="70" t="str">
        <f t="shared" si="117"/>
        <v/>
      </c>
      <c r="F228" s="70" t="str">
        <f t="shared" si="118"/>
        <v/>
      </c>
      <c r="G228" s="63" t="str">
        <f t="shared" si="119"/>
        <v/>
      </c>
      <c r="H228" s="64" t="str">
        <f t="shared" si="120"/>
        <v/>
      </c>
      <c r="I228" s="43"/>
      <c r="J228" s="63" t="str">
        <f t="shared" si="121"/>
        <v/>
      </c>
      <c r="K228" s="64" t="str">
        <f t="shared" si="122"/>
        <v/>
      </c>
      <c r="L228" s="63" t="str">
        <f t="shared" si="123"/>
        <v/>
      </c>
      <c r="M228" s="64" t="str">
        <f t="shared" si="124"/>
        <v/>
      </c>
      <c r="N228" s="65"/>
      <c r="O228" s="63" t="str">
        <f t="shared" si="125"/>
        <v/>
      </c>
      <c r="P228" s="63" t="str">
        <f t="shared" si="126"/>
        <v/>
      </c>
      <c r="Q228" s="66"/>
      <c r="R228" s="63" t="str">
        <f t="shared" si="127"/>
        <v/>
      </c>
      <c r="S228" s="64" t="str">
        <f t="shared" si="128"/>
        <v/>
      </c>
      <c r="T228" s="63" t="str">
        <f t="shared" si="129"/>
        <v/>
      </c>
      <c r="U228" s="64" t="str">
        <f t="shared" si="130"/>
        <v/>
      </c>
      <c r="V228" s="90" t="str">
        <f>IF($A229="","",IF(AND(MONTH(A228)&gt;3,MONTH(A228)&lt;11),(T228+R228+G228)*Summary!$T$9/(1-Summary!$T$9),(T228+R228+G228)*Summary!$U$9/(1-Summary!$U$9)))</f>
        <v/>
      </c>
      <c r="W228" s="63" t="str">
        <f t="shared" si="131"/>
        <v/>
      </c>
      <c r="X228" s="63" t="str">
        <f t="shared" si="132"/>
        <v/>
      </c>
      <c r="Y228" s="43"/>
      <c r="Z228" s="38" t="str">
        <f t="shared" si="133"/>
        <v/>
      </c>
      <c r="AA228" s="38" t="str">
        <f t="shared" si="134"/>
        <v/>
      </c>
      <c r="AB228" s="38" t="e">
        <f t="shared" si="135"/>
        <v>#VALUE!</v>
      </c>
      <c r="AC228" s="38" t="str">
        <f t="shared" si="136"/>
        <v/>
      </c>
      <c r="AD228" s="38" t="str">
        <f t="shared" si="136"/>
        <v/>
      </c>
      <c r="AE228" s="38" t="e">
        <f t="shared" si="137"/>
        <v>#VALUE!</v>
      </c>
      <c r="AF228" s="237" t="e">
        <f>((Summary!$N$9*(AA228*AD228)*(A228-$D$3))+(Summary!$M$9*Z228*AC228*(AJ228-EOMONTH(EDATE(A228,-1),0))))/(AK228*AB228*AE228)</f>
        <v>#VALUE!</v>
      </c>
      <c r="AG228" s="88" t="str">
        <f>IF($A229="","",Summary!$Q$9)</f>
        <v/>
      </c>
      <c r="AH228" s="88" t="str">
        <f>IF($A229="","",IF(Summary!$R$9="Y",VLOOKUP($A228,Summary!$AD$6:$AF$9,3)+'Escalating commodity'!E241,'Escalating commodity'!E241))</f>
        <v/>
      </c>
      <c r="AI228" s="88" t="str">
        <f t="shared" si="152"/>
        <v/>
      </c>
      <c r="AJ228" s="236" t="e">
        <f t="shared" si="138"/>
        <v>#VALUE!</v>
      </c>
      <c r="AK228" s="58" t="str">
        <f t="shared" si="139"/>
        <v/>
      </c>
      <c r="AL228" s="26" t="str">
        <f>IF($A229="","",_xll.SPRDOPT(P228,X228,AI228,0,AB228,AE228,AF228,AK228,$AJ$2,0))</f>
        <v/>
      </c>
      <c r="AM228" s="89" t="str">
        <f t="shared" si="140"/>
        <v/>
      </c>
      <c r="AN228" s="89" t="str">
        <f t="shared" si="141"/>
        <v/>
      </c>
      <c r="AO228" s="3" t="str">
        <f t="shared" si="142"/>
        <v/>
      </c>
      <c r="AP228" s="33" t="str">
        <f t="shared" si="143"/>
        <v/>
      </c>
      <c r="AQ228" s="58" t="str">
        <f t="shared" si="144"/>
        <v/>
      </c>
      <c r="AR228" s="38">
        <f>'ANR OK vs ML7'!AR228</f>
        <v>0.1</v>
      </c>
      <c r="AS228" s="35" t="str">
        <f t="shared" si="145"/>
        <v/>
      </c>
      <c r="AT228" s="3" t="str">
        <f t="shared" si="146"/>
        <v/>
      </c>
      <c r="AU228" s="3" t="str">
        <f t="shared" si="147"/>
        <v/>
      </c>
      <c r="AW228" s="32" t="str">
        <f t="shared" si="148"/>
        <v/>
      </c>
      <c r="AX228" s="32" t="str">
        <f t="shared" si="149"/>
        <v/>
      </c>
      <c r="AY228" s="32" t="str">
        <f t="shared" si="150"/>
        <v/>
      </c>
      <c r="BA228" s="32" t="str">
        <f>IF($A229="","",F228*Summary!$Q$9)</f>
        <v/>
      </c>
    </row>
    <row r="229" spans="1:53" ht="12" customHeight="1">
      <c r="A229" s="67" t="str">
        <f t="shared" si="151"/>
        <v/>
      </c>
      <c r="B229" s="69" t="str">
        <f t="shared" si="153"/>
        <v/>
      </c>
      <c r="C229" s="71"/>
      <c r="D229" s="69" t="str">
        <f t="shared" si="116"/>
        <v/>
      </c>
      <c r="E229" s="70" t="str">
        <f t="shared" si="117"/>
        <v/>
      </c>
      <c r="F229" s="70" t="str">
        <f t="shared" si="118"/>
        <v/>
      </c>
      <c r="G229" s="63" t="str">
        <f t="shared" si="119"/>
        <v/>
      </c>
      <c r="H229" s="64" t="str">
        <f t="shared" si="120"/>
        <v/>
      </c>
      <c r="I229" s="43"/>
      <c r="J229" s="63" t="str">
        <f t="shared" si="121"/>
        <v/>
      </c>
      <c r="K229" s="64" t="str">
        <f t="shared" si="122"/>
        <v/>
      </c>
      <c r="L229" s="63" t="str">
        <f t="shared" si="123"/>
        <v/>
      </c>
      <c r="M229" s="64" t="str">
        <f t="shared" si="124"/>
        <v/>
      </c>
      <c r="N229" s="65"/>
      <c r="O229" s="63" t="str">
        <f t="shared" si="125"/>
        <v/>
      </c>
      <c r="P229" s="63" t="str">
        <f t="shared" si="126"/>
        <v/>
      </c>
      <c r="Q229" s="66"/>
      <c r="R229" s="63" t="str">
        <f t="shared" si="127"/>
        <v/>
      </c>
      <c r="S229" s="64" t="str">
        <f t="shared" si="128"/>
        <v/>
      </c>
      <c r="T229" s="63" t="str">
        <f t="shared" si="129"/>
        <v/>
      </c>
      <c r="U229" s="64" t="str">
        <f t="shared" si="130"/>
        <v/>
      </c>
      <c r="V229" s="90" t="str">
        <f>IF($A230="","",IF(AND(MONTH(A229)&gt;3,MONTH(A229)&lt;11),(T229+R229+G229)*Summary!$T$9/(1-Summary!$T$9),(T229+R229+G229)*Summary!$U$9/(1-Summary!$U$9)))</f>
        <v/>
      </c>
      <c r="W229" s="63" t="str">
        <f t="shared" si="131"/>
        <v/>
      </c>
      <c r="X229" s="63" t="str">
        <f t="shared" si="132"/>
        <v/>
      </c>
      <c r="Y229" s="43"/>
      <c r="Z229" s="38" t="str">
        <f t="shared" si="133"/>
        <v/>
      </c>
      <c r="AA229" s="38" t="str">
        <f t="shared" si="134"/>
        <v/>
      </c>
      <c r="AB229" s="38" t="e">
        <f t="shared" si="135"/>
        <v>#VALUE!</v>
      </c>
      <c r="AC229" s="38" t="str">
        <f t="shared" si="136"/>
        <v/>
      </c>
      <c r="AD229" s="38" t="str">
        <f t="shared" si="136"/>
        <v/>
      </c>
      <c r="AE229" s="38" t="e">
        <f t="shared" si="137"/>
        <v>#VALUE!</v>
      </c>
      <c r="AF229" s="237" t="e">
        <f>((Summary!$N$9*(AA229*AD229)*(A229-$D$3))+(Summary!$M$9*Z229*AC229*(AJ229-EOMONTH(EDATE(A229,-1),0))))/(AK229*AB229*AE229)</f>
        <v>#VALUE!</v>
      </c>
      <c r="AG229" s="88" t="str">
        <f>IF($A230="","",Summary!$Q$9)</f>
        <v/>
      </c>
      <c r="AH229" s="88" t="str">
        <f>IF($A230="","",IF(Summary!$R$9="Y",VLOOKUP($A229,Summary!$AD$6:$AF$9,3)+'Escalating commodity'!E242,'Escalating commodity'!E242))</f>
        <v/>
      </c>
      <c r="AI229" s="88" t="str">
        <f t="shared" si="152"/>
        <v/>
      </c>
      <c r="AJ229" s="236" t="e">
        <f t="shared" si="138"/>
        <v>#VALUE!</v>
      </c>
      <c r="AK229" s="58" t="str">
        <f t="shared" si="139"/>
        <v/>
      </c>
      <c r="AL229" s="26" t="str">
        <f>IF($A230="","",_xll.SPRDOPT(P229,X229,AI229,0,AB229,AE229,AF229,AK229,$AJ$2,0))</f>
        <v/>
      </c>
      <c r="AM229" s="89" t="str">
        <f t="shared" si="140"/>
        <v/>
      </c>
      <c r="AN229" s="89" t="str">
        <f t="shared" si="141"/>
        <v/>
      </c>
      <c r="AO229" s="3" t="str">
        <f t="shared" si="142"/>
        <v/>
      </c>
      <c r="AP229" s="33" t="str">
        <f t="shared" si="143"/>
        <v/>
      </c>
      <c r="AQ229" s="58" t="str">
        <f t="shared" si="144"/>
        <v/>
      </c>
      <c r="AR229" s="38">
        <f>'ANR OK vs ML7'!AR229</f>
        <v>0.1</v>
      </c>
      <c r="AS229" s="35" t="str">
        <f t="shared" si="145"/>
        <v/>
      </c>
      <c r="AT229" s="3" t="str">
        <f t="shared" si="146"/>
        <v/>
      </c>
      <c r="AU229" s="3" t="str">
        <f t="shared" si="147"/>
        <v/>
      </c>
      <c r="AW229" s="32" t="str">
        <f t="shared" si="148"/>
        <v/>
      </c>
      <c r="AX229" s="32" t="str">
        <f t="shared" si="149"/>
        <v/>
      </c>
      <c r="AY229" s="32" t="str">
        <f t="shared" si="150"/>
        <v/>
      </c>
      <c r="BA229" s="32" t="str">
        <f>IF($A230="","",F229*Summary!$Q$9)</f>
        <v/>
      </c>
    </row>
    <row r="230" spans="1:53" ht="12" customHeight="1">
      <c r="A230" s="67" t="str">
        <f t="shared" si="151"/>
        <v/>
      </c>
      <c r="B230" s="69" t="str">
        <f t="shared" si="153"/>
        <v/>
      </c>
      <c r="C230" s="71"/>
      <c r="D230" s="69" t="str">
        <f t="shared" si="116"/>
        <v/>
      </c>
      <c r="E230" s="70" t="str">
        <f t="shared" si="117"/>
        <v/>
      </c>
      <c r="F230" s="70" t="str">
        <f t="shared" si="118"/>
        <v/>
      </c>
      <c r="G230" s="63" t="str">
        <f t="shared" si="119"/>
        <v/>
      </c>
      <c r="H230" s="64" t="str">
        <f t="shared" si="120"/>
        <v/>
      </c>
      <c r="I230" s="43"/>
      <c r="J230" s="63" t="str">
        <f t="shared" si="121"/>
        <v/>
      </c>
      <c r="K230" s="64" t="str">
        <f t="shared" si="122"/>
        <v/>
      </c>
      <c r="L230" s="63" t="str">
        <f t="shared" si="123"/>
        <v/>
      </c>
      <c r="M230" s="64" t="str">
        <f t="shared" si="124"/>
        <v/>
      </c>
      <c r="N230" s="65"/>
      <c r="O230" s="63" t="str">
        <f t="shared" si="125"/>
        <v/>
      </c>
      <c r="P230" s="63" t="str">
        <f t="shared" si="126"/>
        <v/>
      </c>
      <c r="Q230" s="66"/>
      <c r="R230" s="63" t="str">
        <f t="shared" si="127"/>
        <v/>
      </c>
      <c r="S230" s="64" t="str">
        <f t="shared" si="128"/>
        <v/>
      </c>
      <c r="T230" s="63" t="str">
        <f t="shared" si="129"/>
        <v/>
      </c>
      <c r="U230" s="64" t="str">
        <f t="shared" si="130"/>
        <v/>
      </c>
      <c r="V230" s="90" t="str">
        <f>IF($A231="","",IF(AND(MONTH(A230)&gt;3,MONTH(A230)&lt;11),(T230+R230+G230)*Summary!$T$9/(1-Summary!$T$9),(T230+R230+G230)*Summary!$U$9/(1-Summary!$U$9)))</f>
        <v/>
      </c>
      <c r="W230" s="63" t="str">
        <f t="shared" si="131"/>
        <v/>
      </c>
      <c r="X230" s="63" t="str">
        <f t="shared" si="132"/>
        <v/>
      </c>
      <c r="Y230" s="43"/>
      <c r="Z230" s="38" t="str">
        <f t="shared" si="133"/>
        <v/>
      </c>
      <c r="AA230" s="38" t="str">
        <f t="shared" si="134"/>
        <v/>
      </c>
      <c r="AB230" s="38" t="e">
        <f t="shared" si="135"/>
        <v>#VALUE!</v>
      </c>
      <c r="AC230" s="38" t="str">
        <f t="shared" si="136"/>
        <v/>
      </c>
      <c r="AD230" s="38" t="str">
        <f t="shared" si="136"/>
        <v/>
      </c>
      <c r="AE230" s="38" t="e">
        <f t="shared" si="137"/>
        <v>#VALUE!</v>
      </c>
      <c r="AF230" s="237" t="e">
        <f>((Summary!$N$9*(AA230*AD230)*(A230-$D$3))+(Summary!$M$9*Z230*AC230*(AJ230-EOMONTH(EDATE(A230,-1),0))))/(AK230*AB230*AE230)</f>
        <v>#VALUE!</v>
      </c>
      <c r="AG230" s="88" t="str">
        <f>IF($A231="","",Summary!$Q$9)</f>
        <v/>
      </c>
      <c r="AH230" s="88" t="str">
        <f>IF($A231="","",IF(Summary!$R$9="Y",VLOOKUP($A230,Summary!$AD$6:$AF$9,3)+'Escalating commodity'!E243,'Escalating commodity'!E243))</f>
        <v/>
      </c>
      <c r="AI230" s="88" t="str">
        <f t="shared" si="152"/>
        <v/>
      </c>
      <c r="AJ230" s="236" t="e">
        <f t="shared" si="138"/>
        <v>#VALUE!</v>
      </c>
      <c r="AK230" s="58" t="str">
        <f t="shared" si="139"/>
        <v/>
      </c>
      <c r="AL230" s="26" t="str">
        <f>IF($A231="","",_xll.SPRDOPT(P230,X230,AI230,0,AB230,AE230,AF230,AK230,$AJ$2,0))</f>
        <v/>
      </c>
      <c r="AM230" s="89" t="str">
        <f t="shared" si="140"/>
        <v/>
      </c>
      <c r="AN230" s="89" t="str">
        <f t="shared" si="141"/>
        <v/>
      </c>
      <c r="AO230" s="3" t="str">
        <f t="shared" si="142"/>
        <v/>
      </c>
      <c r="AP230" s="33" t="str">
        <f t="shared" si="143"/>
        <v/>
      </c>
      <c r="AQ230" s="58" t="str">
        <f t="shared" si="144"/>
        <v/>
      </c>
      <c r="AR230" s="38">
        <f>'ANR OK vs ML7'!AR230</f>
        <v>0.1</v>
      </c>
      <c r="AS230" s="35" t="str">
        <f t="shared" si="145"/>
        <v/>
      </c>
      <c r="AT230" s="3" t="str">
        <f t="shared" si="146"/>
        <v/>
      </c>
      <c r="AU230" s="3" t="str">
        <f t="shared" si="147"/>
        <v/>
      </c>
      <c r="AW230" s="32" t="str">
        <f t="shared" si="148"/>
        <v/>
      </c>
      <c r="AX230" s="32" t="str">
        <f t="shared" si="149"/>
        <v/>
      </c>
      <c r="AY230" s="32" t="str">
        <f t="shared" si="150"/>
        <v/>
      </c>
      <c r="BA230" s="32" t="str">
        <f>IF($A231="","",F230*Summary!$Q$9)</f>
        <v/>
      </c>
    </row>
    <row r="231" spans="1:53" ht="12" customHeight="1">
      <c r="A231" s="67" t="str">
        <f t="shared" si="151"/>
        <v/>
      </c>
      <c r="B231" s="69" t="str">
        <f t="shared" si="153"/>
        <v/>
      </c>
      <c r="C231" s="71"/>
      <c r="D231" s="69" t="str">
        <f t="shared" si="116"/>
        <v/>
      </c>
      <c r="E231" s="70" t="str">
        <f t="shared" si="117"/>
        <v/>
      </c>
      <c r="F231" s="70" t="str">
        <f t="shared" si="118"/>
        <v/>
      </c>
      <c r="G231" s="63" t="str">
        <f t="shared" si="119"/>
        <v/>
      </c>
      <c r="H231" s="64" t="str">
        <f t="shared" si="120"/>
        <v/>
      </c>
      <c r="I231" s="43"/>
      <c r="J231" s="63" t="str">
        <f t="shared" si="121"/>
        <v/>
      </c>
      <c r="K231" s="64" t="str">
        <f t="shared" si="122"/>
        <v/>
      </c>
      <c r="L231" s="63" t="str">
        <f t="shared" si="123"/>
        <v/>
      </c>
      <c r="M231" s="64" t="str">
        <f t="shared" si="124"/>
        <v/>
      </c>
      <c r="N231" s="65"/>
      <c r="O231" s="63" t="str">
        <f t="shared" si="125"/>
        <v/>
      </c>
      <c r="P231" s="63" t="str">
        <f t="shared" si="126"/>
        <v/>
      </c>
      <c r="Q231" s="66"/>
      <c r="R231" s="63" t="str">
        <f t="shared" si="127"/>
        <v/>
      </c>
      <c r="S231" s="64" t="str">
        <f t="shared" si="128"/>
        <v/>
      </c>
      <c r="T231" s="63" t="str">
        <f t="shared" si="129"/>
        <v/>
      </c>
      <c r="U231" s="64" t="str">
        <f t="shared" si="130"/>
        <v/>
      </c>
      <c r="V231" s="90" t="str">
        <f>IF($A232="","",IF(AND(MONTH(A231)&gt;3,MONTH(A231)&lt;11),(T231+R231+G231)*Summary!$T$9/(1-Summary!$T$9),(T231+R231+G231)*Summary!$U$9/(1-Summary!$U$9)))</f>
        <v/>
      </c>
      <c r="W231" s="63" t="str">
        <f t="shared" si="131"/>
        <v/>
      </c>
      <c r="X231" s="63" t="str">
        <f t="shared" si="132"/>
        <v/>
      </c>
      <c r="Y231" s="43"/>
      <c r="Z231" s="38" t="str">
        <f t="shared" si="133"/>
        <v/>
      </c>
      <c r="AA231" s="38" t="str">
        <f t="shared" si="134"/>
        <v/>
      </c>
      <c r="AB231" s="38" t="e">
        <f t="shared" si="135"/>
        <v>#VALUE!</v>
      </c>
      <c r="AC231" s="38" t="str">
        <f t="shared" si="136"/>
        <v/>
      </c>
      <c r="AD231" s="38" t="str">
        <f t="shared" si="136"/>
        <v/>
      </c>
      <c r="AE231" s="38" t="e">
        <f t="shared" si="137"/>
        <v>#VALUE!</v>
      </c>
      <c r="AF231" s="237" t="e">
        <f>((Summary!$N$9*(AA231*AD231)*(A231-$D$3))+(Summary!$M$9*Z231*AC231*(AJ231-EOMONTH(EDATE(A231,-1),0))))/(AK231*AB231*AE231)</f>
        <v>#VALUE!</v>
      </c>
      <c r="AG231" s="88" t="str">
        <f>IF($A232="","",Summary!$Q$9)</f>
        <v/>
      </c>
      <c r="AH231" s="88" t="str">
        <f>IF($A232="","",IF(Summary!$R$9="Y",VLOOKUP($A231,Summary!$AD$6:$AF$9,3)+'Escalating commodity'!E244,'Escalating commodity'!E244))</f>
        <v/>
      </c>
      <c r="AI231" s="88" t="str">
        <f t="shared" si="152"/>
        <v/>
      </c>
      <c r="AJ231" s="236" t="e">
        <f t="shared" si="138"/>
        <v>#VALUE!</v>
      </c>
      <c r="AK231" s="58" t="str">
        <f t="shared" si="139"/>
        <v/>
      </c>
      <c r="AL231" s="26" t="str">
        <f>IF($A232="","",_xll.SPRDOPT(P231,X231,AI231,0,AB231,AE231,AF231,AK231,$AJ$2,0))</f>
        <v/>
      </c>
      <c r="AM231" s="89" t="str">
        <f t="shared" si="140"/>
        <v/>
      </c>
      <c r="AN231" s="89" t="str">
        <f t="shared" si="141"/>
        <v/>
      </c>
      <c r="AO231" s="3" t="str">
        <f t="shared" si="142"/>
        <v/>
      </c>
      <c r="AP231" s="33" t="str">
        <f t="shared" si="143"/>
        <v/>
      </c>
      <c r="AQ231" s="58" t="str">
        <f t="shared" si="144"/>
        <v/>
      </c>
      <c r="AR231" s="38">
        <f>'ANR OK vs ML7'!AR231</f>
        <v>0.1</v>
      </c>
      <c r="AS231" s="35" t="str">
        <f t="shared" si="145"/>
        <v/>
      </c>
      <c r="AT231" s="3" t="str">
        <f t="shared" si="146"/>
        <v/>
      </c>
      <c r="AU231" s="3" t="str">
        <f t="shared" si="147"/>
        <v/>
      </c>
      <c r="AW231" s="32" t="str">
        <f t="shared" si="148"/>
        <v/>
      </c>
      <c r="AX231" s="32" t="str">
        <f t="shared" si="149"/>
        <v/>
      </c>
      <c r="AY231" s="32" t="str">
        <f t="shared" si="150"/>
        <v/>
      </c>
      <c r="BA231" s="32" t="str">
        <f>IF($A232="","",F231*Summary!$Q$9)</f>
        <v/>
      </c>
    </row>
    <row r="232" spans="1:53" ht="12" customHeight="1">
      <c r="A232" s="67" t="str">
        <f t="shared" si="151"/>
        <v/>
      </c>
      <c r="B232" s="69" t="str">
        <f t="shared" si="153"/>
        <v/>
      </c>
      <c r="C232" s="71"/>
      <c r="D232" s="69" t="str">
        <f t="shared" si="116"/>
        <v/>
      </c>
      <c r="E232" s="70" t="str">
        <f t="shared" si="117"/>
        <v/>
      </c>
      <c r="F232" s="70" t="str">
        <f t="shared" si="118"/>
        <v/>
      </c>
      <c r="G232" s="63" t="str">
        <f t="shared" si="119"/>
        <v/>
      </c>
      <c r="H232" s="64" t="str">
        <f t="shared" si="120"/>
        <v/>
      </c>
      <c r="I232" s="43"/>
      <c r="J232" s="63" t="str">
        <f t="shared" si="121"/>
        <v/>
      </c>
      <c r="K232" s="64" t="str">
        <f t="shared" si="122"/>
        <v/>
      </c>
      <c r="L232" s="63" t="str">
        <f t="shared" si="123"/>
        <v/>
      </c>
      <c r="M232" s="64" t="str">
        <f t="shared" si="124"/>
        <v/>
      </c>
      <c r="N232" s="65"/>
      <c r="O232" s="63" t="str">
        <f t="shared" si="125"/>
        <v/>
      </c>
      <c r="P232" s="63" t="str">
        <f t="shared" si="126"/>
        <v/>
      </c>
      <c r="Q232" s="66"/>
      <c r="R232" s="63" t="str">
        <f t="shared" si="127"/>
        <v/>
      </c>
      <c r="S232" s="64" t="str">
        <f t="shared" si="128"/>
        <v/>
      </c>
      <c r="T232" s="63" t="str">
        <f t="shared" si="129"/>
        <v/>
      </c>
      <c r="U232" s="64" t="str">
        <f t="shared" si="130"/>
        <v/>
      </c>
      <c r="V232" s="90" t="str">
        <f>IF($A233="","",IF(AND(MONTH(A232)&gt;3,MONTH(A232)&lt;11),(T232+R232+G232)*Summary!$T$9/(1-Summary!$T$9),(T232+R232+G232)*Summary!$U$9/(1-Summary!$U$9)))</f>
        <v/>
      </c>
      <c r="W232" s="63" t="str">
        <f t="shared" si="131"/>
        <v/>
      </c>
      <c r="X232" s="63" t="str">
        <f t="shared" si="132"/>
        <v/>
      </c>
      <c r="Y232" s="43"/>
      <c r="Z232" s="38" t="str">
        <f t="shared" si="133"/>
        <v/>
      </c>
      <c r="AA232" s="38" t="str">
        <f t="shared" si="134"/>
        <v/>
      </c>
      <c r="AB232" s="38" t="e">
        <f t="shared" si="135"/>
        <v>#VALUE!</v>
      </c>
      <c r="AC232" s="38" t="str">
        <f t="shared" si="136"/>
        <v/>
      </c>
      <c r="AD232" s="38" t="str">
        <f t="shared" si="136"/>
        <v/>
      </c>
      <c r="AE232" s="38" t="e">
        <f t="shared" si="137"/>
        <v>#VALUE!</v>
      </c>
      <c r="AF232" s="237" t="e">
        <f>((Summary!$N$9*(AA232*AD232)*(A232-$D$3))+(Summary!$M$9*Z232*AC232*(AJ232-EOMONTH(EDATE(A232,-1),0))))/(AK232*AB232*AE232)</f>
        <v>#VALUE!</v>
      </c>
      <c r="AG232" s="88" t="str">
        <f>IF($A233="","",Summary!$Q$9)</f>
        <v/>
      </c>
      <c r="AH232" s="88" t="str">
        <f>IF($A233="","",IF(Summary!$R$9="Y",VLOOKUP($A232,Summary!$AD$6:$AF$9,3)+'Escalating commodity'!E245,'Escalating commodity'!E245))</f>
        <v/>
      </c>
      <c r="AI232" s="88" t="str">
        <f t="shared" si="152"/>
        <v/>
      </c>
      <c r="AJ232" s="236" t="e">
        <f t="shared" si="138"/>
        <v>#VALUE!</v>
      </c>
      <c r="AK232" s="58" t="str">
        <f t="shared" si="139"/>
        <v/>
      </c>
      <c r="AL232" s="26" t="str">
        <f>IF($A233="","",_xll.SPRDOPT(P232,X232,AI232,0,AB232,AE232,AF232,AK232,$AJ$2,0))</f>
        <v/>
      </c>
      <c r="AM232" s="89" t="str">
        <f t="shared" si="140"/>
        <v/>
      </c>
      <c r="AN232" s="89" t="str">
        <f t="shared" si="141"/>
        <v/>
      </c>
      <c r="AO232" s="3" t="str">
        <f t="shared" si="142"/>
        <v/>
      </c>
      <c r="AP232" s="33" t="str">
        <f t="shared" si="143"/>
        <v/>
      </c>
      <c r="AQ232" s="58" t="str">
        <f t="shared" si="144"/>
        <v/>
      </c>
      <c r="AR232" s="38">
        <f>'ANR OK vs ML7'!AR232</f>
        <v>0.1</v>
      </c>
      <c r="AS232" s="35" t="str">
        <f t="shared" si="145"/>
        <v/>
      </c>
      <c r="AT232" s="3" t="str">
        <f t="shared" si="146"/>
        <v/>
      </c>
      <c r="AU232" s="3" t="str">
        <f t="shared" si="147"/>
        <v/>
      </c>
      <c r="AW232" s="32" t="str">
        <f t="shared" si="148"/>
        <v/>
      </c>
      <c r="AX232" s="32" t="str">
        <f t="shared" si="149"/>
        <v/>
      </c>
      <c r="AY232" s="32" t="str">
        <f t="shared" si="150"/>
        <v/>
      </c>
      <c r="BA232" s="32" t="str">
        <f>IF($A233="","",F232*Summary!$Q$9)</f>
        <v/>
      </c>
    </row>
    <row r="233" spans="1:53" ht="12" customHeight="1">
      <c r="A233" s="67" t="str">
        <f t="shared" si="151"/>
        <v/>
      </c>
      <c r="B233" s="69" t="str">
        <f t="shared" si="153"/>
        <v/>
      </c>
      <c r="C233" s="71"/>
      <c r="D233" s="69" t="str">
        <f t="shared" si="116"/>
        <v/>
      </c>
      <c r="E233" s="70" t="str">
        <f t="shared" si="117"/>
        <v/>
      </c>
      <c r="F233" s="70" t="str">
        <f t="shared" si="118"/>
        <v/>
      </c>
      <c r="G233" s="63" t="str">
        <f t="shared" si="119"/>
        <v/>
      </c>
      <c r="H233" s="64" t="str">
        <f t="shared" si="120"/>
        <v/>
      </c>
      <c r="I233" s="43"/>
      <c r="J233" s="63" t="str">
        <f t="shared" si="121"/>
        <v/>
      </c>
      <c r="K233" s="64" t="str">
        <f t="shared" si="122"/>
        <v/>
      </c>
      <c r="L233" s="63" t="str">
        <f t="shared" si="123"/>
        <v/>
      </c>
      <c r="M233" s="64" t="str">
        <f t="shared" si="124"/>
        <v/>
      </c>
      <c r="N233" s="65"/>
      <c r="O233" s="63" t="str">
        <f t="shared" si="125"/>
        <v/>
      </c>
      <c r="P233" s="63" t="str">
        <f t="shared" si="126"/>
        <v/>
      </c>
      <c r="Q233" s="66"/>
      <c r="R233" s="63" t="str">
        <f t="shared" si="127"/>
        <v/>
      </c>
      <c r="S233" s="64" t="str">
        <f t="shared" si="128"/>
        <v/>
      </c>
      <c r="T233" s="63" t="str">
        <f t="shared" si="129"/>
        <v/>
      </c>
      <c r="U233" s="64" t="str">
        <f t="shared" si="130"/>
        <v/>
      </c>
      <c r="V233" s="90" t="str">
        <f>IF($A234="","",IF(AND(MONTH(A233)&gt;3,MONTH(A233)&lt;11),(T233+R233+G233)*Summary!$T$9/(1-Summary!$T$9),(T233+R233+G233)*Summary!$U$9/(1-Summary!$U$9)))</f>
        <v/>
      </c>
      <c r="W233" s="63" t="str">
        <f t="shared" si="131"/>
        <v/>
      </c>
      <c r="X233" s="63" t="str">
        <f t="shared" si="132"/>
        <v/>
      </c>
      <c r="Y233" s="43"/>
      <c r="Z233" s="38" t="str">
        <f t="shared" si="133"/>
        <v/>
      </c>
      <c r="AA233" s="38" t="str">
        <f t="shared" si="134"/>
        <v/>
      </c>
      <c r="AB233" s="38" t="e">
        <f t="shared" si="135"/>
        <v>#VALUE!</v>
      </c>
      <c r="AC233" s="38" t="str">
        <f t="shared" si="136"/>
        <v/>
      </c>
      <c r="AD233" s="38" t="str">
        <f t="shared" si="136"/>
        <v/>
      </c>
      <c r="AE233" s="38" t="e">
        <f t="shared" si="137"/>
        <v>#VALUE!</v>
      </c>
      <c r="AF233" s="237" t="e">
        <f>((Summary!$N$9*(AA233*AD233)*(A233-$D$3))+(Summary!$M$9*Z233*AC233*(AJ233-EOMONTH(EDATE(A233,-1),0))))/(AK233*AB233*AE233)</f>
        <v>#VALUE!</v>
      </c>
      <c r="AG233" s="88" t="str">
        <f>IF($A234="","",Summary!$Q$9)</f>
        <v/>
      </c>
      <c r="AH233" s="88" t="str">
        <f>IF($A234="","",IF(Summary!$R$9="Y",VLOOKUP($A233,Summary!$AD$6:$AF$9,3)+'Escalating commodity'!E246,'Escalating commodity'!E246))</f>
        <v/>
      </c>
      <c r="AI233" s="88" t="str">
        <f t="shared" si="152"/>
        <v/>
      </c>
      <c r="AJ233" s="236" t="e">
        <f t="shared" si="138"/>
        <v>#VALUE!</v>
      </c>
      <c r="AK233" s="58" t="str">
        <f t="shared" si="139"/>
        <v/>
      </c>
      <c r="AL233" s="26" t="str">
        <f>IF($A234="","",_xll.SPRDOPT(P233,X233,AI233,0,AB233,AE233,AF233,AK233,$AJ$2,0))</f>
        <v/>
      </c>
      <c r="AM233" s="89" t="str">
        <f t="shared" si="140"/>
        <v/>
      </c>
      <c r="AN233" s="89" t="str">
        <f t="shared" si="141"/>
        <v/>
      </c>
      <c r="AO233" s="3" t="str">
        <f t="shared" si="142"/>
        <v/>
      </c>
      <c r="AP233" s="33" t="str">
        <f t="shared" si="143"/>
        <v/>
      </c>
      <c r="AQ233" s="58" t="str">
        <f t="shared" si="144"/>
        <v/>
      </c>
      <c r="AR233" s="38">
        <f>'ANR OK vs ML7'!AR233</f>
        <v>0.1</v>
      </c>
      <c r="AS233" s="35" t="str">
        <f t="shared" si="145"/>
        <v/>
      </c>
      <c r="AT233" s="3" t="str">
        <f t="shared" si="146"/>
        <v/>
      </c>
      <c r="AU233" s="3" t="str">
        <f t="shared" si="147"/>
        <v/>
      </c>
      <c r="AW233" s="32" t="str">
        <f t="shared" si="148"/>
        <v/>
      </c>
      <c r="AX233" s="32" t="str">
        <f t="shared" si="149"/>
        <v/>
      </c>
      <c r="AY233" s="32" t="str">
        <f t="shared" si="150"/>
        <v/>
      </c>
      <c r="BA233" s="32" t="str">
        <f>IF($A234="","",F233*Summary!$Q$9)</f>
        <v/>
      </c>
    </row>
    <row r="234" spans="1:53" ht="12" customHeight="1">
      <c r="A234" s="67" t="str">
        <f t="shared" si="151"/>
        <v/>
      </c>
      <c r="B234" s="69" t="str">
        <f t="shared" si="153"/>
        <v/>
      </c>
      <c r="C234" s="71"/>
      <c r="D234" s="69" t="str">
        <f t="shared" si="116"/>
        <v/>
      </c>
      <c r="E234" s="70" t="str">
        <f t="shared" si="117"/>
        <v/>
      </c>
      <c r="F234" s="70" t="str">
        <f t="shared" si="118"/>
        <v/>
      </c>
      <c r="G234" s="63" t="str">
        <f t="shared" si="119"/>
        <v/>
      </c>
      <c r="H234" s="64" t="str">
        <f t="shared" si="120"/>
        <v/>
      </c>
      <c r="I234" s="43"/>
      <c r="J234" s="63" t="str">
        <f t="shared" si="121"/>
        <v/>
      </c>
      <c r="K234" s="64" t="str">
        <f t="shared" si="122"/>
        <v/>
      </c>
      <c r="L234" s="63" t="str">
        <f t="shared" si="123"/>
        <v/>
      </c>
      <c r="M234" s="64" t="str">
        <f t="shared" si="124"/>
        <v/>
      </c>
      <c r="N234" s="65"/>
      <c r="O234" s="63" t="str">
        <f t="shared" si="125"/>
        <v/>
      </c>
      <c r="P234" s="63" t="str">
        <f t="shared" si="126"/>
        <v/>
      </c>
      <c r="Q234" s="66"/>
      <c r="R234" s="63" t="str">
        <f t="shared" si="127"/>
        <v/>
      </c>
      <c r="S234" s="64" t="str">
        <f t="shared" si="128"/>
        <v/>
      </c>
      <c r="T234" s="63" t="str">
        <f t="shared" si="129"/>
        <v/>
      </c>
      <c r="U234" s="64" t="str">
        <f t="shared" si="130"/>
        <v/>
      </c>
      <c r="V234" s="90" t="str">
        <f>IF($A235="","",IF(AND(MONTH(A234)&gt;3,MONTH(A234)&lt;11),(T234+R234+G234)*Summary!$T$9/(1-Summary!$T$9),(T234+R234+G234)*Summary!$U$9/(1-Summary!$U$9)))</f>
        <v/>
      </c>
      <c r="W234" s="63" t="str">
        <f t="shared" si="131"/>
        <v/>
      </c>
      <c r="X234" s="63" t="str">
        <f t="shared" si="132"/>
        <v/>
      </c>
      <c r="Y234" s="43"/>
      <c r="Z234" s="38" t="str">
        <f t="shared" si="133"/>
        <v/>
      </c>
      <c r="AA234" s="38" t="str">
        <f t="shared" si="134"/>
        <v/>
      </c>
      <c r="AB234" s="38" t="e">
        <f t="shared" si="135"/>
        <v>#VALUE!</v>
      </c>
      <c r="AC234" s="38" t="str">
        <f t="shared" si="136"/>
        <v/>
      </c>
      <c r="AD234" s="38" t="str">
        <f t="shared" si="136"/>
        <v/>
      </c>
      <c r="AE234" s="38" t="e">
        <f t="shared" si="137"/>
        <v>#VALUE!</v>
      </c>
      <c r="AF234" s="237" t="e">
        <f>((Summary!$N$9*(AA234*AD234)*(A234-$D$3))+(Summary!$M$9*Z234*AC234*(AJ234-EOMONTH(EDATE(A234,-1),0))))/(AK234*AB234*AE234)</f>
        <v>#VALUE!</v>
      </c>
      <c r="AG234" s="88" t="str">
        <f>IF($A235="","",Summary!$Q$9)</f>
        <v/>
      </c>
      <c r="AH234" s="88" t="str">
        <f>IF($A235="","",IF(Summary!$R$9="Y",VLOOKUP($A234,Summary!$AD$6:$AF$9,3)+'Escalating commodity'!E247,'Escalating commodity'!E247))</f>
        <v/>
      </c>
      <c r="AI234" s="88" t="str">
        <f t="shared" si="152"/>
        <v/>
      </c>
      <c r="AJ234" s="236" t="e">
        <f t="shared" si="138"/>
        <v>#VALUE!</v>
      </c>
      <c r="AK234" s="58" t="str">
        <f t="shared" si="139"/>
        <v/>
      </c>
      <c r="AL234" s="26" t="str">
        <f>IF($A235="","",_xll.SPRDOPT(P234,X234,AI234,0,AB234,AE234,AF234,AK234,$AJ$2,0))</f>
        <v/>
      </c>
      <c r="AM234" s="89" t="str">
        <f t="shared" si="140"/>
        <v/>
      </c>
      <c r="AN234" s="89" t="str">
        <f t="shared" si="141"/>
        <v/>
      </c>
      <c r="AO234" s="3" t="str">
        <f t="shared" si="142"/>
        <v/>
      </c>
      <c r="AP234" s="33" t="str">
        <f t="shared" si="143"/>
        <v/>
      </c>
      <c r="AQ234" s="58" t="str">
        <f t="shared" si="144"/>
        <v/>
      </c>
      <c r="AR234" s="38">
        <f>'ANR OK vs ML7'!AR234</f>
        <v>0.1</v>
      </c>
      <c r="AS234" s="35" t="str">
        <f t="shared" si="145"/>
        <v/>
      </c>
      <c r="AT234" s="3" t="str">
        <f t="shared" si="146"/>
        <v/>
      </c>
      <c r="AU234" s="3" t="str">
        <f t="shared" si="147"/>
        <v/>
      </c>
      <c r="AW234" s="32" t="str">
        <f t="shared" si="148"/>
        <v/>
      </c>
      <c r="AX234" s="32" t="str">
        <f t="shared" si="149"/>
        <v/>
      </c>
      <c r="AY234" s="32" t="str">
        <f t="shared" si="150"/>
        <v/>
      </c>
      <c r="BA234" s="32" t="str">
        <f>IF($A235="","",F234*Summary!$Q$9)</f>
        <v/>
      </c>
    </row>
    <row r="235" spans="1:53" ht="12" customHeight="1">
      <c r="A235" s="67" t="str">
        <f t="shared" si="151"/>
        <v/>
      </c>
      <c r="B235" s="69" t="str">
        <f t="shared" si="153"/>
        <v/>
      </c>
      <c r="C235" s="71"/>
      <c r="D235" s="69" t="str">
        <f t="shared" si="116"/>
        <v/>
      </c>
      <c r="E235" s="70" t="str">
        <f t="shared" si="117"/>
        <v/>
      </c>
      <c r="F235" s="70" t="str">
        <f t="shared" si="118"/>
        <v/>
      </c>
      <c r="G235" s="63" t="str">
        <f t="shared" si="119"/>
        <v/>
      </c>
      <c r="H235" s="64" t="str">
        <f t="shared" si="120"/>
        <v/>
      </c>
      <c r="I235" s="43"/>
      <c r="J235" s="63" t="str">
        <f t="shared" si="121"/>
        <v/>
      </c>
      <c r="K235" s="64" t="str">
        <f t="shared" si="122"/>
        <v/>
      </c>
      <c r="L235" s="63" t="str">
        <f t="shared" si="123"/>
        <v/>
      </c>
      <c r="M235" s="64" t="str">
        <f t="shared" si="124"/>
        <v/>
      </c>
      <c r="N235" s="65"/>
      <c r="O235" s="63" t="str">
        <f t="shared" si="125"/>
        <v/>
      </c>
      <c r="P235" s="63" t="str">
        <f t="shared" si="126"/>
        <v/>
      </c>
      <c r="Q235" s="66"/>
      <c r="R235" s="63" t="str">
        <f t="shared" si="127"/>
        <v/>
      </c>
      <c r="S235" s="64" t="str">
        <f t="shared" si="128"/>
        <v/>
      </c>
      <c r="T235" s="63" t="str">
        <f t="shared" si="129"/>
        <v/>
      </c>
      <c r="U235" s="64" t="str">
        <f t="shared" si="130"/>
        <v/>
      </c>
      <c r="V235" s="90" t="str">
        <f>IF($A236="","",IF(AND(MONTH(A235)&gt;3,MONTH(A235)&lt;11),(T235+R235+G235)*Summary!$T$9/(1-Summary!$T$9),(T235+R235+G235)*Summary!$U$9/(1-Summary!$U$9)))</f>
        <v/>
      </c>
      <c r="W235" s="63" t="str">
        <f t="shared" si="131"/>
        <v/>
      </c>
      <c r="X235" s="63" t="str">
        <f t="shared" si="132"/>
        <v/>
      </c>
      <c r="Y235" s="43"/>
      <c r="Z235" s="38" t="str">
        <f t="shared" si="133"/>
        <v/>
      </c>
      <c r="AA235" s="38" t="str">
        <f t="shared" si="134"/>
        <v/>
      </c>
      <c r="AB235" s="38" t="e">
        <f t="shared" si="135"/>
        <v>#VALUE!</v>
      </c>
      <c r="AC235" s="38" t="str">
        <f t="shared" si="136"/>
        <v/>
      </c>
      <c r="AD235" s="38" t="str">
        <f t="shared" si="136"/>
        <v/>
      </c>
      <c r="AE235" s="38" t="e">
        <f t="shared" si="137"/>
        <v>#VALUE!</v>
      </c>
      <c r="AF235" s="237" t="e">
        <f>((Summary!$N$9*(AA235*AD235)*(A235-$D$3))+(Summary!$M$9*Z235*AC235*(AJ235-EOMONTH(EDATE(A235,-1),0))))/(AK235*AB235*AE235)</f>
        <v>#VALUE!</v>
      </c>
      <c r="AG235" s="88" t="str">
        <f>IF($A236="","",Summary!$Q$9)</f>
        <v/>
      </c>
      <c r="AH235" s="88" t="str">
        <f>IF($A236="","",IF(Summary!$R$9="Y",VLOOKUP($A235,Summary!$AD$6:$AF$9,3)+'Escalating commodity'!E248,'Escalating commodity'!E248))</f>
        <v/>
      </c>
      <c r="AI235" s="88" t="str">
        <f t="shared" si="152"/>
        <v/>
      </c>
      <c r="AJ235" s="236" t="e">
        <f t="shared" si="138"/>
        <v>#VALUE!</v>
      </c>
      <c r="AK235" s="58" t="str">
        <f t="shared" si="139"/>
        <v/>
      </c>
      <c r="AL235" s="26" t="str">
        <f>IF($A236="","",_xll.SPRDOPT(P235,X235,AI235,0,AB235,AE235,AF235,AK235,$AJ$2,0))</f>
        <v/>
      </c>
      <c r="AM235" s="89" t="str">
        <f t="shared" si="140"/>
        <v/>
      </c>
      <c r="AN235" s="89" t="str">
        <f t="shared" si="141"/>
        <v/>
      </c>
      <c r="AO235" s="3" t="str">
        <f t="shared" si="142"/>
        <v/>
      </c>
      <c r="AP235" s="33" t="str">
        <f t="shared" si="143"/>
        <v/>
      </c>
      <c r="AQ235" s="58" t="str">
        <f t="shared" si="144"/>
        <v/>
      </c>
      <c r="AR235" s="38">
        <f>'ANR OK vs ML7'!AR235</f>
        <v>0.1</v>
      </c>
      <c r="AS235" s="35" t="str">
        <f t="shared" si="145"/>
        <v/>
      </c>
      <c r="AT235" s="3" t="str">
        <f t="shared" si="146"/>
        <v/>
      </c>
      <c r="AU235" s="3" t="str">
        <f t="shared" si="147"/>
        <v/>
      </c>
      <c r="AW235" s="32" t="str">
        <f t="shared" si="148"/>
        <v/>
      </c>
      <c r="AX235" s="32" t="str">
        <f t="shared" si="149"/>
        <v/>
      </c>
      <c r="AY235" s="32" t="str">
        <f t="shared" si="150"/>
        <v/>
      </c>
      <c r="BA235" s="32" t="str">
        <f>IF($A236="","",F235*Summary!$Q$9)</f>
        <v/>
      </c>
    </row>
    <row r="236" spans="1:53" ht="12" customHeight="1">
      <c r="A236" s="67" t="str">
        <f t="shared" si="151"/>
        <v/>
      </c>
      <c r="B236" s="69" t="str">
        <f t="shared" si="153"/>
        <v/>
      </c>
      <c r="C236" s="71"/>
      <c r="D236" s="69" t="str">
        <f t="shared" si="116"/>
        <v/>
      </c>
      <c r="E236" s="70" t="str">
        <f t="shared" si="117"/>
        <v/>
      </c>
      <c r="F236" s="70" t="str">
        <f t="shared" si="118"/>
        <v/>
      </c>
      <c r="G236" s="63" t="str">
        <f t="shared" si="119"/>
        <v/>
      </c>
      <c r="H236" s="64" t="str">
        <f t="shared" si="120"/>
        <v/>
      </c>
      <c r="I236" s="43"/>
      <c r="J236" s="63" t="str">
        <f t="shared" si="121"/>
        <v/>
      </c>
      <c r="K236" s="64" t="str">
        <f t="shared" si="122"/>
        <v/>
      </c>
      <c r="L236" s="63" t="str">
        <f t="shared" si="123"/>
        <v/>
      </c>
      <c r="M236" s="64" t="str">
        <f t="shared" si="124"/>
        <v/>
      </c>
      <c r="N236" s="65"/>
      <c r="O236" s="63" t="str">
        <f t="shared" si="125"/>
        <v/>
      </c>
      <c r="P236" s="63" t="str">
        <f t="shared" si="126"/>
        <v/>
      </c>
      <c r="Q236" s="66"/>
      <c r="R236" s="63" t="str">
        <f t="shared" si="127"/>
        <v/>
      </c>
      <c r="S236" s="64" t="str">
        <f t="shared" si="128"/>
        <v/>
      </c>
      <c r="T236" s="63" t="str">
        <f t="shared" si="129"/>
        <v/>
      </c>
      <c r="U236" s="64" t="str">
        <f t="shared" si="130"/>
        <v/>
      </c>
      <c r="V236" s="90" t="str">
        <f>IF($A237="","",IF(AND(MONTH(A236)&gt;3,MONTH(A236)&lt;11),(T236+R236+G236)*Summary!$T$9/(1-Summary!$T$9),(T236+R236+G236)*Summary!$U$9/(1-Summary!$U$9)))</f>
        <v/>
      </c>
      <c r="W236" s="63" t="str">
        <f t="shared" si="131"/>
        <v/>
      </c>
      <c r="X236" s="63" t="str">
        <f t="shared" si="132"/>
        <v/>
      </c>
      <c r="Y236" s="43"/>
      <c r="Z236" s="38" t="str">
        <f t="shared" si="133"/>
        <v/>
      </c>
      <c r="AA236" s="38" t="str">
        <f t="shared" si="134"/>
        <v/>
      </c>
      <c r="AB236" s="38" t="e">
        <f t="shared" si="135"/>
        <v>#VALUE!</v>
      </c>
      <c r="AC236" s="38" t="str">
        <f t="shared" si="136"/>
        <v/>
      </c>
      <c r="AD236" s="38" t="str">
        <f t="shared" si="136"/>
        <v/>
      </c>
      <c r="AE236" s="38" t="e">
        <f t="shared" si="137"/>
        <v>#VALUE!</v>
      </c>
      <c r="AF236" s="237" t="e">
        <f>((Summary!$N$9*(AA236*AD236)*(A236-$D$3))+(Summary!$M$9*Z236*AC236*(AJ236-EOMONTH(EDATE(A236,-1),0))))/(AK236*AB236*AE236)</f>
        <v>#VALUE!</v>
      </c>
      <c r="AG236" s="88" t="str">
        <f>IF($A237="","",Summary!$Q$9)</f>
        <v/>
      </c>
      <c r="AH236" s="88" t="str">
        <f>IF($A237="","",IF(Summary!$R$9="Y",VLOOKUP($A236,Summary!$AD$6:$AF$9,3)+'Escalating commodity'!E249,'Escalating commodity'!E249))</f>
        <v/>
      </c>
      <c r="AI236" s="88" t="str">
        <f t="shared" si="152"/>
        <v/>
      </c>
      <c r="AJ236" s="236" t="e">
        <f t="shared" si="138"/>
        <v>#VALUE!</v>
      </c>
      <c r="AK236" s="58" t="str">
        <f t="shared" si="139"/>
        <v/>
      </c>
      <c r="AL236" s="26" t="str">
        <f>IF($A237="","",_xll.SPRDOPT(P236,X236,AI236,0,AB236,AE236,AF236,AK236,$AJ$2,0))</f>
        <v/>
      </c>
      <c r="AM236" s="89" t="str">
        <f t="shared" si="140"/>
        <v/>
      </c>
      <c r="AN236" s="89" t="str">
        <f t="shared" si="141"/>
        <v/>
      </c>
      <c r="AO236" s="3" t="str">
        <f t="shared" si="142"/>
        <v/>
      </c>
      <c r="AP236" s="33" t="str">
        <f t="shared" si="143"/>
        <v/>
      </c>
      <c r="AQ236" s="58" t="str">
        <f t="shared" si="144"/>
        <v/>
      </c>
      <c r="AR236" s="38">
        <f>'ANR OK vs ML7'!AR236</f>
        <v>0.1</v>
      </c>
      <c r="AS236" s="35" t="str">
        <f t="shared" si="145"/>
        <v/>
      </c>
      <c r="AT236" s="3" t="str">
        <f t="shared" si="146"/>
        <v/>
      </c>
      <c r="AU236" s="3" t="str">
        <f t="shared" si="147"/>
        <v/>
      </c>
      <c r="AW236" s="32" t="str">
        <f t="shared" si="148"/>
        <v/>
      </c>
      <c r="AX236" s="32" t="str">
        <f t="shared" si="149"/>
        <v/>
      </c>
      <c r="AY236" s="32" t="str">
        <f t="shared" si="150"/>
        <v/>
      </c>
      <c r="BA236" s="32" t="str">
        <f>IF($A237="","",F236*Summary!$Q$9)</f>
        <v/>
      </c>
    </row>
    <row r="237" spans="1:53" ht="12" customHeight="1">
      <c r="A237" s="67" t="str">
        <f t="shared" si="151"/>
        <v/>
      </c>
      <c r="B237" s="69" t="str">
        <f t="shared" si="153"/>
        <v/>
      </c>
      <c r="C237" s="71"/>
      <c r="D237" s="69" t="str">
        <f t="shared" si="116"/>
        <v/>
      </c>
      <c r="E237" s="70" t="str">
        <f t="shared" si="117"/>
        <v/>
      </c>
      <c r="F237" s="70" t="str">
        <f t="shared" si="118"/>
        <v/>
      </c>
      <c r="G237" s="63" t="str">
        <f t="shared" si="119"/>
        <v/>
      </c>
      <c r="H237" s="64" t="str">
        <f t="shared" si="120"/>
        <v/>
      </c>
      <c r="I237" s="43"/>
      <c r="J237" s="63" t="str">
        <f t="shared" si="121"/>
        <v/>
      </c>
      <c r="K237" s="64" t="str">
        <f t="shared" si="122"/>
        <v/>
      </c>
      <c r="L237" s="63" t="str">
        <f t="shared" si="123"/>
        <v/>
      </c>
      <c r="M237" s="64" t="str">
        <f t="shared" si="124"/>
        <v/>
      </c>
      <c r="N237" s="65"/>
      <c r="O237" s="63" t="str">
        <f t="shared" si="125"/>
        <v/>
      </c>
      <c r="P237" s="63" t="str">
        <f t="shared" si="126"/>
        <v/>
      </c>
      <c r="Q237" s="66"/>
      <c r="R237" s="63" t="str">
        <f t="shared" si="127"/>
        <v/>
      </c>
      <c r="S237" s="64" t="str">
        <f t="shared" si="128"/>
        <v/>
      </c>
      <c r="T237" s="63" t="str">
        <f t="shared" si="129"/>
        <v/>
      </c>
      <c r="U237" s="64" t="str">
        <f t="shared" si="130"/>
        <v/>
      </c>
      <c r="V237" s="90" t="str">
        <f>IF($A238="","",IF(AND(MONTH(A237)&gt;3,MONTH(A237)&lt;11),(T237+R237+G237)*Summary!$T$9/(1-Summary!$T$9),(T237+R237+G237)*Summary!$U$9/(1-Summary!$U$9)))</f>
        <v/>
      </c>
      <c r="W237" s="63" t="str">
        <f t="shared" si="131"/>
        <v/>
      </c>
      <c r="X237" s="63" t="str">
        <f t="shared" si="132"/>
        <v/>
      </c>
      <c r="Y237" s="43"/>
      <c r="Z237" s="38" t="str">
        <f t="shared" si="133"/>
        <v/>
      </c>
      <c r="AA237" s="38" t="str">
        <f t="shared" si="134"/>
        <v/>
      </c>
      <c r="AB237" s="38" t="e">
        <f t="shared" si="135"/>
        <v>#VALUE!</v>
      </c>
      <c r="AC237" s="38" t="str">
        <f t="shared" si="136"/>
        <v/>
      </c>
      <c r="AD237" s="38" t="str">
        <f t="shared" si="136"/>
        <v/>
      </c>
      <c r="AE237" s="38" t="e">
        <f t="shared" si="137"/>
        <v>#VALUE!</v>
      </c>
      <c r="AF237" s="237" t="e">
        <f>((Summary!$N$9*(AA237*AD237)*(A237-$D$3))+(Summary!$M$9*Z237*AC237*(AJ237-EOMONTH(EDATE(A237,-1),0))))/(AK237*AB237*AE237)</f>
        <v>#VALUE!</v>
      </c>
      <c r="AG237" s="88" t="str">
        <f>IF($A238="","",Summary!$Q$9)</f>
        <v/>
      </c>
      <c r="AH237" s="88" t="str">
        <f>IF($A238="","",IF(Summary!$R$9="Y",VLOOKUP($A237,Summary!$AD$6:$AF$9,3)+'Escalating commodity'!E250,'Escalating commodity'!E250))</f>
        <v/>
      </c>
      <c r="AI237" s="88" t="str">
        <f t="shared" si="152"/>
        <v/>
      </c>
      <c r="AJ237" s="236" t="e">
        <f t="shared" si="138"/>
        <v>#VALUE!</v>
      </c>
      <c r="AK237" s="58" t="str">
        <f t="shared" si="139"/>
        <v/>
      </c>
      <c r="AL237" s="26" t="str">
        <f>IF($A238="","",_xll.SPRDOPT(P237,X237,AI237,0,AB237,AE237,AF237,AK237,$AJ$2,0))</f>
        <v/>
      </c>
      <c r="AM237" s="89" t="str">
        <f t="shared" si="140"/>
        <v/>
      </c>
      <c r="AN237" s="89" t="str">
        <f t="shared" si="141"/>
        <v/>
      </c>
      <c r="AO237" s="3" t="str">
        <f t="shared" si="142"/>
        <v/>
      </c>
      <c r="AP237" s="33" t="str">
        <f t="shared" si="143"/>
        <v/>
      </c>
      <c r="AQ237" s="58" t="str">
        <f t="shared" si="144"/>
        <v/>
      </c>
      <c r="AR237" s="38">
        <f>'ANR OK vs ML7'!AR237</f>
        <v>0.1</v>
      </c>
      <c r="AS237" s="35" t="str">
        <f t="shared" si="145"/>
        <v/>
      </c>
      <c r="AT237" s="3" t="str">
        <f t="shared" si="146"/>
        <v/>
      </c>
      <c r="AU237" s="3" t="str">
        <f t="shared" si="147"/>
        <v/>
      </c>
      <c r="AW237" s="32" t="str">
        <f t="shared" si="148"/>
        <v/>
      </c>
      <c r="AX237" s="32" t="str">
        <f t="shared" si="149"/>
        <v/>
      </c>
      <c r="AY237" s="32" t="str">
        <f t="shared" si="150"/>
        <v/>
      </c>
      <c r="BA237" s="32" t="str">
        <f>IF($A238="","",F237*Summary!$Q$9)</f>
        <v/>
      </c>
    </row>
    <row r="238" spans="1:53" ht="12" customHeight="1">
      <c r="A238" s="67" t="str">
        <f t="shared" si="151"/>
        <v/>
      </c>
      <c r="B238" s="69" t="str">
        <f t="shared" si="153"/>
        <v/>
      </c>
      <c r="C238" s="71"/>
      <c r="D238" s="69" t="str">
        <f t="shared" si="116"/>
        <v/>
      </c>
      <c r="E238" s="70" t="str">
        <f t="shared" si="117"/>
        <v/>
      </c>
      <c r="F238" s="70" t="str">
        <f t="shared" si="118"/>
        <v/>
      </c>
      <c r="G238" s="63" t="str">
        <f t="shared" si="119"/>
        <v/>
      </c>
      <c r="H238" s="64" t="str">
        <f t="shared" si="120"/>
        <v/>
      </c>
      <c r="I238" s="43"/>
      <c r="J238" s="63" t="str">
        <f t="shared" si="121"/>
        <v/>
      </c>
      <c r="K238" s="64" t="str">
        <f t="shared" si="122"/>
        <v/>
      </c>
      <c r="L238" s="63" t="str">
        <f t="shared" si="123"/>
        <v/>
      </c>
      <c r="M238" s="64" t="str">
        <f t="shared" si="124"/>
        <v/>
      </c>
      <c r="N238" s="65"/>
      <c r="O238" s="63" t="str">
        <f t="shared" si="125"/>
        <v/>
      </c>
      <c r="P238" s="63" t="str">
        <f t="shared" si="126"/>
        <v/>
      </c>
      <c r="Q238" s="66"/>
      <c r="R238" s="63" t="str">
        <f t="shared" si="127"/>
        <v/>
      </c>
      <c r="S238" s="64" t="str">
        <f t="shared" si="128"/>
        <v/>
      </c>
      <c r="T238" s="63" t="str">
        <f t="shared" si="129"/>
        <v/>
      </c>
      <c r="U238" s="64" t="str">
        <f t="shared" si="130"/>
        <v/>
      </c>
      <c r="V238" s="90" t="str">
        <f>IF($A239="","",IF(AND(MONTH(A238)&gt;3,MONTH(A238)&lt;11),(T238+R238+G238)*Summary!$T$9/(1-Summary!$T$9),(T238+R238+G238)*Summary!$U$9/(1-Summary!$U$9)))</f>
        <v/>
      </c>
      <c r="W238" s="63" t="str">
        <f t="shared" si="131"/>
        <v/>
      </c>
      <c r="X238" s="63" t="str">
        <f t="shared" si="132"/>
        <v/>
      </c>
      <c r="Y238" s="43"/>
      <c r="Z238" s="38" t="str">
        <f t="shared" si="133"/>
        <v/>
      </c>
      <c r="AA238" s="38" t="str">
        <f t="shared" si="134"/>
        <v/>
      </c>
      <c r="AB238" s="38" t="e">
        <f t="shared" si="135"/>
        <v>#VALUE!</v>
      </c>
      <c r="AC238" s="38" t="str">
        <f t="shared" si="136"/>
        <v/>
      </c>
      <c r="AD238" s="38" t="str">
        <f t="shared" si="136"/>
        <v/>
      </c>
      <c r="AE238" s="38" t="e">
        <f t="shared" si="137"/>
        <v>#VALUE!</v>
      </c>
      <c r="AF238" s="237" t="e">
        <f>((Summary!$N$9*(AA238*AD238)*(A238-$D$3))+(Summary!$M$9*Z238*AC238*(AJ238-EOMONTH(EDATE(A238,-1),0))))/(AK238*AB238*AE238)</f>
        <v>#VALUE!</v>
      </c>
      <c r="AG238" s="88" t="str">
        <f>IF($A239="","",Summary!$Q$9)</f>
        <v/>
      </c>
      <c r="AH238" s="88" t="str">
        <f>IF($A239="","",IF(Summary!$R$9="Y",VLOOKUP($A238,Summary!$AD$6:$AF$9,3)+'Escalating commodity'!E251,'Escalating commodity'!E251))</f>
        <v/>
      </c>
      <c r="AI238" s="88" t="str">
        <f t="shared" si="152"/>
        <v/>
      </c>
      <c r="AJ238" s="236" t="e">
        <f t="shared" si="138"/>
        <v>#VALUE!</v>
      </c>
      <c r="AK238" s="58" t="str">
        <f t="shared" si="139"/>
        <v/>
      </c>
      <c r="AL238" s="26" t="str">
        <f>IF($A239="","",_xll.SPRDOPT(P238,X238,AI238,0,AB238,AE238,AF238,AK238,$AJ$2,0))</f>
        <v/>
      </c>
      <c r="AM238" s="89" t="str">
        <f t="shared" si="140"/>
        <v/>
      </c>
      <c r="AN238" s="89" t="str">
        <f t="shared" si="141"/>
        <v/>
      </c>
      <c r="AO238" s="3" t="str">
        <f t="shared" si="142"/>
        <v/>
      </c>
      <c r="AP238" s="33" t="str">
        <f t="shared" si="143"/>
        <v/>
      </c>
      <c r="AQ238" s="58" t="str">
        <f t="shared" si="144"/>
        <v/>
      </c>
      <c r="AR238" s="38">
        <f>'ANR OK vs ML7'!AR238</f>
        <v>0.1</v>
      </c>
      <c r="AS238" s="35" t="str">
        <f t="shared" si="145"/>
        <v/>
      </c>
      <c r="AT238" s="3" t="str">
        <f t="shared" si="146"/>
        <v/>
      </c>
      <c r="AU238" s="3" t="str">
        <f t="shared" si="147"/>
        <v/>
      </c>
      <c r="AW238" s="32" t="str">
        <f t="shared" si="148"/>
        <v/>
      </c>
      <c r="AX238" s="32" t="str">
        <f t="shared" si="149"/>
        <v/>
      </c>
      <c r="AY238" s="32" t="str">
        <f t="shared" si="150"/>
        <v/>
      </c>
      <c r="BA238" s="32" t="str">
        <f>IF($A239="","",F238*Summary!$Q$9)</f>
        <v/>
      </c>
    </row>
    <row r="239" spans="1:53" ht="12" customHeight="1">
      <c r="A239" s="67" t="str">
        <f t="shared" si="151"/>
        <v/>
      </c>
      <c r="B239" s="69" t="str">
        <f t="shared" si="153"/>
        <v/>
      </c>
      <c r="C239" s="71"/>
      <c r="D239" s="69" t="str">
        <f t="shared" si="116"/>
        <v/>
      </c>
      <c r="E239" s="70" t="str">
        <f t="shared" si="117"/>
        <v/>
      </c>
      <c r="F239" s="70" t="str">
        <f t="shared" si="118"/>
        <v/>
      </c>
      <c r="G239" s="63" t="str">
        <f t="shared" si="119"/>
        <v/>
      </c>
      <c r="H239" s="64" t="str">
        <f t="shared" si="120"/>
        <v/>
      </c>
      <c r="I239" s="43"/>
      <c r="J239" s="63" t="str">
        <f t="shared" si="121"/>
        <v/>
      </c>
      <c r="K239" s="64" t="str">
        <f t="shared" si="122"/>
        <v/>
      </c>
      <c r="L239" s="63" t="str">
        <f t="shared" si="123"/>
        <v/>
      </c>
      <c r="M239" s="64" t="str">
        <f t="shared" si="124"/>
        <v/>
      </c>
      <c r="N239" s="65"/>
      <c r="O239" s="63" t="str">
        <f t="shared" si="125"/>
        <v/>
      </c>
      <c r="P239" s="63" t="str">
        <f t="shared" si="126"/>
        <v/>
      </c>
      <c r="Q239" s="66"/>
      <c r="R239" s="63" t="str">
        <f t="shared" si="127"/>
        <v/>
      </c>
      <c r="S239" s="64" t="str">
        <f t="shared" si="128"/>
        <v/>
      </c>
      <c r="T239" s="63" t="str">
        <f t="shared" si="129"/>
        <v/>
      </c>
      <c r="U239" s="64" t="str">
        <f t="shared" si="130"/>
        <v/>
      </c>
      <c r="V239" s="90" t="str">
        <f>IF($A240="","",IF(AND(MONTH(A239)&gt;3,MONTH(A239)&lt;11),(T239+R239+G239)*Summary!$T$9/(1-Summary!$T$9),(T239+R239+G239)*Summary!$U$9/(1-Summary!$U$9)))</f>
        <v/>
      </c>
      <c r="W239" s="63" t="str">
        <f t="shared" si="131"/>
        <v/>
      </c>
      <c r="X239" s="63" t="str">
        <f t="shared" si="132"/>
        <v/>
      </c>
      <c r="Y239" s="43"/>
      <c r="Z239" s="38" t="str">
        <f t="shared" si="133"/>
        <v/>
      </c>
      <c r="AA239" s="38" t="str">
        <f t="shared" si="134"/>
        <v/>
      </c>
      <c r="AB239" s="38" t="e">
        <f t="shared" si="135"/>
        <v>#VALUE!</v>
      </c>
      <c r="AC239" s="38" t="str">
        <f t="shared" si="136"/>
        <v/>
      </c>
      <c r="AD239" s="38" t="str">
        <f t="shared" si="136"/>
        <v/>
      </c>
      <c r="AE239" s="38" t="e">
        <f t="shared" si="137"/>
        <v>#VALUE!</v>
      </c>
      <c r="AF239" s="237" t="e">
        <f>((Summary!$N$9*(AA239*AD239)*(A239-$D$3))+(Summary!$M$9*Z239*AC239*(AJ239-EOMONTH(EDATE(A239,-1),0))))/(AK239*AB239*AE239)</f>
        <v>#VALUE!</v>
      </c>
      <c r="AG239" s="88" t="str">
        <f>IF($A240="","",Summary!$Q$9)</f>
        <v/>
      </c>
      <c r="AH239" s="88" t="str">
        <f>IF($A240="","",IF(Summary!$R$9="Y",VLOOKUP($A239,Summary!$AD$6:$AF$9,3)+'Escalating commodity'!E252,'Escalating commodity'!E252))</f>
        <v/>
      </c>
      <c r="AI239" s="88" t="str">
        <f t="shared" si="152"/>
        <v/>
      </c>
      <c r="AJ239" s="236" t="e">
        <f t="shared" si="138"/>
        <v>#VALUE!</v>
      </c>
      <c r="AK239" s="58" t="str">
        <f t="shared" si="139"/>
        <v/>
      </c>
      <c r="AL239" s="26" t="str">
        <f>IF($A240="","",_xll.SPRDOPT(P239,X239,AI239,0,AB239,AE239,AF239,AK239,$AJ$2,0))</f>
        <v/>
      </c>
      <c r="AM239" s="89" t="str">
        <f t="shared" si="140"/>
        <v/>
      </c>
      <c r="AN239" s="89" t="str">
        <f t="shared" si="141"/>
        <v/>
      </c>
      <c r="AO239" s="3" t="str">
        <f t="shared" si="142"/>
        <v/>
      </c>
      <c r="AP239" s="33" t="str">
        <f t="shared" si="143"/>
        <v/>
      </c>
      <c r="AQ239" s="58" t="str">
        <f t="shared" si="144"/>
        <v/>
      </c>
      <c r="AR239" s="38">
        <f>'ANR OK vs ML7'!AR239</f>
        <v>0.1</v>
      </c>
      <c r="AS239" s="35" t="str">
        <f t="shared" si="145"/>
        <v/>
      </c>
      <c r="AT239" s="3" t="str">
        <f t="shared" si="146"/>
        <v/>
      </c>
      <c r="AU239" s="3" t="str">
        <f t="shared" si="147"/>
        <v/>
      </c>
      <c r="AW239" s="32" t="str">
        <f t="shared" si="148"/>
        <v/>
      </c>
      <c r="AX239" s="32" t="str">
        <f t="shared" si="149"/>
        <v/>
      </c>
      <c r="AY239" s="32" t="str">
        <f t="shared" si="150"/>
        <v/>
      </c>
      <c r="BA239" s="32" t="str">
        <f>IF($A240="","",F239*Summary!$Q$9)</f>
        <v/>
      </c>
    </row>
    <row r="240" spans="1:53" ht="12" customHeight="1">
      <c r="A240" s="67" t="str">
        <f t="shared" si="151"/>
        <v/>
      </c>
      <c r="B240" s="69" t="str">
        <f t="shared" si="153"/>
        <v/>
      </c>
      <c r="C240" s="71"/>
      <c r="D240" s="69" t="str">
        <f t="shared" si="116"/>
        <v/>
      </c>
      <c r="E240" s="70" t="str">
        <f t="shared" si="117"/>
        <v/>
      </c>
      <c r="F240" s="70" t="str">
        <f t="shared" si="118"/>
        <v/>
      </c>
      <c r="G240" s="63" t="str">
        <f t="shared" si="119"/>
        <v/>
      </c>
      <c r="H240" s="64" t="str">
        <f t="shared" si="120"/>
        <v/>
      </c>
      <c r="I240" s="43"/>
      <c r="J240" s="63" t="str">
        <f t="shared" si="121"/>
        <v/>
      </c>
      <c r="K240" s="64" t="str">
        <f t="shared" si="122"/>
        <v/>
      </c>
      <c r="L240" s="63" t="str">
        <f t="shared" si="123"/>
        <v/>
      </c>
      <c r="M240" s="64" t="str">
        <f t="shared" si="124"/>
        <v/>
      </c>
      <c r="N240" s="65"/>
      <c r="O240" s="63" t="str">
        <f t="shared" si="125"/>
        <v/>
      </c>
      <c r="P240" s="63" t="str">
        <f t="shared" si="126"/>
        <v/>
      </c>
      <c r="Q240" s="66"/>
      <c r="R240" s="63" t="str">
        <f t="shared" si="127"/>
        <v/>
      </c>
      <c r="S240" s="64" t="str">
        <f t="shared" si="128"/>
        <v/>
      </c>
      <c r="T240" s="63" t="str">
        <f t="shared" si="129"/>
        <v/>
      </c>
      <c r="U240" s="64" t="str">
        <f t="shared" si="130"/>
        <v/>
      </c>
      <c r="V240" s="90" t="str">
        <f>IF($A241="","",IF(AND(MONTH(A240)&gt;3,MONTH(A240)&lt;11),(T240+R240+G240)*Summary!$T$9/(1-Summary!$T$9),(T240+R240+G240)*Summary!$U$9/(1-Summary!$U$9)))</f>
        <v/>
      </c>
      <c r="W240" s="63" t="str">
        <f t="shared" si="131"/>
        <v/>
      </c>
      <c r="X240" s="63" t="str">
        <f t="shared" si="132"/>
        <v/>
      </c>
      <c r="Y240" s="43"/>
      <c r="Z240" s="38" t="str">
        <f t="shared" si="133"/>
        <v/>
      </c>
      <c r="AA240" s="38" t="str">
        <f t="shared" si="134"/>
        <v/>
      </c>
      <c r="AB240" s="38" t="e">
        <f t="shared" si="135"/>
        <v>#VALUE!</v>
      </c>
      <c r="AC240" s="38" t="str">
        <f t="shared" si="136"/>
        <v/>
      </c>
      <c r="AD240" s="38" t="str">
        <f t="shared" si="136"/>
        <v/>
      </c>
      <c r="AE240" s="38" t="e">
        <f t="shared" si="137"/>
        <v>#VALUE!</v>
      </c>
      <c r="AF240" s="237" t="e">
        <f>((Summary!$N$9*(AA240*AD240)*(A240-$D$3))+(Summary!$M$9*Z240*AC240*(AJ240-EOMONTH(EDATE(A240,-1),0))))/(AK240*AB240*AE240)</f>
        <v>#VALUE!</v>
      </c>
      <c r="AG240" s="88" t="str">
        <f>IF($A241="","",Summary!$Q$9)</f>
        <v/>
      </c>
      <c r="AH240" s="88" t="str">
        <f>IF($A241="","",IF(Summary!$R$9="Y",VLOOKUP($A240,Summary!$AD$6:$AF$9,3)+'Escalating commodity'!E253,'Escalating commodity'!E253))</f>
        <v/>
      </c>
      <c r="AI240" s="88" t="str">
        <f t="shared" si="152"/>
        <v/>
      </c>
      <c r="AJ240" s="236" t="e">
        <f t="shared" si="138"/>
        <v>#VALUE!</v>
      </c>
      <c r="AK240" s="58" t="str">
        <f t="shared" si="139"/>
        <v/>
      </c>
      <c r="AL240" s="26" t="str">
        <f>IF($A241="","",_xll.SPRDOPT(P240,X240,AI240,0,AB240,AE240,AF240,AK240,$AJ$2,0))</f>
        <v/>
      </c>
      <c r="AM240" s="89" t="str">
        <f t="shared" si="140"/>
        <v/>
      </c>
      <c r="AN240" s="89" t="str">
        <f t="shared" si="141"/>
        <v/>
      </c>
      <c r="AO240" s="3" t="str">
        <f t="shared" si="142"/>
        <v/>
      </c>
      <c r="AP240" s="33" t="str">
        <f t="shared" si="143"/>
        <v/>
      </c>
      <c r="AQ240" s="58" t="str">
        <f t="shared" si="144"/>
        <v/>
      </c>
      <c r="AR240" s="38">
        <f>'ANR OK vs ML7'!AR240</f>
        <v>0.1</v>
      </c>
      <c r="AS240" s="35" t="str">
        <f t="shared" si="145"/>
        <v/>
      </c>
      <c r="AT240" s="3" t="str">
        <f t="shared" si="146"/>
        <v/>
      </c>
      <c r="AU240" s="3" t="str">
        <f t="shared" si="147"/>
        <v/>
      </c>
      <c r="AW240" s="32" t="str">
        <f t="shared" si="148"/>
        <v/>
      </c>
      <c r="AX240" s="32" t="str">
        <f t="shared" si="149"/>
        <v/>
      </c>
      <c r="AY240" s="32" t="str">
        <f t="shared" si="150"/>
        <v/>
      </c>
      <c r="BA240" s="32" t="str">
        <f>IF($A241="","",F240*Summary!$Q$9)</f>
        <v/>
      </c>
    </row>
    <row r="241" spans="1:53" ht="12" customHeight="1">
      <c r="A241" s="67" t="str">
        <f t="shared" si="151"/>
        <v/>
      </c>
      <c r="B241" s="69" t="str">
        <f t="shared" si="153"/>
        <v/>
      </c>
      <c r="C241" s="71"/>
      <c r="D241" s="69" t="str">
        <f t="shared" si="116"/>
        <v/>
      </c>
      <c r="E241" s="70" t="str">
        <f t="shared" si="117"/>
        <v/>
      </c>
      <c r="F241" s="70" t="str">
        <f t="shared" si="118"/>
        <v/>
      </c>
      <c r="G241" s="63" t="str">
        <f t="shared" si="119"/>
        <v/>
      </c>
      <c r="H241" s="64" t="str">
        <f t="shared" si="120"/>
        <v/>
      </c>
      <c r="I241" s="43"/>
      <c r="J241" s="63" t="str">
        <f t="shared" si="121"/>
        <v/>
      </c>
      <c r="K241" s="64" t="str">
        <f t="shared" si="122"/>
        <v/>
      </c>
      <c r="L241" s="63" t="str">
        <f t="shared" si="123"/>
        <v/>
      </c>
      <c r="M241" s="64" t="str">
        <f t="shared" si="124"/>
        <v/>
      </c>
      <c r="N241" s="65"/>
      <c r="O241" s="63" t="str">
        <f t="shared" si="125"/>
        <v/>
      </c>
      <c r="P241" s="63" t="str">
        <f t="shared" si="126"/>
        <v/>
      </c>
      <c r="Q241" s="66"/>
      <c r="R241" s="63" t="str">
        <f t="shared" si="127"/>
        <v/>
      </c>
      <c r="S241" s="64" t="str">
        <f t="shared" si="128"/>
        <v/>
      </c>
      <c r="T241" s="63" t="str">
        <f t="shared" si="129"/>
        <v/>
      </c>
      <c r="U241" s="64" t="str">
        <f t="shared" si="130"/>
        <v/>
      </c>
      <c r="V241" s="90" t="str">
        <f>IF($A242="","",IF(AND(MONTH(A241)&gt;3,MONTH(A241)&lt;11),(T241+R241+G241)*Summary!$T$9/(1-Summary!$T$9),(T241+R241+G241)*Summary!$U$9/(1-Summary!$U$9)))</f>
        <v/>
      </c>
      <c r="W241" s="63" t="str">
        <f t="shared" si="131"/>
        <v/>
      </c>
      <c r="X241" s="63" t="str">
        <f t="shared" si="132"/>
        <v/>
      </c>
      <c r="Y241" s="43"/>
      <c r="Z241" s="38" t="str">
        <f t="shared" si="133"/>
        <v/>
      </c>
      <c r="AA241" s="38" t="str">
        <f t="shared" si="134"/>
        <v/>
      </c>
      <c r="AB241" s="38" t="e">
        <f t="shared" si="135"/>
        <v>#VALUE!</v>
      </c>
      <c r="AC241" s="38" t="str">
        <f t="shared" si="136"/>
        <v/>
      </c>
      <c r="AD241" s="38" t="str">
        <f t="shared" si="136"/>
        <v/>
      </c>
      <c r="AE241" s="38" t="e">
        <f t="shared" si="137"/>
        <v>#VALUE!</v>
      </c>
      <c r="AF241" s="237" t="e">
        <f>((Summary!$N$9*(AA241*AD241)*(A241-$D$3))+(Summary!$M$9*Z241*AC241*(AJ241-EOMONTH(EDATE(A241,-1),0))))/(AK241*AB241*AE241)</f>
        <v>#VALUE!</v>
      </c>
      <c r="AG241" s="88" t="str">
        <f>IF($A242="","",Summary!$Q$9)</f>
        <v/>
      </c>
      <c r="AH241" s="88" t="str">
        <f>IF($A242="","",IF(Summary!$R$9="Y",VLOOKUP($A241,Summary!$AD$6:$AF$9,3)+'Escalating commodity'!E254,'Escalating commodity'!E254))</f>
        <v/>
      </c>
      <c r="AI241" s="88" t="str">
        <f t="shared" si="152"/>
        <v/>
      </c>
      <c r="AJ241" s="236" t="e">
        <f t="shared" si="138"/>
        <v>#VALUE!</v>
      </c>
      <c r="AK241" s="58" t="str">
        <f t="shared" si="139"/>
        <v/>
      </c>
      <c r="AL241" s="26" t="str">
        <f>IF($A242="","",_xll.SPRDOPT(P241,X241,AI241,0,AB241,AE241,AF241,AK241,$AJ$2,0))</f>
        <v/>
      </c>
      <c r="AM241" s="89" t="str">
        <f t="shared" si="140"/>
        <v/>
      </c>
      <c r="AN241" s="89" t="str">
        <f t="shared" si="141"/>
        <v/>
      </c>
      <c r="AO241" s="3" t="str">
        <f t="shared" si="142"/>
        <v/>
      </c>
      <c r="AP241" s="33" t="str">
        <f t="shared" si="143"/>
        <v/>
      </c>
      <c r="AQ241" s="58" t="str">
        <f t="shared" si="144"/>
        <v/>
      </c>
      <c r="AR241" s="38">
        <f>'ANR OK vs ML7'!AR241</f>
        <v>0.1</v>
      </c>
      <c r="AS241" s="35" t="str">
        <f t="shared" si="145"/>
        <v/>
      </c>
      <c r="AT241" s="3" t="str">
        <f t="shared" si="146"/>
        <v/>
      </c>
      <c r="AU241" s="3" t="str">
        <f t="shared" si="147"/>
        <v/>
      </c>
      <c r="AW241" s="32" t="str">
        <f t="shared" si="148"/>
        <v/>
      </c>
      <c r="AX241" s="32" t="str">
        <f t="shared" si="149"/>
        <v/>
      </c>
      <c r="AY241" s="32" t="str">
        <f t="shared" si="150"/>
        <v/>
      </c>
      <c r="BA241" s="32" t="str">
        <f>IF($A242="","",F241*Summary!$Q$9)</f>
        <v/>
      </c>
    </row>
    <row r="242" spans="1:53" ht="12" customHeight="1">
      <c r="A242" s="67" t="str">
        <f t="shared" si="151"/>
        <v/>
      </c>
      <c r="B242" s="69" t="str">
        <f t="shared" si="153"/>
        <v/>
      </c>
      <c r="C242" s="71"/>
      <c r="D242" s="69" t="str">
        <f t="shared" si="116"/>
        <v/>
      </c>
      <c r="E242" s="70" t="str">
        <f t="shared" si="117"/>
        <v/>
      </c>
      <c r="F242" s="70" t="str">
        <f t="shared" si="118"/>
        <v/>
      </c>
      <c r="G242" s="63" t="str">
        <f t="shared" si="119"/>
        <v/>
      </c>
      <c r="H242" s="64" t="str">
        <f t="shared" si="120"/>
        <v/>
      </c>
      <c r="I242" s="43"/>
      <c r="J242" s="63" t="str">
        <f t="shared" si="121"/>
        <v/>
      </c>
      <c r="K242" s="64" t="str">
        <f t="shared" si="122"/>
        <v/>
      </c>
      <c r="L242" s="63" t="str">
        <f t="shared" si="123"/>
        <v/>
      </c>
      <c r="M242" s="64" t="str">
        <f t="shared" si="124"/>
        <v/>
      </c>
      <c r="N242" s="65"/>
      <c r="O242" s="63" t="str">
        <f t="shared" si="125"/>
        <v/>
      </c>
      <c r="P242" s="63" t="str">
        <f t="shared" si="126"/>
        <v/>
      </c>
      <c r="Q242" s="66"/>
      <c r="R242" s="63" t="str">
        <f t="shared" si="127"/>
        <v/>
      </c>
      <c r="S242" s="64" t="str">
        <f t="shared" si="128"/>
        <v/>
      </c>
      <c r="T242" s="63" t="str">
        <f t="shared" si="129"/>
        <v/>
      </c>
      <c r="U242" s="64" t="str">
        <f t="shared" si="130"/>
        <v/>
      </c>
      <c r="V242" s="90" t="str">
        <f>IF($A243="","",IF(AND(MONTH(A242)&gt;3,MONTH(A242)&lt;11),(T242+R242+G242)*Summary!$T$9/(1-Summary!$T$9),(T242+R242+G242)*Summary!$U$9/(1-Summary!$U$9)))</f>
        <v/>
      </c>
      <c r="W242" s="63" t="str">
        <f t="shared" si="131"/>
        <v/>
      </c>
      <c r="X242" s="63" t="str">
        <f t="shared" si="132"/>
        <v/>
      </c>
      <c r="Y242" s="43"/>
      <c r="Z242" s="38" t="str">
        <f t="shared" si="133"/>
        <v/>
      </c>
      <c r="AA242" s="38" t="str">
        <f t="shared" si="134"/>
        <v/>
      </c>
      <c r="AB242" s="38" t="e">
        <f t="shared" si="135"/>
        <v>#VALUE!</v>
      </c>
      <c r="AC242" s="38" t="str">
        <f t="shared" si="136"/>
        <v/>
      </c>
      <c r="AD242" s="38" t="str">
        <f t="shared" si="136"/>
        <v/>
      </c>
      <c r="AE242" s="38" t="e">
        <f t="shared" si="137"/>
        <v>#VALUE!</v>
      </c>
      <c r="AF242" s="237" t="e">
        <f>((Summary!$N$9*(AA242*AD242)*(A242-$D$3))+(Summary!$M$9*Z242*AC242*(AJ242-EOMONTH(EDATE(A242,-1),0))))/(AK242*AB242*AE242)</f>
        <v>#VALUE!</v>
      </c>
      <c r="AG242" s="88" t="str">
        <f>IF($A243="","",Summary!$Q$9)</f>
        <v/>
      </c>
      <c r="AH242" s="88" t="str">
        <f>IF($A243="","",IF(Summary!$R$9="Y",VLOOKUP($A242,Summary!$AD$6:$AF$9,3)+'Escalating commodity'!E255,'Escalating commodity'!E255))</f>
        <v/>
      </c>
      <c r="AI242" s="88" t="str">
        <f t="shared" si="152"/>
        <v/>
      </c>
      <c r="AJ242" s="236" t="e">
        <f t="shared" si="138"/>
        <v>#VALUE!</v>
      </c>
      <c r="AK242" s="58" t="str">
        <f t="shared" si="139"/>
        <v/>
      </c>
      <c r="AL242" s="26" t="str">
        <f>IF($A243="","",_xll.SPRDOPT(P242,X242,AI242,0,AB242,AE242,AF242,AK242,$AJ$2,0))</f>
        <v/>
      </c>
      <c r="AM242" s="89" t="str">
        <f t="shared" si="140"/>
        <v/>
      </c>
      <c r="AN242" s="89" t="str">
        <f t="shared" si="141"/>
        <v/>
      </c>
      <c r="AO242" s="3" t="str">
        <f t="shared" si="142"/>
        <v/>
      </c>
      <c r="AP242" s="33" t="str">
        <f t="shared" si="143"/>
        <v/>
      </c>
      <c r="AQ242" s="58" t="str">
        <f t="shared" si="144"/>
        <v/>
      </c>
      <c r="AR242" s="38">
        <f>'ANR OK vs ML7'!AR242</f>
        <v>0.1</v>
      </c>
      <c r="AS242" s="35" t="str">
        <f t="shared" si="145"/>
        <v/>
      </c>
      <c r="AT242" s="3" t="str">
        <f t="shared" si="146"/>
        <v/>
      </c>
      <c r="AU242" s="3" t="str">
        <f t="shared" si="147"/>
        <v/>
      </c>
      <c r="AW242" s="32" t="str">
        <f t="shared" si="148"/>
        <v/>
      </c>
      <c r="AX242" s="32" t="str">
        <f t="shared" si="149"/>
        <v/>
      </c>
      <c r="AY242" s="32" t="str">
        <f t="shared" si="150"/>
        <v/>
      </c>
      <c r="BA242" s="32" t="str">
        <f>IF($A243="","",F242*Summary!$Q$9)</f>
        <v/>
      </c>
    </row>
    <row r="243" spans="1:53" ht="12" customHeight="1">
      <c r="A243" s="67" t="str">
        <f t="shared" si="151"/>
        <v/>
      </c>
      <c r="B243" s="69" t="str">
        <f t="shared" si="153"/>
        <v/>
      </c>
      <c r="C243" s="71"/>
      <c r="D243" s="69" t="str">
        <f t="shared" si="116"/>
        <v/>
      </c>
      <c r="E243" s="70" t="str">
        <f t="shared" si="117"/>
        <v/>
      </c>
      <c r="F243" s="70" t="str">
        <f t="shared" si="118"/>
        <v/>
      </c>
      <c r="G243" s="63" t="str">
        <f t="shared" si="119"/>
        <v/>
      </c>
      <c r="H243" s="64" t="str">
        <f t="shared" si="120"/>
        <v/>
      </c>
      <c r="I243" s="43"/>
      <c r="J243" s="63" t="str">
        <f t="shared" si="121"/>
        <v/>
      </c>
      <c r="K243" s="64" t="str">
        <f t="shared" si="122"/>
        <v/>
      </c>
      <c r="L243" s="63" t="str">
        <f t="shared" si="123"/>
        <v/>
      </c>
      <c r="M243" s="64" t="str">
        <f t="shared" si="124"/>
        <v/>
      </c>
      <c r="N243" s="65"/>
      <c r="O243" s="63" t="str">
        <f t="shared" si="125"/>
        <v/>
      </c>
      <c r="P243" s="63" t="str">
        <f t="shared" si="126"/>
        <v/>
      </c>
      <c r="Q243" s="66"/>
      <c r="R243" s="63" t="str">
        <f t="shared" si="127"/>
        <v/>
      </c>
      <c r="S243" s="64" t="str">
        <f t="shared" si="128"/>
        <v/>
      </c>
      <c r="T243" s="63" t="str">
        <f t="shared" si="129"/>
        <v/>
      </c>
      <c r="U243" s="64" t="str">
        <f t="shared" si="130"/>
        <v/>
      </c>
      <c r="V243" s="90" t="str">
        <f>IF($A244="","",IF(AND(MONTH(A243)&gt;3,MONTH(A243)&lt;11),(T243+R243+G243)*Summary!$T$9/(1-Summary!$T$9),(T243+R243+G243)*Summary!$U$9/(1-Summary!$U$9)))</f>
        <v/>
      </c>
      <c r="W243" s="63" t="str">
        <f t="shared" si="131"/>
        <v/>
      </c>
      <c r="X243" s="63" t="str">
        <f t="shared" si="132"/>
        <v/>
      </c>
      <c r="Y243" s="43"/>
      <c r="Z243" s="38" t="str">
        <f t="shared" si="133"/>
        <v/>
      </c>
      <c r="AA243" s="38" t="str">
        <f t="shared" si="134"/>
        <v/>
      </c>
      <c r="AB243" s="38" t="e">
        <f t="shared" si="135"/>
        <v>#VALUE!</v>
      </c>
      <c r="AC243" s="38" t="str">
        <f t="shared" si="136"/>
        <v/>
      </c>
      <c r="AD243" s="38" t="str">
        <f t="shared" si="136"/>
        <v/>
      </c>
      <c r="AE243" s="38" t="e">
        <f t="shared" si="137"/>
        <v>#VALUE!</v>
      </c>
      <c r="AF243" s="237" t="e">
        <f>((Summary!$N$9*(AA243*AD243)*(A243-$D$3))+(Summary!$M$9*Z243*AC243*(AJ243-EOMONTH(EDATE(A243,-1),0))))/(AK243*AB243*AE243)</f>
        <v>#VALUE!</v>
      </c>
      <c r="AG243" s="88" t="str">
        <f>IF($A244="","",Summary!$Q$9)</f>
        <v/>
      </c>
      <c r="AH243" s="88" t="str">
        <f>IF($A244="","",IF(Summary!$R$9="Y",VLOOKUP($A243,Summary!$AD$6:$AF$9,3)+'Escalating commodity'!E256,'Escalating commodity'!E256))</f>
        <v/>
      </c>
      <c r="AI243" s="88" t="str">
        <f t="shared" si="152"/>
        <v/>
      </c>
      <c r="AJ243" s="236" t="e">
        <f t="shared" si="138"/>
        <v>#VALUE!</v>
      </c>
      <c r="AK243" s="58" t="str">
        <f t="shared" si="139"/>
        <v/>
      </c>
      <c r="AL243" s="26" t="str">
        <f>IF($A244="","",_xll.SPRDOPT(P243,X243,AI243,0,AB243,AE243,AF243,AK243,$AJ$2,0))</f>
        <v/>
      </c>
      <c r="AM243" s="89" t="str">
        <f t="shared" si="140"/>
        <v/>
      </c>
      <c r="AN243" s="89" t="str">
        <f t="shared" si="141"/>
        <v/>
      </c>
      <c r="AO243" s="3" t="str">
        <f t="shared" si="142"/>
        <v/>
      </c>
      <c r="AP243" s="33" t="str">
        <f t="shared" si="143"/>
        <v/>
      </c>
      <c r="AQ243" s="58" t="str">
        <f t="shared" si="144"/>
        <v/>
      </c>
      <c r="AR243" s="38">
        <f>'ANR OK vs ML7'!AR243</f>
        <v>0.1</v>
      </c>
      <c r="AS243" s="35" t="str">
        <f t="shared" si="145"/>
        <v/>
      </c>
      <c r="AT243" s="3" t="str">
        <f t="shared" si="146"/>
        <v/>
      </c>
      <c r="AU243" s="3" t="str">
        <f t="shared" si="147"/>
        <v/>
      </c>
      <c r="AW243" s="32" t="str">
        <f t="shared" si="148"/>
        <v/>
      </c>
      <c r="AX243" s="32" t="str">
        <f t="shared" si="149"/>
        <v/>
      </c>
      <c r="AY243" s="32" t="str">
        <f t="shared" si="150"/>
        <v/>
      </c>
      <c r="BA243" s="32" t="str">
        <f>IF($A244="","",F243*Summary!$Q$9)</f>
        <v/>
      </c>
    </row>
    <row r="244" spans="1:53" ht="12" customHeight="1">
      <c r="A244" s="67" t="str">
        <f t="shared" si="151"/>
        <v/>
      </c>
      <c r="B244" s="69" t="str">
        <f t="shared" si="153"/>
        <v/>
      </c>
      <c r="C244" s="71"/>
      <c r="D244" s="69" t="str">
        <f t="shared" si="116"/>
        <v/>
      </c>
      <c r="E244" s="70" t="str">
        <f t="shared" si="117"/>
        <v/>
      </c>
      <c r="F244" s="70" t="str">
        <f t="shared" si="118"/>
        <v/>
      </c>
      <c r="G244" s="63" t="str">
        <f t="shared" si="119"/>
        <v/>
      </c>
      <c r="H244" s="64" t="str">
        <f t="shared" si="120"/>
        <v/>
      </c>
      <c r="I244" s="43"/>
      <c r="J244" s="63" t="str">
        <f t="shared" si="121"/>
        <v/>
      </c>
      <c r="K244" s="64" t="str">
        <f t="shared" si="122"/>
        <v/>
      </c>
      <c r="L244" s="63" t="str">
        <f t="shared" si="123"/>
        <v/>
      </c>
      <c r="M244" s="64" t="str">
        <f t="shared" si="124"/>
        <v/>
      </c>
      <c r="N244" s="65"/>
      <c r="O244" s="63" t="str">
        <f t="shared" si="125"/>
        <v/>
      </c>
      <c r="P244" s="63" t="str">
        <f t="shared" si="126"/>
        <v/>
      </c>
      <c r="Q244" s="66"/>
      <c r="R244" s="63" t="str">
        <f t="shared" si="127"/>
        <v/>
      </c>
      <c r="S244" s="64" t="str">
        <f t="shared" si="128"/>
        <v/>
      </c>
      <c r="T244" s="63" t="str">
        <f t="shared" si="129"/>
        <v/>
      </c>
      <c r="U244" s="64" t="str">
        <f t="shared" si="130"/>
        <v/>
      </c>
      <c r="V244" s="90" t="str">
        <f>IF($A245="","",IF(AND(MONTH(A244)&gt;3,MONTH(A244)&lt;11),(T244+R244+G244)*Summary!$T$9/(1-Summary!$T$9),(T244+R244+G244)*Summary!$U$9/(1-Summary!$U$9)))</f>
        <v/>
      </c>
      <c r="W244" s="63" t="str">
        <f t="shared" si="131"/>
        <v/>
      </c>
      <c r="X244" s="63" t="str">
        <f t="shared" si="132"/>
        <v/>
      </c>
      <c r="Y244" s="43"/>
      <c r="Z244" s="38" t="str">
        <f t="shared" si="133"/>
        <v/>
      </c>
      <c r="AA244" s="38" t="str">
        <f t="shared" si="134"/>
        <v/>
      </c>
      <c r="AB244" s="38" t="e">
        <f t="shared" si="135"/>
        <v>#VALUE!</v>
      </c>
      <c r="AC244" s="38" t="str">
        <f t="shared" si="136"/>
        <v/>
      </c>
      <c r="AD244" s="38" t="str">
        <f t="shared" si="136"/>
        <v/>
      </c>
      <c r="AE244" s="38" t="e">
        <f t="shared" si="137"/>
        <v>#VALUE!</v>
      </c>
      <c r="AF244" s="237" t="e">
        <f>((Summary!$N$9*(AA244*AD244)*(A244-$D$3))+(Summary!$M$9*Z244*AC244*(AJ244-EOMONTH(EDATE(A244,-1),0))))/(AK244*AB244*AE244)</f>
        <v>#VALUE!</v>
      </c>
      <c r="AG244" s="88" t="str">
        <f>IF($A245="","",Summary!$Q$9)</f>
        <v/>
      </c>
      <c r="AH244" s="88" t="str">
        <f>IF($A245="","",IF(Summary!$R$9="Y",VLOOKUP($A244,Summary!$AD$6:$AF$9,3)+'Escalating commodity'!E257,'Escalating commodity'!E257))</f>
        <v/>
      </c>
      <c r="AI244" s="88" t="str">
        <f t="shared" si="152"/>
        <v/>
      </c>
      <c r="AJ244" s="236" t="e">
        <f t="shared" si="138"/>
        <v>#VALUE!</v>
      </c>
      <c r="AK244" s="58" t="str">
        <f t="shared" si="139"/>
        <v/>
      </c>
      <c r="AL244" s="26" t="str">
        <f>IF($A245="","",_xll.SPRDOPT(P244,X244,AI244,0,AB244,AE244,AF244,AK244,$AJ$2,0))</f>
        <v/>
      </c>
      <c r="AM244" s="89" t="str">
        <f t="shared" si="140"/>
        <v/>
      </c>
      <c r="AN244" s="89" t="str">
        <f t="shared" si="141"/>
        <v/>
      </c>
      <c r="AO244" s="3" t="str">
        <f t="shared" si="142"/>
        <v/>
      </c>
      <c r="AP244" s="33" t="str">
        <f t="shared" si="143"/>
        <v/>
      </c>
      <c r="AQ244" s="58" t="str">
        <f t="shared" si="144"/>
        <v/>
      </c>
      <c r="AR244" s="38">
        <f>'ANR OK vs ML7'!AR244</f>
        <v>0.1</v>
      </c>
      <c r="AS244" s="35" t="str">
        <f t="shared" si="145"/>
        <v/>
      </c>
      <c r="AT244" s="3" t="str">
        <f t="shared" si="146"/>
        <v/>
      </c>
      <c r="AU244" s="3" t="str">
        <f t="shared" si="147"/>
        <v/>
      </c>
      <c r="AW244" s="32" t="str">
        <f t="shared" si="148"/>
        <v/>
      </c>
      <c r="AX244" s="32" t="str">
        <f t="shared" si="149"/>
        <v/>
      </c>
      <c r="AY244" s="32" t="str">
        <f t="shared" si="150"/>
        <v/>
      </c>
      <c r="BA244" s="32" t="str">
        <f>IF($A245="","",F244*Summary!$Q$9)</f>
        <v/>
      </c>
    </row>
    <row r="245" spans="1:53" ht="12" customHeight="1">
      <c r="A245" s="67" t="str">
        <f t="shared" si="151"/>
        <v/>
      </c>
      <c r="B245" s="69" t="str">
        <f t="shared" si="153"/>
        <v/>
      </c>
      <c r="C245" s="71"/>
      <c r="D245" s="69" t="str">
        <f t="shared" si="116"/>
        <v/>
      </c>
      <c r="E245" s="70" t="str">
        <f t="shared" si="117"/>
        <v/>
      </c>
      <c r="F245" s="70" t="str">
        <f t="shared" si="118"/>
        <v/>
      </c>
      <c r="G245" s="63" t="str">
        <f t="shared" si="119"/>
        <v/>
      </c>
      <c r="H245" s="64" t="str">
        <f t="shared" si="120"/>
        <v/>
      </c>
      <c r="I245" s="43"/>
      <c r="J245" s="63" t="str">
        <f t="shared" si="121"/>
        <v/>
      </c>
      <c r="K245" s="64" t="str">
        <f t="shared" si="122"/>
        <v/>
      </c>
      <c r="L245" s="63" t="str">
        <f t="shared" si="123"/>
        <v/>
      </c>
      <c r="M245" s="64" t="str">
        <f t="shared" si="124"/>
        <v/>
      </c>
      <c r="N245" s="65"/>
      <c r="O245" s="63" t="str">
        <f t="shared" si="125"/>
        <v/>
      </c>
      <c r="P245" s="63" t="str">
        <f t="shared" si="126"/>
        <v/>
      </c>
      <c r="Q245" s="66"/>
      <c r="R245" s="63" t="str">
        <f t="shared" si="127"/>
        <v/>
      </c>
      <c r="S245" s="64" t="str">
        <f t="shared" si="128"/>
        <v/>
      </c>
      <c r="T245" s="63" t="str">
        <f t="shared" si="129"/>
        <v/>
      </c>
      <c r="U245" s="64" t="str">
        <f t="shared" si="130"/>
        <v/>
      </c>
      <c r="V245" s="90" t="str">
        <f>IF($A246="","",IF(AND(MONTH(A245)&gt;3,MONTH(A245)&lt;11),(T245+R245+G245)*Summary!$T$9/(1-Summary!$T$9),(T245+R245+G245)*Summary!$U$9/(1-Summary!$U$9)))</f>
        <v/>
      </c>
      <c r="W245" s="63" t="str">
        <f t="shared" si="131"/>
        <v/>
      </c>
      <c r="X245" s="63" t="str">
        <f t="shared" si="132"/>
        <v/>
      </c>
      <c r="Y245" s="43"/>
      <c r="Z245" s="38" t="str">
        <f t="shared" si="133"/>
        <v/>
      </c>
      <c r="AA245" s="38" t="str">
        <f t="shared" si="134"/>
        <v/>
      </c>
      <c r="AB245" s="38" t="e">
        <f t="shared" si="135"/>
        <v>#VALUE!</v>
      </c>
      <c r="AC245" s="38" t="str">
        <f t="shared" si="136"/>
        <v/>
      </c>
      <c r="AD245" s="38" t="str">
        <f t="shared" si="136"/>
        <v/>
      </c>
      <c r="AE245" s="38" t="e">
        <f t="shared" si="137"/>
        <v>#VALUE!</v>
      </c>
      <c r="AF245" s="237" t="e">
        <f>((Summary!$N$9*(AA245*AD245)*(A245-$D$3))+(Summary!$M$9*Z245*AC245*(AJ245-EOMONTH(EDATE(A245,-1),0))))/(AK245*AB245*AE245)</f>
        <v>#VALUE!</v>
      </c>
      <c r="AG245" s="88" t="str">
        <f>IF($A246="","",Summary!$Q$9)</f>
        <v/>
      </c>
      <c r="AH245" s="88" t="str">
        <f>IF($A246="","",IF(Summary!$R$9="Y",VLOOKUP($A245,Summary!$AD$6:$AF$9,3)+'Escalating commodity'!E258,'Escalating commodity'!E258))</f>
        <v/>
      </c>
      <c r="AI245" s="88" t="str">
        <f t="shared" si="152"/>
        <v/>
      </c>
      <c r="AJ245" s="236" t="e">
        <f t="shared" si="138"/>
        <v>#VALUE!</v>
      </c>
      <c r="AK245" s="58" t="str">
        <f t="shared" si="139"/>
        <v/>
      </c>
      <c r="AL245" s="26" t="str">
        <f>IF($A246="","",_xll.SPRDOPT(P245,X245,AI245,0,AB245,AE245,AF245,AK245,$AJ$2,0))</f>
        <v/>
      </c>
      <c r="AM245" s="89" t="str">
        <f t="shared" si="140"/>
        <v/>
      </c>
      <c r="AN245" s="89" t="str">
        <f t="shared" si="141"/>
        <v/>
      </c>
      <c r="AO245" s="3" t="str">
        <f t="shared" si="142"/>
        <v/>
      </c>
      <c r="AP245" s="33" t="str">
        <f t="shared" si="143"/>
        <v/>
      </c>
      <c r="AQ245" s="58" t="str">
        <f t="shared" si="144"/>
        <v/>
      </c>
      <c r="AR245" s="38">
        <f>'ANR OK vs ML7'!AR245</f>
        <v>0.1</v>
      </c>
      <c r="AS245" s="35" t="str">
        <f t="shared" si="145"/>
        <v/>
      </c>
      <c r="AT245" s="3" t="str">
        <f t="shared" si="146"/>
        <v/>
      </c>
      <c r="AU245" s="3" t="str">
        <f t="shared" si="147"/>
        <v/>
      </c>
      <c r="AW245" s="32" t="str">
        <f t="shared" si="148"/>
        <v/>
      </c>
      <c r="AX245" s="32" t="str">
        <f t="shared" si="149"/>
        <v/>
      </c>
      <c r="AY245" s="32" t="str">
        <f t="shared" si="150"/>
        <v/>
      </c>
      <c r="BA245" s="32" t="str">
        <f>IF($A246="","",F245*Summary!$Q$9)</f>
        <v/>
      </c>
    </row>
    <row r="246" spans="1:53" ht="12" customHeight="1">
      <c r="A246" s="67" t="str">
        <f t="shared" si="151"/>
        <v/>
      </c>
      <c r="B246" s="69" t="str">
        <f t="shared" si="153"/>
        <v/>
      </c>
      <c r="C246" s="71"/>
      <c r="D246" s="69" t="str">
        <f t="shared" si="116"/>
        <v/>
      </c>
      <c r="E246" s="70" t="str">
        <f t="shared" si="117"/>
        <v/>
      </c>
      <c r="F246" s="70" t="str">
        <f t="shared" si="118"/>
        <v/>
      </c>
      <c r="G246" s="63" t="str">
        <f t="shared" si="119"/>
        <v/>
      </c>
      <c r="H246" s="64" t="str">
        <f t="shared" si="120"/>
        <v/>
      </c>
      <c r="I246" s="43"/>
      <c r="J246" s="63" t="str">
        <f t="shared" si="121"/>
        <v/>
      </c>
      <c r="K246" s="64" t="str">
        <f t="shared" si="122"/>
        <v/>
      </c>
      <c r="L246" s="63" t="str">
        <f t="shared" si="123"/>
        <v/>
      </c>
      <c r="M246" s="64" t="str">
        <f t="shared" si="124"/>
        <v/>
      </c>
      <c r="N246" s="65"/>
      <c r="O246" s="63" t="str">
        <f t="shared" si="125"/>
        <v/>
      </c>
      <c r="P246" s="63" t="str">
        <f t="shared" si="126"/>
        <v/>
      </c>
      <c r="Q246" s="66"/>
      <c r="R246" s="63" t="str">
        <f t="shared" si="127"/>
        <v/>
      </c>
      <c r="S246" s="64" t="str">
        <f t="shared" si="128"/>
        <v/>
      </c>
      <c r="T246" s="63" t="str">
        <f t="shared" si="129"/>
        <v/>
      </c>
      <c r="U246" s="64" t="str">
        <f t="shared" si="130"/>
        <v/>
      </c>
      <c r="V246" s="90" t="str">
        <f>IF($A247="","",IF(AND(MONTH(A246)&gt;3,MONTH(A246)&lt;11),(T246+R246+G246)*Summary!$T$9/(1-Summary!$T$9),(T246+R246+G246)*Summary!$U$9/(1-Summary!$U$9)))</f>
        <v/>
      </c>
      <c r="W246" s="63" t="str">
        <f t="shared" si="131"/>
        <v/>
      </c>
      <c r="X246" s="63" t="str">
        <f t="shared" si="132"/>
        <v/>
      </c>
      <c r="Y246" s="43"/>
      <c r="Z246" s="38" t="str">
        <f t="shared" si="133"/>
        <v/>
      </c>
      <c r="AA246" s="38" t="str">
        <f t="shared" si="134"/>
        <v/>
      </c>
      <c r="AB246" s="38" t="e">
        <f t="shared" si="135"/>
        <v>#VALUE!</v>
      </c>
      <c r="AC246" s="38" t="str">
        <f t="shared" si="136"/>
        <v/>
      </c>
      <c r="AD246" s="38" t="str">
        <f t="shared" si="136"/>
        <v/>
      </c>
      <c r="AE246" s="38" t="e">
        <f t="shared" si="137"/>
        <v>#VALUE!</v>
      </c>
      <c r="AF246" s="237" t="e">
        <f>((Summary!$N$9*(AA246*AD246)*(A246-$D$3))+(Summary!$M$9*Z246*AC246*(AJ246-EOMONTH(EDATE(A246,-1),0))))/(AK246*AB246*AE246)</f>
        <v>#VALUE!</v>
      </c>
      <c r="AG246" s="88" t="str">
        <f>IF($A247="","",Summary!$Q$9)</f>
        <v/>
      </c>
      <c r="AH246" s="88" t="str">
        <f>IF($A247="","",IF(Summary!$R$9="Y",VLOOKUP($A246,Summary!$AD$6:$AF$9,3)+'Escalating commodity'!E259,'Escalating commodity'!E259))</f>
        <v/>
      </c>
      <c r="AI246" s="88" t="str">
        <f t="shared" si="152"/>
        <v/>
      </c>
      <c r="AJ246" s="236" t="e">
        <f t="shared" si="138"/>
        <v>#VALUE!</v>
      </c>
      <c r="AK246" s="58" t="str">
        <f t="shared" si="139"/>
        <v/>
      </c>
      <c r="AL246" s="26" t="str">
        <f>IF($A247="","",_xll.SPRDOPT(P246,X246,AI246,0,AB246,AE246,AF246,AK246,$AJ$2,0))</f>
        <v/>
      </c>
      <c r="AM246" s="89" t="str">
        <f t="shared" si="140"/>
        <v/>
      </c>
      <c r="AN246" s="89" t="str">
        <f t="shared" si="141"/>
        <v/>
      </c>
      <c r="AO246" s="3" t="str">
        <f t="shared" si="142"/>
        <v/>
      </c>
      <c r="AP246" s="33" t="str">
        <f t="shared" si="143"/>
        <v/>
      </c>
      <c r="AQ246" s="58" t="str">
        <f t="shared" si="144"/>
        <v/>
      </c>
      <c r="AR246" s="38">
        <f>'ANR OK vs ML7'!AR246</f>
        <v>0.1</v>
      </c>
      <c r="AS246" s="35" t="str">
        <f t="shared" si="145"/>
        <v/>
      </c>
      <c r="AT246" s="3" t="str">
        <f t="shared" si="146"/>
        <v/>
      </c>
      <c r="AU246" s="3" t="str">
        <f t="shared" si="147"/>
        <v/>
      </c>
      <c r="AW246" s="32" t="str">
        <f t="shared" si="148"/>
        <v/>
      </c>
      <c r="AX246" s="32" t="str">
        <f t="shared" si="149"/>
        <v/>
      </c>
      <c r="AY246" s="32" t="str">
        <f t="shared" si="150"/>
        <v/>
      </c>
      <c r="BA246" s="32" t="str">
        <f>IF($A247="","",F246*Summary!$Q$9)</f>
        <v/>
      </c>
    </row>
    <row r="247" spans="1:53" ht="12" customHeight="1">
      <c r="A247" s="67" t="str">
        <f t="shared" si="151"/>
        <v/>
      </c>
      <c r="B247" s="69" t="str">
        <f t="shared" si="153"/>
        <v/>
      </c>
      <c r="C247" s="71"/>
      <c r="D247" s="69" t="str">
        <f t="shared" si="116"/>
        <v/>
      </c>
      <c r="E247" s="70" t="str">
        <f t="shared" si="117"/>
        <v/>
      </c>
      <c r="F247" s="70" t="str">
        <f t="shared" si="118"/>
        <v/>
      </c>
      <c r="G247" s="63" t="str">
        <f t="shared" si="119"/>
        <v/>
      </c>
      <c r="H247" s="64" t="str">
        <f t="shared" si="120"/>
        <v/>
      </c>
      <c r="I247" s="43"/>
      <c r="J247" s="63" t="str">
        <f t="shared" si="121"/>
        <v/>
      </c>
      <c r="K247" s="64" t="str">
        <f t="shared" si="122"/>
        <v/>
      </c>
      <c r="L247" s="63" t="str">
        <f t="shared" si="123"/>
        <v/>
      </c>
      <c r="M247" s="64" t="str">
        <f t="shared" si="124"/>
        <v/>
      </c>
      <c r="N247" s="65"/>
      <c r="O247" s="63" t="str">
        <f t="shared" si="125"/>
        <v/>
      </c>
      <c r="P247" s="63" t="str">
        <f t="shared" si="126"/>
        <v/>
      </c>
      <c r="Q247" s="66"/>
      <c r="R247" s="63" t="str">
        <f t="shared" si="127"/>
        <v/>
      </c>
      <c r="S247" s="64" t="str">
        <f t="shared" si="128"/>
        <v/>
      </c>
      <c r="T247" s="63" t="str">
        <f t="shared" si="129"/>
        <v/>
      </c>
      <c r="U247" s="64" t="str">
        <f t="shared" si="130"/>
        <v/>
      </c>
      <c r="V247" s="90" t="str">
        <f>IF($A248="","",IF(AND(MONTH(A247)&gt;3,MONTH(A247)&lt;11),(T247+R247+G247)*Summary!$T$9/(1-Summary!$T$9),(T247+R247+G247)*Summary!$U$9/(1-Summary!$U$9)))</f>
        <v/>
      </c>
      <c r="W247" s="63" t="str">
        <f t="shared" si="131"/>
        <v/>
      </c>
      <c r="X247" s="63" t="str">
        <f t="shared" si="132"/>
        <v/>
      </c>
      <c r="Y247" s="43"/>
      <c r="Z247" s="38" t="str">
        <f t="shared" si="133"/>
        <v/>
      </c>
      <c r="AA247" s="38" t="str">
        <f t="shared" si="134"/>
        <v/>
      </c>
      <c r="AB247" s="38" t="e">
        <f t="shared" si="135"/>
        <v>#VALUE!</v>
      </c>
      <c r="AC247" s="38" t="str">
        <f t="shared" si="136"/>
        <v/>
      </c>
      <c r="AD247" s="38" t="str">
        <f t="shared" si="136"/>
        <v/>
      </c>
      <c r="AE247" s="38" t="e">
        <f t="shared" si="137"/>
        <v>#VALUE!</v>
      </c>
      <c r="AF247" s="237" t="e">
        <f>((Summary!$N$9*(AA247*AD247)*(A247-$D$3))+(Summary!$M$9*Z247*AC247*(AJ247-EOMONTH(EDATE(A247,-1),0))))/(AK247*AB247*AE247)</f>
        <v>#VALUE!</v>
      </c>
      <c r="AG247" s="88" t="str">
        <f>IF($A248="","",Summary!$Q$9)</f>
        <v/>
      </c>
      <c r="AH247" s="88" t="str">
        <f>IF($A248="","",IF(Summary!$R$9="Y",VLOOKUP($A247,Summary!$AD$6:$AF$9,3)+'Escalating commodity'!E260,'Escalating commodity'!E260))</f>
        <v/>
      </c>
      <c r="AI247" s="88" t="str">
        <f t="shared" si="152"/>
        <v/>
      </c>
      <c r="AJ247" s="236" t="e">
        <f t="shared" si="138"/>
        <v>#VALUE!</v>
      </c>
      <c r="AK247" s="58" t="str">
        <f t="shared" si="139"/>
        <v/>
      </c>
      <c r="AL247" s="26" t="str">
        <f>IF($A248="","",_xll.SPRDOPT(P247,X247,AI247,0,AB247,AE247,AF247,AK247,$AJ$2,0))</f>
        <v/>
      </c>
      <c r="AM247" s="89" t="str">
        <f t="shared" si="140"/>
        <v/>
      </c>
      <c r="AN247" s="89" t="str">
        <f t="shared" si="141"/>
        <v/>
      </c>
      <c r="AO247" s="3" t="str">
        <f t="shared" si="142"/>
        <v/>
      </c>
      <c r="AP247" s="33" t="str">
        <f t="shared" si="143"/>
        <v/>
      </c>
      <c r="AQ247" s="58" t="str">
        <f t="shared" si="144"/>
        <v/>
      </c>
      <c r="AR247" s="38">
        <f>'ANR OK vs ML7'!AR247</f>
        <v>0.1</v>
      </c>
      <c r="AS247" s="35" t="str">
        <f t="shared" si="145"/>
        <v/>
      </c>
      <c r="AT247" s="3" t="str">
        <f t="shared" si="146"/>
        <v/>
      </c>
      <c r="AU247" s="3" t="str">
        <f t="shared" si="147"/>
        <v/>
      </c>
      <c r="AW247" s="32" t="str">
        <f t="shared" si="148"/>
        <v/>
      </c>
      <c r="AX247" s="32" t="str">
        <f t="shared" si="149"/>
        <v/>
      </c>
      <c r="AY247" s="32" t="str">
        <f t="shared" si="150"/>
        <v/>
      </c>
      <c r="BA247" s="32" t="str">
        <f>IF($A248="","",F247*Summary!$Q$9)</f>
        <v/>
      </c>
    </row>
    <row r="248" spans="1:53" ht="12" customHeight="1">
      <c r="A248" s="67" t="str">
        <f t="shared" si="151"/>
        <v/>
      </c>
      <c r="B248" s="69" t="str">
        <f t="shared" si="153"/>
        <v/>
      </c>
      <c r="C248" s="71"/>
      <c r="D248" s="69" t="str">
        <f t="shared" si="116"/>
        <v/>
      </c>
      <c r="E248" s="70" t="str">
        <f t="shared" si="117"/>
        <v/>
      </c>
      <c r="F248" s="70" t="str">
        <f t="shared" si="118"/>
        <v/>
      </c>
      <c r="G248" s="63" t="str">
        <f t="shared" si="119"/>
        <v/>
      </c>
      <c r="H248" s="64" t="str">
        <f t="shared" si="120"/>
        <v/>
      </c>
      <c r="I248" s="43"/>
      <c r="J248" s="63" t="str">
        <f t="shared" si="121"/>
        <v/>
      </c>
      <c r="K248" s="64" t="str">
        <f t="shared" si="122"/>
        <v/>
      </c>
      <c r="L248" s="63" t="str">
        <f t="shared" si="123"/>
        <v/>
      </c>
      <c r="M248" s="64" t="str">
        <f t="shared" si="124"/>
        <v/>
      </c>
      <c r="N248" s="65"/>
      <c r="O248" s="63" t="str">
        <f t="shared" si="125"/>
        <v/>
      </c>
      <c r="P248" s="63" t="str">
        <f t="shared" si="126"/>
        <v/>
      </c>
      <c r="Q248" s="66"/>
      <c r="R248" s="63" t="str">
        <f t="shared" si="127"/>
        <v/>
      </c>
      <c r="S248" s="64" t="str">
        <f t="shared" si="128"/>
        <v/>
      </c>
      <c r="T248" s="63" t="str">
        <f t="shared" si="129"/>
        <v/>
      </c>
      <c r="U248" s="64" t="str">
        <f t="shared" si="130"/>
        <v/>
      </c>
      <c r="V248" s="90" t="str">
        <f>IF($A249="","",IF(AND(MONTH(A248)&gt;3,MONTH(A248)&lt;11),(T248+R248+G248)*Summary!$T$9/(1-Summary!$T$9),(T248+R248+G248)*Summary!$U$9/(1-Summary!$U$9)))</f>
        <v/>
      </c>
      <c r="W248" s="63" t="str">
        <f t="shared" si="131"/>
        <v/>
      </c>
      <c r="X248" s="63" t="str">
        <f t="shared" si="132"/>
        <v/>
      </c>
      <c r="Y248" s="43"/>
      <c r="Z248" s="38" t="str">
        <f t="shared" si="133"/>
        <v/>
      </c>
      <c r="AA248" s="38" t="str">
        <f t="shared" si="134"/>
        <v/>
      </c>
      <c r="AB248" s="38" t="e">
        <f t="shared" si="135"/>
        <v>#VALUE!</v>
      </c>
      <c r="AC248" s="38" t="str">
        <f t="shared" si="136"/>
        <v/>
      </c>
      <c r="AD248" s="38" t="str">
        <f t="shared" si="136"/>
        <v/>
      </c>
      <c r="AE248" s="38" t="e">
        <f t="shared" si="137"/>
        <v>#VALUE!</v>
      </c>
      <c r="AF248" s="237" t="e">
        <f>((Summary!$N$9*(AA248*AD248)*(A248-$D$3))+(Summary!$M$9*Z248*AC248*(AJ248-EOMONTH(EDATE(A248,-1),0))))/(AK248*AB248*AE248)</f>
        <v>#VALUE!</v>
      </c>
      <c r="AG248" s="88" t="str">
        <f>IF($A249="","",Summary!$Q$9)</f>
        <v/>
      </c>
      <c r="AH248" s="88" t="str">
        <f>IF($A249="","",IF(Summary!$R$9="Y",VLOOKUP($A248,Summary!$AD$6:$AF$9,3)+'Escalating commodity'!E261,'Escalating commodity'!E261))</f>
        <v/>
      </c>
      <c r="AI248" s="88" t="str">
        <f t="shared" si="152"/>
        <v/>
      </c>
      <c r="AJ248" s="236" t="e">
        <f t="shared" si="138"/>
        <v>#VALUE!</v>
      </c>
      <c r="AK248" s="58" t="str">
        <f t="shared" si="139"/>
        <v/>
      </c>
      <c r="AL248" s="26" t="str">
        <f>IF($A249="","",_xll.SPRDOPT(P248,X248,AI248,0,AB248,AE248,AF248,AK248,$AJ$2,0))</f>
        <v/>
      </c>
      <c r="AM248" s="89" t="str">
        <f t="shared" si="140"/>
        <v/>
      </c>
      <c r="AN248" s="89" t="str">
        <f t="shared" si="141"/>
        <v/>
      </c>
      <c r="AO248" s="3" t="str">
        <f t="shared" si="142"/>
        <v/>
      </c>
      <c r="AP248" s="33" t="str">
        <f t="shared" si="143"/>
        <v/>
      </c>
      <c r="AQ248" s="58" t="str">
        <f t="shared" si="144"/>
        <v/>
      </c>
      <c r="AR248" s="38">
        <f>'ANR OK vs ML7'!AR248</f>
        <v>0.1</v>
      </c>
      <c r="AS248" s="35" t="str">
        <f t="shared" si="145"/>
        <v/>
      </c>
      <c r="AT248" s="3" t="str">
        <f t="shared" si="146"/>
        <v/>
      </c>
      <c r="AU248" s="3" t="str">
        <f t="shared" si="147"/>
        <v/>
      </c>
      <c r="AW248" s="32" t="str">
        <f t="shared" si="148"/>
        <v/>
      </c>
      <c r="AX248" s="32" t="str">
        <f t="shared" si="149"/>
        <v/>
      </c>
      <c r="AY248" s="32" t="str">
        <f t="shared" si="150"/>
        <v/>
      </c>
      <c r="BA248" s="32" t="str">
        <f>IF($A249="","",F248*Summary!$Q$9)</f>
        <v/>
      </c>
    </row>
    <row r="249" spans="1:53" ht="12" customHeight="1">
      <c r="A249" s="67" t="str">
        <f t="shared" si="151"/>
        <v/>
      </c>
      <c r="B249" s="69" t="str">
        <f t="shared" si="153"/>
        <v/>
      </c>
      <c r="C249" s="71"/>
      <c r="D249" s="69" t="str">
        <f t="shared" si="116"/>
        <v/>
      </c>
      <c r="E249" s="70" t="str">
        <f t="shared" si="117"/>
        <v/>
      </c>
      <c r="F249" s="70" t="str">
        <f t="shared" si="118"/>
        <v/>
      </c>
      <c r="G249" s="63" t="str">
        <f t="shared" si="119"/>
        <v/>
      </c>
      <c r="H249" s="64" t="str">
        <f t="shared" si="120"/>
        <v/>
      </c>
      <c r="I249" s="43"/>
      <c r="J249" s="63" t="str">
        <f t="shared" si="121"/>
        <v/>
      </c>
      <c r="K249" s="64" t="str">
        <f t="shared" si="122"/>
        <v/>
      </c>
      <c r="L249" s="63" t="str">
        <f t="shared" si="123"/>
        <v/>
      </c>
      <c r="M249" s="64" t="str">
        <f t="shared" si="124"/>
        <v/>
      </c>
      <c r="N249" s="65"/>
      <c r="O249" s="63" t="str">
        <f t="shared" si="125"/>
        <v/>
      </c>
      <c r="P249" s="63" t="str">
        <f t="shared" si="126"/>
        <v/>
      </c>
      <c r="Q249" s="66"/>
      <c r="R249" s="63" t="str">
        <f t="shared" si="127"/>
        <v/>
      </c>
      <c r="S249" s="64" t="str">
        <f t="shared" si="128"/>
        <v/>
      </c>
      <c r="T249" s="63" t="str">
        <f t="shared" si="129"/>
        <v/>
      </c>
      <c r="U249" s="64" t="str">
        <f t="shared" si="130"/>
        <v/>
      </c>
      <c r="V249" s="90" t="str">
        <f>IF($A250="","",IF(AND(MONTH(A249)&gt;3,MONTH(A249)&lt;11),(T249+R249+G249)*Summary!$T$9/(1-Summary!$T$9),(T249+R249+G249)*Summary!$U$9/(1-Summary!$U$9)))</f>
        <v/>
      </c>
      <c r="W249" s="63" t="str">
        <f t="shared" si="131"/>
        <v/>
      </c>
      <c r="X249" s="63" t="str">
        <f t="shared" si="132"/>
        <v/>
      </c>
      <c r="Y249" s="43"/>
      <c r="Z249" s="38" t="str">
        <f t="shared" si="133"/>
        <v/>
      </c>
      <c r="AA249" s="38" t="str">
        <f t="shared" si="134"/>
        <v/>
      </c>
      <c r="AB249" s="38" t="e">
        <f t="shared" si="135"/>
        <v>#VALUE!</v>
      </c>
      <c r="AC249" s="38" t="str">
        <f t="shared" si="136"/>
        <v/>
      </c>
      <c r="AD249" s="38" t="str">
        <f t="shared" si="136"/>
        <v/>
      </c>
      <c r="AE249" s="38" t="e">
        <f t="shared" si="137"/>
        <v>#VALUE!</v>
      </c>
      <c r="AF249" s="237" t="e">
        <f>((Summary!$N$9*(AA249*AD249)*(A249-$D$3))+(Summary!$M$9*Z249*AC249*(AJ249-EOMONTH(EDATE(A249,-1),0))))/(AK249*AB249*AE249)</f>
        <v>#VALUE!</v>
      </c>
      <c r="AG249" s="88" t="str">
        <f>IF($A250="","",Summary!$Q$9)</f>
        <v/>
      </c>
      <c r="AH249" s="88" t="str">
        <f>IF($A250="","",IF(Summary!$R$9="Y",VLOOKUP($A249,Summary!$AD$6:$AF$9,3)+'Escalating commodity'!E262,'Escalating commodity'!E262))</f>
        <v/>
      </c>
      <c r="AI249" s="88" t="str">
        <f t="shared" si="152"/>
        <v/>
      </c>
      <c r="AJ249" s="236" t="e">
        <f t="shared" si="138"/>
        <v>#VALUE!</v>
      </c>
      <c r="AK249" s="58" t="str">
        <f t="shared" si="139"/>
        <v/>
      </c>
      <c r="AL249" s="26" t="str">
        <f>IF($A250="","",_xll.SPRDOPT(P249,X249,AI249,0,AB249,AE249,AF249,AK249,$AJ$2,0))</f>
        <v/>
      </c>
      <c r="AM249" s="89" t="str">
        <f t="shared" si="140"/>
        <v/>
      </c>
      <c r="AN249" s="89" t="str">
        <f t="shared" si="141"/>
        <v/>
      </c>
      <c r="AO249" s="3" t="str">
        <f t="shared" si="142"/>
        <v/>
      </c>
      <c r="AP249" s="33" t="str">
        <f t="shared" si="143"/>
        <v/>
      </c>
      <c r="AQ249" s="58" t="str">
        <f t="shared" si="144"/>
        <v/>
      </c>
      <c r="AR249" s="38">
        <f>'ANR OK vs ML7'!AR249</f>
        <v>0.1</v>
      </c>
      <c r="AS249" s="35" t="str">
        <f t="shared" si="145"/>
        <v/>
      </c>
      <c r="AT249" s="3" t="str">
        <f t="shared" si="146"/>
        <v/>
      </c>
      <c r="AU249" s="3" t="str">
        <f t="shared" si="147"/>
        <v/>
      </c>
      <c r="AW249" s="32" t="str">
        <f t="shared" si="148"/>
        <v/>
      </c>
      <c r="AX249" s="32" t="str">
        <f t="shared" si="149"/>
        <v/>
      </c>
      <c r="AY249" s="32" t="str">
        <f t="shared" si="150"/>
        <v/>
      </c>
      <c r="BA249" s="32" t="str">
        <f>IF($A250="","",F249*Summary!$Q$9)</f>
        <v/>
      </c>
    </row>
    <row r="250" spans="1:53" ht="12" customHeight="1">
      <c r="A250" s="67" t="str">
        <f t="shared" si="151"/>
        <v/>
      </c>
      <c r="B250" s="69" t="str">
        <f t="shared" si="153"/>
        <v/>
      </c>
      <c r="C250" s="71"/>
      <c r="D250" s="69" t="str">
        <f t="shared" si="116"/>
        <v/>
      </c>
      <c r="E250" s="70" t="str">
        <f t="shared" si="117"/>
        <v/>
      </c>
      <c r="F250" s="70" t="str">
        <f t="shared" si="118"/>
        <v/>
      </c>
      <c r="G250" s="63" t="str">
        <f t="shared" si="119"/>
        <v/>
      </c>
      <c r="H250" s="64" t="str">
        <f t="shared" si="120"/>
        <v/>
      </c>
      <c r="I250" s="43"/>
      <c r="J250" s="63" t="str">
        <f t="shared" si="121"/>
        <v/>
      </c>
      <c r="K250" s="64" t="str">
        <f t="shared" si="122"/>
        <v/>
      </c>
      <c r="L250" s="63" t="str">
        <f t="shared" si="123"/>
        <v/>
      </c>
      <c r="M250" s="64" t="str">
        <f t="shared" si="124"/>
        <v/>
      </c>
      <c r="N250" s="65"/>
      <c r="O250" s="63" t="str">
        <f t="shared" si="125"/>
        <v/>
      </c>
      <c r="P250" s="63" t="str">
        <f t="shared" si="126"/>
        <v/>
      </c>
      <c r="Q250" s="66"/>
      <c r="R250" s="63" t="str">
        <f t="shared" si="127"/>
        <v/>
      </c>
      <c r="S250" s="64" t="str">
        <f t="shared" si="128"/>
        <v/>
      </c>
      <c r="T250" s="63" t="str">
        <f t="shared" si="129"/>
        <v/>
      </c>
      <c r="U250" s="64" t="str">
        <f t="shared" si="130"/>
        <v/>
      </c>
      <c r="V250" s="90" t="str">
        <f>IF($A251="","",IF(AND(MONTH(A250)&gt;3,MONTH(A250)&lt;11),(T250+R250+G250)*Summary!$T$9/(1-Summary!$T$9),(T250+R250+G250)*Summary!$U$9/(1-Summary!$U$9)))</f>
        <v/>
      </c>
      <c r="W250" s="63" t="str">
        <f t="shared" si="131"/>
        <v/>
      </c>
      <c r="X250" s="63" t="str">
        <f t="shared" si="132"/>
        <v/>
      </c>
      <c r="Y250" s="43"/>
      <c r="Z250" s="38" t="str">
        <f t="shared" si="133"/>
        <v/>
      </c>
      <c r="AA250" s="38" t="str">
        <f t="shared" si="134"/>
        <v/>
      </c>
      <c r="AB250" s="38" t="e">
        <f t="shared" si="135"/>
        <v>#VALUE!</v>
      </c>
      <c r="AC250" s="38" t="str">
        <f t="shared" si="136"/>
        <v/>
      </c>
      <c r="AD250" s="38" t="str">
        <f t="shared" si="136"/>
        <v/>
      </c>
      <c r="AE250" s="38" t="e">
        <f t="shared" si="137"/>
        <v>#VALUE!</v>
      </c>
      <c r="AF250" s="237" t="e">
        <f>((Summary!$N$9*(AA250*AD250)*(A250-$D$3))+(Summary!$M$9*Z250*AC250*(AJ250-EOMONTH(EDATE(A250,-1),0))))/(AK250*AB250*AE250)</f>
        <v>#VALUE!</v>
      </c>
      <c r="AG250" s="88" t="str">
        <f>IF($A251="","",Summary!$Q$9)</f>
        <v/>
      </c>
      <c r="AH250" s="88" t="str">
        <f>IF($A251="","",IF(Summary!$R$9="Y",VLOOKUP($A250,Summary!$AD$6:$AF$9,3)+'Escalating commodity'!E263,'Escalating commodity'!E263))</f>
        <v/>
      </c>
      <c r="AI250" s="88" t="str">
        <f t="shared" si="152"/>
        <v/>
      </c>
      <c r="AJ250" s="236" t="e">
        <f t="shared" si="138"/>
        <v>#VALUE!</v>
      </c>
      <c r="AK250" s="58" t="str">
        <f t="shared" si="139"/>
        <v/>
      </c>
      <c r="AL250" s="26" t="str">
        <f>IF($A251="","",_xll.SPRDOPT(P250,X250,AI250,0,AB250,AE250,AF250,AK250,$AJ$2,0))</f>
        <v/>
      </c>
      <c r="AM250" s="89" t="str">
        <f t="shared" si="140"/>
        <v/>
      </c>
      <c r="AN250" s="89" t="str">
        <f t="shared" si="141"/>
        <v/>
      </c>
      <c r="AO250" s="3" t="str">
        <f t="shared" si="142"/>
        <v/>
      </c>
      <c r="AP250" s="33" t="str">
        <f t="shared" si="143"/>
        <v/>
      </c>
      <c r="AQ250" s="58" t="str">
        <f t="shared" si="144"/>
        <v/>
      </c>
      <c r="AR250" s="38">
        <f>'ANR OK vs ML7'!AR250</f>
        <v>0.1</v>
      </c>
      <c r="AS250" s="35" t="str">
        <f t="shared" si="145"/>
        <v/>
      </c>
      <c r="AT250" s="3" t="str">
        <f t="shared" si="146"/>
        <v/>
      </c>
      <c r="AU250" s="3" t="str">
        <f t="shared" si="147"/>
        <v/>
      </c>
      <c r="AW250" s="32" t="str">
        <f t="shared" si="148"/>
        <v/>
      </c>
      <c r="AX250" s="32" t="str">
        <f t="shared" si="149"/>
        <v/>
      </c>
      <c r="AY250" s="32" t="str">
        <f t="shared" si="150"/>
        <v/>
      </c>
      <c r="BA250" s="32" t="str">
        <f>IF($A251="","",F250*Summary!$Q$9)</f>
        <v/>
      </c>
    </row>
    <row r="251" spans="1:53" ht="12" customHeight="1">
      <c r="A251" s="67" t="str">
        <f t="shared" si="151"/>
        <v/>
      </c>
      <c r="B251" s="69" t="str">
        <f t="shared" si="153"/>
        <v/>
      </c>
      <c r="C251" s="71"/>
      <c r="D251" s="69" t="str">
        <f t="shared" si="116"/>
        <v/>
      </c>
      <c r="E251" s="70" t="str">
        <f t="shared" si="117"/>
        <v/>
      </c>
      <c r="F251" s="70" t="str">
        <f t="shared" si="118"/>
        <v/>
      </c>
      <c r="G251" s="63" t="str">
        <f t="shared" si="119"/>
        <v/>
      </c>
      <c r="H251" s="64" t="str">
        <f t="shared" si="120"/>
        <v/>
      </c>
      <c r="I251" s="43"/>
      <c r="J251" s="63" t="str">
        <f t="shared" si="121"/>
        <v/>
      </c>
      <c r="K251" s="64" t="str">
        <f t="shared" si="122"/>
        <v/>
      </c>
      <c r="L251" s="63" t="str">
        <f t="shared" si="123"/>
        <v/>
      </c>
      <c r="M251" s="64" t="str">
        <f t="shared" si="124"/>
        <v/>
      </c>
      <c r="N251" s="65"/>
      <c r="O251" s="63" t="str">
        <f t="shared" si="125"/>
        <v/>
      </c>
      <c r="P251" s="63" t="str">
        <f t="shared" si="126"/>
        <v/>
      </c>
      <c r="Q251" s="66"/>
      <c r="R251" s="63" t="str">
        <f t="shared" si="127"/>
        <v/>
      </c>
      <c r="S251" s="64" t="str">
        <f t="shared" si="128"/>
        <v/>
      </c>
      <c r="T251" s="63" t="str">
        <f t="shared" si="129"/>
        <v/>
      </c>
      <c r="U251" s="64" t="str">
        <f t="shared" si="130"/>
        <v/>
      </c>
      <c r="V251" s="90" t="str">
        <f>IF($A252="","",IF(AND(MONTH(A251)&gt;3,MONTH(A251)&lt;11),(T251+R251+G251)*Summary!$T$9/(1-Summary!$T$9),(T251+R251+G251)*Summary!$U$9/(1-Summary!$U$9)))</f>
        <v/>
      </c>
      <c r="W251" s="63" t="str">
        <f t="shared" si="131"/>
        <v/>
      </c>
      <c r="X251" s="63" t="str">
        <f t="shared" si="132"/>
        <v/>
      </c>
      <c r="Y251" s="43"/>
      <c r="Z251" s="38" t="str">
        <f t="shared" si="133"/>
        <v/>
      </c>
      <c r="AA251" s="38" t="str">
        <f t="shared" si="134"/>
        <v/>
      </c>
      <c r="AB251" s="38" t="e">
        <f t="shared" si="135"/>
        <v>#VALUE!</v>
      </c>
      <c r="AC251" s="38" t="str">
        <f t="shared" si="136"/>
        <v/>
      </c>
      <c r="AD251" s="38" t="str">
        <f t="shared" si="136"/>
        <v/>
      </c>
      <c r="AE251" s="38" t="e">
        <f t="shared" si="137"/>
        <v>#VALUE!</v>
      </c>
      <c r="AF251" s="237" t="e">
        <f>((Summary!$N$9*(AA251*AD251)*(A251-$D$3))+(Summary!$M$9*Z251*AC251*(AJ251-EOMONTH(EDATE(A251,-1),0))))/(AK251*AB251*AE251)</f>
        <v>#VALUE!</v>
      </c>
      <c r="AG251" s="88" t="str">
        <f>IF($A252="","",Summary!$Q$9)</f>
        <v/>
      </c>
      <c r="AH251" s="88" t="str">
        <f>IF($A252="","",IF(Summary!$R$9="Y",VLOOKUP($A251,Summary!$AD$6:$AF$9,3)+'Escalating commodity'!E264,'Escalating commodity'!E264))</f>
        <v/>
      </c>
      <c r="AI251" s="88" t="str">
        <f t="shared" si="152"/>
        <v/>
      </c>
      <c r="AJ251" s="236" t="e">
        <f t="shared" si="138"/>
        <v>#VALUE!</v>
      </c>
      <c r="AK251" s="58" t="str">
        <f t="shared" si="139"/>
        <v/>
      </c>
      <c r="AL251" s="26" t="str">
        <f>IF($A252="","",_xll.SPRDOPT(P251,X251,AI251,0,AB251,AE251,AF251,AK251,$AJ$2,0))</f>
        <v/>
      </c>
      <c r="AM251" s="89" t="str">
        <f t="shared" si="140"/>
        <v/>
      </c>
      <c r="AN251" s="89" t="str">
        <f t="shared" si="141"/>
        <v/>
      </c>
      <c r="AO251" s="3" t="str">
        <f t="shared" si="142"/>
        <v/>
      </c>
      <c r="AP251" s="33" t="str">
        <f t="shared" si="143"/>
        <v/>
      </c>
      <c r="AQ251" s="58" t="str">
        <f t="shared" si="144"/>
        <v/>
      </c>
      <c r="AR251" s="38">
        <f>'ANR OK vs ML7'!AR251</f>
        <v>0.1</v>
      </c>
      <c r="AS251" s="35" t="str">
        <f t="shared" si="145"/>
        <v/>
      </c>
      <c r="AT251" s="3" t="str">
        <f t="shared" si="146"/>
        <v/>
      </c>
      <c r="AU251" s="3" t="str">
        <f t="shared" si="147"/>
        <v/>
      </c>
      <c r="AW251" s="32" t="str">
        <f t="shared" si="148"/>
        <v/>
      </c>
      <c r="AX251" s="32" t="str">
        <f t="shared" si="149"/>
        <v/>
      </c>
      <c r="AY251" s="32" t="str">
        <f t="shared" si="150"/>
        <v/>
      </c>
      <c r="BA251" s="32" t="str">
        <f>IF($A252="","",F251*Summary!$Q$9)</f>
        <v/>
      </c>
    </row>
    <row r="252" spans="1:53" ht="12" customHeight="1">
      <c r="A252" s="67" t="str">
        <f t="shared" si="151"/>
        <v/>
      </c>
      <c r="B252" s="69" t="str">
        <f t="shared" si="153"/>
        <v/>
      </c>
      <c r="C252" s="71"/>
      <c r="D252" s="69" t="str">
        <f t="shared" si="116"/>
        <v/>
      </c>
      <c r="E252" s="70" t="str">
        <f t="shared" si="117"/>
        <v/>
      </c>
      <c r="F252" s="70" t="str">
        <f t="shared" si="118"/>
        <v/>
      </c>
      <c r="G252" s="63" t="str">
        <f t="shared" si="119"/>
        <v/>
      </c>
      <c r="H252" s="64" t="str">
        <f t="shared" si="120"/>
        <v/>
      </c>
      <c r="I252" s="43"/>
      <c r="J252" s="63" t="str">
        <f t="shared" si="121"/>
        <v/>
      </c>
      <c r="K252" s="64" t="str">
        <f t="shared" si="122"/>
        <v/>
      </c>
      <c r="L252" s="63" t="str">
        <f t="shared" si="123"/>
        <v/>
      </c>
      <c r="M252" s="64" t="str">
        <f t="shared" si="124"/>
        <v/>
      </c>
      <c r="N252" s="65"/>
      <c r="O252" s="63" t="str">
        <f t="shared" si="125"/>
        <v/>
      </c>
      <c r="P252" s="63" t="str">
        <f t="shared" si="126"/>
        <v/>
      </c>
      <c r="Q252" s="66"/>
      <c r="R252" s="63" t="str">
        <f t="shared" si="127"/>
        <v/>
      </c>
      <c r="S252" s="64" t="str">
        <f t="shared" si="128"/>
        <v/>
      </c>
      <c r="T252" s="63" t="str">
        <f t="shared" si="129"/>
        <v/>
      </c>
      <c r="U252" s="64" t="str">
        <f t="shared" si="130"/>
        <v/>
      </c>
      <c r="V252" s="90" t="str">
        <f>IF($A253="","",IF(AND(MONTH(A252)&gt;3,MONTH(A252)&lt;11),(T252+R252+G252)*Summary!$T$9/(1-Summary!$T$9),(T252+R252+G252)*Summary!$U$9/(1-Summary!$U$9)))</f>
        <v/>
      </c>
      <c r="W252" s="63" t="str">
        <f t="shared" si="131"/>
        <v/>
      </c>
      <c r="X252" s="63" t="str">
        <f t="shared" si="132"/>
        <v/>
      </c>
      <c r="Y252" s="43"/>
      <c r="Z252" s="38" t="str">
        <f t="shared" si="133"/>
        <v/>
      </c>
      <c r="AA252" s="38" t="str">
        <f t="shared" si="134"/>
        <v/>
      </c>
      <c r="AB252" s="38" t="e">
        <f t="shared" si="135"/>
        <v>#VALUE!</v>
      </c>
      <c r="AC252" s="38" t="str">
        <f t="shared" si="136"/>
        <v/>
      </c>
      <c r="AD252" s="38" t="str">
        <f t="shared" si="136"/>
        <v/>
      </c>
      <c r="AE252" s="38" t="e">
        <f t="shared" si="137"/>
        <v>#VALUE!</v>
      </c>
      <c r="AF252" s="237" t="e">
        <f>((Summary!$N$9*(AA252*AD252)*(A252-$D$3))+(Summary!$M$9*Z252*AC252*(AJ252-EOMONTH(EDATE(A252,-1),0))))/(AK252*AB252*AE252)</f>
        <v>#VALUE!</v>
      </c>
      <c r="AG252" s="88" t="str">
        <f>IF($A253="","",Summary!$Q$9)</f>
        <v/>
      </c>
      <c r="AH252" s="88" t="str">
        <f>IF($A253="","",IF(Summary!$R$9="Y",VLOOKUP($A252,Summary!$AD$6:$AF$9,3)+'Escalating commodity'!E265,'Escalating commodity'!E265))</f>
        <v/>
      </c>
      <c r="AI252" s="88" t="str">
        <f t="shared" si="152"/>
        <v/>
      </c>
      <c r="AJ252" s="236" t="e">
        <f t="shared" si="138"/>
        <v>#VALUE!</v>
      </c>
      <c r="AK252" s="58" t="str">
        <f t="shared" si="139"/>
        <v/>
      </c>
      <c r="AL252" s="26" t="str">
        <f>IF($A253="","",_xll.SPRDOPT(P252,X252,AI252,0,AB252,AE252,AF252,AK252,$AJ$2,0))</f>
        <v/>
      </c>
      <c r="AM252" s="89" t="str">
        <f t="shared" si="140"/>
        <v/>
      </c>
      <c r="AN252" s="89" t="str">
        <f t="shared" si="141"/>
        <v/>
      </c>
      <c r="AO252" s="3" t="str">
        <f t="shared" si="142"/>
        <v/>
      </c>
      <c r="AP252" s="33" t="str">
        <f t="shared" si="143"/>
        <v/>
      </c>
      <c r="AQ252" s="58" t="str">
        <f t="shared" si="144"/>
        <v/>
      </c>
      <c r="AR252" s="38">
        <f>'ANR OK vs ML7'!AR252</f>
        <v>0.1</v>
      </c>
      <c r="AS252" s="35" t="str">
        <f t="shared" si="145"/>
        <v/>
      </c>
      <c r="AT252" s="3" t="str">
        <f t="shared" si="146"/>
        <v/>
      </c>
      <c r="AU252" s="3" t="str">
        <f t="shared" si="147"/>
        <v/>
      </c>
      <c r="AW252" s="32" t="str">
        <f t="shared" si="148"/>
        <v/>
      </c>
      <c r="AX252" s="32" t="str">
        <f t="shared" si="149"/>
        <v/>
      </c>
      <c r="AY252" s="32" t="str">
        <f t="shared" si="150"/>
        <v/>
      </c>
      <c r="BA252" s="32" t="str">
        <f>IF($A253="","",F252*Summary!$Q$9)</f>
        <v/>
      </c>
    </row>
    <row r="253" spans="1:53" ht="12" customHeight="1">
      <c r="A253" s="67" t="str">
        <f t="shared" si="151"/>
        <v/>
      </c>
      <c r="B253" s="69" t="str">
        <f t="shared" si="153"/>
        <v/>
      </c>
      <c r="C253" s="71"/>
      <c r="D253" s="69" t="str">
        <f t="shared" si="116"/>
        <v/>
      </c>
      <c r="E253" s="70" t="str">
        <f t="shared" si="117"/>
        <v/>
      </c>
      <c r="F253" s="70" t="str">
        <f t="shared" si="118"/>
        <v/>
      </c>
      <c r="G253" s="63" t="str">
        <f t="shared" si="119"/>
        <v/>
      </c>
      <c r="H253" s="64" t="str">
        <f t="shared" si="120"/>
        <v/>
      </c>
      <c r="I253" s="43"/>
      <c r="J253" s="63" t="str">
        <f t="shared" si="121"/>
        <v/>
      </c>
      <c r="K253" s="64" t="str">
        <f t="shared" si="122"/>
        <v/>
      </c>
      <c r="L253" s="63" t="str">
        <f t="shared" si="123"/>
        <v/>
      </c>
      <c r="M253" s="64" t="str">
        <f t="shared" si="124"/>
        <v/>
      </c>
      <c r="N253" s="65"/>
      <c r="O253" s="63" t="str">
        <f t="shared" si="125"/>
        <v/>
      </c>
      <c r="P253" s="63" t="str">
        <f t="shared" si="126"/>
        <v/>
      </c>
      <c r="Q253" s="66"/>
      <c r="R253" s="63" t="str">
        <f t="shared" si="127"/>
        <v/>
      </c>
      <c r="S253" s="64" t="str">
        <f t="shared" si="128"/>
        <v/>
      </c>
      <c r="T253" s="63" t="str">
        <f t="shared" si="129"/>
        <v/>
      </c>
      <c r="U253" s="64" t="str">
        <f t="shared" si="130"/>
        <v/>
      </c>
      <c r="V253" s="90" t="str">
        <f>IF($A254="","",IF(AND(MONTH(A253)&gt;3,MONTH(A253)&lt;11),(T253+R253+G253)*Summary!$T$9/(1-Summary!$T$9),(T253+R253+G253)*Summary!$U$9/(1-Summary!$U$9)))</f>
        <v/>
      </c>
      <c r="W253" s="63" t="str">
        <f t="shared" si="131"/>
        <v/>
      </c>
      <c r="X253" s="63" t="str">
        <f t="shared" si="132"/>
        <v/>
      </c>
      <c r="Y253" s="43"/>
      <c r="Z253" s="38" t="str">
        <f t="shared" si="133"/>
        <v/>
      </c>
      <c r="AA253" s="38" t="str">
        <f t="shared" si="134"/>
        <v/>
      </c>
      <c r="AB253" s="38" t="e">
        <f t="shared" si="135"/>
        <v>#VALUE!</v>
      </c>
      <c r="AC253" s="38" t="str">
        <f t="shared" si="136"/>
        <v/>
      </c>
      <c r="AD253" s="38" t="str">
        <f t="shared" si="136"/>
        <v/>
      </c>
      <c r="AE253" s="38" t="e">
        <f t="shared" si="137"/>
        <v>#VALUE!</v>
      </c>
      <c r="AF253" s="237" t="e">
        <f>((Summary!$N$9*(AA253*AD253)*(A253-$D$3))+(Summary!$M$9*Z253*AC253*(AJ253-EOMONTH(EDATE(A253,-1),0))))/(AK253*AB253*AE253)</f>
        <v>#VALUE!</v>
      </c>
      <c r="AG253" s="88" t="str">
        <f>IF($A254="","",Summary!$Q$9)</f>
        <v/>
      </c>
      <c r="AH253" s="88" t="str">
        <f>IF($A254="","",IF(Summary!$R$9="Y",VLOOKUP($A253,Summary!$AD$6:$AF$9,3)+'Escalating commodity'!E266,'Escalating commodity'!E266))</f>
        <v/>
      </c>
      <c r="AI253" s="88" t="str">
        <f t="shared" si="152"/>
        <v/>
      </c>
      <c r="AJ253" s="236" t="e">
        <f t="shared" si="138"/>
        <v>#VALUE!</v>
      </c>
      <c r="AK253" s="58" t="str">
        <f t="shared" si="139"/>
        <v/>
      </c>
      <c r="AL253" s="26" t="str">
        <f>IF($A254="","",_xll.SPRDOPT(P253,X253,AI253,0,AB253,AE253,AF253,AK253,$AJ$2,0))</f>
        <v/>
      </c>
      <c r="AM253" s="89" t="str">
        <f t="shared" si="140"/>
        <v/>
      </c>
      <c r="AN253" s="89" t="str">
        <f t="shared" si="141"/>
        <v/>
      </c>
      <c r="AO253" s="3" t="str">
        <f t="shared" si="142"/>
        <v/>
      </c>
      <c r="AP253" s="33" t="str">
        <f t="shared" si="143"/>
        <v/>
      </c>
      <c r="AQ253" s="58" t="str">
        <f t="shared" si="144"/>
        <v/>
      </c>
      <c r="AR253" s="38">
        <f>'ANR OK vs ML7'!AR253</f>
        <v>0.1</v>
      </c>
      <c r="AS253" s="35" t="str">
        <f t="shared" si="145"/>
        <v/>
      </c>
      <c r="AT253" s="3" t="str">
        <f t="shared" si="146"/>
        <v/>
      </c>
      <c r="AU253" s="3" t="str">
        <f t="shared" si="147"/>
        <v/>
      </c>
      <c r="AW253" s="32" t="str">
        <f t="shared" si="148"/>
        <v/>
      </c>
      <c r="AX253" s="32" t="str">
        <f t="shared" si="149"/>
        <v/>
      </c>
      <c r="AY253" s="32" t="str">
        <f t="shared" si="150"/>
        <v/>
      </c>
      <c r="BA253" s="32" t="str">
        <f>IF($A254="","",F253*Summary!$Q$9)</f>
        <v/>
      </c>
    </row>
    <row r="254" spans="1:53" ht="12" customHeight="1">
      <c r="A254" s="67" t="str">
        <f t="shared" si="151"/>
        <v/>
      </c>
      <c r="B254" s="69" t="str">
        <f t="shared" si="153"/>
        <v/>
      </c>
      <c r="C254" s="71"/>
      <c r="D254" s="69" t="str">
        <f t="shared" si="116"/>
        <v/>
      </c>
      <c r="E254" s="70" t="str">
        <f t="shared" si="117"/>
        <v/>
      </c>
      <c r="F254" s="70" t="str">
        <f t="shared" si="118"/>
        <v/>
      </c>
      <c r="G254" s="63" t="str">
        <f t="shared" si="119"/>
        <v/>
      </c>
      <c r="H254" s="64" t="str">
        <f t="shared" si="120"/>
        <v/>
      </c>
      <c r="I254" s="43"/>
      <c r="J254" s="63" t="str">
        <f t="shared" si="121"/>
        <v/>
      </c>
      <c r="K254" s="64" t="str">
        <f t="shared" si="122"/>
        <v/>
      </c>
      <c r="L254" s="63" t="str">
        <f t="shared" si="123"/>
        <v/>
      </c>
      <c r="M254" s="64" t="str">
        <f t="shared" si="124"/>
        <v/>
      </c>
      <c r="N254" s="65"/>
      <c r="O254" s="63" t="str">
        <f t="shared" si="125"/>
        <v/>
      </c>
      <c r="P254" s="63" t="str">
        <f t="shared" si="126"/>
        <v/>
      </c>
      <c r="Q254" s="66"/>
      <c r="R254" s="63" t="str">
        <f t="shared" si="127"/>
        <v/>
      </c>
      <c r="S254" s="64" t="str">
        <f t="shared" si="128"/>
        <v/>
      </c>
      <c r="T254" s="63" t="str">
        <f t="shared" si="129"/>
        <v/>
      </c>
      <c r="U254" s="64" t="str">
        <f t="shared" si="130"/>
        <v/>
      </c>
      <c r="V254" s="90" t="str">
        <f>IF($A255="","",IF(AND(MONTH(A254)&gt;3,MONTH(A254)&lt;11),(T254+R254+G254)*Summary!$T$9/(1-Summary!$T$9),(T254+R254+G254)*Summary!$U$9/(1-Summary!$U$9)))</f>
        <v/>
      </c>
      <c r="W254" s="63" t="str">
        <f t="shared" si="131"/>
        <v/>
      </c>
      <c r="X254" s="63" t="str">
        <f t="shared" si="132"/>
        <v/>
      </c>
      <c r="Y254" s="43"/>
      <c r="Z254" s="38" t="str">
        <f t="shared" si="133"/>
        <v/>
      </c>
      <c r="AA254" s="38" t="str">
        <f t="shared" si="134"/>
        <v/>
      </c>
      <c r="AB254" s="38" t="e">
        <f t="shared" si="135"/>
        <v>#VALUE!</v>
      </c>
      <c r="AC254" s="38" t="str">
        <f t="shared" si="136"/>
        <v/>
      </c>
      <c r="AD254" s="38" t="str">
        <f t="shared" si="136"/>
        <v/>
      </c>
      <c r="AE254" s="38" t="e">
        <f t="shared" si="137"/>
        <v>#VALUE!</v>
      </c>
      <c r="AF254" s="237" t="e">
        <f>((Summary!$N$9*(AA254*AD254)*(A254-$D$3))+(Summary!$M$9*Z254*AC254*(AJ254-EOMONTH(EDATE(A254,-1),0))))/(AK254*AB254*AE254)</f>
        <v>#VALUE!</v>
      </c>
      <c r="AG254" s="88" t="str">
        <f>IF($A255="","",Summary!$Q$9)</f>
        <v/>
      </c>
      <c r="AH254" s="88" t="str">
        <f>IF($A255="","",IF(Summary!$R$9="Y",VLOOKUP($A254,Summary!$AD$6:$AF$9,3)+'Escalating commodity'!E267,'Escalating commodity'!E267))</f>
        <v/>
      </c>
      <c r="AI254" s="88" t="str">
        <f t="shared" si="152"/>
        <v/>
      </c>
      <c r="AJ254" s="236" t="e">
        <f t="shared" si="138"/>
        <v>#VALUE!</v>
      </c>
      <c r="AK254" s="58" t="str">
        <f t="shared" si="139"/>
        <v/>
      </c>
      <c r="AL254" s="26" t="str">
        <f>IF($A255="","",_xll.SPRDOPT(P254,X254,AI254,0,AB254,AE254,AF254,AK254,$AJ$2,0))</f>
        <v/>
      </c>
      <c r="AM254" s="89" t="str">
        <f t="shared" si="140"/>
        <v/>
      </c>
      <c r="AN254" s="89" t="str">
        <f t="shared" si="141"/>
        <v/>
      </c>
      <c r="AO254" s="3" t="str">
        <f t="shared" si="142"/>
        <v/>
      </c>
      <c r="AP254" s="33" t="str">
        <f t="shared" si="143"/>
        <v/>
      </c>
      <c r="AQ254" s="58" t="str">
        <f t="shared" si="144"/>
        <v/>
      </c>
      <c r="AR254" s="38">
        <f>'ANR OK vs ML7'!AR254</f>
        <v>0.1</v>
      </c>
      <c r="AS254" s="35" t="str">
        <f t="shared" si="145"/>
        <v/>
      </c>
      <c r="AT254" s="3" t="str">
        <f t="shared" si="146"/>
        <v/>
      </c>
      <c r="AU254" s="3" t="str">
        <f t="shared" si="147"/>
        <v/>
      </c>
      <c r="AW254" s="32" t="str">
        <f t="shared" si="148"/>
        <v/>
      </c>
      <c r="AX254" s="32" t="str">
        <f t="shared" si="149"/>
        <v/>
      </c>
      <c r="AY254" s="32" t="str">
        <f t="shared" si="150"/>
        <v/>
      </c>
      <c r="BA254" s="32" t="str">
        <f>IF($A255="","",F254*Summary!$Q$9)</f>
        <v/>
      </c>
    </row>
    <row r="255" spans="1:53" ht="12" customHeight="1">
      <c r="A255" s="67" t="str">
        <f t="shared" si="151"/>
        <v/>
      </c>
      <c r="B255" s="69" t="str">
        <f t="shared" si="153"/>
        <v/>
      </c>
      <c r="C255" s="71"/>
      <c r="D255" s="69" t="str">
        <f t="shared" si="116"/>
        <v/>
      </c>
      <c r="E255" s="70" t="str">
        <f t="shared" si="117"/>
        <v/>
      </c>
      <c r="F255" s="70" t="str">
        <f t="shared" si="118"/>
        <v/>
      </c>
      <c r="G255" s="63" t="str">
        <f t="shared" si="119"/>
        <v/>
      </c>
      <c r="H255" s="64" t="str">
        <f t="shared" si="120"/>
        <v/>
      </c>
      <c r="I255" s="43"/>
      <c r="J255" s="63" t="str">
        <f t="shared" si="121"/>
        <v/>
      </c>
      <c r="K255" s="64" t="str">
        <f t="shared" si="122"/>
        <v/>
      </c>
      <c r="L255" s="63" t="str">
        <f t="shared" si="123"/>
        <v/>
      </c>
      <c r="M255" s="64" t="str">
        <f t="shared" si="124"/>
        <v/>
      </c>
      <c r="N255" s="65"/>
      <c r="O255" s="63" t="str">
        <f t="shared" si="125"/>
        <v/>
      </c>
      <c r="P255" s="63" t="str">
        <f t="shared" si="126"/>
        <v/>
      </c>
      <c r="Q255" s="66"/>
      <c r="R255" s="63" t="str">
        <f t="shared" si="127"/>
        <v/>
      </c>
      <c r="S255" s="64" t="str">
        <f t="shared" si="128"/>
        <v/>
      </c>
      <c r="T255" s="63" t="str">
        <f t="shared" si="129"/>
        <v/>
      </c>
      <c r="U255" s="64" t="str">
        <f t="shared" si="130"/>
        <v/>
      </c>
      <c r="V255" s="90" t="str">
        <f>IF($A256="","",IF(AND(MONTH(A255)&gt;3,MONTH(A255)&lt;11),(T255+R255+G255)*Summary!$T$9/(1-Summary!$T$9),(T255+R255+G255)*Summary!$U$9/(1-Summary!$U$9)))</f>
        <v/>
      </c>
      <c r="W255" s="63" t="str">
        <f t="shared" si="131"/>
        <v/>
      </c>
      <c r="X255" s="63" t="str">
        <f t="shared" si="132"/>
        <v/>
      </c>
      <c r="Y255" s="43"/>
      <c r="Z255" s="38" t="str">
        <f t="shared" si="133"/>
        <v/>
      </c>
      <c r="AA255" s="38" t="str">
        <f t="shared" si="134"/>
        <v/>
      </c>
      <c r="AB255" s="38" t="e">
        <f t="shared" si="135"/>
        <v>#VALUE!</v>
      </c>
      <c r="AC255" s="38" t="str">
        <f t="shared" si="136"/>
        <v/>
      </c>
      <c r="AD255" s="38" t="str">
        <f t="shared" si="136"/>
        <v/>
      </c>
      <c r="AE255" s="38" t="e">
        <f t="shared" si="137"/>
        <v>#VALUE!</v>
      </c>
      <c r="AF255" s="237" t="e">
        <f>((Summary!$N$9*(AA255*AD255)*(A255-$D$3))+(Summary!$M$9*Z255*AC255*(AJ255-EOMONTH(EDATE(A255,-1),0))))/(AK255*AB255*AE255)</f>
        <v>#VALUE!</v>
      </c>
      <c r="AG255" s="88" t="str">
        <f>IF($A256="","",Summary!$Q$9)</f>
        <v/>
      </c>
      <c r="AH255" s="88" t="str">
        <f>IF($A256="","",IF(Summary!$R$9="Y",VLOOKUP($A255,Summary!$AD$6:$AF$9,3)+'Escalating commodity'!E268,'Escalating commodity'!E268))</f>
        <v/>
      </c>
      <c r="AI255" s="88" t="str">
        <f t="shared" si="152"/>
        <v/>
      </c>
      <c r="AJ255" s="236" t="e">
        <f t="shared" si="138"/>
        <v>#VALUE!</v>
      </c>
      <c r="AK255" s="58" t="str">
        <f t="shared" si="139"/>
        <v/>
      </c>
      <c r="AL255" s="26" t="str">
        <f>IF($A256="","",_xll.SPRDOPT(P255,X255,AI255,0,AB255,AE255,AF255,AK255,$AJ$2,0))</f>
        <v/>
      </c>
      <c r="AM255" s="89" t="str">
        <f t="shared" si="140"/>
        <v/>
      </c>
      <c r="AN255" s="89" t="str">
        <f t="shared" si="141"/>
        <v/>
      </c>
      <c r="AO255" s="3" t="str">
        <f t="shared" si="142"/>
        <v/>
      </c>
      <c r="AP255" s="33" t="str">
        <f t="shared" si="143"/>
        <v/>
      </c>
      <c r="AQ255" s="58" t="str">
        <f t="shared" si="144"/>
        <v/>
      </c>
      <c r="AR255" s="38">
        <f>'ANR OK vs ML7'!AR255</f>
        <v>0.1</v>
      </c>
      <c r="AS255" s="35" t="str">
        <f t="shared" si="145"/>
        <v/>
      </c>
      <c r="AT255" s="3" t="str">
        <f t="shared" si="146"/>
        <v/>
      </c>
      <c r="AU255" s="3" t="str">
        <f t="shared" si="147"/>
        <v/>
      </c>
      <c r="AW255" s="32" t="str">
        <f t="shared" si="148"/>
        <v/>
      </c>
      <c r="AX255" s="32" t="str">
        <f t="shared" si="149"/>
        <v/>
      </c>
      <c r="AY255" s="32" t="str">
        <f t="shared" si="150"/>
        <v/>
      </c>
      <c r="BA255" s="32" t="str">
        <f>IF($A256="","",F255*Summary!$Q$9)</f>
        <v/>
      </c>
    </row>
    <row r="256" spans="1:53" ht="12" customHeight="1">
      <c r="A256" s="67" t="str">
        <f t="shared" si="151"/>
        <v/>
      </c>
      <c r="B256" s="69" t="str">
        <f t="shared" si="153"/>
        <v/>
      </c>
      <c r="C256" s="71"/>
      <c r="D256" s="69" t="str">
        <f t="shared" si="116"/>
        <v/>
      </c>
      <c r="E256" s="70" t="str">
        <f t="shared" si="117"/>
        <v/>
      </c>
      <c r="F256" s="70" t="str">
        <f t="shared" si="118"/>
        <v/>
      </c>
      <c r="G256" s="63" t="str">
        <f t="shared" si="119"/>
        <v/>
      </c>
      <c r="H256" s="64" t="str">
        <f t="shared" si="120"/>
        <v/>
      </c>
      <c r="I256" s="43"/>
      <c r="J256" s="63" t="str">
        <f t="shared" si="121"/>
        <v/>
      </c>
      <c r="K256" s="64" t="str">
        <f t="shared" si="122"/>
        <v/>
      </c>
      <c r="L256" s="63" t="str">
        <f t="shared" si="123"/>
        <v/>
      </c>
      <c r="M256" s="64" t="str">
        <f t="shared" si="124"/>
        <v/>
      </c>
      <c r="N256" s="65"/>
      <c r="O256" s="63" t="str">
        <f t="shared" si="125"/>
        <v/>
      </c>
      <c r="P256" s="63" t="str">
        <f t="shared" si="126"/>
        <v/>
      </c>
      <c r="Q256" s="66"/>
      <c r="R256" s="63" t="str">
        <f t="shared" si="127"/>
        <v/>
      </c>
      <c r="S256" s="64" t="str">
        <f t="shared" si="128"/>
        <v/>
      </c>
      <c r="T256" s="63" t="str">
        <f t="shared" si="129"/>
        <v/>
      </c>
      <c r="U256" s="64" t="str">
        <f t="shared" si="130"/>
        <v/>
      </c>
      <c r="V256" s="90" t="str">
        <f>IF($A257="","",IF(AND(MONTH(A256)&gt;3,MONTH(A256)&lt;11),(T256+R256+G256)*Summary!$T$9/(1-Summary!$T$9),(T256+R256+G256)*Summary!$U$9/(1-Summary!$U$9)))</f>
        <v/>
      </c>
      <c r="W256" s="63" t="str">
        <f t="shared" si="131"/>
        <v/>
      </c>
      <c r="X256" s="63" t="str">
        <f t="shared" si="132"/>
        <v/>
      </c>
      <c r="Y256" s="43"/>
      <c r="Z256" s="38" t="str">
        <f t="shared" si="133"/>
        <v/>
      </c>
      <c r="AA256" s="38" t="str">
        <f t="shared" si="134"/>
        <v/>
      </c>
      <c r="AB256" s="38" t="e">
        <f t="shared" si="135"/>
        <v>#VALUE!</v>
      </c>
      <c r="AC256" s="38" t="str">
        <f t="shared" si="136"/>
        <v/>
      </c>
      <c r="AD256" s="38" t="str">
        <f t="shared" si="136"/>
        <v/>
      </c>
      <c r="AE256" s="38" t="e">
        <f t="shared" si="137"/>
        <v>#VALUE!</v>
      </c>
      <c r="AF256" s="237" t="e">
        <f>((Summary!$N$9*(AA256*AD256)*(A256-$D$3))+(Summary!$M$9*Z256*AC256*(AJ256-EOMONTH(EDATE(A256,-1),0))))/(AK256*AB256*AE256)</f>
        <v>#VALUE!</v>
      </c>
      <c r="AG256" s="88" t="str">
        <f>IF($A257="","",Summary!$Q$9)</f>
        <v/>
      </c>
      <c r="AH256" s="88" t="str">
        <f>IF($A257="","",IF(Summary!$R$9="Y",VLOOKUP($A256,Summary!$AD$6:$AF$9,3)+'Escalating commodity'!E269,'Escalating commodity'!E269))</f>
        <v/>
      </c>
      <c r="AI256" s="88" t="str">
        <f t="shared" si="152"/>
        <v/>
      </c>
      <c r="AJ256" s="236" t="e">
        <f t="shared" si="138"/>
        <v>#VALUE!</v>
      </c>
      <c r="AK256" s="58" t="str">
        <f t="shared" si="139"/>
        <v/>
      </c>
      <c r="AL256" s="26" t="str">
        <f>IF($A257="","",_xll.SPRDOPT(P256,X256,AI256,0,AB256,AE256,AF256,AK256,$AJ$2,0))</f>
        <v/>
      </c>
      <c r="AM256" s="89" t="str">
        <f t="shared" si="140"/>
        <v/>
      </c>
      <c r="AN256" s="89" t="str">
        <f t="shared" si="141"/>
        <v/>
      </c>
      <c r="AO256" s="3" t="str">
        <f t="shared" si="142"/>
        <v/>
      </c>
      <c r="AP256" s="33" t="str">
        <f t="shared" si="143"/>
        <v/>
      </c>
      <c r="AQ256" s="58" t="str">
        <f t="shared" si="144"/>
        <v/>
      </c>
      <c r="AR256" s="38">
        <f>'ANR OK vs ML7'!AR256</f>
        <v>0.1</v>
      </c>
      <c r="AS256" s="35" t="str">
        <f t="shared" si="145"/>
        <v/>
      </c>
      <c r="AT256" s="3" t="str">
        <f t="shared" si="146"/>
        <v/>
      </c>
      <c r="AU256" s="3" t="str">
        <f t="shared" si="147"/>
        <v/>
      </c>
      <c r="AW256" s="32" t="str">
        <f t="shared" si="148"/>
        <v/>
      </c>
      <c r="AX256" s="32" t="str">
        <f t="shared" si="149"/>
        <v/>
      </c>
      <c r="AY256" s="32" t="str">
        <f t="shared" si="150"/>
        <v/>
      </c>
      <c r="BA256" s="32" t="str">
        <f>IF($A257="","",F256*Summary!$Q$9)</f>
        <v/>
      </c>
    </row>
    <row r="257" spans="1:53" ht="12" customHeight="1">
      <c r="A257" s="67" t="str">
        <f t="shared" si="151"/>
        <v/>
      </c>
      <c r="B257" s="69" t="str">
        <f t="shared" si="153"/>
        <v/>
      </c>
      <c r="C257" s="71"/>
      <c r="D257" s="69" t="str">
        <f t="shared" si="116"/>
        <v/>
      </c>
      <c r="E257" s="70" t="str">
        <f t="shared" si="117"/>
        <v/>
      </c>
      <c r="F257" s="70" t="str">
        <f t="shared" si="118"/>
        <v/>
      </c>
      <c r="G257" s="63" t="str">
        <f t="shared" si="119"/>
        <v/>
      </c>
      <c r="H257" s="64" t="str">
        <f t="shared" si="120"/>
        <v/>
      </c>
      <c r="I257" s="43"/>
      <c r="J257" s="63" t="str">
        <f t="shared" si="121"/>
        <v/>
      </c>
      <c r="K257" s="64" t="str">
        <f t="shared" si="122"/>
        <v/>
      </c>
      <c r="L257" s="63" t="str">
        <f t="shared" si="123"/>
        <v/>
      </c>
      <c r="M257" s="64" t="str">
        <f t="shared" si="124"/>
        <v/>
      </c>
      <c r="N257" s="65"/>
      <c r="O257" s="63" t="str">
        <f t="shared" si="125"/>
        <v/>
      </c>
      <c r="P257" s="63" t="str">
        <f t="shared" si="126"/>
        <v/>
      </c>
      <c r="Q257" s="66"/>
      <c r="R257" s="63" t="str">
        <f t="shared" si="127"/>
        <v/>
      </c>
      <c r="S257" s="64" t="str">
        <f t="shared" si="128"/>
        <v/>
      </c>
      <c r="T257" s="63" t="str">
        <f t="shared" si="129"/>
        <v/>
      </c>
      <c r="U257" s="64" t="str">
        <f t="shared" si="130"/>
        <v/>
      </c>
      <c r="V257" s="90" t="str">
        <f>IF($A258="","",IF(AND(MONTH(A257)&gt;3,MONTH(A257)&lt;11),(T257+R257+G257)*Summary!$T$9/(1-Summary!$T$9),(T257+R257+G257)*Summary!$U$9/(1-Summary!$U$9)))</f>
        <v/>
      </c>
      <c r="W257" s="63" t="str">
        <f t="shared" si="131"/>
        <v/>
      </c>
      <c r="X257" s="63" t="str">
        <f t="shared" si="132"/>
        <v/>
      </c>
      <c r="Y257" s="43"/>
      <c r="Z257" s="38" t="str">
        <f t="shared" si="133"/>
        <v/>
      </c>
      <c r="AA257" s="38" t="str">
        <f t="shared" si="134"/>
        <v/>
      </c>
      <c r="AB257" s="38" t="e">
        <f t="shared" si="135"/>
        <v>#VALUE!</v>
      </c>
      <c r="AC257" s="38" t="str">
        <f t="shared" si="136"/>
        <v/>
      </c>
      <c r="AD257" s="38" t="str">
        <f t="shared" si="136"/>
        <v/>
      </c>
      <c r="AE257" s="38" t="e">
        <f t="shared" si="137"/>
        <v>#VALUE!</v>
      </c>
      <c r="AF257" s="237" t="e">
        <f>((Summary!$N$9*(AA257*AD257)*(A257-$D$3))+(Summary!$M$9*Z257*AC257*(AJ257-EOMONTH(EDATE(A257,-1),0))))/(AK257*AB257*AE257)</f>
        <v>#VALUE!</v>
      </c>
      <c r="AG257" s="88" t="str">
        <f>IF($A258="","",Summary!$Q$9)</f>
        <v/>
      </c>
      <c r="AH257" s="88" t="str">
        <f>IF($A258="","",IF(Summary!$R$9="Y",VLOOKUP($A257,Summary!$AD$6:$AF$9,3)+'Escalating commodity'!E270,'Escalating commodity'!E270))</f>
        <v/>
      </c>
      <c r="AI257" s="88" t="str">
        <f t="shared" si="152"/>
        <v/>
      </c>
      <c r="AJ257" s="236" t="e">
        <f t="shared" si="138"/>
        <v>#VALUE!</v>
      </c>
      <c r="AK257" s="58" t="str">
        <f t="shared" si="139"/>
        <v/>
      </c>
      <c r="AL257" s="26" t="str">
        <f>IF($A258="","",_xll.SPRDOPT(P257,X257,AI257,0,AB257,AE257,AF257,AK257,$AJ$2,0))</f>
        <v/>
      </c>
      <c r="AM257" s="89" t="str">
        <f t="shared" si="140"/>
        <v/>
      </c>
      <c r="AN257" s="89" t="str">
        <f t="shared" si="141"/>
        <v/>
      </c>
      <c r="AO257" s="3" t="str">
        <f t="shared" si="142"/>
        <v/>
      </c>
      <c r="AP257" s="33" t="str">
        <f t="shared" si="143"/>
        <v/>
      </c>
      <c r="AQ257" s="58" t="str">
        <f t="shared" si="144"/>
        <v/>
      </c>
      <c r="AR257" s="38">
        <f>'ANR OK vs ML7'!AR257</f>
        <v>0.1</v>
      </c>
      <c r="AS257" s="35" t="str">
        <f t="shared" si="145"/>
        <v/>
      </c>
      <c r="AT257" s="3" t="str">
        <f t="shared" si="146"/>
        <v/>
      </c>
      <c r="AU257" s="3" t="str">
        <f t="shared" si="147"/>
        <v/>
      </c>
      <c r="AW257" s="32" t="str">
        <f t="shared" si="148"/>
        <v/>
      </c>
      <c r="AX257" s="32" t="str">
        <f t="shared" si="149"/>
        <v/>
      </c>
      <c r="AY257" s="32" t="str">
        <f t="shared" si="150"/>
        <v/>
      </c>
      <c r="BA257" s="32" t="str">
        <f>IF($A258="","",F257*Summary!$Q$9)</f>
        <v/>
      </c>
    </row>
    <row r="258" spans="1:53" ht="12" customHeight="1">
      <c r="A258" s="67" t="str">
        <f t="shared" si="151"/>
        <v/>
      </c>
      <c r="B258" s="69" t="str">
        <f t="shared" si="153"/>
        <v/>
      </c>
      <c r="C258" s="71"/>
      <c r="D258" s="69" t="str">
        <f t="shared" si="116"/>
        <v/>
      </c>
      <c r="E258" s="70" t="str">
        <f t="shared" si="117"/>
        <v/>
      </c>
      <c r="F258" s="70" t="str">
        <f t="shared" si="118"/>
        <v/>
      </c>
      <c r="G258" s="63" t="str">
        <f t="shared" si="119"/>
        <v/>
      </c>
      <c r="H258" s="64" t="str">
        <f t="shared" si="120"/>
        <v/>
      </c>
      <c r="I258" s="43"/>
      <c r="J258" s="63" t="str">
        <f t="shared" si="121"/>
        <v/>
      </c>
      <c r="K258" s="64" t="str">
        <f t="shared" si="122"/>
        <v/>
      </c>
      <c r="L258" s="63" t="str">
        <f t="shared" si="123"/>
        <v/>
      </c>
      <c r="M258" s="64" t="str">
        <f t="shared" si="124"/>
        <v/>
      </c>
      <c r="N258" s="65"/>
      <c r="O258" s="63" t="str">
        <f t="shared" si="125"/>
        <v/>
      </c>
      <c r="P258" s="63" t="str">
        <f t="shared" si="126"/>
        <v/>
      </c>
      <c r="Q258" s="66"/>
      <c r="R258" s="63" t="str">
        <f t="shared" si="127"/>
        <v/>
      </c>
      <c r="S258" s="64" t="str">
        <f t="shared" si="128"/>
        <v/>
      </c>
      <c r="T258" s="63" t="str">
        <f t="shared" si="129"/>
        <v/>
      </c>
      <c r="U258" s="64" t="str">
        <f t="shared" si="130"/>
        <v/>
      </c>
      <c r="V258" s="90" t="str">
        <f>IF($A259="","",IF(AND(MONTH(A258)&gt;3,MONTH(A258)&lt;11),(T258+R258+G258)*Summary!$T$9/(1-Summary!$T$9),(T258+R258+G258)*Summary!$U$9/(1-Summary!$U$9)))</f>
        <v/>
      </c>
      <c r="W258" s="63" t="str">
        <f t="shared" si="131"/>
        <v/>
      </c>
      <c r="X258" s="63" t="str">
        <f t="shared" si="132"/>
        <v/>
      </c>
      <c r="Y258" s="43"/>
      <c r="Z258" s="38" t="str">
        <f t="shared" si="133"/>
        <v/>
      </c>
      <c r="AA258" s="38" t="str">
        <f t="shared" si="134"/>
        <v/>
      </c>
      <c r="AB258" s="38" t="e">
        <f t="shared" si="135"/>
        <v>#VALUE!</v>
      </c>
      <c r="AC258" s="38" t="str">
        <f t="shared" si="136"/>
        <v/>
      </c>
      <c r="AD258" s="38" t="str">
        <f t="shared" si="136"/>
        <v/>
      </c>
      <c r="AE258" s="38" t="e">
        <f t="shared" si="137"/>
        <v>#VALUE!</v>
      </c>
      <c r="AF258" s="237" t="e">
        <f>((Summary!$N$9*(AA258*AD258)*(A258-$D$3))+(Summary!$M$9*Z258*AC258*(AJ258-EOMONTH(EDATE(A258,-1),0))))/(AK258*AB258*AE258)</f>
        <v>#VALUE!</v>
      </c>
      <c r="AG258" s="88" t="str">
        <f>IF($A259="","",Summary!$Q$9)</f>
        <v/>
      </c>
      <c r="AH258" s="88" t="str">
        <f>IF($A259="","",IF(Summary!$R$9="Y",VLOOKUP($A258,Summary!$AD$6:$AF$9,3)+'Escalating commodity'!E271,'Escalating commodity'!E271))</f>
        <v/>
      </c>
      <c r="AI258" s="88" t="str">
        <f t="shared" si="152"/>
        <v/>
      </c>
      <c r="AJ258" s="236" t="e">
        <f t="shared" si="138"/>
        <v>#VALUE!</v>
      </c>
      <c r="AK258" s="58" t="str">
        <f t="shared" si="139"/>
        <v/>
      </c>
      <c r="AL258" s="26" t="str">
        <f>IF($A259="","",_xll.SPRDOPT(P258,X258,AI258,0,AB258,AE258,AF258,AK258,$AJ$2,0))</f>
        <v/>
      </c>
      <c r="AM258" s="89" t="str">
        <f t="shared" si="140"/>
        <v/>
      </c>
      <c r="AN258" s="89" t="str">
        <f t="shared" si="141"/>
        <v/>
      </c>
      <c r="AO258" s="3" t="str">
        <f t="shared" si="142"/>
        <v/>
      </c>
      <c r="AP258" s="33" t="str">
        <f t="shared" si="143"/>
        <v/>
      </c>
      <c r="AQ258" s="58" t="str">
        <f t="shared" si="144"/>
        <v/>
      </c>
      <c r="AR258" s="38">
        <f>'ANR OK vs ML7'!AR258</f>
        <v>0.1</v>
      </c>
      <c r="AS258" s="35" t="str">
        <f t="shared" si="145"/>
        <v/>
      </c>
      <c r="AT258" s="3" t="str">
        <f t="shared" si="146"/>
        <v/>
      </c>
      <c r="AU258" s="3" t="str">
        <f t="shared" si="147"/>
        <v/>
      </c>
      <c r="AW258" s="32" t="str">
        <f t="shared" si="148"/>
        <v/>
      </c>
      <c r="AX258" s="32" t="str">
        <f t="shared" si="149"/>
        <v/>
      </c>
      <c r="AY258" s="32" t="str">
        <f t="shared" si="150"/>
        <v/>
      </c>
      <c r="BA258" s="32" t="str">
        <f>IF($A259="","",F258*Summary!$Q$9)</f>
        <v/>
      </c>
    </row>
    <row r="259" spans="1:53" ht="12" customHeight="1">
      <c r="A259" s="67" t="str">
        <f t="shared" si="151"/>
        <v/>
      </c>
      <c r="B259" s="69" t="str">
        <f t="shared" si="153"/>
        <v/>
      </c>
      <c r="C259" s="71"/>
      <c r="D259" s="69" t="str">
        <f t="shared" si="116"/>
        <v/>
      </c>
      <c r="E259" s="70" t="str">
        <f t="shared" si="117"/>
        <v/>
      </c>
      <c r="F259" s="70" t="str">
        <f t="shared" si="118"/>
        <v/>
      </c>
      <c r="G259" s="63" t="str">
        <f t="shared" si="119"/>
        <v/>
      </c>
      <c r="H259" s="64" t="str">
        <f t="shared" si="120"/>
        <v/>
      </c>
      <c r="I259" s="43"/>
      <c r="J259" s="63" t="str">
        <f t="shared" si="121"/>
        <v/>
      </c>
      <c r="K259" s="64" t="str">
        <f t="shared" si="122"/>
        <v/>
      </c>
      <c r="L259" s="63" t="str">
        <f t="shared" si="123"/>
        <v/>
      </c>
      <c r="M259" s="64" t="str">
        <f t="shared" si="124"/>
        <v/>
      </c>
      <c r="N259" s="65"/>
      <c r="O259" s="63" t="str">
        <f t="shared" si="125"/>
        <v/>
      </c>
      <c r="P259" s="63" t="str">
        <f t="shared" si="126"/>
        <v/>
      </c>
      <c r="Q259" s="66"/>
      <c r="R259" s="63" t="str">
        <f t="shared" si="127"/>
        <v/>
      </c>
      <c r="S259" s="64" t="str">
        <f t="shared" si="128"/>
        <v/>
      </c>
      <c r="T259" s="63" t="str">
        <f t="shared" si="129"/>
        <v/>
      </c>
      <c r="U259" s="64" t="str">
        <f t="shared" si="130"/>
        <v/>
      </c>
      <c r="V259" s="90" t="str">
        <f>IF($A260="","",IF(AND(MONTH(A259)&gt;3,MONTH(A259)&lt;11),(T259+R259+G259)*Summary!$T$9/(1-Summary!$T$9),(T259+R259+G259)*Summary!$U$9/(1-Summary!$U$9)))</f>
        <v/>
      </c>
      <c r="W259" s="63" t="str">
        <f t="shared" si="131"/>
        <v/>
      </c>
      <c r="X259" s="63" t="str">
        <f t="shared" si="132"/>
        <v/>
      </c>
      <c r="Y259" s="43"/>
      <c r="Z259" s="38" t="str">
        <f t="shared" si="133"/>
        <v/>
      </c>
      <c r="AA259" s="38" t="str">
        <f t="shared" si="134"/>
        <v/>
      </c>
      <c r="AB259" s="38" t="e">
        <f t="shared" si="135"/>
        <v>#VALUE!</v>
      </c>
      <c r="AC259" s="38" t="str">
        <f t="shared" si="136"/>
        <v/>
      </c>
      <c r="AD259" s="38" t="str">
        <f t="shared" si="136"/>
        <v/>
      </c>
      <c r="AE259" s="38" t="e">
        <f t="shared" si="137"/>
        <v>#VALUE!</v>
      </c>
      <c r="AF259" s="237" t="e">
        <f>((Summary!$N$9*(AA259*AD259)*(A259-$D$3))+(Summary!$M$9*Z259*AC259*(AJ259-EOMONTH(EDATE(A259,-1),0))))/(AK259*AB259*AE259)</f>
        <v>#VALUE!</v>
      </c>
      <c r="AG259" s="88" t="str">
        <f>IF($A260="","",Summary!$Q$9)</f>
        <v/>
      </c>
      <c r="AH259" s="88" t="str">
        <f>IF($A260="","",IF(Summary!$R$9="Y",VLOOKUP($A259,Summary!$AD$6:$AF$9,3)+'Escalating commodity'!E272,'Escalating commodity'!E272))</f>
        <v/>
      </c>
      <c r="AI259" s="88" t="str">
        <f t="shared" si="152"/>
        <v/>
      </c>
      <c r="AJ259" s="236" t="e">
        <f t="shared" si="138"/>
        <v>#VALUE!</v>
      </c>
      <c r="AK259" s="58" t="str">
        <f t="shared" si="139"/>
        <v/>
      </c>
      <c r="AL259" s="26" t="str">
        <f>IF($A260="","",_xll.SPRDOPT(P259,X259,AI259,0,AB259,AE259,AF259,AK259,$AJ$2,0))</f>
        <v/>
      </c>
      <c r="AM259" s="89" t="str">
        <f t="shared" si="140"/>
        <v/>
      </c>
      <c r="AN259" s="89" t="str">
        <f t="shared" si="141"/>
        <v/>
      </c>
      <c r="AO259" s="3" t="str">
        <f t="shared" si="142"/>
        <v/>
      </c>
      <c r="AP259" s="33" t="str">
        <f t="shared" si="143"/>
        <v/>
      </c>
      <c r="AQ259" s="58" t="str">
        <f t="shared" si="144"/>
        <v/>
      </c>
      <c r="AR259" s="38">
        <f>'ANR OK vs ML7'!AR259</f>
        <v>0.1</v>
      </c>
      <c r="AS259" s="35" t="str">
        <f t="shared" si="145"/>
        <v/>
      </c>
      <c r="AT259" s="3" t="str">
        <f t="shared" si="146"/>
        <v/>
      </c>
      <c r="AU259" s="3" t="str">
        <f t="shared" si="147"/>
        <v/>
      </c>
      <c r="AW259" s="32" t="str">
        <f t="shared" si="148"/>
        <v/>
      </c>
      <c r="AX259" s="32" t="str">
        <f t="shared" si="149"/>
        <v/>
      </c>
      <c r="AY259" s="32" t="str">
        <f t="shared" si="150"/>
        <v/>
      </c>
      <c r="BA259" s="32" t="str">
        <f>IF($A260="","",F259*Summary!$Q$9)</f>
        <v/>
      </c>
    </row>
    <row r="260" spans="1:53" ht="12" customHeight="1">
      <c r="A260" s="67" t="str">
        <f t="shared" si="151"/>
        <v/>
      </c>
      <c r="B260" s="69" t="str">
        <f t="shared" si="153"/>
        <v/>
      </c>
      <c r="C260" s="71"/>
      <c r="D260" s="69" t="str">
        <f t="shared" si="116"/>
        <v/>
      </c>
      <c r="E260" s="70" t="str">
        <f t="shared" si="117"/>
        <v/>
      </c>
      <c r="F260" s="70" t="str">
        <f t="shared" si="118"/>
        <v/>
      </c>
      <c r="G260" s="63" t="str">
        <f t="shared" si="119"/>
        <v/>
      </c>
      <c r="H260" s="64" t="str">
        <f t="shared" si="120"/>
        <v/>
      </c>
      <c r="I260" s="43"/>
      <c r="J260" s="63" t="str">
        <f t="shared" si="121"/>
        <v/>
      </c>
      <c r="K260" s="64" t="str">
        <f t="shared" si="122"/>
        <v/>
      </c>
      <c r="L260" s="63" t="str">
        <f t="shared" si="123"/>
        <v/>
      </c>
      <c r="M260" s="64" t="str">
        <f t="shared" si="124"/>
        <v/>
      </c>
      <c r="N260" s="65"/>
      <c r="O260" s="63" t="str">
        <f t="shared" si="125"/>
        <v/>
      </c>
      <c r="P260" s="63" t="str">
        <f t="shared" si="126"/>
        <v/>
      </c>
      <c r="Q260" s="66"/>
      <c r="R260" s="63" t="str">
        <f t="shared" si="127"/>
        <v/>
      </c>
      <c r="S260" s="64" t="str">
        <f t="shared" si="128"/>
        <v/>
      </c>
      <c r="T260" s="63" t="str">
        <f t="shared" si="129"/>
        <v/>
      </c>
      <c r="U260" s="64" t="str">
        <f t="shared" si="130"/>
        <v/>
      </c>
      <c r="V260" s="90" t="str">
        <f>IF($A261="","",IF(AND(MONTH(A260)&gt;3,MONTH(A260)&lt;11),(T260+R260+G260)*Summary!$T$9/(1-Summary!$T$9),(T260+R260+G260)*Summary!$U$9/(1-Summary!$U$9)))</f>
        <v/>
      </c>
      <c r="W260" s="63" t="str">
        <f t="shared" si="131"/>
        <v/>
      </c>
      <c r="X260" s="63" t="str">
        <f t="shared" si="132"/>
        <v/>
      </c>
      <c r="Y260" s="43"/>
      <c r="Z260" s="38" t="str">
        <f t="shared" si="133"/>
        <v/>
      </c>
      <c r="AA260" s="38" t="str">
        <f t="shared" si="134"/>
        <v/>
      </c>
      <c r="AB260" s="38" t="e">
        <f t="shared" si="135"/>
        <v>#VALUE!</v>
      </c>
      <c r="AC260" s="38" t="str">
        <f t="shared" si="136"/>
        <v/>
      </c>
      <c r="AD260" s="38" t="str">
        <f t="shared" si="136"/>
        <v/>
      </c>
      <c r="AE260" s="38" t="e">
        <f t="shared" si="137"/>
        <v>#VALUE!</v>
      </c>
      <c r="AF260" s="237" t="e">
        <f>((Summary!$N$9*(AA260*AD260)*(A260-$D$3))+(Summary!$M$9*Z260*AC260*(AJ260-EOMONTH(EDATE(A260,-1),0))))/(AK260*AB260*AE260)</f>
        <v>#VALUE!</v>
      </c>
      <c r="AG260" s="88" t="str">
        <f>IF($A261="","",Summary!$Q$9)</f>
        <v/>
      </c>
      <c r="AH260" s="88" t="str">
        <f>IF($A261="","",IF(Summary!$R$9="Y",VLOOKUP($A260,Summary!$AD$6:$AF$9,3)+'Escalating commodity'!E273,'Escalating commodity'!E273))</f>
        <v/>
      </c>
      <c r="AI260" s="88" t="str">
        <f t="shared" si="152"/>
        <v/>
      </c>
      <c r="AJ260" s="236" t="e">
        <f t="shared" si="138"/>
        <v>#VALUE!</v>
      </c>
      <c r="AK260" s="58" t="str">
        <f t="shared" si="139"/>
        <v/>
      </c>
      <c r="AL260" s="26" t="str">
        <f>IF($A261="","",_xll.SPRDOPT(P260,X260,AI260,0,AB260,AE260,AF260,AK260,$AJ$2,0))</f>
        <v/>
      </c>
      <c r="AM260" s="89" t="str">
        <f t="shared" si="140"/>
        <v/>
      </c>
      <c r="AN260" s="89" t="str">
        <f t="shared" si="141"/>
        <v/>
      </c>
      <c r="AO260" s="3" t="str">
        <f t="shared" si="142"/>
        <v/>
      </c>
      <c r="AP260" s="33" t="str">
        <f t="shared" si="143"/>
        <v/>
      </c>
      <c r="AQ260" s="58" t="str">
        <f t="shared" si="144"/>
        <v/>
      </c>
      <c r="AR260" s="38">
        <f>'ANR OK vs ML7'!AR260</f>
        <v>0.1</v>
      </c>
      <c r="AS260" s="35" t="str">
        <f t="shared" si="145"/>
        <v/>
      </c>
      <c r="AT260" s="3" t="str">
        <f t="shared" si="146"/>
        <v/>
      </c>
      <c r="AU260" s="3" t="str">
        <f t="shared" si="147"/>
        <v/>
      </c>
      <c r="AW260" s="32" t="str">
        <f t="shared" si="148"/>
        <v/>
      </c>
      <c r="AX260" s="32" t="str">
        <f t="shared" si="149"/>
        <v/>
      </c>
      <c r="AY260" s="32" t="str">
        <f t="shared" si="150"/>
        <v/>
      </c>
      <c r="BA260" s="32" t="str">
        <f>IF($A261="","",F260*Summary!$Q$9)</f>
        <v/>
      </c>
    </row>
    <row r="261" spans="1:53" ht="12" customHeight="1">
      <c r="A261" s="67" t="str">
        <f t="shared" si="151"/>
        <v/>
      </c>
      <c r="B261" s="69" t="str">
        <f t="shared" si="153"/>
        <v/>
      </c>
      <c r="C261" s="71"/>
      <c r="D261" s="69" t="str">
        <f t="shared" si="116"/>
        <v/>
      </c>
      <c r="E261" s="70" t="str">
        <f t="shared" si="117"/>
        <v/>
      </c>
      <c r="F261" s="70" t="str">
        <f t="shared" si="118"/>
        <v/>
      </c>
      <c r="G261" s="63" t="str">
        <f t="shared" si="119"/>
        <v/>
      </c>
      <c r="H261" s="64" t="str">
        <f t="shared" si="120"/>
        <v/>
      </c>
      <c r="I261" s="43"/>
      <c r="J261" s="63" t="str">
        <f t="shared" si="121"/>
        <v/>
      </c>
      <c r="K261" s="64" t="str">
        <f t="shared" si="122"/>
        <v/>
      </c>
      <c r="L261" s="63" t="str">
        <f t="shared" si="123"/>
        <v/>
      </c>
      <c r="M261" s="64" t="str">
        <f t="shared" si="124"/>
        <v/>
      </c>
      <c r="N261" s="65"/>
      <c r="O261" s="63" t="str">
        <f t="shared" si="125"/>
        <v/>
      </c>
      <c r="P261" s="63" t="str">
        <f t="shared" si="126"/>
        <v/>
      </c>
      <c r="Q261" s="66"/>
      <c r="R261" s="63" t="str">
        <f t="shared" si="127"/>
        <v/>
      </c>
      <c r="S261" s="64" t="str">
        <f t="shared" si="128"/>
        <v/>
      </c>
      <c r="T261" s="63" t="str">
        <f t="shared" si="129"/>
        <v/>
      </c>
      <c r="U261" s="64" t="str">
        <f t="shared" si="130"/>
        <v/>
      </c>
      <c r="V261" s="90" t="str">
        <f>IF($A262="","",IF(AND(MONTH(A261)&gt;3,MONTH(A261)&lt;11),(T261+R261+G261)*Summary!$T$9/(1-Summary!$T$9),(T261+R261+G261)*Summary!$U$9/(1-Summary!$U$9)))</f>
        <v/>
      </c>
      <c r="W261" s="63" t="str">
        <f t="shared" si="131"/>
        <v/>
      </c>
      <c r="X261" s="63" t="str">
        <f t="shared" si="132"/>
        <v/>
      </c>
      <c r="Y261" s="43"/>
      <c r="Z261" s="38" t="str">
        <f t="shared" si="133"/>
        <v/>
      </c>
      <c r="AA261" s="38" t="str">
        <f t="shared" si="134"/>
        <v/>
      </c>
      <c r="AB261" s="38" t="e">
        <f t="shared" si="135"/>
        <v>#VALUE!</v>
      </c>
      <c r="AC261" s="38" t="str">
        <f t="shared" si="136"/>
        <v/>
      </c>
      <c r="AD261" s="38" t="str">
        <f t="shared" si="136"/>
        <v/>
      </c>
      <c r="AE261" s="38" t="e">
        <f t="shared" si="137"/>
        <v>#VALUE!</v>
      </c>
      <c r="AF261" s="237" t="e">
        <f>((Summary!$N$9*(AA261*AD261)*(A261-$D$3))+(Summary!$M$9*Z261*AC261*(AJ261-EOMONTH(EDATE(A261,-1),0))))/(AK261*AB261*AE261)</f>
        <v>#VALUE!</v>
      </c>
      <c r="AG261" s="88" t="str">
        <f>IF($A262="","",Summary!$Q$9)</f>
        <v/>
      </c>
      <c r="AH261" s="88" t="str">
        <f>IF($A262="","",IF(Summary!$R$9="Y",VLOOKUP($A261,Summary!$AD$6:$AF$9,3)+'Escalating commodity'!E274,'Escalating commodity'!E274))</f>
        <v/>
      </c>
      <c r="AI261" s="88" t="str">
        <f t="shared" si="152"/>
        <v/>
      </c>
      <c r="AJ261" s="236" t="e">
        <f t="shared" si="138"/>
        <v>#VALUE!</v>
      </c>
      <c r="AK261" s="58" t="str">
        <f t="shared" si="139"/>
        <v/>
      </c>
      <c r="AL261" s="26" t="str">
        <f>IF($A262="","",_xll.SPRDOPT(P261,X261,AI261,0,AB261,AE261,AF261,AK261,$AJ$2,0))</f>
        <v/>
      </c>
      <c r="AM261" s="89" t="str">
        <f t="shared" si="140"/>
        <v/>
      </c>
      <c r="AN261" s="89" t="str">
        <f t="shared" si="141"/>
        <v/>
      </c>
      <c r="AO261" s="3" t="str">
        <f t="shared" si="142"/>
        <v/>
      </c>
      <c r="AP261" s="33" t="str">
        <f t="shared" si="143"/>
        <v/>
      </c>
      <c r="AQ261" s="58" t="str">
        <f t="shared" si="144"/>
        <v/>
      </c>
      <c r="AR261" s="38">
        <f>'ANR OK vs ML7'!AR261</f>
        <v>0.1</v>
      </c>
      <c r="AS261" s="35" t="str">
        <f t="shared" si="145"/>
        <v/>
      </c>
      <c r="AT261" s="3" t="str">
        <f t="shared" si="146"/>
        <v/>
      </c>
      <c r="AU261" s="3" t="str">
        <f t="shared" si="147"/>
        <v/>
      </c>
      <c r="AW261" s="32" t="str">
        <f t="shared" si="148"/>
        <v/>
      </c>
      <c r="AX261" s="32" t="str">
        <f t="shared" si="149"/>
        <v/>
      </c>
      <c r="AY261" s="32" t="str">
        <f t="shared" si="150"/>
        <v/>
      </c>
      <c r="BA261" s="32" t="str">
        <f>IF($A262="","",F261*Summary!$Q$9)</f>
        <v/>
      </c>
    </row>
    <row r="262" spans="1:53" ht="12" customHeight="1">
      <c r="A262" s="67" t="str">
        <f t="shared" si="151"/>
        <v/>
      </c>
      <c r="B262" s="69" t="str">
        <f t="shared" si="153"/>
        <v/>
      </c>
      <c r="C262" s="71"/>
      <c r="D262" s="69" t="str">
        <f t="shared" si="116"/>
        <v/>
      </c>
      <c r="E262" s="70" t="str">
        <f t="shared" si="117"/>
        <v/>
      </c>
      <c r="F262" s="70" t="str">
        <f t="shared" si="118"/>
        <v/>
      </c>
      <c r="G262" s="63" t="str">
        <f t="shared" si="119"/>
        <v/>
      </c>
      <c r="H262" s="64" t="str">
        <f t="shared" si="120"/>
        <v/>
      </c>
      <c r="I262" s="43"/>
      <c r="J262" s="63" t="str">
        <f t="shared" si="121"/>
        <v/>
      </c>
      <c r="K262" s="64" t="str">
        <f t="shared" si="122"/>
        <v/>
      </c>
      <c r="L262" s="63" t="str">
        <f t="shared" si="123"/>
        <v/>
      </c>
      <c r="M262" s="64" t="str">
        <f t="shared" si="124"/>
        <v/>
      </c>
      <c r="N262" s="65"/>
      <c r="O262" s="63" t="str">
        <f t="shared" si="125"/>
        <v/>
      </c>
      <c r="P262" s="63" t="str">
        <f t="shared" si="126"/>
        <v/>
      </c>
      <c r="Q262" s="66"/>
      <c r="R262" s="63" t="str">
        <f t="shared" si="127"/>
        <v/>
      </c>
      <c r="S262" s="64" t="str">
        <f t="shared" si="128"/>
        <v/>
      </c>
      <c r="T262" s="63" t="str">
        <f t="shared" si="129"/>
        <v/>
      </c>
      <c r="U262" s="64" t="str">
        <f t="shared" si="130"/>
        <v/>
      </c>
      <c r="V262" s="90" t="str">
        <f>IF($A263="","",IF(AND(MONTH(A262)&gt;3,MONTH(A262)&lt;11),(T262+R262+G262)*Summary!$T$9/(1-Summary!$T$9),(T262+R262+G262)*Summary!$U$9/(1-Summary!$U$9)))</f>
        <v/>
      </c>
      <c r="W262" s="63" t="str">
        <f t="shared" si="131"/>
        <v/>
      </c>
      <c r="X262" s="63" t="str">
        <f t="shared" si="132"/>
        <v/>
      </c>
      <c r="Y262" s="43"/>
      <c r="Z262" s="38" t="str">
        <f t="shared" si="133"/>
        <v/>
      </c>
      <c r="AA262" s="38" t="str">
        <f t="shared" si="134"/>
        <v/>
      </c>
      <c r="AB262" s="38" t="e">
        <f t="shared" si="135"/>
        <v>#VALUE!</v>
      </c>
      <c r="AC262" s="38" t="str">
        <f t="shared" si="136"/>
        <v/>
      </c>
      <c r="AD262" s="38" t="str">
        <f t="shared" si="136"/>
        <v/>
      </c>
      <c r="AE262" s="38" t="e">
        <f t="shared" si="137"/>
        <v>#VALUE!</v>
      </c>
      <c r="AF262" s="237" t="e">
        <f>((Summary!$N$9*(AA262*AD262)*(A262-$D$3))+(Summary!$M$9*Z262*AC262*(AJ262-EOMONTH(EDATE(A262,-1),0))))/(AK262*AB262*AE262)</f>
        <v>#VALUE!</v>
      </c>
      <c r="AG262" s="88" t="str">
        <f>IF($A263="","",Summary!$Q$9)</f>
        <v/>
      </c>
      <c r="AH262" s="88" t="str">
        <f>IF($A263="","",IF(Summary!$R$9="Y",VLOOKUP($A262,Summary!$AD$6:$AF$9,3)+'Escalating commodity'!E275,'Escalating commodity'!E275))</f>
        <v/>
      </c>
      <c r="AI262" s="88" t="str">
        <f t="shared" si="152"/>
        <v/>
      </c>
      <c r="AJ262" s="236" t="e">
        <f t="shared" si="138"/>
        <v>#VALUE!</v>
      </c>
      <c r="AK262" s="58" t="str">
        <f t="shared" si="139"/>
        <v/>
      </c>
      <c r="AL262" s="26" t="str">
        <f>IF($A263="","",_xll.SPRDOPT(P262,X262,AI262,0,AB262,AE262,AF262,AK262,$AJ$2,0))</f>
        <v/>
      </c>
      <c r="AM262" s="89" t="str">
        <f t="shared" si="140"/>
        <v/>
      </c>
      <c r="AN262" s="89" t="str">
        <f t="shared" si="141"/>
        <v/>
      </c>
      <c r="AO262" s="3" t="str">
        <f t="shared" si="142"/>
        <v/>
      </c>
      <c r="AP262" s="33" t="str">
        <f t="shared" si="143"/>
        <v/>
      </c>
      <c r="AQ262" s="58" t="str">
        <f t="shared" si="144"/>
        <v/>
      </c>
      <c r="AR262" s="38">
        <f>'ANR OK vs ML7'!AR262</f>
        <v>0.1</v>
      </c>
      <c r="AS262" s="35" t="str">
        <f t="shared" si="145"/>
        <v/>
      </c>
      <c r="AT262" s="3" t="str">
        <f t="shared" si="146"/>
        <v/>
      </c>
      <c r="AU262" s="3" t="str">
        <f t="shared" si="147"/>
        <v/>
      </c>
      <c r="AW262" s="32" t="str">
        <f t="shared" si="148"/>
        <v/>
      </c>
      <c r="AX262" s="32" t="str">
        <f t="shared" si="149"/>
        <v/>
      </c>
      <c r="AY262" s="32" t="str">
        <f t="shared" si="150"/>
        <v/>
      </c>
      <c r="BA262" s="32" t="str">
        <f>IF($A263="","",F262*Summary!$Q$9)</f>
        <v/>
      </c>
    </row>
    <row r="263" spans="1:53" ht="12" customHeight="1">
      <c r="A263" s="67" t="str">
        <f t="shared" si="151"/>
        <v/>
      </c>
      <c r="B263" s="69" t="str">
        <f t="shared" si="153"/>
        <v/>
      </c>
      <c r="C263" s="71"/>
      <c r="D263" s="69" t="str">
        <f t="shared" si="116"/>
        <v/>
      </c>
      <c r="E263" s="70" t="str">
        <f t="shared" si="117"/>
        <v/>
      </c>
      <c r="F263" s="70" t="str">
        <f t="shared" si="118"/>
        <v/>
      </c>
      <c r="G263" s="63" t="str">
        <f t="shared" si="119"/>
        <v/>
      </c>
      <c r="H263" s="64" t="str">
        <f t="shared" si="120"/>
        <v/>
      </c>
      <c r="I263" s="43"/>
      <c r="J263" s="63" t="str">
        <f t="shared" si="121"/>
        <v/>
      </c>
      <c r="K263" s="64" t="str">
        <f t="shared" si="122"/>
        <v/>
      </c>
      <c r="L263" s="63" t="str">
        <f t="shared" si="123"/>
        <v/>
      </c>
      <c r="M263" s="64" t="str">
        <f t="shared" si="124"/>
        <v/>
      </c>
      <c r="N263" s="65"/>
      <c r="O263" s="63" t="str">
        <f t="shared" si="125"/>
        <v/>
      </c>
      <c r="P263" s="63" t="str">
        <f t="shared" si="126"/>
        <v/>
      </c>
      <c r="Q263" s="66"/>
      <c r="R263" s="63" t="str">
        <f t="shared" si="127"/>
        <v/>
      </c>
      <c r="S263" s="64" t="str">
        <f t="shared" si="128"/>
        <v/>
      </c>
      <c r="T263" s="63" t="str">
        <f t="shared" si="129"/>
        <v/>
      </c>
      <c r="U263" s="64" t="str">
        <f t="shared" si="130"/>
        <v/>
      </c>
      <c r="V263" s="90" t="str">
        <f>IF($A264="","",IF(AND(MONTH(A263)&gt;3,MONTH(A263)&lt;11),(T263+R263+G263)*Summary!$T$9/(1-Summary!$T$9),(T263+R263+G263)*Summary!$U$9/(1-Summary!$U$9)))</f>
        <v/>
      </c>
      <c r="W263" s="63" t="str">
        <f t="shared" si="131"/>
        <v/>
      </c>
      <c r="X263" s="63" t="str">
        <f t="shared" si="132"/>
        <v/>
      </c>
      <c r="Y263" s="43"/>
      <c r="Z263" s="38" t="str">
        <f t="shared" si="133"/>
        <v/>
      </c>
      <c r="AA263" s="38" t="str">
        <f t="shared" si="134"/>
        <v/>
      </c>
      <c r="AB263" s="38" t="e">
        <f t="shared" si="135"/>
        <v>#VALUE!</v>
      </c>
      <c r="AC263" s="38" t="str">
        <f t="shared" si="136"/>
        <v/>
      </c>
      <c r="AD263" s="38" t="str">
        <f t="shared" si="136"/>
        <v/>
      </c>
      <c r="AE263" s="38" t="e">
        <f t="shared" si="137"/>
        <v>#VALUE!</v>
      </c>
      <c r="AF263" s="237" t="e">
        <f>((Summary!$N$9*(AA263*AD263)*(A263-$D$3))+(Summary!$M$9*Z263*AC263*(AJ263-EOMONTH(EDATE(A263,-1),0))))/(AK263*AB263*AE263)</f>
        <v>#VALUE!</v>
      </c>
      <c r="AG263" s="88" t="str">
        <f>IF($A264="","",Summary!$Q$9)</f>
        <v/>
      </c>
      <c r="AH263" s="88" t="str">
        <f>IF($A264="","",IF(Summary!$R$9="Y",VLOOKUP($A263,Summary!$AD$6:$AF$9,3)+'Escalating commodity'!E276,'Escalating commodity'!E276))</f>
        <v/>
      </c>
      <c r="AI263" s="88" t="str">
        <f t="shared" si="152"/>
        <v/>
      </c>
      <c r="AJ263" s="236" t="e">
        <f t="shared" si="138"/>
        <v>#VALUE!</v>
      </c>
      <c r="AK263" s="58" t="str">
        <f t="shared" si="139"/>
        <v/>
      </c>
      <c r="AL263" s="26" t="str">
        <f>IF($A264="","",_xll.SPRDOPT(P263,X263,AI263,0,AB263,AE263,AF263,AK263,$AJ$2,0))</f>
        <v/>
      </c>
      <c r="AM263" s="89" t="str">
        <f t="shared" si="140"/>
        <v/>
      </c>
      <c r="AN263" s="89" t="str">
        <f t="shared" si="141"/>
        <v/>
      </c>
      <c r="AO263" s="3" t="str">
        <f t="shared" si="142"/>
        <v/>
      </c>
      <c r="AP263" s="33" t="str">
        <f t="shared" si="143"/>
        <v/>
      </c>
      <c r="AQ263" s="58" t="str">
        <f t="shared" si="144"/>
        <v/>
      </c>
      <c r="AR263" s="38">
        <f>'ANR OK vs ML7'!AR263</f>
        <v>0.1</v>
      </c>
      <c r="AS263" s="35" t="str">
        <f t="shared" si="145"/>
        <v/>
      </c>
      <c r="AT263" s="3" t="str">
        <f t="shared" si="146"/>
        <v/>
      </c>
      <c r="AU263" s="3" t="str">
        <f t="shared" si="147"/>
        <v/>
      </c>
      <c r="AW263" s="32" t="str">
        <f t="shared" si="148"/>
        <v/>
      </c>
      <c r="AX263" s="32" t="str">
        <f t="shared" si="149"/>
        <v/>
      </c>
      <c r="AY263" s="32" t="str">
        <f t="shared" si="150"/>
        <v/>
      </c>
      <c r="BA263" s="32" t="str">
        <f>IF($A264="","",F263*Summary!$Q$9)</f>
        <v/>
      </c>
    </row>
    <row r="264" spans="1:53" ht="12" customHeight="1">
      <c r="A264" s="67" t="str">
        <f t="shared" si="151"/>
        <v/>
      </c>
      <c r="B264" s="69" t="str">
        <f t="shared" si="153"/>
        <v/>
      </c>
      <c r="C264" s="71"/>
      <c r="D264" s="69" t="str">
        <f t="shared" si="116"/>
        <v/>
      </c>
      <c r="E264" s="70" t="str">
        <f t="shared" si="117"/>
        <v/>
      </c>
      <c r="F264" s="70" t="str">
        <f t="shared" si="118"/>
        <v/>
      </c>
      <c r="G264" s="63" t="str">
        <f t="shared" si="119"/>
        <v/>
      </c>
      <c r="H264" s="64" t="str">
        <f t="shared" si="120"/>
        <v/>
      </c>
      <c r="I264" s="43"/>
      <c r="J264" s="63" t="str">
        <f t="shared" si="121"/>
        <v/>
      </c>
      <c r="K264" s="64" t="str">
        <f t="shared" si="122"/>
        <v/>
      </c>
      <c r="L264" s="63" t="str">
        <f t="shared" si="123"/>
        <v/>
      </c>
      <c r="M264" s="64" t="str">
        <f t="shared" si="124"/>
        <v/>
      </c>
      <c r="N264" s="65"/>
      <c r="O264" s="63" t="str">
        <f t="shared" si="125"/>
        <v/>
      </c>
      <c r="P264" s="63" t="str">
        <f t="shared" si="126"/>
        <v/>
      </c>
      <c r="Q264" s="66"/>
      <c r="R264" s="63" t="str">
        <f t="shared" si="127"/>
        <v/>
      </c>
      <c r="S264" s="64" t="str">
        <f t="shared" si="128"/>
        <v/>
      </c>
      <c r="T264" s="63" t="str">
        <f t="shared" si="129"/>
        <v/>
      </c>
      <c r="U264" s="64" t="str">
        <f t="shared" si="130"/>
        <v/>
      </c>
      <c r="V264" s="90" t="str">
        <f>IF($A265="","",IF(AND(MONTH(A264)&gt;3,MONTH(A264)&lt;11),(T264+R264+G264)*Summary!$T$9/(1-Summary!$T$9),(T264+R264+G264)*Summary!$U$9/(1-Summary!$U$9)))</f>
        <v/>
      </c>
      <c r="W264" s="63" t="str">
        <f t="shared" si="131"/>
        <v/>
      </c>
      <c r="X264" s="63" t="str">
        <f t="shared" si="132"/>
        <v/>
      </c>
      <c r="Y264" s="43"/>
      <c r="Z264" s="38" t="str">
        <f t="shared" si="133"/>
        <v/>
      </c>
      <c r="AA264" s="38" t="str">
        <f t="shared" si="134"/>
        <v/>
      </c>
      <c r="AB264" s="38" t="e">
        <f t="shared" si="135"/>
        <v>#VALUE!</v>
      </c>
      <c r="AC264" s="38" t="str">
        <f t="shared" si="136"/>
        <v/>
      </c>
      <c r="AD264" s="38" t="str">
        <f t="shared" si="136"/>
        <v/>
      </c>
      <c r="AE264" s="38" t="e">
        <f t="shared" si="137"/>
        <v>#VALUE!</v>
      </c>
      <c r="AF264" s="237" t="e">
        <f>((Summary!$N$9*(AA264*AD264)*(A264-$D$3))+(Summary!$M$9*Z264*AC264*(AJ264-EOMONTH(EDATE(A264,-1),0))))/(AK264*AB264*AE264)</f>
        <v>#VALUE!</v>
      </c>
      <c r="AG264" s="88" t="str">
        <f>IF($A265="","",Summary!$Q$9)</f>
        <v/>
      </c>
      <c r="AH264" s="88" t="str">
        <f>IF($A265="","",IF(Summary!$R$9="Y",VLOOKUP($A264,Summary!$AD$6:$AF$9,3)+'Escalating commodity'!E277,'Escalating commodity'!E277))</f>
        <v/>
      </c>
      <c r="AI264" s="88" t="str">
        <f t="shared" si="152"/>
        <v/>
      </c>
      <c r="AJ264" s="236" t="e">
        <f t="shared" si="138"/>
        <v>#VALUE!</v>
      </c>
      <c r="AK264" s="58" t="str">
        <f t="shared" si="139"/>
        <v/>
      </c>
      <c r="AL264" s="26" t="str">
        <f>IF($A265="","",_xll.SPRDOPT(P264,X264,AI264,0,AB264,AE264,AF264,AK264,$AJ$2,0))</f>
        <v/>
      </c>
      <c r="AM264" s="89" t="str">
        <f t="shared" si="140"/>
        <v/>
      </c>
      <c r="AN264" s="89" t="str">
        <f t="shared" si="141"/>
        <v/>
      </c>
      <c r="AO264" s="3" t="str">
        <f t="shared" si="142"/>
        <v/>
      </c>
      <c r="AP264" s="33" t="str">
        <f t="shared" si="143"/>
        <v/>
      </c>
      <c r="AQ264" s="58" t="str">
        <f t="shared" si="144"/>
        <v/>
      </c>
      <c r="AR264" s="38">
        <f>'ANR OK vs ML7'!AR264</f>
        <v>0.1</v>
      </c>
      <c r="AS264" s="35" t="str">
        <f t="shared" si="145"/>
        <v/>
      </c>
      <c r="AT264" s="3" t="str">
        <f t="shared" si="146"/>
        <v/>
      </c>
      <c r="AU264" s="3" t="str">
        <f t="shared" si="147"/>
        <v/>
      </c>
      <c r="AW264" s="32" t="str">
        <f t="shared" si="148"/>
        <v/>
      </c>
      <c r="AX264" s="32" t="str">
        <f t="shared" si="149"/>
        <v/>
      </c>
      <c r="AY264" s="32" t="str">
        <f t="shared" si="150"/>
        <v/>
      </c>
      <c r="BA264" s="32" t="str">
        <f>IF($A265="","",F264*Summary!$Q$9)</f>
        <v/>
      </c>
    </row>
    <row r="265" spans="1:53" ht="12" customHeight="1">
      <c r="A265" s="67" t="str">
        <f t="shared" si="151"/>
        <v/>
      </c>
      <c r="B265" s="69" t="str">
        <f t="shared" si="153"/>
        <v/>
      </c>
      <c r="C265" s="71"/>
      <c r="D265" s="69" t="str">
        <f t="shared" si="116"/>
        <v/>
      </c>
      <c r="E265" s="70" t="str">
        <f t="shared" si="117"/>
        <v/>
      </c>
      <c r="F265" s="70" t="str">
        <f t="shared" si="118"/>
        <v/>
      </c>
      <c r="G265" s="63" t="str">
        <f t="shared" si="119"/>
        <v/>
      </c>
      <c r="H265" s="64" t="str">
        <f t="shared" si="120"/>
        <v/>
      </c>
      <c r="I265" s="43"/>
      <c r="J265" s="63" t="str">
        <f t="shared" si="121"/>
        <v/>
      </c>
      <c r="K265" s="64" t="str">
        <f t="shared" si="122"/>
        <v/>
      </c>
      <c r="L265" s="63" t="str">
        <f t="shared" si="123"/>
        <v/>
      </c>
      <c r="M265" s="64" t="str">
        <f t="shared" si="124"/>
        <v/>
      </c>
      <c r="N265" s="65"/>
      <c r="O265" s="63" t="str">
        <f t="shared" si="125"/>
        <v/>
      </c>
      <c r="P265" s="63" t="str">
        <f t="shared" si="126"/>
        <v/>
      </c>
      <c r="Q265" s="66"/>
      <c r="R265" s="63" t="str">
        <f t="shared" si="127"/>
        <v/>
      </c>
      <c r="S265" s="64" t="str">
        <f t="shared" si="128"/>
        <v/>
      </c>
      <c r="T265" s="63" t="str">
        <f t="shared" si="129"/>
        <v/>
      </c>
      <c r="U265" s="64" t="str">
        <f t="shared" si="130"/>
        <v/>
      </c>
      <c r="V265" s="90" t="str">
        <f>IF($A266="","",IF(AND(MONTH(A265)&gt;3,MONTH(A265)&lt;11),(T265+R265+G265)*Summary!$T$9/(1-Summary!$T$9),(T265+R265+G265)*Summary!$U$9/(1-Summary!$U$9)))</f>
        <v/>
      </c>
      <c r="W265" s="63" t="str">
        <f t="shared" si="131"/>
        <v/>
      </c>
      <c r="X265" s="63" t="str">
        <f t="shared" si="132"/>
        <v/>
      </c>
      <c r="Y265" s="43"/>
      <c r="Z265" s="38" t="str">
        <f t="shared" si="133"/>
        <v/>
      </c>
      <c r="AA265" s="38" t="str">
        <f t="shared" si="134"/>
        <v/>
      </c>
      <c r="AB265" s="38" t="e">
        <f t="shared" si="135"/>
        <v>#VALUE!</v>
      </c>
      <c r="AC265" s="38" t="str">
        <f t="shared" si="136"/>
        <v/>
      </c>
      <c r="AD265" s="38" t="str">
        <f t="shared" si="136"/>
        <v/>
      </c>
      <c r="AE265" s="38" t="e">
        <f t="shared" si="137"/>
        <v>#VALUE!</v>
      </c>
      <c r="AF265" s="237" t="e">
        <f>((Summary!$N$9*(AA265*AD265)*(A265-$D$3))+(Summary!$M$9*Z265*AC265*(AJ265-EOMONTH(EDATE(A265,-1),0))))/(AK265*AB265*AE265)</f>
        <v>#VALUE!</v>
      </c>
      <c r="AG265" s="88" t="str">
        <f>IF($A266="","",Summary!$Q$9)</f>
        <v/>
      </c>
      <c r="AH265" s="88" t="str">
        <f>IF($A266="","",IF(Summary!$R$9="Y",VLOOKUP($A265,Summary!$AD$6:$AF$9,3)+'Escalating commodity'!E278,'Escalating commodity'!E278))</f>
        <v/>
      </c>
      <c r="AI265" s="88" t="str">
        <f t="shared" si="152"/>
        <v/>
      </c>
      <c r="AJ265" s="236" t="e">
        <f t="shared" si="138"/>
        <v>#VALUE!</v>
      </c>
      <c r="AK265" s="58" t="str">
        <f t="shared" si="139"/>
        <v/>
      </c>
      <c r="AL265" s="26" t="str">
        <f>IF($A266="","",_xll.SPRDOPT(P265,X265,AI265,0,AB265,AE265,AF265,AK265,$AJ$2,0))</f>
        <v/>
      </c>
      <c r="AM265" s="89" t="str">
        <f t="shared" si="140"/>
        <v/>
      </c>
      <c r="AN265" s="89" t="str">
        <f t="shared" si="141"/>
        <v/>
      </c>
      <c r="AO265" s="3" t="str">
        <f t="shared" si="142"/>
        <v/>
      </c>
      <c r="AP265" s="33" t="str">
        <f t="shared" si="143"/>
        <v/>
      </c>
      <c r="AQ265" s="58" t="str">
        <f t="shared" si="144"/>
        <v/>
      </c>
      <c r="AR265" s="38">
        <f>'ANR OK vs ML7'!AR265</f>
        <v>0.1</v>
      </c>
      <c r="AS265" s="35" t="str">
        <f t="shared" si="145"/>
        <v/>
      </c>
      <c r="AT265" s="3" t="str">
        <f t="shared" si="146"/>
        <v/>
      </c>
      <c r="AU265" s="3" t="str">
        <f t="shared" si="147"/>
        <v/>
      </c>
      <c r="AW265" s="32" t="str">
        <f t="shared" si="148"/>
        <v/>
      </c>
      <c r="AX265" s="32" t="str">
        <f t="shared" si="149"/>
        <v/>
      </c>
      <c r="AY265" s="32" t="str">
        <f t="shared" si="150"/>
        <v/>
      </c>
      <c r="BA265" s="32" t="str">
        <f>IF($A266="","",F265*Summary!$Q$9)</f>
        <v/>
      </c>
    </row>
    <row r="266" spans="1:53" ht="12" customHeight="1">
      <c r="A266" s="67" t="str">
        <f t="shared" si="151"/>
        <v/>
      </c>
      <c r="B266" s="69" t="str">
        <f t="shared" si="153"/>
        <v/>
      </c>
      <c r="C266" s="71"/>
      <c r="D266" s="69" t="str">
        <f t="shared" ref="D266:D329" si="154">IF(A267&lt;&gt;"",B266+C266,"")</f>
        <v/>
      </c>
      <c r="E266" s="70" t="str">
        <f t="shared" ref="E266:E329" si="155">IF(A267="","",IF(AND(AT266=1,$H$3=1),D266*AO266,IF($H$3=2,D266,"N/A")))</f>
        <v/>
      </c>
      <c r="F266" s="70" t="str">
        <f t="shared" ref="F266:F329" si="156">IF(A267="","",E266*AS266)</f>
        <v/>
      </c>
      <c r="G266" s="63" t="str">
        <f t="shared" ref="G266:G329" si="157">IF($A267="","",VLOOKUP($A266,Table,MATCH(G$4,Curves,0)))</f>
        <v/>
      </c>
      <c r="H266" s="64" t="str">
        <f t="shared" ref="H266:H329" si="158">IF(A267="","",G266)</f>
        <v/>
      </c>
      <c r="I266" s="43"/>
      <c r="J266" s="63" t="str">
        <f t="shared" ref="J266:J329" si="159">IF($A267="","",VLOOKUP($A266,Table,MATCH(J$4,Curves,0)))</f>
        <v/>
      </c>
      <c r="K266" s="64" t="str">
        <f t="shared" ref="K266:K329" si="160">IF(A267="","",J266)</f>
        <v/>
      </c>
      <c r="L266" s="63" t="str">
        <f t="shared" ref="L266:L329" si="161">IF($A267="","",VLOOKUP($A266,Table,MATCH(L$4,Curves,0)))</f>
        <v/>
      </c>
      <c r="M266" s="64" t="str">
        <f t="shared" ref="M266:M329" si="162">IF(A267="","",L266)</f>
        <v/>
      </c>
      <c r="N266" s="65"/>
      <c r="O266" s="63" t="str">
        <f t="shared" ref="O266:O329" si="163">IF(A267="","",L266+J266+G266)</f>
        <v/>
      </c>
      <c r="P266" s="63" t="str">
        <f t="shared" ref="P266:P329" si="164">IF(A267="","",M266+K266+H266)</f>
        <v/>
      </c>
      <c r="Q266" s="66"/>
      <c r="R266" s="63" t="str">
        <f t="shared" ref="R266:R329" si="165">IF($A267="","",VLOOKUP($A266,Table,MATCH(R$4,Curves,0)))</f>
        <v/>
      </c>
      <c r="S266" s="64" t="str">
        <f t="shared" ref="S266:S329" si="166">IF(A267="","",R266)</f>
        <v/>
      </c>
      <c r="T266" s="63" t="str">
        <f t="shared" ref="T266:T329" si="167">IF($A267="","",VLOOKUP($A266,Table,MATCH(T$4,Curves,0)))</f>
        <v/>
      </c>
      <c r="U266" s="64" t="str">
        <f t="shared" ref="U266:U329" si="168">IF(A267="","",T266)</f>
        <v/>
      </c>
      <c r="V266" s="90" t="str">
        <f>IF($A267="","",IF(AND(MONTH(A266)&gt;3,MONTH(A266)&lt;11),(T266+R266+G266)*Summary!$T$9/(1-Summary!$T$9),(T266+R266+G266)*Summary!$U$9/(1-Summary!$U$9)))</f>
        <v/>
      </c>
      <c r="W266" s="63" t="str">
        <f t="shared" ref="W266:W329" si="169">IF($A267="","",(T266+R266+G266+V266))</f>
        <v/>
      </c>
      <c r="X266" s="63" t="str">
        <f t="shared" ref="X266:X329" si="170">IF($A267="","",(U266+S266+H266+V266))</f>
        <v/>
      </c>
      <c r="Y266" s="43"/>
      <c r="Z266" s="38" t="str">
        <f t="shared" ref="Z266:Z329" si="171">IF($A267="","",VLOOKUP($A266,Table,MATCH(Z$4,Curves,0)))</f>
        <v/>
      </c>
      <c r="AA266" s="38" t="str">
        <f t="shared" ref="AA266:AA329" si="172">IF($A267="","",VLOOKUP($A266,Table,MATCH(AA$4,Curves,0)))</f>
        <v/>
      </c>
      <c r="AB266" s="38" t="e">
        <f t="shared" ref="AB266:AB329" si="173">SQRT((AA266^2*(A266-$D$3)+Z266^2*(DAY(EOMONTH(A266,0))/2))/AK266)</f>
        <v>#VALUE!</v>
      </c>
      <c r="AC266" s="38" t="str">
        <f t="shared" ref="AC266:AD329" si="174">IF($A267="","",VLOOKUP($A266,Table,MATCH(AC$4,Curves,0)))</f>
        <v/>
      </c>
      <c r="AD266" s="38" t="str">
        <f t="shared" si="174"/>
        <v/>
      </c>
      <c r="AE266" s="38" t="e">
        <f t="shared" ref="AE266:AE329" si="175">SQRT((AD266^2*(A266-$D$3)+AC266^2*(DAY(EOMONTH(A266,0))/2))/AK266)</f>
        <v>#VALUE!</v>
      </c>
      <c r="AF266" s="237" t="e">
        <f>((Summary!$N$9*(AA266*AD266)*(A266-$D$3))+(Summary!$M$9*Z266*AC266*(AJ266-EOMONTH(EDATE(A266,-1),0))))/(AK266*AB266*AE266)</f>
        <v>#VALUE!</v>
      </c>
      <c r="AG266" s="88" t="str">
        <f>IF($A267="","",Summary!$Q$9)</f>
        <v/>
      </c>
      <c r="AH266" s="88" t="str">
        <f>IF($A267="","",IF(Summary!$R$9="Y",VLOOKUP($A266,Summary!$AD$6:$AF$9,3)+'Escalating commodity'!E279,'Escalating commodity'!E279))</f>
        <v/>
      </c>
      <c r="AI266" s="88" t="str">
        <f t="shared" si="152"/>
        <v/>
      </c>
      <c r="AJ266" s="236" t="e">
        <f t="shared" ref="AJ266:AJ329" si="176">A266+DAY(EOMONTH(A266,0))/2-1</f>
        <v>#VALUE!</v>
      </c>
      <c r="AK266" s="58" t="str">
        <f t="shared" ref="AK266:AK329" si="177">IF($A267="","",$A266-$E$1)</f>
        <v/>
      </c>
      <c r="AL266" s="26" t="str">
        <f>IF($A267="","",_xll.SPRDOPT(P266,X266,AI266,0,AB266,AE266,AF266,AK266,$AJ$2,0))</f>
        <v/>
      </c>
      <c r="AM266" s="89" t="str">
        <f t="shared" ref="AM266:AM329" si="178">IF($A267="","",MAX(0,O266-W266-AI266))</f>
        <v/>
      </c>
      <c r="AN266" s="89" t="str">
        <f t="shared" ref="AN266:AN329" si="179">IF($A267="","",AL266-AM266)</f>
        <v/>
      </c>
      <c r="AO266" s="3" t="str">
        <f t="shared" ref="AO266:AO329" si="180">IF(A267="","",A267-A266)</f>
        <v/>
      </c>
      <c r="AP266" s="33" t="str">
        <f t="shared" ref="AP266:AP329" si="181">IF(A267="","",CHOOSE(F$3,A267+24,A266))</f>
        <v/>
      </c>
      <c r="AQ266" s="58" t="str">
        <f t="shared" ref="AQ266:AQ329" si="182">IF(A267="","",AP266-$E$1)</f>
        <v/>
      </c>
      <c r="AR266" s="38">
        <f>'ANR OK vs ML7'!AR266</f>
        <v>0.1</v>
      </c>
      <c r="AS266" s="35" t="str">
        <f t="shared" ref="AS266:AS329" si="183">IF(A267="","",1/(1+CHOOSE(F$3,(AR267+($I$3/10000))/2,(AR266+($I$3/10000))/2))^(2*AQ266/365.25))</f>
        <v/>
      </c>
      <c r="AT266" s="3" t="str">
        <f t="shared" ref="AT266:AT329" si="184">IF(A267="","",IF(AND(mthbeg&lt;=A266,mthend&gt;=A266),1,0))</f>
        <v/>
      </c>
      <c r="AU266" s="3" t="str">
        <f t="shared" ref="AU266:AU329" si="185">IF(A267="","",AO266*AT266)</f>
        <v/>
      </c>
      <c r="AW266" s="32" t="str">
        <f t="shared" ref="AW266:AW329" si="186">IF($A267="","",AL266*$E266)</f>
        <v/>
      </c>
      <c r="AX266" s="32" t="str">
        <f t="shared" ref="AX266:AX329" si="187">IF($A267="","",AM266*$E266)</f>
        <v/>
      </c>
      <c r="AY266" s="32" t="str">
        <f t="shared" ref="AY266:AY329" si="188">IF($A267="","",AN266*$E266)</f>
        <v/>
      </c>
      <c r="BA266" s="32" t="str">
        <f>IF($A267="","",F266*Summary!$Q$9)</f>
        <v/>
      </c>
    </row>
    <row r="267" spans="1:53" ht="12" customHeight="1">
      <c r="A267" s="67" t="str">
        <f t="shared" ref="A267:A330" si="189">IF(A266&lt;mthend,EDATE(A266,1),"")</f>
        <v/>
      </c>
      <c r="B267" s="69" t="str">
        <f t="shared" si="153"/>
        <v/>
      </c>
      <c r="C267" s="71"/>
      <c r="D267" s="69" t="str">
        <f t="shared" si="154"/>
        <v/>
      </c>
      <c r="E267" s="70" t="str">
        <f t="shared" si="155"/>
        <v/>
      </c>
      <c r="F267" s="70" t="str">
        <f t="shared" si="156"/>
        <v/>
      </c>
      <c r="G267" s="63" t="str">
        <f t="shared" si="157"/>
        <v/>
      </c>
      <c r="H267" s="64" t="str">
        <f t="shared" si="158"/>
        <v/>
      </c>
      <c r="I267" s="43"/>
      <c r="J267" s="63" t="str">
        <f t="shared" si="159"/>
        <v/>
      </c>
      <c r="K267" s="64" t="str">
        <f t="shared" si="160"/>
        <v/>
      </c>
      <c r="L267" s="63" t="str">
        <f t="shared" si="161"/>
        <v/>
      </c>
      <c r="M267" s="64" t="str">
        <f t="shared" si="162"/>
        <v/>
      </c>
      <c r="N267" s="65"/>
      <c r="O267" s="63" t="str">
        <f t="shared" si="163"/>
        <v/>
      </c>
      <c r="P267" s="63" t="str">
        <f t="shared" si="164"/>
        <v/>
      </c>
      <c r="Q267" s="66"/>
      <c r="R267" s="63" t="str">
        <f t="shared" si="165"/>
        <v/>
      </c>
      <c r="S267" s="64" t="str">
        <f t="shared" si="166"/>
        <v/>
      </c>
      <c r="T267" s="63" t="str">
        <f t="shared" si="167"/>
        <v/>
      </c>
      <c r="U267" s="64" t="str">
        <f t="shared" si="168"/>
        <v/>
      </c>
      <c r="V267" s="90" t="str">
        <f>IF($A268="","",IF(AND(MONTH(A267)&gt;3,MONTH(A267)&lt;11),(T267+R267+G267)*Summary!$T$9/(1-Summary!$T$9),(T267+R267+G267)*Summary!$U$9/(1-Summary!$U$9)))</f>
        <v/>
      </c>
      <c r="W267" s="63" t="str">
        <f t="shared" si="169"/>
        <v/>
      </c>
      <c r="X267" s="63" t="str">
        <f t="shared" si="170"/>
        <v/>
      </c>
      <c r="Y267" s="43"/>
      <c r="Z267" s="38" t="str">
        <f t="shared" si="171"/>
        <v/>
      </c>
      <c r="AA267" s="38" t="str">
        <f t="shared" si="172"/>
        <v/>
      </c>
      <c r="AB267" s="38" t="e">
        <f t="shared" si="173"/>
        <v>#VALUE!</v>
      </c>
      <c r="AC267" s="38" t="str">
        <f t="shared" si="174"/>
        <v/>
      </c>
      <c r="AD267" s="38" t="str">
        <f t="shared" si="174"/>
        <v/>
      </c>
      <c r="AE267" s="38" t="e">
        <f t="shared" si="175"/>
        <v>#VALUE!</v>
      </c>
      <c r="AF267" s="237" t="e">
        <f>((Summary!$N$9*(AA267*AD267)*(A267-$D$3))+(Summary!$M$9*Z267*AC267*(AJ267-EOMONTH(EDATE(A267,-1),0))))/(AK267*AB267*AE267)</f>
        <v>#VALUE!</v>
      </c>
      <c r="AG267" s="88" t="str">
        <f>IF($A268="","",Summary!$Q$9)</f>
        <v/>
      </c>
      <c r="AH267" s="88" t="str">
        <f>IF($A268="","",IF(Summary!$R$9="Y",VLOOKUP($A267,Summary!$AD$6:$AF$9,3)+'Escalating commodity'!E280,'Escalating commodity'!E280))</f>
        <v/>
      </c>
      <c r="AI267" s="88" t="str">
        <f t="shared" ref="AI267:AI330" si="190">IF($A268="","",AH267)</f>
        <v/>
      </c>
      <c r="AJ267" s="236" t="e">
        <f t="shared" si="176"/>
        <v>#VALUE!</v>
      </c>
      <c r="AK267" s="58" t="str">
        <f t="shared" si="177"/>
        <v/>
      </c>
      <c r="AL267" s="26" t="str">
        <f>IF($A268="","",_xll.SPRDOPT(P267,X267,AI267,0,AB267,AE267,AF267,AK267,$AJ$2,0))</f>
        <v/>
      </c>
      <c r="AM267" s="89" t="str">
        <f t="shared" si="178"/>
        <v/>
      </c>
      <c r="AN267" s="89" t="str">
        <f t="shared" si="179"/>
        <v/>
      </c>
      <c r="AO267" s="3" t="str">
        <f t="shared" si="180"/>
        <v/>
      </c>
      <c r="AP267" s="33" t="str">
        <f t="shared" si="181"/>
        <v/>
      </c>
      <c r="AQ267" s="58" t="str">
        <f t="shared" si="182"/>
        <v/>
      </c>
      <c r="AR267" s="38">
        <f>'ANR OK vs ML7'!AR267</f>
        <v>0.1</v>
      </c>
      <c r="AS267" s="35" t="str">
        <f t="shared" si="183"/>
        <v/>
      </c>
      <c r="AT267" s="3" t="str">
        <f t="shared" si="184"/>
        <v/>
      </c>
      <c r="AU267" s="3" t="str">
        <f t="shared" si="185"/>
        <v/>
      </c>
      <c r="AW267" s="32" t="str">
        <f t="shared" si="186"/>
        <v/>
      </c>
      <c r="AX267" s="32" t="str">
        <f t="shared" si="187"/>
        <v/>
      </c>
      <c r="AY267" s="32" t="str">
        <f t="shared" si="188"/>
        <v/>
      </c>
      <c r="BA267" s="32" t="str">
        <f>IF($A268="","",F267*Summary!$Q$9)</f>
        <v/>
      </c>
    </row>
    <row r="268" spans="1:53" ht="12" customHeight="1">
      <c r="A268" s="67" t="str">
        <f t="shared" si="189"/>
        <v/>
      </c>
      <c r="B268" s="69" t="str">
        <f t="shared" ref="B268:B331" si="191">IF(A268&lt;mthend,B267,"")</f>
        <v/>
      </c>
      <c r="C268" s="71"/>
      <c r="D268" s="69" t="str">
        <f t="shared" si="154"/>
        <v/>
      </c>
      <c r="E268" s="70" t="str">
        <f t="shared" si="155"/>
        <v/>
      </c>
      <c r="F268" s="70" t="str">
        <f t="shared" si="156"/>
        <v/>
      </c>
      <c r="G268" s="63" t="str">
        <f t="shared" si="157"/>
        <v/>
      </c>
      <c r="H268" s="64" t="str">
        <f t="shared" si="158"/>
        <v/>
      </c>
      <c r="I268" s="43"/>
      <c r="J268" s="63" t="str">
        <f t="shared" si="159"/>
        <v/>
      </c>
      <c r="K268" s="64" t="str">
        <f t="shared" si="160"/>
        <v/>
      </c>
      <c r="L268" s="63" t="str">
        <f t="shared" si="161"/>
        <v/>
      </c>
      <c r="M268" s="64" t="str">
        <f t="shared" si="162"/>
        <v/>
      </c>
      <c r="N268" s="65"/>
      <c r="O268" s="63" t="str">
        <f t="shared" si="163"/>
        <v/>
      </c>
      <c r="P268" s="63" t="str">
        <f t="shared" si="164"/>
        <v/>
      </c>
      <c r="Q268" s="66"/>
      <c r="R268" s="63" t="str">
        <f t="shared" si="165"/>
        <v/>
      </c>
      <c r="S268" s="64" t="str">
        <f t="shared" si="166"/>
        <v/>
      </c>
      <c r="T268" s="63" t="str">
        <f t="shared" si="167"/>
        <v/>
      </c>
      <c r="U268" s="64" t="str">
        <f t="shared" si="168"/>
        <v/>
      </c>
      <c r="V268" s="90" t="str">
        <f>IF($A269="","",IF(AND(MONTH(A268)&gt;3,MONTH(A268)&lt;11),(T268+R268+G268)*Summary!$T$9/(1-Summary!$T$9),(T268+R268+G268)*Summary!$U$9/(1-Summary!$U$9)))</f>
        <v/>
      </c>
      <c r="W268" s="63" t="str">
        <f t="shared" si="169"/>
        <v/>
      </c>
      <c r="X268" s="63" t="str">
        <f t="shared" si="170"/>
        <v/>
      </c>
      <c r="Y268" s="43"/>
      <c r="Z268" s="38" t="str">
        <f t="shared" si="171"/>
        <v/>
      </c>
      <c r="AA268" s="38" t="str">
        <f t="shared" si="172"/>
        <v/>
      </c>
      <c r="AB268" s="38" t="e">
        <f t="shared" si="173"/>
        <v>#VALUE!</v>
      </c>
      <c r="AC268" s="38" t="str">
        <f t="shared" si="174"/>
        <v/>
      </c>
      <c r="AD268" s="38" t="str">
        <f t="shared" si="174"/>
        <v/>
      </c>
      <c r="AE268" s="38" t="e">
        <f t="shared" si="175"/>
        <v>#VALUE!</v>
      </c>
      <c r="AF268" s="237" t="e">
        <f>((Summary!$N$9*(AA268*AD268)*(A268-$D$3))+(Summary!$M$9*Z268*AC268*(AJ268-EOMONTH(EDATE(A268,-1),0))))/(AK268*AB268*AE268)</f>
        <v>#VALUE!</v>
      </c>
      <c r="AG268" s="88" t="str">
        <f>IF($A269="","",Summary!$Q$9)</f>
        <v/>
      </c>
      <c r="AH268" s="88" t="str">
        <f>IF($A269="","",IF(Summary!$R$9="Y",VLOOKUP($A268,Summary!$AD$6:$AF$9,3)+'Escalating commodity'!E281,'Escalating commodity'!E281))</f>
        <v/>
      </c>
      <c r="AI268" s="88" t="str">
        <f t="shared" si="190"/>
        <v/>
      </c>
      <c r="AJ268" s="236" t="e">
        <f t="shared" si="176"/>
        <v>#VALUE!</v>
      </c>
      <c r="AK268" s="58" t="str">
        <f t="shared" si="177"/>
        <v/>
      </c>
      <c r="AL268" s="26" t="str">
        <f>IF($A269="","",_xll.SPRDOPT(P268,X268,AI268,0,AB268,AE268,AF268,AK268,$AJ$2,0))</f>
        <v/>
      </c>
      <c r="AM268" s="89" t="str">
        <f t="shared" si="178"/>
        <v/>
      </c>
      <c r="AN268" s="89" t="str">
        <f t="shared" si="179"/>
        <v/>
      </c>
      <c r="AO268" s="3" t="str">
        <f t="shared" si="180"/>
        <v/>
      </c>
      <c r="AP268" s="33" t="str">
        <f t="shared" si="181"/>
        <v/>
      </c>
      <c r="AQ268" s="58" t="str">
        <f t="shared" si="182"/>
        <v/>
      </c>
      <c r="AR268" s="38">
        <f>'ANR OK vs ML7'!AR268</f>
        <v>0.1</v>
      </c>
      <c r="AS268" s="35" t="str">
        <f t="shared" si="183"/>
        <v/>
      </c>
      <c r="AT268" s="3" t="str">
        <f t="shared" si="184"/>
        <v/>
      </c>
      <c r="AU268" s="3" t="str">
        <f t="shared" si="185"/>
        <v/>
      </c>
      <c r="AW268" s="32" t="str">
        <f t="shared" si="186"/>
        <v/>
      </c>
      <c r="AX268" s="32" t="str">
        <f t="shared" si="187"/>
        <v/>
      </c>
      <c r="AY268" s="32" t="str">
        <f t="shared" si="188"/>
        <v/>
      </c>
      <c r="BA268" s="32" t="str">
        <f>IF($A269="","",F268*Summary!$Q$9)</f>
        <v/>
      </c>
    </row>
    <row r="269" spans="1:53" ht="12" customHeight="1">
      <c r="A269" s="67" t="str">
        <f t="shared" si="189"/>
        <v/>
      </c>
      <c r="B269" s="69" t="str">
        <f t="shared" si="191"/>
        <v/>
      </c>
      <c r="C269" s="71"/>
      <c r="D269" s="69" t="str">
        <f t="shared" si="154"/>
        <v/>
      </c>
      <c r="E269" s="70" t="str">
        <f t="shared" si="155"/>
        <v/>
      </c>
      <c r="F269" s="70" t="str">
        <f t="shared" si="156"/>
        <v/>
      </c>
      <c r="G269" s="63" t="str">
        <f t="shared" si="157"/>
        <v/>
      </c>
      <c r="H269" s="64" t="str">
        <f t="shared" si="158"/>
        <v/>
      </c>
      <c r="I269" s="43"/>
      <c r="J269" s="63" t="str">
        <f t="shared" si="159"/>
        <v/>
      </c>
      <c r="K269" s="64" t="str">
        <f t="shared" si="160"/>
        <v/>
      </c>
      <c r="L269" s="63" t="str">
        <f t="shared" si="161"/>
        <v/>
      </c>
      <c r="M269" s="64" t="str">
        <f t="shared" si="162"/>
        <v/>
      </c>
      <c r="N269" s="65"/>
      <c r="O269" s="63" t="str">
        <f t="shared" si="163"/>
        <v/>
      </c>
      <c r="P269" s="63" t="str">
        <f t="shared" si="164"/>
        <v/>
      </c>
      <c r="Q269" s="66"/>
      <c r="R269" s="63" t="str">
        <f t="shared" si="165"/>
        <v/>
      </c>
      <c r="S269" s="64" t="str">
        <f t="shared" si="166"/>
        <v/>
      </c>
      <c r="T269" s="63" t="str">
        <f t="shared" si="167"/>
        <v/>
      </c>
      <c r="U269" s="64" t="str">
        <f t="shared" si="168"/>
        <v/>
      </c>
      <c r="V269" s="90" t="str">
        <f>IF($A270="","",IF(AND(MONTH(A269)&gt;3,MONTH(A269)&lt;11),(T269+R269+G269)*Summary!$T$9/(1-Summary!$T$9),(T269+R269+G269)*Summary!$U$9/(1-Summary!$U$9)))</f>
        <v/>
      </c>
      <c r="W269" s="63" t="str">
        <f t="shared" si="169"/>
        <v/>
      </c>
      <c r="X269" s="63" t="str">
        <f t="shared" si="170"/>
        <v/>
      </c>
      <c r="Y269" s="43"/>
      <c r="Z269" s="38" t="str">
        <f t="shared" si="171"/>
        <v/>
      </c>
      <c r="AA269" s="38" t="str">
        <f t="shared" si="172"/>
        <v/>
      </c>
      <c r="AB269" s="38" t="e">
        <f t="shared" si="173"/>
        <v>#VALUE!</v>
      </c>
      <c r="AC269" s="38" t="str">
        <f t="shared" si="174"/>
        <v/>
      </c>
      <c r="AD269" s="38" t="str">
        <f t="shared" si="174"/>
        <v/>
      </c>
      <c r="AE269" s="38" t="e">
        <f t="shared" si="175"/>
        <v>#VALUE!</v>
      </c>
      <c r="AF269" s="237" t="e">
        <f>((Summary!$N$9*(AA269*AD269)*(A269-$D$3))+(Summary!$M$9*Z269*AC269*(AJ269-EOMONTH(EDATE(A269,-1),0))))/(AK269*AB269*AE269)</f>
        <v>#VALUE!</v>
      </c>
      <c r="AG269" s="88" t="str">
        <f>IF($A270="","",Summary!$Q$9)</f>
        <v/>
      </c>
      <c r="AH269" s="88" t="str">
        <f>IF($A270="","",IF(Summary!$R$9="Y",VLOOKUP($A269,Summary!$AD$6:$AF$9,3)+'Escalating commodity'!E282,'Escalating commodity'!E282))</f>
        <v/>
      </c>
      <c r="AI269" s="88" t="str">
        <f t="shared" si="190"/>
        <v/>
      </c>
      <c r="AJ269" s="236" t="e">
        <f t="shared" si="176"/>
        <v>#VALUE!</v>
      </c>
      <c r="AK269" s="58" t="str">
        <f t="shared" si="177"/>
        <v/>
      </c>
      <c r="AL269" s="26" t="str">
        <f>IF($A270="","",_xll.SPRDOPT(P269,X269,AI269,0,AB269,AE269,AF269,AK269,$AJ$2,0))</f>
        <v/>
      </c>
      <c r="AM269" s="89" t="str">
        <f t="shared" si="178"/>
        <v/>
      </c>
      <c r="AN269" s="89" t="str">
        <f t="shared" si="179"/>
        <v/>
      </c>
      <c r="AO269" s="3" t="str">
        <f t="shared" si="180"/>
        <v/>
      </c>
      <c r="AP269" s="33" t="str">
        <f t="shared" si="181"/>
        <v/>
      </c>
      <c r="AQ269" s="58" t="str">
        <f t="shared" si="182"/>
        <v/>
      </c>
      <c r="AR269" s="38">
        <f>'ANR OK vs ML7'!AR269</f>
        <v>0.1</v>
      </c>
      <c r="AS269" s="35" t="str">
        <f t="shared" si="183"/>
        <v/>
      </c>
      <c r="AT269" s="3" t="str">
        <f t="shared" si="184"/>
        <v/>
      </c>
      <c r="AU269" s="3" t="str">
        <f t="shared" si="185"/>
        <v/>
      </c>
      <c r="AW269" s="32" t="str">
        <f t="shared" si="186"/>
        <v/>
      </c>
      <c r="AX269" s="32" t="str">
        <f t="shared" si="187"/>
        <v/>
      </c>
      <c r="AY269" s="32" t="str">
        <f t="shared" si="188"/>
        <v/>
      </c>
      <c r="BA269" s="32" t="str">
        <f>IF($A270="","",F269*Summary!$Q$9)</f>
        <v/>
      </c>
    </row>
    <row r="270" spans="1:53" ht="12" customHeight="1">
      <c r="A270" s="67" t="str">
        <f t="shared" si="189"/>
        <v/>
      </c>
      <c r="B270" s="69" t="str">
        <f t="shared" si="191"/>
        <v/>
      </c>
      <c r="C270" s="71"/>
      <c r="D270" s="69" t="str">
        <f t="shared" si="154"/>
        <v/>
      </c>
      <c r="E270" s="70" t="str">
        <f t="shared" si="155"/>
        <v/>
      </c>
      <c r="F270" s="70" t="str">
        <f t="shared" si="156"/>
        <v/>
      </c>
      <c r="G270" s="63" t="str">
        <f t="shared" si="157"/>
        <v/>
      </c>
      <c r="H270" s="64" t="str">
        <f t="shared" si="158"/>
        <v/>
      </c>
      <c r="I270" s="43"/>
      <c r="J270" s="63" t="str">
        <f t="shared" si="159"/>
        <v/>
      </c>
      <c r="K270" s="64" t="str">
        <f t="shared" si="160"/>
        <v/>
      </c>
      <c r="L270" s="63" t="str">
        <f t="shared" si="161"/>
        <v/>
      </c>
      <c r="M270" s="64" t="str">
        <f t="shared" si="162"/>
        <v/>
      </c>
      <c r="N270" s="65"/>
      <c r="O270" s="63" t="str">
        <f t="shared" si="163"/>
        <v/>
      </c>
      <c r="P270" s="63" t="str">
        <f t="shared" si="164"/>
        <v/>
      </c>
      <c r="Q270" s="66"/>
      <c r="R270" s="63" t="str">
        <f t="shared" si="165"/>
        <v/>
      </c>
      <c r="S270" s="64" t="str">
        <f t="shared" si="166"/>
        <v/>
      </c>
      <c r="T270" s="63" t="str">
        <f t="shared" si="167"/>
        <v/>
      </c>
      <c r="U270" s="64" t="str">
        <f t="shared" si="168"/>
        <v/>
      </c>
      <c r="V270" s="90" t="str">
        <f>IF($A271="","",IF(AND(MONTH(A270)&gt;3,MONTH(A270)&lt;11),(T270+R270+G270)*Summary!$T$9/(1-Summary!$T$9),(T270+R270+G270)*Summary!$U$9/(1-Summary!$U$9)))</f>
        <v/>
      </c>
      <c r="W270" s="63" t="str">
        <f t="shared" si="169"/>
        <v/>
      </c>
      <c r="X270" s="63" t="str">
        <f t="shared" si="170"/>
        <v/>
      </c>
      <c r="Y270" s="43"/>
      <c r="Z270" s="38" t="str">
        <f t="shared" si="171"/>
        <v/>
      </c>
      <c r="AA270" s="38" t="str">
        <f t="shared" si="172"/>
        <v/>
      </c>
      <c r="AB270" s="38" t="e">
        <f t="shared" si="173"/>
        <v>#VALUE!</v>
      </c>
      <c r="AC270" s="38" t="str">
        <f t="shared" si="174"/>
        <v/>
      </c>
      <c r="AD270" s="38" t="str">
        <f t="shared" si="174"/>
        <v/>
      </c>
      <c r="AE270" s="38" t="e">
        <f t="shared" si="175"/>
        <v>#VALUE!</v>
      </c>
      <c r="AF270" s="237" t="e">
        <f>((Summary!$N$9*(AA270*AD270)*(A270-$D$3))+(Summary!$M$9*Z270*AC270*(AJ270-EOMONTH(EDATE(A270,-1),0))))/(AK270*AB270*AE270)</f>
        <v>#VALUE!</v>
      </c>
      <c r="AG270" s="88" t="str">
        <f>IF($A271="","",Summary!$Q$9)</f>
        <v/>
      </c>
      <c r="AH270" s="88" t="str">
        <f>IF($A271="","",IF(Summary!$R$9="Y",VLOOKUP($A270,Summary!$AD$6:$AF$9,3)+'Escalating commodity'!E283,'Escalating commodity'!E283))</f>
        <v/>
      </c>
      <c r="AI270" s="88" t="str">
        <f t="shared" si="190"/>
        <v/>
      </c>
      <c r="AJ270" s="236" t="e">
        <f t="shared" si="176"/>
        <v>#VALUE!</v>
      </c>
      <c r="AK270" s="58" t="str">
        <f t="shared" si="177"/>
        <v/>
      </c>
      <c r="AL270" s="26" t="str">
        <f>IF($A271="","",_xll.SPRDOPT(P270,X270,AI270,0,AB270,AE270,AF270,AK270,$AJ$2,0))</f>
        <v/>
      </c>
      <c r="AM270" s="89" t="str">
        <f t="shared" si="178"/>
        <v/>
      </c>
      <c r="AN270" s="89" t="str">
        <f t="shared" si="179"/>
        <v/>
      </c>
      <c r="AO270" s="3" t="str">
        <f t="shared" si="180"/>
        <v/>
      </c>
      <c r="AP270" s="33" t="str">
        <f t="shared" si="181"/>
        <v/>
      </c>
      <c r="AQ270" s="58" t="str">
        <f t="shared" si="182"/>
        <v/>
      </c>
      <c r="AR270" s="38">
        <f>'ANR OK vs ML7'!AR270</f>
        <v>0.1</v>
      </c>
      <c r="AS270" s="35" t="str">
        <f t="shared" si="183"/>
        <v/>
      </c>
      <c r="AT270" s="3" t="str">
        <f t="shared" si="184"/>
        <v/>
      </c>
      <c r="AU270" s="3" t="str">
        <f t="shared" si="185"/>
        <v/>
      </c>
      <c r="AW270" s="32" t="str">
        <f t="shared" si="186"/>
        <v/>
      </c>
      <c r="AX270" s="32" t="str">
        <f t="shared" si="187"/>
        <v/>
      </c>
      <c r="AY270" s="32" t="str">
        <f t="shared" si="188"/>
        <v/>
      </c>
      <c r="BA270" s="32" t="str">
        <f>IF($A271="","",F270*Summary!$Q$9)</f>
        <v/>
      </c>
    </row>
    <row r="271" spans="1:53" ht="12" customHeight="1">
      <c r="A271" s="67" t="str">
        <f t="shared" si="189"/>
        <v/>
      </c>
      <c r="B271" s="69" t="str">
        <f t="shared" si="191"/>
        <v/>
      </c>
      <c r="C271" s="71"/>
      <c r="D271" s="69" t="str">
        <f t="shared" si="154"/>
        <v/>
      </c>
      <c r="E271" s="70" t="str">
        <f t="shared" si="155"/>
        <v/>
      </c>
      <c r="F271" s="70" t="str">
        <f t="shared" si="156"/>
        <v/>
      </c>
      <c r="G271" s="63" t="str">
        <f t="shared" si="157"/>
        <v/>
      </c>
      <c r="H271" s="64" t="str">
        <f t="shared" si="158"/>
        <v/>
      </c>
      <c r="I271" s="43"/>
      <c r="J271" s="63" t="str">
        <f t="shared" si="159"/>
        <v/>
      </c>
      <c r="K271" s="64" t="str">
        <f t="shared" si="160"/>
        <v/>
      </c>
      <c r="L271" s="63" t="str">
        <f t="shared" si="161"/>
        <v/>
      </c>
      <c r="M271" s="64" t="str">
        <f t="shared" si="162"/>
        <v/>
      </c>
      <c r="N271" s="65"/>
      <c r="O271" s="63" t="str">
        <f t="shared" si="163"/>
        <v/>
      </c>
      <c r="P271" s="63" t="str">
        <f t="shared" si="164"/>
        <v/>
      </c>
      <c r="Q271" s="66"/>
      <c r="R271" s="63" t="str">
        <f t="shared" si="165"/>
        <v/>
      </c>
      <c r="S271" s="64" t="str">
        <f t="shared" si="166"/>
        <v/>
      </c>
      <c r="T271" s="63" t="str">
        <f t="shared" si="167"/>
        <v/>
      </c>
      <c r="U271" s="64" t="str">
        <f t="shared" si="168"/>
        <v/>
      </c>
      <c r="V271" s="90" t="str">
        <f>IF($A272="","",IF(AND(MONTH(A271)&gt;3,MONTH(A271)&lt;11),(T271+R271+G271)*Summary!$T$9/(1-Summary!$T$9),(T271+R271+G271)*Summary!$U$9/(1-Summary!$U$9)))</f>
        <v/>
      </c>
      <c r="W271" s="63" t="str">
        <f t="shared" si="169"/>
        <v/>
      </c>
      <c r="X271" s="63" t="str">
        <f t="shared" si="170"/>
        <v/>
      </c>
      <c r="Y271" s="43"/>
      <c r="Z271" s="38" t="str">
        <f t="shared" si="171"/>
        <v/>
      </c>
      <c r="AA271" s="38" t="str">
        <f t="shared" si="172"/>
        <v/>
      </c>
      <c r="AB271" s="38" t="e">
        <f t="shared" si="173"/>
        <v>#VALUE!</v>
      </c>
      <c r="AC271" s="38" t="str">
        <f t="shared" si="174"/>
        <v/>
      </c>
      <c r="AD271" s="38" t="str">
        <f t="shared" si="174"/>
        <v/>
      </c>
      <c r="AE271" s="38" t="e">
        <f t="shared" si="175"/>
        <v>#VALUE!</v>
      </c>
      <c r="AF271" s="237" t="e">
        <f>((Summary!$N$9*(AA271*AD271)*(A271-$D$3))+(Summary!$M$9*Z271*AC271*(AJ271-EOMONTH(EDATE(A271,-1),0))))/(AK271*AB271*AE271)</f>
        <v>#VALUE!</v>
      </c>
      <c r="AG271" s="88" t="str">
        <f>IF($A272="","",Summary!$Q$9)</f>
        <v/>
      </c>
      <c r="AH271" s="88" t="str">
        <f>IF($A272="","",IF(Summary!$R$9="Y",VLOOKUP($A271,Summary!$AD$6:$AF$9,3)+'Escalating commodity'!E284,'Escalating commodity'!E284))</f>
        <v/>
      </c>
      <c r="AI271" s="88" t="str">
        <f t="shared" si="190"/>
        <v/>
      </c>
      <c r="AJ271" s="236" t="e">
        <f t="shared" si="176"/>
        <v>#VALUE!</v>
      </c>
      <c r="AK271" s="58" t="str">
        <f t="shared" si="177"/>
        <v/>
      </c>
      <c r="AL271" s="26" t="str">
        <f>IF($A272="","",_xll.SPRDOPT(P271,X271,AI271,0,AB271,AE271,AF271,AK271,$AJ$2,0))</f>
        <v/>
      </c>
      <c r="AM271" s="89" t="str">
        <f t="shared" si="178"/>
        <v/>
      </c>
      <c r="AN271" s="89" t="str">
        <f t="shared" si="179"/>
        <v/>
      </c>
      <c r="AO271" s="3" t="str">
        <f t="shared" si="180"/>
        <v/>
      </c>
      <c r="AP271" s="33" t="str">
        <f t="shared" si="181"/>
        <v/>
      </c>
      <c r="AQ271" s="58" t="str">
        <f t="shared" si="182"/>
        <v/>
      </c>
      <c r="AR271" s="38">
        <f>'ANR OK vs ML7'!AR271</f>
        <v>0.1</v>
      </c>
      <c r="AS271" s="35" t="str">
        <f t="shared" si="183"/>
        <v/>
      </c>
      <c r="AT271" s="3" t="str">
        <f t="shared" si="184"/>
        <v/>
      </c>
      <c r="AU271" s="3" t="str">
        <f t="shared" si="185"/>
        <v/>
      </c>
      <c r="AW271" s="32" t="str">
        <f t="shared" si="186"/>
        <v/>
      </c>
      <c r="AX271" s="32" t="str">
        <f t="shared" si="187"/>
        <v/>
      </c>
      <c r="AY271" s="32" t="str">
        <f t="shared" si="188"/>
        <v/>
      </c>
      <c r="BA271" s="32" t="str">
        <f>IF($A272="","",F271*Summary!$Q$9)</f>
        <v/>
      </c>
    </row>
    <row r="272" spans="1:53" ht="12" customHeight="1">
      <c r="A272" s="67" t="str">
        <f t="shared" si="189"/>
        <v/>
      </c>
      <c r="B272" s="69" t="str">
        <f t="shared" si="191"/>
        <v/>
      </c>
      <c r="C272" s="71"/>
      <c r="D272" s="69" t="str">
        <f t="shared" si="154"/>
        <v/>
      </c>
      <c r="E272" s="70" t="str">
        <f t="shared" si="155"/>
        <v/>
      </c>
      <c r="F272" s="70" t="str">
        <f t="shared" si="156"/>
        <v/>
      </c>
      <c r="G272" s="63" t="str">
        <f t="shared" si="157"/>
        <v/>
      </c>
      <c r="H272" s="64" t="str">
        <f t="shared" si="158"/>
        <v/>
      </c>
      <c r="I272" s="43"/>
      <c r="J272" s="63" t="str">
        <f t="shared" si="159"/>
        <v/>
      </c>
      <c r="K272" s="64" t="str">
        <f t="shared" si="160"/>
        <v/>
      </c>
      <c r="L272" s="63" t="str">
        <f t="shared" si="161"/>
        <v/>
      </c>
      <c r="M272" s="64" t="str">
        <f t="shared" si="162"/>
        <v/>
      </c>
      <c r="N272" s="65"/>
      <c r="O272" s="63" t="str">
        <f t="shared" si="163"/>
        <v/>
      </c>
      <c r="P272" s="63" t="str">
        <f t="shared" si="164"/>
        <v/>
      </c>
      <c r="Q272" s="66"/>
      <c r="R272" s="63" t="str">
        <f t="shared" si="165"/>
        <v/>
      </c>
      <c r="S272" s="64" t="str">
        <f t="shared" si="166"/>
        <v/>
      </c>
      <c r="T272" s="63" t="str">
        <f t="shared" si="167"/>
        <v/>
      </c>
      <c r="U272" s="64" t="str">
        <f t="shared" si="168"/>
        <v/>
      </c>
      <c r="V272" s="90" t="str">
        <f>IF($A273="","",IF(AND(MONTH(A272)&gt;3,MONTH(A272)&lt;11),(T272+R272+G272)*Summary!$T$9/(1-Summary!$T$9),(T272+R272+G272)*Summary!$U$9/(1-Summary!$U$9)))</f>
        <v/>
      </c>
      <c r="W272" s="63" t="str">
        <f t="shared" si="169"/>
        <v/>
      </c>
      <c r="X272" s="63" t="str">
        <f t="shared" si="170"/>
        <v/>
      </c>
      <c r="Y272" s="43"/>
      <c r="Z272" s="38" t="str">
        <f t="shared" si="171"/>
        <v/>
      </c>
      <c r="AA272" s="38" t="str">
        <f t="shared" si="172"/>
        <v/>
      </c>
      <c r="AB272" s="38" t="e">
        <f t="shared" si="173"/>
        <v>#VALUE!</v>
      </c>
      <c r="AC272" s="38" t="str">
        <f t="shared" si="174"/>
        <v/>
      </c>
      <c r="AD272" s="38" t="str">
        <f t="shared" si="174"/>
        <v/>
      </c>
      <c r="AE272" s="38" t="e">
        <f t="shared" si="175"/>
        <v>#VALUE!</v>
      </c>
      <c r="AF272" s="237" t="e">
        <f>((Summary!$N$9*(AA272*AD272)*(A272-$D$3))+(Summary!$M$9*Z272*AC272*(AJ272-EOMONTH(EDATE(A272,-1),0))))/(AK272*AB272*AE272)</f>
        <v>#VALUE!</v>
      </c>
      <c r="AG272" s="88" t="str">
        <f>IF($A273="","",Summary!$Q$9)</f>
        <v/>
      </c>
      <c r="AH272" s="88" t="str">
        <f>IF($A273="","",IF(Summary!$R$9="Y",VLOOKUP($A272,Summary!$AD$6:$AF$9,3)+'Escalating commodity'!E285,'Escalating commodity'!E285))</f>
        <v/>
      </c>
      <c r="AI272" s="88" t="str">
        <f t="shared" si="190"/>
        <v/>
      </c>
      <c r="AJ272" s="236" t="e">
        <f t="shared" si="176"/>
        <v>#VALUE!</v>
      </c>
      <c r="AK272" s="58" t="str">
        <f t="shared" si="177"/>
        <v/>
      </c>
      <c r="AL272" s="26" t="str">
        <f>IF($A273="","",_xll.SPRDOPT(P272,X272,AI272,0,AB272,AE272,AF272,AK272,$AJ$2,0))</f>
        <v/>
      </c>
      <c r="AM272" s="89" t="str">
        <f t="shared" si="178"/>
        <v/>
      </c>
      <c r="AN272" s="89" t="str">
        <f t="shared" si="179"/>
        <v/>
      </c>
      <c r="AO272" s="3" t="str">
        <f t="shared" si="180"/>
        <v/>
      </c>
      <c r="AP272" s="33" t="str">
        <f t="shared" si="181"/>
        <v/>
      </c>
      <c r="AQ272" s="58" t="str">
        <f t="shared" si="182"/>
        <v/>
      </c>
      <c r="AR272" s="38">
        <f>'ANR OK vs ML7'!AR272</f>
        <v>0.1</v>
      </c>
      <c r="AS272" s="35" t="str">
        <f t="shared" si="183"/>
        <v/>
      </c>
      <c r="AT272" s="3" t="str">
        <f t="shared" si="184"/>
        <v/>
      </c>
      <c r="AU272" s="3" t="str">
        <f t="shared" si="185"/>
        <v/>
      </c>
      <c r="AW272" s="32" t="str">
        <f t="shared" si="186"/>
        <v/>
      </c>
      <c r="AX272" s="32" t="str">
        <f t="shared" si="187"/>
        <v/>
      </c>
      <c r="AY272" s="32" t="str">
        <f t="shared" si="188"/>
        <v/>
      </c>
      <c r="BA272" s="32" t="str">
        <f>IF($A273="","",F272*Summary!$Q$9)</f>
        <v/>
      </c>
    </row>
    <row r="273" spans="1:53" ht="12" customHeight="1">
      <c r="A273" s="67" t="str">
        <f t="shared" si="189"/>
        <v/>
      </c>
      <c r="B273" s="69" t="str">
        <f t="shared" si="191"/>
        <v/>
      </c>
      <c r="C273" s="71"/>
      <c r="D273" s="69" t="str">
        <f t="shared" si="154"/>
        <v/>
      </c>
      <c r="E273" s="70" t="str">
        <f t="shared" si="155"/>
        <v/>
      </c>
      <c r="F273" s="70" t="str">
        <f t="shared" si="156"/>
        <v/>
      </c>
      <c r="G273" s="63" t="str">
        <f t="shared" si="157"/>
        <v/>
      </c>
      <c r="H273" s="64" t="str">
        <f t="shared" si="158"/>
        <v/>
      </c>
      <c r="I273" s="43"/>
      <c r="J273" s="63" t="str">
        <f t="shared" si="159"/>
        <v/>
      </c>
      <c r="K273" s="64" t="str">
        <f t="shared" si="160"/>
        <v/>
      </c>
      <c r="L273" s="63" t="str">
        <f t="shared" si="161"/>
        <v/>
      </c>
      <c r="M273" s="64" t="str">
        <f t="shared" si="162"/>
        <v/>
      </c>
      <c r="N273" s="65"/>
      <c r="O273" s="63" t="str">
        <f t="shared" si="163"/>
        <v/>
      </c>
      <c r="P273" s="63" t="str">
        <f t="shared" si="164"/>
        <v/>
      </c>
      <c r="Q273" s="66"/>
      <c r="R273" s="63" t="str">
        <f t="shared" si="165"/>
        <v/>
      </c>
      <c r="S273" s="64" t="str">
        <f t="shared" si="166"/>
        <v/>
      </c>
      <c r="T273" s="63" t="str">
        <f t="shared" si="167"/>
        <v/>
      </c>
      <c r="U273" s="64" t="str">
        <f t="shared" si="168"/>
        <v/>
      </c>
      <c r="V273" s="90" t="str">
        <f>IF($A274="","",IF(AND(MONTH(A273)&gt;3,MONTH(A273)&lt;11),(T273+R273+G273)*Summary!$T$9/(1-Summary!$T$9),(T273+R273+G273)*Summary!$U$9/(1-Summary!$U$9)))</f>
        <v/>
      </c>
      <c r="W273" s="63" t="str">
        <f t="shared" si="169"/>
        <v/>
      </c>
      <c r="X273" s="63" t="str">
        <f t="shared" si="170"/>
        <v/>
      </c>
      <c r="Y273" s="43"/>
      <c r="Z273" s="38" t="str">
        <f t="shared" si="171"/>
        <v/>
      </c>
      <c r="AA273" s="38" t="str">
        <f t="shared" si="172"/>
        <v/>
      </c>
      <c r="AB273" s="38" t="e">
        <f t="shared" si="173"/>
        <v>#VALUE!</v>
      </c>
      <c r="AC273" s="38" t="str">
        <f t="shared" si="174"/>
        <v/>
      </c>
      <c r="AD273" s="38" t="str">
        <f t="shared" si="174"/>
        <v/>
      </c>
      <c r="AE273" s="38" t="e">
        <f t="shared" si="175"/>
        <v>#VALUE!</v>
      </c>
      <c r="AF273" s="237" t="e">
        <f>((Summary!$N$9*(AA273*AD273)*(A273-$D$3))+(Summary!$M$9*Z273*AC273*(AJ273-EOMONTH(EDATE(A273,-1),0))))/(AK273*AB273*AE273)</f>
        <v>#VALUE!</v>
      </c>
      <c r="AG273" s="88" t="str">
        <f>IF($A274="","",Summary!$Q$9)</f>
        <v/>
      </c>
      <c r="AH273" s="88" t="str">
        <f>IF($A274="","",IF(Summary!$R$9="Y",VLOOKUP($A273,Summary!$AD$6:$AF$9,3)+'Escalating commodity'!E286,'Escalating commodity'!E286))</f>
        <v/>
      </c>
      <c r="AI273" s="88" t="str">
        <f t="shared" si="190"/>
        <v/>
      </c>
      <c r="AJ273" s="236" t="e">
        <f t="shared" si="176"/>
        <v>#VALUE!</v>
      </c>
      <c r="AK273" s="58" t="str">
        <f t="shared" si="177"/>
        <v/>
      </c>
      <c r="AL273" s="26" t="str">
        <f>IF($A274="","",_xll.SPRDOPT(P273,X273,AI273,0,AB273,AE273,AF273,AK273,$AJ$2,0))</f>
        <v/>
      </c>
      <c r="AM273" s="89" t="str">
        <f t="shared" si="178"/>
        <v/>
      </c>
      <c r="AN273" s="89" t="str">
        <f t="shared" si="179"/>
        <v/>
      </c>
      <c r="AO273" s="3" t="str">
        <f t="shared" si="180"/>
        <v/>
      </c>
      <c r="AP273" s="33" t="str">
        <f t="shared" si="181"/>
        <v/>
      </c>
      <c r="AQ273" s="58" t="str">
        <f t="shared" si="182"/>
        <v/>
      </c>
      <c r="AR273" s="38">
        <f>'ANR OK vs ML7'!AR273</f>
        <v>0.1</v>
      </c>
      <c r="AS273" s="35" t="str">
        <f t="shared" si="183"/>
        <v/>
      </c>
      <c r="AT273" s="3" t="str">
        <f t="shared" si="184"/>
        <v/>
      </c>
      <c r="AU273" s="3" t="str">
        <f t="shared" si="185"/>
        <v/>
      </c>
      <c r="AW273" s="32" t="str">
        <f t="shared" si="186"/>
        <v/>
      </c>
      <c r="AX273" s="32" t="str">
        <f t="shared" si="187"/>
        <v/>
      </c>
      <c r="AY273" s="32" t="str">
        <f t="shared" si="188"/>
        <v/>
      </c>
      <c r="BA273" s="32" t="str">
        <f>IF($A274="","",F273*Summary!$Q$9)</f>
        <v/>
      </c>
    </row>
    <row r="274" spans="1:53" ht="12" customHeight="1">
      <c r="A274" s="67" t="str">
        <f t="shared" si="189"/>
        <v/>
      </c>
      <c r="B274" s="69" t="str">
        <f t="shared" si="191"/>
        <v/>
      </c>
      <c r="C274" s="71"/>
      <c r="D274" s="69" t="str">
        <f t="shared" si="154"/>
        <v/>
      </c>
      <c r="E274" s="70" t="str">
        <f t="shared" si="155"/>
        <v/>
      </c>
      <c r="F274" s="70" t="str">
        <f t="shared" si="156"/>
        <v/>
      </c>
      <c r="G274" s="63" t="str">
        <f t="shared" si="157"/>
        <v/>
      </c>
      <c r="H274" s="64" t="str">
        <f t="shared" si="158"/>
        <v/>
      </c>
      <c r="I274" s="43"/>
      <c r="J274" s="63" t="str">
        <f t="shared" si="159"/>
        <v/>
      </c>
      <c r="K274" s="64" t="str">
        <f t="shared" si="160"/>
        <v/>
      </c>
      <c r="L274" s="63" t="str">
        <f t="shared" si="161"/>
        <v/>
      </c>
      <c r="M274" s="64" t="str">
        <f t="shared" si="162"/>
        <v/>
      </c>
      <c r="N274" s="65"/>
      <c r="O274" s="63" t="str">
        <f t="shared" si="163"/>
        <v/>
      </c>
      <c r="P274" s="63" t="str">
        <f t="shared" si="164"/>
        <v/>
      </c>
      <c r="Q274" s="66"/>
      <c r="R274" s="63" t="str">
        <f t="shared" si="165"/>
        <v/>
      </c>
      <c r="S274" s="64" t="str">
        <f t="shared" si="166"/>
        <v/>
      </c>
      <c r="T274" s="63" t="str">
        <f t="shared" si="167"/>
        <v/>
      </c>
      <c r="U274" s="64" t="str">
        <f t="shared" si="168"/>
        <v/>
      </c>
      <c r="V274" s="90" t="str">
        <f>IF($A275="","",IF(AND(MONTH(A274)&gt;3,MONTH(A274)&lt;11),(T274+R274+G274)*Summary!$T$9/(1-Summary!$T$9),(T274+R274+G274)*Summary!$U$9/(1-Summary!$U$9)))</f>
        <v/>
      </c>
      <c r="W274" s="63" t="str">
        <f t="shared" si="169"/>
        <v/>
      </c>
      <c r="X274" s="63" t="str">
        <f t="shared" si="170"/>
        <v/>
      </c>
      <c r="Y274" s="43"/>
      <c r="Z274" s="38" t="str">
        <f t="shared" si="171"/>
        <v/>
      </c>
      <c r="AA274" s="38" t="str">
        <f t="shared" si="172"/>
        <v/>
      </c>
      <c r="AB274" s="38" t="e">
        <f t="shared" si="173"/>
        <v>#VALUE!</v>
      </c>
      <c r="AC274" s="38" t="str">
        <f t="shared" si="174"/>
        <v/>
      </c>
      <c r="AD274" s="38" t="str">
        <f t="shared" si="174"/>
        <v/>
      </c>
      <c r="AE274" s="38" t="e">
        <f t="shared" si="175"/>
        <v>#VALUE!</v>
      </c>
      <c r="AF274" s="237" t="e">
        <f>((Summary!$N$9*(AA274*AD274)*(A274-$D$3))+(Summary!$M$9*Z274*AC274*(AJ274-EOMONTH(EDATE(A274,-1),0))))/(AK274*AB274*AE274)</f>
        <v>#VALUE!</v>
      </c>
      <c r="AG274" s="88" t="str">
        <f>IF($A275="","",Summary!$Q$9)</f>
        <v/>
      </c>
      <c r="AH274" s="88" t="str">
        <f>IF($A275="","",IF(Summary!$R$9="Y",VLOOKUP($A274,Summary!$AD$6:$AF$9,3)+'Escalating commodity'!E287,'Escalating commodity'!E287))</f>
        <v/>
      </c>
      <c r="AI274" s="88" t="str">
        <f t="shared" si="190"/>
        <v/>
      </c>
      <c r="AJ274" s="236" t="e">
        <f t="shared" si="176"/>
        <v>#VALUE!</v>
      </c>
      <c r="AK274" s="58" t="str">
        <f t="shared" si="177"/>
        <v/>
      </c>
      <c r="AL274" s="26" t="str">
        <f>IF($A275="","",_xll.SPRDOPT(P274,X274,AI274,0,AB274,AE274,AF274,AK274,$AJ$2,0))</f>
        <v/>
      </c>
      <c r="AM274" s="89" t="str">
        <f t="shared" si="178"/>
        <v/>
      </c>
      <c r="AN274" s="89" t="str">
        <f t="shared" si="179"/>
        <v/>
      </c>
      <c r="AO274" s="3" t="str">
        <f t="shared" si="180"/>
        <v/>
      </c>
      <c r="AP274" s="33" t="str">
        <f t="shared" si="181"/>
        <v/>
      </c>
      <c r="AQ274" s="58" t="str">
        <f t="shared" si="182"/>
        <v/>
      </c>
      <c r="AR274" s="38">
        <f>'ANR OK vs ML7'!AR274</f>
        <v>0.1</v>
      </c>
      <c r="AS274" s="35" t="str">
        <f t="shared" si="183"/>
        <v/>
      </c>
      <c r="AT274" s="3" t="str">
        <f t="shared" si="184"/>
        <v/>
      </c>
      <c r="AU274" s="3" t="str">
        <f t="shared" si="185"/>
        <v/>
      </c>
      <c r="AW274" s="32" t="str">
        <f t="shared" si="186"/>
        <v/>
      </c>
      <c r="AX274" s="32" t="str">
        <f t="shared" si="187"/>
        <v/>
      </c>
      <c r="AY274" s="32" t="str">
        <f t="shared" si="188"/>
        <v/>
      </c>
      <c r="BA274" s="32" t="str">
        <f>IF($A275="","",F274*Summary!$Q$9)</f>
        <v/>
      </c>
    </row>
    <row r="275" spans="1:53" ht="12" customHeight="1">
      <c r="A275" s="67" t="str">
        <f t="shared" si="189"/>
        <v/>
      </c>
      <c r="B275" s="69" t="str">
        <f t="shared" si="191"/>
        <v/>
      </c>
      <c r="C275" s="71"/>
      <c r="D275" s="69" t="str">
        <f t="shared" si="154"/>
        <v/>
      </c>
      <c r="E275" s="70" t="str">
        <f t="shared" si="155"/>
        <v/>
      </c>
      <c r="F275" s="70" t="str">
        <f t="shared" si="156"/>
        <v/>
      </c>
      <c r="G275" s="63" t="str">
        <f t="shared" si="157"/>
        <v/>
      </c>
      <c r="H275" s="64" t="str">
        <f t="shared" si="158"/>
        <v/>
      </c>
      <c r="I275" s="43"/>
      <c r="J275" s="63" t="str">
        <f t="shared" si="159"/>
        <v/>
      </c>
      <c r="K275" s="64" t="str">
        <f t="shared" si="160"/>
        <v/>
      </c>
      <c r="L275" s="63" t="str">
        <f t="shared" si="161"/>
        <v/>
      </c>
      <c r="M275" s="64" t="str">
        <f t="shared" si="162"/>
        <v/>
      </c>
      <c r="N275" s="65"/>
      <c r="O275" s="63" t="str">
        <f t="shared" si="163"/>
        <v/>
      </c>
      <c r="P275" s="63" t="str">
        <f t="shared" si="164"/>
        <v/>
      </c>
      <c r="Q275" s="66"/>
      <c r="R275" s="63" t="str">
        <f t="shared" si="165"/>
        <v/>
      </c>
      <c r="S275" s="64" t="str">
        <f t="shared" si="166"/>
        <v/>
      </c>
      <c r="T275" s="63" t="str">
        <f t="shared" si="167"/>
        <v/>
      </c>
      <c r="U275" s="64" t="str">
        <f t="shared" si="168"/>
        <v/>
      </c>
      <c r="V275" s="90" t="str">
        <f>IF($A276="","",IF(AND(MONTH(A275)&gt;3,MONTH(A275)&lt;11),(T275+R275+G275)*Summary!$T$9/(1-Summary!$T$9),(T275+R275+G275)*Summary!$U$9/(1-Summary!$U$9)))</f>
        <v/>
      </c>
      <c r="W275" s="63" t="str">
        <f t="shared" si="169"/>
        <v/>
      </c>
      <c r="X275" s="63" t="str">
        <f t="shared" si="170"/>
        <v/>
      </c>
      <c r="Y275" s="43"/>
      <c r="Z275" s="38" t="str">
        <f t="shared" si="171"/>
        <v/>
      </c>
      <c r="AA275" s="38" t="str">
        <f t="shared" si="172"/>
        <v/>
      </c>
      <c r="AB275" s="38" t="e">
        <f t="shared" si="173"/>
        <v>#VALUE!</v>
      </c>
      <c r="AC275" s="38" t="str">
        <f t="shared" si="174"/>
        <v/>
      </c>
      <c r="AD275" s="38" t="str">
        <f t="shared" si="174"/>
        <v/>
      </c>
      <c r="AE275" s="38" t="e">
        <f t="shared" si="175"/>
        <v>#VALUE!</v>
      </c>
      <c r="AF275" s="237" t="e">
        <f>((Summary!$N$9*(AA275*AD275)*(A275-$D$3))+(Summary!$M$9*Z275*AC275*(AJ275-EOMONTH(EDATE(A275,-1),0))))/(AK275*AB275*AE275)</f>
        <v>#VALUE!</v>
      </c>
      <c r="AG275" s="88" t="str">
        <f>IF($A276="","",Summary!$Q$9)</f>
        <v/>
      </c>
      <c r="AH275" s="88" t="str">
        <f>IF($A276="","",IF(Summary!$R$9="Y",VLOOKUP($A275,Summary!$AD$6:$AF$9,3)+'Escalating commodity'!E288,'Escalating commodity'!E288))</f>
        <v/>
      </c>
      <c r="AI275" s="88" t="str">
        <f t="shared" si="190"/>
        <v/>
      </c>
      <c r="AJ275" s="236" t="e">
        <f t="shared" si="176"/>
        <v>#VALUE!</v>
      </c>
      <c r="AK275" s="58" t="str">
        <f t="shared" si="177"/>
        <v/>
      </c>
      <c r="AL275" s="26" t="str">
        <f>IF($A276="","",_xll.SPRDOPT(P275,X275,AI275,0,AB275,AE275,AF275,AK275,$AJ$2,0))</f>
        <v/>
      </c>
      <c r="AM275" s="89" t="str">
        <f t="shared" si="178"/>
        <v/>
      </c>
      <c r="AN275" s="89" t="str">
        <f t="shared" si="179"/>
        <v/>
      </c>
      <c r="AO275" s="3" t="str">
        <f t="shared" si="180"/>
        <v/>
      </c>
      <c r="AP275" s="33" t="str">
        <f t="shared" si="181"/>
        <v/>
      </c>
      <c r="AQ275" s="58" t="str">
        <f t="shared" si="182"/>
        <v/>
      </c>
      <c r="AR275" s="38">
        <f>'ANR OK vs ML7'!AR275</f>
        <v>0.1</v>
      </c>
      <c r="AS275" s="35" t="str">
        <f t="shared" si="183"/>
        <v/>
      </c>
      <c r="AT275" s="3" t="str">
        <f t="shared" si="184"/>
        <v/>
      </c>
      <c r="AU275" s="3" t="str">
        <f t="shared" si="185"/>
        <v/>
      </c>
      <c r="AW275" s="32" t="str">
        <f t="shared" si="186"/>
        <v/>
      </c>
      <c r="AX275" s="32" t="str">
        <f t="shared" si="187"/>
        <v/>
      </c>
      <c r="AY275" s="32" t="str">
        <f t="shared" si="188"/>
        <v/>
      </c>
      <c r="BA275" s="32" t="str">
        <f>IF($A276="","",F275*Summary!$Q$9)</f>
        <v/>
      </c>
    </row>
    <row r="276" spans="1:53" ht="12" customHeight="1">
      <c r="A276" s="67" t="str">
        <f t="shared" si="189"/>
        <v/>
      </c>
      <c r="B276" s="69" t="str">
        <f t="shared" si="191"/>
        <v/>
      </c>
      <c r="C276" s="71"/>
      <c r="D276" s="69" t="str">
        <f t="shared" si="154"/>
        <v/>
      </c>
      <c r="E276" s="70" t="str">
        <f t="shared" si="155"/>
        <v/>
      </c>
      <c r="F276" s="70" t="str">
        <f t="shared" si="156"/>
        <v/>
      </c>
      <c r="G276" s="63" t="str">
        <f t="shared" si="157"/>
        <v/>
      </c>
      <c r="H276" s="64" t="str">
        <f t="shared" si="158"/>
        <v/>
      </c>
      <c r="I276" s="43"/>
      <c r="J276" s="63" t="str">
        <f t="shared" si="159"/>
        <v/>
      </c>
      <c r="K276" s="64" t="str">
        <f t="shared" si="160"/>
        <v/>
      </c>
      <c r="L276" s="63" t="str">
        <f t="shared" si="161"/>
        <v/>
      </c>
      <c r="M276" s="64" t="str">
        <f t="shared" si="162"/>
        <v/>
      </c>
      <c r="N276" s="65"/>
      <c r="O276" s="63" t="str">
        <f t="shared" si="163"/>
        <v/>
      </c>
      <c r="P276" s="63" t="str">
        <f t="shared" si="164"/>
        <v/>
      </c>
      <c r="Q276" s="66"/>
      <c r="R276" s="63" t="str">
        <f t="shared" si="165"/>
        <v/>
      </c>
      <c r="S276" s="64" t="str">
        <f t="shared" si="166"/>
        <v/>
      </c>
      <c r="T276" s="63" t="str">
        <f t="shared" si="167"/>
        <v/>
      </c>
      <c r="U276" s="64" t="str">
        <f t="shared" si="168"/>
        <v/>
      </c>
      <c r="V276" s="90" t="str">
        <f>IF($A277="","",IF(AND(MONTH(A276)&gt;3,MONTH(A276)&lt;11),(T276+R276+G276)*Summary!$T$9/(1-Summary!$T$9),(T276+R276+G276)*Summary!$U$9/(1-Summary!$U$9)))</f>
        <v/>
      </c>
      <c r="W276" s="63" t="str">
        <f t="shared" si="169"/>
        <v/>
      </c>
      <c r="X276" s="63" t="str">
        <f t="shared" si="170"/>
        <v/>
      </c>
      <c r="Y276" s="43"/>
      <c r="Z276" s="38" t="str">
        <f t="shared" si="171"/>
        <v/>
      </c>
      <c r="AA276" s="38" t="str">
        <f t="shared" si="172"/>
        <v/>
      </c>
      <c r="AB276" s="38" t="e">
        <f t="shared" si="173"/>
        <v>#VALUE!</v>
      </c>
      <c r="AC276" s="38" t="str">
        <f t="shared" si="174"/>
        <v/>
      </c>
      <c r="AD276" s="38" t="str">
        <f t="shared" si="174"/>
        <v/>
      </c>
      <c r="AE276" s="38" t="e">
        <f t="shared" si="175"/>
        <v>#VALUE!</v>
      </c>
      <c r="AF276" s="237" t="e">
        <f>((Summary!$N$9*(AA276*AD276)*(A276-$D$3))+(Summary!$M$9*Z276*AC276*(AJ276-EOMONTH(EDATE(A276,-1),0))))/(AK276*AB276*AE276)</f>
        <v>#VALUE!</v>
      </c>
      <c r="AG276" s="88" t="str">
        <f>IF($A277="","",Summary!$Q$9)</f>
        <v/>
      </c>
      <c r="AH276" s="88" t="str">
        <f>IF($A277="","",IF(Summary!$R$9="Y",VLOOKUP($A276,Summary!$AD$6:$AF$9,3)+'Escalating commodity'!E289,'Escalating commodity'!E289))</f>
        <v/>
      </c>
      <c r="AI276" s="88" t="str">
        <f t="shared" si="190"/>
        <v/>
      </c>
      <c r="AJ276" s="236" t="e">
        <f t="shared" si="176"/>
        <v>#VALUE!</v>
      </c>
      <c r="AK276" s="58" t="str">
        <f t="shared" si="177"/>
        <v/>
      </c>
      <c r="AL276" s="26" t="str">
        <f>IF($A277="","",_xll.SPRDOPT(P276,X276,AI276,0,AB276,AE276,AF276,AK276,$AJ$2,0))</f>
        <v/>
      </c>
      <c r="AM276" s="89" t="str">
        <f t="shared" si="178"/>
        <v/>
      </c>
      <c r="AN276" s="89" t="str">
        <f t="shared" si="179"/>
        <v/>
      </c>
      <c r="AO276" s="3" t="str">
        <f t="shared" si="180"/>
        <v/>
      </c>
      <c r="AP276" s="33" t="str">
        <f t="shared" si="181"/>
        <v/>
      </c>
      <c r="AQ276" s="58" t="str">
        <f t="shared" si="182"/>
        <v/>
      </c>
      <c r="AR276" s="38">
        <f>'ANR OK vs ML7'!AR276</f>
        <v>0.1</v>
      </c>
      <c r="AS276" s="35" t="str">
        <f t="shared" si="183"/>
        <v/>
      </c>
      <c r="AT276" s="3" t="str">
        <f t="shared" si="184"/>
        <v/>
      </c>
      <c r="AU276" s="3" t="str">
        <f t="shared" si="185"/>
        <v/>
      </c>
      <c r="AW276" s="32" t="str">
        <f t="shared" si="186"/>
        <v/>
      </c>
      <c r="AX276" s="32" t="str">
        <f t="shared" si="187"/>
        <v/>
      </c>
      <c r="AY276" s="32" t="str">
        <f t="shared" si="188"/>
        <v/>
      </c>
      <c r="BA276" s="32" t="str">
        <f>IF($A277="","",F276*Summary!$Q$9)</f>
        <v/>
      </c>
    </row>
    <row r="277" spans="1:53" ht="12" customHeight="1">
      <c r="A277" s="67" t="str">
        <f t="shared" si="189"/>
        <v/>
      </c>
      <c r="B277" s="69" t="str">
        <f t="shared" si="191"/>
        <v/>
      </c>
      <c r="C277" s="71"/>
      <c r="D277" s="69" t="str">
        <f t="shared" si="154"/>
        <v/>
      </c>
      <c r="E277" s="70" t="str">
        <f t="shared" si="155"/>
        <v/>
      </c>
      <c r="F277" s="70" t="str">
        <f t="shared" si="156"/>
        <v/>
      </c>
      <c r="G277" s="63" t="str">
        <f t="shared" si="157"/>
        <v/>
      </c>
      <c r="H277" s="64" t="str">
        <f t="shared" si="158"/>
        <v/>
      </c>
      <c r="I277" s="43"/>
      <c r="J277" s="63" t="str">
        <f t="shared" si="159"/>
        <v/>
      </c>
      <c r="K277" s="64" t="str">
        <f t="shared" si="160"/>
        <v/>
      </c>
      <c r="L277" s="63" t="str">
        <f t="shared" si="161"/>
        <v/>
      </c>
      <c r="M277" s="64" t="str">
        <f t="shared" si="162"/>
        <v/>
      </c>
      <c r="N277" s="65"/>
      <c r="O277" s="63" t="str">
        <f t="shared" si="163"/>
        <v/>
      </c>
      <c r="P277" s="63" t="str">
        <f t="shared" si="164"/>
        <v/>
      </c>
      <c r="Q277" s="66"/>
      <c r="R277" s="63" t="str">
        <f t="shared" si="165"/>
        <v/>
      </c>
      <c r="S277" s="64" t="str">
        <f t="shared" si="166"/>
        <v/>
      </c>
      <c r="T277" s="63" t="str">
        <f t="shared" si="167"/>
        <v/>
      </c>
      <c r="U277" s="64" t="str">
        <f t="shared" si="168"/>
        <v/>
      </c>
      <c r="V277" s="90" t="str">
        <f>IF($A278="","",IF(AND(MONTH(A277)&gt;3,MONTH(A277)&lt;11),(T277+R277+G277)*Summary!$T$9/(1-Summary!$T$9),(T277+R277+G277)*Summary!$U$9/(1-Summary!$U$9)))</f>
        <v/>
      </c>
      <c r="W277" s="63" t="str">
        <f t="shared" si="169"/>
        <v/>
      </c>
      <c r="X277" s="63" t="str">
        <f t="shared" si="170"/>
        <v/>
      </c>
      <c r="Y277" s="43"/>
      <c r="Z277" s="38" t="str">
        <f t="shared" si="171"/>
        <v/>
      </c>
      <c r="AA277" s="38" t="str">
        <f t="shared" si="172"/>
        <v/>
      </c>
      <c r="AB277" s="38" t="e">
        <f t="shared" si="173"/>
        <v>#VALUE!</v>
      </c>
      <c r="AC277" s="38" t="str">
        <f t="shared" si="174"/>
        <v/>
      </c>
      <c r="AD277" s="38" t="str">
        <f t="shared" si="174"/>
        <v/>
      </c>
      <c r="AE277" s="38" t="e">
        <f t="shared" si="175"/>
        <v>#VALUE!</v>
      </c>
      <c r="AF277" s="237" t="e">
        <f>((Summary!$N$9*(AA277*AD277)*(A277-$D$3))+(Summary!$M$9*Z277*AC277*(AJ277-EOMONTH(EDATE(A277,-1),0))))/(AK277*AB277*AE277)</f>
        <v>#VALUE!</v>
      </c>
      <c r="AG277" s="88" t="str">
        <f>IF($A278="","",Summary!$Q$9)</f>
        <v/>
      </c>
      <c r="AH277" s="88" t="str">
        <f>IF($A278="","",IF(Summary!$R$9="Y",VLOOKUP($A277,Summary!$AD$6:$AF$9,3)+'Escalating commodity'!E290,'Escalating commodity'!E290))</f>
        <v/>
      </c>
      <c r="AI277" s="88" t="str">
        <f t="shared" si="190"/>
        <v/>
      </c>
      <c r="AJ277" s="236" t="e">
        <f t="shared" si="176"/>
        <v>#VALUE!</v>
      </c>
      <c r="AK277" s="58" t="str">
        <f t="shared" si="177"/>
        <v/>
      </c>
      <c r="AL277" s="26" t="str">
        <f>IF($A278="","",_xll.SPRDOPT(P277,X277,AI277,0,AB277,AE277,AF277,AK277,$AJ$2,0))</f>
        <v/>
      </c>
      <c r="AM277" s="89" t="str">
        <f t="shared" si="178"/>
        <v/>
      </c>
      <c r="AN277" s="89" t="str">
        <f t="shared" si="179"/>
        <v/>
      </c>
      <c r="AO277" s="3" t="str">
        <f t="shared" si="180"/>
        <v/>
      </c>
      <c r="AP277" s="33" t="str">
        <f t="shared" si="181"/>
        <v/>
      </c>
      <c r="AQ277" s="58" t="str">
        <f t="shared" si="182"/>
        <v/>
      </c>
      <c r="AR277" s="38">
        <f>'ANR OK vs ML7'!AR277</f>
        <v>0.1</v>
      </c>
      <c r="AS277" s="35" t="str">
        <f t="shared" si="183"/>
        <v/>
      </c>
      <c r="AT277" s="3" t="str">
        <f t="shared" si="184"/>
        <v/>
      </c>
      <c r="AU277" s="3" t="str">
        <f t="shared" si="185"/>
        <v/>
      </c>
      <c r="AW277" s="32" t="str">
        <f t="shared" si="186"/>
        <v/>
      </c>
      <c r="AX277" s="32" t="str">
        <f t="shared" si="187"/>
        <v/>
      </c>
      <c r="AY277" s="32" t="str">
        <f t="shared" si="188"/>
        <v/>
      </c>
      <c r="BA277" s="32" t="str">
        <f>IF($A278="","",F277*Summary!$Q$9)</f>
        <v/>
      </c>
    </row>
    <row r="278" spans="1:53" ht="12" customHeight="1">
      <c r="A278" s="67" t="str">
        <f t="shared" si="189"/>
        <v/>
      </c>
      <c r="B278" s="69" t="str">
        <f t="shared" si="191"/>
        <v/>
      </c>
      <c r="C278" s="71"/>
      <c r="D278" s="69" t="str">
        <f t="shared" si="154"/>
        <v/>
      </c>
      <c r="E278" s="70" t="str">
        <f t="shared" si="155"/>
        <v/>
      </c>
      <c r="F278" s="70" t="str">
        <f t="shared" si="156"/>
        <v/>
      </c>
      <c r="G278" s="63" t="str">
        <f t="shared" si="157"/>
        <v/>
      </c>
      <c r="H278" s="64" t="str">
        <f t="shared" si="158"/>
        <v/>
      </c>
      <c r="I278" s="43"/>
      <c r="J278" s="63" t="str">
        <f t="shared" si="159"/>
        <v/>
      </c>
      <c r="K278" s="64" t="str">
        <f t="shared" si="160"/>
        <v/>
      </c>
      <c r="L278" s="63" t="str">
        <f t="shared" si="161"/>
        <v/>
      </c>
      <c r="M278" s="64" t="str">
        <f t="shared" si="162"/>
        <v/>
      </c>
      <c r="N278" s="65"/>
      <c r="O278" s="63" t="str">
        <f t="shared" si="163"/>
        <v/>
      </c>
      <c r="P278" s="63" t="str">
        <f t="shared" si="164"/>
        <v/>
      </c>
      <c r="Q278" s="66"/>
      <c r="R278" s="63" t="str">
        <f t="shared" si="165"/>
        <v/>
      </c>
      <c r="S278" s="64" t="str">
        <f t="shared" si="166"/>
        <v/>
      </c>
      <c r="T278" s="63" t="str">
        <f t="shared" si="167"/>
        <v/>
      </c>
      <c r="U278" s="64" t="str">
        <f t="shared" si="168"/>
        <v/>
      </c>
      <c r="V278" s="90" t="str">
        <f>IF($A279="","",IF(AND(MONTH(A278)&gt;3,MONTH(A278)&lt;11),(T278+R278+G278)*Summary!$T$9/(1-Summary!$T$9),(T278+R278+G278)*Summary!$U$9/(1-Summary!$U$9)))</f>
        <v/>
      </c>
      <c r="W278" s="63" t="str">
        <f t="shared" si="169"/>
        <v/>
      </c>
      <c r="X278" s="63" t="str">
        <f t="shared" si="170"/>
        <v/>
      </c>
      <c r="Y278" s="43"/>
      <c r="Z278" s="38" t="str">
        <f t="shared" si="171"/>
        <v/>
      </c>
      <c r="AA278" s="38" t="str">
        <f t="shared" si="172"/>
        <v/>
      </c>
      <c r="AB278" s="38" t="e">
        <f t="shared" si="173"/>
        <v>#VALUE!</v>
      </c>
      <c r="AC278" s="38" t="str">
        <f t="shared" si="174"/>
        <v/>
      </c>
      <c r="AD278" s="38" t="str">
        <f t="shared" si="174"/>
        <v/>
      </c>
      <c r="AE278" s="38" t="e">
        <f t="shared" si="175"/>
        <v>#VALUE!</v>
      </c>
      <c r="AF278" s="237" t="e">
        <f>((Summary!$N$9*(AA278*AD278)*(A278-$D$3))+(Summary!$M$9*Z278*AC278*(AJ278-EOMONTH(EDATE(A278,-1),0))))/(AK278*AB278*AE278)</f>
        <v>#VALUE!</v>
      </c>
      <c r="AG278" s="88" t="str">
        <f>IF($A279="","",Summary!$Q$9)</f>
        <v/>
      </c>
      <c r="AH278" s="88" t="str">
        <f>IF($A279="","",IF(Summary!$R$9="Y",VLOOKUP($A278,Summary!$AD$6:$AF$9,3)+'Escalating commodity'!E291,'Escalating commodity'!E291))</f>
        <v/>
      </c>
      <c r="AI278" s="88" t="str">
        <f t="shared" si="190"/>
        <v/>
      </c>
      <c r="AJ278" s="236" t="e">
        <f t="shared" si="176"/>
        <v>#VALUE!</v>
      </c>
      <c r="AK278" s="58" t="str">
        <f t="shared" si="177"/>
        <v/>
      </c>
      <c r="AL278" s="26" t="str">
        <f>IF($A279="","",_xll.SPRDOPT(P278,X278,AI278,0,AB278,AE278,AF278,AK278,$AJ$2,0))</f>
        <v/>
      </c>
      <c r="AM278" s="89" t="str">
        <f t="shared" si="178"/>
        <v/>
      </c>
      <c r="AN278" s="89" t="str">
        <f t="shared" si="179"/>
        <v/>
      </c>
      <c r="AO278" s="3" t="str">
        <f t="shared" si="180"/>
        <v/>
      </c>
      <c r="AP278" s="33" t="str">
        <f t="shared" si="181"/>
        <v/>
      </c>
      <c r="AQ278" s="58" t="str">
        <f t="shared" si="182"/>
        <v/>
      </c>
      <c r="AR278" s="38">
        <f>'ANR OK vs ML7'!AR278</f>
        <v>0.1</v>
      </c>
      <c r="AS278" s="35" t="str">
        <f t="shared" si="183"/>
        <v/>
      </c>
      <c r="AT278" s="3" t="str">
        <f t="shared" si="184"/>
        <v/>
      </c>
      <c r="AU278" s="3" t="str">
        <f t="shared" si="185"/>
        <v/>
      </c>
      <c r="AW278" s="32" t="str">
        <f t="shared" si="186"/>
        <v/>
      </c>
      <c r="AX278" s="32" t="str">
        <f t="shared" si="187"/>
        <v/>
      </c>
      <c r="AY278" s="32" t="str">
        <f t="shared" si="188"/>
        <v/>
      </c>
      <c r="BA278" s="32" t="str">
        <f>IF($A279="","",F278*Summary!$Q$9)</f>
        <v/>
      </c>
    </row>
    <row r="279" spans="1:53" ht="12" customHeight="1">
      <c r="A279" s="67" t="str">
        <f t="shared" si="189"/>
        <v/>
      </c>
      <c r="B279" s="69" t="str">
        <f t="shared" si="191"/>
        <v/>
      </c>
      <c r="C279" s="71"/>
      <c r="D279" s="69" t="str">
        <f t="shared" si="154"/>
        <v/>
      </c>
      <c r="E279" s="70" t="str">
        <f t="shared" si="155"/>
        <v/>
      </c>
      <c r="F279" s="70" t="str">
        <f t="shared" si="156"/>
        <v/>
      </c>
      <c r="G279" s="63" t="str">
        <f t="shared" si="157"/>
        <v/>
      </c>
      <c r="H279" s="64" t="str">
        <f t="shared" si="158"/>
        <v/>
      </c>
      <c r="I279" s="43"/>
      <c r="J279" s="63" t="str">
        <f t="shared" si="159"/>
        <v/>
      </c>
      <c r="K279" s="64" t="str">
        <f t="shared" si="160"/>
        <v/>
      </c>
      <c r="L279" s="63" t="str">
        <f t="shared" si="161"/>
        <v/>
      </c>
      <c r="M279" s="64" t="str">
        <f t="shared" si="162"/>
        <v/>
      </c>
      <c r="N279" s="65"/>
      <c r="O279" s="63" t="str">
        <f t="shared" si="163"/>
        <v/>
      </c>
      <c r="P279" s="63" t="str">
        <f t="shared" si="164"/>
        <v/>
      </c>
      <c r="Q279" s="66"/>
      <c r="R279" s="63" t="str">
        <f t="shared" si="165"/>
        <v/>
      </c>
      <c r="S279" s="64" t="str">
        <f t="shared" si="166"/>
        <v/>
      </c>
      <c r="T279" s="63" t="str">
        <f t="shared" si="167"/>
        <v/>
      </c>
      <c r="U279" s="64" t="str">
        <f t="shared" si="168"/>
        <v/>
      </c>
      <c r="V279" s="90" t="str">
        <f>IF($A280="","",IF(AND(MONTH(A279)&gt;3,MONTH(A279)&lt;11),(T279+R279+G279)*Summary!$T$9/(1-Summary!$T$9),(T279+R279+G279)*Summary!$U$9/(1-Summary!$U$9)))</f>
        <v/>
      </c>
      <c r="W279" s="63" t="str">
        <f t="shared" si="169"/>
        <v/>
      </c>
      <c r="X279" s="63" t="str">
        <f t="shared" si="170"/>
        <v/>
      </c>
      <c r="Y279" s="43"/>
      <c r="Z279" s="38" t="str">
        <f t="shared" si="171"/>
        <v/>
      </c>
      <c r="AA279" s="38" t="str">
        <f t="shared" si="172"/>
        <v/>
      </c>
      <c r="AB279" s="38" t="e">
        <f t="shared" si="173"/>
        <v>#VALUE!</v>
      </c>
      <c r="AC279" s="38" t="str">
        <f t="shared" si="174"/>
        <v/>
      </c>
      <c r="AD279" s="38" t="str">
        <f t="shared" si="174"/>
        <v/>
      </c>
      <c r="AE279" s="38" t="e">
        <f t="shared" si="175"/>
        <v>#VALUE!</v>
      </c>
      <c r="AF279" s="237" t="e">
        <f>((Summary!$N$9*(AA279*AD279)*(A279-$D$3))+(Summary!$M$9*Z279*AC279*(AJ279-EOMONTH(EDATE(A279,-1),0))))/(AK279*AB279*AE279)</f>
        <v>#VALUE!</v>
      </c>
      <c r="AG279" s="88" t="str">
        <f>IF($A280="","",Summary!$Q$9)</f>
        <v/>
      </c>
      <c r="AH279" s="88" t="str">
        <f>IF($A280="","",IF(Summary!$R$9="Y",VLOOKUP($A279,Summary!$AD$6:$AF$9,3)+'Escalating commodity'!E292,'Escalating commodity'!E292))</f>
        <v/>
      </c>
      <c r="AI279" s="88" t="str">
        <f t="shared" si="190"/>
        <v/>
      </c>
      <c r="AJ279" s="236" t="e">
        <f t="shared" si="176"/>
        <v>#VALUE!</v>
      </c>
      <c r="AK279" s="58" t="str">
        <f t="shared" si="177"/>
        <v/>
      </c>
      <c r="AL279" s="26" t="str">
        <f>IF($A280="","",_xll.SPRDOPT(P279,X279,AI279,0,AB279,AE279,AF279,AK279,$AJ$2,0))</f>
        <v/>
      </c>
      <c r="AM279" s="89" t="str">
        <f t="shared" si="178"/>
        <v/>
      </c>
      <c r="AN279" s="89" t="str">
        <f t="shared" si="179"/>
        <v/>
      </c>
      <c r="AO279" s="3" t="str">
        <f t="shared" si="180"/>
        <v/>
      </c>
      <c r="AP279" s="33" t="str">
        <f t="shared" si="181"/>
        <v/>
      </c>
      <c r="AQ279" s="58" t="str">
        <f t="shared" si="182"/>
        <v/>
      </c>
      <c r="AR279" s="38">
        <f>'ANR OK vs ML7'!AR279</f>
        <v>0.1</v>
      </c>
      <c r="AS279" s="35" t="str">
        <f t="shared" si="183"/>
        <v/>
      </c>
      <c r="AT279" s="3" t="str">
        <f t="shared" si="184"/>
        <v/>
      </c>
      <c r="AU279" s="3" t="str">
        <f t="shared" si="185"/>
        <v/>
      </c>
      <c r="AW279" s="32" t="str">
        <f t="shared" si="186"/>
        <v/>
      </c>
      <c r="AX279" s="32" t="str">
        <f t="shared" si="187"/>
        <v/>
      </c>
      <c r="AY279" s="32" t="str">
        <f t="shared" si="188"/>
        <v/>
      </c>
      <c r="BA279" s="32" t="str">
        <f>IF($A280="","",F279*Summary!$Q$9)</f>
        <v/>
      </c>
    </row>
    <row r="280" spans="1:53" ht="12" customHeight="1">
      <c r="A280" s="67" t="str">
        <f t="shared" si="189"/>
        <v/>
      </c>
      <c r="B280" s="69" t="str">
        <f t="shared" si="191"/>
        <v/>
      </c>
      <c r="C280" s="71"/>
      <c r="D280" s="69" t="str">
        <f t="shared" si="154"/>
        <v/>
      </c>
      <c r="E280" s="70" t="str">
        <f t="shared" si="155"/>
        <v/>
      </c>
      <c r="F280" s="70" t="str">
        <f t="shared" si="156"/>
        <v/>
      </c>
      <c r="G280" s="63" t="str">
        <f t="shared" si="157"/>
        <v/>
      </c>
      <c r="H280" s="64" t="str">
        <f t="shared" si="158"/>
        <v/>
      </c>
      <c r="I280" s="43"/>
      <c r="J280" s="63" t="str">
        <f t="shared" si="159"/>
        <v/>
      </c>
      <c r="K280" s="64" t="str">
        <f t="shared" si="160"/>
        <v/>
      </c>
      <c r="L280" s="63" t="str">
        <f t="shared" si="161"/>
        <v/>
      </c>
      <c r="M280" s="64" t="str">
        <f t="shared" si="162"/>
        <v/>
      </c>
      <c r="N280" s="65"/>
      <c r="O280" s="63" t="str">
        <f t="shared" si="163"/>
        <v/>
      </c>
      <c r="P280" s="63" t="str">
        <f t="shared" si="164"/>
        <v/>
      </c>
      <c r="Q280" s="66"/>
      <c r="R280" s="63" t="str">
        <f t="shared" si="165"/>
        <v/>
      </c>
      <c r="S280" s="64" t="str">
        <f t="shared" si="166"/>
        <v/>
      </c>
      <c r="T280" s="63" t="str">
        <f t="shared" si="167"/>
        <v/>
      </c>
      <c r="U280" s="64" t="str">
        <f t="shared" si="168"/>
        <v/>
      </c>
      <c r="V280" s="90" t="str">
        <f>IF($A281="","",IF(AND(MONTH(A280)&gt;3,MONTH(A280)&lt;11),(T280+R280+G280)*Summary!$T$9/(1-Summary!$T$9),(T280+R280+G280)*Summary!$U$9/(1-Summary!$U$9)))</f>
        <v/>
      </c>
      <c r="W280" s="63" t="str">
        <f t="shared" si="169"/>
        <v/>
      </c>
      <c r="X280" s="63" t="str">
        <f t="shared" si="170"/>
        <v/>
      </c>
      <c r="Y280" s="43"/>
      <c r="Z280" s="38" t="str">
        <f t="shared" si="171"/>
        <v/>
      </c>
      <c r="AA280" s="38" t="str">
        <f t="shared" si="172"/>
        <v/>
      </c>
      <c r="AB280" s="38" t="e">
        <f t="shared" si="173"/>
        <v>#VALUE!</v>
      </c>
      <c r="AC280" s="38" t="str">
        <f t="shared" si="174"/>
        <v/>
      </c>
      <c r="AD280" s="38" t="str">
        <f t="shared" si="174"/>
        <v/>
      </c>
      <c r="AE280" s="38" t="e">
        <f t="shared" si="175"/>
        <v>#VALUE!</v>
      </c>
      <c r="AF280" s="237" t="e">
        <f>((Summary!$N$9*(AA280*AD280)*(A280-$D$3))+(Summary!$M$9*Z280*AC280*(AJ280-EOMONTH(EDATE(A280,-1),0))))/(AK280*AB280*AE280)</f>
        <v>#VALUE!</v>
      </c>
      <c r="AG280" s="88" t="str">
        <f>IF($A281="","",Summary!$Q$9)</f>
        <v/>
      </c>
      <c r="AH280" s="88" t="str">
        <f>IF($A281="","",IF(Summary!$R$9="Y",VLOOKUP($A280,Summary!$AD$6:$AF$9,3)+'Escalating commodity'!E293,'Escalating commodity'!E293))</f>
        <v/>
      </c>
      <c r="AI280" s="88" t="str">
        <f t="shared" si="190"/>
        <v/>
      </c>
      <c r="AJ280" s="236" t="e">
        <f t="shared" si="176"/>
        <v>#VALUE!</v>
      </c>
      <c r="AK280" s="58" t="str">
        <f t="shared" si="177"/>
        <v/>
      </c>
      <c r="AL280" s="26" t="str">
        <f>IF($A281="","",_xll.SPRDOPT(P280,X280,AI280,0,AB280,AE280,AF280,AK280,$AJ$2,0))</f>
        <v/>
      </c>
      <c r="AM280" s="89" t="str">
        <f t="shared" si="178"/>
        <v/>
      </c>
      <c r="AN280" s="89" t="str">
        <f t="shared" si="179"/>
        <v/>
      </c>
      <c r="AO280" s="3" t="str">
        <f t="shared" si="180"/>
        <v/>
      </c>
      <c r="AP280" s="33" t="str">
        <f t="shared" si="181"/>
        <v/>
      </c>
      <c r="AQ280" s="58" t="str">
        <f t="shared" si="182"/>
        <v/>
      </c>
      <c r="AR280" s="38">
        <f>'ANR OK vs ML7'!AR280</f>
        <v>0.1</v>
      </c>
      <c r="AS280" s="35" t="str">
        <f t="shared" si="183"/>
        <v/>
      </c>
      <c r="AT280" s="3" t="str">
        <f t="shared" si="184"/>
        <v/>
      </c>
      <c r="AU280" s="3" t="str">
        <f t="shared" si="185"/>
        <v/>
      </c>
      <c r="AW280" s="32" t="str">
        <f t="shared" si="186"/>
        <v/>
      </c>
      <c r="AX280" s="32" t="str">
        <f t="shared" si="187"/>
        <v/>
      </c>
      <c r="AY280" s="32" t="str">
        <f t="shared" si="188"/>
        <v/>
      </c>
      <c r="BA280" s="32" t="str">
        <f>IF($A281="","",F280*Summary!$Q$9)</f>
        <v/>
      </c>
    </row>
    <row r="281" spans="1:53" ht="12" customHeight="1">
      <c r="A281" s="67" t="str">
        <f t="shared" si="189"/>
        <v/>
      </c>
      <c r="B281" s="69" t="str">
        <f t="shared" si="191"/>
        <v/>
      </c>
      <c r="C281" s="71"/>
      <c r="D281" s="69" t="str">
        <f t="shared" si="154"/>
        <v/>
      </c>
      <c r="E281" s="70" t="str">
        <f t="shared" si="155"/>
        <v/>
      </c>
      <c r="F281" s="70" t="str">
        <f t="shared" si="156"/>
        <v/>
      </c>
      <c r="G281" s="63" t="str">
        <f t="shared" si="157"/>
        <v/>
      </c>
      <c r="H281" s="64" t="str">
        <f t="shared" si="158"/>
        <v/>
      </c>
      <c r="I281" s="43"/>
      <c r="J281" s="63" t="str">
        <f t="shared" si="159"/>
        <v/>
      </c>
      <c r="K281" s="64" t="str">
        <f t="shared" si="160"/>
        <v/>
      </c>
      <c r="L281" s="63" t="str">
        <f t="shared" si="161"/>
        <v/>
      </c>
      <c r="M281" s="64" t="str">
        <f t="shared" si="162"/>
        <v/>
      </c>
      <c r="N281" s="65"/>
      <c r="O281" s="63" t="str">
        <f t="shared" si="163"/>
        <v/>
      </c>
      <c r="P281" s="63" t="str">
        <f t="shared" si="164"/>
        <v/>
      </c>
      <c r="Q281" s="66"/>
      <c r="R281" s="63" t="str">
        <f t="shared" si="165"/>
        <v/>
      </c>
      <c r="S281" s="64" t="str">
        <f t="shared" si="166"/>
        <v/>
      </c>
      <c r="T281" s="63" t="str">
        <f t="shared" si="167"/>
        <v/>
      </c>
      <c r="U281" s="64" t="str">
        <f t="shared" si="168"/>
        <v/>
      </c>
      <c r="V281" s="90" t="str">
        <f>IF($A282="","",IF(AND(MONTH(A281)&gt;3,MONTH(A281)&lt;11),(T281+R281+G281)*Summary!$T$9/(1-Summary!$T$9),(T281+R281+G281)*Summary!$U$9/(1-Summary!$U$9)))</f>
        <v/>
      </c>
      <c r="W281" s="63" t="str">
        <f t="shared" si="169"/>
        <v/>
      </c>
      <c r="X281" s="63" t="str">
        <f t="shared" si="170"/>
        <v/>
      </c>
      <c r="Y281" s="43"/>
      <c r="Z281" s="38" t="str">
        <f t="shared" si="171"/>
        <v/>
      </c>
      <c r="AA281" s="38" t="str">
        <f t="shared" si="172"/>
        <v/>
      </c>
      <c r="AB281" s="38" t="e">
        <f t="shared" si="173"/>
        <v>#VALUE!</v>
      </c>
      <c r="AC281" s="38" t="str">
        <f t="shared" si="174"/>
        <v/>
      </c>
      <c r="AD281" s="38" t="str">
        <f t="shared" si="174"/>
        <v/>
      </c>
      <c r="AE281" s="38" t="e">
        <f t="shared" si="175"/>
        <v>#VALUE!</v>
      </c>
      <c r="AF281" s="237" t="e">
        <f>((Summary!$N$9*(AA281*AD281)*(A281-$D$3))+(Summary!$M$9*Z281*AC281*(AJ281-EOMONTH(EDATE(A281,-1),0))))/(AK281*AB281*AE281)</f>
        <v>#VALUE!</v>
      </c>
      <c r="AG281" s="88" t="str">
        <f>IF($A282="","",Summary!$Q$9)</f>
        <v/>
      </c>
      <c r="AH281" s="88" t="str">
        <f>IF($A282="","",IF(Summary!$R$9="Y",VLOOKUP($A281,Summary!$AD$6:$AF$9,3)+'Escalating commodity'!E294,'Escalating commodity'!E294))</f>
        <v/>
      </c>
      <c r="AI281" s="88" t="str">
        <f t="shared" si="190"/>
        <v/>
      </c>
      <c r="AJ281" s="236" t="e">
        <f t="shared" si="176"/>
        <v>#VALUE!</v>
      </c>
      <c r="AK281" s="58" t="str">
        <f t="shared" si="177"/>
        <v/>
      </c>
      <c r="AL281" s="26" t="str">
        <f>IF($A282="","",_xll.SPRDOPT(P281,X281,AI281,0,AB281,AE281,AF281,AK281,$AJ$2,0))</f>
        <v/>
      </c>
      <c r="AM281" s="89" t="str">
        <f t="shared" si="178"/>
        <v/>
      </c>
      <c r="AN281" s="89" t="str">
        <f t="shared" si="179"/>
        <v/>
      </c>
      <c r="AO281" s="3" t="str">
        <f t="shared" si="180"/>
        <v/>
      </c>
      <c r="AP281" s="33" t="str">
        <f t="shared" si="181"/>
        <v/>
      </c>
      <c r="AQ281" s="58" t="str">
        <f t="shared" si="182"/>
        <v/>
      </c>
      <c r="AR281" s="38">
        <f>'ANR OK vs ML7'!AR281</f>
        <v>0.1</v>
      </c>
      <c r="AS281" s="35" t="str">
        <f t="shared" si="183"/>
        <v/>
      </c>
      <c r="AT281" s="3" t="str">
        <f t="shared" si="184"/>
        <v/>
      </c>
      <c r="AU281" s="3" t="str">
        <f t="shared" si="185"/>
        <v/>
      </c>
      <c r="AW281" s="32" t="str">
        <f t="shared" si="186"/>
        <v/>
      </c>
      <c r="AX281" s="32" t="str">
        <f t="shared" si="187"/>
        <v/>
      </c>
      <c r="AY281" s="32" t="str">
        <f t="shared" si="188"/>
        <v/>
      </c>
      <c r="BA281" s="32" t="str">
        <f>IF($A282="","",F281*Summary!$Q$9)</f>
        <v/>
      </c>
    </row>
    <row r="282" spans="1:53" ht="12" customHeight="1">
      <c r="A282" s="67" t="str">
        <f t="shared" si="189"/>
        <v/>
      </c>
      <c r="B282" s="69" t="str">
        <f t="shared" si="191"/>
        <v/>
      </c>
      <c r="C282" s="71"/>
      <c r="D282" s="69" t="str">
        <f t="shared" si="154"/>
        <v/>
      </c>
      <c r="E282" s="70" t="str">
        <f t="shared" si="155"/>
        <v/>
      </c>
      <c r="F282" s="70" t="str">
        <f t="shared" si="156"/>
        <v/>
      </c>
      <c r="G282" s="63" t="str">
        <f t="shared" si="157"/>
        <v/>
      </c>
      <c r="H282" s="64" t="str">
        <f t="shared" si="158"/>
        <v/>
      </c>
      <c r="I282" s="43"/>
      <c r="J282" s="63" t="str">
        <f t="shared" si="159"/>
        <v/>
      </c>
      <c r="K282" s="64" t="str">
        <f t="shared" si="160"/>
        <v/>
      </c>
      <c r="L282" s="63" t="str">
        <f t="shared" si="161"/>
        <v/>
      </c>
      <c r="M282" s="64" t="str">
        <f t="shared" si="162"/>
        <v/>
      </c>
      <c r="N282" s="65"/>
      <c r="O282" s="63" t="str">
        <f t="shared" si="163"/>
        <v/>
      </c>
      <c r="P282" s="63" t="str">
        <f t="shared" si="164"/>
        <v/>
      </c>
      <c r="Q282" s="66"/>
      <c r="R282" s="63" t="str">
        <f t="shared" si="165"/>
        <v/>
      </c>
      <c r="S282" s="64" t="str">
        <f t="shared" si="166"/>
        <v/>
      </c>
      <c r="T282" s="63" t="str">
        <f t="shared" si="167"/>
        <v/>
      </c>
      <c r="U282" s="64" t="str">
        <f t="shared" si="168"/>
        <v/>
      </c>
      <c r="V282" s="90" t="str">
        <f>IF($A283="","",IF(AND(MONTH(A282)&gt;3,MONTH(A282)&lt;11),(T282+R282+G282)*Summary!$T$9/(1-Summary!$T$9),(T282+R282+G282)*Summary!$U$9/(1-Summary!$U$9)))</f>
        <v/>
      </c>
      <c r="W282" s="63" t="str">
        <f t="shared" si="169"/>
        <v/>
      </c>
      <c r="X282" s="63" t="str">
        <f t="shared" si="170"/>
        <v/>
      </c>
      <c r="Y282" s="43"/>
      <c r="Z282" s="38" t="str">
        <f t="shared" si="171"/>
        <v/>
      </c>
      <c r="AA282" s="38" t="str">
        <f t="shared" si="172"/>
        <v/>
      </c>
      <c r="AB282" s="38" t="e">
        <f t="shared" si="173"/>
        <v>#VALUE!</v>
      </c>
      <c r="AC282" s="38" t="str">
        <f t="shared" si="174"/>
        <v/>
      </c>
      <c r="AD282" s="38" t="str">
        <f t="shared" si="174"/>
        <v/>
      </c>
      <c r="AE282" s="38" t="e">
        <f t="shared" si="175"/>
        <v>#VALUE!</v>
      </c>
      <c r="AF282" s="237" t="e">
        <f>((Summary!$N$9*(AA282*AD282)*(A282-$D$3))+(Summary!$M$9*Z282*AC282*(AJ282-EOMONTH(EDATE(A282,-1),0))))/(AK282*AB282*AE282)</f>
        <v>#VALUE!</v>
      </c>
      <c r="AG282" s="88" t="str">
        <f>IF($A283="","",Summary!$Q$9)</f>
        <v/>
      </c>
      <c r="AH282" s="88" t="str">
        <f>IF($A283="","",IF(Summary!$R$9="Y",VLOOKUP($A282,Summary!$AD$6:$AF$9,3)+'Escalating commodity'!E295,'Escalating commodity'!E295))</f>
        <v/>
      </c>
      <c r="AI282" s="88" t="str">
        <f t="shared" si="190"/>
        <v/>
      </c>
      <c r="AJ282" s="236" t="e">
        <f t="shared" si="176"/>
        <v>#VALUE!</v>
      </c>
      <c r="AK282" s="58" t="str">
        <f t="shared" si="177"/>
        <v/>
      </c>
      <c r="AL282" s="26" t="str">
        <f>IF($A283="","",_xll.SPRDOPT(P282,X282,AI282,0,AB282,AE282,AF282,AK282,$AJ$2,0))</f>
        <v/>
      </c>
      <c r="AM282" s="89" t="str">
        <f t="shared" si="178"/>
        <v/>
      </c>
      <c r="AN282" s="89" t="str">
        <f t="shared" si="179"/>
        <v/>
      </c>
      <c r="AO282" s="3" t="str">
        <f t="shared" si="180"/>
        <v/>
      </c>
      <c r="AP282" s="33" t="str">
        <f t="shared" si="181"/>
        <v/>
      </c>
      <c r="AQ282" s="58" t="str">
        <f t="shared" si="182"/>
        <v/>
      </c>
      <c r="AR282" s="38">
        <f>'ANR OK vs ML7'!AR282</f>
        <v>0.1</v>
      </c>
      <c r="AS282" s="35" t="str">
        <f t="shared" si="183"/>
        <v/>
      </c>
      <c r="AT282" s="3" t="str">
        <f t="shared" si="184"/>
        <v/>
      </c>
      <c r="AU282" s="3" t="str">
        <f t="shared" si="185"/>
        <v/>
      </c>
      <c r="AW282" s="32" t="str">
        <f t="shared" si="186"/>
        <v/>
      </c>
      <c r="AX282" s="32" t="str">
        <f t="shared" si="187"/>
        <v/>
      </c>
      <c r="AY282" s="32" t="str">
        <f t="shared" si="188"/>
        <v/>
      </c>
      <c r="BA282" s="32" t="str">
        <f>IF($A283="","",F282*Summary!$Q$9)</f>
        <v/>
      </c>
    </row>
    <row r="283" spans="1:53" ht="12" customHeight="1">
      <c r="A283" s="67" t="str">
        <f t="shared" si="189"/>
        <v/>
      </c>
      <c r="B283" s="69" t="str">
        <f t="shared" si="191"/>
        <v/>
      </c>
      <c r="C283" s="71"/>
      <c r="D283" s="69" t="str">
        <f t="shared" si="154"/>
        <v/>
      </c>
      <c r="E283" s="70" t="str">
        <f t="shared" si="155"/>
        <v/>
      </c>
      <c r="F283" s="70" t="str">
        <f t="shared" si="156"/>
        <v/>
      </c>
      <c r="G283" s="63" t="str">
        <f t="shared" si="157"/>
        <v/>
      </c>
      <c r="H283" s="64" t="str">
        <f t="shared" si="158"/>
        <v/>
      </c>
      <c r="I283" s="43"/>
      <c r="J283" s="63" t="str">
        <f t="shared" si="159"/>
        <v/>
      </c>
      <c r="K283" s="64" t="str">
        <f t="shared" si="160"/>
        <v/>
      </c>
      <c r="L283" s="63" t="str">
        <f t="shared" si="161"/>
        <v/>
      </c>
      <c r="M283" s="64" t="str">
        <f t="shared" si="162"/>
        <v/>
      </c>
      <c r="N283" s="65"/>
      <c r="O283" s="63" t="str">
        <f t="shared" si="163"/>
        <v/>
      </c>
      <c r="P283" s="63" t="str">
        <f t="shared" si="164"/>
        <v/>
      </c>
      <c r="Q283" s="66"/>
      <c r="R283" s="63" t="str">
        <f t="shared" si="165"/>
        <v/>
      </c>
      <c r="S283" s="64" t="str">
        <f t="shared" si="166"/>
        <v/>
      </c>
      <c r="T283" s="63" t="str">
        <f t="shared" si="167"/>
        <v/>
      </c>
      <c r="U283" s="64" t="str">
        <f t="shared" si="168"/>
        <v/>
      </c>
      <c r="V283" s="90" t="str">
        <f>IF($A284="","",IF(AND(MONTH(A283)&gt;3,MONTH(A283)&lt;11),(T283+R283+G283)*Summary!$T$9/(1-Summary!$T$9),(T283+R283+G283)*Summary!$U$9/(1-Summary!$U$9)))</f>
        <v/>
      </c>
      <c r="W283" s="63" t="str">
        <f t="shared" si="169"/>
        <v/>
      </c>
      <c r="X283" s="63" t="str">
        <f t="shared" si="170"/>
        <v/>
      </c>
      <c r="Y283" s="43"/>
      <c r="Z283" s="38" t="str">
        <f t="shared" si="171"/>
        <v/>
      </c>
      <c r="AA283" s="38" t="str">
        <f t="shared" si="172"/>
        <v/>
      </c>
      <c r="AB283" s="38" t="e">
        <f t="shared" si="173"/>
        <v>#VALUE!</v>
      </c>
      <c r="AC283" s="38" t="str">
        <f t="shared" si="174"/>
        <v/>
      </c>
      <c r="AD283" s="38" t="str">
        <f t="shared" si="174"/>
        <v/>
      </c>
      <c r="AE283" s="38" t="e">
        <f t="shared" si="175"/>
        <v>#VALUE!</v>
      </c>
      <c r="AF283" s="237" t="e">
        <f>((Summary!$N$9*(AA283*AD283)*(A283-$D$3))+(Summary!$M$9*Z283*AC283*(AJ283-EOMONTH(EDATE(A283,-1),0))))/(AK283*AB283*AE283)</f>
        <v>#VALUE!</v>
      </c>
      <c r="AG283" s="88" t="str">
        <f>IF($A284="","",Summary!$Q$9)</f>
        <v/>
      </c>
      <c r="AH283" s="88" t="str">
        <f>IF($A284="","",IF(Summary!$R$9="Y",VLOOKUP($A283,Summary!$AD$6:$AF$9,3)+'Escalating commodity'!E296,'Escalating commodity'!E296))</f>
        <v/>
      </c>
      <c r="AI283" s="88" t="str">
        <f t="shared" si="190"/>
        <v/>
      </c>
      <c r="AJ283" s="236" t="e">
        <f t="shared" si="176"/>
        <v>#VALUE!</v>
      </c>
      <c r="AK283" s="58" t="str">
        <f t="shared" si="177"/>
        <v/>
      </c>
      <c r="AL283" s="26" t="str">
        <f>IF($A284="","",_xll.SPRDOPT(P283,X283,AI283,0,AB283,AE283,AF283,AK283,$AJ$2,0))</f>
        <v/>
      </c>
      <c r="AM283" s="89" t="str">
        <f t="shared" si="178"/>
        <v/>
      </c>
      <c r="AN283" s="89" t="str">
        <f t="shared" si="179"/>
        <v/>
      </c>
      <c r="AO283" s="3" t="str">
        <f t="shared" si="180"/>
        <v/>
      </c>
      <c r="AP283" s="33" t="str">
        <f t="shared" si="181"/>
        <v/>
      </c>
      <c r="AQ283" s="58" t="str">
        <f t="shared" si="182"/>
        <v/>
      </c>
      <c r="AR283" s="38">
        <f>'ANR OK vs ML7'!AR283</f>
        <v>0.1</v>
      </c>
      <c r="AS283" s="35" t="str">
        <f t="shared" si="183"/>
        <v/>
      </c>
      <c r="AT283" s="3" t="str">
        <f t="shared" si="184"/>
        <v/>
      </c>
      <c r="AU283" s="3" t="str">
        <f t="shared" si="185"/>
        <v/>
      </c>
      <c r="AW283" s="32" t="str">
        <f t="shared" si="186"/>
        <v/>
      </c>
      <c r="AX283" s="32" t="str">
        <f t="shared" si="187"/>
        <v/>
      </c>
      <c r="AY283" s="32" t="str">
        <f t="shared" si="188"/>
        <v/>
      </c>
      <c r="BA283" s="32" t="str">
        <f>IF($A284="","",F283*Summary!$Q$9)</f>
        <v/>
      </c>
    </row>
    <row r="284" spans="1:53" ht="12" customHeight="1">
      <c r="A284" s="67" t="str">
        <f t="shared" si="189"/>
        <v/>
      </c>
      <c r="B284" s="69" t="str">
        <f t="shared" si="191"/>
        <v/>
      </c>
      <c r="C284" s="71"/>
      <c r="D284" s="69" t="str">
        <f t="shared" si="154"/>
        <v/>
      </c>
      <c r="E284" s="70" t="str">
        <f t="shared" si="155"/>
        <v/>
      </c>
      <c r="F284" s="70" t="str">
        <f t="shared" si="156"/>
        <v/>
      </c>
      <c r="G284" s="63" t="str">
        <f t="shared" si="157"/>
        <v/>
      </c>
      <c r="H284" s="64" t="str">
        <f t="shared" si="158"/>
        <v/>
      </c>
      <c r="I284" s="43"/>
      <c r="J284" s="63" t="str">
        <f t="shared" si="159"/>
        <v/>
      </c>
      <c r="K284" s="64" t="str">
        <f t="shared" si="160"/>
        <v/>
      </c>
      <c r="L284" s="63" t="str">
        <f t="shared" si="161"/>
        <v/>
      </c>
      <c r="M284" s="64" t="str">
        <f t="shared" si="162"/>
        <v/>
      </c>
      <c r="N284" s="65"/>
      <c r="O284" s="63" t="str">
        <f t="shared" si="163"/>
        <v/>
      </c>
      <c r="P284" s="63" t="str">
        <f t="shared" si="164"/>
        <v/>
      </c>
      <c r="Q284" s="66"/>
      <c r="R284" s="63" t="str">
        <f t="shared" si="165"/>
        <v/>
      </c>
      <c r="S284" s="64" t="str">
        <f t="shared" si="166"/>
        <v/>
      </c>
      <c r="T284" s="63" t="str">
        <f t="shared" si="167"/>
        <v/>
      </c>
      <c r="U284" s="64" t="str">
        <f t="shared" si="168"/>
        <v/>
      </c>
      <c r="V284" s="90" t="str">
        <f>IF($A285="","",IF(AND(MONTH(A284)&gt;3,MONTH(A284)&lt;11),(T284+R284+G284)*Summary!$T$9/(1-Summary!$T$9),(T284+R284+G284)*Summary!$U$9/(1-Summary!$U$9)))</f>
        <v/>
      </c>
      <c r="W284" s="63" t="str">
        <f t="shared" si="169"/>
        <v/>
      </c>
      <c r="X284" s="63" t="str">
        <f t="shared" si="170"/>
        <v/>
      </c>
      <c r="Y284" s="43"/>
      <c r="Z284" s="38" t="str">
        <f t="shared" si="171"/>
        <v/>
      </c>
      <c r="AA284" s="38" t="str">
        <f t="shared" si="172"/>
        <v/>
      </c>
      <c r="AB284" s="38" t="e">
        <f t="shared" si="173"/>
        <v>#VALUE!</v>
      </c>
      <c r="AC284" s="38" t="str">
        <f t="shared" si="174"/>
        <v/>
      </c>
      <c r="AD284" s="38" t="str">
        <f t="shared" si="174"/>
        <v/>
      </c>
      <c r="AE284" s="38" t="e">
        <f t="shared" si="175"/>
        <v>#VALUE!</v>
      </c>
      <c r="AF284" s="237" t="e">
        <f>((Summary!$N$9*(AA284*AD284)*(A284-$D$3))+(Summary!$M$9*Z284*AC284*(AJ284-EOMONTH(EDATE(A284,-1),0))))/(AK284*AB284*AE284)</f>
        <v>#VALUE!</v>
      </c>
      <c r="AG284" s="88" t="str">
        <f>IF($A285="","",Summary!$Q$9)</f>
        <v/>
      </c>
      <c r="AH284" s="88" t="str">
        <f>IF($A285="","",IF(Summary!$R$9="Y",VLOOKUP($A284,Summary!$AD$6:$AF$9,3)+'Escalating commodity'!E297,'Escalating commodity'!E297))</f>
        <v/>
      </c>
      <c r="AI284" s="88" t="str">
        <f t="shared" si="190"/>
        <v/>
      </c>
      <c r="AJ284" s="236" t="e">
        <f t="shared" si="176"/>
        <v>#VALUE!</v>
      </c>
      <c r="AK284" s="58" t="str">
        <f t="shared" si="177"/>
        <v/>
      </c>
      <c r="AL284" s="26" t="str">
        <f>IF($A285="","",_xll.SPRDOPT(P284,X284,AI284,0,AB284,AE284,AF284,AK284,$AJ$2,0))</f>
        <v/>
      </c>
      <c r="AM284" s="89" t="str">
        <f t="shared" si="178"/>
        <v/>
      </c>
      <c r="AN284" s="89" t="str">
        <f t="shared" si="179"/>
        <v/>
      </c>
      <c r="AO284" s="3" t="str">
        <f t="shared" si="180"/>
        <v/>
      </c>
      <c r="AP284" s="33" t="str">
        <f t="shared" si="181"/>
        <v/>
      </c>
      <c r="AQ284" s="58" t="str">
        <f t="shared" si="182"/>
        <v/>
      </c>
      <c r="AR284" s="38">
        <f>'ANR OK vs ML7'!AR284</f>
        <v>0.1</v>
      </c>
      <c r="AS284" s="35" t="str">
        <f t="shared" si="183"/>
        <v/>
      </c>
      <c r="AT284" s="3" t="str">
        <f t="shared" si="184"/>
        <v/>
      </c>
      <c r="AU284" s="3" t="str">
        <f t="shared" si="185"/>
        <v/>
      </c>
      <c r="AW284" s="32" t="str">
        <f t="shared" si="186"/>
        <v/>
      </c>
      <c r="AX284" s="32" t="str">
        <f t="shared" si="187"/>
        <v/>
      </c>
      <c r="AY284" s="32" t="str">
        <f t="shared" si="188"/>
        <v/>
      </c>
      <c r="BA284" s="32" t="str">
        <f>IF($A285="","",F284*Summary!$Q$9)</f>
        <v/>
      </c>
    </row>
    <row r="285" spans="1:53" ht="12" customHeight="1">
      <c r="A285" s="67" t="str">
        <f t="shared" si="189"/>
        <v/>
      </c>
      <c r="B285" s="69" t="str">
        <f t="shared" si="191"/>
        <v/>
      </c>
      <c r="C285" s="71"/>
      <c r="D285" s="69" t="str">
        <f t="shared" si="154"/>
        <v/>
      </c>
      <c r="E285" s="70" t="str">
        <f t="shared" si="155"/>
        <v/>
      </c>
      <c r="F285" s="70" t="str">
        <f t="shared" si="156"/>
        <v/>
      </c>
      <c r="G285" s="63" t="str">
        <f t="shared" si="157"/>
        <v/>
      </c>
      <c r="H285" s="64" t="str">
        <f t="shared" si="158"/>
        <v/>
      </c>
      <c r="I285" s="43"/>
      <c r="J285" s="63" t="str">
        <f t="shared" si="159"/>
        <v/>
      </c>
      <c r="K285" s="64" t="str">
        <f t="shared" si="160"/>
        <v/>
      </c>
      <c r="L285" s="63" t="str">
        <f t="shared" si="161"/>
        <v/>
      </c>
      <c r="M285" s="64" t="str">
        <f t="shared" si="162"/>
        <v/>
      </c>
      <c r="N285" s="65"/>
      <c r="O285" s="63" t="str">
        <f t="shared" si="163"/>
        <v/>
      </c>
      <c r="P285" s="63" t="str">
        <f t="shared" si="164"/>
        <v/>
      </c>
      <c r="Q285" s="66"/>
      <c r="R285" s="63" t="str">
        <f t="shared" si="165"/>
        <v/>
      </c>
      <c r="S285" s="64" t="str">
        <f t="shared" si="166"/>
        <v/>
      </c>
      <c r="T285" s="63" t="str">
        <f t="shared" si="167"/>
        <v/>
      </c>
      <c r="U285" s="64" t="str">
        <f t="shared" si="168"/>
        <v/>
      </c>
      <c r="V285" s="90" t="str">
        <f>IF($A286="","",IF(AND(MONTH(A285)&gt;3,MONTH(A285)&lt;11),(T285+R285+G285)*Summary!$T$9/(1-Summary!$T$9),(T285+R285+G285)*Summary!$U$9/(1-Summary!$U$9)))</f>
        <v/>
      </c>
      <c r="W285" s="63" t="str">
        <f t="shared" si="169"/>
        <v/>
      </c>
      <c r="X285" s="63" t="str">
        <f t="shared" si="170"/>
        <v/>
      </c>
      <c r="Y285" s="43"/>
      <c r="Z285" s="38" t="str">
        <f t="shared" si="171"/>
        <v/>
      </c>
      <c r="AA285" s="38" t="str">
        <f t="shared" si="172"/>
        <v/>
      </c>
      <c r="AB285" s="38" t="e">
        <f t="shared" si="173"/>
        <v>#VALUE!</v>
      </c>
      <c r="AC285" s="38" t="str">
        <f t="shared" si="174"/>
        <v/>
      </c>
      <c r="AD285" s="38" t="str">
        <f t="shared" si="174"/>
        <v/>
      </c>
      <c r="AE285" s="38" t="e">
        <f t="shared" si="175"/>
        <v>#VALUE!</v>
      </c>
      <c r="AF285" s="237" t="e">
        <f>((Summary!$N$9*(AA285*AD285)*(A285-$D$3))+(Summary!$M$9*Z285*AC285*(AJ285-EOMONTH(EDATE(A285,-1),0))))/(AK285*AB285*AE285)</f>
        <v>#VALUE!</v>
      </c>
      <c r="AG285" s="88" t="str">
        <f>IF($A286="","",Summary!$Q$9)</f>
        <v/>
      </c>
      <c r="AH285" s="88" t="str">
        <f>IF($A286="","",IF(Summary!$R$9="Y",VLOOKUP($A285,Summary!$AD$6:$AF$9,3)+'Escalating commodity'!E298,'Escalating commodity'!E298))</f>
        <v/>
      </c>
      <c r="AI285" s="88" t="str">
        <f t="shared" si="190"/>
        <v/>
      </c>
      <c r="AJ285" s="236" t="e">
        <f t="shared" si="176"/>
        <v>#VALUE!</v>
      </c>
      <c r="AK285" s="58" t="str">
        <f t="shared" si="177"/>
        <v/>
      </c>
      <c r="AL285" s="26" t="str">
        <f>IF($A286="","",_xll.SPRDOPT(P285,X285,AI285,0,AB285,AE285,AF285,AK285,$AJ$2,0))</f>
        <v/>
      </c>
      <c r="AM285" s="89" t="str">
        <f t="shared" si="178"/>
        <v/>
      </c>
      <c r="AN285" s="89" t="str">
        <f t="shared" si="179"/>
        <v/>
      </c>
      <c r="AO285" s="3" t="str">
        <f t="shared" si="180"/>
        <v/>
      </c>
      <c r="AP285" s="33" t="str">
        <f t="shared" si="181"/>
        <v/>
      </c>
      <c r="AQ285" s="58" t="str">
        <f t="shared" si="182"/>
        <v/>
      </c>
      <c r="AR285" s="38">
        <f>'ANR OK vs ML7'!AR285</f>
        <v>0.1</v>
      </c>
      <c r="AS285" s="35" t="str">
        <f t="shared" si="183"/>
        <v/>
      </c>
      <c r="AT285" s="3" t="str">
        <f t="shared" si="184"/>
        <v/>
      </c>
      <c r="AU285" s="3" t="str">
        <f t="shared" si="185"/>
        <v/>
      </c>
      <c r="AW285" s="32" t="str">
        <f t="shared" si="186"/>
        <v/>
      </c>
      <c r="AX285" s="32" t="str">
        <f t="shared" si="187"/>
        <v/>
      </c>
      <c r="AY285" s="32" t="str">
        <f t="shared" si="188"/>
        <v/>
      </c>
      <c r="BA285" s="32" t="str">
        <f>IF($A286="","",F285*Summary!$Q$9)</f>
        <v/>
      </c>
    </row>
    <row r="286" spans="1:53" ht="12" customHeight="1">
      <c r="A286" s="67" t="str">
        <f t="shared" si="189"/>
        <v/>
      </c>
      <c r="B286" s="69" t="str">
        <f t="shared" si="191"/>
        <v/>
      </c>
      <c r="C286" s="71"/>
      <c r="D286" s="69" t="str">
        <f t="shared" si="154"/>
        <v/>
      </c>
      <c r="E286" s="70" t="str">
        <f t="shared" si="155"/>
        <v/>
      </c>
      <c r="F286" s="70" t="str">
        <f t="shared" si="156"/>
        <v/>
      </c>
      <c r="G286" s="63" t="str">
        <f t="shared" si="157"/>
        <v/>
      </c>
      <c r="H286" s="64" t="str">
        <f t="shared" si="158"/>
        <v/>
      </c>
      <c r="I286" s="43"/>
      <c r="J286" s="63" t="str">
        <f t="shared" si="159"/>
        <v/>
      </c>
      <c r="K286" s="64" t="str">
        <f t="shared" si="160"/>
        <v/>
      </c>
      <c r="L286" s="63" t="str">
        <f t="shared" si="161"/>
        <v/>
      </c>
      <c r="M286" s="64" t="str">
        <f t="shared" si="162"/>
        <v/>
      </c>
      <c r="N286" s="65"/>
      <c r="O286" s="63" t="str">
        <f t="shared" si="163"/>
        <v/>
      </c>
      <c r="P286" s="63" t="str">
        <f t="shared" si="164"/>
        <v/>
      </c>
      <c r="Q286" s="66"/>
      <c r="R286" s="63" t="str">
        <f t="shared" si="165"/>
        <v/>
      </c>
      <c r="S286" s="64" t="str">
        <f t="shared" si="166"/>
        <v/>
      </c>
      <c r="T286" s="63" t="str">
        <f t="shared" si="167"/>
        <v/>
      </c>
      <c r="U286" s="64" t="str">
        <f t="shared" si="168"/>
        <v/>
      </c>
      <c r="V286" s="90" t="str">
        <f>IF($A287="","",IF(AND(MONTH(A286)&gt;3,MONTH(A286)&lt;11),(T286+R286+G286)*Summary!$T$9/(1-Summary!$T$9),(T286+R286+G286)*Summary!$U$9/(1-Summary!$U$9)))</f>
        <v/>
      </c>
      <c r="W286" s="63" t="str">
        <f t="shared" si="169"/>
        <v/>
      </c>
      <c r="X286" s="63" t="str">
        <f t="shared" si="170"/>
        <v/>
      </c>
      <c r="Y286" s="43"/>
      <c r="Z286" s="38" t="str">
        <f t="shared" si="171"/>
        <v/>
      </c>
      <c r="AA286" s="38" t="str">
        <f t="shared" si="172"/>
        <v/>
      </c>
      <c r="AB286" s="38" t="e">
        <f t="shared" si="173"/>
        <v>#VALUE!</v>
      </c>
      <c r="AC286" s="38" t="str">
        <f t="shared" si="174"/>
        <v/>
      </c>
      <c r="AD286" s="38" t="str">
        <f t="shared" si="174"/>
        <v/>
      </c>
      <c r="AE286" s="38" t="e">
        <f t="shared" si="175"/>
        <v>#VALUE!</v>
      </c>
      <c r="AF286" s="237" t="e">
        <f>((Summary!$N$9*(AA286*AD286)*(A286-$D$3))+(Summary!$M$9*Z286*AC286*(AJ286-EOMONTH(EDATE(A286,-1),0))))/(AK286*AB286*AE286)</f>
        <v>#VALUE!</v>
      </c>
      <c r="AG286" s="88" t="str">
        <f>IF($A287="","",Summary!$Q$9)</f>
        <v/>
      </c>
      <c r="AH286" s="88" t="str">
        <f>IF($A287="","",IF(Summary!$R$9="Y",VLOOKUP($A286,Summary!$AD$6:$AF$9,3)+'Escalating commodity'!E299,'Escalating commodity'!E299))</f>
        <v/>
      </c>
      <c r="AI286" s="88" t="str">
        <f t="shared" si="190"/>
        <v/>
      </c>
      <c r="AJ286" s="236" t="e">
        <f t="shared" si="176"/>
        <v>#VALUE!</v>
      </c>
      <c r="AK286" s="58" t="str">
        <f t="shared" si="177"/>
        <v/>
      </c>
      <c r="AL286" s="26" t="str">
        <f>IF($A287="","",_xll.SPRDOPT(P286,X286,AI286,0,AB286,AE286,AF286,AK286,$AJ$2,0))</f>
        <v/>
      </c>
      <c r="AM286" s="89" t="str">
        <f t="shared" si="178"/>
        <v/>
      </c>
      <c r="AN286" s="89" t="str">
        <f t="shared" si="179"/>
        <v/>
      </c>
      <c r="AO286" s="3" t="str">
        <f t="shared" si="180"/>
        <v/>
      </c>
      <c r="AP286" s="33" t="str">
        <f t="shared" si="181"/>
        <v/>
      </c>
      <c r="AQ286" s="58" t="str">
        <f t="shared" si="182"/>
        <v/>
      </c>
      <c r="AR286" s="38">
        <f>'ANR OK vs ML7'!AR286</f>
        <v>0.1</v>
      </c>
      <c r="AS286" s="35" t="str">
        <f t="shared" si="183"/>
        <v/>
      </c>
      <c r="AT286" s="3" t="str">
        <f t="shared" si="184"/>
        <v/>
      </c>
      <c r="AU286" s="3" t="str">
        <f t="shared" si="185"/>
        <v/>
      </c>
      <c r="AW286" s="32" t="str">
        <f t="shared" si="186"/>
        <v/>
      </c>
      <c r="AX286" s="32" t="str">
        <f t="shared" si="187"/>
        <v/>
      </c>
      <c r="AY286" s="32" t="str">
        <f t="shared" si="188"/>
        <v/>
      </c>
      <c r="BA286" s="32" t="str">
        <f>IF($A287="","",F286*Summary!$Q$9)</f>
        <v/>
      </c>
    </row>
    <row r="287" spans="1:53" ht="12" customHeight="1">
      <c r="A287" s="67" t="str">
        <f t="shared" si="189"/>
        <v/>
      </c>
      <c r="B287" s="69" t="str">
        <f t="shared" si="191"/>
        <v/>
      </c>
      <c r="C287" s="71"/>
      <c r="D287" s="69" t="str">
        <f t="shared" si="154"/>
        <v/>
      </c>
      <c r="E287" s="70" t="str">
        <f t="shared" si="155"/>
        <v/>
      </c>
      <c r="F287" s="70" t="str">
        <f t="shared" si="156"/>
        <v/>
      </c>
      <c r="G287" s="63" t="str">
        <f t="shared" si="157"/>
        <v/>
      </c>
      <c r="H287" s="64" t="str">
        <f t="shared" si="158"/>
        <v/>
      </c>
      <c r="I287" s="43"/>
      <c r="J287" s="63" t="str">
        <f t="shared" si="159"/>
        <v/>
      </c>
      <c r="K287" s="64" t="str">
        <f t="shared" si="160"/>
        <v/>
      </c>
      <c r="L287" s="63" t="str">
        <f t="shared" si="161"/>
        <v/>
      </c>
      <c r="M287" s="64" t="str">
        <f t="shared" si="162"/>
        <v/>
      </c>
      <c r="N287" s="65"/>
      <c r="O287" s="63" t="str">
        <f t="shared" si="163"/>
        <v/>
      </c>
      <c r="P287" s="63" t="str">
        <f t="shared" si="164"/>
        <v/>
      </c>
      <c r="Q287" s="66"/>
      <c r="R287" s="63" t="str">
        <f t="shared" si="165"/>
        <v/>
      </c>
      <c r="S287" s="64" t="str">
        <f t="shared" si="166"/>
        <v/>
      </c>
      <c r="T287" s="63" t="str">
        <f t="shared" si="167"/>
        <v/>
      </c>
      <c r="U287" s="64" t="str">
        <f t="shared" si="168"/>
        <v/>
      </c>
      <c r="V287" s="90" t="str">
        <f>IF($A288="","",IF(AND(MONTH(A287)&gt;3,MONTH(A287)&lt;11),(T287+R287+G287)*Summary!$T$9/(1-Summary!$T$9),(T287+R287+G287)*Summary!$U$9/(1-Summary!$U$9)))</f>
        <v/>
      </c>
      <c r="W287" s="63" t="str">
        <f t="shared" si="169"/>
        <v/>
      </c>
      <c r="X287" s="63" t="str">
        <f t="shared" si="170"/>
        <v/>
      </c>
      <c r="Y287" s="43"/>
      <c r="Z287" s="38" t="str">
        <f t="shared" si="171"/>
        <v/>
      </c>
      <c r="AA287" s="38" t="str">
        <f t="shared" si="172"/>
        <v/>
      </c>
      <c r="AB287" s="38" t="e">
        <f t="shared" si="173"/>
        <v>#VALUE!</v>
      </c>
      <c r="AC287" s="38" t="str">
        <f t="shared" si="174"/>
        <v/>
      </c>
      <c r="AD287" s="38" t="str">
        <f t="shared" si="174"/>
        <v/>
      </c>
      <c r="AE287" s="38" t="e">
        <f t="shared" si="175"/>
        <v>#VALUE!</v>
      </c>
      <c r="AF287" s="237" t="e">
        <f>((Summary!$N$9*(AA287*AD287)*(A287-$D$3))+(Summary!$M$9*Z287*AC287*(AJ287-EOMONTH(EDATE(A287,-1),0))))/(AK287*AB287*AE287)</f>
        <v>#VALUE!</v>
      </c>
      <c r="AG287" s="88" t="str">
        <f>IF($A288="","",Summary!$Q$9)</f>
        <v/>
      </c>
      <c r="AH287" s="88" t="str">
        <f>IF($A288="","",IF(Summary!$R$9="Y",VLOOKUP($A287,Summary!$AD$6:$AF$9,3)+'Escalating commodity'!E300,'Escalating commodity'!E300))</f>
        <v/>
      </c>
      <c r="AI287" s="88" t="str">
        <f t="shared" si="190"/>
        <v/>
      </c>
      <c r="AJ287" s="236" t="e">
        <f t="shared" si="176"/>
        <v>#VALUE!</v>
      </c>
      <c r="AK287" s="58" t="str">
        <f t="shared" si="177"/>
        <v/>
      </c>
      <c r="AL287" s="26" t="str">
        <f>IF($A288="","",_xll.SPRDOPT(P287,X287,AI287,0,AB287,AE287,AF287,AK287,$AJ$2,0))</f>
        <v/>
      </c>
      <c r="AM287" s="89" t="str">
        <f t="shared" si="178"/>
        <v/>
      </c>
      <c r="AN287" s="89" t="str">
        <f t="shared" si="179"/>
        <v/>
      </c>
      <c r="AO287" s="3" t="str">
        <f t="shared" si="180"/>
        <v/>
      </c>
      <c r="AP287" s="33" t="str">
        <f t="shared" si="181"/>
        <v/>
      </c>
      <c r="AQ287" s="58" t="str">
        <f t="shared" si="182"/>
        <v/>
      </c>
      <c r="AR287" s="38">
        <f>'ANR OK vs ML7'!AR287</f>
        <v>0.1</v>
      </c>
      <c r="AS287" s="35" t="str">
        <f t="shared" si="183"/>
        <v/>
      </c>
      <c r="AT287" s="3" t="str">
        <f t="shared" si="184"/>
        <v/>
      </c>
      <c r="AU287" s="3" t="str">
        <f t="shared" si="185"/>
        <v/>
      </c>
      <c r="AW287" s="32" t="str">
        <f t="shared" si="186"/>
        <v/>
      </c>
      <c r="AX287" s="32" t="str">
        <f t="shared" si="187"/>
        <v/>
      </c>
      <c r="AY287" s="32" t="str">
        <f t="shared" si="188"/>
        <v/>
      </c>
      <c r="BA287" s="32" t="str">
        <f>IF($A288="","",F287*Summary!$Q$9)</f>
        <v/>
      </c>
    </row>
    <row r="288" spans="1:53" ht="12" customHeight="1">
      <c r="A288" s="67" t="str">
        <f t="shared" si="189"/>
        <v/>
      </c>
      <c r="B288" s="69" t="str">
        <f t="shared" si="191"/>
        <v/>
      </c>
      <c r="C288" s="71"/>
      <c r="D288" s="69" t="str">
        <f t="shared" si="154"/>
        <v/>
      </c>
      <c r="E288" s="70" t="str">
        <f t="shared" si="155"/>
        <v/>
      </c>
      <c r="F288" s="70" t="str">
        <f t="shared" si="156"/>
        <v/>
      </c>
      <c r="G288" s="63" t="str">
        <f t="shared" si="157"/>
        <v/>
      </c>
      <c r="H288" s="64" t="str">
        <f t="shared" si="158"/>
        <v/>
      </c>
      <c r="I288" s="43"/>
      <c r="J288" s="63" t="str">
        <f t="shared" si="159"/>
        <v/>
      </c>
      <c r="K288" s="64" t="str">
        <f t="shared" si="160"/>
        <v/>
      </c>
      <c r="L288" s="63" t="str">
        <f t="shared" si="161"/>
        <v/>
      </c>
      <c r="M288" s="64" t="str">
        <f t="shared" si="162"/>
        <v/>
      </c>
      <c r="N288" s="65"/>
      <c r="O288" s="63" t="str">
        <f t="shared" si="163"/>
        <v/>
      </c>
      <c r="P288" s="63" t="str">
        <f t="shared" si="164"/>
        <v/>
      </c>
      <c r="Q288" s="66"/>
      <c r="R288" s="63" t="str">
        <f t="shared" si="165"/>
        <v/>
      </c>
      <c r="S288" s="64" t="str">
        <f t="shared" si="166"/>
        <v/>
      </c>
      <c r="T288" s="63" t="str">
        <f t="shared" si="167"/>
        <v/>
      </c>
      <c r="U288" s="64" t="str">
        <f t="shared" si="168"/>
        <v/>
      </c>
      <c r="V288" s="90" t="str">
        <f>IF($A289="","",IF(AND(MONTH(A288)&gt;3,MONTH(A288)&lt;11),(T288+R288+G288)*Summary!$T$9/(1-Summary!$T$9),(T288+R288+G288)*Summary!$U$9/(1-Summary!$U$9)))</f>
        <v/>
      </c>
      <c r="W288" s="63" t="str">
        <f t="shared" si="169"/>
        <v/>
      </c>
      <c r="X288" s="63" t="str">
        <f t="shared" si="170"/>
        <v/>
      </c>
      <c r="Y288" s="43"/>
      <c r="Z288" s="38" t="str">
        <f t="shared" si="171"/>
        <v/>
      </c>
      <c r="AA288" s="38" t="str">
        <f t="shared" si="172"/>
        <v/>
      </c>
      <c r="AB288" s="38" t="e">
        <f t="shared" si="173"/>
        <v>#VALUE!</v>
      </c>
      <c r="AC288" s="38" t="str">
        <f t="shared" si="174"/>
        <v/>
      </c>
      <c r="AD288" s="38" t="str">
        <f t="shared" si="174"/>
        <v/>
      </c>
      <c r="AE288" s="38" t="e">
        <f t="shared" si="175"/>
        <v>#VALUE!</v>
      </c>
      <c r="AF288" s="237" t="e">
        <f>((Summary!$N$9*(AA288*AD288)*(A288-$D$3))+(Summary!$M$9*Z288*AC288*(AJ288-EOMONTH(EDATE(A288,-1),0))))/(AK288*AB288*AE288)</f>
        <v>#VALUE!</v>
      </c>
      <c r="AG288" s="88" t="str">
        <f>IF($A289="","",Summary!$Q$9)</f>
        <v/>
      </c>
      <c r="AH288" s="88" t="str">
        <f>IF($A289="","",IF(Summary!$R$9="Y",VLOOKUP($A288,Summary!$AD$6:$AF$9,3)+'Escalating commodity'!E301,'Escalating commodity'!E301))</f>
        <v/>
      </c>
      <c r="AI288" s="88" t="str">
        <f t="shared" si="190"/>
        <v/>
      </c>
      <c r="AJ288" s="236" t="e">
        <f t="shared" si="176"/>
        <v>#VALUE!</v>
      </c>
      <c r="AK288" s="58" t="str">
        <f t="shared" si="177"/>
        <v/>
      </c>
      <c r="AL288" s="26" t="str">
        <f>IF($A289="","",_xll.SPRDOPT(P288,X288,AI288,0,AB288,AE288,AF288,AK288,$AJ$2,0))</f>
        <v/>
      </c>
      <c r="AM288" s="89" t="str">
        <f t="shared" si="178"/>
        <v/>
      </c>
      <c r="AN288" s="89" t="str">
        <f t="shared" si="179"/>
        <v/>
      </c>
      <c r="AO288" s="3" t="str">
        <f t="shared" si="180"/>
        <v/>
      </c>
      <c r="AP288" s="33" t="str">
        <f t="shared" si="181"/>
        <v/>
      </c>
      <c r="AQ288" s="58" t="str">
        <f t="shared" si="182"/>
        <v/>
      </c>
      <c r="AR288" s="38">
        <f>'ANR OK vs ML7'!AR288</f>
        <v>0.1</v>
      </c>
      <c r="AS288" s="35" t="str">
        <f t="shared" si="183"/>
        <v/>
      </c>
      <c r="AT288" s="3" t="str">
        <f t="shared" si="184"/>
        <v/>
      </c>
      <c r="AU288" s="3" t="str">
        <f t="shared" si="185"/>
        <v/>
      </c>
      <c r="AW288" s="32" t="str">
        <f t="shared" si="186"/>
        <v/>
      </c>
      <c r="AX288" s="32" t="str">
        <f t="shared" si="187"/>
        <v/>
      </c>
      <c r="AY288" s="32" t="str">
        <f t="shared" si="188"/>
        <v/>
      </c>
      <c r="BA288" s="32" t="str">
        <f>IF($A289="","",F288*Summary!$Q$9)</f>
        <v/>
      </c>
    </row>
    <row r="289" spans="1:53" ht="12" customHeight="1">
      <c r="A289" s="67" t="str">
        <f t="shared" si="189"/>
        <v/>
      </c>
      <c r="B289" s="69" t="str">
        <f t="shared" si="191"/>
        <v/>
      </c>
      <c r="C289" s="71"/>
      <c r="D289" s="69" t="str">
        <f t="shared" si="154"/>
        <v/>
      </c>
      <c r="E289" s="70" t="str">
        <f t="shared" si="155"/>
        <v/>
      </c>
      <c r="F289" s="70" t="str">
        <f t="shared" si="156"/>
        <v/>
      </c>
      <c r="G289" s="63" t="str">
        <f t="shared" si="157"/>
        <v/>
      </c>
      <c r="H289" s="64" t="str">
        <f t="shared" si="158"/>
        <v/>
      </c>
      <c r="I289" s="43"/>
      <c r="J289" s="63" t="str">
        <f t="shared" si="159"/>
        <v/>
      </c>
      <c r="K289" s="64" t="str">
        <f t="shared" si="160"/>
        <v/>
      </c>
      <c r="L289" s="63" t="str">
        <f t="shared" si="161"/>
        <v/>
      </c>
      <c r="M289" s="64" t="str">
        <f t="shared" si="162"/>
        <v/>
      </c>
      <c r="N289" s="65"/>
      <c r="O289" s="63" t="str">
        <f t="shared" si="163"/>
        <v/>
      </c>
      <c r="P289" s="63" t="str">
        <f t="shared" si="164"/>
        <v/>
      </c>
      <c r="Q289" s="66"/>
      <c r="R289" s="63" t="str">
        <f t="shared" si="165"/>
        <v/>
      </c>
      <c r="S289" s="64" t="str">
        <f t="shared" si="166"/>
        <v/>
      </c>
      <c r="T289" s="63" t="str">
        <f t="shared" si="167"/>
        <v/>
      </c>
      <c r="U289" s="64" t="str">
        <f t="shared" si="168"/>
        <v/>
      </c>
      <c r="V289" s="90" t="str">
        <f>IF($A290="","",IF(AND(MONTH(A289)&gt;3,MONTH(A289)&lt;11),(T289+R289+G289)*Summary!$T$9/(1-Summary!$T$9),(T289+R289+G289)*Summary!$U$9/(1-Summary!$U$9)))</f>
        <v/>
      </c>
      <c r="W289" s="63" t="str">
        <f t="shared" si="169"/>
        <v/>
      </c>
      <c r="X289" s="63" t="str">
        <f t="shared" si="170"/>
        <v/>
      </c>
      <c r="Y289" s="43"/>
      <c r="Z289" s="38" t="str">
        <f t="shared" si="171"/>
        <v/>
      </c>
      <c r="AA289" s="38" t="str">
        <f t="shared" si="172"/>
        <v/>
      </c>
      <c r="AB289" s="38" t="e">
        <f t="shared" si="173"/>
        <v>#VALUE!</v>
      </c>
      <c r="AC289" s="38" t="str">
        <f t="shared" si="174"/>
        <v/>
      </c>
      <c r="AD289" s="38" t="str">
        <f t="shared" si="174"/>
        <v/>
      </c>
      <c r="AE289" s="38" t="e">
        <f t="shared" si="175"/>
        <v>#VALUE!</v>
      </c>
      <c r="AF289" s="237" t="e">
        <f>((Summary!$N$9*(AA289*AD289)*(A289-$D$3))+(Summary!$M$9*Z289*AC289*(AJ289-EOMONTH(EDATE(A289,-1),0))))/(AK289*AB289*AE289)</f>
        <v>#VALUE!</v>
      </c>
      <c r="AG289" s="88" t="str">
        <f>IF($A290="","",Summary!$Q$9)</f>
        <v/>
      </c>
      <c r="AH289" s="88" t="str">
        <f>IF($A290="","",IF(Summary!$R$9="Y",VLOOKUP($A289,Summary!$AD$6:$AF$9,3)+'Escalating commodity'!E302,'Escalating commodity'!E302))</f>
        <v/>
      </c>
      <c r="AI289" s="88" t="str">
        <f t="shared" si="190"/>
        <v/>
      </c>
      <c r="AJ289" s="236" t="e">
        <f t="shared" si="176"/>
        <v>#VALUE!</v>
      </c>
      <c r="AK289" s="58" t="str">
        <f t="shared" si="177"/>
        <v/>
      </c>
      <c r="AL289" s="26" t="str">
        <f>IF($A290="","",_xll.SPRDOPT(P289,X289,AI289,0,AB289,AE289,AF289,AK289,$AJ$2,0))</f>
        <v/>
      </c>
      <c r="AM289" s="89" t="str">
        <f t="shared" si="178"/>
        <v/>
      </c>
      <c r="AN289" s="89" t="str">
        <f t="shared" si="179"/>
        <v/>
      </c>
      <c r="AO289" s="3" t="str">
        <f t="shared" si="180"/>
        <v/>
      </c>
      <c r="AP289" s="33" t="str">
        <f t="shared" si="181"/>
        <v/>
      </c>
      <c r="AQ289" s="58" t="str">
        <f t="shared" si="182"/>
        <v/>
      </c>
      <c r="AR289" s="38">
        <f>'ANR OK vs ML7'!AR289</f>
        <v>0.1</v>
      </c>
      <c r="AS289" s="35" t="str">
        <f t="shared" si="183"/>
        <v/>
      </c>
      <c r="AT289" s="3" t="str">
        <f t="shared" si="184"/>
        <v/>
      </c>
      <c r="AU289" s="3" t="str">
        <f t="shared" si="185"/>
        <v/>
      </c>
      <c r="AW289" s="32" t="str">
        <f t="shared" si="186"/>
        <v/>
      </c>
      <c r="AX289" s="32" t="str">
        <f t="shared" si="187"/>
        <v/>
      </c>
      <c r="AY289" s="32" t="str">
        <f t="shared" si="188"/>
        <v/>
      </c>
      <c r="BA289" s="32" t="str">
        <f>IF($A290="","",F289*Summary!$Q$9)</f>
        <v/>
      </c>
    </row>
    <row r="290" spans="1:53" ht="12" customHeight="1">
      <c r="A290" s="67" t="str">
        <f t="shared" si="189"/>
        <v/>
      </c>
      <c r="B290" s="69" t="str">
        <f t="shared" si="191"/>
        <v/>
      </c>
      <c r="C290" s="71"/>
      <c r="D290" s="69" t="str">
        <f t="shared" si="154"/>
        <v/>
      </c>
      <c r="E290" s="70" t="str">
        <f t="shared" si="155"/>
        <v/>
      </c>
      <c r="F290" s="70" t="str">
        <f t="shared" si="156"/>
        <v/>
      </c>
      <c r="G290" s="63" t="str">
        <f t="shared" si="157"/>
        <v/>
      </c>
      <c r="H290" s="64" t="str">
        <f t="shared" si="158"/>
        <v/>
      </c>
      <c r="I290" s="43"/>
      <c r="J290" s="63" t="str">
        <f t="shared" si="159"/>
        <v/>
      </c>
      <c r="K290" s="64" t="str">
        <f t="shared" si="160"/>
        <v/>
      </c>
      <c r="L290" s="63" t="str">
        <f t="shared" si="161"/>
        <v/>
      </c>
      <c r="M290" s="64" t="str">
        <f t="shared" si="162"/>
        <v/>
      </c>
      <c r="N290" s="65"/>
      <c r="O290" s="63" t="str">
        <f t="shared" si="163"/>
        <v/>
      </c>
      <c r="P290" s="63" t="str">
        <f t="shared" si="164"/>
        <v/>
      </c>
      <c r="Q290" s="66"/>
      <c r="R290" s="63" t="str">
        <f t="shared" si="165"/>
        <v/>
      </c>
      <c r="S290" s="64" t="str">
        <f t="shared" si="166"/>
        <v/>
      </c>
      <c r="T290" s="63" t="str">
        <f t="shared" si="167"/>
        <v/>
      </c>
      <c r="U290" s="64" t="str">
        <f t="shared" si="168"/>
        <v/>
      </c>
      <c r="V290" s="90" t="str">
        <f>IF($A291="","",IF(AND(MONTH(A290)&gt;3,MONTH(A290)&lt;11),(T290+R290+G290)*Summary!$T$9/(1-Summary!$T$9),(T290+R290+G290)*Summary!$U$9/(1-Summary!$U$9)))</f>
        <v/>
      </c>
      <c r="W290" s="63" t="str">
        <f t="shared" si="169"/>
        <v/>
      </c>
      <c r="X290" s="63" t="str">
        <f t="shared" si="170"/>
        <v/>
      </c>
      <c r="Y290" s="43"/>
      <c r="Z290" s="38" t="str">
        <f t="shared" si="171"/>
        <v/>
      </c>
      <c r="AA290" s="38" t="str">
        <f t="shared" si="172"/>
        <v/>
      </c>
      <c r="AB290" s="38" t="e">
        <f t="shared" si="173"/>
        <v>#VALUE!</v>
      </c>
      <c r="AC290" s="38" t="str">
        <f t="shared" si="174"/>
        <v/>
      </c>
      <c r="AD290" s="38" t="str">
        <f t="shared" si="174"/>
        <v/>
      </c>
      <c r="AE290" s="38" t="e">
        <f t="shared" si="175"/>
        <v>#VALUE!</v>
      </c>
      <c r="AF290" s="237" t="e">
        <f>((Summary!$N$9*(AA290*AD290)*(A290-$D$3))+(Summary!$M$9*Z290*AC290*(AJ290-EOMONTH(EDATE(A290,-1),0))))/(AK290*AB290*AE290)</f>
        <v>#VALUE!</v>
      </c>
      <c r="AG290" s="88" t="str">
        <f>IF($A291="","",Summary!$Q$9)</f>
        <v/>
      </c>
      <c r="AH290" s="88" t="str">
        <f>IF($A291="","",IF(Summary!$R$9="Y",VLOOKUP($A290,Summary!$AD$6:$AF$9,3)+'Escalating commodity'!E303,'Escalating commodity'!E303))</f>
        <v/>
      </c>
      <c r="AI290" s="88" t="str">
        <f t="shared" si="190"/>
        <v/>
      </c>
      <c r="AJ290" s="236" t="e">
        <f t="shared" si="176"/>
        <v>#VALUE!</v>
      </c>
      <c r="AK290" s="58" t="str">
        <f t="shared" si="177"/>
        <v/>
      </c>
      <c r="AL290" s="26" t="str">
        <f>IF($A291="","",_xll.SPRDOPT(P290,X290,AI290,0,AB290,AE290,AF290,AK290,$AJ$2,0))</f>
        <v/>
      </c>
      <c r="AM290" s="89" t="str">
        <f t="shared" si="178"/>
        <v/>
      </c>
      <c r="AN290" s="89" t="str">
        <f t="shared" si="179"/>
        <v/>
      </c>
      <c r="AO290" s="3" t="str">
        <f t="shared" si="180"/>
        <v/>
      </c>
      <c r="AP290" s="33" t="str">
        <f t="shared" si="181"/>
        <v/>
      </c>
      <c r="AQ290" s="58" t="str">
        <f t="shared" si="182"/>
        <v/>
      </c>
      <c r="AR290" s="38">
        <f>'ANR OK vs ML7'!AR290</f>
        <v>0.1</v>
      </c>
      <c r="AS290" s="35" t="str">
        <f t="shared" si="183"/>
        <v/>
      </c>
      <c r="AT290" s="3" t="str">
        <f t="shared" si="184"/>
        <v/>
      </c>
      <c r="AU290" s="3" t="str">
        <f t="shared" si="185"/>
        <v/>
      </c>
      <c r="AW290" s="32" t="str">
        <f t="shared" si="186"/>
        <v/>
      </c>
      <c r="AX290" s="32" t="str">
        <f t="shared" si="187"/>
        <v/>
      </c>
      <c r="AY290" s="32" t="str">
        <f t="shared" si="188"/>
        <v/>
      </c>
      <c r="BA290" s="32" t="str">
        <f>IF($A291="","",F290*Summary!$Q$9)</f>
        <v/>
      </c>
    </row>
    <row r="291" spans="1:53" ht="12" customHeight="1">
      <c r="A291" s="67" t="str">
        <f t="shared" si="189"/>
        <v/>
      </c>
      <c r="B291" s="69" t="str">
        <f t="shared" si="191"/>
        <v/>
      </c>
      <c r="C291" s="71"/>
      <c r="D291" s="69" t="str">
        <f t="shared" si="154"/>
        <v/>
      </c>
      <c r="E291" s="70" t="str">
        <f t="shared" si="155"/>
        <v/>
      </c>
      <c r="F291" s="70" t="str">
        <f t="shared" si="156"/>
        <v/>
      </c>
      <c r="G291" s="63" t="str">
        <f t="shared" si="157"/>
        <v/>
      </c>
      <c r="H291" s="64" t="str">
        <f t="shared" si="158"/>
        <v/>
      </c>
      <c r="I291" s="43"/>
      <c r="J291" s="63" t="str">
        <f t="shared" si="159"/>
        <v/>
      </c>
      <c r="K291" s="64" t="str">
        <f t="shared" si="160"/>
        <v/>
      </c>
      <c r="L291" s="63" t="str">
        <f t="shared" si="161"/>
        <v/>
      </c>
      <c r="M291" s="64" t="str">
        <f t="shared" si="162"/>
        <v/>
      </c>
      <c r="N291" s="65"/>
      <c r="O291" s="63" t="str">
        <f t="shared" si="163"/>
        <v/>
      </c>
      <c r="P291" s="63" t="str">
        <f t="shared" si="164"/>
        <v/>
      </c>
      <c r="Q291" s="66"/>
      <c r="R291" s="63" t="str">
        <f t="shared" si="165"/>
        <v/>
      </c>
      <c r="S291" s="64" t="str">
        <f t="shared" si="166"/>
        <v/>
      </c>
      <c r="T291" s="63" t="str">
        <f t="shared" si="167"/>
        <v/>
      </c>
      <c r="U291" s="64" t="str">
        <f t="shared" si="168"/>
        <v/>
      </c>
      <c r="V291" s="90" t="str">
        <f>IF($A292="","",IF(AND(MONTH(A291)&gt;3,MONTH(A291)&lt;11),(T291+R291+G291)*Summary!$T$9/(1-Summary!$T$9),(T291+R291+G291)*Summary!$U$9/(1-Summary!$U$9)))</f>
        <v/>
      </c>
      <c r="W291" s="63" t="str">
        <f t="shared" si="169"/>
        <v/>
      </c>
      <c r="X291" s="63" t="str">
        <f t="shared" si="170"/>
        <v/>
      </c>
      <c r="Y291" s="43"/>
      <c r="Z291" s="38" t="str">
        <f t="shared" si="171"/>
        <v/>
      </c>
      <c r="AA291" s="38" t="str">
        <f t="shared" si="172"/>
        <v/>
      </c>
      <c r="AB291" s="38" t="e">
        <f t="shared" si="173"/>
        <v>#VALUE!</v>
      </c>
      <c r="AC291" s="38" t="str">
        <f t="shared" si="174"/>
        <v/>
      </c>
      <c r="AD291" s="38" t="str">
        <f t="shared" si="174"/>
        <v/>
      </c>
      <c r="AE291" s="38" t="e">
        <f t="shared" si="175"/>
        <v>#VALUE!</v>
      </c>
      <c r="AF291" s="237" t="e">
        <f>((Summary!$N$9*(AA291*AD291)*(A291-$D$3))+(Summary!$M$9*Z291*AC291*(AJ291-EOMONTH(EDATE(A291,-1),0))))/(AK291*AB291*AE291)</f>
        <v>#VALUE!</v>
      </c>
      <c r="AG291" s="88" t="str">
        <f>IF($A292="","",Summary!$Q$9)</f>
        <v/>
      </c>
      <c r="AH291" s="88" t="str">
        <f>IF($A292="","",IF(Summary!$R$9="Y",VLOOKUP($A291,Summary!$AD$6:$AF$9,3)+'Escalating commodity'!E304,'Escalating commodity'!E304))</f>
        <v/>
      </c>
      <c r="AI291" s="88" t="str">
        <f t="shared" si="190"/>
        <v/>
      </c>
      <c r="AJ291" s="236" t="e">
        <f t="shared" si="176"/>
        <v>#VALUE!</v>
      </c>
      <c r="AK291" s="58" t="str">
        <f t="shared" si="177"/>
        <v/>
      </c>
      <c r="AL291" s="26" t="str">
        <f>IF($A292="","",_xll.SPRDOPT(P291,X291,AI291,0,AB291,AE291,AF291,AK291,$AJ$2,0))</f>
        <v/>
      </c>
      <c r="AM291" s="89" t="str">
        <f t="shared" si="178"/>
        <v/>
      </c>
      <c r="AN291" s="89" t="str">
        <f t="shared" si="179"/>
        <v/>
      </c>
      <c r="AO291" s="3" t="str">
        <f t="shared" si="180"/>
        <v/>
      </c>
      <c r="AP291" s="33" t="str">
        <f t="shared" si="181"/>
        <v/>
      </c>
      <c r="AQ291" s="58" t="str">
        <f t="shared" si="182"/>
        <v/>
      </c>
      <c r="AR291" s="38">
        <f>'ANR OK vs ML7'!AR291</f>
        <v>0.1</v>
      </c>
      <c r="AS291" s="35" t="str">
        <f t="shared" si="183"/>
        <v/>
      </c>
      <c r="AT291" s="3" t="str">
        <f t="shared" si="184"/>
        <v/>
      </c>
      <c r="AU291" s="3" t="str">
        <f t="shared" si="185"/>
        <v/>
      </c>
      <c r="AW291" s="32" t="str">
        <f t="shared" si="186"/>
        <v/>
      </c>
      <c r="AX291" s="32" t="str">
        <f t="shared" si="187"/>
        <v/>
      </c>
      <c r="AY291" s="32" t="str">
        <f t="shared" si="188"/>
        <v/>
      </c>
      <c r="BA291" s="32" t="str">
        <f>IF($A292="","",F291*Summary!$Q$9)</f>
        <v/>
      </c>
    </row>
    <row r="292" spans="1:53" ht="12" customHeight="1">
      <c r="A292" s="67" t="str">
        <f t="shared" si="189"/>
        <v/>
      </c>
      <c r="B292" s="69" t="str">
        <f t="shared" si="191"/>
        <v/>
      </c>
      <c r="C292" s="71"/>
      <c r="D292" s="69" t="str">
        <f t="shared" si="154"/>
        <v/>
      </c>
      <c r="E292" s="70" t="str">
        <f t="shared" si="155"/>
        <v/>
      </c>
      <c r="F292" s="70" t="str">
        <f t="shared" si="156"/>
        <v/>
      </c>
      <c r="G292" s="63" t="str">
        <f t="shared" si="157"/>
        <v/>
      </c>
      <c r="H292" s="64" t="str">
        <f t="shared" si="158"/>
        <v/>
      </c>
      <c r="I292" s="43"/>
      <c r="J292" s="63" t="str">
        <f t="shared" si="159"/>
        <v/>
      </c>
      <c r="K292" s="64" t="str">
        <f t="shared" si="160"/>
        <v/>
      </c>
      <c r="L292" s="63" t="str">
        <f t="shared" si="161"/>
        <v/>
      </c>
      <c r="M292" s="64" t="str">
        <f t="shared" si="162"/>
        <v/>
      </c>
      <c r="N292" s="65"/>
      <c r="O292" s="63" t="str">
        <f t="shared" si="163"/>
        <v/>
      </c>
      <c r="P292" s="63" t="str">
        <f t="shared" si="164"/>
        <v/>
      </c>
      <c r="Q292" s="66"/>
      <c r="R292" s="63" t="str">
        <f t="shared" si="165"/>
        <v/>
      </c>
      <c r="S292" s="64" t="str">
        <f t="shared" si="166"/>
        <v/>
      </c>
      <c r="T292" s="63" t="str">
        <f t="shared" si="167"/>
        <v/>
      </c>
      <c r="U292" s="64" t="str">
        <f t="shared" si="168"/>
        <v/>
      </c>
      <c r="V292" s="90" t="str">
        <f>IF($A293="","",IF(AND(MONTH(A292)&gt;3,MONTH(A292)&lt;11),(T292+R292+G292)*Summary!$T$9/(1-Summary!$T$9),(T292+R292+G292)*Summary!$U$9/(1-Summary!$U$9)))</f>
        <v/>
      </c>
      <c r="W292" s="63" t="str">
        <f t="shared" si="169"/>
        <v/>
      </c>
      <c r="X292" s="63" t="str">
        <f t="shared" si="170"/>
        <v/>
      </c>
      <c r="Y292" s="43"/>
      <c r="Z292" s="38" t="str">
        <f t="shared" si="171"/>
        <v/>
      </c>
      <c r="AA292" s="38" t="str">
        <f t="shared" si="172"/>
        <v/>
      </c>
      <c r="AB292" s="38" t="e">
        <f t="shared" si="173"/>
        <v>#VALUE!</v>
      </c>
      <c r="AC292" s="38" t="str">
        <f t="shared" si="174"/>
        <v/>
      </c>
      <c r="AD292" s="38" t="str">
        <f t="shared" si="174"/>
        <v/>
      </c>
      <c r="AE292" s="38" t="e">
        <f t="shared" si="175"/>
        <v>#VALUE!</v>
      </c>
      <c r="AF292" s="237" t="e">
        <f>((Summary!$N$9*(AA292*AD292)*(A292-$D$3))+(Summary!$M$9*Z292*AC292*(AJ292-EOMONTH(EDATE(A292,-1),0))))/(AK292*AB292*AE292)</f>
        <v>#VALUE!</v>
      </c>
      <c r="AG292" s="88" t="str">
        <f>IF($A293="","",Summary!$Q$9)</f>
        <v/>
      </c>
      <c r="AH292" s="88" t="str">
        <f>IF($A293="","",IF(Summary!$R$9="Y",VLOOKUP($A292,Summary!$AD$6:$AF$9,3)+'Escalating commodity'!E305,'Escalating commodity'!E305))</f>
        <v/>
      </c>
      <c r="AI292" s="88" t="str">
        <f t="shared" si="190"/>
        <v/>
      </c>
      <c r="AJ292" s="236" t="e">
        <f t="shared" si="176"/>
        <v>#VALUE!</v>
      </c>
      <c r="AK292" s="58" t="str">
        <f t="shared" si="177"/>
        <v/>
      </c>
      <c r="AL292" s="26" t="str">
        <f>IF($A293="","",_xll.SPRDOPT(P292,X292,AI292,0,AB292,AE292,AF292,AK292,$AJ$2,0))</f>
        <v/>
      </c>
      <c r="AM292" s="89" t="str">
        <f t="shared" si="178"/>
        <v/>
      </c>
      <c r="AN292" s="89" t="str">
        <f t="shared" si="179"/>
        <v/>
      </c>
      <c r="AO292" s="3" t="str">
        <f t="shared" si="180"/>
        <v/>
      </c>
      <c r="AP292" s="33" t="str">
        <f t="shared" si="181"/>
        <v/>
      </c>
      <c r="AQ292" s="58" t="str">
        <f t="shared" si="182"/>
        <v/>
      </c>
      <c r="AR292" s="38">
        <f>'ANR OK vs ML7'!AR292</f>
        <v>0.1</v>
      </c>
      <c r="AS292" s="35" t="str">
        <f t="shared" si="183"/>
        <v/>
      </c>
      <c r="AT292" s="3" t="str">
        <f t="shared" si="184"/>
        <v/>
      </c>
      <c r="AU292" s="3" t="str">
        <f t="shared" si="185"/>
        <v/>
      </c>
      <c r="AW292" s="32" t="str">
        <f t="shared" si="186"/>
        <v/>
      </c>
      <c r="AX292" s="32" t="str">
        <f t="shared" si="187"/>
        <v/>
      </c>
      <c r="AY292" s="32" t="str">
        <f t="shared" si="188"/>
        <v/>
      </c>
      <c r="BA292" s="32" t="str">
        <f>IF($A293="","",F292*Summary!$Q$9)</f>
        <v/>
      </c>
    </row>
    <row r="293" spans="1:53" ht="12" customHeight="1">
      <c r="A293" s="67" t="str">
        <f t="shared" si="189"/>
        <v/>
      </c>
      <c r="B293" s="69" t="str">
        <f t="shared" si="191"/>
        <v/>
      </c>
      <c r="C293" s="71"/>
      <c r="D293" s="69" t="str">
        <f t="shared" si="154"/>
        <v/>
      </c>
      <c r="E293" s="70" t="str">
        <f t="shared" si="155"/>
        <v/>
      </c>
      <c r="F293" s="70" t="str">
        <f t="shared" si="156"/>
        <v/>
      </c>
      <c r="G293" s="63" t="str">
        <f t="shared" si="157"/>
        <v/>
      </c>
      <c r="H293" s="64" t="str">
        <f t="shared" si="158"/>
        <v/>
      </c>
      <c r="I293" s="43"/>
      <c r="J293" s="63" t="str">
        <f t="shared" si="159"/>
        <v/>
      </c>
      <c r="K293" s="64" t="str">
        <f t="shared" si="160"/>
        <v/>
      </c>
      <c r="L293" s="63" t="str">
        <f t="shared" si="161"/>
        <v/>
      </c>
      <c r="M293" s="64" t="str">
        <f t="shared" si="162"/>
        <v/>
      </c>
      <c r="N293" s="65"/>
      <c r="O293" s="63" t="str">
        <f t="shared" si="163"/>
        <v/>
      </c>
      <c r="P293" s="63" t="str">
        <f t="shared" si="164"/>
        <v/>
      </c>
      <c r="Q293" s="66"/>
      <c r="R293" s="63" t="str">
        <f t="shared" si="165"/>
        <v/>
      </c>
      <c r="S293" s="64" t="str">
        <f t="shared" si="166"/>
        <v/>
      </c>
      <c r="T293" s="63" t="str">
        <f t="shared" si="167"/>
        <v/>
      </c>
      <c r="U293" s="64" t="str">
        <f t="shared" si="168"/>
        <v/>
      </c>
      <c r="V293" s="90" t="str">
        <f>IF($A294="","",IF(AND(MONTH(A293)&gt;3,MONTH(A293)&lt;11),(T293+R293+G293)*Summary!$T$9/(1-Summary!$T$9),(T293+R293+G293)*Summary!$U$9/(1-Summary!$U$9)))</f>
        <v/>
      </c>
      <c r="W293" s="63" t="str">
        <f t="shared" si="169"/>
        <v/>
      </c>
      <c r="X293" s="63" t="str">
        <f t="shared" si="170"/>
        <v/>
      </c>
      <c r="Y293" s="43"/>
      <c r="Z293" s="38" t="str">
        <f t="shared" si="171"/>
        <v/>
      </c>
      <c r="AA293" s="38" t="str">
        <f t="shared" si="172"/>
        <v/>
      </c>
      <c r="AB293" s="38" t="e">
        <f t="shared" si="173"/>
        <v>#VALUE!</v>
      </c>
      <c r="AC293" s="38" t="str">
        <f t="shared" si="174"/>
        <v/>
      </c>
      <c r="AD293" s="38" t="str">
        <f t="shared" si="174"/>
        <v/>
      </c>
      <c r="AE293" s="38" t="e">
        <f t="shared" si="175"/>
        <v>#VALUE!</v>
      </c>
      <c r="AF293" s="237" t="e">
        <f>((Summary!$N$9*(AA293*AD293)*(A293-$D$3))+(Summary!$M$9*Z293*AC293*(AJ293-EOMONTH(EDATE(A293,-1),0))))/(AK293*AB293*AE293)</f>
        <v>#VALUE!</v>
      </c>
      <c r="AG293" s="88" t="str">
        <f>IF($A294="","",Summary!$Q$9)</f>
        <v/>
      </c>
      <c r="AH293" s="88" t="str">
        <f>IF($A294="","",IF(Summary!$R$9="Y",VLOOKUP($A293,Summary!$AD$6:$AF$9,3)+'Escalating commodity'!E306,'Escalating commodity'!E306))</f>
        <v/>
      </c>
      <c r="AI293" s="88" t="str">
        <f t="shared" si="190"/>
        <v/>
      </c>
      <c r="AJ293" s="236" t="e">
        <f t="shared" si="176"/>
        <v>#VALUE!</v>
      </c>
      <c r="AK293" s="58" t="str">
        <f t="shared" si="177"/>
        <v/>
      </c>
      <c r="AL293" s="26" t="str">
        <f>IF($A294="","",_xll.SPRDOPT(P293,X293,AI293,0,AB293,AE293,AF293,AK293,$AJ$2,0))</f>
        <v/>
      </c>
      <c r="AM293" s="89" t="str">
        <f t="shared" si="178"/>
        <v/>
      </c>
      <c r="AN293" s="89" t="str">
        <f t="shared" si="179"/>
        <v/>
      </c>
      <c r="AO293" s="3" t="str">
        <f t="shared" si="180"/>
        <v/>
      </c>
      <c r="AP293" s="33" t="str">
        <f t="shared" si="181"/>
        <v/>
      </c>
      <c r="AQ293" s="58" t="str">
        <f t="shared" si="182"/>
        <v/>
      </c>
      <c r="AR293" s="38">
        <f>'ANR OK vs ML7'!AR293</f>
        <v>0.1</v>
      </c>
      <c r="AS293" s="35" t="str">
        <f t="shared" si="183"/>
        <v/>
      </c>
      <c r="AT293" s="3" t="str">
        <f t="shared" si="184"/>
        <v/>
      </c>
      <c r="AU293" s="3" t="str">
        <f t="shared" si="185"/>
        <v/>
      </c>
      <c r="AW293" s="32" t="str">
        <f t="shared" si="186"/>
        <v/>
      </c>
      <c r="AX293" s="32" t="str">
        <f t="shared" si="187"/>
        <v/>
      </c>
      <c r="AY293" s="32" t="str">
        <f t="shared" si="188"/>
        <v/>
      </c>
      <c r="BA293" s="32" t="str">
        <f>IF($A294="","",F293*Summary!$Q$9)</f>
        <v/>
      </c>
    </row>
    <row r="294" spans="1:53" ht="12" customHeight="1">
      <c r="A294" s="67" t="str">
        <f t="shared" si="189"/>
        <v/>
      </c>
      <c r="B294" s="69" t="str">
        <f t="shared" si="191"/>
        <v/>
      </c>
      <c r="C294" s="71"/>
      <c r="D294" s="69" t="str">
        <f t="shared" si="154"/>
        <v/>
      </c>
      <c r="E294" s="70" t="str">
        <f t="shared" si="155"/>
        <v/>
      </c>
      <c r="F294" s="70" t="str">
        <f t="shared" si="156"/>
        <v/>
      </c>
      <c r="G294" s="63" t="str">
        <f t="shared" si="157"/>
        <v/>
      </c>
      <c r="H294" s="64" t="str">
        <f t="shared" si="158"/>
        <v/>
      </c>
      <c r="I294" s="43"/>
      <c r="J294" s="63" t="str">
        <f t="shared" si="159"/>
        <v/>
      </c>
      <c r="K294" s="64" t="str">
        <f t="shared" si="160"/>
        <v/>
      </c>
      <c r="L294" s="63" t="str">
        <f t="shared" si="161"/>
        <v/>
      </c>
      <c r="M294" s="64" t="str">
        <f t="shared" si="162"/>
        <v/>
      </c>
      <c r="N294" s="65"/>
      <c r="O294" s="63" t="str">
        <f t="shared" si="163"/>
        <v/>
      </c>
      <c r="P294" s="63" t="str">
        <f t="shared" si="164"/>
        <v/>
      </c>
      <c r="Q294" s="66"/>
      <c r="R294" s="63" t="str">
        <f t="shared" si="165"/>
        <v/>
      </c>
      <c r="S294" s="64" t="str">
        <f t="shared" si="166"/>
        <v/>
      </c>
      <c r="T294" s="63" t="str">
        <f t="shared" si="167"/>
        <v/>
      </c>
      <c r="U294" s="64" t="str">
        <f t="shared" si="168"/>
        <v/>
      </c>
      <c r="V294" s="90" t="str">
        <f>IF($A295="","",IF(AND(MONTH(A294)&gt;3,MONTH(A294)&lt;11),(T294+R294+G294)*Summary!$T$9/(1-Summary!$T$9),(T294+R294+G294)*Summary!$U$9/(1-Summary!$U$9)))</f>
        <v/>
      </c>
      <c r="W294" s="63" t="str">
        <f t="shared" si="169"/>
        <v/>
      </c>
      <c r="X294" s="63" t="str">
        <f t="shared" si="170"/>
        <v/>
      </c>
      <c r="Y294" s="43"/>
      <c r="Z294" s="38" t="str">
        <f t="shared" si="171"/>
        <v/>
      </c>
      <c r="AA294" s="38" t="str">
        <f t="shared" si="172"/>
        <v/>
      </c>
      <c r="AB294" s="38" t="e">
        <f t="shared" si="173"/>
        <v>#VALUE!</v>
      </c>
      <c r="AC294" s="38" t="str">
        <f t="shared" si="174"/>
        <v/>
      </c>
      <c r="AD294" s="38" t="str">
        <f t="shared" si="174"/>
        <v/>
      </c>
      <c r="AE294" s="38" t="e">
        <f t="shared" si="175"/>
        <v>#VALUE!</v>
      </c>
      <c r="AF294" s="237" t="e">
        <f>((Summary!$N$9*(AA294*AD294)*(A294-$D$3))+(Summary!$M$9*Z294*AC294*(AJ294-EOMONTH(EDATE(A294,-1),0))))/(AK294*AB294*AE294)</f>
        <v>#VALUE!</v>
      </c>
      <c r="AG294" s="88" t="str">
        <f>IF($A295="","",Summary!$Q$9)</f>
        <v/>
      </c>
      <c r="AH294" s="88" t="str">
        <f>IF($A295="","",IF(Summary!$R$9="Y",VLOOKUP($A294,Summary!$AD$6:$AF$9,3)+'Escalating commodity'!E307,'Escalating commodity'!E307))</f>
        <v/>
      </c>
      <c r="AI294" s="88" t="str">
        <f t="shared" si="190"/>
        <v/>
      </c>
      <c r="AJ294" s="236" t="e">
        <f t="shared" si="176"/>
        <v>#VALUE!</v>
      </c>
      <c r="AK294" s="58" t="str">
        <f t="shared" si="177"/>
        <v/>
      </c>
      <c r="AL294" s="26" t="str">
        <f>IF($A295="","",_xll.SPRDOPT(P294,X294,AI294,0,AB294,AE294,AF294,AK294,$AJ$2,0))</f>
        <v/>
      </c>
      <c r="AM294" s="89" t="str">
        <f t="shared" si="178"/>
        <v/>
      </c>
      <c r="AN294" s="89" t="str">
        <f t="shared" si="179"/>
        <v/>
      </c>
      <c r="AO294" s="3" t="str">
        <f t="shared" si="180"/>
        <v/>
      </c>
      <c r="AP294" s="33" t="str">
        <f t="shared" si="181"/>
        <v/>
      </c>
      <c r="AQ294" s="58" t="str">
        <f t="shared" si="182"/>
        <v/>
      </c>
      <c r="AR294" s="38">
        <f>'ANR OK vs ML7'!AR294</f>
        <v>0.1</v>
      </c>
      <c r="AS294" s="35" t="str">
        <f t="shared" si="183"/>
        <v/>
      </c>
      <c r="AT294" s="3" t="str">
        <f t="shared" si="184"/>
        <v/>
      </c>
      <c r="AU294" s="3" t="str">
        <f t="shared" si="185"/>
        <v/>
      </c>
      <c r="AW294" s="32" t="str">
        <f t="shared" si="186"/>
        <v/>
      </c>
      <c r="AX294" s="32" t="str">
        <f t="shared" si="187"/>
        <v/>
      </c>
      <c r="AY294" s="32" t="str">
        <f t="shared" si="188"/>
        <v/>
      </c>
      <c r="BA294" s="32" t="str">
        <f>IF($A295="","",F294*Summary!$Q$9)</f>
        <v/>
      </c>
    </row>
    <row r="295" spans="1:53" ht="12" customHeight="1">
      <c r="A295" s="67" t="str">
        <f t="shared" si="189"/>
        <v/>
      </c>
      <c r="B295" s="69" t="str">
        <f t="shared" si="191"/>
        <v/>
      </c>
      <c r="C295" s="71"/>
      <c r="D295" s="69" t="str">
        <f t="shared" si="154"/>
        <v/>
      </c>
      <c r="E295" s="70" t="str">
        <f t="shared" si="155"/>
        <v/>
      </c>
      <c r="F295" s="70" t="str">
        <f t="shared" si="156"/>
        <v/>
      </c>
      <c r="G295" s="63" t="str">
        <f t="shared" si="157"/>
        <v/>
      </c>
      <c r="H295" s="64" t="str">
        <f t="shared" si="158"/>
        <v/>
      </c>
      <c r="I295" s="43"/>
      <c r="J295" s="63" t="str">
        <f t="shared" si="159"/>
        <v/>
      </c>
      <c r="K295" s="64" t="str">
        <f t="shared" si="160"/>
        <v/>
      </c>
      <c r="L295" s="63" t="str">
        <f t="shared" si="161"/>
        <v/>
      </c>
      <c r="M295" s="64" t="str">
        <f t="shared" si="162"/>
        <v/>
      </c>
      <c r="N295" s="65"/>
      <c r="O295" s="63" t="str">
        <f t="shared" si="163"/>
        <v/>
      </c>
      <c r="P295" s="63" t="str">
        <f t="shared" si="164"/>
        <v/>
      </c>
      <c r="Q295" s="66"/>
      <c r="R295" s="63" t="str">
        <f t="shared" si="165"/>
        <v/>
      </c>
      <c r="S295" s="64" t="str">
        <f t="shared" si="166"/>
        <v/>
      </c>
      <c r="T295" s="63" t="str">
        <f t="shared" si="167"/>
        <v/>
      </c>
      <c r="U295" s="64" t="str">
        <f t="shared" si="168"/>
        <v/>
      </c>
      <c r="V295" s="90" t="str">
        <f>IF($A296="","",IF(AND(MONTH(A295)&gt;3,MONTH(A295)&lt;11),(T295+R295+G295)*Summary!$T$9/(1-Summary!$T$9),(T295+R295+G295)*Summary!$U$9/(1-Summary!$U$9)))</f>
        <v/>
      </c>
      <c r="W295" s="63" t="str">
        <f t="shared" si="169"/>
        <v/>
      </c>
      <c r="X295" s="63" t="str">
        <f t="shared" si="170"/>
        <v/>
      </c>
      <c r="Y295" s="43"/>
      <c r="Z295" s="38" t="str">
        <f t="shared" si="171"/>
        <v/>
      </c>
      <c r="AA295" s="38" t="str">
        <f t="shared" si="172"/>
        <v/>
      </c>
      <c r="AB295" s="38" t="e">
        <f t="shared" si="173"/>
        <v>#VALUE!</v>
      </c>
      <c r="AC295" s="38" t="str">
        <f t="shared" si="174"/>
        <v/>
      </c>
      <c r="AD295" s="38" t="str">
        <f t="shared" si="174"/>
        <v/>
      </c>
      <c r="AE295" s="38" t="e">
        <f t="shared" si="175"/>
        <v>#VALUE!</v>
      </c>
      <c r="AF295" s="237" t="e">
        <f>((Summary!$N$9*(AA295*AD295)*(A295-$D$3))+(Summary!$M$9*Z295*AC295*(AJ295-EOMONTH(EDATE(A295,-1),0))))/(AK295*AB295*AE295)</f>
        <v>#VALUE!</v>
      </c>
      <c r="AG295" s="88" t="str">
        <f>IF($A296="","",Summary!$Q$9)</f>
        <v/>
      </c>
      <c r="AH295" s="88" t="str">
        <f>IF($A296="","",IF(Summary!$R$9="Y",VLOOKUP($A295,Summary!$AD$6:$AF$9,3)+'Escalating commodity'!E308,'Escalating commodity'!E308))</f>
        <v/>
      </c>
      <c r="AI295" s="88" t="str">
        <f t="shared" si="190"/>
        <v/>
      </c>
      <c r="AJ295" s="236" t="e">
        <f t="shared" si="176"/>
        <v>#VALUE!</v>
      </c>
      <c r="AK295" s="58" t="str">
        <f t="shared" si="177"/>
        <v/>
      </c>
      <c r="AL295" s="26" t="str">
        <f>IF($A296="","",_xll.SPRDOPT(P295,X295,AI295,0,AB295,AE295,AF295,AK295,$AJ$2,0))</f>
        <v/>
      </c>
      <c r="AM295" s="89" t="str">
        <f t="shared" si="178"/>
        <v/>
      </c>
      <c r="AN295" s="89" t="str">
        <f t="shared" si="179"/>
        <v/>
      </c>
      <c r="AO295" s="3" t="str">
        <f t="shared" si="180"/>
        <v/>
      </c>
      <c r="AP295" s="33" t="str">
        <f t="shared" si="181"/>
        <v/>
      </c>
      <c r="AQ295" s="58" t="str">
        <f t="shared" si="182"/>
        <v/>
      </c>
      <c r="AR295" s="38">
        <f>'ANR OK vs ML7'!AR295</f>
        <v>0.1</v>
      </c>
      <c r="AS295" s="35" t="str">
        <f t="shared" si="183"/>
        <v/>
      </c>
      <c r="AT295" s="3" t="str">
        <f t="shared" si="184"/>
        <v/>
      </c>
      <c r="AU295" s="3" t="str">
        <f t="shared" si="185"/>
        <v/>
      </c>
      <c r="AW295" s="32" t="str">
        <f t="shared" si="186"/>
        <v/>
      </c>
      <c r="AX295" s="32" t="str">
        <f t="shared" si="187"/>
        <v/>
      </c>
      <c r="AY295" s="32" t="str">
        <f t="shared" si="188"/>
        <v/>
      </c>
      <c r="BA295" s="32" t="str">
        <f>IF($A296="","",F295*Summary!$Q$9)</f>
        <v/>
      </c>
    </row>
    <row r="296" spans="1:53" ht="12" customHeight="1">
      <c r="A296" s="67" t="str">
        <f t="shared" si="189"/>
        <v/>
      </c>
      <c r="B296" s="69" t="str">
        <f t="shared" si="191"/>
        <v/>
      </c>
      <c r="C296" s="71"/>
      <c r="D296" s="69" t="str">
        <f t="shared" si="154"/>
        <v/>
      </c>
      <c r="E296" s="70" t="str">
        <f t="shared" si="155"/>
        <v/>
      </c>
      <c r="F296" s="70" t="str">
        <f t="shared" si="156"/>
        <v/>
      </c>
      <c r="G296" s="63" t="str">
        <f t="shared" si="157"/>
        <v/>
      </c>
      <c r="H296" s="64" t="str">
        <f t="shared" si="158"/>
        <v/>
      </c>
      <c r="I296" s="43"/>
      <c r="J296" s="63" t="str">
        <f t="shared" si="159"/>
        <v/>
      </c>
      <c r="K296" s="64" t="str">
        <f t="shared" si="160"/>
        <v/>
      </c>
      <c r="L296" s="63" t="str">
        <f t="shared" si="161"/>
        <v/>
      </c>
      <c r="M296" s="64" t="str">
        <f t="shared" si="162"/>
        <v/>
      </c>
      <c r="N296" s="65"/>
      <c r="O296" s="63" t="str">
        <f t="shared" si="163"/>
        <v/>
      </c>
      <c r="P296" s="63" t="str">
        <f t="shared" si="164"/>
        <v/>
      </c>
      <c r="Q296" s="66"/>
      <c r="R296" s="63" t="str">
        <f t="shared" si="165"/>
        <v/>
      </c>
      <c r="S296" s="64" t="str">
        <f t="shared" si="166"/>
        <v/>
      </c>
      <c r="T296" s="63" t="str">
        <f t="shared" si="167"/>
        <v/>
      </c>
      <c r="U296" s="64" t="str">
        <f t="shared" si="168"/>
        <v/>
      </c>
      <c r="V296" s="90" t="str">
        <f>IF($A297="","",IF(AND(MONTH(A296)&gt;3,MONTH(A296)&lt;11),(T296+R296+G296)*Summary!$T$9/(1-Summary!$T$9),(T296+R296+G296)*Summary!$U$9/(1-Summary!$U$9)))</f>
        <v/>
      </c>
      <c r="W296" s="63" t="str">
        <f t="shared" si="169"/>
        <v/>
      </c>
      <c r="X296" s="63" t="str">
        <f t="shared" si="170"/>
        <v/>
      </c>
      <c r="Y296" s="43"/>
      <c r="Z296" s="38" t="str">
        <f t="shared" si="171"/>
        <v/>
      </c>
      <c r="AA296" s="38" t="str">
        <f t="shared" si="172"/>
        <v/>
      </c>
      <c r="AB296" s="38" t="e">
        <f t="shared" si="173"/>
        <v>#VALUE!</v>
      </c>
      <c r="AC296" s="38" t="str">
        <f t="shared" si="174"/>
        <v/>
      </c>
      <c r="AD296" s="38" t="str">
        <f t="shared" si="174"/>
        <v/>
      </c>
      <c r="AE296" s="38" t="e">
        <f t="shared" si="175"/>
        <v>#VALUE!</v>
      </c>
      <c r="AF296" s="237" t="e">
        <f>((Summary!$N$9*(AA296*AD296)*(A296-$D$3))+(Summary!$M$9*Z296*AC296*(AJ296-EOMONTH(EDATE(A296,-1),0))))/(AK296*AB296*AE296)</f>
        <v>#VALUE!</v>
      </c>
      <c r="AG296" s="88" t="str">
        <f>IF($A297="","",Summary!$Q$9)</f>
        <v/>
      </c>
      <c r="AH296" s="88" t="str">
        <f>IF($A297="","",IF(Summary!$R$9="Y",VLOOKUP($A296,Summary!$AD$6:$AF$9,3)+'Escalating commodity'!E309,'Escalating commodity'!E309))</f>
        <v/>
      </c>
      <c r="AI296" s="88" t="str">
        <f t="shared" si="190"/>
        <v/>
      </c>
      <c r="AJ296" s="236" t="e">
        <f t="shared" si="176"/>
        <v>#VALUE!</v>
      </c>
      <c r="AK296" s="58" t="str">
        <f t="shared" si="177"/>
        <v/>
      </c>
      <c r="AL296" s="26" t="str">
        <f>IF($A297="","",_xll.SPRDOPT(P296,X296,AI296,0,AB296,AE296,AF296,AK296,$AJ$2,0))</f>
        <v/>
      </c>
      <c r="AM296" s="89" t="str">
        <f t="shared" si="178"/>
        <v/>
      </c>
      <c r="AN296" s="89" t="str">
        <f t="shared" si="179"/>
        <v/>
      </c>
      <c r="AO296" s="3" t="str">
        <f t="shared" si="180"/>
        <v/>
      </c>
      <c r="AP296" s="33" t="str">
        <f t="shared" si="181"/>
        <v/>
      </c>
      <c r="AQ296" s="58" t="str">
        <f t="shared" si="182"/>
        <v/>
      </c>
      <c r="AR296" s="38">
        <f>'ANR OK vs ML7'!AR296</f>
        <v>0.1</v>
      </c>
      <c r="AS296" s="35" t="str">
        <f t="shared" si="183"/>
        <v/>
      </c>
      <c r="AT296" s="3" t="str">
        <f t="shared" si="184"/>
        <v/>
      </c>
      <c r="AU296" s="3" t="str">
        <f t="shared" si="185"/>
        <v/>
      </c>
      <c r="AW296" s="32" t="str">
        <f t="shared" si="186"/>
        <v/>
      </c>
      <c r="AX296" s="32" t="str">
        <f t="shared" si="187"/>
        <v/>
      </c>
      <c r="AY296" s="32" t="str">
        <f t="shared" si="188"/>
        <v/>
      </c>
      <c r="BA296" s="32" t="str">
        <f>IF($A297="","",F296*Summary!$Q$9)</f>
        <v/>
      </c>
    </row>
    <row r="297" spans="1:53" ht="12" customHeight="1">
      <c r="A297" s="67" t="str">
        <f t="shared" si="189"/>
        <v/>
      </c>
      <c r="B297" s="69" t="str">
        <f t="shared" si="191"/>
        <v/>
      </c>
      <c r="C297" s="71"/>
      <c r="D297" s="69" t="str">
        <f t="shared" si="154"/>
        <v/>
      </c>
      <c r="E297" s="70" t="str">
        <f t="shared" si="155"/>
        <v/>
      </c>
      <c r="F297" s="70" t="str">
        <f t="shared" si="156"/>
        <v/>
      </c>
      <c r="G297" s="63" t="str">
        <f t="shared" si="157"/>
        <v/>
      </c>
      <c r="H297" s="64" t="str">
        <f t="shared" si="158"/>
        <v/>
      </c>
      <c r="I297" s="43"/>
      <c r="J297" s="63" t="str">
        <f t="shared" si="159"/>
        <v/>
      </c>
      <c r="K297" s="64" t="str">
        <f t="shared" si="160"/>
        <v/>
      </c>
      <c r="L297" s="63" t="str">
        <f t="shared" si="161"/>
        <v/>
      </c>
      <c r="M297" s="64" t="str">
        <f t="shared" si="162"/>
        <v/>
      </c>
      <c r="N297" s="65"/>
      <c r="O297" s="63" t="str">
        <f t="shared" si="163"/>
        <v/>
      </c>
      <c r="P297" s="63" t="str">
        <f t="shared" si="164"/>
        <v/>
      </c>
      <c r="Q297" s="66"/>
      <c r="R297" s="63" t="str">
        <f t="shared" si="165"/>
        <v/>
      </c>
      <c r="S297" s="64" t="str">
        <f t="shared" si="166"/>
        <v/>
      </c>
      <c r="T297" s="63" t="str">
        <f t="shared" si="167"/>
        <v/>
      </c>
      <c r="U297" s="64" t="str">
        <f t="shared" si="168"/>
        <v/>
      </c>
      <c r="V297" s="90" t="str">
        <f>IF($A298="","",IF(AND(MONTH(A297)&gt;3,MONTH(A297)&lt;11),(T297+R297+G297)*Summary!$T$9/(1-Summary!$T$9),(T297+R297+G297)*Summary!$U$9/(1-Summary!$U$9)))</f>
        <v/>
      </c>
      <c r="W297" s="63" t="str">
        <f t="shared" si="169"/>
        <v/>
      </c>
      <c r="X297" s="63" t="str">
        <f t="shared" si="170"/>
        <v/>
      </c>
      <c r="Y297" s="43"/>
      <c r="Z297" s="38" t="str">
        <f t="shared" si="171"/>
        <v/>
      </c>
      <c r="AA297" s="38" t="str">
        <f t="shared" si="172"/>
        <v/>
      </c>
      <c r="AB297" s="38" t="e">
        <f t="shared" si="173"/>
        <v>#VALUE!</v>
      </c>
      <c r="AC297" s="38" t="str">
        <f t="shared" si="174"/>
        <v/>
      </c>
      <c r="AD297" s="38" t="str">
        <f t="shared" si="174"/>
        <v/>
      </c>
      <c r="AE297" s="38" t="e">
        <f t="shared" si="175"/>
        <v>#VALUE!</v>
      </c>
      <c r="AF297" s="237" t="e">
        <f>((Summary!$N$9*(AA297*AD297)*(A297-$D$3))+(Summary!$M$9*Z297*AC297*(AJ297-EOMONTH(EDATE(A297,-1),0))))/(AK297*AB297*AE297)</f>
        <v>#VALUE!</v>
      </c>
      <c r="AG297" s="88" t="str">
        <f>IF($A298="","",Summary!$Q$9)</f>
        <v/>
      </c>
      <c r="AH297" s="88" t="str">
        <f>IF($A298="","",IF(Summary!$R$9="Y",VLOOKUP($A297,Summary!$AD$6:$AF$9,3)+'Escalating commodity'!E310,'Escalating commodity'!E310))</f>
        <v/>
      </c>
      <c r="AI297" s="88" t="str">
        <f t="shared" si="190"/>
        <v/>
      </c>
      <c r="AJ297" s="236" t="e">
        <f t="shared" si="176"/>
        <v>#VALUE!</v>
      </c>
      <c r="AK297" s="58" t="str">
        <f t="shared" si="177"/>
        <v/>
      </c>
      <c r="AL297" s="26" t="str">
        <f>IF($A298="","",_xll.SPRDOPT(P297,X297,AI297,0,AB297,AE297,AF297,AK297,$AJ$2,0))</f>
        <v/>
      </c>
      <c r="AM297" s="89" t="str">
        <f t="shared" si="178"/>
        <v/>
      </c>
      <c r="AN297" s="89" t="str">
        <f t="shared" si="179"/>
        <v/>
      </c>
      <c r="AO297" s="3" t="str">
        <f t="shared" si="180"/>
        <v/>
      </c>
      <c r="AP297" s="33" t="str">
        <f t="shared" si="181"/>
        <v/>
      </c>
      <c r="AQ297" s="58" t="str">
        <f t="shared" si="182"/>
        <v/>
      </c>
      <c r="AR297" s="38">
        <f>'ANR OK vs ML7'!AR297</f>
        <v>0.1</v>
      </c>
      <c r="AS297" s="35" t="str">
        <f t="shared" si="183"/>
        <v/>
      </c>
      <c r="AT297" s="3" t="str">
        <f t="shared" si="184"/>
        <v/>
      </c>
      <c r="AU297" s="3" t="str">
        <f t="shared" si="185"/>
        <v/>
      </c>
      <c r="AW297" s="32" t="str">
        <f t="shared" si="186"/>
        <v/>
      </c>
      <c r="AX297" s="32" t="str">
        <f t="shared" si="187"/>
        <v/>
      </c>
      <c r="AY297" s="32" t="str">
        <f t="shared" si="188"/>
        <v/>
      </c>
      <c r="BA297" s="32" t="str">
        <f>IF($A298="","",F297*Summary!$Q$9)</f>
        <v/>
      </c>
    </row>
    <row r="298" spans="1:53" ht="12" customHeight="1">
      <c r="A298" s="67" t="str">
        <f t="shared" si="189"/>
        <v/>
      </c>
      <c r="B298" s="69" t="str">
        <f t="shared" si="191"/>
        <v/>
      </c>
      <c r="C298" s="71"/>
      <c r="D298" s="69" t="str">
        <f t="shared" si="154"/>
        <v/>
      </c>
      <c r="E298" s="70" t="str">
        <f t="shared" si="155"/>
        <v/>
      </c>
      <c r="F298" s="70" t="str">
        <f t="shared" si="156"/>
        <v/>
      </c>
      <c r="G298" s="63" t="str">
        <f t="shared" si="157"/>
        <v/>
      </c>
      <c r="H298" s="64" t="str">
        <f t="shared" si="158"/>
        <v/>
      </c>
      <c r="I298" s="43"/>
      <c r="J298" s="63" t="str">
        <f t="shared" si="159"/>
        <v/>
      </c>
      <c r="K298" s="64" t="str">
        <f t="shared" si="160"/>
        <v/>
      </c>
      <c r="L298" s="63" t="str">
        <f t="shared" si="161"/>
        <v/>
      </c>
      <c r="M298" s="64" t="str">
        <f t="shared" si="162"/>
        <v/>
      </c>
      <c r="N298" s="65"/>
      <c r="O298" s="63" t="str">
        <f t="shared" si="163"/>
        <v/>
      </c>
      <c r="P298" s="63" t="str">
        <f t="shared" si="164"/>
        <v/>
      </c>
      <c r="Q298" s="66"/>
      <c r="R298" s="63" t="str">
        <f t="shared" si="165"/>
        <v/>
      </c>
      <c r="S298" s="64" t="str">
        <f t="shared" si="166"/>
        <v/>
      </c>
      <c r="T298" s="63" t="str">
        <f t="shared" si="167"/>
        <v/>
      </c>
      <c r="U298" s="64" t="str">
        <f t="shared" si="168"/>
        <v/>
      </c>
      <c r="V298" s="90" t="str">
        <f>IF($A299="","",IF(AND(MONTH(A298)&gt;3,MONTH(A298)&lt;11),(T298+R298+G298)*Summary!$T$9/(1-Summary!$T$9),(T298+R298+G298)*Summary!$U$9/(1-Summary!$U$9)))</f>
        <v/>
      </c>
      <c r="W298" s="63" t="str">
        <f t="shared" si="169"/>
        <v/>
      </c>
      <c r="X298" s="63" t="str">
        <f t="shared" si="170"/>
        <v/>
      </c>
      <c r="Y298" s="43"/>
      <c r="Z298" s="38" t="str">
        <f t="shared" si="171"/>
        <v/>
      </c>
      <c r="AA298" s="38" t="str">
        <f t="shared" si="172"/>
        <v/>
      </c>
      <c r="AB298" s="38" t="e">
        <f t="shared" si="173"/>
        <v>#VALUE!</v>
      </c>
      <c r="AC298" s="38" t="str">
        <f t="shared" si="174"/>
        <v/>
      </c>
      <c r="AD298" s="38" t="str">
        <f t="shared" si="174"/>
        <v/>
      </c>
      <c r="AE298" s="38" t="e">
        <f t="shared" si="175"/>
        <v>#VALUE!</v>
      </c>
      <c r="AF298" s="237" t="e">
        <f>((Summary!$N$9*(AA298*AD298)*(A298-$D$3))+(Summary!$M$9*Z298*AC298*(AJ298-EOMONTH(EDATE(A298,-1),0))))/(AK298*AB298*AE298)</f>
        <v>#VALUE!</v>
      </c>
      <c r="AG298" s="88" t="str">
        <f>IF($A299="","",Summary!$Q$9)</f>
        <v/>
      </c>
      <c r="AH298" s="88" t="str">
        <f>IF($A299="","",IF(Summary!$R$9="Y",VLOOKUP($A298,Summary!$AD$6:$AF$9,3)+'Escalating commodity'!E311,'Escalating commodity'!E311))</f>
        <v/>
      </c>
      <c r="AI298" s="88" t="str">
        <f t="shared" si="190"/>
        <v/>
      </c>
      <c r="AJ298" s="236" t="e">
        <f t="shared" si="176"/>
        <v>#VALUE!</v>
      </c>
      <c r="AK298" s="58" t="str">
        <f t="shared" si="177"/>
        <v/>
      </c>
      <c r="AL298" s="26" t="str">
        <f>IF($A299="","",_xll.SPRDOPT(P298,X298,AI298,0,AB298,AE298,AF298,AK298,$AJ$2,0))</f>
        <v/>
      </c>
      <c r="AM298" s="89" t="str">
        <f t="shared" si="178"/>
        <v/>
      </c>
      <c r="AN298" s="89" t="str">
        <f t="shared" si="179"/>
        <v/>
      </c>
      <c r="AO298" s="3" t="str">
        <f t="shared" si="180"/>
        <v/>
      </c>
      <c r="AP298" s="33" t="str">
        <f t="shared" si="181"/>
        <v/>
      </c>
      <c r="AQ298" s="58" t="str">
        <f t="shared" si="182"/>
        <v/>
      </c>
      <c r="AR298" s="38">
        <f>'ANR OK vs ML7'!AR298</f>
        <v>0.1</v>
      </c>
      <c r="AS298" s="35" t="str">
        <f t="shared" si="183"/>
        <v/>
      </c>
      <c r="AT298" s="3" t="str">
        <f t="shared" si="184"/>
        <v/>
      </c>
      <c r="AU298" s="3" t="str">
        <f t="shared" si="185"/>
        <v/>
      </c>
      <c r="AW298" s="32" t="str">
        <f t="shared" si="186"/>
        <v/>
      </c>
      <c r="AX298" s="32" t="str">
        <f t="shared" si="187"/>
        <v/>
      </c>
      <c r="AY298" s="32" t="str">
        <f t="shared" si="188"/>
        <v/>
      </c>
      <c r="BA298" s="32" t="str">
        <f>IF($A299="","",F298*Summary!$Q$9)</f>
        <v/>
      </c>
    </row>
    <row r="299" spans="1:53" ht="12" customHeight="1">
      <c r="A299" s="67" t="str">
        <f t="shared" si="189"/>
        <v/>
      </c>
      <c r="B299" s="69" t="str">
        <f t="shared" si="191"/>
        <v/>
      </c>
      <c r="C299" s="71"/>
      <c r="D299" s="69" t="str">
        <f t="shared" si="154"/>
        <v/>
      </c>
      <c r="E299" s="70" t="str">
        <f t="shared" si="155"/>
        <v/>
      </c>
      <c r="F299" s="70" t="str">
        <f t="shared" si="156"/>
        <v/>
      </c>
      <c r="G299" s="63" t="str">
        <f t="shared" si="157"/>
        <v/>
      </c>
      <c r="H299" s="64" t="str">
        <f t="shared" si="158"/>
        <v/>
      </c>
      <c r="I299" s="43"/>
      <c r="J299" s="63" t="str">
        <f t="shared" si="159"/>
        <v/>
      </c>
      <c r="K299" s="64" t="str">
        <f t="shared" si="160"/>
        <v/>
      </c>
      <c r="L299" s="63" t="str">
        <f t="shared" si="161"/>
        <v/>
      </c>
      <c r="M299" s="64" t="str">
        <f t="shared" si="162"/>
        <v/>
      </c>
      <c r="N299" s="65"/>
      <c r="O299" s="63" t="str">
        <f t="shared" si="163"/>
        <v/>
      </c>
      <c r="P299" s="63" t="str">
        <f t="shared" si="164"/>
        <v/>
      </c>
      <c r="Q299" s="66"/>
      <c r="R299" s="63" t="str">
        <f t="shared" si="165"/>
        <v/>
      </c>
      <c r="S299" s="64" t="str">
        <f t="shared" si="166"/>
        <v/>
      </c>
      <c r="T299" s="63" t="str">
        <f t="shared" si="167"/>
        <v/>
      </c>
      <c r="U299" s="64" t="str">
        <f t="shared" si="168"/>
        <v/>
      </c>
      <c r="V299" s="90" t="str">
        <f>IF($A300="","",IF(AND(MONTH(A299)&gt;3,MONTH(A299)&lt;11),(T299+R299+G299)*Summary!$T$9/(1-Summary!$T$9),(T299+R299+G299)*Summary!$U$9/(1-Summary!$U$9)))</f>
        <v/>
      </c>
      <c r="W299" s="63" t="str">
        <f t="shared" si="169"/>
        <v/>
      </c>
      <c r="X299" s="63" t="str">
        <f t="shared" si="170"/>
        <v/>
      </c>
      <c r="Y299" s="43"/>
      <c r="Z299" s="38" t="str">
        <f t="shared" si="171"/>
        <v/>
      </c>
      <c r="AA299" s="38" t="str">
        <f t="shared" si="172"/>
        <v/>
      </c>
      <c r="AB299" s="38" t="e">
        <f t="shared" si="173"/>
        <v>#VALUE!</v>
      </c>
      <c r="AC299" s="38" t="str">
        <f t="shared" si="174"/>
        <v/>
      </c>
      <c r="AD299" s="38" t="str">
        <f t="shared" si="174"/>
        <v/>
      </c>
      <c r="AE299" s="38" t="e">
        <f t="shared" si="175"/>
        <v>#VALUE!</v>
      </c>
      <c r="AF299" s="237" t="e">
        <f>((Summary!$N$9*(AA299*AD299)*(A299-$D$3))+(Summary!$M$9*Z299*AC299*(AJ299-EOMONTH(EDATE(A299,-1),0))))/(AK299*AB299*AE299)</f>
        <v>#VALUE!</v>
      </c>
      <c r="AG299" s="88" t="str">
        <f>IF($A300="","",Summary!$Q$9)</f>
        <v/>
      </c>
      <c r="AH299" s="88" t="str">
        <f>IF($A300="","",IF(Summary!$R$9="Y",VLOOKUP($A299,Summary!$AD$6:$AF$9,3)+'Escalating commodity'!E312,'Escalating commodity'!E312))</f>
        <v/>
      </c>
      <c r="AI299" s="88" t="str">
        <f t="shared" si="190"/>
        <v/>
      </c>
      <c r="AJ299" s="236" t="e">
        <f t="shared" si="176"/>
        <v>#VALUE!</v>
      </c>
      <c r="AK299" s="58" t="str">
        <f t="shared" si="177"/>
        <v/>
      </c>
      <c r="AL299" s="26" t="str">
        <f>IF($A300="","",_xll.SPRDOPT(P299,X299,AI299,0,AB299,AE299,AF299,AK299,$AJ$2,0))</f>
        <v/>
      </c>
      <c r="AM299" s="89" t="str">
        <f t="shared" si="178"/>
        <v/>
      </c>
      <c r="AN299" s="89" t="str">
        <f t="shared" si="179"/>
        <v/>
      </c>
      <c r="AO299" s="3" t="str">
        <f t="shared" si="180"/>
        <v/>
      </c>
      <c r="AP299" s="33" t="str">
        <f t="shared" si="181"/>
        <v/>
      </c>
      <c r="AQ299" s="58" t="str">
        <f t="shared" si="182"/>
        <v/>
      </c>
      <c r="AR299" s="38">
        <f>'ANR OK vs ML7'!AR299</f>
        <v>0.1</v>
      </c>
      <c r="AS299" s="35" t="str">
        <f t="shared" si="183"/>
        <v/>
      </c>
      <c r="AT299" s="3" t="str">
        <f t="shared" si="184"/>
        <v/>
      </c>
      <c r="AU299" s="3" t="str">
        <f t="shared" si="185"/>
        <v/>
      </c>
      <c r="AW299" s="32" t="str">
        <f t="shared" si="186"/>
        <v/>
      </c>
      <c r="AX299" s="32" t="str">
        <f t="shared" si="187"/>
        <v/>
      </c>
      <c r="AY299" s="32" t="str">
        <f t="shared" si="188"/>
        <v/>
      </c>
      <c r="BA299" s="32" t="str">
        <f>IF($A300="","",F299*Summary!$Q$9)</f>
        <v/>
      </c>
    </row>
    <row r="300" spans="1:53" ht="12" customHeight="1">
      <c r="A300" s="67" t="str">
        <f t="shared" si="189"/>
        <v/>
      </c>
      <c r="B300" s="69" t="str">
        <f t="shared" si="191"/>
        <v/>
      </c>
      <c r="C300" s="71"/>
      <c r="D300" s="69" t="str">
        <f t="shared" si="154"/>
        <v/>
      </c>
      <c r="E300" s="70" t="str">
        <f t="shared" si="155"/>
        <v/>
      </c>
      <c r="F300" s="70" t="str">
        <f t="shared" si="156"/>
        <v/>
      </c>
      <c r="G300" s="63" t="str">
        <f t="shared" si="157"/>
        <v/>
      </c>
      <c r="H300" s="64" t="str">
        <f t="shared" si="158"/>
        <v/>
      </c>
      <c r="I300" s="43"/>
      <c r="J300" s="63" t="str">
        <f t="shared" si="159"/>
        <v/>
      </c>
      <c r="K300" s="64" t="str">
        <f t="shared" si="160"/>
        <v/>
      </c>
      <c r="L300" s="63" t="str">
        <f t="shared" si="161"/>
        <v/>
      </c>
      <c r="M300" s="64" t="str">
        <f t="shared" si="162"/>
        <v/>
      </c>
      <c r="N300" s="65"/>
      <c r="O300" s="63" t="str">
        <f t="shared" si="163"/>
        <v/>
      </c>
      <c r="P300" s="63" t="str">
        <f t="shared" si="164"/>
        <v/>
      </c>
      <c r="Q300" s="66"/>
      <c r="R300" s="63" t="str">
        <f t="shared" si="165"/>
        <v/>
      </c>
      <c r="S300" s="64" t="str">
        <f t="shared" si="166"/>
        <v/>
      </c>
      <c r="T300" s="63" t="str">
        <f t="shared" si="167"/>
        <v/>
      </c>
      <c r="U300" s="64" t="str">
        <f t="shared" si="168"/>
        <v/>
      </c>
      <c r="V300" s="90" t="str">
        <f>IF($A301="","",IF(AND(MONTH(A300)&gt;3,MONTH(A300)&lt;11),(T300+R300+G300)*Summary!$T$9/(1-Summary!$T$9),(T300+R300+G300)*Summary!$U$9/(1-Summary!$U$9)))</f>
        <v/>
      </c>
      <c r="W300" s="63" t="str">
        <f t="shared" si="169"/>
        <v/>
      </c>
      <c r="X300" s="63" t="str">
        <f t="shared" si="170"/>
        <v/>
      </c>
      <c r="Y300" s="43"/>
      <c r="Z300" s="38" t="str">
        <f t="shared" si="171"/>
        <v/>
      </c>
      <c r="AA300" s="38" t="str">
        <f t="shared" si="172"/>
        <v/>
      </c>
      <c r="AB300" s="38" t="e">
        <f t="shared" si="173"/>
        <v>#VALUE!</v>
      </c>
      <c r="AC300" s="38" t="str">
        <f t="shared" si="174"/>
        <v/>
      </c>
      <c r="AD300" s="38" t="str">
        <f t="shared" si="174"/>
        <v/>
      </c>
      <c r="AE300" s="38" t="e">
        <f t="shared" si="175"/>
        <v>#VALUE!</v>
      </c>
      <c r="AF300" s="237" t="e">
        <f>((Summary!$N$9*(AA300*AD300)*(A300-$D$3))+(Summary!$M$9*Z300*AC300*(AJ300-EOMONTH(EDATE(A300,-1),0))))/(AK300*AB300*AE300)</f>
        <v>#VALUE!</v>
      </c>
      <c r="AG300" s="88" t="str">
        <f>IF($A301="","",Summary!$Q$9)</f>
        <v/>
      </c>
      <c r="AH300" s="88" t="str">
        <f>IF($A301="","",IF(Summary!$R$9="Y",VLOOKUP($A300,Summary!$AD$6:$AF$9,3)+'Escalating commodity'!E313,'Escalating commodity'!E313))</f>
        <v/>
      </c>
      <c r="AI300" s="88" t="str">
        <f t="shared" si="190"/>
        <v/>
      </c>
      <c r="AJ300" s="236" t="e">
        <f t="shared" si="176"/>
        <v>#VALUE!</v>
      </c>
      <c r="AK300" s="58" t="str">
        <f t="shared" si="177"/>
        <v/>
      </c>
      <c r="AL300" s="26" t="str">
        <f>IF($A301="","",_xll.SPRDOPT(P300,X300,AI300,0,AB300,AE300,AF300,AK300,$AJ$2,0))</f>
        <v/>
      </c>
      <c r="AM300" s="89" t="str">
        <f t="shared" si="178"/>
        <v/>
      </c>
      <c r="AN300" s="89" t="str">
        <f t="shared" si="179"/>
        <v/>
      </c>
      <c r="AO300" s="3" t="str">
        <f t="shared" si="180"/>
        <v/>
      </c>
      <c r="AP300" s="33" t="str">
        <f t="shared" si="181"/>
        <v/>
      </c>
      <c r="AQ300" s="58" t="str">
        <f t="shared" si="182"/>
        <v/>
      </c>
      <c r="AR300" s="38">
        <f>'ANR OK vs ML7'!AR300</f>
        <v>0.1</v>
      </c>
      <c r="AS300" s="35" t="str">
        <f t="shared" si="183"/>
        <v/>
      </c>
      <c r="AT300" s="3" t="str">
        <f t="shared" si="184"/>
        <v/>
      </c>
      <c r="AU300" s="3" t="str">
        <f t="shared" si="185"/>
        <v/>
      </c>
      <c r="AW300" s="32" t="str">
        <f t="shared" si="186"/>
        <v/>
      </c>
      <c r="AX300" s="32" t="str">
        <f t="shared" si="187"/>
        <v/>
      </c>
      <c r="AY300" s="32" t="str">
        <f t="shared" si="188"/>
        <v/>
      </c>
      <c r="BA300" s="32" t="str">
        <f>IF($A301="","",F300*Summary!$Q$9)</f>
        <v/>
      </c>
    </row>
    <row r="301" spans="1:53" ht="12" customHeight="1">
      <c r="A301" s="67" t="str">
        <f t="shared" si="189"/>
        <v/>
      </c>
      <c r="B301" s="69" t="str">
        <f t="shared" si="191"/>
        <v/>
      </c>
      <c r="C301" s="71"/>
      <c r="D301" s="69" t="str">
        <f t="shared" si="154"/>
        <v/>
      </c>
      <c r="E301" s="70" t="str">
        <f t="shared" si="155"/>
        <v/>
      </c>
      <c r="F301" s="70" t="str">
        <f t="shared" si="156"/>
        <v/>
      </c>
      <c r="G301" s="63" t="str">
        <f t="shared" si="157"/>
        <v/>
      </c>
      <c r="H301" s="64" t="str">
        <f t="shared" si="158"/>
        <v/>
      </c>
      <c r="I301" s="43"/>
      <c r="J301" s="63" t="str">
        <f t="shared" si="159"/>
        <v/>
      </c>
      <c r="K301" s="64" t="str">
        <f t="shared" si="160"/>
        <v/>
      </c>
      <c r="L301" s="63" t="str">
        <f t="shared" si="161"/>
        <v/>
      </c>
      <c r="M301" s="64" t="str">
        <f t="shared" si="162"/>
        <v/>
      </c>
      <c r="N301" s="65"/>
      <c r="O301" s="63" t="str">
        <f t="shared" si="163"/>
        <v/>
      </c>
      <c r="P301" s="63" t="str">
        <f t="shared" si="164"/>
        <v/>
      </c>
      <c r="Q301" s="66"/>
      <c r="R301" s="63" t="str">
        <f t="shared" si="165"/>
        <v/>
      </c>
      <c r="S301" s="64" t="str">
        <f t="shared" si="166"/>
        <v/>
      </c>
      <c r="T301" s="63" t="str">
        <f t="shared" si="167"/>
        <v/>
      </c>
      <c r="U301" s="64" t="str">
        <f t="shared" si="168"/>
        <v/>
      </c>
      <c r="V301" s="90" t="str">
        <f>IF($A302="","",IF(AND(MONTH(A301)&gt;3,MONTH(A301)&lt;11),(T301+R301+G301)*Summary!$T$9/(1-Summary!$T$9),(T301+R301+G301)*Summary!$U$9/(1-Summary!$U$9)))</f>
        <v/>
      </c>
      <c r="W301" s="63" t="str">
        <f t="shared" si="169"/>
        <v/>
      </c>
      <c r="X301" s="63" t="str">
        <f t="shared" si="170"/>
        <v/>
      </c>
      <c r="Y301" s="43"/>
      <c r="Z301" s="38" t="str">
        <f t="shared" si="171"/>
        <v/>
      </c>
      <c r="AA301" s="38" t="str">
        <f t="shared" si="172"/>
        <v/>
      </c>
      <c r="AB301" s="38" t="e">
        <f t="shared" si="173"/>
        <v>#VALUE!</v>
      </c>
      <c r="AC301" s="38" t="str">
        <f t="shared" si="174"/>
        <v/>
      </c>
      <c r="AD301" s="38" t="str">
        <f t="shared" si="174"/>
        <v/>
      </c>
      <c r="AE301" s="38" t="e">
        <f t="shared" si="175"/>
        <v>#VALUE!</v>
      </c>
      <c r="AF301" s="237" t="e">
        <f>((Summary!$N$9*(AA301*AD301)*(A301-$D$3))+(Summary!$M$9*Z301*AC301*(AJ301-EOMONTH(EDATE(A301,-1),0))))/(AK301*AB301*AE301)</f>
        <v>#VALUE!</v>
      </c>
      <c r="AG301" s="88" t="str">
        <f>IF($A302="","",Summary!$Q$9)</f>
        <v/>
      </c>
      <c r="AH301" s="88" t="str">
        <f>IF($A302="","",IF(Summary!$R$9="Y",VLOOKUP($A301,Summary!$AD$6:$AF$9,3)+'Escalating commodity'!E314,'Escalating commodity'!E314))</f>
        <v/>
      </c>
      <c r="AI301" s="88" t="str">
        <f t="shared" si="190"/>
        <v/>
      </c>
      <c r="AJ301" s="236" t="e">
        <f t="shared" si="176"/>
        <v>#VALUE!</v>
      </c>
      <c r="AK301" s="58" t="str">
        <f t="shared" si="177"/>
        <v/>
      </c>
      <c r="AL301" s="26" t="str">
        <f>IF($A302="","",_xll.SPRDOPT(P301,X301,AI301,0,AB301,AE301,AF301,AK301,$AJ$2,0))</f>
        <v/>
      </c>
      <c r="AM301" s="89" t="str">
        <f t="shared" si="178"/>
        <v/>
      </c>
      <c r="AN301" s="89" t="str">
        <f t="shared" si="179"/>
        <v/>
      </c>
      <c r="AO301" s="3" t="str">
        <f t="shared" si="180"/>
        <v/>
      </c>
      <c r="AP301" s="33" t="str">
        <f t="shared" si="181"/>
        <v/>
      </c>
      <c r="AQ301" s="58" t="str">
        <f t="shared" si="182"/>
        <v/>
      </c>
      <c r="AR301" s="38">
        <f>'ANR OK vs ML7'!AR301</f>
        <v>0.1</v>
      </c>
      <c r="AS301" s="35" t="str">
        <f t="shared" si="183"/>
        <v/>
      </c>
      <c r="AT301" s="3" t="str">
        <f t="shared" si="184"/>
        <v/>
      </c>
      <c r="AU301" s="3" t="str">
        <f t="shared" si="185"/>
        <v/>
      </c>
      <c r="AW301" s="32" t="str">
        <f t="shared" si="186"/>
        <v/>
      </c>
      <c r="AX301" s="32" t="str">
        <f t="shared" si="187"/>
        <v/>
      </c>
      <c r="AY301" s="32" t="str">
        <f t="shared" si="188"/>
        <v/>
      </c>
      <c r="BA301" s="32" t="str">
        <f>IF($A302="","",F301*Summary!$Q$9)</f>
        <v/>
      </c>
    </row>
    <row r="302" spans="1:53" ht="12" customHeight="1">
      <c r="A302" s="67" t="str">
        <f t="shared" si="189"/>
        <v/>
      </c>
      <c r="B302" s="69" t="str">
        <f t="shared" si="191"/>
        <v/>
      </c>
      <c r="C302" s="71"/>
      <c r="D302" s="69" t="str">
        <f t="shared" si="154"/>
        <v/>
      </c>
      <c r="E302" s="70" t="str">
        <f t="shared" si="155"/>
        <v/>
      </c>
      <c r="F302" s="70" t="str">
        <f t="shared" si="156"/>
        <v/>
      </c>
      <c r="G302" s="63" t="str">
        <f t="shared" si="157"/>
        <v/>
      </c>
      <c r="H302" s="64" t="str">
        <f t="shared" si="158"/>
        <v/>
      </c>
      <c r="I302" s="43"/>
      <c r="J302" s="63" t="str">
        <f t="shared" si="159"/>
        <v/>
      </c>
      <c r="K302" s="64" t="str">
        <f t="shared" si="160"/>
        <v/>
      </c>
      <c r="L302" s="63" t="str">
        <f t="shared" si="161"/>
        <v/>
      </c>
      <c r="M302" s="64" t="str">
        <f t="shared" si="162"/>
        <v/>
      </c>
      <c r="N302" s="65"/>
      <c r="O302" s="63" t="str">
        <f t="shared" si="163"/>
        <v/>
      </c>
      <c r="P302" s="63" t="str">
        <f t="shared" si="164"/>
        <v/>
      </c>
      <c r="Q302" s="66"/>
      <c r="R302" s="63" t="str">
        <f t="shared" si="165"/>
        <v/>
      </c>
      <c r="S302" s="64" t="str">
        <f t="shared" si="166"/>
        <v/>
      </c>
      <c r="T302" s="63" t="str">
        <f t="shared" si="167"/>
        <v/>
      </c>
      <c r="U302" s="64" t="str">
        <f t="shared" si="168"/>
        <v/>
      </c>
      <c r="V302" s="90" t="str">
        <f>IF($A303="","",IF(AND(MONTH(A302)&gt;3,MONTH(A302)&lt;11),(T302+R302+G302)*Summary!$T$9/(1-Summary!$T$9),(T302+R302+G302)*Summary!$U$9/(1-Summary!$U$9)))</f>
        <v/>
      </c>
      <c r="W302" s="63" t="str">
        <f t="shared" si="169"/>
        <v/>
      </c>
      <c r="X302" s="63" t="str">
        <f t="shared" si="170"/>
        <v/>
      </c>
      <c r="Y302" s="43"/>
      <c r="Z302" s="38" t="str">
        <f t="shared" si="171"/>
        <v/>
      </c>
      <c r="AA302" s="38" t="str">
        <f t="shared" si="172"/>
        <v/>
      </c>
      <c r="AB302" s="38" t="e">
        <f t="shared" si="173"/>
        <v>#VALUE!</v>
      </c>
      <c r="AC302" s="38" t="str">
        <f t="shared" si="174"/>
        <v/>
      </c>
      <c r="AD302" s="38" t="str">
        <f t="shared" si="174"/>
        <v/>
      </c>
      <c r="AE302" s="38" t="e">
        <f t="shared" si="175"/>
        <v>#VALUE!</v>
      </c>
      <c r="AF302" s="237" t="e">
        <f>((Summary!$N$9*(AA302*AD302)*(A302-$D$3))+(Summary!$M$9*Z302*AC302*(AJ302-EOMONTH(EDATE(A302,-1),0))))/(AK302*AB302*AE302)</f>
        <v>#VALUE!</v>
      </c>
      <c r="AG302" s="88" t="str">
        <f>IF($A303="","",Summary!$Q$9)</f>
        <v/>
      </c>
      <c r="AH302" s="88" t="str">
        <f>IF($A303="","",IF(Summary!$R$9="Y",VLOOKUP($A302,Summary!$AD$6:$AF$9,3)+'Escalating commodity'!E315,'Escalating commodity'!E315))</f>
        <v/>
      </c>
      <c r="AI302" s="88" t="str">
        <f t="shared" si="190"/>
        <v/>
      </c>
      <c r="AJ302" s="236" t="e">
        <f t="shared" si="176"/>
        <v>#VALUE!</v>
      </c>
      <c r="AK302" s="58" t="str">
        <f t="shared" si="177"/>
        <v/>
      </c>
      <c r="AL302" s="26" t="str">
        <f>IF($A303="","",_xll.SPRDOPT(P302,X302,AI302,0,AB302,AE302,AF302,AK302,$AJ$2,0))</f>
        <v/>
      </c>
      <c r="AM302" s="89" t="str">
        <f t="shared" si="178"/>
        <v/>
      </c>
      <c r="AN302" s="89" t="str">
        <f t="shared" si="179"/>
        <v/>
      </c>
      <c r="AO302" s="3" t="str">
        <f t="shared" si="180"/>
        <v/>
      </c>
      <c r="AP302" s="33" t="str">
        <f t="shared" si="181"/>
        <v/>
      </c>
      <c r="AQ302" s="58" t="str">
        <f t="shared" si="182"/>
        <v/>
      </c>
      <c r="AR302" s="38">
        <f>'ANR OK vs ML7'!AR302</f>
        <v>0.1</v>
      </c>
      <c r="AS302" s="35" t="str">
        <f t="shared" si="183"/>
        <v/>
      </c>
      <c r="AT302" s="3" t="str">
        <f t="shared" si="184"/>
        <v/>
      </c>
      <c r="AU302" s="3" t="str">
        <f t="shared" si="185"/>
        <v/>
      </c>
      <c r="AW302" s="32" t="str">
        <f t="shared" si="186"/>
        <v/>
      </c>
      <c r="AX302" s="32" t="str">
        <f t="shared" si="187"/>
        <v/>
      </c>
      <c r="AY302" s="32" t="str">
        <f t="shared" si="188"/>
        <v/>
      </c>
      <c r="BA302" s="32" t="str">
        <f>IF($A303="","",F302*Summary!$Q$9)</f>
        <v/>
      </c>
    </row>
    <row r="303" spans="1:53" ht="12" customHeight="1">
      <c r="A303" s="67" t="str">
        <f t="shared" si="189"/>
        <v/>
      </c>
      <c r="B303" s="69" t="str">
        <f t="shared" si="191"/>
        <v/>
      </c>
      <c r="C303" s="71"/>
      <c r="D303" s="69" t="str">
        <f t="shared" si="154"/>
        <v/>
      </c>
      <c r="E303" s="70" t="str">
        <f t="shared" si="155"/>
        <v/>
      </c>
      <c r="F303" s="70" t="str">
        <f t="shared" si="156"/>
        <v/>
      </c>
      <c r="G303" s="63" t="str">
        <f t="shared" si="157"/>
        <v/>
      </c>
      <c r="H303" s="64" t="str">
        <f t="shared" si="158"/>
        <v/>
      </c>
      <c r="I303" s="43"/>
      <c r="J303" s="63" t="str">
        <f t="shared" si="159"/>
        <v/>
      </c>
      <c r="K303" s="64" t="str">
        <f t="shared" si="160"/>
        <v/>
      </c>
      <c r="L303" s="63" t="str">
        <f t="shared" si="161"/>
        <v/>
      </c>
      <c r="M303" s="64" t="str">
        <f t="shared" si="162"/>
        <v/>
      </c>
      <c r="N303" s="65"/>
      <c r="O303" s="63" t="str">
        <f t="shared" si="163"/>
        <v/>
      </c>
      <c r="P303" s="63" t="str">
        <f t="shared" si="164"/>
        <v/>
      </c>
      <c r="Q303" s="66"/>
      <c r="R303" s="63" t="str">
        <f t="shared" si="165"/>
        <v/>
      </c>
      <c r="S303" s="64" t="str">
        <f t="shared" si="166"/>
        <v/>
      </c>
      <c r="T303" s="63" t="str">
        <f t="shared" si="167"/>
        <v/>
      </c>
      <c r="U303" s="64" t="str">
        <f t="shared" si="168"/>
        <v/>
      </c>
      <c r="V303" s="90" t="str">
        <f>IF($A304="","",IF(AND(MONTH(A303)&gt;3,MONTH(A303)&lt;11),(T303+R303+G303)*Summary!$T$9/(1-Summary!$T$9),(T303+R303+G303)*Summary!$U$9/(1-Summary!$U$9)))</f>
        <v/>
      </c>
      <c r="W303" s="63" t="str">
        <f t="shared" si="169"/>
        <v/>
      </c>
      <c r="X303" s="63" t="str">
        <f t="shared" si="170"/>
        <v/>
      </c>
      <c r="Y303" s="43"/>
      <c r="Z303" s="38" t="str">
        <f t="shared" si="171"/>
        <v/>
      </c>
      <c r="AA303" s="38" t="str">
        <f t="shared" si="172"/>
        <v/>
      </c>
      <c r="AB303" s="38" t="e">
        <f t="shared" si="173"/>
        <v>#VALUE!</v>
      </c>
      <c r="AC303" s="38" t="str">
        <f t="shared" si="174"/>
        <v/>
      </c>
      <c r="AD303" s="38" t="str">
        <f t="shared" si="174"/>
        <v/>
      </c>
      <c r="AE303" s="38" t="e">
        <f t="shared" si="175"/>
        <v>#VALUE!</v>
      </c>
      <c r="AF303" s="237" t="e">
        <f>((Summary!$N$9*(AA303*AD303)*(A303-$D$3))+(Summary!$M$9*Z303*AC303*(AJ303-EOMONTH(EDATE(A303,-1),0))))/(AK303*AB303*AE303)</f>
        <v>#VALUE!</v>
      </c>
      <c r="AG303" s="88" t="str">
        <f>IF($A304="","",Summary!$Q$9)</f>
        <v/>
      </c>
      <c r="AH303" s="88" t="str">
        <f>IF($A304="","",IF(Summary!$R$9="Y",VLOOKUP($A303,Summary!$AD$6:$AF$9,3)+'Escalating commodity'!E316,'Escalating commodity'!E316))</f>
        <v/>
      </c>
      <c r="AI303" s="88" t="str">
        <f t="shared" si="190"/>
        <v/>
      </c>
      <c r="AJ303" s="236" t="e">
        <f t="shared" si="176"/>
        <v>#VALUE!</v>
      </c>
      <c r="AK303" s="58" t="str">
        <f t="shared" si="177"/>
        <v/>
      </c>
      <c r="AL303" s="26" t="str">
        <f>IF($A304="","",_xll.SPRDOPT(P303,X303,AI303,0,AB303,AE303,AF303,AK303,$AJ$2,0))</f>
        <v/>
      </c>
      <c r="AM303" s="89" t="str">
        <f t="shared" si="178"/>
        <v/>
      </c>
      <c r="AN303" s="89" t="str">
        <f t="shared" si="179"/>
        <v/>
      </c>
      <c r="AO303" s="3" t="str">
        <f t="shared" si="180"/>
        <v/>
      </c>
      <c r="AP303" s="33" t="str">
        <f t="shared" si="181"/>
        <v/>
      </c>
      <c r="AQ303" s="58" t="str">
        <f t="shared" si="182"/>
        <v/>
      </c>
      <c r="AR303" s="38">
        <f>'ANR OK vs ML7'!AR303</f>
        <v>0.1</v>
      </c>
      <c r="AS303" s="35" t="str">
        <f t="shared" si="183"/>
        <v/>
      </c>
      <c r="AT303" s="3" t="str">
        <f t="shared" si="184"/>
        <v/>
      </c>
      <c r="AU303" s="3" t="str">
        <f t="shared" si="185"/>
        <v/>
      </c>
      <c r="AW303" s="32" t="str">
        <f t="shared" si="186"/>
        <v/>
      </c>
      <c r="AX303" s="32" t="str">
        <f t="shared" si="187"/>
        <v/>
      </c>
      <c r="AY303" s="32" t="str">
        <f t="shared" si="188"/>
        <v/>
      </c>
      <c r="BA303" s="32" t="str">
        <f>IF($A304="","",F303*Summary!$Q$9)</f>
        <v/>
      </c>
    </row>
    <row r="304" spans="1:53" ht="12" customHeight="1">
      <c r="A304" s="67" t="str">
        <f t="shared" si="189"/>
        <v/>
      </c>
      <c r="B304" s="69" t="str">
        <f t="shared" si="191"/>
        <v/>
      </c>
      <c r="C304" s="71"/>
      <c r="D304" s="69" t="str">
        <f t="shared" si="154"/>
        <v/>
      </c>
      <c r="E304" s="70" t="str">
        <f t="shared" si="155"/>
        <v/>
      </c>
      <c r="F304" s="70" t="str">
        <f t="shared" si="156"/>
        <v/>
      </c>
      <c r="G304" s="63" t="str">
        <f t="shared" si="157"/>
        <v/>
      </c>
      <c r="H304" s="64" t="str">
        <f t="shared" si="158"/>
        <v/>
      </c>
      <c r="I304" s="43"/>
      <c r="J304" s="63" t="str">
        <f t="shared" si="159"/>
        <v/>
      </c>
      <c r="K304" s="64" t="str">
        <f t="shared" si="160"/>
        <v/>
      </c>
      <c r="L304" s="63" t="str">
        <f t="shared" si="161"/>
        <v/>
      </c>
      <c r="M304" s="64" t="str">
        <f t="shared" si="162"/>
        <v/>
      </c>
      <c r="N304" s="65"/>
      <c r="O304" s="63" t="str">
        <f t="shared" si="163"/>
        <v/>
      </c>
      <c r="P304" s="63" t="str">
        <f t="shared" si="164"/>
        <v/>
      </c>
      <c r="Q304" s="66"/>
      <c r="R304" s="63" t="str">
        <f t="shared" si="165"/>
        <v/>
      </c>
      <c r="S304" s="64" t="str">
        <f t="shared" si="166"/>
        <v/>
      </c>
      <c r="T304" s="63" t="str">
        <f t="shared" si="167"/>
        <v/>
      </c>
      <c r="U304" s="64" t="str">
        <f t="shared" si="168"/>
        <v/>
      </c>
      <c r="V304" s="90" t="str">
        <f>IF($A305="","",IF(AND(MONTH(A304)&gt;3,MONTH(A304)&lt;11),(T304+R304+G304)*Summary!$T$9/(1-Summary!$T$9),(T304+R304+G304)*Summary!$U$9/(1-Summary!$U$9)))</f>
        <v/>
      </c>
      <c r="W304" s="63" t="str">
        <f t="shared" si="169"/>
        <v/>
      </c>
      <c r="X304" s="63" t="str">
        <f t="shared" si="170"/>
        <v/>
      </c>
      <c r="Y304" s="43"/>
      <c r="Z304" s="38" t="str">
        <f t="shared" si="171"/>
        <v/>
      </c>
      <c r="AA304" s="38" t="str">
        <f t="shared" si="172"/>
        <v/>
      </c>
      <c r="AB304" s="38" t="e">
        <f t="shared" si="173"/>
        <v>#VALUE!</v>
      </c>
      <c r="AC304" s="38" t="str">
        <f t="shared" si="174"/>
        <v/>
      </c>
      <c r="AD304" s="38" t="str">
        <f t="shared" si="174"/>
        <v/>
      </c>
      <c r="AE304" s="38" t="e">
        <f t="shared" si="175"/>
        <v>#VALUE!</v>
      </c>
      <c r="AF304" s="237" t="e">
        <f>((Summary!$N$9*(AA304*AD304)*(A304-$D$3))+(Summary!$M$9*Z304*AC304*(AJ304-EOMONTH(EDATE(A304,-1),0))))/(AK304*AB304*AE304)</f>
        <v>#VALUE!</v>
      </c>
      <c r="AG304" s="88" t="str">
        <f>IF($A305="","",Summary!$Q$9)</f>
        <v/>
      </c>
      <c r="AH304" s="88" t="str">
        <f>IF($A305="","",IF(Summary!$R$9="Y",VLOOKUP($A304,Summary!$AD$6:$AF$9,3)+'Escalating commodity'!E317,'Escalating commodity'!E317))</f>
        <v/>
      </c>
      <c r="AI304" s="88" t="str">
        <f t="shared" si="190"/>
        <v/>
      </c>
      <c r="AJ304" s="236" t="e">
        <f t="shared" si="176"/>
        <v>#VALUE!</v>
      </c>
      <c r="AK304" s="58" t="str">
        <f t="shared" si="177"/>
        <v/>
      </c>
      <c r="AL304" s="26" t="str">
        <f>IF($A305="","",_xll.SPRDOPT(P304,X304,AI304,0,AB304,AE304,AF304,AK304,$AJ$2,0))</f>
        <v/>
      </c>
      <c r="AM304" s="89" t="str">
        <f t="shared" si="178"/>
        <v/>
      </c>
      <c r="AN304" s="89" t="str">
        <f t="shared" si="179"/>
        <v/>
      </c>
      <c r="AO304" s="3" t="str">
        <f t="shared" si="180"/>
        <v/>
      </c>
      <c r="AP304" s="33" t="str">
        <f t="shared" si="181"/>
        <v/>
      </c>
      <c r="AQ304" s="58" t="str">
        <f t="shared" si="182"/>
        <v/>
      </c>
      <c r="AR304" s="38">
        <f>'ANR OK vs ML7'!AR304</f>
        <v>0.1</v>
      </c>
      <c r="AS304" s="35" t="str">
        <f t="shared" si="183"/>
        <v/>
      </c>
      <c r="AT304" s="3" t="str">
        <f t="shared" si="184"/>
        <v/>
      </c>
      <c r="AU304" s="3" t="str">
        <f t="shared" si="185"/>
        <v/>
      </c>
      <c r="AW304" s="32" t="str">
        <f t="shared" si="186"/>
        <v/>
      </c>
      <c r="AX304" s="32" t="str">
        <f t="shared" si="187"/>
        <v/>
      </c>
      <c r="AY304" s="32" t="str">
        <f t="shared" si="188"/>
        <v/>
      </c>
      <c r="BA304" s="32" t="str">
        <f>IF($A305="","",F304*Summary!$Q$9)</f>
        <v/>
      </c>
    </row>
    <row r="305" spans="1:53" ht="12" customHeight="1">
      <c r="A305" s="67" t="str">
        <f t="shared" si="189"/>
        <v/>
      </c>
      <c r="B305" s="69" t="str">
        <f t="shared" si="191"/>
        <v/>
      </c>
      <c r="C305" s="71"/>
      <c r="D305" s="69" t="str">
        <f t="shared" si="154"/>
        <v/>
      </c>
      <c r="E305" s="70" t="str">
        <f t="shared" si="155"/>
        <v/>
      </c>
      <c r="F305" s="70" t="str">
        <f t="shared" si="156"/>
        <v/>
      </c>
      <c r="G305" s="63" t="str">
        <f t="shared" si="157"/>
        <v/>
      </c>
      <c r="H305" s="64" t="str">
        <f t="shared" si="158"/>
        <v/>
      </c>
      <c r="I305" s="43"/>
      <c r="J305" s="63" t="str">
        <f t="shared" si="159"/>
        <v/>
      </c>
      <c r="K305" s="64" t="str">
        <f t="shared" si="160"/>
        <v/>
      </c>
      <c r="L305" s="63" t="str">
        <f t="shared" si="161"/>
        <v/>
      </c>
      <c r="M305" s="64" t="str">
        <f t="shared" si="162"/>
        <v/>
      </c>
      <c r="N305" s="65"/>
      <c r="O305" s="63" t="str">
        <f t="shared" si="163"/>
        <v/>
      </c>
      <c r="P305" s="63" t="str">
        <f t="shared" si="164"/>
        <v/>
      </c>
      <c r="Q305" s="66"/>
      <c r="R305" s="63" t="str">
        <f t="shared" si="165"/>
        <v/>
      </c>
      <c r="S305" s="64" t="str">
        <f t="shared" si="166"/>
        <v/>
      </c>
      <c r="T305" s="63" t="str">
        <f t="shared" si="167"/>
        <v/>
      </c>
      <c r="U305" s="64" t="str">
        <f t="shared" si="168"/>
        <v/>
      </c>
      <c r="V305" s="90" t="str">
        <f>IF($A306="","",IF(AND(MONTH(A305)&gt;3,MONTH(A305)&lt;11),(T305+R305+G305)*Summary!$T$9/(1-Summary!$T$9),(T305+R305+G305)*Summary!$U$9/(1-Summary!$U$9)))</f>
        <v/>
      </c>
      <c r="W305" s="63" t="str">
        <f t="shared" si="169"/>
        <v/>
      </c>
      <c r="X305" s="63" t="str">
        <f t="shared" si="170"/>
        <v/>
      </c>
      <c r="Y305" s="43"/>
      <c r="Z305" s="38" t="str">
        <f t="shared" si="171"/>
        <v/>
      </c>
      <c r="AA305" s="38" t="str">
        <f t="shared" si="172"/>
        <v/>
      </c>
      <c r="AB305" s="38" t="e">
        <f t="shared" si="173"/>
        <v>#VALUE!</v>
      </c>
      <c r="AC305" s="38" t="str">
        <f t="shared" si="174"/>
        <v/>
      </c>
      <c r="AD305" s="38" t="str">
        <f t="shared" si="174"/>
        <v/>
      </c>
      <c r="AE305" s="38" t="e">
        <f t="shared" si="175"/>
        <v>#VALUE!</v>
      </c>
      <c r="AF305" s="237" t="e">
        <f>((Summary!$N$9*(AA305*AD305)*(A305-$D$3))+(Summary!$M$9*Z305*AC305*(AJ305-EOMONTH(EDATE(A305,-1),0))))/(AK305*AB305*AE305)</f>
        <v>#VALUE!</v>
      </c>
      <c r="AG305" s="88" t="str">
        <f>IF($A306="","",Summary!$Q$9)</f>
        <v/>
      </c>
      <c r="AH305" s="88" t="str">
        <f>IF($A306="","",IF(Summary!$R$9="Y",VLOOKUP($A305,Summary!$AD$6:$AF$9,3)+'Escalating commodity'!E318,'Escalating commodity'!E318))</f>
        <v/>
      </c>
      <c r="AI305" s="88" t="str">
        <f t="shared" si="190"/>
        <v/>
      </c>
      <c r="AJ305" s="236" t="e">
        <f t="shared" si="176"/>
        <v>#VALUE!</v>
      </c>
      <c r="AK305" s="58" t="str">
        <f t="shared" si="177"/>
        <v/>
      </c>
      <c r="AL305" s="26" t="str">
        <f>IF($A306="","",_xll.SPRDOPT(P305,X305,AI305,0,AB305,AE305,AF305,AK305,$AJ$2,0))</f>
        <v/>
      </c>
      <c r="AM305" s="89" t="str">
        <f t="shared" si="178"/>
        <v/>
      </c>
      <c r="AN305" s="89" t="str">
        <f t="shared" si="179"/>
        <v/>
      </c>
      <c r="AO305" s="3" t="str">
        <f t="shared" si="180"/>
        <v/>
      </c>
      <c r="AP305" s="33" t="str">
        <f t="shared" si="181"/>
        <v/>
      </c>
      <c r="AQ305" s="58" t="str">
        <f t="shared" si="182"/>
        <v/>
      </c>
      <c r="AR305" s="38">
        <f>'ANR OK vs ML7'!AR305</f>
        <v>0.1</v>
      </c>
      <c r="AS305" s="35" t="str">
        <f t="shared" si="183"/>
        <v/>
      </c>
      <c r="AT305" s="3" t="str">
        <f t="shared" si="184"/>
        <v/>
      </c>
      <c r="AU305" s="3" t="str">
        <f t="shared" si="185"/>
        <v/>
      </c>
      <c r="AW305" s="32" t="str">
        <f t="shared" si="186"/>
        <v/>
      </c>
      <c r="AX305" s="32" t="str">
        <f t="shared" si="187"/>
        <v/>
      </c>
      <c r="AY305" s="32" t="str">
        <f t="shared" si="188"/>
        <v/>
      </c>
      <c r="BA305" s="32" t="str">
        <f>IF($A306="","",F305*Summary!$Q$9)</f>
        <v/>
      </c>
    </row>
    <row r="306" spans="1:53" ht="12" customHeight="1">
      <c r="A306" s="67" t="str">
        <f t="shared" si="189"/>
        <v/>
      </c>
      <c r="B306" s="69" t="str">
        <f t="shared" si="191"/>
        <v/>
      </c>
      <c r="C306" s="71"/>
      <c r="D306" s="69" t="str">
        <f t="shared" si="154"/>
        <v/>
      </c>
      <c r="E306" s="70" t="str">
        <f t="shared" si="155"/>
        <v/>
      </c>
      <c r="F306" s="70" t="str">
        <f t="shared" si="156"/>
        <v/>
      </c>
      <c r="G306" s="63" t="str">
        <f t="shared" si="157"/>
        <v/>
      </c>
      <c r="H306" s="64" t="str">
        <f t="shared" si="158"/>
        <v/>
      </c>
      <c r="I306" s="43"/>
      <c r="J306" s="63" t="str">
        <f t="shared" si="159"/>
        <v/>
      </c>
      <c r="K306" s="64" t="str">
        <f t="shared" si="160"/>
        <v/>
      </c>
      <c r="L306" s="63" t="str">
        <f t="shared" si="161"/>
        <v/>
      </c>
      <c r="M306" s="64" t="str">
        <f t="shared" si="162"/>
        <v/>
      </c>
      <c r="N306" s="65"/>
      <c r="O306" s="63" t="str">
        <f t="shared" si="163"/>
        <v/>
      </c>
      <c r="P306" s="63" t="str">
        <f t="shared" si="164"/>
        <v/>
      </c>
      <c r="Q306" s="66"/>
      <c r="R306" s="63" t="str">
        <f t="shared" si="165"/>
        <v/>
      </c>
      <c r="S306" s="64" t="str">
        <f t="shared" si="166"/>
        <v/>
      </c>
      <c r="T306" s="63" t="str">
        <f t="shared" si="167"/>
        <v/>
      </c>
      <c r="U306" s="64" t="str">
        <f t="shared" si="168"/>
        <v/>
      </c>
      <c r="V306" s="90" t="str">
        <f>IF($A307="","",IF(AND(MONTH(A306)&gt;3,MONTH(A306)&lt;11),(T306+R306+G306)*Summary!$T$9/(1-Summary!$T$9),(T306+R306+G306)*Summary!$U$9/(1-Summary!$U$9)))</f>
        <v/>
      </c>
      <c r="W306" s="63" t="str">
        <f t="shared" si="169"/>
        <v/>
      </c>
      <c r="X306" s="63" t="str">
        <f t="shared" si="170"/>
        <v/>
      </c>
      <c r="Y306" s="43"/>
      <c r="Z306" s="38" t="str">
        <f t="shared" si="171"/>
        <v/>
      </c>
      <c r="AA306" s="38" t="str">
        <f t="shared" si="172"/>
        <v/>
      </c>
      <c r="AB306" s="38" t="e">
        <f t="shared" si="173"/>
        <v>#VALUE!</v>
      </c>
      <c r="AC306" s="38" t="str">
        <f t="shared" si="174"/>
        <v/>
      </c>
      <c r="AD306" s="38" t="str">
        <f t="shared" si="174"/>
        <v/>
      </c>
      <c r="AE306" s="38" t="e">
        <f t="shared" si="175"/>
        <v>#VALUE!</v>
      </c>
      <c r="AF306" s="237" t="e">
        <f>((Summary!$N$9*(AA306*AD306)*(A306-$D$3))+(Summary!$M$9*Z306*AC306*(AJ306-EOMONTH(EDATE(A306,-1),0))))/(AK306*AB306*AE306)</f>
        <v>#VALUE!</v>
      </c>
      <c r="AG306" s="88" t="str">
        <f>IF($A307="","",Summary!$Q$9)</f>
        <v/>
      </c>
      <c r="AH306" s="88" t="str">
        <f>IF($A307="","",IF(Summary!$R$9="Y",VLOOKUP($A306,Summary!$AD$6:$AF$9,3)+'Escalating commodity'!E319,'Escalating commodity'!E319))</f>
        <v/>
      </c>
      <c r="AI306" s="88" t="str">
        <f t="shared" si="190"/>
        <v/>
      </c>
      <c r="AJ306" s="236" t="e">
        <f t="shared" si="176"/>
        <v>#VALUE!</v>
      </c>
      <c r="AK306" s="58" t="str">
        <f t="shared" si="177"/>
        <v/>
      </c>
      <c r="AL306" s="26" t="str">
        <f>IF($A307="","",_xll.SPRDOPT(P306,X306,AI306,0,AB306,AE306,AF306,AK306,$AJ$2,0))</f>
        <v/>
      </c>
      <c r="AM306" s="89" t="str">
        <f t="shared" si="178"/>
        <v/>
      </c>
      <c r="AN306" s="89" t="str">
        <f t="shared" si="179"/>
        <v/>
      </c>
      <c r="AO306" s="3" t="str">
        <f t="shared" si="180"/>
        <v/>
      </c>
      <c r="AP306" s="33" t="str">
        <f t="shared" si="181"/>
        <v/>
      </c>
      <c r="AQ306" s="58" t="str">
        <f t="shared" si="182"/>
        <v/>
      </c>
      <c r="AR306" s="38">
        <f>'ANR OK vs ML7'!AR306</f>
        <v>0.1</v>
      </c>
      <c r="AS306" s="35" t="str">
        <f t="shared" si="183"/>
        <v/>
      </c>
      <c r="AT306" s="3" t="str">
        <f t="shared" si="184"/>
        <v/>
      </c>
      <c r="AU306" s="3" t="str">
        <f t="shared" si="185"/>
        <v/>
      </c>
      <c r="AW306" s="32" t="str">
        <f t="shared" si="186"/>
        <v/>
      </c>
      <c r="AX306" s="32" t="str">
        <f t="shared" si="187"/>
        <v/>
      </c>
      <c r="AY306" s="32" t="str">
        <f t="shared" si="188"/>
        <v/>
      </c>
      <c r="BA306" s="32" t="str">
        <f>IF($A307="","",F306*Summary!$Q$9)</f>
        <v/>
      </c>
    </row>
    <row r="307" spans="1:53" ht="12" customHeight="1">
      <c r="A307" s="67" t="str">
        <f t="shared" si="189"/>
        <v/>
      </c>
      <c r="B307" s="69" t="str">
        <f t="shared" si="191"/>
        <v/>
      </c>
      <c r="C307" s="71"/>
      <c r="D307" s="69" t="str">
        <f t="shared" si="154"/>
        <v/>
      </c>
      <c r="E307" s="70" t="str">
        <f t="shared" si="155"/>
        <v/>
      </c>
      <c r="F307" s="70" t="str">
        <f t="shared" si="156"/>
        <v/>
      </c>
      <c r="G307" s="63" t="str">
        <f t="shared" si="157"/>
        <v/>
      </c>
      <c r="H307" s="64" t="str">
        <f t="shared" si="158"/>
        <v/>
      </c>
      <c r="I307" s="43"/>
      <c r="J307" s="63" t="str">
        <f t="shared" si="159"/>
        <v/>
      </c>
      <c r="K307" s="64" t="str">
        <f t="shared" si="160"/>
        <v/>
      </c>
      <c r="L307" s="63" t="str">
        <f t="shared" si="161"/>
        <v/>
      </c>
      <c r="M307" s="64" t="str">
        <f t="shared" si="162"/>
        <v/>
      </c>
      <c r="N307" s="65"/>
      <c r="O307" s="63" t="str">
        <f t="shared" si="163"/>
        <v/>
      </c>
      <c r="P307" s="63" t="str">
        <f t="shared" si="164"/>
        <v/>
      </c>
      <c r="Q307" s="66"/>
      <c r="R307" s="63" t="str">
        <f t="shared" si="165"/>
        <v/>
      </c>
      <c r="S307" s="64" t="str">
        <f t="shared" si="166"/>
        <v/>
      </c>
      <c r="T307" s="63" t="str">
        <f t="shared" si="167"/>
        <v/>
      </c>
      <c r="U307" s="64" t="str">
        <f t="shared" si="168"/>
        <v/>
      </c>
      <c r="V307" s="90" t="str">
        <f>IF($A308="","",IF(AND(MONTH(A307)&gt;3,MONTH(A307)&lt;11),(T307+R307+G307)*Summary!$T$9/(1-Summary!$T$9),(T307+R307+G307)*Summary!$U$9/(1-Summary!$U$9)))</f>
        <v/>
      </c>
      <c r="W307" s="63" t="str">
        <f t="shared" si="169"/>
        <v/>
      </c>
      <c r="X307" s="63" t="str">
        <f t="shared" si="170"/>
        <v/>
      </c>
      <c r="Y307" s="43"/>
      <c r="Z307" s="38" t="str">
        <f t="shared" si="171"/>
        <v/>
      </c>
      <c r="AA307" s="38" t="str">
        <f t="shared" si="172"/>
        <v/>
      </c>
      <c r="AB307" s="38" t="e">
        <f t="shared" si="173"/>
        <v>#VALUE!</v>
      </c>
      <c r="AC307" s="38" t="str">
        <f t="shared" si="174"/>
        <v/>
      </c>
      <c r="AD307" s="38" t="str">
        <f t="shared" si="174"/>
        <v/>
      </c>
      <c r="AE307" s="38" t="e">
        <f t="shared" si="175"/>
        <v>#VALUE!</v>
      </c>
      <c r="AF307" s="237" t="e">
        <f>((Summary!$N$9*(AA307*AD307)*(A307-$D$3))+(Summary!$M$9*Z307*AC307*(AJ307-EOMONTH(EDATE(A307,-1),0))))/(AK307*AB307*AE307)</f>
        <v>#VALUE!</v>
      </c>
      <c r="AG307" s="88" t="str">
        <f>IF($A308="","",Summary!$Q$9)</f>
        <v/>
      </c>
      <c r="AH307" s="88" t="str">
        <f>IF($A308="","",IF(Summary!$R$9="Y",VLOOKUP($A307,Summary!$AD$6:$AF$9,3)+'Escalating commodity'!E320,'Escalating commodity'!E320))</f>
        <v/>
      </c>
      <c r="AI307" s="88" t="str">
        <f t="shared" si="190"/>
        <v/>
      </c>
      <c r="AJ307" s="236" t="e">
        <f t="shared" si="176"/>
        <v>#VALUE!</v>
      </c>
      <c r="AK307" s="58" t="str">
        <f t="shared" si="177"/>
        <v/>
      </c>
      <c r="AL307" s="26" t="str">
        <f>IF($A308="","",_xll.SPRDOPT(P307,X307,AI307,0,AB307,AE307,AF307,AK307,$AJ$2,0))</f>
        <v/>
      </c>
      <c r="AM307" s="89" t="str">
        <f t="shared" si="178"/>
        <v/>
      </c>
      <c r="AN307" s="89" t="str">
        <f t="shared" si="179"/>
        <v/>
      </c>
      <c r="AO307" s="3" t="str">
        <f t="shared" si="180"/>
        <v/>
      </c>
      <c r="AP307" s="33" t="str">
        <f t="shared" si="181"/>
        <v/>
      </c>
      <c r="AQ307" s="58" t="str">
        <f t="shared" si="182"/>
        <v/>
      </c>
      <c r="AR307" s="38">
        <f>'ANR OK vs ML7'!AR307</f>
        <v>0.1</v>
      </c>
      <c r="AS307" s="35" t="str">
        <f t="shared" si="183"/>
        <v/>
      </c>
      <c r="AT307" s="3" t="str">
        <f t="shared" si="184"/>
        <v/>
      </c>
      <c r="AU307" s="3" t="str">
        <f t="shared" si="185"/>
        <v/>
      </c>
      <c r="AW307" s="32" t="str">
        <f t="shared" si="186"/>
        <v/>
      </c>
      <c r="AX307" s="32" t="str">
        <f t="shared" si="187"/>
        <v/>
      </c>
      <c r="AY307" s="32" t="str">
        <f t="shared" si="188"/>
        <v/>
      </c>
      <c r="BA307" s="32" t="str">
        <f>IF($A308="","",F307*Summary!$Q$9)</f>
        <v/>
      </c>
    </row>
    <row r="308" spans="1:53" ht="12" customHeight="1">
      <c r="A308" s="67" t="str">
        <f t="shared" si="189"/>
        <v/>
      </c>
      <c r="B308" s="69" t="str">
        <f t="shared" si="191"/>
        <v/>
      </c>
      <c r="C308" s="71"/>
      <c r="D308" s="69" t="str">
        <f t="shared" si="154"/>
        <v/>
      </c>
      <c r="E308" s="70" t="str">
        <f t="shared" si="155"/>
        <v/>
      </c>
      <c r="F308" s="70" t="str">
        <f t="shared" si="156"/>
        <v/>
      </c>
      <c r="G308" s="63" t="str">
        <f t="shared" si="157"/>
        <v/>
      </c>
      <c r="H308" s="64" t="str">
        <f t="shared" si="158"/>
        <v/>
      </c>
      <c r="I308" s="43"/>
      <c r="J308" s="63" t="str">
        <f t="shared" si="159"/>
        <v/>
      </c>
      <c r="K308" s="64" t="str">
        <f t="shared" si="160"/>
        <v/>
      </c>
      <c r="L308" s="63" t="str">
        <f t="shared" si="161"/>
        <v/>
      </c>
      <c r="M308" s="64" t="str">
        <f t="shared" si="162"/>
        <v/>
      </c>
      <c r="N308" s="65"/>
      <c r="O308" s="63" t="str">
        <f t="shared" si="163"/>
        <v/>
      </c>
      <c r="P308" s="63" t="str">
        <f t="shared" si="164"/>
        <v/>
      </c>
      <c r="Q308" s="66"/>
      <c r="R308" s="63" t="str">
        <f t="shared" si="165"/>
        <v/>
      </c>
      <c r="S308" s="64" t="str">
        <f t="shared" si="166"/>
        <v/>
      </c>
      <c r="T308" s="63" t="str">
        <f t="shared" si="167"/>
        <v/>
      </c>
      <c r="U308" s="64" t="str">
        <f t="shared" si="168"/>
        <v/>
      </c>
      <c r="V308" s="90" t="str">
        <f>IF($A309="","",IF(AND(MONTH(A308)&gt;3,MONTH(A308)&lt;11),(T308+R308+G308)*Summary!$T$9/(1-Summary!$T$9),(T308+R308+G308)*Summary!$U$9/(1-Summary!$U$9)))</f>
        <v/>
      </c>
      <c r="W308" s="63" t="str">
        <f t="shared" si="169"/>
        <v/>
      </c>
      <c r="X308" s="63" t="str">
        <f t="shared" si="170"/>
        <v/>
      </c>
      <c r="Y308" s="43"/>
      <c r="Z308" s="38" t="str">
        <f t="shared" si="171"/>
        <v/>
      </c>
      <c r="AA308" s="38" t="str">
        <f t="shared" si="172"/>
        <v/>
      </c>
      <c r="AB308" s="38" t="e">
        <f t="shared" si="173"/>
        <v>#VALUE!</v>
      </c>
      <c r="AC308" s="38" t="str">
        <f t="shared" si="174"/>
        <v/>
      </c>
      <c r="AD308" s="38" t="str">
        <f t="shared" si="174"/>
        <v/>
      </c>
      <c r="AE308" s="38" t="e">
        <f t="shared" si="175"/>
        <v>#VALUE!</v>
      </c>
      <c r="AF308" s="237" t="e">
        <f>((Summary!$N$9*(AA308*AD308)*(A308-$D$3))+(Summary!$M$9*Z308*AC308*(AJ308-EOMONTH(EDATE(A308,-1),0))))/(AK308*AB308*AE308)</f>
        <v>#VALUE!</v>
      </c>
      <c r="AG308" s="88" t="str">
        <f>IF($A309="","",Summary!$Q$9)</f>
        <v/>
      </c>
      <c r="AH308" s="88" t="str">
        <f>IF($A309="","",IF(Summary!$R$9="Y",VLOOKUP($A308,Summary!$AD$6:$AF$9,3)+'Escalating commodity'!E321,'Escalating commodity'!E321))</f>
        <v/>
      </c>
      <c r="AI308" s="88" t="str">
        <f t="shared" si="190"/>
        <v/>
      </c>
      <c r="AJ308" s="236" t="e">
        <f t="shared" si="176"/>
        <v>#VALUE!</v>
      </c>
      <c r="AK308" s="58" t="str">
        <f t="shared" si="177"/>
        <v/>
      </c>
      <c r="AL308" s="26" t="str">
        <f>IF($A309="","",_xll.SPRDOPT(P308,X308,AI308,0,AB308,AE308,AF308,AK308,$AJ$2,0))</f>
        <v/>
      </c>
      <c r="AM308" s="89" t="str">
        <f t="shared" si="178"/>
        <v/>
      </c>
      <c r="AN308" s="89" t="str">
        <f t="shared" si="179"/>
        <v/>
      </c>
      <c r="AO308" s="3" t="str">
        <f t="shared" si="180"/>
        <v/>
      </c>
      <c r="AP308" s="33" t="str">
        <f t="shared" si="181"/>
        <v/>
      </c>
      <c r="AQ308" s="58" t="str">
        <f t="shared" si="182"/>
        <v/>
      </c>
      <c r="AR308" s="38">
        <f>'ANR OK vs ML7'!AR308</f>
        <v>0.1</v>
      </c>
      <c r="AS308" s="35" t="str">
        <f t="shared" si="183"/>
        <v/>
      </c>
      <c r="AT308" s="3" t="str">
        <f t="shared" si="184"/>
        <v/>
      </c>
      <c r="AU308" s="3" t="str">
        <f t="shared" si="185"/>
        <v/>
      </c>
      <c r="AW308" s="32" t="str">
        <f t="shared" si="186"/>
        <v/>
      </c>
      <c r="AX308" s="32" t="str">
        <f t="shared" si="187"/>
        <v/>
      </c>
      <c r="AY308" s="32" t="str">
        <f t="shared" si="188"/>
        <v/>
      </c>
      <c r="BA308" s="32" t="str">
        <f>IF($A309="","",F308*Summary!$Q$9)</f>
        <v/>
      </c>
    </row>
    <row r="309" spans="1:53" ht="12" customHeight="1">
      <c r="A309" s="67" t="str">
        <f t="shared" si="189"/>
        <v/>
      </c>
      <c r="B309" s="69" t="str">
        <f t="shared" si="191"/>
        <v/>
      </c>
      <c r="C309" s="71"/>
      <c r="D309" s="69" t="str">
        <f t="shared" si="154"/>
        <v/>
      </c>
      <c r="E309" s="70" t="str">
        <f t="shared" si="155"/>
        <v/>
      </c>
      <c r="F309" s="70" t="str">
        <f t="shared" si="156"/>
        <v/>
      </c>
      <c r="G309" s="63" t="str">
        <f t="shared" si="157"/>
        <v/>
      </c>
      <c r="H309" s="64" t="str">
        <f t="shared" si="158"/>
        <v/>
      </c>
      <c r="I309" s="43"/>
      <c r="J309" s="63" t="str">
        <f t="shared" si="159"/>
        <v/>
      </c>
      <c r="K309" s="64" t="str">
        <f t="shared" si="160"/>
        <v/>
      </c>
      <c r="L309" s="63" t="str">
        <f t="shared" si="161"/>
        <v/>
      </c>
      <c r="M309" s="64" t="str">
        <f t="shared" si="162"/>
        <v/>
      </c>
      <c r="N309" s="65"/>
      <c r="O309" s="63" t="str">
        <f t="shared" si="163"/>
        <v/>
      </c>
      <c r="P309" s="63" t="str">
        <f t="shared" si="164"/>
        <v/>
      </c>
      <c r="Q309" s="66"/>
      <c r="R309" s="63" t="str">
        <f t="shared" si="165"/>
        <v/>
      </c>
      <c r="S309" s="64" t="str">
        <f t="shared" si="166"/>
        <v/>
      </c>
      <c r="T309" s="63" t="str">
        <f t="shared" si="167"/>
        <v/>
      </c>
      <c r="U309" s="64" t="str">
        <f t="shared" si="168"/>
        <v/>
      </c>
      <c r="V309" s="90" t="str">
        <f>IF($A310="","",IF(AND(MONTH(A309)&gt;3,MONTH(A309)&lt;11),(T309+R309+G309)*Summary!$T$9/(1-Summary!$T$9),(T309+R309+G309)*Summary!$U$9/(1-Summary!$U$9)))</f>
        <v/>
      </c>
      <c r="W309" s="63" t="str">
        <f t="shared" si="169"/>
        <v/>
      </c>
      <c r="X309" s="63" t="str">
        <f t="shared" si="170"/>
        <v/>
      </c>
      <c r="Y309" s="43"/>
      <c r="Z309" s="38" t="str">
        <f t="shared" si="171"/>
        <v/>
      </c>
      <c r="AA309" s="38" t="str">
        <f t="shared" si="172"/>
        <v/>
      </c>
      <c r="AB309" s="38" t="e">
        <f t="shared" si="173"/>
        <v>#VALUE!</v>
      </c>
      <c r="AC309" s="38" t="str">
        <f t="shared" si="174"/>
        <v/>
      </c>
      <c r="AD309" s="38" t="str">
        <f t="shared" si="174"/>
        <v/>
      </c>
      <c r="AE309" s="38" t="e">
        <f t="shared" si="175"/>
        <v>#VALUE!</v>
      </c>
      <c r="AF309" s="237" t="e">
        <f>((Summary!$N$9*(AA309*AD309)*(A309-$D$3))+(Summary!$M$9*Z309*AC309*(AJ309-EOMONTH(EDATE(A309,-1),0))))/(AK309*AB309*AE309)</f>
        <v>#VALUE!</v>
      </c>
      <c r="AG309" s="88" t="str">
        <f>IF($A310="","",Summary!$Q$9)</f>
        <v/>
      </c>
      <c r="AH309" s="88" t="str">
        <f>IF($A310="","",IF(Summary!$R$9="Y",VLOOKUP($A309,Summary!$AD$6:$AF$9,3)+'Escalating commodity'!E322,'Escalating commodity'!E322))</f>
        <v/>
      </c>
      <c r="AI309" s="88" t="str">
        <f t="shared" si="190"/>
        <v/>
      </c>
      <c r="AJ309" s="236" t="e">
        <f t="shared" si="176"/>
        <v>#VALUE!</v>
      </c>
      <c r="AK309" s="58" t="str">
        <f t="shared" si="177"/>
        <v/>
      </c>
      <c r="AL309" s="26" t="str">
        <f>IF($A310="","",_xll.SPRDOPT(P309,X309,AI309,0,AB309,AE309,AF309,AK309,$AJ$2,0))</f>
        <v/>
      </c>
      <c r="AM309" s="89" t="str">
        <f t="shared" si="178"/>
        <v/>
      </c>
      <c r="AN309" s="89" t="str">
        <f t="shared" si="179"/>
        <v/>
      </c>
      <c r="AO309" s="3" t="str">
        <f t="shared" si="180"/>
        <v/>
      </c>
      <c r="AP309" s="33" t="str">
        <f t="shared" si="181"/>
        <v/>
      </c>
      <c r="AQ309" s="58" t="str">
        <f t="shared" si="182"/>
        <v/>
      </c>
      <c r="AR309" s="38">
        <f>'ANR OK vs ML7'!AR309</f>
        <v>0.1</v>
      </c>
      <c r="AS309" s="35" t="str">
        <f t="shared" si="183"/>
        <v/>
      </c>
      <c r="AT309" s="3" t="str">
        <f t="shared" si="184"/>
        <v/>
      </c>
      <c r="AU309" s="3" t="str">
        <f t="shared" si="185"/>
        <v/>
      </c>
      <c r="AW309" s="32" t="str">
        <f t="shared" si="186"/>
        <v/>
      </c>
      <c r="AX309" s="32" t="str">
        <f t="shared" si="187"/>
        <v/>
      </c>
      <c r="AY309" s="32" t="str">
        <f t="shared" si="188"/>
        <v/>
      </c>
      <c r="BA309" s="32" t="str">
        <f>IF($A310="","",F309*Summary!$Q$9)</f>
        <v/>
      </c>
    </row>
    <row r="310" spans="1:53" ht="12" customHeight="1">
      <c r="A310" s="67" t="str">
        <f t="shared" si="189"/>
        <v/>
      </c>
      <c r="B310" s="69" t="str">
        <f t="shared" si="191"/>
        <v/>
      </c>
      <c r="C310" s="71"/>
      <c r="D310" s="69" t="str">
        <f t="shared" si="154"/>
        <v/>
      </c>
      <c r="E310" s="70" t="str">
        <f t="shared" si="155"/>
        <v/>
      </c>
      <c r="F310" s="70" t="str">
        <f t="shared" si="156"/>
        <v/>
      </c>
      <c r="G310" s="63" t="str">
        <f t="shared" si="157"/>
        <v/>
      </c>
      <c r="H310" s="64" t="str">
        <f t="shared" si="158"/>
        <v/>
      </c>
      <c r="I310" s="43"/>
      <c r="J310" s="63" t="str">
        <f t="shared" si="159"/>
        <v/>
      </c>
      <c r="K310" s="64" t="str">
        <f t="shared" si="160"/>
        <v/>
      </c>
      <c r="L310" s="63" t="str">
        <f t="shared" si="161"/>
        <v/>
      </c>
      <c r="M310" s="64" t="str">
        <f t="shared" si="162"/>
        <v/>
      </c>
      <c r="N310" s="65"/>
      <c r="O310" s="63" t="str">
        <f t="shared" si="163"/>
        <v/>
      </c>
      <c r="P310" s="63" t="str">
        <f t="shared" si="164"/>
        <v/>
      </c>
      <c r="Q310" s="66"/>
      <c r="R310" s="63" t="str">
        <f t="shared" si="165"/>
        <v/>
      </c>
      <c r="S310" s="64" t="str">
        <f t="shared" si="166"/>
        <v/>
      </c>
      <c r="T310" s="63" t="str">
        <f t="shared" si="167"/>
        <v/>
      </c>
      <c r="U310" s="64" t="str">
        <f t="shared" si="168"/>
        <v/>
      </c>
      <c r="V310" s="90" t="str">
        <f>IF($A311="","",IF(AND(MONTH(A310)&gt;3,MONTH(A310)&lt;11),(T310+R310+G310)*Summary!$T$9/(1-Summary!$T$9),(T310+R310+G310)*Summary!$U$9/(1-Summary!$U$9)))</f>
        <v/>
      </c>
      <c r="W310" s="63" t="str">
        <f t="shared" si="169"/>
        <v/>
      </c>
      <c r="X310" s="63" t="str">
        <f t="shared" si="170"/>
        <v/>
      </c>
      <c r="Y310" s="43"/>
      <c r="Z310" s="38" t="str">
        <f t="shared" si="171"/>
        <v/>
      </c>
      <c r="AA310" s="38" t="str">
        <f t="shared" si="172"/>
        <v/>
      </c>
      <c r="AB310" s="38" t="e">
        <f t="shared" si="173"/>
        <v>#VALUE!</v>
      </c>
      <c r="AC310" s="38" t="str">
        <f t="shared" si="174"/>
        <v/>
      </c>
      <c r="AD310" s="38" t="str">
        <f t="shared" si="174"/>
        <v/>
      </c>
      <c r="AE310" s="38" t="e">
        <f t="shared" si="175"/>
        <v>#VALUE!</v>
      </c>
      <c r="AF310" s="237" t="e">
        <f>((Summary!$N$9*(AA310*AD310)*(A310-$D$3))+(Summary!$M$9*Z310*AC310*(AJ310-EOMONTH(EDATE(A310,-1),0))))/(AK310*AB310*AE310)</f>
        <v>#VALUE!</v>
      </c>
      <c r="AG310" s="88" t="str">
        <f>IF($A311="","",Summary!$Q$9)</f>
        <v/>
      </c>
      <c r="AH310" s="88" t="str">
        <f>IF($A311="","",IF(Summary!$R$9="Y",VLOOKUP($A310,Summary!$AD$6:$AF$9,3)+'Escalating commodity'!E323,'Escalating commodity'!E323))</f>
        <v/>
      </c>
      <c r="AI310" s="88" t="str">
        <f t="shared" si="190"/>
        <v/>
      </c>
      <c r="AJ310" s="236" t="e">
        <f t="shared" si="176"/>
        <v>#VALUE!</v>
      </c>
      <c r="AK310" s="58" t="str">
        <f t="shared" si="177"/>
        <v/>
      </c>
      <c r="AL310" s="26" t="str">
        <f>IF($A311="","",_xll.SPRDOPT(P310,X310,AI310,0,AB310,AE310,AF310,AK310,$AJ$2,0))</f>
        <v/>
      </c>
      <c r="AM310" s="89" t="str">
        <f t="shared" si="178"/>
        <v/>
      </c>
      <c r="AN310" s="89" t="str">
        <f t="shared" si="179"/>
        <v/>
      </c>
      <c r="AO310" s="3" t="str">
        <f t="shared" si="180"/>
        <v/>
      </c>
      <c r="AP310" s="33" t="str">
        <f t="shared" si="181"/>
        <v/>
      </c>
      <c r="AQ310" s="58" t="str">
        <f t="shared" si="182"/>
        <v/>
      </c>
      <c r="AR310" s="38">
        <f>'ANR OK vs ML7'!AR310</f>
        <v>0.1</v>
      </c>
      <c r="AS310" s="35" t="str">
        <f t="shared" si="183"/>
        <v/>
      </c>
      <c r="AT310" s="3" t="str">
        <f t="shared" si="184"/>
        <v/>
      </c>
      <c r="AU310" s="3" t="str">
        <f t="shared" si="185"/>
        <v/>
      </c>
      <c r="AW310" s="32" t="str">
        <f t="shared" si="186"/>
        <v/>
      </c>
      <c r="AX310" s="32" t="str">
        <f t="shared" si="187"/>
        <v/>
      </c>
      <c r="AY310" s="32" t="str">
        <f t="shared" si="188"/>
        <v/>
      </c>
      <c r="BA310" s="32" t="str">
        <f>IF($A311="","",F310*Summary!$Q$9)</f>
        <v/>
      </c>
    </row>
    <row r="311" spans="1:53" ht="12" customHeight="1">
      <c r="A311" s="67" t="str">
        <f t="shared" si="189"/>
        <v/>
      </c>
      <c r="B311" s="69" t="str">
        <f t="shared" si="191"/>
        <v/>
      </c>
      <c r="C311" s="71"/>
      <c r="D311" s="69" t="str">
        <f t="shared" si="154"/>
        <v/>
      </c>
      <c r="E311" s="70" t="str">
        <f t="shared" si="155"/>
        <v/>
      </c>
      <c r="F311" s="70" t="str">
        <f t="shared" si="156"/>
        <v/>
      </c>
      <c r="G311" s="63" t="str">
        <f t="shared" si="157"/>
        <v/>
      </c>
      <c r="H311" s="64" t="str">
        <f t="shared" si="158"/>
        <v/>
      </c>
      <c r="I311" s="43"/>
      <c r="J311" s="63" t="str">
        <f t="shared" si="159"/>
        <v/>
      </c>
      <c r="K311" s="64" t="str">
        <f t="shared" si="160"/>
        <v/>
      </c>
      <c r="L311" s="63" t="str">
        <f t="shared" si="161"/>
        <v/>
      </c>
      <c r="M311" s="64" t="str">
        <f t="shared" si="162"/>
        <v/>
      </c>
      <c r="N311" s="65"/>
      <c r="O311" s="63" t="str">
        <f t="shared" si="163"/>
        <v/>
      </c>
      <c r="P311" s="63" t="str">
        <f t="shared" si="164"/>
        <v/>
      </c>
      <c r="Q311" s="66"/>
      <c r="R311" s="63" t="str">
        <f t="shared" si="165"/>
        <v/>
      </c>
      <c r="S311" s="64" t="str">
        <f t="shared" si="166"/>
        <v/>
      </c>
      <c r="T311" s="63" t="str">
        <f t="shared" si="167"/>
        <v/>
      </c>
      <c r="U311" s="64" t="str">
        <f t="shared" si="168"/>
        <v/>
      </c>
      <c r="V311" s="90" t="str">
        <f>IF($A312="","",IF(AND(MONTH(A311)&gt;3,MONTH(A311)&lt;11),(T311+R311+G311)*Summary!$T$9/(1-Summary!$T$9),(T311+R311+G311)*Summary!$U$9/(1-Summary!$U$9)))</f>
        <v/>
      </c>
      <c r="W311" s="63" t="str">
        <f t="shared" si="169"/>
        <v/>
      </c>
      <c r="X311" s="63" t="str">
        <f t="shared" si="170"/>
        <v/>
      </c>
      <c r="Y311" s="43"/>
      <c r="Z311" s="38" t="str">
        <f t="shared" si="171"/>
        <v/>
      </c>
      <c r="AA311" s="38" t="str">
        <f t="shared" si="172"/>
        <v/>
      </c>
      <c r="AB311" s="38" t="e">
        <f t="shared" si="173"/>
        <v>#VALUE!</v>
      </c>
      <c r="AC311" s="38" t="str">
        <f t="shared" si="174"/>
        <v/>
      </c>
      <c r="AD311" s="38" t="str">
        <f t="shared" si="174"/>
        <v/>
      </c>
      <c r="AE311" s="38" t="e">
        <f t="shared" si="175"/>
        <v>#VALUE!</v>
      </c>
      <c r="AF311" s="237" t="e">
        <f>((Summary!$N$9*(AA311*AD311)*(A311-$D$3))+(Summary!$M$9*Z311*AC311*(AJ311-EOMONTH(EDATE(A311,-1),0))))/(AK311*AB311*AE311)</f>
        <v>#VALUE!</v>
      </c>
      <c r="AG311" s="88" t="str">
        <f>IF($A312="","",Summary!$Q$9)</f>
        <v/>
      </c>
      <c r="AH311" s="88" t="str">
        <f>IF($A312="","",IF(Summary!$R$9="Y",VLOOKUP($A311,Summary!$AD$6:$AF$9,3)+'Escalating commodity'!E324,'Escalating commodity'!E324))</f>
        <v/>
      </c>
      <c r="AI311" s="88" t="str">
        <f t="shared" si="190"/>
        <v/>
      </c>
      <c r="AJ311" s="236" t="e">
        <f t="shared" si="176"/>
        <v>#VALUE!</v>
      </c>
      <c r="AK311" s="58" t="str">
        <f t="shared" si="177"/>
        <v/>
      </c>
      <c r="AL311" s="26" t="str">
        <f>IF($A312="","",_xll.SPRDOPT(P311,X311,AI311,0,AB311,AE311,AF311,AK311,$AJ$2,0))</f>
        <v/>
      </c>
      <c r="AM311" s="89" t="str">
        <f t="shared" si="178"/>
        <v/>
      </c>
      <c r="AN311" s="89" t="str">
        <f t="shared" si="179"/>
        <v/>
      </c>
      <c r="AO311" s="3" t="str">
        <f t="shared" si="180"/>
        <v/>
      </c>
      <c r="AP311" s="33" t="str">
        <f t="shared" si="181"/>
        <v/>
      </c>
      <c r="AQ311" s="58" t="str">
        <f t="shared" si="182"/>
        <v/>
      </c>
      <c r="AR311" s="38">
        <f>'ANR OK vs ML7'!AR311</f>
        <v>0.1</v>
      </c>
      <c r="AS311" s="35" t="str">
        <f t="shared" si="183"/>
        <v/>
      </c>
      <c r="AT311" s="3" t="str">
        <f t="shared" si="184"/>
        <v/>
      </c>
      <c r="AU311" s="3" t="str">
        <f t="shared" si="185"/>
        <v/>
      </c>
      <c r="AW311" s="32" t="str">
        <f t="shared" si="186"/>
        <v/>
      </c>
      <c r="AX311" s="32" t="str">
        <f t="shared" si="187"/>
        <v/>
      </c>
      <c r="AY311" s="32" t="str">
        <f t="shared" si="188"/>
        <v/>
      </c>
      <c r="BA311" s="32" t="str">
        <f>IF($A312="","",F311*Summary!$Q$9)</f>
        <v/>
      </c>
    </row>
    <row r="312" spans="1:53" ht="12" customHeight="1">
      <c r="A312" s="67" t="str">
        <f t="shared" si="189"/>
        <v/>
      </c>
      <c r="B312" s="69" t="str">
        <f t="shared" si="191"/>
        <v/>
      </c>
      <c r="C312" s="71"/>
      <c r="D312" s="69" t="str">
        <f t="shared" si="154"/>
        <v/>
      </c>
      <c r="E312" s="70" t="str">
        <f t="shared" si="155"/>
        <v/>
      </c>
      <c r="F312" s="70" t="str">
        <f t="shared" si="156"/>
        <v/>
      </c>
      <c r="G312" s="63" t="str">
        <f t="shared" si="157"/>
        <v/>
      </c>
      <c r="H312" s="64" t="str">
        <f t="shared" si="158"/>
        <v/>
      </c>
      <c r="I312" s="43"/>
      <c r="J312" s="63" t="str">
        <f t="shared" si="159"/>
        <v/>
      </c>
      <c r="K312" s="64" t="str">
        <f t="shared" si="160"/>
        <v/>
      </c>
      <c r="L312" s="63" t="str">
        <f t="shared" si="161"/>
        <v/>
      </c>
      <c r="M312" s="64" t="str">
        <f t="shared" si="162"/>
        <v/>
      </c>
      <c r="N312" s="65"/>
      <c r="O312" s="63" t="str">
        <f t="shared" si="163"/>
        <v/>
      </c>
      <c r="P312" s="63" t="str">
        <f t="shared" si="164"/>
        <v/>
      </c>
      <c r="Q312" s="66"/>
      <c r="R312" s="63" t="str">
        <f t="shared" si="165"/>
        <v/>
      </c>
      <c r="S312" s="64" t="str">
        <f t="shared" si="166"/>
        <v/>
      </c>
      <c r="T312" s="63" t="str">
        <f t="shared" si="167"/>
        <v/>
      </c>
      <c r="U312" s="64" t="str">
        <f t="shared" si="168"/>
        <v/>
      </c>
      <c r="V312" s="90" t="str">
        <f>IF($A313="","",IF(AND(MONTH(A312)&gt;3,MONTH(A312)&lt;11),(T312+R312+G312)*Summary!$T$9/(1-Summary!$T$9),(T312+R312+G312)*Summary!$U$9/(1-Summary!$U$9)))</f>
        <v/>
      </c>
      <c r="W312" s="63" t="str">
        <f t="shared" si="169"/>
        <v/>
      </c>
      <c r="X312" s="63" t="str">
        <f t="shared" si="170"/>
        <v/>
      </c>
      <c r="Y312" s="43"/>
      <c r="Z312" s="38" t="str">
        <f t="shared" si="171"/>
        <v/>
      </c>
      <c r="AA312" s="38" t="str">
        <f t="shared" si="172"/>
        <v/>
      </c>
      <c r="AB312" s="38" t="e">
        <f t="shared" si="173"/>
        <v>#VALUE!</v>
      </c>
      <c r="AC312" s="38" t="str">
        <f t="shared" si="174"/>
        <v/>
      </c>
      <c r="AD312" s="38" t="str">
        <f t="shared" si="174"/>
        <v/>
      </c>
      <c r="AE312" s="38" t="e">
        <f t="shared" si="175"/>
        <v>#VALUE!</v>
      </c>
      <c r="AF312" s="237" t="e">
        <f>((Summary!$N$9*(AA312*AD312)*(A312-$D$3))+(Summary!$M$9*Z312*AC312*(AJ312-EOMONTH(EDATE(A312,-1),0))))/(AK312*AB312*AE312)</f>
        <v>#VALUE!</v>
      </c>
      <c r="AG312" s="88" t="str">
        <f>IF($A313="","",Summary!$Q$9)</f>
        <v/>
      </c>
      <c r="AH312" s="88" t="str">
        <f>IF($A313="","",IF(Summary!$R$9="Y",VLOOKUP($A312,Summary!$AD$6:$AF$9,3)+'Escalating commodity'!E325,'Escalating commodity'!E325))</f>
        <v/>
      </c>
      <c r="AI312" s="88" t="str">
        <f t="shared" si="190"/>
        <v/>
      </c>
      <c r="AJ312" s="236" t="e">
        <f t="shared" si="176"/>
        <v>#VALUE!</v>
      </c>
      <c r="AK312" s="58" t="str">
        <f t="shared" si="177"/>
        <v/>
      </c>
      <c r="AL312" s="26" t="str">
        <f>IF($A313="","",_xll.SPRDOPT(P312,X312,AI312,0,AB312,AE312,AF312,AK312,$AJ$2,0))</f>
        <v/>
      </c>
      <c r="AM312" s="89" t="str">
        <f t="shared" si="178"/>
        <v/>
      </c>
      <c r="AN312" s="89" t="str">
        <f t="shared" si="179"/>
        <v/>
      </c>
      <c r="AO312" s="3" t="str">
        <f t="shared" si="180"/>
        <v/>
      </c>
      <c r="AP312" s="33" t="str">
        <f t="shared" si="181"/>
        <v/>
      </c>
      <c r="AQ312" s="58" t="str">
        <f t="shared" si="182"/>
        <v/>
      </c>
      <c r="AR312" s="38">
        <f>'ANR OK vs ML7'!AR312</f>
        <v>0.1</v>
      </c>
      <c r="AS312" s="35" t="str">
        <f t="shared" si="183"/>
        <v/>
      </c>
      <c r="AT312" s="3" t="str">
        <f t="shared" si="184"/>
        <v/>
      </c>
      <c r="AU312" s="3" t="str">
        <f t="shared" si="185"/>
        <v/>
      </c>
      <c r="AW312" s="32" t="str">
        <f t="shared" si="186"/>
        <v/>
      </c>
      <c r="AX312" s="32" t="str">
        <f t="shared" si="187"/>
        <v/>
      </c>
      <c r="AY312" s="32" t="str">
        <f t="shared" si="188"/>
        <v/>
      </c>
      <c r="BA312" s="32" t="str">
        <f>IF($A313="","",F312*Summary!$Q$9)</f>
        <v/>
      </c>
    </row>
    <row r="313" spans="1:53" ht="12" customHeight="1">
      <c r="A313" s="67" t="str">
        <f t="shared" si="189"/>
        <v/>
      </c>
      <c r="B313" s="69" t="str">
        <f t="shared" si="191"/>
        <v/>
      </c>
      <c r="C313" s="71"/>
      <c r="D313" s="69" t="str">
        <f t="shared" si="154"/>
        <v/>
      </c>
      <c r="E313" s="70" t="str">
        <f t="shared" si="155"/>
        <v/>
      </c>
      <c r="F313" s="70" t="str">
        <f t="shared" si="156"/>
        <v/>
      </c>
      <c r="G313" s="63" t="str">
        <f t="shared" si="157"/>
        <v/>
      </c>
      <c r="H313" s="64" t="str">
        <f t="shared" si="158"/>
        <v/>
      </c>
      <c r="I313" s="43"/>
      <c r="J313" s="63" t="str">
        <f t="shared" si="159"/>
        <v/>
      </c>
      <c r="K313" s="64" t="str">
        <f t="shared" si="160"/>
        <v/>
      </c>
      <c r="L313" s="63" t="str">
        <f t="shared" si="161"/>
        <v/>
      </c>
      <c r="M313" s="64" t="str">
        <f t="shared" si="162"/>
        <v/>
      </c>
      <c r="N313" s="65"/>
      <c r="O313" s="63" t="str">
        <f t="shared" si="163"/>
        <v/>
      </c>
      <c r="P313" s="63" t="str">
        <f t="shared" si="164"/>
        <v/>
      </c>
      <c r="Q313" s="66"/>
      <c r="R313" s="63" t="str">
        <f t="shared" si="165"/>
        <v/>
      </c>
      <c r="S313" s="64" t="str">
        <f t="shared" si="166"/>
        <v/>
      </c>
      <c r="T313" s="63" t="str">
        <f t="shared" si="167"/>
        <v/>
      </c>
      <c r="U313" s="64" t="str">
        <f t="shared" si="168"/>
        <v/>
      </c>
      <c r="V313" s="90" t="str">
        <f>IF($A314="","",IF(AND(MONTH(A313)&gt;3,MONTH(A313)&lt;11),(T313+R313+G313)*Summary!$T$9/(1-Summary!$T$9),(T313+R313+G313)*Summary!$U$9/(1-Summary!$U$9)))</f>
        <v/>
      </c>
      <c r="W313" s="63" t="str">
        <f t="shared" si="169"/>
        <v/>
      </c>
      <c r="X313" s="63" t="str">
        <f t="shared" si="170"/>
        <v/>
      </c>
      <c r="Y313" s="43"/>
      <c r="Z313" s="38" t="str">
        <f t="shared" si="171"/>
        <v/>
      </c>
      <c r="AA313" s="38" t="str">
        <f t="shared" si="172"/>
        <v/>
      </c>
      <c r="AB313" s="38" t="e">
        <f t="shared" si="173"/>
        <v>#VALUE!</v>
      </c>
      <c r="AC313" s="38" t="str">
        <f t="shared" si="174"/>
        <v/>
      </c>
      <c r="AD313" s="38" t="str">
        <f t="shared" si="174"/>
        <v/>
      </c>
      <c r="AE313" s="38" t="e">
        <f t="shared" si="175"/>
        <v>#VALUE!</v>
      </c>
      <c r="AF313" s="237" t="e">
        <f>((Summary!$N$9*(AA313*AD313)*(A313-$D$3))+(Summary!$M$9*Z313*AC313*(AJ313-EOMONTH(EDATE(A313,-1),0))))/(AK313*AB313*AE313)</f>
        <v>#VALUE!</v>
      </c>
      <c r="AG313" s="88" t="str">
        <f>IF($A314="","",Summary!$Q$9)</f>
        <v/>
      </c>
      <c r="AH313" s="88" t="str">
        <f>IF($A314="","",IF(Summary!$R$9="Y",VLOOKUP($A313,Summary!$AD$6:$AF$9,3)+'Escalating commodity'!E326,'Escalating commodity'!E326))</f>
        <v/>
      </c>
      <c r="AI313" s="88" t="str">
        <f t="shared" si="190"/>
        <v/>
      </c>
      <c r="AJ313" s="236" t="e">
        <f t="shared" si="176"/>
        <v>#VALUE!</v>
      </c>
      <c r="AK313" s="58" t="str">
        <f t="shared" si="177"/>
        <v/>
      </c>
      <c r="AL313" s="26" t="str">
        <f>IF($A314="","",_xll.SPRDOPT(P313,X313,AI313,0,AB313,AE313,AF313,AK313,$AJ$2,0))</f>
        <v/>
      </c>
      <c r="AM313" s="89" t="str">
        <f t="shared" si="178"/>
        <v/>
      </c>
      <c r="AN313" s="89" t="str">
        <f t="shared" si="179"/>
        <v/>
      </c>
      <c r="AO313" s="3" t="str">
        <f t="shared" si="180"/>
        <v/>
      </c>
      <c r="AP313" s="33" t="str">
        <f t="shared" si="181"/>
        <v/>
      </c>
      <c r="AQ313" s="58" t="str">
        <f t="shared" si="182"/>
        <v/>
      </c>
      <c r="AR313" s="38">
        <f>'ANR OK vs ML7'!AR313</f>
        <v>0.1</v>
      </c>
      <c r="AS313" s="35" t="str">
        <f t="shared" si="183"/>
        <v/>
      </c>
      <c r="AT313" s="3" t="str">
        <f t="shared" si="184"/>
        <v/>
      </c>
      <c r="AU313" s="3" t="str">
        <f t="shared" si="185"/>
        <v/>
      </c>
      <c r="AW313" s="32" t="str">
        <f t="shared" si="186"/>
        <v/>
      </c>
      <c r="AX313" s="32" t="str">
        <f t="shared" si="187"/>
        <v/>
      </c>
      <c r="AY313" s="32" t="str">
        <f t="shared" si="188"/>
        <v/>
      </c>
      <c r="BA313" s="32" t="str">
        <f>IF($A314="","",F313*Summary!$Q$9)</f>
        <v/>
      </c>
    </row>
    <row r="314" spans="1:53" ht="12" customHeight="1">
      <c r="A314" s="67" t="str">
        <f t="shared" si="189"/>
        <v/>
      </c>
      <c r="B314" s="69" t="str">
        <f t="shared" si="191"/>
        <v/>
      </c>
      <c r="C314" s="71"/>
      <c r="D314" s="69" t="str">
        <f t="shared" si="154"/>
        <v/>
      </c>
      <c r="E314" s="70" t="str">
        <f t="shared" si="155"/>
        <v/>
      </c>
      <c r="F314" s="70" t="str">
        <f t="shared" si="156"/>
        <v/>
      </c>
      <c r="G314" s="63" t="str">
        <f t="shared" si="157"/>
        <v/>
      </c>
      <c r="H314" s="64" t="str">
        <f t="shared" si="158"/>
        <v/>
      </c>
      <c r="I314" s="43"/>
      <c r="J314" s="63" t="str">
        <f t="shared" si="159"/>
        <v/>
      </c>
      <c r="K314" s="64" t="str">
        <f t="shared" si="160"/>
        <v/>
      </c>
      <c r="L314" s="63" t="str">
        <f t="shared" si="161"/>
        <v/>
      </c>
      <c r="M314" s="64" t="str">
        <f t="shared" si="162"/>
        <v/>
      </c>
      <c r="N314" s="65"/>
      <c r="O314" s="63" t="str">
        <f t="shared" si="163"/>
        <v/>
      </c>
      <c r="P314" s="63" t="str">
        <f t="shared" si="164"/>
        <v/>
      </c>
      <c r="Q314" s="66"/>
      <c r="R314" s="63" t="str">
        <f t="shared" si="165"/>
        <v/>
      </c>
      <c r="S314" s="64" t="str">
        <f t="shared" si="166"/>
        <v/>
      </c>
      <c r="T314" s="63" t="str">
        <f t="shared" si="167"/>
        <v/>
      </c>
      <c r="U314" s="64" t="str">
        <f t="shared" si="168"/>
        <v/>
      </c>
      <c r="V314" s="90" t="str">
        <f>IF($A315="","",IF(AND(MONTH(A314)&gt;3,MONTH(A314)&lt;11),(T314+R314+G314)*Summary!$T$9/(1-Summary!$T$9),(T314+R314+G314)*Summary!$U$9/(1-Summary!$U$9)))</f>
        <v/>
      </c>
      <c r="W314" s="63" t="str">
        <f t="shared" si="169"/>
        <v/>
      </c>
      <c r="X314" s="63" t="str">
        <f t="shared" si="170"/>
        <v/>
      </c>
      <c r="Y314" s="43"/>
      <c r="Z314" s="38" t="str">
        <f t="shared" si="171"/>
        <v/>
      </c>
      <c r="AA314" s="38" t="str">
        <f t="shared" si="172"/>
        <v/>
      </c>
      <c r="AB314" s="38" t="e">
        <f t="shared" si="173"/>
        <v>#VALUE!</v>
      </c>
      <c r="AC314" s="38" t="str">
        <f t="shared" si="174"/>
        <v/>
      </c>
      <c r="AD314" s="38" t="str">
        <f t="shared" si="174"/>
        <v/>
      </c>
      <c r="AE314" s="38" t="e">
        <f t="shared" si="175"/>
        <v>#VALUE!</v>
      </c>
      <c r="AF314" s="237" t="e">
        <f>((Summary!$N$9*(AA314*AD314)*(A314-$D$3))+(Summary!$M$9*Z314*AC314*(AJ314-EOMONTH(EDATE(A314,-1),0))))/(AK314*AB314*AE314)</f>
        <v>#VALUE!</v>
      </c>
      <c r="AG314" s="88" t="str">
        <f>IF($A315="","",Summary!$Q$9)</f>
        <v/>
      </c>
      <c r="AH314" s="88" t="str">
        <f>IF($A315="","",IF(Summary!$R$9="Y",VLOOKUP($A314,Summary!$AD$6:$AF$9,3)+'Escalating commodity'!E327,'Escalating commodity'!E327))</f>
        <v/>
      </c>
      <c r="AI314" s="88" t="str">
        <f t="shared" si="190"/>
        <v/>
      </c>
      <c r="AJ314" s="236" t="e">
        <f t="shared" si="176"/>
        <v>#VALUE!</v>
      </c>
      <c r="AK314" s="58" t="str">
        <f t="shared" si="177"/>
        <v/>
      </c>
      <c r="AL314" s="26" t="str">
        <f>IF($A315="","",_xll.SPRDOPT(P314,X314,AI314,0,AB314,AE314,AF314,AK314,$AJ$2,0))</f>
        <v/>
      </c>
      <c r="AM314" s="89" t="str">
        <f t="shared" si="178"/>
        <v/>
      </c>
      <c r="AN314" s="89" t="str">
        <f t="shared" si="179"/>
        <v/>
      </c>
      <c r="AO314" s="3" t="str">
        <f t="shared" si="180"/>
        <v/>
      </c>
      <c r="AP314" s="33" t="str">
        <f t="shared" si="181"/>
        <v/>
      </c>
      <c r="AQ314" s="58" t="str">
        <f t="shared" si="182"/>
        <v/>
      </c>
      <c r="AR314" s="38">
        <f>'ANR OK vs ML7'!AR314</f>
        <v>0.1</v>
      </c>
      <c r="AS314" s="35" t="str">
        <f t="shared" si="183"/>
        <v/>
      </c>
      <c r="AT314" s="3" t="str">
        <f t="shared" si="184"/>
        <v/>
      </c>
      <c r="AU314" s="3" t="str">
        <f t="shared" si="185"/>
        <v/>
      </c>
      <c r="AW314" s="32" t="str">
        <f t="shared" si="186"/>
        <v/>
      </c>
      <c r="AX314" s="32" t="str">
        <f t="shared" si="187"/>
        <v/>
      </c>
      <c r="AY314" s="32" t="str">
        <f t="shared" si="188"/>
        <v/>
      </c>
      <c r="BA314" s="32" t="str">
        <f>IF($A315="","",F314*Summary!$Q$9)</f>
        <v/>
      </c>
    </row>
    <row r="315" spans="1:53" ht="12" customHeight="1">
      <c r="A315" s="67" t="str">
        <f t="shared" si="189"/>
        <v/>
      </c>
      <c r="B315" s="69" t="str">
        <f t="shared" si="191"/>
        <v/>
      </c>
      <c r="C315" s="71"/>
      <c r="D315" s="69" t="str">
        <f t="shared" si="154"/>
        <v/>
      </c>
      <c r="E315" s="70" t="str">
        <f t="shared" si="155"/>
        <v/>
      </c>
      <c r="F315" s="70" t="str">
        <f t="shared" si="156"/>
        <v/>
      </c>
      <c r="G315" s="63" t="str">
        <f t="shared" si="157"/>
        <v/>
      </c>
      <c r="H315" s="64" t="str">
        <f t="shared" si="158"/>
        <v/>
      </c>
      <c r="I315" s="43"/>
      <c r="J315" s="63" t="str">
        <f t="shared" si="159"/>
        <v/>
      </c>
      <c r="K315" s="64" t="str">
        <f t="shared" si="160"/>
        <v/>
      </c>
      <c r="L315" s="63" t="str">
        <f t="shared" si="161"/>
        <v/>
      </c>
      <c r="M315" s="64" t="str">
        <f t="shared" si="162"/>
        <v/>
      </c>
      <c r="N315" s="65"/>
      <c r="O315" s="63" t="str">
        <f t="shared" si="163"/>
        <v/>
      </c>
      <c r="P315" s="63" t="str">
        <f t="shared" si="164"/>
        <v/>
      </c>
      <c r="Q315" s="66"/>
      <c r="R315" s="63" t="str">
        <f t="shared" si="165"/>
        <v/>
      </c>
      <c r="S315" s="64" t="str">
        <f t="shared" si="166"/>
        <v/>
      </c>
      <c r="T315" s="63" t="str">
        <f t="shared" si="167"/>
        <v/>
      </c>
      <c r="U315" s="64" t="str">
        <f t="shared" si="168"/>
        <v/>
      </c>
      <c r="V315" s="90" t="str">
        <f>IF($A316="","",IF(AND(MONTH(A315)&gt;3,MONTH(A315)&lt;11),(T315+R315+G315)*Summary!$T$9/(1-Summary!$T$9),(T315+R315+G315)*Summary!$U$9/(1-Summary!$U$9)))</f>
        <v/>
      </c>
      <c r="W315" s="63" t="str">
        <f t="shared" si="169"/>
        <v/>
      </c>
      <c r="X315" s="63" t="str">
        <f t="shared" si="170"/>
        <v/>
      </c>
      <c r="Y315" s="43"/>
      <c r="Z315" s="38" t="str">
        <f t="shared" si="171"/>
        <v/>
      </c>
      <c r="AA315" s="38" t="str">
        <f t="shared" si="172"/>
        <v/>
      </c>
      <c r="AB315" s="38" t="e">
        <f t="shared" si="173"/>
        <v>#VALUE!</v>
      </c>
      <c r="AC315" s="38" t="str">
        <f t="shared" si="174"/>
        <v/>
      </c>
      <c r="AD315" s="38" t="str">
        <f t="shared" si="174"/>
        <v/>
      </c>
      <c r="AE315" s="38" t="e">
        <f t="shared" si="175"/>
        <v>#VALUE!</v>
      </c>
      <c r="AF315" s="237" t="e">
        <f>((Summary!$N$9*(AA315*AD315)*(A315-$D$3))+(Summary!$M$9*Z315*AC315*(AJ315-EOMONTH(EDATE(A315,-1),0))))/(AK315*AB315*AE315)</f>
        <v>#VALUE!</v>
      </c>
      <c r="AG315" s="88" t="str">
        <f>IF($A316="","",Summary!$Q$9)</f>
        <v/>
      </c>
      <c r="AH315" s="88" t="str">
        <f>IF($A316="","",IF(Summary!$R$9="Y",VLOOKUP($A315,Summary!$AD$6:$AF$9,3)+'Escalating commodity'!E328,'Escalating commodity'!E328))</f>
        <v/>
      </c>
      <c r="AI315" s="88" t="str">
        <f t="shared" si="190"/>
        <v/>
      </c>
      <c r="AJ315" s="236" t="e">
        <f t="shared" si="176"/>
        <v>#VALUE!</v>
      </c>
      <c r="AK315" s="58" t="str">
        <f t="shared" si="177"/>
        <v/>
      </c>
      <c r="AL315" s="26" t="str">
        <f>IF($A316="","",_xll.SPRDOPT(P315,X315,AI315,0,AB315,AE315,AF315,AK315,$AJ$2,0))</f>
        <v/>
      </c>
      <c r="AM315" s="89" t="str">
        <f t="shared" si="178"/>
        <v/>
      </c>
      <c r="AN315" s="89" t="str">
        <f t="shared" si="179"/>
        <v/>
      </c>
      <c r="AO315" s="3" t="str">
        <f t="shared" si="180"/>
        <v/>
      </c>
      <c r="AP315" s="33" t="str">
        <f t="shared" si="181"/>
        <v/>
      </c>
      <c r="AQ315" s="58" t="str">
        <f t="shared" si="182"/>
        <v/>
      </c>
      <c r="AR315" s="38">
        <f>'ANR OK vs ML7'!AR315</f>
        <v>0.1</v>
      </c>
      <c r="AS315" s="35" t="str">
        <f t="shared" si="183"/>
        <v/>
      </c>
      <c r="AT315" s="3" t="str">
        <f t="shared" si="184"/>
        <v/>
      </c>
      <c r="AU315" s="3" t="str">
        <f t="shared" si="185"/>
        <v/>
      </c>
      <c r="AW315" s="32" t="str">
        <f t="shared" si="186"/>
        <v/>
      </c>
      <c r="AX315" s="32" t="str">
        <f t="shared" si="187"/>
        <v/>
      </c>
      <c r="AY315" s="32" t="str">
        <f t="shared" si="188"/>
        <v/>
      </c>
      <c r="BA315" s="32" t="str">
        <f>IF($A316="","",F315*Summary!$Q$9)</f>
        <v/>
      </c>
    </row>
    <row r="316" spans="1:53" ht="12" customHeight="1">
      <c r="A316" s="67" t="str">
        <f t="shared" si="189"/>
        <v/>
      </c>
      <c r="B316" s="69" t="str">
        <f t="shared" si="191"/>
        <v/>
      </c>
      <c r="C316" s="71"/>
      <c r="D316" s="69" t="str">
        <f t="shared" si="154"/>
        <v/>
      </c>
      <c r="E316" s="70" t="str">
        <f t="shared" si="155"/>
        <v/>
      </c>
      <c r="F316" s="70" t="str">
        <f t="shared" si="156"/>
        <v/>
      </c>
      <c r="G316" s="63" t="str">
        <f t="shared" si="157"/>
        <v/>
      </c>
      <c r="H316" s="64" t="str">
        <f t="shared" si="158"/>
        <v/>
      </c>
      <c r="I316" s="43"/>
      <c r="J316" s="63" t="str">
        <f t="shared" si="159"/>
        <v/>
      </c>
      <c r="K316" s="64" t="str">
        <f t="shared" si="160"/>
        <v/>
      </c>
      <c r="L316" s="63" t="str">
        <f t="shared" si="161"/>
        <v/>
      </c>
      <c r="M316" s="64" t="str">
        <f t="shared" si="162"/>
        <v/>
      </c>
      <c r="N316" s="65"/>
      <c r="O316" s="63" t="str">
        <f t="shared" si="163"/>
        <v/>
      </c>
      <c r="P316" s="63" t="str">
        <f t="shared" si="164"/>
        <v/>
      </c>
      <c r="Q316" s="66"/>
      <c r="R316" s="63" t="str">
        <f t="shared" si="165"/>
        <v/>
      </c>
      <c r="S316" s="64" t="str">
        <f t="shared" si="166"/>
        <v/>
      </c>
      <c r="T316" s="63" t="str">
        <f t="shared" si="167"/>
        <v/>
      </c>
      <c r="U316" s="64" t="str">
        <f t="shared" si="168"/>
        <v/>
      </c>
      <c r="V316" s="90" t="str">
        <f>IF($A317="","",IF(AND(MONTH(A316)&gt;3,MONTH(A316)&lt;11),(T316+R316+G316)*Summary!$T$9/(1-Summary!$T$9),(T316+R316+G316)*Summary!$U$9/(1-Summary!$U$9)))</f>
        <v/>
      </c>
      <c r="W316" s="63" t="str">
        <f t="shared" si="169"/>
        <v/>
      </c>
      <c r="X316" s="63" t="str">
        <f t="shared" si="170"/>
        <v/>
      </c>
      <c r="Y316" s="43"/>
      <c r="Z316" s="38" t="str">
        <f t="shared" si="171"/>
        <v/>
      </c>
      <c r="AA316" s="38" t="str">
        <f t="shared" si="172"/>
        <v/>
      </c>
      <c r="AB316" s="38" t="e">
        <f t="shared" si="173"/>
        <v>#VALUE!</v>
      </c>
      <c r="AC316" s="38" t="str">
        <f t="shared" si="174"/>
        <v/>
      </c>
      <c r="AD316" s="38" t="str">
        <f t="shared" si="174"/>
        <v/>
      </c>
      <c r="AE316" s="38" t="e">
        <f t="shared" si="175"/>
        <v>#VALUE!</v>
      </c>
      <c r="AF316" s="237" t="e">
        <f>((Summary!$N$9*(AA316*AD316)*(A316-$D$3))+(Summary!$M$9*Z316*AC316*(AJ316-EOMONTH(EDATE(A316,-1),0))))/(AK316*AB316*AE316)</f>
        <v>#VALUE!</v>
      </c>
      <c r="AG316" s="88" t="str">
        <f>IF($A317="","",Summary!$Q$9)</f>
        <v/>
      </c>
      <c r="AH316" s="88" t="str">
        <f>IF($A317="","",IF(Summary!$R$9="Y",VLOOKUP($A316,Summary!$AD$6:$AF$9,3)+'Escalating commodity'!E329,'Escalating commodity'!E329))</f>
        <v/>
      </c>
      <c r="AI316" s="88" t="str">
        <f t="shared" si="190"/>
        <v/>
      </c>
      <c r="AJ316" s="236" t="e">
        <f t="shared" si="176"/>
        <v>#VALUE!</v>
      </c>
      <c r="AK316" s="58" t="str">
        <f t="shared" si="177"/>
        <v/>
      </c>
      <c r="AL316" s="26" t="str">
        <f>IF($A317="","",_xll.SPRDOPT(P316,X316,AI316,0,AB316,AE316,AF316,AK316,$AJ$2,0))</f>
        <v/>
      </c>
      <c r="AM316" s="89" t="str">
        <f t="shared" si="178"/>
        <v/>
      </c>
      <c r="AN316" s="89" t="str">
        <f t="shared" si="179"/>
        <v/>
      </c>
      <c r="AO316" s="3" t="str">
        <f t="shared" si="180"/>
        <v/>
      </c>
      <c r="AP316" s="33" t="str">
        <f t="shared" si="181"/>
        <v/>
      </c>
      <c r="AQ316" s="58" t="str">
        <f t="shared" si="182"/>
        <v/>
      </c>
      <c r="AR316" s="38">
        <f>'ANR OK vs ML7'!AR316</f>
        <v>0.1</v>
      </c>
      <c r="AS316" s="35" t="str">
        <f t="shared" si="183"/>
        <v/>
      </c>
      <c r="AT316" s="3" t="str">
        <f t="shared" si="184"/>
        <v/>
      </c>
      <c r="AU316" s="3" t="str">
        <f t="shared" si="185"/>
        <v/>
      </c>
      <c r="AW316" s="32" t="str">
        <f t="shared" si="186"/>
        <v/>
      </c>
      <c r="AX316" s="32" t="str">
        <f t="shared" si="187"/>
        <v/>
      </c>
      <c r="AY316" s="32" t="str">
        <f t="shared" si="188"/>
        <v/>
      </c>
      <c r="BA316" s="32" t="str">
        <f>IF($A317="","",F316*Summary!$Q$9)</f>
        <v/>
      </c>
    </row>
    <row r="317" spans="1:53" ht="12" customHeight="1">
      <c r="A317" s="67" t="str">
        <f t="shared" si="189"/>
        <v/>
      </c>
      <c r="B317" s="69" t="str">
        <f t="shared" si="191"/>
        <v/>
      </c>
      <c r="C317" s="71"/>
      <c r="D317" s="69" t="str">
        <f t="shared" si="154"/>
        <v/>
      </c>
      <c r="E317" s="70" t="str">
        <f t="shared" si="155"/>
        <v/>
      </c>
      <c r="F317" s="70" t="str">
        <f t="shared" si="156"/>
        <v/>
      </c>
      <c r="G317" s="63" t="str">
        <f t="shared" si="157"/>
        <v/>
      </c>
      <c r="H317" s="64" t="str">
        <f t="shared" si="158"/>
        <v/>
      </c>
      <c r="I317" s="43"/>
      <c r="J317" s="63" t="str">
        <f t="shared" si="159"/>
        <v/>
      </c>
      <c r="K317" s="64" t="str">
        <f t="shared" si="160"/>
        <v/>
      </c>
      <c r="L317" s="63" t="str">
        <f t="shared" si="161"/>
        <v/>
      </c>
      <c r="M317" s="64" t="str">
        <f t="shared" si="162"/>
        <v/>
      </c>
      <c r="N317" s="65"/>
      <c r="O317" s="63" t="str">
        <f t="shared" si="163"/>
        <v/>
      </c>
      <c r="P317" s="63" t="str">
        <f t="shared" si="164"/>
        <v/>
      </c>
      <c r="Q317" s="66"/>
      <c r="R317" s="63" t="str">
        <f t="shared" si="165"/>
        <v/>
      </c>
      <c r="S317" s="64" t="str">
        <f t="shared" si="166"/>
        <v/>
      </c>
      <c r="T317" s="63" t="str">
        <f t="shared" si="167"/>
        <v/>
      </c>
      <c r="U317" s="64" t="str">
        <f t="shared" si="168"/>
        <v/>
      </c>
      <c r="V317" s="90" t="str">
        <f>IF($A318="","",IF(AND(MONTH(A317)&gt;3,MONTH(A317)&lt;11),(T317+R317+G317)*Summary!$T$9/(1-Summary!$T$9),(T317+R317+G317)*Summary!$U$9/(1-Summary!$U$9)))</f>
        <v/>
      </c>
      <c r="W317" s="63" t="str">
        <f t="shared" si="169"/>
        <v/>
      </c>
      <c r="X317" s="63" t="str">
        <f t="shared" si="170"/>
        <v/>
      </c>
      <c r="Y317" s="43"/>
      <c r="Z317" s="38" t="str">
        <f t="shared" si="171"/>
        <v/>
      </c>
      <c r="AA317" s="38" t="str">
        <f t="shared" si="172"/>
        <v/>
      </c>
      <c r="AB317" s="38" t="e">
        <f t="shared" si="173"/>
        <v>#VALUE!</v>
      </c>
      <c r="AC317" s="38" t="str">
        <f t="shared" si="174"/>
        <v/>
      </c>
      <c r="AD317" s="38" t="str">
        <f t="shared" si="174"/>
        <v/>
      </c>
      <c r="AE317" s="38" t="e">
        <f t="shared" si="175"/>
        <v>#VALUE!</v>
      </c>
      <c r="AF317" s="237" t="e">
        <f>((Summary!$N$9*(AA317*AD317)*(A317-$D$3))+(Summary!$M$9*Z317*AC317*(AJ317-EOMONTH(EDATE(A317,-1),0))))/(AK317*AB317*AE317)</f>
        <v>#VALUE!</v>
      </c>
      <c r="AG317" s="88" t="str">
        <f>IF($A318="","",Summary!$Q$9)</f>
        <v/>
      </c>
      <c r="AH317" s="88" t="str">
        <f>IF($A318="","",IF(Summary!$R$9="Y",VLOOKUP($A317,Summary!$AD$6:$AF$9,3)+'Escalating commodity'!E330,'Escalating commodity'!E330))</f>
        <v/>
      </c>
      <c r="AI317" s="88" t="str">
        <f t="shared" si="190"/>
        <v/>
      </c>
      <c r="AJ317" s="236" t="e">
        <f t="shared" si="176"/>
        <v>#VALUE!</v>
      </c>
      <c r="AK317" s="58" t="str">
        <f t="shared" si="177"/>
        <v/>
      </c>
      <c r="AL317" s="26" t="str">
        <f>IF($A318="","",_xll.SPRDOPT(P317,X317,AI317,0,AB317,AE317,AF317,AK317,$AJ$2,0))</f>
        <v/>
      </c>
      <c r="AM317" s="89" t="str">
        <f t="shared" si="178"/>
        <v/>
      </c>
      <c r="AN317" s="89" t="str">
        <f t="shared" si="179"/>
        <v/>
      </c>
      <c r="AO317" s="3" t="str">
        <f t="shared" si="180"/>
        <v/>
      </c>
      <c r="AP317" s="33" t="str">
        <f t="shared" si="181"/>
        <v/>
      </c>
      <c r="AQ317" s="58" t="str">
        <f t="shared" si="182"/>
        <v/>
      </c>
      <c r="AR317" s="38">
        <f>'ANR OK vs ML7'!AR317</f>
        <v>0.1</v>
      </c>
      <c r="AS317" s="35" t="str">
        <f t="shared" si="183"/>
        <v/>
      </c>
      <c r="AT317" s="3" t="str">
        <f t="shared" si="184"/>
        <v/>
      </c>
      <c r="AU317" s="3" t="str">
        <f t="shared" si="185"/>
        <v/>
      </c>
      <c r="AW317" s="32" t="str">
        <f t="shared" si="186"/>
        <v/>
      </c>
      <c r="AX317" s="32" t="str">
        <f t="shared" si="187"/>
        <v/>
      </c>
      <c r="AY317" s="32" t="str">
        <f t="shared" si="188"/>
        <v/>
      </c>
      <c r="BA317" s="32" t="str">
        <f>IF($A318="","",F317*Summary!$Q$9)</f>
        <v/>
      </c>
    </row>
    <row r="318" spans="1:53" ht="12" customHeight="1">
      <c r="A318" s="67" t="str">
        <f t="shared" si="189"/>
        <v/>
      </c>
      <c r="B318" s="69" t="str">
        <f t="shared" si="191"/>
        <v/>
      </c>
      <c r="C318" s="71"/>
      <c r="D318" s="69" t="str">
        <f t="shared" si="154"/>
        <v/>
      </c>
      <c r="E318" s="70" t="str">
        <f t="shared" si="155"/>
        <v/>
      </c>
      <c r="F318" s="70" t="str">
        <f t="shared" si="156"/>
        <v/>
      </c>
      <c r="G318" s="63" t="str">
        <f t="shared" si="157"/>
        <v/>
      </c>
      <c r="H318" s="64" t="str">
        <f t="shared" si="158"/>
        <v/>
      </c>
      <c r="I318" s="43"/>
      <c r="J318" s="63" t="str">
        <f t="shared" si="159"/>
        <v/>
      </c>
      <c r="K318" s="64" t="str">
        <f t="shared" si="160"/>
        <v/>
      </c>
      <c r="L318" s="63" t="str">
        <f t="shared" si="161"/>
        <v/>
      </c>
      <c r="M318" s="64" t="str">
        <f t="shared" si="162"/>
        <v/>
      </c>
      <c r="N318" s="65"/>
      <c r="O318" s="63" t="str">
        <f t="shared" si="163"/>
        <v/>
      </c>
      <c r="P318" s="63" t="str">
        <f t="shared" si="164"/>
        <v/>
      </c>
      <c r="Q318" s="66"/>
      <c r="R318" s="63" t="str">
        <f t="shared" si="165"/>
        <v/>
      </c>
      <c r="S318" s="64" t="str">
        <f t="shared" si="166"/>
        <v/>
      </c>
      <c r="T318" s="63" t="str">
        <f t="shared" si="167"/>
        <v/>
      </c>
      <c r="U318" s="64" t="str">
        <f t="shared" si="168"/>
        <v/>
      </c>
      <c r="V318" s="90" t="str">
        <f>IF($A319="","",IF(AND(MONTH(A318)&gt;3,MONTH(A318)&lt;11),(T318+R318+G318)*Summary!$T$9/(1-Summary!$T$9),(T318+R318+G318)*Summary!$U$9/(1-Summary!$U$9)))</f>
        <v/>
      </c>
      <c r="W318" s="63" t="str">
        <f t="shared" si="169"/>
        <v/>
      </c>
      <c r="X318" s="63" t="str">
        <f t="shared" si="170"/>
        <v/>
      </c>
      <c r="Y318" s="43"/>
      <c r="Z318" s="38" t="str">
        <f t="shared" si="171"/>
        <v/>
      </c>
      <c r="AA318" s="38" t="str">
        <f t="shared" si="172"/>
        <v/>
      </c>
      <c r="AB318" s="38" t="e">
        <f t="shared" si="173"/>
        <v>#VALUE!</v>
      </c>
      <c r="AC318" s="38" t="str">
        <f t="shared" si="174"/>
        <v/>
      </c>
      <c r="AD318" s="38" t="str">
        <f t="shared" si="174"/>
        <v/>
      </c>
      <c r="AE318" s="38" t="e">
        <f t="shared" si="175"/>
        <v>#VALUE!</v>
      </c>
      <c r="AF318" s="237" t="e">
        <f>((Summary!$N$9*(AA318*AD318)*(A318-$D$3))+(Summary!$M$9*Z318*AC318*(AJ318-EOMONTH(EDATE(A318,-1),0))))/(AK318*AB318*AE318)</f>
        <v>#VALUE!</v>
      </c>
      <c r="AG318" s="88" t="str">
        <f>IF($A319="","",Summary!$Q$9)</f>
        <v/>
      </c>
      <c r="AH318" s="88" t="str">
        <f>IF($A319="","",IF(Summary!$R$9="Y",VLOOKUP($A318,Summary!$AD$6:$AF$9,3)+'Escalating commodity'!E331,'Escalating commodity'!E331))</f>
        <v/>
      </c>
      <c r="AI318" s="88" t="str">
        <f t="shared" si="190"/>
        <v/>
      </c>
      <c r="AJ318" s="236" t="e">
        <f t="shared" si="176"/>
        <v>#VALUE!</v>
      </c>
      <c r="AK318" s="58" t="str">
        <f t="shared" si="177"/>
        <v/>
      </c>
      <c r="AL318" s="26" t="str">
        <f>IF($A319="","",_xll.SPRDOPT(P318,X318,AI318,0,AB318,AE318,AF318,AK318,$AJ$2,0))</f>
        <v/>
      </c>
      <c r="AM318" s="89" t="str">
        <f t="shared" si="178"/>
        <v/>
      </c>
      <c r="AN318" s="89" t="str">
        <f t="shared" si="179"/>
        <v/>
      </c>
      <c r="AO318" s="3" t="str">
        <f t="shared" si="180"/>
        <v/>
      </c>
      <c r="AP318" s="33" t="str">
        <f t="shared" si="181"/>
        <v/>
      </c>
      <c r="AQ318" s="58" t="str">
        <f t="shared" si="182"/>
        <v/>
      </c>
      <c r="AR318" s="38">
        <f>'ANR OK vs ML7'!AR318</f>
        <v>0.1</v>
      </c>
      <c r="AS318" s="35" t="str">
        <f t="shared" si="183"/>
        <v/>
      </c>
      <c r="AT318" s="3" t="str">
        <f t="shared" si="184"/>
        <v/>
      </c>
      <c r="AU318" s="3" t="str">
        <f t="shared" si="185"/>
        <v/>
      </c>
      <c r="AW318" s="32" t="str">
        <f t="shared" si="186"/>
        <v/>
      </c>
      <c r="AX318" s="32" t="str">
        <f t="shared" si="187"/>
        <v/>
      </c>
      <c r="AY318" s="32" t="str">
        <f t="shared" si="188"/>
        <v/>
      </c>
      <c r="BA318" s="32" t="str">
        <f>IF($A319="","",F318*Summary!$Q$9)</f>
        <v/>
      </c>
    </row>
    <row r="319" spans="1:53" ht="12" customHeight="1">
      <c r="A319" s="67" t="str">
        <f t="shared" si="189"/>
        <v/>
      </c>
      <c r="B319" s="69" t="str">
        <f t="shared" si="191"/>
        <v/>
      </c>
      <c r="C319" s="71"/>
      <c r="D319" s="69" t="str">
        <f t="shared" si="154"/>
        <v/>
      </c>
      <c r="E319" s="70" t="str">
        <f t="shared" si="155"/>
        <v/>
      </c>
      <c r="F319" s="70" t="str">
        <f t="shared" si="156"/>
        <v/>
      </c>
      <c r="G319" s="63" t="str">
        <f t="shared" si="157"/>
        <v/>
      </c>
      <c r="H319" s="64" t="str">
        <f t="shared" si="158"/>
        <v/>
      </c>
      <c r="I319" s="43"/>
      <c r="J319" s="63" t="str">
        <f t="shared" si="159"/>
        <v/>
      </c>
      <c r="K319" s="64" t="str">
        <f t="shared" si="160"/>
        <v/>
      </c>
      <c r="L319" s="63" t="str">
        <f t="shared" si="161"/>
        <v/>
      </c>
      <c r="M319" s="64" t="str">
        <f t="shared" si="162"/>
        <v/>
      </c>
      <c r="N319" s="65"/>
      <c r="O319" s="63" t="str">
        <f t="shared" si="163"/>
        <v/>
      </c>
      <c r="P319" s="63" t="str">
        <f t="shared" si="164"/>
        <v/>
      </c>
      <c r="Q319" s="66"/>
      <c r="R319" s="63" t="str">
        <f t="shared" si="165"/>
        <v/>
      </c>
      <c r="S319" s="64" t="str">
        <f t="shared" si="166"/>
        <v/>
      </c>
      <c r="T319" s="63" t="str">
        <f t="shared" si="167"/>
        <v/>
      </c>
      <c r="U319" s="64" t="str">
        <f t="shared" si="168"/>
        <v/>
      </c>
      <c r="V319" s="90" t="str">
        <f>IF($A320="","",IF(AND(MONTH(A319)&gt;3,MONTH(A319)&lt;11),(T319+R319+G319)*Summary!$T$9/(1-Summary!$T$9),(T319+R319+G319)*Summary!$U$9/(1-Summary!$U$9)))</f>
        <v/>
      </c>
      <c r="W319" s="63" t="str">
        <f t="shared" si="169"/>
        <v/>
      </c>
      <c r="X319" s="63" t="str">
        <f t="shared" si="170"/>
        <v/>
      </c>
      <c r="Y319" s="43"/>
      <c r="Z319" s="38" t="str">
        <f t="shared" si="171"/>
        <v/>
      </c>
      <c r="AA319" s="38" t="str">
        <f t="shared" si="172"/>
        <v/>
      </c>
      <c r="AB319" s="38" t="e">
        <f t="shared" si="173"/>
        <v>#VALUE!</v>
      </c>
      <c r="AC319" s="38" t="str">
        <f t="shared" si="174"/>
        <v/>
      </c>
      <c r="AD319" s="38" t="str">
        <f t="shared" si="174"/>
        <v/>
      </c>
      <c r="AE319" s="38" t="e">
        <f t="shared" si="175"/>
        <v>#VALUE!</v>
      </c>
      <c r="AF319" s="237" t="e">
        <f>((Summary!$N$9*(AA319*AD319)*(A319-$D$3))+(Summary!$M$9*Z319*AC319*(AJ319-EOMONTH(EDATE(A319,-1),0))))/(AK319*AB319*AE319)</f>
        <v>#VALUE!</v>
      </c>
      <c r="AG319" s="88" t="str">
        <f>IF($A320="","",Summary!$Q$9)</f>
        <v/>
      </c>
      <c r="AH319" s="88" t="str">
        <f>IF($A320="","",IF(Summary!$R$9="Y",VLOOKUP($A319,Summary!$AD$6:$AF$9,3)+'Escalating commodity'!E332,'Escalating commodity'!E332))</f>
        <v/>
      </c>
      <c r="AI319" s="88" t="str">
        <f t="shared" si="190"/>
        <v/>
      </c>
      <c r="AJ319" s="236" t="e">
        <f t="shared" si="176"/>
        <v>#VALUE!</v>
      </c>
      <c r="AK319" s="58" t="str">
        <f t="shared" si="177"/>
        <v/>
      </c>
      <c r="AL319" s="26" t="str">
        <f>IF($A320="","",_xll.SPRDOPT(P319,X319,AI319,0,AB319,AE319,AF319,AK319,$AJ$2,0))</f>
        <v/>
      </c>
      <c r="AM319" s="89" t="str">
        <f t="shared" si="178"/>
        <v/>
      </c>
      <c r="AN319" s="89" t="str">
        <f t="shared" si="179"/>
        <v/>
      </c>
      <c r="AO319" s="3" t="str">
        <f t="shared" si="180"/>
        <v/>
      </c>
      <c r="AP319" s="33" t="str">
        <f t="shared" si="181"/>
        <v/>
      </c>
      <c r="AQ319" s="58" t="str">
        <f t="shared" si="182"/>
        <v/>
      </c>
      <c r="AR319" s="38">
        <f>'ANR OK vs ML7'!AR319</f>
        <v>0.1</v>
      </c>
      <c r="AS319" s="35" t="str">
        <f t="shared" si="183"/>
        <v/>
      </c>
      <c r="AT319" s="3" t="str">
        <f t="shared" si="184"/>
        <v/>
      </c>
      <c r="AU319" s="3" t="str">
        <f t="shared" si="185"/>
        <v/>
      </c>
      <c r="AW319" s="32" t="str">
        <f t="shared" si="186"/>
        <v/>
      </c>
      <c r="AX319" s="32" t="str">
        <f t="shared" si="187"/>
        <v/>
      </c>
      <c r="AY319" s="32" t="str">
        <f t="shared" si="188"/>
        <v/>
      </c>
      <c r="BA319" s="32" t="str">
        <f>IF($A320="","",F319*Summary!$Q$9)</f>
        <v/>
      </c>
    </row>
    <row r="320" spans="1:53" ht="12" customHeight="1">
      <c r="A320" s="67" t="str">
        <f t="shared" si="189"/>
        <v/>
      </c>
      <c r="B320" s="69" t="str">
        <f t="shared" si="191"/>
        <v/>
      </c>
      <c r="C320" s="71"/>
      <c r="D320" s="69" t="str">
        <f t="shared" si="154"/>
        <v/>
      </c>
      <c r="E320" s="70" t="str">
        <f t="shared" si="155"/>
        <v/>
      </c>
      <c r="F320" s="70" t="str">
        <f t="shared" si="156"/>
        <v/>
      </c>
      <c r="G320" s="63" t="str">
        <f t="shared" si="157"/>
        <v/>
      </c>
      <c r="H320" s="64" t="str">
        <f t="shared" si="158"/>
        <v/>
      </c>
      <c r="I320" s="43"/>
      <c r="J320" s="63" t="str">
        <f t="shared" si="159"/>
        <v/>
      </c>
      <c r="K320" s="64" t="str">
        <f t="shared" si="160"/>
        <v/>
      </c>
      <c r="L320" s="63" t="str">
        <f t="shared" si="161"/>
        <v/>
      </c>
      <c r="M320" s="64" t="str">
        <f t="shared" si="162"/>
        <v/>
      </c>
      <c r="N320" s="65"/>
      <c r="O320" s="63" t="str">
        <f t="shared" si="163"/>
        <v/>
      </c>
      <c r="P320" s="63" t="str">
        <f t="shared" si="164"/>
        <v/>
      </c>
      <c r="Q320" s="66"/>
      <c r="R320" s="63" t="str">
        <f t="shared" si="165"/>
        <v/>
      </c>
      <c r="S320" s="64" t="str">
        <f t="shared" si="166"/>
        <v/>
      </c>
      <c r="T320" s="63" t="str">
        <f t="shared" si="167"/>
        <v/>
      </c>
      <c r="U320" s="64" t="str">
        <f t="shared" si="168"/>
        <v/>
      </c>
      <c r="V320" s="90" t="str">
        <f>IF($A321="","",IF(AND(MONTH(A320)&gt;3,MONTH(A320)&lt;11),(T320+R320+G320)*Summary!$T$9/(1-Summary!$T$9),(T320+R320+G320)*Summary!$U$9/(1-Summary!$U$9)))</f>
        <v/>
      </c>
      <c r="W320" s="63" t="str">
        <f t="shared" si="169"/>
        <v/>
      </c>
      <c r="X320" s="63" t="str">
        <f t="shared" si="170"/>
        <v/>
      </c>
      <c r="Y320" s="43"/>
      <c r="Z320" s="38" t="str">
        <f t="shared" si="171"/>
        <v/>
      </c>
      <c r="AA320" s="38" t="str">
        <f t="shared" si="172"/>
        <v/>
      </c>
      <c r="AB320" s="38" t="e">
        <f t="shared" si="173"/>
        <v>#VALUE!</v>
      </c>
      <c r="AC320" s="38" t="str">
        <f t="shared" si="174"/>
        <v/>
      </c>
      <c r="AD320" s="38" t="str">
        <f t="shared" si="174"/>
        <v/>
      </c>
      <c r="AE320" s="38" t="e">
        <f t="shared" si="175"/>
        <v>#VALUE!</v>
      </c>
      <c r="AF320" s="237" t="e">
        <f>((Summary!$N$9*(AA320*AD320)*(A320-$D$3))+(Summary!$M$9*Z320*AC320*(AJ320-EOMONTH(EDATE(A320,-1),0))))/(AK320*AB320*AE320)</f>
        <v>#VALUE!</v>
      </c>
      <c r="AG320" s="88" t="str">
        <f>IF($A321="","",Summary!$Q$9)</f>
        <v/>
      </c>
      <c r="AH320" s="88" t="str">
        <f>IF($A321="","",IF(Summary!$R$9="Y",VLOOKUP($A320,Summary!$AD$6:$AF$9,3)+'Escalating commodity'!E333,'Escalating commodity'!E333))</f>
        <v/>
      </c>
      <c r="AI320" s="88" t="str">
        <f t="shared" si="190"/>
        <v/>
      </c>
      <c r="AJ320" s="236" t="e">
        <f t="shared" si="176"/>
        <v>#VALUE!</v>
      </c>
      <c r="AK320" s="58" t="str">
        <f t="shared" si="177"/>
        <v/>
      </c>
      <c r="AL320" s="26" t="str">
        <f>IF($A321="","",_xll.SPRDOPT(P320,X320,AI320,0,AB320,AE320,AF320,AK320,$AJ$2,0))</f>
        <v/>
      </c>
      <c r="AM320" s="89" t="str">
        <f t="shared" si="178"/>
        <v/>
      </c>
      <c r="AN320" s="89" t="str">
        <f t="shared" si="179"/>
        <v/>
      </c>
      <c r="AO320" s="3" t="str">
        <f t="shared" si="180"/>
        <v/>
      </c>
      <c r="AP320" s="33" t="str">
        <f t="shared" si="181"/>
        <v/>
      </c>
      <c r="AQ320" s="58" t="str">
        <f t="shared" si="182"/>
        <v/>
      </c>
      <c r="AR320" s="38">
        <f>'ANR OK vs ML7'!AR320</f>
        <v>0.1</v>
      </c>
      <c r="AS320" s="35" t="str">
        <f t="shared" si="183"/>
        <v/>
      </c>
      <c r="AT320" s="3" t="str">
        <f t="shared" si="184"/>
        <v/>
      </c>
      <c r="AU320" s="3" t="str">
        <f t="shared" si="185"/>
        <v/>
      </c>
      <c r="AW320" s="32" t="str">
        <f t="shared" si="186"/>
        <v/>
      </c>
      <c r="AX320" s="32" t="str">
        <f t="shared" si="187"/>
        <v/>
      </c>
      <c r="AY320" s="32" t="str">
        <f t="shared" si="188"/>
        <v/>
      </c>
      <c r="BA320" s="32" t="str">
        <f>IF($A321="","",F320*Summary!$Q$9)</f>
        <v/>
      </c>
    </row>
    <row r="321" spans="1:53" ht="12" customHeight="1">
      <c r="A321" s="67" t="str">
        <f t="shared" si="189"/>
        <v/>
      </c>
      <c r="B321" s="69" t="str">
        <f t="shared" si="191"/>
        <v/>
      </c>
      <c r="C321" s="71"/>
      <c r="D321" s="69" t="str">
        <f t="shared" si="154"/>
        <v/>
      </c>
      <c r="E321" s="70" t="str">
        <f t="shared" si="155"/>
        <v/>
      </c>
      <c r="F321" s="70" t="str">
        <f t="shared" si="156"/>
        <v/>
      </c>
      <c r="G321" s="63" t="str">
        <f t="shared" si="157"/>
        <v/>
      </c>
      <c r="H321" s="64" t="str">
        <f t="shared" si="158"/>
        <v/>
      </c>
      <c r="I321" s="43"/>
      <c r="J321" s="63" t="str">
        <f t="shared" si="159"/>
        <v/>
      </c>
      <c r="K321" s="64" t="str">
        <f t="shared" si="160"/>
        <v/>
      </c>
      <c r="L321" s="63" t="str">
        <f t="shared" si="161"/>
        <v/>
      </c>
      <c r="M321" s="64" t="str">
        <f t="shared" si="162"/>
        <v/>
      </c>
      <c r="N321" s="65"/>
      <c r="O321" s="63" t="str">
        <f t="shared" si="163"/>
        <v/>
      </c>
      <c r="P321" s="63" t="str">
        <f t="shared" si="164"/>
        <v/>
      </c>
      <c r="Q321" s="66"/>
      <c r="R321" s="63" t="str">
        <f t="shared" si="165"/>
        <v/>
      </c>
      <c r="S321" s="64" t="str">
        <f t="shared" si="166"/>
        <v/>
      </c>
      <c r="T321" s="63" t="str">
        <f t="shared" si="167"/>
        <v/>
      </c>
      <c r="U321" s="64" t="str">
        <f t="shared" si="168"/>
        <v/>
      </c>
      <c r="V321" s="90" t="str">
        <f>IF($A322="","",IF(AND(MONTH(A321)&gt;3,MONTH(A321)&lt;11),(T321+R321+G321)*Summary!$T$9/(1-Summary!$T$9),(T321+R321+G321)*Summary!$U$9/(1-Summary!$U$9)))</f>
        <v/>
      </c>
      <c r="W321" s="63" t="str">
        <f t="shared" si="169"/>
        <v/>
      </c>
      <c r="X321" s="63" t="str">
        <f t="shared" si="170"/>
        <v/>
      </c>
      <c r="Y321" s="43"/>
      <c r="Z321" s="38" t="str">
        <f t="shared" si="171"/>
        <v/>
      </c>
      <c r="AA321" s="38" t="str">
        <f t="shared" si="172"/>
        <v/>
      </c>
      <c r="AB321" s="38" t="e">
        <f t="shared" si="173"/>
        <v>#VALUE!</v>
      </c>
      <c r="AC321" s="38" t="str">
        <f t="shared" si="174"/>
        <v/>
      </c>
      <c r="AD321" s="38" t="str">
        <f t="shared" si="174"/>
        <v/>
      </c>
      <c r="AE321" s="38" t="e">
        <f t="shared" si="175"/>
        <v>#VALUE!</v>
      </c>
      <c r="AF321" s="237" t="e">
        <f>((Summary!$N$9*(AA321*AD321)*(A321-$D$3))+(Summary!$M$9*Z321*AC321*(AJ321-EOMONTH(EDATE(A321,-1),0))))/(AK321*AB321*AE321)</f>
        <v>#VALUE!</v>
      </c>
      <c r="AG321" s="88" t="str">
        <f>IF($A322="","",Summary!$Q$9)</f>
        <v/>
      </c>
      <c r="AH321" s="88" t="str">
        <f>IF($A322="","",IF(Summary!$R$9="Y",VLOOKUP($A321,Summary!$AD$6:$AF$9,3)+'Escalating commodity'!E334,'Escalating commodity'!E334))</f>
        <v/>
      </c>
      <c r="AI321" s="88" t="str">
        <f t="shared" si="190"/>
        <v/>
      </c>
      <c r="AJ321" s="236" t="e">
        <f t="shared" si="176"/>
        <v>#VALUE!</v>
      </c>
      <c r="AK321" s="58" t="str">
        <f t="shared" si="177"/>
        <v/>
      </c>
      <c r="AL321" s="26" t="str">
        <f>IF($A322="","",_xll.SPRDOPT(P321,X321,AI321,0,AB321,AE321,AF321,AK321,$AJ$2,0))</f>
        <v/>
      </c>
      <c r="AM321" s="89" t="str">
        <f t="shared" si="178"/>
        <v/>
      </c>
      <c r="AN321" s="89" t="str">
        <f t="shared" si="179"/>
        <v/>
      </c>
      <c r="AO321" s="3" t="str">
        <f t="shared" si="180"/>
        <v/>
      </c>
      <c r="AP321" s="33" t="str">
        <f t="shared" si="181"/>
        <v/>
      </c>
      <c r="AQ321" s="58" t="str">
        <f t="shared" si="182"/>
        <v/>
      </c>
      <c r="AR321" s="38">
        <f>'ANR OK vs ML7'!AR321</f>
        <v>0.1</v>
      </c>
      <c r="AS321" s="35" t="str">
        <f t="shared" si="183"/>
        <v/>
      </c>
      <c r="AT321" s="3" t="str">
        <f t="shared" si="184"/>
        <v/>
      </c>
      <c r="AU321" s="3" t="str">
        <f t="shared" si="185"/>
        <v/>
      </c>
      <c r="AW321" s="32" t="str">
        <f t="shared" si="186"/>
        <v/>
      </c>
      <c r="AX321" s="32" t="str">
        <f t="shared" si="187"/>
        <v/>
      </c>
      <c r="AY321" s="32" t="str">
        <f t="shared" si="188"/>
        <v/>
      </c>
      <c r="BA321" s="32" t="str">
        <f>IF($A322="","",F321*Summary!$Q$9)</f>
        <v/>
      </c>
    </row>
    <row r="322" spans="1:53" ht="12" customHeight="1">
      <c r="A322" s="67" t="str">
        <f t="shared" si="189"/>
        <v/>
      </c>
      <c r="B322" s="69" t="str">
        <f t="shared" si="191"/>
        <v/>
      </c>
      <c r="C322" s="71"/>
      <c r="D322" s="69" t="str">
        <f t="shared" si="154"/>
        <v/>
      </c>
      <c r="E322" s="70" t="str">
        <f t="shared" si="155"/>
        <v/>
      </c>
      <c r="F322" s="70" t="str">
        <f t="shared" si="156"/>
        <v/>
      </c>
      <c r="G322" s="63" t="str">
        <f t="shared" si="157"/>
        <v/>
      </c>
      <c r="H322" s="64" t="str">
        <f t="shared" si="158"/>
        <v/>
      </c>
      <c r="I322" s="43"/>
      <c r="J322" s="63" t="str">
        <f t="shared" si="159"/>
        <v/>
      </c>
      <c r="K322" s="64" t="str">
        <f t="shared" si="160"/>
        <v/>
      </c>
      <c r="L322" s="63" t="str">
        <f t="shared" si="161"/>
        <v/>
      </c>
      <c r="M322" s="64" t="str">
        <f t="shared" si="162"/>
        <v/>
      </c>
      <c r="N322" s="65"/>
      <c r="O322" s="63" t="str">
        <f t="shared" si="163"/>
        <v/>
      </c>
      <c r="P322" s="63" t="str">
        <f t="shared" si="164"/>
        <v/>
      </c>
      <c r="Q322" s="66"/>
      <c r="R322" s="63" t="str">
        <f t="shared" si="165"/>
        <v/>
      </c>
      <c r="S322" s="64" t="str">
        <f t="shared" si="166"/>
        <v/>
      </c>
      <c r="T322" s="63" t="str">
        <f t="shared" si="167"/>
        <v/>
      </c>
      <c r="U322" s="64" t="str">
        <f t="shared" si="168"/>
        <v/>
      </c>
      <c r="V322" s="90" t="str">
        <f>IF($A323="","",IF(AND(MONTH(A322)&gt;3,MONTH(A322)&lt;11),(T322+R322+G322)*Summary!$T$9/(1-Summary!$T$9),(T322+R322+G322)*Summary!$U$9/(1-Summary!$U$9)))</f>
        <v/>
      </c>
      <c r="W322" s="63" t="str">
        <f t="shared" si="169"/>
        <v/>
      </c>
      <c r="X322" s="63" t="str">
        <f t="shared" si="170"/>
        <v/>
      </c>
      <c r="Y322" s="43"/>
      <c r="Z322" s="38" t="str">
        <f t="shared" si="171"/>
        <v/>
      </c>
      <c r="AA322" s="38" t="str">
        <f t="shared" si="172"/>
        <v/>
      </c>
      <c r="AB322" s="38" t="e">
        <f t="shared" si="173"/>
        <v>#VALUE!</v>
      </c>
      <c r="AC322" s="38" t="str">
        <f t="shared" si="174"/>
        <v/>
      </c>
      <c r="AD322" s="38" t="str">
        <f t="shared" si="174"/>
        <v/>
      </c>
      <c r="AE322" s="38" t="e">
        <f t="shared" si="175"/>
        <v>#VALUE!</v>
      </c>
      <c r="AF322" s="237" t="e">
        <f>((Summary!$N$9*(AA322*AD322)*(A322-$D$3))+(Summary!$M$9*Z322*AC322*(AJ322-EOMONTH(EDATE(A322,-1),0))))/(AK322*AB322*AE322)</f>
        <v>#VALUE!</v>
      </c>
      <c r="AG322" s="88" t="str">
        <f>IF($A323="","",Summary!$Q$9)</f>
        <v/>
      </c>
      <c r="AH322" s="88" t="str">
        <f>IF($A323="","",IF(Summary!$R$9="Y",VLOOKUP($A322,Summary!$AD$6:$AF$9,3)+'Escalating commodity'!E335,'Escalating commodity'!E335))</f>
        <v/>
      </c>
      <c r="AI322" s="88" t="str">
        <f t="shared" si="190"/>
        <v/>
      </c>
      <c r="AJ322" s="236" t="e">
        <f t="shared" si="176"/>
        <v>#VALUE!</v>
      </c>
      <c r="AK322" s="58" t="str">
        <f t="shared" si="177"/>
        <v/>
      </c>
      <c r="AL322" s="26" t="str">
        <f>IF($A323="","",_xll.SPRDOPT(P322,X322,AI322,0,AB322,AE322,AF322,AK322,$AJ$2,0))</f>
        <v/>
      </c>
      <c r="AM322" s="89" t="str">
        <f t="shared" si="178"/>
        <v/>
      </c>
      <c r="AN322" s="89" t="str">
        <f t="shared" si="179"/>
        <v/>
      </c>
      <c r="AO322" s="3" t="str">
        <f t="shared" si="180"/>
        <v/>
      </c>
      <c r="AP322" s="33" t="str">
        <f t="shared" si="181"/>
        <v/>
      </c>
      <c r="AQ322" s="58" t="str">
        <f t="shared" si="182"/>
        <v/>
      </c>
      <c r="AR322" s="38">
        <f>'ANR OK vs ML7'!AR322</f>
        <v>0.1</v>
      </c>
      <c r="AS322" s="35" t="str">
        <f t="shared" si="183"/>
        <v/>
      </c>
      <c r="AT322" s="3" t="str">
        <f t="shared" si="184"/>
        <v/>
      </c>
      <c r="AU322" s="3" t="str">
        <f t="shared" si="185"/>
        <v/>
      </c>
      <c r="AW322" s="32" t="str">
        <f t="shared" si="186"/>
        <v/>
      </c>
      <c r="AX322" s="32" t="str">
        <f t="shared" si="187"/>
        <v/>
      </c>
      <c r="AY322" s="32" t="str">
        <f t="shared" si="188"/>
        <v/>
      </c>
      <c r="BA322" s="32" t="str">
        <f>IF($A323="","",F322*Summary!$Q$9)</f>
        <v/>
      </c>
    </row>
    <row r="323" spans="1:53" ht="12" customHeight="1">
      <c r="A323" s="67" t="str">
        <f t="shared" si="189"/>
        <v/>
      </c>
      <c r="B323" s="69" t="str">
        <f t="shared" si="191"/>
        <v/>
      </c>
      <c r="C323" s="71"/>
      <c r="D323" s="69" t="str">
        <f t="shared" si="154"/>
        <v/>
      </c>
      <c r="E323" s="70" t="str">
        <f t="shared" si="155"/>
        <v/>
      </c>
      <c r="F323" s="70" t="str">
        <f t="shared" si="156"/>
        <v/>
      </c>
      <c r="G323" s="63" t="str">
        <f t="shared" si="157"/>
        <v/>
      </c>
      <c r="H323" s="64" t="str">
        <f t="shared" si="158"/>
        <v/>
      </c>
      <c r="I323" s="43"/>
      <c r="J323" s="63" t="str">
        <f t="shared" si="159"/>
        <v/>
      </c>
      <c r="K323" s="64" t="str">
        <f t="shared" si="160"/>
        <v/>
      </c>
      <c r="L323" s="63" t="str">
        <f t="shared" si="161"/>
        <v/>
      </c>
      <c r="M323" s="64" t="str">
        <f t="shared" si="162"/>
        <v/>
      </c>
      <c r="N323" s="65"/>
      <c r="O323" s="63" t="str">
        <f t="shared" si="163"/>
        <v/>
      </c>
      <c r="P323" s="63" t="str">
        <f t="shared" si="164"/>
        <v/>
      </c>
      <c r="Q323" s="66"/>
      <c r="R323" s="63" t="str">
        <f t="shared" si="165"/>
        <v/>
      </c>
      <c r="S323" s="64" t="str">
        <f t="shared" si="166"/>
        <v/>
      </c>
      <c r="T323" s="63" t="str">
        <f t="shared" si="167"/>
        <v/>
      </c>
      <c r="U323" s="64" t="str">
        <f t="shared" si="168"/>
        <v/>
      </c>
      <c r="V323" s="90" t="str">
        <f>IF($A324="","",IF(AND(MONTH(A323)&gt;3,MONTH(A323)&lt;11),(T323+R323+G323)*Summary!$T$9/(1-Summary!$T$9),(T323+R323+G323)*Summary!$U$9/(1-Summary!$U$9)))</f>
        <v/>
      </c>
      <c r="W323" s="63" t="str">
        <f t="shared" si="169"/>
        <v/>
      </c>
      <c r="X323" s="63" t="str">
        <f t="shared" si="170"/>
        <v/>
      </c>
      <c r="Y323" s="43"/>
      <c r="Z323" s="38" t="str">
        <f t="shared" si="171"/>
        <v/>
      </c>
      <c r="AA323" s="38" t="str">
        <f t="shared" si="172"/>
        <v/>
      </c>
      <c r="AB323" s="38" t="e">
        <f t="shared" si="173"/>
        <v>#VALUE!</v>
      </c>
      <c r="AC323" s="38" t="str">
        <f t="shared" si="174"/>
        <v/>
      </c>
      <c r="AD323" s="38" t="str">
        <f t="shared" si="174"/>
        <v/>
      </c>
      <c r="AE323" s="38" t="e">
        <f t="shared" si="175"/>
        <v>#VALUE!</v>
      </c>
      <c r="AF323" s="237" t="e">
        <f>((Summary!$N$9*(AA323*AD323)*(A323-$D$3))+(Summary!$M$9*Z323*AC323*(AJ323-EOMONTH(EDATE(A323,-1),0))))/(AK323*AB323*AE323)</f>
        <v>#VALUE!</v>
      </c>
      <c r="AG323" s="88" t="str">
        <f>IF($A324="","",Summary!$Q$9)</f>
        <v/>
      </c>
      <c r="AH323" s="88" t="str">
        <f>IF($A324="","",IF(Summary!$R$9="Y",VLOOKUP($A323,Summary!$AD$6:$AF$9,3)+'Escalating commodity'!E336,'Escalating commodity'!E336))</f>
        <v/>
      </c>
      <c r="AI323" s="88" t="str">
        <f t="shared" si="190"/>
        <v/>
      </c>
      <c r="AJ323" s="236" t="e">
        <f t="shared" si="176"/>
        <v>#VALUE!</v>
      </c>
      <c r="AK323" s="58" t="str">
        <f t="shared" si="177"/>
        <v/>
      </c>
      <c r="AL323" s="26" t="str">
        <f>IF($A324="","",_xll.SPRDOPT(P323,X323,AI323,0,AB323,AE323,AF323,AK323,$AJ$2,0))</f>
        <v/>
      </c>
      <c r="AM323" s="89" t="str">
        <f t="shared" si="178"/>
        <v/>
      </c>
      <c r="AN323" s="89" t="str">
        <f t="shared" si="179"/>
        <v/>
      </c>
      <c r="AO323" s="3" t="str">
        <f t="shared" si="180"/>
        <v/>
      </c>
      <c r="AP323" s="33" t="str">
        <f t="shared" si="181"/>
        <v/>
      </c>
      <c r="AQ323" s="58" t="str">
        <f t="shared" si="182"/>
        <v/>
      </c>
      <c r="AR323" s="38">
        <f>'ANR OK vs ML7'!AR323</f>
        <v>0.1</v>
      </c>
      <c r="AS323" s="35" t="str">
        <f t="shared" si="183"/>
        <v/>
      </c>
      <c r="AT323" s="3" t="str">
        <f t="shared" si="184"/>
        <v/>
      </c>
      <c r="AU323" s="3" t="str">
        <f t="shared" si="185"/>
        <v/>
      </c>
      <c r="AW323" s="32" t="str">
        <f t="shared" si="186"/>
        <v/>
      </c>
      <c r="AX323" s="32" t="str">
        <f t="shared" si="187"/>
        <v/>
      </c>
      <c r="AY323" s="32" t="str">
        <f t="shared" si="188"/>
        <v/>
      </c>
      <c r="BA323" s="32" t="str">
        <f>IF($A324="","",F323*Summary!$Q$9)</f>
        <v/>
      </c>
    </row>
    <row r="324" spans="1:53" ht="12" customHeight="1">
      <c r="A324" s="67" t="str">
        <f t="shared" si="189"/>
        <v/>
      </c>
      <c r="B324" s="69" t="str">
        <f t="shared" si="191"/>
        <v/>
      </c>
      <c r="C324" s="71"/>
      <c r="D324" s="69" t="str">
        <f t="shared" si="154"/>
        <v/>
      </c>
      <c r="E324" s="70" t="str">
        <f t="shared" si="155"/>
        <v/>
      </c>
      <c r="F324" s="70" t="str">
        <f t="shared" si="156"/>
        <v/>
      </c>
      <c r="G324" s="63" t="str">
        <f t="shared" si="157"/>
        <v/>
      </c>
      <c r="H324" s="64" t="str">
        <f t="shared" si="158"/>
        <v/>
      </c>
      <c r="I324" s="43"/>
      <c r="J324" s="63" t="str">
        <f t="shared" si="159"/>
        <v/>
      </c>
      <c r="K324" s="64" t="str">
        <f t="shared" si="160"/>
        <v/>
      </c>
      <c r="L324" s="63" t="str">
        <f t="shared" si="161"/>
        <v/>
      </c>
      <c r="M324" s="64" t="str">
        <f t="shared" si="162"/>
        <v/>
      </c>
      <c r="N324" s="65"/>
      <c r="O324" s="63" t="str">
        <f t="shared" si="163"/>
        <v/>
      </c>
      <c r="P324" s="63" t="str">
        <f t="shared" si="164"/>
        <v/>
      </c>
      <c r="Q324" s="66"/>
      <c r="R324" s="63" t="str">
        <f t="shared" si="165"/>
        <v/>
      </c>
      <c r="S324" s="64" t="str">
        <f t="shared" si="166"/>
        <v/>
      </c>
      <c r="T324" s="63" t="str">
        <f t="shared" si="167"/>
        <v/>
      </c>
      <c r="U324" s="64" t="str">
        <f t="shared" si="168"/>
        <v/>
      </c>
      <c r="V324" s="90" t="str">
        <f>IF($A325="","",IF(AND(MONTH(A324)&gt;3,MONTH(A324)&lt;11),(T324+R324+G324)*Summary!$T$9/(1-Summary!$T$9),(T324+R324+G324)*Summary!$U$9/(1-Summary!$U$9)))</f>
        <v/>
      </c>
      <c r="W324" s="63" t="str">
        <f t="shared" si="169"/>
        <v/>
      </c>
      <c r="X324" s="63" t="str">
        <f t="shared" si="170"/>
        <v/>
      </c>
      <c r="Y324" s="43"/>
      <c r="Z324" s="38" t="str">
        <f t="shared" si="171"/>
        <v/>
      </c>
      <c r="AA324" s="38" t="str">
        <f t="shared" si="172"/>
        <v/>
      </c>
      <c r="AB324" s="38" t="e">
        <f t="shared" si="173"/>
        <v>#VALUE!</v>
      </c>
      <c r="AC324" s="38" t="str">
        <f t="shared" si="174"/>
        <v/>
      </c>
      <c r="AD324" s="38" t="str">
        <f t="shared" si="174"/>
        <v/>
      </c>
      <c r="AE324" s="38" t="e">
        <f t="shared" si="175"/>
        <v>#VALUE!</v>
      </c>
      <c r="AF324" s="237" t="e">
        <f>((Summary!$N$9*(AA324*AD324)*(A324-$D$3))+(Summary!$M$9*Z324*AC324*(AJ324-EOMONTH(EDATE(A324,-1),0))))/(AK324*AB324*AE324)</f>
        <v>#VALUE!</v>
      </c>
      <c r="AG324" s="88" t="str">
        <f>IF($A325="","",Summary!$Q$9)</f>
        <v/>
      </c>
      <c r="AH324" s="88" t="str">
        <f>IF($A325="","",IF(Summary!$R$9="Y",VLOOKUP($A324,Summary!$AD$6:$AF$9,3)+'Escalating commodity'!E337,'Escalating commodity'!E337))</f>
        <v/>
      </c>
      <c r="AI324" s="88" t="str">
        <f t="shared" si="190"/>
        <v/>
      </c>
      <c r="AJ324" s="236" t="e">
        <f t="shared" si="176"/>
        <v>#VALUE!</v>
      </c>
      <c r="AK324" s="58" t="str">
        <f t="shared" si="177"/>
        <v/>
      </c>
      <c r="AL324" s="26" t="str">
        <f>IF($A325="","",_xll.SPRDOPT(P324,X324,AI324,0,AB324,AE324,AF324,AK324,$AJ$2,0))</f>
        <v/>
      </c>
      <c r="AM324" s="89" t="str">
        <f t="shared" si="178"/>
        <v/>
      </c>
      <c r="AN324" s="89" t="str">
        <f t="shared" si="179"/>
        <v/>
      </c>
      <c r="AO324" s="3" t="str">
        <f t="shared" si="180"/>
        <v/>
      </c>
      <c r="AP324" s="33" t="str">
        <f t="shared" si="181"/>
        <v/>
      </c>
      <c r="AQ324" s="58" t="str">
        <f t="shared" si="182"/>
        <v/>
      </c>
      <c r="AR324" s="38">
        <f>'ANR OK vs ML7'!AR324</f>
        <v>0.1</v>
      </c>
      <c r="AS324" s="35" t="str">
        <f t="shared" si="183"/>
        <v/>
      </c>
      <c r="AT324" s="3" t="str">
        <f t="shared" si="184"/>
        <v/>
      </c>
      <c r="AU324" s="3" t="str">
        <f t="shared" si="185"/>
        <v/>
      </c>
      <c r="AW324" s="32" t="str">
        <f t="shared" si="186"/>
        <v/>
      </c>
      <c r="AX324" s="32" t="str">
        <f t="shared" si="187"/>
        <v/>
      </c>
      <c r="AY324" s="32" t="str">
        <f t="shared" si="188"/>
        <v/>
      </c>
      <c r="BA324" s="32" t="str">
        <f>IF($A325="","",F324*Summary!$Q$9)</f>
        <v/>
      </c>
    </row>
    <row r="325" spans="1:53" ht="12" customHeight="1">
      <c r="A325" s="67" t="str">
        <f t="shared" si="189"/>
        <v/>
      </c>
      <c r="B325" s="69" t="str">
        <f t="shared" si="191"/>
        <v/>
      </c>
      <c r="C325" s="71"/>
      <c r="D325" s="69" t="str">
        <f t="shared" si="154"/>
        <v/>
      </c>
      <c r="E325" s="70" t="str">
        <f t="shared" si="155"/>
        <v/>
      </c>
      <c r="F325" s="70" t="str">
        <f t="shared" si="156"/>
        <v/>
      </c>
      <c r="G325" s="63" t="str">
        <f t="shared" si="157"/>
        <v/>
      </c>
      <c r="H325" s="64" t="str">
        <f t="shared" si="158"/>
        <v/>
      </c>
      <c r="I325" s="43"/>
      <c r="J325" s="63" t="str">
        <f t="shared" si="159"/>
        <v/>
      </c>
      <c r="K325" s="64" t="str">
        <f t="shared" si="160"/>
        <v/>
      </c>
      <c r="L325" s="63" t="str">
        <f t="shared" si="161"/>
        <v/>
      </c>
      <c r="M325" s="64" t="str">
        <f t="shared" si="162"/>
        <v/>
      </c>
      <c r="N325" s="65"/>
      <c r="O325" s="63" t="str">
        <f t="shared" si="163"/>
        <v/>
      </c>
      <c r="P325" s="63" t="str">
        <f t="shared" si="164"/>
        <v/>
      </c>
      <c r="Q325" s="66"/>
      <c r="R325" s="63" t="str">
        <f t="shared" si="165"/>
        <v/>
      </c>
      <c r="S325" s="64" t="str">
        <f t="shared" si="166"/>
        <v/>
      </c>
      <c r="T325" s="63" t="str">
        <f t="shared" si="167"/>
        <v/>
      </c>
      <c r="U325" s="64" t="str">
        <f t="shared" si="168"/>
        <v/>
      </c>
      <c r="V325" s="90" t="str">
        <f>IF($A326="","",IF(AND(MONTH(A325)&gt;3,MONTH(A325)&lt;11),(T325+R325+G325)*Summary!$T$9/(1-Summary!$T$9),(T325+R325+G325)*Summary!$U$9/(1-Summary!$U$9)))</f>
        <v/>
      </c>
      <c r="W325" s="63" t="str">
        <f t="shared" si="169"/>
        <v/>
      </c>
      <c r="X325" s="63" t="str">
        <f t="shared" si="170"/>
        <v/>
      </c>
      <c r="Y325" s="43"/>
      <c r="Z325" s="38" t="str">
        <f t="shared" si="171"/>
        <v/>
      </c>
      <c r="AA325" s="38" t="str">
        <f t="shared" si="172"/>
        <v/>
      </c>
      <c r="AB325" s="38" t="e">
        <f t="shared" si="173"/>
        <v>#VALUE!</v>
      </c>
      <c r="AC325" s="38" t="str">
        <f t="shared" si="174"/>
        <v/>
      </c>
      <c r="AD325" s="38" t="str">
        <f t="shared" si="174"/>
        <v/>
      </c>
      <c r="AE325" s="38" t="e">
        <f t="shared" si="175"/>
        <v>#VALUE!</v>
      </c>
      <c r="AF325" s="237" t="e">
        <f>((Summary!$N$9*(AA325*AD325)*(A325-$D$3))+(Summary!$M$9*Z325*AC325*(AJ325-EOMONTH(EDATE(A325,-1),0))))/(AK325*AB325*AE325)</f>
        <v>#VALUE!</v>
      </c>
      <c r="AG325" s="88" t="str">
        <f>IF($A326="","",Summary!$Q$9)</f>
        <v/>
      </c>
      <c r="AH325" s="88" t="str">
        <f>IF($A326="","",IF(Summary!$R$9="Y",VLOOKUP($A325,Summary!$AD$6:$AF$9,3)+'Escalating commodity'!E338,'Escalating commodity'!E338))</f>
        <v/>
      </c>
      <c r="AI325" s="88" t="str">
        <f t="shared" si="190"/>
        <v/>
      </c>
      <c r="AJ325" s="236" t="e">
        <f t="shared" si="176"/>
        <v>#VALUE!</v>
      </c>
      <c r="AK325" s="58" t="str">
        <f t="shared" si="177"/>
        <v/>
      </c>
      <c r="AL325" s="26" t="str">
        <f>IF($A326="","",_xll.SPRDOPT(P325,X325,AI325,0,AB325,AE325,AF325,AK325,$AJ$2,0))</f>
        <v/>
      </c>
      <c r="AM325" s="89" t="str">
        <f t="shared" si="178"/>
        <v/>
      </c>
      <c r="AN325" s="89" t="str">
        <f t="shared" si="179"/>
        <v/>
      </c>
      <c r="AO325" s="3" t="str">
        <f t="shared" si="180"/>
        <v/>
      </c>
      <c r="AP325" s="33" t="str">
        <f t="shared" si="181"/>
        <v/>
      </c>
      <c r="AQ325" s="58" t="str">
        <f t="shared" si="182"/>
        <v/>
      </c>
      <c r="AR325" s="38">
        <f>'ANR OK vs ML7'!AR325</f>
        <v>0.1</v>
      </c>
      <c r="AS325" s="35" t="str">
        <f t="shared" si="183"/>
        <v/>
      </c>
      <c r="AT325" s="3" t="str">
        <f t="shared" si="184"/>
        <v/>
      </c>
      <c r="AU325" s="3" t="str">
        <f t="shared" si="185"/>
        <v/>
      </c>
      <c r="AW325" s="32" t="str">
        <f t="shared" si="186"/>
        <v/>
      </c>
      <c r="AX325" s="32" t="str">
        <f t="shared" si="187"/>
        <v/>
      </c>
      <c r="AY325" s="32" t="str">
        <f t="shared" si="188"/>
        <v/>
      </c>
      <c r="BA325" s="32" t="str">
        <f>IF($A326="","",F325*Summary!$Q$9)</f>
        <v/>
      </c>
    </row>
    <row r="326" spans="1:53" ht="12" customHeight="1">
      <c r="A326" s="67" t="str">
        <f t="shared" si="189"/>
        <v/>
      </c>
      <c r="B326" s="69" t="str">
        <f t="shared" si="191"/>
        <v/>
      </c>
      <c r="C326" s="71"/>
      <c r="D326" s="69" t="str">
        <f t="shared" si="154"/>
        <v/>
      </c>
      <c r="E326" s="70" t="str">
        <f t="shared" si="155"/>
        <v/>
      </c>
      <c r="F326" s="70" t="str">
        <f t="shared" si="156"/>
        <v/>
      </c>
      <c r="G326" s="63" t="str">
        <f t="shared" si="157"/>
        <v/>
      </c>
      <c r="H326" s="64" t="str">
        <f t="shared" si="158"/>
        <v/>
      </c>
      <c r="I326" s="43"/>
      <c r="J326" s="63" t="str">
        <f t="shared" si="159"/>
        <v/>
      </c>
      <c r="K326" s="64" t="str">
        <f t="shared" si="160"/>
        <v/>
      </c>
      <c r="L326" s="63" t="str">
        <f t="shared" si="161"/>
        <v/>
      </c>
      <c r="M326" s="64" t="str">
        <f t="shared" si="162"/>
        <v/>
      </c>
      <c r="N326" s="65"/>
      <c r="O326" s="63" t="str">
        <f t="shared" si="163"/>
        <v/>
      </c>
      <c r="P326" s="63" t="str">
        <f t="shared" si="164"/>
        <v/>
      </c>
      <c r="Q326" s="66"/>
      <c r="R326" s="63" t="str">
        <f t="shared" si="165"/>
        <v/>
      </c>
      <c r="S326" s="64" t="str">
        <f t="shared" si="166"/>
        <v/>
      </c>
      <c r="T326" s="63" t="str">
        <f t="shared" si="167"/>
        <v/>
      </c>
      <c r="U326" s="64" t="str">
        <f t="shared" si="168"/>
        <v/>
      </c>
      <c r="V326" s="90" t="str">
        <f>IF($A327="","",IF(AND(MONTH(A326)&gt;3,MONTH(A326)&lt;11),(T326+R326+G326)*Summary!$T$9/(1-Summary!$T$9),(T326+R326+G326)*Summary!$U$9/(1-Summary!$U$9)))</f>
        <v/>
      </c>
      <c r="W326" s="63" t="str">
        <f t="shared" si="169"/>
        <v/>
      </c>
      <c r="X326" s="63" t="str">
        <f t="shared" si="170"/>
        <v/>
      </c>
      <c r="Y326" s="43"/>
      <c r="Z326" s="38" t="str">
        <f t="shared" si="171"/>
        <v/>
      </c>
      <c r="AA326" s="38" t="str">
        <f t="shared" si="172"/>
        <v/>
      </c>
      <c r="AB326" s="38" t="e">
        <f t="shared" si="173"/>
        <v>#VALUE!</v>
      </c>
      <c r="AC326" s="38" t="str">
        <f t="shared" si="174"/>
        <v/>
      </c>
      <c r="AD326" s="38" t="str">
        <f t="shared" si="174"/>
        <v/>
      </c>
      <c r="AE326" s="38" t="e">
        <f t="shared" si="175"/>
        <v>#VALUE!</v>
      </c>
      <c r="AF326" s="237" t="e">
        <f>((Summary!$N$9*(AA326*AD326)*(A326-$D$3))+(Summary!$M$9*Z326*AC326*(AJ326-EOMONTH(EDATE(A326,-1),0))))/(AK326*AB326*AE326)</f>
        <v>#VALUE!</v>
      </c>
      <c r="AG326" s="88" t="str">
        <f>IF($A327="","",Summary!$Q$9)</f>
        <v/>
      </c>
      <c r="AH326" s="88" t="str">
        <f>IF($A327="","",IF(Summary!$R$9="Y",VLOOKUP($A326,Summary!$AD$6:$AF$9,3)+'Escalating commodity'!E339,'Escalating commodity'!E339))</f>
        <v/>
      </c>
      <c r="AI326" s="88" t="str">
        <f t="shared" si="190"/>
        <v/>
      </c>
      <c r="AJ326" s="236" t="e">
        <f t="shared" si="176"/>
        <v>#VALUE!</v>
      </c>
      <c r="AK326" s="58" t="str">
        <f t="shared" si="177"/>
        <v/>
      </c>
      <c r="AL326" s="26" t="str">
        <f>IF($A327="","",_xll.SPRDOPT(P326,X326,AI326,0,AB326,AE326,AF326,AK326,$AJ$2,0))</f>
        <v/>
      </c>
      <c r="AM326" s="89" t="str">
        <f t="shared" si="178"/>
        <v/>
      </c>
      <c r="AN326" s="89" t="str">
        <f t="shared" si="179"/>
        <v/>
      </c>
      <c r="AO326" s="3" t="str">
        <f t="shared" si="180"/>
        <v/>
      </c>
      <c r="AP326" s="33" t="str">
        <f t="shared" si="181"/>
        <v/>
      </c>
      <c r="AQ326" s="58" t="str">
        <f t="shared" si="182"/>
        <v/>
      </c>
      <c r="AR326" s="38">
        <f>'ANR OK vs ML7'!AR326</f>
        <v>0.1</v>
      </c>
      <c r="AS326" s="35" t="str">
        <f t="shared" si="183"/>
        <v/>
      </c>
      <c r="AT326" s="3" t="str">
        <f t="shared" si="184"/>
        <v/>
      </c>
      <c r="AU326" s="3" t="str">
        <f t="shared" si="185"/>
        <v/>
      </c>
      <c r="AW326" s="32" t="str">
        <f t="shared" si="186"/>
        <v/>
      </c>
      <c r="AX326" s="32" t="str">
        <f t="shared" si="187"/>
        <v/>
      </c>
      <c r="AY326" s="32" t="str">
        <f t="shared" si="188"/>
        <v/>
      </c>
      <c r="BA326" s="32" t="str">
        <f>IF($A327="","",F326*Summary!$Q$9)</f>
        <v/>
      </c>
    </row>
    <row r="327" spans="1:53" ht="12" customHeight="1">
      <c r="A327" s="67" t="str">
        <f t="shared" si="189"/>
        <v/>
      </c>
      <c r="B327" s="69" t="str">
        <f t="shared" si="191"/>
        <v/>
      </c>
      <c r="C327" s="71"/>
      <c r="D327" s="69" t="str">
        <f t="shared" si="154"/>
        <v/>
      </c>
      <c r="E327" s="70" t="str">
        <f t="shared" si="155"/>
        <v/>
      </c>
      <c r="F327" s="70" t="str">
        <f t="shared" si="156"/>
        <v/>
      </c>
      <c r="G327" s="63" t="str">
        <f t="shared" si="157"/>
        <v/>
      </c>
      <c r="H327" s="64" t="str">
        <f t="shared" si="158"/>
        <v/>
      </c>
      <c r="I327" s="43"/>
      <c r="J327" s="63" t="str">
        <f t="shared" si="159"/>
        <v/>
      </c>
      <c r="K327" s="64" t="str">
        <f t="shared" si="160"/>
        <v/>
      </c>
      <c r="L327" s="63" t="str">
        <f t="shared" si="161"/>
        <v/>
      </c>
      <c r="M327" s="64" t="str">
        <f t="shared" si="162"/>
        <v/>
      </c>
      <c r="N327" s="65"/>
      <c r="O327" s="63" t="str">
        <f t="shared" si="163"/>
        <v/>
      </c>
      <c r="P327" s="63" t="str">
        <f t="shared" si="164"/>
        <v/>
      </c>
      <c r="Q327" s="66"/>
      <c r="R327" s="63" t="str">
        <f t="shared" si="165"/>
        <v/>
      </c>
      <c r="S327" s="64" t="str">
        <f t="shared" si="166"/>
        <v/>
      </c>
      <c r="T327" s="63" t="str">
        <f t="shared" si="167"/>
        <v/>
      </c>
      <c r="U327" s="64" t="str">
        <f t="shared" si="168"/>
        <v/>
      </c>
      <c r="V327" s="90" t="str">
        <f>IF($A328="","",IF(AND(MONTH(A327)&gt;3,MONTH(A327)&lt;11),(T327+R327+G327)*Summary!$T$9/(1-Summary!$T$9),(T327+R327+G327)*Summary!$U$9/(1-Summary!$U$9)))</f>
        <v/>
      </c>
      <c r="W327" s="63" t="str">
        <f t="shared" si="169"/>
        <v/>
      </c>
      <c r="X327" s="63" t="str">
        <f t="shared" si="170"/>
        <v/>
      </c>
      <c r="Y327" s="43"/>
      <c r="Z327" s="38" t="str">
        <f t="shared" si="171"/>
        <v/>
      </c>
      <c r="AA327" s="38" t="str">
        <f t="shared" si="172"/>
        <v/>
      </c>
      <c r="AB327" s="38" t="e">
        <f t="shared" si="173"/>
        <v>#VALUE!</v>
      </c>
      <c r="AC327" s="38" t="str">
        <f t="shared" si="174"/>
        <v/>
      </c>
      <c r="AD327" s="38" t="str">
        <f t="shared" si="174"/>
        <v/>
      </c>
      <c r="AE327" s="38" t="e">
        <f t="shared" si="175"/>
        <v>#VALUE!</v>
      </c>
      <c r="AF327" s="237" t="e">
        <f>((Summary!$N$9*(AA327*AD327)*(A327-$D$3))+(Summary!$M$9*Z327*AC327*(AJ327-EOMONTH(EDATE(A327,-1),0))))/(AK327*AB327*AE327)</f>
        <v>#VALUE!</v>
      </c>
      <c r="AG327" s="88" t="str">
        <f>IF($A328="","",Summary!$Q$9)</f>
        <v/>
      </c>
      <c r="AH327" s="88" t="str">
        <f>IF($A328="","",IF(Summary!$R$9="Y",VLOOKUP($A327,Summary!$AD$6:$AF$9,3)+'Escalating commodity'!E340,'Escalating commodity'!E340))</f>
        <v/>
      </c>
      <c r="AI327" s="88" t="str">
        <f t="shared" si="190"/>
        <v/>
      </c>
      <c r="AJ327" s="236" t="e">
        <f t="shared" si="176"/>
        <v>#VALUE!</v>
      </c>
      <c r="AK327" s="58" t="str">
        <f t="shared" si="177"/>
        <v/>
      </c>
      <c r="AL327" s="26" t="str">
        <f>IF($A328="","",_xll.SPRDOPT(P327,X327,AI327,0,AB327,AE327,AF327,AK327,$AJ$2,0))</f>
        <v/>
      </c>
      <c r="AM327" s="89" t="str">
        <f t="shared" si="178"/>
        <v/>
      </c>
      <c r="AN327" s="89" t="str">
        <f t="shared" si="179"/>
        <v/>
      </c>
      <c r="AO327" s="3" t="str">
        <f t="shared" si="180"/>
        <v/>
      </c>
      <c r="AP327" s="33" t="str">
        <f t="shared" si="181"/>
        <v/>
      </c>
      <c r="AQ327" s="58" t="str">
        <f t="shared" si="182"/>
        <v/>
      </c>
      <c r="AR327" s="38">
        <f>'ANR OK vs ML7'!AR327</f>
        <v>0.1</v>
      </c>
      <c r="AS327" s="35" t="str">
        <f t="shared" si="183"/>
        <v/>
      </c>
      <c r="AT327" s="3" t="str">
        <f t="shared" si="184"/>
        <v/>
      </c>
      <c r="AU327" s="3" t="str">
        <f t="shared" si="185"/>
        <v/>
      </c>
      <c r="AW327" s="32" t="str">
        <f t="shared" si="186"/>
        <v/>
      </c>
      <c r="AX327" s="32" t="str">
        <f t="shared" si="187"/>
        <v/>
      </c>
      <c r="AY327" s="32" t="str">
        <f t="shared" si="188"/>
        <v/>
      </c>
      <c r="BA327" s="32" t="str">
        <f>IF($A328="","",F327*Summary!$Q$9)</f>
        <v/>
      </c>
    </row>
    <row r="328" spans="1:53" ht="12" customHeight="1">
      <c r="A328" s="67" t="str">
        <f t="shared" si="189"/>
        <v/>
      </c>
      <c r="B328" s="69" t="str">
        <f t="shared" si="191"/>
        <v/>
      </c>
      <c r="C328" s="71"/>
      <c r="D328" s="69" t="str">
        <f t="shared" si="154"/>
        <v/>
      </c>
      <c r="E328" s="70" t="str">
        <f t="shared" si="155"/>
        <v/>
      </c>
      <c r="F328" s="70" t="str">
        <f t="shared" si="156"/>
        <v/>
      </c>
      <c r="G328" s="63" t="str">
        <f t="shared" si="157"/>
        <v/>
      </c>
      <c r="H328" s="64" t="str">
        <f t="shared" si="158"/>
        <v/>
      </c>
      <c r="I328" s="43"/>
      <c r="J328" s="63" t="str">
        <f t="shared" si="159"/>
        <v/>
      </c>
      <c r="K328" s="64" t="str">
        <f t="shared" si="160"/>
        <v/>
      </c>
      <c r="L328" s="63" t="str">
        <f t="shared" si="161"/>
        <v/>
      </c>
      <c r="M328" s="64" t="str">
        <f t="shared" si="162"/>
        <v/>
      </c>
      <c r="N328" s="65"/>
      <c r="O328" s="63" t="str">
        <f t="shared" si="163"/>
        <v/>
      </c>
      <c r="P328" s="63" t="str">
        <f t="shared" si="164"/>
        <v/>
      </c>
      <c r="Q328" s="66"/>
      <c r="R328" s="63" t="str">
        <f t="shared" si="165"/>
        <v/>
      </c>
      <c r="S328" s="64" t="str">
        <f t="shared" si="166"/>
        <v/>
      </c>
      <c r="T328" s="63" t="str">
        <f t="shared" si="167"/>
        <v/>
      </c>
      <c r="U328" s="64" t="str">
        <f t="shared" si="168"/>
        <v/>
      </c>
      <c r="V328" s="90" t="str">
        <f>IF($A329="","",IF(AND(MONTH(A328)&gt;3,MONTH(A328)&lt;11),(T328+R328+G328)*Summary!$T$9/(1-Summary!$T$9),(T328+R328+G328)*Summary!$U$9/(1-Summary!$U$9)))</f>
        <v/>
      </c>
      <c r="W328" s="63" t="str">
        <f t="shared" si="169"/>
        <v/>
      </c>
      <c r="X328" s="63" t="str">
        <f t="shared" si="170"/>
        <v/>
      </c>
      <c r="Y328" s="43"/>
      <c r="Z328" s="38" t="str">
        <f t="shared" si="171"/>
        <v/>
      </c>
      <c r="AA328" s="38" t="str">
        <f t="shared" si="172"/>
        <v/>
      </c>
      <c r="AB328" s="38" t="e">
        <f t="shared" si="173"/>
        <v>#VALUE!</v>
      </c>
      <c r="AC328" s="38" t="str">
        <f t="shared" si="174"/>
        <v/>
      </c>
      <c r="AD328" s="38" t="str">
        <f t="shared" si="174"/>
        <v/>
      </c>
      <c r="AE328" s="38" t="e">
        <f t="shared" si="175"/>
        <v>#VALUE!</v>
      </c>
      <c r="AF328" s="237" t="e">
        <f>((Summary!$N$9*(AA328*AD328)*(A328-$D$3))+(Summary!$M$9*Z328*AC328*(AJ328-EOMONTH(EDATE(A328,-1),0))))/(AK328*AB328*AE328)</f>
        <v>#VALUE!</v>
      </c>
      <c r="AG328" s="88" t="str">
        <f>IF($A329="","",Summary!$Q$9)</f>
        <v/>
      </c>
      <c r="AH328" s="88" t="str">
        <f>IF($A329="","",IF(Summary!$R$9="Y",VLOOKUP($A328,Summary!$AD$6:$AF$9,3)+'Escalating commodity'!E341,'Escalating commodity'!E341))</f>
        <v/>
      </c>
      <c r="AI328" s="88" t="str">
        <f t="shared" si="190"/>
        <v/>
      </c>
      <c r="AJ328" s="236" t="e">
        <f t="shared" si="176"/>
        <v>#VALUE!</v>
      </c>
      <c r="AK328" s="58" t="str">
        <f t="shared" si="177"/>
        <v/>
      </c>
      <c r="AL328" s="26" t="str">
        <f>IF($A329="","",_xll.SPRDOPT(P328,X328,AI328,0,AB328,AE328,AF328,AK328,$AJ$2,0))</f>
        <v/>
      </c>
      <c r="AM328" s="89" t="str">
        <f t="shared" si="178"/>
        <v/>
      </c>
      <c r="AN328" s="89" t="str">
        <f t="shared" si="179"/>
        <v/>
      </c>
      <c r="AO328" s="3" t="str">
        <f t="shared" si="180"/>
        <v/>
      </c>
      <c r="AP328" s="33" t="str">
        <f t="shared" si="181"/>
        <v/>
      </c>
      <c r="AQ328" s="58" t="str">
        <f t="shared" si="182"/>
        <v/>
      </c>
      <c r="AR328" s="38">
        <f>'ANR OK vs ML7'!AR328</f>
        <v>0.1</v>
      </c>
      <c r="AS328" s="35" t="str">
        <f t="shared" si="183"/>
        <v/>
      </c>
      <c r="AT328" s="3" t="str">
        <f t="shared" si="184"/>
        <v/>
      </c>
      <c r="AU328" s="3" t="str">
        <f t="shared" si="185"/>
        <v/>
      </c>
      <c r="AW328" s="32" t="str">
        <f t="shared" si="186"/>
        <v/>
      </c>
      <c r="AX328" s="32" t="str">
        <f t="shared" si="187"/>
        <v/>
      </c>
      <c r="AY328" s="32" t="str">
        <f t="shared" si="188"/>
        <v/>
      </c>
      <c r="BA328" s="32" t="str">
        <f>IF($A329="","",F328*Summary!$Q$9)</f>
        <v/>
      </c>
    </row>
    <row r="329" spans="1:53" ht="12" customHeight="1">
      <c r="A329" s="67" t="str">
        <f t="shared" si="189"/>
        <v/>
      </c>
      <c r="B329" s="69" t="str">
        <f t="shared" si="191"/>
        <v/>
      </c>
      <c r="C329" s="71"/>
      <c r="D329" s="69" t="str">
        <f t="shared" si="154"/>
        <v/>
      </c>
      <c r="E329" s="70" t="str">
        <f t="shared" si="155"/>
        <v/>
      </c>
      <c r="F329" s="70" t="str">
        <f t="shared" si="156"/>
        <v/>
      </c>
      <c r="G329" s="63" t="str">
        <f t="shared" si="157"/>
        <v/>
      </c>
      <c r="H329" s="64" t="str">
        <f t="shared" si="158"/>
        <v/>
      </c>
      <c r="I329" s="43"/>
      <c r="J329" s="63" t="str">
        <f t="shared" si="159"/>
        <v/>
      </c>
      <c r="K329" s="64" t="str">
        <f t="shared" si="160"/>
        <v/>
      </c>
      <c r="L329" s="63" t="str">
        <f t="shared" si="161"/>
        <v/>
      </c>
      <c r="M329" s="64" t="str">
        <f t="shared" si="162"/>
        <v/>
      </c>
      <c r="N329" s="65"/>
      <c r="O329" s="63" t="str">
        <f t="shared" si="163"/>
        <v/>
      </c>
      <c r="P329" s="63" t="str">
        <f t="shared" si="164"/>
        <v/>
      </c>
      <c r="Q329" s="66"/>
      <c r="R329" s="63" t="str">
        <f t="shared" si="165"/>
        <v/>
      </c>
      <c r="S329" s="64" t="str">
        <f t="shared" si="166"/>
        <v/>
      </c>
      <c r="T329" s="63" t="str">
        <f t="shared" si="167"/>
        <v/>
      </c>
      <c r="U329" s="64" t="str">
        <f t="shared" si="168"/>
        <v/>
      </c>
      <c r="V329" s="90" t="str">
        <f>IF($A330="","",IF(AND(MONTH(A329)&gt;3,MONTH(A329)&lt;11),(T329+R329+G329)*Summary!$T$9/(1-Summary!$T$9),(T329+R329+G329)*Summary!$U$9/(1-Summary!$U$9)))</f>
        <v/>
      </c>
      <c r="W329" s="63" t="str">
        <f t="shared" si="169"/>
        <v/>
      </c>
      <c r="X329" s="63" t="str">
        <f t="shared" si="170"/>
        <v/>
      </c>
      <c r="Y329" s="43"/>
      <c r="Z329" s="38" t="str">
        <f t="shared" si="171"/>
        <v/>
      </c>
      <c r="AA329" s="38" t="str">
        <f t="shared" si="172"/>
        <v/>
      </c>
      <c r="AB329" s="38" t="e">
        <f t="shared" si="173"/>
        <v>#VALUE!</v>
      </c>
      <c r="AC329" s="38" t="str">
        <f t="shared" si="174"/>
        <v/>
      </c>
      <c r="AD329" s="38" t="str">
        <f t="shared" si="174"/>
        <v/>
      </c>
      <c r="AE329" s="38" t="e">
        <f t="shared" si="175"/>
        <v>#VALUE!</v>
      </c>
      <c r="AF329" s="237" t="e">
        <f>((Summary!$N$9*(AA329*AD329)*(A329-$D$3))+(Summary!$M$9*Z329*AC329*(AJ329-EOMONTH(EDATE(A329,-1),0))))/(AK329*AB329*AE329)</f>
        <v>#VALUE!</v>
      </c>
      <c r="AG329" s="88" t="str">
        <f>IF($A330="","",Summary!$Q$9)</f>
        <v/>
      </c>
      <c r="AH329" s="88" t="str">
        <f>IF($A330="","",IF(Summary!$R$9="Y",VLOOKUP($A329,Summary!$AD$6:$AF$9,3)+'Escalating commodity'!E342,'Escalating commodity'!E342))</f>
        <v/>
      </c>
      <c r="AI329" s="88" t="str">
        <f t="shared" si="190"/>
        <v/>
      </c>
      <c r="AJ329" s="236" t="e">
        <f t="shared" si="176"/>
        <v>#VALUE!</v>
      </c>
      <c r="AK329" s="58" t="str">
        <f t="shared" si="177"/>
        <v/>
      </c>
      <c r="AL329" s="26" t="str">
        <f>IF($A330="","",_xll.SPRDOPT(P329,X329,AI329,0,AB329,AE329,AF329,AK329,$AJ$2,0))</f>
        <v/>
      </c>
      <c r="AM329" s="89" t="str">
        <f t="shared" si="178"/>
        <v/>
      </c>
      <c r="AN329" s="89" t="str">
        <f t="shared" si="179"/>
        <v/>
      </c>
      <c r="AO329" s="3" t="str">
        <f t="shared" si="180"/>
        <v/>
      </c>
      <c r="AP329" s="33" t="str">
        <f t="shared" si="181"/>
        <v/>
      </c>
      <c r="AQ329" s="58" t="str">
        <f t="shared" si="182"/>
        <v/>
      </c>
      <c r="AR329" s="38">
        <f>'ANR OK vs ML7'!AR329</f>
        <v>0.1</v>
      </c>
      <c r="AS329" s="35" t="str">
        <f t="shared" si="183"/>
        <v/>
      </c>
      <c r="AT329" s="3" t="str">
        <f t="shared" si="184"/>
        <v/>
      </c>
      <c r="AU329" s="3" t="str">
        <f t="shared" si="185"/>
        <v/>
      </c>
      <c r="AW329" s="32" t="str">
        <f t="shared" si="186"/>
        <v/>
      </c>
      <c r="AX329" s="32" t="str">
        <f t="shared" si="187"/>
        <v/>
      </c>
      <c r="AY329" s="32" t="str">
        <f t="shared" si="188"/>
        <v/>
      </c>
      <c r="BA329" s="32" t="str">
        <f>IF($A330="","",F329*Summary!$Q$9)</f>
        <v/>
      </c>
    </row>
    <row r="330" spans="1:53" ht="12" customHeight="1">
      <c r="A330" s="67" t="str">
        <f t="shared" si="189"/>
        <v/>
      </c>
      <c r="B330" s="69" t="str">
        <f t="shared" si="191"/>
        <v/>
      </c>
      <c r="C330" s="71"/>
      <c r="D330" s="69" t="str">
        <f t="shared" ref="D330:D393" si="192">IF(A331&lt;&gt;"",B330+C330,"")</f>
        <v/>
      </c>
      <c r="E330" s="70" t="str">
        <f t="shared" ref="E330:E393" si="193">IF(A331="","",IF(AND(AT330=1,$H$3=1),D330*AO330,IF($H$3=2,D330,"N/A")))</f>
        <v/>
      </c>
      <c r="F330" s="70" t="str">
        <f t="shared" ref="F330:F393" si="194">IF(A331="","",E330*AS330)</f>
        <v/>
      </c>
      <c r="G330" s="63" t="str">
        <f t="shared" ref="G330:G393" si="195">IF($A331="","",VLOOKUP($A330,Table,MATCH(G$4,Curves,0)))</f>
        <v/>
      </c>
      <c r="H330" s="64" t="str">
        <f t="shared" ref="H330:H393" si="196">IF(A331="","",G330)</f>
        <v/>
      </c>
      <c r="I330" s="43"/>
      <c r="J330" s="63" t="str">
        <f t="shared" ref="J330:J393" si="197">IF($A331="","",VLOOKUP($A330,Table,MATCH(J$4,Curves,0)))</f>
        <v/>
      </c>
      <c r="K330" s="64" t="str">
        <f t="shared" ref="K330:K393" si="198">IF(A331="","",J330)</f>
        <v/>
      </c>
      <c r="L330" s="63" t="str">
        <f t="shared" ref="L330:L393" si="199">IF($A331="","",VLOOKUP($A330,Table,MATCH(L$4,Curves,0)))</f>
        <v/>
      </c>
      <c r="M330" s="64" t="str">
        <f t="shared" ref="M330:M393" si="200">IF(A331="","",L330)</f>
        <v/>
      </c>
      <c r="N330" s="65"/>
      <c r="O330" s="63" t="str">
        <f t="shared" ref="O330:O393" si="201">IF(A331="","",L330+J330+G330)</f>
        <v/>
      </c>
      <c r="P330" s="63" t="str">
        <f t="shared" ref="P330:P393" si="202">IF(A331="","",M330+K330+H330)</f>
        <v/>
      </c>
      <c r="Q330" s="66"/>
      <c r="R330" s="63" t="str">
        <f t="shared" ref="R330:R393" si="203">IF($A331="","",VLOOKUP($A330,Table,MATCH(R$4,Curves,0)))</f>
        <v/>
      </c>
      <c r="S330" s="64" t="str">
        <f t="shared" ref="S330:S393" si="204">IF(A331="","",R330)</f>
        <v/>
      </c>
      <c r="T330" s="63" t="str">
        <f t="shared" ref="T330:T393" si="205">IF($A331="","",VLOOKUP($A330,Table,MATCH(T$4,Curves,0)))</f>
        <v/>
      </c>
      <c r="U330" s="64" t="str">
        <f t="shared" ref="U330:U393" si="206">IF(A331="","",T330)</f>
        <v/>
      </c>
      <c r="V330" s="90" t="str">
        <f>IF($A331="","",IF(AND(MONTH(A330)&gt;3,MONTH(A330)&lt;11),(T330+R330+G330)*Summary!$T$9/(1-Summary!$T$9),(T330+R330+G330)*Summary!$U$9/(1-Summary!$U$9)))</f>
        <v/>
      </c>
      <c r="W330" s="63" t="str">
        <f t="shared" ref="W330:W393" si="207">IF($A331="","",(T330+R330+G330+V330))</f>
        <v/>
      </c>
      <c r="X330" s="63" t="str">
        <f t="shared" ref="X330:X393" si="208">IF($A331="","",(U330+S330+H330+V330))</f>
        <v/>
      </c>
      <c r="Y330" s="43"/>
      <c r="Z330" s="38" t="str">
        <f t="shared" ref="Z330:Z369" si="209">IF($A331="","",VLOOKUP($A330,Table,MATCH(Z$4,Curves,0)))</f>
        <v/>
      </c>
      <c r="AA330" s="38" t="str">
        <f t="shared" ref="AA330:AA369" si="210">IF($A331="","",VLOOKUP($A330,Table,MATCH(AA$4,Curves,0)))</f>
        <v/>
      </c>
      <c r="AB330" s="38" t="e">
        <f t="shared" ref="AB330:AB393" si="211">SQRT((AA330^2*(A330-$D$3)+Z330^2*(DAY(EOMONTH(A330,0))/2))/AK330)</f>
        <v>#VALUE!</v>
      </c>
      <c r="AC330" s="38" t="str">
        <f t="shared" ref="AC330:AD369" si="212">IF($A331="","",VLOOKUP($A330,Table,MATCH(AC$4,Curves,0)))</f>
        <v/>
      </c>
      <c r="AD330" s="38" t="str">
        <f t="shared" si="212"/>
        <v/>
      </c>
      <c r="AE330" s="38" t="e">
        <f t="shared" ref="AE330:AE393" si="213">SQRT((AD330^2*(A330-$D$3)+AC330^2*(DAY(EOMONTH(A330,0))/2))/AK330)</f>
        <v>#VALUE!</v>
      </c>
      <c r="AF330" s="237" t="e">
        <f>((Summary!$N$9*(AA330*AD330)*(A330-$D$3))+(Summary!$M$9*Z330*AC330*(AJ330-EOMONTH(EDATE(A330,-1),0))))/(AK330*AB330*AE330)</f>
        <v>#VALUE!</v>
      </c>
      <c r="AG330" s="88" t="str">
        <f>IF($A331="","",Summary!$Q$9)</f>
        <v/>
      </c>
      <c r="AH330" s="88" t="str">
        <f>IF($A331="","",IF(Summary!$R$9="Y",VLOOKUP($A330,Summary!$AD$6:$AF$9,3)+'Escalating commodity'!E343,'Escalating commodity'!E343))</f>
        <v/>
      </c>
      <c r="AI330" s="88" t="str">
        <f t="shared" si="190"/>
        <v/>
      </c>
      <c r="AJ330" s="236" t="e">
        <f t="shared" ref="AJ330:AJ369" si="214">A330+DAY(EOMONTH(A330,0))/2-1</f>
        <v>#VALUE!</v>
      </c>
      <c r="AK330" s="58" t="str">
        <f t="shared" ref="AK330:AK369" si="215">IF($A331="","",$A330-$E$1)</f>
        <v/>
      </c>
      <c r="AL330" s="26" t="str">
        <f>IF($A331="","",_xll.SPRDOPT(P330,X330,AI330,0,AB330,AE330,AF330,AK330,$AJ$2,0))</f>
        <v/>
      </c>
      <c r="AM330" s="89" t="str">
        <f t="shared" ref="AM330:AM369" si="216">IF($A331="","",MAX(0,O330-W330-AI330))</f>
        <v/>
      </c>
      <c r="AN330" s="89" t="str">
        <f t="shared" ref="AN330:AN369" si="217">IF($A331="","",AL330-AM330)</f>
        <v/>
      </c>
      <c r="AO330" s="3" t="str">
        <f t="shared" ref="AO330:AO393" si="218">IF(A331="","",A331-A330)</f>
        <v/>
      </c>
      <c r="AP330" s="33" t="str">
        <f t="shared" ref="AP330:AP393" si="219">IF(A331="","",CHOOSE(F$3,A331+24,A330))</f>
        <v/>
      </c>
      <c r="AQ330" s="58" t="str">
        <f t="shared" ref="AQ330:AQ393" si="220">IF(A331="","",AP330-$E$1)</f>
        <v/>
      </c>
      <c r="AR330" s="38">
        <f>'ANR OK vs ML7'!AR330</f>
        <v>0.1</v>
      </c>
      <c r="AS330" s="35" t="str">
        <f t="shared" ref="AS330:AS393" si="221">IF(A331="","",1/(1+CHOOSE(F$3,(AR331+($I$3/10000))/2,(AR330+($I$3/10000))/2))^(2*AQ330/365.25))</f>
        <v/>
      </c>
      <c r="AT330" s="3" t="str">
        <f t="shared" ref="AT330:AT393" si="222">IF(A331="","",IF(AND(mthbeg&lt;=A330,mthend&gt;=A330),1,0))</f>
        <v/>
      </c>
      <c r="AU330" s="3" t="str">
        <f t="shared" ref="AU330:AU393" si="223">IF(A331="","",AO330*AT330)</f>
        <v/>
      </c>
      <c r="AW330" s="32" t="str">
        <f t="shared" ref="AW330:AW393" si="224">IF($A331="","",AL330*$E330)</f>
        <v/>
      </c>
      <c r="AX330" s="32" t="str">
        <f t="shared" ref="AX330:AX393" si="225">IF($A331="","",AM330*$E330)</f>
        <v/>
      </c>
      <c r="AY330" s="32" t="str">
        <f t="shared" ref="AY330:AY393" si="226">IF($A331="","",AN330*$E330)</f>
        <v/>
      </c>
      <c r="BA330" s="32" t="str">
        <f>IF($A331="","",F330*Summary!$Q$9)</f>
        <v/>
      </c>
    </row>
    <row r="331" spans="1:53" ht="12" customHeight="1">
      <c r="A331" s="67" t="str">
        <f t="shared" ref="A331:A394" si="227">IF(A330&lt;mthend,EDATE(A330,1),"")</f>
        <v/>
      </c>
      <c r="B331" s="69" t="str">
        <f t="shared" si="191"/>
        <v/>
      </c>
      <c r="C331" s="71"/>
      <c r="D331" s="69" t="str">
        <f t="shared" si="192"/>
        <v/>
      </c>
      <c r="E331" s="70" t="str">
        <f t="shared" si="193"/>
        <v/>
      </c>
      <c r="F331" s="70" t="str">
        <f t="shared" si="194"/>
        <v/>
      </c>
      <c r="G331" s="63" t="str">
        <f t="shared" si="195"/>
        <v/>
      </c>
      <c r="H331" s="64" t="str">
        <f t="shared" si="196"/>
        <v/>
      </c>
      <c r="I331" s="43"/>
      <c r="J331" s="63" t="str">
        <f t="shared" si="197"/>
        <v/>
      </c>
      <c r="K331" s="64" t="str">
        <f t="shared" si="198"/>
        <v/>
      </c>
      <c r="L331" s="63" t="str">
        <f t="shared" si="199"/>
        <v/>
      </c>
      <c r="M331" s="64" t="str">
        <f t="shared" si="200"/>
        <v/>
      </c>
      <c r="N331" s="65"/>
      <c r="O331" s="63" t="str">
        <f t="shared" si="201"/>
        <v/>
      </c>
      <c r="P331" s="63" t="str">
        <f t="shared" si="202"/>
        <v/>
      </c>
      <c r="Q331" s="66"/>
      <c r="R331" s="63" t="str">
        <f t="shared" si="203"/>
        <v/>
      </c>
      <c r="S331" s="64" t="str">
        <f t="shared" si="204"/>
        <v/>
      </c>
      <c r="T331" s="63" t="str">
        <f t="shared" si="205"/>
        <v/>
      </c>
      <c r="U331" s="64" t="str">
        <f t="shared" si="206"/>
        <v/>
      </c>
      <c r="V331" s="90" t="str">
        <f>IF($A332="","",IF(AND(MONTH(A331)&gt;3,MONTH(A331)&lt;11),(T331+R331+G331)*Summary!$T$9/(1-Summary!$T$9),(T331+R331+G331)*Summary!$U$9/(1-Summary!$U$9)))</f>
        <v/>
      </c>
      <c r="W331" s="63" t="str">
        <f t="shared" si="207"/>
        <v/>
      </c>
      <c r="X331" s="63" t="str">
        <f t="shared" si="208"/>
        <v/>
      </c>
      <c r="Y331" s="43"/>
      <c r="Z331" s="38" t="str">
        <f t="shared" si="209"/>
        <v/>
      </c>
      <c r="AA331" s="38" t="str">
        <f t="shared" si="210"/>
        <v/>
      </c>
      <c r="AB331" s="38" t="e">
        <f t="shared" si="211"/>
        <v>#VALUE!</v>
      </c>
      <c r="AC331" s="38" t="str">
        <f t="shared" si="212"/>
        <v/>
      </c>
      <c r="AD331" s="38" t="str">
        <f t="shared" si="212"/>
        <v/>
      </c>
      <c r="AE331" s="38" t="e">
        <f t="shared" si="213"/>
        <v>#VALUE!</v>
      </c>
      <c r="AF331" s="237" t="e">
        <f>((Summary!$N$9*(AA331*AD331)*(A331-$D$3))+(Summary!$M$9*Z331*AC331*(AJ331-EOMONTH(EDATE(A331,-1),0))))/(AK331*AB331*AE331)</f>
        <v>#VALUE!</v>
      </c>
      <c r="AG331" s="88" t="str">
        <f>IF($A332="","",Summary!$Q$9)</f>
        <v/>
      </c>
      <c r="AH331" s="88" t="str">
        <f>IF($A332="","",IF(Summary!$R$9="Y",VLOOKUP($A331,Summary!$AD$6:$AF$9,3)+'Escalating commodity'!E344,'Escalating commodity'!E344))</f>
        <v/>
      </c>
      <c r="AI331" s="88" t="str">
        <f t="shared" ref="AI331:AI369" si="228">IF($A332="","",AH331)</f>
        <v/>
      </c>
      <c r="AJ331" s="236" t="e">
        <f t="shared" si="214"/>
        <v>#VALUE!</v>
      </c>
      <c r="AK331" s="58" t="str">
        <f t="shared" si="215"/>
        <v/>
      </c>
      <c r="AL331" s="26" t="str">
        <f>IF($A332="","",_xll.SPRDOPT(P331,X331,AI331,0,AB331,AE331,AF331,AK331,$AJ$2,0))</f>
        <v/>
      </c>
      <c r="AM331" s="89" t="str">
        <f t="shared" si="216"/>
        <v/>
      </c>
      <c r="AN331" s="89" t="str">
        <f t="shared" si="217"/>
        <v/>
      </c>
      <c r="AO331" s="3" t="str">
        <f t="shared" si="218"/>
        <v/>
      </c>
      <c r="AP331" s="33" t="str">
        <f t="shared" si="219"/>
        <v/>
      </c>
      <c r="AQ331" s="58" t="str">
        <f t="shared" si="220"/>
        <v/>
      </c>
      <c r="AR331" s="38">
        <f>'ANR OK vs ML7'!AR331</f>
        <v>0.1</v>
      </c>
      <c r="AS331" s="35" t="str">
        <f t="shared" si="221"/>
        <v/>
      </c>
      <c r="AT331" s="3" t="str">
        <f t="shared" si="222"/>
        <v/>
      </c>
      <c r="AU331" s="3" t="str">
        <f t="shared" si="223"/>
        <v/>
      </c>
      <c r="AW331" s="32" t="str">
        <f t="shared" si="224"/>
        <v/>
      </c>
      <c r="AX331" s="32" t="str">
        <f t="shared" si="225"/>
        <v/>
      </c>
      <c r="AY331" s="32" t="str">
        <f t="shared" si="226"/>
        <v/>
      </c>
      <c r="BA331" s="32" t="str">
        <f>IF($A332="","",F331*Summary!$Q$9)</f>
        <v/>
      </c>
    </row>
    <row r="332" spans="1:53" ht="12" customHeight="1">
      <c r="A332" s="67" t="str">
        <f t="shared" si="227"/>
        <v/>
      </c>
      <c r="B332" s="69" t="str">
        <f t="shared" ref="B332:B395" si="229">IF(A332&lt;mthend,B331,"")</f>
        <v/>
      </c>
      <c r="C332" s="71"/>
      <c r="D332" s="69" t="str">
        <f t="shared" si="192"/>
        <v/>
      </c>
      <c r="E332" s="70" t="str">
        <f t="shared" si="193"/>
        <v/>
      </c>
      <c r="F332" s="70" t="str">
        <f t="shared" si="194"/>
        <v/>
      </c>
      <c r="G332" s="63" t="str">
        <f t="shared" si="195"/>
        <v/>
      </c>
      <c r="H332" s="64" t="str">
        <f t="shared" si="196"/>
        <v/>
      </c>
      <c r="I332" s="43"/>
      <c r="J332" s="63" t="str">
        <f t="shared" si="197"/>
        <v/>
      </c>
      <c r="K332" s="64" t="str">
        <f t="shared" si="198"/>
        <v/>
      </c>
      <c r="L332" s="63" t="str">
        <f t="shared" si="199"/>
        <v/>
      </c>
      <c r="M332" s="64" t="str">
        <f t="shared" si="200"/>
        <v/>
      </c>
      <c r="N332" s="65"/>
      <c r="O332" s="63" t="str">
        <f t="shared" si="201"/>
        <v/>
      </c>
      <c r="P332" s="63" t="str">
        <f t="shared" si="202"/>
        <v/>
      </c>
      <c r="Q332" s="66"/>
      <c r="R332" s="63" t="str">
        <f t="shared" si="203"/>
        <v/>
      </c>
      <c r="S332" s="64" t="str">
        <f t="shared" si="204"/>
        <v/>
      </c>
      <c r="T332" s="63" t="str">
        <f t="shared" si="205"/>
        <v/>
      </c>
      <c r="U332" s="64" t="str">
        <f t="shared" si="206"/>
        <v/>
      </c>
      <c r="V332" s="90" t="str">
        <f>IF($A333="","",IF(AND(MONTH(A332)&gt;3,MONTH(A332)&lt;11),(T332+R332+G332)*Summary!$T$9/(1-Summary!$T$9),(T332+R332+G332)*Summary!$U$9/(1-Summary!$U$9)))</f>
        <v/>
      </c>
      <c r="W332" s="63" t="str">
        <f t="shared" si="207"/>
        <v/>
      </c>
      <c r="X332" s="63" t="str">
        <f t="shared" si="208"/>
        <v/>
      </c>
      <c r="Y332" s="43"/>
      <c r="Z332" s="38" t="str">
        <f t="shared" si="209"/>
        <v/>
      </c>
      <c r="AA332" s="38" t="str">
        <f t="shared" si="210"/>
        <v/>
      </c>
      <c r="AB332" s="38" t="e">
        <f t="shared" si="211"/>
        <v>#VALUE!</v>
      </c>
      <c r="AC332" s="38" t="str">
        <f t="shared" si="212"/>
        <v/>
      </c>
      <c r="AD332" s="38" t="str">
        <f t="shared" si="212"/>
        <v/>
      </c>
      <c r="AE332" s="38" t="e">
        <f t="shared" si="213"/>
        <v>#VALUE!</v>
      </c>
      <c r="AF332" s="237" t="e">
        <f>((Summary!$N$9*(AA332*AD332)*(A332-$D$3))+(Summary!$M$9*Z332*AC332*(AJ332-EOMONTH(EDATE(A332,-1),0))))/(AK332*AB332*AE332)</f>
        <v>#VALUE!</v>
      </c>
      <c r="AG332" s="88" t="str">
        <f>IF($A333="","",Summary!$Q$9)</f>
        <v/>
      </c>
      <c r="AH332" s="88" t="str">
        <f>IF($A333="","",IF(Summary!$R$9="Y",VLOOKUP($A332,Summary!$AD$6:$AF$9,3)+'Escalating commodity'!E345,'Escalating commodity'!E345))</f>
        <v/>
      </c>
      <c r="AI332" s="88" t="str">
        <f t="shared" si="228"/>
        <v/>
      </c>
      <c r="AJ332" s="236" t="e">
        <f t="shared" si="214"/>
        <v>#VALUE!</v>
      </c>
      <c r="AK332" s="58" t="str">
        <f t="shared" si="215"/>
        <v/>
      </c>
      <c r="AL332" s="26" t="str">
        <f>IF($A333="","",_xll.SPRDOPT(P332,X332,AI332,0,AB332,AE332,AF332,AK332,$AJ$2,0))</f>
        <v/>
      </c>
      <c r="AM332" s="89" t="str">
        <f t="shared" si="216"/>
        <v/>
      </c>
      <c r="AN332" s="89" t="str">
        <f t="shared" si="217"/>
        <v/>
      </c>
      <c r="AO332" s="3" t="str">
        <f t="shared" si="218"/>
        <v/>
      </c>
      <c r="AP332" s="33" t="str">
        <f t="shared" si="219"/>
        <v/>
      </c>
      <c r="AQ332" s="58" t="str">
        <f t="shared" si="220"/>
        <v/>
      </c>
      <c r="AR332" s="38">
        <f>'ANR OK vs ML7'!AR332</f>
        <v>0.1</v>
      </c>
      <c r="AS332" s="35" t="str">
        <f t="shared" si="221"/>
        <v/>
      </c>
      <c r="AT332" s="3" t="str">
        <f t="shared" si="222"/>
        <v/>
      </c>
      <c r="AU332" s="3" t="str">
        <f t="shared" si="223"/>
        <v/>
      </c>
      <c r="AW332" s="32" t="str">
        <f t="shared" si="224"/>
        <v/>
      </c>
      <c r="AX332" s="32" t="str">
        <f t="shared" si="225"/>
        <v/>
      </c>
      <c r="AY332" s="32" t="str">
        <f t="shared" si="226"/>
        <v/>
      </c>
      <c r="BA332" s="32" t="str">
        <f>IF($A333="","",F332*Summary!$Q$9)</f>
        <v/>
      </c>
    </row>
    <row r="333" spans="1:53" ht="12" customHeight="1">
      <c r="A333" s="67" t="str">
        <f t="shared" si="227"/>
        <v/>
      </c>
      <c r="B333" s="69" t="str">
        <f t="shared" si="229"/>
        <v/>
      </c>
      <c r="C333" s="71"/>
      <c r="D333" s="69" t="str">
        <f t="shared" si="192"/>
        <v/>
      </c>
      <c r="E333" s="70" t="str">
        <f t="shared" si="193"/>
        <v/>
      </c>
      <c r="F333" s="70" t="str">
        <f t="shared" si="194"/>
        <v/>
      </c>
      <c r="G333" s="63" t="str">
        <f t="shared" si="195"/>
        <v/>
      </c>
      <c r="H333" s="64" t="str">
        <f t="shared" si="196"/>
        <v/>
      </c>
      <c r="I333" s="43"/>
      <c r="J333" s="63" t="str">
        <f t="shared" si="197"/>
        <v/>
      </c>
      <c r="K333" s="64" t="str">
        <f t="shared" si="198"/>
        <v/>
      </c>
      <c r="L333" s="63" t="str">
        <f t="shared" si="199"/>
        <v/>
      </c>
      <c r="M333" s="64" t="str">
        <f t="shared" si="200"/>
        <v/>
      </c>
      <c r="N333" s="65"/>
      <c r="O333" s="63" t="str">
        <f t="shared" si="201"/>
        <v/>
      </c>
      <c r="P333" s="63" t="str">
        <f t="shared" si="202"/>
        <v/>
      </c>
      <c r="Q333" s="66"/>
      <c r="R333" s="63" t="str">
        <f t="shared" si="203"/>
        <v/>
      </c>
      <c r="S333" s="64" t="str">
        <f t="shared" si="204"/>
        <v/>
      </c>
      <c r="T333" s="63" t="str">
        <f t="shared" si="205"/>
        <v/>
      </c>
      <c r="U333" s="64" t="str">
        <f t="shared" si="206"/>
        <v/>
      </c>
      <c r="V333" s="90" t="str">
        <f>IF($A334="","",IF(AND(MONTH(A333)&gt;3,MONTH(A333)&lt;11),(T333+R333+G333)*Summary!$T$9/(1-Summary!$T$9),(T333+R333+G333)*Summary!$U$9/(1-Summary!$U$9)))</f>
        <v/>
      </c>
      <c r="W333" s="63" t="str">
        <f t="shared" si="207"/>
        <v/>
      </c>
      <c r="X333" s="63" t="str">
        <f t="shared" si="208"/>
        <v/>
      </c>
      <c r="Y333" s="43"/>
      <c r="Z333" s="38" t="str">
        <f t="shared" si="209"/>
        <v/>
      </c>
      <c r="AA333" s="38" t="str">
        <f t="shared" si="210"/>
        <v/>
      </c>
      <c r="AB333" s="38" t="e">
        <f t="shared" si="211"/>
        <v>#VALUE!</v>
      </c>
      <c r="AC333" s="38" t="str">
        <f t="shared" si="212"/>
        <v/>
      </c>
      <c r="AD333" s="38" t="str">
        <f t="shared" si="212"/>
        <v/>
      </c>
      <c r="AE333" s="38" t="e">
        <f t="shared" si="213"/>
        <v>#VALUE!</v>
      </c>
      <c r="AF333" s="237" t="e">
        <f>((Summary!$N$9*(AA333*AD333)*(A333-$D$3))+(Summary!$M$9*Z333*AC333*(AJ333-EOMONTH(EDATE(A333,-1),0))))/(AK333*AB333*AE333)</f>
        <v>#VALUE!</v>
      </c>
      <c r="AG333" s="88" t="str">
        <f>IF($A334="","",Summary!$Q$9)</f>
        <v/>
      </c>
      <c r="AH333" s="88" t="str">
        <f>IF($A334="","",IF(Summary!$R$9="Y",VLOOKUP($A333,Summary!$AD$6:$AF$9,3)+'Escalating commodity'!E346,'Escalating commodity'!E346))</f>
        <v/>
      </c>
      <c r="AI333" s="88" t="str">
        <f t="shared" si="228"/>
        <v/>
      </c>
      <c r="AJ333" s="236" t="e">
        <f t="shared" si="214"/>
        <v>#VALUE!</v>
      </c>
      <c r="AK333" s="58" t="str">
        <f t="shared" si="215"/>
        <v/>
      </c>
      <c r="AL333" s="26" t="str">
        <f>IF($A334="","",_xll.SPRDOPT(P333,X333,AI333,0,AB333,AE333,AF333,AK333,$AJ$2,0))</f>
        <v/>
      </c>
      <c r="AM333" s="89" t="str">
        <f t="shared" si="216"/>
        <v/>
      </c>
      <c r="AN333" s="89" t="str">
        <f t="shared" si="217"/>
        <v/>
      </c>
      <c r="AO333" s="3" t="str">
        <f t="shared" si="218"/>
        <v/>
      </c>
      <c r="AP333" s="33" t="str">
        <f t="shared" si="219"/>
        <v/>
      </c>
      <c r="AQ333" s="58" t="str">
        <f t="shared" si="220"/>
        <v/>
      </c>
      <c r="AR333" s="38">
        <f>'ANR OK vs ML7'!AR333</f>
        <v>0.1</v>
      </c>
      <c r="AS333" s="35" t="str">
        <f t="shared" si="221"/>
        <v/>
      </c>
      <c r="AT333" s="3" t="str">
        <f t="shared" si="222"/>
        <v/>
      </c>
      <c r="AU333" s="3" t="str">
        <f t="shared" si="223"/>
        <v/>
      </c>
      <c r="AW333" s="32" t="str">
        <f t="shared" si="224"/>
        <v/>
      </c>
      <c r="AX333" s="32" t="str">
        <f t="shared" si="225"/>
        <v/>
      </c>
      <c r="AY333" s="32" t="str">
        <f t="shared" si="226"/>
        <v/>
      </c>
      <c r="BA333" s="32" t="str">
        <f>IF($A334="","",F333*Summary!$Q$9)</f>
        <v/>
      </c>
    </row>
    <row r="334" spans="1:53" ht="12" customHeight="1">
      <c r="A334" s="67" t="str">
        <f t="shared" si="227"/>
        <v/>
      </c>
      <c r="B334" s="69" t="str">
        <f t="shared" si="229"/>
        <v/>
      </c>
      <c r="C334" s="71"/>
      <c r="D334" s="69" t="str">
        <f t="shared" si="192"/>
        <v/>
      </c>
      <c r="E334" s="70" t="str">
        <f t="shared" si="193"/>
        <v/>
      </c>
      <c r="F334" s="70" t="str">
        <f t="shared" si="194"/>
        <v/>
      </c>
      <c r="G334" s="63" t="str">
        <f t="shared" si="195"/>
        <v/>
      </c>
      <c r="H334" s="64" t="str">
        <f t="shared" si="196"/>
        <v/>
      </c>
      <c r="I334" s="43"/>
      <c r="J334" s="63" t="str">
        <f t="shared" si="197"/>
        <v/>
      </c>
      <c r="K334" s="64" t="str">
        <f t="shared" si="198"/>
        <v/>
      </c>
      <c r="L334" s="63" t="str">
        <f t="shared" si="199"/>
        <v/>
      </c>
      <c r="M334" s="64" t="str">
        <f t="shared" si="200"/>
        <v/>
      </c>
      <c r="N334" s="65"/>
      <c r="O334" s="63" t="str">
        <f t="shared" si="201"/>
        <v/>
      </c>
      <c r="P334" s="63" t="str">
        <f t="shared" si="202"/>
        <v/>
      </c>
      <c r="Q334" s="66"/>
      <c r="R334" s="63" t="str">
        <f t="shared" si="203"/>
        <v/>
      </c>
      <c r="S334" s="64" t="str">
        <f t="shared" si="204"/>
        <v/>
      </c>
      <c r="T334" s="63" t="str">
        <f t="shared" si="205"/>
        <v/>
      </c>
      <c r="U334" s="64" t="str">
        <f t="shared" si="206"/>
        <v/>
      </c>
      <c r="V334" s="90" t="str">
        <f>IF($A335="","",IF(AND(MONTH(A334)&gt;3,MONTH(A334)&lt;11),(T334+R334+G334)*Summary!$T$9/(1-Summary!$T$9),(T334+R334+G334)*Summary!$U$9/(1-Summary!$U$9)))</f>
        <v/>
      </c>
      <c r="W334" s="63" t="str">
        <f t="shared" si="207"/>
        <v/>
      </c>
      <c r="X334" s="63" t="str">
        <f t="shared" si="208"/>
        <v/>
      </c>
      <c r="Y334" s="43"/>
      <c r="Z334" s="38" t="str">
        <f t="shared" si="209"/>
        <v/>
      </c>
      <c r="AA334" s="38" t="str">
        <f t="shared" si="210"/>
        <v/>
      </c>
      <c r="AB334" s="38" t="e">
        <f t="shared" si="211"/>
        <v>#VALUE!</v>
      </c>
      <c r="AC334" s="38" t="str">
        <f t="shared" si="212"/>
        <v/>
      </c>
      <c r="AD334" s="38" t="str">
        <f t="shared" si="212"/>
        <v/>
      </c>
      <c r="AE334" s="38" t="e">
        <f t="shared" si="213"/>
        <v>#VALUE!</v>
      </c>
      <c r="AF334" s="237" t="e">
        <f>((Summary!$N$9*(AA334*AD334)*(A334-$D$3))+(Summary!$M$9*Z334*AC334*(AJ334-EOMONTH(EDATE(A334,-1),0))))/(AK334*AB334*AE334)</f>
        <v>#VALUE!</v>
      </c>
      <c r="AG334" s="88" t="str">
        <f>IF($A335="","",Summary!$Q$9)</f>
        <v/>
      </c>
      <c r="AH334" s="88" t="str">
        <f>IF($A335="","",IF(Summary!$R$9="Y",VLOOKUP($A334,Summary!$AD$6:$AF$9,3)+'Escalating commodity'!E347,'Escalating commodity'!E347))</f>
        <v/>
      </c>
      <c r="AI334" s="88" t="str">
        <f t="shared" si="228"/>
        <v/>
      </c>
      <c r="AJ334" s="236" t="e">
        <f t="shared" si="214"/>
        <v>#VALUE!</v>
      </c>
      <c r="AK334" s="58" t="str">
        <f t="shared" si="215"/>
        <v/>
      </c>
      <c r="AL334" s="26" t="str">
        <f>IF($A335="","",_xll.SPRDOPT(P334,X334,AI334,0,AB334,AE334,AF334,AK334,$AJ$2,0))</f>
        <v/>
      </c>
      <c r="AM334" s="89" t="str">
        <f t="shared" si="216"/>
        <v/>
      </c>
      <c r="AN334" s="89" t="str">
        <f t="shared" si="217"/>
        <v/>
      </c>
      <c r="AO334" s="3" t="str">
        <f t="shared" si="218"/>
        <v/>
      </c>
      <c r="AP334" s="33" t="str">
        <f t="shared" si="219"/>
        <v/>
      </c>
      <c r="AQ334" s="58" t="str">
        <f t="shared" si="220"/>
        <v/>
      </c>
      <c r="AR334" s="38">
        <f>'ANR OK vs ML7'!AR334</f>
        <v>0.1</v>
      </c>
      <c r="AS334" s="35" t="str">
        <f t="shared" si="221"/>
        <v/>
      </c>
      <c r="AT334" s="3" t="str">
        <f t="shared" si="222"/>
        <v/>
      </c>
      <c r="AU334" s="3" t="str">
        <f t="shared" si="223"/>
        <v/>
      </c>
      <c r="AW334" s="32" t="str">
        <f t="shared" si="224"/>
        <v/>
      </c>
      <c r="AX334" s="32" t="str">
        <f t="shared" si="225"/>
        <v/>
      </c>
      <c r="AY334" s="32" t="str">
        <f t="shared" si="226"/>
        <v/>
      </c>
      <c r="BA334" s="32" t="str">
        <f>IF($A335="","",F334*Summary!$Q$9)</f>
        <v/>
      </c>
    </row>
    <row r="335" spans="1:53" ht="12" customHeight="1">
      <c r="A335" s="67" t="str">
        <f t="shared" si="227"/>
        <v/>
      </c>
      <c r="B335" s="69" t="str">
        <f t="shared" si="229"/>
        <v/>
      </c>
      <c r="C335" s="71"/>
      <c r="D335" s="69" t="str">
        <f t="shared" si="192"/>
        <v/>
      </c>
      <c r="E335" s="70" t="str">
        <f t="shared" si="193"/>
        <v/>
      </c>
      <c r="F335" s="70" t="str">
        <f t="shared" si="194"/>
        <v/>
      </c>
      <c r="G335" s="63" t="str">
        <f t="shared" si="195"/>
        <v/>
      </c>
      <c r="H335" s="64" t="str">
        <f t="shared" si="196"/>
        <v/>
      </c>
      <c r="I335" s="43"/>
      <c r="J335" s="63" t="str">
        <f t="shared" si="197"/>
        <v/>
      </c>
      <c r="K335" s="64" t="str">
        <f t="shared" si="198"/>
        <v/>
      </c>
      <c r="L335" s="63" t="str">
        <f t="shared" si="199"/>
        <v/>
      </c>
      <c r="M335" s="64" t="str">
        <f t="shared" si="200"/>
        <v/>
      </c>
      <c r="N335" s="65"/>
      <c r="O335" s="63" t="str">
        <f t="shared" si="201"/>
        <v/>
      </c>
      <c r="P335" s="63" t="str">
        <f t="shared" si="202"/>
        <v/>
      </c>
      <c r="Q335" s="66"/>
      <c r="R335" s="63" t="str">
        <f t="shared" si="203"/>
        <v/>
      </c>
      <c r="S335" s="64" t="str">
        <f t="shared" si="204"/>
        <v/>
      </c>
      <c r="T335" s="63" t="str">
        <f t="shared" si="205"/>
        <v/>
      </c>
      <c r="U335" s="64" t="str">
        <f t="shared" si="206"/>
        <v/>
      </c>
      <c r="V335" s="90" t="str">
        <f>IF($A336="","",IF(AND(MONTH(A335)&gt;3,MONTH(A335)&lt;11),(T335+R335+G335)*Summary!$T$9/(1-Summary!$T$9),(T335+R335+G335)*Summary!$U$9/(1-Summary!$U$9)))</f>
        <v/>
      </c>
      <c r="W335" s="63" t="str">
        <f t="shared" si="207"/>
        <v/>
      </c>
      <c r="X335" s="63" t="str">
        <f t="shared" si="208"/>
        <v/>
      </c>
      <c r="Y335" s="43"/>
      <c r="Z335" s="38" t="str">
        <f t="shared" si="209"/>
        <v/>
      </c>
      <c r="AA335" s="38" t="str">
        <f t="shared" si="210"/>
        <v/>
      </c>
      <c r="AB335" s="38" t="e">
        <f t="shared" si="211"/>
        <v>#VALUE!</v>
      </c>
      <c r="AC335" s="38" t="str">
        <f t="shared" si="212"/>
        <v/>
      </c>
      <c r="AD335" s="38" t="str">
        <f t="shared" si="212"/>
        <v/>
      </c>
      <c r="AE335" s="38" t="e">
        <f t="shared" si="213"/>
        <v>#VALUE!</v>
      </c>
      <c r="AF335" s="237" t="e">
        <f>((Summary!$N$9*(AA335*AD335)*(A335-$D$3))+(Summary!$M$9*Z335*AC335*(AJ335-EOMONTH(EDATE(A335,-1),0))))/(AK335*AB335*AE335)</f>
        <v>#VALUE!</v>
      </c>
      <c r="AG335" s="88" t="str">
        <f>IF($A336="","",Summary!$Q$9)</f>
        <v/>
      </c>
      <c r="AH335" s="88" t="str">
        <f>IF($A336="","",IF(Summary!$R$9="Y",VLOOKUP($A335,Summary!$AD$6:$AF$9,3)+'Escalating commodity'!E348,'Escalating commodity'!E348))</f>
        <v/>
      </c>
      <c r="AI335" s="88" t="str">
        <f t="shared" si="228"/>
        <v/>
      </c>
      <c r="AJ335" s="236" t="e">
        <f t="shared" si="214"/>
        <v>#VALUE!</v>
      </c>
      <c r="AK335" s="58" t="str">
        <f t="shared" si="215"/>
        <v/>
      </c>
      <c r="AL335" s="26" t="str">
        <f>IF($A336="","",_xll.SPRDOPT(P335,X335,AI335,0,AB335,AE335,AF335,AK335,$AJ$2,0))</f>
        <v/>
      </c>
      <c r="AM335" s="89" t="str">
        <f t="shared" si="216"/>
        <v/>
      </c>
      <c r="AN335" s="89" t="str">
        <f t="shared" si="217"/>
        <v/>
      </c>
      <c r="AO335" s="3" t="str">
        <f t="shared" si="218"/>
        <v/>
      </c>
      <c r="AP335" s="33" t="str">
        <f t="shared" si="219"/>
        <v/>
      </c>
      <c r="AQ335" s="58" t="str">
        <f t="shared" si="220"/>
        <v/>
      </c>
      <c r="AR335" s="38">
        <f>'ANR OK vs ML7'!AR335</f>
        <v>0.1</v>
      </c>
      <c r="AS335" s="35" t="str">
        <f t="shared" si="221"/>
        <v/>
      </c>
      <c r="AT335" s="3" t="str">
        <f t="shared" si="222"/>
        <v/>
      </c>
      <c r="AU335" s="3" t="str">
        <f t="shared" si="223"/>
        <v/>
      </c>
      <c r="AW335" s="32" t="str">
        <f t="shared" si="224"/>
        <v/>
      </c>
      <c r="AX335" s="32" t="str">
        <f t="shared" si="225"/>
        <v/>
      </c>
      <c r="AY335" s="32" t="str">
        <f t="shared" si="226"/>
        <v/>
      </c>
      <c r="BA335" s="32" t="str">
        <f>IF($A336="","",F335*Summary!$Q$9)</f>
        <v/>
      </c>
    </row>
    <row r="336" spans="1:53" ht="12" customHeight="1">
      <c r="A336" s="67" t="str">
        <f t="shared" si="227"/>
        <v/>
      </c>
      <c r="B336" s="69" t="str">
        <f t="shared" si="229"/>
        <v/>
      </c>
      <c r="C336" s="71"/>
      <c r="D336" s="69" t="str">
        <f t="shared" si="192"/>
        <v/>
      </c>
      <c r="E336" s="70" t="str">
        <f t="shared" si="193"/>
        <v/>
      </c>
      <c r="F336" s="70" t="str">
        <f t="shared" si="194"/>
        <v/>
      </c>
      <c r="G336" s="63" t="str">
        <f t="shared" si="195"/>
        <v/>
      </c>
      <c r="H336" s="64" t="str">
        <f t="shared" si="196"/>
        <v/>
      </c>
      <c r="I336" s="43"/>
      <c r="J336" s="63" t="str">
        <f t="shared" si="197"/>
        <v/>
      </c>
      <c r="K336" s="64" t="str">
        <f t="shared" si="198"/>
        <v/>
      </c>
      <c r="L336" s="63" t="str">
        <f t="shared" si="199"/>
        <v/>
      </c>
      <c r="M336" s="64" t="str">
        <f t="shared" si="200"/>
        <v/>
      </c>
      <c r="N336" s="65"/>
      <c r="O336" s="63" t="str">
        <f t="shared" si="201"/>
        <v/>
      </c>
      <c r="P336" s="63" t="str">
        <f t="shared" si="202"/>
        <v/>
      </c>
      <c r="Q336" s="66"/>
      <c r="R336" s="63" t="str">
        <f t="shared" si="203"/>
        <v/>
      </c>
      <c r="S336" s="64" t="str">
        <f t="shared" si="204"/>
        <v/>
      </c>
      <c r="T336" s="63" t="str">
        <f t="shared" si="205"/>
        <v/>
      </c>
      <c r="U336" s="64" t="str">
        <f t="shared" si="206"/>
        <v/>
      </c>
      <c r="V336" s="90" t="str">
        <f>IF($A337="","",IF(AND(MONTH(A336)&gt;3,MONTH(A336)&lt;11),(T336+R336+G336)*Summary!$T$9/(1-Summary!$T$9),(T336+R336+G336)*Summary!$U$9/(1-Summary!$U$9)))</f>
        <v/>
      </c>
      <c r="W336" s="63" t="str">
        <f t="shared" si="207"/>
        <v/>
      </c>
      <c r="X336" s="63" t="str">
        <f t="shared" si="208"/>
        <v/>
      </c>
      <c r="Y336" s="43"/>
      <c r="Z336" s="38" t="str">
        <f t="shared" si="209"/>
        <v/>
      </c>
      <c r="AA336" s="38" t="str">
        <f t="shared" si="210"/>
        <v/>
      </c>
      <c r="AB336" s="38" t="e">
        <f t="shared" si="211"/>
        <v>#VALUE!</v>
      </c>
      <c r="AC336" s="38" t="str">
        <f t="shared" si="212"/>
        <v/>
      </c>
      <c r="AD336" s="38" t="str">
        <f t="shared" si="212"/>
        <v/>
      </c>
      <c r="AE336" s="38" t="e">
        <f t="shared" si="213"/>
        <v>#VALUE!</v>
      </c>
      <c r="AF336" s="237" t="e">
        <f>((Summary!$N$9*(AA336*AD336)*(A336-$D$3))+(Summary!$M$9*Z336*AC336*(AJ336-EOMONTH(EDATE(A336,-1),0))))/(AK336*AB336*AE336)</f>
        <v>#VALUE!</v>
      </c>
      <c r="AG336" s="88" t="str">
        <f>IF($A337="","",Summary!$Q$9)</f>
        <v/>
      </c>
      <c r="AH336" s="88" t="str">
        <f>IF($A337="","",IF(Summary!$R$9="Y",VLOOKUP($A336,Summary!$AD$6:$AF$9,3)+'Escalating commodity'!E349,'Escalating commodity'!E349))</f>
        <v/>
      </c>
      <c r="AI336" s="88" t="str">
        <f t="shared" si="228"/>
        <v/>
      </c>
      <c r="AJ336" s="236" t="e">
        <f t="shared" si="214"/>
        <v>#VALUE!</v>
      </c>
      <c r="AK336" s="58" t="str">
        <f t="shared" si="215"/>
        <v/>
      </c>
      <c r="AL336" s="26" t="str">
        <f>IF($A337="","",_xll.SPRDOPT(P336,X336,AI336,0,AB336,AE336,AF336,AK336,$AJ$2,0))</f>
        <v/>
      </c>
      <c r="AM336" s="89" t="str">
        <f t="shared" si="216"/>
        <v/>
      </c>
      <c r="AN336" s="89" t="str">
        <f t="shared" si="217"/>
        <v/>
      </c>
      <c r="AO336" s="3" t="str">
        <f t="shared" si="218"/>
        <v/>
      </c>
      <c r="AP336" s="33" t="str">
        <f t="shared" si="219"/>
        <v/>
      </c>
      <c r="AQ336" s="58" t="str">
        <f t="shared" si="220"/>
        <v/>
      </c>
      <c r="AR336" s="38">
        <f>'ANR OK vs ML7'!AR336</f>
        <v>0.1</v>
      </c>
      <c r="AS336" s="35" t="str">
        <f t="shared" si="221"/>
        <v/>
      </c>
      <c r="AT336" s="3" t="str">
        <f t="shared" si="222"/>
        <v/>
      </c>
      <c r="AU336" s="3" t="str">
        <f t="shared" si="223"/>
        <v/>
      </c>
      <c r="AW336" s="32" t="str">
        <f t="shared" si="224"/>
        <v/>
      </c>
      <c r="AX336" s="32" t="str">
        <f t="shared" si="225"/>
        <v/>
      </c>
      <c r="AY336" s="32" t="str">
        <f t="shared" si="226"/>
        <v/>
      </c>
      <c r="BA336" s="32" t="str">
        <f>IF($A337="","",F336*Summary!$Q$9)</f>
        <v/>
      </c>
    </row>
    <row r="337" spans="1:53" ht="12" customHeight="1">
      <c r="A337" s="67" t="str">
        <f t="shared" si="227"/>
        <v/>
      </c>
      <c r="B337" s="69" t="str">
        <f t="shared" si="229"/>
        <v/>
      </c>
      <c r="C337" s="71"/>
      <c r="D337" s="69" t="str">
        <f t="shared" si="192"/>
        <v/>
      </c>
      <c r="E337" s="70" t="str">
        <f t="shared" si="193"/>
        <v/>
      </c>
      <c r="F337" s="70" t="str">
        <f t="shared" si="194"/>
        <v/>
      </c>
      <c r="G337" s="63" t="str">
        <f t="shared" si="195"/>
        <v/>
      </c>
      <c r="H337" s="64" t="str">
        <f t="shared" si="196"/>
        <v/>
      </c>
      <c r="I337" s="43"/>
      <c r="J337" s="63" t="str">
        <f t="shared" si="197"/>
        <v/>
      </c>
      <c r="K337" s="64" t="str">
        <f t="shared" si="198"/>
        <v/>
      </c>
      <c r="L337" s="63" t="str">
        <f t="shared" si="199"/>
        <v/>
      </c>
      <c r="M337" s="64" t="str">
        <f t="shared" si="200"/>
        <v/>
      </c>
      <c r="N337" s="65"/>
      <c r="O337" s="63" t="str">
        <f t="shared" si="201"/>
        <v/>
      </c>
      <c r="P337" s="63" t="str">
        <f t="shared" si="202"/>
        <v/>
      </c>
      <c r="Q337" s="66"/>
      <c r="R337" s="63" t="str">
        <f t="shared" si="203"/>
        <v/>
      </c>
      <c r="S337" s="64" t="str">
        <f t="shared" si="204"/>
        <v/>
      </c>
      <c r="T337" s="63" t="str">
        <f t="shared" si="205"/>
        <v/>
      </c>
      <c r="U337" s="64" t="str">
        <f t="shared" si="206"/>
        <v/>
      </c>
      <c r="V337" s="90" t="str">
        <f>IF($A338="","",IF(AND(MONTH(A337)&gt;3,MONTH(A337)&lt;11),(T337+R337+G337)*Summary!$T$9/(1-Summary!$T$9),(T337+R337+G337)*Summary!$U$9/(1-Summary!$U$9)))</f>
        <v/>
      </c>
      <c r="W337" s="63" t="str">
        <f t="shared" si="207"/>
        <v/>
      </c>
      <c r="X337" s="63" t="str">
        <f t="shared" si="208"/>
        <v/>
      </c>
      <c r="Y337" s="43"/>
      <c r="Z337" s="38" t="str">
        <f t="shared" si="209"/>
        <v/>
      </c>
      <c r="AA337" s="38" t="str">
        <f t="shared" si="210"/>
        <v/>
      </c>
      <c r="AB337" s="38" t="e">
        <f t="shared" si="211"/>
        <v>#VALUE!</v>
      </c>
      <c r="AC337" s="38" t="str">
        <f t="shared" si="212"/>
        <v/>
      </c>
      <c r="AD337" s="38" t="str">
        <f t="shared" si="212"/>
        <v/>
      </c>
      <c r="AE337" s="38" t="e">
        <f t="shared" si="213"/>
        <v>#VALUE!</v>
      </c>
      <c r="AF337" s="237" t="e">
        <f>((Summary!$N$9*(AA337*AD337)*(A337-$D$3))+(Summary!$M$9*Z337*AC337*(AJ337-EOMONTH(EDATE(A337,-1),0))))/(AK337*AB337*AE337)</f>
        <v>#VALUE!</v>
      </c>
      <c r="AG337" s="88" t="str">
        <f>IF($A338="","",Summary!$Q$9)</f>
        <v/>
      </c>
      <c r="AH337" s="88" t="str">
        <f>IF($A338="","",IF(Summary!$R$9="Y",VLOOKUP($A337,Summary!$AD$6:$AF$9,3)+'Escalating commodity'!E350,'Escalating commodity'!E350))</f>
        <v/>
      </c>
      <c r="AI337" s="88" t="str">
        <f t="shared" si="228"/>
        <v/>
      </c>
      <c r="AJ337" s="236" t="e">
        <f t="shared" si="214"/>
        <v>#VALUE!</v>
      </c>
      <c r="AK337" s="58" t="str">
        <f t="shared" si="215"/>
        <v/>
      </c>
      <c r="AL337" s="26" t="str">
        <f>IF($A338="","",_xll.SPRDOPT(P337,X337,AI337,0,AB337,AE337,AF337,AK337,$AJ$2,0))</f>
        <v/>
      </c>
      <c r="AM337" s="89" t="str">
        <f t="shared" si="216"/>
        <v/>
      </c>
      <c r="AN337" s="89" t="str">
        <f t="shared" si="217"/>
        <v/>
      </c>
      <c r="AO337" s="3" t="str">
        <f t="shared" si="218"/>
        <v/>
      </c>
      <c r="AP337" s="33" t="str">
        <f t="shared" si="219"/>
        <v/>
      </c>
      <c r="AQ337" s="58" t="str">
        <f t="shared" si="220"/>
        <v/>
      </c>
      <c r="AR337" s="38">
        <f>'ANR OK vs ML7'!AR337</f>
        <v>0.1</v>
      </c>
      <c r="AS337" s="35" t="str">
        <f t="shared" si="221"/>
        <v/>
      </c>
      <c r="AT337" s="3" t="str">
        <f t="shared" si="222"/>
        <v/>
      </c>
      <c r="AU337" s="3" t="str">
        <f t="shared" si="223"/>
        <v/>
      </c>
      <c r="AW337" s="32" t="str">
        <f t="shared" si="224"/>
        <v/>
      </c>
      <c r="AX337" s="32" t="str">
        <f t="shared" si="225"/>
        <v/>
      </c>
      <c r="AY337" s="32" t="str">
        <f t="shared" si="226"/>
        <v/>
      </c>
      <c r="BA337" s="32" t="str">
        <f>IF($A338="","",F337*Summary!$Q$9)</f>
        <v/>
      </c>
    </row>
    <row r="338" spans="1:53" ht="12" customHeight="1">
      <c r="A338" s="67" t="str">
        <f t="shared" si="227"/>
        <v/>
      </c>
      <c r="B338" s="69" t="str">
        <f t="shared" si="229"/>
        <v/>
      </c>
      <c r="C338" s="71"/>
      <c r="D338" s="69" t="str">
        <f t="shared" si="192"/>
        <v/>
      </c>
      <c r="E338" s="70" t="str">
        <f t="shared" si="193"/>
        <v/>
      </c>
      <c r="F338" s="70" t="str">
        <f t="shared" si="194"/>
        <v/>
      </c>
      <c r="G338" s="63" t="str">
        <f t="shared" si="195"/>
        <v/>
      </c>
      <c r="H338" s="64" t="str">
        <f t="shared" si="196"/>
        <v/>
      </c>
      <c r="I338" s="43"/>
      <c r="J338" s="63" t="str">
        <f t="shared" si="197"/>
        <v/>
      </c>
      <c r="K338" s="64" t="str">
        <f t="shared" si="198"/>
        <v/>
      </c>
      <c r="L338" s="63" t="str">
        <f t="shared" si="199"/>
        <v/>
      </c>
      <c r="M338" s="64" t="str">
        <f t="shared" si="200"/>
        <v/>
      </c>
      <c r="N338" s="65"/>
      <c r="O338" s="63" t="str">
        <f t="shared" si="201"/>
        <v/>
      </c>
      <c r="P338" s="63" t="str">
        <f t="shared" si="202"/>
        <v/>
      </c>
      <c r="Q338" s="66"/>
      <c r="R338" s="63" t="str">
        <f t="shared" si="203"/>
        <v/>
      </c>
      <c r="S338" s="64" t="str">
        <f t="shared" si="204"/>
        <v/>
      </c>
      <c r="T338" s="63" t="str">
        <f t="shared" si="205"/>
        <v/>
      </c>
      <c r="U338" s="64" t="str">
        <f t="shared" si="206"/>
        <v/>
      </c>
      <c r="V338" s="90" t="str">
        <f>IF($A339="","",IF(AND(MONTH(A338)&gt;3,MONTH(A338)&lt;11),(T338+R338+G338)*Summary!$T$9/(1-Summary!$T$9),(T338+R338+G338)*Summary!$U$9/(1-Summary!$U$9)))</f>
        <v/>
      </c>
      <c r="W338" s="63" t="str">
        <f t="shared" si="207"/>
        <v/>
      </c>
      <c r="X338" s="63" t="str">
        <f t="shared" si="208"/>
        <v/>
      </c>
      <c r="Y338" s="43"/>
      <c r="Z338" s="38" t="str">
        <f t="shared" si="209"/>
        <v/>
      </c>
      <c r="AA338" s="38" t="str">
        <f t="shared" si="210"/>
        <v/>
      </c>
      <c r="AB338" s="38" t="e">
        <f t="shared" si="211"/>
        <v>#VALUE!</v>
      </c>
      <c r="AC338" s="38" t="str">
        <f t="shared" si="212"/>
        <v/>
      </c>
      <c r="AD338" s="38" t="str">
        <f t="shared" si="212"/>
        <v/>
      </c>
      <c r="AE338" s="38" t="e">
        <f t="shared" si="213"/>
        <v>#VALUE!</v>
      </c>
      <c r="AF338" s="237" t="e">
        <f>((Summary!$N$9*(AA338*AD338)*(A338-$D$3))+(Summary!$M$9*Z338*AC338*(AJ338-EOMONTH(EDATE(A338,-1),0))))/(AK338*AB338*AE338)</f>
        <v>#VALUE!</v>
      </c>
      <c r="AG338" s="88" t="str">
        <f>IF($A339="","",Summary!$Q$9)</f>
        <v/>
      </c>
      <c r="AH338" s="88" t="str">
        <f>IF($A339="","",IF(Summary!$R$9="Y",VLOOKUP($A338,Summary!$AD$6:$AF$9,3)+'Escalating commodity'!E351,'Escalating commodity'!E351))</f>
        <v/>
      </c>
      <c r="AI338" s="88" t="str">
        <f t="shared" si="228"/>
        <v/>
      </c>
      <c r="AJ338" s="236" t="e">
        <f t="shared" si="214"/>
        <v>#VALUE!</v>
      </c>
      <c r="AK338" s="58" t="str">
        <f t="shared" si="215"/>
        <v/>
      </c>
      <c r="AL338" s="26" t="str">
        <f>IF($A339="","",_xll.SPRDOPT(P338,X338,AI338,0,AB338,AE338,AF338,AK338,$AJ$2,0))</f>
        <v/>
      </c>
      <c r="AM338" s="89" t="str">
        <f t="shared" si="216"/>
        <v/>
      </c>
      <c r="AN338" s="89" t="str">
        <f t="shared" si="217"/>
        <v/>
      </c>
      <c r="AO338" s="3" t="str">
        <f t="shared" si="218"/>
        <v/>
      </c>
      <c r="AP338" s="33" t="str">
        <f t="shared" si="219"/>
        <v/>
      </c>
      <c r="AQ338" s="58" t="str">
        <f t="shared" si="220"/>
        <v/>
      </c>
      <c r="AR338" s="38">
        <f>'ANR OK vs ML7'!AR338</f>
        <v>0.1</v>
      </c>
      <c r="AS338" s="35" t="str">
        <f t="shared" si="221"/>
        <v/>
      </c>
      <c r="AT338" s="3" t="str">
        <f t="shared" si="222"/>
        <v/>
      </c>
      <c r="AU338" s="3" t="str">
        <f t="shared" si="223"/>
        <v/>
      </c>
      <c r="AW338" s="32" t="str">
        <f t="shared" si="224"/>
        <v/>
      </c>
      <c r="AX338" s="32" t="str">
        <f t="shared" si="225"/>
        <v/>
      </c>
      <c r="AY338" s="32" t="str">
        <f t="shared" si="226"/>
        <v/>
      </c>
      <c r="BA338" s="32" t="str">
        <f>IF($A339="","",F338*Summary!$Q$9)</f>
        <v/>
      </c>
    </row>
    <row r="339" spans="1:53" ht="12" customHeight="1">
      <c r="A339" s="67" t="str">
        <f t="shared" si="227"/>
        <v/>
      </c>
      <c r="B339" s="69" t="str">
        <f t="shared" si="229"/>
        <v/>
      </c>
      <c r="C339" s="71"/>
      <c r="D339" s="69" t="str">
        <f t="shared" si="192"/>
        <v/>
      </c>
      <c r="E339" s="70" t="str">
        <f t="shared" si="193"/>
        <v/>
      </c>
      <c r="F339" s="70" t="str">
        <f t="shared" si="194"/>
        <v/>
      </c>
      <c r="G339" s="63" t="str">
        <f t="shared" si="195"/>
        <v/>
      </c>
      <c r="H339" s="64" t="str">
        <f t="shared" si="196"/>
        <v/>
      </c>
      <c r="I339" s="43"/>
      <c r="J339" s="63" t="str">
        <f t="shared" si="197"/>
        <v/>
      </c>
      <c r="K339" s="64" t="str">
        <f t="shared" si="198"/>
        <v/>
      </c>
      <c r="L339" s="63" t="str">
        <f t="shared" si="199"/>
        <v/>
      </c>
      <c r="M339" s="64" t="str">
        <f t="shared" si="200"/>
        <v/>
      </c>
      <c r="N339" s="65"/>
      <c r="O339" s="63" t="str">
        <f t="shared" si="201"/>
        <v/>
      </c>
      <c r="P339" s="63" t="str">
        <f t="shared" si="202"/>
        <v/>
      </c>
      <c r="Q339" s="66"/>
      <c r="R339" s="63" t="str">
        <f t="shared" si="203"/>
        <v/>
      </c>
      <c r="S339" s="64" t="str">
        <f t="shared" si="204"/>
        <v/>
      </c>
      <c r="T339" s="63" t="str">
        <f t="shared" si="205"/>
        <v/>
      </c>
      <c r="U339" s="64" t="str">
        <f t="shared" si="206"/>
        <v/>
      </c>
      <c r="V339" s="90" t="str">
        <f>IF($A340="","",IF(AND(MONTH(A339)&gt;3,MONTH(A339)&lt;11),(T339+R339+G339)*Summary!$T$9/(1-Summary!$T$9),(T339+R339+G339)*Summary!$U$9/(1-Summary!$U$9)))</f>
        <v/>
      </c>
      <c r="W339" s="63" t="str">
        <f t="shared" si="207"/>
        <v/>
      </c>
      <c r="X339" s="63" t="str">
        <f t="shared" si="208"/>
        <v/>
      </c>
      <c r="Y339" s="43"/>
      <c r="Z339" s="38" t="str">
        <f t="shared" si="209"/>
        <v/>
      </c>
      <c r="AA339" s="38" t="str">
        <f t="shared" si="210"/>
        <v/>
      </c>
      <c r="AB339" s="38" t="e">
        <f t="shared" si="211"/>
        <v>#VALUE!</v>
      </c>
      <c r="AC339" s="38" t="str">
        <f t="shared" si="212"/>
        <v/>
      </c>
      <c r="AD339" s="38" t="str">
        <f t="shared" si="212"/>
        <v/>
      </c>
      <c r="AE339" s="38" t="e">
        <f t="shared" si="213"/>
        <v>#VALUE!</v>
      </c>
      <c r="AF339" s="237" t="e">
        <f>((Summary!$N$9*(AA339*AD339)*(A339-$D$3))+(Summary!$M$9*Z339*AC339*(AJ339-EOMONTH(EDATE(A339,-1),0))))/(AK339*AB339*AE339)</f>
        <v>#VALUE!</v>
      </c>
      <c r="AG339" s="88" t="str">
        <f>IF($A340="","",Summary!$Q$9)</f>
        <v/>
      </c>
      <c r="AH339" s="88" t="str">
        <f>IF($A340="","",IF(Summary!$R$9="Y",VLOOKUP($A339,Summary!$AD$6:$AF$9,3)+'Escalating commodity'!E352,'Escalating commodity'!E352))</f>
        <v/>
      </c>
      <c r="AI339" s="88" t="str">
        <f t="shared" si="228"/>
        <v/>
      </c>
      <c r="AJ339" s="236" t="e">
        <f t="shared" si="214"/>
        <v>#VALUE!</v>
      </c>
      <c r="AK339" s="58" t="str">
        <f t="shared" si="215"/>
        <v/>
      </c>
      <c r="AL339" s="26" t="str">
        <f>IF($A340="","",_xll.SPRDOPT(P339,X339,AI339,0,AB339,AE339,AF339,AK339,$AJ$2,0))</f>
        <v/>
      </c>
      <c r="AM339" s="89" t="str">
        <f t="shared" si="216"/>
        <v/>
      </c>
      <c r="AN339" s="89" t="str">
        <f t="shared" si="217"/>
        <v/>
      </c>
      <c r="AO339" s="3" t="str">
        <f t="shared" si="218"/>
        <v/>
      </c>
      <c r="AP339" s="33" t="str">
        <f t="shared" si="219"/>
        <v/>
      </c>
      <c r="AQ339" s="58" t="str">
        <f t="shared" si="220"/>
        <v/>
      </c>
      <c r="AR339" s="38">
        <f>'ANR OK vs ML7'!AR339</f>
        <v>0.1</v>
      </c>
      <c r="AS339" s="35" t="str">
        <f t="shared" si="221"/>
        <v/>
      </c>
      <c r="AT339" s="3" t="str">
        <f t="shared" si="222"/>
        <v/>
      </c>
      <c r="AU339" s="3" t="str">
        <f t="shared" si="223"/>
        <v/>
      </c>
      <c r="AW339" s="32" t="str">
        <f t="shared" si="224"/>
        <v/>
      </c>
      <c r="AX339" s="32" t="str">
        <f t="shared" si="225"/>
        <v/>
      </c>
      <c r="AY339" s="32" t="str">
        <f t="shared" si="226"/>
        <v/>
      </c>
      <c r="BA339" s="32" t="str">
        <f>IF($A340="","",F339*Summary!$Q$9)</f>
        <v/>
      </c>
    </row>
    <row r="340" spans="1:53" ht="12" customHeight="1">
      <c r="A340" s="67" t="str">
        <f t="shared" si="227"/>
        <v/>
      </c>
      <c r="B340" s="69" t="str">
        <f t="shared" si="229"/>
        <v/>
      </c>
      <c r="C340" s="71"/>
      <c r="D340" s="69" t="str">
        <f t="shared" si="192"/>
        <v/>
      </c>
      <c r="E340" s="70" t="str">
        <f t="shared" si="193"/>
        <v/>
      </c>
      <c r="F340" s="70" t="str">
        <f t="shared" si="194"/>
        <v/>
      </c>
      <c r="G340" s="63" t="str">
        <f t="shared" si="195"/>
        <v/>
      </c>
      <c r="H340" s="64" t="str">
        <f t="shared" si="196"/>
        <v/>
      </c>
      <c r="I340" s="43"/>
      <c r="J340" s="63" t="str">
        <f t="shared" si="197"/>
        <v/>
      </c>
      <c r="K340" s="64" t="str">
        <f t="shared" si="198"/>
        <v/>
      </c>
      <c r="L340" s="63" t="str">
        <f t="shared" si="199"/>
        <v/>
      </c>
      <c r="M340" s="64" t="str">
        <f t="shared" si="200"/>
        <v/>
      </c>
      <c r="N340" s="65"/>
      <c r="O340" s="63" t="str">
        <f t="shared" si="201"/>
        <v/>
      </c>
      <c r="P340" s="63" t="str">
        <f t="shared" si="202"/>
        <v/>
      </c>
      <c r="Q340" s="66"/>
      <c r="R340" s="63" t="str">
        <f t="shared" si="203"/>
        <v/>
      </c>
      <c r="S340" s="64" t="str">
        <f t="shared" si="204"/>
        <v/>
      </c>
      <c r="T340" s="63" t="str">
        <f t="shared" si="205"/>
        <v/>
      </c>
      <c r="U340" s="64" t="str">
        <f t="shared" si="206"/>
        <v/>
      </c>
      <c r="V340" s="90" t="str">
        <f>IF($A341="","",IF(AND(MONTH(A340)&gt;3,MONTH(A340)&lt;11),(T340+R340+G340)*Summary!$T$9/(1-Summary!$T$9),(T340+R340+G340)*Summary!$U$9/(1-Summary!$U$9)))</f>
        <v/>
      </c>
      <c r="W340" s="63" t="str">
        <f t="shared" si="207"/>
        <v/>
      </c>
      <c r="X340" s="63" t="str">
        <f t="shared" si="208"/>
        <v/>
      </c>
      <c r="Y340" s="43"/>
      <c r="Z340" s="38" t="str">
        <f t="shared" si="209"/>
        <v/>
      </c>
      <c r="AA340" s="38" t="str">
        <f t="shared" si="210"/>
        <v/>
      </c>
      <c r="AB340" s="38" t="e">
        <f t="shared" si="211"/>
        <v>#VALUE!</v>
      </c>
      <c r="AC340" s="38" t="str">
        <f t="shared" si="212"/>
        <v/>
      </c>
      <c r="AD340" s="38" t="str">
        <f t="shared" si="212"/>
        <v/>
      </c>
      <c r="AE340" s="38" t="e">
        <f t="shared" si="213"/>
        <v>#VALUE!</v>
      </c>
      <c r="AF340" s="237" t="e">
        <f>((Summary!$N$9*(AA340*AD340)*(A340-$D$3))+(Summary!$M$9*Z340*AC340*(AJ340-EOMONTH(EDATE(A340,-1),0))))/(AK340*AB340*AE340)</f>
        <v>#VALUE!</v>
      </c>
      <c r="AG340" s="88" t="str">
        <f>IF($A341="","",Summary!$Q$9)</f>
        <v/>
      </c>
      <c r="AH340" s="88" t="str">
        <f>IF($A341="","",IF(Summary!$R$9="Y",VLOOKUP($A340,Summary!$AD$6:$AF$9,3)+'Escalating commodity'!E353,'Escalating commodity'!E353))</f>
        <v/>
      </c>
      <c r="AI340" s="88" t="str">
        <f t="shared" si="228"/>
        <v/>
      </c>
      <c r="AJ340" s="236" t="e">
        <f t="shared" si="214"/>
        <v>#VALUE!</v>
      </c>
      <c r="AK340" s="58" t="str">
        <f t="shared" si="215"/>
        <v/>
      </c>
      <c r="AL340" s="26" t="str">
        <f>IF($A341="","",_xll.SPRDOPT(P340,X340,AI340,0,AB340,AE340,AF340,AK340,$AJ$2,0))</f>
        <v/>
      </c>
      <c r="AM340" s="89" t="str">
        <f t="shared" si="216"/>
        <v/>
      </c>
      <c r="AN340" s="89" t="str">
        <f t="shared" si="217"/>
        <v/>
      </c>
      <c r="AO340" s="3" t="str">
        <f t="shared" si="218"/>
        <v/>
      </c>
      <c r="AP340" s="33" t="str">
        <f t="shared" si="219"/>
        <v/>
      </c>
      <c r="AQ340" s="58" t="str">
        <f t="shared" si="220"/>
        <v/>
      </c>
      <c r="AR340" s="38">
        <f>'ANR OK vs ML7'!AR340</f>
        <v>0.1</v>
      </c>
      <c r="AS340" s="35" t="str">
        <f t="shared" si="221"/>
        <v/>
      </c>
      <c r="AT340" s="3" t="str">
        <f t="shared" si="222"/>
        <v/>
      </c>
      <c r="AU340" s="3" t="str">
        <f t="shared" si="223"/>
        <v/>
      </c>
      <c r="AW340" s="32" t="str">
        <f t="shared" si="224"/>
        <v/>
      </c>
      <c r="AX340" s="32" t="str">
        <f t="shared" si="225"/>
        <v/>
      </c>
      <c r="AY340" s="32" t="str">
        <f t="shared" si="226"/>
        <v/>
      </c>
      <c r="BA340" s="32" t="str">
        <f>IF($A341="","",F340*Summary!$Q$9)</f>
        <v/>
      </c>
    </row>
    <row r="341" spans="1:53" ht="12" customHeight="1">
      <c r="A341" s="67" t="str">
        <f t="shared" si="227"/>
        <v/>
      </c>
      <c r="B341" s="69" t="str">
        <f t="shared" si="229"/>
        <v/>
      </c>
      <c r="C341" s="71"/>
      <c r="D341" s="69" t="str">
        <f t="shared" si="192"/>
        <v/>
      </c>
      <c r="E341" s="70" t="str">
        <f t="shared" si="193"/>
        <v/>
      </c>
      <c r="F341" s="70" t="str">
        <f t="shared" si="194"/>
        <v/>
      </c>
      <c r="G341" s="63" t="str">
        <f t="shared" si="195"/>
        <v/>
      </c>
      <c r="H341" s="64" t="str">
        <f t="shared" si="196"/>
        <v/>
      </c>
      <c r="I341" s="43"/>
      <c r="J341" s="63" t="str">
        <f t="shared" si="197"/>
        <v/>
      </c>
      <c r="K341" s="64" t="str">
        <f t="shared" si="198"/>
        <v/>
      </c>
      <c r="L341" s="63" t="str">
        <f t="shared" si="199"/>
        <v/>
      </c>
      <c r="M341" s="64" t="str">
        <f t="shared" si="200"/>
        <v/>
      </c>
      <c r="N341" s="65"/>
      <c r="O341" s="63" t="str">
        <f t="shared" si="201"/>
        <v/>
      </c>
      <c r="P341" s="63" t="str">
        <f t="shared" si="202"/>
        <v/>
      </c>
      <c r="Q341" s="66"/>
      <c r="R341" s="63" t="str">
        <f t="shared" si="203"/>
        <v/>
      </c>
      <c r="S341" s="64" t="str">
        <f t="shared" si="204"/>
        <v/>
      </c>
      <c r="T341" s="63" t="str">
        <f t="shared" si="205"/>
        <v/>
      </c>
      <c r="U341" s="64" t="str">
        <f t="shared" si="206"/>
        <v/>
      </c>
      <c r="V341" s="90" t="str">
        <f>IF($A342="","",IF(AND(MONTH(A341)&gt;3,MONTH(A341)&lt;11),(T341+R341+G341)*Summary!$T$9/(1-Summary!$T$9),(T341+R341+G341)*Summary!$U$9/(1-Summary!$U$9)))</f>
        <v/>
      </c>
      <c r="W341" s="63" t="str">
        <f t="shared" si="207"/>
        <v/>
      </c>
      <c r="X341" s="63" t="str">
        <f t="shared" si="208"/>
        <v/>
      </c>
      <c r="Y341" s="43"/>
      <c r="Z341" s="38" t="str">
        <f t="shared" si="209"/>
        <v/>
      </c>
      <c r="AA341" s="38" t="str">
        <f t="shared" si="210"/>
        <v/>
      </c>
      <c r="AB341" s="38" t="e">
        <f t="shared" si="211"/>
        <v>#VALUE!</v>
      </c>
      <c r="AC341" s="38" t="str">
        <f t="shared" si="212"/>
        <v/>
      </c>
      <c r="AD341" s="38" t="str">
        <f t="shared" si="212"/>
        <v/>
      </c>
      <c r="AE341" s="38" t="e">
        <f t="shared" si="213"/>
        <v>#VALUE!</v>
      </c>
      <c r="AF341" s="237" t="e">
        <f>((Summary!$N$9*(AA341*AD341)*(A341-$D$3))+(Summary!$M$9*Z341*AC341*(AJ341-EOMONTH(EDATE(A341,-1),0))))/(AK341*AB341*AE341)</f>
        <v>#VALUE!</v>
      </c>
      <c r="AG341" s="88" t="str">
        <f>IF($A342="","",Summary!$Q$9)</f>
        <v/>
      </c>
      <c r="AH341" s="88" t="str">
        <f>IF($A342="","",IF(Summary!$R$9="Y",VLOOKUP($A341,Summary!$AD$6:$AF$9,3)+'Escalating commodity'!E354,'Escalating commodity'!E354))</f>
        <v/>
      </c>
      <c r="AI341" s="88" t="str">
        <f t="shared" si="228"/>
        <v/>
      </c>
      <c r="AJ341" s="236" t="e">
        <f t="shared" si="214"/>
        <v>#VALUE!</v>
      </c>
      <c r="AK341" s="58" t="str">
        <f t="shared" si="215"/>
        <v/>
      </c>
      <c r="AL341" s="26" t="str">
        <f>IF($A342="","",_xll.SPRDOPT(P341,X341,AI341,0,AB341,AE341,AF341,AK341,$AJ$2,0))</f>
        <v/>
      </c>
      <c r="AM341" s="89" t="str">
        <f t="shared" si="216"/>
        <v/>
      </c>
      <c r="AN341" s="89" t="str">
        <f t="shared" si="217"/>
        <v/>
      </c>
      <c r="AO341" s="3" t="str">
        <f t="shared" si="218"/>
        <v/>
      </c>
      <c r="AP341" s="33" t="str">
        <f t="shared" si="219"/>
        <v/>
      </c>
      <c r="AQ341" s="58" t="str">
        <f t="shared" si="220"/>
        <v/>
      </c>
      <c r="AR341" s="38">
        <f>'ANR OK vs ML7'!AR341</f>
        <v>0.1</v>
      </c>
      <c r="AS341" s="35" t="str">
        <f t="shared" si="221"/>
        <v/>
      </c>
      <c r="AT341" s="3" t="str">
        <f t="shared" si="222"/>
        <v/>
      </c>
      <c r="AU341" s="3" t="str">
        <f t="shared" si="223"/>
        <v/>
      </c>
      <c r="AW341" s="32" t="str">
        <f t="shared" si="224"/>
        <v/>
      </c>
      <c r="AX341" s="32" t="str">
        <f t="shared" si="225"/>
        <v/>
      </c>
      <c r="AY341" s="32" t="str">
        <f t="shared" si="226"/>
        <v/>
      </c>
      <c r="BA341" s="32" t="str">
        <f>IF($A342="","",F341*Summary!$Q$9)</f>
        <v/>
      </c>
    </row>
    <row r="342" spans="1:53" ht="12" customHeight="1">
      <c r="A342" s="67" t="str">
        <f t="shared" si="227"/>
        <v/>
      </c>
      <c r="B342" s="69" t="str">
        <f t="shared" si="229"/>
        <v/>
      </c>
      <c r="C342" s="71"/>
      <c r="D342" s="69" t="str">
        <f t="shared" si="192"/>
        <v/>
      </c>
      <c r="E342" s="70" t="str">
        <f t="shared" si="193"/>
        <v/>
      </c>
      <c r="F342" s="70" t="str">
        <f t="shared" si="194"/>
        <v/>
      </c>
      <c r="G342" s="63" t="str">
        <f t="shared" si="195"/>
        <v/>
      </c>
      <c r="H342" s="64" t="str">
        <f t="shared" si="196"/>
        <v/>
      </c>
      <c r="I342" s="43"/>
      <c r="J342" s="63" t="str">
        <f t="shared" si="197"/>
        <v/>
      </c>
      <c r="K342" s="64" t="str">
        <f t="shared" si="198"/>
        <v/>
      </c>
      <c r="L342" s="63" t="str">
        <f t="shared" si="199"/>
        <v/>
      </c>
      <c r="M342" s="64" t="str">
        <f t="shared" si="200"/>
        <v/>
      </c>
      <c r="N342" s="65"/>
      <c r="O342" s="63" t="str">
        <f t="shared" si="201"/>
        <v/>
      </c>
      <c r="P342" s="63" t="str">
        <f t="shared" si="202"/>
        <v/>
      </c>
      <c r="Q342" s="66"/>
      <c r="R342" s="63" t="str">
        <f t="shared" si="203"/>
        <v/>
      </c>
      <c r="S342" s="64" t="str">
        <f t="shared" si="204"/>
        <v/>
      </c>
      <c r="T342" s="63" t="str">
        <f t="shared" si="205"/>
        <v/>
      </c>
      <c r="U342" s="64" t="str">
        <f t="shared" si="206"/>
        <v/>
      </c>
      <c r="V342" s="90" t="str">
        <f>IF($A343="","",IF(AND(MONTH(A342)&gt;3,MONTH(A342)&lt;11),(T342+R342+G342)*Summary!$T$9/(1-Summary!$T$9),(T342+R342+G342)*Summary!$U$9/(1-Summary!$U$9)))</f>
        <v/>
      </c>
      <c r="W342" s="63" t="str">
        <f t="shared" si="207"/>
        <v/>
      </c>
      <c r="X342" s="63" t="str">
        <f t="shared" si="208"/>
        <v/>
      </c>
      <c r="Y342" s="43"/>
      <c r="Z342" s="38" t="str">
        <f t="shared" si="209"/>
        <v/>
      </c>
      <c r="AA342" s="38" t="str">
        <f t="shared" si="210"/>
        <v/>
      </c>
      <c r="AB342" s="38" t="e">
        <f t="shared" si="211"/>
        <v>#VALUE!</v>
      </c>
      <c r="AC342" s="38" t="str">
        <f t="shared" si="212"/>
        <v/>
      </c>
      <c r="AD342" s="38" t="str">
        <f t="shared" si="212"/>
        <v/>
      </c>
      <c r="AE342" s="38" t="e">
        <f t="shared" si="213"/>
        <v>#VALUE!</v>
      </c>
      <c r="AF342" s="237" t="e">
        <f>((Summary!$N$9*(AA342*AD342)*(A342-$D$3))+(Summary!$M$9*Z342*AC342*(AJ342-EOMONTH(EDATE(A342,-1),0))))/(AK342*AB342*AE342)</f>
        <v>#VALUE!</v>
      </c>
      <c r="AG342" s="88" t="str">
        <f>IF($A343="","",Summary!$Q$9)</f>
        <v/>
      </c>
      <c r="AH342" s="88" t="str">
        <f>IF($A343="","",IF(Summary!$R$9="Y",VLOOKUP($A342,Summary!$AD$6:$AF$9,3)+'Escalating commodity'!E355,'Escalating commodity'!E355))</f>
        <v/>
      </c>
      <c r="AI342" s="88" t="str">
        <f t="shared" si="228"/>
        <v/>
      </c>
      <c r="AJ342" s="236" t="e">
        <f t="shared" si="214"/>
        <v>#VALUE!</v>
      </c>
      <c r="AK342" s="58" t="str">
        <f t="shared" si="215"/>
        <v/>
      </c>
      <c r="AL342" s="26" t="str">
        <f>IF($A343="","",_xll.SPRDOPT(P342,X342,AI342,0,AB342,AE342,AF342,AK342,$AJ$2,0))</f>
        <v/>
      </c>
      <c r="AM342" s="89" t="str">
        <f t="shared" si="216"/>
        <v/>
      </c>
      <c r="AN342" s="89" t="str">
        <f t="shared" si="217"/>
        <v/>
      </c>
      <c r="AO342" s="3" t="str">
        <f t="shared" si="218"/>
        <v/>
      </c>
      <c r="AP342" s="33" t="str">
        <f t="shared" si="219"/>
        <v/>
      </c>
      <c r="AQ342" s="58" t="str">
        <f t="shared" si="220"/>
        <v/>
      </c>
      <c r="AR342" s="38">
        <f>'ANR OK vs ML7'!AR342</f>
        <v>0.1</v>
      </c>
      <c r="AS342" s="35" t="str">
        <f t="shared" si="221"/>
        <v/>
      </c>
      <c r="AT342" s="3" t="str">
        <f t="shared" si="222"/>
        <v/>
      </c>
      <c r="AU342" s="3" t="str">
        <f t="shared" si="223"/>
        <v/>
      </c>
      <c r="AW342" s="32" t="str">
        <f t="shared" si="224"/>
        <v/>
      </c>
      <c r="AX342" s="32" t="str">
        <f t="shared" si="225"/>
        <v/>
      </c>
      <c r="AY342" s="32" t="str">
        <f t="shared" si="226"/>
        <v/>
      </c>
      <c r="BA342" s="32" t="str">
        <f>IF($A343="","",F342*Summary!$Q$9)</f>
        <v/>
      </c>
    </row>
    <row r="343" spans="1:53" ht="12" customHeight="1">
      <c r="A343" s="67" t="str">
        <f t="shared" si="227"/>
        <v/>
      </c>
      <c r="B343" s="69" t="str">
        <f t="shared" si="229"/>
        <v/>
      </c>
      <c r="C343" s="71"/>
      <c r="D343" s="69" t="str">
        <f t="shared" si="192"/>
        <v/>
      </c>
      <c r="E343" s="70" t="str">
        <f t="shared" si="193"/>
        <v/>
      </c>
      <c r="F343" s="70" t="str">
        <f t="shared" si="194"/>
        <v/>
      </c>
      <c r="G343" s="63" t="str">
        <f t="shared" si="195"/>
        <v/>
      </c>
      <c r="H343" s="64" t="str">
        <f t="shared" si="196"/>
        <v/>
      </c>
      <c r="I343" s="43"/>
      <c r="J343" s="63" t="str">
        <f t="shared" si="197"/>
        <v/>
      </c>
      <c r="K343" s="64" t="str">
        <f t="shared" si="198"/>
        <v/>
      </c>
      <c r="L343" s="63" t="str">
        <f t="shared" si="199"/>
        <v/>
      </c>
      <c r="M343" s="64" t="str">
        <f t="shared" si="200"/>
        <v/>
      </c>
      <c r="N343" s="65"/>
      <c r="O343" s="63" t="str">
        <f t="shared" si="201"/>
        <v/>
      </c>
      <c r="P343" s="63" t="str">
        <f t="shared" si="202"/>
        <v/>
      </c>
      <c r="Q343" s="66"/>
      <c r="R343" s="63" t="str">
        <f t="shared" si="203"/>
        <v/>
      </c>
      <c r="S343" s="64" t="str">
        <f t="shared" si="204"/>
        <v/>
      </c>
      <c r="T343" s="63" t="str">
        <f t="shared" si="205"/>
        <v/>
      </c>
      <c r="U343" s="64" t="str">
        <f t="shared" si="206"/>
        <v/>
      </c>
      <c r="V343" s="90" t="str">
        <f>IF($A344="","",IF(AND(MONTH(A343)&gt;3,MONTH(A343)&lt;11),(T343+R343+G343)*Summary!$T$9/(1-Summary!$T$9),(T343+R343+G343)*Summary!$U$9/(1-Summary!$U$9)))</f>
        <v/>
      </c>
      <c r="W343" s="63" t="str">
        <f t="shared" si="207"/>
        <v/>
      </c>
      <c r="X343" s="63" t="str">
        <f t="shared" si="208"/>
        <v/>
      </c>
      <c r="Y343" s="43"/>
      <c r="Z343" s="38" t="str">
        <f t="shared" si="209"/>
        <v/>
      </c>
      <c r="AA343" s="38" t="str">
        <f t="shared" si="210"/>
        <v/>
      </c>
      <c r="AB343" s="38" t="e">
        <f t="shared" si="211"/>
        <v>#VALUE!</v>
      </c>
      <c r="AC343" s="38" t="str">
        <f t="shared" si="212"/>
        <v/>
      </c>
      <c r="AD343" s="38" t="str">
        <f t="shared" si="212"/>
        <v/>
      </c>
      <c r="AE343" s="38" t="e">
        <f t="shared" si="213"/>
        <v>#VALUE!</v>
      </c>
      <c r="AF343" s="237" t="e">
        <f>((Summary!$N$9*(AA343*AD343)*(A343-$D$3))+(Summary!$M$9*Z343*AC343*(AJ343-EOMONTH(EDATE(A343,-1),0))))/(AK343*AB343*AE343)</f>
        <v>#VALUE!</v>
      </c>
      <c r="AG343" s="88" t="str">
        <f>IF($A344="","",Summary!$Q$9)</f>
        <v/>
      </c>
      <c r="AH343" s="88" t="str">
        <f>IF($A344="","",IF(Summary!$R$9="Y",VLOOKUP($A343,Summary!$AD$6:$AF$9,3)+'Escalating commodity'!E356,'Escalating commodity'!E356))</f>
        <v/>
      </c>
      <c r="AI343" s="88" t="str">
        <f t="shared" si="228"/>
        <v/>
      </c>
      <c r="AJ343" s="236" t="e">
        <f t="shared" si="214"/>
        <v>#VALUE!</v>
      </c>
      <c r="AK343" s="58" t="str">
        <f t="shared" si="215"/>
        <v/>
      </c>
      <c r="AL343" s="26" t="str">
        <f>IF($A344="","",_xll.SPRDOPT(P343,X343,AI343,0,AB343,AE343,AF343,AK343,$AJ$2,0))</f>
        <v/>
      </c>
      <c r="AM343" s="89" t="str">
        <f t="shared" si="216"/>
        <v/>
      </c>
      <c r="AN343" s="89" t="str">
        <f t="shared" si="217"/>
        <v/>
      </c>
      <c r="AO343" s="3" t="str">
        <f t="shared" si="218"/>
        <v/>
      </c>
      <c r="AP343" s="33" t="str">
        <f t="shared" si="219"/>
        <v/>
      </c>
      <c r="AQ343" s="58" t="str">
        <f t="shared" si="220"/>
        <v/>
      </c>
      <c r="AR343" s="38">
        <f>'ANR OK vs ML7'!AR343</f>
        <v>0.1</v>
      </c>
      <c r="AS343" s="35" t="str">
        <f t="shared" si="221"/>
        <v/>
      </c>
      <c r="AT343" s="3" t="str">
        <f t="shared" si="222"/>
        <v/>
      </c>
      <c r="AU343" s="3" t="str">
        <f t="shared" si="223"/>
        <v/>
      </c>
      <c r="AW343" s="32" t="str">
        <f t="shared" si="224"/>
        <v/>
      </c>
      <c r="AX343" s="32" t="str">
        <f t="shared" si="225"/>
        <v/>
      </c>
      <c r="AY343" s="32" t="str">
        <f t="shared" si="226"/>
        <v/>
      </c>
      <c r="BA343" s="32" t="str">
        <f>IF($A344="","",F343*Summary!$Q$9)</f>
        <v/>
      </c>
    </row>
    <row r="344" spans="1:53" ht="12" customHeight="1">
      <c r="A344" s="67" t="str">
        <f t="shared" si="227"/>
        <v/>
      </c>
      <c r="B344" s="69" t="str">
        <f t="shared" si="229"/>
        <v/>
      </c>
      <c r="C344" s="71"/>
      <c r="D344" s="69" t="str">
        <f t="shared" si="192"/>
        <v/>
      </c>
      <c r="E344" s="70" t="str">
        <f t="shared" si="193"/>
        <v/>
      </c>
      <c r="F344" s="70" t="str">
        <f t="shared" si="194"/>
        <v/>
      </c>
      <c r="G344" s="63" t="str">
        <f t="shared" si="195"/>
        <v/>
      </c>
      <c r="H344" s="64" t="str">
        <f t="shared" si="196"/>
        <v/>
      </c>
      <c r="I344" s="43"/>
      <c r="J344" s="63" t="str">
        <f t="shared" si="197"/>
        <v/>
      </c>
      <c r="K344" s="64" t="str">
        <f t="shared" si="198"/>
        <v/>
      </c>
      <c r="L344" s="63" t="str">
        <f t="shared" si="199"/>
        <v/>
      </c>
      <c r="M344" s="64" t="str">
        <f t="shared" si="200"/>
        <v/>
      </c>
      <c r="N344" s="65"/>
      <c r="O344" s="63" t="str">
        <f t="shared" si="201"/>
        <v/>
      </c>
      <c r="P344" s="63" t="str">
        <f t="shared" si="202"/>
        <v/>
      </c>
      <c r="Q344" s="66"/>
      <c r="R344" s="63" t="str">
        <f t="shared" si="203"/>
        <v/>
      </c>
      <c r="S344" s="64" t="str">
        <f t="shared" si="204"/>
        <v/>
      </c>
      <c r="T344" s="63" t="str">
        <f t="shared" si="205"/>
        <v/>
      </c>
      <c r="U344" s="64" t="str">
        <f t="shared" si="206"/>
        <v/>
      </c>
      <c r="V344" s="90" t="str">
        <f>IF($A345="","",IF(AND(MONTH(A344)&gt;3,MONTH(A344)&lt;11),(T344+R344+G344)*Summary!$T$9/(1-Summary!$T$9),(T344+R344+G344)*Summary!$U$9/(1-Summary!$U$9)))</f>
        <v/>
      </c>
      <c r="W344" s="63" t="str">
        <f t="shared" si="207"/>
        <v/>
      </c>
      <c r="X344" s="63" t="str">
        <f t="shared" si="208"/>
        <v/>
      </c>
      <c r="Y344" s="43"/>
      <c r="Z344" s="38" t="str">
        <f t="shared" si="209"/>
        <v/>
      </c>
      <c r="AA344" s="38" t="str">
        <f t="shared" si="210"/>
        <v/>
      </c>
      <c r="AB344" s="38" t="e">
        <f t="shared" si="211"/>
        <v>#VALUE!</v>
      </c>
      <c r="AC344" s="38" t="str">
        <f t="shared" si="212"/>
        <v/>
      </c>
      <c r="AD344" s="38" t="str">
        <f t="shared" si="212"/>
        <v/>
      </c>
      <c r="AE344" s="38" t="e">
        <f t="shared" si="213"/>
        <v>#VALUE!</v>
      </c>
      <c r="AF344" s="237" t="e">
        <f>((Summary!$N$9*(AA344*AD344)*(A344-$D$3))+(Summary!$M$9*Z344*AC344*(AJ344-EOMONTH(EDATE(A344,-1),0))))/(AK344*AB344*AE344)</f>
        <v>#VALUE!</v>
      </c>
      <c r="AG344" s="88" t="str">
        <f>IF($A345="","",Summary!$Q$9)</f>
        <v/>
      </c>
      <c r="AH344" s="88" t="str">
        <f>IF($A345="","",IF(Summary!$R$9="Y",VLOOKUP($A344,Summary!$AD$6:$AF$9,3)+'Escalating commodity'!E357,'Escalating commodity'!E357))</f>
        <v/>
      </c>
      <c r="AI344" s="88" t="str">
        <f t="shared" si="228"/>
        <v/>
      </c>
      <c r="AJ344" s="236" t="e">
        <f t="shared" si="214"/>
        <v>#VALUE!</v>
      </c>
      <c r="AK344" s="58" t="str">
        <f t="shared" si="215"/>
        <v/>
      </c>
      <c r="AL344" s="26" t="str">
        <f>IF($A345="","",_xll.SPRDOPT(P344,X344,AI344,0,AB344,AE344,AF344,AK344,$AJ$2,0))</f>
        <v/>
      </c>
      <c r="AM344" s="89" t="str">
        <f t="shared" si="216"/>
        <v/>
      </c>
      <c r="AN344" s="89" t="str">
        <f t="shared" si="217"/>
        <v/>
      </c>
      <c r="AO344" s="3" t="str">
        <f t="shared" si="218"/>
        <v/>
      </c>
      <c r="AP344" s="33" t="str">
        <f t="shared" si="219"/>
        <v/>
      </c>
      <c r="AQ344" s="58" t="str">
        <f t="shared" si="220"/>
        <v/>
      </c>
      <c r="AR344" s="38">
        <f>'ANR OK vs ML7'!AR344</f>
        <v>0.1</v>
      </c>
      <c r="AS344" s="35" t="str">
        <f t="shared" si="221"/>
        <v/>
      </c>
      <c r="AT344" s="3" t="str">
        <f t="shared" si="222"/>
        <v/>
      </c>
      <c r="AU344" s="3" t="str">
        <f t="shared" si="223"/>
        <v/>
      </c>
      <c r="AW344" s="32" t="str">
        <f t="shared" si="224"/>
        <v/>
      </c>
      <c r="AX344" s="32" t="str">
        <f t="shared" si="225"/>
        <v/>
      </c>
      <c r="AY344" s="32" t="str">
        <f t="shared" si="226"/>
        <v/>
      </c>
      <c r="BA344" s="32" t="str">
        <f>IF($A345="","",F344*Summary!$Q$9)</f>
        <v/>
      </c>
    </row>
    <row r="345" spans="1:53" ht="12" customHeight="1">
      <c r="A345" s="67" t="str">
        <f t="shared" si="227"/>
        <v/>
      </c>
      <c r="B345" s="69" t="str">
        <f t="shared" si="229"/>
        <v/>
      </c>
      <c r="C345" s="71"/>
      <c r="D345" s="69" t="str">
        <f t="shared" si="192"/>
        <v/>
      </c>
      <c r="E345" s="70" t="str">
        <f t="shared" si="193"/>
        <v/>
      </c>
      <c r="F345" s="70" t="str">
        <f t="shared" si="194"/>
        <v/>
      </c>
      <c r="G345" s="63" t="str">
        <f t="shared" si="195"/>
        <v/>
      </c>
      <c r="H345" s="64" t="str">
        <f t="shared" si="196"/>
        <v/>
      </c>
      <c r="I345" s="43"/>
      <c r="J345" s="63" t="str">
        <f t="shared" si="197"/>
        <v/>
      </c>
      <c r="K345" s="64" t="str">
        <f t="shared" si="198"/>
        <v/>
      </c>
      <c r="L345" s="63" t="str">
        <f t="shared" si="199"/>
        <v/>
      </c>
      <c r="M345" s="64" t="str">
        <f t="shared" si="200"/>
        <v/>
      </c>
      <c r="N345" s="65"/>
      <c r="O345" s="63" t="str">
        <f t="shared" si="201"/>
        <v/>
      </c>
      <c r="P345" s="63" t="str">
        <f t="shared" si="202"/>
        <v/>
      </c>
      <c r="Q345" s="66"/>
      <c r="R345" s="63" t="str">
        <f t="shared" si="203"/>
        <v/>
      </c>
      <c r="S345" s="64" t="str">
        <f t="shared" si="204"/>
        <v/>
      </c>
      <c r="T345" s="63" t="str">
        <f t="shared" si="205"/>
        <v/>
      </c>
      <c r="U345" s="64" t="str">
        <f t="shared" si="206"/>
        <v/>
      </c>
      <c r="V345" s="90" t="str">
        <f>IF($A346="","",IF(AND(MONTH(A345)&gt;3,MONTH(A345)&lt;11),(T345+R345+G345)*Summary!$T$9/(1-Summary!$T$9),(T345+R345+G345)*Summary!$U$9/(1-Summary!$U$9)))</f>
        <v/>
      </c>
      <c r="W345" s="63" t="str">
        <f t="shared" si="207"/>
        <v/>
      </c>
      <c r="X345" s="63" t="str">
        <f t="shared" si="208"/>
        <v/>
      </c>
      <c r="Y345" s="43"/>
      <c r="Z345" s="38" t="str">
        <f t="shared" si="209"/>
        <v/>
      </c>
      <c r="AA345" s="38" t="str">
        <f t="shared" si="210"/>
        <v/>
      </c>
      <c r="AB345" s="38" t="e">
        <f t="shared" si="211"/>
        <v>#VALUE!</v>
      </c>
      <c r="AC345" s="38" t="str">
        <f t="shared" si="212"/>
        <v/>
      </c>
      <c r="AD345" s="38" t="str">
        <f t="shared" si="212"/>
        <v/>
      </c>
      <c r="AE345" s="38" t="e">
        <f t="shared" si="213"/>
        <v>#VALUE!</v>
      </c>
      <c r="AF345" s="237" t="e">
        <f>((Summary!$N$9*(AA345*AD345)*(A345-$D$3))+(Summary!$M$9*Z345*AC345*(AJ345-EOMONTH(EDATE(A345,-1),0))))/(AK345*AB345*AE345)</f>
        <v>#VALUE!</v>
      </c>
      <c r="AG345" s="88" t="str">
        <f>IF($A346="","",Summary!$Q$9)</f>
        <v/>
      </c>
      <c r="AH345" s="88" t="str">
        <f>IF($A346="","",IF(Summary!$R$9="Y",VLOOKUP($A345,Summary!$AD$6:$AF$9,3)+'Escalating commodity'!E358,'Escalating commodity'!E358))</f>
        <v/>
      </c>
      <c r="AI345" s="88" t="str">
        <f t="shared" si="228"/>
        <v/>
      </c>
      <c r="AJ345" s="236" t="e">
        <f t="shared" si="214"/>
        <v>#VALUE!</v>
      </c>
      <c r="AK345" s="58" t="str">
        <f t="shared" si="215"/>
        <v/>
      </c>
      <c r="AL345" s="26" t="str">
        <f>IF($A346="","",_xll.SPRDOPT(P345,X345,AI345,0,AB345,AE345,AF345,AK345,$AJ$2,0))</f>
        <v/>
      </c>
      <c r="AM345" s="89" t="str">
        <f t="shared" si="216"/>
        <v/>
      </c>
      <c r="AN345" s="89" t="str">
        <f t="shared" si="217"/>
        <v/>
      </c>
      <c r="AO345" s="3" t="str">
        <f t="shared" si="218"/>
        <v/>
      </c>
      <c r="AP345" s="33" t="str">
        <f t="shared" si="219"/>
        <v/>
      </c>
      <c r="AQ345" s="58" t="str">
        <f t="shared" si="220"/>
        <v/>
      </c>
      <c r="AR345" s="38">
        <f>'ANR OK vs ML7'!AR345</f>
        <v>0.1</v>
      </c>
      <c r="AS345" s="35" t="str">
        <f t="shared" si="221"/>
        <v/>
      </c>
      <c r="AT345" s="3" t="str">
        <f t="shared" si="222"/>
        <v/>
      </c>
      <c r="AU345" s="3" t="str">
        <f t="shared" si="223"/>
        <v/>
      </c>
      <c r="AW345" s="32" t="str">
        <f t="shared" si="224"/>
        <v/>
      </c>
      <c r="AX345" s="32" t="str">
        <f t="shared" si="225"/>
        <v/>
      </c>
      <c r="AY345" s="32" t="str">
        <f t="shared" si="226"/>
        <v/>
      </c>
      <c r="BA345" s="32" t="str">
        <f>IF($A346="","",F345*Summary!$Q$9)</f>
        <v/>
      </c>
    </row>
    <row r="346" spans="1:53" ht="12" customHeight="1">
      <c r="A346" s="67" t="str">
        <f t="shared" si="227"/>
        <v/>
      </c>
      <c r="B346" s="69" t="str">
        <f t="shared" si="229"/>
        <v/>
      </c>
      <c r="C346" s="71"/>
      <c r="D346" s="69" t="str">
        <f t="shared" si="192"/>
        <v/>
      </c>
      <c r="E346" s="70" t="str">
        <f t="shared" si="193"/>
        <v/>
      </c>
      <c r="F346" s="70" t="str">
        <f t="shared" si="194"/>
        <v/>
      </c>
      <c r="G346" s="63" t="str">
        <f t="shared" si="195"/>
        <v/>
      </c>
      <c r="H346" s="64" t="str">
        <f t="shared" si="196"/>
        <v/>
      </c>
      <c r="I346" s="43"/>
      <c r="J346" s="63" t="str">
        <f t="shared" si="197"/>
        <v/>
      </c>
      <c r="K346" s="64" t="str">
        <f t="shared" si="198"/>
        <v/>
      </c>
      <c r="L346" s="63" t="str">
        <f t="shared" si="199"/>
        <v/>
      </c>
      <c r="M346" s="64" t="str">
        <f t="shared" si="200"/>
        <v/>
      </c>
      <c r="N346" s="65"/>
      <c r="O346" s="63" t="str">
        <f t="shared" si="201"/>
        <v/>
      </c>
      <c r="P346" s="63" t="str">
        <f t="shared" si="202"/>
        <v/>
      </c>
      <c r="Q346" s="66"/>
      <c r="R346" s="63" t="str">
        <f t="shared" si="203"/>
        <v/>
      </c>
      <c r="S346" s="64" t="str">
        <f t="shared" si="204"/>
        <v/>
      </c>
      <c r="T346" s="63" t="str">
        <f t="shared" si="205"/>
        <v/>
      </c>
      <c r="U346" s="64" t="str">
        <f t="shared" si="206"/>
        <v/>
      </c>
      <c r="V346" s="90" t="str">
        <f>IF($A347="","",IF(AND(MONTH(A346)&gt;3,MONTH(A346)&lt;11),(T346+R346+G346)*Summary!$T$9/(1-Summary!$T$9),(T346+R346+G346)*Summary!$U$9/(1-Summary!$U$9)))</f>
        <v/>
      </c>
      <c r="W346" s="63" t="str">
        <f t="shared" si="207"/>
        <v/>
      </c>
      <c r="X346" s="63" t="str">
        <f t="shared" si="208"/>
        <v/>
      </c>
      <c r="Y346" s="43"/>
      <c r="Z346" s="38" t="str">
        <f t="shared" si="209"/>
        <v/>
      </c>
      <c r="AA346" s="38" t="str">
        <f t="shared" si="210"/>
        <v/>
      </c>
      <c r="AB346" s="38" t="e">
        <f t="shared" si="211"/>
        <v>#VALUE!</v>
      </c>
      <c r="AC346" s="38" t="str">
        <f t="shared" si="212"/>
        <v/>
      </c>
      <c r="AD346" s="38" t="str">
        <f t="shared" si="212"/>
        <v/>
      </c>
      <c r="AE346" s="38" t="e">
        <f t="shared" si="213"/>
        <v>#VALUE!</v>
      </c>
      <c r="AF346" s="237" t="e">
        <f>((Summary!$N$9*(AA346*AD346)*(A346-$D$3))+(Summary!$M$9*Z346*AC346*(AJ346-EOMONTH(EDATE(A346,-1),0))))/(AK346*AB346*AE346)</f>
        <v>#VALUE!</v>
      </c>
      <c r="AG346" s="88" t="str">
        <f>IF($A347="","",Summary!$Q$9)</f>
        <v/>
      </c>
      <c r="AH346" s="88" t="str">
        <f>IF($A347="","",IF(Summary!$R$9="Y",VLOOKUP($A346,Summary!$AD$6:$AF$9,3)+'Escalating commodity'!E359,'Escalating commodity'!E359))</f>
        <v/>
      </c>
      <c r="AI346" s="88" t="str">
        <f t="shared" si="228"/>
        <v/>
      </c>
      <c r="AJ346" s="236" t="e">
        <f t="shared" si="214"/>
        <v>#VALUE!</v>
      </c>
      <c r="AK346" s="58" t="str">
        <f t="shared" si="215"/>
        <v/>
      </c>
      <c r="AL346" s="26" t="str">
        <f>IF($A347="","",_xll.SPRDOPT(P346,X346,AI346,0,AB346,AE346,AF346,AK346,$AJ$2,0))</f>
        <v/>
      </c>
      <c r="AM346" s="89" t="str">
        <f t="shared" si="216"/>
        <v/>
      </c>
      <c r="AN346" s="89" t="str">
        <f t="shared" si="217"/>
        <v/>
      </c>
      <c r="AO346" s="3" t="str">
        <f t="shared" si="218"/>
        <v/>
      </c>
      <c r="AP346" s="33" t="str">
        <f t="shared" si="219"/>
        <v/>
      </c>
      <c r="AQ346" s="58" t="str">
        <f t="shared" si="220"/>
        <v/>
      </c>
      <c r="AR346" s="38">
        <f>'ANR OK vs ML7'!AR346</f>
        <v>0.1</v>
      </c>
      <c r="AS346" s="35" t="str">
        <f t="shared" si="221"/>
        <v/>
      </c>
      <c r="AT346" s="3" t="str">
        <f t="shared" si="222"/>
        <v/>
      </c>
      <c r="AU346" s="3" t="str">
        <f t="shared" si="223"/>
        <v/>
      </c>
      <c r="AW346" s="32" t="str">
        <f t="shared" si="224"/>
        <v/>
      </c>
      <c r="AX346" s="32" t="str">
        <f t="shared" si="225"/>
        <v/>
      </c>
      <c r="AY346" s="32" t="str">
        <f t="shared" si="226"/>
        <v/>
      </c>
      <c r="BA346" s="32" t="str">
        <f>IF($A347="","",F346*Summary!$Q$9)</f>
        <v/>
      </c>
    </row>
    <row r="347" spans="1:53" ht="12" customHeight="1">
      <c r="A347" s="67" t="str">
        <f t="shared" si="227"/>
        <v/>
      </c>
      <c r="B347" s="69" t="str">
        <f t="shared" si="229"/>
        <v/>
      </c>
      <c r="C347" s="71"/>
      <c r="D347" s="69" t="str">
        <f t="shared" si="192"/>
        <v/>
      </c>
      <c r="E347" s="70" t="str">
        <f t="shared" si="193"/>
        <v/>
      </c>
      <c r="F347" s="70" t="str">
        <f t="shared" si="194"/>
        <v/>
      </c>
      <c r="G347" s="63" t="str">
        <f t="shared" si="195"/>
        <v/>
      </c>
      <c r="H347" s="64" t="str">
        <f t="shared" si="196"/>
        <v/>
      </c>
      <c r="I347" s="43"/>
      <c r="J347" s="63" t="str">
        <f t="shared" si="197"/>
        <v/>
      </c>
      <c r="K347" s="64" t="str">
        <f t="shared" si="198"/>
        <v/>
      </c>
      <c r="L347" s="63" t="str">
        <f t="shared" si="199"/>
        <v/>
      </c>
      <c r="M347" s="64" t="str">
        <f t="shared" si="200"/>
        <v/>
      </c>
      <c r="N347" s="65"/>
      <c r="O347" s="63" t="str">
        <f t="shared" si="201"/>
        <v/>
      </c>
      <c r="P347" s="63" t="str">
        <f t="shared" si="202"/>
        <v/>
      </c>
      <c r="Q347" s="66"/>
      <c r="R347" s="63" t="str">
        <f t="shared" si="203"/>
        <v/>
      </c>
      <c r="S347" s="64" t="str">
        <f t="shared" si="204"/>
        <v/>
      </c>
      <c r="T347" s="63" t="str">
        <f t="shared" si="205"/>
        <v/>
      </c>
      <c r="U347" s="64" t="str">
        <f t="shared" si="206"/>
        <v/>
      </c>
      <c r="V347" s="90" t="str">
        <f>IF($A348="","",IF(AND(MONTH(A347)&gt;3,MONTH(A347)&lt;11),(T347+R347+G347)*Summary!$T$9/(1-Summary!$T$9),(T347+R347+G347)*Summary!$U$9/(1-Summary!$U$9)))</f>
        <v/>
      </c>
      <c r="W347" s="63" t="str">
        <f t="shared" si="207"/>
        <v/>
      </c>
      <c r="X347" s="63" t="str">
        <f t="shared" si="208"/>
        <v/>
      </c>
      <c r="Y347" s="43"/>
      <c r="Z347" s="38" t="str">
        <f t="shared" si="209"/>
        <v/>
      </c>
      <c r="AA347" s="38" t="str">
        <f t="shared" si="210"/>
        <v/>
      </c>
      <c r="AB347" s="38" t="e">
        <f t="shared" si="211"/>
        <v>#VALUE!</v>
      </c>
      <c r="AC347" s="38" t="str">
        <f t="shared" si="212"/>
        <v/>
      </c>
      <c r="AD347" s="38" t="str">
        <f t="shared" si="212"/>
        <v/>
      </c>
      <c r="AE347" s="38" t="e">
        <f t="shared" si="213"/>
        <v>#VALUE!</v>
      </c>
      <c r="AF347" s="237" t="e">
        <f>((Summary!$N$9*(AA347*AD347)*(A347-$D$3))+(Summary!$M$9*Z347*AC347*(AJ347-EOMONTH(EDATE(A347,-1),0))))/(AK347*AB347*AE347)</f>
        <v>#VALUE!</v>
      </c>
      <c r="AG347" s="88" t="str">
        <f>IF($A348="","",Summary!$Q$9)</f>
        <v/>
      </c>
      <c r="AH347" s="88" t="str">
        <f>IF($A348="","",IF(Summary!$R$9="Y",VLOOKUP($A347,Summary!$AD$6:$AF$9,3)+'Escalating commodity'!E360,'Escalating commodity'!E360))</f>
        <v/>
      </c>
      <c r="AI347" s="88" t="str">
        <f t="shared" si="228"/>
        <v/>
      </c>
      <c r="AJ347" s="236" t="e">
        <f t="shared" si="214"/>
        <v>#VALUE!</v>
      </c>
      <c r="AK347" s="58" t="str">
        <f t="shared" si="215"/>
        <v/>
      </c>
      <c r="AL347" s="26" t="str">
        <f>IF($A348="","",_xll.SPRDOPT(P347,X347,AI347,0,AB347,AE347,AF347,AK347,$AJ$2,0))</f>
        <v/>
      </c>
      <c r="AM347" s="89" t="str">
        <f t="shared" si="216"/>
        <v/>
      </c>
      <c r="AN347" s="89" t="str">
        <f t="shared" si="217"/>
        <v/>
      </c>
      <c r="AO347" s="3" t="str">
        <f t="shared" si="218"/>
        <v/>
      </c>
      <c r="AP347" s="33" t="str">
        <f t="shared" si="219"/>
        <v/>
      </c>
      <c r="AQ347" s="58" t="str">
        <f t="shared" si="220"/>
        <v/>
      </c>
      <c r="AR347" s="38">
        <f>'ANR OK vs ML7'!AR347</f>
        <v>0.1</v>
      </c>
      <c r="AS347" s="35" t="str">
        <f t="shared" si="221"/>
        <v/>
      </c>
      <c r="AT347" s="3" t="str">
        <f t="shared" si="222"/>
        <v/>
      </c>
      <c r="AU347" s="3" t="str">
        <f t="shared" si="223"/>
        <v/>
      </c>
      <c r="AW347" s="32" t="str">
        <f t="shared" si="224"/>
        <v/>
      </c>
      <c r="AX347" s="32" t="str">
        <f t="shared" si="225"/>
        <v/>
      </c>
      <c r="AY347" s="32" t="str">
        <f t="shared" si="226"/>
        <v/>
      </c>
      <c r="BA347" s="32" t="str">
        <f>IF($A348="","",F347*Summary!$Q$9)</f>
        <v/>
      </c>
    </row>
    <row r="348" spans="1:53" ht="12" customHeight="1">
      <c r="A348" s="67" t="str">
        <f t="shared" si="227"/>
        <v/>
      </c>
      <c r="B348" s="69" t="str">
        <f t="shared" si="229"/>
        <v/>
      </c>
      <c r="C348" s="71"/>
      <c r="D348" s="69" t="str">
        <f t="shared" si="192"/>
        <v/>
      </c>
      <c r="E348" s="70" t="str">
        <f t="shared" si="193"/>
        <v/>
      </c>
      <c r="F348" s="70" t="str">
        <f t="shared" si="194"/>
        <v/>
      </c>
      <c r="G348" s="63" t="str">
        <f t="shared" si="195"/>
        <v/>
      </c>
      <c r="H348" s="64" t="str">
        <f t="shared" si="196"/>
        <v/>
      </c>
      <c r="I348" s="43"/>
      <c r="J348" s="63" t="str">
        <f t="shared" si="197"/>
        <v/>
      </c>
      <c r="K348" s="64" t="str">
        <f t="shared" si="198"/>
        <v/>
      </c>
      <c r="L348" s="63" t="str">
        <f t="shared" si="199"/>
        <v/>
      </c>
      <c r="M348" s="64" t="str">
        <f t="shared" si="200"/>
        <v/>
      </c>
      <c r="N348" s="65"/>
      <c r="O348" s="63" t="str">
        <f t="shared" si="201"/>
        <v/>
      </c>
      <c r="P348" s="63" t="str">
        <f t="shared" si="202"/>
        <v/>
      </c>
      <c r="Q348" s="66"/>
      <c r="R348" s="63" t="str">
        <f t="shared" si="203"/>
        <v/>
      </c>
      <c r="S348" s="64" t="str">
        <f t="shared" si="204"/>
        <v/>
      </c>
      <c r="T348" s="63" t="str">
        <f t="shared" si="205"/>
        <v/>
      </c>
      <c r="U348" s="64" t="str">
        <f t="shared" si="206"/>
        <v/>
      </c>
      <c r="V348" s="90" t="str">
        <f>IF($A349="","",IF(AND(MONTH(A348)&gt;3,MONTH(A348)&lt;11),(T348+R348+G348)*Summary!$T$9/(1-Summary!$T$9),(T348+R348+G348)*Summary!$U$9/(1-Summary!$U$9)))</f>
        <v/>
      </c>
      <c r="W348" s="63" t="str">
        <f t="shared" si="207"/>
        <v/>
      </c>
      <c r="X348" s="63" t="str">
        <f t="shared" si="208"/>
        <v/>
      </c>
      <c r="Y348" s="43"/>
      <c r="Z348" s="38" t="str">
        <f t="shared" si="209"/>
        <v/>
      </c>
      <c r="AA348" s="38" t="str">
        <f t="shared" si="210"/>
        <v/>
      </c>
      <c r="AB348" s="38" t="e">
        <f t="shared" si="211"/>
        <v>#VALUE!</v>
      </c>
      <c r="AC348" s="38" t="str">
        <f t="shared" si="212"/>
        <v/>
      </c>
      <c r="AD348" s="38" t="str">
        <f t="shared" si="212"/>
        <v/>
      </c>
      <c r="AE348" s="38" t="e">
        <f t="shared" si="213"/>
        <v>#VALUE!</v>
      </c>
      <c r="AF348" s="237" t="e">
        <f>((Summary!$N$9*(AA348*AD348)*(A348-$D$3))+(Summary!$M$9*Z348*AC348*(AJ348-EOMONTH(EDATE(A348,-1),0))))/(AK348*AB348*AE348)</f>
        <v>#VALUE!</v>
      </c>
      <c r="AG348" s="88" t="str">
        <f>IF($A349="","",Summary!$Q$9)</f>
        <v/>
      </c>
      <c r="AH348" s="88" t="str">
        <f>IF($A349="","",IF(Summary!$R$9="Y",VLOOKUP($A348,Summary!$AD$6:$AF$9,3)+'Escalating commodity'!E361,'Escalating commodity'!E361))</f>
        <v/>
      </c>
      <c r="AI348" s="88" t="str">
        <f t="shared" si="228"/>
        <v/>
      </c>
      <c r="AJ348" s="236" t="e">
        <f t="shared" si="214"/>
        <v>#VALUE!</v>
      </c>
      <c r="AK348" s="58" t="str">
        <f t="shared" si="215"/>
        <v/>
      </c>
      <c r="AL348" s="26" t="str">
        <f>IF($A349="","",_xll.SPRDOPT(P348,X348,AI348,0,AB348,AE348,AF348,AK348,$AJ$2,0))</f>
        <v/>
      </c>
      <c r="AM348" s="89" t="str">
        <f t="shared" si="216"/>
        <v/>
      </c>
      <c r="AN348" s="89" t="str">
        <f t="shared" si="217"/>
        <v/>
      </c>
      <c r="AO348" s="3" t="str">
        <f t="shared" si="218"/>
        <v/>
      </c>
      <c r="AP348" s="33" t="str">
        <f t="shared" si="219"/>
        <v/>
      </c>
      <c r="AQ348" s="58" t="str">
        <f t="shared" si="220"/>
        <v/>
      </c>
      <c r="AR348" s="38">
        <f>'ANR OK vs ML7'!AR348</f>
        <v>0.1</v>
      </c>
      <c r="AS348" s="35" t="str">
        <f t="shared" si="221"/>
        <v/>
      </c>
      <c r="AT348" s="3" t="str">
        <f t="shared" si="222"/>
        <v/>
      </c>
      <c r="AU348" s="3" t="str">
        <f t="shared" si="223"/>
        <v/>
      </c>
      <c r="AW348" s="32" t="str">
        <f t="shared" si="224"/>
        <v/>
      </c>
      <c r="AX348" s="32" t="str">
        <f t="shared" si="225"/>
        <v/>
      </c>
      <c r="AY348" s="32" t="str">
        <f t="shared" si="226"/>
        <v/>
      </c>
      <c r="BA348" s="32" t="str">
        <f>IF($A349="","",F348*Summary!$Q$9)</f>
        <v/>
      </c>
    </row>
    <row r="349" spans="1:53" ht="12" customHeight="1">
      <c r="A349" s="67" t="str">
        <f t="shared" si="227"/>
        <v/>
      </c>
      <c r="B349" s="69" t="str">
        <f t="shared" si="229"/>
        <v/>
      </c>
      <c r="C349" s="71"/>
      <c r="D349" s="69" t="str">
        <f t="shared" si="192"/>
        <v/>
      </c>
      <c r="E349" s="70" t="str">
        <f t="shared" si="193"/>
        <v/>
      </c>
      <c r="F349" s="70" t="str">
        <f t="shared" si="194"/>
        <v/>
      </c>
      <c r="G349" s="63" t="str">
        <f t="shared" si="195"/>
        <v/>
      </c>
      <c r="H349" s="64" t="str">
        <f t="shared" si="196"/>
        <v/>
      </c>
      <c r="I349" s="43"/>
      <c r="J349" s="63" t="str">
        <f t="shared" si="197"/>
        <v/>
      </c>
      <c r="K349" s="64" t="str">
        <f t="shared" si="198"/>
        <v/>
      </c>
      <c r="L349" s="63" t="str">
        <f t="shared" si="199"/>
        <v/>
      </c>
      <c r="M349" s="64" t="str">
        <f t="shared" si="200"/>
        <v/>
      </c>
      <c r="N349" s="65"/>
      <c r="O349" s="63" t="str">
        <f t="shared" si="201"/>
        <v/>
      </c>
      <c r="P349" s="63" t="str">
        <f t="shared" si="202"/>
        <v/>
      </c>
      <c r="Q349" s="66"/>
      <c r="R349" s="63" t="str">
        <f t="shared" si="203"/>
        <v/>
      </c>
      <c r="S349" s="64" t="str">
        <f t="shared" si="204"/>
        <v/>
      </c>
      <c r="T349" s="63" t="str">
        <f t="shared" si="205"/>
        <v/>
      </c>
      <c r="U349" s="64" t="str">
        <f t="shared" si="206"/>
        <v/>
      </c>
      <c r="V349" s="90" t="str">
        <f>IF($A350="","",IF(AND(MONTH(A349)&gt;3,MONTH(A349)&lt;11),(T349+R349+G349)*Summary!$T$9/(1-Summary!$T$9),(T349+R349+G349)*Summary!$U$9/(1-Summary!$U$9)))</f>
        <v/>
      </c>
      <c r="W349" s="63" t="str">
        <f t="shared" si="207"/>
        <v/>
      </c>
      <c r="X349" s="63" t="str">
        <f t="shared" si="208"/>
        <v/>
      </c>
      <c r="Y349" s="43"/>
      <c r="Z349" s="38" t="str">
        <f t="shared" si="209"/>
        <v/>
      </c>
      <c r="AA349" s="38" t="str">
        <f t="shared" si="210"/>
        <v/>
      </c>
      <c r="AB349" s="38" t="e">
        <f t="shared" si="211"/>
        <v>#VALUE!</v>
      </c>
      <c r="AC349" s="38" t="str">
        <f t="shared" si="212"/>
        <v/>
      </c>
      <c r="AD349" s="38" t="str">
        <f t="shared" si="212"/>
        <v/>
      </c>
      <c r="AE349" s="38" t="e">
        <f t="shared" si="213"/>
        <v>#VALUE!</v>
      </c>
      <c r="AF349" s="237" t="e">
        <f>((Summary!$N$9*(AA349*AD349)*(A349-$D$3))+(Summary!$M$9*Z349*AC349*(AJ349-EOMONTH(EDATE(A349,-1),0))))/(AK349*AB349*AE349)</f>
        <v>#VALUE!</v>
      </c>
      <c r="AG349" s="88" t="str">
        <f>IF($A350="","",Summary!$Q$9)</f>
        <v/>
      </c>
      <c r="AH349" s="88" t="str">
        <f>IF($A350="","",IF(Summary!$R$9="Y",VLOOKUP($A349,Summary!$AD$6:$AF$9,3)+'Escalating commodity'!E362,'Escalating commodity'!E362))</f>
        <v/>
      </c>
      <c r="AI349" s="88" t="str">
        <f t="shared" si="228"/>
        <v/>
      </c>
      <c r="AJ349" s="236" t="e">
        <f t="shared" si="214"/>
        <v>#VALUE!</v>
      </c>
      <c r="AK349" s="58" t="str">
        <f t="shared" si="215"/>
        <v/>
      </c>
      <c r="AL349" s="26" t="str">
        <f>IF($A350="","",_xll.SPRDOPT(P349,X349,AI349,0,AB349,AE349,AF349,AK349,$AJ$2,0))</f>
        <v/>
      </c>
      <c r="AM349" s="89" t="str">
        <f t="shared" si="216"/>
        <v/>
      </c>
      <c r="AN349" s="89" t="str">
        <f t="shared" si="217"/>
        <v/>
      </c>
      <c r="AO349" s="3" t="str">
        <f t="shared" si="218"/>
        <v/>
      </c>
      <c r="AP349" s="33" t="str">
        <f t="shared" si="219"/>
        <v/>
      </c>
      <c r="AQ349" s="58" t="str">
        <f t="shared" si="220"/>
        <v/>
      </c>
      <c r="AR349" s="38">
        <f>'ANR OK vs ML7'!AR349</f>
        <v>0.1</v>
      </c>
      <c r="AS349" s="35" t="str">
        <f t="shared" si="221"/>
        <v/>
      </c>
      <c r="AT349" s="3" t="str">
        <f t="shared" si="222"/>
        <v/>
      </c>
      <c r="AU349" s="3" t="str">
        <f t="shared" si="223"/>
        <v/>
      </c>
      <c r="AW349" s="32" t="str">
        <f t="shared" si="224"/>
        <v/>
      </c>
      <c r="AX349" s="32" t="str">
        <f t="shared" si="225"/>
        <v/>
      </c>
      <c r="AY349" s="32" t="str">
        <f t="shared" si="226"/>
        <v/>
      </c>
      <c r="BA349" s="32" t="str">
        <f>IF($A350="","",F349*Summary!$Q$9)</f>
        <v/>
      </c>
    </row>
    <row r="350" spans="1:53" ht="12" customHeight="1">
      <c r="A350" s="67" t="str">
        <f t="shared" si="227"/>
        <v/>
      </c>
      <c r="B350" s="69" t="str">
        <f t="shared" si="229"/>
        <v/>
      </c>
      <c r="C350" s="71"/>
      <c r="D350" s="69" t="str">
        <f t="shared" si="192"/>
        <v/>
      </c>
      <c r="E350" s="70" t="str">
        <f t="shared" si="193"/>
        <v/>
      </c>
      <c r="F350" s="70" t="str">
        <f t="shared" si="194"/>
        <v/>
      </c>
      <c r="G350" s="63" t="str">
        <f t="shared" si="195"/>
        <v/>
      </c>
      <c r="H350" s="64" t="str">
        <f t="shared" si="196"/>
        <v/>
      </c>
      <c r="I350" s="43"/>
      <c r="J350" s="63" t="str">
        <f t="shared" si="197"/>
        <v/>
      </c>
      <c r="K350" s="64" t="str">
        <f t="shared" si="198"/>
        <v/>
      </c>
      <c r="L350" s="63" t="str">
        <f t="shared" si="199"/>
        <v/>
      </c>
      <c r="M350" s="64" t="str">
        <f t="shared" si="200"/>
        <v/>
      </c>
      <c r="N350" s="65"/>
      <c r="O350" s="63" t="str">
        <f t="shared" si="201"/>
        <v/>
      </c>
      <c r="P350" s="63" t="str">
        <f t="shared" si="202"/>
        <v/>
      </c>
      <c r="Q350" s="66"/>
      <c r="R350" s="63" t="str">
        <f t="shared" si="203"/>
        <v/>
      </c>
      <c r="S350" s="64" t="str">
        <f t="shared" si="204"/>
        <v/>
      </c>
      <c r="T350" s="63" t="str">
        <f t="shared" si="205"/>
        <v/>
      </c>
      <c r="U350" s="64" t="str">
        <f t="shared" si="206"/>
        <v/>
      </c>
      <c r="V350" s="90" t="str">
        <f>IF($A351="","",IF(AND(MONTH(A350)&gt;3,MONTH(A350)&lt;11),(T350+R350+G350)*Summary!$T$9/(1-Summary!$T$9),(T350+R350+G350)*Summary!$U$9/(1-Summary!$U$9)))</f>
        <v/>
      </c>
      <c r="W350" s="63" t="str">
        <f t="shared" si="207"/>
        <v/>
      </c>
      <c r="X350" s="63" t="str">
        <f t="shared" si="208"/>
        <v/>
      </c>
      <c r="Y350" s="43"/>
      <c r="Z350" s="38" t="str">
        <f t="shared" si="209"/>
        <v/>
      </c>
      <c r="AA350" s="38" t="str">
        <f t="shared" si="210"/>
        <v/>
      </c>
      <c r="AB350" s="38" t="e">
        <f t="shared" si="211"/>
        <v>#VALUE!</v>
      </c>
      <c r="AC350" s="38" t="str">
        <f t="shared" si="212"/>
        <v/>
      </c>
      <c r="AD350" s="38" t="str">
        <f t="shared" si="212"/>
        <v/>
      </c>
      <c r="AE350" s="38" t="e">
        <f t="shared" si="213"/>
        <v>#VALUE!</v>
      </c>
      <c r="AF350" s="237" t="e">
        <f>((Summary!$N$9*(AA350*AD350)*(A350-$D$3))+(Summary!$M$9*Z350*AC350*(AJ350-EOMONTH(EDATE(A350,-1),0))))/(AK350*AB350*AE350)</f>
        <v>#VALUE!</v>
      </c>
      <c r="AG350" s="88" t="str">
        <f>IF($A351="","",Summary!$Q$9)</f>
        <v/>
      </c>
      <c r="AH350" s="88" t="str">
        <f>IF($A351="","",IF(Summary!$R$9="Y",VLOOKUP($A350,Summary!$AD$6:$AF$9,3)+'Escalating commodity'!E363,'Escalating commodity'!E363))</f>
        <v/>
      </c>
      <c r="AI350" s="88" t="str">
        <f t="shared" si="228"/>
        <v/>
      </c>
      <c r="AJ350" s="236" t="e">
        <f t="shared" si="214"/>
        <v>#VALUE!</v>
      </c>
      <c r="AK350" s="58" t="str">
        <f t="shared" si="215"/>
        <v/>
      </c>
      <c r="AL350" s="26" t="str">
        <f>IF($A351="","",_xll.SPRDOPT(P350,X350,AI350,0,AB350,AE350,AF350,AK350,$AJ$2,0))</f>
        <v/>
      </c>
      <c r="AM350" s="89" t="str">
        <f t="shared" si="216"/>
        <v/>
      </c>
      <c r="AN350" s="89" t="str">
        <f t="shared" si="217"/>
        <v/>
      </c>
      <c r="AO350" s="3" t="str">
        <f t="shared" si="218"/>
        <v/>
      </c>
      <c r="AP350" s="33" t="str">
        <f t="shared" si="219"/>
        <v/>
      </c>
      <c r="AQ350" s="58" t="str">
        <f t="shared" si="220"/>
        <v/>
      </c>
      <c r="AR350" s="38">
        <f>'ANR OK vs ML7'!AR350</f>
        <v>0.1</v>
      </c>
      <c r="AS350" s="35" t="str">
        <f t="shared" si="221"/>
        <v/>
      </c>
      <c r="AT350" s="3" t="str">
        <f t="shared" si="222"/>
        <v/>
      </c>
      <c r="AU350" s="3" t="str">
        <f t="shared" si="223"/>
        <v/>
      </c>
      <c r="AW350" s="32" t="str">
        <f t="shared" si="224"/>
        <v/>
      </c>
      <c r="AX350" s="32" t="str">
        <f t="shared" si="225"/>
        <v/>
      </c>
      <c r="AY350" s="32" t="str">
        <f t="shared" si="226"/>
        <v/>
      </c>
      <c r="BA350" s="32" t="str">
        <f>IF($A351="","",F350*Summary!$Q$9)</f>
        <v/>
      </c>
    </row>
    <row r="351" spans="1:53" ht="12" customHeight="1">
      <c r="A351" s="67" t="str">
        <f t="shared" si="227"/>
        <v/>
      </c>
      <c r="B351" s="69" t="str">
        <f t="shared" si="229"/>
        <v/>
      </c>
      <c r="C351" s="71"/>
      <c r="D351" s="69" t="str">
        <f t="shared" si="192"/>
        <v/>
      </c>
      <c r="E351" s="70" t="str">
        <f t="shared" si="193"/>
        <v/>
      </c>
      <c r="F351" s="70" t="str">
        <f t="shared" si="194"/>
        <v/>
      </c>
      <c r="G351" s="63" t="str">
        <f t="shared" si="195"/>
        <v/>
      </c>
      <c r="H351" s="64" t="str">
        <f t="shared" si="196"/>
        <v/>
      </c>
      <c r="I351" s="43"/>
      <c r="J351" s="63" t="str">
        <f t="shared" si="197"/>
        <v/>
      </c>
      <c r="K351" s="64" t="str">
        <f t="shared" si="198"/>
        <v/>
      </c>
      <c r="L351" s="63" t="str">
        <f t="shared" si="199"/>
        <v/>
      </c>
      <c r="M351" s="64" t="str">
        <f t="shared" si="200"/>
        <v/>
      </c>
      <c r="N351" s="65"/>
      <c r="O351" s="63" t="str">
        <f t="shared" si="201"/>
        <v/>
      </c>
      <c r="P351" s="63" t="str">
        <f t="shared" si="202"/>
        <v/>
      </c>
      <c r="Q351" s="66"/>
      <c r="R351" s="63" t="str">
        <f t="shared" si="203"/>
        <v/>
      </c>
      <c r="S351" s="64" t="str">
        <f t="shared" si="204"/>
        <v/>
      </c>
      <c r="T351" s="63" t="str">
        <f t="shared" si="205"/>
        <v/>
      </c>
      <c r="U351" s="64" t="str">
        <f t="shared" si="206"/>
        <v/>
      </c>
      <c r="V351" s="90" t="str">
        <f>IF($A352="","",IF(AND(MONTH(A351)&gt;3,MONTH(A351)&lt;11),(T351+R351+G351)*Summary!$T$9/(1-Summary!$T$9),(T351+R351+G351)*Summary!$U$9/(1-Summary!$U$9)))</f>
        <v/>
      </c>
      <c r="W351" s="63" t="str">
        <f t="shared" si="207"/>
        <v/>
      </c>
      <c r="X351" s="63" t="str">
        <f t="shared" si="208"/>
        <v/>
      </c>
      <c r="Y351" s="43"/>
      <c r="Z351" s="38" t="str">
        <f t="shared" si="209"/>
        <v/>
      </c>
      <c r="AA351" s="38" t="str">
        <f t="shared" si="210"/>
        <v/>
      </c>
      <c r="AB351" s="38" t="e">
        <f t="shared" si="211"/>
        <v>#VALUE!</v>
      </c>
      <c r="AC351" s="38" t="str">
        <f t="shared" si="212"/>
        <v/>
      </c>
      <c r="AD351" s="38" t="str">
        <f t="shared" si="212"/>
        <v/>
      </c>
      <c r="AE351" s="38" t="e">
        <f t="shared" si="213"/>
        <v>#VALUE!</v>
      </c>
      <c r="AF351" s="237" t="e">
        <f>((Summary!$N$9*(AA351*AD351)*(A351-$D$3))+(Summary!$M$9*Z351*AC351*(AJ351-EOMONTH(EDATE(A351,-1),0))))/(AK351*AB351*AE351)</f>
        <v>#VALUE!</v>
      </c>
      <c r="AG351" s="88" t="str">
        <f>IF($A352="","",Summary!$Q$9)</f>
        <v/>
      </c>
      <c r="AH351" s="88" t="str">
        <f>IF($A352="","",IF(Summary!$R$9="Y",VLOOKUP($A351,Summary!$AD$6:$AF$9,3)+'Escalating commodity'!E364,'Escalating commodity'!E364))</f>
        <v/>
      </c>
      <c r="AI351" s="88" t="str">
        <f t="shared" si="228"/>
        <v/>
      </c>
      <c r="AJ351" s="236" t="e">
        <f t="shared" si="214"/>
        <v>#VALUE!</v>
      </c>
      <c r="AK351" s="58" t="str">
        <f t="shared" si="215"/>
        <v/>
      </c>
      <c r="AL351" s="26" t="str">
        <f>IF($A352="","",_xll.SPRDOPT(P351,X351,AI351,0,AB351,AE351,AF351,AK351,$AJ$2,0))</f>
        <v/>
      </c>
      <c r="AM351" s="89" t="str">
        <f t="shared" si="216"/>
        <v/>
      </c>
      <c r="AN351" s="89" t="str">
        <f t="shared" si="217"/>
        <v/>
      </c>
      <c r="AO351" s="3" t="str">
        <f t="shared" si="218"/>
        <v/>
      </c>
      <c r="AP351" s="33" t="str">
        <f t="shared" si="219"/>
        <v/>
      </c>
      <c r="AQ351" s="58" t="str">
        <f t="shared" si="220"/>
        <v/>
      </c>
      <c r="AR351" s="38">
        <f>'ANR OK vs ML7'!AR351</f>
        <v>0.1</v>
      </c>
      <c r="AS351" s="35" t="str">
        <f t="shared" si="221"/>
        <v/>
      </c>
      <c r="AT351" s="3" t="str">
        <f t="shared" si="222"/>
        <v/>
      </c>
      <c r="AU351" s="3" t="str">
        <f t="shared" si="223"/>
        <v/>
      </c>
      <c r="AW351" s="32" t="str">
        <f t="shared" si="224"/>
        <v/>
      </c>
      <c r="AX351" s="32" t="str">
        <f t="shared" si="225"/>
        <v/>
      </c>
      <c r="AY351" s="32" t="str">
        <f t="shared" si="226"/>
        <v/>
      </c>
      <c r="BA351" s="32" t="str">
        <f>IF($A352="","",F351*Summary!$Q$9)</f>
        <v/>
      </c>
    </row>
    <row r="352" spans="1:53" ht="12" customHeight="1">
      <c r="A352" s="67" t="str">
        <f t="shared" si="227"/>
        <v/>
      </c>
      <c r="B352" s="69" t="str">
        <f t="shared" si="229"/>
        <v/>
      </c>
      <c r="C352" s="71"/>
      <c r="D352" s="69" t="str">
        <f t="shared" si="192"/>
        <v/>
      </c>
      <c r="E352" s="70" t="str">
        <f t="shared" si="193"/>
        <v/>
      </c>
      <c r="F352" s="70" t="str">
        <f t="shared" si="194"/>
        <v/>
      </c>
      <c r="G352" s="63" t="str">
        <f t="shared" si="195"/>
        <v/>
      </c>
      <c r="H352" s="64" t="str">
        <f t="shared" si="196"/>
        <v/>
      </c>
      <c r="I352" s="43"/>
      <c r="J352" s="63" t="str">
        <f t="shared" si="197"/>
        <v/>
      </c>
      <c r="K352" s="64" t="str">
        <f t="shared" si="198"/>
        <v/>
      </c>
      <c r="L352" s="63" t="str">
        <f t="shared" si="199"/>
        <v/>
      </c>
      <c r="M352" s="64" t="str">
        <f t="shared" si="200"/>
        <v/>
      </c>
      <c r="N352" s="65"/>
      <c r="O352" s="63" t="str">
        <f t="shared" si="201"/>
        <v/>
      </c>
      <c r="P352" s="63" t="str">
        <f t="shared" si="202"/>
        <v/>
      </c>
      <c r="Q352" s="66"/>
      <c r="R352" s="63" t="str">
        <f t="shared" si="203"/>
        <v/>
      </c>
      <c r="S352" s="64" t="str">
        <f t="shared" si="204"/>
        <v/>
      </c>
      <c r="T352" s="63" t="str">
        <f t="shared" si="205"/>
        <v/>
      </c>
      <c r="U352" s="64" t="str">
        <f t="shared" si="206"/>
        <v/>
      </c>
      <c r="V352" s="90" t="str">
        <f>IF($A353="","",IF(AND(MONTH(A352)&gt;3,MONTH(A352)&lt;11),(T352+R352+G352)*Summary!$T$9/(1-Summary!$T$9),(T352+R352+G352)*Summary!$U$9/(1-Summary!$U$9)))</f>
        <v/>
      </c>
      <c r="W352" s="63" t="str">
        <f t="shared" si="207"/>
        <v/>
      </c>
      <c r="X352" s="63" t="str">
        <f t="shared" si="208"/>
        <v/>
      </c>
      <c r="Y352" s="43"/>
      <c r="Z352" s="38" t="str">
        <f t="shared" si="209"/>
        <v/>
      </c>
      <c r="AA352" s="38" t="str">
        <f t="shared" si="210"/>
        <v/>
      </c>
      <c r="AB352" s="38" t="e">
        <f t="shared" si="211"/>
        <v>#VALUE!</v>
      </c>
      <c r="AC352" s="38" t="str">
        <f t="shared" si="212"/>
        <v/>
      </c>
      <c r="AD352" s="38" t="str">
        <f t="shared" si="212"/>
        <v/>
      </c>
      <c r="AE352" s="38" t="e">
        <f t="shared" si="213"/>
        <v>#VALUE!</v>
      </c>
      <c r="AF352" s="237" t="e">
        <f>((Summary!$N$9*(AA352*AD352)*(A352-$D$3))+(Summary!$M$9*Z352*AC352*(AJ352-EOMONTH(EDATE(A352,-1),0))))/(AK352*AB352*AE352)</f>
        <v>#VALUE!</v>
      </c>
      <c r="AG352" s="88" t="str">
        <f>IF($A353="","",Summary!$Q$9)</f>
        <v/>
      </c>
      <c r="AH352" s="88" t="str">
        <f>IF($A353="","",IF(Summary!$R$9="Y",VLOOKUP($A352,Summary!$AD$6:$AF$9,3)+'Escalating commodity'!E365,'Escalating commodity'!E365))</f>
        <v/>
      </c>
      <c r="AI352" s="88" t="str">
        <f t="shared" si="228"/>
        <v/>
      </c>
      <c r="AJ352" s="236" t="e">
        <f t="shared" si="214"/>
        <v>#VALUE!</v>
      </c>
      <c r="AK352" s="58" t="str">
        <f t="shared" si="215"/>
        <v/>
      </c>
      <c r="AL352" s="26" t="str">
        <f>IF($A353="","",_xll.SPRDOPT(P352,X352,AI352,0,AB352,AE352,AF352,AK352,$AJ$2,0))</f>
        <v/>
      </c>
      <c r="AM352" s="89" t="str">
        <f t="shared" si="216"/>
        <v/>
      </c>
      <c r="AN352" s="89" t="str">
        <f t="shared" si="217"/>
        <v/>
      </c>
      <c r="AO352" s="3" t="str">
        <f t="shared" si="218"/>
        <v/>
      </c>
      <c r="AP352" s="33" t="str">
        <f t="shared" si="219"/>
        <v/>
      </c>
      <c r="AQ352" s="58" t="str">
        <f t="shared" si="220"/>
        <v/>
      </c>
      <c r="AR352" s="38">
        <f>'ANR OK vs ML7'!AR352</f>
        <v>0.1</v>
      </c>
      <c r="AS352" s="35" t="str">
        <f t="shared" si="221"/>
        <v/>
      </c>
      <c r="AT352" s="3" t="str">
        <f t="shared" si="222"/>
        <v/>
      </c>
      <c r="AU352" s="3" t="str">
        <f t="shared" si="223"/>
        <v/>
      </c>
      <c r="AW352" s="32" t="str">
        <f t="shared" si="224"/>
        <v/>
      </c>
      <c r="AX352" s="32" t="str">
        <f t="shared" si="225"/>
        <v/>
      </c>
      <c r="AY352" s="32" t="str">
        <f t="shared" si="226"/>
        <v/>
      </c>
      <c r="BA352" s="32" t="str">
        <f>IF($A353="","",F352*Summary!$Q$9)</f>
        <v/>
      </c>
    </row>
    <row r="353" spans="1:53" ht="12" customHeight="1">
      <c r="A353" s="67" t="str">
        <f t="shared" si="227"/>
        <v/>
      </c>
      <c r="B353" s="69" t="str">
        <f t="shared" si="229"/>
        <v/>
      </c>
      <c r="C353" s="71"/>
      <c r="D353" s="69" t="str">
        <f t="shared" si="192"/>
        <v/>
      </c>
      <c r="E353" s="70" t="str">
        <f t="shared" si="193"/>
        <v/>
      </c>
      <c r="F353" s="70" t="str">
        <f t="shared" si="194"/>
        <v/>
      </c>
      <c r="G353" s="63" t="str">
        <f t="shared" si="195"/>
        <v/>
      </c>
      <c r="H353" s="64" t="str">
        <f t="shared" si="196"/>
        <v/>
      </c>
      <c r="I353" s="43"/>
      <c r="J353" s="63" t="str">
        <f t="shared" si="197"/>
        <v/>
      </c>
      <c r="K353" s="64" t="str">
        <f t="shared" si="198"/>
        <v/>
      </c>
      <c r="L353" s="63" t="str">
        <f t="shared" si="199"/>
        <v/>
      </c>
      <c r="M353" s="64" t="str">
        <f t="shared" si="200"/>
        <v/>
      </c>
      <c r="N353" s="65"/>
      <c r="O353" s="63" t="str">
        <f t="shared" si="201"/>
        <v/>
      </c>
      <c r="P353" s="63" t="str">
        <f t="shared" si="202"/>
        <v/>
      </c>
      <c r="Q353" s="66"/>
      <c r="R353" s="63" t="str">
        <f t="shared" si="203"/>
        <v/>
      </c>
      <c r="S353" s="64" t="str">
        <f t="shared" si="204"/>
        <v/>
      </c>
      <c r="T353" s="63" t="str">
        <f t="shared" si="205"/>
        <v/>
      </c>
      <c r="U353" s="64" t="str">
        <f t="shared" si="206"/>
        <v/>
      </c>
      <c r="V353" s="90" t="str">
        <f>IF($A354="","",IF(AND(MONTH(A353)&gt;3,MONTH(A353)&lt;11),(T353+R353+G353)*Summary!$T$9/(1-Summary!$T$9),(T353+R353+G353)*Summary!$U$9/(1-Summary!$U$9)))</f>
        <v/>
      </c>
      <c r="W353" s="63" t="str">
        <f t="shared" si="207"/>
        <v/>
      </c>
      <c r="X353" s="63" t="str">
        <f t="shared" si="208"/>
        <v/>
      </c>
      <c r="Y353" s="43"/>
      <c r="Z353" s="38" t="str">
        <f t="shared" si="209"/>
        <v/>
      </c>
      <c r="AA353" s="38" t="str">
        <f t="shared" si="210"/>
        <v/>
      </c>
      <c r="AB353" s="38" t="e">
        <f t="shared" si="211"/>
        <v>#VALUE!</v>
      </c>
      <c r="AC353" s="38" t="str">
        <f t="shared" si="212"/>
        <v/>
      </c>
      <c r="AD353" s="38" t="str">
        <f t="shared" si="212"/>
        <v/>
      </c>
      <c r="AE353" s="38" t="e">
        <f t="shared" si="213"/>
        <v>#VALUE!</v>
      </c>
      <c r="AF353" s="237" t="e">
        <f>((Summary!$N$9*(AA353*AD353)*(A353-$D$3))+(Summary!$M$9*Z353*AC353*(AJ353-EOMONTH(EDATE(A353,-1),0))))/(AK353*AB353*AE353)</f>
        <v>#VALUE!</v>
      </c>
      <c r="AG353" s="88" t="str">
        <f>IF($A354="","",Summary!$Q$9)</f>
        <v/>
      </c>
      <c r="AH353" s="88" t="str">
        <f>IF($A354="","",IF(Summary!$R$9="Y",VLOOKUP($A353,Summary!$AD$6:$AF$9,3)+'Escalating commodity'!E366,'Escalating commodity'!E366))</f>
        <v/>
      </c>
      <c r="AI353" s="88" t="str">
        <f t="shared" si="228"/>
        <v/>
      </c>
      <c r="AJ353" s="236" t="e">
        <f t="shared" si="214"/>
        <v>#VALUE!</v>
      </c>
      <c r="AK353" s="58" t="str">
        <f t="shared" si="215"/>
        <v/>
      </c>
      <c r="AL353" s="26" t="str">
        <f>IF($A354="","",_xll.SPRDOPT(P353,X353,AI353,0,AB353,AE353,AF353,AK353,$AJ$2,0))</f>
        <v/>
      </c>
      <c r="AM353" s="89" t="str">
        <f t="shared" si="216"/>
        <v/>
      </c>
      <c r="AN353" s="89" t="str">
        <f t="shared" si="217"/>
        <v/>
      </c>
      <c r="AO353" s="3" t="str">
        <f t="shared" si="218"/>
        <v/>
      </c>
      <c r="AP353" s="33" t="str">
        <f t="shared" si="219"/>
        <v/>
      </c>
      <c r="AQ353" s="58" t="str">
        <f t="shared" si="220"/>
        <v/>
      </c>
      <c r="AR353" s="38">
        <f>'ANR OK vs ML7'!AR353</f>
        <v>0.1</v>
      </c>
      <c r="AS353" s="35" t="str">
        <f t="shared" si="221"/>
        <v/>
      </c>
      <c r="AT353" s="3" t="str">
        <f t="shared" si="222"/>
        <v/>
      </c>
      <c r="AU353" s="3" t="str">
        <f t="shared" si="223"/>
        <v/>
      </c>
      <c r="AW353" s="32" t="str">
        <f t="shared" si="224"/>
        <v/>
      </c>
      <c r="AX353" s="32" t="str">
        <f t="shared" si="225"/>
        <v/>
      </c>
      <c r="AY353" s="32" t="str">
        <f t="shared" si="226"/>
        <v/>
      </c>
      <c r="BA353" s="32" t="str">
        <f>IF($A354="","",F353*Summary!$Q$9)</f>
        <v/>
      </c>
    </row>
    <row r="354" spans="1:53" ht="12" customHeight="1">
      <c r="A354" s="67" t="str">
        <f t="shared" si="227"/>
        <v/>
      </c>
      <c r="B354" s="69" t="str">
        <f t="shared" si="229"/>
        <v/>
      </c>
      <c r="C354" s="71"/>
      <c r="D354" s="69" t="str">
        <f t="shared" si="192"/>
        <v/>
      </c>
      <c r="E354" s="70" t="str">
        <f t="shared" si="193"/>
        <v/>
      </c>
      <c r="F354" s="70" t="str">
        <f t="shared" si="194"/>
        <v/>
      </c>
      <c r="G354" s="63" t="str">
        <f t="shared" si="195"/>
        <v/>
      </c>
      <c r="H354" s="64" t="str">
        <f t="shared" si="196"/>
        <v/>
      </c>
      <c r="I354" s="43"/>
      <c r="J354" s="63" t="str">
        <f t="shared" si="197"/>
        <v/>
      </c>
      <c r="K354" s="64" t="str">
        <f t="shared" si="198"/>
        <v/>
      </c>
      <c r="L354" s="63" t="str">
        <f t="shared" si="199"/>
        <v/>
      </c>
      <c r="M354" s="64" t="str">
        <f t="shared" si="200"/>
        <v/>
      </c>
      <c r="N354" s="65"/>
      <c r="O354" s="63" t="str">
        <f t="shared" si="201"/>
        <v/>
      </c>
      <c r="P354" s="63" t="str">
        <f t="shared" si="202"/>
        <v/>
      </c>
      <c r="Q354" s="66"/>
      <c r="R354" s="63" t="str">
        <f t="shared" si="203"/>
        <v/>
      </c>
      <c r="S354" s="64" t="str">
        <f t="shared" si="204"/>
        <v/>
      </c>
      <c r="T354" s="63" t="str">
        <f t="shared" si="205"/>
        <v/>
      </c>
      <c r="U354" s="64" t="str">
        <f t="shared" si="206"/>
        <v/>
      </c>
      <c r="V354" s="90" t="str">
        <f>IF($A355="","",IF(AND(MONTH(A354)&gt;3,MONTH(A354)&lt;11),(T354+R354+G354)*Summary!$T$9/(1-Summary!$T$9),(T354+R354+G354)*Summary!$U$9/(1-Summary!$U$9)))</f>
        <v/>
      </c>
      <c r="W354" s="63" t="str">
        <f t="shared" si="207"/>
        <v/>
      </c>
      <c r="X354" s="63" t="str">
        <f t="shared" si="208"/>
        <v/>
      </c>
      <c r="Y354" s="43"/>
      <c r="Z354" s="38" t="str">
        <f t="shared" si="209"/>
        <v/>
      </c>
      <c r="AA354" s="38" t="str">
        <f t="shared" si="210"/>
        <v/>
      </c>
      <c r="AB354" s="38" t="e">
        <f t="shared" si="211"/>
        <v>#VALUE!</v>
      </c>
      <c r="AC354" s="38" t="str">
        <f t="shared" si="212"/>
        <v/>
      </c>
      <c r="AD354" s="38" t="str">
        <f t="shared" si="212"/>
        <v/>
      </c>
      <c r="AE354" s="38" t="e">
        <f t="shared" si="213"/>
        <v>#VALUE!</v>
      </c>
      <c r="AF354" s="237" t="e">
        <f>((Summary!$N$9*(AA354*AD354)*(A354-$D$3))+(Summary!$M$9*Z354*AC354*(AJ354-EOMONTH(EDATE(A354,-1),0))))/(AK354*AB354*AE354)</f>
        <v>#VALUE!</v>
      </c>
      <c r="AG354" s="88" t="str">
        <f>IF($A355="","",Summary!$Q$9)</f>
        <v/>
      </c>
      <c r="AH354" s="88" t="str">
        <f>IF($A355="","",IF(Summary!$R$9="Y",VLOOKUP($A354,Summary!$AD$6:$AF$9,3)+'Escalating commodity'!E367,'Escalating commodity'!E367))</f>
        <v/>
      </c>
      <c r="AI354" s="88" t="str">
        <f t="shared" si="228"/>
        <v/>
      </c>
      <c r="AJ354" s="236" t="e">
        <f t="shared" si="214"/>
        <v>#VALUE!</v>
      </c>
      <c r="AK354" s="58" t="str">
        <f t="shared" si="215"/>
        <v/>
      </c>
      <c r="AL354" s="26" t="str">
        <f>IF($A355="","",_xll.SPRDOPT(P354,X354,AI354,0,AB354,AE354,AF354,AK354,$AJ$2,0))</f>
        <v/>
      </c>
      <c r="AM354" s="89" t="str">
        <f t="shared" si="216"/>
        <v/>
      </c>
      <c r="AN354" s="89" t="str">
        <f t="shared" si="217"/>
        <v/>
      </c>
      <c r="AO354" s="3" t="str">
        <f t="shared" si="218"/>
        <v/>
      </c>
      <c r="AP354" s="33" t="str">
        <f t="shared" si="219"/>
        <v/>
      </c>
      <c r="AQ354" s="58" t="str">
        <f t="shared" si="220"/>
        <v/>
      </c>
      <c r="AR354" s="38">
        <f>'ANR OK vs ML7'!AR354</f>
        <v>0.1</v>
      </c>
      <c r="AS354" s="35" t="str">
        <f t="shared" si="221"/>
        <v/>
      </c>
      <c r="AT354" s="3" t="str">
        <f t="shared" si="222"/>
        <v/>
      </c>
      <c r="AU354" s="3" t="str">
        <f t="shared" si="223"/>
        <v/>
      </c>
      <c r="AW354" s="32" t="str">
        <f t="shared" si="224"/>
        <v/>
      </c>
      <c r="AX354" s="32" t="str">
        <f t="shared" si="225"/>
        <v/>
      </c>
      <c r="AY354" s="32" t="str">
        <f t="shared" si="226"/>
        <v/>
      </c>
      <c r="BA354" s="32" t="str">
        <f>IF($A355="","",F354*Summary!$Q$9)</f>
        <v/>
      </c>
    </row>
    <row r="355" spans="1:53" ht="12" customHeight="1">
      <c r="A355" s="67" t="str">
        <f t="shared" si="227"/>
        <v/>
      </c>
      <c r="B355" s="69" t="str">
        <f t="shared" si="229"/>
        <v/>
      </c>
      <c r="C355" s="71"/>
      <c r="D355" s="69" t="str">
        <f t="shared" si="192"/>
        <v/>
      </c>
      <c r="E355" s="70" t="str">
        <f t="shared" si="193"/>
        <v/>
      </c>
      <c r="F355" s="70" t="str">
        <f t="shared" si="194"/>
        <v/>
      </c>
      <c r="G355" s="63" t="str">
        <f t="shared" si="195"/>
        <v/>
      </c>
      <c r="H355" s="64" t="str">
        <f t="shared" si="196"/>
        <v/>
      </c>
      <c r="I355" s="43"/>
      <c r="J355" s="63" t="str">
        <f t="shared" si="197"/>
        <v/>
      </c>
      <c r="K355" s="64" t="str">
        <f t="shared" si="198"/>
        <v/>
      </c>
      <c r="L355" s="63" t="str">
        <f t="shared" si="199"/>
        <v/>
      </c>
      <c r="M355" s="64" t="str">
        <f t="shared" si="200"/>
        <v/>
      </c>
      <c r="N355" s="65"/>
      <c r="O355" s="63" t="str">
        <f t="shared" si="201"/>
        <v/>
      </c>
      <c r="P355" s="63" t="str">
        <f t="shared" si="202"/>
        <v/>
      </c>
      <c r="Q355" s="66"/>
      <c r="R355" s="63" t="str">
        <f t="shared" si="203"/>
        <v/>
      </c>
      <c r="S355" s="64" t="str">
        <f t="shared" si="204"/>
        <v/>
      </c>
      <c r="T355" s="63" t="str">
        <f t="shared" si="205"/>
        <v/>
      </c>
      <c r="U355" s="64" t="str">
        <f t="shared" si="206"/>
        <v/>
      </c>
      <c r="V355" s="90" t="str">
        <f>IF($A356="","",IF(AND(MONTH(A355)&gt;3,MONTH(A355)&lt;11),(T355+R355+G355)*Summary!$T$9/(1-Summary!$T$9),(T355+R355+G355)*Summary!$U$9/(1-Summary!$U$9)))</f>
        <v/>
      </c>
      <c r="W355" s="63" t="str">
        <f t="shared" si="207"/>
        <v/>
      </c>
      <c r="X355" s="63" t="str">
        <f t="shared" si="208"/>
        <v/>
      </c>
      <c r="Y355" s="43"/>
      <c r="Z355" s="38" t="str">
        <f t="shared" si="209"/>
        <v/>
      </c>
      <c r="AA355" s="38" t="str">
        <f t="shared" si="210"/>
        <v/>
      </c>
      <c r="AB355" s="38" t="e">
        <f t="shared" si="211"/>
        <v>#VALUE!</v>
      </c>
      <c r="AC355" s="38" t="str">
        <f t="shared" si="212"/>
        <v/>
      </c>
      <c r="AD355" s="38" t="str">
        <f t="shared" si="212"/>
        <v/>
      </c>
      <c r="AE355" s="38" t="e">
        <f t="shared" si="213"/>
        <v>#VALUE!</v>
      </c>
      <c r="AF355" s="237" t="e">
        <f>((Summary!$N$9*(AA355*AD355)*(A355-$D$3))+(Summary!$M$9*Z355*AC355*(AJ355-EOMONTH(EDATE(A355,-1),0))))/(AK355*AB355*AE355)</f>
        <v>#VALUE!</v>
      </c>
      <c r="AG355" s="88" t="str">
        <f>IF($A356="","",Summary!$Q$9)</f>
        <v/>
      </c>
      <c r="AH355" s="88" t="str">
        <f>IF($A356="","",IF(Summary!$R$9="Y",VLOOKUP($A355,Summary!$AD$6:$AF$9,3)+'Escalating commodity'!E368,'Escalating commodity'!E368))</f>
        <v/>
      </c>
      <c r="AI355" s="88" t="str">
        <f t="shared" si="228"/>
        <v/>
      </c>
      <c r="AJ355" s="236" t="e">
        <f t="shared" si="214"/>
        <v>#VALUE!</v>
      </c>
      <c r="AK355" s="58" t="str">
        <f t="shared" si="215"/>
        <v/>
      </c>
      <c r="AL355" s="26" t="str">
        <f>IF($A356="","",_xll.SPRDOPT(P355,X355,AI355,0,AB355,AE355,AF355,AK355,$AJ$2,0))</f>
        <v/>
      </c>
      <c r="AM355" s="89" t="str">
        <f t="shared" si="216"/>
        <v/>
      </c>
      <c r="AN355" s="89" t="str">
        <f t="shared" si="217"/>
        <v/>
      </c>
      <c r="AO355" s="3" t="str">
        <f t="shared" si="218"/>
        <v/>
      </c>
      <c r="AP355" s="33" t="str">
        <f t="shared" si="219"/>
        <v/>
      </c>
      <c r="AQ355" s="58" t="str">
        <f t="shared" si="220"/>
        <v/>
      </c>
      <c r="AR355" s="38">
        <f>'ANR OK vs ML7'!AR355</f>
        <v>0.1</v>
      </c>
      <c r="AS355" s="35" t="str">
        <f t="shared" si="221"/>
        <v/>
      </c>
      <c r="AT355" s="3" t="str">
        <f t="shared" si="222"/>
        <v/>
      </c>
      <c r="AU355" s="3" t="str">
        <f t="shared" si="223"/>
        <v/>
      </c>
      <c r="AW355" s="32" t="str">
        <f t="shared" si="224"/>
        <v/>
      </c>
      <c r="AX355" s="32" t="str">
        <f t="shared" si="225"/>
        <v/>
      </c>
      <c r="AY355" s="32" t="str">
        <f t="shared" si="226"/>
        <v/>
      </c>
      <c r="BA355" s="32" t="str">
        <f>IF($A356="","",F355*Summary!$Q$9)</f>
        <v/>
      </c>
    </row>
    <row r="356" spans="1:53" ht="12" customHeight="1">
      <c r="A356" s="67" t="str">
        <f t="shared" si="227"/>
        <v/>
      </c>
      <c r="B356" s="69" t="str">
        <f t="shared" si="229"/>
        <v/>
      </c>
      <c r="C356" s="71"/>
      <c r="D356" s="69" t="str">
        <f t="shared" si="192"/>
        <v/>
      </c>
      <c r="E356" s="70" t="str">
        <f t="shared" si="193"/>
        <v/>
      </c>
      <c r="F356" s="70" t="str">
        <f t="shared" si="194"/>
        <v/>
      </c>
      <c r="G356" s="63" t="str">
        <f t="shared" si="195"/>
        <v/>
      </c>
      <c r="H356" s="64" t="str">
        <f t="shared" si="196"/>
        <v/>
      </c>
      <c r="I356" s="43"/>
      <c r="J356" s="63" t="str">
        <f t="shared" si="197"/>
        <v/>
      </c>
      <c r="K356" s="64" t="str">
        <f t="shared" si="198"/>
        <v/>
      </c>
      <c r="L356" s="63" t="str">
        <f t="shared" si="199"/>
        <v/>
      </c>
      <c r="M356" s="64" t="str">
        <f t="shared" si="200"/>
        <v/>
      </c>
      <c r="N356" s="65"/>
      <c r="O356" s="63" t="str">
        <f t="shared" si="201"/>
        <v/>
      </c>
      <c r="P356" s="63" t="str">
        <f t="shared" si="202"/>
        <v/>
      </c>
      <c r="Q356" s="66"/>
      <c r="R356" s="63" t="str">
        <f t="shared" si="203"/>
        <v/>
      </c>
      <c r="S356" s="64" t="str">
        <f t="shared" si="204"/>
        <v/>
      </c>
      <c r="T356" s="63" t="str">
        <f t="shared" si="205"/>
        <v/>
      </c>
      <c r="U356" s="64" t="str">
        <f t="shared" si="206"/>
        <v/>
      </c>
      <c r="V356" s="90" t="str">
        <f>IF($A357="","",IF(AND(MONTH(A356)&gt;3,MONTH(A356)&lt;11),(T356+R356+G356)*Summary!$T$9/(1-Summary!$T$9),(T356+R356+G356)*Summary!$U$9/(1-Summary!$U$9)))</f>
        <v/>
      </c>
      <c r="W356" s="63" t="str">
        <f t="shared" si="207"/>
        <v/>
      </c>
      <c r="X356" s="63" t="str">
        <f t="shared" si="208"/>
        <v/>
      </c>
      <c r="Y356" s="43"/>
      <c r="Z356" s="38" t="str">
        <f t="shared" si="209"/>
        <v/>
      </c>
      <c r="AA356" s="38" t="str">
        <f t="shared" si="210"/>
        <v/>
      </c>
      <c r="AB356" s="38" t="e">
        <f t="shared" si="211"/>
        <v>#VALUE!</v>
      </c>
      <c r="AC356" s="38" t="str">
        <f t="shared" si="212"/>
        <v/>
      </c>
      <c r="AD356" s="38" t="str">
        <f t="shared" si="212"/>
        <v/>
      </c>
      <c r="AE356" s="38" t="e">
        <f t="shared" si="213"/>
        <v>#VALUE!</v>
      </c>
      <c r="AF356" s="237" t="e">
        <f>((Summary!$N$9*(AA356*AD356)*(A356-$D$3))+(Summary!$M$9*Z356*AC356*(AJ356-EOMONTH(EDATE(A356,-1),0))))/(AK356*AB356*AE356)</f>
        <v>#VALUE!</v>
      </c>
      <c r="AG356" s="88" t="str">
        <f>IF($A357="","",Summary!$Q$9)</f>
        <v/>
      </c>
      <c r="AH356" s="88" t="str">
        <f>IF($A357="","",IF(Summary!$R$9="Y",VLOOKUP($A356,Summary!$AD$6:$AF$9,3)+'Escalating commodity'!E369,'Escalating commodity'!E369))</f>
        <v/>
      </c>
      <c r="AI356" s="88" t="str">
        <f t="shared" si="228"/>
        <v/>
      </c>
      <c r="AJ356" s="236" t="e">
        <f t="shared" si="214"/>
        <v>#VALUE!</v>
      </c>
      <c r="AK356" s="58" t="str">
        <f t="shared" si="215"/>
        <v/>
      </c>
      <c r="AL356" s="26" t="str">
        <f>IF($A357="","",_xll.SPRDOPT(P356,X356,AI356,0,AB356,AE356,AF356,AK356,$AJ$2,0))</f>
        <v/>
      </c>
      <c r="AM356" s="89" t="str">
        <f t="shared" si="216"/>
        <v/>
      </c>
      <c r="AN356" s="89" t="str">
        <f t="shared" si="217"/>
        <v/>
      </c>
      <c r="AO356" s="3" t="str">
        <f t="shared" si="218"/>
        <v/>
      </c>
      <c r="AP356" s="33" t="str">
        <f t="shared" si="219"/>
        <v/>
      </c>
      <c r="AQ356" s="58" t="str">
        <f t="shared" si="220"/>
        <v/>
      </c>
      <c r="AR356" s="38">
        <f>'ANR OK vs ML7'!AR356</f>
        <v>0.1</v>
      </c>
      <c r="AS356" s="35" t="str">
        <f t="shared" si="221"/>
        <v/>
      </c>
      <c r="AT356" s="3" t="str">
        <f t="shared" si="222"/>
        <v/>
      </c>
      <c r="AU356" s="3" t="str">
        <f t="shared" si="223"/>
        <v/>
      </c>
      <c r="AW356" s="32" t="str">
        <f t="shared" si="224"/>
        <v/>
      </c>
      <c r="AX356" s="32" t="str">
        <f t="shared" si="225"/>
        <v/>
      </c>
      <c r="AY356" s="32" t="str">
        <f t="shared" si="226"/>
        <v/>
      </c>
      <c r="BA356" s="32" t="str">
        <f>IF($A357="","",F356*Summary!$Q$9)</f>
        <v/>
      </c>
    </row>
    <row r="357" spans="1:53" ht="12" customHeight="1">
      <c r="A357" s="67" t="str">
        <f t="shared" si="227"/>
        <v/>
      </c>
      <c r="B357" s="69" t="str">
        <f t="shared" si="229"/>
        <v/>
      </c>
      <c r="C357" s="71"/>
      <c r="D357" s="69" t="str">
        <f t="shared" si="192"/>
        <v/>
      </c>
      <c r="E357" s="70" t="str">
        <f t="shared" si="193"/>
        <v/>
      </c>
      <c r="F357" s="70" t="str">
        <f t="shared" si="194"/>
        <v/>
      </c>
      <c r="G357" s="63" t="str">
        <f t="shared" si="195"/>
        <v/>
      </c>
      <c r="H357" s="64" t="str">
        <f t="shared" si="196"/>
        <v/>
      </c>
      <c r="I357" s="43"/>
      <c r="J357" s="63" t="str">
        <f t="shared" si="197"/>
        <v/>
      </c>
      <c r="K357" s="64" t="str">
        <f t="shared" si="198"/>
        <v/>
      </c>
      <c r="L357" s="63" t="str">
        <f t="shared" si="199"/>
        <v/>
      </c>
      <c r="M357" s="64" t="str">
        <f t="shared" si="200"/>
        <v/>
      </c>
      <c r="N357" s="65"/>
      <c r="O357" s="63" t="str">
        <f t="shared" si="201"/>
        <v/>
      </c>
      <c r="P357" s="63" t="str">
        <f t="shared" si="202"/>
        <v/>
      </c>
      <c r="Q357" s="66"/>
      <c r="R357" s="63" t="str">
        <f t="shared" si="203"/>
        <v/>
      </c>
      <c r="S357" s="64" t="str">
        <f t="shared" si="204"/>
        <v/>
      </c>
      <c r="T357" s="63" t="str">
        <f t="shared" si="205"/>
        <v/>
      </c>
      <c r="U357" s="64" t="str">
        <f t="shared" si="206"/>
        <v/>
      </c>
      <c r="V357" s="90" t="str">
        <f>IF($A358="","",IF(AND(MONTH(A357)&gt;3,MONTH(A357)&lt;11),(T357+R357+G357)*Summary!$T$9/(1-Summary!$T$9),(T357+R357+G357)*Summary!$U$9/(1-Summary!$U$9)))</f>
        <v/>
      </c>
      <c r="W357" s="63" t="str">
        <f t="shared" si="207"/>
        <v/>
      </c>
      <c r="X357" s="63" t="str">
        <f t="shared" si="208"/>
        <v/>
      </c>
      <c r="Y357" s="43"/>
      <c r="Z357" s="38" t="str">
        <f t="shared" si="209"/>
        <v/>
      </c>
      <c r="AA357" s="38" t="str">
        <f t="shared" si="210"/>
        <v/>
      </c>
      <c r="AB357" s="38" t="e">
        <f t="shared" si="211"/>
        <v>#VALUE!</v>
      </c>
      <c r="AC357" s="38" t="str">
        <f t="shared" si="212"/>
        <v/>
      </c>
      <c r="AD357" s="38" t="str">
        <f t="shared" si="212"/>
        <v/>
      </c>
      <c r="AE357" s="38" t="e">
        <f t="shared" si="213"/>
        <v>#VALUE!</v>
      </c>
      <c r="AF357" s="237" t="e">
        <f>((Summary!$N$9*(AA357*AD357)*(A357-$D$3))+(Summary!$M$9*Z357*AC357*(AJ357-EOMONTH(EDATE(A357,-1),0))))/(AK357*AB357*AE357)</f>
        <v>#VALUE!</v>
      </c>
      <c r="AG357" s="88" t="str">
        <f>IF($A358="","",Summary!$Q$9)</f>
        <v/>
      </c>
      <c r="AH357" s="88" t="str">
        <f>IF($A358="","",IF(Summary!$R$9="Y",VLOOKUP($A357,Summary!$AD$6:$AF$9,3)+'Escalating commodity'!E370,'Escalating commodity'!E370))</f>
        <v/>
      </c>
      <c r="AI357" s="88" t="str">
        <f t="shared" si="228"/>
        <v/>
      </c>
      <c r="AJ357" s="236" t="e">
        <f t="shared" si="214"/>
        <v>#VALUE!</v>
      </c>
      <c r="AK357" s="58" t="str">
        <f t="shared" si="215"/>
        <v/>
      </c>
      <c r="AL357" s="26" t="str">
        <f>IF($A358="","",_xll.SPRDOPT(P357,X357,AI357,0,AB357,AE357,AF357,AK357,$AJ$2,0))</f>
        <v/>
      </c>
      <c r="AM357" s="89" t="str">
        <f t="shared" si="216"/>
        <v/>
      </c>
      <c r="AN357" s="89" t="str">
        <f t="shared" si="217"/>
        <v/>
      </c>
      <c r="AO357" s="3" t="str">
        <f t="shared" si="218"/>
        <v/>
      </c>
      <c r="AP357" s="33" t="str">
        <f t="shared" si="219"/>
        <v/>
      </c>
      <c r="AQ357" s="58" t="str">
        <f t="shared" si="220"/>
        <v/>
      </c>
      <c r="AR357" s="38">
        <f>'ANR OK vs ML7'!AR357</f>
        <v>0.1</v>
      </c>
      <c r="AS357" s="35" t="str">
        <f t="shared" si="221"/>
        <v/>
      </c>
      <c r="AT357" s="3" t="str">
        <f t="shared" si="222"/>
        <v/>
      </c>
      <c r="AU357" s="3" t="str">
        <f t="shared" si="223"/>
        <v/>
      </c>
      <c r="AW357" s="32" t="str">
        <f t="shared" si="224"/>
        <v/>
      </c>
      <c r="AX357" s="32" t="str">
        <f t="shared" si="225"/>
        <v/>
      </c>
      <c r="AY357" s="32" t="str">
        <f t="shared" si="226"/>
        <v/>
      </c>
      <c r="BA357" s="32" t="str">
        <f>IF($A358="","",F357*Summary!$Q$9)</f>
        <v/>
      </c>
    </row>
    <row r="358" spans="1:53" ht="12" customHeight="1">
      <c r="A358" s="67" t="str">
        <f t="shared" si="227"/>
        <v/>
      </c>
      <c r="B358" s="69" t="str">
        <f t="shared" si="229"/>
        <v/>
      </c>
      <c r="C358" s="71"/>
      <c r="D358" s="69" t="str">
        <f t="shared" si="192"/>
        <v/>
      </c>
      <c r="E358" s="70" t="str">
        <f t="shared" si="193"/>
        <v/>
      </c>
      <c r="F358" s="70" t="str">
        <f t="shared" si="194"/>
        <v/>
      </c>
      <c r="G358" s="63" t="str">
        <f t="shared" si="195"/>
        <v/>
      </c>
      <c r="H358" s="64" t="str">
        <f t="shared" si="196"/>
        <v/>
      </c>
      <c r="I358" s="43"/>
      <c r="J358" s="63" t="str">
        <f t="shared" si="197"/>
        <v/>
      </c>
      <c r="K358" s="64" t="str">
        <f t="shared" si="198"/>
        <v/>
      </c>
      <c r="L358" s="63" t="str">
        <f t="shared" si="199"/>
        <v/>
      </c>
      <c r="M358" s="64" t="str">
        <f t="shared" si="200"/>
        <v/>
      </c>
      <c r="N358" s="65"/>
      <c r="O358" s="63" t="str">
        <f t="shared" si="201"/>
        <v/>
      </c>
      <c r="P358" s="63" t="str">
        <f t="shared" si="202"/>
        <v/>
      </c>
      <c r="Q358" s="66"/>
      <c r="R358" s="63" t="str">
        <f t="shared" si="203"/>
        <v/>
      </c>
      <c r="S358" s="64" t="str">
        <f t="shared" si="204"/>
        <v/>
      </c>
      <c r="T358" s="63" t="str">
        <f t="shared" si="205"/>
        <v/>
      </c>
      <c r="U358" s="64" t="str">
        <f t="shared" si="206"/>
        <v/>
      </c>
      <c r="V358" s="90" t="str">
        <f>IF($A359="","",IF(AND(MONTH(A358)&gt;3,MONTH(A358)&lt;11),(T358+R358+G358)*Summary!$T$9/(1-Summary!$T$9),(T358+R358+G358)*Summary!$U$9/(1-Summary!$U$9)))</f>
        <v/>
      </c>
      <c r="W358" s="63" t="str">
        <f t="shared" si="207"/>
        <v/>
      </c>
      <c r="X358" s="63" t="str">
        <f t="shared" si="208"/>
        <v/>
      </c>
      <c r="Y358" s="43"/>
      <c r="Z358" s="38" t="str">
        <f t="shared" si="209"/>
        <v/>
      </c>
      <c r="AA358" s="38" t="str">
        <f t="shared" si="210"/>
        <v/>
      </c>
      <c r="AB358" s="38" t="e">
        <f t="shared" si="211"/>
        <v>#VALUE!</v>
      </c>
      <c r="AC358" s="38" t="str">
        <f t="shared" si="212"/>
        <v/>
      </c>
      <c r="AD358" s="38" t="str">
        <f t="shared" si="212"/>
        <v/>
      </c>
      <c r="AE358" s="38" t="e">
        <f t="shared" si="213"/>
        <v>#VALUE!</v>
      </c>
      <c r="AF358" s="237" t="e">
        <f>((Summary!$N$9*(AA358*AD358)*(A358-$D$3))+(Summary!$M$9*Z358*AC358*(AJ358-EOMONTH(EDATE(A358,-1),0))))/(AK358*AB358*AE358)</f>
        <v>#VALUE!</v>
      </c>
      <c r="AG358" s="88" t="str">
        <f>IF($A359="","",Summary!$Q$9)</f>
        <v/>
      </c>
      <c r="AH358" s="88" t="str">
        <f>IF($A359="","",IF(Summary!$R$9="Y",VLOOKUP($A358,Summary!$AD$6:$AF$9,3)+'Escalating commodity'!E371,'Escalating commodity'!E371))</f>
        <v/>
      </c>
      <c r="AI358" s="88" t="str">
        <f t="shared" si="228"/>
        <v/>
      </c>
      <c r="AJ358" s="236" t="e">
        <f t="shared" si="214"/>
        <v>#VALUE!</v>
      </c>
      <c r="AK358" s="58" t="str">
        <f t="shared" si="215"/>
        <v/>
      </c>
      <c r="AL358" s="26" t="str">
        <f>IF($A359="","",_xll.SPRDOPT(P358,X358,AI358,0,AB358,AE358,AF358,AK358,$AJ$2,0))</f>
        <v/>
      </c>
      <c r="AM358" s="89" t="str">
        <f t="shared" si="216"/>
        <v/>
      </c>
      <c r="AN358" s="89" t="str">
        <f t="shared" si="217"/>
        <v/>
      </c>
      <c r="AO358" s="3" t="str">
        <f t="shared" si="218"/>
        <v/>
      </c>
      <c r="AP358" s="33" t="str">
        <f t="shared" si="219"/>
        <v/>
      </c>
      <c r="AQ358" s="58" t="str">
        <f t="shared" si="220"/>
        <v/>
      </c>
      <c r="AR358" s="38">
        <f>'ANR OK vs ML7'!AR358</f>
        <v>0.1</v>
      </c>
      <c r="AS358" s="35" t="str">
        <f t="shared" si="221"/>
        <v/>
      </c>
      <c r="AT358" s="3" t="str">
        <f t="shared" si="222"/>
        <v/>
      </c>
      <c r="AU358" s="3" t="str">
        <f t="shared" si="223"/>
        <v/>
      </c>
      <c r="AW358" s="32" t="str">
        <f t="shared" si="224"/>
        <v/>
      </c>
      <c r="AX358" s="32" t="str">
        <f t="shared" si="225"/>
        <v/>
      </c>
      <c r="AY358" s="32" t="str">
        <f t="shared" si="226"/>
        <v/>
      </c>
      <c r="BA358" s="32" t="str">
        <f>IF($A359="","",F358*Summary!$Q$9)</f>
        <v/>
      </c>
    </row>
    <row r="359" spans="1:53" ht="12" customHeight="1">
      <c r="A359" s="67" t="str">
        <f t="shared" si="227"/>
        <v/>
      </c>
      <c r="B359" s="69" t="str">
        <f t="shared" si="229"/>
        <v/>
      </c>
      <c r="C359" s="71"/>
      <c r="D359" s="69" t="str">
        <f t="shared" si="192"/>
        <v/>
      </c>
      <c r="E359" s="70" t="str">
        <f t="shared" si="193"/>
        <v/>
      </c>
      <c r="F359" s="70" t="str">
        <f t="shared" si="194"/>
        <v/>
      </c>
      <c r="G359" s="63" t="str">
        <f t="shared" si="195"/>
        <v/>
      </c>
      <c r="H359" s="64" t="str">
        <f t="shared" si="196"/>
        <v/>
      </c>
      <c r="I359" s="43"/>
      <c r="J359" s="63" t="str">
        <f t="shared" si="197"/>
        <v/>
      </c>
      <c r="K359" s="64" t="str">
        <f t="shared" si="198"/>
        <v/>
      </c>
      <c r="L359" s="63" t="str">
        <f t="shared" si="199"/>
        <v/>
      </c>
      <c r="M359" s="64" t="str">
        <f t="shared" si="200"/>
        <v/>
      </c>
      <c r="N359" s="65"/>
      <c r="O359" s="63" t="str">
        <f t="shared" si="201"/>
        <v/>
      </c>
      <c r="P359" s="63" t="str">
        <f t="shared" si="202"/>
        <v/>
      </c>
      <c r="Q359" s="66"/>
      <c r="R359" s="63" t="str">
        <f t="shared" si="203"/>
        <v/>
      </c>
      <c r="S359" s="64" t="str">
        <f t="shared" si="204"/>
        <v/>
      </c>
      <c r="T359" s="63" t="str">
        <f t="shared" si="205"/>
        <v/>
      </c>
      <c r="U359" s="64" t="str">
        <f t="shared" si="206"/>
        <v/>
      </c>
      <c r="V359" s="90" t="str">
        <f>IF($A360="","",IF(AND(MONTH(A359)&gt;3,MONTH(A359)&lt;11),(T359+R359+G359)*Summary!$T$9/(1-Summary!$T$9),(T359+R359+G359)*Summary!$U$9/(1-Summary!$U$9)))</f>
        <v/>
      </c>
      <c r="W359" s="63" t="str">
        <f t="shared" si="207"/>
        <v/>
      </c>
      <c r="X359" s="63" t="str">
        <f t="shared" si="208"/>
        <v/>
      </c>
      <c r="Y359" s="43"/>
      <c r="Z359" s="38" t="str">
        <f t="shared" si="209"/>
        <v/>
      </c>
      <c r="AA359" s="38" t="str">
        <f t="shared" si="210"/>
        <v/>
      </c>
      <c r="AB359" s="38" t="e">
        <f t="shared" si="211"/>
        <v>#VALUE!</v>
      </c>
      <c r="AC359" s="38" t="str">
        <f t="shared" si="212"/>
        <v/>
      </c>
      <c r="AD359" s="38" t="str">
        <f t="shared" si="212"/>
        <v/>
      </c>
      <c r="AE359" s="38" t="e">
        <f t="shared" si="213"/>
        <v>#VALUE!</v>
      </c>
      <c r="AF359" s="237" t="e">
        <f>((Summary!$N$9*(AA359*AD359)*(A359-$D$3))+(Summary!$M$9*Z359*AC359*(AJ359-EOMONTH(EDATE(A359,-1),0))))/(AK359*AB359*AE359)</f>
        <v>#VALUE!</v>
      </c>
      <c r="AG359" s="88" t="str">
        <f>IF($A360="","",Summary!$Q$9)</f>
        <v/>
      </c>
      <c r="AH359" s="88" t="str">
        <f>IF($A360="","",IF(Summary!$R$9="Y",VLOOKUP($A359,Summary!$AD$6:$AF$9,3)+'Escalating commodity'!E372,'Escalating commodity'!E372))</f>
        <v/>
      </c>
      <c r="AI359" s="88" t="str">
        <f t="shared" si="228"/>
        <v/>
      </c>
      <c r="AJ359" s="236" t="e">
        <f t="shared" si="214"/>
        <v>#VALUE!</v>
      </c>
      <c r="AK359" s="58" t="str">
        <f t="shared" si="215"/>
        <v/>
      </c>
      <c r="AL359" s="26" t="str">
        <f>IF($A360="","",_xll.SPRDOPT(P359,X359,AI359,0,AB359,AE359,AF359,AK359,$AJ$2,0))</f>
        <v/>
      </c>
      <c r="AM359" s="89" t="str">
        <f t="shared" si="216"/>
        <v/>
      </c>
      <c r="AN359" s="89" t="str">
        <f t="shared" si="217"/>
        <v/>
      </c>
      <c r="AO359" s="3" t="str">
        <f t="shared" si="218"/>
        <v/>
      </c>
      <c r="AP359" s="33" t="str">
        <f t="shared" si="219"/>
        <v/>
      </c>
      <c r="AQ359" s="58" t="str">
        <f t="shared" si="220"/>
        <v/>
      </c>
      <c r="AR359" s="38">
        <f>'ANR OK vs ML7'!AR359</f>
        <v>0.1</v>
      </c>
      <c r="AS359" s="35" t="str">
        <f t="shared" si="221"/>
        <v/>
      </c>
      <c r="AT359" s="3" t="str">
        <f t="shared" si="222"/>
        <v/>
      </c>
      <c r="AU359" s="3" t="str">
        <f t="shared" si="223"/>
        <v/>
      </c>
      <c r="AW359" s="32" t="str">
        <f t="shared" si="224"/>
        <v/>
      </c>
      <c r="AX359" s="32" t="str">
        <f t="shared" si="225"/>
        <v/>
      </c>
      <c r="AY359" s="32" t="str">
        <f t="shared" si="226"/>
        <v/>
      </c>
      <c r="BA359" s="32" t="str">
        <f>IF($A360="","",F359*Summary!$Q$9)</f>
        <v/>
      </c>
    </row>
    <row r="360" spans="1:53" ht="12" customHeight="1">
      <c r="A360" s="67" t="str">
        <f t="shared" si="227"/>
        <v/>
      </c>
      <c r="B360" s="69" t="str">
        <f t="shared" si="229"/>
        <v/>
      </c>
      <c r="C360" s="71"/>
      <c r="D360" s="69" t="str">
        <f t="shared" si="192"/>
        <v/>
      </c>
      <c r="E360" s="70" t="str">
        <f t="shared" si="193"/>
        <v/>
      </c>
      <c r="F360" s="70" t="str">
        <f t="shared" si="194"/>
        <v/>
      </c>
      <c r="G360" s="63" t="str">
        <f t="shared" si="195"/>
        <v/>
      </c>
      <c r="H360" s="64" t="str">
        <f t="shared" si="196"/>
        <v/>
      </c>
      <c r="I360" s="43"/>
      <c r="J360" s="63" t="str">
        <f t="shared" si="197"/>
        <v/>
      </c>
      <c r="K360" s="64" t="str">
        <f t="shared" si="198"/>
        <v/>
      </c>
      <c r="L360" s="63" t="str">
        <f t="shared" si="199"/>
        <v/>
      </c>
      <c r="M360" s="64" t="str">
        <f t="shared" si="200"/>
        <v/>
      </c>
      <c r="N360" s="65"/>
      <c r="O360" s="63" t="str">
        <f t="shared" si="201"/>
        <v/>
      </c>
      <c r="P360" s="63" t="str">
        <f t="shared" si="202"/>
        <v/>
      </c>
      <c r="Q360" s="66"/>
      <c r="R360" s="63" t="str">
        <f t="shared" si="203"/>
        <v/>
      </c>
      <c r="S360" s="64" t="str">
        <f t="shared" si="204"/>
        <v/>
      </c>
      <c r="T360" s="63" t="str">
        <f t="shared" si="205"/>
        <v/>
      </c>
      <c r="U360" s="64" t="str">
        <f t="shared" si="206"/>
        <v/>
      </c>
      <c r="V360" s="90" t="str">
        <f>IF($A361="","",IF(AND(MONTH(A360)&gt;3,MONTH(A360)&lt;11),(T360+R360+G360)*Summary!$T$9/(1-Summary!$T$9),(T360+R360+G360)*Summary!$U$9/(1-Summary!$U$9)))</f>
        <v/>
      </c>
      <c r="W360" s="63" t="str">
        <f t="shared" si="207"/>
        <v/>
      </c>
      <c r="X360" s="63" t="str">
        <f t="shared" si="208"/>
        <v/>
      </c>
      <c r="Y360" s="43"/>
      <c r="Z360" s="38" t="str">
        <f t="shared" si="209"/>
        <v/>
      </c>
      <c r="AA360" s="38" t="str">
        <f t="shared" si="210"/>
        <v/>
      </c>
      <c r="AB360" s="38" t="e">
        <f t="shared" si="211"/>
        <v>#VALUE!</v>
      </c>
      <c r="AC360" s="38" t="str">
        <f t="shared" si="212"/>
        <v/>
      </c>
      <c r="AD360" s="38" t="str">
        <f t="shared" si="212"/>
        <v/>
      </c>
      <c r="AE360" s="38" t="e">
        <f t="shared" si="213"/>
        <v>#VALUE!</v>
      </c>
      <c r="AF360" s="237" t="e">
        <f>((Summary!$N$9*(AA360*AD360)*(A360-$D$3))+(Summary!$M$9*Z360*AC360*(AJ360-EOMONTH(EDATE(A360,-1),0))))/(AK360*AB360*AE360)</f>
        <v>#VALUE!</v>
      </c>
      <c r="AG360" s="88" t="str">
        <f>IF($A361="","",Summary!$Q$9)</f>
        <v/>
      </c>
      <c r="AH360" s="88" t="str">
        <f>IF($A361="","",IF(Summary!$R$9="Y",VLOOKUP($A360,Summary!$AD$6:$AF$9,3)+'Escalating commodity'!E373,'Escalating commodity'!E373))</f>
        <v/>
      </c>
      <c r="AI360" s="88" t="str">
        <f t="shared" si="228"/>
        <v/>
      </c>
      <c r="AJ360" s="236" t="e">
        <f t="shared" si="214"/>
        <v>#VALUE!</v>
      </c>
      <c r="AK360" s="58" t="str">
        <f t="shared" si="215"/>
        <v/>
      </c>
      <c r="AL360" s="26" t="str">
        <f>IF($A361="","",_xll.SPRDOPT(P360,X360,AI360,0,AB360,AE360,AF360,AK360,$AJ$2,0))</f>
        <v/>
      </c>
      <c r="AM360" s="89" t="str">
        <f t="shared" si="216"/>
        <v/>
      </c>
      <c r="AN360" s="89" t="str">
        <f t="shared" si="217"/>
        <v/>
      </c>
      <c r="AO360" s="3" t="str">
        <f t="shared" si="218"/>
        <v/>
      </c>
      <c r="AP360" s="33" t="str">
        <f t="shared" si="219"/>
        <v/>
      </c>
      <c r="AQ360" s="58" t="str">
        <f t="shared" si="220"/>
        <v/>
      </c>
      <c r="AR360" s="38">
        <f>'ANR OK vs ML7'!AR360</f>
        <v>0.1</v>
      </c>
      <c r="AS360" s="35" t="str">
        <f t="shared" si="221"/>
        <v/>
      </c>
      <c r="AT360" s="3" t="str">
        <f t="shared" si="222"/>
        <v/>
      </c>
      <c r="AU360" s="3" t="str">
        <f t="shared" si="223"/>
        <v/>
      </c>
      <c r="AW360" s="32" t="str">
        <f t="shared" si="224"/>
        <v/>
      </c>
      <c r="AX360" s="32" t="str">
        <f t="shared" si="225"/>
        <v/>
      </c>
      <c r="AY360" s="32" t="str">
        <f t="shared" si="226"/>
        <v/>
      </c>
      <c r="BA360" s="32" t="str">
        <f>IF($A361="","",F360*Summary!$Q$9)</f>
        <v/>
      </c>
    </row>
    <row r="361" spans="1:53" ht="12" customHeight="1">
      <c r="A361" s="67" t="str">
        <f t="shared" si="227"/>
        <v/>
      </c>
      <c r="B361" s="69" t="str">
        <f t="shared" si="229"/>
        <v/>
      </c>
      <c r="C361" s="71"/>
      <c r="D361" s="69" t="str">
        <f t="shared" si="192"/>
        <v/>
      </c>
      <c r="E361" s="70" t="str">
        <f t="shared" si="193"/>
        <v/>
      </c>
      <c r="F361" s="70" t="str">
        <f t="shared" si="194"/>
        <v/>
      </c>
      <c r="G361" s="63" t="str">
        <f t="shared" si="195"/>
        <v/>
      </c>
      <c r="H361" s="64" t="str">
        <f t="shared" si="196"/>
        <v/>
      </c>
      <c r="I361" s="43"/>
      <c r="J361" s="63" t="str">
        <f t="shared" si="197"/>
        <v/>
      </c>
      <c r="K361" s="64" t="str">
        <f t="shared" si="198"/>
        <v/>
      </c>
      <c r="L361" s="63" t="str">
        <f t="shared" si="199"/>
        <v/>
      </c>
      <c r="M361" s="64" t="str">
        <f t="shared" si="200"/>
        <v/>
      </c>
      <c r="N361" s="65"/>
      <c r="O361" s="63" t="str">
        <f t="shared" si="201"/>
        <v/>
      </c>
      <c r="P361" s="63" t="str">
        <f t="shared" si="202"/>
        <v/>
      </c>
      <c r="Q361" s="66"/>
      <c r="R361" s="63" t="str">
        <f t="shared" si="203"/>
        <v/>
      </c>
      <c r="S361" s="64" t="str">
        <f t="shared" si="204"/>
        <v/>
      </c>
      <c r="T361" s="63" t="str">
        <f t="shared" si="205"/>
        <v/>
      </c>
      <c r="U361" s="64" t="str">
        <f t="shared" si="206"/>
        <v/>
      </c>
      <c r="V361" s="90" t="str">
        <f>IF($A362="","",IF(AND(MONTH(A361)&gt;3,MONTH(A361)&lt;11),(T361+R361+G361)*Summary!$T$9/(1-Summary!$T$9),(T361+R361+G361)*Summary!$U$9/(1-Summary!$U$9)))</f>
        <v/>
      </c>
      <c r="W361" s="63" t="str">
        <f t="shared" si="207"/>
        <v/>
      </c>
      <c r="X361" s="63" t="str">
        <f t="shared" si="208"/>
        <v/>
      </c>
      <c r="Y361" s="43"/>
      <c r="Z361" s="38" t="str">
        <f t="shared" si="209"/>
        <v/>
      </c>
      <c r="AA361" s="38" t="str">
        <f t="shared" si="210"/>
        <v/>
      </c>
      <c r="AB361" s="38" t="e">
        <f t="shared" si="211"/>
        <v>#VALUE!</v>
      </c>
      <c r="AC361" s="38" t="str">
        <f t="shared" si="212"/>
        <v/>
      </c>
      <c r="AD361" s="38" t="str">
        <f t="shared" si="212"/>
        <v/>
      </c>
      <c r="AE361" s="38" t="e">
        <f t="shared" si="213"/>
        <v>#VALUE!</v>
      </c>
      <c r="AF361" s="237" t="e">
        <f>((Summary!$N$9*(AA361*AD361)*(A361-$D$3))+(Summary!$M$9*Z361*AC361*(AJ361-EOMONTH(EDATE(A361,-1),0))))/(AK361*AB361*AE361)</f>
        <v>#VALUE!</v>
      </c>
      <c r="AG361" s="88" t="str">
        <f>IF($A362="","",Summary!$Q$9)</f>
        <v/>
      </c>
      <c r="AH361" s="88" t="str">
        <f>IF($A362="","",IF(Summary!$R$9="Y",VLOOKUP($A361,Summary!$AD$6:$AF$9,3)+'Escalating commodity'!E374,'Escalating commodity'!E374))</f>
        <v/>
      </c>
      <c r="AI361" s="88" t="str">
        <f t="shared" si="228"/>
        <v/>
      </c>
      <c r="AJ361" s="236" t="e">
        <f t="shared" si="214"/>
        <v>#VALUE!</v>
      </c>
      <c r="AK361" s="58" t="str">
        <f t="shared" si="215"/>
        <v/>
      </c>
      <c r="AL361" s="26" t="str">
        <f>IF($A362="","",_xll.SPRDOPT(P361,X361,AI361,0,AB361,AE361,AF361,AK361,$AJ$2,0))</f>
        <v/>
      </c>
      <c r="AM361" s="89" t="str">
        <f t="shared" si="216"/>
        <v/>
      </c>
      <c r="AN361" s="89" t="str">
        <f t="shared" si="217"/>
        <v/>
      </c>
      <c r="AO361" s="3" t="str">
        <f t="shared" si="218"/>
        <v/>
      </c>
      <c r="AP361" s="33" t="str">
        <f t="shared" si="219"/>
        <v/>
      </c>
      <c r="AQ361" s="58" t="str">
        <f t="shared" si="220"/>
        <v/>
      </c>
      <c r="AR361" s="38">
        <f>'ANR OK vs ML7'!AR361</f>
        <v>0.1</v>
      </c>
      <c r="AS361" s="35" t="str">
        <f t="shared" si="221"/>
        <v/>
      </c>
      <c r="AT361" s="3" t="str">
        <f t="shared" si="222"/>
        <v/>
      </c>
      <c r="AU361" s="3" t="str">
        <f t="shared" si="223"/>
        <v/>
      </c>
      <c r="AW361" s="32" t="str">
        <f t="shared" si="224"/>
        <v/>
      </c>
      <c r="AX361" s="32" t="str">
        <f t="shared" si="225"/>
        <v/>
      </c>
      <c r="AY361" s="32" t="str">
        <f t="shared" si="226"/>
        <v/>
      </c>
      <c r="BA361" s="32" t="str">
        <f>IF($A362="","",F361*Summary!$Q$9)</f>
        <v/>
      </c>
    </row>
    <row r="362" spans="1:53" ht="12" customHeight="1">
      <c r="A362" s="67" t="str">
        <f t="shared" si="227"/>
        <v/>
      </c>
      <c r="B362" s="69" t="str">
        <f t="shared" si="229"/>
        <v/>
      </c>
      <c r="C362" s="71"/>
      <c r="D362" s="69" t="str">
        <f t="shared" si="192"/>
        <v/>
      </c>
      <c r="E362" s="70" t="str">
        <f t="shared" si="193"/>
        <v/>
      </c>
      <c r="F362" s="70" t="str">
        <f t="shared" si="194"/>
        <v/>
      </c>
      <c r="G362" s="63" t="str">
        <f t="shared" si="195"/>
        <v/>
      </c>
      <c r="H362" s="64" t="str">
        <f t="shared" si="196"/>
        <v/>
      </c>
      <c r="I362" s="43"/>
      <c r="J362" s="63" t="str">
        <f t="shared" si="197"/>
        <v/>
      </c>
      <c r="K362" s="64" t="str">
        <f t="shared" si="198"/>
        <v/>
      </c>
      <c r="L362" s="63" t="str">
        <f t="shared" si="199"/>
        <v/>
      </c>
      <c r="M362" s="64" t="str">
        <f t="shared" si="200"/>
        <v/>
      </c>
      <c r="N362" s="65"/>
      <c r="O362" s="63" t="str">
        <f t="shared" si="201"/>
        <v/>
      </c>
      <c r="P362" s="63" t="str">
        <f t="shared" si="202"/>
        <v/>
      </c>
      <c r="Q362" s="66"/>
      <c r="R362" s="63" t="str">
        <f t="shared" si="203"/>
        <v/>
      </c>
      <c r="S362" s="64" t="str">
        <f t="shared" si="204"/>
        <v/>
      </c>
      <c r="T362" s="63" t="str">
        <f t="shared" si="205"/>
        <v/>
      </c>
      <c r="U362" s="64" t="str">
        <f t="shared" si="206"/>
        <v/>
      </c>
      <c r="V362" s="90" t="str">
        <f>IF($A363="","",IF(AND(MONTH(A362)&gt;3,MONTH(A362)&lt;11),(T362+R362+G362)*Summary!$T$9/(1-Summary!$T$9),(T362+R362+G362)*Summary!$U$9/(1-Summary!$U$9)))</f>
        <v/>
      </c>
      <c r="W362" s="63" t="str">
        <f t="shared" si="207"/>
        <v/>
      </c>
      <c r="X362" s="63" t="str">
        <f t="shared" si="208"/>
        <v/>
      </c>
      <c r="Y362" s="43"/>
      <c r="Z362" s="38" t="str">
        <f t="shared" si="209"/>
        <v/>
      </c>
      <c r="AA362" s="38" t="str">
        <f t="shared" si="210"/>
        <v/>
      </c>
      <c r="AB362" s="38" t="e">
        <f t="shared" si="211"/>
        <v>#VALUE!</v>
      </c>
      <c r="AC362" s="38" t="str">
        <f t="shared" si="212"/>
        <v/>
      </c>
      <c r="AD362" s="38" t="str">
        <f t="shared" si="212"/>
        <v/>
      </c>
      <c r="AE362" s="38" t="e">
        <f t="shared" si="213"/>
        <v>#VALUE!</v>
      </c>
      <c r="AF362" s="237" t="e">
        <f>((Summary!$N$9*(AA362*AD362)*(A362-$D$3))+(Summary!$M$9*Z362*AC362*(AJ362-EOMONTH(EDATE(A362,-1),0))))/(AK362*AB362*AE362)</f>
        <v>#VALUE!</v>
      </c>
      <c r="AG362" s="88" t="str">
        <f>IF($A363="","",Summary!$Q$9)</f>
        <v/>
      </c>
      <c r="AH362" s="88" t="str">
        <f>IF($A363="","",IF(Summary!$R$9="Y",VLOOKUP($A362,Summary!$AD$6:$AF$9,3)+'Escalating commodity'!E375,'Escalating commodity'!E375))</f>
        <v/>
      </c>
      <c r="AI362" s="88" t="str">
        <f t="shared" si="228"/>
        <v/>
      </c>
      <c r="AJ362" s="236" t="e">
        <f t="shared" si="214"/>
        <v>#VALUE!</v>
      </c>
      <c r="AK362" s="58" t="str">
        <f t="shared" si="215"/>
        <v/>
      </c>
      <c r="AL362" s="26" t="str">
        <f>IF($A363="","",_xll.SPRDOPT(P362,X362,AI362,0,AB362,AE362,AF362,AK362,$AJ$2,0))</f>
        <v/>
      </c>
      <c r="AM362" s="89" t="str">
        <f t="shared" si="216"/>
        <v/>
      </c>
      <c r="AN362" s="89" t="str">
        <f t="shared" si="217"/>
        <v/>
      </c>
      <c r="AO362" s="3" t="str">
        <f t="shared" si="218"/>
        <v/>
      </c>
      <c r="AP362" s="33" t="str">
        <f t="shared" si="219"/>
        <v/>
      </c>
      <c r="AQ362" s="58" t="str">
        <f t="shared" si="220"/>
        <v/>
      </c>
      <c r="AR362" s="38">
        <f>'ANR OK vs ML7'!AR362</f>
        <v>0.1</v>
      </c>
      <c r="AS362" s="35" t="str">
        <f t="shared" si="221"/>
        <v/>
      </c>
      <c r="AT362" s="3" t="str">
        <f t="shared" si="222"/>
        <v/>
      </c>
      <c r="AU362" s="3" t="str">
        <f t="shared" si="223"/>
        <v/>
      </c>
      <c r="AW362" s="32" t="str">
        <f t="shared" si="224"/>
        <v/>
      </c>
      <c r="AX362" s="32" t="str">
        <f t="shared" si="225"/>
        <v/>
      </c>
      <c r="AY362" s="32" t="str">
        <f t="shared" si="226"/>
        <v/>
      </c>
      <c r="BA362" s="32" t="str">
        <f>IF($A363="","",F362*Summary!$Q$9)</f>
        <v/>
      </c>
    </row>
    <row r="363" spans="1:53" ht="12" customHeight="1">
      <c r="A363" s="67" t="str">
        <f t="shared" si="227"/>
        <v/>
      </c>
      <c r="B363" s="69" t="str">
        <f t="shared" si="229"/>
        <v/>
      </c>
      <c r="C363" s="71"/>
      <c r="D363" s="69" t="str">
        <f t="shared" si="192"/>
        <v/>
      </c>
      <c r="E363" s="70" t="str">
        <f t="shared" si="193"/>
        <v/>
      </c>
      <c r="F363" s="70" t="str">
        <f t="shared" si="194"/>
        <v/>
      </c>
      <c r="G363" s="63" t="str">
        <f t="shared" si="195"/>
        <v/>
      </c>
      <c r="H363" s="64" t="str">
        <f t="shared" si="196"/>
        <v/>
      </c>
      <c r="I363" s="43"/>
      <c r="J363" s="63" t="str">
        <f t="shared" si="197"/>
        <v/>
      </c>
      <c r="K363" s="64" t="str">
        <f t="shared" si="198"/>
        <v/>
      </c>
      <c r="L363" s="63" t="str">
        <f t="shared" si="199"/>
        <v/>
      </c>
      <c r="M363" s="64" t="str">
        <f t="shared" si="200"/>
        <v/>
      </c>
      <c r="N363" s="65"/>
      <c r="O363" s="63" t="str">
        <f t="shared" si="201"/>
        <v/>
      </c>
      <c r="P363" s="63" t="str">
        <f t="shared" si="202"/>
        <v/>
      </c>
      <c r="Q363" s="66"/>
      <c r="R363" s="63" t="str">
        <f t="shared" si="203"/>
        <v/>
      </c>
      <c r="S363" s="64" t="str">
        <f t="shared" si="204"/>
        <v/>
      </c>
      <c r="T363" s="63" t="str">
        <f t="shared" si="205"/>
        <v/>
      </c>
      <c r="U363" s="64" t="str">
        <f t="shared" si="206"/>
        <v/>
      </c>
      <c r="V363" s="90" t="str">
        <f>IF($A364="","",IF(AND(MONTH(A363)&gt;3,MONTH(A363)&lt;11),(T363+R363+G363)*Summary!$T$9/(1-Summary!$T$9),(T363+R363+G363)*Summary!$U$9/(1-Summary!$U$9)))</f>
        <v/>
      </c>
      <c r="W363" s="63" t="str">
        <f t="shared" si="207"/>
        <v/>
      </c>
      <c r="X363" s="63" t="str">
        <f t="shared" si="208"/>
        <v/>
      </c>
      <c r="Y363" s="43"/>
      <c r="Z363" s="38" t="str">
        <f t="shared" si="209"/>
        <v/>
      </c>
      <c r="AA363" s="38" t="str">
        <f t="shared" si="210"/>
        <v/>
      </c>
      <c r="AB363" s="38" t="e">
        <f t="shared" si="211"/>
        <v>#VALUE!</v>
      </c>
      <c r="AC363" s="38" t="str">
        <f t="shared" si="212"/>
        <v/>
      </c>
      <c r="AD363" s="38" t="str">
        <f t="shared" si="212"/>
        <v/>
      </c>
      <c r="AE363" s="38" t="e">
        <f t="shared" si="213"/>
        <v>#VALUE!</v>
      </c>
      <c r="AF363" s="237" t="e">
        <f>((Summary!$N$9*(AA363*AD363)*(A363-$D$3))+(Summary!$M$9*Z363*AC363*(AJ363-EOMONTH(EDATE(A363,-1),0))))/(AK363*AB363*AE363)</f>
        <v>#VALUE!</v>
      </c>
      <c r="AG363" s="88" t="str">
        <f>IF($A364="","",Summary!$Q$9)</f>
        <v/>
      </c>
      <c r="AH363" s="88" t="str">
        <f>IF($A364="","",IF(Summary!$R$9="Y",VLOOKUP($A363,Summary!$AD$6:$AF$9,3)+'Escalating commodity'!E376,'Escalating commodity'!E376))</f>
        <v/>
      </c>
      <c r="AI363" s="88" t="str">
        <f t="shared" si="228"/>
        <v/>
      </c>
      <c r="AJ363" s="236" t="e">
        <f t="shared" si="214"/>
        <v>#VALUE!</v>
      </c>
      <c r="AK363" s="58" t="str">
        <f t="shared" si="215"/>
        <v/>
      </c>
      <c r="AL363" s="26" t="str">
        <f>IF($A364="","",_xll.SPRDOPT(P363,X363,AI363,0,AB363,AE363,AF363,AK363,$AJ$2,0))</f>
        <v/>
      </c>
      <c r="AM363" s="89" t="str">
        <f t="shared" si="216"/>
        <v/>
      </c>
      <c r="AN363" s="89" t="str">
        <f t="shared" si="217"/>
        <v/>
      </c>
      <c r="AO363" s="3" t="str">
        <f t="shared" si="218"/>
        <v/>
      </c>
      <c r="AP363" s="33" t="str">
        <f t="shared" si="219"/>
        <v/>
      </c>
      <c r="AQ363" s="58" t="str">
        <f t="shared" si="220"/>
        <v/>
      </c>
      <c r="AR363" s="38">
        <f>'ANR OK vs ML7'!AR363</f>
        <v>0.1</v>
      </c>
      <c r="AS363" s="35" t="str">
        <f t="shared" si="221"/>
        <v/>
      </c>
      <c r="AT363" s="3" t="str">
        <f t="shared" si="222"/>
        <v/>
      </c>
      <c r="AU363" s="3" t="str">
        <f t="shared" si="223"/>
        <v/>
      </c>
      <c r="AW363" s="32" t="str">
        <f t="shared" si="224"/>
        <v/>
      </c>
      <c r="AX363" s="32" t="str">
        <f t="shared" si="225"/>
        <v/>
      </c>
      <c r="AY363" s="32" t="str">
        <f t="shared" si="226"/>
        <v/>
      </c>
      <c r="BA363" s="32" t="str">
        <f>IF($A364="","",F363*Summary!$Q$9)</f>
        <v/>
      </c>
    </row>
    <row r="364" spans="1:53" ht="12" customHeight="1">
      <c r="A364" s="67" t="str">
        <f t="shared" si="227"/>
        <v/>
      </c>
      <c r="B364" s="69" t="str">
        <f t="shared" si="229"/>
        <v/>
      </c>
      <c r="C364" s="71"/>
      <c r="D364" s="69" t="str">
        <f t="shared" si="192"/>
        <v/>
      </c>
      <c r="E364" s="70" t="str">
        <f t="shared" si="193"/>
        <v/>
      </c>
      <c r="F364" s="70" t="str">
        <f t="shared" si="194"/>
        <v/>
      </c>
      <c r="G364" s="63" t="str">
        <f t="shared" si="195"/>
        <v/>
      </c>
      <c r="H364" s="64" t="str">
        <f t="shared" si="196"/>
        <v/>
      </c>
      <c r="I364" s="43"/>
      <c r="J364" s="63" t="str">
        <f t="shared" si="197"/>
        <v/>
      </c>
      <c r="K364" s="64" t="str">
        <f t="shared" si="198"/>
        <v/>
      </c>
      <c r="L364" s="63" t="str">
        <f t="shared" si="199"/>
        <v/>
      </c>
      <c r="M364" s="64" t="str">
        <f t="shared" si="200"/>
        <v/>
      </c>
      <c r="N364" s="65"/>
      <c r="O364" s="63" t="str">
        <f t="shared" si="201"/>
        <v/>
      </c>
      <c r="P364" s="63" t="str">
        <f t="shared" si="202"/>
        <v/>
      </c>
      <c r="Q364" s="66"/>
      <c r="R364" s="63" t="str">
        <f t="shared" si="203"/>
        <v/>
      </c>
      <c r="S364" s="64" t="str">
        <f t="shared" si="204"/>
        <v/>
      </c>
      <c r="T364" s="63" t="str">
        <f t="shared" si="205"/>
        <v/>
      </c>
      <c r="U364" s="64" t="str">
        <f t="shared" si="206"/>
        <v/>
      </c>
      <c r="V364" s="90" t="str">
        <f>IF($A365="","",IF(AND(MONTH(A364)&gt;3,MONTH(A364)&lt;11),(T364+R364+G364)*Summary!$T$9/(1-Summary!$T$9),(T364+R364+G364)*Summary!$U$9/(1-Summary!$U$9)))</f>
        <v/>
      </c>
      <c r="W364" s="63" t="str">
        <f t="shared" si="207"/>
        <v/>
      </c>
      <c r="X364" s="63" t="str">
        <f t="shared" si="208"/>
        <v/>
      </c>
      <c r="Y364" s="43"/>
      <c r="Z364" s="38" t="str">
        <f t="shared" si="209"/>
        <v/>
      </c>
      <c r="AA364" s="38" t="str">
        <f t="shared" si="210"/>
        <v/>
      </c>
      <c r="AB364" s="38" t="e">
        <f t="shared" si="211"/>
        <v>#VALUE!</v>
      </c>
      <c r="AC364" s="38" t="str">
        <f t="shared" si="212"/>
        <v/>
      </c>
      <c r="AD364" s="38" t="str">
        <f t="shared" si="212"/>
        <v/>
      </c>
      <c r="AE364" s="38" t="e">
        <f t="shared" si="213"/>
        <v>#VALUE!</v>
      </c>
      <c r="AF364" s="237" t="e">
        <f>((Summary!$N$9*(AA364*AD364)*(A364-$D$3))+(Summary!$M$9*Z364*AC364*(AJ364-EOMONTH(EDATE(A364,-1),0))))/(AK364*AB364*AE364)</f>
        <v>#VALUE!</v>
      </c>
      <c r="AG364" s="88" t="str">
        <f>IF($A365="","",Summary!$Q$9)</f>
        <v/>
      </c>
      <c r="AH364" s="88" t="str">
        <f>IF($A365="","",IF(Summary!$R$9="Y",VLOOKUP($A364,Summary!$AD$6:$AF$9,3)+'Escalating commodity'!E377,'Escalating commodity'!E377))</f>
        <v/>
      </c>
      <c r="AI364" s="88" t="str">
        <f t="shared" si="228"/>
        <v/>
      </c>
      <c r="AJ364" s="236" t="e">
        <f t="shared" si="214"/>
        <v>#VALUE!</v>
      </c>
      <c r="AK364" s="58" t="str">
        <f t="shared" si="215"/>
        <v/>
      </c>
      <c r="AL364" s="26" t="str">
        <f>IF($A365="","",_xll.SPRDOPT(P364,X364,AI364,0,AB364,AE364,AF364,AK364,$AJ$2,0))</f>
        <v/>
      </c>
      <c r="AM364" s="89" t="str">
        <f t="shared" si="216"/>
        <v/>
      </c>
      <c r="AN364" s="89" t="str">
        <f t="shared" si="217"/>
        <v/>
      </c>
      <c r="AO364" s="3" t="str">
        <f t="shared" si="218"/>
        <v/>
      </c>
      <c r="AP364" s="33" t="str">
        <f t="shared" si="219"/>
        <v/>
      </c>
      <c r="AQ364" s="58" t="str">
        <f t="shared" si="220"/>
        <v/>
      </c>
      <c r="AR364" s="38">
        <f>'ANR OK vs ML7'!AR364</f>
        <v>0.1</v>
      </c>
      <c r="AS364" s="35" t="str">
        <f t="shared" si="221"/>
        <v/>
      </c>
      <c r="AT364" s="3" t="str">
        <f t="shared" si="222"/>
        <v/>
      </c>
      <c r="AU364" s="3" t="str">
        <f t="shared" si="223"/>
        <v/>
      </c>
      <c r="AW364" s="32" t="str">
        <f t="shared" si="224"/>
        <v/>
      </c>
      <c r="AX364" s="32" t="str">
        <f t="shared" si="225"/>
        <v/>
      </c>
      <c r="AY364" s="32" t="str">
        <f t="shared" si="226"/>
        <v/>
      </c>
      <c r="BA364" s="32" t="str">
        <f>IF($A365="","",F364*Summary!$Q$9)</f>
        <v/>
      </c>
    </row>
    <row r="365" spans="1:53" ht="12" customHeight="1">
      <c r="A365" s="67" t="str">
        <f t="shared" si="227"/>
        <v/>
      </c>
      <c r="B365" s="69" t="str">
        <f t="shared" si="229"/>
        <v/>
      </c>
      <c r="C365" s="71"/>
      <c r="D365" s="69" t="str">
        <f t="shared" si="192"/>
        <v/>
      </c>
      <c r="E365" s="70" t="str">
        <f t="shared" si="193"/>
        <v/>
      </c>
      <c r="F365" s="70" t="str">
        <f t="shared" si="194"/>
        <v/>
      </c>
      <c r="G365" s="63" t="str">
        <f t="shared" si="195"/>
        <v/>
      </c>
      <c r="H365" s="64" t="str">
        <f t="shared" si="196"/>
        <v/>
      </c>
      <c r="I365" s="43"/>
      <c r="J365" s="63" t="str">
        <f t="shared" si="197"/>
        <v/>
      </c>
      <c r="K365" s="64" t="str">
        <f t="shared" si="198"/>
        <v/>
      </c>
      <c r="L365" s="63" t="str">
        <f t="shared" si="199"/>
        <v/>
      </c>
      <c r="M365" s="64" t="str">
        <f t="shared" si="200"/>
        <v/>
      </c>
      <c r="N365" s="65"/>
      <c r="O365" s="63" t="str">
        <f t="shared" si="201"/>
        <v/>
      </c>
      <c r="P365" s="63" t="str">
        <f t="shared" si="202"/>
        <v/>
      </c>
      <c r="Q365" s="66"/>
      <c r="R365" s="63" t="str">
        <f t="shared" si="203"/>
        <v/>
      </c>
      <c r="S365" s="64" t="str">
        <f t="shared" si="204"/>
        <v/>
      </c>
      <c r="T365" s="63" t="str">
        <f t="shared" si="205"/>
        <v/>
      </c>
      <c r="U365" s="64" t="str">
        <f t="shared" si="206"/>
        <v/>
      </c>
      <c r="V365" s="90" t="str">
        <f>IF($A366="","",IF(AND(MONTH(A365)&gt;3,MONTH(A365)&lt;11),(T365+R365+G365)*Summary!$T$9/(1-Summary!$T$9),(T365+R365+G365)*Summary!$U$9/(1-Summary!$U$9)))</f>
        <v/>
      </c>
      <c r="W365" s="63" t="str">
        <f t="shared" si="207"/>
        <v/>
      </c>
      <c r="X365" s="63" t="str">
        <f t="shared" si="208"/>
        <v/>
      </c>
      <c r="Y365" s="43"/>
      <c r="Z365" s="38" t="str">
        <f t="shared" si="209"/>
        <v/>
      </c>
      <c r="AA365" s="38" t="str">
        <f t="shared" si="210"/>
        <v/>
      </c>
      <c r="AB365" s="38" t="e">
        <f t="shared" si="211"/>
        <v>#VALUE!</v>
      </c>
      <c r="AC365" s="38" t="str">
        <f t="shared" si="212"/>
        <v/>
      </c>
      <c r="AD365" s="38" t="str">
        <f t="shared" si="212"/>
        <v/>
      </c>
      <c r="AE365" s="38" t="e">
        <f t="shared" si="213"/>
        <v>#VALUE!</v>
      </c>
      <c r="AF365" s="237" t="e">
        <f>((Summary!$N$9*(AA365*AD365)*(A365-$D$3))+(Summary!$M$9*Z365*AC365*(AJ365-EOMONTH(EDATE(A365,-1),0))))/(AK365*AB365*AE365)</f>
        <v>#VALUE!</v>
      </c>
      <c r="AG365" s="88" t="str">
        <f>IF($A366="","",Summary!$Q$9)</f>
        <v/>
      </c>
      <c r="AH365" s="88" t="str">
        <f>IF($A366="","",IF(Summary!$R$9="Y",VLOOKUP($A365,Summary!$AD$6:$AF$9,3)+'Escalating commodity'!E378,'Escalating commodity'!E378))</f>
        <v/>
      </c>
      <c r="AI365" s="88" t="str">
        <f t="shared" si="228"/>
        <v/>
      </c>
      <c r="AJ365" s="236" t="e">
        <f t="shared" si="214"/>
        <v>#VALUE!</v>
      </c>
      <c r="AK365" s="58" t="str">
        <f t="shared" si="215"/>
        <v/>
      </c>
      <c r="AL365" s="26" t="str">
        <f>IF($A366="","",_xll.SPRDOPT(P365,X365,AI365,0,AB365,AE365,AF365,AK365,$AJ$2,0))</f>
        <v/>
      </c>
      <c r="AM365" s="89" t="str">
        <f t="shared" si="216"/>
        <v/>
      </c>
      <c r="AN365" s="89" t="str">
        <f t="shared" si="217"/>
        <v/>
      </c>
      <c r="AO365" s="3" t="str">
        <f t="shared" si="218"/>
        <v/>
      </c>
      <c r="AP365" s="33" t="str">
        <f t="shared" si="219"/>
        <v/>
      </c>
      <c r="AQ365" s="58" t="str">
        <f t="shared" si="220"/>
        <v/>
      </c>
      <c r="AR365" s="38">
        <f>'ANR OK vs ML7'!AR365</f>
        <v>0.1</v>
      </c>
      <c r="AS365" s="35" t="str">
        <f t="shared" si="221"/>
        <v/>
      </c>
      <c r="AT365" s="3" t="str">
        <f t="shared" si="222"/>
        <v/>
      </c>
      <c r="AU365" s="3" t="str">
        <f t="shared" si="223"/>
        <v/>
      </c>
      <c r="AW365" s="32" t="str">
        <f t="shared" si="224"/>
        <v/>
      </c>
      <c r="AX365" s="32" t="str">
        <f t="shared" si="225"/>
        <v/>
      </c>
      <c r="AY365" s="32" t="str">
        <f t="shared" si="226"/>
        <v/>
      </c>
      <c r="BA365" s="32" t="str">
        <f>IF($A366="","",F365*Summary!$Q$9)</f>
        <v/>
      </c>
    </row>
    <row r="366" spans="1:53" ht="12" customHeight="1">
      <c r="A366" s="67" t="str">
        <f t="shared" si="227"/>
        <v/>
      </c>
      <c r="B366" s="69" t="str">
        <f t="shared" si="229"/>
        <v/>
      </c>
      <c r="C366" s="71"/>
      <c r="D366" s="69" t="str">
        <f t="shared" si="192"/>
        <v/>
      </c>
      <c r="E366" s="70" t="str">
        <f t="shared" si="193"/>
        <v/>
      </c>
      <c r="F366" s="70" t="str">
        <f t="shared" si="194"/>
        <v/>
      </c>
      <c r="G366" s="63" t="str">
        <f t="shared" si="195"/>
        <v/>
      </c>
      <c r="H366" s="64" t="str">
        <f t="shared" si="196"/>
        <v/>
      </c>
      <c r="I366" s="43"/>
      <c r="J366" s="63" t="str">
        <f t="shared" si="197"/>
        <v/>
      </c>
      <c r="K366" s="64" t="str">
        <f t="shared" si="198"/>
        <v/>
      </c>
      <c r="L366" s="63" t="str">
        <f t="shared" si="199"/>
        <v/>
      </c>
      <c r="M366" s="64" t="str">
        <f t="shared" si="200"/>
        <v/>
      </c>
      <c r="N366" s="65"/>
      <c r="O366" s="63" t="str">
        <f t="shared" si="201"/>
        <v/>
      </c>
      <c r="P366" s="63" t="str">
        <f t="shared" si="202"/>
        <v/>
      </c>
      <c r="Q366" s="66"/>
      <c r="R366" s="63" t="str">
        <f t="shared" si="203"/>
        <v/>
      </c>
      <c r="S366" s="64" t="str">
        <f t="shared" si="204"/>
        <v/>
      </c>
      <c r="T366" s="63" t="str">
        <f t="shared" si="205"/>
        <v/>
      </c>
      <c r="U366" s="64" t="str">
        <f t="shared" si="206"/>
        <v/>
      </c>
      <c r="V366" s="90" t="str">
        <f>IF($A367="","",IF(AND(MONTH(A366)&gt;3,MONTH(A366)&lt;11),(T366+R366+G366)*Summary!$T$9/(1-Summary!$T$9),(T366+R366+G366)*Summary!$U$9/(1-Summary!$U$9)))</f>
        <v/>
      </c>
      <c r="W366" s="63" t="str">
        <f t="shared" si="207"/>
        <v/>
      </c>
      <c r="X366" s="63" t="str">
        <f t="shared" si="208"/>
        <v/>
      </c>
      <c r="Y366" s="43"/>
      <c r="Z366" s="38" t="str">
        <f t="shared" si="209"/>
        <v/>
      </c>
      <c r="AA366" s="38" t="str">
        <f t="shared" si="210"/>
        <v/>
      </c>
      <c r="AB366" s="38" t="e">
        <f t="shared" si="211"/>
        <v>#VALUE!</v>
      </c>
      <c r="AC366" s="38" t="str">
        <f t="shared" si="212"/>
        <v/>
      </c>
      <c r="AD366" s="38" t="str">
        <f t="shared" si="212"/>
        <v/>
      </c>
      <c r="AE366" s="38" t="e">
        <f t="shared" si="213"/>
        <v>#VALUE!</v>
      </c>
      <c r="AF366" s="237" t="e">
        <f>((Summary!$N$9*(AA366*AD366)*(A366-$D$3))+(Summary!$M$9*Z366*AC366*(AJ366-EOMONTH(EDATE(A366,-1),0))))/(AK366*AB366*AE366)</f>
        <v>#VALUE!</v>
      </c>
      <c r="AG366" s="88" t="str">
        <f>IF($A367="","",Summary!$Q$9)</f>
        <v/>
      </c>
      <c r="AH366" s="88" t="str">
        <f>IF($A367="","",IF(Summary!$R$9="Y",VLOOKUP($A366,Summary!$AD$6:$AF$9,3)+'Escalating commodity'!E379,'Escalating commodity'!E379))</f>
        <v/>
      </c>
      <c r="AI366" s="88" t="str">
        <f t="shared" si="228"/>
        <v/>
      </c>
      <c r="AJ366" s="236" t="e">
        <f t="shared" si="214"/>
        <v>#VALUE!</v>
      </c>
      <c r="AK366" s="58" t="str">
        <f t="shared" si="215"/>
        <v/>
      </c>
      <c r="AL366" s="26" t="str">
        <f>IF($A367="","",_xll.SPRDOPT(P366,X366,AI366,0,AB366,AE366,AF366,AK366,$AJ$2,0))</f>
        <v/>
      </c>
      <c r="AM366" s="89" t="str">
        <f t="shared" si="216"/>
        <v/>
      </c>
      <c r="AN366" s="89" t="str">
        <f t="shared" si="217"/>
        <v/>
      </c>
      <c r="AO366" s="3" t="str">
        <f t="shared" si="218"/>
        <v/>
      </c>
      <c r="AP366" s="33" t="str">
        <f t="shared" si="219"/>
        <v/>
      </c>
      <c r="AQ366" s="58" t="str">
        <f t="shared" si="220"/>
        <v/>
      </c>
      <c r="AR366" s="38">
        <f>'ANR OK vs ML7'!AR366</f>
        <v>0.1</v>
      </c>
      <c r="AS366" s="35" t="str">
        <f t="shared" si="221"/>
        <v/>
      </c>
      <c r="AT366" s="3" t="str">
        <f t="shared" si="222"/>
        <v/>
      </c>
      <c r="AU366" s="3" t="str">
        <f t="shared" si="223"/>
        <v/>
      </c>
      <c r="AW366" s="32" t="str">
        <f t="shared" si="224"/>
        <v/>
      </c>
      <c r="AX366" s="32" t="str">
        <f t="shared" si="225"/>
        <v/>
      </c>
      <c r="AY366" s="32" t="str">
        <f t="shared" si="226"/>
        <v/>
      </c>
      <c r="BA366" s="32" t="str">
        <f>IF($A367="","",F366*Summary!$Q$9)</f>
        <v/>
      </c>
    </row>
    <row r="367" spans="1:53" ht="12" customHeight="1">
      <c r="A367" s="67" t="str">
        <f t="shared" si="227"/>
        <v/>
      </c>
      <c r="B367" s="69" t="str">
        <f t="shared" si="229"/>
        <v/>
      </c>
      <c r="C367" s="71"/>
      <c r="D367" s="69" t="str">
        <f t="shared" si="192"/>
        <v/>
      </c>
      <c r="E367" s="70" t="str">
        <f t="shared" si="193"/>
        <v/>
      </c>
      <c r="F367" s="70" t="str">
        <f t="shared" si="194"/>
        <v/>
      </c>
      <c r="G367" s="63" t="str">
        <f t="shared" si="195"/>
        <v/>
      </c>
      <c r="H367" s="64" t="str">
        <f t="shared" si="196"/>
        <v/>
      </c>
      <c r="I367" s="43"/>
      <c r="J367" s="63" t="str">
        <f t="shared" si="197"/>
        <v/>
      </c>
      <c r="K367" s="64" t="str">
        <f t="shared" si="198"/>
        <v/>
      </c>
      <c r="L367" s="63" t="str">
        <f t="shared" si="199"/>
        <v/>
      </c>
      <c r="M367" s="64" t="str">
        <f t="shared" si="200"/>
        <v/>
      </c>
      <c r="N367" s="65"/>
      <c r="O367" s="63" t="str">
        <f t="shared" si="201"/>
        <v/>
      </c>
      <c r="P367" s="63" t="str">
        <f t="shared" si="202"/>
        <v/>
      </c>
      <c r="Q367" s="66"/>
      <c r="R367" s="63" t="str">
        <f t="shared" si="203"/>
        <v/>
      </c>
      <c r="S367" s="64" t="str">
        <f t="shared" si="204"/>
        <v/>
      </c>
      <c r="T367" s="63" t="str">
        <f t="shared" si="205"/>
        <v/>
      </c>
      <c r="U367" s="64" t="str">
        <f t="shared" si="206"/>
        <v/>
      </c>
      <c r="V367" s="90" t="str">
        <f>IF($A368="","",IF(AND(MONTH(A367)&gt;3,MONTH(A367)&lt;11),(T367+R367+G367)*Summary!$T$9/(1-Summary!$T$9),(T367+R367+G367)*Summary!$U$9/(1-Summary!$U$9)))</f>
        <v/>
      </c>
      <c r="W367" s="63" t="str">
        <f t="shared" si="207"/>
        <v/>
      </c>
      <c r="X367" s="63" t="str">
        <f t="shared" si="208"/>
        <v/>
      </c>
      <c r="Y367" s="43"/>
      <c r="Z367" s="38" t="str">
        <f t="shared" si="209"/>
        <v/>
      </c>
      <c r="AA367" s="38" t="str">
        <f t="shared" si="210"/>
        <v/>
      </c>
      <c r="AB367" s="38" t="e">
        <f t="shared" si="211"/>
        <v>#VALUE!</v>
      </c>
      <c r="AC367" s="38" t="str">
        <f t="shared" si="212"/>
        <v/>
      </c>
      <c r="AD367" s="38" t="str">
        <f t="shared" si="212"/>
        <v/>
      </c>
      <c r="AE367" s="38" t="e">
        <f t="shared" si="213"/>
        <v>#VALUE!</v>
      </c>
      <c r="AF367" s="237" t="e">
        <f>((Summary!$N$9*(AA367*AD367)*(A367-$D$3))+(Summary!$M$9*Z367*AC367*(AJ367-EOMONTH(EDATE(A367,-1),0))))/(AK367*AB367*AE367)</f>
        <v>#VALUE!</v>
      </c>
      <c r="AG367" s="88" t="str">
        <f>IF($A368="","",Summary!$Q$9)</f>
        <v/>
      </c>
      <c r="AH367" s="88" t="str">
        <f>IF($A368="","",IF(Summary!$R$9="Y",VLOOKUP($A367,Summary!$AD$6:$AF$9,3)+'Escalating commodity'!E380,'Escalating commodity'!E380))</f>
        <v/>
      </c>
      <c r="AI367" s="88" t="str">
        <f t="shared" si="228"/>
        <v/>
      </c>
      <c r="AJ367" s="236" t="e">
        <f t="shared" si="214"/>
        <v>#VALUE!</v>
      </c>
      <c r="AK367" s="58" t="str">
        <f t="shared" si="215"/>
        <v/>
      </c>
      <c r="AL367" s="26" t="str">
        <f>IF($A368="","",_xll.SPRDOPT(P367,X367,AI367,0,AB367,AE367,AF367,AK367,$AJ$2,0))</f>
        <v/>
      </c>
      <c r="AM367" s="89" t="str">
        <f t="shared" si="216"/>
        <v/>
      </c>
      <c r="AN367" s="89" t="str">
        <f t="shared" si="217"/>
        <v/>
      </c>
      <c r="AO367" s="3" t="str">
        <f t="shared" si="218"/>
        <v/>
      </c>
      <c r="AP367" s="33" t="str">
        <f t="shared" si="219"/>
        <v/>
      </c>
      <c r="AQ367" s="58" t="str">
        <f t="shared" si="220"/>
        <v/>
      </c>
      <c r="AR367" s="38">
        <f>'ANR OK vs ML7'!AR367</f>
        <v>0.1</v>
      </c>
      <c r="AS367" s="35" t="str">
        <f t="shared" si="221"/>
        <v/>
      </c>
      <c r="AT367" s="3" t="str">
        <f t="shared" si="222"/>
        <v/>
      </c>
      <c r="AU367" s="3" t="str">
        <f t="shared" si="223"/>
        <v/>
      </c>
      <c r="AW367" s="32" t="str">
        <f t="shared" si="224"/>
        <v/>
      </c>
      <c r="AX367" s="32" t="str">
        <f t="shared" si="225"/>
        <v/>
      </c>
      <c r="AY367" s="32" t="str">
        <f t="shared" si="226"/>
        <v/>
      </c>
      <c r="BA367" s="32" t="str">
        <f>IF($A368="","",F367*Summary!$Q$9)</f>
        <v/>
      </c>
    </row>
    <row r="368" spans="1:53" ht="12" customHeight="1">
      <c r="A368" s="67" t="str">
        <f t="shared" si="227"/>
        <v/>
      </c>
      <c r="B368" s="69" t="str">
        <f t="shared" si="229"/>
        <v/>
      </c>
      <c r="C368" s="71"/>
      <c r="D368" s="69" t="str">
        <f t="shared" si="192"/>
        <v/>
      </c>
      <c r="E368" s="70" t="str">
        <f t="shared" si="193"/>
        <v/>
      </c>
      <c r="F368" s="70" t="str">
        <f t="shared" si="194"/>
        <v/>
      </c>
      <c r="G368" s="63" t="str">
        <f t="shared" si="195"/>
        <v/>
      </c>
      <c r="H368" s="64" t="str">
        <f t="shared" si="196"/>
        <v/>
      </c>
      <c r="I368" s="43"/>
      <c r="J368" s="63" t="str">
        <f t="shared" si="197"/>
        <v/>
      </c>
      <c r="K368" s="64" t="str">
        <f t="shared" si="198"/>
        <v/>
      </c>
      <c r="L368" s="63" t="str">
        <f t="shared" si="199"/>
        <v/>
      </c>
      <c r="M368" s="64" t="str">
        <f t="shared" si="200"/>
        <v/>
      </c>
      <c r="N368" s="65"/>
      <c r="O368" s="63" t="str">
        <f t="shared" si="201"/>
        <v/>
      </c>
      <c r="P368" s="63" t="str">
        <f t="shared" si="202"/>
        <v/>
      </c>
      <c r="Q368" s="66"/>
      <c r="R368" s="63" t="str">
        <f t="shared" si="203"/>
        <v/>
      </c>
      <c r="S368" s="64" t="str">
        <f t="shared" si="204"/>
        <v/>
      </c>
      <c r="T368" s="63" t="str">
        <f t="shared" si="205"/>
        <v/>
      </c>
      <c r="U368" s="64" t="str">
        <f t="shared" si="206"/>
        <v/>
      </c>
      <c r="V368" s="90" t="str">
        <f>IF($A369="","",IF(AND(MONTH(A368)&gt;3,MONTH(A368)&lt;11),(T368+R368+G368)*Summary!$T$9/(1-Summary!$T$9),(T368+R368+G368)*Summary!$U$9/(1-Summary!$U$9)))</f>
        <v/>
      </c>
      <c r="W368" s="63" t="str">
        <f t="shared" si="207"/>
        <v/>
      </c>
      <c r="X368" s="63" t="str">
        <f t="shared" si="208"/>
        <v/>
      </c>
      <c r="Y368" s="43"/>
      <c r="Z368" s="38" t="str">
        <f t="shared" si="209"/>
        <v/>
      </c>
      <c r="AA368" s="38" t="str">
        <f t="shared" si="210"/>
        <v/>
      </c>
      <c r="AB368" s="38" t="e">
        <f t="shared" si="211"/>
        <v>#VALUE!</v>
      </c>
      <c r="AC368" s="38" t="str">
        <f t="shared" si="212"/>
        <v/>
      </c>
      <c r="AD368" s="38" t="str">
        <f t="shared" si="212"/>
        <v/>
      </c>
      <c r="AE368" s="38" t="e">
        <f t="shared" si="213"/>
        <v>#VALUE!</v>
      </c>
      <c r="AF368" s="237" t="e">
        <f>((Summary!$N$9*(AA368*AD368)*(A368-$D$3))+(Summary!$M$9*Z368*AC368*(AJ368-EOMONTH(EDATE(A368,-1),0))))/(AK368*AB368*AE368)</f>
        <v>#VALUE!</v>
      </c>
      <c r="AG368" s="88" t="str">
        <f>IF($A369="","",Summary!$Q$9)</f>
        <v/>
      </c>
      <c r="AH368" s="88" t="str">
        <f>IF($A369="","",IF(Summary!$R$9="Y",VLOOKUP($A368,Summary!$AD$6:$AF$9,3)+'Escalating commodity'!E381,'Escalating commodity'!E381))</f>
        <v/>
      </c>
      <c r="AI368" s="88" t="str">
        <f t="shared" si="228"/>
        <v/>
      </c>
      <c r="AJ368" s="236" t="e">
        <f t="shared" si="214"/>
        <v>#VALUE!</v>
      </c>
      <c r="AK368" s="58" t="str">
        <f t="shared" si="215"/>
        <v/>
      </c>
      <c r="AL368" s="26" t="str">
        <f>IF($A369="","",_xll.SPRDOPT(P368,X368,AI368,0,AB368,AE368,AF368,AK368,$AJ$2,0))</f>
        <v/>
      </c>
      <c r="AM368" s="89" t="str">
        <f t="shared" si="216"/>
        <v/>
      </c>
      <c r="AN368" s="89" t="str">
        <f t="shared" si="217"/>
        <v/>
      </c>
      <c r="AO368" s="3" t="str">
        <f t="shared" si="218"/>
        <v/>
      </c>
      <c r="AP368" s="33" t="str">
        <f t="shared" si="219"/>
        <v/>
      </c>
      <c r="AQ368" s="58" t="str">
        <f t="shared" si="220"/>
        <v/>
      </c>
      <c r="AR368" s="38">
        <f>'ANR OK vs ML7'!AR368</f>
        <v>0.1</v>
      </c>
      <c r="AS368" s="35" t="str">
        <f t="shared" si="221"/>
        <v/>
      </c>
      <c r="AT368" s="3" t="str">
        <f t="shared" si="222"/>
        <v/>
      </c>
      <c r="AU368" s="3" t="str">
        <f t="shared" si="223"/>
        <v/>
      </c>
      <c r="AW368" s="32" t="str">
        <f t="shared" si="224"/>
        <v/>
      </c>
      <c r="AX368" s="32" t="str">
        <f t="shared" si="225"/>
        <v/>
      </c>
      <c r="AY368" s="32" t="str">
        <f t="shared" si="226"/>
        <v/>
      </c>
      <c r="BA368" s="32" t="str">
        <f>IF($A369="","",F368*Summary!$Q$9)</f>
        <v/>
      </c>
    </row>
    <row r="369" spans="1:53" ht="12" customHeight="1">
      <c r="A369" s="67" t="str">
        <f t="shared" si="227"/>
        <v/>
      </c>
      <c r="B369" s="69" t="str">
        <f t="shared" si="229"/>
        <v/>
      </c>
      <c r="C369" s="71"/>
      <c r="D369" s="69" t="str">
        <f t="shared" si="192"/>
        <v/>
      </c>
      <c r="E369" s="70" t="str">
        <f t="shared" si="193"/>
        <v/>
      </c>
      <c r="F369" s="70" t="str">
        <f t="shared" si="194"/>
        <v/>
      </c>
      <c r="G369" s="63" t="str">
        <f t="shared" si="195"/>
        <v/>
      </c>
      <c r="H369" s="64" t="str">
        <f t="shared" si="196"/>
        <v/>
      </c>
      <c r="I369" s="43"/>
      <c r="J369" s="63" t="str">
        <f t="shared" si="197"/>
        <v/>
      </c>
      <c r="K369" s="64" t="str">
        <f t="shared" si="198"/>
        <v/>
      </c>
      <c r="L369" s="63" t="str">
        <f t="shared" si="199"/>
        <v/>
      </c>
      <c r="M369" s="64" t="str">
        <f t="shared" si="200"/>
        <v/>
      </c>
      <c r="N369" s="65"/>
      <c r="O369" s="63" t="str">
        <f t="shared" si="201"/>
        <v/>
      </c>
      <c r="P369" s="63" t="str">
        <f t="shared" si="202"/>
        <v/>
      </c>
      <c r="Q369" s="66"/>
      <c r="R369" s="63" t="str">
        <f t="shared" si="203"/>
        <v/>
      </c>
      <c r="S369" s="64" t="str">
        <f t="shared" si="204"/>
        <v/>
      </c>
      <c r="T369" s="63" t="str">
        <f t="shared" si="205"/>
        <v/>
      </c>
      <c r="U369" s="64" t="str">
        <f t="shared" si="206"/>
        <v/>
      </c>
      <c r="V369" s="90" t="str">
        <f>IF($A370="","",IF(AND(MONTH(A369)&gt;3,MONTH(A369)&lt;11),(T369+R369+G369)*Summary!$T$9/(1-Summary!$T$9),(T369+R369+G369)*Summary!$U$9/(1-Summary!$U$9)))</f>
        <v/>
      </c>
      <c r="W369" s="63" t="str">
        <f t="shared" si="207"/>
        <v/>
      </c>
      <c r="X369" s="63" t="str">
        <f t="shared" si="208"/>
        <v/>
      </c>
      <c r="Y369" s="43"/>
      <c r="Z369" s="38" t="str">
        <f t="shared" si="209"/>
        <v/>
      </c>
      <c r="AA369" s="38" t="str">
        <f t="shared" si="210"/>
        <v/>
      </c>
      <c r="AB369" s="38" t="e">
        <f t="shared" si="211"/>
        <v>#VALUE!</v>
      </c>
      <c r="AC369" s="38" t="str">
        <f t="shared" si="212"/>
        <v/>
      </c>
      <c r="AD369" s="38" t="str">
        <f t="shared" si="212"/>
        <v/>
      </c>
      <c r="AE369" s="38" t="e">
        <f t="shared" si="213"/>
        <v>#VALUE!</v>
      </c>
      <c r="AF369" s="237" t="e">
        <f>((Summary!$N$9*(AA369*AD369)*(A369-$D$3))+(Summary!$M$9*Z369*AC369*(AJ369-EOMONTH(EDATE(A369,-1),0))))/(AK369*AB369*AE369)</f>
        <v>#VALUE!</v>
      </c>
      <c r="AG369" s="88" t="str">
        <f>IF($A370="","",Summary!$Q$9)</f>
        <v/>
      </c>
      <c r="AH369" s="88" t="str">
        <f>IF($A370="","",IF(Summary!$R$9="Y",VLOOKUP($A369,Summary!$AD$6:$AF$9,3)+'Escalating commodity'!E382,'Escalating commodity'!E382))</f>
        <v/>
      </c>
      <c r="AI369" s="88" t="str">
        <f t="shared" si="228"/>
        <v/>
      </c>
      <c r="AJ369" s="236" t="e">
        <f t="shared" si="214"/>
        <v>#VALUE!</v>
      </c>
      <c r="AK369" s="58" t="str">
        <f t="shared" si="215"/>
        <v/>
      </c>
      <c r="AL369" s="26" t="str">
        <f>IF($A370="","",_xll.SPRDOPT(P369,X369,AI369,0,AB369,AE369,AF369,AK369,$AJ$2,0))</f>
        <v/>
      </c>
      <c r="AM369" s="89" t="str">
        <f t="shared" si="216"/>
        <v/>
      </c>
      <c r="AN369" s="89" t="str">
        <f t="shared" si="217"/>
        <v/>
      </c>
      <c r="AO369" s="3" t="str">
        <f t="shared" si="218"/>
        <v/>
      </c>
      <c r="AP369" s="33" t="str">
        <f t="shared" si="219"/>
        <v/>
      </c>
      <c r="AQ369" s="58" t="str">
        <f t="shared" si="220"/>
        <v/>
      </c>
      <c r="AR369" s="38">
        <f>'ANR OK vs ML7'!AR369</f>
        <v>0.1</v>
      </c>
      <c r="AS369" s="35" t="str">
        <f t="shared" si="221"/>
        <v/>
      </c>
      <c r="AT369" s="3" t="str">
        <f t="shared" si="222"/>
        <v/>
      </c>
      <c r="AU369" s="3" t="str">
        <f t="shared" si="223"/>
        <v/>
      </c>
      <c r="AW369" s="32" t="str">
        <f t="shared" si="224"/>
        <v/>
      </c>
      <c r="AX369" s="32" t="str">
        <f t="shared" si="225"/>
        <v/>
      </c>
      <c r="AY369" s="32" t="str">
        <f t="shared" si="226"/>
        <v/>
      </c>
      <c r="BA369" s="32" t="str">
        <f>IF($A370="","",F369*Summary!$Q$9)</f>
        <v/>
      </c>
    </row>
    <row r="370" spans="1:53">
      <c r="A370" s="67" t="str">
        <f t="shared" si="227"/>
        <v/>
      </c>
      <c r="B370" s="69" t="str">
        <f t="shared" si="229"/>
        <v/>
      </c>
      <c r="C370" s="72"/>
      <c r="D370" s="69" t="str">
        <f t="shared" si="192"/>
        <v/>
      </c>
      <c r="E370" s="70" t="str">
        <f t="shared" si="193"/>
        <v/>
      </c>
      <c r="F370" s="70" t="str">
        <f t="shared" si="194"/>
        <v/>
      </c>
      <c r="G370" s="63" t="str">
        <f t="shared" si="195"/>
        <v/>
      </c>
      <c r="H370" s="64" t="str">
        <f t="shared" si="196"/>
        <v/>
      </c>
      <c r="J370" s="63" t="str">
        <f t="shared" si="197"/>
        <v/>
      </c>
      <c r="K370" s="64" t="str">
        <f t="shared" si="198"/>
        <v/>
      </c>
      <c r="L370" s="63" t="str">
        <f t="shared" si="199"/>
        <v/>
      </c>
      <c r="M370" s="64" t="str">
        <f t="shared" si="200"/>
        <v/>
      </c>
      <c r="O370" s="63" t="str">
        <f t="shared" si="201"/>
        <v/>
      </c>
      <c r="P370" s="63" t="str">
        <f t="shared" si="202"/>
        <v/>
      </c>
      <c r="R370" s="63" t="str">
        <f t="shared" si="203"/>
        <v/>
      </c>
      <c r="S370" s="64" t="str">
        <f t="shared" si="204"/>
        <v/>
      </c>
      <c r="T370" s="63" t="str">
        <f t="shared" si="205"/>
        <v/>
      </c>
      <c r="U370" s="64" t="str">
        <f t="shared" si="206"/>
        <v/>
      </c>
      <c r="V370" s="90" t="str">
        <f>IF($A371="","",IF(AND(MONTH(A370)&gt;3,MONTH(A370)&lt;11),(T370+R370+G370)*Summary!$T$9/(1-Summary!$T$9),(T370+R370+G370)*Summary!$U$9/(1-Summary!$U$9)))</f>
        <v/>
      </c>
      <c r="W370" s="63" t="str">
        <f t="shared" si="207"/>
        <v/>
      </c>
      <c r="X370" s="63" t="str">
        <f t="shared" si="208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8"/>
        <v/>
      </c>
      <c r="AP370" s="33" t="str">
        <f t="shared" si="219"/>
        <v/>
      </c>
      <c r="AQ370" s="58" t="str">
        <f t="shared" si="220"/>
        <v/>
      </c>
      <c r="AR370" s="38">
        <f>'ANR OK vs ML7'!AR370</f>
        <v>0.1</v>
      </c>
      <c r="AS370" s="35" t="str">
        <f t="shared" si="221"/>
        <v/>
      </c>
      <c r="AT370" s="3" t="str">
        <f t="shared" si="222"/>
        <v/>
      </c>
      <c r="AU370" s="3" t="str">
        <f t="shared" si="223"/>
        <v/>
      </c>
      <c r="AW370" s="32" t="str">
        <f t="shared" si="224"/>
        <v/>
      </c>
      <c r="AX370" s="32" t="str">
        <f t="shared" si="225"/>
        <v/>
      </c>
      <c r="AY370" s="32" t="str">
        <f t="shared" si="226"/>
        <v/>
      </c>
      <c r="BA370" s="32" t="str">
        <f>IF($A371="","",F370*Summary!$Q$9)</f>
        <v/>
      </c>
    </row>
    <row r="371" spans="1:53">
      <c r="A371" s="67" t="str">
        <f t="shared" si="227"/>
        <v/>
      </c>
      <c r="B371" s="69" t="str">
        <f t="shared" si="229"/>
        <v/>
      </c>
      <c r="D371" s="69" t="str">
        <f t="shared" si="192"/>
        <v/>
      </c>
      <c r="E371" s="70" t="str">
        <f t="shared" si="193"/>
        <v/>
      </c>
      <c r="F371" s="70" t="str">
        <f t="shared" si="194"/>
        <v/>
      </c>
      <c r="G371" s="63" t="str">
        <f t="shared" si="195"/>
        <v/>
      </c>
      <c r="H371" s="64" t="str">
        <f t="shared" si="196"/>
        <v/>
      </c>
      <c r="J371" s="63" t="str">
        <f t="shared" si="197"/>
        <v/>
      </c>
      <c r="K371" s="64" t="str">
        <f t="shared" si="198"/>
        <v/>
      </c>
      <c r="L371" s="63" t="str">
        <f t="shared" si="199"/>
        <v/>
      </c>
      <c r="M371" s="64" t="str">
        <f t="shared" si="200"/>
        <v/>
      </c>
      <c r="O371" s="63" t="str">
        <f t="shared" si="201"/>
        <v/>
      </c>
      <c r="P371" s="63" t="str">
        <f t="shared" si="202"/>
        <v/>
      </c>
      <c r="R371" s="63" t="str">
        <f t="shared" si="203"/>
        <v/>
      </c>
      <c r="S371" s="64" t="str">
        <f t="shared" si="204"/>
        <v/>
      </c>
      <c r="T371" s="63" t="str">
        <f t="shared" si="205"/>
        <v/>
      </c>
      <c r="U371" s="64" t="str">
        <f t="shared" si="206"/>
        <v/>
      </c>
      <c r="V371" s="90" t="str">
        <f>IF($A372="","",IF(AND(MONTH(A371)&gt;3,MONTH(A371)&lt;11),(T371+R371+G371)*Summary!$T$9/(1-Summary!$T$9),(T371+R371+G371)*Summary!$U$9/(1-Summary!$U$9)))</f>
        <v/>
      </c>
      <c r="W371" s="63" t="str">
        <f t="shared" si="207"/>
        <v/>
      </c>
      <c r="X371" s="63" t="str">
        <f t="shared" si="208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8"/>
        <v/>
      </c>
      <c r="AP371" s="33" t="str">
        <f t="shared" si="219"/>
        <v/>
      </c>
      <c r="AQ371" s="58" t="str">
        <f t="shared" si="220"/>
        <v/>
      </c>
      <c r="AR371" s="38">
        <f>'ANR OK vs ML7'!AR371</f>
        <v>0.1</v>
      </c>
      <c r="AS371" s="35" t="str">
        <f t="shared" si="221"/>
        <v/>
      </c>
      <c r="AT371" s="3" t="str">
        <f t="shared" si="222"/>
        <v/>
      </c>
      <c r="AU371" s="3" t="str">
        <f t="shared" si="223"/>
        <v/>
      </c>
      <c r="AW371" s="32" t="str">
        <f t="shared" si="224"/>
        <v/>
      </c>
      <c r="AX371" s="32" t="str">
        <f t="shared" si="225"/>
        <v/>
      </c>
      <c r="AY371" s="32" t="str">
        <f t="shared" si="226"/>
        <v/>
      </c>
      <c r="BA371" s="32" t="str">
        <f>IF($A372="","",F371*Summary!$Q$9)</f>
        <v/>
      </c>
    </row>
    <row r="372" spans="1:53">
      <c r="A372" s="67" t="str">
        <f t="shared" si="227"/>
        <v/>
      </c>
      <c r="B372" s="69" t="str">
        <f t="shared" si="229"/>
        <v/>
      </c>
      <c r="D372" s="69" t="str">
        <f t="shared" si="192"/>
        <v/>
      </c>
      <c r="E372" s="70" t="str">
        <f t="shared" si="193"/>
        <v/>
      </c>
      <c r="F372" s="70" t="str">
        <f t="shared" si="194"/>
        <v/>
      </c>
      <c r="G372" s="63" t="str">
        <f t="shared" si="195"/>
        <v/>
      </c>
      <c r="H372" s="64" t="str">
        <f t="shared" si="196"/>
        <v/>
      </c>
      <c r="J372" s="63" t="str">
        <f t="shared" si="197"/>
        <v/>
      </c>
      <c r="K372" s="64" t="str">
        <f t="shared" si="198"/>
        <v/>
      </c>
      <c r="L372" s="63" t="str">
        <f t="shared" si="199"/>
        <v/>
      </c>
      <c r="M372" s="64" t="str">
        <f t="shared" si="200"/>
        <v/>
      </c>
      <c r="O372" s="63" t="str">
        <f t="shared" si="201"/>
        <v/>
      </c>
      <c r="P372" s="63" t="str">
        <f t="shared" si="202"/>
        <v/>
      </c>
      <c r="R372" s="63" t="str">
        <f t="shared" si="203"/>
        <v/>
      </c>
      <c r="S372" s="64" t="str">
        <f t="shared" si="204"/>
        <v/>
      </c>
      <c r="T372" s="63" t="str">
        <f t="shared" si="205"/>
        <v/>
      </c>
      <c r="U372" s="64" t="str">
        <f t="shared" si="206"/>
        <v/>
      </c>
      <c r="V372" s="90" t="str">
        <f>IF($A373="","",IF(AND(MONTH(A372)&gt;3,MONTH(A372)&lt;11),(T372+R372+G372)*Summary!$T$9/(1-Summary!$T$9),(T372+R372+G372)*Summary!$U$9/(1-Summary!$U$9)))</f>
        <v/>
      </c>
      <c r="W372" s="63" t="str">
        <f t="shared" si="207"/>
        <v/>
      </c>
      <c r="X372" s="63" t="str">
        <f t="shared" si="208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8"/>
        <v/>
      </c>
      <c r="AP372" s="33" t="str">
        <f t="shared" si="219"/>
        <v/>
      </c>
      <c r="AQ372" s="58" t="str">
        <f t="shared" si="220"/>
        <v/>
      </c>
      <c r="AR372" s="38">
        <f>'ANR OK vs ML7'!AR372</f>
        <v>0.1</v>
      </c>
      <c r="AS372" s="35" t="str">
        <f t="shared" si="221"/>
        <v/>
      </c>
      <c r="AT372" s="3" t="str">
        <f t="shared" si="222"/>
        <v/>
      </c>
      <c r="AU372" s="3" t="str">
        <f t="shared" si="223"/>
        <v/>
      </c>
      <c r="AW372" s="32" t="str">
        <f t="shared" si="224"/>
        <v/>
      </c>
      <c r="AX372" s="32" t="str">
        <f t="shared" si="225"/>
        <v/>
      </c>
      <c r="AY372" s="32" t="str">
        <f t="shared" si="226"/>
        <v/>
      </c>
      <c r="BA372" s="32" t="str">
        <f>IF($A373="","",F372*Summary!$Q$9)</f>
        <v/>
      </c>
    </row>
    <row r="373" spans="1:53">
      <c r="A373" s="67" t="str">
        <f t="shared" si="227"/>
        <v/>
      </c>
      <c r="B373" s="69" t="str">
        <f t="shared" si="229"/>
        <v/>
      </c>
      <c r="D373" s="69" t="str">
        <f t="shared" si="192"/>
        <v/>
      </c>
      <c r="E373" s="70" t="str">
        <f t="shared" si="193"/>
        <v/>
      </c>
      <c r="F373" s="70" t="str">
        <f t="shared" si="194"/>
        <v/>
      </c>
      <c r="G373" s="63" t="str">
        <f t="shared" si="195"/>
        <v/>
      </c>
      <c r="H373" s="64" t="str">
        <f t="shared" si="196"/>
        <v/>
      </c>
      <c r="J373" s="63" t="str">
        <f t="shared" si="197"/>
        <v/>
      </c>
      <c r="K373" s="64" t="str">
        <f t="shared" si="198"/>
        <v/>
      </c>
      <c r="L373" s="63" t="str">
        <f t="shared" si="199"/>
        <v/>
      </c>
      <c r="M373" s="64" t="str">
        <f t="shared" si="200"/>
        <v/>
      </c>
      <c r="O373" s="63" t="str">
        <f t="shared" si="201"/>
        <v/>
      </c>
      <c r="P373" s="63" t="str">
        <f t="shared" si="202"/>
        <v/>
      </c>
      <c r="R373" s="63" t="str">
        <f t="shared" si="203"/>
        <v/>
      </c>
      <c r="S373" s="64" t="str">
        <f t="shared" si="204"/>
        <v/>
      </c>
      <c r="T373" s="63" t="str">
        <f t="shared" si="205"/>
        <v/>
      </c>
      <c r="U373" s="64" t="str">
        <f t="shared" si="206"/>
        <v/>
      </c>
      <c r="V373" s="90" t="str">
        <f>IF($A374="","",IF(AND(MONTH(A373)&gt;3,MONTH(A373)&lt;11),(T373+R373+G373)*Summary!$T$9/(1-Summary!$T$9),(T373+R373+G373)*Summary!$U$9/(1-Summary!$U$9)))</f>
        <v/>
      </c>
      <c r="W373" s="63" t="str">
        <f t="shared" si="207"/>
        <v/>
      </c>
      <c r="X373" s="63" t="str">
        <f t="shared" si="208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8"/>
        <v/>
      </c>
      <c r="AP373" s="33" t="str">
        <f t="shared" si="219"/>
        <v/>
      </c>
      <c r="AQ373" s="58" t="str">
        <f t="shared" si="220"/>
        <v/>
      </c>
      <c r="AR373" s="38">
        <f>'ANR OK vs ML7'!AR373</f>
        <v>0.1</v>
      </c>
      <c r="AS373" s="35" t="str">
        <f t="shared" si="221"/>
        <v/>
      </c>
      <c r="AT373" s="3" t="str">
        <f t="shared" si="222"/>
        <v/>
      </c>
      <c r="AU373" s="3" t="str">
        <f t="shared" si="223"/>
        <v/>
      </c>
      <c r="AW373" s="32" t="str">
        <f t="shared" si="224"/>
        <v/>
      </c>
      <c r="AX373" s="32" t="str">
        <f t="shared" si="225"/>
        <v/>
      </c>
      <c r="AY373" s="32" t="str">
        <f t="shared" si="226"/>
        <v/>
      </c>
      <c r="BA373" s="32" t="str">
        <f>IF($A374="","",F373*Summary!$Q$9)</f>
        <v/>
      </c>
    </row>
    <row r="374" spans="1:53">
      <c r="A374" s="67" t="str">
        <f t="shared" si="227"/>
        <v/>
      </c>
      <c r="B374" s="69" t="str">
        <f t="shared" si="229"/>
        <v/>
      </c>
      <c r="D374" s="69" t="str">
        <f t="shared" si="192"/>
        <v/>
      </c>
      <c r="E374" s="70" t="str">
        <f t="shared" si="193"/>
        <v/>
      </c>
      <c r="F374" s="70" t="str">
        <f t="shared" si="194"/>
        <v/>
      </c>
      <c r="G374" s="63" t="str">
        <f t="shared" si="195"/>
        <v/>
      </c>
      <c r="H374" s="64" t="str">
        <f t="shared" si="196"/>
        <v/>
      </c>
      <c r="J374" s="63" t="str">
        <f t="shared" si="197"/>
        <v/>
      </c>
      <c r="K374" s="64" t="str">
        <f t="shared" si="198"/>
        <v/>
      </c>
      <c r="L374" s="63" t="str">
        <f t="shared" si="199"/>
        <v/>
      </c>
      <c r="M374" s="64" t="str">
        <f t="shared" si="200"/>
        <v/>
      </c>
      <c r="O374" s="63" t="str">
        <f t="shared" si="201"/>
        <v/>
      </c>
      <c r="P374" s="63" t="str">
        <f t="shared" si="202"/>
        <v/>
      </c>
      <c r="R374" s="63" t="str">
        <f t="shared" si="203"/>
        <v/>
      </c>
      <c r="S374" s="64" t="str">
        <f t="shared" si="204"/>
        <v/>
      </c>
      <c r="T374" s="63" t="str">
        <f t="shared" si="205"/>
        <v/>
      </c>
      <c r="U374" s="64" t="str">
        <f t="shared" si="206"/>
        <v/>
      </c>
      <c r="V374" s="90" t="str">
        <f>IF($A375="","",IF(AND(MONTH(A374)&gt;3,MONTH(A374)&lt;11),(T374+R374+G374)*Summary!$T$9/(1-Summary!$T$9),(T374+R374+G374)*Summary!$U$9/(1-Summary!$U$9)))</f>
        <v/>
      </c>
      <c r="W374" s="63" t="str">
        <f t="shared" si="207"/>
        <v/>
      </c>
      <c r="X374" s="63" t="str">
        <f t="shared" si="208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8"/>
        <v/>
      </c>
      <c r="AP374" s="33" t="str">
        <f t="shared" si="219"/>
        <v/>
      </c>
      <c r="AQ374" s="58" t="str">
        <f t="shared" si="220"/>
        <v/>
      </c>
      <c r="AR374" s="38">
        <f>'ANR OK vs ML7'!AR374</f>
        <v>0.1</v>
      </c>
      <c r="AS374" s="35" t="str">
        <f t="shared" si="221"/>
        <v/>
      </c>
      <c r="AT374" s="3" t="str">
        <f t="shared" si="222"/>
        <v/>
      </c>
      <c r="AU374" s="3" t="str">
        <f t="shared" si="223"/>
        <v/>
      </c>
      <c r="AW374" s="32" t="str">
        <f t="shared" si="224"/>
        <v/>
      </c>
      <c r="AX374" s="32" t="str">
        <f t="shared" si="225"/>
        <v/>
      </c>
      <c r="AY374" s="32" t="str">
        <f t="shared" si="226"/>
        <v/>
      </c>
      <c r="BA374" s="32" t="str">
        <f>IF($A375="","",F374*Summary!$Q$9)</f>
        <v/>
      </c>
    </row>
    <row r="375" spans="1:53">
      <c r="A375" s="67" t="str">
        <f t="shared" si="227"/>
        <v/>
      </c>
      <c r="B375" s="69" t="str">
        <f t="shared" si="229"/>
        <v/>
      </c>
      <c r="D375" s="69" t="str">
        <f t="shared" si="192"/>
        <v/>
      </c>
      <c r="E375" s="70" t="str">
        <f t="shared" si="193"/>
        <v/>
      </c>
      <c r="F375" s="70" t="str">
        <f t="shared" si="194"/>
        <v/>
      </c>
      <c r="G375" s="63" t="str">
        <f t="shared" si="195"/>
        <v/>
      </c>
      <c r="H375" s="64" t="str">
        <f t="shared" si="196"/>
        <v/>
      </c>
      <c r="J375" s="63" t="str">
        <f t="shared" si="197"/>
        <v/>
      </c>
      <c r="K375" s="64" t="str">
        <f t="shared" si="198"/>
        <v/>
      </c>
      <c r="L375" s="63" t="str">
        <f t="shared" si="199"/>
        <v/>
      </c>
      <c r="M375" s="64" t="str">
        <f t="shared" si="200"/>
        <v/>
      </c>
      <c r="O375" s="63" t="str">
        <f t="shared" si="201"/>
        <v/>
      </c>
      <c r="P375" s="63" t="str">
        <f t="shared" si="202"/>
        <v/>
      </c>
      <c r="R375" s="63" t="str">
        <f t="shared" si="203"/>
        <v/>
      </c>
      <c r="S375" s="64" t="str">
        <f t="shared" si="204"/>
        <v/>
      </c>
      <c r="T375" s="63" t="str">
        <f t="shared" si="205"/>
        <v/>
      </c>
      <c r="U375" s="64" t="str">
        <f t="shared" si="206"/>
        <v/>
      </c>
      <c r="V375" s="90" t="str">
        <f>IF($A376="","",IF(AND(MONTH(A375)&gt;3,MONTH(A375)&lt;11),(T375+R375+G375)*Summary!$T$9/(1-Summary!$T$9),(T375+R375+G375)*Summary!$U$9/(1-Summary!$U$9)))</f>
        <v/>
      </c>
      <c r="W375" s="63" t="str">
        <f t="shared" si="207"/>
        <v/>
      </c>
      <c r="X375" s="63" t="str">
        <f t="shared" si="208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8"/>
        <v/>
      </c>
      <c r="AP375" s="33" t="str">
        <f t="shared" si="219"/>
        <v/>
      </c>
      <c r="AQ375" s="58" t="str">
        <f t="shared" si="220"/>
        <v/>
      </c>
      <c r="AR375" s="38">
        <f>'ANR OK vs ML7'!AR375</f>
        <v>0.1</v>
      </c>
      <c r="AS375" s="35" t="str">
        <f t="shared" si="221"/>
        <v/>
      </c>
      <c r="AT375" s="3" t="str">
        <f t="shared" si="222"/>
        <v/>
      </c>
      <c r="AU375" s="3" t="str">
        <f t="shared" si="223"/>
        <v/>
      </c>
      <c r="AW375" s="32" t="str">
        <f t="shared" si="224"/>
        <v/>
      </c>
      <c r="AX375" s="32" t="str">
        <f t="shared" si="225"/>
        <v/>
      </c>
      <c r="AY375" s="32" t="str">
        <f t="shared" si="226"/>
        <v/>
      </c>
      <c r="BA375" s="32" t="str">
        <f>IF($A376="","",F375*Summary!$Q$9)</f>
        <v/>
      </c>
    </row>
    <row r="376" spans="1:53">
      <c r="A376" s="67" t="str">
        <f t="shared" si="227"/>
        <v/>
      </c>
      <c r="B376" s="69" t="str">
        <f t="shared" si="229"/>
        <v/>
      </c>
      <c r="D376" s="69" t="str">
        <f t="shared" si="192"/>
        <v/>
      </c>
      <c r="E376" s="70" t="str">
        <f t="shared" si="193"/>
        <v/>
      </c>
      <c r="F376" s="70" t="str">
        <f t="shared" si="194"/>
        <v/>
      </c>
      <c r="G376" s="63" t="str">
        <f t="shared" si="195"/>
        <v/>
      </c>
      <c r="H376" s="64" t="str">
        <f t="shared" si="196"/>
        <v/>
      </c>
      <c r="J376" s="63" t="str">
        <f t="shared" si="197"/>
        <v/>
      </c>
      <c r="K376" s="64" t="str">
        <f t="shared" si="198"/>
        <v/>
      </c>
      <c r="L376" s="63" t="str">
        <f t="shared" si="199"/>
        <v/>
      </c>
      <c r="M376" s="64" t="str">
        <f t="shared" si="200"/>
        <v/>
      </c>
      <c r="O376" s="63" t="str">
        <f t="shared" si="201"/>
        <v/>
      </c>
      <c r="P376" s="63" t="str">
        <f t="shared" si="202"/>
        <v/>
      </c>
      <c r="R376" s="63" t="str">
        <f t="shared" si="203"/>
        <v/>
      </c>
      <c r="S376" s="64" t="str">
        <f t="shared" si="204"/>
        <v/>
      </c>
      <c r="T376" s="63" t="str">
        <f t="shared" si="205"/>
        <v/>
      </c>
      <c r="U376" s="64" t="str">
        <f t="shared" si="206"/>
        <v/>
      </c>
      <c r="V376" s="90" t="str">
        <f>IF($A377="","",IF(AND(MONTH(A376)&gt;3,MONTH(A376)&lt;11),(T376+R376+G376)*Summary!$T$9/(1-Summary!$T$9),(T376+R376+G376)*Summary!$U$9/(1-Summary!$U$9)))</f>
        <v/>
      </c>
      <c r="W376" s="63" t="str">
        <f t="shared" si="207"/>
        <v/>
      </c>
      <c r="X376" s="63" t="str">
        <f t="shared" si="208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8"/>
        <v/>
      </c>
      <c r="AP376" s="33" t="str">
        <f t="shared" si="219"/>
        <v/>
      </c>
      <c r="AQ376" s="58" t="str">
        <f t="shared" si="220"/>
        <v/>
      </c>
      <c r="AR376" s="38">
        <f>'ANR OK vs ML7'!AR376</f>
        <v>0.1</v>
      </c>
      <c r="AS376" s="35" t="str">
        <f t="shared" si="221"/>
        <v/>
      </c>
      <c r="AT376" s="3" t="str">
        <f t="shared" si="222"/>
        <v/>
      </c>
      <c r="AU376" s="3" t="str">
        <f t="shared" si="223"/>
        <v/>
      </c>
      <c r="AW376" s="32" t="str">
        <f t="shared" si="224"/>
        <v/>
      </c>
      <c r="AX376" s="32" t="str">
        <f t="shared" si="225"/>
        <v/>
      </c>
      <c r="AY376" s="32" t="str">
        <f t="shared" si="226"/>
        <v/>
      </c>
      <c r="BA376" s="32" t="str">
        <f>IF($A377="","",F376*Summary!$Q$9)</f>
        <v/>
      </c>
    </row>
    <row r="377" spans="1:53">
      <c r="A377" s="67" t="str">
        <f t="shared" si="227"/>
        <v/>
      </c>
      <c r="B377" s="69" t="str">
        <f t="shared" si="229"/>
        <v/>
      </c>
      <c r="D377" s="69" t="str">
        <f t="shared" si="192"/>
        <v/>
      </c>
      <c r="E377" s="70" t="str">
        <f t="shared" si="193"/>
        <v/>
      </c>
      <c r="F377" s="70" t="str">
        <f t="shared" si="194"/>
        <v/>
      </c>
      <c r="G377" s="63" t="str">
        <f t="shared" si="195"/>
        <v/>
      </c>
      <c r="H377" s="64" t="str">
        <f t="shared" si="196"/>
        <v/>
      </c>
      <c r="J377" s="63" t="str">
        <f t="shared" si="197"/>
        <v/>
      </c>
      <c r="K377" s="64" t="str">
        <f t="shared" si="198"/>
        <v/>
      </c>
      <c r="L377" s="63" t="str">
        <f t="shared" si="199"/>
        <v/>
      </c>
      <c r="M377" s="64" t="str">
        <f t="shared" si="200"/>
        <v/>
      </c>
      <c r="O377" s="63" t="str">
        <f t="shared" si="201"/>
        <v/>
      </c>
      <c r="P377" s="63" t="str">
        <f t="shared" si="202"/>
        <v/>
      </c>
      <c r="R377" s="63" t="str">
        <f t="shared" si="203"/>
        <v/>
      </c>
      <c r="S377" s="64" t="str">
        <f t="shared" si="204"/>
        <v/>
      </c>
      <c r="T377" s="63" t="str">
        <f t="shared" si="205"/>
        <v/>
      </c>
      <c r="U377" s="64" t="str">
        <f t="shared" si="206"/>
        <v/>
      </c>
      <c r="V377" s="90" t="str">
        <f>IF($A378="","",IF(AND(MONTH(A377)&gt;3,MONTH(A377)&lt;11),(T377+R377+G377)*Summary!$T$9/(1-Summary!$T$9),(T377+R377+G377)*Summary!$U$9/(1-Summary!$U$9)))</f>
        <v/>
      </c>
      <c r="W377" s="63" t="str">
        <f t="shared" si="207"/>
        <v/>
      </c>
      <c r="X377" s="63" t="str">
        <f t="shared" si="208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8"/>
        <v/>
      </c>
      <c r="AP377" s="33" t="str">
        <f t="shared" si="219"/>
        <v/>
      </c>
      <c r="AQ377" s="58" t="str">
        <f t="shared" si="220"/>
        <v/>
      </c>
      <c r="AR377" s="38">
        <f>'ANR OK vs ML7'!AR377</f>
        <v>0.1</v>
      </c>
      <c r="AS377" s="35" t="str">
        <f t="shared" si="221"/>
        <v/>
      </c>
      <c r="AT377" s="3" t="str">
        <f t="shared" si="222"/>
        <v/>
      </c>
      <c r="AU377" s="3" t="str">
        <f t="shared" si="223"/>
        <v/>
      </c>
      <c r="AW377" s="32" t="str">
        <f t="shared" si="224"/>
        <v/>
      </c>
      <c r="AX377" s="32" t="str">
        <f t="shared" si="225"/>
        <v/>
      </c>
      <c r="AY377" s="32" t="str">
        <f t="shared" si="226"/>
        <v/>
      </c>
      <c r="BA377" s="32" t="str">
        <f>IF($A378="","",F377*Summary!$Q$9)</f>
        <v/>
      </c>
    </row>
    <row r="378" spans="1:53">
      <c r="A378" s="67" t="str">
        <f t="shared" si="227"/>
        <v/>
      </c>
      <c r="B378" s="69" t="str">
        <f t="shared" si="229"/>
        <v/>
      </c>
      <c r="D378" s="69" t="str">
        <f t="shared" si="192"/>
        <v/>
      </c>
      <c r="E378" s="70" t="str">
        <f t="shared" si="193"/>
        <v/>
      </c>
      <c r="F378" s="70" t="str">
        <f t="shared" si="194"/>
        <v/>
      </c>
      <c r="G378" s="63" t="str">
        <f t="shared" si="195"/>
        <v/>
      </c>
      <c r="H378" s="64" t="str">
        <f t="shared" si="196"/>
        <v/>
      </c>
      <c r="J378" s="63" t="str">
        <f t="shared" si="197"/>
        <v/>
      </c>
      <c r="K378" s="64" t="str">
        <f t="shared" si="198"/>
        <v/>
      </c>
      <c r="L378" s="63" t="str">
        <f t="shared" si="199"/>
        <v/>
      </c>
      <c r="M378" s="64" t="str">
        <f t="shared" si="200"/>
        <v/>
      </c>
      <c r="O378" s="63" t="str">
        <f t="shared" si="201"/>
        <v/>
      </c>
      <c r="P378" s="63" t="str">
        <f t="shared" si="202"/>
        <v/>
      </c>
      <c r="R378" s="63" t="str">
        <f t="shared" si="203"/>
        <v/>
      </c>
      <c r="S378" s="64" t="str">
        <f t="shared" si="204"/>
        <v/>
      </c>
      <c r="T378" s="63" t="str">
        <f t="shared" si="205"/>
        <v/>
      </c>
      <c r="U378" s="64" t="str">
        <f t="shared" si="206"/>
        <v/>
      </c>
      <c r="V378" s="90" t="str">
        <f>IF($A379="","",IF(AND(MONTH(A378)&gt;3,MONTH(A378)&lt;11),(T378+R378+G378)*Summary!$T$9/(1-Summary!$T$9),(T378+R378+G378)*Summary!$U$9/(1-Summary!$U$9)))</f>
        <v/>
      </c>
      <c r="W378" s="63" t="str">
        <f t="shared" si="207"/>
        <v/>
      </c>
      <c r="X378" s="63" t="str">
        <f t="shared" si="208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8"/>
        <v/>
      </c>
      <c r="AP378" s="33" t="str">
        <f t="shared" si="219"/>
        <v/>
      </c>
      <c r="AQ378" s="58" t="str">
        <f t="shared" si="220"/>
        <v/>
      </c>
      <c r="AR378" s="38">
        <f>'ANR OK vs ML7'!AR378</f>
        <v>0.1</v>
      </c>
      <c r="AS378" s="35" t="str">
        <f t="shared" si="221"/>
        <v/>
      </c>
      <c r="AT378" s="3" t="str">
        <f t="shared" si="222"/>
        <v/>
      </c>
      <c r="AU378" s="3" t="str">
        <f t="shared" si="223"/>
        <v/>
      </c>
      <c r="AW378" s="32" t="str">
        <f t="shared" si="224"/>
        <v/>
      </c>
      <c r="AX378" s="32" t="str">
        <f t="shared" si="225"/>
        <v/>
      </c>
      <c r="AY378" s="32" t="str">
        <f t="shared" si="226"/>
        <v/>
      </c>
      <c r="BA378" s="32" t="str">
        <f>IF($A379="","",F378*Summary!$Q$9)</f>
        <v/>
      </c>
    </row>
    <row r="379" spans="1:53">
      <c r="A379" s="67" t="str">
        <f t="shared" si="227"/>
        <v/>
      </c>
      <c r="B379" s="69" t="str">
        <f t="shared" si="229"/>
        <v/>
      </c>
      <c r="D379" s="69" t="str">
        <f t="shared" si="192"/>
        <v/>
      </c>
      <c r="E379" s="70" t="str">
        <f t="shared" si="193"/>
        <v/>
      </c>
      <c r="F379" s="70" t="str">
        <f t="shared" si="194"/>
        <v/>
      </c>
      <c r="G379" s="63" t="str">
        <f t="shared" si="195"/>
        <v/>
      </c>
      <c r="H379" s="64" t="str">
        <f t="shared" si="196"/>
        <v/>
      </c>
      <c r="J379" s="63" t="str">
        <f t="shared" si="197"/>
        <v/>
      </c>
      <c r="K379" s="64" t="str">
        <f t="shared" si="198"/>
        <v/>
      </c>
      <c r="L379" s="63" t="str">
        <f t="shared" si="199"/>
        <v/>
      </c>
      <c r="M379" s="64" t="str">
        <f t="shared" si="200"/>
        <v/>
      </c>
      <c r="O379" s="63" t="str">
        <f t="shared" si="201"/>
        <v/>
      </c>
      <c r="P379" s="63" t="str">
        <f t="shared" si="202"/>
        <v/>
      </c>
      <c r="R379" s="63" t="str">
        <f t="shared" si="203"/>
        <v/>
      </c>
      <c r="S379" s="64" t="str">
        <f t="shared" si="204"/>
        <v/>
      </c>
      <c r="T379" s="63" t="str">
        <f t="shared" si="205"/>
        <v/>
      </c>
      <c r="U379" s="64" t="str">
        <f t="shared" si="206"/>
        <v/>
      </c>
      <c r="V379" s="90" t="str">
        <f>IF($A380="","",IF(AND(MONTH(A379)&gt;3,MONTH(A379)&lt;11),(T379+R379+G379)*Summary!$T$9/(1-Summary!$T$9),(T379+R379+G379)*Summary!$U$9/(1-Summary!$U$9)))</f>
        <v/>
      </c>
      <c r="W379" s="63" t="str">
        <f t="shared" si="207"/>
        <v/>
      </c>
      <c r="X379" s="63" t="str">
        <f t="shared" si="208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8"/>
        <v/>
      </c>
      <c r="AP379" s="33" t="str">
        <f t="shared" si="219"/>
        <v/>
      </c>
      <c r="AQ379" s="58" t="str">
        <f t="shared" si="220"/>
        <v/>
      </c>
      <c r="AR379" s="38">
        <f>'ANR OK vs ML7'!AR379</f>
        <v>0.1</v>
      </c>
      <c r="AS379" s="35" t="str">
        <f t="shared" si="221"/>
        <v/>
      </c>
      <c r="AT379" s="3" t="str">
        <f t="shared" si="222"/>
        <v/>
      </c>
      <c r="AU379" s="3" t="str">
        <f t="shared" si="223"/>
        <v/>
      </c>
      <c r="AW379" s="32" t="str">
        <f t="shared" si="224"/>
        <v/>
      </c>
      <c r="AX379" s="32" t="str">
        <f t="shared" si="225"/>
        <v/>
      </c>
      <c r="AY379" s="32" t="str">
        <f t="shared" si="226"/>
        <v/>
      </c>
      <c r="BA379" s="32" t="str">
        <f>IF($A380="","",F379*Summary!$Q$9)</f>
        <v/>
      </c>
    </row>
    <row r="380" spans="1:53">
      <c r="A380" s="67" t="str">
        <f t="shared" si="227"/>
        <v/>
      </c>
      <c r="B380" s="69" t="str">
        <f t="shared" si="229"/>
        <v/>
      </c>
      <c r="D380" s="69" t="str">
        <f t="shared" si="192"/>
        <v/>
      </c>
      <c r="E380" s="70" t="str">
        <f t="shared" si="193"/>
        <v/>
      </c>
      <c r="F380" s="70" t="str">
        <f t="shared" si="194"/>
        <v/>
      </c>
      <c r="G380" s="63" t="str">
        <f t="shared" si="195"/>
        <v/>
      </c>
      <c r="H380" s="64" t="str">
        <f t="shared" si="196"/>
        <v/>
      </c>
      <c r="J380" s="63" t="str">
        <f t="shared" si="197"/>
        <v/>
      </c>
      <c r="K380" s="64" t="str">
        <f t="shared" si="198"/>
        <v/>
      </c>
      <c r="L380" s="63" t="str">
        <f t="shared" si="199"/>
        <v/>
      </c>
      <c r="M380" s="64" t="str">
        <f t="shared" si="200"/>
        <v/>
      </c>
      <c r="O380" s="63" t="str">
        <f t="shared" si="201"/>
        <v/>
      </c>
      <c r="P380" s="63" t="str">
        <f t="shared" si="202"/>
        <v/>
      </c>
      <c r="R380" s="63" t="str">
        <f t="shared" si="203"/>
        <v/>
      </c>
      <c r="S380" s="64" t="str">
        <f t="shared" si="204"/>
        <v/>
      </c>
      <c r="T380" s="63" t="str">
        <f t="shared" si="205"/>
        <v/>
      </c>
      <c r="U380" s="64" t="str">
        <f t="shared" si="206"/>
        <v/>
      </c>
      <c r="V380" s="90" t="str">
        <f>IF($A381="","",IF(AND(MONTH(A380)&gt;3,MONTH(A380)&lt;11),(T380+R380+G380)*Summary!$T$9/(1-Summary!$T$9),(T380+R380+G380)*Summary!$U$9/(1-Summary!$U$9)))</f>
        <v/>
      </c>
      <c r="W380" s="63" t="str">
        <f t="shared" si="207"/>
        <v/>
      </c>
      <c r="X380" s="63" t="str">
        <f t="shared" si="208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8"/>
        <v/>
      </c>
      <c r="AP380" s="33" t="str">
        <f t="shared" si="219"/>
        <v/>
      </c>
      <c r="AQ380" s="58" t="str">
        <f t="shared" si="220"/>
        <v/>
      </c>
      <c r="AR380" s="38">
        <f>'ANR OK vs ML7'!AR380</f>
        <v>0.1</v>
      </c>
      <c r="AS380" s="35" t="str">
        <f t="shared" si="221"/>
        <v/>
      </c>
      <c r="AT380" s="3" t="str">
        <f t="shared" si="222"/>
        <v/>
      </c>
      <c r="AU380" s="3" t="str">
        <f t="shared" si="223"/>
        <v/>
      </c>
      <c r="AW380" s="32" t="str">
        <f t="shared" si="224"/>
        <v/>
      </c>
      <c r="AX380" s="32" t="str">
        <f t="shared" si="225"/>
        <v/>
      </c>
      <c r="AY380" s="32" t="str">
        <f t="shared" si="226"/>
        <v/>
      </c>
      <c r="BA380" s="32" t="str">
        <f>IF($A381="","",F380*Summary!$Q$9)</f>
        <v/>
      </c>
    </row>
    <row r="381" spans="1:53">
      <c r="A381" s="67" t="str">
        <f t="shared" si="227"/>
        <v/>
      </c>
      <c r="B381" s="69" t="str">
        <f t="shared" si="229"/>
        <v/>
      </c>
      <c r="D381" s="69" t="str">
        <f t="shared" si="192"/>
        <v/>
      </c>
      <c r="E381" s="70" t="str">
        <f t="shared" si="193"/>
        <v/>
      </c>
      <c r="F381" s="70" t="str">
        <f t="shared" si="194"/>
        <v/>
      </c>
      <c r="G381" s="63" t="str">
        <f t="shared" si="195"/>
        <v/>
      </c>
      <c r="H381" s="64" t="str">
        <f t="shared" si="196"/>
        <v/>
      </c>
      <c r="J381" s="63" t="str">
        <f t="shared" si="197"/>
        <v/>
      </c>
      <c r="K381" s="64" t="str">
        <f t="shared" si="198"/>
        <v/>
      </c>
      <c r="L381" s="63" t="str">
        <f t="shared" si="199"/>
        <v/>
      </c>
      <c r="M381" s="64" t="str">
        <f t="shared" si="200"/>
        <v/>
      </c>
      <c r="O381" s="63" t="str">
        <f t="shared" si="201"/>
        <v/>
      </c>
      <c r="P381" s="63" t="str">
        <f t="shared" si="202"/>
        <v/>
      </c>
      <c r="R381" s="63" t="str">
        <f t="shared" si="203"/>
        <v/>
      </c>
      <c r="S381" s="64" t="str">
        <f t="shared" si="204"/>
        <v/>
      </c>
      <c r="T381" s="63" t="str">
        <f t="shared" si="205"/>
        <v/>
      </c>
      <c r="U381" s="64" t="str">
        <f t="shared" si="206"/>
        <v/>
      </c>
      <c r="V381" s="90" t="str">
        <f>IF($A382="","",IF(AND(MONTH(A381)&gt;3,MONTH(A381)&lt;11),(T381+R381+G381)*Summary!$T$9/(1-Summary!$T$9),(T381+R381+G381)*Summary!$U$9/(1-Summary!$U$9)))</f>
        <v/>
      </c>
      <c r="W381" s="63" t="str">
        <f t="shared" si="207"/>
        <v/>
      </c>
      <c r="X381" s="63" t="str">
        <f t="shared" si="208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8"/>
        <v/>
      </c>
      <c r="AP381" s="33" t="str">
        <f t="shared" si="219"/>
        <v/>
      </c>
      <c r="AQ381" s="58" t="str">
        <f t="shared" si="220"/>
        <v/>
      </c>
      <c r="AR381" s="38">
        <f>'ANR OK vs ML7'!AR381</f>
        <v>0.1</v>
      </c>
      <c r="AS381" s="35" t="str">
        <f t="shared" si="221"/>
        <v/>
      </c>
      <c r="AT381" s="3" t="str">
        <f t="shared" si="222"/>
        <v/>
      </c>
      <c r="AU381" s="3" t="str">
        <f t="shared" si="223"/>
        <v/>
      </c>
      <c r="AW381" s="32" t="str">
        <f t="shared" si="224"/>
        <v/>
      </c>
      <c r="AX381" s="32" t="str">
        <f t="shared" si="225"/>
        <v/>
      </c>
      <c r="AY381" s="32" t="str">
        <f t="shared" si="226"/>
        <v/>
      </c>
      <c r="BA381" s="32" t="str">
        <f>IF($A382="","",F381*Summary!$Q$9)</f>
        <v/>
      </c>
    </row>
    <row r="382" spans="1:53">
      <c r="A382" s="67" t="str">
        <f t="shared" si="227"/>
        <v/>
      </c>
      <c r="B382" s="69" t="str">
        <f t="shared" si="229"/>
        <v/>
      </c>
      <c r="D382" s="69" t="str">
        <f t="shared" si="192"/>
        <v/>
      </c>
      <c r="E382" s="70" t="str">
        <f t="shared" si="193"/>
        <v/>
      </c>
      <c r="F382" s="70" t="str">
        <f t="shared" si="194"/>
        <v/>
      </c>
      <c r="G382" s="63" t="str">
        <f t="shared" si="195"/>
        <v/>
      </c>
      <c r="H382" s="64" t="str">
        <f t="shared" si="196"/>
        <v/>
      </c>
      <c r="J382" s="63" t="str">
        <f t="shared" si="197"/>
        <v/>
      </c>
      <c r="K382" s="64" t="str">
        <f t="shared" si="198"/>
        <v/>
      </c>
      <c r="L382" s="63" t="str">
        <f t="shared" si="199"/>
        <v/>
      </c>
      <c r="M382" s="64" t="str">
        <f t="shared" si="200"/>
        <v/>
      </c>
      <c r="O382" s="63" t="str">
        <f t="shared" si="201"/>
        <v/>
      </c>
      <c r="P382" s="63" t="str">
        <f t="shared" si="202"/>
        <v/>
      </c>
      <c r="R382" s="63" t="str">
        <f t="shared" si="203"/>
        <v/>
      </c>
      <c r="S382" s="64" t="str">
        <f t="shared" si="204"/>
        <v/>
      </c>
      <c r="T382" s="63" t="str">
        <f t="shared" si="205"/>
        <v/>
      </c>
      <c r="U382" s="64" t="str">
        <f t="shared" si="206"/>
        <v/>
      </c>
      <c r="V382" s="90" t="str">
        <f>IF($A383="","",IF(AND(MONTH(A382)&gt;3,MONTH(A382)&lt;11),(T382+R382+G382)*Summary!$T$9/(1-Summary!$T$9),(T382+R382+G382)*Summary!$U$9/(1-Summary!$U$9)))</f>
        <v/>
      </c>
      <c r="W382" s="63" t="str">
        <f t="shared" si="207"/>
        <v/>
      </c>
      <c r="X382" s="63" t="str">
        <f t="shared" si="208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8"/>
        <v/>
      </c>
      <c r="AP382" s="33" t="str">
        <f t="shared" si="219"/>
        <v/>
      </c>
      <c r="AQ382" s="58" t="str">
        <f t="shared" si="220"/>
        <v/>
      </c>
      <c r="AR382" s="38">
        <f>'ANR OK vs ML7'!AR382</f>
        <v>0.1</v>
      </c>
      <c r="AS382" s="35" t="str">
        <f t="shared" si="221"/>
        <v/>
      </c>
      <c r="AT382" s="3" t="str">
        <f t="shared" si="222"/>
        <v/>
      </c>
      <c r="AU382" s="3" t="str">
        <f t="shared" si="223"/>
        <v/>
      </c>
      <c r="AW382" s="32" t="str">
        <f t="shared" si="224"/>
        <v/>
      </c>
      <c r="AX382" s="32" t="str">
        <f t="shared" si="225"/>
        <v/>
      </c>
      <c r="AY382" s="32" t="str">
        <f t="shared" si="226"/>
        <v/>
      </c>
      <c r="BA382" s="32" t="str">
        <f>IF($A383="","",F382*Summary!$Q$9)</f>
        <v/>
      </c>
    </row>
    <row r="383" spans="1:53">
      <c r="A383" s="67" t="str">
        <f t="shared" si="227"/>
        <v/>
      </c>
      <c r="B383" s="69" t="str">
        <f t="shared" si="229"/>
        <v/>
      </c>
      <c r="D383" s="69" t="str">
        <f t="shared" si="192"/>
        <v/>
      </c>
      <c r="E383" s="70" t="str">
        <f t="shared" si="193"/>
        <v/>
      </c>
      <c r="F383" s="70" t="str">
        <f t="shared" si="194"/>
        <v/>
      </c>
      <c r="G383" s="63" t="str">
        <f t="shared" si="195"/>
        <v/>
      </c>
      <c r="H383" s="64" t="str">
        <f t="shared" si="196"/>
        <v/>
      </c>
      <c r="J383" s="63" t="str">
        <f t="shared" si="197"/>
        <v/>
      </c>
      <c r="K383" s="64" t="str">
        <f t="shared" si="198"/>
        <v/>
      </c>
      <c r="L383" s="63" t="str">
        <f t="shared" si="199"/>
        <v/>
      </c>
      <c r="M383" s="64" t="str">
        <f t="shared" si="200"/>
        <v/>
      </c>
      <c r="O383" s="63" t="str">
        <f t="shared" si="201"/>
        <v/>
      </c>
      <c r="P383" s="63" t="str">
        <f t="shared" si="202"/>
        <v/>
      </c>
      <c r="R383" s="63" t="str">
        <f t="shared" si="203"/>
        <v/>
      </c>
      <c r="S383" s="64" t="str">
        <f t="shared" si="204"/>
        <v/>
      </c>
      <c r="T383" s="63" t="str">
        <f t="shared" si="205"/>
        <v/>
      </c>
      <c r="U383" s="64" t="str">
        <f t="shared" si="206"/>
        <v/>
      </c>
      <c r="V383" s="90" t="str">
        <f>IF($A384="","",IF(AND(MONTH(A383)&gt;3,MONTH(A383)&lt;11),(T383+R383+G383)*Summary!$T$9/(1-Summary!$T$9),(T383+R383+G383)*Summary!$U$9/(1-Summary!$U$9)))</f>
        <v/>
      </c>
      <c r="W383" s="63" t="str">
        <f t="shared" si="207"/>
        <v/>
      </c>
      <c r="X383" s="63" t="str">
        <f t="shared" si="208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8"/>
        <v/>
      </c>
      <c r="AP383" s="33" t="str">
        <f t="shared" si="219"/>
        <v/>
      </c>
      <c r="AQ383" s="58" t="str">
        <f t="shared" si="220"/>
        <v/>
      </c>
      <c r="AR383" s="38">
        <f>'ANR OK vs ML7'!AR383</f>
        <v>0.1</v>
      </c>
      <c r="AS383" s="35" t="str">
        <f t="shared" si="221"/>
        <v/>
      </c>
      <c r="AT383" s="3" t="str">
        <f t="shared" si="222"/>
        <v/>
      </c>
      <c r="AU383" s="3" t="str">
        <f t="shared" si="223"/>
        <v/>
      </c>
      <c r="AW383" s="32" t="str">
        <f t="shared" si="224"/>
        <v/>
      </c>
      <c r="AX383" s="32" t="str">
        <f t="shared" si="225"/>
        <v/>
      </c>
      <c r="AY383" s="32" t="str">
        <f t="shared" si="226"/>
        <v/>
      </c>
      <c r="BA383" s="32" t="str">
        <f>IF($A384="","",F383*Summary!$Q$9)</f>
        <v/>
      </c>
    </row>
    <row r="384" spans="1:53">
      <c r="A384" s="67" t="str">
        <f t="shared" si="227"/>
        <v/>
      </c>
      <c r="B384" s="69" t="str">
        <f t="shared" si="229"/>
        <v/>
      </c>
      <c r="D384" s="69" t="str">
        <f t="shared" si="192"/>
        <v/>
      </c>
      <c r="E384" s="70" t="str">
        <f t="shared" si="193"/>
        <v/>
      </c>
      <c r="F384" s="70" t="str">
        <f t="shared" si="194"/>
        <v/>
      </c>
      <c r="G384" s="63" t="str">
        <f t="shared" si="195"/>
        <v/>
      </c>
      <c r="H384" s="64" t="str">
        <f t="shared" si="196"/>
        <v/>
      </c>
      <c r="J384" s="63" t="str">
        <f t="shared" si="197"/>
        <v/>
      </c>
      <c r="K384" s="64" t="str">
        <f t="shared" si="198"/>
        <v/>
      </c>
      <c r="L384" s="63" t="str">
        <f t="shared" si="199"/>
        <v/>
      </c>
      <c r="M384" s="64" t="str">
        <f t="shared" si="200"/>
        <v/>
      </c>
      <c r="O384" s="63" t="str">
        <f t="shared" si="201"/>
        <v/>
      </c>
      <c r="P384" s="63" t="str">
        <f t="shared" si="202"/>
        <v/>
      </c>
      <c r="R384" s="63" t="str">
        <f t="shared" si="203"/>
        <v/>
      </c>
      <c r="S384" s="64" t="str">
        <f t="shared" si="204"/>
        <v/>
      </c>
      <c r="T384" s="63" t="str">
        <f t="shared" si="205"/>
        <v/>
      </c>
      <c r="U384" s="64" t="str">
        <f t="shared" si="206"/>
        <v/>
      </c>
      <c r="V384" s="90" t="str">
        <f>IF($A385="","",IF(AND(MONTH(A384)&gt;3,MONTH(A384)&lt;11),(T384+R384+G384)*Summary!$T$9/(1-Summary!$T$9),(T384+R384+G384)*Summary!$U$9/(1-Summary!$U$9)))</f>
        <v/>
      </c>
      <c r="W384" s="63" t="str">
        <f t="shared" si="207"/>
        <v/>
      </c>
      <c r="X384" s="63" t="str">
        <f t="shared" si="208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8"/>
        <v/>
      </c>
      <c r="AP384" s="33" t="str">
        <f t="shared" si="219"/>
        <v/>
      </c>
      <c r="AQ384" s="58" t="str">
        <f t="shared" si="220"/>
        <v/>
      </c>
      <c r="AR384" s="38">
        <f>'ANR OK vs ML7'!AR384</f>
        <v>0.1</v>
      </c>
      <c r="AS384" s="35" t="str">
        <f t="shared" si="221"/>
        <v/>
      </c>
      <c r="AT384" s="3" t="str">
        <f t="shared" si="222"/>
        <v/>
      </c>
      <c r="AU384" s="3" t="str">
        <f t="shared" si="223"/>
        <v/>
      </c>
      <c r="AW384" s="32" t="str">
        <f t="shared" si="224"/>
        <v/>
      </c>
      <c r="AX384" s="32" t="str">
        <f t="shared" si="225"/>
        <v/>
      </c>
      <c r="AY384" s="32" t="str">
        <f t="shared" si="226"/>
        <v/>
      </c>
      <c r="BA384" s="32" t="str">
        <f>IF($A385="","",F384*Summary!$Q$9)</f>
        <v/>
      </c>
    </row>
    <row r="385" spans="1:53">
      <c r="A385" s="67" t="str">
        <f t="shared" si="227"/>
        <v/>
      </c>
      <c r="B385" s="69" t="str">
        <f t="shared" si="229"/>
        <v/>
      </c>
      <c r="D385" s="69" t="str">
        <f t="shared" si="192"/>
        <v/>
      </c>
      <c r="E385" s="70" t="str">
        <f t="shared" si="193"/>
        <v/>
      </c>
      <c r="F385" s="70" t="str">
        <f t="shared" si="194"/>
        <v/>
      </c>
      <c r="G385" s="63" t="str">
        <f t="shared" si="195"/>
        <v/>
      </c>
      <c r="H385" s="64" t="str">
        <f t="shared" si="196"/>
        <v/>
      </c>
      <c r="J385" s="63" t="str">
        <f t="shared" si="197"/>
        <v/>
      </c>
      <c r="K385" s="64" t="str">
        <f t="shared" si="198"/>
        <v/>
      </c>
      <c r="L385" s="63" t="str">
        <f t="shared" si="199"/>
        <v/>
      </c>
      <c r="M385" s="64" t="str">
        <f t="shared" si="200"/>
        <v/>
      </c>
      <c r="O385" s="63" t="str">
        <f t="shared" si="201"/>
        <v/>
      </c>
      <c r="P385" s="63" t="str">
        <f t="shared" si="202"/>
        <v/>
      </c>
      <c r="R385" s="63" t="str">
        <f t="shared" si="203"/>
        <v/>
      </c>
      <c r="S385" s="64" t="str">
        <f t="shared" si="204"/>
        <v/>
      </c>
      <c r="T385" s="63" t="str">
        <f t="shared" si="205"/>
        <v/>
      </c>
      <c r="U385" s="64" t="str">
        <f t="shared" si="206"/>
        <v/>
      </c>
      <c r="V385" s="90" t="str">
        <f>IF($A386="","",IF(AND(MONTH(A385)&gt;3,MONTH(A385)&lt;11),(T385+R385+G385)*Summary!$T$9/(1-Summary!$T$9),(T385+R385+G385)*Summary!$U$9/(1-Summary!$U$9)))</f>
        <v/>
      </c>
      <c r="W385" s="63" t="str">
        <f t="shared" si="207"/>
        <v/>
      </c>
      <c r="X385" s="63" t="str">
        <f t="shared" si="208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8"/>
        <v/>
      </c>
      <c r="AP385" s="33" t="str">
        <f t="shared" si="219"/>
        <v/>
      </c>
      <c r="AQ385" s="58" t="str">
        <f t="shared" si="220"/>
        <v/>
      </c>
      <c r="AR385" s="38">
        <f>'ANR OK vs ML7'!AR385</f>
        <v>0.1</v>
      </c>
      <c r="AS385" s="35" t="str">
        <f t="shared" si="221"/>
        <v/>
      </c>
      <c r="AT385" s="3" t="str">
        <f t="shared" si="222"/>
        <v/>
      </c>
      <c r="AU385" s="3" t="str">
        <f t="shared" si="223"/>
        <v/>
      </c>
      <c r="AW385" s="32" t="str">
        <f t="shared" si="224"/>
        <v/>
      </c>
      <c r="AX385" s="32" t="str">
        <f t="shared" si="225"/>
        <v/>
      </c>
      <c r="AY385" s="32" t="str">
        <f t="shared" si="226"/>
        <v/>
      </c>
      <c r="BA385" s="32" t="str">
        <f>IF($A386="","",F385*Summary!$Q$9)</f>
        <v/>
      </c>
    </row>
    <row r="386" spans="1:53">
      <c r="A386" s="67" t="str">
        <f t="shared" si="227"/>
        <v/>
      </c>
      <c r="B386" s="69" t="str">
        <f t="shared" si="229"/>
        <v/>
      </c>
      <c r="D386" s="69" t="str">
        <f t="shared" si="192"/>
        <v/>
      </c>
      <c r="E386" s="70" t="str">
        <f t="shared" si="193"/>
        <v/>
      </c>
      <c r="F386" s="70" t="str">
        <f t="shared" si="194"/>
        <v/>
      </c>
      <c r="G386" s="63" t="str">
        <f t="shared" si="195"/>
        <v/>
      </c>
      <c r="H386" s="64" t="str">
        <f t="shared" si="196"/>
        <v/>
      </c>
      <c r="J386" s="63" t="str">
        <f t="shared" si="197"/>
        <v/>
      </c>
      <c r="K386" s="64" t="str">
        <f t="shared" si="198"/>
        <v/>
      </c>
      <c r="L386" s="63" t="str">
        <f t="shared" si="199"/>
        <v/>
      </c>
      <c r="M386" s="64" t="str">
        <f t="shared" si="200"/>
        <v/>
      </c>
      <c r="O386" s="63" t="str">
        <f t="shared" si="201"/>
        <v/>
      </c>
      <c r="P386" s="63" t="str">
        <f t="shared" si="202"/>
        <v/>
      </c>
      <c r="R386" s="63" t="str">
        <f t="shared" si="203"/>
        <v/>
      </c>
      <c r="S386" s="64" t="str">
        <f t="shared" si="204"/>
        <v/>
      </c>
      <c r="T386" s="63" t="str">
        <f t="shared" si="205"/>
        <v/>
      </c>
      <c r="U386" s="64" t="str">
        <f t="shared" si="206"/>
        <v/>
      </c>
      <c r="V386" s="90" t="str">
        <f>IF($A387="","",IF(AND(MONTH(A386)&gt;3,MONTH(A386)&lt;11),(T386+R386+G386)*Summary!$T$9/(1-Summary!$T$9),(T386+R386+G386)*Summary!$U$9/(1-Summary!$U$9)))</f>
        <v/>
      </c>
      <c r="W386" s="63" t="str">
        <f t="shared" si="207"/>
        <v/>
      </c>
      <c r="X386" s="63" t="str">
        <f t="shared" si="208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8"/>
        <v/>
      </c>
      <c r="AP386" s="33" t="str">
        <f t="shared" si="219"/>
        <v/>
      </c>
      <c r="AQ386" s="58" t="str">
        <f t="shared" si="220"/>
        <v/>
      </c>
      <c r="AR386" s="38">
        <f>'ANR OK vs ML7'!AR386</f>
        <v>0.1</v>
      </c>
      <c r="AS386" s="35" t="str">
        <f t="shared" si="221"/>
        <v/>
      </c>
      <c r="AT386" s="3" t="str">
        <f t="shared" si="222"/>
        <v/>
      </c>
      <c r="AU386" s="3" t="str">
        <f t="shared" si="223"/>
        <v/>
      </c>
      <c r="AW386" s="32" t="str">
        <f t="shared" si="224"/>
        <v/>
      </c>
      <c r="AX386" s="32" t="str">
        <f t="shared" si="225"/>
        <v/>
      </c>
      <c r="AY386" s="32" t="str">
        <f t="shared" si="226"/>
        <v/>
      </c>
      <c r="BA386" s="32" t="str">
        <f>IF($A387="","",F386*Summary!$Q$9)</f>
        <v/>
      </c>
    </row>
    <row r="387" spans="1:53">
      <c r="A387" s="67" t="str">
        <f t="shared" si="227"/>
        <v/>
      </c>
      <c r="B387" s="69" t="str">
        <f t="shared" si="229"/>
        <v/>
      </c>
      <c r="D387" s="69" t="str">
        <f t="shared" si="192"/>
        <v/>
      </c>
      <c r="E387" s="70" t="str">
        <f t="shared" si="193"/>
        <v/>
      </c>
      <c r="F387" s="70" t="str">
        <f t="shared" si="194"/>
        <v/>
      </c>
      <c r="G387" s="63" t="str">
        <f t="shared" si="195"/>
        <v/>
      </c>
      <c r="H387" s="64" t="str">
        <f t="shared" si="196"/>
        <v/>
      </c>
      <c r="J387" s="63" t="str">
        <f t="shared" si="197"/>
        <v/>
      </c>
      <c r="K387" s="64" t="str">
        <f t="shared" si="198"/>
        <v/>
      </c>
      <c r="L387" s="63" t="str">
        <f t="shared" si="199"/>
        <v/>
      </c>
      <c r="M387" s="64" t="str">
        <f t="shared" si="200"/>
        <v/>
      </c>
      <c r="O387" s="63" t="str">
        <f t="shared" si="201"/>
        <v/>
      </c>
      <c r="P387" s="63" t="str">
        <f t="shared" si="202"/>
        <v/>
      </c>
      <c r="R387" s="63" t="str">
        <f t="shared" si="203"/>
        <v/>
      </c>
      <c r="S387" s="64" t="str">
        <f t="shared" si="204"/>
        <v/>
      </c>
      <c r="T387" s="63" t="str">
        <f t="shared" si="205"/>
        <v/>
      </c>
      <c r="U387" s="64" t="str">
        <f t="shared" si="206"/>
        <v/>
      </c>
      <c r="V387" s="90" t="str">
        <f>IF($A388="","",IF(AND(MONTH(A387)&gt;3,MONTH(A387)&lt;11),(T387+R387+G387)*Summary!$T$9/(1-Summary!$T$9),(T387+R387+G387)*Summary!$U$9/(1-Summary!$U$9)))</f>
        <v/>
      </c>
      <c r="W387" s="63" t="str">
        <f t="shared" si="207"/>
        <v/>
      </c>
      <c r="X387" s="63" t="str">
        <f t="shared" si="208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8"/>
        <v/>
      </c>
      <c r="AP387" s="33" t="str">
        <f t="shared" si="219"/>
        <v/>
      </c>
      <c r="AQ387" s="58" t="str">
        <f t="shared" si="220"/>
        <v/>
      </c>
      <c r="AR387" s="38">
        <f>'ANR OK vs ML7'!AR387</f>
        <v>0.1</v>
      </c>
      <c r="AS387" s="35" t="str">
        <f t="shared" si="221"/>
        <v/>
      </c>
      <c r="AT387" s="3" t="str">
        <f t="shared" si="222"/>
        <v/>
      </c>
      <c r="AU387" s="3" t="str">
        <f t="shared" si="223"/>
        <v/>
      </c>
      <c r="AW387" s="32" t="str">
        <f t="shared" si="224"/>
        <v/>
      </c>
      <c r="AX387" s="32" t="str">
        <f t="shared" si="225"/>
        <v/>
      </c>
      <c r="AY387" s="32" t="str">
        <f t="shared" si="226"/>
        <v/>
      </c>
      <c r="BA387" s="32" t="str">
        <f>IF($A388="","",F387*Summary!$Q$9)</f>
        <v/>
      </c>
    </row>
    <row r="388" spans="1:53">
      <c r="A388" s="67" t="str">
        <f t="shared" si="227"/>
        <v/>
      </c>
      <c r="B388" s="69" t="str">
        <f t="shared" si="229"/>
        <v/>
      </c>
      <c r="D388" s="69" t="str">
        <f t="shared" si="192"/>
        <v/>
      </c>
      <c r="E388" s="70" t="str">
        <f t="shared" si="193"/>
        <v/>
      </c>
      <c r="F388" s="70" t="str">
        <f t="shared" si="194"/>
        <v/>
      </c>
      <c r="G388" s="63" t="str">
        <f t="shared" si="195"/>
        <v/>
      </c>
      <c r="H388" s="64" t="str">
        <f t="shared" si="196"/>
        <v/>
      </c>
      <c r="J388" s="63" t="str">
        <f t="shared" si="197"/>
        <v/>
      </c>
      <c r="K388" s="64" t="str">
        <f t="shared" si="198"/>
        <v/>
      </c>
      <c r="L388" s="63" t="str">
        <f t="shared" si="199"/>
        <v/>
      </c>
      <c r="M388" s="64" t="str">
        <f t="shared" si="200"/>
        <v/>
      </c>
      <c r="O388" s="63" t="str">
        <f t="shared" si="201"/>
        <v/>
      </c>
      <c r="P388" s="63" t="str">
        <f t="shared" si="202"/>
        <v/>
      </c>
      <c r="R388" s="63" t="str">
        <f t="shared" si="203"/>
        <v/>
      </c>
      <c r="S388" s="64" t="str">
        <f t="shared" si="204"/>
        <v/>
      </c>
      <c r="T388" s="63" t="str">
        <f t="shared" si="205"/>
        <v/>
      </c>
      <c r="U388" s="64" t="str">
        <f t="shared" si="206"/>
        <v/>
      </c>
      <c r="V388" s="90" t="str">
        <f>IF($A389="","",IF(AND(MONTH(A388)&gt;3,MONTH(A388)&lt;11),(T388+R388+G388)*Summary!$T$9/(1-Summary!$T$9),(T388+R388+G388)*Summary!$U$9/(1-Summary!$U$9)))</f>
        <v/>
      </c>
      <c r="W388" s="63" t="str">
        <f t="shared" si="207"/>
        <v/>
      </c>
      <c r="X388" s="63" t="str">
        <f t="shared" si="208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8"/>
        <v/>
      </c>
      <c r="AP388" s="33" t="str">
        <f t="shared" si="219"/>
        <v/>
      </c>
      <c r="AQ388" s="58" t="str">
        <f t="shared" si="220"/>
        <v/>
      </c>
      <c r="AR388" s="38">
        <f>'ANR OK vs ML7'!AR388</f>
        <v>0.1</v>
      </c>
      <c r="AS388" s="35" t="str">
        <f t="shared" si="221"/>
        <v/>
      </c>
      <c r="AT388" s="3" t="str">
        <f t="shared" si="222"/>
        <v/>
      </c>
      <c r="AU388" s="3" t="str">
        <f t="shared" si="223"/>
        <v/>
      </c>
      <c r="AW388" s="32" t="str">
        <f t="shared" si="224"/>
        <v/>
      </c>
      <c r="AX388" s="32" t="str">
        <f t="shared" si="225"/>
        <v/>
      </c>
      <c r="AY388" s="32" t="str">
        <f t="shared" si="226"/>
        <v/>
      </c>
      <c r="BA388" s="32" t="str">
        <f>IF($A389="","",F388*Summary!$Q$9)</f>
        <v/>
      </c>
    </row>
    <row r="389" spans="1:53">
      <c r="A389" s="67" t="str">
        <f t="shared" si="227"/>
        <v/>
      </c>
      <c r="B389" s="69" t="str">
        <f t="shared" si="229"/>
        <v/>
      </c>
      <c r="D389" s="69" t="str">
        <f t="shared" si="192"/>
        <v/>
      </c>
      <c r="E389" s="70" t="str">
        <f t="shared" si="193"/>
        <v/>
      </c>
      <c r="F389" s="70" t="str">
        <f t="shared" si="194"/>
        <v/>
      </c>
      <c r="G389" s="63" t="str">
        <f t="shared" si="195"/>
        <v/>
      </c>
      <c r="H389" s="64" t="str">
        <f t="shared" si="196"/>
        <v/>
      </c>
      <c r="J389" s="63" t="str">
        <f t="shared" si="197"/>
        <v/>
      </c>
      <c r="K389" s="64" t="str">
        <f t="shared" si="198"/>
        <v/>
      </c>
      <c r="L389" s="63" t="str">
        <f t="shared" si="199"/>
        <v/>
      </c>
      <c r="M389" s="64" t="str">
        <f t="shared" si="200"/>
        <v/>
      </c>
      <c r="O389" s="63" t="str">
        <f t="shared" si="201"/>
        <v/>
      </c>
      <c r="P389" s="63" t="str">
        <f t="shared" si="202"/>
        <v/>
      </c>
      <c r="R389" s="63" t="str">
        <f t="shared" si="203"/>
        <v/>
      </c>
      <c r="S389" s="64" t="str">
        <f t="shared" si="204"/>
        <v/>
      </c>
      <c r="T389" s="63" t="str">
        <f t="shared" si="205"/>
        <v/>
      </c>
      <c r="U389" s="64" t="str">
        <f t="shared" si="206"/>
        <v/>
      </c>
      <c r="V389" s="90" t="str">
        <f>IF($A390="","",IF(AND(MONTH(A389)&gt;3,MONTH(A389)&lt;11),(T389+R389+G389)*Summary!$T$9/(1-Summary!$T$9),(T389+R389+G389)*Summary!$U$9/(1-Summary!$U$9)))</f>
        <v/>
      </c>
      <c r="W389" s="63" t="str">
        <f t="shared" si="207"/>
        <v/>
      </c>
      <c r="X389" s="63" t="str">
        <f t="shared" si="208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8"/>
        <v/>
      </c>
      <c r="AP389" s="33" t="str">
        <f t="shared" si="219"/>
        <v/>
      </c>
      <c r="AQ389" s="58" t="str">
        <f t="shared" si="220"/>
        <v/>
      </c>
      <c r="AR389" s="38">
        <f>'ANR OK vs ML7'!AR389</f>
        <v>0.1</v>
      </c>
      <c r="AS389" s="35" t="str">
        <f t="shared" si="221"/>
        <v/>
      </c>
      <c r="AT389" s="3" t="str">
        <f t="shared" si="222"/>
        <v/>
      </c>
      <c r="AU389" s="3" t="str">
        <f t="shared" si="223"/>
        <v/>
      </c>
      <c r="AW389" s="32" t="str">
        <f t="shared" si="224"/>
        <v/>
      </c>
      <c r="AX389" s="32" t="str">
        <f t="shared" si="225"/>
        <v/>
      </c>
      <c r="AY389" s="32" t="str">
        <f t="shared" si="226"/>
        <v/>
      </c>
      <c r="BA389" s="32" t="str">
        <f>IF($A390="","",F389*Summary!$Q$9)</f>
        <v/>
      </c>
    </row>
    <row r="390" spans="1:53">
      <c r="A390" s="67" t="str">
        <f t="shared" si="227"/>
        <v/>
      </c>
      <c r="B390" s="69" t="str">
        <f t="shared" si="229"/>
        <v/>
      </c>
      <c r="D390" s="69" t="str">
        <f t="shared" si="192"/>
        <v/>
      </c>
      <c r="E390" s="70" t="str">
        <f t="shared" si="193"/>
        <v/>
      </c>
      <c r="F390" s="70" t="str">
        <f t="shared" si="194"/>
        <v/>
      </c>
      <c r="G390" s="63" t="str">
        <f t="shared" si="195"/>
        <v/>
      </c>
      <c r="H390" s="64" t="str">
        <f t="shared" si="196"/>
        <v/>
      </c>
      <c r="J390" s="63" t="str">
        <f t="shared" si="197"/>
        <v/>
      </c>
      <c r="K390" s="64" t="str">
        <f t="shared" si="198"/>
        <v/>
      </c>
      <c r="L390" s="63" t="str">
        <f t="shared" si="199"/>
        <v/>
      </c>
      <c r="M390" s="64" t="str">
        <f t="shared" si="200"/>
        <v/>
      </c>
      <c r="O390" s="63" t="str">
        <f t="shared" si="201"/>
        <v/>
      </c>
      <c r="P390" s="63" t="str">
        <f t="shared" si="202"/>
        <v/>
      </c>
      <c r="R390" s="63" t="str">
        <f t="shared" si="203"/>
        <v/>
      </c>
      <c r="S390" s="64" t="str">
        <f t="shared" si="204"/>
        <v/>
      </c>
      <c r="T390" s="63" t="str">
        <f t="shared" si="205"/>
        <v/>
      </c>
      <c r="U390" s="64" t="str">
        <f t="shared" si="206"/>
        <v/>
      </c>
      <c r="V390" s="90" t="str">
        <f>IF($A391="","",IF(AND(MONTH(A390)&gt;3,MONTH(A390)&lt;11),(T390+R390+G390)*Summary!$T$9/(1-Summary!$T$9),(T390+R390+G390)*Summary!$U$9/(1-Summary!$U$9)))</f>
        <v/>
      </c>
      <c r="W390" s="63" t="str">
        <f t="shared" si="207"/>
        <v/>
      </c>
      <c r="X390" s="63" t="str">
        <f t="shared" si="208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8"/>
        <v/>
      </c>
      <c r="AP390" s="33" t="str">
        <f t="shared" si="219"/>
        <v/>
      </c>
      <c r="AQ390" s="58" t="str">
        <f t="shared" si="220"/>
        <v/>
      </c>
      <c r="AR390" s="38">
        <f>'ANR OK vs ML7'!AR390</f>
        <v>0.1</v>
      </c>
      <c r="AS390" s="35" t="str">
        <f t="shared" si="221"/>
        <v/>
      </c>
      <c r="AT390" s="3" t="str">
        <f t="shared" si="222"/>
        <v/>
      </c>
      <c r="AU390" s="3" t="str">
        <f t="shared" si="223"/>
        <v/>
      </c>
      <c r="AW390" s="32" t="str">
        <f t="shared" si="224"/>
        <v/>
      </c>
      <c r="AX390" s="32" t="str">
        <f t="shared" si="225"/>
        <v/>
      </c>
      <c r="AY390" s="32" t="str">
        <f t="shared" si="226"/>
        <v/>
      </c>
      <c r="BA390" s="32" t="str">
        <f>IF($A391="","",F390*Summary!$Q$9)</f>
        <v/>
      </c>
    </row>
    <row r="391" spans="1:53">
      <c r="A391" s="67" t="str">
        <f t="shared" si="227"/>
        <v/>
      </c>
      <c r="B391" s="69" t="str">
        <f t="shared" si="229"/>
        <v/>
      </c>
      <c r="D391" s="69" t="str">
        <f t="shared" si="192"/>
        <v/>
      </c>
      <c r="E391" s="70" t="str">
        <f t="shared" si="193"/>
        <v/>
      </c>
      <c r="F391" s="70" t="str">
        <f t="shared" si="194"/>
        <v/>
      </c>
      <c r="G391" s="63" t="str">
        <f t="shared" si="195"/>
        <v/>
      </c>
      <c r="H391" s="64" t="str">
        <f t="shared" si="196"/>
        <v/>
      </c>
      <c r="J391" s="63" t="str">
        <f t="shared" si="197"/>
        <v/>
      </c>
      <c r="K391" s="64" t="str">
        <f t="shared" si="198"/>
        <v/>
      </c>
      <c r="L391" s="63" t="str">
        <f t="shared" si="199"/>
        <v/>
      </c>
      <c r="M391" s="64" t="str">
        <f t="shared" si="200"/>
        <v/>
      </c>
      <c r="O391" s="63" t="str">
        <f t="shared" si="201"/>
        <v/>
      </c>
      <c r="P391" s="63" t="str">
        <f t="shared" si="202"/>
        <v/>
      </c>
      <c r="R391" s="63" t="str">
        <f t="shared" si="203"/>
        <v/>
      </c>
      <c r="S391" s="64" t="str">
        <f t="shared" si="204"/>
        <v/>
      </c>
      <c r="T391" s="63" t="str">
        <f t="shared" si="205"/>
        <v/>
      </c>
      <c r="U391" s="64" t="str">
        <f t="shared" si="206"/>
        <v/>
      </c>
      <c r="V391" s="90" t="str">
        <f>IF($A392="","",IF(AND(MONTH(A391)&gt;3,MONTH(A391)&lt;11),(T391+R391+G391)*Summary!$T$9/(1-Summary!$T$9),(T391+R391+G391)*Summary!$U$9/(1-Summary!$U$9)))</f>
        <v/>
      </c>
      <c r="W391" s="63" t="str">
        <f t="shared" si="207"/>
        <v/>
      </c>
      <c r="X391" s="63" t="str">
        <f t="shared" si="208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8"/>
        <v/>
      </c>
      <c r="AP391" s="33" t="str">
        <f t="shared" si="219"/>
        <v/>
      </c>
      <c r="AQ391" s="58" t="str">
        <f t="shared" si="220"/>
        <v/>
      </c>
      <c r="AR391" s="38">
        <f>'ANR OK vs ML7'!AR391</f>
        <v>0.1</v>
      </c>
      <c r="AS391" s="35" t="str">
        <f t="shared" si="221"/>
        <v/>
      </c>
      <c r="AT391" s="3" t="str">
        <f t="shared" si="222"/>
        <v/>
      </c>
      <c r="AU391" s="3" t="str">
        <f t="shared" si="223"/>
        <v/>
      </c>
      <c r="AW391" s="32" t="str">
        <f t="shared" si="224"/>
        <v/>
      </c>
      <c r="AX391" s="32" t="str">
        <f t="shared" si="225"/>
        <v/>
      </c>
      <c r="AY391" s="32" t="str">
        <f t="shared" si="226"/>
        <v/>
      </c>
      <c r="BA391" s="32" t="str">
        <f>IF($A392="","",F391*Summary!$Q$9)</f>
        <v/>
      </c>
    </row>
    <row r="392" spans="1:53">
      <c r="A392" s="67" t="str">
        <f t="shared" si="227"/>
        <v/>
      </c>
      <c r="B392" s="69" t="str">
        <f t="shared" si="229"/>
        <v/>
      </c>
      <c r="D392" s="69" t="str">
        <f t="shared" si="192"/>
        <v/>
      </c>
      <c r="E392" s="70" t="str">
        <f t="shared" si="193"/>
        <v/>
      </c>
      <c r="F392" s="70" t="str">
        <f t="shared" si="194"/>
        <v/>
      </c>
      <c r="G392" s="63" t="str">
        <f t="shared" si="195"/>
        <v/>
      </c>
      <c r="H392" s="64" t="str">
        <f t="shared" si="196"/>
        <v/>
      </c>
      <c r="J392" s="63" t="str">
        <f t="shared" si="197"/>
        <v/>
      </c>
      <c r="K392" s="64" t="str">
        <f t="shared" si="198"/>
        <v/>
      </c>
      <c r="L392" s="63" t="str">
        <f t="shared" si="199"/>
        <v/>
      </c>
      <c r="M392" s="64" t="str">
        <f t="shared" si="200"/>
        <v/>
      </c>
      <c r="O392" s="63" t="str">
        <f t="shared" si="201"/>
        <v/>
      </c>
      <c r="P392" s="63" t="str">
        <f t="shared" si="202"/>
        <v/>
      </c>
      <c r="R392" s="63" t="str">
        <f t="shared" si="203"/>
        <v/>
      </c>
      <c r="S392" s="64" t="str">
        <f t="shared" si="204"/>
        <v/>
      </c>
      <c r="T392" s="63" t="str">
        <f t="shared" si="205"/>
        <v/>
      </c>
      <c r="U392" s="64" t="str">
        <f t="shared" si="206"/>
        <v/>
      </c>
      <c r="V392" s="90" t="str">
        <f>IF($A393="","",IF(AND(MONTH(A392)&gt;3,MONTH(A392)&lt;11),(T392+R392+G392)*Summary!$T$9/(1-Summary!$T$9),(T392+R392+G392)*Summary!$U$9/(1-Summary!$U$9)))</f>
        <v/>
      </c>
      <c r="W392" s="63" t="str">
        <f t="shared" si="207"/>
        <v/>
      </c>
      <c r="X392" s="63" t="str">
        <f t="shared" si="208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8"/>
        <v/>
      </c>
      <c r="AP392" s="33" t="str">
        <f t="shared" si="219"/>
        <v/>
      </c>
      <c r="AQ392" s="58" t="str">
        <f t="shared" si="220"/>
        <v/>
      </c>
      <c r="AR392" s="38">
        <f>'ANR OK vs ML7'!AR392</f>
        <v>0.1</v>
      </c>
      <c r="AS392" s="35" t="str">
        <f t="shared" si="221"/>
        <v/>
      </c>
      <c r="AT392" s="3" t="str">
        <f t="shared" si="222"/>
        <v/>
      </c>
      <c r="AU392" s="3" t="str">
        <f t="shared" si="223"/>
        <v/>
      </c>
      <c r="AW392" s="32" t="str">
        <f t="shared" si="224"/>
        <v/>
      </c>
      <c r="AX392" s="32" t="str">
        <f t="shared" si="225"/>
        <v/>
      </c>
      <c r="AY392" s="32" t="str">
        <f t="shared" si="226"/>
        <v/>
      </c>
      <c r="BA392" s="32" t="str">
        <f>IF($A393="","",F392*Summary!$Q$9)</f>
        <v/>
      </c>
    </row>
    <row r="393" spans="1:53">
      <c r="A393" s="67" t="str">
        <f t="shared" si="227"/>
        <v/>
      </c>
      <c r="B393" s="69" t="str">
        <f t="shared" si="229"/>
        <v/>
      </c>
      <c r="D393" s="69" t="str">
        <f t="shared" si="192"/>
        <v/>
      </c>
      <c r="E393" s="70" t="str">
        <f t="shared" si="193"/>
        <v/>
      </c>
      <c r="F393" s="70" t="str">
        <f t="shared" si="194"/>
        <v/>
      </c>
      <c r="G393" s="63" t="str">
        <f t="shared" si="195"/>
        <v/>
      </c>
      <c r="H393" s="64" t="str">
        <f t="shared" si="196"/>
        <v/>
      </c>
      <c r="J393" s="63" t="str">
        <f t="shared" si="197"/>
        <v/>
      </c>
      <c r="K393" s="64" t="str">
        <f t="shared" si="198"/>
        <v/>
      </c>
      <c r="L393" s="63" t="str">
        <f t="shared" si="199"/>
        <v/>
      </c>
      <c r="M393" s="64" t="str">
        <f t="shared" si="200"/>
        <v/>
      </c>
      <c r="O393" s="63" t="str">
        <f t="shared" si="201"/>
        <v/>
      </c>
      <c r="P393" s="63" t="str">
        <f t="shared" si="202"/>
        <v/>
      </c>
      <c r="R393" s="63" t="str">
        <f t="shared" si="203"/>
        <v/>
      </c>
      <c r="S393" s="64" t="str">
        <f t="shared" si="204"/>
        <v/>
      </c>
      <c r="T393" s="63" t="str">
        <f t="shared" si="205"/>
        <v/>
      </c>
      <c r="U393" s="64" t="str">
        <f t="shared" si="206"/>
        <v/>
      </c>
      <c r="V393" s="90" t="str">
        <f>IF($A394="","",IF(AND(MONTH(A393)&gt;3,MONTH(A393)&lt;11),(T393+R393+G393)*Summary!$T$9/(1-Summary!$T$9),(T393+R393+G393)*Summary!$U$9/(1-Summary!$U$9)))</f>
        <v/>
      </c>
      <c r="W393" s="63" t="str">
        <f t="shared" si="207"/>
        <v/>
      </c>
      <c r="X393" s="63" t="str">
        <f t="shared" si="208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8"/>
        <v/>
      </c>
      <c r="AP393" s="33" t="str">
        <f t="shared" si="219"/>
        <v/>
      </c>
      <c r="AQ393" s="58" t="str">
        <f t="shared" si="220"/>
        <v/>
      </c>
      <c r="AR393" s="38">
        <f>'ANR OK vs ML7'!AR393</f>
        <v>0.1</v>
      </c>
      <c r="AS393" s="35" t="str">
        <f t="shared" si="221"/>
        <v/>
      </c>
      <c r="AT393" s="3" t="str">
        <f t="shared" si="222"/>
        <v/>
      </c>
      <c r="AU393" s="3" t="str">
        <f t="shared" si="223"/>
        <v/>
      </c>
      <c r="AW393" s="32" t="str">
        <f t="shared" si="224"/>
        <v/>
      </c>
      <c r="AX393" s="32" t="str">
        <f t="shared" si="225"/>
        <v/>
      </c>
      <c r="AY393" s="32" t="str">
        <f t="shared" si="226"/>
        <v/>
      </c>
      <c r="BA393" s="32" t="str">
        <f>IF($A394="","",F393*Summary!$Q$9)</f>
        <v/>
      </c>
    </row>
    <row r="394" spans="1:53">
      <c r="A394" s="67" t="str">
        <f t="shared" si="227"/>
        <v/>
      </c>
      <c r="B394" s="69" t="str">
        <f t="shared" si="229"/>
        <v/>
      </c>
      <c r="D394" s="69" t="str">
        <f t="shared" ref="D394:D457" si="230">IF(A395&lt;&gt;"",B394+C394,"")</f>
        <v/>
      </c>
      <c r="E394" s="70" t="str">
        <f t="shared" ref="E394:E457" si="231">IF(A395="","",IF(AND(AT394=1,$H$3=1),D394*AO394,IF($H$3=2,D394,"N/A")))</f>
        <v/>
      </c>
      <c r="F394" s="70" t="str">
        <f t="shared" ref="F394:F457" si="232">IF(A395="","",E394*AS394)</f>
        <v/>
      </c>
      <c r="G394" s="63" t="str">
        <f t="shared" ref="G394:G457" si="233">IF($A395="","",VLOOKUP($A394,Table,MATCH(G$4,Curves,0)))</f>
        <v/>
      </c>
      <c r="H394" s="64" t="str">
        <f t="shared" ref="H394:H457" si="234">IF(A395="","",G394)</f>
        <v/>
      </c>
      <c r="J394" s="63" t="str">
        <f t="shared" ref="J394:J457" si="235">IF($A395="","",VLOOKUP($A394,Table,MATCH(J$4,Curves,0)))</f>
        <v/>
      </c>
      <c r="K394" s="64" t="str">
        <f t="shared" ref="K394:K457" si="236">IF(A395="","",J394)</f>
        <v/>
      </c>
      <c r="L394" s="63" t="str">
        <f t="shared" ref="L394:L457" si="237">IF($A395="","",VLOOKUP($A394,Table,MATCH(L$4,Curves,0)))</f>
        <v/>
      </c>
      <c r="M394" s="64" t="str">
        <f t="shared" ref="M394:M457" si="238">IF(A395="","",L394)</f>
        <v/>
      </c>
      <c r="O394" s="63" t="str">
        <f t="shared" ref="O394:O457" si="239">IF(A395="","",L394+J394+G394)</f>
        <v/>
      </c>
      <c r="P394" s="63" t="str">
        <f t="shared" ref="P394:P457" si="240">IF(A395="","",M394+K394+H394)</f>
        <v/>
      </c>
      <c r="R394" s="63" t="str">
        <f t="shared" ref="R394:R457" si="241">IF($A395="","",VLOOKUP($A394,Table,MATCH(R$4,Curves,0)))</f>
        <v/>
      </c>
      <c r="S394" s="64" t="str">
        <f t="shared" ref="S394:S457" si="242">IF(A395="","",R394)</f>
        <v/>
      </c>
      <c r="T394" s="63" t="str">
        <f t="shared" ref="T394:T457" si="243">IF($A395="","",VLOOKUP($A394,Table,MATCH(T$4,Curves,0)))</f>
        <v/>
      </c>
      <c r="U394" s="64" t="str">
        <f t="shared" ref="U394:U457" si="244">IF(A395="","",T394)</f>
        <v/>
      </c>
      <c r="V394" s="90" t="str">
        <f>IF($A395="","",IF(AND(MONTH(A394)&gt;3,MONTH(A394)&lt;11),(T394+R394+G394)*Summary!$T$9/(1-Summary!$T$9),(T394+R394+G394)*Summary!$U$9/(1-Summary!$U$9)))</f>
        <v/>
      </c>
      <c r="W394" s="63" t="str">
        <f t="shared" ref="W394:W457" si="245">IF($A395="","",(T394+R394+G394+V394))</f>
        <v/>
      </c>
      <c r="X394" s="63" t="str">
        <f t="shared" ref="X394:X457" si="246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7">IF(A395="","",A395-A394)</f>
        <v/>
      </c>
      <c r="AP394" s="33" t="str">
        <f t="shared" ref="AP394:AP457" si="248">IF(A395="","",CHOOSE(F$3,A395+24,A394))</f>
        <v/>
      </c>
      <c r="AQ394" s="58" t="str">
        <f t="shared" ref="AQ394:AQ457" si="249">IF(A395="","",AP394-$E$1)</f>
        <v/>
      </c>
      <c r="AR394" s="38">
        <f>'ANR OK vs ML7'!AR394</f>
        <v>0.1</v>
      </c>
      <c r="AS394" s="35" t="str">
        <f t="shared" ref="AS394:AS457" si="250">IF(A395="","",1/(1+CHOOSE(F$3,(AR395+($I$3/10000))/2,(AR394+($I$3/10000))/2))^(2*AQ394/365.25))</f>
        <v/>
      </c>
      <c r="AT394" s="3" t="str">
        <f t="shared" ref="AT394:AT457" si="251">IF(A395="","",IF(AND(mthbeg&lt;=A394,mthend&gt;=A394),1,0))</f>
        <v/>
      </c>
      <c r="AU394" s="3" t="str">
        <f t="shared" ref="AU394:AU457" si="252">IF(A395="","",AO394*AT394)</f>
        <v/>
      </c>
      <c r="AW394" s="32" t="str">
        <f t="shared" ref="AW394:AW457" si="253">IF($A395="","",AL394*$E394)</f>
        <v/>
      </c>
      <c r="AX394" s="32" t="str">
        <f t="shared" ref="AX394:AX457" si="254">IF($A395="","",AM394*$E394)</f>
        <v/>
      </c>
      <c r="AY394" s="32" t="str">
        <f t="shared" ref="AY394:AY457" si="255">IF($A395="","",AN394*$E394)</f>
        <v/>
      </c>
      <c r="BA394" s="32" t="str">
        <f>IF($A395="","",F394*Summary!$Q$9)</f>
        <v/>
      </c>
    </row>
    <row r="395" spans="1:53">
      <c r="A395" s="67" t="str">
        <f t="shared" ref="A395:A458" si="256">IF(A394&lt;mthend,EDATE(A394,1),"")</f>
        <v/>
      </c>
      <c r="B395" s="69" t="str">
        <f t="shared" si="229"/>
        <v/>
      </c>
      <c r="D395" s="69" t="str">
        <f t="shared" si="230"/>
        <v/>
      </c>
      <c r="E395" s="70" t="str">
        <f t="shared" si="231"/>
        <v/>
      </c>
      <c r="F395" s="70" t="str">
        <f t="shared" si="232"/>
        <v/>
      </c>
      <c r="G395" s="63" t="str">
        <f t="shared" si="233"/>
        <v/>
      </c>
      <c r="H395" s="64" t="str">
        <f t="shared" si="234"/>
        <v/>
      </c>
      <c r="J395" s="63" t="str">
        <f t="shared" si="235"/>
        <v/>
      </c>
      <c r="K395" s="64" t="str">
        <f t="shared" si="236"/>
        <v/>
      </c>
      <c r="L395" s="63" t="str">
        <f t="shared" si="237"/>
        <v/>
      </c>
      <c r="M395" s="64" t="str">
        <f t="shared" si="238"/>
        <v/>
      </c>
      <c r="O395" s="63" t="str">
        <f t="shared" si="239"/>
        <v/>
      </c>
      <c r="P395" s="63" t="str">
        <f t="shared" si="240"/>
        <v/>
      </c>
      <c r="R395" s="63" t="str">
        <f t="shared" si="241"/>
        <v/>
      </c>
      <c r="S395" s="64" t="str">
        <f t="shared" si="242"/>
        <v/>
      </c>
      <c r="T395" s="63" t="str">
        <f t="shared" si="243"/>
        <v/>
      </c>
      <c r="U395" s="64" t="str">
        <f t="shared" si="244"/>
        <v/>
      </c>
      <c r="V395" s="90" t="str">
        <f>IF($A396="","",IF(AND(MONTH(A395)&gt;3,MONTH(A395)&lt;11),(T395+R395+G395)*Summary!$T$9/(1-Summary!$T$9),(T395+R395+G395)*Summary!$U$9/(1-Summary!$U$9)))</f>
        <v/>
      </c>
      <c r="W395" s="63" t="str">
        <f t="shared" si="245"/>
        <v/>
      </c>
      <c r="X395" s="63" t="str">
        <f t="shared" si="246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7"/>
        <v/>
      </c>
      <c r="AP395" s="33" t="str">
        <f t="shared" si="248"/>
        <v/>
      </c>
      <c r="AQ395" s="58" t="str">
        <f t="shared" si="249"/>
        <v/>
      </c>
      <c r="AR395" s="38">
        <f>'ANR OK vs ML7'!AR395</f>
        <v>0.1</v>
      </c>
      <c r="AS395" s="35" t="str">
        <f t="shared" si="250"/>
        <v/>
      </c>
      <c r="AT395" s="3" t="str">
        <f t="shared" si="251"/>
        <v/>
      </c>
      <c r="AU395" s="3" t="str">
        <f t="shared" si="252"/>
        <v/>
      </c>
      <c r="AW395" s="32" t="str">
        <f t="shared" si="253"/>
        <v/>
      </c>
      <c r="AX395" s="32" t="str">
        <f t="shared" si="254"/>
        <v/>
      </c>
      <c r="AY395" s="32" t="str">
        <f t="shared" si="255"/>
        <v/>
      </c>
      <c r="BA395" s="32" t="str">
        <f>IF($A396="","",F395*Summary!$Q$9)</f>
        <v/>
      </c>
    </row>
    <row r="396" spans="1:53">
      <c r="A396" s="67" t="str">
        <f t="shared" si="256"/>
        <v/>
      </c>
      <c r="B396" s="69" t="str">
        <f t="shared" ref="B396:B459" si="257">IF(A396&lt;mthend,B395,"")</f>
        <v/>
      </c>
      <c r="D396" s="69" t="str">
        <f t="shared" si="230"/>
        <v/>
      </c>
      <c r="E396" s="70" t="str">
        <f t="shared" si="231"/>
        <v/>
      </c>
      <c r="F396" s="70" t="str">
        <f t="shared" si="232"/>
        <v/>
      </c>
      <c r="G396" s="63" t="str">
        <f t="shared" si="233"/>
        <v/>
      </c>
      <c r="H396" s="64" t="str">
        <f t="shared" si="234"/>
        <v/>
      </c>
      <c r="J396" s="63" t="str">
        <f t="shared" si="235"/>
        <v/>
      </c>
      <c r="K396" s="64" t="str">
        <f t="shared" si="236"/>
        <v/>
      </c>
      <c r="L396" s="63" t="str">
        <f t="shared" si="237"/>
        <v/>
      </c>
      <c r="M396" s="64" t="str">
        <f t="shared" si="238"/>
        <v/>
      </c>
      <c r="O396" s="63" t="str">
        <f t="shared" si="239"/>
        <v/>
      </c>
      <c r="P396" s="63" t="str">
        <f t="shared" si="240"/>
        <v/>
      </c>
      <c r="R396" s="63" t="str">
        <f t="shared" si="241"/>
        <v/>
      </c>
      <c r="S396" s="64" t="str">
        <f t="shared" si="242"/>
        <v/>
      </c>
      <c r="T396" s="63" t="str">
        <f t="shared" si="243"/>
        <v/>
      </c>
      <c r="U396" s="64" t="str">
        <f t="shared" si="244"/>
        <v/>
      </c>
      <c r="V396" s="90" t="str">
        <f>IF($A397="","",IF(AND(MONTH(A396)&gt;3,MONTH(A396)&lt;11),(T396+R396+G396)*Summary!$T$9/(1-Summary!$T$9),(T396+R396+G396)*Summary!$U$9/(1-Summary!$U$9)))</f>
        <v/>
      </c>
      <c r="W396" s="63" t="str">
        <f t="shared" si="245"/>
        <v/>
      </c>
      <c r="X396" s="63" t="str">
        <f t="shared" si="246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7"/>
        <v/>
      </c>
      <c r="AP396" s="33" t="str">
        <f t="shared" si="248"/>
        <v/>
      </c>
      <c r="AQ396" s="58" t="str">
        <f t="shared" si="249"/>
        <v/>
      </c>
      <c r="AR396" s="38">
        <f>'ANR OK vs ML7'!AR396</f>
        <v>0.1</v>
      </c>
      <c r="AS396" s="35" t="str">
        <f t="shared" si="250"/>
        <v/>
      </c>
      <c r="AT396" s="3" t="str">
        <f t="shared" si="251"/>
        <v/>
      </c>
      <c r="AU396" s="3" t="str">
        <f t="shared" si="252"/>
        <v/>
      </c>
      <c r="AW396" s="32" t="str">
        <f t="shared" si="253"/>
        <v/>
      </c>
      <c r="AX396" s="32" t="str">
        <f t="shared" si="254"/>
        <v/>
      </c>
      <c r="AY396" s="32" t="str">
        <f t="shared" si="255"/>
        <v/>
      </c>
      <c r="BA396" s="32" t="str">
        <f>IF($A397="","",F396*Summary!$Q$9)</f>
        <v/>
      </c>
    </row>
    <row r="397" spans="1:53">
      <c r="A397" s="67" t="str">
        <f t="shared" si="256"/>
        <v/>
      </c>
      <c r="B397" s="69" t="str">
        <f t="shared" si="257"/>
        <v/>
      </c>
      <c r="D397" s="69" t="str">
        <f t="shared" si="230"/>
        <v/>
      </c>
      <c r="E397" s="70" t="str">
        <f t="shared" si="231"/>
        <v/>
      </c>
      <c r="F397" s="70" t="str">
        <f t="shared" si="232"/>
        <v/>
      </c>
      <c r="G397" s="63" t="str">
        <f t="shared" si="233"/>
        <v/>
      </c>
      <c r="H397" s="64" t="str">
        <f t="shared" si="234"/>
        <v/>
      </c>
      <c r="J397" s="63" t="str">
        <f t="shared" si="235"/>
        <v/>
      </c>
      <c r="K397" s="64" t="str">
        <f t="shared" si="236"/>
        <v/>
      </c>
      <c r="L397" s="63" t="str">
        <f t="shared" si="237"/>
        <v/>
      </c>
      <c r="M397" s="64" t="str">
        <f t="shared" si="238"/>
        <v/>
      </c>
      <c r="O397" s="63" t="str">
        <f t="shared" si="239"/>
        <v/>
      </c>
      <c r="P397" s="63" t="str">
        <f t="shared" si="240"/>
        <v/>
      </c>
      <c r="R397" s="63" t="str">
        <f t="shared" si="241"/>
        <v/>
      </c>
      <c r="S397" s="64" t="str">
        <f t="shared" si="242"/>
        <v/>
      </c>
      <c r="T397" s="63" t="str">
        <f t="shared" si="243"/>
        <v/>
      </c>
      <c r="U397" s="64" t="str">
        <f t="shared" si="244"/>
        <v/>
      </c>
      <c r="V397" s="90" t="str">
        <f>IF($A398="","",IF(AND(MONTH(A397)&gt;3,MONTH(A397)&lt;11),(T397+R397+G397)*Summary!$T$9/(1-Summary!$T$9),(T397+R397+G397)*Summary!$U$9/(1-Summary!$U$9)))</f>
        <v/>
      </c>
      <c r="W397" s="63" t="str">
        <f t="shared" si="245"/>
        <v/>
      </c>
      <c r="X397" s="63" t="str">
        <f t="shared" si="246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7"/>
        <v/>
      </c>
      <c r="AP397" s="33" t="str">
        <f t="shared" si="248"/>
        <v/>
      </c>
      <c r="AQ397" s="58" t="str">
        <f t="shared" si="249"/>
        <v/>
      </c>
      <c r="AR397" s="38">
        <f>'ANR OK vs ML7'!AR397</f>
        <v>0.1</v>
      </c>
      <c r="AS397" s="35" t="str">
        <f t="shared" si="250"/>
        <v/>
      </c>
      <c r="AT397" s="3" t="str">
        <f t="shared" si="251"/>
        <v/>
      </c>
      <c r="AU397" s="3" t="str">
        <f t="shared" si="252"/>
        <v/>
      </c>
      <c r="AW397" s="32" t="str">
        <f t="shared" si="253"/>
        <v/>
      </c>
      <c r="AX397" s="32" t="str">
        <f t="shared" si="254"/>
        <v/>
      </c>
      <c r="AY397" s="32" t="str">
        <f t="shared" si="255"/>
        <v/>
      </c>
      <c r="BA397" s="32" t="str">
        <f>IF($A398="","",F397*Summary!$Q$9)</f>
        <v/>
      </c>
    </row>
    <row r="398" spans="1:53">
      <c r="A398" s="67" t="str">
        <f t="shared" si="256"/>
        <v/>
      </c>
      <c r="B398" s="69" t="str">
        <f t="shared" si="257"/>
        <v/>
      </c>
      <c r="D398" s="69" t="str">
        <f t="shared" si="230"/>
        <v/>
      </c>
      <c r="E398" s="70" t="str">
        <f t="shared" si="231"/>
        <v/>
      </c>
      <c r="F398" s="70" t="str">
        <f t="shared" si="232"/>
        <v/>
      </c>
      <c r="G398" s="63" t="str">
        <f t="shared" si="233"/>
        <v/>
      </c>
      <c r="H398" s="64" t="str">
        <f t="shared" si="234"/>
        <v/>
      </c>
      <c r="J398" s="63" t="str">
        <f t="shared" si="235"/>
        <v/>
      </c>
      <c r="K398" s="64" t="str">
        <f t="shared" si="236"/>
        <v/>
      </c>
      <c r="L398" s="63" t="str">
        <f t="shared" si="237"/>
        <v/>
      </c>
      <c r="M398" s="64" t="str">
        <f t="shared" si="238"/>
        <v/>
      </c>
      <c r="O398" s="63" t="str">
        <f t="shared" si="239"/>
        <v/>
      </c>
      <c r="P398" s="63" t="str">
        <f t="shared" si="240"/>
        <v/>
      </c>
      <c r="R398" s="63" t="str">
        <f t="shared" si="241"/>
        <v/>
      </c>
      <c r="S398" s="64" t="str">
        <f t="shared" si="242"/>
        <v/>
      </c>
      <c r="T398" s="63" t="str">
        <f t="shared" si="243"/>
        <v/>
      </c>
      <c r="U398" s="64" t="str">
        <f t="shared" si="244"/>
        <v/>
      </c>
      <c r="V398" s="90" t="str">
        <f>IF($A399="","",IF(AND(MONTH(A398)&gt;3,MONTH(A398)&lt;11),(T398+R398+G398)*Summary!$T$9/(1-Summary!$T$9),(T398+R398+G398)*Summary!$U$9/(1-Summary!$U$9)))</f>
        <v/>
      </c>
      <c r="W398" s="63" t="str">
        <f t="shared" si="245"/>
        <v/>
      </c>
      <c r="X398" s="63" t="str">
        <f t="shared" si="246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7"/>
        <v/>
      </c>
      <c r="AP398" s="33" t="str">
        <f t="shared" si="248"/>
        <v/>
      </c>
      <c r="AQ398" s="58" t="str">
        <f t="shared" si="249"/>
        <v/>
      </c>
      <c r="AR398" s="38">
        <f>'ANR OK vs ML7'!AR398</f>
        <v>0.1</v>
      </c>
      <c r="AS398" s="35" t="str">
        <f t="shared" si="250"/>
        <v/>
      </c>
      <c r="AT398" s="3" t="str">
        <f t="shared" si="251"/>
        <v/>
      </c>
      <c r="AU398" s="3" t="str">
        <f t="shared" si="252"/>
        <v/>
      </c>
      <c r="AW398" s="32" t="str">
        <f t="shared" si="253"/>
        <v/>
      </c>
      <c r="AX398" s="32" t="str">
        <f t="shared" si="254"/>
        <v/>
      </c>
      <c r="AY398" s="32" t="str">
        <f t="shared" si="255"/>
        <v/>
      </c>
      <c r="BA398" s="32" t="str">
        <f>IF($A399="","",F398*Summary!$Q$9)</f>
        <v/>
      </c>
    </row>
    <row r="399" spans="1:53">
      <c r="A399" s="67" t="str">
        <f t="shared" si="256"/>
        <v/>
      </c>
      <c r="B399" s="69" t="str">
        <f t="shared" si="257"/>
        <v/>
      </c>
      <c r="D399" s="69" t="str">
        <f t="shared" si="230"/>
        <v/>
      </c>
      <c r="E399" s="70" t="str">
        <f t="shared" si="231"/>
        <v/>
      </c>
      <c r="F399" s="70" t="str">
        <f t="shared" si="232"/>
        <v/>
      </c>
      <c r="G399" s="63" t="str">
        <f t="shared" si="233"/>
        <v/>
      </c>
      <c r="H399" s="64" t="str">
        <f t="shared" si="234"/>
        <v/>
      </c>
      <c r="J399" s="63" t="str">
        <f t="shared" si="235"/>
        <v/>
      </c>
      <c r="K399" s="64" t="str">
        <f t="shared" si="236"/>
        <v/>
      </c>
      <c r="L399" s="63" t="str">
        <f t="shared" si="237"/>
        <v/>
      </c>
      <c r="M399" s="64" t="str">
        <f t="shared" si="238"/>
        <v/>
      </c>
      <c r="O399" s="63" t="str">
        <f t="shared" si="239"/>
        <v/>
      </c>
      <c r="P399" s="63" t="str">
        <f t="shared" si="240"/>
        <v/>
      </c>
      <c r="R399" s="63" t="str">
        <f t="shared" si="241"/>
        <v/>
      </c>
      <c r="S399" s="64" t="str">
        <f t="shared" si="242"/>
        <v/>
      </c>
      <c r="T399" s="63" t="str">
        <f t="shared" si="243"/>
        <v/>
      </c>
      <c r="U399" s="64" t="str">
        <f t="shared" si="244"/>
        <v/>
      </c>
      <c r="V399" s="90" t="str">
        <f>IF($A400="","",IF(AND(MONTH(A399)&gt;3,MONTH(A399)&lt;11),(T399+R399+G399)*Summary!$T$9/(1-Summary!$T$9),(T399+R399+G399)*Summary!$U$9/(1-Summary!$U$9)))</f>
        <v/>
      </c>
      <c r="W399" s="63" t="str">
        <f t="shared" si="245"/>
        <v/>
      </c>
      <c r="X399" s="63" t="str">
        <f t="shared" si="246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7"/>
        <v/>
      </c>
      <c r="AP399" s="33" t="str">
        <f t="shared" si="248"/>
        <v/>
      </c>
      <c r="AQ399" s="58" t="str">
        <f t="shared" si="249"/>
        <v/>
      </c>
      <c r="AR399" s="38">
        <f>'ANR OK vs ML7'!AR399</f>
        <v>0.1</v>
      </c>
      <c r="AS399" s="35" t="str">
        <f t="shared" si="250"/>
        <v/>
      </c>
      <c r="AT399" s="3" t="str">
        <f t="shared" si="251"/>
        <v/>
      </c>
      <c r="AU399" s="3" t="str">
        <f t="shared" si="252"/>
        <v/>
      </c>
      <c r="AW399" s="32" t="str">
        <f t="shared" si="253"/>
        <v/>
      </c>
      <c r="AX399" s="32" t="str">
        <f t="shared" si="254"/>
        <v/>
      </c>
      <c r="AY399" s="32" t="str">
        <f t="shared" si="255"/>
        <v/>
      </c>
      <c r="BA399" s="32" t="str">
        <f>IF($A400="","",F399*Summary!$Q$9)</f>
        <v/>
      </c>
    </row>
    <row r="400" spans="1:53">
      <c r="A400" s="67" t="str">
        <f t="shared" si="256"/>
        <v/>
      </c>
      <c r="B400" s="69" t="str">
        <f t="shared" si="257"/>
        <v/>
      </c>
      <c r="D400" s="69" t="str">
        <f t="shared" si="230"/>
        <v/>
      </c>
      <c r="E400" s="70" t="str">
        <f t="shared" si="231"/>
        <v/>
      </c>
      <c r="F400" s="70" t="str">
        <f t="shared" si="232"/>
        <v/>
      </c>
      <c r="G400" s="63" t="str">
        <f t="shared" si="233"/>
        <v/>
      </c>
      <c r="H400" s="64" t="str">
        <f t="shared" si="234"/>
        <v/>
      </c>
      <c r="J400" s="63" t="str">
        <f t="shared" si="235"/>
        <v/>
      </c>
      <c r="K400" s="64" t="str">
        <f t="shared" si="236"/>
        <v/>
      </c>
      <c r="L400" s="63" t="str">
        <f t="shared" si="237"/>
        <v/>
      </c>
      <c r="M400" s="64" t="str">
        <f t="shared" si="238"/>
        <v/>
      </c>
      <c r="O400" s="63" t="str">
        <f t="shared" si="239"/>
        <v/>
      </c>
      <c r="P400" s="63" t="str">
        <f t="shared" si="240"/>
        <v/>
      </c>
      <c r="R400" s="63" t="str">
        <f t="shared" si="241"/>
        <v/>
      </c>
      <c r="S400" s="64" t="str">
        <f t="shared" si="242"/>
        <v/>
      </c>
      <c r="T400" s="63" t="str">
        <f t="shared" si="243"/>
        <v/>
      </c>
      <c r="U400" s="64" t="str">
        <f t="shared" si="244"/>
        <v/>
      </c>
      <c r="V400" s="90" t="str">
        <f>IF($A401="","",IF(AND(MONTH(A400)&gt;3,MONTH(A400)&lt;11),(T400+R400+G400)*Summary!$T$9/(1-Summary!$T$9),(T400+R400+G400)*Summary!$U$9/(1-Summary!$U$9)))</f>
        <v/>
      </c>
      <c r="W400" s="63" t="str">
        <f t="shared" si="245"/>
        <v/>
      </c>
      <c r="X400" s="63" t="str">
        <f t="shared" si="246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7"/>
        <v/>
      </c>
      <c r="AP400" s="33" t="str">
        <f t="shared" si="248"/>
        <v/>
      </c>
      <c r="AQ400" s="58" t="str">
        <f t="shared" si="249"/>
        <v/>
      </c>
      <c r="AR400" s="38">
        <f>'ANR OK vs ML7'!AR400</f>
        <v>0.1</v>
      </c>
      <c r="AS400" s="35" t="str">
        <f t="shared" si="250"/>
        <v/>
      </c>
      <c r="AT400" s="3" t="str">
        <f t="shared" si="251"/>
        <v/>
      </c>
      <c r="AU400" s="3" t="str">
        <f t="shared" si="252"/>
        <v/>
      </c>
      <c r="AW400" s="32" t="str">
        <f t="shared" si="253"/>
        <v/>
      </c>
      <c r="AX400" s="32" t="str">
        <f t="shared" si="254"/>
        <v/>
      </c>
      <c r="AY400" s="32" t="str">
        <f t="shared" si="255"/>
        <v/>
      </c>
      <c r="BA400" s="32" t="str">
        <f>IF($A401="","",F400*Summary!$Q$9)</f>
        <v/>
      </c>
    </row>
    <row r="401" spans="1:53">
      <c r="A401" s="67" t="str">
        <f t="shared" si="256"/>
        <v/>
      </c>
      <c r="B401" s="69" t="str">
        <f t="shared" si="257"/>
        <v/>
      </c>
      <c r="D401" s="69" t="str">
        <f t="shared" si="230"/>
        <v/>
      </c>
      <c r="E401" s="70" t="str">
        <f t="shared" si="231"/>
        <v/>
      </c>
      <c r="F401" s="70" t="str">
        <f t="shared" si="232"/>
        <v/>
      </c>
      <c r="G401" s="63" t="str">
        <f t="shared" si="233"/>
        <v/>
      </c>
      <c r="H401" s="64" t="str">
        <f t="shared" si="234"/>
        <v/>
      </c>
      <c r="J401" s="63" t="str">
        <f t="shared" si="235"/>
        <v/>
      </c>
      <c r="K401" s="64" t="str">
        <f t="shared" si="236"/>
        <v/>
      </c>
      <c r="L401" s="63" t="str">
        <f t="shared" si="237"/>
        <v/>
      </c>
      <c r="M401" s="64" t="str">
        <f t="shared" si="238"/>
        <v/>
      </c>
      <c r="O401" s="63" t="str">
        <f t="shared" si="239"/>
        <v/>
      </c>
      <c r="P401" s="63" t="str">
        <f t="shared" si="240"/>
        <v/>
      </c>
      <c r="R401" s="63" t="str">
        <f t="shared" si="241"/>
        <v/>
      </c>
      <c r="S401" s="64" t="str">
        <f t="shared" si="242"/>
        <v/>
      </c>
      <c r="T401" s="63" t="str">
        <f t="shared" si="243"/>
        <v/>
      </c>
      <c r="U401" s="64" t="str">
        <f t="shared" si="244"/>
        <v/>
      </c>
      <c r="V401" s="90" t="str">
        <f>IF($A402="","",IF(AND(MONTH(A401)&gt;3,MONTH(A401)&lt;11),(T401+R401+G401)*Summary!$T$9/(1-Summary!$T$9),(T401+R401+G401)*Summary!$U$9/(1-Summary!$U$9)))</f>
        <v/>
      </c>
      <c r="W401" s="63" t="str">
        <f t="shared" si="245"/>
        <v/>
      </c>
      <c r="X401" s="63" t="str">
        <f t="shared" si="246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7"/>
        <v/>
      </c>
      <c r="AP401" s="33" t="str">
        <f t="shared" si="248"/>
        <v/>
      </c>
      <c r="AQ401" s="58" t="str">
        <f t="shared" si="249"/>
        <v/>
      </c>
      <c r="AR401" s="38">
        <f>'ANR OK vs ML7'!AR401</f>
        <v>0.1</v>
      </c>
      <c r="AS401" s="35" t="str">
        <f t="shared" si="250"/>
        <v/>
      </c>
      <c r="AT401" s="3" t="str">
        <f t="shared" si="251"/>
        <v/>
      </c>
      <c r="AU401" s="3" t="str">
        <f t="shared" si="252"/>
        <v/>
      </c>
      <c r="AW401" s="32" t="str">
        <f t="shared" si="253"/>
        <v/>
      </c>
      <c r="AX401" s="32" t="str">
        <f t="shared" si="254"/>
        <v/>
      </c>
      <c r="AY401" s="32" t="str">
        <f t="shared" si="255"/>
        <v/>
      </c>
      <c r="BA401" s="32" t="str">
        <f>IF($A402="","",F401*Summary!$Q$9)</f>
        <v/>
      </c>
    </row>
    <row r="402" spans="1:53">
      <c r="A402" s="67" t="str">
        <f t="shared" si="256"/>
        <v/>
      </c>
      <c r="B402" s="69" t="str">
        <f t="shared" si="257"/>
        <v/>
      </c>
      <c r="D402" s="69" t="str">
        <f t="shared" si="230"/>
        <v/>
      </c>
      <c r="E402" s="70" t="str">
        <f t="shared" si="231"/>
        <v/>
      </c>
      <c r="F402" s="70" t="str">
        <f t="shared" si="232"/>
        <v/>
      </c>
      <c r="G402" s="63" t="str">
        <f t="shared" si="233"/>
        <v/>
      </c>
      <c r="H402" s="64" t="str">
        <f t="shared" si="234"/>
        <v/>
      </c>
      <c r="J402" s="63" t="str">
        <f t="shared" si="235"/>
        <v/>
      </c>
      <c r="K402" s="64" t="str">
        <f t="shared" si="236"/>
        <v/>
      </c>
      <c r="L402" s="63" t="str">
        <f t="shared" si="237"/>
        <v/>
      </c>
      <c r="M402" s="64" t="str">
        <f t="shared" si="238"/>
        <v/>
      </c>
      <c r="O402" s="63" t="str">
        <f t="shared" si="239"/>
        <v/>
      </c>
      <c r="P402" s="63" t="str">
        <f t="shared" si="240"/>
        <v/>
      </c>
      <c r="R402" s="63" t="str">
        <f t="shared" si="241"/>
        <v/>
      </c>
      <c r="S402" s="64" t="str">
        <f t="shared" si="242"/>
        <v/>
      </c>
      <c r="T402" s="63" t="str">
        <f t="shared" si="243"/>
        <v/>
      </c>
      <c r="U402" s="64" t="str">
        <f t="shared" si="244"/>
        <v/>
      </c>
      <c r="V402" s="90" t="str">
        <f>IF($A403="","",IF(AND(MONTH(A402)&gt;3,MONTH(A402)&lt;11),(T402+R402+G402)*Summary!$T$9/(1-Summary!$T$9),(T402+R402+G402)*Summary!$U$9/(1-Summary!$U$9)))</f>
        <v/>
      </c>
      <c r="W402" s="63" t="str">
        <f t="shared" si="245"/>
        <v/>
      </c>
      <c r="X402" s="63" t="str">
        <f t="shared" si="246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7"/>
        <v/>
      </c>
      <c r="AP402" s="33" t="str">
        <f t="shared" si="248"/>
        <v/>
      </c>
      <c r="AQ402" s="58" t="str">
        <f t="shared" si="249"/>
        <v/>
      </c>
      <c r="AR402" s="38">
        <f>'ANR OK vs ML7'!AR402</f>
        <v>0.1</v>
      </c>
      <c r="AS402" s="35" t="str">
        <f t="shared" si="250"/>
        <v/>
      </c>
      <c r="AT402" s="3" t="str">
        <f t="shared" si="251"/>
        <v/>
      </c>
      <c r="AU402" s="3" t="str">
        <f t="shared" si="252"/>
        <v/>
      </c>
      <c r="AW402" s="32" t="str">
        <f t="shared" si="253"/>
        <v/>
      </c>
      <c r="AX402" s="32" t="str">
        <f t="shared" si="254"/>
        <v/>
      </c>
      <c r="AY402" s="32" t="str">
        <f t="shared" si="255"/>
        <v/>
      </c>
      <c r="BA402" s="32" t="str">
        <f>IF($A403="","",F402*Summary!$Q$9)</f>
        <v/>
      </c>
    </row>
    <row r="403" spans="1:53">
      <c r="A403" s="67" t="str">
        <f t="shared" si="256"/>
        <v/>
      </c>
      <c r="B403" s="69" t="str">
        <f t="shared" si="257"/>
        <v/>
      </c>
      <c r="D403" s="69" t="str">
        <f t="shared" si="230"/>
        <v/>
      </c>
      <c r="E403" s="70" t="str">
        <f t="shared" si="231"/>
        <v/>
      </c>
      <c r="F403" s="70" t="str">
        <f t="shared" si="232"/>
        <v/>
      </c>
      <c r="G403" s="63" t="str">
        <f t="shared" si="233"/>
        <v/>
      </c>
      <c r="H403" s="64" t="str">
        <f t="shared" si="234"/>
        <v/>
      </c>
      <c r="J403" s="63" t="str">
        <f t="shared" si="235"/>
        <v/>
      </c>
      <c r="K403" s="64" t="str">
        <f t="shared" si="236"/>
        <v/>
      </c>
      <c r="L403" s="63" t="str">
        <f t="shared" si="237"/>
        <v/>
      </c>
      <c r="M403" s="64" t="str">
        <f t="shared" si="238"/>
        <v/>
      </c>
      <c r="O403" s="63" t="str">
        <f t="shared" si="239"/>
        <v/>
      </c>
      <c r="P403" s="63" t="str">
        <f t="shared" si="240"/>
        <v/>
      </c>
      <c r="R403" s="63" t="str">
        <f t="shared" si="241"/>
        <v/>
      </c>
      <c r="S403" s="64" t="str">
        <f t="shared" si="242"/>
        <v/>
      </c>
      <c r="T403" s="63" t="str">
        <f t="shared" si="243"/>
        <v/>
      </c>
      <c r="U403" s="64" t="str">
        <f t="shared" si="244"/>
        <v/>
      </c>
      <c r="V403" s="90" t="str">
        <f>IF($A404="","",IF(AND(MONTH(A403)&gt;3,MONTH(A403)&lt;11),(T403+R403+G403)*Summary!$T$9/(1-Summary!$T$9),(T403+R403+G403)*Summary!$U$9/(1-Summary!$U$9)))</f>
        <v/>
      </c>
      <c r="W403" s="63" t="str">
        <f t="shared" si="245"/>
        <v/>
      </c>
      <c r="X403" s="63" t="str">
        <f t="shared" si="246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7"/>
        <v/>
      </c>
      <c r="AP403" s="33" t="str">
        <f t="shared" si="248"/>
        <v/>
      </c>
      <c r="AQ403" s="58" t="str">
        <f t="shared" si="249"/>
        <v/>
      </c>
      <c r="AR403" s="38">
        <f>'ANR OK vs ML7'!AR403</f>
        <v>0.1</v>
      </c>
      <c r="AS403" s="35" t="str">
        <f t="shared" si="250"/>
        <v/>
      </c>
      <c r="AT403" s="3" t="str">
        <f t="shared" si="251"/>
        <v/>
      </c>
      <c r="AU403" s="3" t="str">
        <f t="shared" si="252"/>
        <v/>
      </c>
      <c r="AW403" s="32" t="str">
        <f t="shared" si="253"/>
        <v/>
      </c>
      <c r="AX403" s="32" t="str">
        <f t="shared" si="254"/>
        <v/>
      </c>
      <c r="AY403" s="32" t="str">
        <f t="shared" si="255"/>
        <v/>
      </c>
      <c r="BA403" s="32" t="str">
        <f>IF($A404="","",F403*Summary!$Q$9)</f>
        <v/>
      </c>
    </row>
    <row r="404" spans="1:53">
      <c r="A404" s="67" t="str">
        <f t="shared" si="256"/>
        <v/>
      </c>
      <c r="B404" s="69" t="str">
        <f t="shared" si="257"/>
        <v/>
      </c>
      <c r="D404" s="69" t="str">
        <f t="shared" si="230"/>
        <v/>
      </c>
      <c r="E404" s="70" t="str">
        <f t="shared" si="231"/>
        <v/>
      </c>
      <c r="F404" s="70" t="str">
        <f t="shared" si="232"/>
        <v/>
      </c>
      <c r="G404" s="63" t="str">
        <f t="shared" si="233"/>
        <v/>
      </c>
      <c r="H404" s="64" t="str">
        <f t="shared" si="234"/>
        <v/>
      </c>
      <c r="J404" s="63" t="str">
        <f t="shared" si="235"/>
        <v/>
      </c>
      <c r="K404" s="64" t="str">
        <f t="shared" si="236"/>
        <v/>
      </c>
      <c r="L404" s="63" t="str">
        <f t="shared" si="237"/>
        <v/>
      </c>
      <c r="M404" s="64" t="str">
        <f t="shared" si="238"/>
        <v/>
      </c>
      <c r="O404" s="63" t="str">
        <f t="shared" si="239"/>
        <v/>
      </c>
      <c r="P404" s="63" t="str">
        <f t="shared" si="240"/>
        <v/>
      </c>
      <c r="R404" s="63" t="str">
        <f t="shared" si="241"/>
        <v/>
      </c>
      <c r="S404" s="64" t="str">
        <f t="shared" si="242"/>
        <v/>
      </c>
      <c r="T404" s="63" t="str">
        <f t="shared" si="243"/>
        <v/>
      </c>
      <c r="U404" s="64" t="str">
        <f t="shared" si="244"/>
        <v/>
      </c>
      <c r="V404" s="90" t="str">
        <f>IF($A405="","",IF(AND(MONTH(A404)&gt;3,MONTH(A404)&lt;11),(T404+R404+G404)*Summary!$T$9/(1-Summary!$T$9),(T404+R404+G404)*Summary!$U$9/(1-Summary!$U$9)))</f>
        <v/>
      </c>
      <c r="W404" s="63" t="str">
        <f t="shared" si="245"/>
        <v/>
      </c>
      <c r="X404" s="63" t="str">
        <f t="shared" si="246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7"/>
        <v/>
      </c>
      <c r="AP404" s="33" t="str">
        <f t="shared" si="248"/>
        <v/>
      </c>
      <c r="AQ404" s="58" t="str">
        <f t="shared" si="249"/>
        <v/>
      </c>
      <c r="AR404" s="38">
        <f>'ANR OK vs ML7'!AR404</f>
        <v>0.1</v>
      </c>
      <c r="AS404" s="35" t="str">
        <f t="shared" si="250"/>
        <v/>
      </c>
      <c r="AT404" s="3" t="str">
        <f t="shared" si="251"/>
        <v/>
      </c>
      <c r="AU404" s="3" t="str">
        <f t="shared" si="252"/>
        <v/>
      </c>
      <c r="AW404" s="32" t="str">
        <f t="shared" si="253"/>
        <v/>
      </c>
      <c r="AX404" s="32" t="str">
        <f t="shared" si="254"/>
        <v/>
      </c>
      <c r="AY404" s="32" t="str">
        <f t="shared" si="255"/>
        <v/>
      </c>
      <c r="BA404" s="32" t="str">
        <f>IF($A405="","",F404*Summary!$Q$9)</f>
        <v/>
      </c>
    </row>
    <row r="405" spans="1:53">
      <c r="A405" s="67" t="str">
        <f t="shared" si="256"/>
        <v/>
      </c>
      <c r="B405" s="69" t="str">
        <f t="shared" si="257"/>
        <v/>
      </c>
      <c r="D405" s="69" t="str">
        <f t="shared" si="230"/>
        <v/>
      </c>
      <c r="E405" s="70" t="str">
        <f t="shared" si="231"/>
        <v/>
      </c>
      <c r="F405" s="70" t="str">
        <f t="shared" si="232"/>
        <v/>
      </c>
      <c r="G405" s="63" t="str">
        <f t="shared" si="233"/>
        <v/>
      </c>
      <c r="H405" s="64" t="str">
        <f t="shared" si="234"/>
        <v/>
      </c>
      <c r="J405" s="63" t="str">
        <f t="shared" si="235"/>
        <v/>
      </c>
      <c r="K405" s="64" t="str">
        <f t="shared" si="236"/>
        <v/>
      </c>
      <c r="L405" s="63" t="str">
        <f t="shared" si="237"/>
        <v/>
      </c>
      <c r="M405" s="64" t="str">
        <f t="shared" si="238"/>
        <v/>
      </c>
      <c r="O405" s="63" t="str">
        <f t="shared" si="239"/>
        <v/>
      </c>
      <c r="P405" s="63" t="str">
        <f t="shared" si="240"/>
        <v/>
      </c>
      <c r="R405" s="63" t="str">
        <f t="shared" si="241"/>
        <v/>
      </c>
      <c r="S405" s="64" t="str">
        <f t="shared" si="242"/>
        <v/>
      </c>
      <c r="T405" s="63" t="str">
        <f t="shared" si="243"/>
        <v/>
      </c>
      <c r="U405" s="64" t="str">
        <f t="shared" si="244"/>
        <v/>
      </c>
      <c r="V405" s="90" t="str">
        <f>IF($A406="","",IF(AND(MONTH(A405)&gt;3,MONTH(A405)&lt;11),(T405+R405+G405)*Summary!$T$9/(1-Summary!$T$9),(T405+R405+G405)*Summary!$U$9/(1-Summary!$U$9)))</f>
        <v/>
      </c>
      <c r="W405" s="63" t="str">
        <f t="shared" si="245"/>
        <v/>
      </c>
      <c r="X405" s="63" t="str">
        <f t="shared" si="246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7"/>
        <v/>
      </c>
      <c r="AP405" s="33" t="str">
        <f t="shared" si="248"/>
        <v/>
      </c>
      <c r="AQ405" s="58" t="str">
        <f t="shared" si="249"/>
        <v/>
      </c>
      <c r="AR405" s="38">
        <f>'ANR OK vs ML7'!AR405</f>
        <v>0.1</v>
      </c>
      <c r="AS405" s="35" t="str">
        <f t="shared" si="250"/>
        <v/>
      </c>
      <c r="AT405" s="3" t="str">
        <f t="shared" si="251"/>
        <v/>
      </c>
      <c r="AU405" s="3" t="str">
        <f t="shared" si="252"/>
        <v/>
      </c>
      <c r="AW405" s="32" t="str">
        <f t="shared" si="253"/>
        <v/>
      </c>
      <c r="AX405" s="32" t="str">
        <f t="shared" si="254"/>
        <v/>
      </c>
      <c r="AY405" s="32" t="str">
        <f t="shared" si="255"/>
        <v/>
      </c>
      <c r="BA405" s="32" t="str">
        <f>IF($A406="","",F405*Summary!$Q$9)</f>
        <v/>
      </c>
    </row>
    <row r="406" spans="1:53">
      <c r="A406" s="67" t="str">
        <f t="shared" si="256"/>
        <v/>
      </c>
      <c r="B406" s="69" t="str">
        <f t="shared" si="257"/>
        <v/>
      </c>
      <c r="D406" s="69" t="str">
        <f t="shared" si="230"/>
        <v/>
      </c>
      <c r="E406" s="70" t="str">
        <f t="shared" si="231"/>
        <v/>
      </c>
      <c r="F406" s="70" t="str">
        <f t="shared" si="232"/>
        <v/>
      </c>
      <c r="G406" s="63" t="str">
        <f t="shared" si="233"/>
        <v/>
      </c>
      <c r="H406" s="64" t="str">
        <f t="shared" si="234"/>
        <v/>
      </c>
      <c r="J406" s="63" t="str">
        <f t="shared" si="235"/>
        <v/>
      </c>
      <c r="K406" s="64" t="str">
        <f t="shared" si="236"/>
        <v/>
      </c>
      <c r="L406" s="63" t="str">
        <f t="shared" si="237"/>
        <v/>
      </c>
      <c r="M406" s="64" t="str">
        <f t="shared" si="238"/>
        <v/>
      </c>
      <c r="O406" s="63" t="str">
        <f t="shared" si="239"/>
        <v/>
      </c>
      <c r="P406" s="63" t="str">
        <f t="shared" si="240"/>
        <v/>
      </c>
      <c r="R406" s="63" t="str">
        <f t="shared" si="241"/>
        <v/>
      </c>
      <c r="S406" s="64" t="str">
        <f t="shared" si="242"/>
        <v/>
      </c>
      <c r="T406" s="63" t="str">
        <f t="shared" si="243"/>
        <v/>
      </c>
      <c r="U406" s="64" t="str">
        <f t="shared" si="244"/>
        <v/>
      </c>
      <c r="V406" s="90" t="str">
        <f>IF($A407="","",IF(AND(MONTH(A406)&gt;3,MONTH(A406)&lt;11),(T406+R406+G406)*Summary!$T$9/(1-Summary!$T$9),(T406+R406+G406)*Summary!$U$9/(1-Summary!$U$9)))</f>
        <v/>
      </c>
      <c r="W406" s="63" t="str">
        <f t="shared" si="245"/>
        <v/>
      </c>
      <c r="X406" s="63" t="str">
        <f t="shared" si="246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7"/>
        <v/>
      </c>
      <c r="AP406" s="33" t="str">
        <f t="shared" si="248"/>
        <v/>
      </c>
      <c r="AQ406" s="58" t="str">
        <f t="shared" si="249"/>
        <v/>
      </c>
      <c r="AR406" s="38">
        <f>'ANR OK vs ML7'!AR406</f>
        <v>0.1</v>
      </c>
      <c r="AS406" s="35" t="str">
        <f t="shared" si="250"/>
        <v/>
      </c>
      <c r="AT406" s="3" t="str">
        <f t="shared" si="251"/>
        <v/>
      </c>
      <c r="AU406" s="3" t="str">
        <f t="shared" si="252"/>
        <v/>
      </c>
      <c r="AW406" s="32" t="str">
        <f t="shared" si="253"/>
        <v/>
      </c>
      <c r="AX406" s="32" t="str">
        <f t="shared" si="254"/>
        <v/>
      </c>
      <c r="AY406" s="32" t="str">
        <f t="shared" si="255"/>
        <v/>
      </c>
      <c r="BA406" s="32" t="str">
        <f>IF($A407="","",F406*Summary!$Q$9)</f>
        <v/>
      </c>
    </row>
    <row r="407" spans="1:53">
      <c r="A407" s="67" t="str">
        <f t="shared" si="256"/>
        <v/>
      </c>
      <c r="B407" s="69" t="str">
        <f t="shared" si="257"/>
        <v/>
      </c>
      <c r="D407" s="69" t="str">
        <f t="shared" si="230"/>
        <v/>
      </c>
      <c r="E407" s="70" t="str">
        <f t="shared" si="231"/>
        <v/>
      </c>
      <c r="F407" s="70" t="str">
        <f t="shared" si="232"/>
        <v/>
      </c>
      <c r="G407" s="63" t="str">
        <f t="shared" si="233"/>
        <v/>
      </c>
      <c r="H407" s="64" t="str">
        <f t="shared" si="234"/>
        <v/>
      </c>
      <c r="J407" s="63" t="str">
        <f t="shared" si="235"/>
        <v/>
      </c>
      <c r="K407" s="64" t="str">
        <f t="shared" si="236"/>
        <v/>
      </c>
      <c r="L407" s="63" t="str">
        <f t="shared" si="237"/>
        <v/>
      </c>
      <c r="M407" s="64" t="str">
        <f t="shared" si="238"/>
        <v/>
      </c>
      <c r="O407" s="63" t="str">
        <f t="shared" si="239"/>
        <v/>
      </c>
      <c r="P407" s="63" t="str">
        <f t="shared" si="240"/>
        <v/>
      </c>
      <c r="R407" s="63" t="str">
        <f t="shared" si="241"/>
        <v/>
      </c>
      <c r="S407" s="64" t="str">
        <f t="shared" si="242"/>
        <v/>
      </c>
      <c r="T407" s="63" t="str">
        <f t="shared" si="243"/>
        <v/>
      </c>
      <c r="U407" s="64" t="str">
        <f t="shared" si="244"/>
        <v/>
      </c>
      <c r="V407" s="90" t="str">
        <f>IF($A408="","",IF(AND(MONTH(A407)&gt;3,MONTH(A407)&lt;11),(T407+R407+G407)*Summary!$T$9/(1-Summary!$T$9),(T407+R407+G407)*Summary!$U$9/(1-Summary!$U$9)))</f>
        <v/>
      </c>
      <c r="W407" s="63" t="str">
        <f t="shared" si="245"/>
        <v/>
      </c>
      <c r="X407" s="63" t="str">
        <f t="shared" si="246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7"/>
        <v/>
      </c>
      <c r="AP407" s="33" t="str">
        <f t="shared" si="248"/>
        <v/>
      </c>
      <c r="AQ407" s="58" t="str">
        <f t="shared" si="249"/>
        <v/>
      </c>
      <c r="AR407" s="38">
        <f>'ANR OK vs ML7'!AR407</f>
        <v>0.1</v>
      </c>
      <c r="AS407" s="35" t="str">
        <f t="shared" si="250"/>
        <v/>
      </c>
      <c r="AT407" s="3" t="str">
        <f t="shared" si="251"/>
        <v/>
      </c>
      <c r="AU407" s="3" t="str">
        <f t="shared" si="252"/>
        <v/>
      </c>
      <c r="AW407" s="32" t="str">
        <f t="shared" si="253"/>
        <v/>
      </c>
      <c r="AX407" s="32" t="str">
        <f t="shared" si="254"/>
        <v/>
      </c>
      <c r="AY407" s="32" t="str">
        <f t="shared" si="255"/>
        <v/>
      </c>
      <c r="BA407" s="32" t="str">
        <f>IF($A408="","",F407*Summary!$Q$9)</f>
        <v/>
      </c>
    </row>
    <row r="408" spans="1:53">
      <c r="A408" s="67" t="str">
        <f t="shared" si="256"/>
        <v/>
      </c>
      <c r="B408" s="69" t="str">
        <f t="shared" si="257"/>
        <v/>
      </c>
      <c r="D408" s="69" t="str">
        <f t="shared" si="230"/>
        <v/>
      </c>
      <c r="E408" s="70" t="str">
        <f t="shared" si="231"/>
        <v/>
      </c>
      <c r="F408" s="70" t="str">
        <f t="shared" si="232"/>
        <v/>
      </c>
      <c r="G408" s="63" t="str">
        <f t="shared" si="233"/>
        <v/>
      </c>
      <c r="H408" s="64" t="str">
        <f t="shared" si="234"/>
        <v/>
      </c>
      <c r="J408" s="63" t="str">
        <f t="shared" si="235"/>
        <v/>
      </c>
      <c r="K408" s="64" t="str">
        <f t="shared" si="236"/>
        <v/>
      </c>
      <c r="L408" s="63" t="str">
        <f t="shared" si="237"/>
        <v/>
      </c>
      <c r="M408" s="64" t="str">
        <f t="shared" si="238"/>
        <v/>
      </c>
      <c r="O408" s="63" t="str">
        <f t="shared" si="239"/>
        <v/>
      </c>
      <c r="P408" s="63" t="str">
        <f t="shared" si="240"/>
        <v/>
      </c>
      <c r="R408" s="63" t="str">
        <f t="shared" si="241"/>
        <v/>
      </c>
      <c r="S408" s="64" t="str">
        <f t="shared" si="242"/>
        <v/>
      </c>
      <c r="T408" s="63" t="str">
        <f t="shared" si="243"/>
        <v/>
      </c>
      <c r="U408" s="64" t="str">
        <f t="shared" si="244"/>
        <v/>
      </c>
      <c r="V408" s="90" t="str">
        <f>IF($A409="","",IF(AND(MONTH(A408)&gt;3,MONTH(A408)&lt;11),(T408+R408+G408)*Summary!$T$9/(1-Summary!$T$9),(T408+R408+G408)*Summary!$U$9/(1-Summary!$U$9)))</f>
        <v/>
      </c>
      <c r="W408" s="63" t="str">
        <f t="shared" si="245"/>
        <v/>
      </c>
      <c r="X408" s="63" t="str">
        <f t="shared" si="246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7"/>
        <v/>
      </c>
      <c r="AP408" s="33" t="str">
        <f t="shared" si="248"/>
        <v/>
      </c>
      <c r="AQ408" s="58" t="str">
        <f t="shared" si="249"/>
        <v/>
      </c>
      <c r="AR408" s="38">
        <f>'ANR OK vs ML7'!AR408</f>
        <v>0.1</v>
      </c>
      <c r="AS408" s="35" t="str">
        <f t="shared" si="250"/>
        <v/>
      </c>
      <c r="AT408" s="3" t="str">
        <f t="shared" si="251"/>
        <v/>
      </c>
      <c r="AU408" s="3" t="str">
        <f t="shared" si="252"/>
        <v/>
      </c>
      <c r="AW408" s="32" t="str">
        <f t="shared" si="253"/>
        <v/>
      </c>
      <c r="AX408" s="32" t="str">
        <f t="shared" si="254"/>
        <v/>
      </c>
      <c r="AY408" s="32" t="str">
        <f t="shared" si="255"/>
        <v/>
      </c>
      <c r="BA408" s="32" t="str">
        <f>IF($A409="","",F408*Summary!$Q$9)</f>
        <v/>
      </c>
    </row>
    <row r="409" spans="1:53">
      <c r="A409" s="67" t="str">
        <f t="shared" si="256"/>
        <v/>
      </c>
      <c r="B409" s="69" t="str">
        <f t="shared" si="257"/>
        <v/>
      </c>
      <c r="D409" s="69" t="str">
        <f t="shared" si="230"/>
        <v/>
      </c>
      <c r="E409" s="70" t="str">
        <f t="shared" si="231"/>
        <v/>
      </c>
      <c r="F409" s="70" t="str">
        <f t="shared" si="232"/>
        <v/>
      </c>
      <c r="G409" s="63" t="str">
        <f t="shared" si="233"/>
        <v/>
      </c>
      <c r="H409" s="64" t="str">
        <f t="shared" si="234"/>
        <v/>
      </c>
      <c r="J409" s="63" t="str">
        <f t="shared" si="235"/>
        <v/>
      </c>
      <c r="K409" s="64" t="str">
        <f t="shared" si="236"/>
        <v/>
      </c>
      <c r="L409" s="63" t="str">
        <f t="shared" si="237"/>
        <v/>
      </c>
      <c r="M409" s="64" t="str">
        <f t="shared" si="238"/>
        <v/>
      </c>
      <c r="O409" s="63" t="str">
        <f t="shared" si="239"/>
        <v/>
      </c>
      <c r="P409" s="63" t="str">
        <f t="shared" si="240"/>
        <v/>
      </c>
      <c r="R409" s="63" t="str">
        <f t="shared" si="241"/>
        <v/>
      </c>
      <c r="S409" s="64" t="str">
        <f t="shared" si="242"/>
        <v/>
      </c>
      <c r="T409" s="63" t="str">
        <f t="shared" si="243"/>
        <v/>
      </c>
      <c r="U409" s="64" t="str">
        <f t="shared" si="244"/>
        <v/>
      </c>
      <c r="V409" s="90" t="str">
        <f>IF($A410="","",IF(AND(MONTH(A409)&gt;3,MONTH(A409)&lt;11),(T409+R409+G409)*Summary!$T$9/(1-Summary!$T$9),(T409+R409+G409)*Summary!$U$9/(1-Summary!$U$9)))</f>
        <v/>
      </c>
      <c r="W409" s="63" t="str">
        <f t="shared" si="245"/>
        <v/>
      </c>
      <c r="X409" s="63" t="str">
        <f t="shared" si="246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7"/>
        <v/>
      </c>
      <c r="AP409" s="33" t="str">
        <f t="shared" si="248"/>
        <v/>
      </c>
      <c r="AQ409" s="58" t="str">
        <f t="shared" si="249"/>
        <v/>
      </c>
      <c r="AR409" s="38">
        <f>'ANR OK vs ML7'!AR409</f>
        <v>0.1</v>
      </c>
      <c r="AS409" s="35" t="str">
        <f t="shared" si="250"/>
        <v/>
      </c>
      <c r="AT409" s="3" t="str">
        <f t="shared" si="251"/>
        <v/>
      </c>
      <c r="AU409" s="3" t="str">
        <f t="shared" si="252"/>
        <v/>
      </c>
      <c r="AW409" s="32" t="str">
        <f t="shared" si="253"/>
        <v/>
      </c>
      <c r="AX409" s="32" t="str">
        <f t="shared" si="254"/>
        <v/>
      </c>
      <c r="AY409" s="32" t="str">
        <f t="shared" si="255"/>
        <v/>
      </c>
      <c r="BA409" s="32" t="str">
        <f>IF($A410="","",F409*Summary!$Q$9)</f>
        <v/>
      </c>
    </row>
    <row r="410" spans="1:53">
      <c r="A410" s="67" t="str">
        <f t="shared" si="256"/>
        <v/>
      </c>
      <c r="B410" s="69" t="str">
        <f t="shared" si="257"/>
        <v/>
      </c>
      <c r="D410" s="69" t="str">
        <f t="shared" si="230"/>
        <v/>
      </c>
      <c r="E410" s="70" t="str">
        <f t="shared" si="231"/>
        <v/>
      </c>
      <c r="F410" s="70" t="str">
        <f t="shared" si="232"/>
        <v/>
      </c>
      <c r="G410" s="63" t="str">
        <f t="shared" si="233"/>
        <v/>
      </c>
      <c r="H410" s="64" t="str">
        <f t="shared" si="234"/>
        <v/>
      </c>
      <c r="J410" s="63" t="str">
        <f t="shared" si="235"/>
        <v/>
      </c>
      <c r="K410" s="64" t="str">
        <f t="shared" si="236"/>
        <v/>
      </c>
      <c r="L410" s="63" t="str">
        <f t="shared" si="237"/>
        <v/>
      </c>
      <c r="M410" s="64" t="str">
        <f t="shared" si="238"/>
        <v/>
      </c>
      <c r="O410" s="63" t="str">
        <f t="shared" si="239"/>
        <v/>
      </c>
      <c r="P410" s="63" t="str">
        <f t="shared" si="240"/>
        <v/>
      </c>
      <c r="R410" s="63" t="str">
        <f t="shared" si="241"/>
        <v/>
      </c>
      <c r="S410" s="64" t="str">
        <f t="shared" si="242"/>
        <v/>
      </c>
      <c r="T410" s="63" t="str">
        <f t="shared" si="243"/>
        <v/>
      </c>
      <c r="U410" s="64" t="str">
        <f t="shared" si="244"/>
        <v/>
      </c>
      <c r="V410" s="90" t="str">
        <f>IF($A411="","",IF(AND(MONTH(A410)&gt;3,MONTH(A410)&lt;11),(T410+R410+G410)*Summary!$T$9/(1-Summary!$T$9),(T410+R410+G410)*Summary!$U$9/(1-Summary!$U$9)))</f>
        <v/>
      </c>
      <c r="W410" s="63" t="str">
        <f t="shared" si="245"/>
        <v/>
      </c>
      <c r="X410" s="63" t="str">
        <f t="shared" si="246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7"/>
        <v/>
      </c>
      <c r="AP410" s="33" t="str">
        <f t="shared" si="248"/>
        <v/>
      </c>
      <c r="AQ410" s="58" t="str">
        <f t="shared" si="249"/>
        <v/>
      </c>
      <c r="AR410" s="38">
        <f>'ANR OK vs ML7'!AR410</f>
        <v>0.1</v>
      </c>
      <c r="AS410" s="35" t="str">
        <f t="shared" si="250"/>
        <v/>
      </c>
      <c r="AT410" s="3" t="str">
        <f t="shared" si="251"/>
        <v/>
      </c>
      <c r="AU410" s="3" t="str">
        <f t="shared" si="252"/>
        <v/>
      </c>
      <c r="AW410" s="32" t="str">
        <f t="shared" si="253"/>
        <v/>
      </c>
      <c r="AX410" s="32" t="str">
        <f t="shared" si="254"/>
        <v/>
      </c>
      <c r="AY410" s="32" t="str">
        <f t="shared" si="255"/>
        <v/>
      </c>
      <c r="BA410" s="32" t="str">
        <f>IF($A411="","",F410*Summary!$Q$9)</f>
        <v/>
      </c>
    </row>
    <row r="411" spans="1:53">
      <c r="A411" s="67" t="str">
        <f t="shared" si="256"/>
        <v/>
      </c>
      <c r="B411" s="69" t="str">
        <f t="shared" si="257"/>
        <v/>
      </c>
      <c r="D411" s="69" t="str">
        <f t="shared" si="230"/>
        <v/>
      </c>
      <c r="E411" s="70" t="str">
        <f t="shared" si="231"/>
        <v/>
      </c>
      <c r="F411" s="70" t="str">
        <f t="shared" si="232"/>
        <v/>
      </c>
      <c r="G411" s="63" t="str">
        <f t="shared" si="233"/>
        <v/>
      </c>
      <c r="H411" s="64" t="str">
        <f t="shared" si="234"/>
        <v/>
      </c>
      <c r="J411" s="63" t="str">
        <f t="shared" si="235"/>
        <v/>
      </c>
      <c r="K411" s="64" t="str">
        <f t="shared" si="236"/>
        <v/>
      </c>
      <c r="L411" s="63" t="str">
        <f t="shared" si="237"/>
        <v/>
      </c>
      <c r="M411" s="64" t="str">
        <f t="shared" si="238"/>
        <v/>
      </c>
      <c r="O411" s="63" t="str">
        <f t="shared" si="239"/>
        <v/>
      </c>
      <c r="P411" s="63" t="str">
        <f t="shared" si="240"/>
        <v/>
      </c>
      <c r="R411" s="63" t="str">
        <f t="shared" si="241"/>
        <v/>
      </c>
      <c r="S411" s="64" t="str">
        <f t="shared" si="242"/>
        <v/>
      </c>
      <c r="T411" s="63" t="str">
        <f t="shared" si="243"/>
        <v/>
      </c>
      <c r="U411" s="64" t="str">
        <f t="shared" si="244"/>
        <v/>
      </c>
      <c r="V411" s="90" t="str">
        <f>IF($A412="","",IF(AND(MONTH(A411)&gt;3,MONTH(A411)&lt;11),(T411+R411+G411)*Summary!$T$9/(1-Summary!$T$9),(T411+R411+G411)*Summary!$U$9/(1-Summary!$U$9)))</f>
        <v/>
      </c>
      <c r="W411" s="63" t="str">
        <f t="shared" si="245"/>
        <v/>
      </c>
      <c r="X411" s="63" t="str">
        <f t="shared" si="246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7"/>
        <v/>
      </c>
      <c r="AP411" s="33" t="str">
        <f t="shared" si="248"/>
        <v/>
      </c>
      <c r="AQ411" s="58" t="str">
        <f t="shared" si="249"/>
        <v/>
      </c>
      <c r="AR411" s="38">
        <f>'ANR OK vs ML7'!AR411</f>
        <v>0.1</v>
      </c>
      <c r="AS411" s="35" t="str">
        <f t="shared" si="250"/>
        <v/>
      </c>
      <c r="AT411" s="3" t="str">
        <f t="shared" si="251"/>
        <v/>
      </c>
      <c r="AU411" s="3" t="str">
        <f t="shared" si="252"/>
        <v/>
      </c>
      <c r="AW411" s="32" t="str">
        <f t="shared" si="253"/>
        <v/>
      </c>
      <c r="AX411" s="32" t="str">
        <f t="shared" si="254"/>
        <v/>
      </c>
      <c r="AY411" s="32" t="str">
        <f t="shared" si="255"/>
        <v/>
      </c>
      <c r="BA411" s="32" t="str">
        <f>IF($A412="","",F411*Summary!$Q$9)</f>
        <v/>
      </c>
    </row>
    <row r="412" spans="1:53">
      <c r="A412" s="67" t="str">
        <f t="shared" si="256"/>
        <v/>
      </c>
      <c r="B412" s="69" t="str">
        <f t="shared" si="257"/>
        <v/>
      </c>
      <c r="D412" s="69" t="str">
        <f t="shared" si="230"/>
        <v/>
      </c>
      <c r="E412" s="70" t="str">
        <f t="shared" si="231"/>
        <v/>
      </c>
      <c r="F412" s="70" t="str">
        <f t="shared" si="232"/>
        <v/>
      </c>
      <c r="G412" s="63" t="str">
        <f t="shared" si="233"/>
        <v/>
      </c>
      <c r="H412" s="64" t="str">
        <f t="shared" si="234"/>
        <v/>
      </c>
      <c r="J412" s="63" t="str">
        <f t="shared" si="235"/>
        <v/>
      </c>
      <c r="K412" s="64" t="str">
        <f t="shared" si="236"/>
        <v/>
      </c>
      <c r="L412" s="63" t="str">
        <f t="shared" si="237"/>
        <v/>
      </c>
      <c r="M412" s="64" t="str">
        <f t="shared" si="238"/>
        <v/>
      </c>
      <c r="O412" s="63" t="str">
        <f t="shared" si="239"/>
        <v/>
      </c>
      <c r="P412" s="63" t="str">
        <f t="shared" si="240"/>
        <v/>
      </c>
      <c r="R412" s="63" t="str">
        <f t="shared" si="241"/>
        <v/>
      </c>
      <c r="S412" s="64" t="str">
        <f t="shared" si="242"/>
        <v/>
      </c>
      <c r="T412" s="63" t="str">
        <f t="shared" si="243"/>
        <v/>
      </c>
      <c r="U412" s="64" t="str">
        <f t="shared" si="244"/>
        <v/>
      </c>
      <c r="V412" s="90" t="str">
        <f>IF($A413="","",IF(AND(MONTH(A412)&gt;3,MONTH(A412)&lt;11),(T412+R412+G412)*Summary!$T$9/(1-Summary!$T$9),(T412+R412+G412)*Summary!$U$9/(1-Summary!$U$9)))</f>
        <v/>
      </c>
      <c r="W412" s="63" t="str">
        <f t="shared" si="245"/>
        <v/>
      </c>
      <c r="X412" s="63" t="str">
        <f t="shared" si="246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7"/>
        <v/>
      </c>
      <c r="AP412" s="33" t="str">
        <f t="shared" si="248"/>
        <v/>
      </c>
      <c r="AQ412" s="58" t="str">
        <f t="shared" si="249"/>
        <v/>
      </c>
      <c r="AR412" s="38">
        <f>'ANR OK vs ML7'!AR412</f>
        <v>0.1</v>
      </c>
      <c r="AS412" s="35" t="str">
        <f t="shared" si="250"/>
        <v/>
      </c>
      <c r="AT412" s="3" t="str">
        <f t="shared" si="251"/>
        <v/>
      </c>
      <c r="AU412" s="3" t="str">
        <f t="shared" si="252"/>
        <v/>
      </c>
      <c r="AW412" s="32" t="str">
        <f t="shared" si="253"/>
        <v/>
      </c>
      <c r="AX412" s="32" t="str">
        <f t="shared" si="254"/>
        <v/>
      </c>
      <c r="AY412" s="32" t="str">
        <f t="shared" si="255"/>
        <v/>
      </c>
      <c r="BA412" s="32" t="str">
        <f>IF($A413="","",F412*Summary!$Q$9)</f>
        <v/>
      </c>
    </row>
    <row r="413" spans="1:53">
      <c r="A413" s="67" t="str">
        <f t="shared" si="256"/>
        <v/>
      </c>
      <c r="B413" s="69" t="str">
        <f t="shared" si="257"/>
        <v/>
      </c>
      <c r="D413" s="69" t="str">
        <f t="shared" si="230"/>
        <v/>
      </c>
      <c r="E413" s="70" t="str">
        <f t="shared" si="231"/>
        <v/>
      </c>
      <c r="F413" s="70" t="str">
        <f t="shared" si="232"/>
        <v/>
      </c>
      <c r="G413" s="63" t="str">
        <f t="shared" si="233"/>
        <v/>
      </c>
      <c r="H413" s="64" t="str">
        <f t="shared" si="234"/>
        <v/>
      </c>
      <c r="J413" s="63" t="str">
        <f t="shared" si="235"/>
        <v/>
      </c>
      <c r="K413" s="64" t="str">
        <f t="shared" si="236"/>
        <v/>
      </c>
      <c r="L413" s="63" t="str">
        <f t="shared" si="237"/>
        <v/>
      </c>
      <c r="M413" s="64" t="str">
        <f t="shared" si="238"/>
        <v/>
      </c>
      <c r="O413" s="63" t="str">
        <f t="shared" si="239"/>
        <v/>
      </c>
      <c r="P413" s="63" t="str">
        <f t="shared" si="240"/>
        <v/>
      </c>
      <c r="R413" s="63" t="str">
        <f t="shared" si="241"/>
        <v/>
      </c>
      <c r="S413" s="64" t="str">
        <f t="shared" si="242"/>
        <v/>
      </c>
      <c r="T413" s="63" t="str">
        <f t="shared" si="243"/>
        <v/>
      </c>
      <c r="U413" s="64" t="str">
        <f t="shared" si="244"/>
        <v/>
      </c>
      <c r="V413" s="90" t="str">
        <f>IF($A414="","",IF(AND(MONTH(A413)&gt;3,MONTH(A413)&lt;11),(T413+R413+G413)*Summary!$T$9/(1-Summary!$T$9),(T413+R413+G413)*Summary!$U$9/(1-Summary!$U$9)))</f>
        <v/>
      </c>
      <c r="W413" s="63" t="str">
        <f t="shared" si="245"/>
        <v/>
      </c>
      <c r="X413" s="63" t="str">
        <f t="shared" si="246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7"/>
        <v/>
      </c>
      <c r="AP413" s="33" t="str">
        <f t="shared" si="248"/>
        <v/>
      </c>
      <c r="AQ413" s="58" t="str">
        <f t="shared" si="249"/>
        <v/>
      </c>
      <c r="AR413" s="38">
        <f>'ANR OK vs ML7'!AR413</f>
        <v>0.1</v>
      </c>
      <c r="AS413" s="35" t="str">
        <f t="shared" si="250"/>
        <v/>
      </c>
      <c r="AT413" s="3" t="str">
        <f t="shared" si="251"/>
        <v/>
      </c>
      <c r="AU413" s="3" t="str">
        <f t="shared" si="252"/>
        <v/>
      </c>
      <c r="AW413" s="32" t="str">
        <f t="shared" si="253"/>
        <v/>
      </c>
      <c r="AX413" s="32" t="str">
        <f t="shared" si="254"/>
        <v/>
      </c>
      <c r="AY413" s="32" t="str">
        <f t="shared" si="255"/>
        <v/>
      </c>
      <c r="BA413" s="32" t="str">
        <f>IF($A414="","",F413*Summary!$Q$9)</f>
        <v/>
      </c>
    </row>
    <row r="414" spans="1:53">
      <c r="A414" s="67" t="str">
        <f t="shared" si="256"/>
        <v/>
      </c>
      <c r="B414" s="69" t="str">
        <f t="shared" si="257"/>
        <v/>
      </c>
      <c r="D414" s="69" t="str">
        <f t="shared" si="230"/>
        <v/>
      </c>
      <c r="E414" s="70" t="str">
        <f t="shared" si="231"/>
        <v/>
      </c>
      <c r="F414" s="70" t="str">
        <f t="shared" si="232"/>
        <v/>
      </c>
      <c r="G414" s="63" t="str">
        <f t="shared" si="233"/>
        <v/>
      </c>
      <c r="H414" s="64" t="str">
        <f t="shared" si="234"/>
        <v/>
      </c>
      <c r="J414" s="63" t="str">
        <f t="shared" si="235"/>
        <v/>
      </c>
      <c r="K414" s="64" t="str">
        <f t="shared" si="236"/>
        <v/>
      </c>
      <c r="L414" s="63" t="str">
        <f t="shared" si="237"/>
        <v/>
      </c>
      <c r="M414" s="64" t="str">
        <f t="shared" si="238"/>
        <v/>
      </c>
      <c r="O414" s="63" t="str">
        <f t="shared" si="239"/>
        <v/>
      </c>
      <c r="P414" s="63" t="str">
        <f t="shared" si="240"/>
        <v/>
      </c>
      <c r="R414" s="63" t="str">
        <f t="shared" si="241"/>
        <v/>
      </c>
      <c r="S414" s="64" t="str">
        <f t="shared" si="242"/>
        <v/>
      </c>
      <c r="T414" s="63" t="str">
        <f t="shared" si="243"/>
        <v/>
      </c>
      <c r="U414" s="64" t="str">
        <f t="shared" si="244"/>
        <v/>
      </c>
      <c r="V414" s="90" t="str">
        <f>IF($A415="","",IF(AND(MONTH(A414)&gt;3,MONTH(A414)&lt;11),(T414+R414+G414)*Summary!$T$9/(1-Summary!$T$9),(T414+R414+G414)*Summary!$U$9/(1-Summary!$U$9)))</f>
        <v/>
      </c>
      <c r="W414" s="63" t="str">
        <f t="shared" si="245"/>
        <v/>
      </c>
      <c r="X414" s="63" t="str">
        <f t="shared" si="246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7"/>
        <v/>
      </c>
      <c r="AP414" s="33" t="str">
        <f t="shared" si="248"/>
        <v/>
      </c>
      <c r="AQ414" s="58" t="str">
        <f t="shared" si="249"/>
        <v/>
      </c>
      <c r="AR414" s="38">
        <f>'ANR OK vs ML7'!AR414</f>
        <v>0.1</v>
      </c>
      <c r="AS414" s="35" t="str">
        <f t="shared" si="250"/>
        <v/>
      </c>
      <c r="AT414" s="3" t="str">
        <f t="shared" si="251"/>
        <v/>
      </c>
      <c r="AU414" s="3" t="str">
        <f t="shared" si="252"/>
        <v/>
      </c>
      <c r="AW414" s="32" t="str">
        <f t="shared" si="253"/>
        <v/>
      </c>
      <c r="AX414" s="32" t="str">
        <f t="shared" si="254"/>
        <v/>
      </c>
      <c r="AY414" s="32" t="str">
        <f t="shared" si="255"/>
        <v/>
      </c>
      <c r="BA414" s="32" t="str">
        <f>IF($A415="","",F414*Summary!$Q$9)</f>
        <v/>
      </c>
    </row>
    <row r="415" spans="1:53">
      <c r="A415" s="67" t="str">
        <f t="shared" si="256"/>
        <v/>
      </c>
      <c r="B415" s="69" t="str">
        <f t="shared" si="257"/>
        <v/>
      </c>
      <c r="D415" s="69" t="str">
        <f t="shared" si="230"/>
        <v/>
      </c>
      <c r="E415" s="70" t="str">
        <f t="shared" si="231"/>
        <v/>
      </c>
      <c r="F415" s="70" t="str">
        <f t="shared" si="232"/>
        <v/>
      </c>
      <c r="G415" s="63" t="str">
        <f t="shared" si="233"/>
        <v/>
      </c>
      <c r="H415" s="64" t="str">
        <f t="shared" si="234"/>
        <v/>
      </c>
      <c r="J415" s="63" t="str">
        <f t="shared" si="235"/>
        <v/>
      </c>
      <c r="K415" s="64" t="str">
        <f t="shared" si="236"/>
        <v/>
      </c>
      <c r="L415" s="63" t="str">
        <f t="shared" si="237"/>
        <v/>
      </c>
      <c r="M415" s="64" t="str">
        <f t="shared" si="238"/>
        <v/>
      </c>
      <c r="O415" s="63" t="str">
        <f t="shared" si="239"/>
        <v/>
      </c>
      <c r="P415" s="63" t="str">
        <f t="shared" si="240"/>
        <v/>
      </c>
      <c r="R415" s="63" t="str">
        <f t="shared" si="241"/>
        <v/>
      </c>
      <c r="S415" s="64" t="str">
        <f t="shared" si="242"/>
        <v/>
      </c>
      <c r="T415" s="63" t="str">
        <f t="shared" si="243"/>
        <v/>
      </c>
      <c r="U415" s="64" t="str">
        <f t="shared" si="244"/>
        <v/>
      </c>
      <c r="V415" s="90" t="str">
        <f>IF($A416="","",IF(AND(MONTH(A415)&gt;3,MONTH(A415)&lt;11),(T415+R415+G415)*Summary!$T$9/(1-Summary!$T$9),(T415+R415+G415)*Summary!$U$9/(1-Summary!$U$9)))</f>
        <v/>
      </c>
      <c r="W415" s="63" t="str">
        <f t="shared" si="245"/>
        <v/>
      </c>
      <c r="X415" s="63" t="str">
        <f t="shared" si="246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7"/>
        <v/>
      </c>
      <c r="AP415" s="33" t="str">
        <f t="shared" si="248"/>
        <v/>
      </c>
      <c r="AQ415" s="58" t="str">
        <f t="shared" si="249"/>
        <v/>
      </c>
      <c r="AR415" s="38">
        <f>'ANR OK vs ML7'!AR415</f>
        <v>0.1</v>
      </c>
      <c r="AS415" s="35" t="str">
        <f t="shared" si="250"/>
        <v/>
      </c>
      <c r="AT415" s="3" t="str">
        <f t="shared" si="251"/>
        <v/>
      </c>
      <c r="AU415" s="3" t="str">
        <f t="shared" si="252"/>
        <v/>
      </c>
      <c r="AW415" s="32" t="str">
        <f t="shared" si="253"/>
        <v/>
      </c>
      <c r="AX415" s="32" t="str">
        <f t="shared" si="254"/>
        <v/>
      </c>
      <c r="AY415" s="32" t="str">
        <f t="shared" si="255"/>
        <v/>
      </c>
      <c r="BA415" s="32" t="str">
        <f>IF($A416="","",F415*Summary!$Q$9)</f>
        <v/>
      </c>
    </row>
    <row r="416" spans="1:53">
      <c r="A416" s="67" t="str">
        <f t="shared" si="256"/>
        <v/>
      </c>
      <c r="B416" s="69" t="str">
        <f t="shared" si="257"/>
        <v/>
      </c>
      <c r="D416" s="69" t="str">
        <f t="shared" si="230"/>
        <v/>
      </c>
      <c r="E416" s="70" t="str">
        <f t="shared" si="231"/>
        <v/>
      </c>
      <c r="F416" s="70" t="str">
        <f t="shared" si="232"/>
        <v/>
      </c>
      <c r="G416" s="63" t="str">
        <f t="shared" si="233"/>
        <v/>
      </c>
      <c r="H416" s="64" t="str">
        <f t="shared" si="234"/>
        <v/>
      </c>
      <c r="J416" s="63" t="str">
        <f t="shared" si="235"/>
        <v/>
      </c>
      <c r="K416" s="64" t="str">
        <f t="shared" si="236"/>
        <v/>
      </c>
      <c r="L416" s="63" t="str">
        <f t="shared" si="237"/>
        <v/>
      </c>
      <c r="M416" s="64" t="str">
        <f t="shared" si="238"/>
        <v/>
      </c>
      <c r="O416" s="63" t="str">
        <f t="shared" si="239"/>
        <v/>
      </c>
      <c r="P416" s="63" t="str">
        <f t="shared" si="240"/>
        <v/>
      </c>
      <c r="R416" s="63" t="str">
        <f t="shared" si="241"/>
        <v/>
      </c>
      <c r="S416" s="64" t="str">
        <f t="shared" si="242"/>
        <v/>
      </c>
      <c r="T416" s="63" t="str">
        <f t="shared" si="243"/>
        <v/>
      </c>
      <c r="U416" s="64" t="str">
        <f t="shared" si="244"/>
        <v/>
      </c>
      <c r="V416" s="90" t="str">
        <f>IF($A417="","",IF(AND(MONTH(A416)&gt;3,MONTH(A416)&lt;11),(T416+R416+G416)*Summary!$T$9/(1-Summary!$T$9),(T416+R416+G416)*Summary!$U$9/(1-Summary!$U$9)))</f>
        <v/>
      </c>
      <c r="W416" s="63" t="str">
        <f t="shared" si="245"/>
        <v/>
      </c>
      <c r="X416" s="63" t="str">
        <f t="shared" si="246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7"/>
        <v/>
      </c>
      <c r="AP416" s="33" t="str">
        <f t="shared" si="248"/>
        <v/>
      </c>
      <c r="AQ416" s="58" t="str">
        <f t="shared" si="249"/>
        <v/>
      </c>
      <c r="AR416" s="38">
        <f>'ANR OK vs ML7'!AR416</f>
        <v>0.1</v>
      </c>
      <c r="AS416" s="35" t="str">
        <f t="shared" si="250"/>
        <v/>
      </c>
      <c r="AT416" s="3" t="str">
        <f t="shared" si="251"/>
        <v/>
      </c>
      <c r="AU416" s="3" t="str">
        <f t="shared" si="252"/>
        <v/>
      </c>
      <c r="AW416" s="32" t="str">
        <f t="shared" si="253"/>
        <v/>
      </c>
      <c r="AX416" s="32" t="str">
        <f t="shared" si="254"/>
        <v/>
      </c>
      <c r="AY416" s="32" t="str">
        <f t="shared" si="255"/>
        <v/>
      </c>
      <c r="BA416" s="32" t="str">
        <f>IF($A417="","",F416*Summary!$Q$9)</f>
        <v/>
      </c>
    </row>
    <row r="417" spans="1:53">
      <c r="A417" s="67" t="str">
        <f t="shared" si="256"/>
        <v/>
      </c>
      <c r="B417" s="69" t="str">
        <f t="shared" si="257"/>
        <v/>
      </c>
      <c r="D417" s="69" t="str">
        <f t="shared" si="230"/>
        <v/>
      </c>
      <c r="E417" s="70" t="str">
        <f t="shared" si="231"/>
        <v/>
      </c>
      <c r="F417" s="70" t="str">
        <f t="shared" si="232"/>
        <v/>
      </c>
      <c r="G417" s="63" t="str">
        <f t="shared" si="233"/>
        <v/>
      </c>
      <c r="H417" s="64" t="str">
        <f t="shared" si="234"/>
        <v/>
      </c>
      <c r="J417" s="63" t="str">
        <f t="shared" si="235"/>
        <v/>
      </c>
      <c r="K417" s="64" t="str">
        <f t="shared" si="236"/>
        <v/>
      </c>
      <c r="L417" s="63" t="str">
        <f t="shared" si="237"/>
        <v/>
      </c>
      <c r="M417" s="64" t="str">
        <f t="shared" si="238"/>
        <v/>
      </c>
      <c r="O417" s="63" t="str">
        <f t="shared" si="239"/>
        <v/>
      </c>
      <c r="P417" s="63" t="str">
        <f t="shared" si="240"/>
        <v/>
      </c>
      <c r="R417" s="63" t="str">
        <f t="shared" si="241"/>
        <v/>
      </c>
      <c r="S417" s="64" t="str">
        <f t="shared" si="242"/>
        <v/>
      </c>
      <c r="T417" s="63" t="str">
        <f t="shared" si="243"/>
        <v/>
      </c>
      <c r="U417" s="64" t="str">
        <f t="shared" si="244"/>
        <v/>
      </c>
      <c r="V417" s="90" t="str">
        <f>IF($A418="","",IF(AND(MONTH(A417)&gt;3,MONTH(A417)&lt;11),(T417+R417+G417)*Summary!$T$9/(1-Summary!$T$9),(T417+R417+G417)*Summary!$U$9/(1-Summary!$U$9)))</f>
        <v/>
      </c>
      <c r="W417" s="63" t="str">
        <f t="shared" si="245"/>
        <v/>
      </c>
      <c r="X417" s="63" t="str">
        <f t="shared" si="246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7"/>
        <v/>
      </c>
      <c r="AP417" s="33" t="str">
        <f t="shared" si="248"/>
        <v/>
      </c>
      <c r="AQ417" s="58" t="str">
        <f t="shared" si="249"/>
        <v/>
      </c>
      <c r="AR417" s="38">
        <f>'ANR OK vs ML7'!AR417</f>
        <v>0.1</v>
      </c>
      <c r="AS417" s="35" t="str">
        <f t="shared" si="250"/>
        <v/>
      </c>
      <c r="AT417" s="3" t="str">
        <f t="shared" si="251"/>
        <v/>
      </c>
      <c r="AU417" s="3" t="str">
        <f t="shared" si="252"/>
        <v/>
      </c>
      <c r="AW417" s="32" t="str">
        <f t="shared" si="253"/>
        <v/>
      </c>
      <c r="AX417" s="32" t="str">
        <f t="shared" si="254"/>
        <v/>
      </c>
      <c r="AY417" s="32" t="str">
        <f t="shared" si="255"/>
        <v/>
      </c>
      <c r="BA417" s="32" t="str">
        <f>IF($A418="","",F417*Summary!$Q$9)</f>
        <v/>
      </c>
    </row>
    <row r="418" spans="1:53">
      <c r="A418" s="67" t="str">
        <f t="shared" si="256"/>
        <v/>
      </c>
      <c r="B418" s="69" t="str">
        <f t="shared" si="257"/>
        <v/>
      </c>
      <c r="D418" s="69" t="str">
        <f t="shared" si="230"/>
        <v/>
      </c>
      <c r="E418" s="70" t="str">
        <f t="shared" si="231"/>
        <v/>
      </c>
      <c r="F418" s="70" t="str">
        <f t="shared" si="232"/>
        <v/>
      </c>
      <c r="G418" s="63" t="str">
        <f t="shared" si="233"/>
        <v/>
      </c>
      <c r="H418" s="64" t="str">
        <f t="shared" si="234"/>
        <v/>
      </c>
      <c r="J418" s="63" t="str">
        <f t="shared" si="235"/>
        <v/>
      </c>
      <c r="K418" s="64" t="str">
        <f t="shared" si="236"/>
        <v/>
      </c>
      <c r="L418" s="63" t="str">
        <f t="shared" si="237"/>
        <v/>
      </c>
      <c r="M418" s="64" t="str">
        <f t="shared" si="238"/>
        <v/>
      </c>
      <c r="O418" s="63" t="str">
        <f t="shared" si="239"/>
        <v/>
      </c>
      <c r="P418" s="63" t="str">
        <f t="shared" si="240"/>
        <v/>
      </c>
      <c r="R418" s="63" t="str">
        <f t="shared" si="241"/>
        <v/>
      </c>
      <c r="S418" s="64" t="str">
        <f t="shared" si="242"/>
        <v/>
      </c>
      <c r="T418" s="63" t="str">
        <f t="shared" si="243"/>
        <v/>
      </c>
      <c r="U418" s="64" t="str">
        <f t="shared" si="244"/>
        <v/>
      </c>
      <c r="V418" s="90" t="str">
        <f>IF($A419="","",IF(AND(MONTH(A418)&gt;3,MONTH(A418)&lt;11),(T418+R418+G418)*Summary!$T$9/(1-Summary!$T$9),(T418+R418+G418)*Summary!$U$9/(1-Summary!$U$9)))</f>
        <v/>
      </c>
      <c r="W418" s="63" t="str">
        <f t="shared" si="245"/>
        <v/>
      </c>
      <c r="X418" s="63" t="str">
        <f t="shared" si="246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7"/>
        <v/>
      </c>
      <c r="AP418" s="33" t="str">
        <f t="shared" si="248"/>
        <v/>
      </c>
      <c r="AQ418" s="58" t="str">
        <f t="shared" si="249"/>
        <v/>
      </c>
      <c r="AR418" s="38">
        <f>'ANR OK vs ML7'!AR418</f>
        <v>0.1</v>
      </c>
      <c r="AS418" s="35" t="str">
        <f t="shared" si="250"/>
        <v/>
      </c>
      <c r="AT418" s="3" t="str">
        <f t="shared" si="251"/>
        <v/>
      </c>
      <c r="AU418" s="3" t="str">
        <f t="shared" si="252"/>
        <v/>
      </c>
      <c r="AW418" s="32" t="str">
        <f t="shared" si="253"/>
        <v/>
      </c>
      <c r="AX418" s="32" t="str">
        <f t="shared" si="254"/>
        <v/>
      </c>
      <c r="AY418" s="32" t="str">
        <f t="shared" si="255"/>
        <v/>
      </c>
      <c r="BA418" s="32" t="str">
        <f>IF($A419="","",F418*Summary!$Q$9)</f>
        <v/>
      </c>
    </row>
    <row r="419" spans="1:53">
      <c r="A419" s="67" t="str">
        <f t="shared" si="256"/>
        <v/>
      </c>
      <c r="B419" s="69" t="str">
        <f t="shared" si="257"/>
        <v/>
      </c>
      <c r="D419" s="69" t="str">
        <f t="shared" si="230"/>
        <v/>
      </c>
      <c r="E419" s="70" t="str">
        <f t="shared" si="231"/>
        <v/>
      </c>
      <c r="F419" s="70" t="str">
        <f t="shared" si="232"/>
        <v/>
      </c>
      <c r="G419" s="63" t="str">
        <f t="shared" si="233"/>
        <v/>
      </c>
      <c r="H419" s="64" t="str">
        <f t="shared" si="234"/>
        <v/>
      </c>
      <c r="J419" s="63" t="str">
        <f t="shared" si="235"/>
        <v/>
      </c>
      <c r="K419" s="64" t="str">
        <f t="shared" si="236"/>
        <v/>
      </c>
      <c r="L419" s="63" t="str">
        <f t="shared" si="237"/>
        <v/>
      </c>
      <c r="M419" s="64" t="str">
        <f t="shared" si="238"/>
        <v/>
      </c>
      <c r="O419" s="63" t="str">
        <f t="shared" si="239"/>
        <v/>
      </c>
      <c r="P419" s="63" t="str">
        <f t="shared" si="240"/>
        <v/>
      </c>
      <c r="R419" s="63" t="str">
        <f t="shared" si="241"/>
        <v/>
      </c>
      <c r="S419" s="64" t="str">
        <f t="shared" si="242"/>
        <v/>
      </c>
      <c r="T419" s="63" t="str">
        <f t="shared" si="243"/>
        <v/>
      </c>
      <c r="U419" s="64" t="str">
        <f t="shared" si="244"/>
        <v/>
      </c>
      <c r="V419" s="90" t="str">
        <f>IF($A420="","",IF(AND(MONTH(A419)&gt;3,MONTH(A419)&lt;11),(T419+R419+G419)*Summary!$T$9/(1-Summary!$T$9),(T419+R419+G419)*Summary!$U$9/(1-Summary!$U$9)))</f>
        <v/>
      </c>
      <c r="W419" s="63" t="str">
        <f t="shared" si="245"/>
        <v/>
      </c>
      <c r="X419" s="63" t="str">
        <f t="shared" si="246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7"/>
        <v/>
      </c>
      <c r="AP419" s="33" t="str">
        <f t="shared" si="248"/>
        <v/>
      </c>
      <c r="AQ419" s="58" t="str">
        <f t="shared" si="249"/>
        <v/>
      </c>
      <c r="AR419" s="38">
        <f>'ANR OK vs ML7'!AR419</f>
        <v>0.1</v>
      </c>
      <c r="AS419" s="35" t="str">
        <f t="shared" si="250"/>
        <v/>
      </c>
      <c r="AT419" s="3" t="str">
        <f t="shared" si="251"/>
        <v/>
      </c>
      <c r="AU419" s="3" t="str">
        <f t="shared" si="252"/>
        <v/>
      </c>
      <c r="AW419" s="32" t="str">
        <f t="shared" si="253"/>
        <v/>
      </c>
      <c r="AX419" s="32" t="str">
        <f t="shared" si="254"/>
        <v/>
      </c>
      <c r="AY419" s="32" t="str">
        <f t="shared" si="255"/>
        <v/>
      </c>
      <c r="BA419" s="32" t="str">
        <f>IF($A420="","",F419*Summary!$Q$9)</f>
        <v/>
      </c>
    </row>
    <row r="420" spans="1:53">
      <c r="A420" s="67" t="str">
        <f t="shared" si="256"/>
        <v/>
      </c>
      <c r="B420" s="69" t="str">
        <f t="shared" si="257"/>
        <v/>
      </c>
      <c r="D420" s="69" t="str">
        <f t="shared" si="230"/>
        <v/>
      </c>
      <c r="E420" s="70" t="str">
        <f t="shared" si="231"/>
        <v/>
      </c>
      <c r="F420" s="70" t="str">
        <f t="shared" si="232"/>
        <v/>
      </c>
      <c r="G420" s="63" t="str">
        <f t="shared" si="233"/>
        <v/>
      </c>
      <c r="H420" s="64" t="str">
        <f t="shared" si="234"/>
        <v/>
      </c>
      <c r="J420" s="63" t="str">
        <f t="shared" si="235"/>
        <v/>
      </c>
      <c r="K420" s="64" t="str">
        <f t="shared" si="236"/>
        <v/>
      </c>
      <c r="L420" s="63" t="str">
        <f t="shared" si="237"/>
        <v/>
      </c>
      <c r="M420" s="64" t="str">
        <f t="shared" si="238"/>
        <v/>
      </c>
      <c r="O420" s="63" t="str">
        <f t="shared" si="239"/>
        <v/>
      </c>
      <c r="P420" s="63" t="str">
        <f t="shared" si="240"/>
        <v/>
      </c>
      <c r="R420" s="63" t="str">
        <f t="shared" si="241"/>
        <v/>
      </c>
      <c r="S420" s="64" t="str">
        <f t="shared" si="242"/>
        <v/>
      </c>
      <c r="T420" s="63" t="str">
        <f t="shared" si="243"/>
        <v/>
      </c>
      <c r="U420" s="64" t="str">
        <f t="shared" si="244"/>
        <v/>
      </c>
      <c r="V420" s="90" t="str">
        <f>IF($A421="","",IF(AND(MONTH(A420)&gt;3,MONTH(A420)&lt;11),(T420+R420+G420)*Summary!$T$9/(1-Summary!$T$9),(T420+R420+G420)*Summary!$U$9/(1-Summary!$U$9)))</f>
        <v/>
      </c>
      <c r="W420" s="63" t="str">
        <f t="shared" si="245"/>
        <v/>
      </c>
      <c r="X420" s="63" t="str">
        <f t="shared" si="246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7"/>
        <v/>
      </c>
      <c r="AP420" s="33" t="str">
        <f t="shared" si="248"/>
        <v/>
      </c>
      <c r="AQ420" s="58" t="str">
        <f t="shared" si="249"/>
        <v/>
      </c>
      <c r="AR420" s="38">
        <f>'ANR OK vs ML7'!AR420</f>
        <v>0.1</v>
      </c>
      <c r="AS420" s="35" t="str">
        <f t="shared" si="250"/>
        <v/>
      </c>
      <c r="AT420" s="3" t="str">
        <f t="shared" si="251"/>
        <v/>
      </c>
      <c r="AU420" s="3" t="str">
        <f t="shared" si="252"/>
        <v/>
      </c>
      <c r="AW420" s="32" t="str">
        <f t="shared" si="253"/>
        <v/>
      </c>
      <c r="AX420" s="32" t="str">
        <f t="shared" si="254"/>
        <v/>
      </c>
      <c r="AY420" s="32" t="str">
        <f t="shared" si="255"/>
        <v/>
      </c>
      <c r="BA420" s="32" t="str">
        <f>IF($A421="","",F420*Summary!$Q$9)</f>
        <v/>
      </c>
    </row>
    <row r="421" spans="1:53">
      <c r="A421" s="67" t="str">
        <f t="shared" si="256"/>
        <v/>
      </c>
      <c r="B421" s="69" t="str">
        <f t="shared" si="257"/>
        <v/>
      </c>
      <c r="D421" s="69" t="str">
        <f t="shared" si="230"/>
        <v/>
      </c>
      <c r="E421" s="70" t="str">
        <f t="shared" si="231"/>
        <v/>
      </c>
      <c r="F421" s="70" t="str">
        <f t="shared" si="232"/>
        <v/>
      </c>
      <c r="G421" s="63" t="str">
        <f t="shared" si="233"/>
        <v/>
      </c>
      <c r="H421" s="64" t="str">
        <f t="shared" si="234"/>
        <v/>
      </c>
      <c r="J421" s="63" t="str">
        <f t="shared" si="235"/>
        <v/>
      </c>
      <c r="K421" s="64" t="str">
        <f t="shared" si="236"/>
        <v/>
      </c>
      <c r="L421" s="63" t="str">
        <f t="shared" si="237"/>
        <v/>
      </c>
      <c r="M421" s="64" t="str">
        <f t="shared" si="238"/>
        <v/>
      </c>
      <c r="O421" s="63" t="str">
        <f t="shared" si="239"/>
        <v/>
      </c>
      <c r="P421" s="63" t="str">
        <f t="shared" si="240"/>
        <v/>
      </c>
      <c r="R421" s="63" t="str">
        <f t="shared" si="241"/>
        <v/>
      </c>
      <c r="S421" s="64" t="str">
        <f t="shared" si="242"/>
        <v/>
      </c>
      <c r="T421" s="63" t="str">
        <f t="shared" si="243"/>
        <v/>
      </c>
      <c r="U421" s="64" t="str">
        <f t="shared" si="244"/>
        <v/>
      </c>
      <c r="V421" s="90" t="str">
        <f>IF($A422="","",IF(AND(MONTH(A421)&gt;3,MONTH(A421)&lt;11),(T421+R421+G421)*Summary!$T$9/(1-Summary!$T$9),(T421+R421+G421)*Summary!$U$9/(1-Summary!$U$9)))</f>
        <v/>
      </c>
      <c r="W421" s="63" t="str">
        <f t="shared" si="245"/>
        <v/>
      </c>
      <c r="X421" s="63" t="str">
        <f t="shared" si="246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7"/>
        <v/>
      </c>
      <c r="AP421" s="33" t="str">
        <f t="shared" si="248"/>
        <v/>
      </c>
      <c r="AQ421" s="58" t="str">
        <f t="shared" si="249"/>
        <v/>
      </c>
      <c r="AR421" s="38">
        <f>'ANR OK vs ML7'!AR421</f>
        <v>0.1</v>
      </c>
      <c r="AS421" s="35" t="str">
        <f t="shared" si="250"/>
        <v/>
      </c>
      <c r="AT421" s="3" t="str">
        <f t="shared" si="251"/>
        <v/>
      </c>
      <c r="AU421" s="3" t="str">
        <f t="shared" si="252"/>
        <v/>
      </c>
      <c r="AW421" s="32" t="str">
        <f t="shared" si="253"/>
        <v/>
      </c>
      <c r="AX421" s="32" t="str">
        <f t="shared" si="254"/>
        <v/>
      </c>
      <c r="AY421" s="32" t="str">
        <f t="shared" si="255"/>
        <v/>
      </c>
      <c r="BA421" s="32" t="str">
        <f>IF($A422="","",F421*Summary!$Q$9)</f>
        <v/>
      </c>
    </row>
    <row r="422" spans="1:53">
      <c r="A422" s="67" t="str">
        <f t="shared" si="256"/>
        <v/>
      </c>
      <c r="B422" s="69" t="str">
        <f t="shared" si="257"/>
        <v/>
      </c>
      <c r="D422" s="69" t="str">
        <f t="shared" si="230"/>
        <v/>
      </c>
      <c r="E422" s="70" t="str">
        <f t="shared" si="231"/>
        <v/>
      </c>
      <c r="F422" s="70" t="str">
        <f t="shared" si="232"/>
        <v/>
      </c>
      <c r="G422" s="63" t="str">
        <f t="shared" si="233"/>
        <v/>
      </c>
      <c r="H422" s="64" t="str">
        <f t="shared" si="234"/>
        <v/>
      </c>
      <c r="J422" s="63" t="str">
        <f t="shared" si="235"/>
        <v/>
      </c>
      <c r="K422" s="64" t="str">
        <f t="shared" si="236"/>
        <v/>
      </c>
      <c r="L422" s="63" t="str">
        <f t="shared" si="237"/>
        <v/>
      </c>
      <c r="M422" s="64" t="str">
        <f t="shared" si="238"/>
        <v/>
      </c>
      <c r="O422" s="63" t="str">
        <f t="shared" si="239"/>
        <v/>
      </c>
      <c r="P422" s="63" t="str">
        <f t="shared" si="240"/>
        <v/>
      </c>
      <c r="R422" s="63" t="str">
        <f t="shared" si="241"/>
        <v/>
      </c>
      <c r="S422" s="64" t="str">
        <f t="shared" si="242"/>
        <v/>
      </c>
      <c r="T422" s="63" t="str">
        <f t="shared" si="243"/>
        <v/>
      </c>
      <c r="U422" s="64" t="str">
        <f t="shared" si="244"/>
        <v/>
      </c>
      <c r="V422" s="90" t="str">
        <f>IF($A423="","",IF(AND(MONTH(A422)&gt;3,MONTH(A422)&lt;11),(T422+R422+G422)*Summary!$T$9/(1-Summary!$T$9),(T422+R422+G422)*Summary!$U$9/(1-Summary!$U$9)))</f>
        <v/>
      </c>
      <c r="W422" s="63" t="str">
        <f t="shared" si="245"/>
        <v/>
      </c>
      <c r="X422" s="63" t="str">
        <f t="shared" si="246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7"/>
        <v/>
      </c>
      <c r="AP422" s="33" t="str">
        <f t="shared" si="248"/>
        <v/>
      </c>
      <c r="AQ422" s="58" t="str">
        <f t="shared" si="249"/>
        <v/>
      </c>
      <c r="AR422" s="38">
        <f>'ANR OK vs ML7'!AR422</f>
        <v>0.1</v>
      </c>
      <c r="AS422" s="35" t="str">
        <f t="shared" si="250"/>
        <v/>
      </c>
      <c r="AT422" s="3" t="str">
        <f t="shared" si="251"/>
        <v/>
      </c>
      <c r="AU422" s="3" t="str">
        <f t="shared" si="252"/>
        <v/>
      </c>
      <c r="AW422" s="32" t="str">
        <f t="shared" si="253"/>
        <v/>
      </c>
      <c r="AX422" s="32" t="str">
        <f t="shared" si="254"/>
        <v/>
      </c>
      <c r="AY422" s="32" t="str">
        <f t="shared" si="255"/>
        <v/>
      </c>
      <c r="BA422" s="32" t="str">
        <f>IF($A423="","",F422*Summary!$Q$9)</f>
        <v/>
      </c>
    </row>
    <row r="423" spans="1:53">
      <c r="A423" s="67" t="str">
        <f t="shared" si="256"/>
        <v/>
      </c>
      <c r="B423" s="69" t="str">
        <f t="shared" si="257"/>
        <v/>
      </c>
      <c r="D423" s="69" t="str">
        <f t="shared" si="230"/>
        <v/>
      </c>
      <c r="E423" s="70" t="str">
        <f t="shared" si="231"/>
        <v/>
      </c>
      <c r="F423" s="70" t="str">
        <f t="shared" si="232"/>
        <v/>
      </c>
      <c r="G423" s="63" t="str">
        <f t="shared" si="233"/>
        <v/>
      </c>
      <c r="H423" s="64" t="str">
        <f t="shared" si="234"/>
        <v/>
      </c>
      <c r="J423" s="63" t="str">
        <f t="shared" si="235"/>
        <v/>
      </c>
      <c r="K423" s="64" t="str">
        <f t="shared" si="236"/>
        <v/>
      </c>
      <c r="L423" s="63" t="str">
        <f t="shared" si="237"/>
        <v/>
      </c>
      <c r="M423" s="64" t="str">
        <f t="shared" si="238"/>
        <v/>
      </c>
      <c r="O423" s="63" t="str">
        <f t="shared" si="239"/>
        <v/>
      </c>
      <c r="P423" s="63" t="str">
        <f t="shared" si="240"/>
        <v/>
      </c>
      <c r="R423" s="63" t="str">
        <f t="shared" si="241"/>
        <v/>
      </c>
      <c r="S423" s="64" t="str">
        <f t="shared" si="242"/>
        <v/>
      </c>
      <c r="T423" s="63" t="str">
        <f t="shared" si="243"/>
        <v/>
      </c>
      <c r="U423" s="64" t="str">
        <f t="shared" si="244"/>
        <v/>
      </c>
      <c r="V423" s="90" t="str">
        <f>IF($A424="","",IF(AND(MONTH(A423)&gt;3,MONTH(A423)&lt;11),(T423+R423+G423)*Summary!$T$9/(1-Summary!$T$9),(T423+R423+G423)*Summary!$U$9/(1-Summary!$U$9)))</f>
        <v/>
      </c>
      <c r="W423" s="63" t="str">
        <f t="shared" si="245"/>
        <v/>
      </c>
      <c r="X423" s="63" t="str">
        <f t="shared" si="246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7"/>
        <v/>
      </c>
      <c r="AP423" s="33" t="str">
        <f t="shared" si="248"/>
        <v/>
      </c>
      <c r="AQ423" s="58" t="str">
        <f t="shared" si="249"/>
        <v/>
      </c>
      <c r="AR423" s="38">
        <f>'ANR OK vs ML7'!AR423</f>
        <v>0.1</v>
      </c>
      <c r="AS423" s="35" t="str">
        <f t="shared" si="250"/>
        <v/>
      </c>
      <c r="AT423" s="3" t="str">
        <f t="shared" si="251"/>
        <v/>
      </c>
      <c r="AU423" s="3" t="str">
        <f t="shared" si="252"/>
        <v/>
      </c>
      <c r="AW423" s="32" t="str">
        <f t="shared" si="253"/>
        <v/>
      </c>
      <c r="AX423" s="32" t="str">
        <f t="shared" si="254"/>
        <v/>
      </c>
      <c r="AY423" s="32" t="str">
        <f t="shared" si="255"/>
        <v/>
      </c>
      <c r="BA423" s="32" t="str">
        <f>IF($A424="","",F423*Summary!$Q$9)</f>
        <v/>
      </c>
    </row>
    <row r="424" spans="1:53">
      <c r="A424" s="67" t="str">
        <f t="shared" si="256"/>
        <v/>
      </c>
      <c r="B424" s="69" t="str">
        <f t="shared" si="257"/>
        <v/>
      </c>
      <c r="D424" s="69" t="str">
        <f t="shared" si="230"/>
        <v/>
      </c>
      <c r="E424" s="70" t="str">
        <f t="shared" si="231"/>
        <v/>
      </c>
      <c r="F424" s="70" t="str">
        <f t="shared" si="232"/>
        <v/>
      </c>
      <c r="G424" s="63" t="str">
        <f t="shared" si="233"/>
        <v/>
      </c>
      <c r="H424" s="64" t="str">
        <f t="shared" si="234"/>
        <v/>
      </c>
      <c r="J424" s="63" t="str">
        <f t="shared" si="235"/>
        <v/>
      </c>
      <c r="K424" s="64" t="str">
        <f t="shared" si="236"/>
        <v/>
      </c>
      <c r="L424" s="63" t="str">
        <f t="shared" si="237"/>
        <v/>
      </c>
      <c r="M424" s="64" t="str">
        <f t="shared" si="238"/>
        <v/>
      </c>
      <c r="O424" s="63" t="str">
        <f t="shared" si="239"/>
        <v/>
      </c>
      <c r="P424" s="63" t="str">
        <f t="shared" si="240"/>
        <v/>
      </c>
      <c r="R424" s="63" t="str">
        <f t="shared" si="241"/>
        <v/>
      </c>
      <c r="S424" s="64" t="str">
        <f t="shared" si="242"/>
        <v/>
      </c>
      <c r="T424" s="63" t="str">
        <f t="shared" si="243"/>
        <v/>
      </c>
      <c r="U424" s="64" t="str">
        <f t="shared" si="244"/>
        <v/>
      </c>
      <c r="V424" s="90" t="str">
        <f>IF($A425="","",IF(AND(MONTH(A424)&gt;3,MONTH(A424)&lt;11),(T424+R424+G424)*Summary!$T$9/(1-Summary!$T$9),(T424+R424+G424)*Summary!$U$9/(1-Summary!$U$9)))</f>
        <v/>
      </c>
      <c r="W424" s="63" t="str">
        <f t="shared" si="245"/>
        <v/>
      </c>
      <c r="X424" s="63" t="str">
        <f t="shared" si="246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7"/>
        <v/>
      </c>
      <c r="AP424" s="33" t="str">
        <f t="shared" si="248"/>
        <v/>
      </c>
      <c r="AQ424" s="58" t="str">
        <f t="shared" si="249"/>
        <v/>
      </c>
      <c r="AR424" s="38">
        <f>'ANR OK vs ML7'!AR424</f>
        <v>0.1</v>
      </c>
      <c r="AS424" s="35" t="str">
        <f t="shared" si="250"/>
        <v/>
      </c>
      <c r="AT424" s="3" t="str">
        <f t="shared" si="251"/>
        <v/>
      </c>
      <c r="AU424" s="3" t="str">
        <f t="shared" si="252"/>
        <v/>
      </c>
      <c r="AW424" s="32" t="str">
        <f t="shared" si="253"/>
        <v/>
      </c>
      <c r="AX424" s="32" t="str">
        <f t="shared" si="254"/>
        <v/>
      </c>
      <c r="AY424" s="32" t="str">
        <f t="shared" si="255"/>
        <v/>
      </c>
      <c r="BA424" s="32" t="str">
        <f>IF($A425="","",F424*Summary!$Q$9)</f>
        <v/>
      </c>
    </row>
    <row r="425" spans="1:53">
      <c r="A425" s="67" t="str">
        <f t="shared" si="256"/>
        <v/>
      </c>
      <c r="B425" s="69" t="str">
        <f t="shared" si="257"/>
        <v/>
      </c>
      <c r="D425" s="69" t="str">
        <f t="shared" si="230"/>
        <v/>
      </c>
      <c r="E425" s="70" t="str">
        <f t="shared" si="231"/>
        <v/>
      </c>
      <c r="F425" s="70" t="str">
        <f t="shared" si="232"/>
        <v/>
      </c>
      <c r="G425" s="63" t="str">
        <f t="shared" si="233"/>
        <v/>
      </c>
      <c r="H425" s="64" t="str">
        <f t="shared" si="234"/>
        <v/>
      </c>
      <c r="J425" s="63" t="str">
        <f t="shared" si="235"/>
        <v/>
      </c>
      <c r="K425" s="64" t="str">
        <f t="shared" si="236"/>
        <v/>
      </c>
      <c r="L425" s="63" t="str">
        <f t="shared" si="237"/>
        <v/>
      </c>
      <c r="M425" s="64" t="str">
        <f t="shared" si="238"/>
        <v/>
      </c>
      <c r="O425" s="63" t="str">
        <f t="shared" si="239"/>
        <v/>
      </c>
      <c r="P425" s="63" t="str">
        <f t="shared" si="240"/>
        <v/>
      </c>
      <c r="R425" s="63" t="str">
        <f t="shared" si="241"/>
        <v/>
      </c>
      <c r="S425" s="64" t="str">
        <f t="shared" si="242"/>
        <v/>
      </c>
      <c r="T425" s="63" t="str">
        <f t="shared" si="243"/>
        <v/>
      </c>
      <c r="U425" s="64" t="str">
        <f t="shared" si="244"/>
        <v/>
      </c>
      <c r="V425" s="90" t="str">
        <f>IF($A426="","",IF(AND(MONTH(A425)&gt;3,MONTH(A425)&lt;11),(T425+R425+G425)*Summary!$T$9/(1-Summary!$T$9),(T425+R425+G425)*Summary!$U$9/(1-Summary!$U$9)))</f>
        <v/>
      </c>
      <c r="W425" s="63" t="str">
        <f t="shared" si="245"/>
        <v/>
      </c>
      <c r="X425" s="63" t="str">
        <f t="shared" si="246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7"/>
        <v/>
      </c>
      <c r="AP425" s="33" t="str">
        <f t="shared" si="248"/>
        <v/>
      </c>
      <c r="AQ425" s="58" t="str">
        <f t="shared" si="249"/>
        <v/>
      </c>
      <c r="AR425" s="38">
        <f>'ANR OK vs ML7'!AR425</f>
        <v>0.1</v>
      </c>
      <c r="AS425" s="35" t="str">
        <f t="shared" si="250"/>
        <v/>
      </c>
      <c r="AT425" s="3" t="str">
        <f t="shared" si="251"/>
        <v/>
      </c>
      <c r="AU425" s="3" t="str">
        <f t="shared" si="252"/>
        <v/>
      </c>
      <c r="AW425" s="32" t="str">
        <f t="shared" si="253"/>
        <v/>
      </c>
      <c r="AX425" s="32" t="str">
        <f t="shared" si="254"/>
        <v/>
      </c>
      <c r="AY425" s="32" t="str">
        <f t="shared" si="255"/>
        <v/>
      </c>
      <c r="BA425" s="32" t="str">
        <f>IF($A426="","",F425*Summary!$Q$9)</f>
        <v/>
      </c>
    </row>
    <row r="426" spans="1:53">
      <c r="A426" s="67" t="str">
        <f t="shared" si="256"/>
        <v/>
      </c>
      <c r="B426" s="69" t="str">
        <f t="shared" si="257"/>
        <v/>
      </c>
      <c r="D426" s="69" t="str">
        <f t="shared" si="230"/>
        <v/>
      </c>
      <c r="E426" s="70" t="str">
        <f t="shared" si="231"/>
        <v/>
      </c>
      <c r="F426" s="70" t="str">
        <f t="shared" si="232"/>
        <v/>
      </c>
      <c r="G426" s="63" t="str">
        <f t="shared" si="233"/>
        <v/>
      </c>
      <c r="H426" s="64" t="str">
        <f t="shared" si="234"/>
        <v/>
      </c>
      <c r="J426" s="63" t="str">
        <f t="shared" si="235"/>
        <v/>
      </c>
      <c r="K426" s="64" t="str">
        <f t="shared" si="236"/>
        <v/>
      </c>
      <c r="L426" s="63" t="str">
        <f t="shared" si="237"/>
        <v/>
      </c>
      <c r="M426" s="64" t="str">
        <f t="shared" si="238"/>
        <v/>
      </c>
      <c r="O426" s="63" t="str">
        <f t="shared" si="239"/>
        <v/>
      </c>
      <c r="P426" s="63" t="str">
        <f t="shared" si="240"/>
        <v/>
      </c>
      <c r="R426" s="63" t="str">
        <f t="shared" si="241"/>
        <v/>
      </c>
      <c r="S426" s="64" t="str">
        <f t="shared" si="242"/>
        <v/>
      </c>
      <c r="T426" s="63" t="str">
        <f t="shared" si="243"/>
        <v/>
      </c>
      <c r="U426" s="64" t="str">
        <f t="shared" si="244"/>
        <v/>
      </c>
      <c r="V426" s="90" t="str">
        <f>IF($A427="","",IF(AND(MONTH(A426)&gt;3,MONTH(A426)&lt;11),(T426+R426+G426)*Summary!$T$9/(1-Summary!$T$9),(T426+R426+G426)*Summary!$U$9/(1-Summary!$U$9)))</f>
        <v/>
      </c>
      <c r="W426" s="63" t="str">
        <f t="shared" si="245"/>
        <v/>
      </c>
      <c r="X426" s="63" t="str">
        <f t="shared" si="246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7"/>
        <v/>
      </c>
      <c r="AP426" s="33" t="str">
        <f t="shared" si="248"/>
        <v/>
      </c>
      <c r="AQ426" s="58" t="str">
        <f t="shared" si="249"/>
        <v/>
      </c>
      <c r="AR426" s="38">
        <f>'ANR OK vs ML7'!AR426</f>
        <v>0.1</v>
      </c>
      <c r="AS426" s="35" t="str">
        <f t="shared" si="250"/>
        <v/>
      </c>
      <c r="AT426" s="3" t="str">
        <f t="shared" si="251"/>
        <v/>
      </c>
      <c r="AU426" s="3" t="str">
        <f t="shared" si="252"/>
        <v/>
      </c>
      <c r="AW426" s="32" t="str">
        <f t="shared" si="253"/>
        <v/>
      </c>
      <c r="AX426" s="32" t="str">
        <f t="shared" si="254"/>
        <v/>
      </c>
      <c r="AY426" s="32" t="str">
        <f t="shared" si="255"/>
        <v/>
      </c>
      <c r="BA426" s="32" t="str">
        <f>IF($A427="","",F426*Summary!$Q$9)</f>
        <v/>
      </c>
    </row>
    <row r="427" spans="1:53">
      <c r="A427" s="67" t="str">
        <f t="shared" si="256"/>
        <v/>
      </c>
      <c r="B427" s="69" t="str">
        <f t="shared" si="257"/>
        <v/>
      </c>
      <c r="D427" s="69" t="str">
        <f t="shared" si="230"/>
        <v/>
      </c>
      <c r="E427" s="70" t="str">
        <f t="shared" si="231"/>
        <v/>
      </c>
      <c r="F427" s="70" t="str">
        <f t="shared" si="232"/>
        <v/>
      </c>
      <c r="G427" s="63" t="str">
        <f t="shared" si="233"/>
        <v/>
      </c>
      <c r="H427" s="64" t="str">
        <f t="shared" si="234"/>
        <v/>
      </c>
      <c r="J427" s="63" t="str">
        <f t="shared" si="235"/>
        <v/>
      </c>
      <c r="K427" s="64" t="str">
        <f t="shared" si="236"/>
        <v/>
      </c>
      <c r="L427" s="63" t="str">
        <f t="shared" si="237"/>
        <v/>
      </c>
      <c r="M427" s="64" t="str">
        <f t="shared" si="238"/>
        <v/>
      </c>
      <c r="O427" s="63" t="str">
        <f t="shared" si="239"/>
        <v/>
      </c>
      <c r="P427" s="63" t="str">
        <f t="shared" si="240"/>
        <v/>
      </c>
      <c r="R427" s="63" t="str">
        <f t="shared" si="241"/>
        <v/>
      </c>
      <c r="S427" s="64" t="str">
        <f t="shared" si="242"/>
        <v/>
      </c>
      <c r="T427" s="63" t="str">
        <f t="shared" si="243"/>
        <v/>
      </c>
      <c r="U427" s="64" t="str">
        <f t="shared" si="244"/>
        <v/>
      </c>
      <c r="V427" s="90" t="str">
        <f>IF($A428="","",IF(AND(MONTH(A427)&gt;3,MONTH(A427)&lt;11),(T427+R427+G427)*Summary!$T$9/(1-Summary!$T$9),(T427+R427+G427)*Summary!$U$9/(1-Summary!$U$9)))</f>
        <v/>
      </c>
      <c r="W427" s="63" t="str">
        <f t="shared" si="245"/>
        <v/>
      </c>
      <c r="X427" s="63" t="str">
        <f t="shared" si="246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7"/>
        <v/>
      </c>
      <c r="AP427" s="33" t="str">
        <f t="shared" si="248"/>
        <v/>
      </c>
      <c r="AQ427" s="58" t="str">
        <f t="shared" si="249"/>
        <v/>
      </c>
      <c r="AR427" s="38">
        <f>'ANR OK vs ML7'!AR427</f>
        <v>0.1</v>
      </c>
      <c r="AS427" s="35" t="str">
        <f t="shared" si="250"/>
        <v/>
      </c>
      <c r="AT427" s="3" t="str">
        <f t="shared" si="251"/>
        <v/>
      </c>
      <c r="AU427" s="3" t="str">
        <f t="shared" si="252"/>
        <v/>
      </c>
      <c r="AW427" s="32" t="str">
        <f t="shared" si="253"/>
        <v/>
      </c>
      <c r="AX427" s="32" t="str">
        <f t="shared" si="254"/>
        <v/>
      </c>
      <c r="AY427" s="32" t="str">
        <f t="shared" si="255"/>
        <v/>
      </c>
      <c r="BA427" s="32" t="str">
        <f>IF($A428="","",F427*Summary!$Q$9)</f>
        <v/>
      </c>
    </row>
    <row r="428" spans="1:53">
      <c r="A428" s="67" t="str">
        <f t="shared" si="256"/>
        <v/>
      </c>
      <c r="B428" s="69" t="str">
        <f t="shared" si="257"/>
        <v/>
      </c>
      <c r="D428" s="69" t="str">
        <f t="shared" si="230"/>
        <v/>
      </c>
      <c r="E428" s="70" t="str">
        <f t="shared" si="231"/>
        <v/>
      </c>
      <c r="F428" s="70" t="str">
        <f t="shared" si="232"/>
        <v/>
      </c>
      <c r="G428" s="63" t="str">
        <f t="shared" si="233"/>
        <v/>
      </c>
      <c r="H428" s="64" t="str">
        <f t="shared" si="234"/>
        <v/>
      </c>
      <c r="J428" s="63" t="str">
        <f t="shared" si="235"/>
        <v/>
      </c>
      <c r="K428" s="64" t="str">
        <f t="shared" si="236"/>
        <v/>
      </c>
      <c r="L428" s="63" t="str">
        <f t="shared" si="237"/>
        <v/>
      </c>
      <c r="M428" s="64" t="str">
        <f t="shared" si="238"/>
        <v/>
      </c>
      <c r="O428" s="63" t="str">
        <f t="shared" si="239"/>
        <v/>
      </c>
      <c r="P428" s="63" t="str">
        <f t="shared" si="240"/>
        <v/>
      </c>
      <c r="R428" s="63" t="str">
        <f t="shared" si="241"/>
        <v/>
      </c>
      <c r="S428" s="64" t="str">
        <f t="shared" si="242"/>
        <v/>
      </c>
      <c r="T428" s="63" t="str">
        <f t="shared" si="243"/>
        <v/>
      </c>
      <c r="U428" s="64" t="str">
        <f t="shared" si="244"/>
        <v/>
      </c>
      <c r="V428" s="90" t="str">
        <f>IF($A429="","",IF(AND(MONTH(A428)&gt;3,MONTH(A428)&lt;11),(T428+R428+G428)*Summary!$T$9/(1-Summary!$T$9),(T428+R428+G428)*Summary!$U$9/(1-Summary!$U$9)))</f>
        <v/>
      </c>
      <c r="W428" s="63" t="str">
        <f t="shared" si="245"/>
        <v/>
      </c>
      <c r="X428" s="63" t="str">
        <f t="shared" si="246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7"/>
        <v/>
      </c>
      <c r="AP428" s="33" t="str">
        <f t="shared" si="248"/>
        <v/>
      </c>
      <c r="AQ428" s="58" t="str">
        <f t="shared" si="249"/>
        <v/>
      </c>
      <c r="AR428" s="38">
        <f>'ANR OK vs ML7'!AR428</f>
        <v>0.1</v>
      </c>
      <c r="AS428" s="35" t="str">
        <f t="shared" si="250"/>
        <v/>
      </c>
      <c r="AT428" s="3" t="str">
        <f t="shared" si="251"/>
        <v/>
      </c>
      <c r="AU428" s="3" t="str">
        <f t="shared" si="252"/>
        <v/>
      </c>
      <c r="AW428" s="32" t="str">
        <f t="shared" si="253"/>
        <v/>
      </c>
      <c r="AX428" s="32" t="str">
        <f t="shared" si="254"/>
        <v/>
      </c>
      <c r="AY428" s="32" t="str">
        <f t="shared" si="255"/>
        <v/>
      </c>
      <c r="BA428" s="32" t="str">
        <f>IF($A429="","",F428*Summary!$Q$9)</f>
        <v/>
      </c>
    </row>
    <row r="429" spans="1:53">
      <c r="A429" s="67" t="str">
        <f t="shared" si="256"/>
        <v/>
      </c>
      <c r="B429" s="69" t="str">
        <f t="shared" si="257"/>
        <v/>
      </c>
      <c r="D429" s="69" t="str">
        <f t="shared" si="230"/>
        <v/>
      </c>
      <c r="E429" s="70" t="str">
        <f t="shared" si="231"/>
        <v/>
      </c>
      <c r="F429" s="70" t="str">
        <f t="shared" si="232"/>
        <v/>
      </c>
      <c r="G429" s="63" t="str">
        <f t="shared" si="233"/>
        <v/>
      </c>
      <c r="H429" s="64" t="str">
        <f t="shared" si="234"/>
        <v/>
      </c>
      <c r="J429" s="63" t="str">
        <f t="shared" si="235"/>
        <v/>
      </c>
      <c r="K429" s="64" t="str">
        <f t="shared" si="236"/>
        <v/>
      </c>
      <c r="L429" s="63" t="str">
        <f t="shared" si="237"/>
        <v/>
      </c>
      <c r="M429" s="64" t="str">
        <f t="shared" si="238"/>
        <v/>
      </c>
      <c r="O429" s="63" t="str">
        <f t="shared" si="239"/>
        <v/>
      </c>
      <c r="P429" s="63" t="str">
        <f t="shared" si="240"/>
        <v/>
      </c>
      <c r="R429" s="63" t="str">
        <f t="shared" si="241"/>
        <v/>
      </c>
      <c r="S429" s="64" t="str">
        <f t="shared" si="242"/>
        <v/>
      </c>
      <c r="T429" s="63" t="str">
        <f t="shared" si="243"/>
        <v/>
      </c>
      <c r="U429" s="64" t="str">
        <f t="shared" si="244"/>
        <v/>
      </c>
      <c r="V429" s="90" t="str">
        <f>IF($A430="","",IF(AND(MONTH(A429)&gt;3,MONTH(A429)&lt;11),(T429+R429+G429)*Summary!$T$9/(1-Summary!$T$9),(T429+R429+G429)*Summary!$U$9/(1-Summary!$U$9)))</f>
        <v/>
      </c>
      <c r="W429" s="63" t="str">
        <f t="shared" si="245"/>
        <v/>
      </c>
      <c r="X429" s="63" t="str">
        <f t="shared" si="246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7"/>
        <v/>
      </c>
      <c r="AP429" s="33" t="str">
        <f t="shared" si="248"/>
        <v/>
      </c>
      <c r="AQ429" s="58" t="str">
        <f t="shared" si="249"/>
        <v/>
      </c>
      <c r="AR429" s="38">
        <f>'ANR OK vs ML7'!AR429</f>
        <v>0.1</v>
      </c>
      <c r="AS429" s="35" t="str">
        <f t="shared" si="250"/>
        <v/>
      </c>
      <c r="AT429" s="3" t="str">
        <f t="shared" si="251"/>
        <v/>
      </c>
      <c r="AU429" s="3" t="str">
        <f t="shared" si="252"/>
        <v/>
      </c>
      <c r="AW429" s="32" t="str">
        <f t="shared" si="253"/>
        <v/>
      </c>
      <c r="AX429" s="32" t="str">
        <f t="shared" si="254"/>
        <v/>
      </c>
      <c r="AY429" s="32" t="str">
        <f t="shared" si="255"/>
        <v/>
      </c>
      <c r="BA429" s="32" t="str">
        <f>IF($A430="","",F429*Summary!$Q$9)</f>
        <v/>
      </c>
    </row>
    <row r="430" spans="1:53">
      <c r="A430" s="67" t="str">
        <f t="shared" si="256"/>
        <v/>
      </c>
      <c r="B430" s="69" t="str">
        <f t="shared" si="257"/>
        <v/>
      </c>
      <c r="D430" s="69" t="str">
        <f t="shared" si="230"/>
        <v/>
      </c>
      <c r="E430" s="70" t="str">
        <f t="shared" si="231"/>
        <v/>
      </c>
      <c r="F430" s="70" t="str">
        <f t="shared" si="232"/>
        <v/>
      </c>
      <c r="G430" s="63" t="str">
        <f t="shared" si="233"/>
        <v/>
      </c>
      <c r="H430" s="64" t="str">
        <f t="shared" si="234"/>
        <v/>
      </c>
      <c r="J430" s="63" t="str">
        <f t="shared" si="235"/>
        <v/>
      </c>
      <c r="K430" s="64" t="str">
        <f t="shared" si="236"/>
        <v/>
      </c>
      <c r="L430" s="63" t="str">
        <f t="shared" si="237"/>
        <v/>
      </c>
      <c r="M430" s="64" t="str">
        <f t="shared" si="238"/>
        <v/>
      </c>
      <c r="O430" s="63" t="str">
        <f t="shared" si="239"/>
        <v/>
      </c>
      <c r="P430" s="63" t="str">
        <f t="shared" si="240"/>
        <v/>
      </c>
      <c r="R430" s="63" t="str">
        <f t="shared" si="241"/>
        <v/>
      </c>
      <c r="S430" s="64" t="str">
        <f t="shared" si="242"/>
        <v/>
      </c>
      <c r="T430" s="63" t="str">
        <f t="shared" si="243"/>
        <v/>
      </c>
      <c r="U430" s="64" t="str">
        <f t="shared" si="244"/>
        <v/>
      </c>
      <c r="V430" s="90" t="str">
        <f>IF($A431="","",IF(AND(MONTH(A430)&gt;3,MONTH(A430)&lt;11),(T430+R430+G430)*Summary!$T$9/(1-Summary!$T$9),(T430+R430+G430)*Summary!$U$9/(1-Summary!$U$9)))</f>
        <v/>
      </c>
      <c r="W430" s="63" t="str">
        <f t="shared" si="245"/>
        <v/>
      </c>
      <c r="X430" s="63" t="str">
        <f t="shared" si="246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7"/>
        <v/>
      </c>
      <c r="AP430" s="33" t="str">
        <f t="shared" si="248"/>
        <v/>
      </c>
      <c r="AQ430" s="58" t="str">
        <f t="shared" si="249"/>
        <v/>
      </c>
      <c r="AR430" s="38">
        <f>'ANR OK vs ML7'!AR430</f>
        <v>0.1</v>
      </c>
      <c r="AS430" s="35" t="str">
        <f t="shared" si="250"/>
        <v/>
      </c>
      <c r="AT430" s="3" t="str">
        <f t="shared" si="251"/>
        <v/>
      </c>
      <c r="AU430" s="3" t="str">
        <f t="shared" si="252"/>
        <v/>
      </c>
      <c r="AW430" s="32" t="str">
        <f t="shared" si="253"/>
        <v/>
      </c>
      <c r="AX430" s="32" t="str">
        <f t="shared" si="254"/>
        <v/>
      </c>
      <c r="AY430" s="32" t="str">
        <f t="shared" si="255"/>
        <v/>
      </c>
      <c r="BA430" s="32" t="str">
        <f>IF($A431="","",F430*Summary!$Q$9)</f>
        <v/>
      </c>
    </row>
    <row r="431" spans="1:53">
      <c r="A431" s="67" t="str">
        <f t="shared" si="256"/>
        <v/>
      </c>
      <c r="B431" s="69" t="str">
        <f t="shared" si="257"/>
        <v/>
      </c>
      <c r="D431" s="69" t="str">
        <f t="shared" si="230"/>
        <v/>
      </c>
      <c r="E431" s="70" t="str">
        <f t="shared" si="231"/>
        <v/>
      </c>
      <c r="F431" s="70" t="str">
        <f t="shared" si="232"/>
        <v/>
      </c>
      <c r="G431" s="63" t="str">
        <f t="shared" si="233"/>
        <v/>
      </c>
      <c r="H431" s="64" t="str">
        <f t="shared" si="234"/>
        <v/>
      </c>
      <c r="J431" s="63" t="str">
        <f t="shared" si="235"/>
        <v/>
      </c>
      <c r="K431" s="64" t="str">
        <f t="shared" si="236"/>
        <v/>
      </c>
      <c r="L431" s="63" t="str">
        <f t="shared" si="237"/>
        <v/>
      </c>
      <c r="M431" s="64" t="str">
        <f t="shared" si="238"/>
        <v/>
      </c>
      <c r="O431" s="63" t="str">
        <f t="shared" si="239"/>
        <v/>
      </c>
      <c r="P431" s="63" t="str">
        <f t="shared" si="240"/>
        <v/>
      </c>
      <c r="R431" s="63" t="str">
        <f t="shared" si="241"/>
        <v/>
      </c>
      <c r="S431" s="64" t="str">
        <f t="shared" si="242"/>
        <v/>
      </c>
      <c r="T431" s="63" t="str">
        <f t="shared" si="243"/>
        <v/>
      </c>
      <c r="U431" s="64" t="str">
        <f t="shared" si="244"/>
        <v/>
      </c>
      <c r="V431" s="90" t="str">
        <f>IF($A432="","",IF(AND(MONTH(A431)&gt;3,MONTH(A431)&lt;11),(T431+R431+G431)*Summary!$T$9/(1-Summary!$T$9),(T431+R431+G431)*Summary!$U$9/(1-Summary!$U$9)))</f>
        <v/>
      </c>
      <c r="W431" s="63" t="str">
        <f t="shared" si="245"/>
        <v/>
      </c>
      <c r="X431" s="63" t="str">
        <f t="shared" si="246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7"/>
        <v/>
      </c>
      <c r="AP431" s="33" t="str">
        <f t="shared" si="248"/>
        <v/>
      </c>
      <c r="AQ431" s="58" t="str">
        <f t="shared" si="249"/>
        <v/>
      </c>
      <c r="AR431" s="38">
        <f>'ANR OK vs ML7'!AR431</f>
        <v>0.1</v>
      </c>
      <c r="AS431" s="35" t="str">
        <f t="shared" si="250"/>
        <v/>
      </c>
      <c r="AT431" s="3" t="str">
        <f t="shared" si="251"/>
        <v/>
      </c>
      <c r="AU431" s="3" t="str">
        <f t="shared" si="252"/>
        <v/>
      </c>
      <c r="AW431" s="32" t="str">
        <f t="shared" si="253"/>
        <v/>
      </c>
      <c r="AX431" s="32" t="str">
        <f t="shared" si="254"/>
        <v/>
      </c>
      <c r="AY431" s="32" t="str">
        <f t="shared" si="255"/>
        <v/>
      </c>
      <c r="BA431" s="32" t="str">
        <f>IF($A432="","",F431*Summary!$Q$9)</f>
        <v/>
      </c>
    </row>
    <row r="432" spans="1:53">
      <c r="A432" s="67" t="str">
        <f t="shared" si="256"/>
        <v/>
      </c>
      <c r="B432" s="69" t="str">
        <f t="shared" si="257"/>
        <v/>
      </c>
      <c r="D432" s="69" t="str">
        <f t="shared" si="230"/>
        <v/>
      </c>
      <c r="E432" s="70" t="str">
        <f t="shared" si="231"/>
        <v/>
      </c>
      <c r="F432" s="70" t="str">
        <f t="shared" si="232"/>
        <v/>
      </c>
      <c r="G432" s="63" t="str">
        <f t="shared" si="233"/>
        <v/>
      </c>
      <c r="H432" s="64" t="str">
        <f t="shared" si="234"/>
        <v/>
      </c>
      <c r="J432" s="63" t="str">
        <f t="shared" si="235"/>
        <v/>
      </c>
      <c r="K432" s="64" t="str">
        <f t="shared" si="236"/>
        <v/>
      </c>
      <c r="L432" s="63" t="str">
        <f t="shared" si="237"/>
        <v/>
      </c>
      <c r="M432" s="64" t="str">
        <f t="shared" si="238"/>
        <v/>
      </c>
      <c r="O432" s="63" t="str">
        <f t="shared" si="239"/>
        <v/>
      </c>
      <c r="P432" s="63" t="str">
        <f t="shared" si="240"/>
        <v/>
      </c>
      <c r="R432" s="63" t="str">
        <f t="shared" si="241"/>
        <v/>
      </c>
      <c r="S432" s="64" t="str">
        <f t="shared" si="242"/>
        <v/>
      </c>
      <c r="T432" s="63" t="str">
        <f t="shared" si="243"/>
        <v/>
      </c>
      <c r="U432" s="64" t="str">
        <f t="shared" si="244"/>
        <v/>
      </c>
      <c r="V432" s="90" t="str">
        <f>IF($A433="","",IF(AND(MONTH(A432)&gt;3,MONTH(A432)&lt;11),(T432+R432+G432)*Summary!$T$9/(1-Summary!$T$9),(T432+R432+G432)*Summary!$U$9/(1-Summary!$U$9)))</f>
        <v/>
      </c>
      <c r="W432" s="63" t="str">
        <f t="shared" si="245"/>
        <v/>
      </c>
      <c r="X432" s="63" t="str">
        <f t="shared" si="246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7"/>
        <v/>
      </c>
      <c r="AP432" s="33" t="str">
        <f t="shared" si="248"/>
        <v/>
      </c>
      <c r="AQ432" s="58" t="str">
        <f t="shared" si="249"/>
        <v/>
      </c>
      <c r="AR432" s="38">
        <f>'ANR OK vs ML7'!AR432</f>
        <v>0.1</v>
      </c>
      <c r="AS432" s="35" t="str">
        <f t="shared" si="250"/>
        <v/>
      </c>
      <c r="AT432" s="3" t="str">
        <f t="shared" si="251"/>
        <v/>
      </c>
      <c r="AU432" s="3" t="str">
        <f t="shared" si="252"/>
        <v/>
      </c>
      <c r="AW432" s="32" t="str">
        <f t="shared" si="253"/>
        <v/>
      </c>
      <c r="AX432" s="32" t="str">
        <f t="shared" si="254"/>
        <v/>
      </c>
      <c r="AY432" s="32" t="str">
        <f t="shared" si="255"/>
        <v/>
      </c>
      <c r="BA432" s="32" t="str">
        <f>IF($A433="","",F432*Summary!$Q$9)</f>
        <v/>
      </c>
    </row>
    <row r="433" spans="1:53">
      <c r="A433" s="67" t="str">
        <f t="shared" si="256"/>
        <v/>
      </c>
      <c r="B433" s="69" t="str">
        <f t="shared" si="257"/>
        <v/>
      </c>
      <c r="D433" s="69" t="str">
        <f t="shared" si="230"/>
        <v/>
      </c>
      <c r="E433" s="70" t="str">
        <f t="shared" si="231"/>
        <v/>
      </c>
      <c r="F433" s="70" t="str">
        <f t="shared" si="232"/>
        <v/>
      </c>
      <c r="G433" s="63" t="str">
        <f t="shared" si="233"/>
        <v/>
      </c>
      <c r="H433" s="64" t="str">
        <f t="shared" si="234"/>
        <v/>
      </c>
      <c r="J433" s="63" t="str">
        <f t="shared" si="235"/>
        <v/>
      </c>
      <c r="K433" s="64" t="str">
        <f t="shared" si="236"/>
        <v/>
      </c>
      <c r="L433" s="63" t="str">
        <f t="shared" si="237"/>
        <v/>
      </c>
      <c r="M433" s="64" t="str">
        <f t="shared" si="238"/>
        <v/>
      </c>
      <c r="O433" s="63" t="str">
        <f t="shared" si="239"/>
        <v/>
      </c>
      <c r="P433" s="63" t="str">
        <f t="shared" si="240"/>
        <v/>
      </c>
      <c r="R433" s="63" t="str">
        <f t="shared" si="241"/>
        <v/>
      </c>
      <c r="S433" s="64" t="str">
        <f t="shared" si="242"/>
        <v/>
      </c>
      <c r="T433" s="63" t="str">
        <f t="shared" si="243"/>
        <v/>
      </c>
      <c r="U433" s="64" t="str">
        <f t="shared" si="244"/>
        <v/>
      </c>
      <c r="V433" s="90" t="str">
        <f>IF($A434="","",IF(AND(MONTH(A433)&gt;3,MONTH(A433)&lt;11),(T433+R433+G433)*Summary!$T$9/(1-Summary!$T$9),(T433+R433+G433)*Summary!$U$9/(1-Summary!$U$9)))</f>
        <v/>
      </c>
      <c r="W433" s="63" t="str">
        <f t="shared" si="245"/>
        <v/>
      </c>
      <c r="X433" s="63" t="str">
        <f t="shared" si="246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7"/>
        <v/>
      </c>
      <c r="AP433" s="33" t="str">
        <f t="shared" si="248"/>
        <v/>
      </c>
      <c r="AQ433" s="58" t="str">
        <f t="shared" si="249"/>
        <v/>
      </c>
      <c r="AR433" s="38">
        <f>'ANR OK vs ML7'!AR433</f>
        <v>0.1</v>
      </c>
      <c r="AS433" s="35" t="str">
        <f t="shared" si="250"/>
        <v/>
      </c>
      <c r="AT433" s="3" t="str">
        <f t="shared" si="251"/>
        <v/>
      </c>
      <c r="AU433" s="3" t="str">
        <f t="shared" si="252"/>
        <v/>
      </c>
      <c r="AW433" s="32" t="str">
        <f t="shared" si="253"/>
        <v/>
      </c>
      <c r="AX433" s="32" t="str">
        <f t="shared" si="254"/>
        <v/>
      </c>
      <c r="AY433" s="32" t="str">
        <f t="shared" si="255"/>
        <v/>
      </c>
      <c r="BA433" s="32" t="str">
        <f>IF($A434="","",F433*Summary!$Q$9)</f>
        <v/>
      </c>
    </row>
    <row r="434" spans="1:53">
      <c r="A434" s="67" t="str">
        <f t="shared" si="256"/>
        <v/>
      </c>
      <c r="B434" s="69" t="str">
        <f t="shared" si="257"/>
        <v/>
      </c>
      <c r="D434" s="69" t="str">
        <f t="shared" si="230"/>
        <v/>
      </c>
      <c r="E434" s="70" t="str">
        <f t="shared" si="231"/>
        <v/>
      </c>
      <c r="F434" s="70" t="str">
        <f t="shared" si="232"/>
        <v/>
      </c>
      <c r="G434" s="63" t="str">
        <f t="shared" si="233"/>
        <v/>
      </c>
      <c r="H434" s="64" t="str">
        <f t="shared" si="234"/>
        <v/>
      </c>
      <c r="J434" s="63" t="str">
        <f t="shared" si="235"/>
        <v/>
      </c>
      <c r="K434" s="64" t="str">
        <f t="shared" si="236"/>
        <v/>
      </c>
      <c r="L434" s="63" t="str">
        <f t="shared" si="237"/>
        <v/>
      </c>
      <c r="M434" s="64" t="str">
        <f t="shared" si="238"/>
        <v/>
      </c>
      <c r="O434" s="63" t="str">
        <f t="shared" si="239"/>
        <v/>
      </c>
      <c r="P434" s="63" t="str">
        <f t="shared" si="240"/>
        <v/>
      </c>
      <c r="R434" s="63" t="str">
        <f t="shared" si="241"/>
        <v/>
      </c>
      <c r="S434" s="64" t="str">
        <f t="shared" si="242"/>
        <v/>
      </c>
      <c r="T434" s="63" t="str">
        <f t="shared" si="243"/>
        <v/>
      </c>
      <c r="U434" s="64" t="str">
        <f t="shared" si="244"/>
        <v/>
      </c>
      <c r="V434" s="90" t="str">
        <f>IF($A435="","",IF(AND(MONTH(A434)&gt;3,MONTH(A434)&lt;11),(T434+R434+G434)*Summary!$T$9/(1-Summary!$T$9),(T434+R434+G434)*Summary!$U$9/(1-Summary!$U$9)))</f>
        <v/>
      </c>
      <c r="W434" s="63" t="str">
        <f t="shared" si="245"/>
        <v/>
      </c>
      <c r="X434" s="63" t="str">
        <f t="shared" si="246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7"/>
        <v/>
      </c>
      <c r="AP434" s="33" t="str">
        <f t="shared" si="248"/>
        <v/>
      </c>
      <c r="AQ434" s="58" t="str">
        <f t="shared" si="249"/>
        <v/>
      </c>
      <c r="AR434" s="38">
        <f>'ANR OK vs ML7'!AR434</f>
        <v>0.1</v>
      </c>
      <c r="AS434" s="35" t="str">
        <f t="shared" si="250"/>
        <v/>
      </c>
      <c r="AT434" s="3" t="str">
        <f t="shared" si="251"/>
        <v/>
      </c>
      <c r="AU434" s="3" t="str">
        <f t="shared" si="252"/>
        <v/>
      </c>
      <c r="AW434" s="32" t="str">
        <f t="shared" si="253"/>
        <v/>
      </c>
      <c r="AX434" s="32" t="str">
        <f t="shared" si="254"/>
        <v/>
      </c>
      <c r="AY434" s="32" t="str">
        <f t="shared" si="255"/>
        <v/>
      </c>
      <c r="BA434" s="32" t="str">
        <f>IF($A435="","",F434*Summary!$Q$9)</f>
        <v/>
      </c>
    </row>
    <row r="435" spans="1:53">
      <c r="A435" s="67" t="str">
        <f t="shared" si="256"/>
        <v/>
      </c>
      <c r="B435" s="69" t="str">
        <f t="shared" si="257"/>
        <v/>
      </c>
      <c r="D435" s="69" t="str">
        <f t="shared" si="230"/>
        <v/>
      </c>
      <c r="E435" s="70" t="str">
        <f t="shared" si="231"/>
        <v/>
      </c>
      <c r="F435" s="70" t="str">
        <f t="shared" si="232"/>
        <v/>
      </c>
      <c r="G435" s="63" t="str">
        <f t="shared" si="233"/>
        <v/>
      </c>
      <c r="H435" s="64" t="str">
        <f t="shared" si="234"/>
        <v/>
      </c>
      <c r="J435" s="63" t="str">
        <f t="shared" si="235"/>
        <v/>
      </c>
      <c r="K435" s="64" t="str">
        <f t="shared" si="236"/>
        <v/>
      </c>
      <c r="L435" s="63" t="str">
        <f t="shared" si="237"/>
        <v/>
      </c>
      <c r="M435" s="64" t="str">
        <f t="shared" si="238"/>
        <v/>
      </c>
      <c r="O435" s="63" t="str">
        <f t="shared" si="239"/>
        <v/>
      </c>
      <c r="P435" s="63" t="str">
        <f t="shared" si="240"/>
        <v/>
      </c>
      <c r="R435" s="63" t="str">
        <f t="shared" si="241"/>
        <v/>
      </c>
      <c r="S435" s="64" t="str">
        <f t="shared" si="242"/>
        <v/>
      </c>
      <c r="T435" s="63" t="str">
        <f t="shared" si="243"/>
        <v/>
      </c>
      <c r="U435" s="64" t="str">
        <f t="shared" si="244"/>
        <v/>
      </c>
      <c r="V435" s="90" t="str">
        <f>IF($A436="","",IF(AND(MONTH(A435)&gt;3,MONTH(A435)&lt;11),(T435+R435+G435)*Summary!$T$9/(1-Summary!$T$9),(T435+R435+G435)*Summary!$U$9/(1-Summary!$U$9)))</f>
        <v/>
      </c>
      <c r="W435" s="63" t="str">
        <f t="shared" si="245"/>
        <v/>
      </c>
      <c r="X435" s="63" t="str">
        <f t="shared" si="246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7"/>
        <v/>
      </c>
      <c r="AP435" s="33" t="str">
        <f t="shared" si="248"/>
        <v/>
      </c>
      <c r="AQ435" s="58" t="str">
        <f t="shared" si="249"/>
        <v/>
      </c>
      <c r="AR435" s="38">
        <f>'ANR OK vs ML7'!AR435</f>
        <v>0.1</v>
      </c>
      <c r="AS435" s="35" t="str">
        <f t="shared" si="250"/>
        <v/>
      </c>
      <c r="AT435" s="3" t="str">
        <f t="shared" si="251"/>
        <v/>
      </c>
      <c r="AU435" s="3" t="str">
        <f t="shared" si="252"/>
        <v/>
      </c>
      <c r="AW435" s="32" t="str">
        <f t="shared" si="253"/>
        <v/>
      </c>
      <c r="AX435" s="32" t="str">
        <f t="shared" si="254"/>
        <v/>
      </c>
      <c r="AY435" s="32" t="str">
        <f t="shared" si="255"/>
        <v/>
      </c>
      <c r="BA435" s="32" t="str">
        <f>IF($A436="","",F435*Summary!$Q$9)</f>
        <v/>
      </c>
    </row>
    <row r="436" spans="1:53">
      <c r="A436" s="67" t="str">
        <f t="shared" si="256"/>
        <v/>
      </c>
      <c r="B436" s="69" t="str">
        <f t="shared" si="257"/>
        <v/>
      </c>
      <c r="D436" s="69" t="str">
        <f t="shared" si="230"/>
        <v/>
      </c>
      <c r="E436" s="70" t="str">
        <f t="shared" si="231"/>
        <v/>
      </c>
      <c r="F436" s="70" t="str">
        <f t="shared" si="232"/>
        <v/>
      </c>
      <c r="G436" s="63" t="str">
        <f t="shared" si="233"/>
        <v/>
      </c>
      <c r="H436" s="64" t="str">
        <f t="shared" si="234"/>
        <v/>
      </c>
      <c r="J436" s="63" t="str">
        <f t="shared" si="235"/>
        <v/>
      </c>
      <c r="K436" s="64" t="str">
        <f t="shared" si="236"/>
        <v/>
      </c>
      <c r="L436" s="63" t="str">
        <f t="shared" si="237"/>
        <v/>
      </c>
      <c r="M436" s="64" t="str">
        <f t="shared" si="238"/>
        <v/>
      </c>
      <c r="O436" s="63" t="str">
        <f t="shared" si="239"/>
        <v/>
      </c>
      <c r="P436" s="63" t="str">
        <f t="shared" si="240"/>
        <v/>
      </c>
      <c r="R436" s="63" t="str">
        <f t="shared" si="241"/>
        <v/>
      </c>
      <c r="S436" s="64" t="str">
        <f t="shared" si="242"/>
        <v/>
      </c>
      <c r="T436" s="63" t="str">
        <f t="shared" si="243"/>
        <v/>
      </c>
      <c r="U436" s="64" t="str">
        <f t="shared" si="244"/>
        <v/>
      </c>
      <c r="V436" s="90" t="str">
        <f>IF($A437="","",IF(AND(MONTH(A436)&gt;3,MONTH(A436)&lt;11),(T436+R436+G436)*Summary!$T$9/(1-Summary!$T$9),(T436+R436+G436)*Summary!$U$9/(1-Summary!$U$9)))</f>
        <v/>
      </c>
      <c r="W436" s="63" t="str">
        <f t="shared" si="245"/>
        <v/>
      </c>
      <c r="X436" s="63" t="str">
        <f t="shared" si="246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7"/>
        <v/>
      </c>
      <c r="AP436" s="33" t="str">
        <f t="shared" si="248"/>
        <v/>
      </c>
      <c r="AQ436" s="58" t="str">
        <f t="shared" si="249"/>
        <v/>
      </c>
      <c r="AR436" s="38">
        <f>'ANR OK vs ML7'!AR436</f>
        <v>0.1</v>
      </c>
      <c r="AS436" s="35" t="str">
        <f t="shared" si="250"/>
        <v/>
      </c>
      <c r="AT436" s="3" t="str">
        <f t="shared" si="251"/>
        <v/>
      </c>
      <c r="AU436" s="3" t="str">
        <f t="shared" si="252"/>
        <v/>
      </c>
      <c r="AW436" s="32" t="str">
        <f t="shared" si="253"/>
        <v/>
      </c>
      <c r="AX436" s="32" t="str">
        <f t="shared" si="254"/>
        <v/>
      </c>
      <c r="AY436" s="32" t="str">
        <f t="shared" si="255"/>
        <v/>
      </c>
      <c r="BA436" s="32" t="str">
        <f>IF($A437="","",F436*Summary!$Q$9)</f>
        <v/>
      </c>
    </row>
    <row r="437" spans="1:53">
      <c r="A437" s="67" t="str">
        <f t="shared" si="256"/>
        <v/>
      </c>
      <c r="B437" s="69" t="str">
        <f t="shared" si="257"/>
        <v/>
      </c>
      <c r="D437" s="69" t="str">
        <f t="shared" si="230"/>
        <v/>
      </c>
      <c r="E437" s="70" t="str">
        <f t="shared" si="231"/>
        <v/>
      </c>
      <c r="F437" s="70" t="str">
        <f t="shared" si="232"/>
        <v/>
      </c>
      <c r="G437" s="63" t="str">
        <f t="shared" si="233"/>
        <v/>
      </c>
      <c r="H437" s="64" t="str">
        <f t="shared" si="234"/>
        <v/>
      </c>
      <c r="J437" s="63" t="str">
        <f t="shared" si="235"/>
        <v/>
      </c>
      <c r="K437" s="64" t="str">
        <f t="shared" si="236"/>
        <v/>
      </c>
      <c r="L437" s="63" t="str">
        <f t="shared" si="237"/>
        <v/>
      </c>
      <c r="M437" s="64" t="str">
        <f t="shared" si="238"/>
        <v/>
      </c>
      <c r="O437" s="63" t="str">
        <f t="shared" si="239"/>
        <v/>
      </c>
      <c r="P437" s="63" t="str">
        <f t="shared" si="240"/>
        <v/>
      </c>
      <c r="R437" s="63" t="str">
        <f t="shared" si="241"/>
        <v/>
      </c>
      <c r="S437" s="64" t="str">
        <f t="shared" si="242"/>
        <v/>
      </c>
      <c r="T437" s="63" t="str">
        <f t="shared" si="243"/>
        <v/>
      </c>
      <c r="U437" s="64" t="str">
        <f t="shared" si="244"/>
        <v/>
      </c>
      <c r="V437" s="90" t="str">
        <f>IF($A438="","",IF(AND(MONTH(A437)&gt;3,MONTH(A437)&lt;11),(T437+R437+G437)*Summary!$T$9/(1-Summary!$T$9),(T437+R437+G437)*Summary!$U$9/(1-Summary!$U$9)))</f>
        <v/>
      </c>
      <c r="W437" s="63" t="str">
        <f t="shared" si="245"/>
        <v/>
      </c>
      <c r="X437" s="63" t="str">
        <f t="shared" si="246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7"/>
        <v/>
      </c>
      <c r="AP437" s="33" t="str">
        <f t="shared" si="248"/>
        <v/>
      </c>
      <c r="AQ437" s="58" t="str">
        <f t="shared" si="249"/>
        <v/>
      </c>
      <c r="AR437" s="38">
        <f>'ANR OK vs ML7'!AR437</f>
        <v>0.1</v>
      </c>
      <c r="AS437" s="35" t="str">
        <f t="shared" si="250"/>
        <v/>
      </c>
      <c r="AT437" s="3" t="str">
        <f t="shared" si="251"/>
        <v/>
      </c>
      <c r="AU437" s="3" t="str">
        <f t="shared" si="252"/>
        <v/>
      </c>
      <c r="AW437" s="32" t="str">
        <f t="shared" si="253"/>
        <v/>
      </c>
      <c r="AX437" s="32" t="str">
        <f t="shared" si="254"/>
        <v/>
      </c>
      <c r="AY437" s="32" t="str">
        <f t="shared" si="255"/>
        <v/>
      </c>
      <c r="BA437" s="32" t="str">
        <f>IF($A438="","",F437*Summary!$Q$9)</f>
        <v/>
      </c>
    </row>
    <row r="438" spans="1:53">
      <c r="A438" s="67" t="str">
        <f t="shared" si="256"/>
        <v/>
      </c>
      <c r="B438" s="69" t="str">
        <f t="shared" si="257"/>
        <v/>
      </c>
      <c r="D438" s="69" t="str">
        <f t="shared" si="230"/>
        <v/>
      </c>
      <c r="E438" s="70" t="str">
        <f t="shared" si="231"/>
        <v/>
      </c>
      <c r="F438" s="70" t="str">
        <f t="shared" si="232"/>
        <v/>
      </c>
      <c r="G438" s="63" t="str">
        <f t="shared" si="233"/>
        <v/>
      </c>
      <c r="H438" s="64" t="str">
        <f t="shared" si="234"/>
        <v/>
      </c>
      <c r="J438" s="63" t="str">
        <f t="shared" si="235"/>
        <v/>
      </c>
      <c r="K438" s="64" t="str">
        <f t="shared" si="236"/>
        <v/>
      </c>
      <c r="L438" s="63" t="str">
        <f t="shared" si="237"/>
        <v/>
      </c>
      <c r="M438" s="64" t="str">
        <f t="shared" si="238"/>
        <v/>
      </c>
      <c r="O438" s="63" t="str">
        <f t="shared" si="239"/>
        <v/>
      </c>
      <c r="P438" s="63" t="str">
        <f t="shared" si="240"/>
        <v/>
      </c>
      <c r="R438" s="63" t="str">
        <f t="shared" si="241"/>
        <v/>
      </c>
      <c r="S438" s="64" t="str">
        <f t="shared" si="242"/>
        <v/>
      </c>
      <c r="T438" s="63" t="str">
        <f t="shared" si="243"/>
        <v/>
      </c>
      <c r="U438" s="64" t="str">
        <f t="shared" si="244"/>
        <v/>
      </c>
      <c r="V438" s="90" t="str">
        <f>IF($A439="","",IF(AND(MONTH(A438)&gt;3,MONTH(A438)&lt;11),(T438+R438+G438)*Summary!$T$9/(1-Summary!$T$9),(T438+R438+G438)*Summary!$U$9/(1-Summary!$U$9)))</f>
        <v/>
      </c>
      <c r="W438" s="63" t="str">
        <f t="shared" si="245"/>
        <v/>
      </c>
      <c r="X438" s="63" t="str">
        <f t="shared" si="246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7"/>
        <v/>
      </c>
      <c r="AP438" s="33" t="str">
        <f t="shared" si="248"/>
        <v/>
      </c>
      <c r="AQ438" s="58" t="str">
        <f t="shared" si="249"/>
        <v/>
      </c>
      <c r="AR438" s="38">
        <f>'ANR OK vs ML7'!AR438</f>
        <v>0.1</v>
      </c>
      <c r="AS438" s="35" t="str">
        <f t="shared" si="250"/>
        <v/>
      </c>
      <c r="AT438" s="3" t="str">
        <f t="shared" si="251"/>
        <v/>
      </c>
      <c r="AU438" s="3" t="str">
        <f t="shared" si="252"/>
        <v/>
      </c>
      <c r="AW438" s="32" t="str">
        <f t="shared" si="253"/>
        <v/>
      </c>
      <c r="AX438" s="32" t="str">
        <f t="shared" si="254"/>
        <v/>
      </c>
      <c r="AY438" s="32" t="str">
        <f t="shared" si="255"/>
        <v/>
      </c>
      <c r="BA438" s="32" t="str">
        <f>IF($A439="","",F438*Summary!$Q$9)</f>
        <v/>
      </c>
    </row>
    <row r="439" spans="1:53">
      <c r="A439" s="67" t="str">
        <f t="shared" si="256"/>
        <v/>
      </c>
      <c r="B439" s="69" t="str">
        <f t="shared" si="257"/>
        <v/>
      </c>
      <c r="D439" s="69" t="str">
        <f t="shared" si="230"/>
        <v/>
      </c>
      <c r="E439" s="70" t="str">
        <f t="shared" si="231"/>
        <v/>
      </c>
      <c r="F439" s="70" t="str">
        <f t="shared" si="232"/>
        <v/>
      </c>
      <c r="G439" s="63" t="str">
        <f t="shared" si="233"/>
        <v/>
      </c>
      <c r="H439" s="64" t="str">
        <f t="shared" si="234"/>
        <v/>
      </c>
      <c r="J439" s="63" t="str">
        <f t="shared" si="235"/>
        <v/>
      </c>
      <c r="K439" s="64" t="str">
        <f t="shared" si="236"/>
        <v/>
      </c>
      <c r="L439" s="63" t="str">
        <f t="shared" si="237"/>
        <v/>
      </c>
      <c r="M439" s="64" t="str">
        <f t="shared" si="238"/>
        <v/>
      </c>
      <c r="O439" s="63" t="str">
        <f t="shared" si="239"/>
        <v/>
      </c>
      <c r="P439" s="63" t="str">
        <f t="shared" si="240"/>
        <v/>
      </c>
      <c r="R439" s="63" t="str">
        <f t="shared" si="241"/>
        <v/>
      </c>
      <c r="S439" s="64" t="str">
        <f t="shared" si="242"/>
        <v/>
      </c>
      <c r="T439" s="63" t="str">
        <f t="shared" si="243"/>
        <v/>
      </c>
      <c r="U439" s="64" t="str">
        <f t="shared" si="244"/>
        <v/>
      </c>
      <c r="V439" s="90" t="str">
        <f>IF($A440="","",IF(AND(MONTH(A439)&gt;3,MONTH(A439)&lt;11),(T439+R439+G439)*Summary!$T$9/(1-Summary!$T$9),(T439+R439+G439)*Summary!$U$9/(1-Summary!$U$9)))</f>
        <v/>
      </c>
      <c r="W439" s="63" t="str">
        <f t="shared" si="245"/>
        <v/>
      </c>
      <c r="X439" s="63" t="str">
        <f t="shared" si="246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7"/>
        <v/>
      </c>
      <c r="AP439" s="33" t="str">
        <f t="shared" si="248"/>
        <v/>
      </c>
      <c r="AQ439" s="58" t="str">
        <f t="shared" si="249"/>
        <v/>
      </c>
      <c r="AR439" s="38">
        <f>'ANR OK vs ML7'!AR439</f>
        <v>0.1</v>
      </c>
      <c r="AS439" s="35" t="str">
        <f t="shared" si="250"/>
        <v/>
      </c>
      <c r="AT439" s="3" t="str">
        <f t="shared" si="251"/>
        <v/>
      </c>
      <c r="AU439" s="3" t="str">
        <f t="shared" si="252"/>
        <v/>
      </c>
      <c r="AW439" s="32" t="str">
        <f t="shared" si="253"/>
        <v/>
      </c>
      <c r="AX439" s="32" t="str">
        <f t="shared" si="254"/>
        <v/>
      </c>
      <c r="AY439" s="32" t="str">
        <f t="shared" si="255"/>
        <v/>
      </c>
      <c r="BA439" s="32" t="str">
        <f>IF($A440="","",F439*Summary!$Q$9)</f>
        <v/>
      </c>
    </row>
    <row r="440" spans="1:53">
      <c r="A440" s="67" t="str">
        <f t="shared" si="256"/>
        <v/>
      </c>
      <c r="B440" s="69" t="str">
        <f t="shared" si="257"/>
        <v/>
      </c>
      <c r="D440" s="69" t="str">
        <f t="shared" si="230"/>
        <v/>
      </c>
      <c r="E440" s="70" t="str">
        <f t="shared" si="231"/>
        <v/>
      </c>
      <c r="F440" s="70" t="str">
        <f t="shared" si="232"/>
        <v/>
      </c>
      <c r="G440" s="63" t="str">
        <f t="shared" si="233"/>
        <v/>
      </c>
      <c r="H440" s="64" t="str">
        <f t="shared" si="234"/>
        <v/>
      </c>
      <c r="J440" s="63" t="str">
        <f t="shared" si="235"/>
        <v/>
      </c>
      <c r="K440" s="64" t="str">
        <f t="shared" si="236"/>
        <v/>
      </c>
      <c r="L440" s="63" t="str">
        <f t="shared" si="237"/>
        <v/>
      </c>
      <c r="M440" s="64" t="str">
        <f t="shared" si="238"/>
        <v/>
      </c>
      <c r="O440" s="63" t="str">
        <f t="shared" si="239"/>
        <v/>
      </c>
      <c r="P440" s="63" t="str">
        <f t="shared" si="240"/>
        <v/>
      </c>
      <c r="R440" s="63" t="str">
        <f t="shared" si="241"/>
        <v/>
      </c>
      <c r="S440" s="64" t="str">
        <f t="shared" si="242"/>
        <v/>
      </c>
      <c r="T440" s="63" t="str">
        <f t="shared" si="243"/>
        <v/>
      </c>
      <c r="U440" s="64" t="str">
        <f t="shared" si="244"/>
        <v/>
      </c>
      <c r="V440" s="90" t="str">
        <f>IF($A441="","",IF(AND(MONTH(A440)&gt;3,MONTH(A440)&lt;11),(T440+R440+G440)*Summary!$T$9/(1-Summary!$T$9),(T440+R440+G440)*Summary!$U$9/(1-Summary!$U$9)))</f>
        <v/>
      </c>
      <c r="W440" s="63" t="str">
        <f t="shared" si="245"/>
        <v/>
      </c>
      <c r="X440" s="63" t="str">
        <f t="shared" si="246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7"/>
        <v/>
      </c>
      <c r="AP440" s="33" t="str">
        <f t="shared" si="248"/>
        <v/>
      </c>
      <c r="AQ440" s="58" t="str">
        <f t="shared" si="249"/>
        <v/>
      </c>
      <c r="AR440" s="38">
        <f>'ANR OK vs ML7'!AR440</f>
        <v>0.1</v>
      </c>
      <c r="AS440" s="35" t="str">
        <f t="shared" si="250"/>
        <v/>
      </c>
      <c r="AT440" s="3" t="str">
        <f t="shared" si="251"/>
        <v/>
      </c>
      <c r="AU440" s="3" t="str">
        <f t="shared" si="252"/>
        <v/>
      </c>
      <c r="AW440" s="32" t="str">
        <f t="shared" si="253"/>
        <v/>
      </c>
      <c r="AX440" s="32" t="str">
        <f t="shared" si="254"/>
        <v/>
      </c>
      <c r="AY440" s="32" t="str">
        <f t="shared" si="255"/>
        <v/>
      </c>
      <c r="BA440" s="32" t="str">
        <f>IF($A441="","",F440*Summary!$Q$9)</f>
        <v/>
      </c>
    </row>
    <row r="441" spans="1:53">
      <c r="A441" s="67" t="str">
        <f t="shared" si="256"/>
        <v/>
      </c>
      <c r="B441" s="69" t="str">
        <f t="shared" si="257"/>
        <v/>
      </c>
      <c r="D441" s="69" t="str">
        <f t="shared" si="230"/>
        <v/>
      </c>
      <c r="E441" s="70" t="str">
        <f t="shared" si="231"/>
        <v/>
      </c>
      <c r="F441" s="70" t="str">
        <f t="shared" si="232"/>
        <v/>
      </c>
      <c r="G441" s="63" t="str">
        <f t="shared" si="233"/>
        <v/>
      </c>
      <c r="H441" s="64" t="str">
        <f t="shared" si="234"/>
        <v/>
      </c>
      <c r="J441" s="63" t="str">
        <f t="shared" si="235"/>
        <v/>
      </c>
      <c r="K441" s="64" t="str">
        <f t="shared" si="236"/>
        <v/>
      </c>
      <c r="L441" s="63" t="str">
        <f t="shared" si="237"/>
        <v/>
      </c>
      <c r="M441" s="64" t="str">
        <f t="shared" si="238"/>
        <v/>
      </c>
      <c r="O441" s="63" t="str">
        <f t="shared" si="239"/>
        <v/>
      </c>
      <c r="P441" s="63" t="str">
        <f t="shared" si="240"/>
        <v/>
      </c>
      <c r="R441" s="63" t="str">
        <f t="shared" si="241"/>
        <v/>
      </c>
      <c r="S441" s="64" t="str">
        <f t="shared" si="242"/>
        <v/>
      </c>
      <c r="T441" s="63" t="str">
        <f t="shared" si="243"/>
        <v/>
      </c>
      <c r="U441" s="64" t="str">
        <f t="shared" si="244"/>
        <v/>
      </c>
      <c r="V441" s="90" t="str">
        <f>IF($A442="","",IF(AND(MONTH(A441)&gt;3,MONTH(A441)&lt;11),(T441+R441+G441)*Summary!$T$9/(1-Summary!$T$9),(T441+R441+G441)*Summary!$U$9/(1-Summary!$U$9)))</f>
        <v/>
      </c>
      <c r="W441" s="63" t="str">
        <f t="shared" si="245"/>
        <v/>
      </c>
      <c r="X441" s="63" t="str">
        <f t="shared" si="246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7"/>
        <v/>
      </c>
      <c r="AP441" s="33" t="str">
        <f t="shared" si="248"/>
        <v/>
      </c>
      <c r="AQ441" s="58" t="str">
        <f t="shared" si="249"/>
        <v/>
      </c>
      <c r="AR441" s="38">
        <f>'ANR OK vs ML7'!AR441</f>
        <v>0.1</v>
      </c>
      <c r="AS441" s="35" t="str">
        <f t="shared" si="250"/>
        <v/>
      </c>
      <c r="AT441" s="3" t="str">
        <f t="shared" si="251"/>
        <v/>
      </c>
      <c r="AU441" s="3" t="str">
        <f t="shared" si="252"/>
        <v/>
      </c>
      <c r="AW441" s="32" t="str">
        <f t="shared" si="253"/>
        <v/>
      </c>
      <c r="AX441" s="32" t="str">
        <f t="shared" si="254"/>
        <v/>
      </c>
      <c r="AY441" s="32" t="str">
        <f t="shared" si="255"/>
        <v/>
      </c>
      <c r="BA441" s="32" t="str">
        <f>IF($A442="","",F441*Summary!$Q$9)</f>
        <v/>
      </c>
    </row>
    <row r="442" spans="1:53">
      <c r="A442" s="67" t="str">
        <f t="shared" si="256"/>
        <v/>
      </c>
      <c r="B442" s="69" t="str">
        <f t="shared" si="257"/>
        <v/>
      </c>
      <c r="D442" s="69" t="str">
        <f t="shared" si="230"/>
        <v/>
      </c>
      <c r="E442" s="70" t="str">
        <f t="shared" si="231"/>
        <v/>
      </c>
      <c r="F442" s="70" t="str">
        <f t="shared" si="232"/>
        <v/>
      </c>
      <c r="G442" s="63" t="str">
        <f t="shared" si="233"/>
        <v/>
      </c>
      <c r="H442" s="64" t="str">
        <f t="shared" si="234"/>
        <v/>
      </c>
      <c r="J442" s="63" t="str">
        <f t="shared" si="235"/>
        <v/>
      </c>
      <c r="K442" s="64" t="str">
        <f t="shared" si="236"/>
        <v/>
      </c>
      <c r="L442" s="63" t="str">
        <f t="shared" si="237"/>
        <v/>
      </c>
      <c r="M442" s="64" t="str">
        <f t="shared" si="238"/>
        <v/>
      </c>
      <c r="O442" s="63" t="str">
        <f t="shared" si="239"/>
        <v/>
      </c>
      <c r="P442" s="63" t="str">
        <f t="shared" si="240"/>
        <v/>
      </c>
      <c r="R442" s="63" t="str">
        <f t="shared" si="241"/>
        <v/>
      </c>
      <c r="S442" s="64" t="str">
        <f t="shared" si="242"/>
        <v/>
      </c>
      <c r="T442" s="63" t="str">
        <f t="shared" si="243"/>
        <v/>
      </c>
      <c r="U442" s="64" t="str">
        <f t="shared" si="244"/>
        <v/>
      </c>
      <c r="V442" s="90" t="str">
        <f>IF($A443="","",IF(AND(MONTH(A442)&gt;3,MONTH(A442)&lt;11),(T442+R442+G442)*Summary!$T$9/(1-Summary!$T$9),(T442+R442+G442)*Summary!$U$9/(1-Summary!$U$9)))</f>
        <v/>
      </c>
      <c r="W442" s="63" t="str">
        <f t="shared" si="245"/>
        <v/>
      </c>
      <c r="X442" s="63" t="str">
        <f t="shared" si="246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7"/>
        <v/>
      </c>
      <c r="AP442" s="33" t="str">
        <f t="shared" si="248"/>
        <v/>
      </c>
      <c r="AQ442" s="58" t="str">
        <f t="shared" si="249"/>
        <v/>
      </c>
      <c r="AR442" s="38">
        <f>'ANR OK vs ML7'!AR442</f>
        <v>0.1</v>
      </c>
      <c r="AS442" s="35" t="str">
        <f t="shared" si="250"/>
        <v/>
      </c>
      <c r="AT442" s="3" t="str">
        <f t="shared" si="251"/>
        <v/>
      </c>
      <c r="AU442" s="3" t="str">
        <f t="shared" si="252"/>
        <v/>
      </c>
      <c r="AW442" s="32" t="str">
        <f t="shared" si="253"/>
        <v/>
      </c>
      <c r="AX442" s="32" t="str">
        <f t="shared" si="254"/>
        <v/>
      </c>
      <c r="AY442" s="32" t="str">
        <f t="shared" si="255"/>
        <v/>
      </c>
      <c r="BA442" s="32" t="str">
        <f>IF($A443="","",F442*Summary!$Q$9)</f>
        <v/>
      </c>
    </row>
    <row r="443" spans="1:53">
      <c r="A443" s="67" t="str">
        <f t="shared" si="256"/>
        <v/>
      </c>
      <c r="B443" s="69" t="str">
        <f t="shared" si="257"/>
        <v/>
      </c>
      <c r="D443" s="69" t="str">
        <f t="shared" si="230"/>
        <v/>
      </c>
      <c r="E443" s="70" t="str">
        <f t="shared" si="231"/>
        <v/>
      </c>
      <c r="F443" s="70" t="str">
        <f t="shared" si="232"/>
        <v/>
      </c>
      <c r="G443" s="63" t="str">
        <f t="shared" si="233"/>
        <v/>
      </c>
      <c r="H443" s="64" t="str">
        <f t="shared" si="234"/>
        <v/>
      </c>
      <c r="J443" s="63" t="str">
        <f t="shared" si="235"/>
        <v/>
      </c>
      <c r="K443" s="64" t="str">
        <f t="shared" si="236"/>
        <v/>
      </c>
      <c r="L443" s="63" t="str">
        <f t="shared" si="237"/>
        <v/>
      </c>
      <c r="M443" s="64" t="str">
        <f t="shared" si="238"/>
        <v/>
      </c>
      <c r="O443" s="63" t="str">
        <f t="shared" si="239"/>
        <v/>
      </c>
      <c r="P443" s="63" t="str">
        <f t="shared" si="240"/>
        <v/>
      </c>
      <c r="R443" s="63" t="str">
        <f t="shared" si="241"/>
        <v/>
      </c>
      <c r="S443" s="64" t="str">
        <f t="shared" si="242"/>
        <v/>
      </c>
      <c r="T443" s="63" t="str">
        <f t="shared" si="243"/>
        <v/>
      </c>
      <c r="U443" s="64" t="str">
        <f t="shared" si="244"/>
        <v/>
      </c>
      <c r="V443" s="90" t="str">
        <f>IF($A444="","",IF(AND(MONTH(A443)&gt;3,MONTH(A443)&lt;11),(T443+R443+G443)*Summary!$T$9/(1-Summary!$T$9),(T443+R443+G443)*Summary!$U$9/(1-Summary!$U$9)))</f>
        <v/>
      </c>
      <c r="W443" s="63" t="str">
        <f t="shared" si="245"/>
        <v/>
      </c>
      <c r="X443" s="63" t="str">
        <f t="shared" si="246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7"/>
        <v/>
      </c>
      <c r="AP443" s="33" t="str">
        <f t="shared" si="248"/>
        <v/>
      </c>
      <c r="AQ443" s="58" t="str">
        <f t="shared" si="249"/>
        <v/>
      </c>
      <c r="AR443" s="38">
        <f>'ANR OK vs ML7'!AR443</f>
        <v>0.1</v>
      </c>
      <c r="AS443" s="35" t="str">
        <f t="shared" si="250"/>
        <v/>
      </c>
      <c r="AT443" s="3" t="str">
        <f t="shared" si="251"/>
        <v/>
      </c>
      <c r="AU443" s="3" t="str">
        <f t="shared" si="252"/>
        <v/>
      </c>
      <c r="AW443" s="32" t="str">
        <f t="shared" si="253"/>
        <v/>
      </c>
      <c r="AX443" s="32" t="str">
        <f t="shared" si="254"/>
        <v/>
      </c>
      <c r="AY443" s="32" t="str">
        <f t="shared" si="255"/>
        <v/>
      </c>
      <c r="BA443" s="32" t="str">
        <f>IF($A444="","",F443*Summary!$Q$9)</f>
        <v/>
      </c>
    </row>
    <row r="444" spans="1:53">
      <c r="A444" s="67" t="str">
        <f t="shared" si="256"/>
        <v/>
      </c>
      <c r="B444" s="69" t="str">
        <f t="shared" si="257"/>
        <v/>
      </c>
      <c r="D444" s="69" t="str">
        <f t="shared" si="230"/>
        <v/>
      </c>
      <c r="E444" s="70" t="str">
        <f t="shared" si="231"/>
        <v/>
      </c>
      <c r="F444" s="70" t="str">
        <f t="shared" si="232"/>
        <v/>
      </c>
      <c r="G444" s="63" t="str">
        <f t="shared" si="233"/>
        <v/>
      </c>
      <c r="H444" s="64" t="str">
        <f t="shared" si="234"/>
        <v/>
      </c>
      <c r="J444" s="63" t="str">
        <f t="shared" si="235"/>
        <v/>
      </c>
      <c r="K444" s="64" t="str">
        <f t="shared" si="236"/>
        <v/>
      </c>
      <c r="L444" s="63" t="str">
        <f t="shared" si="237"/>
        <v/>
      </c>
      <c r="M444" s="64" t="str">
        <f t="shared" si="238"/>
        <v/>
      </c>
      <c r="O444" s="63" t="str">
        <f t="shared" si="239"/>
        <v/>
      </c>
      <c r="P444" s="63" t="str">
        <f t="shared" si="240"/>
        <v/>
      </c>
      <c r="R444" s="63" t="str">
        <f t="shared" si="241"/>
        <v/>
      </c>
      <c r="S444" s="64" t="str">
        <f t="shared" si="242"/>
        <v/>
      </c>
      <c r="T444" s="63" t="str">
        <f t="shared" si="243"/>
        <v/>
      </c>
      <c r="U444" s="64" t="str">
        <f t="shared" si="244"/>
        <v/>
      </c>
      <c r="V444" s="90" t="str">
        <f>IF($A445="","",IF(AND(MONTH(A444)&gt;3,MONTH(A444)&lt;11),(T444+R444+G444)*Summary!$T$9/(1-Summary!$T$9),(T444+R444+G444)*Summary!$U$9/(1-Summary!$U$9)))</f>
        <v/>
      </c>
      <c r="W444" s="63" t="str">
        <f t="shared" si="245"/>
        <v/>
      </c>
      <c r="X444" s="63" t="str">
        <f t="shared" si="246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7"/>
        <v/>
      </c>
      <c r="AP444" s="33" t="str">
        <f t="shared" si="248"/>
        <v/>
      </c>
      <c r="AQ444" s="58" t="str">
        <f t="shared" si="249"/>
        <v/>
      </c>
      <c r="AR444" s="38">
        <f>'ANR OK vs ML7'!AR444</f>
        <v>0.1</v>
      </c>
      <c r="AS444" s="35" t="str">
        <f t="shared" si="250"/>
        <v/>
      </c>
      <c r="AT444" s="3" t="str">
        <f t="shared" si="251"/>
        <v/>
      </c>
      <c r="AU444" s="3" t="str">
        <f t="shared" si="252"/>
        <v/>
      </c>
      <c r="AW444" s="32" t="str">
        <f t="shared" si="253"/>
        <v/>
      </c>
      <c r="AX444" s="32" t="str">
        <f t="shared" si="254"/>
        <v/>
      </c>
      <c r="AY444" s="32" t="str">
        <f t="shared" si="255"/>
        <v/>
      </c>
      <c r="BA444" s="32" t="str">
        <f>IF($A445="","",F444*Summary!$Q$9)</f>
        <v/>
      </c>
    </row>
    <row r="445" spans="1:53">
      <c r="A445" s="67" t="str">
        <f t="shared" si="256"/>
        <v/>
      </c>
      <c r="B445" s="69" t="str">
        <f t="shared" si="257"/>
        <v/>
      </c>
      <c r="D445" s="69" t="str">
        <f t="shared" si="230"/>
        <v/>
      </c>
      <c r="E445" s="70" t="str">
        <f t="shared" si="231"/>
        <v/>
      </c>
      <c r="F445" s="70" t="str">
        <f t="shared" si="232"/>
        <v/>
      </c>
      <c r="G445" s="63" t="str">
        <f t="shared" si="233"/>
        <v/>
      </c>
      <c r="H445" s="64" t="str">
        <f t="shared" si="234"/>
        <v/>
      </c>
      <c r="J445" s="63" t="str">
        <f t="shared" si="235"/>
        <v/>
      </c>
      <c r="K445" s="64" t="str">
        <f t="shared" si="236"/>
        <v/>
      </c>
      <c r="L445" s="63" t="str">
        <f t="shared" si="237"/>
        <v/>
      </c>
      <c r="M445" s="64" t="str">
        <f t="shared" si="238"/>
        <v/>
      </c>
      <c r="O445" s="63" t="str">
        <f t="shared" si="239"/>
        <v/>
      </c>
      <c r="P445" s="63" t="str">
        <f t="shared" si="240"/>
        <v/>
      </c>
      <c r="R445" s="63" t="str">
        <f t="shared" si="241"/>
        <v/>
      </c>
      <c r="S445" s="64" t="str">
        <f t="shared" si="242"/>
        <v/>
      </c>
      <c r="T445" s="63" t="str">
        <f t="shared" si="243"/>
        <v/>
      </c>
      <c r="U445" s="64" t="str">
        <f t="shared" si="244"/>
        <v/>
      </c>
      <c r="V445" s="90" t="str">
        <f>IF($A446="","",IF(AND(MONTH(A445)&gt;3,MONTH(A445)&lt;11),(T445+R445+G445)*Summary!$T$9/(1-Summary!$T$9),(T445+R445+G445)*Summary!$U$9/(1-Summary!$U$9)))</f>
        <v/>
      </c>
      <c r="W445" s="63" t="str">
        <f t="shared" si="245"/>
        <v/>
      </c>
      <c r="X445" s="63" t="str">
        <f t="shared" si="246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7"/>
        <v/>
      </c>
      <c r="AP445" s="33" t="str">
        <f t="shared" si="248"/>
        <v/>
      </c>
      <c r="AQ445" s="58" t="str">
        <f t="shared" si="249"/>
        <v/>
      </c>
      <c r="AR445" s="38">
        <f>'ANR OK vs ML7'!AR445</f>
        <v>0.1</v>
      </c>
      <c r="AS445" s="35" t="str">
        <f t="shared" si="250"/>
        <v/>
      </c>
      <c r="AT445" s="3" t="str">
        <f t="shared" si="251"/>
        <v/>
      </c>
      <c r="AU445" s="3" t="str">
        <f t="shared" si="252"/>
        <v/>
      </c>
      <c r="AW445" s="32" t="str">
        <f t="shared" si="253"/>
        <v/>
      </c>
      <c r="AX445" s="32" t="str">
        <f t="shared" si="254"/>
        <v/>
      </c>
      <c r="AY445" s="32" t="str">
        <f t="shared" si="255"/>
        <v/>
      </c>
      <c r="BA445" s="32" t="str">
        <f>IF($A446="","",F445*Summary!$Q$9)</f>
        <v/>
      </c>
    </row>
    <row r="446" spans="1:53">
      <c r="A446" s="67" t="str">
        <f t="shared" si="256"/>
        <v/>
      </c>
      <c r="B446" s="69" t="str">
        <f t="shared" si="257"/>
        <v/>
      </c>
      <c r="D446" s="69" t="str">
        <f t="shared" si="230"/>
        <v/>
      </c>
      <c r="E446" s="70" t="str">
        <f t="shared" si="231"/>
        <v/>
      </c>
      <c r="F446" s="70" t="str">
        <f t="shared" si="232"/>
        <v/>
      </c>
      <c r="G446" s="63" t="str">
        <f t="shared" si="233"/>
        <v/>
      </c>
      <c r="H446" s="64" t="str">
        <f t="shared" si="234"/>
        <v/>
      </c>
      <c r="J446" s="63" t="str">
        <f t="shared" si="235"/>
        <v/>
      </c>
      <c r="K446" s="64" t="str">
        <f t="shared" si="236"/>
        <v/>
      </c>
      <c r="L446" s="63" t="str">
        <f t="shared" si="237"/>
        <v/>
      </c>
      <c r="M446" s="64" t="str">
        <f t="shared" si="238"/>
        <v/>
      </c>
      <c r="O446" s="63" t="str">
        <f t="shared" si="239"/>
        <v/>
      </c>
      <c r="P446" s="63" t="str">
        <f t="shared" si="240"/>
        <v/>
      </c>
      <c r="R446" s="63" t="str">
        <f t="shared" si="241"/>
        <v/>
      </c>
      <c r="S446" s="64" t="str">
        <f t="shared" si="242"/>
        <v/>
      </c>
      <c r="T446" s="63" t="str">
        <f t="shared" si="243"/>
        <v/>
      </c>
      <c r="U446" s="64" t="str">
        <f t="shared" si="244"/>
        <v/>
      </c>
      <c r="V446" s="90" t="str">
        <f>IF($A447="","",IF(AND(MONTH(A446)&gt;3,MONTH(A446)&lt;11),(T446+R446+G446)*Summary!$T$9/(1-Summary!$T$9),(T446+R446+G446)*Summary!$U$9/(1-Summary!$U$9)))</f>
        <v/>
      </c>
      <c r="W446" s="63" t="str">
        <f t="shared" si="245"/>
        <v/>
      </c>
      <c r="X446" s="63" t="str">
        <f t="shared" si="246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7"/>
        <v/>
      </c>
      <c r="AP446" s="33" t="str">
        <f t="shared" si="248"/>
        <v/>
      </c>
      <c r="AQ446" s="58" t="str">
        <f t="shared" si="249"/>
        <v/>
      </c>
      <c r="AR446" s="38">
        <f>'ANR OK vs ML7'!AR446</f>
        <v>0.1</v>
      </c>
      <c r="AS446" s="35" t="str">
        <f t="shared" si="250"/>
        <v/>
      </c>
      <c r="AT446" s="3" t="str">
        <f t="shared" si="251"/>
        <v/>
      </c>
      <c r="AU446" s="3" t="str">
        <f t="shared" si="252"/>
        <v/>
      </c>
      <c r="AW446" s="32" t="str">
        <f t="shared" si="253"/>
        <v/>
      </c>
      <c r="AX446" s="32" t="str">
        <f t="shared" si="254"/>
        <v/>
      </c>
      <c r="AY446" s="32" t="str">
        <f t="shared" si="255"/>
        <v/>
      </c>
      <c r="BA446" s="32" t="str">
        <f>IF($A447="","",F446*Summary!$Q$9)</f>
        <v/>
      </c>
    </row>
    <row r="447" spans="1:53">
      <c r="A447" s="67" t="str">
        <f t="shared" si="256"/>
        <v/>
      </c>
      <c r="B447" s="69" t="str">
        <f t="shared" si="257"/>
        <v/>
      </c>
      <c r="D447" s="69" t="str">
        <f t="shared" si="230"/>
        <v/>
      </c>
      <c r="E447" s="70" t="str">
        <f t="shared" si="231"/>
        <v/>
      </c>
      <c r="F447" s="70" t="str">
        <f t="shared" si="232"/>
        <v/>
      </c>
      <c r="G447" s="63" t="str">
        <f t="shared" si="233"/>
        <v/>
      </c>
      <c r="H447" s="64" t="str">
        <f t="shared" si="234"/>
        <v/>
      </c>
      <c r="J447" s="63" t="str">
        <f t="shared" si="235"/>
        <v/>
      </c>
      <c r="K447" s="64" t="str">
        <f t="shared" si="236"/>
        <v/>
      </c>
      <c r="L447" s="63" t="str">
        <f t="shared" si="237"/>
        <v/>
      </c>
      <c r="M447" s="64" t="str">
        <f t="shared" si="238"/>
        <v/>
      </c>
      <c r="O447" s="63" t="str">
        <f t="shared" si="239"/>
        <v/>
      </c>
      <c r="P447" s="63" t="str">
        <f t="shared" si="240"/>
        <v/>
      </c>
      <c r="R447" s="63" t="str">
        <f t="shared" si="241"/>
        <v/>
      </c>
      <c r="S447" s="64" t="str">
        <f t="shared" si="242"/>
        <v/>
      </c>
      <c r="T447" s="63" t="str">
        <f t="shared" si="243"/>
        <v/>
      </c>
      <c r="U447" s="64" t="str">
        <f t="shared" si="244"/>
        <v/>
      </c>
      <c r="V447" s="90" t="str">
        <f>IF($A448="","",IF(AND(MONTH(A447)&gt;3,MONTH(A447)&lt;11),(T447+R447+G447)*Summary!$T$9/(1-Summary!$T$9),(T447+R447+G447)*Summary!$U$9/(1-Summary!$U$9)))</f>
        <v/>
      </c>
      <c r="W447" s="63" t="str">
        <f t="shared" si="245"/>
        <v/>
      </c>
      <c r="X447" s="63" t="str">
        <f t="shared" si="246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7"/>
        <v/>
      </c>
      <c r="AP447" s="33" t="str">
        <f t="shared" si="248"/>
        <v/>
      </c>
      <c r="AQ447" s="58" t="str">
        <f t="shared" si="249"/>
        <v/>
      </c>
      <c r="AR447" s="38">
        <f>'ANR OK vs ML7'!AR447</f>
        <v>0.1</v>
      </c>
      <c r="AS447" s="35" t="str">
        <f t="shared" si="250"/>
        <v/>
      </c>
      <c r="AT447" s="3" t="str">
        <f t="shared" si="251"/>
        <v/>
      </c>
      <c r="AU447" s="3" t="str">
        <f t="shared" si="252"/>
        <v/>
      </c>
      <c r="AW447" s="32" t="str">
        <f t="shared" si="253"/>
        <v/>
      </c>
      <c r="AX447" s="32" t="str">
        <f t="shared" si="254"/>
        <v/>
      </c>
      <c r="AY447" s="32" t="str">
        <f t="shared" si="255"/>
        <v/>
      </c>
      <c r="BA447" s="32" t="str">
        <f>IF($A448="","",F447*Summary!$Q$9)</f>
        <v/>
      </c>
    </row>
    <row r="448" spans="1:53">
      <c r="A448" s="67" t="str">
        <f t="shared" si="256"/>
        <v/>
      </c>
      <c r="B448" s="69" t="str">
        <f t="shared" si="257"/>
        <v/>
      </c>
      <c r="D448" s="69" t="str">
        <f t="shared" si="230"/>
        <v/>
      </c>
      <c r="E448" s="70" t="str">
        <f t="shared" si="231"/>
        <v/>
      </c>
      <c r="F448" s="70" t="str">
        <f t="shared" si="232"/>
        <v/>
      </c>
      <c r="G448" s="63" t="str">
        <f t="shared" si="233"/>
        <v/>
      </c>
      <c r="H448" s="64" t="str">
        <f t="shared" si="234"/>
        <v/>
      </c>
      <c r="J448" s="63" t="str">
        <f t="shared" si="235"/>
        <v/>
      </c>
      <c r="K448" s="64" t="str">
        <f t="shared" si="236"/>
        <v/>
      </c>
      <c r="L448" s="63" t="str">
        <f t="shared" si="237"/>
        <v/>
      </c>
      <c r="M448" s="64" t="str">
        <f t="shared" si="238"/>
        <v/>
      </c>
      <c r="O448" s="63" t="str">
        <f t="shared" si="239"/>
        <v/>
      </c>
      <c r="P448" s="63" t="str">
        <f t="shared" si="240"/>
        <v/>
      </c>
      <c r="R448" s="63" t="str">
        <f t="shared" si="241"/>
        <v/>
      </c>
      <c r="S448" s="64" t="str">
        <f t="shared" si="242"/>
        <v/>
      </c>
      <c r="T448" s="63" t="str">
        <f t="shared" si="243"/>
        <v/>
      </c>
      <c r="U448" s="64" t="str">
        <f t="shared" si="244"/>
        <v/>
      </c>
      <c r="V448" s="90" t="str">
        <f>IF($A449="","",IF(AND(MONTH(A448)&gt;3,MONTH(A448)&lt;11),(T448+R448+G448)*Summary!$T$9/(1-Summary!$T$9),(T448+R448+G448)*Summary!$U$9/(1-Summary!$U$9)))</f>
        <v/>
      </c>
      <c r="W448" s="63" t="str">
        <f t="shared" si="245"/>
        <v/>
      </c>
      <c r="X448" s="63" t="str">
        <f t="shared" si="246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7"/>
        <v/>
      </c>
      <c r="AP448" s="33" t="str">
        <f t="shared" si="248"/>
        <v/>
      </c>
      <c r="AQ448" s="58" t="str">
        <f t="shared" si="249"/>
        <v/>
      </c>
      <c r="AR448" s="38">
        <f>'ANR OK vs ML7'!AR448</f>
        <v>0.1</v>
      </c>
      <c r="AS448" s="35" t="str">
        <f t="shared" si="250"/>
        <v/>
      </c>
      <c r="AT448" s="3" t="str">
        <f t="shared" si="251"/>
        <v/>
      </c>
      <c r="AU448" s="3" t="str">
        <f t="shared" si="252"/>
        <v/>
      </c>
      <c r="AW448" s="32" t="str">
        <f t="shared" si="253"/>
        <v/>
      </c>
      <c r="AX448" s="32" t="str">
        <f t="shared" si="254"/>
        <v/>
      </c>
      <c r="AY448" s="32" t="str">
        <f t="shared" si="255"/>
        <v/>
      </c>
      <c r="BA448" s="32" t="str">
        <f>IF($A449="","",F448*Summary!$Q$9)</f>
        <v/>
      </c>
    </row>
    <row r="449" spans="1:53">
      <c r="A449" s="67" t="str">
        <f t="shared" si="256"/>
        <v/>
      </c>
      <c r="B449" s="69" t="str">
        <f t="shared" si="257"/>
        <v/>
      </c>
      <c r="D449" s="69" t="str">
        <f t="shared" si="230"/>
        <v/>
      </c>
      <c r="E449" s="70" t="str">
        <f t="shared" si="231"/>
        <v/>
      </c>
      <c r="F449" s="70" t="str">
        <f t="shared" si="232"/>
        <v/>
      </c>
      <c r="G449" s="63" t="str">
        <f t="shared" si="233"/>
        <v/>
      </c>
      <c r="H449" s="64" t="str">
        <f t="shared" si="234"/>
        <v/>
      </c>
      <c r="J449" s="63" t="str">
        <f t="shared" si="235"/>
        <v/>
      </c>
      <c r="K449" s="64" t="str">
        <f t="shared" si="236"/>
        <v/>
      </c>
      <c r="L449" s="63" t="str">
        <f t="shared" si="237"/>
        <v/>
      </c>
      <c r="M449" s="64" t="str">
        <f t="shared" si="238"/>
        <v/>
      </c>
      <c r="O449" s="63" t="str">
        <f t="shared" si="239"/>
        <v/>
      </c>
      <c r="P449" s="63" t="str">
        <f t="shared" si="240"/>
        <v/>
      </c>
      <c r="R449" s="63" t="str">
        <f t="shared" si="241"/>
        <v/>
      </c>
      <c r="S449" s="64" t="str">
        <f t="shared" si="242"/>
        <v/>
      </c>
      <c r="T449" s="63" t="str">
        <f t="shared" si="243"/>
        <v/>
      </c>
      <c r="U449" s="64" t="str">
        <f t="shared" si="244"/>
        <v/>
      </c>
      <c r="V449" s="90" t="str">
        <f>IF($A450="","",IF(AND(MONTH(A449)&gt;3,MONTH(A449)&lt;11),(T449+R449+G449)*Summary!$T$9/(1-Summary!$T$9),(T449+R449+G449)*Summary!$U$9/(1-Summary!$U$9)))</f>
        <v/>
      </c>
      <c r="W449" s="63" t="str">
        <f t="shared" si="245"/>
        <v/>
      </c>
      <c r="X449" s="63" t="str">
        <f t="shared" si="246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7"/>
        <v/>
      </c>
      <c r="AP449" s="33" t="str">
        <f t="shared" si="248"/>
        <v/>
      </c>
      <c r="AQ449" s="58" t="str">
        <f t="shared" si="249"/>
        <v/>
      </c>
      <c r="AR449" s="38">
        <f>'ANR OK vs ML7'!AR449</f>
        <v>0.1</v>
      </c>
      <c r="AS449" s="35" t="str">
        <f t="shared" si="250"/>
        <v/>
      </c>
      <c r="AT449" s="3" t="str">
        <f t="shared" si="251"/>
        <v/>
      </c>
      <c r="AU449" s="3" t="str">
        <f t="shared" si="252"/>
        <v/>
      </c>
      <c r="AW449" s="32" t="str">
        <f t="shared" si="253"/>
        <v/>
      </c>
      <c r="AX449" s="32" t="str">
        <f t="shared" si="254"/>
        <v/>
      </c>
      <c r="AY449" s="32" t="str">
        <f t="shared" si="255"/>
        <v/>
      </c>
      <c r="BA449" s="32" t="str">
        <f>IF($A450="","",F449*Summary!$Q$9)</f>
        <v/>
      </c>
    </row>
    <row r="450" spans="1:53">
      <c r="A450" s="67" t="str">
        <f t="shared" si="256"/>
        <v/>
      </c>
      <c r="B450" s="69" t="str">
        <f t="shared" si="257"/>
        <v/>
      </c>
      <c r="D450" s="69" t="str">
        <f t="shared" si="230"/>
        <v/>
      </c>
      <c r="E450" s="70" t="str">
        <f t="shared" si="231"/>
        <v/>
      </c>
      <c r="F450" s="70" t="str">
        <f t="shared" si="232"/>
        <v/>
      </c>
      <c r="G450" s="63" t="str">
        <f t="shared" si="233"/>
        <v/>
      </c>
      <c r="H450" s="64" t="str">
        <f t="shared" si="234"/>
        <v/>
      </c>
      <c r="J450" s="63" t="str">
        <f t="shared" si="235"/>
        <v/>
      </c>
      <c r="K450" s="64" t="str">
        <f t="shared" si="236"/>
        <v/>
      </c>
      <c r="L450" s="63" t="str">
        <f t="shared" si="237"/>
        <v/>
      </c>
      <c r="M450" s="64" t="str">
        <f t="shared" si="238"/>
        <v/>
      </c>
      <c r="O450" s="63" t="str">
        <f t="shared" si="239"/>
        <v/>
      </c>
      <c r="P450" s="63" t="str">
        <f t="shared" si="240"/>
        <v/>
      </c>
      <c r="R450" s="63" t="str">
        <f t="shared" si="241"/>
        <v/>
      </c>
      <c r="S450" s="64" t="str">
        <f t="shared" si="242"/>
        <v/>
      </c>
      <c r="T450" s="63" t="str">
        <f t="shared" si="243"/>
        <v/>
      </c>
      <c r="U450" s="64" t="str">
        <f t="shared" si="244"/>
        <v/>
      </c>
      <c r="V450" s="90" t="str">
        <f>IF($A451="","",IF(AND(MONTH(A450)&gt;3,MONTH(A450)&lt;11),(T450+R450+G450)*Summary!$T$9/(1-Summary!$T$9),(T450+R450+G450)*Summary!$U$9/(1-Summary!$U$9)))</f>
        <v/>
      </c>
      <c r="W450" s="63" t="str">
        <f t="shared" si="245"/>
        <v/>
      </c>
      <c r="X450" s="63" t="str">
        <f t="shared" si="246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7"/>
        <v/>
      </c>
      <c r="AP450" s="33" t="str">
        <f t="shared" si="248"/>
        <v/>
      </c>
      <c r="AQ450" s="58" t="str">
        <f t="shared" si="249"/>
        <v/>
      </c>
      <c r="AR450" s="38">
        <f>'ANR OK vs ML7'!AR450</f>
        <v>0.1</v>
      </c>
      <c r="AS450" s="35" t="str">
        <f t="shared" si="250"/>
        <v/>
      </c>
      <c r="AT450" s="3" t="str">
        <f t="shared" si="251"/>
        <v/>
      </c>
      <c r="AU450" s="3" t="str">
        <f t="shared" si="252"/>
        <v/>
      </c>
      <c r="AW450" s="32" t="str">
        <f t="shared" si="253"/>
        <v/>
      </c>
      <c r="AX450" s="32" t="str">
        <f t="shared" si="254"/>
        <v/>
      </c>
      <c r="AY450" s="32" t="str">
        <f t="shared" si="255"/>
        <v/>
      </c>
      <c r="BA450" s="32" t="str">
        <f>IF($A451="","",F450*Summary!$Q$9)</f>
        <v/>
      </c>
    </row>
    <row r="451" spans="1:53">
      <c r="A451" s="67" t="str">
        <f t="shared" si="256"/>
        <v/>
      </c>
      <c r="B451" s="69" t="str">
        <f t="shared" si="257"/>
        <v/>
      </c>
      <c r="D451" s="69" t="str">
        <f t="shared" si="230"/>
        <v/>
      </c>
      <c r="E451" s="70" t="str">
        <f t="shared" si="231"/>
        <v/>
      </c>
      <c r="F451" s="70" t="str">
        <f t="shared" si="232"/>
        <v/>
      </c>
      <c r="G451" s="63" t="str">
        <f t="shared" si="233"/>
        <v/>
      </c>
      <c r="H451" s="64" t="str">
        <f t="shared" si="234"/>
        <v/>
      </c>
      <c r="J451" s="63" t="str">
        <f t="shared" si="235"/>
        <v/>
      </c>
      <c r="K451" s="64" t="str">
        <f t="shared" si="236"/>
        <v/>
      </c>
      <c r="L451" s="63" t="str">
        <f t="shared" si="237"/>
        <v/>
      </c>
      <c r="M451" s="64" t="str">
        <f t="shared" si="238"/>
        <v/>
      </c>
      <c r="O451" s="63" t="str">
        <f t="shared" si="239"/>
        <v/>
      </c>
      <c r="P451" s="63" t="str">
        <f t="shared" si="240"/>
        <v/>
      </c>
      <c r="R451" s="63" t="str">
        <f t="shared" si="241"/>
        <v/>
      </c>
      <c r="S451" s="64" t="str">
        <f t="shared" si="242"/>
        <v/>
      </c>
      <c r="T451" s="63" t="str">
        <f t="shared" si="243"/>
        <v/>
      </c>
      <c r="U451" s="64" t="str">
        <f t="shared" si="244"/>
        <v/>
      </c>
      <c r="V451" s="90" t="str">
        <f>IF($A452="","",IF(AND(MONTH(A451)&gt;3,MONTH(A451)&lt;11),(T451+R451+G451)*Summary!$T$9/(1-Summary!$T$9),(T451+R451+G451)*Summary!$U$9/(1-Summary!$U$9)))</f>
        <v/>
      </c>
      <c r="W451" s="63" t="str">
        <f t="shared" si="245"/>
        <v/>
      </c>
      <c r="X451" s="63" t="str">
        <f t="shared" si="246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7"/>
        <v/>
      </c>
      <c r="AP451" s="33" t="str">
        <f t="shared" si="248"/>
        <v/>
      </c>
      <c r="AQ451" s="58" t="str">
        <f t="shared" si="249"/>
        <v/>
      </c>
      <c r="AR451" s="38">
        <f>'ANR OK vs ML7'!AR451</f>
        <v>0.1</v>
      </c>
      <c r="AS451" s="35" t="str">
        <f t="shared" si="250"/>
        <v/>
      </c>
      <c r="AT451" s="3" t="str">
        <f t="shared" si="251"/>
        <v/>
      </c>
      <c r="AU451" s="3" t="str">
        <f t="shared" si="252"/>
        <v/>
      </c>
      <c r="AW451" s="32" t="str">
        <f t="shared" si="253"/>
        <v/>
      </c>
      <c r="AX451" s="32" t="str">
        <f t="shared" si="254"/>
        <v/>
      </c>
      <c r="AY451" s="32" t="str">
        <f t="shared" si="255"/>
        <v/>
      </c>
      <c r="BA451" s="32" t="str">
        <f>IF($A452="","",F451*Summary!$Q$9)</f>
        <v/>
      </c>
    </row>
    <row r="452" spans="1:53">
      <c r="A452" s="67" t="str">
        <f t="shared" si="256"/>
        <v/>
      </c>
      <c r="B452" s="69" t="str">
        <f t="shared" si="257"/>
        <v/>
      </c>
      <c r="D452" s="69" t="str">
        <f t="shared" si="230"/>
        <v/>
      </c>
      <c r="E452" s="70" t="str">
        <f t="shared" si="231"/>
        <v/>
      </c>
      <c r="F452" s="70" t="str">
        <f t="shared" si="232"/>
        <v/>
      </c>
      <c r="G452" s="63" t="str">
        <f t="shared" si="233"/>
        <v/>
      </c>
      <c r="H452" s="64" t="str">
        <f t="shared" si="234"/>
        <v/>
      </c>
      <c r="J452" s="63" t="str">
        <f t="shared" si="235"/>
        <v/>
      </c>
      <c r="K452" s="64" t="str">
        <f t="shared" si="236"/>
        <v/>
      </c>
      <c r="L452" s="63" t="str">
        <f t="shared" si="237"/>
        <v/>
      </c>
      <c r="M452" s="64" t="str">
        <f t="shared" si="238"/>
        <v/>
      </c>
      <c r="O452" s="63" t="str">
        <f t="shared" si="239"/>
        <v/>
      </c>
      <c r="P452" s="63" t="str">
        <f t="shared" si="240"/>
        <v/>
      </c>
      <c r="R452" s="63" t="str">
        <f t="shared" si="241"/>
        <v/>
      </c>
      <c r="S452" s="64" t="str">
        <f t="shared" si="242"/>
        <v/>
      </c>
      <c r="T452" s="63" t="str">
        <f t="shared" si="243"/>
        <v/>
      </c>
      <c r="U452" s="64" t="str">
        <f t="shared" si="244"/>
        <v/>
      </c>
      <c r="V452" s="90" t="str">
        <f>IF($A453="","",IF(AND(MONTH(A452)&gt;3,MONTH(A452)&lt;11),(T452+R452+G452)*Summary!$T$9/(1-Summary!$T$9),(T452+R452+G452)*Summary!$U$9/(1-Summary!$U$9)))</f>
        <v/>
      </c>
      <c r="W452" s="63" t="str">
        <f t="shared" si="245"/>
        <v/>
      </c>
      <c r="X452" s="63" t="str">
        <f t="shared" si="246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7"/>
        <v/>
      </c>
      <c r="AP452" s="33" t="str">
        <f t="shared" si="248"/>
        <v/>
      </c>
      <c r="AQ452" s="58" t="str">
        <f t="shared" si="249"/>
        <v/>
      </c>
      <c r="AR452" s="38">
        <f>'ANR OK vs ML7'!AR452</f>
        <v>0.1</v>
      </c>
      <c r="AS452" s="35" t="str">
        <f t="shared" si="250"/>
        <v/>
      </c>
      <c r="AT452" s="3" t="str">
        <f t="shared" si="251"/>
        <v/>
      </c>
      <c r="AU452" s="3" t="str">
        <f t="shared" si="252"/>
        <v/>
      </c>
      <c r="AW452" s="32" t="str">
        <f t="shared" si="253"/>
        <v/>
      </c>
      <c r="AX452" s="32" t="str">
        <f t="shared" si="254"/>
        <v/>
      </c>
      <c r="AY452" s="32" t="str">
        <f t="shared" si="255"/>
        <v/>
      </c>
      <c r="BA452" s="32" t="str">
        <f>IF($A453="","",F452*Summary!$Q$9)</f>
        <v/>
      </c>
    </row>
    <row r="453" spans="1:53">
      <c r="A453" s="67" t="str">
        <f t="shared" si="256"/>
        <v/>
      </c>
      <c r="B453" s="69" t="str">
        <f t="shared" si="257"/>
        <v/>
      </c>
      <c r="D453" s="69" t="str">
        <f t="shared" si="230"/>
        <v/>
      </c>
      <c r="E453" s="70" t="str">
        <f t="shared" si="231"/>
        <v/>
      </c>
      <c r="F453" s="70" t="str">
        <f t="shared" si="232"/>
        <v/>
      </c>
      <c r="G453" s="63" t="str">
        <f t="shared" si="233"/>
        <v/>
      </c>
      <c r="H453" s="64" t="str">
        <f t="shared" si="234"/>
        <v/>
      </c>
      <c r="J453" s="63" t="str">
        <f t="shared" si="235"/>
        <v/>
      </c>
      <c r="K453" s="64" t="str">
        <f t="shared" si="236"/>
        <v/>
      </c>
      <c r="L453" s="63" t="str">
        <f t="shared" si="237"/>
        <v/>
      </c>
      <c r="M453" s="64" t="str">
        <f t="shared" si="238"/>
        <v/>
      </c>
      <c r="O453" s="63" t="str">
        <f t="shared" si="239"/>
        <v/>
      </c>
      <c r="P453" s="63" t="str">
        <f t="shared" si="240"/>
        <v/>
      </c>
      <c r="R453" s="63" t="str">
        <f t="shared" si="241"/>
        <v/>
      </c>
      <c r="S453" s="64" t="str">
        <f t="shared" si="242"/>
        <v/>
      </c>
      <c r="T453" s="63" t="str">
        <f t="shared" si="243"/>
        <v/>
      </c>
      <c r="U453" s="64" t="str">
        <f t="shared" si="244"/>
        <v/>
      </c>
      <c r="V453" s="90" t="str">
        <f>IF($A454="","",IF(AND(MONTH(A453)&gt;3,MONTH(A453)&lt;11),(T453+R453+G453)*Summary!$T$9/(1-Summary!$T$9),(T453+R453+G453)*Summary!$U$9/(1-Summary!$U$9)))</f>
        <v/>
      </c>
      <c r="W453" s="63" t="str">
        <f t="shared" si="245"/>
        <v/>
      </c>
      <c r="X453" s="63" t="str">
        <f t="shared" si="246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7"/>
        <v/>
      </c>
      <c r="AP453" s="33" t="str">
        <f t="shared" si="248"/>
        <v/>
      </c>
      <c r="AQ453" s="58" t="str">
        <f t="shared" si="249"/>
        <v/>
      </c>
      <c r="AR453" s="38">
        <f>'ANR OK vs ML7'!AR453</f>
        <v>0.1</v>
      </c>
      <c r="AS453" s="35" t="str">
        <f t="shared" si="250"/>
        <v/>
      </c>
      <c r="AT453" s="3" t="str">
        <f t="shared" si="251"/>
        <v/>
      </c>
      <c r="AU453" s="3" t="str">
        <f t="shared" si="252"/>
        <v/>
      </c>
      <c r="AW453" s="32" t="str">
        <f t="shared" si="253"/>
        <v/>
      </c>
      <c r="AX453" s="32" t="str">
        <f t="shared" si="254"/>
        <v/>
      </c>
      <c r="AY453" s="32" t="str">
        <f t="shared" si="255"/>
        <v/>
      </c>
      <c r="BA453" s="32" t="str">
        <f>IF($A454="","",F453*Summary!$Q$9)</f>
        <v/>
      </c>
    </row>
    <row r="454" spans="1:53">
      <c r="A454" s="67" t="str">
        <f t="shared" si="256"/>
        <v/>
      </c>
      <c r="B454" s="69" t="str">
        <f t="shared" si="257"/>
        <v/>
      </c>
      <c r="D454" s="69" t="str">
        <f t="shared" si="230"/>
        <v/>
      </c>
      <c r="E454" s="70" t="str">
        <f t="shared" si="231"/>
        <v/>
      </c>
      <c r="F454" s="70" t="str">
        <f t="shared" si="232"/>
        <v/>
      </c>
      <c r="G454" s="63" t="str">
        <f t="shared" si="233"/>
        <v/>
      </c>
      <c r="H454" s="64" t="str">
        <f t="shared" si="234"/>
        <v/>
      </c>
      <c r="J454" s="63" t="str">
        <f t="shared" si="235"/>
        <v/>
      </c>
      <c r="K454" s="64" t="str">
        <f t="shared" si="236"/>
        <v/>
      </c>
      <c r="L454" s="63" t="str">
        <f t="shared" si="237"/>
        <v/>
      </c>
      <c r="M454" s="64" t="str">
        <f t="shared" si="238"/>
        <v/>
      </c>
      <c r="O454" s="63" t="str">
        <f t="shared" si="239"/>
        <v/>
      </c>
      <c r="P454" s="63" t="str">
        <f t="shared" si="240"/>
        <v/>
      </c>
      <c r="R454" s="63" t="str">
        <f t="shared" si="241"/>
        <v/>
      </c>
      <c r="S454" s="64" t="str">
        <f t="shared" si="242"/>
        <v/>
      </c>
      <c r="T454" s="63" t="str">
        <f t="shared" si="243"/>
        <v/>
      </c>
      <c r="U454" s="64" t="str">
        <f t="shared" si="244"/>
        <v/>
      </c>
      <c r="V454" s="90" t="str">
        <f>IF($A455="","",IF(AND(MONTH(A454)&gt;3,MONTH(A454)&lt;11),(T454+R454+G454)*Summary!$T$9/(1-Summary!$T$9),(T454+R454+G454)*Summary!$U$9/(1-Summary!$U$9)))</f>
        <v/>
      </c>
      <c r="W454" s="63" t="str">
        <f t="shared" si="245"/>
        <v/>
      </c>
      <c r="X454" s="63" t="str">
        <f t="shared" si="246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7"/>
        <v/>
      </c>
      <c r="AP454" s="33" t="str">
        <f t="shared" si="248"/>
        <v/>
      </c>
      <c r="AQ454" s="58" t="str">
        <f t="shared" si="249"/>
        <v/>
      </c>
      <c r="AR454" s="38">
        <f>'ANR OK vs ML7'!AR454</f>
        <v>0.1</v>
      </c>
      <c r="AS454" s="35" t="str">
        <f t="shared" si="250"/>
        <v/>
      </c>
      <c r="AT454" s="3" t="str">
        <f t="shared" si="251"/>
        <v/>
      </c>
      <c r="AU454" s="3" t="str">
        <f t="shared" si="252"/>
        <v/>
      </c>
      <c r="AW454" s="32" t="str">
        <f t="shared" si="253"/>
        <v/>
      </c>
      <c r="AX454" s="32" t="str">
        <f t="shared" si="254"/>
        <v/>
      </c>
      <c r="AY454" s="32" t="str">
        <f t="shared" si="255"/>
        <v/>
      </c>
      <c r="BA454" s="32" t="str">
        <f>IF($A455="","",F454*Summary!$Q$9)</f>
        <v/>
      </c>
    </row>
    <row r="455" spans="1:53">
      <c r="A455" s="67" t="str">
        <f t="shared" si="256"/>
        <v/>
      </c>
      <c r="B455" s="69" t="str">
        <f t="shared" si="257"/>
        <v/>
      </c>
      <c r="D455" s="69" t="str">
        <f t="shared" si="230"/>
        <v/>
      </c>
      <c r="E455" s="70" t="str">
        <f t="shared" si="231"/>
        <v/>
      </c>
      <c r="F455" s="70" t="str">
        <f t="shared" si="232"/>
        <v/>
      </c>
      <c r="G455" s="63" t="str">
        <f t="shared" si="233"/>
        <v/>
      </c>
      <c r="H455" s="64" t="str">
        <f t="shared" si="234"/>
        <v/>
      </c>
      <c r="J455" s="63" t="str">
        <f t="shared" si="235"/>
        <v/>
      </c>
      <c r="K455" s="64" t="str">
        <f t="shared" si="236"/>
        <v/>
      </c>
      <c r="L455" s="63" t="str">
        <f t="shared" si="237"/>
        <v/>
      </c>
      <c r="M455" s="64" t="str">
        <f t="shared" si="238"/>
        <v/>
      </c>
      <c r="O455" s="63" t="str">
        <f t="shared" si="239"/>
        <v/>
      </c>
      <c r="P455" s="63" t="str">
        <f t="shared" si="240"/>
        <v/>
      </c>
      <c r="R455" s="63" t="str">
        <f t="shared" si="241"/>
        <v/>
      </c>
      <c r="S455" s="64" t="str">
        <f t="shared" si="242"/>
        <v/>
      </c>
      <c r="T455" s="63" t="str">
        <f t="shared" si="243"/>
        <v/>
      </c>
      <c r="U455" s="64" t="str">
        <f t="shared" si="244"/>
        <v/>
      </c>
      <c r="V455" s="90" t="str">
        <f>IF($A456="","",IF(AND(MONTH(A455)&gt;3,MONTH(A455)&lt;11),(T455+R455+G455)*Summary!$T$9/(1-Summary!$T$9),(T455+R455+G455)*Summary!$U$9/(1-Summary!$U$9)))</f>
        <v/>
      </c>
      <c r="W455" s="63" t="str">
        <f t="shared" si="245"/>
        <v/>
      </c>
      <c r="X455" s="63" t="str">
        <f t="shared" si="246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7"/>
        <v/>
      </c>
      <c r="AP455" s="33" t="str">
        <f t="shared" si="248"/>
        <v/>
      </c>
      <c r="AQ455" s="58" t="str">
        <f t="shared" si="249"/>
        <v/>
      </c>
      <c r="AR455" s="38">
        <f>'ANR OK vs ML7'!AR455</f>
        <v>0.1</v>
      </c>
      <c r="AS455" s="35" t="str">
        <f t="shared" si="250"/>
        <v/>
      </c>
      <c r="AT455" s="3" t="str">
        <f t="shared" si="251"/>
        <v/>
      </c>
      <c r="AU455" s="3" t="str">
        <f t="shared" si="252"/>
        <v/>
      </c>
      <c r="AW455" s="32" t="str">
        <f t="shared" si="253"/>
        <v/>
      </c>
      <c r="AX455" s="32" t="str">
        <f t="shared" si="254"/>
        <v/>
      </c>
      <c r="AY455" s="32" t="str">
        <f t="shared" si="255"/>
        <v/>
      </c>
      <c r="BA455" s="32" t="str">
        <f>IF($A456="","",F455*Summary!$Q$9)</f>
        <v/>
      </c>
    </row>
    <row r="456" spans="1:53">
      <c r="A456" s="67" t="str">
        <f t="shared" si="256"/>
        <v/>
      </c>
      <c r="B456" s="69" t="str">
        <f t="shared" si="257"/>
        <v/>
      </c>
      <c r="D456" s="69" t="str">
        <f t="shared" si="230"/>
        <v/>
      </c>
      <c r="E456" s="70" t="str">
        <f t="shared" si="231"/>
        <v/>
      </c>
      <c r="F456" s="70" t="str">
        <f t="shared" si="232"/>
        <v/>
      </c>
      <c r="G456" s="63" t="str">
        <f t="shared" si="233"/>
        <v/>
      </c>
      <c r="H456" s="64" t="str">
        <f t="shared" si="234"/>
        <v/>
      </c>
      <c r="J456" s="63" t="str">
        <f t="shared" si="235"/>
        <v/>
      </c>
      <c r="K456" s="64" t="str">
        <f t="shared" si="236"/>
        <v/>
      </c>
      <c r="L456" s="63" t="str">
        <f t="shared" si="237"/>
        <v/>
      </c>
      <c r="M456" s="64" t="str">
        <f t="shared" si="238"/>
        <v/>
      </c>
      <c r="O456" s="63" t="str">
        <f t="shared" si="239"/>
        <v/>
      </c>
      <c r="P456" s="63" t="str">
        <f t="shared" si="240"/>
        <v/>
      </c>
      <c r="R456" s="63" t="str">
        <f t="shared" si="241"/>
        <v/>
      </c>
      <c r="S456" s="64" t="str">
        <f t="shared" si="242"/>
        <v/>
      </c>
      <c r="T456" s="63" t="str">
        <f t="shared" si="243"/>
        <v/>
      </c>
      <c r="U456" s="64" t="str">
        <f t="shared" si="244"/>
        <v/>
      </c>
      <c r="V456" s="90" t="str">
        <f>IF($A457="","",IF(AND(MONTH(A456)&gt;3,MONTH(A456)&lt;11),(T456+R456+G456)*Summary!$T$9/(1-Summary!$T$9),(T456+R456+G456)*Summary!$U$9/(1-Summary!$U$9)))</f>
        <v/>
      </c>
      <c r="W456" s="63" t="str">
        <f t="shared" si="245"/>
        <v/>
      </c>
      <c r="X456" s="63" t="str">
        <f t="shared" si="246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7"/>
        <v/>
      </c>
      <c r="AP456" s="33" t="str">
        <f t="shared" si="248"/>
        <v/>
      </c>
      <c r="AQ456" s="58" t="str">
        <f t="shared" si="249"/>
        <v/>
      </c>
      <c r="AR456" s="38">
        <f>'ANR OK vs ML7'!AR456</f>
        <v>0.1</v>
      </c>
      <c r="AS456" s="35" t="str">
        <f t="shared" si="250"/>
        <v/>
      </c>
      <c r="AT456" s="3" t="str">
        <f t="shared" si="251"/>
        <v/>
      </c>
      <c r="AU456" s="3" t="str">
        <f t="shared" si="252"/>
        <v/>
      </c>
      <c r="AW456" s="32" t="str">
        <f t="shared" si="253"/>
        <v/>
      </c>
      <c r="AX456" s="32" t="str">
        <f t="shared" si="254"/>
        <v/>
      </c>
      <c r="AY456" s="32" t="str">
        <f t="shared" si="255"/>
        <v/>
      </c>
      <c r="BA456" s="32" t="str">
        <f>IF($A457="","",F456*Summary!$Q$9)</f>
        <v/>
      </c>
    </row>
    <row r="457" spans="1:53">
      <c r="A457" s="67" t="str">
        <f t="shared" si="256"/>
        <v/>
      </c>
      <c r="B457" s="69" t="str">
        <f t="shared" si="257"/>
        <v/>
      </c>
      <c r="D457" s="69" t="str">
        <f t="shared" si="230"/>
        <v/>
      </c>
      <c r="E457" s="70" t="str">
        <f t="shared" si="231"/>
        <v/>
      </c>
      <c r="F457" s="70" t="str">
        <f t="shared" si="232"/>
        <v/>
      </c>
      <c r="G457" s="63" t="str">
        <f t="shared" si="233"/>
        <v/>
      </c>
      <c r="H457" s="64" t="str">
        <f t="shared" si="234"/>
        <v/>
      </c>
      <c r="J457" s="63" t="str">
        <f t="shared" si="235"/>
        <v/>
      </c>
      <c r="K457" s="64" t="str">
        <f t="shared" si="236"/>
        <v/>
      </c>
      <c r="L457" s="63" t="str">
        <f t="shared" si="237"/>
        <v/>
      </c>
      <c r="M457" s="64" t="str">
        <f t="shared" si="238"/>
        <v/>
      </c>
      <c r="O457" s="63" t="str">
        <f t="shared" si="239"/>
        <v/>
      </c>
      <c r="P457" s="63" t="str">
        <f t="shared" si="240"/>
        <v/>
      </c>
      <c r="R457" s="63" t="str">
        <f t="shared" si="241"/>
        <v/>
      </c>
      <c r="S457" s="64" t="str">
        <f t="shared" si="242"/>
        <v/>
      </c>
      <c r="T457" s="63" t="str">
        <f t="shared" si="243"/>
        <v/>
      </c>
      <c r="U457" s="64" t="str">
        <f t="shared" si="244"/>
        <v/>
      </c>
      <c r="V457" s="90" t="str">
        <f>IF($A458="","",IF(AND(MONTH(A457)&gt;3,MONTH(A457)&lt;11),(T457+R457+G457)*Summary!$T$9/(1-Summary!$T$9),(T457+R457+G457)*Summary!$U$9/(1-Summary!$U$9)))</f>
        <v/>
      </c>
      <c r="W457" s="63" t="str">
        <f t="shared" si="245"/>
        <v/>
      </c>
      <c r="X457" s="63" t="str">
        <f t="shared" si="246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7"/>
        <v/>
      </c>
      <c r="AP457" s="33" t="str">
        <f t="shared" si="248"/>
        <v/>
      </c>
      <c r="AQ457" s="58" t="str">
        <f t="shared" si="249"/>
        <v/>
      </c>
      <c r="AR457" s="38">
        <f>'ANR OK vs ML7'!AR457</f>
        <v>0.1</v>
      </c>
      <c r="AS457" s="35" t="str">
        <f t="shared" si="250"/>
        <v/>
      </c>
      <c r="AT457" s="3" t="str">
        <f t="shared" si="251"/>
        <v/>
      </c>
      <c r="AU457" s="3" t="str">
        <f t="shared" si="252"/>
        <v/>
      </c>
      <c r="AW457" s="32" t="str">
        <f t="shared" si="253"/>
        <v/>
      </c>
      <c r="AX457" s="32" t="str">
        <f t="shared" si="254"/>
        <v/>
      </c>
      <c r="AY457" s="32" t="str">
        <f t="shared" si="255"/>
        <v/>
      </c>
      <c r="BA457" s="32" t="str">
        <f>IF($A458="","",F457*Summary!$Q$9)</f>
        <v/>
      </c>
    </row>
    <row r="458" spans="1:53">
      <c r="A458" s="67" t="str">
        <f t="shared" si="256"/>
        <v/>
      </c>
      <c r="B458" s="69" t="str">
        <f t="shared" si="257"/>
        <v/>
      </c>
      <c r="D458" s="69" t="str">
        <f t="shared" ref="D458:D499" si="258">IF(A459&lt;&gt;"",B458+C458,"")</f>
        <v/>
      </c>
      <c r="E458" s="70" t="str">
        <f t="shared" ref="E458:E499" si="259">IF(A459="","",IF(AND(AT458=1,$H$3=1),D458*AO458,IF($H$3=2,D458,"N/A")))</f>
        <v/>
      </c>
      <c r="F458" s="70" t="str">
        <f t="shared" ref="F458:F499" si="260">IF(A459="","",E458*AS458)</f>
        <v/>
      </c>
      <c r="G458" s="63" t="str">
        <f t="shared" ref="G458:G499" si="261">IF($A459="","",VLOOKUP($A458,Table,MATCH(G$4,Curves,0)))</f>
        <v/>
      </c>
      <c r="H458" s="64" t="str">
        <f t="shared" ref="H458:H499" si="262">IF(A459="","",G458)</f>
        <v/>
      </c>
      <c r="J458" s="63" t="str">
        <f t="shared" ref="J458:J499" si="263">IF($A459="","",VLOOKUP($A458,Table,MATCH(J$4,Curves,0)))</f>
        <v/>
      </c>
      <c r="K458" s="64" t="str">
        <f t="shared" ref="K458:K499" si="264">IF(A459="","",J458)</f>
        <v/>
      </c>
      <c r="L458" s="63" t="str">
        <f t="shared" ref="L458:L499" si="265">IF($A459="","",VLOOKUP($A458,Table,MATCH(L$4,Curves,0)))</f>
        <v/>
      </c>
      <c r="M458" s="64" t="str">
        <f t="shared" ref="M458:M499" si="266">IF(A459="","",L458)</f>
        <v/>
      </c>
      <c r="O458" s="63" t="str">
        <f t="shared" ref="O458:O499" si="267">IF(A459="","",L458+J458+G458)</f>
        <v/>
      </c>
      <c r="P458" s="63" t="str">
        <f t="shared" ref="P458:P499" si="268">IF(A459="","",M458+K458+H458)</f>
        <v/>
      </c>
      <c r="R458" s="63" t="str">
        <f t="shared" ref="R458:R499" si="269">IF($A459="","",VLOOKUP($A458,Table,MATCH(R$4,Curves,0)))</f>
        <v/>
      </c>
      <c r="S458" s="64" t="str">
        <f t="shared" ref="S458:S499" si="270">IF(A459="","",R458)</f>
        <v/>
      </c>
      <c r="T458" s="63" t="str">
        <f t="shared" ref="T458:T499" si="271">IF($A459="","",VLOOKUP($A458,Table,MATCH(T$4,Curves,0)))</f>
        <v/>
      </c>
      <c r="U458" s="64" t="str">
        <f t="shared" ref="U458:U499" si="272">IF(A459="","",T458)</f>
        <v/>
      </c>
      <c r="V458" s="90" t="str">
        <f>IF($A459="","",IF(AND(MONTH(A458)&gt;3,MONTH(A458)&lt;11),(T458+R458+G458)*Summary!$T$9/(1-Summary!$T$9),(T458+R458+G458)*Summary!$U$9/(1-Summary!$U$9)))</f>
        <v/>
      </c>
      <c r="W458" s="63" t="str">
        <f t="shared" ref="W458:W499" si="273">IF($A459="","",(T458+R458+G458+V458))</f>
        <v/>
      </c>
      <c r="X458" s="63" t="str">
        <f t="shared" ref="X458:X499" si="274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75">IF(A459="","",A459-A458)</f>
        <v/>
      </c>
      <c r="AP458" s="33" t="str">
        <f t="shared" ref="AP458:AP499" si="276">IF(A459="","",CHOOSE(F$3,A459+24,A458))</f>
        <v/>
      </c>
      <c r="AQ458" s="58" t="str">
        <f t="shared" ref="AQ458:AQ499" si="277">IF(A459="","",AP458-$E$1)</f>
        <v/>
      </c>
      <c r="AR458" s="38">
        <f>'ANR OK vs ML7'!AR458</f>
        <v>0.1</v>
      </c>
      <c r="AS458" s="35" t="str">
        <f t="shared" ref="AS458:AS499" si="278">IF(A459="","",1/(1+CHOOSE(F$3,(AR459+($I$3/10000))/2,(AR458+($I$3/10000))/2))^(2*AQ458/365.25))</f>
        <v/>
      </c>
      <c r="AT458" s="3" t="str">
        <f t="shared" ref="AT458:AT499" si="279">IF(A459="","",IF(AND(mthbeg&lt;=A458,mthend&gt;=A458),1,0))</f>
        <v/>
      </c>
      <c r="AU458" s="3" t="str">
        <f t="shared" ref="AU458:AU499" si="280">IF(A459="","",AO458*AT458)</f>
        <v/>
      </c>
      <c r="AW458" s="32" t="str">
        <f t="shared" ref="AW458:AW501" si="281">IF($A459="","",AL458*$E458)</f>
        <v/>
      </c>
      <c r="AX458" s="32" t="str">
        <f t="shared" ref="AX458:AX501" si="282">IF($A459="","",AM458*$E458)</f>
        <v/>
      </c>
      <c r="AY458" s="32" t="str">
        <f t="shared" ref="AY458:AY501" si="283">IF($A459="","",AN458*$E458)</f>
        <v/>
      </c>
      <c r="BA458" s="32" t="str">
        <f>IF($A459="","",F458*Summary!$Q$9)</f>
        <v/>
      </c>
    </row>
    <row r="459" spans="1:53">
      <c r="A459" s="67" t="str">
        <f t="shared" ref="A459:A501" si="284">IF(A458&lt;mthend,EDATE(A458,1),"")</f>
        <v/>
      </c>
      <c r="B459" s="69" t="str">
        <f t="shared" si="257"/>
        <v/>
      </c>
      <c r="D459" s="69" t="str">
        <f t="shared" si="258"/>
        <v/>
      </c>
      <c r="E459" s="70" t="str">
        <f t="shared" si="259"/>
        <v/>
      </c>
      <c r="F459" s="70" t="str">
        <f t="shared" si="260"/>
        <v/>
      </c>
      <c r="G459" s="63" t="str">
        <f t="shared" si="261"/>
        <v/>
      </c>
      <c r="H459" s="64" t="str">
        <f t="shared" si="262"/>
        <v/>
      </c>
      <c r="J459" s="63" t="str">
        <f t="shared" si="263"/>
        <v/>
      </c>
      <c r="K459" s="64" t="str">
        <f t="shared" si="264"/>
        <v/>
      </c>
      <c r="L459" s="63" t="str">
        <f t="shared" si="265"/>
        <v/>
      </c>
      <c r="M459" s="64" t="str">
        <f t="shared" si="266"/>
        <v/>
      </c>
      <c r="O459" s="63" t="str">
        <f t="shared" si="267"/>
        <v/>
      </c>
      <c r="P459" s="63" t="str">
        <f t="shared" si="268"/>
        <v/>
      </c>
      <c r="R459" s="63" t="str">
        <f t="shared" si="269"/>
        <v/>
      </c>
      <c r="S459" s="64" t="str">
        <f t="shared" si="270"/>
        <v/>
      </c>
      <c r="T459" s="63" t="str">
        <f t="shared" si="271"/>
        <v/>
      </c>
      <c r="U459" s="64" t="str">
        <f t="shared" si="272"/>
        <v/>
      </c>
      <c r="V459" s="90" t="str">
        <f>IF($A460="","",IF(AND(MONTH(A459)&gt;3,MONTH(A459)&lt;11),(T459+R459+G459)*Summary!$T$9/(1-Summary!$T$9),(T459+R459+G459)*Summary!$U$9/(1-Summary!$U$9)))</f>
        <v/>
      </c>
      <c r="W459" s="63" t="str">
        <f t="shared" si="273"/>
        <v/>
      </c>
      <c r="X459" s="63" t="str">
        <f t="shared" si="274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75"/>
        <v/>
      </c>
      <c r="AP459" s="33" t="str">
        <f t="shared" si="276"/>
        <v/>
      </c>
      <c r="AQ459" s="58" t="str">
        <f t="shared" si="277"/>
        <v/>
      </c>
      <c r="AR459" s="38">
        <f>'ANR OK vs ML7'!AR459</f>
        <v>0.1</v>
      </c>
      <c r="AS459" s="35" t="str">
        <f t="shared" si="278"/>
        <v/>
      </c>
      <c r="AT459" s="3" t="str">
        <f t="shared" si="279"/>
        <v/>
      </c>
      <c r="AU459" s="3" t="str">
        <f t="shared" si="280"/>
        <v/>
      </c>
      <c r="AW459" s="32" t="str">
        <f t="shared" si="281"/>
        <v/>
      </c>
      <c r="AX459" s="32" t="str">
        <f t="shared" si="282"/>
        <v/>
      </c>
      <c r="AY459" s="32" t="str">
        <f t="shared" si="283"/>
        <v/>
      </c>
      <c r="BA459" s="32" t="str">
        <f>IF($A460="","",F459*Summary!$Q$9)</f>
        <v/>
      </c>
    </row>
    <row r="460" spans="1:53">
      <c r="A460" s="67" t="str">
        <f t="shared" si="284"/>
        <v/>
      </c>
      <c r="B460" s="69" t="str">
        <f t="shared" ref="B460:B501" si="285">IF(A460&lt;mthend,B459,"")</f>
        <v/>
      </c>
      <c r="D460" s="69" t="str">
        <f t="shared" si="258"/>
        <v/>
      </c>
      <c r="E460" s="70" t="str">
        <f t="shared" si="259"/>
        <v/>
      </c>
      <c r="F460" s="70" t="str">
        <f t="shared" si="260"/>
        <v/>
      </c>
      <c r="G460" s="63" t="str">
        <f t="shared" si="261"/>
        <v/>
      </c>
      <c r="H460" s="64" t="str">
        <f t="shared" si="262"/>
        <v/>
      </c>
      <c r="J460" s="63" t="str">
        <f t="shared" si="263"/>
        <v/>
      </c>
      <c r="K460" s="64" t="str">
        <f t="shared" si="264"/>
        <v/>
      </c>
      <c r="L460" s="63" t="str">
        <f t="shared" si="265"/>
        <v/>
      </c>
      <c r="M460" s="64" t="str">
        <f t="shared" si="266"/>
        <v/>
      </c>
      <c r="O460" s="63" t="str">
        <f t="shared" si="267"/>
        <v/>
      </c>
      <c r="P460" s="63" t="str">
        <f t="shared" si="268"/>
        <v/>
      </c>
      <c r="R460" s="63" t="str">
        <f t="shared" si="269"/>
        <v/>
      </c>
      <c r="S460" s="64" t="str">
        <f t="shared" si="270"/>
        <v/>
      </c>
      <c r="T460" s="63" t="str">
        <f t="shared" si="271"/>
        <v/>
      </c>
      <c r="U460" s="64" t="str">
        <f t="shared" si="272"/>
        <v/>
      </c>
      <c r="V460" s="90" t="str">
        <f>IF($A461="","",IF(AND(MONTH(A460)&gt;3,MONTH(A460)&lt;11),(T460+R460+G460)*Summary!$T$9/(1-Summary!$T$9),(T460+R460+G460)*Summary!$U$9/(1-Summary!$U$9)))</f>
        <v/>
      </c>
      <c r="W460" s="63" t="str">
        <f t="shared" si="273"/>
        <v/>
      </c>
      <c r="X460" s="63" t="str">
        <f t="shared" si="274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75"/>
        <v/>
      </c>
      <c r="AP460" s="33" t="str">
        <f t="shared" si="276"/>
        <v/>
      </c>
      <c r="AQ460" s="58" t="str">
        <f t="shared" si="277"/>
        <v/>
      </c>
      <c r="AR460" s="38">
        <f>'ANR OK vs ML7'!AR460</f>
        <v>0.1</v>
      </c>
      <c r="AS460" s="35" t="str">
        <f t="shared" si="278"/>
        <v/>
      </c>
      <c r="AT460" s="3" t="str">
        <f t="shared" si="279"/>
        <v/>
      </c>
      <c r="AU460" s="3" t="str">
        <f t="shared" si="280"/>
        <v/>
      </c>
      <c r="AW460" s="32" t="str">
        <f t="shared" si="281"/>
        <v/>
      </c>
      <c r="AX460" s="32" t="str">
        <f t="shared" si="282"/>
        <v/>
      </c>
      <c r="AY460" s="32" t="str">
        <f t="shared" si="283"/>
        <v/>
      </c>
      <c r="BA460" s="32" t="str">
        <f>IF($A461="","",F460*Summary!$Q$9)</f>
        <v/>
      </c>
    </row>
    <row r="461" spans="1:53">
      <c r="A461" s="67" t="str">
        <f t="shared" si="284"/>
        <v/>
      </c>
      <c r="B461" s="69" t="str">
        <f t="shared" si="285"/>
        <v/>
      </c>
      <c r="D461" s="69" t="str">
        <f t="shared" si="258"/>
        <v/>
      </c>
      <c r="E461" s="70" t="str">
        <f t="shared" si="259"/>
        <v/>
      </c>
      <c r="F461" s="70" t="str">
        <f t="shared" si="260"/>
        <v/>
      </c>
      <c r="G461" s="63" t="str">
        <f t="shared" si="261"/>
        <v/>
      </c>
      <c r="H461" s="64" t="str">
        <f t="shared" si="262"/>
        <v/>
      </c>
      <c r="J461" s="63" t="str">
        <f t="shared" si="263"/>
        <v/>
      </c>
      <c r="K461" s="64" t="str">
        <f t="shared" si="264"/>
        <v/>
      </c>
      <c r="L461" s="63" t="str">
        <f t="shared" si="265"/>
        <v/>
      </c>
      <c r="M461" s="64" t="str">
        <f t="shared" si="266"/>
        <v/>
      </c>
      <c r="O461" s="63" t="str">
        <f t="shared" si="267"/>
        <v/>
      </c>
      <c r="P461" s="63" t="str">
        <f t="shared" si="268"/>
        <v/>
      </c>
      <c r="R461" s="63" t="str">
        <f t="shared" si="269"/>
        <v/>
      </c>
      <c r="S461" s="64" t="str">
        <f t="shared" si="270"/>
        <v/>
      </c>
      <c r="T461" s="63" t="str">
        <f t="shared" si="271"/>
        <v/>
      </c>
      <c r="U461" s="64" t="str">
        <f t="shared" si="272"/>
        <v/>
      </c>
      <c r="V461" s="90" t="str">
        <f>IF($A462="","",IF(AND(MONTH(A461)&gt;3,MONTH(A461)&lt;11),(T461+R461+G461)*Summary!$T$9/(1-Summary!$T$9),(T461+R461+G461)*Summary!$U$9/(1-Summary!$U$9)))</f>
        <v/>
      </c>
      <c r="W461" s="63" t="str">
        <f t="shared" si="273"/>
        <v/>
      </c>
      <c r="X461" s="63" t="str">
        <f t="shared" si="274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75"/>
        <v/>
      </c>
      <c r="AP461" s="33" t="str">
        <f t="shared" si="276"/>
        <v/>
      </c>
      <c r="AQ461" s="58" t="str">
        <f t="shared" si="277"/>
        <v/>
      </c>
      <c r="AR461" s="38">
        <f>'ANR OK vs ML7'!AR461</f>
        <v>0.1</v>
      </c>
      <c r="AS461" s="35" t="str">
        <f t="shared" si="278"/>
        <v/>
      </c>
      <c r="AT461" s="3" t="str">
        <f t="shared" si="279"/>
        <v/>
      </c>
      <c r="AU461" s="3" t="str">
        <f t="shared" si="280"/>
        <v/>
      </c>
      <c r="AW461" s="32" t="str">
        <f t="shared" si="281"/>
        <v/>
      </c>
      <c r="AX461" s="32" t="str">
        <f t="shared" si="282"/>
        <v/>
      </c>
      <c r="AY461" s="32" t="str">
        <f t="shared" si="283"/>
        <v/>
      </c>
      <c r="BA461" s="32" t="str">
        <f>IF($A462="","",F461*Summary!$Q$9)</f>
        <v/>
      </c>
    </row>
    <row r="462" spans="1:53">
      <c r="A462" s="67" t="str">
        <f t="shared" si="284"/>
        <v/>
      </c>
      <c r="B462" s="69" t="str">
        <f t="shared" si="285"/>
        <v/>
      </c>
      <c r="D462" s="69" t="str">
        <f t="shared" si="258"/>
        <v/>
      </c>
      <c r="E462" s="70" t="str">
        <f t="shared" si="259"/>
        <v/>
      </c>
      <c r="F462" s="70" t="str">
        <f t="shared" si="260"/>
        <v/>
      </c>
      <c r="G462" s="63" t="str">
        <f t="shared" si="261"/>
        <v/>
      </c>
      <c r="H462" s="64" t="str">
        <f t="shared" si="262"/>
        <v/>
      </c>
      <c r="J462" s="63" t="str">
        <f t="shared" si="263"/>
        <v/>
      </c>
      <c r="K462" s="64" t="str">
        <f t="shared" si="264"/>
        <v/>
      </c>
      <c r="L462" s="63" t="str">
        <f t="shared" si="265"/>
        <v/>
      </c>
      <c r="M462" s="64" t="str">
        <f t="shared" si="266"/>
        <v/>
      </c>
      <c r="O462" s="63" t="str">
        <f t="shared" si="267"/>
        <v/>
      </c>
      <c r="P462" s="63" t="str">
        <f t="shared" si="268"/>
        <v/>
      </c>
      <c r="R462" s="63" t="str">
        <f t="shared" si="269"/>
        <v/>
      </c>
      <c r="S462" s="64" t="str">
        <f t="shared" si="270"/>
        <v/>
      </c>
      <c r="T462" s="63" t="str">
        <f t="shared" si="271"/>
        <v/>
      </c>
      <c r="U462" s="64" t="str">
        <f t="shared" si="272"/>
        <v/>
      </c>
      <c r="V462" s="90" t="str">
        <f>IF($A463="","",IF(AND(MONTH(A462)&gt;3,MONTH(A462)&lt;11),(T462+R462+G462)*Summary!$T$9/(1-Summary!$T$9),(T462+R462+G462)*Summary!$U$9/(1-Summary!$U$9)))</f>
        <v/>
      </c>
      <c r="W462" s="63" t="str">
        <f t="shared" si="273"/>
        <v/>
      </c>
      <c r="X462" s="63" t="str">
        <f t="shared" si="274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75"/>
        <v/>
      </c>
      <c r="AP462" s="33" t="str">
        <f t="shared" si="276"/>
        <v/>
      </c>
      <c r="AQ462" s="58" t="str">
        <f t="shared" si="277"/>
        <v/>
      </c>
      <c r="AR462" s="38">
        <f>'ANR OK vs ML7'!AR462</f>
        <v>0.1</v>
      </c>
      <c r="AS462" s="35" t="str">
        <f t="shared" si="278"/>
        <v/>
      </c>
      <c r="AT462" s="3" t="str">
        <f t="shared" si="279"/>
        <v/>
      </c>
      <c r="AU462" s="3" t="str">
        <f t="shared" si="280"/>
        <v/>
      </c>
      <c r="AW462" s="32" t="str">
        <f t="shared" si="281"/>
        <v/>
      </c>
      <c r="AX462" s="32" t="str">
        <f t="shared" si="282"/>
        <v/>
      </c>
      <c r="AY462" s="32" t="str">
        <f t="shared" si="283"/>
        <v/>
      </c>
      <c r="BA462" s="32" t="str">
        <f>IF($A463="","",F462*Summary!$Q$9)</f>
        <v/>
      </c>
    </row>
    <row r="463" spans="1:53">
      <c r="A463" s="67" t="str">
        <f t="shared" si="284"/>
        <v/>
      </c>
      <c r="B463" s="69" t="str">
        <f t="shared" si="285"/>
        <v/>
      </c>
      <c r="D463" s="69" t="str">
        <f t="shared" si="258"/>
        <v/>
      </c>
      <c r="E463" s="70" t="str">
        <f t="shared" si="259"/>
        <v/>
      </c>
      <c r="F463" s="70" t="str">
        <f t="shared" si="260"/>
        <v/>
      </c>
      <c r="G463" s="63" t="str">
        <f t="shared" si="261"/>
        <v/>
      </c>
      <c r="H463" s="64" t="str">
        <f t="shared" si="262"/>
        <v/>
      </c>
      <c r="J463" s="63" t="str">
        <f t="shared" si="263"/>
        <v/>
      </c>
      <c r="K463" s="64" t="str">
        <f t="shared" si="264"/>
        <v/>
      </c>
      <c r="L463" s="63" t="str">
        <f t="shared" si="265"/>
        <v/>
      </c>
      <c r="M463" s="64" t="str">
        <f t="shared" si="266"/>
        <v/>
      </c>
      <c r="O463" s="63" t="str">
        <f t="shared" si="267"/>
        <v/>
      </c>
      <c r="P463" s="63" t="str">
        <f t="shared" si="268"/>
        <v/>
      </c>
      <c r="R463" s="63" t="str">
        <f t="shared" si="269"/>
        <v/>
      </c>
      <c r="S463" s="64" t="str">
        <f t="shared" si="270"/>
        <v/>
      </c>
      <c r="T463" s="63" t="str">
        <f t="shared" si="271"/>
        <v/>
      </c>
      <c r="U463" s="64" t="str">
        <f t="shared" si="272"/>
        <v/>
      </c>
      <c r="V463" s="90" t="str">
        <f>IF($A464="","",IF(AND(MONTH(A463)&gt;3,MONTH(A463)&lt;11),(T463+R463+G463)*Summary!$T$9/(1-Summary!$T$9),(T463+R463+G463)*Summary!$U$9/(1-Summary!$U$9)))</f>
        <v/>
      </c>
      <c r="W463" s="63" t="str">
        <f t="shared" si="273"/>
        <v/>
      </c>
      <c r="X463" s="63" t="str">
        <f t="shared" si="274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75"/>
        <v/>
      </c>
      <c r="AP463" s="33" t="str">
        <f t="shared" si="276"/>
        <v/>
      </c>
      <c r="AQ463" s="58" t="str">
        <f t="shared" si="277"/>
        <v/>
      </c>
      <c r="AR463" s="38">
        <f>'ANR OK vs ML7'!AR463</f>
        <v>0.1</v>
      </c>
      <c r="AS463" s="35" t="str">
        <f t="shared" si="278"/>
        <v/>
      </c>
      <c r="AT463" s="3" t="str">
        <f t="shared" si="279"/>
        <v/>
      </c>
      <c r="AU463" s="3" t="str">
        <f t="shared" si="280"/>
        <v/>
      </c>
      <c r="AW463" s="32" t="str">
        <f t="shared" si="281"/>
        <v/>
      </c>
      <c r="AX463" s="32" t="str">
        <f t="shared" si="282"/>
        <v/>
      </c>
      <c r="AY463" s="32" t="str">
        <f t="shared" si="283"/>
        <v/>
      </c>
      <c r="BA463" s="32" t="str">
        <f>IF($A464="","",F463*Summary!$Q$9)</f>
        <v/>
      </c>
    </row>
    <row r="464" spans="1:53">
      <c r="A464" s="67" t="str">
        <f t="shared" si="284"/>
        <v/>
      </c>
      <c r="B464" s="69" t="str">
        <f t="shared" si="285"/>
        <v/>
      </c>
      <c r="D464" s="69" t="str">
        <f t="shared" si="258"/>
        <v/>
      </c>
      <c r="E464" s="70" t="str">
        <f t="shared" si="259"/>
        <v/>
      </c>
      <c r="F464" s="70" t="str">
        <f t="shared" si="260"/>
        <v/>
      </c>
      <c r="G464" s="63" t="str">
        <f t="shared" si="261"/>
        <v/>
      </c>
      <c r="H464" s="64" t="str">
        <f t="shared" si="262"/>
        <v/>
      </c>
      <c r="J464" s="63" t="str">
        <f t="shared" si="263"/>
        <v/>
      </c>
      <c r="K464" s="64" t="str">
        <f t="shared" si="264"/>
        <v/>
      </c>
      <c r="L464" s="63" t="str">
        <f t="shared" si="265"/>
        <v/>
      </c>
      <c r="M464" s="64" t="str">
        <f t="shared" si="266"/>
        <v/>
      </c>
      <c r="O464" s="63" t="str">
        <f t="shared" si="267"/>
        <v/>
      </c>
      <c r="P464" s="63" t="str">
        <f t="shared" si="268"/>
        <v/>
      </c>
      <c r="R464" s="63" t="str">
        <f t="shared" si="269"/>
        <v/>
      </c>
      <c r="S464" s="64" t="str">
        <f t="shared" si="270"/>
        <v/>
      </c>
      <c r="T464" s="63" t="str">
        <f t="shared" si="271"/>
        <v/>
      </c>
      <c r="U464" s="64" t="str">
        <f t="shared" si="272"/>
        <v/>
      </c>
      <c r="V464" s="90" t="str">
        <f>IF($A465="","",IF(AND(MONTH(A464)&gt;3,MONTH(A464)&lt;11),(T464+R464+G464)*Summary!$T$9/(1-Summary!$T$9),(T464+R464+G464)*Summary!$U$9/(1-Summary!$U$9)))</f>
        <v/>
      </c>
      <c r="W464" s="63" t="str">
        <f t="shared" si="273"/>
        <v/>
      </c>
      <c r="X464" s="63" t="str">
        <f t="shared" si="274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75"/>
        <v/>
      </c>
      <c r="AP464" s="33" t="str">
        <f t="shared" si="276"/>
        <v/>
      </c>
      <c r="AQ464" s="58" t="str">
        <f t="shared" si="277"/>
        <v/>
      </c>
      <c r="AR464" s="38">
        <f>'ANR OK vs ML7'!AR464</f>
        <v>0.1</v>
      </c>
      <c r="AS464" s="35" t="str">
        <f t="shared" si="278"/>
        <v/>
      </c>
      <c r="AT464" s="3" t="str">
        <f t="shared" si="279"/>
        <v/>
      </c>
      <c r="AU464" s="3" t="str">
        <f t="shared" si="280"/>
        <v/>
      </c>
      <c r="AW464" s="32" t="str">
        <f t="shared" si="281"/>
        <v/>
      </c>
      <c r="AX464" s="32" t="str">
        <f t="shared" si="282"/>
        <v/>
      </c>
      <c r="AY464" s="32" t="str">
        <f t="shared" si="283"/>
        <v/>
      </c>
      <c r="BA464" s="32" t="str">
        <f>IF($A465="","",F464*Summary!$Q$9)</f>
        <v/>
      </c>
    </row>
    <row r="465" spans="1:53">
      <c r="A465" s="67" t="str">
        <f t="shared" si="284"/>
        <v/>
      </c>
      <c r="B465" s="69" t="str">
        <f t="shared" si="285"/>
        <v/>
      </c>
      <c r="D465" s="69" t="str">
        <f t="shared" si="258"/>
        <v/>
      </c>
      <c r="E465" s="70" t="str">
        <f t="shared" si="259"/>
        <v/>
      </c>
      <c r="F465" s="70" t="str">
        <f t="shared" si="260"/>
        <v/>
      </c>
      <c r="G465" s="63" t="str">
        <f t="shared" si="261"/>
        <v/>
      </c>
      <c r="H465" s="64" t="str">
        <f t="shared" si="262"/>
        <v/>
      </c>
      <c r="J465" s="63" t="str">
        <f t="shared" si="263"/>
        <v/>
      </c>
      <c r="K465" s="64" t="str">
        <f t="shared" si="264"/>
        <v/>
      </c>
      <c r="L465" s="63" t="str">
        <f t="shared" si="265"/>
        <v/>
      </c>
      <c r="M465" s="64" t="str">
        <f t="shared" si="266"/>
        <v/>
      </c>
      <c r="O465" s="63" t="str">
        <f t="shared" si="267"/>
        <v/>
      </c>
      <c r="P465" s="63" t="str">
        <f t="shared" si="268"/>
        <v/>
      </c>
      <c r="R465" s="63" t="str">
        <f t="shared" si="269"/>
        <v/>
      </c>
      <c r="S465" s="64" t="str">
        <f t="shared" si="270"/>
        <v/>
      </c>
      <c r="T465" s="63" t="str">
        <f t="shared" si="271"/>
        <v/>
      </c>
      <c r="U465" s="64" t="str">
        <f t="shared" si="272"/>
        <v/>
      </c>
      <c r="V465" s="90" t="str">
        <f>IF($A466="","",IF(AND(MONTH(A465)&gt;3,MONTH(A465)&lt;11),(T465+R465+G465)*Summary!$T$9/(1-Summary!$T$9),(T465+R465+G465)*Summary!$U$9/(1-Summary!$U$9)))</f>
        <v/>
      </c>
      <c r="W465" s="63" t="str">
        <f t="shared" si="273"/>
        <v/>
      </c>
      <c r="X465" s="63" t="str">
        <f t="shared" si="274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75"/>
        <v/>
      </c>
      <c r="AP465" s="33" t="str">
        <f t="shared" si="276"/>
        <v/>
      </c>
      <c r="AQ465" s="58" t="str">
        <f t="shared" si="277"/>
        <v/>
      </c>
      <c r="AR465" s="38">
        <f>'ANR OK vs ML7'!AR465</f>
        <v>0.1</v>
      </c>
      <c r="AS465" s="35" t="str">
        <f t="shared" si="278"/>
        <v/>
      </c>
      <c r="AT465" s="3" t="str">
        <f t="shared" si="279"/>
        <v/>
      </c>
      <c r="AU465" s="3" t="str">
        <f t="shared" si="280"/>
        <v/>
      </c>
      <c r="AW465" s="32" t="str">
        <f t="shared" si="281"/>
        <v/>
      </c>
      <c r="AX465" s="32" t="str">
        <f t="shared" si="282"/>
        <v/>
      </c>
      <c r="AY465" s="32" t="str">
        <f t="shared" si="283"/>
        <v/>
      </c>
      <c r="BA465" s="32" t="str">
        <f>IF($A466="","",F465*Summary!$Q$9)</f>
        <v/>
      </c>
    </row>
    <row r="466" spans="1:53">
      <c r="A466" s="67" t="str">
        <f t="shared" si="284"/>
        <v/>
      </c>
      <c r="B466" s="69" t="str">
        <f t="shared" si="285"/>
        <v/>
      </c>
      <c r="D466" s="69" t="str">
        <f t="shared" si="258"/>
        <v/>
      </c>
      <c r="E466" s="70" t="str">
        <f t="shared" si="259"/>
        <v/>
      </c>
      <c r="F466" s="70" t="str">
        <f t="shared" si="260"/>
        <v/>
      </c>
      <c r="G466" s="63" t="str">
        <f t="shared" si="261"/>
        <v/>
      </c>
      <c r="H466" s="64" t="str">
        <f t="shared" si="262"/>
        <v/>
      </c>
      <c r="J466" s="63" t="str">
        <f t="shared" si="263"/>
        <v/>
      </c>
      <c r="K466" s="64" t="str">
        <f t="shared" si="264"/>
        <v/>
      </c>
      <c r="L466" s="63" t="str">
        <f t="shared" si="265"/>
        <v/>
      </c>
      <c r="M466" s="64" t="str">
        <f t="shared" si="266"/>
        <v/>
      </c>
      <c r="O466" s="63" t="str">
        <f t="shared" si="267"/>
        <v/>
      </c>
      <c r="P466" s="63" t="str">
        <f t="shared" si="268"/>
        <v/>
      </c>
      <c r="R466" s="63" t="str">
        <f t="shared" si="269"/>
        <v/>
      </c>
      <c r="S466" s="64" t="str">
        <f t="shared" si="270"/>
        <v/>
      </c>
      <c r="T466" s="63" t="str">
        <f t="shared" si="271"/>
        <v/>
      </c>
      <c r="U466" s="64" t="str">
        <f t="shared" si="272"/>
        <v/>
      </c>
      <c r="V466" s="90" t="str">
        <f>IF($A467="","",IF(AND(MONTH(A466)&gt;3,MONTH(A466)&lt;11),(T466+R466+G466)*Summary!$T$9/(1-Summary!$T$9),(T466+R466+G466)*Summary!$U$9/(1-Summary!$U$9)))</f>
        <v/>
      </c>
      <c r="W466" s="63" t="str">
        <f t="shared" si="273"/>
        <v/>
      </c>
      <c r="X466" s="63" t="str">
        <f t="shared" si="274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75"/>
        <v/>
      </c>
      <c r="AP466" s="33" t="str">
        <f t="shared" si="276"/>
        <v/>
      </c>
      <c r="AQ466" s="58" t="str">
        <f t="shared" si="277"/>
        <v/>
      </c>
      <c r="AR466" s="38">
        <f>'ANR OK vs ML7'!AR466</f>
        <v>0.1</v>
      </c>
      <c r="AS466" s="35" t="str">
        <f t="shared" si="278"/>
        <v/>
      </c>
      <c r="AT466" s="3" t="str">
        <f t="shared" si="279"/>
        <v/>
      </c>
      <c r="AU466" s="3" t="str">
        <f t="shared" si="280"/>
        <v/>
      </c>
      <c r="AW466" s="32" t="str">
        <f t="shared" si="281"/>
        <v/>
      </c>
      <c r="AX466" s="32" t="str">
        <f t="shared" si="282"/>
        <v/>
      </c>
      <c r="AY466" s="32" t="str">
        <f t="shared" si="283"/>
        <v/>
      </c>
      <c r="BA466" s="32" t="str">
        <f>IF($A467="","",F466*Summary!$Q$9)</f>
        <v/>
      </c>
    </row>
    <row r="467" spans="1:53">
      <c r="A467" s="67" t="str">
        <f t="shared" si="284"/>
        <v/>
      </c>
      <c r="B467" s="69" t="str">
        <f t="shared" si="285"/>
        <v/>
      </c>
      <c r="D467" s="69" t="str">
        <f t="shared" si="258"/>
        <v/>
      </c>
      <c r="E467" s="70" t="str">
        <f t="shared" si="259"/>
        <v/>
      </c>
      <c r="F467" s="70" t="str">
        <f t="shared" si="260"/>
        <v/>
      </c>
      <c r="G467" s="63" t="str">
        <f t="shared" si="261"/>
        <v/>
      </c>
      <c r="H467" s="64" t="str">
        <f t="shared" si="262"/>
        <v/>
      </c>
      <c r="J467" s="63" t="str">
        <f t="shared" si="263"/>
        <v/>
      </c>
      <c r="K467" s="64" t="str">
        <f t="shared" si="264"/>
        <v/>
      </c>
      <c r="L467" s="63" t="str">
        <f t="shared" si="265"/>
        <v/>
      </c>
      <c r="M467" s="64" t="str">
        <f t="shared" si="266"/>
        <v/>
      </c>
      <c r="O467" s="63" t="str">
        <f t="shared" si="267"/>
        <v/>
      </c>
      <c r="P467" s="63" t="str">
        <f t="shared" si="268"/>
        <v/>
      </c>
      <c r="R467" s="63" t="str">
        <f t="shared" si="269"/>
        <v/>
      </c>
      <c r="S467" s="64" t="str">
        <f t="shared" si="270"/>
        <v/>
      </c>
      <c r="T467" s="63" t="str">
        <f t="shared" si="271"/>
        <v/>
      </c>
      <c r="U467" s="64" t="str">
        <f t="shared" si="272"/>
        <v/>
      </c>
      <c r="V467" s="90" t="str">
        <f>IF($A468="","",IF(AND(MONTH(A467)&gt;3,MONTH(A467)&lt;11),(T467+R467+G467)*Summary!$T$9/(1-Summary!$T$9),(T467+R467+G467)*Summary!$U$9/(1-Summary!$U$9)))</f>
        <v/>
      </c>
      <c r="W467" s="63" t="str">
        <f t="shared" si="273"/>
        <v/>
      </c>
      <c r="X467" s="63" t="str">
        <f t="shared" si="274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75"/>
        <v/>
      </c>
      <c r="AP467" s="33" t="str">
        <f t="shared" si="276"/>
        <v/>
      </c>
      <c r="AQ467" s="58" t="str">
        <f t="shared" si="277"/>
        <v/>
      </c>
      <c r="AR467" s="38">
        <f>'ANR OK vs ML7'!AR467</f>
        <v>0.1</v>
      </c>
      <c r="AS467" s="35" t="str">
        <f t="shared" si="278"/>
        <v/>
      </c>
      <c r="AT467" s="3" t="str">
        <f t="shared" si="279"/>
        <v/>
      </c>
      <c r="AU467" s="3" t="str">
        <f t="shared" si="280"/>
        <v/>
      </c>
      <c r="AW467" s="32" t="str">
        <f t="shared" si="281"/>
        <v/>
      </c>
      <c r="AX467" s="32" t="str">
        <f t="shared" si="282"/>
        <v/>
      </c>
      <c r="AY467" s="32" t="str">
        <f t="shared" si="283"/>
        <v/>
      </c>
      <c r="BA467" s="32" t="str">
        <f>IF($A468="","",F467*Summary!$Q$9)</f>
        <v/>
      </c>
    </row>
    <row r="468" spans="1:53">
      <c r="A468" s="67" t="str">
        <f t="shared" si="284"/>
        <v/>
      </c>
      <c r="B468" s="69" t="str">
        <f t="shared" si="285"/>
        <v/>
      </c>
      <c r="D468" s="69" t="str">
        <f t="shared" si="258"/>
        <v/>
      </c>
      <c r="E468" s="70" t="str">
        <f t="shared" si="259"/>
        <v/>
      </c>
      <c r="F468" s="70" t="str">
        <f t="shared" si="260"/>
        <v/>
      </c>
      <c r="G468" s="63" t="str">
        <f t="shared" si="261"/>
        <v/>
      </c>
      <c r="H468" s="64" t="str">
        <f t="shared" si="262"/>
        <v/>
      </c>
      <c r="J468" s="63" t="str">
        <f t="shared" si="263"/>
        <v/>
      </c>
      <c r="K468" s="64" t="str">
        <f t="shared" si="264"/>
        <v/>
      </c>
      <c r="L468" s="63" t="str">
        <f t="shared" si="265"/>
        <v/>
      </c>
      <c r="M468" s="64" t="str">
        <f t="shared" si="266"/>
        <v/>
      </c>
      <c r="O468" s="63" t="str">
        <f t="shared" si="267"/>
        <v/>
      </c>
      <c r="P468" s="63" t="str">
        <f t="shared" si="268"/>
        <v/>
      </c>
      <c r="R468" s="63" t="str">
        <f t="shared" si="269"/>
        <v/>
      </c>
      <c r="S468" s="64" t="str">
        <f t="shared" si="270"/>
        <v/>
      </c>
      <c r="T468" s="63" t="str">
        <f t="shared" si="271"/>
        <v/>
      </c>
      <c r="U468" s="64" t="str">
        <f t="shared" si="272"/>
        <v/>
      </c>
      <c r="V468" s="90" t="str">
        <f>IF($A469="","",IF(AND(MONTH(A468)&gt;3,MONTH(A468)&lt;11),(T468+R468+G468)*Summary!$T$9/(1-Summary!$T$9),(T468+R468+G468)*Summary!$U$9/(1-Summary!$U$9)))</f>
        <v/>
      </c>
      <c r="W468" s="63" t="str">
        <f t="shared" si="273"/>
        <v/>
      </c>
      <c r="X468" s="63" t="str">
        <f t="shared" si="274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75"/>
        <v/>
      </c>
      <c r="AP468" s="33" t="str">
        <f t="shared" si="276"/>
        <v/>
      </c>
      <c r="AQ468" s="58" t="str">
        <f t="shared" si="277"/>
        <v/>
      </c>
      <c r="AR468" s="38">
        <f>'ANR OK vs ML7'!AR468</f>
        <v>0.1</v>
      </c>
      <c r="AS468" s="35" t="str">
        <f t="shared" si="278"/>
        <v/>
      </c>
      <c r="AT468" s="3" t="str">
        <f t="shared" si="279"/>
        <v/>
      </c>
      <c r="AU468" s="3" t="str">
        <f t="shared" si="280"/>
        <v/>
      </c>
      <c r="AW468" s="32" t="str">
        <f t="shared" si="281"/>
        <v/>
      </c>
      <c r="AX468" s="32" t="str">
        <f t="shared" si="282"/>
        <v/>
      </c>
      <c r="AY468" s="32" t="str">
        <f t="shared" si="283"/>
        <v/>
      </c>
      <c r="BA468" s="32" t="str">
        <f>IF($A469="","",F468*Summary!$Q$9)</f>
        <v/>
      </c>
    </row>
    <row r="469" spans="1:53">
      <c r="A469" s="67" t="str">
        <f t="shared" si="284"/>
        <v/>
      </c>
      <c r="B469" s="69" t="str">
        <f t="shared" si="285"/>
        <v/>
      </c>
      <c r="D469" s="69" t="str">
        <f t="shared" si="258"/>
        <v/>
      </c>
      <c r="E469" s="70" t="str">
        <f t="shared" si="259"/>
        <v/>
      </c>
      <c r="F469" s="70" t="str">
        <f t="shared" si="260"/>
        <v/>
      </c>
      <c r="G469" s="63" t="str">
        <f t="shared" si="261"/>
        <v/>
      </c>
      <c r="H469" s="64" t="str">
        <f t="shared" si="262"/>
        <v/>
      </c>
      <c r="J469" s="63" t="str">
        <f t="shared" si="263"/>
        <v/>
      </c>
      <c r="K469" s="64" t="str">
        <f t="shared" si="264"/>
        <v/>
      </c>
      <c r="L469" s="63" t="str">
        <f t="shared" si="265"/>
        <v/>
      </c>
      <c r="M469" s="64" t="str">
        <f t="shared" si="266"/>
        <v/>
      </c>
      <c r="O469" s="63" t="str">
        <f t="shared" si="267"/>
        <v/>
      </c>
      <c r="P469" s="63" t="str">
        <f t="shared" si="268"/>
        <v/>
      </c>
      <c r="R469" s="63" t="str">
        <f t="shared" si="269"/>
        <v/>
      </c>
      <c r="S469" s="64" t="str">
        <f t="shared" si="270"/>
        <v/>
      </c>
      <c r="T469" s="63" t="str">
        <f t="shared" si="271"/>
        <v/>
      </c>
      <c r="U469" s="64" t="str">
        <f t="shared" si="272"/>
        <v/>
      </c>
      <c r="V469" s="90" t="str">
        <f>IF($A470="","",IF(AND(MONTH(A469)&gt;3,MONTH(A469)&lt;11),(T469+R469+G469)*Summary!$T$9/(1-Summary!$T$9),(T469+R469+G469)*Summary!$U$9/(1-Summary!$U$9)))</f>
        <v/>
      </c>
      <c r="W469" s="63" t="str">
        <f t="shared" si="273"/>
        <v/>
      </c>
      <c r="X469" s="63" t="str">
        <f t="shared" si="274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75"/>
        <v/>
      </c>
      <c r="AP469" s="33" t="str">
        <f t="shared" si="276"/>
        <v/>
      </c>
      <c r="AQ469" s="58" t="str">
        <f t="shared" si="277"/>
        <v/>
      </c>
      <c r="AR469" s="38">
        <f>'ANR OK vs ML7'!AR469</f>
        <v>0.1</v>
      </c>
      <c r="AS469" s="35" t="str">
        <f t="shared" si="278"/>
        <v/>
      </c>
      <c r="AT469" s="3" t="str">
        <f t="shared" si="279"/>
        <v/>
      </c>
      <c r="AU469" s="3" t="str">
        <f t="shared" si="280"/>
        <v/>
      </c>
      <c r="AW469" s="32" t="str">
        <f t="shared" si="281"/>
        <v/>
      </c>
      <c r="AX469" s="32" t="str">
        <f t="shared" si="282"/>
        <v/>
      </c>
      <c r="AY469" s="32" t="str">
        <f t="shared" si="283"/>
        <v/>
      </c>
      <c r="BA469" s="32" t="str">
        <f>IF($A470="","",F469*Summary!$Q$9)</f>
        <v/>
      </c>
    </row>
    <row r="470" spans="1:53">
      <c r="A470" s="67" t="str">
        <f t="shared" si="284"/>
        <v/>
      </c>
      <c r="B470" s="69" t="str">
        <f t="shared" si="285"/>
        <v/>
      </c>
      <c r="D470" s="69" t="str">
        <f t="shared" si="258"/>
        <v/>
      </c>
      <c r="E470" s="70" t="str">
        <f t="shared" si="259"/>
        <v/>
      </c>
      <c r="F470" s="70" t="str">
        <f t="shared" si="260"/>
        <v/>
      </c>
      <c r="G470" s="63" t="str">
        <f t="shared" si="261"/>
        <v/>
      </c>
      <c r="H470" s="64" t="str">
        <f t="shared" si="262"/>
        <v/>
      </c>
      <c r="J470" s="63" t="str">
        <f t="shared" si="263"/>
        <v/>
      </c>
      <c r="K470" s="64" t="str">
        <f t="shared" si="264"/>
        <v/>
      </c>
      <c r="L470" s="63" t="str">
        <f t="shared" si="265"/>
        <v/>
      </c>
      <c r="M470" s="64" t="str">
        <f t="shared" si="266"/>
        <v/>
      </c>
      <c r="O470" s="63" t="str">
        <f t="shared" si="267"/>
        <v/>
      </c>
      <c r="P470" s="63" t="str">
        <f t="shared" si="268"/>
        <v/>
      </c>
      <c r="R470" s="63" t="str">
        <f t="shared" si="269"/>
        <v/>
      </c>
      <c r="S470" s="64" t="str">
        <f t="shared" si="270"/>
        <v/>
      </c>
      <c r="T470" s="63" t="str">
        <f t="shared" si="271"/>
        <v/>
      </c>
      <c r="U470" s="64" t="str">
        <f t="shared" si="272"/>
        <v/>
      </c>
      <c r="V470" s="90" t="str">
        <f>IF($A471="","",IF(AND(MONTH(A470)&gt;3,MONTH(A470)&lt;11),(T470+R470+G470)*Summary!$T$9/(1-Summary!$T$9),(T470+R470+G470)*Summary!$U$9/(1-Summary!$U$9)))</f>
        <v/>
      </c>
      <c r="W470" s="63" t="str">
        <f t="shared" si="273"/>
        <v/>
      </c>
      <c r="X470" s="63" t="str">
        <f t="shared" si="274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75"/>
        <v/>
      </c>
      <c r="AP470" s="33" t="str">
        <f t="shared" si="276"/>
        <v/>
      </c>
      <c r="AQ470" s="58" t="str">
        <f t="shared" si="277"/>
        <v/>
      </c>
      <c r="AR470" s="38">
        <f>'ANR OK vs ML7'!AR470</f>
        <v>0.1</v>
      </c>
      <c r="AS470" s="35" t="str">
        <f t="shared" si="278"/>
        <v/>
      </c>
      <c r="AT470" s="3" t="str">
        <f t="shared" si="279"/>
        <v/>
      </c>
      <c r="AU470" s="3" t="str">
        <f t="shared" si="280"/>
        <v/>
      </c>
      <c r="AW470" s="32" t="str">
        <f t="shared" si="281"/>
        <v/>
      </c>
      <c r="AX470" s="32" t="str">
        <f t="shared" si="282"/>
        <v/>
      </c>
      <c r="AY470" s="32" t="str">
        <f t="shared" si="283"/>
        <v/>
      </c>
      <c r="BA470" s="32" t="str">
        <f>IF($A471="","",F470*Summary!$Q$9)</f>
        <v/>
      </c>
    </row>
    <row r="471" spans="1:53">
      <c r="A471" s="67" t="str">
        <f t="shared" si="284"/>
        <v/>
      </c>
      <c r="B471" s="69" t="str">
        <f t="shared" si="285"/>
        <v/>
      </c>
      <c r="D471" s="69" t="str">
        <f t="shared" si="258"/>
        <v/>
      </c>
      <c r="E471" s="70" t="str">
        <f t="shared" si="259"/>
        <v/>
      </c>
      <c r="F471" s="70" t="str">
        <f t="shared" si="260"/>
        <v/>
      </c>
      <c r="G471" s="63" t="str">
        <f t="shared" si="261"/>
        <v/>
      </c>
      <c r="H471" s="64" t="str">
        <f t="shared" si="262"/>
        <v/>
      </c>
      <c r="J471" s="63" t="str">
        <f t="shared" si="263"/>
        <v/>
      </c>
      <c r="K471" s="64" t="str">
        <f t="shared" si="264"/>
        <v/>
      </c>
      <c r="L471" s="63" t="str">
        <f t="shared" si="265"/>
        <v/>
      </c>
      <c r="M471" s="64" t="str">
        <f t="shared" si="266"/>
        <v/>
      </c>
      <c r="O471" s="63" t="str">
        <f t="shared" si="267"/>
        <v/>
      </c>
      <c r="P471" s="63" t="str">
        <f t="shared" si="268"/>
        <v/>
      </c>
      <c r="R471" s="63" t="str">
        <f t="shared" si="269"/>
        <v/>
      </c>
      <c r="S471" s="64" t="str">
        <f t="shared" si="270"/>
        <v/>
      </c>
      <c r="T471" s="63" t="str">
        <f t="shared" si="271"/>
        <v/>
      </c>
      <c r="U471" s="64" t="str">
        <f t="shared" si="272"/>
        <v/>
      </c>
      <c r="V471" s="90" t="str">
        <f>IF($A472="","",IF(AND(MONTH(A471)&gt;3,MONTH(A471)&lt;11),(T471+R471+G471)*Summary!$T$9/(1-Summary!$T$9),(T471+R471+G471)*Summary!$U$9/(1-Summary!$U$9)))</f>
        <v/>
      </c>
      <c r="W471" s="63" t="str">
        <f t="shared" si="273"/>
        <v/>
      </c>
      <c r="X471" s="63" t="str">
        <f t="shared" si="274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75"/>
        <v/>
      </c>
      <c r="AP471" s="33" t="str">
        <f t="shared" si="276"/>
        <v/>
      </c>
      <c r="AQ471" s="58" t="str">
        <f t="shared" si="277"/>
        <v/>
      </c>
      <c r="AR471" s="38">
        <f>'ANR OK vs ML7'!AR471</f>
        <v>0.1</v>
      </c>
      <c r="AS471" s="35" t="str">
        <f t="shared" si="278"/>
        <v/>
      </c>
      <c r="AT471" s="3" t="str">
        <f t="shared" si="279"/>
        <v/>
      </c>
      <c r="AU471" s="3" t="str">
        <f t="shared" si="280"/>
        <v/>
      </c>
      <c r="AW471" s="32" t="str">
        <f t="shared" si="281"/>
        <v/>
      </c>
      <c r="AX471" s="32" t="str">
        <f t="shared" si="282"/>
        <v/>
      </c>
      <c r="AY471" s="32" t="str">
        <f t="shared" si="283"/>
        <v/>
      </c>
      <c r="BA471" s="32" t="str">
        <f>IF($A472="","",F471*Summary!$Q$9)</f>
        <v/>
      </c>
    </row>
    <row r="472" spans="1:53">
      <c r="A472" s="67" t="str">
        <f t="shared" si="284"/>
        <v/>
      </c>
      <c r="B472" s="69" t="str">
        <f t="shared" si="285"/>
        <v/>
      </c>
      <c r="D472" s="69" t="str">
        <f t="shared" si="258"/>
        <v/>
      </c>
      <c r="E472" s="70" t="str">
        <f t="shared" si="259"/>
        <v/>
      </c>
      <c r="F472" s="70" t="str">
        <f t="shared" si="260"/>
        <v/>
      </c>
      <c r="G472" s="63" t="str">
        <f t="shared" si="261"/>
        <v/>
      </c>
      <c r="H472" s="64" t="str">
        <f t="shared" si="262"/>
        <v/>
      </c>
      <c r="J472" s="63" t="str">
        <f t="shared" si="263"/>
        <v/>
      </c>
      <c r="K472" s="64" t="str">
        <f t="shared" si="264"/>
        <v/>
      </c>
      <c r="L472" s="63" t="str">
        <f t="shared" si="265"/>
        <v/>
      </c>
      <c r="M472" s="64" t="str">
        <f t="shared" si="266"/>
        <v/>
      </c>
      <c r="O472" s="63" t="str">
        <f t="shared" si="267"/>
        <v/>
      </c>
      <c r="P472" s="63" t="str">
        <f t="shared" si="268"/>
        <v/>
      </c>
      <c r="R472" s="63" t="str">
        <f t="shared" si="269"/>
        <v/>
      </c>
      <c r="S472" s="64" t="str">
        <f t="shared" si="270"/>
        <v/>
      </c>
      <c r="T472" s="63" t="str">
        <f t="shared" si="271"/>
        <v/>
      </c>
      <c r="U472" s="64" t="str">
        <f t="shared" si="272"/>
        <v/>
      </c>
      <c r="V472" s="90" t="str">
        <f>IF($A473="","",IF(AND(MONTH(A472)&gt;3,MONTH(A472)&lt;11),(T472+R472+G472)*Summary!$T$9/(1-Summary!$T$9),(T472+R472+G472)*Summary!$U$9/(1-Summary!$U$9)))</f>
        <v/>
      </c>
      <c r="W472" s="63" t="str">
        <f t="shared" si="273"/>
        <v/>
      </c>
      <c r="X472" s="63" t="str">
        <f t="shared" si="274"/>
        <v/>
      </c>
      <c r="Y472" s="43"/>
      <c r="AJ472" s="86"/>
      <c r="AK472" s="86"/>
      <c r="AL472" s="86"/>
      <c r="AM472" s="86"/>
      <c r="AN472" s="86"/>
      <c r="AO472" s="3" t="str">
        <f t="shared" si="275"/>
        <v/>
      </c>
      <c r="AP472" s="33" t="str">
        <f t="shared" si="276"/>
        <v/>
      </c>
      <c r="AQ472" s="58" t="str">
        <f t="shared" si="277"/>
        <v/>
      </c>
      <c r="AR472" s="38">
        <f>'ANR OK vs ML7'!AR472</f>
        <v>0.1</v>
      </c>
      <c r="AS472" s="35" t="str">
        <f t="shared" si="278"/>
        <v/>
      </c>
      <c r="AT472" s="3" t="str">
        <f t="shared" si="279"/>
        <v/>
      </c>
      <c r="AU472" s="3" t="str">
        <f t="shared" si="280"/>
        <v/>
      </c>
      <c r="AW472" s="32" t="str">
        <f t="shared" si="281"/>
        <v/>
      </c>
      <c r="AX472" s="32" t="str">
        <f t="shared" si="282"/>
        <v/>
      </c>
      <c r="AY472" s="32" t="str">
        <f t="shared" si="283"/>
        <v/>
      </c>
      <c r="BA472" s="32" t="str">
        <f>IF($A473="","",F472*Summary!$Q$9)</f>
        <v/>
      </c>
    </row>
    <row r="473" spans="1:53">
      <c r="A473" s="67" t="str">
        <f t="shared" si="284"/>
        <v/>
      </c>
      <c r="B473" s="69" t="str">
        <f t="shared" si="285"/>
        <v/>
      </c>
      <c r="D473" s="69" t="str">
        <f t="shared" si="258"/>
        <v/>
      </c>
      <c r="E473" s="70" t="str">
        <f t="shared" si="259"/>
        <v/>
      </c>
      <c r="F473" s="70" t="str">
        <f t="shared" si="260"/>
        <v/>
      </c>
      <c r="G473" s="63" t="str">
        <f t="shared" si="261"/>
        <v/>
      </c>
      <c r="H473" s="64" t="str">
        <f t="shared" si="262"/>
        <v/>
      </c>
      <c r="J473" s="63" t="str">
        <f t="shared" si="263"/>
        <v/>
      </c>
      <c r="K473" s="64" t="str">
        <f t="shared" si="264"/>
        <v/>
      </c>
      <c r="L473" s="63" t="str">
        <f t="shared" si="265"/>
        <v/>
      </c>
      <c r="M473" s="64" t="str">
        <f t="shared" si="266"/>
        <v/>
      </c>
      <c r="O473" s="63" t="str">
        <f t="shared" si="267"/>
        <v/>
      </c>
      <c r="P473" s="63" t="str">
        <f t="shared" si="268"/>
        <v/>
      </c>
      <c r="R473" s="63" t="str">
        <f t="shared" si="269"/>
        <v/>
      </c>
      <c r="S473" s="64" t="str">
        <f t="shared" si="270"/>
        <v/>
      </c>
      <c r="T473" s="63" t="str">
        <f t="shared" si="271"/>
        <v/>
      </c>
      <c r="U473" s="64" t="str">
        <f t="shared" si="272"/>
        <v/>
      </c>
      <c r="V473" s="90" t="str">
        <f>IF($A474="","",IF(AND(MONTH(A473)&gt;3,MONTH(A473)&lt;11),(T473+R473+G473)*Summary!$T$9/(1-Summary!$T$9),(T473+R473+G473)*Summary!$U$9/(1-Summary!$U$9)))</f>
        <v/>
      </c>
      <c r="W473" s="63" t="str">
        <f t="shared" si="273"/>
        <v/>
      </c>
      <c r="X473" s="63" t="str">
        <f t="shared" si="274"/>
        <v/>
      </c>
      <c r="Y473" s="43"/>
      <c r="AJ473" s="86"/>
      <c r="AK473" s="86"/>
      <c r="AL473" s="86"/>
      <c r="AM473" s="86"/>
      <c r="AN473" s="86"/>
      <c r="AO473" s="3" t="str">
        <f t="shared" si="275"/>
        <v/>
      </c>
      <c r="AP473" s="33" t="str">
        <f t="shared" si="276"/>
        <v/>
      </c>
      <c r="AQ473" s="58" t="str">
        <f t="shared" si="277"/>
        <v/>
      </c>
      <c r="AR473" s="38">
        <f>'ANR OK vs ML7'!AR473</f>
        <v>0.1</v>
      </c>
      <c r="AS473" s="35" t="str">
        <f t="shared" si="278"/>
        <v/>
      </c>
      <c r="AT473" s="3" t="str">
        <f t="shared" si="279"/>
        <v/>
      </c>
      <c r="AU473" s="3" t="str">
        <f t="shared" si="280"/>
        <v/>
      </c>
      <c r="AW473" s="32" t="str">
        <f t="shared" si="281"/>
        <v/>
      </c>
      <c r="AX473" s="32" t="str">
        <f t="shared" si="282"/>
        <v/>
      </c>
      <c r="AY473" s="32" t="str">
        <f t="shared" si="283"/>
        <v/>
      </c>
      <c r="BA473" s="32" t="str">
        <f>IF($A474="","",F473*Summary!$Q$9)</f>
        <v/>
      </c>
    </row>
    <row r="474" spans="1:53">
      <c r="A474" s="67" t="str">
        <f t="shared" si="284"/>
        <v/>
      </c>
      <c r="B474" s="69" t="str">
        <f t="shared" si="285"/>
        <v/>
      </c>
      <c r="D474" s="69" t="str">
        <f t="shared" si="258"/>
        <v/>
      </c>
      <c r="E474" s="70" t="str">
        <f t="shared" si="259"/>
        <v/>
      </c>
      <c r="F474" s="70" t="str">
        <f t="shared" si="260"/>
        <v/>
      </c>
      <c r="G474" s="63" t="str">
        <f t="shared" si="261"/>
        <v/>
      </c>
      <c r="H474" s="64" t="str">
        <f t="shared" si="262"/>
        <v/>
      </c>
      <c r="J474" s="63" t="str">
        <f t="shared" si="263"/>
        <v/>
      </c>
      <c r="K474" s="64" t="str">
        <f t="shared" si="264"/>
        <v/>
      </c>
      <c r="L474" s="63" t="str">
        <f t="shared" si="265"/>
        <v/>
      </c>
      <c r="M474" s="64" t="str">
        <f t="shared" si="266"/>
        <v/>
      </c>
      <c r="O474" s="63" t="str">
        <f t="shared" si="267"/>
        <v/>
      </c>
      <c r="P474" s="63" t="str">
        <f t="shared" si="268"/>
        <v/>
      </c>
      <c r="R474" s="63" t="str">
        <f t="shared" si="269"/>
        <v/>
      </c>
      <c r="S474" s="64" t="str">
        <f t="shared" si="270"/>
        <v/>
      </c>
      <c r="T474" s="63" t="str">
        <f t="shared" si="271"/>
        <v/>
      </c>
      <c r="U474" s="64" t="str">
        <f t="shared" si="272"/>
        <v/>
      </c>
      <c r="V474" s="90" t="str">
        <f>IF($A475="","",IF(AND(MONTH(A474)&gt;3,MONTH(A474)&lt;11),(T474+R474+G474)*Summary!$T$9/(1-Summary!$T$9),(T474+R474+G474)*Summary!$U$9/(1-Summary!$U$9)))</f>
        <v/>
      </c>
      <c r="W474" s="63" t="str">
        <f t="shared" si="273"/>
        <v/>
      </c>
      <c r="X474" s="63" t="str">
        <f t="shared" si="274"/>
        <v/>
      </c>
      <c r="Y474" s="43"/>
      <c r="AJ474" s="86"/>
      <c r="AK474" s="86"/>
      <c r="AL474" s="86"/>
      <c r="AM474" s="86"/>
      <c r="AN474" s="86"/>
      <c r="AO474" s="3" t="str">
        <f t="shared" si="275"/>
        <v/>
      </c>
      <c r="AP474" s="33" t="str">
        <f t="shared" si="276"/>
        <v/>
      </c>
      <c r="AQ474" s="58" t="str">
        <f t="shared" si="277"/>
        <v/>
      </c>
      <c r="AR474" s="38">
        <f>'ANR OK vs ML7'!AR474</f>
        <v>0.1</v>
      </c>
      <c r="AS474" s="35" t="str">
        <f t="shared" si="278"/>
        <v/>
      </c>
      <c r="AT474" s="3" t="str">
        <f t="shared" si="279"/>
        <v/>
      </c>
      <c r="AU474" s="3" t="str">
        <f t="shared" si="280"/>
        <v/>
      </c>
      <c r="AW474" s="32" t="str">
        <f t="shared" si="281"/>
        <v/>
      </c>
      <c r="AX474" s="32" t="str">
        <f t="shared" si="282"/>
        <v/>
      </c>
      <c r="AY474" s="32" t="str">
        <f t="shared" si="283"/>
        <v/>
      </c>
      <c r="BA474" s="32" t="str">
        <f>IF($A475="","",F474*Summary!$Q$9)</f>
        <v/>
      </c>
    </row>
    <row r="475" spans="1:53">
      <c r="A475" s="67" t="str">
        <f t="shared" si="284"/>
        <v/>
      </c>
      <c r="B475" s="69" t="str">
        <f t="shared" si="285"/>
        <v/>
      </c>
      <c r="D475" s="69" t="str">
        <f t="shared" si="258"/>
        <v/>
      </c>
      <c r="E475" s="70" t="str">
        <f t="shared" si="259"/>
        <v/>
      </c>
      <c r="F475" s="70" t="str">
        <f t="shared" si="260"/>
        <v/>
      </c>
      <c r="G475" s="63" t="str">
        <f t="shared" si="261"/>
        <v/>
      </c>
      <c r="H475" s="64" t="str">
        <f t="shared" si="262"/>
        <v/>
      </c>
      <c r="J475" s="63" t="str">
        <f t="shared" si="263"/>
        <v/>
      </c>
      <c r="K475" s="64" t="str">
        <f t="shared" si="264"/>
        <v/>
      </c>
      <c r="L475" s="63" t="str">
        <f t="shared" si="265"/>
        <v/>
      </c>
      <c r="M475" s="64" t="str">
        <f t="shared" si="266"/>
        <v/>
      </c>
      <c r="O475" s="63" t="str">
        <f t="shared" si="267"/>
        <v/>
      </c>
      <c r="P475" s="63" t="str">
        <f t="shared" si="268"/>
        <v/>
      </c>
      <c r="R475" s="63" t="str">
        <f t="shared" si="269"/>
        <v/>
      </c>
      <c r="S475" s="64" t="str">
        <f t="shared" si="270"/>
        <v/>
      </c>
      <c r="T475" s="63" t="str">
        <f t="shared" si="271"/>
        <v/>
      </c>
      <c r="U475" s="64" t="str">
        <f t="shared" si="272"/>
        <v/>
      </c>
      <c r="V475" s="90" t="str">
        <f>IF($A476="","",IF(AND(MONTH(A475)&gt;3,MONTH(A475)&lt;11),(T475+R475+G475)*Summary!$T$9/(1-Summary!$T$9),(T475+R475+G475)*Summary!$U$9/(1-Summary!$U$9)))</f>
        <v/>
      </c>
      <c r="W475" s="63" t="str">
        <f t="shared" si="273"/>
        <v/>
      </c>
      <c r="X475" s="63" t="str">
        <f t="shared" si="274"/>
        <v/>
      </c>
      <c r="Y475" s="43"/>
      <c r="AJ475" s="86"/>
      <c r="AK475" s="86"/>
      <c r="AL475" s="86"/>
      <c r="AM475" s="86"/>
      <c r="AN475" s="86"/>
      <c r="AO475" s="3" t="str">
        <f t="shared" si="275"/>
        <v/>
      </c>
      <c r="AP475" s="33" t="str">
        <f t="shared" si="276"/>
        <v/>
      </c>
      <c r="AQ475" s="58" t="str">
        <f t="shared" si="277"/>
        <v/>
      </c>
      <c r="AR475" s="38">
        <f>'ANR OK vs ML7'!AR475</f>
        <v>0.1</v>
      </c>
      <c r="AS475" s="35" t="str">
        <f t="shared" si="278"/>
        <v/>
      </c>
      <c r="AT475" s="3" t="str">
        <f t="shared" si="279"/>
        <v/>
      </c>
      <c r="AU475" s="3" t="str">
        <f t="shared" si="280"/>
        <v/>
      </c>
      <c r="AW475" s="32" t="str">
        <f t="shared" si="281"/>
        <v/>
      </c>
      <c r="AX475" s="32" t="str">
        <f t="shared" si="282"/>
        <v/>
      </c>
      <c r="AY475" s="32" t="str">
        <f t="shared" si="283"/>
        <v/>
      </c>
      <c r="BA475" s="32" t="str">
        <f>IF($A476="","",F475*Summary!$Q$9)</f>
        <v/>
      </c>
    </row>
    <row r="476" spans="1:53">
      <c r="A476" s="67" t="str">
        <f t="shared" si="284"/>
        <v/>
      </c>
      <c r="B476" s="69" t="str">
        <f t="shared" si="285"/>
        <v/>
      </c>
      <c r="D476" s="69" t="str">
        <f t="shared" si="258"/>
        <v/>
      </c>
      <c r="E476" s="70" t="str">
        <f t="shared" si="259"/>
        <v/>
      </c>
      <c r="F476" s="70" t="str">
        <f t="shared" si="260"/>
        <v/>
      </c>
      <c r="G476" s="63" t="str">
        <f t="shared" si="261"/>
        <v/>
      </c>
      <c r="H476" s="64" t="str">
        <f t="shared" si="262"/>
        <v/>
      </c>
      <c r="J476" s="63" t="str">
        <f t="shared" si="263"/>
        <v/>
      </c>
      <c r="K476" s="64" t="str">
        <f t="shared" si="264"/>
        <v/>
      </c>
      <c r="L476" s="63" t="str">
        <f t="shared" si="265"/>
        <v/>
      </c>
      <c r="M476" s="64" t="str">
        <f t="shared" si="266"/>
        <v/>
      </c>
      <c r="O476" s="63" t="str">
        <f t="shared" si="267"/>
        <v/>
      </c>
      <c r="P476" s="63" t="str">
        <f t="shared" si="268"/>
        <v/>
      </c>
      <c r="R476" s="63" t="str">
        <f t="shared" si="269"/>
        <v/>
      </c>
      <c r="S476" s="64" t="str">
        <f t="shared" si="270"/>
        <v/>
      </c>
      <c r="T476" s="63" t="str">
        <f t="shared" si="271"/>
        <v/>
      </c>
      <c r="U476" s="64" t="str">
        <f t="shared" si="272"/>
        <v/>
      </c>
      <c r="V476" s="90" t="str">
        <f>IF($A477="","",IF(AND(MONTH(A476)&gt;3,MONTH(A476)&lt;11),(T476+R476+G476)*Summary!$T$9/(1-Summary!$T$9),(T476+R476+G476)*Summary!$U$9/(1-Summary!$U$9)))</f>
        <v/>
      </c>
      <c r="W476" s="63" t="str">
        <f t="shared" si="273"/>
        <v/>
      </c>
      <c r="X476" s="63" t="str">
        <f t="shared" si="274"/>
        <v/>
      </c>
      <c r="Y476" s="43"/>
      <c r="AJ476" s="86"/>
      <c r="AK476" s="86"/>
      <c r="AL476" s="86"/>
      <c r="AM476" s="86"/>
      <c r="AN476" s="86"/>
      <c r="AO476" s="3" t="str">
        <f t="shared" si="275"/>
        <v/>
      </c>
      <c r="AP476" s="33" t="str">
        <f t="shared" si="276"/>
        <v/>
      </c>
      <c r="AQ476" s="58" t="str">
        <f t="shared" si="277"/>
        <v/>
      </c>
      <c r="AR476" s="38">
        <f>'ANR OK vs ML7'!AR476</f>
        <v>0.1</v>
      </c>
      <c r="AS476" s="35" t="str">
        <f t="shared" si="278"/>
        <v/>
      </c>
      <c r="AT476" s="3" t="str">
        <f t="shared" si="279"/>
        <v/>
      </c>
      <c r="AU476" s="3" t="str">
        <f t="shared" si="280"/>
        <v/>
      </c>
      <c r="AW476" s="32" t="str">
        <f t="shared" si="281"/>
        <v/>
      </c>
      <c r="AX476" s="32" t="str">
        <f t="shared" si="282"/>
        <v/>
      </c>
      <c r="AY476" s="32" t="str">
        <f t="shared" si="283"/>
        <v/>
      </c>
      <c r="BA476" s="32" t="str">
        <f>IF($A477="","",F476*Summary!$Q$9)</f>
        <v/>
      </c>
    </row>
    <row r="477" spans="1:53">
      <c r="A477" s="67" t="str">
        <f t="shared" si="284"/>
        <v/>
      </c>
      <c r="B477" s="69" t="str">
        <f t="shared" si="285"/>
        <v/>
      </c>
      <c r="D477" s="69" t="str">
        <f t="shared" si="258"/>
        <v/>
      </c>
      <c r="E477" s="70" t="str">
        <f t="shared" si="259"/>
        <v/>
      </c>
      <c r="F477" s="70" t="str">
        <f t="shared" si="260"/>
        <v/>
      </c>
      <c r="G477" s="63" t="str">
        <f t="shared" si="261"/>
        <v/>
      </c>
      <c r="H477" s="64" t="str">
        <f t="shared" si="262"/>
        <v/>
      </c>
      <c r="J477" s="63" t="str">
        <f t="shared" si="263"/>
        <v/>
      </c>
      <c r="K477" s="64" t="str">
        <f t="shared" si="264"/>
        <v/>
      </c>
      <c r="L477" s="63" t="str">
        <f t="shared" si="265"/>
        <v/>
      </c>
      <c r="M477" s="64" t="str">
        <f t="shared" si="266"/>
        <v/>
      </c>
      <c r="O477" s="63" t="str">
        <f t="shared" si="267"/>
        <v/>
      </c>
      <c r="P477" s="63" t="str">
        <f t="shared" si="268"/>
        <v/>
      </c>
      <c r="R477" s="63" t="str">
        <f t="shared" si="269"/>
        <v/>
      </c>
      <c r="S477" s="64" t="str">
        <f t="shared" si="270"/>
        <v/>
      </c>
      <c r="T477" s="63" t="str">
        <f t="shared" si="271"/>
        <v/>
      </c>
      <c r="U477" s="64" t="str">
        <f t="shared" si="272"/>
        <v/>
      </c>
      <c r="V477" s="90" t="str">
        <f>IF($A478="","",IF(AND(MONTH(A477)&gt;3,MONTH(A477)&lt;11),(T477+R477+G477)*Summary!$T$9/(1-Summary!$T$9),(T477+R477+G477)*Summary!$U$9/(1-Summary!$U$9)))</f>
        <v/>
      </c>
      <c r="W477" s="63" t="str">
        <f t="shared" si="273"/>
        <v/>
      </c>
      <c r="X477" s="63" t="str">
        <f t="shared" si="274"/>
        <v/>
      </c>
      <c r="Y477" s="43"/>
      <c r="AJ477" s="86"/>
      <c r="AK477" s="86"/>
      <c r="AL477" s="86"/>
      <c r="AM477" s="86"/>
      <c r="AN477" s="86"/>
      <c r="AO477" s="3" t="str">
        <f t="shared" si="275"/>
        <v/>
      </c>
      <c r="AP477" s="33" t="str">
        <f t="shared" si="276"/>
        <v/>
      </c>
      <c r="AQ477" s="58" t="str">
        <f t="shared" si="277"/>
        <v/>
      </c>
      <c r="AR477" s="38">
        <f>'ANR OK vs ML7'!AR477</f>
        <v>0.1</v>
      </c>
      <c r="AS477" s="35" t="str">
        <f t="shared" si="278"/>
        <v/>
      </c>
      <c r="AT477" s="3" t="str">
        <f t="shared" si="279"/>
        <v/>
      </c>
      <c r="AU477" s="3" t="str">
        <f t="shared" si="280"/>
        <v/>
      </c>
      <c r="AW477" s="32" t="str">
        <f t="shared" si="281"/>
        <v/>
      </c>
      <c r="AX477" s="32" t="str">
        <f t="shared" si="282"/>
        <v/>
      </c>
      <c r="AY477" s="32" t="str">
        <f t="shared" si="283"/>
        <v/>
      </c>
      <c r="BA477" s="32" t="str">
        <f>IF($A478="","",F477*Summary!$Q$9)</f>
        <v/>
      </c>
    </row>
    <row r="478" spans="1:53">
      <c r="A478" s="67" t="str">
        <f t="shared" si="284"/>
        <v/>
      </c>
      <c r="B478" s="69" t="str">
        <f t="shared" si="285"/>
        <v/>
      </c>
      <c r="D478" s="69" t="str">
        <f t="shared" si="258"/>
        <v/>
      </c>
      <c r="E478" s="70" t="str">
        <f t="shared" si="259"/>
        <v/>
      </c>
      <c r="F478" s="70" t="str">
        <f t="shared" si="260"/>
        <v/>
      </c>
      <c r="G478" s="63" t="str">
        <f t="shared" si="261"/>
        <v/>
      </c>
      <c r="H478" s="64" t="str">
        <f t="shared" si="262"/>
        <v/>
      </c>
      <c r="J478" s="63" t="str">
        <f t="shared" si="263"/>
        <v/>
      </c>
      <c r="K478" s="64" t="str">
        <f t="shared" si="264"/>
        <v/>
      </c>
      <c r="L478" s="63" t="str">
        <f t="shared" si="265"/>
        <v/>
      </c>
      <c r="M478" s="64" t="str">
        <f t="shared" si="266"/>
        <v/>
      </c>
      <c r="O478" s="63" t="str">
        <f t="shared" si="267"/>
        <v/>
      </c>
      <c r="P478" s="63" t="str">
        <f t="shared" si="268"/>
        <v/>
      </c>
      <c r="R478" s="63" t="str">
        <f t="shared" si="269"/>
        <v/>
      </c>
      <c r="S478" s="64" t="str">
        <f t="shared" si="270"/>
        <v/>
      </c>
      <c r="T478" s="63" t="str">
        <f t="shared" si="271"/>
        <v/>
      </c>
      <c r="U478" s="64" t="str">
        <f t="shared" si="272"/>
        <v/>
      </c>
      <c r="V478" s="90" t="str">
        <f>IF($A479="","",IF(AND(MONTH(A478)&gt;3,MONTH(A478)&lt;11),(T478+R478+G478)*Summary!$T$9/(1-Summary!$T$9),(T478+R478+G478)*Summary!$U$9/(1-Summary!$U$9)))</f>
        <v/>
      </c>
      <c r="W478" s="63" t="str">
        <f t="shared" si="273"/>
        <v/>
      </c>
      <c r="X478" s="63" t="str">
        <f t="shared" si="274"/>
        <v/>
      </c>
      <c r="Y478" s="43"/>
      <c r="AJ478" s="86"/>
      <c r="AK478" s="86"/>
      <c r="AL478" s="86"/>
      <c r="AM478" s="86"/>
      <c r="AN478" s="86"/>
      <c r="AO478" s="3" t="str">
        <f t="shared" si="275"/>
        <v/>
      </c>
      <c r="AP478" s="33" t="str">
        <f t="shared" si="276"/>
        <v/>
      </c>
      <c r="AQ478" s="58" t="str">
        <f t="shared" si="277"/>
        <v/>
      </c>
      <c r="AR478" s="38">
        <f>'ANR OK vs ML7'!AR478</f>
        <v>0.1</v>
      </c>
      <c r="AS478" s="35" t="str">
        <f t="shared" si="278"/>
        <v/>
      </c>
      <c r="AT478" s="3" t="str">
        <f t="shared" si="279"/>
        <v/>
      </c>
      <c r="AU478" s="3" t="str">
        <f t="shared" si="280"/>
        <v/>
      </c>
      <c r="AW478" s="32" t="str">
        <f t="shared" si="281"/>
        <v/>
      </c>
      <c r="AX478" s="32" t="str">
        <f t="shared" si="282"/>
        <v/>
      </c>
      <c r="AY478" s="32" t="str">
        <f t="shared" si="283"/>
        <v/>
      </c>
      <c r="BA478" s="32" t="str">
        <f>IF($A479="","",F478*Summary!$Q$9)</f>
        <v/>
      </c>
    </row>
    <row r="479" spans="1:53">
      <c r="A479" s="67" t="str">
        <f t="shared" si="284"/>
        <v/>
      </c>
      <c r="B479" s="69" t="str">
        <f t="shared" si="285"/>
        <v/>
      </c>
      <c r="D479" s="69" t="str">
        <f t="shared" si="258"/>
        <v/>
      </c>
      <c r="E479" s="70" t="str">
        <f t="shared" si="259"/>
        <v/>
      </c>
      <c r="F479" s="70" t="str">
        <f t="shared" si="260"/>
        <v/>
      </c>
      <c r="G479" s="63" t="str">
        <f t="shared" si="261"/>
        <v/>
      </c>
      <c r="H479" s="64" t="str">
        <f t="shared" si="262"/>
        <v/>
      </c>
      <c r="J479" s="63" t="str">
        <f t="shared" si="263"/>
        <v/>
      </c>
      <c r="K479" s="64" t="str">
        <f t="shared" si="264"/>
        <v/>
      </c>
      <c r="L479" s="63" t="str">
        <f t="shared" si="265"/>
        <v/>
      </c>
      <c r="M479" s="64" t="str">
        <f t="shared" si="266"/>
        <v/>
      </c>
      <c r="O479" s="63" t="str">
        <f t="shared" si="267"/>
        <v/>
      </c>
      <c r="P479" s="63" t="str">
        <f t="shared" si="268"/>
        <v/>
      </c>
      <c r="R479" s="63" t="str">
        <f t="shared" si="269"/>
        <v/>
      </c>
      <c r="S479" s="64" t="str">
        <f t="shared" si="270"/>
        <v/>
      </c>
      <c r="T479" s="63" t="str">
        <f t="shared" si="271"/>
        <v/>
      </c>
      <c r="U479" s="64" t="str">
        <f t="shared" si="272"/>
        <v/>
      </c>
      <c r="V479" s="90" t="str">
        <f>IF($A480="","",IF(AND(MONTH(A479)&gt;3,MONTH(A479)&lt;11),(T479+R479+G479)*Summary!$T$9/(1-Summary!$T$9),(T479+R479+G479)*Summary!$U$9/(1-Summary!$U$9)))</f>
        <v/>
      </c>
      <c r="W479" s="63" t="str">
        <f t="shared" si="273"/>
        <v/>
      </c>
      <c r="X479" s="63" t="str">
        <f t="shared" si="274"/>
        <v/>
      </c>
      <c r="Y479" s="43"/>
      <c r="AJ479" s="86"/>
      <c r="AK479" s="86"/>
      <c r="AL479" s="86"/>
      <c r="AM479" s="86"/>
      <c r="AN479" s="86"/>
      <c r="AO479" s="3" t="str">
        <f t="shared" si="275"/>
        <v/>
      </c>
      <c r="AP479" s="33" t="str">
        <f t="shared" si="276"/>
        <v/>
      </c>
      <c r="AQ479" s="58" t="str">
        <f t="shared" si="277"/>
        <v/>
      </c>
      <c r="AR479" s="38">
        <f>'ANR OK vs ML7'!AR479</f>
        <v>0.1</v>
      </c>
      <c r="AS479" s="35" t="str">
        <f t="shared" si="278"/>
        <v/>
      </c>
      <c r="AT479" s="3" t="str">
        <f t="shared" si="279"/>
        <v/>
      </c>
      <c r="AU479" s="3" t="str">
        <f t="shared" si="280"/>
        <v/>
      </c>
      <c r="AW479" s="32" t="str">
        <f t="shared" si="281"/>
        <v/>
      </c>
      <c r="AX479" s="32" t="str">
        <f t="shared" si="282"/>
        <v/>
      </c>
      <c r="AY479" s="32" t="str">
        <f t="shared" si="283"/>
        <v/>
      </c>
      <c r="BA479" s="32" t="str">
        <f>IF($A480="","",F479*Summary!$Q$9)</f>
        <v/>
      </c>
    </row>
    <row r="480" spans="1:53">
      <c r="A480" s="67" t="str">
        <f t="shared" si="284"/>
        <v/>
      </c>
      <c r="B480" s="69" t="str">
        <f t="shared" si="285"/>
        <v/>
      </c>
      <c r="D480" s="69" t="str">
        <f t="shared" si="258"/>
        <v/>
      </c>
      <c r="E480" s="70" t="str">
        <f t="shared" si="259"/>
        <v/>
      </c>
      <c r="F480" s="70" t="str">
        <f t="shared" si="260"/>
        <v/>
      </c>
      <c r="G480" s="63" t="str">
        <f t="shared" si="261"/>
        <v/>
      </c>
      <c r="H480" s="64" t="str">
        <f t="shared" si="262"/>
        <v/>
      </c>
      <c r="J480" s="63" t="str">
        <f t="shared" si="263"/>
        <v/>
      </c>
      <c r="K480" s="64" t="str">
        <f t="shared" si="264"/>
        <v/>
      </c>
      <c r="L480" s="63" t="str">
        <f t="shared" si="265"/>
        <v/>
      </c>
      <c r="M480" s="64" t="str">
        <f t="shared" si="266"/>
        <v/>
      </c>
      <c r="O480" s="63" t="str">
        <f t="shared" si="267"/>
        <v/>
      </c>
      <c r="P480" s="63" t="str">
        <f t="shared" si="268"/>
        <v/>
      </c>
      <c r="R480" s="63" t="str">
        <f t="shared" si="269"/>
        <v/>
      </c>
      <c r="S480" s="64" t="str">
        <f t="shared" si="270"/>
        <v/>
      </c>
      <c r="T480" s="63" t="str">
        <f t="shared" si="271"/>
        <v/>
      </c>
      <c r="U480" s="64" t="str">
        <f t="shared" si="272"/>
        <v/>
      </c>
      <c r="V480" s="90" t="str">
        <f>IF($A481="","",IF(AND(MONTH(A480)&gt;3,MONTH(A480)&lt;11),(T480+R480+G480)*Summary!$T$9/(1-Summary!$T$9),(T480+R480+G480)*Summary!$U$9/(1-Summary!$U$9)))</f>
        <v/>
      </c>
      <c r="W480" s="63" t="str">
        <f t="shared" si="273"/>
        <v/>
      </c>
      <c r="X480" s="63" t="str">
        <f t="shared" si="274"/>
        <v/>
      </c>
      <c r="Y480" s="43"/>
      <c r="AJ480" s="86"/>
      <c r="AK480" s="86"/>
      <c r="AL480" s="86"/>
      <c r="AM480" s="86"/>
      <c r="AN480" s="86"/>
      <c r="AO480" s="3" t="str">
        <f t="shared" si="275"/>
        <v/>
      </c>
      <c r="AP480" s="33" t="str">
        <f t="shared" si="276"/>
        <v/>
      </c>
      <c r="AQ480" s="58" t="str">
        <f t="shared" si="277"/>
        <v/>
      </c>
      <c r="AR480" s="38">
        <f>'ANR OK vs ML7'!AR480</f>
        <v>0.1</v>
      </c>
      <c r="AS480" s="35" t="str">
        <f t="shared" si="278"/>
        <v/>
      </c>
      <c r="AT480" s="3" t="str">
        <f t="shared" si="279"/>
        <v/>
      </c>
      <c r="AU480" s="3" t="str">
        <f t="shared" si="280"/>
        <v/>
      </c>
      <c r="AW480" s="32" t="str">
        <f t="shared" si="281"/>
        <v/>
      </c>
      <c r="AX480" s="32" t="str">
        <f t="shared" si="282"/>
        <v/>
      </c>
      <c r="AY480" s="32" t="str">
        <f t="shared" si="283"/>
        <v/>
      </c>
      <c r="BA480" s="32" t="str">
        <f>IF($A481="","",F480*Summary!$Q$9)</f>
        <v/>
      </c>
    </row>
    <row r="481" spans="1:53">
      <c r="A481" s="67" t="str">
        <f t="shared" si="284"/>
        <v/>
      </c>
      <c r="B481" s="69" t="str">
        <f t="shared" si="285"/>
        <v/>
      </c>
      <c r="D481" s="69" t="str">
        <f t="shared" si="258"/>
        <v/>
      </c>
      <c r="E481" s="70" t="str">
        <f t="shared" si="259"/>
        <v/>
      </c>
      <c r="F481" s="70" t="str">
        <f t="shared" si="260"/>
        <v/>
      </c>
      <c r="G481" s="63" t="str">
        <f t="shared" si="261"/>
        <v/>
      </c>
      <c r="H481" s="64" t="str">
        <f t="shared" si="262"/>
        <v/>
      </c>
      <c r="J481" s="63" t="str">
        <f t="shared" si="263"/>
        <v/>
      </c>
      <c r="K481" s="64" t="str">
        <f t="shared" si="264"/>
        <v/>
      </c>
      <c r="L481" s="63" t="str">
        <f t="shared" si="265"/>
        <v/>
      </c>
      <c r="M481" s="64" t="str">
        <f t="shared" si="266"/>
        <v/>
      </c>
      <c r="O481" s="63" t="str">
        <f t="shared" si="267"/>
        <v/>
      </c>
      <c r="P481" s="63" t="str">
        <f t="shared" si="268"/>
        <v/>
      </c>
      <c r="R481" s="63" t="str">
        <f t="shared" si="269"/>
        <v/>
      </c>
      <c r="S481" s="64" t="str">
        <f t="shared" si="270"/>
        <v/>
      </c>
      <c r="T481" s="63" t="str">
        <f t="shared" si="271"/>
        <v/>
      </c>
      <c r="U481" s="64" t="str">
        <f t="shared" si="272"/>
        <v/>
      </c>
      <c r="V481" s="90" t="str">
        <f>IF($A482="","",IF(AND(MONTH(A481)&gt;3,MONTH(A481)&lt;11),(T481+R481+G481)*Summary!$T$9/(1-Summary!$T$9),(T481+R481+G481)*Summary!$U$9/(1-Summary!$U$9)))</f>
        <v/>
      </c>
      <c r="W481" s="63" t="str">
        <f t="shared" si="273"/>
        <v/>
      </c>
      <c r="X481" s="63" t="str">
        <f t="shared" si="274"/>
        <v/>
      </c>
      <c r="Y481" s="43"/>
      <c r="AJ481" s="86"/>
      <c r="AK481" s="86"/>
      <c r="AL481" s="86"/>
      <c r="AM481" s="86"/>
      <c r="AN481" s="86"/>
      <c r="AO481" s="3" t="str">
        <f t="shared" si="275"/>
        <v/>
      </c>
      <c r="AP481" s="33" t="str">
        <f t="shared" si="276"/>
        <v/>
      </c>
      <c r="AQ481" s="58" t="str">
        <f t="shared" si="277"/>
        <v/>
      </c>
      <c r="AR481" s="38">
        <f>'ANR OK vs ML7'!AR481</f>
        <v>0.1</v>
      </c>
      <c r="AS481" s="35" t="str">
        <f t="shared" si="278"/>
        <v/>
      </c>
      <c r="AT481" s="3" t="str">
        <f t="shared" si="279"/>
        <v/>
      </c>
      <c r="AU481" s="3" t="str">
        <f t="shared" si="280"/>
        <v/>
      </c>
      <c r="AW481" s="32" t="str">
        <f t="shared" si="281"/>
        <v/>
      </c>
      <c r="AX481" s="32" t="str">
        <f t="shared" si="282"/>
        <v/>
      </c>
      <c r="AY481" s="32" t="str">
        <f t="shared" si="283"/>
        <v/>
      </c>
      <c r="BA481" s="32" t="str">
        <f>IF($A482="","",F481*Summary!$Q$9)</f>
        <v/>
      </c>
    </row>
    <row r="482" spans="1:53">
      <c r="A482" s="67" t="str">
        <f t="shared" si="284"/>
        <v/>
      </c>
      <c r="B482" s="69" t="str">
        <f t="shared" si="285"/>
        <v/>
      </c>
      <c r="D482" s="69" t="str">
        <f t="shared" si="258"/>
        <v/>
      </c>
      <c r="E482" s="70" t="str">
        <f t="shared" si="259"/>
        <v/>
      </c>
      <c r="F482" s="70" t="str">
        <f t="shared" si="260"/>
        <v/>
      </c>
      <c r="G482" s="63" t="str">
        <f t="shared" si="261"/>
        <v/>
      </c>
      <c r="H482" s="64" t="str">
        <f t="shared" si="262"/>
        <v/>
      </c>
      <c r="J482" s="63" t="str">
        <f t="shared" si="263"/>
        <v/>
      </c>
      <c r="K482" s="64" t="str">
        <f t="shared" si="264"/>
        <v/>
      </c>
      <c r="L482" s="63" t="str">
        <f t="shared" si="265"/>
        <v/>
      </c>
      <c r="M482" s="64" t="str">
        <f t="shared" si="266"/>
        <v/>
      </c>
      <c r="O482" s="63" t="str">
        <f t="shared" si="267"/>
        <v/>
      </c>
      <c r="P482" s="63" t="str">
        <f t="shared" si="268"/>
        <v/>
      </c>
      <c r="R482" s="63" t="str">
        <f t="shared" si="269"/>
        <v/>
      </c>
      <c r="S482" s="64" t="str">
        <f t="shared" si="270"/>
        <v/>
      </c>
      <c r="T482" s="63" t="str">
        <f t="shared" si="271"/>
        <v/>
      </c>
      <c r="U482" s="64" t="str">
        <f t="shared" si="272"/>
        <v/>
      </c>
      <c r="V482" s="90" t="str">
        <f>IF($A483="","",IF(AND(MONTH(A482)&gt;3,MONTH(A482)&lt;11),(T482+R482+G482)*Summary!$T$9/(1-Summary!$T$9),(T482+R482+G482)*Summary!$U$9/(1-Summary!$U$9)))</f>
        <v/>
      </c>
      <c r="W482" s="63" t="str">
        <f t="shared" si="273"/>
        <v/>
      </c>
      <c r="X482" s="63" t="str">
        <f t="shared" si="274"/>
        <v/>
      </c>
      <c r="Y482" s="43"/>
      <c r="AJ482" s="86"/>
      <c r="AK482" s="86"/>
      <c r="AL482" s="86"/>
      <c r="AM482" s="86"/>
      <c r="AN482" s="86"/>
      <c r="AO482" s="3" t="str">
        <f t="shared" si="275"/>
        <v/>
      </c>
      <c r="AP482" s="33" t="str">
        <f t="shared" si="276"/>
        <v/>
      </c>
      <c r="AQ482" s="58" t="str">
        <f t="shared" si="277"/>
        <v/>
      </c>
      <c r="AR482" s="38">
        <f>'ANR OK vs ML7'!AR482</f>
        <v>0.1</v>
      </c>
      <c r="AS482" s="35" t="str">
        <f t="shared" si="278"/>
        <v/>
      </c>
      <c r="AT482" s="3" t="str">
        <f t="shared" si="279"/>
        <v/>
      </c>
      <c r="AU482" s="3" t="str">
        <f t="shared" si="280"/>
        <v/>
      </c>
      <c r="AW482" s="32" t="str">
        <f t="shared" si="281"/>
        <v/>
      </c>
      <c r="AX482" s="32" t="str">
        <f t="shared" si="282"/>
        <v/>
      </c>
      <c r="AY482" s="32" t="str">
        <f t="shared" si="283"/>
        <v/>
      </c>
      <c r="BA482" s="32" t="str">
        <f>IF($A483="","",F482*Summary!$Q$9)</f>
        <v/>
      </c>
    </row>
    <row r="483" spans="1:53">
      <c r="A483" s="67" t="str">
        <f t="shared" si="284"/>
        <v/>
      </c>
      <c r="B483" s="69" t="str">
        <f t="shared" si="285"/>
        <v/>
      </c>
      <c r="D483" s="69" t="str">
        <f t="shared" si="258"/>
        <v/>
      </c>
      <c r="E483" s="70" t="str">
        <f t="shared" si="259"/>
        <v/>
      </c>
      <c r="F483" s="70" t="str">
        <f t="shared" si="260"/>
        <v/>
      </c>
      <c r="G483" s="63" t="str">
        <f t="shared" si="261"/>
        <v/>
      </c>
      <c r="H483" s="64" t="str">
        <f t="shared" si="262"/>
        <v/>
      </c>
      <c r="J483" s="63" t="str">
        <f t="shared" si="263"/>
        <v/>
      </c>
      <c r="K483" s="64" t="str">
        <f t="shared" si="264"/>
        <v/>
      </c>
      <c r="L483" s="63" t="str">
        <f t="shared" si="265"/>
        <v/>
      </c>
      <c r="M483" s="64" t="str">
        <f t="shared" si="266"/>
        <v/>
      </c>
      <c r="O483" s="63" t="str">
        <f t="shared" si="267"/>
        <v/>
      </c>
      <c r="P483" s="63" t="str">
        <f t="shared" si="268"/>
        <v/>
      </c>
      <c r="R483" s="63" t="str">
        <f t="shared" si="269"/>
        <v/>
      </c>
      <c r="S483" s="64" t="str">
        <f t="shared" si="270"/>
        <v/>
      </c>
      <c r="T483" s="63" t="str">
        <f t="shared" si="271"/>
        <v/>
      </c>
      <c r="U483" s="64" t="str">
        <f t="shared" si="272"/>
        <v/>
      </c>
      <c r="V483" s="90" t="str">
        <f>IF($A484="","",IF(AND(MONTH(A483)&gt;3,MONTH(A483)&lt;11),(T483+R483+G483)*Summary!$T$9/(1-Summary!$T$9),(T483+R483+G483)*Summary!$U$9/(1-Summary!$U$9)))</f>
        <v/>
      </c>
      <c r="W483" s="63" t="str">
        <f t="shared" si="273"/>
        <v/>
      </c>
      <c r="X483" s="63" t="str">
        <f t="shared" si="274"/>
        <v/>
      </c>
      <c r="Y483" s="43"/>
      <c r="AJ483" s="86"/>
      <c r="AK483" s="86"/>
      <c r="AL483" s="86"/>
      <c r="AM483" s="86"/>
      <c r="AN483" s="86"/>
      <c r="AO483" s="3" t="str">
        <f t="shared" si="275"/>
        <v/>
      </c>
      <c r="AP483" s="33" t="str">
        <f t="shared" si="276"/>
        <v/>
      </c>
      <c r="AQ483" s="58" t="str">
        <f t="shared" si="277"/>
        <v/>
      </c>
      <c r="AR483" s="38">
        <f>'ANR OK vs ML7'!AR483</f>
        <v>0.1</v>
      </c>
      <c r="AS483" s="35" t="str">
        <f t="shared" si="278"/>
        <v/>
      </c>
      <c r="AT483" s="3" t="str">
        <f t="shared" si="279"/>
        <v/>
      </c>
      <c r="AU483" s="3" t="str">
        <f t="shared" si="280"/>
        <v/>
      </c>
      <c r="AW483" s="32" t="str">
        <f t="shared" si="281"/>
        <v/>
      </c>
      <c r="AX483" s="32" t="str">
        <f t="shared" si="282"/>
        <v/>
      </c>
      <c r="AY483" s="32" t="str">
        <f t="shared" si="283"/>
        <v/>
      </c>
      <c r="BA483" s="32" t="str">
        <f>IF($A484="","",F483*Summary!$Q$9)</f>
        <v/>
      </c>
    </row>
    <row r="484" spans="1:53">
      <c r="A484" s="67" t="str">
        <f t="shared" si="284"/>
        <v/>
      </c>
      <c r="B484" s="69" t="str">
        <f t="shared" si="285"/>
        <v/>
      </c>
      <c r="D484" s="69" t="str">
        <f t="shared" si="258"/>
        <v/>
      </c>
      <c r="E484" s="70" t="str">
        <f t="shared" si="259"/>
        <v/>
      </c>
      <c r="F484" s="70" t="str">
        <f t="shared" si="260"/>
        <v/>
      </c>
      <c r="G484" s="63" t="str">
        <f t="shared" si="261"/>
        <v/>
      </c>
      <c r="H484" s="64" t="str">
        <f t="shared" si="262"/>
        <v/>
      </c>
      <c r="J484" s="63" t="str">
        <f t="shared" si="263"/>
        <v/>
      </c>
      <c r="K484" s="64" t="str">
        <f t="shared" si="264"/>
        <v/>
      </c>
      <c r="L484" s="63" t="str">
        <f t="shared" si="265"/>
        <v/>
      </c>
      <c r="M484" s="64" t="str">
        <f t="shared" si="266"/>
        <v/>
      </c>
      <c r="O484" s="63" t="str">
        <f t="shared" si="267"/>
        <v/>
      </c>
      <c r="P484" s="63" t="str">
        <f t="shared" si="268"/>
        <v/>
      </c>
      <c r="R484" s="63" t="str">
        <f t="shared" si="269"/>
        <v/>
      </c>
      <c r="S484" s="64" t="str">
        <f t="shared" si="270"/>
        <v/>
      </c>
      <c r="T484" s="63" t="str">
        <f t="shared" si="271"/>
        <v/>
      </c>
      <c r="U484" s="64" t="str">
        <f t="shared" si="272"/>
        <v/>
      </c>
      <c r="V484" s="90" t="str">
        <f>IF($A485="","",IF(AND(MONTH(A484)&gt;3,MONTH(A484)&lt;11),(T484+R484+G484)*Summary!$T$9/(1-Summary!$T$9),(T484+R484+G484)*Summary!$U$9/(1-Summary!$U$9)))</f>
        <v/>
      </c>
      <c r="W484" s="63" t="str">
        <f t="shared" si="273"/>
        <v/>
      </c>
      <c r="X484" s="63" t="str">
        <f t="shared" si="274"/>
        <v/>
      </c>
      <c r="Y484" s="43"/>
      <c r="AJ484" s="86"/>
      <c r="AK484" s="86"/>
      <c r="AL484" s="86"/>
      <c r="AM484" s="86"/>
      <c r="AN484" s="86"/>
      <c r="AO484" s="3" t="str">
        <f t="shared" si="275"/>
        <v/>
      </c>
      <c r="AP484" s="33" t="str">
        <f t="shared" si="276"/>
        <v/>
      </c>
      <c r="AQ484" s="58" t="str">
        <f t="shared" si="277"/>
        <v/>
      </c>
      <c r="AR484" s="38">
        <f>'ANR OK vs ML7'!AR484</f>
        <v>0.1</v>
      </c>
      <c r="AS484" s="35" t="str">
        <f t="shared" si="278"/>
        <v/>
      </c>
      <c r="AT484" s="3" t="str">
        <f t="shared" si="279"/>
        <v/>
      </c>
      <c r="AU484" s="3" t="str">
        <f t="shared" si="280"/>
        <v/>
      </c>
      <c r="AW484" s="32" t="str">
        <f t="shared" si="281"/>
        <v/>
      </c>
      <c r="AX484" s="32" t="str">
        <f t="shared" si="282"/>
        <v/>
      </c>
      <c r="AY484" s="32" t="str">
        <f t="shared" si="283"/>
        <v/>
      </c>
      <c r="BA484" s="32" t="str">
        <f>IF($A485="","",F484*Summary!$Q$9)</f>
        <v/>
      </c>
    </row>
    <row r="485" spans="1:53">
      <c r="A485" s="67" t="str">
        <f t="shared" si="284"/>
        <v/>
      </c>
      <c r="B485" s="69" t="str">
        <f t="shared" si="285"/>
        <v/>
      </c>
      <c r="D485" s="69" t="str">
        <f t="shared" si="258"/>
        <v/>
      </c>
      <c r="E485" s="70" t="str">
        <f t="shared" si="259"/>
        <v/>
      </c>
      <c r="F485" s="70" t="str">
        <f t="shared" si="260"/>
        <v/>
      </c>
      <c r="G485" s="63" t="str">
        <f t="shared" si="261"/>
        <v/>
      </c>
      <c r="H485" s="64" t="str">
        <f t="shared" si="262"/>
        <v/>
      </c>
      <c r="J485" s="63" t="str">
        <f t="shared" si="263"/>
        <v/>
      </c>
      <c r="K485" s="64" t="str">
        <f t="shared" si="264"/>
        <v/>
      </c>
      <c r="L485" s="63" t="str">
        <f t="shared" si="265"/>
        <v/>
      </c>
      <c r="M485" s="64" t="str">
        <f t="shared" si="266"/>
        <v/>
      </c>
      <c r="O485" s="63" t="str">
        <f t="shared" si="267"/>
        <v/>
      </c>
      <c r="P485" s="63" t="str">
        <f t="shared" si="268"/>
        <v/>
      </c>
      <c r="R485" s="63" t="str">
        <f t="shared" si="269"/>
        <v/>
      </c>
      <c r="S485" s="64" t="str">
        <f t="shared" si="270"/>
        <v/>
      </c>
      <c r="T485" s="63" t="str">
        <f t="shared" si="271"/>
        <v/>
      </c>
      <c r="U485" s="64" t="str">
        <f t="shared" si="272"/>
        <v/>
      </c>
      <c r="V485" s="90" t="str">
        <f>IF($A486="","",IF(AND(MONTH(A485)&gt;3,MONTH(A485)&lt;11),(T485+R485+G485)*Summary!$T$9/(1-Summary!$T$9),(T485+R485+G485)*Summary!$U$9/(1-Summary!$U$9)))</f>
        <v/>
      </c>
      <c r="W485" s="63" t="str">
        <f t="shared" si="273"/>
        <v/>
      </c>
      <c r="X485" s="63" t="str">
        <f t="shared" si="274"/>
        <v/>
      </c>
      <c r="Y485" s="43"/>
      <c r="AJ485" s="86"/>
      <c r="AK485" s="86"/>
      <c r="AL485" s="86"/>
      <c r="AM485" s="86"/>
      <c r="AN485" s="86"/>
      <c r="AO485" s="3" t="str">
        <f t="shared" si="275"/>
        <v/>
      </c>
      <c r="AP485" s="33" t="str">
        <f t="shared" si="276"/>
        <v/>
      </c>
      <c r="AQ485" s="58" t="str">
        <f t="shared" si="277"/>
        <v/>
      </c>
      <c r="AR485" s="38">
        <f>'ANR OK vs ML7'!AR485</f>
        <v>0.1</v>
      </c>
      <c r="AS485" s="35" t="str">
        <f t="shared" si="278"/>
        <v/>
      </c>
      <c r="AT485" s="3" t="str">
        <f t="shared" si="279"/>
        <v/>
      </c>
      <c r="AU485" s="3" t="str">
        <f t="shared" si="280"/>
        <v/>
      </c>
      <c r="AW485" s="32" t="str">
        <f t="shared" si="281"/>
        <v/>
      </c>
      <c r="AX485" s="32" t="str">
        <f t="shared" si="282"/>
        <v/>
      </c>
      <c r="AY485" s="32" t="str">
        <f t="shared" si="283"/>
        <v/>
      </c>
      <c r="BA485" s="32" t="str">
        <f>IF($A486="","",F485*Summary!$Q$9)</f>
        <v/>
      </c>
    </row>
    <row r="486" spans="1:53">
      <c r="A486" s="67" t="str">
        <f t="shared" si="284"/>
        <v/>
      </c>
      <c r="B486" s="69" t="str">
        <f t="shared" si="285"/>
        <v/>
      </c>
      <c r="D486" s="69" t="str">
        <f t="shared" si="258"/>
        <v/>
      </c>
      <c r="E486" s="70" t="str">
        <f t="shared" si="259"/>
        <v/>
      </c>
      <c r="F486" s="70" t="str">
        <f t="shared" si="260"/>
        <v/>
      </c>
      <c r="G486" s="63" t="str">
        <f t="shared" si="261"/>
        <v/>
      </c>
      <c r="H486" s="64" t="str">
        <f t="shared" si="262"/>
        <v/>
      </c>
      <c r="J486" s="63" t="str">
        <f t="shared" si="263"/>
        <v/>
      </c>
      <c r="K486" s="64" t="str">
        <f t="shared" si="264"/>
        <v/>
      </c>
      <c r="L486" s="63" t="str">
        <f t="shared" si="265"/>
        <v/>
      </c>
      <c r="M486" s="64" t="str">
        <f t="shared" si="266"/>
        <v/>
      </c>
      <c r="O486" s="63" t="str">
        <f t="shared" si="267"/>
        <v/>
      </c>
      <c r="P486" s="63" t="str">
        <f t="shared" si="268"/>
        <v/>
      </c>
      <c r="R486" s="63" t="str">
        <f t="shared" si="269"/>
        <v/>
      </c>
      <c r="S486" s="64" t="str">
        <f t="shared" si="270"/>
        <v/>
      </c>
      <c r="T486" s="63" t="str">
        <f t="shared" si="271"/>
        <v/>
      </c>
      <c r="U486" s="64" t="str">
        <f t="shared" si="272"/>
        <v/>
      </c>
      <c r="V486" s="90" t="str">
        <f>IF($A487="","",IF(AND(MONTH(A486)&gt;3,MONTH(A486)&lt;11),(T486+R486+G486)*Summary!$T$9/(1-Summary!$T$9),(T486+R486+G486)*Summary!$U$9/(1-Summary!$U$9)))</f>
        <v/>
      </c>
      <c r="W486" s="63" t="str">
        <f t="shared" si="273"/>
        <v/>
      </c>
      <c r="X486" s="63" t="str">
        <f t="shared" si="274"/>
        <v/>
      </c>
      <c r="Y486" s="43"/>
      <c r="AJ486" s="86"/>
      <c r="AK486" s="86"/>
      <c r="AL486" s="86"/>
      <c r="AM486" s="86"/>
      <c r="AN486" s="86"/>
      <c r="AO486" s="3" t="str">
        <f t="shared" si="275"/>
        <v/>
      </c>
      <c r="AP486" s="33" t="str">
        <f t="shared" si="276"/>
        <v/>
      </c>
      <c r="AQ486" s="58" t="str">
        <f t="shared" si="277"/>
        <v/>
      </c>
      <c r="AR486" s="38">
        <f>'ANR OK vs ML7'!AR486</f>
        <v>0.1</v>
      </c>
      <c r="AS486" s="35" t="str">
        <f t="shared" si="278"/>
        <v/>
      </c>
      <c r="AT486" s="3" t="str">
        <f t="shared" si="279"/>
        <v/>
      </c>
      <c r="AU486" s="3" t="str">
        <f t="shared" si="280"/>
        <v/>
      </c>
      <c r="AW486" s="32" t="str">
        <f t="shared" si="281"/>
        <v/>
      </c>
      <c r="AX486" s="32" t="str">
        <f t="shared" si="282"/>
        <v/>
      </c>
      <c r="AY486" s="32" t="str">
        <f t="shared" si="283"/>
        <v/>
      </c>
      <c r="BA486" s="32" t="str">
        <f>IF($A487="","",F486*Summary!$Q$9)</f>
        <v/>
      </c>
    </row>
    <row r="487" spans="1:53">
      <c r="A487" s="67" t="str">
        <f t="shared" si="284"/>
        <v/>
      </c>
      <c r="B487" s="69" t="str">
        <f t="shared" si="285"/>
        <v/>
      </c>
      <c r="D487" s="69" t="str">
        <f t="shared" si="258"/>
        <v/>
      </c>
      <c r="E487" s="70" t="str">
        <f t="shared" si="259"/>
        <v/>
      </c>
      <c r="F487" s="70" t="str">
        <f t="shared" si="260"/>
        <v/>
      </c>
      <c r="G487" s="63" t="str">
        <f t="shared" si="261"/>
        <v/>
      </c>
      <c r="H487" s="64" t="str">
        <f t="shared" si="262"/>
        <v/>
      </c>
      <c r="J487" s="63" t="str">
        <f t="shared" si="263"/>
        <v/>
      </c>
      <c r="K487" s="64" t="str">
        <f t="shared" si="264"/>
        <v/>
      </c>
      <c r="L487" s="63" t="str">
        <f t="shared" si="265"/>
        <v/>
      </c>
      <c r="M487" s="64" t="str">
        <f t="shared" si="266"/>
        <v/>
      </c>
      <c r="O487" s="63" t="str">
        <f t="shared" si="267"/>
        <v/>
      </c>
      <c r="P487" s="63" t="str">
        <f t="shared" si="268"/>
        <v/>
      </c>
      <c r="R487" s="63" t="str">
        <f t="shared" si="269"/>
        <v/>
      </c>
      <c r="S487" s="64" t="str">
        <f t="shared" si="270"/>
        <v/>
      </c>
      <c r="T487" s="63" t="str">
        <f t="shared" si="271"/>
        <v/>
      </c>
      <c r="U487" s="64" t="str">
        <f t="shared" si="272"/>
        <v/>
      </c>
      <c r="V487" s="90" t="str">
        <f>IF($A488="","",IF(AND(MONTH(A487)&gt;3,MONTH(A487)&lt;11),(T487+R487+G487)*Summary!$T$9/(1-Summary!$T$9),(T487+R487+G487)*Summary!$U$9/(1-Summary!$U$9)))</f>
        <v/>
      </c>
      <c r="W487" s="63" t="str">
        <f t="shared" si="273"/>
        <v/>
      </c>
      <c r="X487" s="63" t="str">
        <f t="shared" si="274"/>
        <v/>
      </c>
      <c r="Y487" s="43"/>
      <c r="AJ487" s="86"/>
      <c r="AK487" s="86"/>
      <c r="AL487" s="86"/>
      <c r="AM487" s="86"/>
      <c r="AN487" s="86"/>
      <c r="AO487" s="3" t="str">
        <f t="shared" si="275"/>
        <v/>
      </c>
      <c r="AP487" s="33" t="str">
        <f t="shared" si="276"/>
        <v/>
      </c>
      <c r="AQ487" s="58" t="str">
        <f t="shared" si="277"/>
        <v/>
      </c>
      <c r="AR487" s="38">
        <f>'ANR OK vs ML7'!AR487</f>
        <v>0.1</v>
      </c>
      <c r="AS487" s="35" t="str">
        <f t="shared" si="278"/>
        <v/>
      </c>
      <c r="AT487" s="3" t="str">
        <f t="shared" si="279"/>
        <v/>
      </c>
      <c r="AU487" s="3" t="str">
        <f t="shared" si="280"/>
        <v/>
      </c>
      <c r="AW487" s="32" t="str">
        <f t="shared" si="281"/>
        <v/>
      </c>
      <c r="AX487" s="32" t="str">
        <f t="shared" si="282"/>
        <v/>
      </c>
      <c r="AY487" s="32" t="str">
        <f t="shared" si="283"/>
        <v/>
      </c>
      <c r="BA487" s="32" t="str">
        <f>IF($A488="","",F487*Summary!$Q$9)</f>
        <v/>
      </c>
    </row>
    <row r="488" spans="1:53">
      <c r="A488" s="67" t="str">
        <f t="shared" si="284"/>
        <v/>
      </c>
      <c r="B488" s="69" t="str">
        <f t="shared" si="285"/>
        <v/>
      </c>
      <c r="D488" s="69" t="str">
        <f t="shared" si="258"/>
        <v/>
      </c>
      <c r="E488" s="70" t="str">
        <f t="shared" si="259"/>
        <v/>
      </c>
      <c r="F488" s="70" t="str">
        <f t="shared" si="260"/>
        <v/>
      </c>
      <c r="G488" s="63" t="str">
        <f t="shared" si="261"/>
        <v/>
      </c>
      <c r="H488" s="64" t="str">
        <f t="shared" si="262"/>
        <v/>
      </c>
      <c r="J488" s="63" t="str">
        <f t="shared" si="263"/>
        <v/>
      </c>
      <c r="K488" s="64" t="str">
        <f t="shared" si="264"/>
        <v/>
      </c>
      <c r="L488" s="63" t="str">
        <f t="shared" si="265"/>
        <v/>
      </c>
      <c r="M488" s="64" t="str">
        <f t="shared" si="266"/>
        <v/>
      </c>
      <c r="O488" s="63" t="str">
        <f t="shared" si="267"/>
        <v/>
      </c>
      <c r="P488" s="63" t="str">
        <f t="shared" si="268"/>
        <v/>
      </c>
      <c r="R488" s="63" t="str">
        <f t="shared" si="269"/>
        <v/>
      </c>
      <c r="S488" s="64" t="str">
        <f t="shared" si="270"/>
        <v/>
      </c>
      <c r="T488" s="63" t="str">
        <f t="shared" si="271"/>
        <v/>
      </c>
      <c r="U488" s="64" t="str">
        <f t="shared" si="272"/>
        <v/>
      </c>
      <c r="V488" s="90" t="str">
        <f>IF($A489="","",IF(AND(MONTH(A488)&gt;3,MONTH(A488)&lt;11),(T488+R488+G488)*Summary!$T$9/(1-Summary!$T$9),(T488+R488+G488)*Summary!$U$9/(1-Summary!$U$9)))</f>
        <v/>
      </c>
      <c r="W488" s="63" t="str">
        <f t="shared" si="273"/>
        <v/>
      </c>
      <c r="X488" s="63" t="str">
        <f t="shared" si="274"/>
        <v/>
      </c>
      <c r="Y488" s="43"/>
      <c r="AJ488" s="86"/>
      <c r="AK488" s="86"/>
      <c r="AL488" s="86"/>
      <c r="AM488" s="86"/>
      <c r="AN488" s="86"/>
      <c r="AO488" s="3" t="str">
        <f t="shared" si="275"/>
        <v/>
      </c>
      <c r="AP488" s="33" t="str">
        <f t="shared" si="276"/>
        <v/>
      </c>
      <c r="AQ488" s="58" t="str">
        <f t="shared" si="277"/>
        <v/>
      </c>
      <c r="AR488" s="38">
        <f>'ANR OK vs ML7'!AR488</f>
        <v>0.1</v>
      </c>
      <c r="AS488" s="35" t="str">
        <f t="shared" si="278"/>
        <v/>
      </c>
      <c r="AT488" s="3" t="str">
        <f t="shared" si="279"/>
        <v/>
      </c>
      <c r="AU488" s="3" t="str">
        <f t="shared" si="280"/>
        <v/>
      </c>
      <c r="AW488" s="32" t="str">
        <f t="shared" si="281"/>
        <v/>
      </c>
      <c r="AX488" s="32" t="str">
        <f t="shared" si="282"/>
        <v/>
      </c>
      <c r="AY488" s="32" t="str">
        <f t="shared" si="283"/>
        <v/>
      </c>
      <c r="BA488" s="32" t="str">
        <f>IF($A489="","",F488*Summary!$Q$9)</f>
        <v/>
      </c>
    </row>
    <row r="489" spans="1:53">
      <c r="A489" s="67" t="str">
        <f t="shared" si="284"/>
        <v/>
      </c>
      <c r="B489" s="69" t="str">
        <f t="shared" si="285"/>
        <v/>
      </c>
      <c r="D489" s="69" t="str">
        <f t="shared" si="258"/>
        <v/>
      </c>
      <c r="E489" s="70" t="str">
        <f t="shared" si="259"/>
        <v/>
      </c>
      <c r="F489" s="70" t="str">
        <f t="shared" si="260"/>
        <v/>
      </c>
      <c r="G489" s="63" t="str">
        <f t="shared" si="261"/>
        <v/>
      </c>
      <c r="H489" s="64" t="str">
        <f t="shared" si="262"/>
        <v/>
      </c>
      <c r="J489" s="63" t="str">
        <f t="shared" si="263"/>
        <v/>
      </c>
      <c r="K489" s="64" t="str">
        <f t="shared" si="264"/>
        <v/>
      </c>
      <c r="L489" s="63" t="str">
        <f t="shared" si="265"/>
        <v/>
      </c>
      <c r="M489" s="64" t="str">
        <f t="shared" si="266"/>
        <v/>
      </c>
      <c r="O489" s="63" t="str">
        <f t="shared" si="267"/>
        <v/>
      </c>
      <c r="P489" s="63" t="str">
        <f t="shared" si="268"/>
        <v/>
      </c>
      <c r="R489" s="63" t="str">
        <f t="shared" si="269"/>
        <v/>
      </c>
      <c r="S489" s="64" t="str">
        <f t="shared" si="270"/>
        <v/>
      </c>
      <c r="T489" s="63" t="str">
        <f t="shared" si="271"/>
        <v/>
      </c>
      <c r="U489" s="64" t="str">
        <f t="shared" si="272"/>
        <v/>
      </c>
      <c r="V489" s="90" t="str">
        <f>IF($A490="","",IF(AND(MONTH(A489)&gt;3,MONTH(A489)&lt;11),(T489+R489+G489)*Summary!$T$9/(1-Summary!$T$9),(T489+R489+G489)*Summary!$U$9/(1-Summary!$U$9)))</f>
        <v/>
      </c>
      <c r="W489" s="63" t="str">
        <f t="shared" si="273"/>
        <v/>
      </c>
      <c r="X489" s="63" t="str">
        <f t="shared" si="274"/>
        <v/>
      </c>
      <c r="Y489" s="43"/>
      <c r="AJ489" s="86"/>
      <c r="AK489" s="86"/>
      <c r="AL489" s="86"/>
      <c r="AM489" s="86"/>
      <c r="AN489" s="86"/>
      <c r="AO489" s="3" t="str">
        <f t="shared" si="275"/>
        <v/>
      </c>
      <c r="AP489" s="33" t="str">
        <f t="shared" si="276"/>
        <v/>
      </c>
      <c r="AQ489" s="58" t="str">
        <f t="shared" si="277"/>
        <v/>
      </c>
      <c r="AR489" s="38">
        <f>'ANR OK vs ML7'!AR489</f>
        <v>0.1</v>
      </c>
      <c r="AS489" s="35" t="str">
        <f t="shared" si="278"/>
        <v/>
      </c>
      <c r="AT489" s="3" t="str">
        <f t="shared" si="279"/>
        <v/>
      </c>
      <c r="AU489" s="3" t="str">
        <f t="shared" si="280"/>
        <v/>
      </c>
      <c r="AW489" s="32" t="str">
        <f t="shared" si="281"/>
        <v/>
      </c>
      <c r="AX489" s="32" t="str">
        <f t="shared" si="282"/>
        <v/>
      </c>
      <c r="AY489" s="32" t="str">
        <f t="shared" si="283"/>
        <v/>
      </c>
      <c r="BA489" s="32" t="str">
        <f>IF($A490="","",F489*Summary!$Q$9)</f>
        <v/>
      </c>
    </row>
    <row r="490" spans="1:53">
      <c r="A490" s="67" t="str">
        <f t="shared" si="284"/>
        <v/>
      </c>
      <c r="B490" s="69" t="str">
        <f t="shared" si="285"/>
        <v/>
      </c>
      <c r="D490" s="69" t="str">
        <f t="shared" si="258"/>
        <v/>
      </c>
      <c r="E490" s="70" t="str">
        <f t="shared" si="259"/>
        <v/>
      </c>
      <c r="F490" s="70" t="str">
        <f t="shared" si="260"/>
        <v/>
      </c>
      <c r="G490" s="63" t="str">
        <f t="shared" si="261"/>
        <v/>
      </c>
      <c r="H490" s="64" t="str">
        <f t="shared" si="262"/>
        <v/>
      </c>
      <c r="J490" s="63" t="str">
        <f t="shared" si="263"/>
        <v/>
      </c>
      <c r="K490" s="64" t="str">
        <f t="shared" si="264"/>
        <v/>
      </c>
      <c r="L490" s="63" t="str">
        <f t="shared" si="265"/>
        <v/>
      </c>
      <c r="M490" s="64" t="str">
        <f t="shared" si="266"/>
        <v/>
      </c>
      <c r="O490" s="63" t="str">
        <f t="shared" si="267"/>
        <v/>
      </c>
      <c r="P490" s="63" t="str">
        <f t="shared" si="268"/>
        <v/>
      </c>
      <c r="R490" s="63" t="str">
        <f t="shared" si="269"/>
        <v/>
      </c>
      <c r="S490" s="64" t="str">
        <f t="shared" si="270"/>
        <v/>
      </c>
      <c r="T490" s="63" t="str">
        <f t="shared" si="271"/>
        <v/>
      </c>
      <c r="U490" s="64" t="str">
        <f t="shared" si="272"/>
        <v/>
      </c>
      <c r="V490" s="90" t="str">
        <f>IF($A491="","",IF(AND(MONTH(A490)&gt;3,MONTH(A490)&lt;11),(T490+R490+G490)*Summary!$T$9/(1-Summary!$T$9),(T490+R490+G490)*Summary!$U$9/(1-Summary!$U$9)))</f>
        <v/>
      </c>
      <c r="W490" s="63" t="str">
        <f t="shared" si="273"/>
        <v/>
      </c>
      <c r="X490" s="63" t="str">
        <f t="shared" si="274"/>
        <v/>
      </c>
      <c r="Y490" s="43"/>
      <c r="AJ490" s="86"/>
      <c r="AK490" s="86"/>
      <c r="AL490" s="86"/>
      <c r="AM490" s="86"/>
      <c r="AN490" s="86"/>
      <c r="AO490" s="3" t="str">
        <f t="shared" si="275"/>
        <v/>
      </c>
      <c r="AP490" s="33" t="str">
        <f t="shared" si="276"/>
        <v/>
      </c>
      <c r="AQ490" s="58" t="str">
        <f t="shared" si="277"/>
        <v/>
      </c>
      <c r="AR490" s="38">
        <f>'ANR OK vs ML7'!AR490</f>
        <v>0.1</v>
      </c>
      <c r="AS490" s="35" t="str">
        <f t="shared" si="278"/>
        <v/>
      </c>
      <c r="AT490" s="3" t="str">
        <f t="shared" si="279"/>
        <v/>
      </c>
      <c r="AU490" s="3" t="str">
        <f t="shared" si="280"/>
        <v/>
      </c>
      <c r="AW490" s="32" t="str">
        <f t="shared" si="281"/>
        <v/>
      </c>
      <c r="AX490" s="32" t="str">
        <f t="shared" si="282"/>
        <v/>
      </c>
      <c r="AY490" s="32" t="str">
        <f t="shared" si="283"/>
        <v/>
      </c>
      <c r="BA490" s="32" t="str">
        <f>IF($A491="","",F490*Summary!$Q$9)</f>
        <v/>
      </c>
    </row>
    <row r="491" spans="1:53">
      <c r="A491" s="67" t="str">
        <f t="shared" si="284"/>
        <v/>
      </c>
      <c r="B491" s="69" t="str">
        <f t="shared" si="285"/>
        <v/>
      </c>
      <c r="D491" s="69" t="str">
        <f t="shared" si="258"/>
        <v/>
      </c>
      <c r="E491" s="70" t="str">
        <f t="shared" si="259"/>
        <v/>
      </c>
      <c r="F491" s="70" t="str">
        <f t="shared" si="260"/>
        <v/>
      </c>
      <c r="G491" s="63" t="str">
        <f t="shared" si="261"/>
        <v/>
      </c>
      <c r="H491" s="64" t="str">
        <f t="shared" si="262"/>
        <v/>
      </c>
      <c r="J491" s="63" t="str">
        <f t="shared" si="263"/>
        <v/>
      </c>
      <c r="K491" s="64" t="str">
        <f t="shared" si="264"/>
        <v/>
      </c>
      <c r="L491" s="63" t="str">
        <f t="shared" si="265"/>
        <v/>
      </c>
      <c r="M491" s="64" t="str">
        <f t="shared" si="266"/>
        <v/>
      </c>
      <c r="O491" s="63" t="str">
        <f t="shared" si="267"/>
        <v/>
      </c>
      <c r="P491" s="63" t="str">
        <f t="shared" si="268"/>
        <v/>
      </c>
      <c r="R491" s="63" t="str">
        <f t="shared" si="269"/>
        <v/>
      </c>
      <c r="S491" s="64" t="str">
        <f t="shared" si="270"/>
        <v/>
      </c>
      <c r="T491" s="63" t="str">
        <f t="shared" si="271"/>
        <v/>
      </c>
      <c r="U491" s="64" t="str">
        <f t="shared" si="272"/>
        <v/>
      </c>
      <c r="V491" s="90" t="str">
        <f>IF($A492="","",IF(AND(MONTH(A491)&gt;3,MONTH(A491)&lt;11),(T491+R491+G491)*Summary!$T$9/(1-Summary!$T$9),(T491+R491+G491)*Summary!$U$9/(1-Summary!$U$9)))</f>
        <v/>
      </c>
      <c r="W491" s="63" t="str">
        <f t="shared" si="273"/>
        <v/>
      </c>
      <c r="X491" s="63" t="str">
        <f t="shared" si="274"/>
        <v/>
      </c>
      <c r="Y491" s="43"/>
      <c r="AJ491" s="86"/>
      <c r="AK491" s="86"/>
      <c r="AL491" s="86"/>
      <c r="AM491" s="86"/>
      <c r="AN491" s="86"/>
      <c r="AO491" s="3" t="str">
        <f t="shared" si="275"/>
        <v/>
      </c>
      <c r="AP491" s="33" t="str">
        <f t="shared" si="276"/>
        <v/>
      </c>
      <c r="AQ491" s="58" t="str">
        <f t="shared" si="277"/>
        <v/>
      </c>
      <c r="AR491" s="38">
        <f>'ANR OK vs ML7'!AR491</f>
        <v>0.1</v>
      </c>
      <c r="AS491" s="35" t="str">
        <f t="shared" si="278"/>
        <v/>
      </c>
      <c r="AT491" s="3" t="str">
        <f t="shared" si="279"/>
        <v/>
      </c>
      <c r="AU491" s="3" t="str">
        <f t="shared" si="280"/>
        <v/>
      </c>
      <c r="AW491" s="32" t="str">
        <f t="shared" si="281"/>
        <v/>
      </c>
      <c r="AX491" s="32" t="str">
        <f t="shared" si="282"/>
        <v/>
      </c>
      <c r="AY491" s="32" t="str">
        <f t="shared" si="283"/>
        <v/>
      </c>
      <c r="BA491" s="32" t="str">
        <f>IF($A492="","",F491*Summary!$Q$9)</f>
        <v/>
      </c>
    </row>
    <row r="492" spans="1:53">
      <c r="A492" s="67" t="str">
        <f t="shared" si="284"/>
        <v/>
      </c>
      <c r="B492" s="69" t="str">
        <f t="shared" si="285"/>
        <v/>
      </c>
      <c r="D492" s="69" t="str">
        <f t="shared" si="258"/>
        <v/>
      </c>
      <c r="E492" s="70" t="str">
        <f t="shared" si="259"/>
        <v/>
      </c>
      <c r="F492" s="70" t="str">
        <f t="shared" si="260"/>
        <v/>
      </c>
      <c r="G492" s="63" t="str">
        <f t="shared" si="261"/>
        <v/>
      </c>
      <c r="H492" s="64" t="str">
        <f t="shared" si="262"/>
        <v/>
      </c>
      <c r="J492" s="63" t="str">
        <f t="shared" si="263"/>
        <v/>
      </c>
      <c r="K492" s="64" t="str">
        <f t="shared" si="264"/>
        <v/>
      </c>
      <c r="L492" s="63" t="str">
        <f t="shared" si="265"/>
        <v/>
      </c>
      <c r="M492" s="64" t="str">
        <f t="shared" si="266"/>
        <v/>
      </c>
      <c r="O492" s="63" t="str">
        <f t="shared" si="267"/>
        <v/>
      </c>
      <c r="P492" s="63" t="str">
        <f t="shared" si="268"/>
        <v/>
      </c>
      <c r="R492" s="63" t="str">
        <f t="shared" si="269"/>
        <v/>
      </c>
      <c r="S492" s="64" t="str">
        <f t="shared" si="270"/>
        <v/>
      </c>
      <c r="T492" s="63" t="str">
        <f t="shared" si="271"/>
        <v/>
      </c>
      <c r="U492" s="64" t="str">
        <f t="shared" si="272"/>
        <v/>
      </c>
      <c r="V492" s="90" t="str">
        <f>IF($A493="","",IF(AND(MONTH(A492)&gt;3,MONTH(A492)&lt;11),(T492+R492+G492)*Summary!$T$9/(1-Summary!$T$9),(T492+R492+G492)*Summary!$U$9/(1-Summary!$U$9)))</f>
        <v/>
      </c>
      <c r="W492" s="63" t="str">
        <f t="shared" si="273"/>
        <v/>
      </c>
      <c r="X492" s="63" t="str">
        <f t="shared" si="274"/>
        <v/>
      </c>
      <c r="Y492" s="43"/>
      <c r="AJ492" s="86"/>
      <c r="AK492" s="86"/>
      <c r="AL492" s="86"/>
      <c r="AM492" s="86"/>
      <c r="AN492" s="86"/>
      <c r="AO492" s="3" t="str">
        <f t="shared" si="275"/>
        <v/>
      </c>
      <c r="AP492" s="33" t="str">
        <f t="shared" si="276"/>
        <v/>
      </c>
      <c r="AQ492" s="58" t="str">
        <f t="shared" si="277"/>
        <v/>
      </c>
      <c r="AR492" s="38">
        <f>'ANR OK vs ML7'!AR492</f>
        <v>0.1</v>
      </c>
      <c r="AS492" s="35" t="str">
        <f t="shared" si="278"/>
        <v/>
      </c>
      <c r="AT492" s="3" t="str">
        <f t="shared" si="279"/>
        <v/>
      </c>
      <c r="AU492" s="3" t="str">
        <f t="shared" si="280"/>
        <v/>
      </c>
      <c r="AW492" s="32" t="str">
        <f t="shared" si="281"/>
        <v/>
      </c>
      <c r="AX492" s="32" t="str">
        <f t="shared" si="282"/>
        <v/>
      </c>
      <c r="AY492" s="32" t="str">
        <f t="shared" si="283"/>
        <v/>
      </c>
      <c r="BA492" s="32" t="str">
        <f>IF($A493="","",F492*Summary!$Q$9)</f>
        <v/>
      </c>
    </row>
    <row r="493" spans="1:53">
      <c r="A493" s="67" t="str">
        <f t="shared" si="284"/>
        <v/>
      </c>
      <c r="B493" s="69" t="str">
        <f t="shared" si="285"/>
        <v/>
      </c>
      <c r="D493" s="69" t="str">
        <f t="shared" si="258"/>
        <v/>
      </c>
      <c r="E493" s="70" t="str">
        <f t="shared" si="259"/>
        <v/>
      </c>
      <c r="F493" s="70" t="str">
        <f t="shared" si="260"/>
        <v/>
      </c>
      <c r="G493" s="63" t="str">
        <f t="shared" si="261"/>
        <v/>
      </c>
      <c r="H493" s="64" t="str">
        <f t="shared" si="262"/>
        <v/>
      </c>
      <c r="J493" s="63" t="str">
        <f t="shared" si="263"/>
        <v/>
      </c>
      <c r="K493" s="64" t="str">
        <f t="shared" si="264"/>
        <v/>
      </c>
      <c r="L493" s="63" t="str">
        <f t="shared" si="265"/>
        <v/>
      </c>
      <c r="M493" s="64" t="str">
        <f t="shared" si="266"/>
        <v/>
      </c>
      <c r="O493" s="63" t="str">
        <f t="shared" si="267"/>
        <v/>
      </c>
      <c r="P493" s="63" t="str">
        <f t="shared" si="268"/>
        <v/>
      </c>
      <c r="R493" s="63" t="str">
        <f t="shared" si="269"/>
        <v/>
      </c>
      <c r="S493" s="64" t="str">
        <f t="shared" si="270"/>
        <v/>
      </c>
      <c r="T493" s="63" t="str">
        <f t="shared" si="271"/>
        <v/>
      </c>
      <c r="U493" s="64" t="str">
        <f t="shared" si="272"/>
        <v/>
      </c>
      <c r="V493" s="90" t="str">
        <f>IF($A494="","",IF(AND(MONTH(A493)&gt;3,MONTH(A493)&lt;11),(T493+R493+G493)*Summary!$T$9/(1-Summary!$T$9),(T493+R493+G493)*Summary!$U$9/(1-Summary!$U$9)))</f>
        <v/>
      </c>
      <c r="W493" s="63" t="str">
        <f t="shared" si="273"/>
        <v/>
      </c>
      <c r="X493" s="63" t="str">
        <f t="shared" si="274"/>
        <v/>
      </c>
      <c r="Y493" s="43"/>
      <c r="AJ493" s="86"/>
      <c r="AK493" s="86"/>
      <c r="AL493" s="86"/>
      <c r="AM493" s="86"/>
      <c r="AN493" s="86"/>
      <c r="AO493" s="3" t="str">
        <f t="shared" si="275"/>
        <v/>
      </c>
      <c r="AP493" s="33" t="str">
        <f t="shared" si="276"/>
        <v/>
      </c>
      <c r="AQ493" s="58" t="str">
        <f t="shared" si="277"/>
        <v/>
      </c>
      <c r="AR493" s="38">
        <f>'ANR OK vs ML7'!AR493</f>
        <v>0.1</v>
      </c>
      <c r="AS493" s="35" t="str">
        <f t="shared" si="278"/>
        <v/>
      </c>
      <c r="AT493" s="3" t="str">
        <f t="shared" si="279"/>
        <v/>
      </c>
      <c r="AU493" s="3" t="str">
        <f t="shared" si="280"/>
        <v/>
      </c>
      <c r="AW493" s="32" t="str">
        <f t="shared" si="281"/>
        <v/>
      </c>
      <c r="AX493" s="32" t="str">
        <f t="shared" si="282"/>
        <v/>
      </c>
      <c r="AY493" s="32" t="str">
        <f t="shared" si="283"/>
        <v/>
      </c>
      <c r="BA493" s="32" t="str">
        <f>IF($A494="","",F493*Summary!$Q$9)</f>
        <v/>
      </c>
    </row>
    <row r="494" spans="1:53">
      <c r="A494" s="67" t="str">
        <f t="shared" si="284"/>
        <v/>
      </c>
      <c r="B494" s="69" t="str">
        <f t="shared" si="285"/>
        <v/>
      </c>
      <c r="D494" s="69" t="str">
        <f t="shared" si="258"/>
        <v/>
      </c>
      <c r="E494" s="70" t="str">
        <f t="shared" si="259"/>
        <v/>
      </c>
      <c r="F494" s="70" t="str">
        <f t="shared" si="260"/>
        <v/>
      </c>
      <c r="G494" s="63" t="str">
        <f t="shared" si="261"/>
        <v/>
      </c>
      <c r="H494" s="64" t="str">
        <f t="shared" si="262"/>
        <v/>
      </c>
      <c r="J494" s="63" t="str">
        <f t="shared" si="263"/>
        <v/>
      </c>
      <c r="K494" s="64" t="str">
        <f t="shared" si="264"/>
        <v/>
      </c>
      <c r="L494" s="63" t="str">
        <f t="shared" si="265"/>
        <v/>
      </c>
      <c r="M494" s="64" t="str">
        <f t="shared" si="266"/>
        <v/>
      </c>
      <c r="O494" s="63" t="str">
        <f t="shared" si="267"/>
        <v/>
      </c>
      <c r="P494" s="63" t="str">
        <f t="shared" si="268"/>
        <v/>
      </c>
      <c r="R494" s="63" t="str">
        <f t="shared" si="269"/>
        <v/>
      </c>
      <c r="S494" s="64" t="str">
        <f t="shared" si="270"/>
        <v/>
      </c>
      <c r="T494" s="63" t="str">
        <f t="shared" si="271"/>
        <v/>
      </c>
      <c r="U494" s="64" t="str">
        <f t="shared" si="272"/>
        <v/>
      </c>
      <c r="V494" s="90" t="str">
        <f>IF($A495="","",IF(AND(MONTH(A494)&gt;3,MONTH(A494)&lt;11),(T494+R494+G494)*Summary!$T$9/(1-Summary!$T$9),(T494+R494+G494)*Summary!$U$9/(1-Summary!$U$9)))</f>
        <v/>
      </c>
      <c r="W494" s="63" t="str">
        <f t="shared" si="273"/>
        <v/>
      </c>
      <c r="X494" s="63" t="str">
        <f t="shared" si="274"/>
        <v/>
      </c>
      <c r="Y494" s="43"/>
      <c r="AJ494" s="86"/>
      <c r="AK494" s="86"/>
      <c r="AL494" s="86"/>
      <c r="AM494" s="86"/>
      <c r="AN494" s="86"/>
      <c r="AO494" s="3" t="str">
        <f t="shared" si="275"/>
        <v/>
      </c>
      <c r="AP494" s="33" t="str">
        <f t="shared" si="276"/>
        <v/>
      </c>
      <c r="AQ494" s="58" t="str">
        <f t="shared" si="277"/>
        <v/>
      </c>
      <c r="AR494" s="38">
        <f>'ANR OK vs ML7'!AR494</f>
        <v>0.1</v>
      </c>
      <c r="AS494" s="35" t="str">
        <f t="shared" si="278"/>
        <v/>
      </c>
      <c r="AT494" s="3" t="str">
        <f t="shared" si="279"/>
        <v/>
      </c>
      <c r="AU494" s="3" t="str">
        <f t="shared" si="280"/>
        <v/>
      </c>
      <c r="AW494" s="32" t="str">
        <f t="shared" si="281"/>
        <v/>
      </c>
      <c r="AX494" s="32" t="str">
        <f t="shared" si="282"/>
        <v/>
      </c>
      <c r="AY494" s="32" t="str">
        <f t="shared" si="283"/>
        <v/>
      </c>
      <c r="BA494" s="32" t="str">
        <f>IF($A495="","",F494*Summary!$Q$9)</f>
        <v/>
      </c>
    </row>
    <row r="495" spans="1:53">
      <c r="A495" s="67" t="str">
        <f t="shared" si="284"/>
        <v/>
      </c>
      <c r="B495" s="69" t="str">
        <f t="shared" si="285"/>
        <v/>
      </c>
      <c r="D495" s="69" t="str">
        <f t="shared" si="258"/>
        <v/>
      </c>
      <c r="E495" s="70" t="str">
        <f t="shared" si="259"/>
        <v/>
      </c>
      <c r="F495" s="70" t="str">
        <f t="shared" si="260"/>
        <v/>
      </c>
      <c r="G495" s="63" t="str">
        <f t="shared" si="261"/>
        <v/>
      </c>
      <c r="H495" s="64" t="str">
        <f t="shared" si="262"/>
        <v/>
      </c>
      <c r="J495" s="63" t="str">
        <f t="shared" si="263"/>
        <v/>
      </c>
      <c r="K495" s="64" t="str">
        <f t="shared" si="264"/>
        <v/>
      </c>
      <c r="L495" s="63" t="str">
        <f t="shared" si="265"/>
        <v/>
      </c>
      <c r="M495" s="64" t="str">
        <f t="shared" si="266"/>
        <v/>
      </c>
      <c r="O495" s="63" t="str">
        <f t="shared" si="267"/>
        <v/>
      </c>
      <c r="P495" s="63" t="str">
        <f t="shared" si="268"/>
        <v/>
      </c>
      <c r="R495" s="63" t="str">
        <f t="shared" si="269"/>
        <v/>
      </c>
      <c r="S495" s="64" t="str">
        <f t="shared" si="270"/>
        <v/>
      </c>
      <c r="T495" s="63" t="str">
        <f t="shared" si="271"/>
        <v/>
      </c>
      <c r="U495" s="64" t="str">
        <f t="shared" si="272"/>
        <v/>
      </c>
      <c r="V495" s="90" t="str">
        <f>IF($A496="","",IF(AND(MONTH(A495)&gt;3,MONTH(A495)&lt;11),(T495+R495+G495)*Summary!$T$9/(1-Summary!$T$9),(T495+R495+G495)*Summary!$U$9/(1-Summary!$U$9)))</f>
        <v/>
      </c>
      <c r="W495" s="63" t="str">
        <f t="shared" si="273"/>
        <v/>
      </c>
      <c r="X495" s="63" t="str">
        <f t="shared" si="274"/>
        <v/>
      </c>
      <c r="Y495" s="43"/>
      <c r="AJ495" s="86"/>
      <c r="AK495" s="86"/>
      <c r="AL495" s="86"/>
      <c r="AM495" s="86"/>
      <c r="AN495" s="86"/>
      <c r="AO495" s="3" t="str">
        <f t="shared" si="275"/>
        <v/>
      </c>
      <c r="AP495" s="33" t="str">
        <f t="shared" si="276"/>
        <v/>
      </c>
      <c r="AQ495" s="58" t="str">
        <f t="shared" si="277"/>
        <v/>
      </c>
      <c r="AR495" s="38">
        <f>'ANR OK vs ML7'!AR495</f>
        <v>0.1</v>
      </c>
      <c r="AS495" s="35" t="str">
        <f t="shared" si="278"/>
        <v/>
      </c>
      <c r="AT495" s="3" t="str">
        <f t="shared" si="279"/>
        <v/>
      </c>
      <c r="AU495" s="3" t="str">
        <f t="shared" si="280"/>
        <v/>
      </c>
      <c r="AW495" s="32" t="str">
        <f t="shared" si="281"/>
        <v/>
      </c>
      <c r="AX495" s="32" t="str">
        <f t="shared" si="282"/>
        <v/>
      </c>
      <c r="AY495" s="32" t="str">
        <f t="shared" si="283"/>
        <v/>
      </c>
      <c r="BA495" s="32" t="str">
        <f>IF($A496="","",F495*Summary!$Q$9)</f>
        <v/>
      </c>
    </row>
    <row r="496" spans="1:53">
      <c r="A496" s="67" t="str">
        <f t="shared" si="284"/>
        <v/>
      </c>
      <c r="B496" s="69" t="str">
        <f t="shared" si="285"/>
        <v/>
      </c>
      <c r="D496" s="69" t="str">
        <f t="shared" si="258"/>
        <v/>
      </c>
      <c r="E496" s="70" t="str">
        <f t="shared" si="259"/>
        <v/>
      </c>
      <c r="F496" s="70" t="str">
        <f t="shared" si="260"/>
        <v/>
      </c>
      <c r="G496" s="63" t="str">
        <f t="shared" si="261"/>
        <v/>
      </c>
      <c r="H496" s="64" t="str">
        <f t="shared" si="262"/>
        <v/>
      </c>
      <c r="J496" s="63" t="str">
        <f t="shared" si="263"/>
        <v/>
      </c>
      <c r="K496" s="64" t="str">
        <f t="shared" si="264"/>
        <v/>
      </c>
      <c r="L496" s="63" t="str">
        <f t="shared" si="265"/>
        <v/>
      </c>
      <c r="M496" s="64" t="str">
        <f t="shared" si="266"/>
        <v/>
      </c>
      <c r="O496" s="63" t="str">
        <f t="shared" si="267"/>
        <v/>
      </c>
      <c r="P496" s="63" t="str">
        <f t="shared" si="268"/>
        <v/>
      </c>
      <c r="R496" s="63" t="str">
        <f t="shared" si="269"/>
        <v/>
      </c>
      <c r="S496" s="64" t="str">
        <f t="shared" si="270"/>
        <v/>
      </c>
      <c r="T496" s="63" t="str">
        <f t="shared" si="271"/>
        <v/>
      </c>
      <c r="U496" s="64" t="str">
        <f t="shared" si="272"/>
        <v/>
      </c>
      <c r="V496" s="90" t="str">
        <f>IF($A497="","",IF(AND(MONTH(A496)&gt;3,MONTH(A496)&lt;11),(T496+R496+G496)*Summary!$T$9/(1-Summary!$T$9),(T496+R496+G496)*Summary!$U$9/(1-Summary!$U$9)))</f>
        <v/>
      </c>
      <c r="W496" s="63" t="str">
        <f t="shared" si="273"/>
        <v/>
      </c>
      <c r="X496" s="63" t="str">
        <f t="shared" si="274"/>
        <v/>
      </c>
      <c r="Y496" s="43"/>
      <c r="AJ496" s="86"/>
      <c r="AK496" s="86"/>
      <c r="AL496" s="86"/>
      <c r="AM496" s="86"/>
      <c r="AN496" s="86"/>
      <c r="AO496" s="3" t="str">
        <f t="shared" si="275"/>
        <v/>
      </c>
      <c r="AP496" s="33" t="str">
        <f t="shared" si="276"/>
        <v/>
      </c>
      <c r="AQ496" s="58" t="str">
        <f t="shared" si="277"/>
        <v/>
      </c>
      <c r="AR496" s="38">
        <f>'ANR OK vs ML7'!AR496</f>
        <v>0.1</v>
      </c>
      <c r="AS496" s="35" t="str">
        <f t="shared" si="278"/>
        <v/>
      </c>
      <c r="AT496" s="3" t="str">
        <f t="shared" si="279"/>
        <v/>
      </c>
      <c r="AU496" s="3" t="str">
        <f t="shared" si="280"/>
        <v/>
      </c>
      <c r="AW496" s="32" t="str">
        <f t="shared" si="281"/>
        <v/>
      </c>
      <c r="AX496" s="32" t="str">
        <f t="shared" si="282"/>
        <v/>
      </c>
      <c r="AY496" s="32" t="str">
        <f t="shared" si="283"/>
        <v/>
      </c>
      <c r="BA496" s="32" t="str">
        <f>IF($A497="","",F496*Summary!$Q$9)</f>
        <v/>
      </c>
    </row>
    <row r="497" spans="1:242">
      <c r="A497" s="67" t="str">
        <f t="shared" si="284"/>
        <v/>
      </c>
      <c r="B497" s="69" t="str">
        <f t="shared" si="285"/>
        <v/>
      </c>
      <c r="D497" s="69" t="str">
        <f t="shared" si="258"/>
        <v/>
      </c>
      <c r="E497" s="70" t="str">
        <f t="shared" si="259"/>
        <v/>
      </c>
      <c r="F497" s="70" t="str">
        <f t="shared" si="260"/>
        <v/>
      </c>
      <c r="G497" s="63" t="str">
        <f t="shared" si="261"/>
        <v/>
      </c>
      <c r="H497" s="64" t="str">
        <f t="shared" si="262"/>
        <v/>
      </c>
      <c r="J497" s="63" t="str">
        <f t="shared" si="263"/>
        <v/>
      </c>
      <c r="K497" s="64" t="str">
        <f t="shared" si="264"/>
        <v/>
      </c>
      <c r="L497" s="63" t="str">
        <f t="shared" si="265"/>
        <v/>
      </c>
      <c r="M497" s="64" t="str">
        <f t="shared" si="266"/>
        <v/>
      </c>
      <c r="O497" s="63" t="str">
        <f t="shared" si="267"/>
        <v/>
      </c>
      <c r="P497" s="63" t="str">
        <f t="shared" si="268"/>
        <v/>
      </c>
      <c r="R497" s="63" t="str">
        <f t="shared" si="269"/>
        <v/>
      </c>
      <c r="S497" s="64" t="str">
        <f t="shared" si="270"/>
        <v/>
      </c>
      <c r="T497" s="63" t="str">
        <f t="shared" si="271"/>
        <v/>
      </c>
      <c r="U497" s="64" t="str">
        <f t="shared" si="272"/>
        <v/>
      </c>
      <c r="V497" s="90" t="str">
        <f>IF($A498="","",IF(AND(MONTH(A497)&gt;3,MONTH(A497)&lt;11),(T497+R497+G497)*Summary!$T$9/(1-Summary!$T$9),(T497+R497+G497)*Summary!$U$9/(1-Summary!$U$9)))</f>
        <v/>
      </c>
      <c r="W497" s="63" t="str">
        <f t="shared" si="273"/>
        <v/>
      </c>
      <c r="X497" s="63" t="str">
        <f t="shared" si="274"/>
        <v/>
      </c>
      <c r="Y497" s="43"/>
      <c r="AJ497" s="86"/>
      <c r="AK497" s="86"/>
      <c r="AL497" s="86"/>
      <c r="AM497" s="86"/>
      <c r="AN497" s="86"/>
      <c r="AO497" s="3" t="str">
        <f t="shared" si="275"/>
        <v/>
      </c>
      <c r="AP497" s="33" t="str">
        <f t="shared" si="276"/>
        <v/>
      </c>
      <c r="AQ497" s="58" t="str">
        <f t="shared" si="277"/>
        <v/>
      </c>
      <c r="AR497" s="38">
        <f>'ANR OK vs ML7'!AR497</f>
        <v>0.1</v>
      </c>
      <c r="AS497" s="35" t="str">
        <f t="shared" si="278"/>
        <v/>
      </c>
      <c r="AT497" s="3" t="str">
        <f t="shared" si="279"/>
        <v/>
      </c>
      <c r="AU497" s="3" t="str">
        <f t="shared" si="280"/>
        <v/>
      </c>
      <c r="AW497" s="32" t="str">
        <f t="shared" si="281"/>
        <v/>
      </c>
      <c r="AX497" s="32" t="str">
        <f t="shared" si="282"/>
        <v/>
      </c>
      <c r="AY497" s="32" t="str">
        <f t="shared" si="283"/>
        <v/>
      </c>
      <c r="BA497" s="32" t="str">
        <f>IF($A498="","",F497*Summary!$Q$9)</f>
        <v/>
      </c>
    </row>
    <row r="498" spans="1:242">
      <c r="A498" s="67" t="str">
        <f t="shared" si="284"/>
        <v/>
      </c>
      <c r="B498" s="69" t="str">
        <f t="shared" si="285"/>
        <v/>
      </c>
      <c r="D498" s="69" t="str">
        <f t="shared" si="258"/>
        <v/>
      </c>
      <c r="E498" s="70" t="str">
        <f t="shared" si="259"/>
        <v/>
      </c>
      <c r="F498" s="70" t="str">
        <f t="shared" si="260"/>
        <v/>
      </c>
      <c r="G498" s="63" t="str">
        <f t="shared" si="261"/>
        <v/>
      </c>
      <c r="H498" s="64" t="str">
        <f t="shared" si="262"/>
        <v/>
      </c>
      <c r="J498" s="63" t="str">
        <f t="shared" si="263"/>
        <v/>
      </c>
      <c r="K498" s="64" t="str">
        <f t="shared" si="264"/>
        <v/>
      </c>
      <c r="L498" s="63" t="str">
        <f t="shared" si="265"/>
        <v/>
      </c>
      <c r="M498" s="64" t="str">
        <f t="shared" si="266"/>
        <v/>
      </c>
      <c r="O498" s="63" t="str">
        <f t="shared" si="267"/>
        <v/>
      </c>
      <c r="P498" s="63" t="str">
        <f t="shared" si="268"/>
        <v/>
      </c>
      <c r="R498" s="63" t="str">
        <f t="shared" si="269"/>
        <v/>
      </c>
      <c r="S498" s="64" t="str">
        <f t="shared" si="270"/>
        <v/>
      </c>
      <c r="T498" s="63" t="str">
        <f t="shared" si="271"/>
        <v/>
      </c>
      <c r="U498" s="64" t="str">
        <f t="shared" si="272"/>
        <v/>
      </c>
      <c r="V498" s="90" t="str">
        <f>IF($A499="","",IF(AND(MONTH(A498)&gt;3,MONTH(A498)&lt;11),(T498+R498+G498)*Summary!$T$9/(1-Summary!$T$9),(T498+R498+G498)*Summary!$U$9/(1-Summary!$U$9)))</f>
        <v/>
      </c>
      <c r="W498" s="63" t="str">
        <f t="shared" si="273"/>
        <v/>
      </c>
      <c r="X498" s="63" t="str">
        <f t="shared" si="274"/>
        <v/>
      </c>
      <c r="Y498" s="43"/>
      <c r="AJ498" s="86"/>
      <c r="AK498" s="86"/>
      <c r="AL498" s="86"/>
      <c r="AM498" s="86"/>
      <c r="AN498" s="86"/>
      <c r="AO498" s="3" t="str">
        <f t="shared" si="275"/>
        <v/>
      </c>
      <c r="AP498" s="33" t="str">
        <f t="shared" si="276"/>
        <v/>
      </c>
      <c r="AQ498" s="58" t="str">
        <f t="shared" si="277"/>
        <v/>
      </c>
      <c r="AR498" s="38">
        <f>'ANR OK vs ML7'!AR498</f>
        <v>0.1</v>
      </c>
      <c r="AS498" s="35" t="str">
        <f t="shared" si="278"/>
        <v/>
      </c>
      <c r="AT498" s="3" t="str">
        <f t="shared" si="279"/>
        <v/>
      </c>
      <c r="AU498" s="3" t="str">
        <f t="shared" si="280"/>
        <v/>
      </c>
      <c r="AW498" s="32" t="str">
        <f t="shared" si="281"/>
        <v/>
      </c>
      <c r="AX498" s="32" t="str">
        <f t="shared" si="282"/>
        <v/>
      </c>
      <c r="AY498" s="32" t="str">
        <f t="shared" si="283"/>
        <v/>
      </c>
      <c r="BA498" s="32" t="str">
        <f>IF($A499="","",F498*Summary!$Q$9)</f>
        <v/>
      </c>
    </row>
    <row r="499" spans="1:242">
      <c r="A499" s="67" t="str">
        <f t="shared" si="284"/>
        <v/>
      </c>
      <c r="B499" s="69" t="str">
        <f t="shared" si="285"/>
        <v/>
      </c>
      <c r="D499" s="69" t="str">
        <f t="shared" si="258"/>
        <v/>
      </c>
      <c r="E499" s="70" t="str">
        <f t="shared" si="259"/>
        <v/>
      </c>
      <c r="F499" s="70" t="str">
        <f t="shared" si="260"/>
        <v/>
      </c>
      <c r="G499" s="63" t="str">
        <f t="shared" si="261"/>
        <v/>
      </c>
      <c r="H499" s="64" t="str">
        <f t="shared" si="262"/>
        <v/>
      </c>
      <c r="J499" s="63" t="str">
        <f t="shared" si="263"/>
        <v/>
      </c>
      <c r="K499" s="64" t="str">
        <f t="shared" si="264"/>
        <v/>
      </c>
      <c r="L499" s="63" t="str">
        <f t="shared" si="265"/>
        <v/>
      </c>
      <c r="M499" s="64" t="str">
        <f t="shared" si="266"/>
        <v/>
      </c>
      <c r="O499" s="63" t="str">
        <f t="shared" si="267"/>
        <v/>
      </c>
      <c r="P499" s="63" t="str">
        <f t="shared" si="268"/>
        <v/>
      </c>
      <c r="R499" s="63" t="str">
        <f t="shared" si="269"/>
        <v/>
      </c>
      <c r="S499" s="64" t="str">
        <f t="shared" si="270"/>
        <v/>
      </c>
      <c r="T499" s="63" t="str">
        <f t="shared" si="271"/>
        <v/>
      </c>
      <c r="U499" s="64" t="str">
        <f t="shared" si="272"/>
        <v/>
      </c>
      <c r="V499" s="90" t="str">
        <f>IF($A500="","",IF(AND(MONTH(A499)&gt;3,MONTH(A499)&lt;11),(T499+R499+G499)*Summary!$T$9/(1-Summary!$T$9),(T499+R499+G499)*Summary!$U$9/(1-Summary!$U$9)))</f>
        <v/>
      </c>
      <c r="W499" s="63" t="str">
        <f t="shared" si="273"/>
        <v/>
      </c>
      <c r="X499" s="63" t="str">
        <f t="shared" si="274"/>
        <v/>
      </c>
      <c r="Y499" s="43"/>
      <c r="AJ499" s="86"/>
      <c r="AK499" s="86"/>
      <c r="AL499" s="86"/>
      <c r="AM499" s="86"/>
      <c r="AN499" s="86"/>
      <c r="AO499" s="3" t="str">
        <f t="shared" si="275"/>
        <v/>
      </c>
      <c r="AP499" s="33" t="str">
        <f t="shared" si="276"/>
        <v/>
      </c>
      <c r="AQ499" s="58" t="str">
        <f t="shared" si="277"/>
        <v/>
      </c>
      <c r="AR499" s="38">
        <f>'ANR OK vs ML7'!AR499</f>
        <v>0.1</v>
      </c>
      <c r="AS499" s="35" t="str">
        <f t="shared" si="278"/>
        <v/>
      </c>
      <c r="AT499" s="3" t="str">
        <f t="shared" si="279"/>
        <v/>
      </c>
      <c r="AU499" s="3" t="str">
        <f t="shared" si="280"/>
        <v/>
      </c>
      <c r="AW499" s="32" t="str">
        <f t="shared" si="281"/>
        <v/>
      </c>
      <c r="AX499" s="32" t="str">
        <f t="shared" si="282"/>
        <v/>
      </c>
      <c r="AY499" s="32" t="str">
        <f t="shared" si="283"/>
        <v/>
      </c>
      <c r="BA499" s="32" t="str">
        <f>IF($A500="","",F499*Summary!$Q$9)</f>
        <v/>
      </c>
    </row>
    <row r="500" spans="1:242">
      <c r="A500" s="67" t="str">
        <f t="shared" si="284"/>
        <v/>
      </c>
      <c r="B500" s="69" t="str">
        <f t="shared" si="285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81"/>
        <v/>
      </c>
      <c r="AX500" s="32" t="str">
        <f t="shared" si="282"/>
        <v/>
      </c>
      <c r="AY500" s="32" t="str">
        <f t="shared" si="283"/>
        <v/>
      </c>
      <c r="BA500" s="32" t="str">
        <f>IF($A501="","",F500*Summary!$Q$9)</f>
        <v/>
      </c>
    </row>
    <row r="501" spans="1:242">
      <c r="A501" s="67" t="str">
        <f t="shared" si="284"/>
        <v/>
      </c>
      <c r="B501" s="69" t="str">
        <f t="shared" si="285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81"/>
        <v/>
      </c>
      <c r="AX501" s="32" t="str">
        <f t="shared" si="282"/>
        <v/>
      </c>
      <c r="AY501" s="32" t="str">
        <f t="shared" si="283"/>
        <v/>
      </c>
      <c r="AZ501" s="1">
        <v>0</v>
      </c>
      <c r="BA501" s="32" t="str">
        <f>IF($A502="","",F501*Summary!$Q$9)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IH722"/>
  <sheetViews>
    <sheetView showGridLines="0" topLeftCell="N1" zoomScale="80" workbookViewId="0">
      <selection activeCell="AH8" sqref="AH8"/>
    </sheetView>
  </sheetViews>
  <sheetFormatPr defaultRowHeight="12.75"/>
  <cols>
    <col min="1" max="1" width="14.140625" style="1" customWidth="1"/>
    <col min="2" max="2" width="14.5703125" style="1" customWidth="1"/>
    <col min="3" max="3" width="5.140625" style="1" customWidth="1"/>
    <col min="4" max="4" width="16.42578125" style="1" customWidth="1"/>
    <col min="5" max="5" width="14.85546875" style="1" bestFit="1" customWidth="1"/>
    <col min="6" max="6" width="13.85546875" style="1" bestFit="1" customWidth="1"/>
    <col min="7" max="7" width="10.7109375" style="1" customWidth="1"/>
    <col min="8" max="8" width="14.5703125" style="1" bestFit="1" customWidth="1"/>
    <col min="9" max="9" width="10" style="1" customWidth="1"/>
    <col min="10" max="10" width="20.140625" style="1" bestFit="1" customWidth="1"/>
    <col min="11" max="11" width="17.85546875" style="1" bestFit="1" customWidth="1"/>
    <col min="12" max="12" width="19.140625" style="1" bestFit="1" customWidth="1"/>
    <col min="13" max="13" width="15" style="1" bestFit="1" customWidth="1"/>
    <col min="14" max="14" width="1.42578125" style="1" customWidth="1"/>
    <col min="15" max="15" width="15" style="1" bestFit="1" customWidth="1"/>
    <col min="16" max="16" width="16.85546875" style="1" bestFit="1" customWidth="1"/>
    <col min="17" max="17" width="3" style="1" customWidth="1"/>
    <col min="18" max="18" width="20.140625" style="1" customWidth="1"/>
    <col min="19" max="19" width="17.85546875" style="1" customWidth="1"/>
    <col min="20" max="20" width="21.5703125" style="1" customWidth="1"/>
    <col min="21" max="21" width="15" style="1" customWidth="1"/>
    <col min="22" max="22" width="10.7109375" style="1" customWidth="1"/>
    <col min="23" max="23" width="15" style="1" bestFit="1" customWidth="1"/>
    <col min="24" max="24" width="16.85546875" style="1" bestFit="1" customWidth="1"/>
    <col min="25" max="25" width="2" style="1" customWidth="1"/>
    <col min="26" max="26" width="15.5703125" style="3" customWidth="1"/>
    <col min="27" max="27" width="20.28515625" style="3" customWidth="1"/>
    <col min="28" max="28" width="15.28515625" style="3" customWidth="1"/>
    <col min="29" max="29" width="20.28515625" style="3" customWidth="1"/>
    <col min="30" max="31" width="15.7109375" style="3" customWidth="1"/>
    <col min="32" max="32" width="17.5703125" style="3" bestFit="1" customWidth="1"/>
    <col min="33" max="33" width="13" style="3" customWidth="1"/>
    <col min="34" max="34" width="14.140625" style="3" customWidth="1"/>
    <col min="35" max="35" width="16.7109375" style="3" customWidth="1"/>
    <col min="36" max="36" width="12.5703125" style="1" customWidth="1"/>
    <col min="37" max="37" width="10.7109375" style="1" customWidth="1"/>
    <col min="38" max="38" width="12.28515625" style="1" customWidth="1"/>
    <col min="39" max="40" width="9.140625" style="1"/>
    <col min="41" max="41" width="8.28515625" style="3" bestFit="1" customWidth="1"/>
    <col min="42" max="43" width="8.5703125" style="3" bestFit="1" customWidth="1"/>
    <col min="44" max="44" width="11.7109375" style="3" bestFit="1" customWidth="1"/>
    <col min="45" max="45" width="10.28515625" style="3" bestFit="1" customWidth="1"/>
    <col min="46" max="46" width="7.5703125" style="3" bestFit="1" customWidth="1"/>
    <col min="47" max="47" width="6.42578125" style="3" bestFit="1" customWidth="1"/>
    <col min="48" max="48" width="1.42578125" style="1" customWidth="1"/>
    <col min="49" max="49" width="14.28515625" style="4" customWidth="1"/>
    <col min="50" max="51" width="14.28515625" style="1" customWidth="1"/>
    <col min="52" max="52" width="9.140625" style="1"/>
    <col min="53" max="53" width="14.28515625" style="1" customWidth="1"/>
    <col min="54" max="54" width="9.140625" style="1"/>
    <col min="55" max="55" width="7.85546875" style="1" bestFit="1" customWidth="1"/>
    <col min="56" max="16384" width="9.140625" style="1"/>
  </cols>
  <sheetData>
    <row r="1" spans="1:55" ht="13.5" thickBot="1">
      <c r="A1" s="39" t="s">
        <v>62</v>
      </c>
      <c r="C1" s="40"/>
      <c r="D1" s="40" t="s">
        <v>15</v>
      </c>
      <c r="E1" s="57">
        <f ca="1">Summary!D10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Summary!J10</f>
        <v>NG_OMICRON_11</v>
      </c>
      <c r="AA1" s="24" t="str">
        <f>Summary!L10</f>
        <v>CGPR-DAWN</v>
      </c>
      <c r="AC1" s="24" t="str">
        <f>Summary!I10</f>
        <v>NG_OMICRON_11</v>
      </c>
      <c r="AD1" s="24" t="str">
        <f>Summary!K10</f>
        <v>CGPR-DAWN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5" thickBot="1">
      <c r="A3" s="61">
        <f>Summary!E10</f>
        <v>37043</v>
      </c>
      <c r="B3" s="62">
        <f>Summary!F10</f>
        <v>42094</v>
      </c>
      <c r="C3" s="12"/>
      <c r="D3" s="12">
        <f>Summary!C10</f>
        <v>37025</v>
      </c>
      <c r="E3" s="13" t="str">
        <f>CONCATENATE(INT(AT8/12)," Y - ",AT8-INT(AT8/12)*12," M")</f>
        <v>13 Y - 10 M</v>
      </c>
      <c r="F3" s="59">
        <v>2</v>
      </c>
      <c r="G3" s="59">
        <v>1</v>
      </c>
      <c r="H3" s="44">
        <v>1</v>
      </c>
      <c r="I3" s="60">
        <f>Summary!P10</f>
        <v>0</v>
      </c>
      <c r="J3" s="171" t="str">
        <f>Summary!H10</f>
        <v>CGPR-ST.CLAIR</v>
      </c>
      <c r="K3" s="60" t="str">
        <f>J3</f>
        <v>CGPR-ST.CLAIR</v>
      </c>
      <c r="R3" s="171" t="str">
        <f>Summary!G10</f>
        <v>ML7/CG</v>
      </c>
      <c r="S3" s="60" t="str">
        <f>R3</f>
        <v>ML7/CG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CGPR-ST.CLAIR-D</v>
      </c>
      <c r="K4" s="15" t="str">
        <f>J3</f>
        <v>CGPR-ST.CLAIR</v>
      </c>
      <c r="L4" s="41" t="str">
        <f>CONCATENATE(K3,"-","I")</f>
        <v>CGPR-ST.CLAIR-I</v>
      </c>
      <c r="M4" s="15" t="str">
        <f>K3</f>
        <v>CGPR-ST.CLAIR</v>
      </c>
      <c r="O4" s="15" t="str">
        <f>K4</f>
        <v>CGPR-ST.CLAIR</v>
      </c>
      <c r="P4" s="15" t="str">
        <f>J4</f>
        <v>CGPR-ST.CLAIR-D</v>
      </c>
      <c r="Q4" s="14"/>
      <c r="R4" s="41" t="str">
        <f>CONCATENATE(R3,"-","D")</f>
        <v>ML7/CG-D</v>
      </c>
      <c r="S4" s="15" t="str">
        <f>R3</f>
        <v>ML7/CG</v>
      </c>
      <c r="T4" s="41" t="str">
        <f>CONCATENATE(S3,"-","I")</f>
        <v>ML7/CG-I</v>
      </c>
      <c r="U4" s="15" t="str">
        <f>S3</f>
        <v>ML7/CG</v>
      </c>
      <c r="V4" s="15" t="s">
        <v>111</v>
      </c>
      <c r="W4" s="15" t="str">
        <f>S4</f>
        <v>ML7/CG</v>
      </c>
      <c r="X4" s="15" t="str">
        <f>R4</f>
        <v>ML7/CG-D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NG_OMICRON_11-P</v>
      </c>
      <c r="AD4" s="227" t="str">
        <f>IF(AD1="NG",CONCATENATE(AD1,"-","VO"),CONCATENATE(AD1,"-","P"))</f>
        <v>CGPR-DAWN-P</v>
      </c>
      <c r="AE4" s="228" t="s">
        <v>93</v>
      </c>
      <c r="AF4" s="15" t="str">
        <f>J3</f>
        <v>CGPR-ST.CLAIR</v>
      </c>
      <c r="AG4" s="15" t="s">
        <v>81</v>
      </c>
      <c r="AH4" s="15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ML7/CG</v>
      </c>
      <c r="AG5" s="14" t="s">
        <v>125</v>
      </c>
      <c r="AH5" s="14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5" thickBot="1">
      <c r="A7" s="23"/>
      <c r="B7" s="23"/>
      <c r="C7" s="23"/>
      <c r="D7" s="23"/>
      <c r="V7" s="90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5" thickBot="1">
      <c r="A8" s="34" t="s">
        <v>31</v>
      </c>
      <c r="B8" s="25"/>
      <c r="C8" s="25"/>
      <c r="D8" s="25">
        <f>SUM(D10:D500)</f>
        <v>19876840</v>
      </c>
      <c r="E8" s="25">
        <f>SUM(E10:E500)</f>
        <v>604926480</v>
      </c>
      <c r="F8" s="25">
        <f ca="1">SUM(F10:F370)</f>
        <v>331811505.64994156</v>
      </c>
      <c r="G8" s="26">
        <f ca="1">SUMPRODUCT(G10:G499,$F$10:$F$499)/SUM($F$10:$F$499)</f>
        <v>4.3517059551323376</v>
      </c>
      <c r="H8" s="26">
        <f ca="1">SUMPRODUCT(H10:H499,$F$10:$F$499)/SUM($F$10:$F$499)</f>
        <v>4.3517059551323376</v>
      </c>
      <c r="I8" s="26"/>
      <c r="J8" s="26">
        <f ca="1">SUMPRODUCT(J10:J499,$F$10:$F$499)/SUM($F$10:$F$499)</f>
        <v>0.22221039148193006</v>
      </c>
      <c r="K8" s="26">
        <f ca="1">SUMPRODUCT(K10:K499,$F$10:$F$499)/SUM($F$10:$F$499)</f>
        <v>0.22221039148193006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4.5739163466142641</v>
      </c>
      <c r="P8" s="26">
        <f ca="1">SUMPRODUCT(P10:P499,$F$10:$F$499)/SUM($F$10:$F$499)</f>
        <v>4.5739163466142641</v>
      </c>
      <c r="Q8" s="26"/>
      <c r="R8" s="26">
        <f ca="1">SUMPRODUCT(R10:R499,$F$10:$F$499)/SUM($F$10:$F$499)</f>
        <v>0.25331592390191293</v>
      </c>
      <c r="S8" s="26">
        <f ca="1">SUMPRODUCT(S10:S499,$F$10:$F$499)/SUM($F$10:$F$499)</f>
        <v>0.25331592390191293</v>
      </c>
      <c r="T8" s="26">
        <f ca="1">SUMPRODUCT(T10:T499,$F$10:$F$499)/SUM($F$10:$F$499)</f>
        <v>0</v>
      </c>
      <c r="U8" s="26">
        <f ca="1">SUMPRODUCT(U10:U499,$F$10:$F$499)/SUM($F$10:$F$499)</f>
        <v>0</v>
      </c>
      <c r="V8" s="207">
        <f ca="1">SUMPRODUCT(V10:V499,F10:F499)/F8</f>
        <v>3.7137273218018123E-2</v>
      </c>
      <c r="W8" s="26">
        <f ca="1">SUMPRODUCT(W10:W499,$F$10:$F$499)/SUM($F$10:$F$499)</f>
        <v>4.6421591522522654</v>
      </c>
      <c r="X8" s="26">
        <f ca="1">SUMPRODUCT(X10:X499,$F$10:$F$499)/SUM($F$10:$F$499)</f>
        <v>4.6421591522522654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SUMPRODUCT(AH10:AH300,F10:F300)/F8</f>
        <v>1.4248576347145603E-2</v>
      </c>
      <c r="AI8" s="26"/>
      <c r="AJ8" s="26"/>
      <c r="AK8" s="26"/>
      <c r="AL8" s="26">
        <f ca="1">AW8/$E8</f>
        <v>5.2370441027787913E-3</v>
      </c>
      <c r="AM8" s="26">
        <f ca="1">BC8/$F8</f>
        <v>1.0944149245861144E-3</v>
      </c>
      <c r="AN8" s="26">
        <f ca="1">AY8/$E8</f>
        <v>1.4070478879293286E-3</v>
      </c>
      <c r="AR8" s="27"/>
      <c r="AS8" s="11"/>
      <c r="AT8" s="28">
        <f>SUM(AT10:AT500)</f>
        <v>166</v>
      </c>
      <c r="AU8" s="28">
        <f>SUM(AU10:AU500)</f>
        <v>5052</v>
      </c>
      <c r="AW8" s="29">
        <f ca="1">SUM(AW10:AW501)</f>
        <v>3168026.6546987323</v>
      </c>
      <c r="AX8" s="29">
        <f>SUM(AX10:AX501)</f>
        <v>2316866.128662209</v>
      </c>
      <c r="AY8" s="29">
        <f ca="1">SUM(AY10:AY501)</f>
        <v>851160.52603652328</v>
      </c>
      <c r="BA8" s="29">
        <f ca="1">SUM(BA10:BA501)</f>
        <v>0</v>
      </c>
      <c r="BC8" s="257">
        <f ca="1">SUM(BC10:BC501)</f>
        <v>363139.4639326859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Summary!O10</f>
        <v>119740</v>
      </c>
      <c r="C10" s="68"/>
      <c r="D10" s="69">
        <f t="shared" ref="D10:D73" si="0">IF(A11&lt;&gt;"",B10+C10,"")</f>
        <v>119740</v>
      </c>
      <c r="E10" s="70">
        <f t="shared" ref="E10:E73" si="1">IF(A11="","",IF(AND(AT10=1,$H$3=1),D10*AO10,IF($H$3=2,D10,"N/A")))</f>
        <v>3592200</v>
      </c>
      <c r="F10" s="70">
        <f t="shared" ref="F10:F73" ca="1" si="2">IF(A11="","",E10*AS10)</f>
        <v>3575922.2029178832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0.21</v>
      </c>
      <c r="K10" s="64">
        <f t="shared" ref="K10:K73" si="6">IF(A11="","",J10)</f>
        <v>0.21</v>
      </c>
      <c r="L10" s="38">
        <v>0</v>
      </c>
      <c r="M10" s="64">
        <f t="shared" ref="M10:M73" si="7">IF(A11="","",L10)</f>
        <v>0</v>
      </c>
      <c r="N10" s="65"/>
      <c r="O10" s="63">
        <f t="shared" ref="O10:O73" si="8">IF(A11="","",L10+J10+G10)</f>
        <v>4.6040000000000001</v>
      </c>
      <c r="P10" s="63">
        <f t="shared" ref="P10:P73" si="9">IF(A11="","",M10+K10+H10)</f>
        <v>4.6040000000000001</v>
      </c>
      <c r="Q10" s="66"/>
      <c r="R10" s="63">
        <f t="shared" ref="R10:R73" si="10">IF($A11="","",VLOOKUP($A10,Table,MATCH(R$4,Curves,0)))</f>
        <v>0.22500000000000001</v>
      </c>
      <c r="S10" s="64">
        <f t="shared" ref="S10:S73" si="11">IF(A11="","",R10)</f>
        <v>0.22500000000000001</v>
      </c>
      <c r="T10" s="63">
        <f t="shared" ref="T10:T73" si="12">IF($A11="","",VLOOKUP($A10,Table,MATCH(T$4,Curves,0)))</f>
        <v>0</v>
      </c>
      <c r="U10" s="64">
        <f t="shared" ref="U10:U73" si="13">IF(A11="","",T10)</f>
        <v>0</v>
      </c>
      <c r="V10" s="219">
        <f>IF($A11="","",IF(AND(MONTH(A10)&gt;3,MONTH(A10)&lt;11),(T10+R10+G10)*Summary!$T$10/(1-Summary!$T$10),(T10+R10+G10)*Summary!$U$10/(1-Summary!$U$10)))</f>
        <v>3.7249999999999998E-2</v>
      </c>
      <c r="W10" s="63">
        <f t="shared" ref="W10:W73" si="14">IF($A11="","",(T10+R10+G10+V10))</f>
        <v>4.65625</v>
      </c>
      <c r="X10" s="63">
        <f t="shared" ref="X10:X73" si="15">IF($A11="","",(U10+S10+H10+V10))</f>
        <v>4.65625</v>
      </c>
      <c r="Y10" s="43"/>
      <c r="Z10" s="38">
        <f t="shared" ref="Z10:Z73" si="16">IF($A11="","",VLOOKUP($A10,Table,MATCH(Z$4,Curves,0)))</f>
        <v>0.53</v>
      </c>
      <c r="AA10" s="38">
        <f t="shared" ref="AA10:AA73" si="17">IF($A11="","",VLOOKUP($A10,Table,MATCH(AA$4,Curves,0)))</f>
        <v>0.54</v>
      </c>
      <c r="AB10" s="38">
        <f t="shared" ref="AB10:AB73" ca="1" si="18">SQRT((AA10^2*(A10-$D$3)+Z10^2*(DAY(EOMONTH(A10,0))/2))/AK10)</f>
        <v>0.74606024043165653</v>
      </c>
      <c r="AC10" s="38">
        <f t="shared" ref="AC10:AD73" si="19">IF($A11="","",VLOOKUP($A10,Table,MATCH(AC$4,Curves,0)))</f>
        <v>0.53</v>
      </c>
      <c r="AD10" s="38">
        <f>IF($A11="","",VLOOKUP($A10,Table,MATCH(AD$4,Curves,0)))</f>
        <v>0.54</v>
      </c>
      <c r="AE10" s="38">
        <f t="shared" ref="AE10:AE73" ca="1" si="20">SQRT((AD10^2*(A10-$D$3)+AC10^2*(DAY(EOMONTH(A10,0))/2))/AK10)</f>
        <v>0.74606024043165653</v>
      </c>
      <c r="AF10" s="237">
        <f ca="1">((Summary!$N$10*(AA10*AD10)*(A10-$D$3))+(Summary!$M$10*Z10*AC10*(AJ10-EOMONTH(EDATE(A10,-1),0))))/(AK10*AB10*AE10)</f>
        <v>0.99994452934276057</v>
      </c>
      <c r="AG10" s="88">
        <f>IF($A11="","",Summary!$Q$10)</f>
        <v>0</v>
      </c>
      <c r="AH10" s="88">
        <f>IF($A11="","",IF(Summary!$R$10="Y",(VLOOKUP($A10,Summary!$AD$6:$AF$9,3)+'Escalating commodity'!F23),'Escalating commodity'!F23))</f>
        <v>1.2800000000000001E-2</v>
      </c>
      <c r="AI10" s="88">
        <f>IF($A11="","",AH10)</f>
        <v>1.2800000000000001E-2</v>
      </c>
      <c r="AJ10" s="236">
        <f t="shared" ref="AJ10:AJ73" si="21">A10+DAY(EOMONTH(A10,0))/2-1</f>
        <v>37057</v>
      </c>
      <c r="AK10" s="58">
        <f t="shared" ref="AK10:AK73" ca="1" si="22">IF($A11="","",$A10-$E$1)</f>
        <v>17</v>
      </c>
      <c r="AL10" s="26">
        <f ca="1">IF($A11="","",_xll.SPRDOPT(P10,X10,AI10,0,AB10,AE10,AF10,AK10,$AJ$2,0))</f>
        <v>1.8051433219236736E-5</v>
      </c>
      <c r="AM10" s="89">
        <f t="shared" ref="AM10:AM73" si="23">IF($A11="","",MAX(0,O10-W10-AI10))</f>
        <v>0</v>
      </c>
      <c r="AN10" s="89">
        <f t="shared" ref="AN10:AN73" ca="1" si="24">IF($A11="","",AL10-AM10)</f>
        <v>1.8051433219236736E-5</v>
      </c>
      <c r="AO10" s="3">
        <f t="shared" ref="AO10:AO73" si="25">IF(A11="","",A11-A10)</f>
        <v>30</v>
      </c>
      <c r="AP10" s="33">
        <f t="shared" ref="AP10:AP73" si="26">IF(A11="","",CHOOSE(F$3,A11+24,A10))</f>
        <v>37043</v>
      </c>
      <c r="AQ10" s="58">
        <f t="shared" ref="AQ10:AQ73" ca="1" si="27">IF(A11="","",AP10-$E$1)</f>
        <v>17</v>
      </c>
      <c r="AR10" s="38">
        <f>'ANR OK vs ML7'!AR10</f>
        <v>0.1</v>
      </c>
      <c r="AS10" s="35">
        <f t="shared" ref="AS10:AS73" ca="1" si="28">IF(A11="","",1/(1+CHOOSE(F$3,(AR11+($I$3/10000))/2,(AR10+($I$3/10000))/2))^(2*AQ10/365.25))</f>
        <v>0.99546857160455515</v>
      </c>
      <c r="AT10" s="3">
        <f t="shared" ref="AT10:AT73" si="29">IF(A11="","",IF(AND(mthbeg&lt;=A10,mthend&gt;=A10),1,0))</f>
        <v>1</v>
      </c>
      <c r="AU10" s="3">
        <f t="shared" ref="AU10:AU73" si="30">IF(A11="","",AO10*AT10)</f>
        <v>30</v>
      </c>
      <c r="AW10" s="32">
        <f t="shared" ref="AW10:AW73" ca="1" si="31">IF($A11="","",AL10*$E10)</f>
        <v>64.844358410142206</v>
      </c>
      <c r="AX10" s="32">
        <f t="shared" ref="AX10:AX73" si="32">IF($A11="","",AM10*$E10)</f>
        <v>0</v>
      </c>
      <c r="AY10" s="32">
        <f t="shared" ref="AY10:AY73" ca="1" si="33">IF($A11="","",AN10*$E10)</f>
        <v>64.844358410142206</v>
      </c>
      <c r="AZ10" s="42"/>
      <c r="BA10" s="32">
        <f ca="1">IF($A11="","",F10*Summary!$Q$10)</f>
        <v>0</v>
      </c>
      <c r="BC10" s="256">
        <f ca="1">IF(A11="","",AM10*F10)</f>
        <v>0</v>
      </c>
    </row>
    <row r="11" spans="1:55">
      <c r="A11" s="67">
        <f t="shared" ref="A11:A74" si="34">IF(A10&lt;mthend,EDATE(A10,1),"")</f>
        <v>37073</v>
      </c>
      <c r="B11" s="69">
        <f>IF(A11&lt;mthend,B10,"")</f>
        <v>119740</v>
      </c>
      <c r="C11" s="71"/>
      <c r="D11" s="69">
        <f t="shared" si="0"/>
        <v>119740</v>
      </c>
      <c r="E11" s="70">
        <f t="shared" si="1"/>
        <v>3711940</v>
      </c>
      <c r="F11" s="70">
        <f t="shared" ca="1" si="2"/>
        <v>3665622.288681909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0.18</v>
      </c>
      <c r="K11" s="64">
        <f t="shared" si="6"/>
        <v>0.18</v>
      </c>
      <c r="L11" s="38">
        <v>0</v>
      </c>
      <c r="M11" s="64">
        <f t="shared" si="7"/>
        <v>0</v>
      </c>
      <c r="N11" s="65"/>
      <c r="O11" s="63">
        <f t="shared" si="8"/>
        <v>4.6449999999999996</v>
      </c>
      <c r="P11" s="63">
        <f t="shared" si="9"/>
        <v>4.6449999999999996</v>
      </c>
      <c r="Q11" s="66"/>
      <c r="R11" s="63">
        <f t="shared" si="10"/>
        <v>0.22500000000000001</v>
      </c>
      <c r="S11" s="64">
        <f t="shared" si="11"/>
        <v>0.22500000000000001</v>
      </c>
      <c r="T11" s="63">
        <f t="shared" si="12"/>
        <v>0</v>
      </c>
      <c r="U11" s="64">
        <f t="shared" si="13"/>
        <v>0</v>
      </c>
      <c r="V11" s="219">
        <f>IF($A12="","",IF(AND(MONTH(A11)&gt;3,MONTH(A11)&lt;11),(T11+R11+G11)*Summary!$T$10/(1-Summary!$T$10),(T11+R11+G11)*Summary!$U$10/(1-Summary!$U$10)))</f>
        <v>3.7822580645161287E-2</v>
      </c>
      <c r="W11" s="63">
        <f t="shared" si="14"/>
        <v>4.727822580645161</v>
      </c>
      <c r="X11" s="63">
        <f t="shared" si="15"/>
        <v>4.727822580645161</v>
      </c>
      <c r="Y11" s="43"/>
      <c r="Z11" s="38">
        <f t="shared" si="16"/>
        <v>0.57999999999999996</v>
      </c>
      <c r="AA11" s="38">
        <f t="shared" si="17"/>
        <v>0.52500000000000002</v>
      </c>
      <c r="AB11" s="38">
        <f t="shared" ca="1" si="18"/>
        <v>0.62644216591321711</v>
      </c>
      <c r="AC11" s="38">
        <f t="shared" si="19"/>
        <v>0.57999999999999996</v>
      </c>
      <c r="AD11" s="38">
        <f t="shared" si="19"/>
        <v>0.52500000000000002</v>
      </c>
      <c r="AE11" s="38">
        <f t="shared" ca="1" si="20"/>
        <v>0.62644216591321711</v>
      </c>
      <c r="AF11" s="237">
        <f ca="1">((Summary!$N$10*(AA11*AD11)*(A11-$D$3))+(Summary!$M$10*Z11*AC11*(AJ11-EOMONTH(EDATE(A11,-1),0))))/(AK11*AB11*AE11)</f>
        <v>0.99992827013370045</v>
      </c>
      <c r="AG11" s="88">
        <f>IF($A12="","",Summary!$Q$10)</f>
        <v>0</v>
      </c>
      <c r="AH11" s="88">
        <f>IF($A12="","",IF(Summary!$R$10="Y",(VLOOKUP($A11,Summary!$AD$6:$AF$9,3)+'Escalating commodity'!F24),'Escalating commodity'!F24))</f>
        <v>1.2800000000000001E-2</v>
      </c>
      <c r="AI11" s="88">
        <f t="shared" ref="AI11:AI74" si="35">IF($A12="","",AH11)</f>
        <v>1.2800000000000001E-2</v>
      </c>
      <c r="AJ11" s="236">
        <f t="shared" si="21"/>
        <v>37087.5</v>
      </c>
      <c r="AK11" s="58">
        <f t="shared" ca="1" si="22"/>
        <v>47</v>
      </c>
      <c r="AL11" s="26">
        <f ca="1">IF($A12="","",_xll.SPRDOPT(P11,X11,AI11,0,AB11,AE11,AF11,AK11,$AJ$2,0))</f>
        <v>2.6748140178195598E-5</v>
      </c>
      <c r="AM11" s="89">
        <f t="shared" si="23"/>
        <v>0</v>
      </c>
      <c r="AN11" s="89">
        <f t="shared" ca="1" si="24"/>
        <v>2.6748140178195598E-5</v>
      </c>
      <c r="AO11" s="3">
        <f t="shared" si="25"/>
        <v>31</v>
      </c>
      <c r="AP11" s="33">
        <f t="shared" si="26"/>
        <v>37073</v>
      </c>
      <c r="AQ11" s="58">
        <f t="shared" ca="1" si="27"/>
        <v>47</v>
      </c>
      <c r="AR11" s="38">
        <f>'ANR OK vs ML7'!AR11</f>
        <v>0.1</v>
      </c>
      <c r="AS11" s="35">
        <f t="shared" ca="1" si="28"/>
        <v>0.98752196659480185</v>
      </c>
      <c r="AT11" s="3">
        <f t="shared" si="29"/>
        <v>1</v>
      </c>
      <c r="AU11" s="3">
        <f t="shared" si="30"/>
        <v>31</v>
      </c>
      <c r="AW11" s="32">
        <f t="shared" ca="1" si="31"/>
        <v>99.287491453051373</v>
      </c>
      <c r="AX11" s="32">
        <f t="shared" si="32"/>
        <v>0</v>
      </c>
      <c r="AY11" s="32">
        <f t="shared" ca="1" si="33"/>
        <v>99.287491453051373</v>
      </c>
      <c r="BA11" s="32">
        <f ca="1">IF($A12="","",F11*Summary!$Q$10)</f>
        <v>0</v>
      </c>
      <c r="BC11" s="256">
        <f t="shared" ref="BC11:BC74" ca="1" si="36">IF(A12="","",AM11*F11)</f>
        <v>0</v>
      </c>
    </row>
    <row r="12" spans="1:55">
      <c r="A12" s="67">
        <f t="shared" si="34"/>
        <v>37104</v>
      </c>
      <c r="B12" s="69">
        <f t="shared" ref="B12:B75" si="37">IF(A12&lt;mthend,B11,"")</f>
        <v>119740</v>
      </c>
      <c r="C12" s="71"/>
      <c r="D12" s="69">
        <f t="shared" si="0"/>
        <v>119740</v>
      </c>
      <c r="E12" s="70">
        <f t="shared" si="1"/>
        <v>3711940</v>
      </c>
      <c r="F12" s="70">
        <f t="shared" ca="1" si="2"/>
        <v>3635389.0765873878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0.155</v>
      </c>
      <c r="K12" s="64">
        <f t="shared" si="6"/>
        <v>0.155</v>
      </c>
      <c r="L12" s="38">
        <v>0</v>
      </c>
      <c r="M12" s="64">
        <f t="shared" si="7"/>
        <v>0</v>
      </c>
      <c r="N12" s="65"/>
      <c r="O12" s="63">
        <f t="shared" si="8"/>
        <v>4.6830000000000007</v>
      </c>
      <c r="P12" s="63">
        <f t="shared" si="9"/>
        <v>4.6830000000000007</v>
      </c>
      <c r="Q12" s="66"/>
      <c r="R12" s="63">
        <f t="shared" si="10"/>
        <v>0.22500000000000001</v>
      </c>
      <c r="S12" s="64">
        <f t="shared" si="11"/>
        <v>0.22500000000000001</v>
      </c>
      <c r="T12" s="63">
        <f t="shared" si="12"/>
        <v>0</v>
      </c>
      <c r="U12" s="64">
        <f t="shared" si="13"/>
        <v>0</v>
      </c>
      <c r="V12" s="219">
        <f>IF($A13="","",IF(AND(MONTH(A12)&gt;3,MONTH(A12)&lt;11),(T12+R12+G12)*Summary!$T$10/(1-Summary!$T$10),(T12+R12+G12)*Summary!$U$10/(1-Summary!$U$10)))</f>
        <v>3.8330645161290325E-2</v>
      </c>
      <c r="W12" s="63">
        <f t="shared" si="14"/>
        <v>4.79133064516129</v>
      </c>
      <c r="X12" s="63">
        <f t="shared" si="15"/>
        <v>4.79133064516129</v>
      </c>
      <c r="Y12" s="43"/>
      <c r="Z12" s="38">
        <f t="shared" si="16"/>
        <v>0.63</v>
      </c>
      <c r="AA12" s="38">
        <f t="shared" si="17"/>
        <v>0.53</v>
      </c>
      <c r="AB12" s="38">
        <f t="shared" ca="1" si="18"/>
        <v>0.60280381211256118</v>
      </c>
      <c r="AC12" s="38">
        <f t="shared" si="19"/>
        <v>0.63</v>
      </c>
      <c r="AD12" s="38">
        <f t="shared" si="19"/>
        <v>0.53</v>
      </c>
      <c r="AE12" s="38">
        <f t="shared" ca="1" si="20"/>
        <v>0.60280381211256118</v>
      </c>
      <c r="AF12" s="237">
        <f ca="1">((Summary!$N$10*(AA12*AD12)*(A12-$D$3))+(Summary!$M$10*Z12*AC12*(AJ12-EOMONTH(EDATE(A12,-1),0))))/(AK12*AB12*AE12)</f>
        <v>0.99992170532105751</v>
      </c>
      <c r="AG12" s="88">
        <f>IF($A13="","",Summary!$Q$10)</f>
        <v>0</v>
      </c>
      <c r="AH12" s="88">
        <f>IF($A13="","",IF(Summary!$R$10="Y",(VLOOKUP($A12,Summary!$AD$6:$AF$9,3)+'Escalating commodity'!F25),'Escalating commodity'!F25))</f>
        <v>1.2800000000000001E-2</v>
      </c>
      <c r="AI12" s="88">
        <f t="shared" si="35"/>
        <v>1.2800000000000001E-2</v>
      </c>
      <c r="AJ12" s="236">
        <f t="shared" si="21"/>
        <v>37118.5</v>
      </c>
      <c r="AK12" s="58">
        <f t="shared" ca="1" si="22"/>
        <v>78</v>
      </c>
      <c r="AL12" s="26">
        <f ca="1">IF($A13="","",_xll.SPRDOPT(P12,X12,AI12,0,AB12,AE12,AF12,AK12,$AJ$2,0))</f>
        <v>3.444117136763115E-5</v>
      </c>
      <c r="AM12" s="89">
        <f t="shared" si="23"/>
        <v>0</v>
      </c>
      <c r="AN12" s="89">
        <f t="shared" ca="1" si="24"/>
        <v>3.444117136763115E-5</v>
      </c>
      <c r="AO12" s="3">
        <f t="shared" si="25"/>
        <v>31</v>
      </c>
      <c r="AP12" s="33">
        <f t="shared" si="26"/>
        <v>37104</v>
      </c>
      <c r="AQ12" s="58">
        <f t="shared" ca="1" si="27"/>
        <v>78</v>
      </c>
      <c r="AR12" s="38">
        <f>'ANR OK vs ML7'!AR12</f>
        <v>0.1</v>
      </c>
      <c r="AS12" s="35">
        <f t="shared" ca="1" si="28"/>
        <v>0.97937711185724663</v>
      </c>
      <c r="AT12" s="3">
        <f t="shared" si="29"/>
        <v>1</v>
      </c>
      <c r="AU12" s="3">
        <f t="shared" si="30"/>
        <v>31</v>
      </c>
      <c r="AW12" s="32">
        <f t="shared" ca="1" si="31"/>
        <v>127.84356164636478</v>
      </c>
      <c r="AX12" s="32">
        <f t="shared" si="32"/>
        <v>0</v>
      </c>
      <c r="AY12" s="32">
        <f t="shared" ca="1" si="33"/>
        <v>127.84356164636478</v>
      </c>
      <c r="BA12" s="32">
        <f ca="1">IF($A13="","",F12*Summary!$Q$10)</f>
        <v>0</v>
      </c>
      <c r="BC12" s="256">
        <f t="shared" ca="1" si="36"/>
        <v>0</v>
      </c>
    </row>
    <row r="13" spans="1:55">
      <c r="A13" s="67">
        <f t="shared" si="34"/>
        <v>37135</v>
      </c>
      <c r="B13" s="69">
        <f t="shared" si="37"/>
        <v>119740</v>
      </c>
      <c r="C13" s="71"/>
      <c r="D13" s="69">
        <f t="shared" si="0"/>
        <v>119740</v>
      </c>
      <c r="E13" s="70">
        <f t="shared" si="1"/>
        <v>3592200</v>
      </c>
      <c r="F13" s="70">
        <f t="shared" ca="1" si="2"/>
        <v>3489101.8268647944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0.16500000000000001</v>
      </c>
      <c r="K13" s="64">
        <f t="shared" si="6"/>
        <v>0.16500000000000001</v>
      </c>
      <c r="L13" s="38">
        <v>0</v>
      </c>
      <c r="M13" s="64">
        <f t="shared" si="7"/>
        <v>0</v>
      </c>
      <c r="N13" s="65"/>
      <c r="O13" s="63">
        <f t="shared" si="8"/>
        <v>4.7080000000000002</v>
      </c>
      <c r="P13" s="63">
        <f t="shared" si="9"/>
        <v>4.7080000000000002</v>
      </c>
      <c r="Q13" s="66"/>
      <c r="R13" s="63">
        <f t="shared" si="10"/>
        <v>0.22500000000000001</v>
      </c>
      <c r="S13" s="64">
        <f t="shared" si="11"/>
        <v>0.22500000000000001</v>
      </c>
      <c r="T13" s="63">
        <f t="shared" si="12"/>
        <v>0</v>
      </c>
      <c r="U13" s="64">
        <f t="shared" si="13"/>
        <v>0</v>
      </c>
      <c r="V13" s="219">
        <f>IF($A14="","",IF(AND(MONTH(A13)&gt;3,MONTH(A13)&lt;11),(T13+R13+G13)*Summary!$T$10/(1-Summary!$T$10),(T13+R13+G13)*Summary!$U$10/(1-Summary!$U$10)))</f>
        <v>3.8451612903225803E-2</v>
      </c>
      <c r="W13" s="63">
        <f t="shared" si="14"/>
        <v>4.806451612903226</v>
      </c>
      <c r="X13" s="63">
        <f t="shared" si="15"/>
        <v>4.806451612903226</v>
      </c>
      <c r="Y13" s="43"/>
      <c r="Z13" s="38">
        <f t="shared" si="16"/>
        <v>0.63</v>
      </c>
      <c r="AA13" s="38">
        <f t="shared" si="17"/>
        <v>0.54</v>
      </c>
      <c r="AB13" s="38">
        <f t="shared" ca="1" si="18"/>
        <v>0.59067291745334316</v>
      </c>
      <c r="AC13" s="38">
        <f t="shared" si="19"/>
        <v>0.63</v>
      </c>
      <c r="AD13" s="38">
        <f t="shared" si="19"/>
        <v>0.54</v>
      </c>
      <c r="AE13" s="38">
        <f t="shared" ca="1" si="20"/>
        <v>0.59067291745334316</v>
      </c>
      <c r="AF13" s="237">
        <f ca="1">((Summary!$N$10*(AA13*AD13)*(A13-$D$3))+(Summary!$M$10*Z13*AC13*(AJ13-EOMONTH(EDATE(A13,-1),0))))/(AK13*AB13*AE13)</f>
        <v>0.99991565495207702</v>
      </c>
      <c r="AG13" s="88">
        <f>IF($A14="","",Summary!$Q$10)</f>
        <v>0</v>
      </c>
      <c r="AH13" s="88">
        <f>IF($A14="","",IF(Summary!$R$10="Y",(VLOOKUP($A13,Summary!$AD$6:$AF$9,3)+'Escalating commodity'!F26),'Escalating commodity'!F26))</f>
        <v>1.2800000000000001E-2</v>
      </c>
      <c r="AI13" s="88">
        <f t="shared" si="35"/>
        <v>1.2800000000000001E-2</v>
      </c>
      <c r="AJ13" s="236">
        <f t="shared" si="21"/>
        <v>37149</v>
      </c>
      <c r="AK13" s="58">
        <f t="shared" ca="1" si="22"/>
        <v>109</v>
      </c>
      <c r="AL13" s="26">
        <f ca="1">IF($A14="","",_xll.SPRDOPT(P13,X13,AI13,0,AB13,AE13,AF13,AK13,$AJ$2,0))</f>
        <v>1.2929782745889763E-4</v>
      </c>
      <c r="AM13" s="89">
        <f t="shared" si="23"/>
        <v>0</v>
      </c>
      <c r="AN13" s="89">
        <f t="shared" ca="1" si="24"/>
        <v>1.2929782745889763E-4</v>
      </c>
      <c r="AO13" s="3">
        <f t="shared" si="25"/>
        <v>30</v>
      </c>
      <c r="AP13" s="33">
        <f t="shared" si="26"/>
        <v>37135</v>
      </c>
      <c r="AQ13" s="58">
        <f t="shared" ca="1" si="27"/>
        <v>109</v>
      </c>
      <c r="AR13" s="38">
        <f>'ANR OK vs ML7'!AR13</f>
        <v>0.1</v>
      </c>
      <c r="AS13" s="35">
        <f t="shared" ca="1" si="28"/>
        <v>0.9712994340139175</v>
      </c>
      <c r="AT13" s="3">
        <f t="shared" si="29"/>
        <v>1</v>
      </c>
      <c r="AU13" s="3">
        <f t="shared" si="30"/>
        <v>30</v>
      </c>
      <c r="AW13" s="32">
        <f t="shared" ca="1" si="31"/>
        <v>464.46365579785208</v>
      </c>
      <c r="AX13" s="32">
        <f t="shared" si="32"/>
        <v>0</v>
      </c>
      <c r="AY13" s="32">
        <f t="shared" ca="1" si="33"/>
        <v>464.46365579785208</v>
      </c>
      <c r="BA13" s="32">
        <f ca="1">IF($A14="","",F13*Summary!$Q$10)</f>
        <v>0</v>
      </c>
      <c r="BC13" s="256">
        <f t="shared" ca="1" si="36"/>
        <v>0</v>
      </c>
    </row>
    <row r="14" spans="1:55">
      <c r="A14" s="67">
        <f t="shared" si="34"/>
        <v>37165</v>
      </c>
      <c r="B14" s="69">
        <f t="shared" si="37"/>
        <v>119740</v>
      </c>
      <c r="C14" s="71"/>
      <c r="D14" s="69">
        <f t="shared" si="0"/>
        <v>119740</v>
      </c>
      <c r="E14" s="70">
        <f t="shared" si="1"/>
        <v>3711940</v>
      </c>
      <c r="F14" s="70">
        <f t="shared" ca="1" si="2"/>
        <v>3576624.0701769702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0.17</v>
      </c>
      <c r="K14" s="64">
        <f t="shared" si="6"/>
        <v>0.17</v>
      </c>
      <c r="L14" s="38">
        <v>0</v>
      </c>
      <c r="M14" s="64">
        <f t="shared" si="7"/>
        <v>0</v>
      </c>
      <c r="N14" s="65"/>
      <c r="O14" s="63">
        <f t="shared" si="8"/>
        <v>4.7330000000000005</v>
      </c>
      <c r="P14" s="63">
        <f t="shared" si="9"/>
        <v>4.7330000000000005</v>
      </c>
      <c r="Q14" s="66"/>
      <c r="R14" s="63">
        <f t="shared" si="10"/>
        <v>0.22500000000000001</v>
      </c>
      <c r="S14" s="64">
        <f t="shared" si="11"/>
        <v>0.22500000000000001</v>
      </c>
      <c r="T14" s="63">
        <f t="shared" si="12"/>
        <v>0</v>
      </c>
      <c r="U14" s="64">
        <f t="shared" si="13"/>
        <v>0</v>
      </c>
      <c r="V14" s="219">
        <f>IF($A15="","",IF(AND(MONTH(A14)&gt;3,MONTH(A14)&lt;11),(T14+R14+G14)*Summary!$T$10/(1-Summary!$T$10),(T14+R14+G14)*Summary!$U$10/(1-Summary!$U$10)))</f>
        <v>3.8612903225806454E-2</v>
      </c>
      <c r="W14" s="63">
        <f t="shared" si="14"/>
        <v>4.8266129032258069</v>
      </c>
      <c r="X14" s="63">
        <f t="shared" si="15"/>
        <v>4.8266129032258069</v>
      </c>
      <c r="Y14" s="43"/>
      <c r="Z14" s="38">
        <f t="shared" si="16"/>
        <v>0.68</v>
      </c>
      <c r="AA14" s="38">
        <f t="shared" si="17"/>
        <v>0.55000000000000004</v>
      </c>
      <c r="AB14" s="38">
        <f t="shared" ca="1" si="18"/>
        <v>0.59685747789640986</v>
      </c>
      <c r="AC14" s="38">
        <f t="shared" si="19"/>
        <v>0.68</v>
      </c>
      <c r="AD14" s="38">
        <f t="shared" si="19"/>
        <v>0.55000000000000004</v>
      </c>
      <c r="AE14" s="38">
        <f t="shared" ca="1" si="20"/>
        <v>0.59685747789640986</v>
      </c>
      <c r="AF14" s="237">
        <f ca="1">((Summary!$N$10*(AA14*AD14)*(A14-$D$3))+(Summary!$M$10*Z14*AC14*(AJ14-EOMONTH(EDATE(A14,-1),0))))/(AK14*AB14*AE14)</f>
        <v>0.99991447416251322</v>
      </c>
      <c r="AG14" s="88">
        <f>IF($A15="","",Summary!$Q$10)</f>
        <v>0</v>
      </c>
      <c r="AH14" s="88">
        <f>IF($A15="","",IF(Summary!$R$10="Y",(VLOOKUP($A14,Summary!$AD$6:$AF$9,3)+'Escalating commodity'!F27),'Escalating commodity'!F27))</f>
        <v>1.2800000000000001E-2</v>
      </c>
      <c r="AI14" s="88">
        <f t="shared" si="35"/>
        <v>1.2800000000000001E-2</v>
      </c>
      <c r="AJ14" s="236">
        <f t="shared" si="21"/>
        <v>37179.5</v>
      </c>
      <c r="AK14" s="58">
        <f t="shared" ca="1" si="22"/>
        <v>139</v>
      </c>
      <c r="AL14" s="26">
        <f ca="1">IF($A15="","",_xll.SPRDOPT(P14,X14,AI14,0,AB14,AE14,AF14,AK14,$AJ$2,0))</f>
        <v>2.7604316844357215E-4</v>
      </c>
      <c r="AM14" s="89">
        <f t="shared" si="23"/>
        <v>0</v>
      </c>
      <c r="AN14" s="89">
        <f t="shared" ca="1" si="24"/>
        <v>2.7604316844357215E-4</v>
      </c>
      <c r="AO14" s="3">
        <f t="shared" si="25"/>
        <v>31</v>
      </c>
      <c r="AP14" s="33">
        <f t="shared" si="26"/>
        <v>37165</v>
      </c>
      <c r="AQ14" s="58">
        <f t="shared" ca="1" si="27"/>
        <v>139</v>
      </c>
      <c r="AR14" s="38">
        <f>'ANR OK vs ML7'!AR14</f>
        <v>0.1</v>
      </c>
      <c r="AS14" s="35">
        <f t="shared" ca="1" si="28"/>
        <v>0.96354576587363217</v>
      </c>
      <c r="AT14" s="3">
        <f t="shared" si="29"/>
        <v>1</v>
      </c>
      <c r="AU14" s="3">
        <f t="shared" si="30"/>
        <v>31</v>
      </c>
      <c r="AW14" s="32">
        <f t="shared" ca="1" si="31"/>
        <v>1024.6556786724332</v>
      </c>
      <c r="AX14" s="32">
        <f t="shared" si="32"/>
        <v>0</v>
      </c>
      <c r="AY14" s="32">
        <f t="shared" ca="1" si="33"/>
        <v>1024.6556786724332</v>
      </c>
      <c r="BA14" s="32">
        <f ca="1">IF($A15="","",F14*Summary!$Q$10)</f>
        <v>0</v>
      </c>
      <c r="BC14" s="256">
        <f t="shared" ca="1" si="36"/>
        <v>0</v>
      </c>
    </row>
    <row r="15" spans="1:55">
      <c r="A15" s="67">
        <f t="shared" si="34"/>
        <v>37196</v>
      </c>
      <c r="B15" s="69">
        <f t="shared" si="37"/>
        <v>119740</v>
      </c>
      <c r="C15" s="71"/>
      <c r="D15" s="69">
        <f t="shared" si="0"/>
        <v>119740</v>
      </c>
      <c r="E15" s="70">
        <f t="shared" si="1"/>
        <v>3592200</v>
      </c>
      <c r="F15" s="70">
        <f t="shared" ca="1" si="2"/>
        <v>3432701.5112719489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0.24</v>
      </c>
      <c r="K15" s="64">
        <f t="shared" si="6"/>
        <v>0.24</v>
      </c>
      <c r="L15" s="38">
        <v>0</v>
      </c>
      <c r="M15" s="64">
        <f t="shared" si="7"/>
        <v>0</v>
      </c>
      <c r="N15" s="65"/>
      <c r="O15" s="63">
        <f t="shared" si="8"/>
        <v>4.9680000000000009</v>
      </c>
      <c r="P15" s="63">
        <f t="shared" si="9"/>
        <v>4.9680000000000009</v>
      </c>
      <c r="Q15" s="66"/>
      <c r="R15" s="63">
        <f t="shared" si="10"/>
        <v>0.25</v>
      </c>
      <c r="S15" s="64">
        <f t="shared" si="11"/>
        <v>0.25</v>
      </c>
      <c r="T15" s="63">
        <f t="shared" si="12"/>
        <v>0</v>
      </c>
      <c r="U15" s="64">
        <f t="shared" si="13"/>
        <v>0</v>
      </c>
      <c r="V15" s="219">
        <f>IF($A16="","",IF(AND(MONTH(A15)&gt;3,MONTH(A15)&lt;11),(T15+R15+G15)*Summary!$T$10/(1-Summary!$T$10),(T15+R15+G15)*Summary!$U$10/(1-Summary!$U$10)))</f>
        <v>4.0145161290322584E-2</v>
      </c>
      <c r="W15" s="63">
        <f t="shared" si="14"/>
        <v>5.018145161290323</v>
      </c>
      <c r="X15" s="63">
        <f t="shared" si="15"/>
        <v>5.018145161290323</v>
      </c>
      <c r="Y15" s="43"/>
      <c r="Z15" s="38">
        <f t="shared" si="16"/>
        <v>1.05</v>
      </c>
      <c r="AA15" s="38">
        <f t="shared" si="17"/>
        <v>0.56000000000000005</v>
      </c>
      <c r="AB15" s="38">
        <f t="shared" ca="1" si="18"/>
        <v>0.64243608059250445</v>
      </c>
      <c r="AC15" s="38">
        <f t="shared" si="19"/>
        <v>1.05</v>
      </c>
      <c r="AD15" s="38">
        <f t="shared" si="19"/>
        <v>0.56000000000000005</v>
      </c>
      <c r="AE15" s="38">
        <f t="shared" ca="1" si="20"/>
        <v>0.64243608059250445</v>
      </c>
      <c r="AF15" s="237">
        <f ca="1">((Summary!$N$10*(AA15*AD15)*(A15-$D$3))+(Summary!$M$10*Z15*AC15*(AJ15-EOMONTH(EDATE(A15,-1),0))))/(AK15*AB15*AE15)</f>
        <v>0.99992357008170973</v>
      </c>
      <c r="AG15" s="88">
        <f>IF($A16="","",Summary!$Q$10)</f>
        <v>0</v>
      </c>
      <c r="AH15" s="88">
        <f>IF($A16="","",IF(Summary!$R$10="Y",(VLOOKUP($A15,Summary!$AD$6:$AF$9,3)+'Escalating commodity'!F28),'Escalating commodity'!F28))</f>
        <v>1.2800000000000001E-2</v>
      </c>
      <c r="AI15" s="88">
        <f t="shared" si="35"/>
        <v>1.2800000000000001E-2</v>
      </c>
      <c r="AJ15" s="236">
        <f t="shared" si="21"/>
        <v>37210</v>
      </c>
      <c r="AK15" s="58">
        <f t="shared" ca="1" si="22"/>
        <v>170</v>
      </c>
      <c r="AL15" s="26">
        <f ca="1">IF($A16="","",_xll.SPRDOPT(P15,X15,AI15,0,AB15,AE15,AF15,AK15,$AJ$2,0))</f>
        <v>1.1796873655326914E-3</v>
      </c>
      <c r="AM15" s="89">
        <f t="shared" si="23"/>
        <v>0</v>
      </c>
      <c r="AN15" s="89">
        <f t="shared" ca="1" si="24"/>
        <v>1.1796873655326914E-3</v>
      </c>
      <c r="AO15" s="3">
        <f t="shared" si="25"/>
        <v>30</v>
      </c>
      <c r="AP15" s="33">
        <f t="shared" si="26"/>
        <v>37196</v>
      </c>
      <c r="AQ15" s="58">
        <f t="shared" ca="1" si="27"/>
        <v>170</v>
      </c>
      <c r="AR15" s="38">
        <f>'ANR OK vs ML7'!AR15</f>
        <v>0.1</v>
      </c>
      <c r="AS15" s="35">
        <f t="shared" ca="1" si="28"/>
        <v>0.95559866134178195</v>
      </c>
      <c r="AT15" s="3">
        <f t="shared" si="29"/>
        <v>1</v>
      </c>
      <c r="AU15" s="3">
        <f t="shared" si="30"/>
        <v>30</v>
      </c>
      <c r="AW15" s="32">
        <f t="shared" ca="1" si="31"/>
        <v>4237.6729544665341</v>
      </c>
      <c r="AX15" s="32">
        <f t="shared" si="32"/>
        <v>0</v>
      </c>
      <c r="AY15" s="32">
        <f t="shared" ca="1" si="33"/>
        <v>4237.6729544665341</v>
      </c>
      <c r="BA15" s="32">
        <f ca="1">IF($A16="","",F15*Summary!$Q$10)</f>
        <v>0</v>
      </c>
      <c r="BC15" s="256">
        <f t="shared" ca="1" si="36"/>
        <v>0</v>
      </c>
    </row>
    <row r="16" spans="1:55">
      <c r="A16" s="67">
        <f t="shared" si="34"/>
        <v>37226</v>
      </c>
      <c r="B16" s="69">
        <f t="shared" si="37"/>
        <v>119740</v>
      </c>
      <c r="C16" s="71"/>
      <c r="D16" s="69">
        <f t="shared" si="0"/>
        <v>119740</v>
      </c>
      <c r="E16" s="70">
        <f t="shared" si="1"/>
        <v>3711940</v>
      </c>
      <c r="F16" s="70">
        <f t="shared" ca="1" si="2"/>
        <v>3518808.982992711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0.24</v>
      </c>
      <c r="K16" s="64">
        <f t="shared" si="6"/>
        <v>0.24</v>
      </c>
      <c r="L16" s="38">
        <v>0</v>
      </c>
      <c r="M16" s="64">
        <f t="shared" si="7"/>
        <v>0</v>
      </c>
      <c r="N16" s="65"/>
      <c r="O16" s="63">
        <f t="shared" si="8"/>
        <v>5.125</v>
      </c>
      <c r="P16" s="63">
        <f t="shared" si="9"/>
        <v>5.125</v>
      </c>
      <c r="Q16" s="66"/>
      <c r="R16" s="63">
        <f t="shared" si="10"/>
        <v>0.26</v>
      </c>
      <c r="S16" s="64">
        <f t="shared" si="11"/>
        <v>0.26</v>
      </c>
      <c r="T16" s="63">
        <f t="shared" si="12"/>
        <v>0</v>
      </c>
      <c r="U16" s="64">
        <f t="shared" si="13"/>
        <v>0</v>
      </c>
      <c r="V16" s="219">
        <f>IF($A17="","",IF(AND(MONTH(A16)&gt;3,MONTH(A16)&lt;11),(T16+R16+G16)*Summary!$T$10/(1-Summary!$T$10),(T16+R16+G16)*Summary!$U$10/(1-Summary!$U$10)))</f>
        <v>4.1491935483870965E-2</v>
      </c>
      <c r="W16" s="63">
        <f t="shared" si="14"/>
        <v>5.1864919354838701</v>
      </c>
      <c r="X16" s="63">
        <f t="shared" si="15"/>
        <v>5.1864919354838701</v>
      </c>
      <c r="Y16" s="43"/>
      <c r="Z16" s="38">
        <f t="shared" si="16"/>
        <v>1.35</v>
      </c>
      <c r="AA16" s="38">
        <f t="shared" si="17"/>
        <v>0.56800000000000006</v>
      </c>
      <c r="AB16" s="38">
        <f t="shared" ca="1" si="18"/>
        <v>0.68226158473125254</v>
      </c>
      <c r="AC16" s="38">
        <f t="shared" si="19"/>
        <v>1.35</v>
      </c>
      <c r="AD16" s="38">
        <f t="shared" si="19"/>
        <v>0.56800000000000006</v>
      </c>
      <c r="AE16" s="38">
        <f t="shared" ca="1" si="20"/>
        <v>0.68226158473125254</v>
      </c>
      <c r="AF16" s="237">
        <f ca="1">((Summary!$N$10*(AA16*AD16)*(A16-$D$3))+(Summary!$M$10*Z16*AC16*(AJ16-EOMONTH(EDATE(A16,-1),0))))/(AK16*AB16*AE16)</f>
        <v>0.9999303436207807</v>
      </c>
      <c r="AG16" s="88">
        <f>IF($A17="","",Summary!$Q$10)</f>
        <v>0</v>
      </c>
      <c r="AH16" s="88">
        <f>IF($A17="","",IF(Summary!$R$10="Y",(VLOOKUP($A16,Summary!$AD$6:$AF$9,3)+'Escalating commodity'!F29),'Escalating commodity'!F29))</f>
        <v>1.2800000000000001E-2</v>
      </c>
      <c r="AI16" s="88">
        <f t="shared" si="35"/>
        <v>1.2800000000000001E-2</v>
      </c>
      <c r="AJ16" s="236">
        <f t="shared" si="21"/>
        <v>37240.5</v>
      </c>
      <c r="AK16" s="58">
        <f t="shared" ca="1" si="22"/>
        <v>200</v>
      </c>
      <c r="AL16" s="26">
        <f ca="1">IF($A17="","",_xll.SPRDOPT(P16,X16,AI16,0,AB16,AE16,AF16,AK16,$AJ$2,0))</f>
        <v>1.289092417038229E-3</v>
      </c>
      <c r="AM16" s="89">
        <f t="shared" si="23"/>
        <v>0</v>
      </c>
      <c r="AN16" s="89">
        <f t="shared" ca="1" si="24"/>
        <v>1.289092417038229E-3</v>
      </c>
      <c r="AO16" s="3">
        <f t="shared" si="25"/>
        <v>31</v>
      </c>
      <c r="AP16" s="33">
        <f t="shared" si="26"/>
        <v>37226</v>
      </c>
      <c r="AQ16" s="58">
        <f t="shared" ca="1" si="27"/>
        <v>200</v>
      </c>
      <c r="AR16" s="38">
        <f>'ANR OK vs ML7'!AR16</f>
        <v>0.1</v>
      </c>
      <c r="AS16" s="35">
        <f t="shared" ca="1" si="28"/>
        <v>0.94797032899042311</v>
      </c>
      <c r="AT16" s="3">
        <f t="shared" si="29"/>
        <v>1</v>
      </c>
      <c r="AU16" s="3">
        <f t="shared" si="30"/>
        <v>31</v>
      </c>
      <c r="AW16" s="32">
        <f t="shared" ca="1" si="31"/>
        <v>4785.0337065008835</v>
      </c>
      <c r="AX16" s="32">
        <f t="shared" si="32"/>
        <v>0</v>
      </c>
      <c r="AY16" s="32">
        <f t="shared" ca="1" si="33"/>
        <v>4785.0337065008835</v>
      </c>
      <c r="BA16" s="32">
        <f ca="1">IF($A17="","",F16*Summary!$Q$10)</f>
        <v>0</v>
      </c>
      <c r="BC16" s="256">
        <f t="shared" ca="1" si="36"/>
        <v>0</v>
      </c>
    </row>
    <row r="17" spans="1:55">
      <c r="A17" s="67">
        <f t="shared" si="34"/>
        <v>37257</v>
      </c>
      <c r="B17" s="69">
        <f t="shared" si="37"/>
        <v>119740</v>
      </c>
      <c r="C17" s="71"/>
      <c r="D17" s="69">
        <f t="shared" si="0"/>
        <v>119740</v>
      </c>
      <c r="E17" s="70">
        <f t="shared" si="1"/>
        <v>3711940</v>
      </c>
      <c r="F17" s="70">
        <f t="shared" ca="1" si="2"/>
        <v>3489786.6533786096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0.24</v>
      </c>
      <c r="K17" s="64">
        <f t="shared" si="6"/>
        <v>0.24</v>
      </c>
      <c r="L17" s="38">
        <v>0</v>
      </c>
      <c r="M17" s="64">
        <f t="shared" si="7"/>
        <v>0</v>
      </c>
      <c r="N17" s="65"/>
      <c r="O17" s="63">
        <f t="shared" si="8"/>
        <v>5.1870000000000003</v>
      </c>
      <c r="P17" s="63">
        <f t="shared" si="9"/>
        <v>5.1870000000000003</v>
      </c>
      <c r="Q17" s="66"/>
      <c r="R17" s="63">
        <f t="shared" si="10"/>
        <v>0.26</v>
      </c>
      <c r="S17" s="64">
        <f t="shared" si="11"/>
        <v>0.26</v>
      </c>
      <c r="T17" s="63">
        <f t="shared" si="12"/>
        <v>0</v>
      </c>
      <c r="U17" s="64">
        <f t="shared" si="13"/>
        <v>0</v>
      </c>
      <c r="V17" s="219">
        <f>IF($A18="","",IF(AND(MONTH(A17)&gt;3,MONTH(A17)&lt;11),(T17+R17+G17)*Summary!$T$10/(1-Summary!$T$10),(T17+R17+G17)*Summary!$U$10/(1-Summary!$U$10)))</f>
        <v>4.1991935483870965E-2</v>
      </c>
      <c r="W17" s="63">
        <f t="shared" si="14"/>
        <v>5.248991935483871</v>
      </c>
      <c r="X17" s="63">
        <f t="shared" si="15"/>
        <v>5.248991935483871</v>
      </c>
      <c r="Y17" s="43"/>
      <c r="Z17" s="38">
        <f t="shared" si="16"/>
        <v>1.35</v>
      </c>
      <c r="AA17" s="38">
        <f t="shared" si="17"/>
        <v>0.57499999999999996</v>
      </c>
      <c r="AB17" s="38">
        <f t="shared" ca="1" si="18"/>
        <v>0.67405136161515022</v>
      </c>
      <c r="AC17" s="38">
        <f t="shared" si="19"/>
        <v>1.35</v>
      </c>
      <c r="AD17" s="38">
        <f t="shared" si="19"/>
        <v>0.57499999999999996</v>
      </c>
      <c r="AE17" s="38">
        <f t="shared" ca="1" si="20"/>
        <v>0.67405136161515022</v>
      </c>
      <c r="AF17" s="237">
        <f ca="1">((Summary!$N$10*(AA17*AD17)*(A17-$D$3))+(Summary!$M$10*Z17*AC17*(AJ17-EOMONTH(EDATE(A17,-1),0))))/(AK17*AB17*AE17)</f>
        <v>0.99992691542703327</v>
      </c>
      <c r="AG17" s="88">
        <f>IF($A18="","",Summary!$Q$10)</f>
        <v>0</v>
      </c>
      <c r="AH17" s="88">
        <f>IF($A18="","",IF(Summary!$R$10="Y",(VLOOKUP($A17,Summary!$AD$6:$AF$9,3)+'Escalating commodity'!F30),'Escalating commodity'!F30))</f>
        <v>1.2800000000000001E-2</v>
      </c>
      <c r="AI17" s="88">
        <f t="shared" si="35"/>
        <v>1.2800000000000001E-2</v>
      </c>
      <c r="AJ17" s="236">
        <f t="shared" si="21"/>
        <v>37271.5</v>
      </c>
      <c r="AK17" s="58">
        <f t="shared" ca="1" si="22"/>
        <v>231</v>
      </c>
      <c r="AL17" s="26">
        <f ca="1">IF($A18="","",_xll.SPRDOPT(P17,X17,AI17,0,AB17,AE17,AF17,AK17,$AJ$2,0))</f>
        <v>1.5523674436473747E-3</v>
      </c>
      <c r="AM17" s="89">
        <f t="shared" si="23"/>
        <v>0</v>
      </c>
      <c r="AN17" s="89">
        <f t="shared" ca="1" si="24"/>
        <v>1.5523674436473747E-3</v>
      </c>
      <c r="AO17" s="3">
        <f t="shared" si="25"/>
        <v>31</v>
      </c>
      <c r="AP17" s="33">
        <f t="shared" si="26"/>
        <v>37257</v>
      </c>
      <c r="AQ17" s="58">
        <f t="shared" ca="1" si="27"/>
        <v>231</v>
      </c>
      <c r="AR17" s="38">
        <f>'ANR OK vs ML7'!AR17</f>
        <v>0.1</v>
      </c>
      <c r="AS17" s="35">
        <f t="shared" ca="1" si="28"/>
        <v>0.94015168709047281</v>
      </c>
      <c r="AT17" s="3">
        <f t="shared" si="29"/>
        <v>1</v>
      </c>
      <c r="AU17" s="3">
        <f t="shared" si="30"/>
        <v>31</v>
      </c>
      <c r="AW17" s="32">
        <f t="shared" ca="1" si="31"/>
        <v>5762.2948087724362</v>
      </c>
      <c r="AX17" s="32">
        <f t="shared" si="32"/>
        <v>0</v>
      </c>
      <c r="AY17" s="32">
        <f t="shared" ca="1" si="33"/>
        <v>5762.2948087724362</v>
      </c>
      <c r="BA17" s="32">
        <f ca="1">IF($A18="","",F17*Summary!$Q$10)</f>
        <v>0</v>
      </c>
      <c r="BC17" s="256">
        <f t="shared" ca="1" si="36"/>
        <v>0</v>
      </c>
    </row>
    <row r="18" spans="1:55">
      <c r="A18" s="67">
        <f t="shared" si="34"/>
        <v>37288</v>
      </c>
      <c r="B18" s="69">
        <f t="shared" si="37"/>
        <v>119740</v>
      </c>
      <c r="C18" s="71"/>
      <c r="D18" s="69">
        <f t="shared" si="0"/>
        <v>119740</v>
      </c>
      <c r="E18" s="70">
        <f t="shared" si="1"/>
        <v>3352720</v>
      </c>
      <c r="F18" s="70">
        <f t="shared" ca="1" si="2"/>
        <v>3126067.8519986537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0.35</v>
      </c>
      <c r="K18" s="64">
        <f t="shared" si="6"/>
        <v>0.35</v>
      </c>
      <c r="L18" s="38">
        <v>0</v>
      </c>
      <c r="M18" s="64">
        <f t="shared" si="7"/>
        <v>0</v>
      </c>
      <c r="N18" s="65"/>
      <c r="O18" s="63">
        <f t="shared" si="8"/>
        <v>5.1669999999999998</v>
      </c>
      <c r="P18" s="63">
        <f t="shared" si="9"/>
        <v>5.1669999999999998</v>
      </c>
      <c r="Q18" s="66"/>
      <c r="R18" s="63">
        <f t="shared" si="10"/>
        <v>0.34</v>
      </c>
      <c r="S18" s="64">
        <f t="shared" si="11"/>
        <v>0.34</v>
      </c>
      <c r="T18" s="63">
        <f t="shared" si="12"/>
        <v>0</v>
      </c>
      <c r="U18" s="64">
        <f t="shared" si="13"/>
        <v>0</v>
      </c>
      <c r="V18" s="219">
        <f>IF($A19="","",IF(AND(MONTH(A18)&gt;3,MONTH(A18)&lt;11),(T18+R18+G18)*Summary!$T$10/(1-Summary!$T$10),(T18+R18+G18)*Summary!$U$10/(1-Summary!$U$10)))</f>
        <v>4.1588709677419358E-2</v>
      </c>
      <c r="W18" s="63">
        <f t="shared" si="14"/>
        <v>5.198588709677419</v>
      </c>
      <c r="X18" s="63">
        <f t="shared" si="15"/>
        <v>5.198588709677419</v>
      </c>
      <c r="Y18" s="43"/>
      <c r="Z18" s="38">
        <f t="shared" si="16"/>
        <v>1.35</v>
      </c>
      <c r="AA18" s="38">
        <f t="shared" si="17"/>
        <v>0.56999999999999995</v>
      </c>
      <c r="AB18" s="38">
        <f t="shared" ca="1" si="18"/>
        <v>0.65078842377464263</v>
      </c>
      <c r="AC18" s="38">
        <f t="shared" si="19"/>
        <v>1.35</v>
      </c>
      <c r="AD18" s="38">
        <f t="shared" si="19"/>
        <v>0.56999999999999995</v>
      </c>
      <c r="AE18" s="38">
        <f t="shared" ca="1" si="20"/>
        <v>0.65078842377464263</v>
      </c>
      <c r="AF18" s="237">
        <f ca="1">((Summary!$N$10*(AA18*AD18)*(A18-$D$3))+(Summary!$M$10*Z18*AC18*(AJ18-EOMONTH(EDATE(A18,-1),0))))/(AK18*AB18*AE18)</f>
        <v>0.99992299400614826</v>
      </c>
      <c r="AG18" s="88">
        <f>IF($A19="","",Summary!$Q$10)</f>
        <v>0</v>
      </c>
      <c r="AH18" s="88">
        <f>IF($A19="","",IF(Summary!$R$10="Y",(VLOOKUP($A18,Summary!$AD$6:$AF$9,3)+'Escalating commodity'!F31),'Escalating commodity'!F31))</f>
        <v>1.2800000000000001E-2</v>
      </c>
      <c r="AI18" s="88">
        <f t="shared" si="35"/>
        <v>1.2800000000000001E-2</v>
      </c>
      <c r="AJ18" s="236">
        <f t="shared" si="21"/>
        <v>37301</v>
      </c>
      <c r="AK18" s="58">
        <f t="shared" ca="1" si="22"/>
        <v>262</v>
      </c>
      <c r="AL18" s="26">
        <f ca="1">IF($A19="","",_xll.SPRDOPT(P18,X18,AI18,0,AB18,AE18,AF18,AK18,$AJ$2,0))</f>
        <v>2.4565425468822399E-3</v>
      </c>
      <c r="AM18" s="89">
        <f t="shared" si="23"/>
        <v>0</v>
      </c>
      <c r="AN18" s="89">
        <f t="shared" ca="1" si="24"/>
        <v>2.4565425468822399E-3</v>
      </c>
      <c r="AO18" s="3">
        <f t="shared" si="25"/>
        <v>28</v>
      </c>
      <c r="AP18" s="33">
        <f t="shared" si="26"/>
        <v>37288</v>
      </c>
      <c r="AQ18" s="58">
        <f t="shared" ca="1" si="27"/>
        <v>262</v>
      </c>
      <c r="AR18" s="38">
        <f>'ANR OK vs ML7'!AR18</f>
        <v>0.1</v>
      </c>
      <c r="AS18" s="35">
        <f t="shared" ca="1" si="28"/>
        <v>0.93239753155606597</v>
      </c>
      <c r="AT18" s="3">
        <f t="shared" si="29"/>
        <v>1</v>
      </c>
      <c r="AU18" s="3">
        <f t="shared" si="30"/>
        <v>28</v>
      </c>
      <c r="AW18" s="32">
        <f t="shared" ca="1" si="31"/>
        <v>8236.0993277830239</v>
      </c>
      <c r="AX18" s="32">
        <f t="shared" si="32"/>
        <v>0</v>
      </c>
      <c r="AY18" s="32">
        <f t="shared" ca="1" si="33"/>
        <v>8236.0993277830239</v>
      </c>
      <c r="BA18" s="32">
        <f ca="1">IF($A19="","",F18*Summary!$Q$10)</f>
        <v>0</v>
      </c>
      <c r="BC18" s="256">
        <f t="shared" ca="1" si="36"/>
        <v>0</v>
      </c>
    </row>
    <row r="19" spans="1:55">
      <c r="A19" s="67">
        <f t="shared" si="34"/>
        <v>37316</v>
      </c>
      <c r="B19" s="69">
        <f t="shared" si="37"/>
        <v>119740</v>
      </c>
      <c r="C19" s="71"/>
      <c r="D19" s="69">
        <f t="shared" si="0"/>
        <v>119740</v>
      </c>
      <c r="E19" s="70">
        <f t="shared" si="1"/>
        <v>3711940</v>
      </c>
      <c r="F19" s="70">
        <f t="shared" ca="1" si="2"/>
        <v>3435210.2816376803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0.35</v>
      </c>
      <c r="K19" s="64">
        <f t="shared" si="6"/>
        <v>0.35</v>
      </c>
      <c r="L19" s="38">
        <v>0</v>
      </c>
      <c r="M19" s="64">
        <f t="shared" si="7"/>
        <v>0</v>
      </c>
      <c r="N19" s="65"/>
      <c r="O19" s="63">
        <f t="shared" si="8"/>
        <v>4.9799999999999995</v>
      </c>
      <c r="P19" s="63">
        <f t="shared" si="9"/>
        <v>4.9799999999999995</v>
      </c>
      <c r="Q19" s="66"/>
      <c r="R19" s="63">
        <f t="shared" si="10"/>
        <v>0.34</v>
      </c>
      <c r="S19" s="64">
        <f t="shared" si="11"/>
        <v>0.34</v>
      </c>
      <c r="T19" s="63">
        <f t="shared" si="12"/>
        <v>0</v>
      </c>
      <c r="U19" s="64">
        <f t="shared" si="13"/>
        <v>0</v>
      </c>
      <c r="V19" s="219">
        <f>IF($A20="","",IF(AND(MONTH(A19)&gt;3,MONTH(A19)&lt;11),(T19+R19+G19)*Summary!$T$10/(1-Summary!$T$10),(T19+R19+G19)*Summary!$U$10/(1-Summary!$U$10)))</f>
        <v>4.0080645161290319E-2</v>
      </c>
      <c r="W19" s="63">
        <f t="shared" si="14"/>
        <v>5.01008064516129</v>
      </c>
      <c r="X19" s="63">
        <f t="shared" si="15"/>
        <v>5.01008064516129</v>
      </c>
      <c r="Y19" s="43"/>
      <c r="Z19" s="38">
        <f t="shared" si="16"/>
        <v>1</v>
      </c>
      <c r="AA19" s="38">
        <f t="shared" si="17"/>
        <v>0.52300000000000002</v>
      </c>
      <c r="AB19" s="38">
        <f t="shared" ca="1" si="18"/>
        <v>0.57264341374920646</v>
      </c>
      <c r="AC19" s="38">
        <f t="shared" si="19"/>
        <v>1</v>
      </c>
      <c r="AD19" s="38">
        <f t="shared" si="19"/>
        <v>0.52300000000000002</v>
      </c>
      <c r="AE19" s="38">
        <f t="shared" ca="1" si="20"/>
        <v>0.57264341374920646</v>
      </c>
      <c r="AF19" s="237">
        <f ca="1">((Summary!$N$10*(AA19*AD19)*(A19-$D$3))+(Summary!$M$10*Z19*AC19*(AJ19-EOMONTH(EDATE(A19,-1),0))))/(AK19*AB19*AE19)</f>
        <v>0.99991629915764157</v>
      </c>
      <c r="AG19" s="88">
        <f>IF($A20="","",Summary!$Q$10)</f>
        <v>0</v>
      </c>
      <c r="AH19" s="88">
        <f>IF($A20="","",IF(Summary!$R$10="Y",(VLOOKUP($A19,Summary!$AD$6:$AF$9,3)+'Escalating commodity'!F32),'Escalating commodity'!F32))</f>
        <v>1.2800000000000001E-2</v>
      </c>
      <c r="AI19" s="88">
        <f t="shared" si="35"/>
        <v>1.2800000000000001E-2</v>
      </c>
      <c r="AJ19" s="236">
        <f t="shared" si="21"/>
        <v>37330.5</v>
      </c>
      <c r="AK19" s="58">
        <f t="shared" ca="1" si="22"/>
        <v>290</v>
      </c>
      <c r="AL19" s="26">
        <f ca="1">IF($A20="","",_xll.SPRDOPT(P19,X19,AI19,0,AB19,AE19,AF19,AK19,$AJ$2,0))</f>
        <v>2.2841981677020999E-3</v>
      </c>
      <c r="AM19" s="89">
        <f t="shared" si="23"/>
        <v>0</v>
      </c>
      <c r="AN19" s="89">
        <f t="shared" ca="1" si="24"/>
        <v>2.2841981677020999E-3</v>
      </c>
      <c r="AO19" s="3">
        <f t="shared" si="25"/>
        <v>31</v>
      </c>
      <c r="AP19" s="33">
        <f t="shared" si="26"/>
        <v>37316</v>
      </c>
      <c r="AQ19" s="58">
        <f t="shared" ca="1" si="27"/>
        <v>290</v>
      </c>
      <c r="AR19" s="38">
        <f>'ANR OK vs ML7'!AR19</f>
        <v>0.1</v>
      </c>
      <c r="AS19" s="35">
        <f t="shared" ca="1" si="28"/>
        <v>0.92544876308283008</v>
      </c>
      <c r="AT19" s="3">
        <f t="shared" si="29"/>
        <v>1</v>
      </c>
      <c r="AU19" s="3">
        <f t="shared" si="30"/>
        <v>31</v>
      </c>
      <c r="AW19" s="32">
        <f t="shared" ca="1" si="31"/>
        <v>8478.8065466201333</v>
      </c>
      <c r="AX19" s="32">
        <f t="shared" si="32"/>
        <v>0</v>
      </c>
      <c r="AY19" s="32">
        <f t="shared" ca="1" si="33"/>
        <v>8478.8065466201333</v>
      </c>
      <c r="BA19" s="32">
        <f ca="1">IF($A20="","",F19*Summary!$Q$10)</f>
        <v>0</v>
      </c>
      <c r="BC19" s="256">
        <f t="shared" ca="1" si="36"/>
        <v>0</v>
      </c>
    </row>
    <row r="20" spans="1:55">
      <c r="A20" s="67">
        <f t="shared" si="34"/>
        <v>37347</v>
      </c>
      <c r="B20" s="69">
        <f t="shared" si="37"/>
        <v>119740</v>
      </c>
      <c r="C20" s="71"/>
      <c r="D20" s="69">
        <f t="shared" si="0"/>
        <v>119740</v>
      </c>
      <c r="E20" s="70">
        <f t="shared" si="1"/>
        <v>3592200</v>
      </c>
      <c r="F20" s="70">
        <f t="shared" ca="1" si="2"/>
        <v>3296978.1822027317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0.17499999999999999</v>
      </c>
      <c r="K20" s="64">
        <f t="shared" si="6"/>
        <v>0.17499999999999999</v>
      </c>
      <c r="L20" s="38">
        <v>0</v>
      </c>
      <c r="M20" s="64">
        <f t="shared" si="7"/>
        <v>0</v>
      </c>
      <c r="N20" s="65"/>
      <c r="O20" s="63">
        <f t="shared" si="8"/>
        <v>4.4669999999999996</v>
      </c>
      <c r="P20" s="63">
        <f t="shared" si="9"/>
        <v>4.4669999999999996</v>
      </c>
      <c r="Q20" s="66"/>
      <c r="R20" s="63">
        <f t="shared" si="10"/>
        <v>0.22500000000000001</v>
      </c>
      <c r="S20" s="64">
        <f t="shared" si="11"/>
        <v>0.22500000000000001</v>
      </c>
      <c r="T20" s="63">
        <f t="shared" si="12"/>
        <v>0</v>
      </c>
      <c r="U20" s="64">
        <f t="shared" si="13"/>
        <v>0</v>
      </c>
      <c r="V20" s="219">
        <f>IF($A21="","",IF(AND(MONTH(A20)&gt;3,MONTH(A20)&lt;11),(T20+R20+G20)*Summary!$T$10/(1-Summary!$T$10),(T20+R20+G20)*Summary!$U$10/(1-Summary!$U$10)))</f>
        <v>3.6427419354838703E-2</v>
      </c>
      <c r="W20" s="63">
        <f t="shared" si="14"/>
        <v>4.5534274193548381</v>
      </c>
      <c r="X20" s="63">
        <f t="shared" si="15"/>
        <v>4.5534274193548381</v>
      </c>
      <c r="Y20" s="43"/>
      <c r="Z20" s="38">
        <f t="shared" si="16"/>
        <v>0.45</v>
      </c>
      <c r="AA20" s="38">
        <f t="shared" si="17"/>
        <v>0.4</v>
      </c>
      <c r="AB20" s="38">
        <f t="shared" ca="1" si="18"/>
        <v>0.41226333718878178</v>
      </c>
      <c r="AC20" s="38">
        <f t="shared" si="19"/>
        <v>0.45</v>
      </c>
      <c r="AD20" s="38">
        <f t="shared" si="19"/>
        <v>0.4</v>
      </c>
      <c r="AE20" s="38">
        <f t="shared" ca="1" si="20"/>
        <v>0.41226333718878178</v>
      </c>
      <c r="AF20" s="237">
        <f ca="1">((Summary!$N$10*(AA20*AD20)*(A20-$D$3))+(Summary!$M$10*Z20*AC20*(AJ20-EOMONTH(EDATE(A20,-1),0))))/(AK20*AB20*AE20)</f>
        <v>0.99990556752050597</v>
      </c>
      <c r="AG20" s="88">
        <f>IF($A21="","",Summary!$Q$10)</f>
        <v>0</v>
      </c>
      <c r="AH20" s="88">
        <f>IF($A21="","",IF(Summary!$R$10="Y",(VLOOKUP($A20,Summary!$AD$6:$AF$9,3)+'Escalating commodity'!F33),'Escalating commodity'!F33))</f>
        <v>1.2800000000000001E-2</v>
      </c>
      <c r="AI20" s="88">
        <f t="shared" si="35"/>
        <v>1.2800000000000001E-2</v>
      </c>
      <c r="AJ20" s="236">
        <f t="shared" si="21"/>
        <v>37361</v>
      </c>
      <c r="AK20" s="58">
        <f t="shared" ca="1" si="22"/>
        <v>321</v>
      </c>
      <c r="AL20" s="26">
        <f ca="1">IF($A21="","",_xll.SPRDOPT(P20,X20,AI20,0,AB20,AE20,AF20,AK20,$AJ$2,0))</f>
        <v>3.5762848153524443E-4</v>
      </c>
      <c r="AM20" s="89">
        <f t="shared" si="23"/>
        <v>0</v>
      </c>
      <c r="AN20" s="89">
        <f t="shared" ca="1" si="24"/>
        <v>3.5762848153524443E-4</v>
      </c>
      <c r="AO20" s="3">
        <f t="shared" si="25"/>
        <v>30</v>
      </c>
      <c r="AP20" s="33">
        <f t="shared" si="26"/>
        <v>37347</v>
      </c>
      <c r="AQ20" s="58">
        <f t="shared" ca="1" si="27"/>
        <v>321</v>
      </c>
      <c r="AR20" s="38">
        <f>'ANR OK vs ML7'!AR20</f>
        <v>0.1</v>
      </c>
      <c r="AS20" s="35">
        <f t="shared" ca="1" si="28"/>
        <v>0.91781587389419628</v>
      </c>
      <c r="AT20" s="3">
        <f t="shared" si="29"/>
        <v>1</v>
      </c>
      <c r="AU20" s="3">
        <f t="shared" si="30"/>
        <v>30</v>
      </c>
      <c r="AW20" s="32">
        <f t="shared" ca="1" si="31"/>
        <v>1284.6730313709049</v>
      </c>
      <c r="AX20" s="32">
        <f t="shared" si="32"/>
        <v>0</v>
      </c>
      <c r="AY20" s="32">
        <f t="shared" ca="1" si="33"/>
        <v>1284.6730313709049</v>
      </c>
      <c r="BA20" s="32">
        <f ca="1">IF($A21="","",F20*Summary!$Q$10)</f>
        <v>0</v>
      </c>
      <c r="BC20" s="256">
        <f t="shared" ca="1" si="36"/>
        <v>0</v>
      </c>
    </row>
    <row r="21" spans="1:55">
      <c r="A21" s="67">
        <f t="shared" si="34"/>
        <v>37377</v>
      </c>
      <c r="B21" s="69">
        <f t="shared" si="37"/>
        <v>119740</v>
      </c>
      <c r="C21" s="71"/>
      <c r="D21" s="69">
        <f t="shared" si="0"/>
        <v>119740</v>
      </c>
      <c r="E21" s="70">
        <f t="shared" si="1"/>
        <v>3711940</v>
      </c>
      <c r="F21" s="70">
        <f t="shared" ca="1" si="2"/>
        <v>3379681.1071892963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0.17499999999999999</v>
      </c>
      <c r="K21" s="64">
        <f t="shared" si="6"/>
        <v>0.17499999999999999</v>
      </c>
      <c r="L21" s="38">
        <v>0</v>
      </c>
      <c r="M21" s="64">
        <f t="shared" si="7"/>
        <v>0</v>
      </c>
      <c r="N21" s="65"/>
      <c r="O21" s="63">
        <f t="shared" si="8"/>
        <v>4.3870000000000005</v>
      </c>
      <c r="P21" s="63">
        <f t="shared" si="9"/>
        <v>4.3870000000000005</v>
      </c>
      <c r="Q21" s="66"/>
      <c r="R21" s="63">
        <f t="shared" si="10"/>
        <v>0.22500000000000001</v>
      </c>
      <c r="S21" s="64">
        <f t="shared" si="11"/>
        <v>0.22500000000000001</v>
      </c>
      <c r="T21" s="63">
        <f t="shared" si="12"/>
        <v>0</v>
      </c>
      <c r="U21" s="64">
        <f t="shared" si="13"/>
        <v>0</v>
      </c>
      <c r="V21" s="219">
        <f>IF($A22="","",IF(AND(MONTH(A21)&gt;3,MONTH(A21)&lt;11),(T21+R21+G21)*Summary!$T$10/(1-Summary!$T$10),(T21+R21+G21)*Summary!$U$10/(1-Summary!$U$10)))</f>
        <v>3.5782258064516126E-2</v>
      </c>
      <c r="W21" s="63">
        <f t="shared" si="14"/>
        <v>4.472782258064516</v>
      </c>
      <c r="X21" s="63">
        <f t="shared" si="15"/>
        <v>4.472782258064516</v>
      </c>
      <c r="Y21" s="43"/>
      <c r="Z21" s="38">
        <f t="shared" si="16"/>
        <v>0.5</v>
      </c>
      <c r="AA21" s="38">
        <f t="shared" si="17"/>
        <v>0.35</v>
      </c>
      <c r="AB21" s="38">
        <f t="shared" ca="1" si="18"/>
        <v>0.36590830666833579</v>
      </c>
      <c r="AC21" s="38">
        <f t="shared" si="19"/>
        <v>0.5</v>
      </c>
      <c r="AD21" s="38">
        <f t="shared" si="19"/>
        <v>0.35</v>
      </c>
      <c r="AE21" s="38">
        <f t="shared" ca="1" si="20"/>
        <v>0.36590830666833579</v>
      </c>
      <c r="AF21" s="237">
        <f ca="1">((Summary!$N$10*(AA21*AD21)*(A21-$D$3))+(Summary!$M$10*Z21*AC21*(AJ21-EOMONTH(EDATE(A21,-1),0))))/(AK21*AB21*AE21)</f>
        <v>0.99990824555803814</v>
      </c>
      <c r="AG21" s="88">
        <f>IF($A22="","",Summary!$Q$10)</f>
        <v>0</v>
      </c>
      <c r="AH21" s="88">
        <f>IF($A22="","",IF(Summary!$R$10="Y",(VLOOKUP($A21,Summary!$AD$6:$AF$9,3)+'Escalating commodity'!F34),'Escalating commodity'!F34))</f>
        <v>1.2800000000000001E-2</v>
      </c>
      <c r="AI21" s="88">
        <f t="shared" si="35"/>
        <v>1.2800000000000001E-2</v>
      </c>
      <c r="AJ21" s="236">
        <f t="shared" si="21"/>
        <v>37391.5</v>
      </c>
      <c r="AK21" s="58">
        <f t="shared" ca="1" si="22"/>
        <v>351</v>
      </c>
      <c r="AL21" s="26">
        <f ca="1">IF($A22="","",_xll.SPRDOPT(P21,X21,AI21,0,AB21,AE21,AF21,AK21,$AJ$2,0))</f>
        <v>2.4796515005646221E-4</v>
      </c>
      <c r="AM21" s="89">
        <f t="shared" si="23"/>
        <v>0</v>
      </c>
      <c r="AN21" s="89">
        <f t="shared" ca="1" si="24"/>
        <v>2.4796515005646221E-4</v>
      </c>
      <c r="AO21" s="3">
        <f t="shared" si="25"/>
        <v>31</v>
      </c>
      <c r="AP21" s="33">
        <f t="shared" si="26"/>
        <v>37377</v>
      </c>
      <c r="AQ21" s="58">
        <f t="shared" ca="1" si="27"/>
        <v>351</v>
      </c>
      <c r="AR21" s="38">
        <f>'ANR OK vs ML7'!AR21</f>
        <v>0.1</v>
      </c>
      <c r="AS21" s="35">
        <f t="shared" ca="1" si="28"/>
        <v>0.91048915316230761</v>
      </c>
      <c r="AT21" s="3">
        <f t="shared" si="29"/>
        <v>1</v>
      </c>
      <c r="AU21" s="3">
        <f t="shared" si="30"/>
        <v>31</v>
      </c>
      <c r="AW21" s="32">
        <f t="shared" ca="1" si="31"/>
        <v>920.43175910058437</v>
      </c>
      <c r="AX21" s="32">
        <f t="shared" si="32"/>
        <v>0</v>
      </c>
      <c r="AY21" s="32">
        <f t="shared" ca="1" si="33"/>
        <v>920.43175910058437</v>
      </c>
      <c r="BA21" s="32">
        <f ca="1">IF($A22="","",F21*Summary!$Q$10)</f>
        <v>0</v>
      </c>
      <c r="BC21" s="256">
        <f t="shared" ca="1" si="36"/>
        <v>0</v>
      </c>
    </row>
    <row r="22" spans="1:55">
      <c r="A22" s="67">
        <f t="shared" si="34"/>
        <v>37408</v>
      </c>
      <c r="B22" s="69">
        <f t="shared" si="37"/>
        <v>119740</v>
      </c>
      <c r="C22" s="71"/>
      <c r="D22" s="69">
        <f t="shared" si="0"/>
        <v>119740</v>
      </c>
      <c r="E22" s="70">
        <f t="shared" si="1"/>
        <v>3592200</v>
      </c>
      <c r="F22" s="70">
        <f t="shared" ca="1" si="2"/>
        <v>3243683.489411823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0.17499999999999999</v>
      </c>
      <c r="K22" s="64">
        <f t="shared" si="6"/>
        <v>0.17499999999999999</v>
      </c>
      <c r="L22" s="38">
        <v>0</v>
      </c>
      <c r="M22" s="64">
        <f t="shared" si="7"/>
        <v>0</v>
      </c>
      <c r="N22" s="65"/>
      <c r="O22" s="63">
        <f t="shared" si="8"/>
        <v>4.4269999999999996</v>
      </c>
      <c r="P22" s="63">
        <f t="shared" si="9"/>
        <v>4.4269999999999996</v>
      </c>
      <c r="Q22" s="66"/>
      <c r="R22" s="63">
        <f t="shared" si="10"/>
        <v>0.22500000000000001</v>
      </c>
      <c r="S22" s="64">
        <f t="shared" si="11"/>
        <v>0.22500000000000001</v>
      </c>
      <c r="T22" s="63">
        <f t="shared" si="12"/>
        <v>0</v>
      </c>
      <c r="U22" s="64">
        <f t="shared" si="13"/>
        <v>0</v>
      </c>
      <c r="V22" s="219">
        <f>IF($A23="","",IF(AND(MONTH(A22)&gt;3,MONTH(A22)&lt;11),(T22+R22+G22)*Summary!$T$10/(1-Summary!$T$10),(T22+R22+G22)*Summary!$U$10/(1-Summary!$U$10)))</f>
        <v>3.6104838709677414E-2</v>
      </c>
      <c r="W22" s="63">
        <f t="shared" si="14"/>
        <v>4.513104838709677</v>
      </c>
      <c r="X22" s="63">
        <f t="shared" si="15"/>
        <v>4.513104838709677</v>
      </c>
      <c r="Y22" s="43"/>
      <c r="Z22" s="38">
        <f t="shared" si="16"/>
        <v>0.5</v>
      </c>
      <c r="AA22" s="38">
        <f t="shared" si="17"/>
        <v>0.35</v>
      </c>
      <c r="AB22" s="38">
        <f t="shared" ca="1" si="18"/>
        <v>0.36419422641630911</v>
      </c>
      <c r="AC22" s="38">
        <f t="shared" si="19"/>
        <v>0.5</v>
      </c>
      <c r="AD22" s="38">
        <f t="shared" si="19"/>
        <v>0.35</v>
      </c>
      <c r="AE22" s="38">
        <f t="shared" ca="1" si="20"/>
        <v>0.36419422641630911</v>
      </c>
      <c r="AF22" s="237">
        <f ca="1">((Summary!$N$10*(AA22*AD22)*(A22-$D$3))+(Summary!$M$10*Z22*AC22*(AJ22-EOMONTH(EDATE(A22,-1),0))))/(AK22*AB22*AE22)</f>
        <v>0.99990740119405908</v>
      </c>
      <c r="AG22" s="88">
        <f>IF($A23="","",Summary!$Q$10)</f>
        <v>0</v>
      </c>
      <c r="AH22" s="88">
        <f>IF($A23="","",IF(Summary!$R$10="Y",(VLOOKUP($A22,Summary!$AD$6:$AF$9,3)+'Escalating commodity'!F35),'Escalating commodity'!F35))</f>
        <v>1.2800000000000001E-2</v>
      </c>
      <c r="AI22" s="88">
        <f t="shared" si="35"/>
        <v>1.2800000000000001E-2</v>
      </c>
      <c r="AJ22" s="236">
        <f t="shared" si="21"/>
        <v>37422</v>
      </c>
      <c r="AK22" s="58">
        <f t="shared" ca="1" si="22"/>
        <v>382</v>
      </c>
      <c r="AL22" s="26">
        <f ca="1">IF($A23="","",_xll.SPRDOPT(P22,X22,AI22,0,AB22,AE22,AF22,AK22,$AJ$2,0))</f>
        <v>2.9779211053379637E-4</v>
      </c>
      <c r="AM22" s="89">
        <f t="shared" si="23"/>
        <v>0</v>
      </c>
      <c r="AN22" s="89">
        <f t="shared" ca="1" si="24"/>
        <v>2.9779211053379637E-4</v>
      </c>
      <c r="AO22" s="3">
        <f t="shared" si="25"/>
        <v>30</v>
      </c>
      <c r="AP22" s="33">
        <f t="shared" si="26"/>
        <v>37408</v>
      </c>
      <c r="AQ22" s="58">
        <f t="shared" ca="1" si="27"/>
        <v>382</v>
      </c>
      <c r="AR22" s="38">
        <f>'ANR OK vs ML7'!AR22</f>
        <v>0.1</v>
      </c>
      <c r="AS22" s="35">
        <f t="shared" ca="1" si="28"/>
        <v>0.90297964740599712</v>
      </c>
      <c r="AT22" s="3">
        <f t="shared" si="29"/>
        <v>1</v>
      </c>
      <c r="AU22" s="3">
        <f t="shared" si="30"/>
        <v>30</v>
      </c>
      <c r="AW22" s="32">
        <f t="shared" ca="1" si="31"/>
        <v>1069.7288194595033</v>
      </c>
      <c r="AX22" s="32">
        <f t="shared" si="32"/>
        <v>0</v>
      </c>
      <c r="AY22" s="32">
        <f t="shared" ca="1" si="33"/>
        <v>1069.7288194595033</v>
      </c>
      <c r="BA22" s="32">
        <f ca="1">IF($A23="","",F22*Summary!$Q$10)</f>
        <v>0</v>
      </c>
      <c r="BC22" s="256">
        <f t="shared" ca="1" si="36"/>
        <v>0</v>
      </c>
    </row>
    <row r="23" spans="1:55">
      <c r="A23" s="67">
        <f t="shared" si="34"/>
        <v>37438</v>
      </c>
      <c r="B23" s="69">
        <f t="shared" si="37"/>
        <v>119740</v>
      </c>
      <c r="C23" s="71"/>
      <c r="D23" s="69">
        <f t="shared" si="0"/>
        <v>119740</v>
      </c>
      <c r="E23" s="70">
        <f t="shared" si="1"/>
        <v>3711940</v>
      </c>
      <c r="F23" s="70">
        <f t="shared" ca="1" si="2"/>
        <v>3325049.545685133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0.17499999999999999</v>
      </c>
      <c r="K23" s="64">
        <f t="shared" si="6"/>
        <v>0.17499999999999999</v>
      </c>
      <c r="L23" s="38">
        <v>0</v>
      </c>
      <c r="M23" s="64">
        <f t="shared" si="7"/>
        <v>0</v>
      </c>
      <c r="N23" s="65"/>
      <c r="O23" s="63">
        <f t="shared" si="8"/>
        <v>4.4720000000000004</v>
      </c>
      <c r="P23" s="63">
        <f t="shared" si="9"/>
        <v>4.4720000000000004</v>
      </c>
      <c r="Q23" s="66"/>
      <c r="R23" s="63">
        <f t="shared" si="10"/>
        <v>0.22500000000000001</v>
      </c>
      <c r="S23" s="64">
        <f t="shared" si="11"/>
        <v>0.22500000000000001</v>
      </c>
      <c r="T23" s="63">
        <f t="shared" si="12"/>
        <v>0</v>
      </c>
      <c r="U23" s="64">
        <f t="shared" si="13"/>
        <v>0</v>
      </c>
      <c r="V23" s="219">
        <f>IF($A24="","",IF(AND(MONTH(A23)&gt;3,MONTH(A23)&lt;11),(T23+R23+G23)*Summary!$T$10/(1-Summary!$T$10),(T23+R23+G23)*Summary!$U$10/(1-Summary!$U$10)))</f>
        <v>3.6467741935483869E-2</v>
      </c>
      <c r="W23" s="63">
        <f t="shared" si="14"/>
        <v>4.558467741935484</v>
      </c>
      <c r="X23" s="63">
        <f t="shared" si="15"/>
        <v>4.558467741935484</v>
      </c>
      <c r="Y23" s="43"/>
      <c r="Z23" s="38">
        <f t="shared" si="16"/>
        <v>0.55000000000000004</v>
      </c>
      <c r="AA23" s="38">
        <f t="shared" si="17"/>
        <v>0.35</v>
      </c>
      <c r="AB23" s="38">
        <f t="shared" ca="1" si="18"/>
        <v>0.36630286821445435</v>
      </c>
      <c r="AC23" s="38">
        <f t="shared" si="19"/>
        <v>0.55000000000000004</v>
      </c>
      <c r="AD23" s="38">
        <f t="shared" si="19"/>
        <v>0.35</v>
      </c>
      <c r="AE23" s="38">
        <f t="shared" ca="1" si="20"/>
        <v>0.36630286821445435</v>
      </c>
      <c r="AF23" s="237">
        <f ca="1">((Summary!$N$10*(AA23*AD23)*(A23-$D$3))+(Summary!$M$10*Z23*AC23*(AJ23-EOMONTH(EDATE(A23,-1),0))))/(AK23*AB23*AE23)</f>
        <v>0.99990848162803825</v>
      </c>
      <c r="AG23" s="88">
        <f>IF($A24="","",Summary!$Q$10)</f>
        <v>0</v>
      </c>
      <c r="AH23" s="88">
        <f>IF($A24="","",IF(Summary!$R$10="Y",(VLOOKUP($A23,Summary!$AD$6:$AF$9,3)+'Escalating commodity'!F36),'Escalating commodity'!F36))</f>
        <v>1.2800000000000001E-2</v>
      </c>
      <c r="AI23" s="88">
        <f t="shared" si="35"/>
        <v>1.2800000000000001E-2</v>
      </c>
      <c r="AJ23" s="236">
        <f t="shared" si="21"/>
        <v>37452.5</v>
      </c>
      <c r="AK23" s="58">
        <f t="shared" ca="1" si="22"/>
        <v>412</v>
      </c>
      <c r="AL23" s="26">
        <f ca="1">IF($A24="","",_xll.SPRDOPT(P23,X23,AI23,0,AB23,AE23,AF23,AK23,$AJ$2,0))</f>
        <v>3.5610795867230824E-4</v>
      </c>
      <c r="AM23" s="89">
        <f t="shared" si="23"/>
        <v>0</v>
      </c>
      <c r="AN23" s="89">
        <f t="shared" ca="1" si="24"/>
        <v>3.5610795867230824E-4</v>
      </c>
      <c r="AO23" s="3">
        <f t="shared" si="25"/>
        <v>31</v>
      </c>
      <c r="AP23" s="33">
        <f t="shared" si="26"/>
        <v>37438</v>
      </c>
      <c r="AQ23" s="58">
        <f t="shared" ca="1" si="27"/>
        <v>412</v>
      </c>
      <c r="AR23" s="38">
        <f>'ANR OK vs ML7'!AR23</f>
        <v>0.1</v>
      </c>
      <c r="AS23" s="35">
        <f t="shared" ca="1" si="28"/>
        <v>0.89577136098243315</v>
      </c>
      <c r="AT23" s="3">
        <f t="shared" si="29"/>
        <v>1</v>
      </c>
      <c r="AU23" s="3">
        <f t="shared" si="30"/>
        <v>31</v>
      </c>
      <c r="AW23" s="32">
        <f t="shared" ca="1" si="31"/>
        <v>1321.8513761140878</v>
      </c>
      <c r="AX23" s="32">
        <f t="shared" si="32"/>
        <v>0</v>
      </c>
      <c r="AY23" s="32">
        <f t="shared" ca="1" si="33"/>
        <v>1321.8513761140878</v>
      </c>
      <c r="BA23" s="32">
        <f ca="1">IF($A24="","",F23*Summary!$Q$10)</f>
        <v>0</v>
      </c>
      <c r="BC23" s="256">
        <f t="shared" ca="1" si="36"/>
        <v>0</v>
      </c>
    </row>
    <row r="24" spans="1:55">
      <c r="A24" s="67">
        <f t="shared" si="34"/>
        <v>37469</v>
      </c>
      <c r="B24" s="69">
        <f t="shared" si="37"/>
        <v>119740</v>
      </c>
      <c r="C24" s="71"/>
      <c r="D24" s="69">
        <f t="shared" si="0"/>
        <v>119740</v>
      </c>
      <c r="E24" s="70">
        <f t="shared" si="1"/>
        <v>3711940</v>
      </c>
      <c r="F24" s="70">
        <f t="shared" ca="1" si="2"/>
        <v>3297625.299480095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0.17499999999999999</v>
      </c>
      <c r="K24" s="64">
        <f t="shared" si="6"/>
        <v>0.17499999999999999</v>
      </c>
      <c r="L24" s="38">
        <v>0</v>
      </c>
      <c r="M24" s="64">
        <f t="shared" si="7"/>
        <v>0</v>
      </c>
      <c r="N24" s="65"/>
      <c r="O24" s="63">
        <f t="shared" si="8"/>
        <v>4.4969999999999999</v>
      </c>
      <c r="P24" s="63">
        <f t="shared" si="9"/>
        <v>4.4969999999999999</v>
      </c>
      <c r="Q24" s="66"/>
      <c r="R24" s="63">
        <f t="shared" si="10"/>
        <v>0.22500000000000001</v>
      </c>
      <c r="S24" s="64">
        <f t="shared" si="11"/>
        <v>0.22500000000000001</v>
      </c>
      <c r="T24" s="63">
        <f t="shared" si="12"/>
        <v>0</v>
      </c>
      <c r="U24" s="64">
        <f t="shared" si="13"/>
        <v>0</v>
      </c>
      <c r="V24" s="219">
        <f>IF($A25="","",IF(AND(MONTH(A24)&gt;3,MONTH(A24)&lt;11),(T24+R24+G24)*Summary!$T$10/(1-Summary!$T$10),(T24+R24+G24)*Summary!$U$10/(1-Summary!$U$10)))</f>
        <v>3.6669354838709679E-2</v>
      </c>
      <c r="W24" s="63">
        <f t="shared" si="14"/>
        <v>4.5836693548387091</v>
      </c>
      <c r="X24" s="63">
        <f t="shared" si="15"/>
        <v>4.5836693548387091</v>
      </c>
      <c r="Y24" s="43"/>
      <c r="Z24" s="38">
        <f t="shared" si="16"/>
        <v>0.6</v>
      </c>
      <c r="AA24" s="38">
        <f t="shared" si="17"/>
        <v>0.35</v>
      </c>
      <c r="AB24" s="38">
        <f t="shared" ca="1" si="18"/>
        <v>0.36792996683691581</v>
      </c>
      <c r="AC24" s="38">
        <f t="shared" si="19"/>
        <v>0.6</v>
      </c>
      <c r="AD24" s="38">
        <f t="shared" si="19"/>
        <v>0.35</v>
      </c>
      <c r="AE24" s="38">
        <f t="shared" ca="1" si="20"/>
        <v>0.36792996683691581</v>
      </c>
      <c r="AF24" s="237">
        <f ca="1">((Summary!$N$10*(AA24*AD24)*(A24-$D$3))+(Summary!$M$10*Z24*AC24*(AJ24-EOMONTH(EDATE(A24,-1),0))))/(AK24*AB24*AE24)</f>
        <v>0.99990930465232619</v>
      </c>
      <c r="AG24" s="88">
        <f>IF($A25="","",Summary!$Q$10)</f>
        <v>0</v>
      </c>
      <c r="AH24" s="88">
        <f>IF($A25="","",IF(Summary!$R$10="Y",(VLOOKUP($A24,Summary!$AD$6:$AF$9,3)+'Escalating commodity'!F37),'Escalating commodity'!F37))</f>
        <v>1.2800000000000001E-2</v>
      </c>
      <c r="AI24" s="88">
        <f t="shared" si="35"/>
        <v>1.2800000000000001E-2</v>
      </c>
      <c r="AJ24" s="236">
        <f t="shared" si="21"/>
        <v>37483.5</v>
      </c>
      <c r="AK24" s="58">
        <f t="shared" ca="1" si="22"/>
        <v>443</v>
      </c>
      <c r="AL24" s="26">
        <f ca="1">IF($A25="","",_xll.SPRDOPT(P24,X24,AI24,0,AB24,AE24,AF24,AK24,$AJ$2,0))</f>
        <v>4.1391965411679416E-4</v>
      </c>
      <c r="AM24" s="89">
        <f t="shared" si="23"/>
        <v>0</v>
      </c>
      <c r="AN24" s="89">
        <f t="shared" ca="1" si="24"/>
        <v>4.1391965411679416E-4</v>
      </c>
      <c r="AO24" s="3">
        <f t="shared" si="25"/>
        <v>31</v>
      </c>
      <c r="AP24" s="33">
        <f t="shared" si="26"/>
        <v>37469</v>
      </c>
      <c r="AQ24" s="58">
        <f t="shared" ca="1" si="27"/>
        <v>443</v>
      </c>
      <c r="AR24" s="38">
        <f>'ANR OK vs ML7'!AR24</f>
        <v>0.1</v>
      </c>
      <c r="AS24" s="35">
        <f t="shared" ca="1" si="28"/>
        <v>0.8883832442011711</v>
      </c>
      <c r="AT24" s="3">
        <f t="shared" si="29"/>
        <v>1</v>
      </c>
      <c r="AU24" s="3">
        <f t="shared" si="30"/>
        <v>31</v>
      </c>
      <c r="AW24" s="32">
        <f t="shared" ca="1" si="31"/>
        <v>1536.444920902293</v>
      </c>
      <c r="AX24" s="32">
        <f t="shared" si="32"/>
        <v>0</v>
      </c>
      <c r="AY24" s="32">
        <f t="shared" ca="1" si="33"/>
        <v>1536.444920902293</v>
      </c>
      <c r="BA24" s="32">
        <f ca="1">IF($A25="","",F24*Summary!$Q$10)</f>
        <v>0</v>
      </c>
      <c r="BC24" s="256">
        <f t="shared" ca="1" si="36"/>
        <v>0</v>
      </c>
    </row>
    <row r="25" spans="1:55">
      <c r="A25" s="67">
        <f t="shared" si="34"/>
        <v>37500</v>
      </c>
      <c r="B25" s="69">
        <f t="shared" si="37"/>
        <v>119740</v>
      </c>
      <c r="C25" s="71"/>
      <c r="D25" s="69">
        <f t="shared" si="0"/>
        <v>119740</v>
      </c>
      <c r="E25" s="70">
        <f t="shared" si="1"/>
        <v>3592200</v>
      </c>
      <c r="F25" s="70">
        <f t="shared" ca="1" si="2"/>
        <v>3164929.5891960594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0.17499999999999999</v>
      </c>
      <c r="K25" s="64">
        <f t="shared" si="6"/>
        <v>0.17499999999999999</v>
      </c>
      <c r="L25" s="38">
        <v>0</v>
      </c>
      <c r="M25" s="64">
        <f t="shared" si="7"/>
        <v>0</v>
      </c>
      <c r="N25" s="65"/>
      <c r="O25" s="63">
        <f t="shared" si="8"/>
        <v>4.5019999999999998</v>
      </c>
      <c r="P25" s="63">
        <f t="shared" si="9"/>
        <v>4.5019999999999998</v>
      </c>
      <c r="Q25" s="66"/>
      <c r="R25" s="63">
        <f t="shared" si="10"/>
        <v>0.22500000000000001</v>
      </c>
      <c r="S25" s="64">
        <f t="shared" si="11"/>
        <v>0.22500000000000001</v>
      </c>
      <c r="T25" s="63">
        <f t="shared" si="12"/>
        <v>0</v>
      </c>
      <c r="U25" s="64">
        <f t="shared" si="13"/>
        <v>0</v>
      </c>
      <c r="V25" s="219">
        <f>IF($A26="","",IF(AND(MONTH(A25)&gt;3,MONTH(A25)&lt;11),(T25+R25+G25)*Summary!$T$10/(1-Summary!$T$10),(T25+R25+G25)*Summary!$U$10/(1-Summary!$U$10)))</f>
        <v>3.6709677419354839E-2</v>
      </c>
      <c r="W25" s="63">
        <f t="shared" si="14"/>
        <v>4.5887096774193541</v>
      </c>
      <c r="X25" s="63">
        <f t="shared" si="15"/>
        <v>4.5887096774193541</v>
      </c>
      <c r="Y25" s="43"/>
      <c r="Z25" s="38">
        <f t="shared" si="16"/>
        <v>0.6</v>
      </c>
      <c r="AA25" s="38">
        <f t="shared" si="17"/>
        <v>0.35</v>
      </c>
      <c r="AB25" s="38">
        <f t="shared" ca="1" si="18"/>
        <v>0.36626608344461342</v>
      </c>
      <c r="AC25" s="38">
        <f t="shared" si="19"/>
        <v>0.6</v>
      </c>
      <c r="AD25" s="38">
        <f t="shared" si="19"/>
        <v>0.35</v>
      </c>
      <c r="AE25" s="38">
        <f t="shared" ca="1" si="20"/>
        <v>0.36626608344461342</v>
      </c>
      <c r="AF25" s="237">
        <f ca="1">((Summary!$N$10*(AA25*AD25)*(A25-$D$3))+(Summary!$M$10*Z25*AC25*(AJ25-EOMONTH(EDATE(A25,-1),0))))/(AK25*AB25*AE25)</f>
        <v>0.99990849223510903</v>
      </c>
      <c r="AG25" s="88">
        <f>IF($A26="","",Summary!$Q$10)</f>
        <v>0</v>
      </c>
      <c r="AH25" s="88">
        <f>IF($A26="","",IF(Summary!$R$10="Y",(VLOOKUP($A25,Summary!$AD$6:$AF$9,3)+'Escalating commodity'!F38),'Escalating commodity'!F38))</f>
        <v>1.2800000000000001E-2</v>
      </c>
      <c r="AI25" s="88">
        <f t="shared" si="35"/>
        <v>1.2800000000000001E-2</v>
      </c>
      <c r="AJ25" s="236">
        <f t="shared" si="21"/>
        <v>37514</v>
      </c>
      <c r="AK25" s="58">
        <f t="shared" ca="1" si="22"/>
        <v>474</v>
      </c>
      <c r="AL25" s="26">
        <f ca="1">IF($A26="","",_xll.SPRDOPT(P25,X25,AI25,0,AB25,AE25,AF25,AK25,$AJ$2,0))</f>
        <v>4.6303306461684471E-4</v>
      </c>
      <c r="AM25" s="89">
        <f t="shared" si="23"/>
        <v>0</v>
      </c>
      <c r="AN25" s="89">
        <f t="shared" ca="1" si="24"/>
        <v>4.6303306461684471E-4</v>
      </c>
      <c r="AO25" s="3">
        <f t="shared" si="25"/>
        <v>30</v>
      </c>
      <c r="AP25" s="33">
        <f t="shared" si="26"/>
        <v>37500</v>
      </c>
      <c r="AQ25" s="58">
        <f t="shared" ca="1" si="27"/>
        <v>474</v>
      </c>
      <c r="AR25" s="38">
        <f>'ANR OK vs ML7'!AR25</f>
        <v>0.1</v>
      </c>
      <c r="AS25" s="35">
        <f t="shared" ca="1" si="28"/>
        <v>0.88105606291299465</v>
      </c>
      <c r="AT25" s="3">
        <f t="shared" si="29"/>
        <v>1</v>
      </c>
      <c r="AU25" s="3">
        <f t="shared" si="30"/>
        <v>30</v>
      </c>
      <c r="AW25" s="32">
        <f t="shared" ca="1" si="31"/>
        <v>1663.3073747166295</v>
      </c>
      <c r="AX25" s="32">
        <f t="shared" si="32"/>
        <v>0</v>
      </c>
      <c r="AY25" s="32">
        <f t="shared" ca="1" si="33"/>
        <v>1663.3073747166295</v>
      </c>
      <c r="BA25" s="32">
        <f ca="1">IF($A26="","",F25*Summary!$Q$10)</f>
        <v>0</v>
      </c>
      <c r="BC25" s="256">
        <f t="shared" ca="1" si="36"/>
        <v>0</v>
      </c>
    </row>
    <row r="26" spans="1:55">
      <c r="A26" s="67">
        <f t="shared" si="34"/>
        <v>37530</v>
      </c>
      <c r="B26" s="69">
        <f t="shared" si="37"/>
        <v>119740</v>
      </c>
      <c r="C26" s="71"/>
      <c r="D26" s="69">
        <f t="shared" si="0"/>
        <v>119740</v>
      </c>
      <c r="E26" s="70">
        <f t="shared" si="1"/>
        <v>3711940</v>
      </c>
      <c r="F26" s="70">
        <f t="shared" ca="1" si="2"/>
        <v>3244320.1462267288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0.17499999999999999</v>
      </c>
      <c r="K26" s="64">
        <f t="shared" si="6"/>
        <v>0.17499999999999999</v>
      </c>
      <c r="L26" s="38">
        <v>0</v>
      </c>
      <c r="M26" s="64">
        <f t="shared" si="7"/>
        <v>0</v>
      </c>
      <c r="N26" s="65"/>
      <c r="O26" s="63">
        <f t="shared" si="8"/>
        <v>4.5120000000000005</v>
      </c>
      <c r="P26" s="63">
        <f t="shared" si="9"/>
        <v>4.5120000000000005</v>
      </c>
      <c r="Q26" s="66"/>
      <c r="R26" s="63">
        <f t="shared" si="10"/>
        <v>0.22500000000000001</v>
      </c>
      <c r="S26" s="64">
        <f t="shared" si="11"/>
        <v>0.22500000000000001</v>
      </c>
      <c r="T26" s="63">
        <f t="shared" si="12"/>
        <v>0</v>
      </c>
      <c r="U26" s="64">
        <f t="shared" si="13"/>
        <v>0</v>
      </c>
      <c r="V26" s="219">
        <f>IF($A27="","",IF(AND(MONTH(A26)&gt;3,MONTH(A26)&lt;11),(T26+R26+G26)*Summary!$T$10/(1-Summary!$T$10),(T26+R26+G26)*Summary!$U$10/(1-Summary!$U$10)))</f>
        <v>3.6790322580645164E-2</v>
      </c>
      <c r="W26" s="63">
        <f t="shared" si="14"/>
        <v>4.598790322580645</v>
      </c>
      <c r="X26" s="63">
        <f t="shared" si="15"/>
        <v>4.598790322580645</v>
      </c>
      <c r="Y26" s="43"/>
      <c r="Z26" s="38">
        <f t="shared" si="16"/>
        <v>0.65</v>
      </c>
      <c r="AA26" s="38">
        <f t="shared" si="17"/>
        <v>0.35300000000000004</v>
      </c>
      <c r="AB26" s="38">
        <f t="shared" ca="1" si="18"/>
        <v>0.37128128375487329</v>
      </c>
      <c r="AC26" s="38">
        <f t="shared" si="19"/>
        <v>0.65</v>
      </c>
      <c r="AD26" s="38">
        <f t="shared" si="19"/>
        <v>0.35300000000000004</v>
      </c>
      <c r="AE26" s="38">
        <f t="shared" ca="1" si="20"/>
        <v>0.37128128375487329</v>
      </c>
      <c r="AF26" s="237">
        <f ca="1">((Summary!$N$10*(AA26*AD26)*(A26-$D$3))+(Summary!$M$10*Z26*AC26*(AJ26-EOMONTH(EDATE(A26,-1),0))))/(AK26*AB26*AE26)</f>
        <v>0.99990942587684006</v>
      </c>
      <c r="AG26" s="88">
        <f>IF($A27="","",Summary!$Q$10)</f>
        <v>0</v>
      </c>
      <c r="AH26" s="88">
        <f>IF($A27="","",IF(Summary!$R$10="Y",(VLOOKUP($A26,Summary!$AD$6:$AF$9,3)+'Escalating commodity'!F39),'Escalating commodity'!F39))</f>
        <v>1.2800000000000001E-2</v>
      </c>
      <c r="AI26" s="88">
        <f t="shared" si="35"/>
        <v>1.2800000000000001E-2</v>
      </c>
      <c r="AJ26" s="236">
        <f t="shared" si="21"/>
        <v>37544.5</v>
      </c>
      <c r="AK26" s="58">
        <f t="shared" ca="1" si="22"/>
        <v>504</v>
      </c>
      <c r="AL26" s="26">
        <f ca="1">IF($A27="","",_xll.SPRDOPT(P26,X26,AI26,0,AB26,AE26,AF26,AK26,$AJ$2,0))</f>
        <v>5.3333108884345316E-4</v>
      </c>
      <c r="AM26" s="89">
        <f t="shared" si="23"/>
        <v>0</v>
      </c>
      <c r="AN26" s="89">
        <f t="shared" ca="1" si="24"/>
        <v>5.3333108884345316E-4</v>
      </c>
      <c r="AO26" s="3">
        <f t="shared" si="25"/>
        <v>31</v>
      </c>
      <c r="AP26" s="33">
        <f t="shared" si="26"/>
        <v>37530</v>
      </c>
      <c r="AQ26" s="58">
        <f t="shared" ca="1" si="27"/>
        <v>504</v>
      </c>
      <c r="AR26" s="38">
        <f>'ANR OK vs ML7'!AR26</f>
        <v>0.1</v>
      </c>
      <c r="AS26" s="35">
        <f t="shared" ca="1" si="28"/>
        <v>0.87402278760613827</v>
      </c>
      <c r="AT26" s="3">
        <f t="shared" si="29"/>
        <v>1</v>
      </c>
      <c r="AU26" s="3">
        <f t="shared" si="30"/>
        <v>31</v>
      </c>
      <c r="AW26" s="32">
        <f t="shared" ca="1" si="31"/>
        <v>1979.6930019215674</v>
      </c>
      <c r="AX26" s="32">
        <f t="shared" si="32"/>
        <v>0</v>
      </c>
      <c r="AY26" s="32">
        <f t="shared" ca="1" si="33"/>
        <v>1979.6930019215674</v>
      </c>
      <c r="BA26" s="32">
        <f ca="1">IF($A27="","",F26*Summary!$Q$10)</f>
        <v>0</v>
      </c>
      <c r="BC26" s="256">
        <f t="shared" ca="1" si="36"/>
        <v>0</v>
      </c>
    </row>
    <row r="27" spans="1:55">
      <c r="A27" s="67">
        <f t="shared" si="34"/>
        <v>37561</v>
      </c>
      <c r="B27" s="69">
        <f t="shared" si="37"/>
        <v>119740</v>
      </c>
      <c r="C27" s="71"/>
      <c r="D27" s="69">
        <f t="shared" si="0"/>
        <v>119740</v>
      </c>
      <c r="E27" s="70">
        <f t="shared" si="1"/>
        <v>3592200</v>
      </c>
      <c r="F27" s="70">
        <f t="shared" ca="1" si="2"/>
        <v>3113769.4234808073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0.255</v>
      </c>
      <c r="K27" s="64">
        <f t="shared" si="6"/>
        <v>0.255</v>
      </c>
      <c r="L27" s="38">
        <v>0</v>
      </c>
      <c r="M27" s="64">
        <f t="shared" si="7"/>
        <v>0</v>
      </c>
      <c r="N27" s="65"/>
      <c r="O27" s="63">
        <f t="shared" si="8"/>
        <v>4.7320000000000002</v>
      </c>
      <c r="P27" s="63">
        <f t="shared" si="9"/>
        <v>4.7320000000000002</v>
      </c>
      <c r="Q27" s="66"/>
      <c r="R27" s="63">
        <f t="shared" si="10"/>
        <v>0.26</v>
      </c>
      <c r="S27" s="64">
        <f t="shared" si="11"/>
        <v>0.26</v>
      </c>
      <c r="T27" s="63">
        <f t="shared" si="12"/>
        <v>0</v>
      </c>
      <c r="U27" s="64">
        <f t="shared" si="13"/>
        <v>0</v>
      </c>
      <c r="V27" s="219">
        <f>IF($A28="","",IF(AND(MONTH(A27)&gt;3,MONTH(A27)&lt;11),(T27+R27+G27)*Summary!$T$10/(1-Summary!$T$10),(T27+R27+G27)*Summary!$U$10/(1-Summary!$U$10)))</f>
        <v>3.8201612903225803E-2</v>
      </c>
      <c r="W27" s="63">
        <f t="shared" si="14"/>
        <v>4.775201612903226</v>
      </c>
      <c r="X27" s="63">
        <f t="shared" si="15"/>
        <v>4.775201612903226</v>
      </c>
      <c r="Y27" s="43"/>
      <c r="Z27" s="38">
        <f t="shared" si="16"/>
        <v>0.8</v>
      </c>
      <c r="AA27" s="38">
        <f t="shared" si="17"/>
        <v>0.35800000000000004</v>
      </c>
      <c r="AB27" s="38">
        <f t="shared" ca="1" si="18"/>
        <v>0.38255389700295767</v>
      </c>
      <c r="AC27" s="38">
        <f t="shared" si="19"/>
        <v>0.8</v>
      </c>
      <c r="AD27" s="38">
        <f t="shared" si="19"/>
        <v>0.35800000000000004</v>
      </c>
      <c r="AE27" s="38">
        <f t="shared" ca="1" si="20"/>
        <v>0.38255389700295767</v>
      </c>
      <c r="AF27" s="237">
        <f ca="1">((Summary!$N$10*(AA27*AD27)*(A27-$D$3))+(Summary!$M$10*Z27*AC27*(AJ27-EOMONTH(EDATE(A27,-1),0))))/(AK27*AB27*AE27)</f>
        <v>0.99991226117780074</v>
      </c>
      <c r="AG27" s="88">
        <f>IF($A28="","",Summary!$Q$10)</f>
        <v>0</v>
      </c>
      <c r="AH27" s="88">
        <f>IF($A28="","",IF(Summary!$R$10="Y",(VLOOKUP($A27,Summary!$AD$6:$AF$9,3)+'Escalating commodity'!F40),'Escalating commodity'!F40))</f>
        <v>1.2800000000000001E-2</v>
      </c>
      <c r="AI27" s="88">
        <f t="shared" si="35"/>
        <v>1.2800000000000001E-2</v>
      </c>
      <c r="AJ27" s="236">
        <f t="shared" si="21"/>
        <v>37575</v>
      </c>
      <c r="AK27" s="58">
        <f t="shared" ca="1" si="22"/>
        <v>535</v>
      </c>
      <c r="AL27" s="26">
        <f ca="1">IF($A28="","",_xll.SPRDOPT(P27,X27,AI27,0,AB27,AE27,AF27,AK27,$AJ$2,0))</f>
        <v>1.5372454199292472E-3</v>
      </c>
      <c r="AM27" s="89">
        <f t="shared" si="23"/>
        <v>0</v>
      </c>
      <c r="AN27" s="89">
        <f t="shared" ca="1" si="24"/>
        <v>1.5372454199292472E-3</v>
      </c>
      <c r="AO27" s="3">
        <f t="shared" si="25"/>
        <v>30</v>
      </c>
      <c r="AP27" s="33">
        <f t="shared" si="26"/>
        <v>37561</v>
      </c>
      <c r="AQ27" s="58">
        <f t="shared" ca="1" si="27"/>
        <v>535</v>
      </c>
      <c r="AR27" s="38">
        <f>'ANR OK vs ML7'!AR27</f>
        <v>0.1</v>
      </c>
      <c r="AS27" s="35">
        <f t="shared" ca="1" si="28"/>
        <v>0.8668140480710449</v>
      </c>
      <c r="AT27" s="3">
        <f t="shared" si="29"/>
        <v>1</v>
      </c>
      <c r="AU27" s="3">
        <f t="shared" si="30"/>
        <v>30</v>
      </c>
      <c r="AW27" s="32">
        <f t="shared" ca="1" si="31"/>
        <v>5522.092997469842</v>
      </c>
      <c r="AX27" s="32">
        <f t="shared" si="32"/>
        <v>0</v>
      </c>
      <c r="AY27" s="32">
        <f t="shared" ca="1" si="33"/>
        <v>5522.092997469842</v>
      </c>
      <c r="BA27" s="32">
        <f ca="1">IF($A28="","",F27*Summary!$Q$10)</f>
        <v>0</v>
      </c>
      <c r="BC27" s="256">
        <f t="shared" ca="1" si="36"/>
        <v>0</v>
      </c>
    </row>
    <row r="28" spans="1:55">
      <c r="A28" s="67">
        <f t="shared" si="34"/>
        <v>37591</v>
      </c>
      <c r="B28" s="69">
        <f t="shared" si="37"/>
        <v>119740</v>
      </c>
      <c r="C28" s="71"/>
      <c r="D28" s="69">
        <f t="shared" si="0"/>
        <v>119740</v>
      </c>
      <c r="E28" s="70">
        <f t="shared" si="1"/>
        <v>3711940</v>
      </c>
      <c r="F28" s="70">
        <f t="shared" ca="1" si="2"/>
        <v>3191876.6552622267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0.245</v>
      </c>
      <c r="K28" s="64">
        <f t="shared" si="6"/>
        <v>0.245</v>
      </c>
      <c r="L28" s="38">
        <v>0</v>
      </c>
      <c r="M28" s="64">
        <f t="shared" si="7"/>
        <v>0</v>
      </c>
      <c r="N28" s="65"/>
      <c r="O28" s="63">
        <f t="shared" si="8"/>
        <v>4.8520000000000003</v>
      </c>
      <c r="P28" s="63">
        <f t="shared" si="9"/>
        <v>4.8520000000000003</v>
      </c>
      <c r="Q28" s="66"/>
      <c r="R28" s="63">
        <f t="shared" si="10"/>
        <v>0.25</v>
      </c>
      <c r="S28" s="64">
        <f t="shared" si="11"/>
        <v>0.25</v>
      </c>
      <c r="T28" s="63">
        <f t="shared" si="12"/>
        <v>0</v>
      </c>
      <c r="U28" s="64">
        <f t="shared" si="13"/>
        <v>0</v>
      </c>
      <c r="V28" s="219">
        <f>IF($A29="","",IF(AND(MONTH(A28)&gt;3,MONTH(A28)&lt;11),(T28+R28+G28)*Summary!$T$10/(1-Summary!$T$10),(T28+R28+G28)*Summary!$U$10/(1-Summary!$U$10)))</f>
        <v>3.9169354838709682E-2</v>
      </c>
      <c r="W28" s="63">
        <f t="shared" si="14"/>
        <v>4.89616935483871</v>
      </c>
      <c r="X28" s="63">
        <f t="shared" si="15"/>
        <v>4.89616935483871</v>
      </c>
      <c r="Y28" s="43"/>
      <c r="Z28" s="38">
        <f t="shared" si="16"/>
        <v>1.1000000000000001</v>
      </c>
      <c r="AA28" s="38">
        <f t="shared" si="17"/>
        <v>0.36300000000000004</v>
      </c>
      <c r="AB28" s="38">
        <f t="shared" ca="1" si="18"/>
        <v>0.40644422708966271</v>
      </c>
      <c r="AC28" s="38">
        <f t="shared" si="19"/>
        <v>1.1000000000000001</v>
      </c>
      <c r="AD28" s="38">
        <f t="shared" si="19"/>
        <v>0.36300000000000004</v>
      </c>
      <c r="AE28" s="38">
        <f t="shared" ca="1" si="20"/>
        <v>0.40644422708966271</v>
      </c>
      <c r="AF28" s="237">
        <f ca="1">((Summary!$N$10*(AA28*AD28)*(A28-$D$3))+(Summary!$M$10*Z28*AC28*(AJ28-EOMONTH(EDATE(A28,-1),0))))/(AK28*AB28*AE28)</f>
        <v>0.99992009401405813</v>
      </c>
      <c r="AG28" s="88">
        <f>IF($A29="","",Summary!$Q$10)</f>
        <v>0</v>
      </c>
      <c r="AH28" s="88">
        <f>IF($A29="","",IF(Summary!$R$10="Y",(VLOOKUP($A28,Summary!$AD$6:$AF$9,3)+'Escalating commodity'!F41),'Escalating commodity'!F41))</f>
        <v>1.2800000000000001E-2</v>
      </c>
      <c r="AI28" s="88">
        <f t="shared" si="35"/>
        <v>1.2800000000000001E-2</v>
      </c>
      <c r="AJ28" s="236">
        <f t="shared" si="21"/>
        <v>37605.5</v>
      </c>
      <c r="AK28" s="58">
        <f t="shared" ca="1" si="22"/>
        <v>565</v>
      </c>
      <c r="AL28" s="26">
        <f ca="1">IF($A29="","",_xll.SPRDOPT(P28,X28,AI28,0,AB28,AE28,AF28,AK28,$AJ$2,0))</f>
        <v>1.7015985741114029E-3</v>
      </c>
      <c r="AM28" s="89">
        <f t="shared" si="23"/>
        <v>0</v>
      </c>
      <c r="AN28" s="89">
        <f t="shared" ca="1" si="24"/>
        <v>1.7015985741114029E-3</v>
      </c>
      <c r="AO28" s="3">
        <f t="shared" si="25"/>
        <v>31</v>
      </c>
      <c r="AP28" s="33">
        <f t="shared" si="26"/>
        <v>37591</v>
      </c>
      <c r="AQ28" s="58">
        <f t="shared" ca="1" si="27"/>
        <v>565</v>
      </c>
      <c r="AR28" s="38">
        <f>'ANR OK vs ML7'!AR28</f>
        <v>0.1</v>
      </c>
      <c r="AS28" s="35">
        <f t="shared" ca="1" si="28"/>
        <v>0.85989446361261945</v>
      </c>
      <c r="AT28" s="3">
        <f t="shared" si="29"/>
        <v>1</v>
      </c>
      <c r="AU28" s="3">
        <f t="shared" si="30"/>
        <v>31</v>
      </c>
      <c r="AW28" s="32">
        <f t="shared" ca="1" si="31"/>
        <v>6316.2318111870809</v>
      </c>
      <c r="AX28" s="32">
        <f t="shared" si="32"/>
        <v>0</v>
      </c>
      <c r="AY28" s="32">
        <f t="shared" ca="1" si="33"/>
        <v>6316.2318111870809</v>
      </c>
      <c r="BA28" s="32">
        <f ca="1">IF($A29="","",F28*Summary!$Q$10)</f>
        <v>0</v>
      </c>
      <c r="BC28" s="256">
        <f t="shared" ca="1" si="36"/>
        <v>0</v>
      </c>
    </row>
    <row r="29" spans="1:55">
      <c r="A29" s="67">
        <f t="shared" si="34"/>
        <v>37622</v>
      </c>
      <c r="B29" s="69">
        <f t="shared" si="37"/>
        <v>119740</v>
      </c>
      <c r="C29" s="71"/>
      <c r="D29" s="69">
        <f t="shared" si="0"/>
        <v>119740</v>
      </c>
      <c r="E29" s="70">
        <f t="shared" si="1"/>
        <v>3711940</v>
      </c>
      <c r="F29" s="70">
        <f t="shared" ca="1" si="2"/>
        <v>3165550.7885202956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0.26500000000000001</v>
      </c>
      <c r="K29" s="64">
        <f t="shared" si="6"/>
        <v>0.26500000000000001</v>
      </c>
      <c r="L29" s="38">
        <v>0</v>
      </c>
      <c r="M29" s="64">
        <f t="shared" si="7"/>
        <v>0</v>
      </c>
      <c r="N29" s="65"/>
      <c r="O29" s="63">
        <f t="shared" si="8"/>
        <v>4.9159999999999995</v>
      </c>
      <c r="P29" s="63">
        <f t="shared" si="9"/>
        <v>4.9159999999999995</v>
      </c>
      <c r="Q29" s="66"/>
      <c r="R29" s="63">
        <f t="shared" si="10"/>
        <v>0.27</v>
      </c>
      <c r="S29" s="64">
        <f t="shared" si="11"/>
        <v>0.27</v>
      </c>
      <c r="T29" s="63">
        <f t="shared" si="12"/>
        <v>0</v>
      </c>
      <c r="U29" s="64">
        <f t="shared" si="13"/>
        <v>0</v>
      </c>
      <c r="V29" s="219">
        <f>IF($A30="","",IF(AND(MONTH(A29)&gt;3,MONTH(A29)&lt;11),(T29+R29+G29)*Summary!$T$10/(1-Summary!$T$10),(T29+R29+G29)*Summary!$U$10/(1-Summary!$U$10)))</f>
        <v>3.9685483870967736E-2</v>
      </c>
      <c r="W29" s="63">
        <f t="shared" si="14"/>
        <v>4.9606854838709671</v>
      </c>
      <c r="X29" s="63">
        <f t="shared" si="15"/>
        <v>4.9606854838709671</v>
      </c>
      <c r="Y29" s="43"/>
      <c r="Z29" s="38">
        <f t="shared" si="16"/>
        <v>1.1000000000000001</v>
      </c>
      <c r="AA29" s="38">
        <f t="shared" si="17"/>
        <v>0.36799999999999999</v>
      </c>
      <c r="AB29" s="38">
        <f t="shared" ca="1" si="18"/>
        <v>0.4088023266590825</v>
      </c>
      <c r="AC29" s="38">
        <f t="shared" si="19"/>
        <v>1.1000000000000001</v>
      </c>
      <c r="AD29" s="38">
        <f t="shared" si="19"/>
        <v>0.36799999999999999</v>
      </c>
      <c r="AE29" s="38">
        <f t="shared" ca="1" si="20"/>
        <v>0.4088023266590825</v>
      </c>
      <c r="AF29" s="237">
        <f ca="1">((Summary!$N$10*(AA29*AD29)*(A29-$D$3))+(Summary!$M$10*Z29*AC29*(AJ29-EOMONTH(EDATE(A29,-1),0))))/(AK29*AB29*AE29)</f>
        <v>0.99991882972992563</v>
      </c>
      <c r="AG29" s="88">
        <f>IF($A30="","",Summary!$Q$10)</f>
        <v>0</v>
      </c>
      <c r="AH29" s="88">
        <f>IF($A30="","",IF(Summary!$R$10="Y",(VLOOKUP($A29,Summary!$AD$6:$AF$9,3)+'Escalating commodity'!F42),'Escalating commodity'!F42))</f>
        <v>1.2800000000000001E-2</v>
      </c>
      <c r="AI29" s="88">
        <f t="shared" si="35"/>
        <v>1.2800000000000001E-2</v>
      </c>
      <c r="AJ29" s="236">
        <f t="shared" si="21"/>
        <v>37636.5</v>
      </c>
      <c r="AK29" s="58">
        <f t="shared" ca="1" si="22"/>
        <v>596</v>
      </c>
      <c r="AL29" s="26">
        <f ca="1">IF($A30="","",_xll.SPRDOPT(P29,X29,AI29,0,AB29,AE29,AF29,AK29,$AJ$2,0))</f>
        <v>1.8622466041959967E-3</v>
      </c>
      <c r="AM29" s="89">
        <f t="shared" si="23"/>
        <v>0</v>
      </c>
      <c r="AN29" s="89">
        <f t="shared" ca="1" si="24"/>
        <v>1.8622466041959967E-3</v>
      </c>
      <c r="AO29" s="3">
        <f t="shared" si="25"/>
        <v>31</v>
      </c>
      <c r="AP29" s="33">
        <f t="shared" si="26"/>
        <v>37622</v>
      </c>
      <c r="AQ29" s="58">
        <f t="shared" ca="1" si="27"/>
        <v>596</v>
      </c>
      <c r="AR29" s="38">
        <f>'ANR OK vs ML7'!AR29</f>
        <v>0.1</v>
      </c>
      <c r="AS29" s="35">
        <f t="shared" ca="1" si="28"/>
        <v>0.85280225125414089</v>
      </c>
      <c r="AT29" s="3">
        <f t="shared" si="29"/>
        <v>1</v>
      </c>
      <c r="AU29" s="3">
        <f t="shared" si="30"/>
        <v>31</v>
      </c>
      <c r="AW29" s="32">
        <f t="shared" ca="1" si="31"/>
        <v>6912.5476599792883</v>
      </c>
      <c r="AX29" s="32">
        <f t="shared" si="32"/>
        <v>0</v>
      </c>
      <c r="AY29" s="32">
        <f t="shared" ca="1" si="33"/>
        <v>6912.5476599792883</v>
      </c>
      <c r="BA29" s="32">
        <f ca="1">IF($A30="","",F29*Summary!$Q$10)</f>
        <v>0</v>
      </c>
      <c r="BC29" s="256">
        <f t="shared" ca="1" si="36"/>
        <v>0</v>
      </c>
    </row>
    <row r="30" spans="1:55">
      <c r="A30" s="67">
        <f t="shared" si="34"/>
        <v>37653</v>
      </c>
      <c r="B30" s="69">
        <f t="shared" si="37"/>
        <v>119740</v>
      </c>
      <c r="C30" s="71"/>
      <c r="D30" s="69">
        <f t="shared" si="0"/>
        <v>119740</v>
      </c>
      <c r="E30" s="70">
        <f t="shared" si="1"/>
        <v>3352720</v>
      </c>
      <c r="F30" s="70">
        <f t="shared" ca="1" si="2"/>
        <v>2835625.0787657215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0.32500000000000001</v>
      </c>
      <c r="K30" s="64">
        <f t="shared" si="6"/>
        <v>0.32500000000000001</v>
      </c>
      <c r="L30" s="38">
        <v>0</v>
      </c>
      <c r="M30" s="64">
        <f t="shared" si="7"/>
        <v>0</v>
      </c>
      <c r="N30" s="65"/>
      <c r="O30" s="63">
        <f t="shared" si="8"/>
        <v>4.8210000000000006</v>
      </c>
      <c r="P30" s="63">
        <f t="shared" si="9"/>
        <v>4.8210000000000006</v>
      </c>
      <c r="Q30" s="66"/>
      <c r="R30" s="63">
        <f t="shared" si="10"/>
        <v>0.33</v>
      </c>
      <c r="S30" s="64">
        <f t="shared" si="11"/>
        <v>0.33</v>
      </c>
      <c r="T30" s="63">
        <f t="shared" si="12"/>
        <v>0</v>
      </c>
      <c r="U30" s="64">
        <f t="shared" si="13"/>
        <v>0</v>
      </c>
      <c r="V30" s="219">
        <f>IF($A31="","",IF(AND(MONTH(A30)&gt;3,MONTH(A30)&lt;11),(T30+R30+G30)*Summary!$T$10/(1-Summary!$T$10),(T30+R30+G30)*Summary!$U$10/(1-Summary!$U$10)))</f>
        <v>3.8919354838709681E-2</v>
      </c>
      <c r="W30" s="63">
        <f t="shared" si="14"/>
        <v>4.86491935483871</v>
      </c>
      <c r="X30" s="63">
        <f t="shared" si="15"/>
        <v>4.86491935483871</v>
      </c>
      <c r="Y30" s="43"/>
      <c r="Z30" s="38">
        <f t="shared" si="16"/>
        <v>1.1000000000000001</v>
      </c>
      <c r="AA30" s="38">
        <f t="shared" si="17"/>
        <v>0.36</v>
      </c>
      <c r="AB30" s="38">
        <f t="shared" ca="1" si="18"/>
        <v>0.39601040696456752</v>
      </c>
      <c r="AC30" s="38">
        <f t="shared" si="19"/>
        <v>1.1000000000000001</v>
      </c>
      <c r="AD30" s="38">
        <f t="shared" si="19"/>
        <v>0.36</v>
      </c>
      <c r="AE30" s="38">
        <f t="shared" ca="1" si="20"/>
        <v>0.39601040696456752</v>
      </c>
      <c r="AF30" s="237">
        <f ca="1">((Summary!$N$10*(AA30*AD30)*(A30-$D$3))+(Summary!$M$10*Z30*AC30*(AJ30-EOMONTH(EDATE(A30,-1),0))))/(AK30*AB30*AE30)</f>
        <v>0.99991722791288018</v>
      </c>
      <c r="AG30" s="88">
        <f>IF($A31="","",Summary!$Q$10)</f>
        <v>0</v>
      </c>
      <c r="AH30" s="88">
        <f>IF($A31="","",IF(Summary!$R$10="Y",(VLOOKUP($A30,Summary!$AD$6:$AF$9,3)+'Escalating commodity'!F43),'Escalating commodity'!F43))</f>
        <v>1.2800000000000001E-2</v>
      </c>
      <c r="AI30" s="88">
        <f t="shared" si="35"/>
        <v>1.2800000000000001E-2</v>
      </c>
      <c r="AJ30" s="236">
        <f t="shared" si="21"/>
        <v>37666</v>
      </c>
      <c r="AK30" s="58">
        <f t="shared" ca="1" si="22"/>
        <v>627</v>
      </c>
      <c r="AL30" s="26">
        <f ca="1">IF($A31="","",_xll.SPRDOPT(P30,X30,AI30,0,AB30,AE30,AF30,AK30,$AJ$2,0))</f>
        <v>1.832581338507451E-3</v>
      </c>
      <c r="AM30" s="89">
        <f t="shared" si="23"/>
        <v>0</v>
      </c>
      <c r="AN30" s="89">
        <f t="shared" ca="1" si="24"/>
        <v>1.832581338507451E-3</v>
      </c>
      <c r="AO30" s="3">
        <f t="shared" si="25"/>
        <v>28</v>
      </c>
      <c r="AP30" s="33">
        <f t="shared" si="26"/>
        <v>37653</v>
      </c>
      <c r="AQ30" s="58">
        <f t="shared" ca="1" si="27"/>
        <v>627</v>
      </c>
      <c r="AR30" s="38">
        <f>'ANR OK vs ML7'!AR30</f>
        <v>0.1</v>
      </c>
      <c r="AS30" s="35">
        <f t="shared" ca="1" si="28"/>
        <v>0.84576853383692097</v>
      </c>
      <c r="AT30" s="3">
        <f t="shared" si="29"/>
        <v>1</v>
      </c>
      <c r="AU30" s="3">
        <f t="shared" si="30"/>
        <v>28</v>
      </c>
      <c r="AW30" s="32">
        <f t="shared" ca="1" si="31"/>
        <v>6144.1321052407011</v>
      </c>
      <c r="AX30" s="32">
        <f t="shared" si="32"/>
        <v>0</v>
      </c>
      <c r="AY30" s="32">
        <f t="shared" ca="1" si="33"/>
        <v>6144.1321052407011</v>
      </c>
      <c r="BA30" s="32">
        <f ca="1">IF($A31="","",F30*Summary!$Q$10)</f>
        <v>0</v>
      </c>
      <c r="BC30" s="256">
        <f t="shared" ca="1" si="36"/>
        <v>0</v>
      </c>
    </row>
    <row r="31" spans="1:55">
      <c r="A31" s="67">
        <f t="shared" si="34"/>
        <v>37681</v>
      </c>
      <c r="B31" s="69">
        <f t="shared" si="37"/>
        <v>119740</v>
      </c>
      <c r="C31" s="71"/>
      <c r="D31" s="69">
        <f t="shared" si="0"/>
        <v>119740</v>
      </c>
      <c r="E31" s="70">
        <f t="shared" si="1"/>
        <v>3711940</v>
      </c>
      <c r="F31" s="70">
        <f t="shared" ca="1" si="2"/>
        <v>3116045.1041450584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0.32500000000000001</v>
      </c>
      <c r="K31" s="64">
        <f t="shared" si="6"/>
        <v>0.32500000000000001</v>
      </c>
      <c r="L31" s="38">
        <v>0</v>
      </c>
      <c r="M31" s="64">
        <f t="shared" si="7"/>
        <v>0</v>
      </c>
      <c r="N31" s="65"/>
      <c r="O31" s="63">
        <f t="shared" si="8"/>
        <v>4.633</v>
      </c>
      <c r="P31" s="63">
        <f t="shared" si="9"/>
        <v>4.633</v>
      </c>
      <c r="Q31" s="66"/>
      <c r="R31" s="63">
        <f t="shared" si="10"/>
        <v>0.33</v>
      </c>
      <c r="S31" s="64">
        <f t="shared" si="11"/>
        <v>0.33</v>
      </c>
      <c r="T31" s="63">
        <f t="shared" si="12"/>
        <v>0</v>
      </c>
      <c r="U31" s="64">
        <f t="shared" si="13"/>
        <v>0</v>
      </c>
      <c r="V31" s="219">
        <f>IF($A32="","",IF(AND(MONTH(A31)&gt;3,MONTH(A31)&lt;11),(T31+R31+G31)*Summary!$T$10/(1-Summary!$T$10),(T31+R31+G31)*Summary!$U$10/(1-Summary!$U$10)))</f>
        <v>3.7403225806451612E-2</v>
      </c>
      <c r="W31" s="63">
        <f t="shared" si="14"/>
        <v>4.675403225806452</v>
      </c>
      <c r="X31" s="63">
        <f t="shared" si="15"/>
        <v>4.675403225806452</v>
      </c>
      <c r="Y31" s="43"/>
      <c r="Z31" s="38">
        <f t="shared" si="16"/>
        <v>0.75</v>
      </c>
      <c r="AA31" s="38">
        <f t="shared" si="17"/>
        <v>0.33800000000000002</v>
      </c>
      <c r="AB31" s="38">
        <f t="shared" ca="1" si="18"/>
        <v>0.35739262306726582</v>
      </c>
      <c r="AC31" s="38">
        <f t="shared" si="19"/>
        <v>0.75</v>
      </c>
      <c r="AD31" s="38">
        <f t="shared" si="19"/>
        <v>0.33800000000000002</v>
      </c>
      <c r="AE31" s="38">
        <f t="shared" ca="1" si="20"/>
        <v>0.35739262306726582</v>
      </c>
      <c r="AF31" s="237">
        <f ca="1">((Summary!$N$10*(AA31*AD31)*(A31-$D$3))+(Summary!$M$10*Z31*AC31*(AJ31-EOMONTH(EDATE(A31,-1),0))))/(AK31*AB31*AE31)</f>
        <v>0.99991042129661112</v>
      </c>
      <c r="AG31" s="88">
        <f>IF($A32="","",Summary!$Q$10)</f>
        <v>0</v>
      </c>
      <c r="AH31" s="88">
        <f>IF($A32="","",IF(Summary!$R$10="Y",(VLOOKUP($A31,Summary!$AD$6:$AF$9,3)+'Escalating commodity'!F44),'Escalating commodity'!F44))</f>
        <v>1.2800000000000001E-2</v>
      </c>
      <c r="AI31" s="88">
        <f t="shared" si="35"/>
        <v>1.2800000000000001E-2</v>
      </c>
      <c r="AJ31" s="236">
        <f t="shared" si="21"/>
        <v>37695.5</v>
      </c>
      <c r="AK31" s="58">
        <f t="shared" ca="1" si="22"/>
        <v>655</v>
      </c>
      <c r="AL31" s="26">
        <f ca="1">IF($A32="","",_xll.SPRDOPT(P31,X31,AI31,0,AB31,AE31,AF31,AK31,$AJ$2,0))</f>
        <v>1.6267651299090892E-3</v>
      </c>
      <c r="AM31" s="89">
        <f t="shared" si="23"/>
        <v>0</v>
      </c>
      <c r="AN31" s="89">
        <f t="shared" ca="1" si="24"/>
        <v>1.6267651299090892E-3</v>
      </c>
      <c r="AO31" s="3">
        <f t="shared" si="25"/>
        <v>31</v>
      </c>
      <c r="AP31" s="33">
        <f t="shared" si="26"/>
        <v>37681</v>
      </c>
      <c r="AQ31" s="58">
        <f t="shared" ca="1" si="27"/>
        <v>655</v>
      </c>
      <c r="AR31" s="38">
        <f>'ANR OK vs ML7'!AR31</f>
        <v>0.1</v>
      </c>
      <c r="AS31" s="35">
        <f t="shared" ca="1" si="28"/>
        <v>0.83946537501820029</v>
      </c>
      <c r="AT31" s="3">
        <f t="shared" si="29"/>
        <v>1</v>
      </c>
      <c r="AU31" s="3">
        <f t="shared" si="30"/>
        <v>31</v>
      </c>
      <c r="AW31" s="32">
        <f t="shared" ca="1" si="31"/>
        <v>6038.4545563147449</v>
      </c>
      <c r="AX31" s="32">
        <f t="shared" si="32"/>
        <v>0</v>
      </c>
      <c r="AY31" s="32">
        <f t="shared" ca="1" si="33"/>
        <v>6038.4545563147449</v>
      </c>
      <c r="BA31" s="32">
        <f ca="1">IF($A32="","",F31*Summary!$Q$10)</f>
        <v>0</v>
      </c>
      <c r="BC31" s="256">
        <f t="shared" ca="1" si="36"/>
        <v>0</v>
      </c>
    </row>
    <row r="32" spans="1:55">
      <c r="A32" s="67">
        <f t="shared" si="34"/>
        <v>37712</v>
      </c>
      <c r="B32" s="69">
        <f t="shared" si="37"/>
        <v>119740</v>
      </c>
      <c r="C32" s="71"/>
      <c r="D32" s="69">
        <f t="shared" si="0"/>
        <v>119740</v>
      </c>
      <c r="E32" s="70">
        <f t="shared" si="1"/>
        <v>3592200</v>
      </c>
      <c r="F32" s="70">
        <f t="shared" ca="1" si="2"/>
        <v>2990656.1406273386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0.19500000000000001</v>
      </c>
      <c r="K32" s="64">
        <f t="shared" si="6"/>
        <v>0.19500000000000001</v>
      </c>
      <c r="L32" s="38">
        <v>0</v>
      </c>
      <c r="M32" s="64">
        <f t="shared" si="7"/>
        <v>0</v>
      </c>
      <c r="N32" s="65"/>
      <c r="O32" s="63">
        <f t="shared" si="8"/>
        <v>4.1749999999999998</v>
      </c>
      <c r="P32" s="63">
        <f t="shared" si="9"/>
        <v>4.1749999999999998</v>
      </c>
      <c r="Q32" s="66"/>
      <c r="R32" s="63">
        <f t="shared" si="10"/>
        <v>0.22500000000000001</v>
      </c>
      <c r="S32" s="64">
        <f t="shared" si="11"/>
        <v>0.22500000000000001</v>
      </c>
      <c r="T32" s="63">
        <f t="shared" si="12"/>
        <v>0</v>
      </c>
      <c r="U32" s="64">
        <f t="shared" si="13"/>
        <v>0</v>
      </c>
      <c r="V32" s="219">
        <f>IF($A33="","",IF(AND(MONTH(A32)&gt;3,MONTH(A32)&lt;11),(T32+R32+G32)*Summary!$T$10/(1-Summary!$T$10),(T32+R32+G32)*Summary!$U$10/(1-Summary!$U$10)))</f>
        <v>3.3911290322580646E-2</v>
      </c>
      <c r="W32" s="63">
        <f t="shared" si="14"/>
        <v>4.238911290322581</v>
      </c>
      <c r="X32" s="63">
        <f t="shared" si="15"/>
        <v>4.238911290322581</v>
      </c>
      <c r="Y32" s="43"/>
      <c r="Z32" s="38">
        <f t="shared" si="16"/>
        <v>0.45</v>
      </c>
      <c r="AA32" s="38">
        <f t="shared" si="17"/>
        <v>0.32</v>
      </c>
      <c r="AB32" s="38">
        <f t="shared" ca="1" si="18"/>
        <v>0.32707356007880534</v>
      </c>
      <c r="AC32" s="38">
        <f t="shared" si="19"/>
        <v>0.45</v>
      </c>
      <c r="AD32" s="38">
        <f t="shared" si="19"/>
        <v>0.32</v>
      </c>
      <c r="AE32" s="38">
        <f t="shared" ca="1" si="20"/>
        <v>0.32707356007880534</v>
      </c>
      <c r="AF32" s="237">
        <f ca="1">((Summary!$N$10*(AA32*AD32)*(A32-$D$3))+(Summary!$M$10*Z32*AC32*(AJ32-EOMONTH(EDATE(A32,-1),0))))/(AK32*AB32*AE32)</f>
        <v>0.99990413905592768</v>
      </c>
      <c r="AG32" s="88">
        <f>IF($A33="","",Summary!$Q$10)</f>
        <v>0</v>
      </c>
      <c r="AH32" s="88">
        <f>IF($A33="","",IF(Summary!$R$10="Y",(VLOOKUP($A32,Summary!$AD$6:$AF$9,3)+'Escalating commodity'!F45),'Escalating commodity'!F45))</f>
        <v>1.2800000000000001E-2</v>
      </c>
      <c r="AI32" s="88">
        <f t="shared" si="35"/>
        <v>1.2800000000000001E-2</v>
      </c>
      <c r="AJ32" s="236">
        <f t="shared" si="21"/>
        <v>37726</v>
      </c>
      <c r="AK32" s="58">
        <f t="shared" ca="1" si="22"/>
        <v>686</v>
      </c>
      <c r="AL32" s="26">
        <f ca="1">IF($A33="","",_xll.SPRDOPT(P32,X32,AI32,0,AB32,AE32,AF32,AK32,$AJ$2,0))</f>
        <v>8.0287744875968091E-4</v>
      </c>
      <c r="AM32" s="89">
        <f t="shared" si="23"/>
        <v>0</v>
      </c>
      <c r="AN32" s="89">
        <f t="shared" ca="1" si="24"/>
        <v>8.0287744875968091E-4</v>
      </c>
      <c r="AO32" s="3">
        <f t="shared" si="25"/>
        <v>30</v>
      </c>
      <c r="AP32" s="33">
        <f t="shared" si="26"/>
        <v>37712</v>
      </c>
      <c r="AQ32" s="58">
        <f t="shared" ca="1" si="27"/>
        <v>686</v>
      </c>
      <c r="AR32" s="38">
        <f>'ANR OK vs ML7'!AR32</f>
        <v>0.1</v>
      </c>
      <c r="AS32" s="35">
        <f t="shared" ca="1" si="28"/>
        <v>0.83254165709797301</v>
      </c>
      <c r="AT32" s="3">
        <f t="shared" si="29"/>
        <v>1</v>
      </c>
      <c r="AU32" s="3">
        <f t="shared" si="30"/>
        <v>30</v>
      </c>
      <c r="AW32" s="32">
        <f t="shared" ca="1" si="31"/>
        <v>2884.0963714345257</v>
      </c>
      <c r="AX32" s="32">
        <f t="shared" si="32"/>
        <v>0</v>
      </c>
      <c r="AY32" s="32">
        <f t="shared" ca="1" si="33"/>
        <v>2884.0963714345257</v>
      </c>
      <c r="BA32" s="32">
        <f ca="1">IF($A33="","",F32*Summary!$Q$10)</f>
        <v>0</v>
      </c>
      <c r="BC32" s="256">
        <f t="shared" ca="1" si="36"/>
        <v>0</v>
      </c>
    </row>
    <row r="33" spans="1:55">
      <c r="A33" s="67">
        <f t="shared" si="34"/>
        <v>37742</v>
      </c>
      <c r="B33" s="69">
        <f t="shared" si="37"/>
        <v>119740</v>
      </c>
      <c r="C33" s="71"/>
      <c r="D33" s="69">
        <f t="shared" si="0"/>
        <v>119740</v>
      </c>
      <c r="E33" s="70">
        <f t="shared" si="1"/>
        <v>3711940</v>
      </c>
      <c r="F33" s="70">
        <f t="shared" ca="1" si="2"/>
        <v>3065675.1419037324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0.19500000000000001</v>
      </c>
      <c r="K33" s="64">
        <f t="shared" si="6"/>
        <v>0.19500000000000001</v>
      </c>
      <c r="L33" s="38">
        <v>0</v>
      </c>
      <c r="M33" s="64">
        <f t="shared" si="7"/>
        <v>0</v>
      </c>
      <c r="N33" s="65"/>
      <c r="O33" s="63">
        <f t="shared" si="8"/>
        <v>4.1349999999999998</v>
      </c>
      <c r="P33" s="63">
        <f t="shared" si="9"/>
        <v>4.1349999999999998</v>
      </c>
      <c r="Q33" s="66"/>
      <c r="R33" s="63">
        <f t="shared" si="10"/>
        <v>0.22500000000000001</v>
      </c>
      <c r="S33" s="64">
        <f t="shared" si="11"/>
        <v>0.22500000000000001</v>
      </c>
      <c r="T33" s="63">
        <f t="shared" si="12"/>
        <v>0</v>
      </c>
      <c r="U33" s="64">
        <f t="shared" si="13"/>
        <v>0</v>
      </c>
      <c r="V33" s="219">
        <f>IF($A34="","",IF(AND(MONTH(A33)&gt;3,MONTH(A33)&lt;11),(T33+R33+G33)*Summary!$T$10/(1-Summary!$T$10),(T33+R33+G33)*Summary!$U$10/(1-Summary!$U$10)))</f>
        <v>3.3588709677419358E-2</v>
      </c>
      <c r="W33" s="63">
        <f t="shared" si="14"/>
        <v>4.198588709677419</v>
      </c>
      <c r="X33" s="63">
        <f t="shared" si="15"/>
        <v>4.198588709677419</v>
      </c>
      <c r="Y33" s="43"/>
      <c r="Z33" s="38">
        <f t="shared" si="16"/>
        <v>0.5</v>
      </c>
      <c r="AA33" s="38">
        <f t="shared" si="17"/>
        <v>0.318</v>
      </c>
      <c r="AB33" s="38">
        <f t="shared" ca="1" si="18"/>
        <v>0.32661482790904622</v>
      </c>
      <c r="AC33" s="38">
        <f t="shared" si="19"/>
        <v>0.5</v>
      </c>
      <c r="AD33" s="38">
        <f t="shared" si="19"/>
        <v>0.318</v>
      </c>
      <c r="AE33" s="38">
        <f t="shared" ca="1" si="20"/>
        <v>0.32661482790904622</v>
      </c>
      <c r="AF33" s="237">
        <f ca="1">((Summary!$N$10*(AA33*AD33)*(A33-$D$3))+(Summary!$M$10*Z33*AC33*(AJ33-EOMONTH(EDATE(A33,-1),0))))/(AK33*AB33*AE33)</f>
        <v>0.99990507325731193</v>
      </c>
      <c r="AG33" s="88">
        <f>IF($A34="","",Summary!$Q$10)</f>
        <v>0</v>
      </c>
      <c r="AH33" s="88">
        <f>IF($A34="","",IF(Summary!$R$10="Y",(VLOOKUP($A33,Summary!$AD$6:$AF$9,3)+'Escalating commodity'!F46),'Escalating commodity'!F46))</f>
        <v>1.2800000000000001E-2</v>
      </c>
      <c r="AI33" s="88">
        <f t="shared" si="35"/>
        <v>1.2800000000000001E-2</v>
      </c>
      <c r="AJ33" s="236">
        <f t="shared" si="21"/>
        <v>37756.5</v>
      </c>
      <c r="AK33" s="58">
        <f t="shared" ca="1" si="22"/>
        <v>716</v>
      </c>
      <c r="AL33" s="26">
        <f ca="1">IF($A34="","",_xll.SPRDOPT(P33,X33,AI33,0,AB33,AE33,AF33,AK33,$AJ$2,0))</f>
        <v>8.2312194771063003E-4</v>
      </c>
      <c r="AM33" s="89">
        <f t="shared" si="23"/>
        <v>0</v>
      </c>
      <c r="AN33" s="89">
        <f t="shared" ca="1" si="24"/>
        <v>8.2312194771063003E-4</v>
      </c>
      <c r="AO33" s="3">
        <f t="shared" si="25"/>
        <v>31</v>
      </c>
      <c r="AP33" s="33">
        <f t="shared" si="26"/>
        <v>37742</v>
      </c>
      <c r="AQ33" s="58">
        <f t="shared" ca="1" si="27"/>
        <v>716</v>
      </c>
      <c r="AR33" s="38">
        <f>'ANR OK vs ML7'!AR33</f>
        <v>0.1</v>
      </c>
      <c r="AS33" s="35">
        <f t="shared" ca="1" si="28"/>
        <v>0.825895661541871</v>
      </c>
      <c r="AT33" s="3">
        <f t="shared" si="29"/>
        <v>1</v>
      </c>
      <c r="AU33" s="3">
        <f t="shared" si="30"/>
        <v>31</v>
      </c>
      <c r="AW33" s="32">
        <f t="shared" ca="1" si="31"/>
        <v>3055.379282584996</v>
      </c>
      <c r="AX33" s="32">
        <f t="shared" si="32"/>
        <v>0</v>
      </c>
      <c r="AY33" s="32">
        <f t="shared" ca="1" si="33"/>
        <v>3055.379282584996</v>
      </c>
      <c r="BA33" s="32">
        <f ca="1">IF($A34="","",F33*Summary!$Q$10)</f>
        <v>0</v>
      </c>
      <c r="BC33" s="256">
        <f t="shared" ca="1" si="36"/>
        <v>0</v>
      </c>
    </row>
    <row r="34" spans="1:55">
      <c r="A34" s="67">
        <f t="shared" si="34"/>
        <v>37773</v>
      </c>
      <c r="B34" s="69">
        <f t="shared" si="37"/>
        <v>119740</v>
      </c>
      <c r="C34" s="71"/>
      <c r="D34" s="69">
        <f t="shared" si="0"/>
        <v>119740</v>
      </c>
      <c r="E34" s="70">
        <f t="shared" si="1"/>
        <v>3592200</v>
      </c>
      <c r="F34" s="70">
        <f t="shared" ca="1" si="2"/>
        <v>2942313.0544891427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0.19500000000000001</v>
      </c>
      <c r="K34" s="64">
        <f t="shared" si="6"/>
        <v>0.19500000000000001</v>
      </c>
      <c r="L34" s="38">
        <v>0</v>
      </c>
      <c r="M34" s="64">
        <f t="shared" si="7"/>
        <v>0</v>
      </c>
      <c r="N34" s="65"/>
      <c r="O34" s="63">
        <f t="shared" si="8"/>
        <v>4.165</v>
      </c>
      <c r="P34" s="63">
        <f t="shared" si="9"/>
        <v>4.165</v>
      </c>
      <c r="Q34" s="66"/>
      <c r="R34" s="63">
        <f t="shared" si="10"/>
        <v>0.22500000000000001</v>
      </c>
      <c r="S34" s="64">
        <f t="shared" si="11"/>
        <v>0.22500000000000001</v>
      </c>
      <c r="T34" s="63">
        <f t="shared" si="12"/>
        <v>0</v>
      </c>
      <c r="U34" s="64">
        <f t="shared" si="13"/>
        <v>0</v>
      </c>
      <c r="V34" s="219">
        <f>IF($A35="","",IF(AND(MONTH(A34)&gt;3,MONTH(A34)&lt;11),(T34+R34+G34)*Summary!$T$10/(1-Summary!$T$10),(T34+R34+G34)*Summary!$U$10/(1-Summary!$U$10)))</f>
        <v>3.3830645161290321E-2</v>
      </c>
      <c r="W34" s="63">
        <f t="shared" si="14"/>
        <v>4.2288306451612909</v>
      </c>
      <c r="X34" s="63">
        <f t="shared" si="15"/>
        <v>4.2288306451612909</v>
      </c>
      <c r="Y34" s="43"/>
      <c r="Z34" s="38">
        <f t="shared" si="16"/>
        <v>0.5</v>
      </c>
      <c r="AA34" s="38">
        <f t="shared" si="17"/>
        <v>0.318</v>
      </c>
      <c r="AB34" s="38">
        <f t="shared" ca="1" si="18"/>
        <v>0.32600529721963267</v>
      </c>
      <c r="AC34" s="38">
        <f t="shared" si="19"/>
        <v>0.5</v>
      </c>
      <c r="AD34" s="38">
        <f t="shared" si="19"/>
        <v>0.318</v>
      </c>
      <c r="AE34" s="38">
        <f t="shared" ca="1" si="20"/>
        <v>0.32600529721963267</v>
      </c>
      <c r="AF34" s="237">
        <f ca="1">((Summary!$N$10*(AA34*AD34)*(A34-$D$3))+(Summary!$M$10*Z34*AC34*(AJ34-EOMONTH(EDATE(A34,-1),0))))/(AK34*AB34*AE34)</f>
        <v>0.99990472347207415</v>
      </c>
      <c r="AG34" s="88">
        <f>IF($A35="","",Summary!$Q$10)</f>
        <v>0</v>
      </c>
      <c r="AH34" s="88">
        <f>IF($A35="","",IF(Summary!$R$10="Y",(VLOOKUP($A34,Summary!$AD$6:$AF$9,3)+'Escalating commodity'!F47),'Escalating commodity'!F47))</f>
        <v>1.2800000000000001E-2</v>
      </c>
      <c r="AI34" s="88">
        <f t="shared" si="35"/>
        <v>1.2800000000000001E-2</v>
      </c>
      <c r="AJ34" s="236">
        <f t="shared" si="21"/>
        <v>37787</v>
      </c>
      <c r="AK34" s="58">
        <f t="shared" ca="1" si="22"/>
        <v>747</v>
      </c>
      <c r="AL34" s="26">
        <f ca="1">IF($A35="","",_xll.SPRDOPT(P34,X34,AI34,0,AB34,AE34,AF34,AK34,$AJ$2,0))</f>
        <v>8.8082097450879922E-4</v>
      </c>
      <c r="AM34" s="89">
        <f t="shared" si="23"/>
        <v>0</v>
      </c>
      <c r="AN34" s="89">
        <f t="shared" ca="1" si="24"/>
        <v>8.8082097450879922E-4</v>
      </c>
      <c r="AO34" s="3">
        <f t="shared" si="25"/>
        <v>30</v>
      </c>
      <c r="AP34" s="33">
        <f t="shared" si="26"/>
        <v>37773</v>
      </c>
      <c r="AQ34" s="58">
        <f t="shared" ca="1" si="27"/>
        <v>747</v>
      </c>
      <c r="AR34" s="38">
        <f>'ANR OK vs ML7'!AR34</f>
        <v>0.1</v>
      </c>
      <c r="AS34" s="35">
        <f t="shared" ca="1" si="28"/>
        <v>0.8190838635068044</v>
      </c>
      <c r="AT34" s="3">
        <f t="shared" si="29"/>
        <v>1</v>
      </c>
      <c r="AU34" s="3">
        <f t="shared" si="30"/>
        <v>30</v>
      </c>
      <c r="AW34" s="32">
        <f t="shared" ca="1" si="31"/>
        <v>3164.0851046305083</v>
      </c>
      <c r="AX34" s="32">
        <f t="shared" si="32"/>
        <v>0</v>
      </c>
      <c r="AY34" s="32">
        <f t="shared" ca="1" si="33"/>
        <v>3164.0851046305083</v>
      </c>
      <c r="BA34" s="32">
        <f ca="1">IF($A35="","",F34*Summary!$Q$10)</f>
        <v>0</v>
      </c>
      <c r="BC34" s="256">
        <f t="shared" ca="1" si="36"/>
        <v>0</v>
      </c>
    </row>
    <row r="35" spans="1:55">
      <c r="A35" s="67">
        <f t="shared" si="34"/>
        <v>37803</v>
      </c>
      <c r="B35" s="69">
        <f t="shared" si="37"/>
        <v>119740</v>
      </c>
      <c r="C35" s="71"/>
      <c r="D35" s="69">
        <f t="shared" si="0"/>
        <v>119740</v>
      </c>
      <c r="E35" s="70">
        <f t="shared" si="1"/>
        <v>3711940</v>
      </c>
      <c r="F35" s="70">
        <f t="shared" ca="1" si="2"/>
        <v>3016119.3954427941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0.19500000000000001</v>
      </c>
      <c r="K35" s="64">
        <f t="shared" si="6"/>
        <v>0.19500000000000001</v>
      </c>
      <c r="L35" s="38">
        <v>0</v>
      </c>
      <c r="M35" s="64">
        <f t="shared" si="7"/>
        <v>0</v>
      </c>
      <c r="N35" s="65"/>
      <c r="O35" s="63">
        <f t="shared" si="8"/>
        <v>4.2050000000000001</v>
      </c>
      <c r="P35" s="63">
        <f t="shared" si="9"/>
        <v>4.2050000000000001</v>
      </c>
      <c r="Q35" s="66"/>
      <c r="R35" s="63">
        <f t="shared" si="10"/>
        <v>0.22500000000000001</v>
      </c>
      <c r="S35" s="64">
        <f t="shared" si="11"/>
        <v>0.22500000000000001</v>
      </c>
      <c r="T35" s="63">
        <f t="shared" si="12"/>
        <v>0</v>
      </c>
      <c r="U35" s="64">
        <f t="shared" si="13"/>
        <v>0</v>
      </c>
      <c r="V35" s="219">
        <f>IF($A36="","",IF(AND(MONTH(A35)&gt;3,MONTH(A35)&lt;11),(T35+R35+G35)*Summary!$T$10/(1-Summary!$T$10),(T35+R35+G35)*Summary!$U$10/(1-Summary!$U$10)))</f>
        <v>3.4153225806451609E-2</v>
      </c>
      <c r="W35" s="63">
        <f t="shared" si="14"/>
        <v>4.2691532258064511</v>
      </c>
      <c r="X35" s="63">
        <f t="shared" si="15"/>
        <v>4.2691532258064511</v>
      </c>
      <c r="Y35" s="43"/>
      <c r="Z35" s="38">
        <f t="shared" si="16"/>
        <v>0.55000000000000004</v>
      </c>
      <c r="AA35" s="38">
        <f t="shared" si="17"/>
        <v>0.318</v>
      </c>
      <c r="AB35" s="38">
        <f t="shared" ca="1" si="18"/>
        <v>0.32754934590466517</v>
      </c>
      <c r="AC35" s="38">
        <f t="shared" si="19"/>
        <v>0.55000000000000004</v>
      </c>
      <c r="AD35" s="38">
        <f t="shared" si="19"/>
        <v>0.318</v>
      </c>
      <c r="AE35" s="38">
        <f t="shared" ca="1" si="20"/>
        <v>0.32754934590466517</v>
      </c>
      <c r="AF35" s="237">
        <f ca="1">((Summary!$N$10*(AA35*AD35)*(A35-$D$3))+(Summary!$M$10*Z35*AC35*(AJ35-EOMONTH(EDATE(A35,-1),0))))/(AK35*AB35*AE35)</f>
        <v>0.99990562448270071</v>
      </c>
      <c r="AG35" s="88">
        <f>IF($A36="","",Summary!$Q$10)</f>
        <v>0</v>
      </c>
      <c r="AH35" s="88">
        <f>IF($A36="","",IF(Summary!$R$10="Y",(VLOOKUP($A35,Summary!$AD$6:$AF$9,3)+'Escalating commodity'!F48),'Escalating commodity'!F48))</f>
        <v>1.2800000000000001E-2</v>
      </c>
      <c r="AI35" s="88">
        <f t="shared" si="35"/>
        <v>1.2800000000000001E-2</v>
      </c>
      <c r="AJ35" s="236">
        <f t="shared" si="21"/>
        <v>37817.5</v>
      </c>
      <c r="AK35" s="58">
        <f t="shared" ca="1" si="22"/>
        <v>777</v>
      </c>
      <c r="AL35" s="26">
        <f ca="1">IF($A36="","",_xll.SPRDOPT(P35,X35,AI35,0,AB35,AE35,AF35,AK35,$AJ$2,0))</f>
        <v>9.4520367243322405E-4</v>
      </c>
      <c r="AM35" s="89">
        <f t="shared" si="23"/>
        <v>0</v>
      </c>
      <c r="AN35" s="89">
        <f t="shared" ca="1" si="24"/>
        <v>9.4520367243322405E-4</v>
      </c>
      <c r="AO35" s="3">
        <f t="shared" si="25"/>
        <v>31</v>
      </c>
      <c r="AP35" s="33">
        <f t="shared" si="26"/>
        <v>37803</v>
      </c>
      <c r="AQ35" s="58">
        <f t="shared" ca="1" si="27"/>
        <v>777</v>
      </c>
      <c r="AR35" s="38">
        <f>'ANR OK vs ML7'!AR35</f>
        <v>0.1</v>
      </c>
      <c r="AS35" s="35">
        <f t="shared" ca="1" si="28"/>
        <v>0.81254529853467294</v>
      </c>
      <c r="AT35" s="3">
        <f t="shared" si="29"/>
        <v>1</v>
      </c>
      <c r="AU35" s="3">
        <f t="shared" si="30"/>
        <v>31</v>
      </c>
      <c r="AW35" s="32">
        <f t="shared" ca="1" si="31"/>
        <v>3508.5393198517818</v>
      </c>
      <c r="AX35" s="32">
        <f t="shared" si="32"/>
        <v>0</v>
      </c>
      <c r="AY35" s="32">
        <f t="shared" ca="1" si="33"/>
        <v>3508.5393198517818</v>
      </c>
      <c r="BA35" s="32">
        <f ca="1">IF($A36="","",F35*Summary!$Q$10)</f>
        <v>0</v>
      </c>
      <c r="BC35" s="256">
        <f t="shared" ca="1" si="36"/>
        <v>0</v>
      </c>
    </row>
    <row r="36" spans="1:55">
      <c r="A36" s="67">
        <f t="shared" si="34"/>
        <v>37834</v>
      </c>
      <c r="B36" s="69">
        <f t="shared" si="37"/>
        <v>119740</v>
      </c>
      <c r="C36" s="71"/>
      <c r="D36" s="69">
        <f t="shared" si="0"/>
        <v>119740</v>
      </c>
      <c r="E36" s="70">
        <f t="shared" si="1"/>
        <v>3711940</v>
      </c>
      <c r="F36" s="70">
        <f t="shared" ca="1" si="2"/>
        <v>2991243.1342779784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0.19500000000000001</v>
      </c>
      <c r="K36" s="64">
        <f t="shared" si="6"/>
        <v>0.19500000000000001</v>
      </c>
      <c r="L36" s="38">
        <v>0</v>
      </c>
      <c r="M36" s="64">
        <f t="shared" si="7"/>
        <v>0</v>
      </c>
      <c r="N36" s="65"/>
      <c r="O36" s="63">
        <f t="shared" si="8"/>
        <v>4.2510000000000003</v>
      </c>
      <c r="P36" s="63">
        <f t="shared" si="9"/>
        <v>4.2510000000000003</v>
      </c>
      <c r="Q36" s="66"/>
      <c r="R36" s="63">
        <f t="shared" si="10"/>
        <v>0.22500000000000001</v>
      </c>
      <c r="S36" s="64">
        <f t="shared" si="11"/>
        <v>0.22500000000000001</v>
      </c>
      <c r="T36" s="63">
        <f t="shared" si="12"/>
        <v>0</v>
      </c>
      <c r="U36" s="64">
        <f t="shared" si="13"/>
        <v>0</v>
      </c>
      <c r="V36" s="219">
        <f>IF($A37="","",IF(AND(MONTH(A36)&gt;3,MONTH(A36)&lt;11),(T36+R36+G36)*Summary!$T$10/(1-Summary!$T$10),(T36+R36+G36)*Summary!$U$10/(1-Summary!$U$10)))</f>
        <v>3.4524193548387094E-2</v>
      </c>
      <c r="W36" s="63">
        <f t="shared" si="14"/>
        <v>4.315524193548387</v>
      </c>
      <c r="X36" s="63">
        <f t="shared" si="15"/>
        <v>4.315524193548387</v>
      </c>
      <c r="Y36" s="43"/>
      <c r="Z36" s="38">
        <f t="shared" si="16"/>
        <v>0.6</v>
      </c>
      <c r="AA36" s="38">
        <f t="shared" si="17"/>
        <v>0.318</v>
      </c>
      <c r="AB36" s="38">
        <f t="shared" ca="1" si="18"/>
        <v>0.32886941794488272</v>
      </c>
      <c r="AC36" s="38">
        <f t="shared" si="19"/>
        <v>0.6</v>
      </c>
      <c r="AD36" s="38">
        <f t="shared" si="19"/>
        <v>0.318</v>
      </c>
      <c r="AE36" s="38">
        <f t="shared" ca="1" si="20"/>
        <v>0.32886941794488272</v>
      </c>
      <c r="AF36" s="237">
        <f ca="1">((Summary!$N$10*(AA36*AD36)*(A36-$D$3))+(Summary!$M$10*Z36*AC36*(AJ36-EOMONTH(EDATE(A36,-1),0))))/(AK36*AB36*AE36)</f>
        <v>0.99990638521990483</v>
      </c>
      <c r="AG36" s="88">
        <f>IF($A37="","",Summary!$Q$10)</f>
        <v>0</v>
      </c>
      <c r="AH36" s="88">
        <f>IF($A37="","",IF(Summary!$R$10="Y",(VLOOKUP($A36,Summary!$AD$6:$AF$9,3)+'Escalating commodity'!F49),'Escalating commodity'!F49))</f>
        <v>1.2800000000000001E-2</v>
      </c>
      <c r="AI36" s="88">
        <f t="shared" si="35"/>
        <v>1.2800000000000001E-2</v>
      </c>
      <c r="AJ36" s="236">
        <f t="shared" si="21"/>
        <v>37848.5</v>
      </c>
      <c r="AK36" s="58">
        <f t="shared" ca="1" si="22"/>
        <v>808</v>
      </c>
      <c r="AL36" s="26">
        <f ca="1">IF($A37="","",_xll.SPRDOPT(P36,X36,AI36,0,AB36,AE36,AF36,AK36,$AJ$2,0))</f>
        <v>1.014207364881144E-3</v>
      </c>
      <c r="AM36" s="89">
        <f t="shared" si="23"/>
        <v>0</v>
      </c>
      <c r="AN36" s="89">
        <f t="shared" ca="1" si="24"/>
        <v>1.014207364881144E-3</v>
      </c>
      <c r="AO36" s="3">
        <f t="shared" si="25"/>
        <v>31</v>
      </c>
      <c r="AP36" s="33">
        <f t="shared" si="26"/>
        <v>37834</v>
      </c>
      <c r="AQ36" s="58">
        <f t="shared" ca="1" si="27"/>
        <v>808</v>
      </c>
      <c r="AR36" s="38">
        <f>'ANR OK vs ML7'!AR36</f>
        <v>0.1</v>
      </c>
      <c r="AS36" s="35">
        <f t="shared" ca="1" si="28"/>
        <v>0.80584361123239556</v>
      </c>
      <c r="AT36" s="3">
        <f t="shared" si="29"/>
        <v>1</v>
      </c>
      <c r="AU36" s="3">
        <f t="shared" si="30"/>
        <v>31</v>
      </c>
      <c r="AW36" s="32">
        <f t="shared" ca="1" si="31"/>
        <v>3764.6768859969138</v>
      </c>
      <c r="AX36" s="32">
        <f t="shared" si="32"/>
        <v>0</v>
      </c>
      <c r="AY36" s="32">
        <f t="shared" ca="1" si="33"/>
        <v>3764.6768859969138</v>
      </c>
      <c r="BA36" s="32">
        <f ca="1">IF($A37="","",F36*Summary!$Q$10)</f>
        <v>0</v>
      </c>
      <c r="BC36" s="256">
        <f t="shared" ca="1" si="36"/>
        <v>0</v>
      </c>
    </row>
    <row r="37" spans="1:55">
      <c r="A37" s="67">
        <f t="shared" si="34"/>
        <v>37865</v>
      </c>
      <c r="B37" s="69">
        <f t="shared" si="37"/>
        <v>119740</v>
      </c>
      <c r="C37" s="71"/>
      <c r="D37" s="69">
        <f t="shared" si="0"/>
        <v>119740</v>
      </c>
      <c r="E37" s="70">
        <f t="shared" si="1"/>
        <v>3592200</v>
      </c>
      <c r="F37" s="70">
        <f t="shared" ca="1" si="2"/>
        <v>2870876.174333245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0.19500000000000001</v>
      </c>
      <c r="K37" s="64">
        <f t="shared" si="6"/>
        <v>0.19500000000000001</v>
      </c>
      <c r="L37" s="38">
        <v>0</v>
      </c>
      <c r="M37" s="64">
        <f t="shared" si="7"/>
        <v>0</v>
      </c>
      <c r="N37" s="65"/>
      <c r="O37" s="63">
        <f t="shared" si="8"/>
        <v>4.2600000000000007</v>
      </c>
      <c r="P37" s="63">
        <f t="shared" si="9"/>
        <v>4.2600000000000007</v>
      </c>
      <c r="Q37" s="66"/>
      <c r="R37" s="63">
        <f t="shared" si="10"/>
        <v>0.22500000000000001</v>
      </c>
      <c r="S37" s="64">
        <f t="shared" si="11"/>
        <v>0.22500000000000001</v>
      </c>
      <c r="T37" s="63">
        <f t="shared" si="12"/>
        <v>0</v>
      </c>
      <c r="U37" s="64">
        <f t="shared" si="13"/>
        <v>0</v>
      </c>
      <c r="V37" s="219">
        <f>IF($A38="","",IF(AND(MONTH(A37)&gt;3,MONTH(A37)&lt;11),(T37+R37+G37)*Summary!$T$10/(1-Summary!$T$10),(T37+R37+G37)*Summary!$U$10/(1-Summary!$U$10)))</f>
        <v>3.4596774193548389E-2</v>
      </c>
      <c r="W37" s="63">
        <f t="shared" si="14"/>
        <v>4.324596774193548</v>
      </c>
      <c r="X37" s="63">
        <f t="shared" si="15"/>
        <v>4.324596774193548</v>
      </c>
      <c r="Y37" s="43"/>
      <c r="Z37" s="38">
        <f t="shared" si="16"/>
        <v>0.6</v>
      </c>
      <c r="AA37" s="38">
        <f t="shared" si="17"/>
        <v>0.318</v>
      </c>
      <c r="AB37" s="38">
        <f t="shared" ca="1" si="18"/>
        <v>0.32814747113587894</v>
      </c>
      <c r="AC37" s="38">
        <f t="shared" si="19"/>
        <v>0.6</v>
      </c>
      <c r="AD37" s="38">
        <f t="shared" si="19"/>
        <v>0.318</v>
      </c>
      <c r="AE37" s="38">
        <f t="shared" ca="1" si="20"/>
        <v>0.32814747113587894</v>
      </c>
      <c r="AF37" s="237">
        <f ca="1">((Summary!$N$10*(AA37*AD37)*(A37-$D$3))+(Summary!$M$10*Z37*AC37*(AJ37-EOMONTH(EDATE(A37,-1),0))))/(AK37*AB37*AE37)</f>
        <v>0.99990597714340346</v>
      </c>
      <c r="AG37" s="88">
        <f>IF($A38="","",Summary!$Q$10)</f>
        <v>0</v>
      </c>
      <c r="AH37" s="88">
        <f>IF($A38="","",IF(Summary!$R$10="Y",(VLOOKUP($A37,Summary!$AD$6:$AF$9,3)+'Escalating commodity'!F50),'Escalating commodity'!F50))</f>
        <v>1.2800000000000001E-2</v>
      </c>
      <c r="AI37" s="88">
        <f t="shared" si="35"/>
        <v>1.2800000000000001E-2</v>
      </c>
      <c r="AJ37" s="236">
        <f t="shared" si="21"/>
        <v>37879</v>
      </c>
      <c r="AK37" s="58">
        <f t="shared" ca="1" si="22"/>
        <v>839</v>
      </c>
      <c r="AL37" s="26">
        <f ca="1">IF($A38="","",_xll.SPRDOPT(P37,X37,AI37,0,AB37,AE37,AF37,AK37,$AJ$2,0))</f>
        <v>1.0649673237687219E-3</v>
      </c>
      <c r="AM37" s="89">
        <f t="shared" si="23"/>
        <v>0</v>
      </c>
      <c r="AN37" s="89">
        <f t="shared" ca="1" si="24"/>
        <v>1.0649673237687219E-3</v>
      </c>
      <c r="AO37" s="3">
        <f t="shared" si="25"/>
        <v>30</v>
      </c>
      <c r="AP37" s="33">
        <f t="shared" si="26"/>
        <v>37865</v>
      </c>
      <c r="AQ37" s="58">
        <f t="shared" ca="1" si="27"/>
        <v>839</v>
      </c>
      <c r="AR37" s="38">
        <f>'ANR OK vs ML7'!AR37</f>
        <v>0.1</v>
      </c>
      <c r="AS37" s="35">
        <f t="shared" ca="1" si="28"/>
        <v>0.79919719791026256</v>
      </c>
      <c r="AT37" s="3">
        <f t="shared" si="29"/>
        <v>1</v>
      </c>
      <c r="AU37" s="3">
        <f t="shared" si="30"/>
        <v>30</v>
      </c>
      <c r="AW37" s="32">
        <f t="shared" ca="1" si="31"/>
        <v>3825.5756204420027</v>
      </c>
      <c r="AX37" s="32">
        <f t="shared" si="32"/>
        <v>0</v>
      </c>
      <c r="AY37" s="32">
        <f t="shared" ca="1" si="33"/>
        <v>3825.5756204420027</v>
      </c>
      <c r="BA37" s="32">
        <f ca="1">IF($A38="","",F37*Summary!$Q$10)</f>
        <v>0</v>
      </c>
      <c r="BC37" s="256">
        <f t="shared" ca="1" si="36"/>
        <v>0</v>
      </c>
    </row>
    <row r="38" spans="1:55">
      <c r="A38" s="67">
        <f t="shared" si="34"/>
        <v>37895</v>
      </c>
      <c r="B38" s="69">
        <f t="shared" si="37"/>
        <v>119740</v>
      </c>
      <c r="C38" s="71"/>
      <c r="D38" s="69">
        <f t="shared" si="0"/>
        <v>119740</v>
      </c>
      <c r="E38" s="70">
        <f t="shared" si="1"/>
        <v>3711940</v>
      </c>
      <c r="F38" s="70">
        <f t="shared" ca="1" si="2"/>
        <v>2942890.5595582537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0.19500000000000001</v>
      </c>
      <c r="K38" s="64">
        <f t="shared" si="6"/>
        <v>0.19500000000000001</v>
      </c>
      <c r="L38" s="38">
        <v>0</v>
      </c>
      <c r="M38" s="64">
        <f t="shared" si="7"/>
        <v>0</v>
      </c>
      <c r="N38" s="65"/>
      <c r="O38" s="63">
        <f t="shared" si="8"/>
        <v>4.2810000000000006</v>
      </c>
      <c r="P38" s="63">
        <f t="shared" si="9"/>
        <v>4.2810000000000006</v>
      </c>
      <c r="Q38" s="66"/>
      <c r="R38" s="63">
        <f t="shared" si="10"/>
        <v>0.22500000000000001</v>
      </c>
      <c r="S38" s="64">
        <f t="shared" si="11"/>
        <v>0.22500000000000001</v>
      </c>
      <c r="T38" s="63">
        <f t="shared" si="12"/>
        <v>0</v>
      </c>
      <c r="U38" s="64">
        <f t="shared" si="13"/>
        <v>0</v>
      </c>
      <c r="V38" s="219">
        <f>IF($A39="","",IF(AND(MONTH(A38)&gt;3,MONTH(A38)&lt;11),(T38+R38+G38)*Summary!$T$10/(1-Summary!$T$10),(T38+R38+G38)*Summary!$U$10/(1-Summary!$U$10)))</f>
        <v>3.4766129032258064E-2</v>
      </c>
      <c r="W38" s="63">
        <f t="shared" si="14"/>
        <v>4.345766129032258</v>
      </c>
      <c r="X38" s="63">
        <f t="shared" si="15"/>
        <v>4.345766129032258</v>
      </c>
      <c r="Y38" s="43"/>
      <c r="Z38" s="38">
        <f t="shared" si="16"/>
        <v>0.65</v>
      </c>
      <c r="AA38" s="38">
        <f t="shared" si="17"/>
        <v>0.32</v>
      </c>
      <c r="AB38" s="38">
        <f t="shared" ca="1" si="18"/>
        <v>0.33174357185687026</v>
      </c>
      <c r="AC38" s="38">
        <f t="shared" si="19"/>
        <v>0.65</v>
      </c>
      <c r="AD38" s="38">
        <f t="shared" si="19"/>
        <v>0.32</v>
      </c>
      <c r="AE38" s="38">
        <f t="shared" ca="1" si="20"/>
        <v>0.33174357185687026</v>
      </c>
      <c r="AF38" s="237">
        <f ca="1">((Summary!$N$10*(AA38*AD38)*(A38-$D$3))+(Summary!$M$10*Z38*AC38*(AJ38-EOMONTH(EDATE(A38,-1),0))))/(AK38*AB38*AE38)</f>
        <v>0.99990684752461789</v>
      </c>
      <c r="AG38" s="88">
        <f>IF($A39="","",Summary!$Q$10)</f>
        <v>0</v>
      </c>
      <c r="AH38" s="88">
        <f>IF($A39="","",IF(Summary!$R$10="Y",(VLOOKUP($A38,Summary!$AD$6:$AF$9,3)+'Escalating commodity'!F51),'Escalating commodity'!F51))</f>
        <v>1.2800000000000001E-2</v>
      </c>
      <c r="AI38" s="88">
        <f t="shared" si="35"/>
        <v>1.2800000000000001E-2</v>
      </c>
      <c r="AJ38" s="236">
        <f t="shared" si="21"/>
        <v>37909.5</v>
      </c>
      <c r="AK38" s="58">
        <f t="shared" ca="1" si="22"/>
        <v>869</v>
      </c>
      <c r="AL38" s="26">
        <f ca="1">IF($A39="","",_xll.SPRDOPT(P38,X38,AI38,0,AB38,AE38,AF38,AK38,$AJ$2,0))</f>
        <v>1.1396114982627544E-3</v>
      </c>
      <c r="AM38" s="89">
        <f t="shared" si="23"/>
        <v>0</v>
      </c>
      <c r="AN38" s="89">
        <f t="shared" ca="1" si="24"/>
        <v>1.1396114982627544E-3</v>
      </c>
      <c r="AO38" s="3">
        <f t="shared" si="25"/>
        <v>31</v>
      </c>
      <c r="AP38" s="33">
        <f t="shared" si="26"/>
        <v>37895</v>
      </c>
      <c r="AQ38" s="58">
        <f t="shared" ca="1" si="27"/>
        <v>869</v>
      </c>
      <c r="AR38" s="38">
        <f>'ANR OK vs ML7'!AR38</f>
        <v>0.1</v>
      </c>
      <c r="AS38" s="35">
        <f t="shared" ca="1" si="28"/>
        <v>0.79281738378267264</v>
      </c>
      <c r="AT38" s="3">
        <f t="shared" si="29"/>
        <v>1</v>
      </c>
      <c r="AU38" s="3">
        <f t="shared" si="30"/>
        <v>31</v>
      </c>
      <c r="AW38" s="32">
        <f t="shared" ca="1" si="31"/>
        <v>4230.1695048614483</v>
      </c>
      <c r="AX38" s="32">
        <f t="shared" si="32"/>
        <v>0</v>
      </c>
      <c r="AY38" s="32">
        <f t="shared" ca="1" si="33"/>
        <v>4230.1695048614483</v>
      </c>
      <c r="BA38" s="32">
        <f ca="1">IF($A39="","",F38*Summary!$Q$10)</f>
        <v>0</v>
      </c>
      <c r="BC38" s="256">
        <f t="shared" ca="1" si="36"/>
        <v>0</v>
      </c>
    </row>
    <row r="39" spans="1:55">
      <c r="A39" s="67">
        <f t="shared" si="34"/>
        <v>37926</v>
      </c>
      <c r="B39" s="69">
        <f t="shared" si="37"/>
        <v>119740</v>
      </c>
      <c r="C39" s="71"/>
      <c r="D39" s="69">
        <f t="shared" si="0"/>
        <v>119740</v>
      </c>
      <c r="E39" s="70">
        <f t="shared" si="1"/>
        <v>3592200</v>
      </c>
      <c r="F39" s="70">
        <f t="shared" ca="1" si="2"/>
        <v>2824469.2964904536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0.31</v>
      </c>
      <c r="K39" s="64">
        <f t="shared" si="6"/>
        <v>0.31</v>
      </c>
      <c r="L39" s="38">
        <v>0</v>
      </c>
      <c r="M39" s="64">
        <f t="shared" si="7"/>
        <v>0</v>
      </c>
      <c r="N39" s="65"/>
      <c r="O39" s="63">
        <f t="shared" si="8"/>
        <v>4.5089999999999995</v>
      </c>
      <c r="P39" s="63">
        <f t="shared" si="9"/>
        <v>4.5089999999999995</v>
      </c>
      <c r="Q39" s="66"/>
      <c r="R39" s="63">
        <f t="shared" si="10"/>
        <v>0.32</v>
      </c>
      <c r="S39" s="64">
        <f t="shared" si="11"/>
        <v>0.32</v>
      </c>
      <c r="T39" s="63">
        <f t="shared" si="12"/>
        <v>0</v>
      </c>
      <c r="U39" s="64">
        <f t="shared" si="13"/>
        <v>0</v>
      </c>
      <c r="V39" s="219">
        <f>IF($A40="","",IF(AND(MONTH(A39)&gt;3,MONTH(A39)&lt;11),(T39+R39+G39)*Summary!$T$10/(1-Summary!$T$10),(T39+R39+G39)*Summary!$U$10/(1-Summary!$U$10)))</f>
        <v>3.6443548387096777E-2</v>
      </c>
      <c r="W39" s="63">
        <f t="shared" si="14"/>
        <v>4.555443548387097</v>
      </c>
      <c r="X39" s="63">
        <f t="shared" si="15"/>
        <v>4.555443548387097</v>
      </c>
      <c r="Y39" s="43"/>
      <c r="Z39" s="38">
        <f t="shared" si="16"/>
        <v>0.8</v>
      </c>
      <c r="AA39" s="38">
        <f t="shared" si="17"/>
        <v>0.32</v>
      </c>
      <c r="AB39" s="38">
        <f t="shared" ca="1" si="18"/>
        <v>0.33642301414208342</v>
      </c>
      <c r="AC39" s="38">
        <f t="shared" si="19"/>
        <v>0.8</v>
      </c>
      <c r="AD39" s="38">
        <f t="shared" si="19"/>
        <v>0.32</v>
      </c>
      <c r="AE39" s="38">
        <f t="shared" ca="1" si="20"/>
        <v>0.33642301414208342</v>
      </c>
      <c r="AF39" s="237">
        <f ca="1">((Summary!$N$10*(AA39*AD39)*(A39-$D$3))+(Summary!$M$10*Z39*AC39*(AJ39-EOMONTH(EDATE(A39,-1),0))))/(AK39*AB39*AE39)</f>
        <v>0.99990942447851205</v>
      </c>
      <c r="AG39" s="88">
        <f>IF($A40="","",Summary!$Q$10)</f>
        <v>0</v>
      </c>
      <c r="AH39" s="88">
        <f>IF($A40="","",IF(Summary!$R$10="Y",(VLOOKUP($A39,Summary!$AD$6:$AF$9,3)+'Escalating commodity'!F52),'Escalating commodity'!F52))</f>
        <v>1.2800000000000001E-2</v>
      </c>
      <c r="AI39" s="88">
        <f t="shared" si="35"/>
        <v>1.2800000000000001E-2</v>
      </c>
      <c r="AJ39" s="236">
        <f t="shared" si="21"/>
        <v>37940</v>
      </c>
      <c r="AK39" s="58">
        <f t="shared" ca="1" si="22"/>
        <v>900</v>
      </c>
      <c r="AL39" s="26">
        <f ca="1">IF($A40="","",_xll.SPRDOPT(P39,X39,AI39,0,AB39,AE39,AF39,AK39,$AJ$2,0))</f>
        <v>1.7698290587563753E-3</v>
      </c>
      <c r="AM39" s="89">
        <f t="shared" si="23"/>
        <v>0</v>
      </c>
      <c r="AN39" s="89">
        <f t="shared" ca="1" si="24"/>
        <v>1.7698290587563753E-3</v>
      </c>
      <c r="AO39" s="3">
        <f t="shared" si="25"/>
        <v>30</v>
      </c>
      <c r="AP39" s="33">
        <f t="shared" si="26"/>
        <v>37926</v>
      </c>
      <c r="AQ39" s="58">
        <f t="shared" ca="1" si="27"/>
        <v>900</v>
      </c>
      <c r="AR39" s="38">
        <f>'ANR OK vs ML7'!AR39</f>
        <v>0.1</v>
      </c>
      <c r="AS39" s="35">
        <f t="shared" ca="1" si="28"/>
        <v>0.7862784077975763</v>
      </c>
      <c r="AT39" s="3">
        <f t="shared" si="29"/>
        <v>1</v>
      </c>
      <c r="AU39" s="3">
        <f t="shared" si="30"/>
        <v>30</v>
      </c>
      <c r="AW39" s="32">
        <f t="shared" ca="1" si="31"/>
        <v>6357.5799448646512</v>
      </c>
      <c r="AX39" s="32">
        <f t="shared" si="32"/>
        <v>0</v>
      </c>
      <c r="AY39" s="32">
        <f t="shared" ca="1" si="33"/>
        <v>6357.5799448646512</v>
      </c>
      <c r="BA39" s="32">
        <f ca="1">IF($A40="","",F39*Summary!$Q$10)</f>
        <v>0</v>
      </c>
      <c r="BC39" s="256">
        <f t="shared" ca="1" si="36"/>
        <v>0</v>
      </c>
    </row>
    <row r="40" spans="1:55">
      <c r="A40" s="67">
        <f t="shared" si="34"/>
        <v>37956</v>
      </c>
      <c r="B40" s="69">
        <f t="shared" si="37"/>
        <v>119740</v>
      </c>
      <c r="C40" s="71"/>
      <c r="D40" s="69">
        <f t="shared" si="0"/>
        <v>119740</v>
      </c>
      <c r="E40" s="70">
        <f t="shared" si="1"/>
        <v>3711940</v>
      </c>
      <c r="F40" s="70">
        <f t="shared" ca="1" si="2"/>
        <v>2895319.5901367525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0.31</v>
      </c>
      <c r="K40" s="64">
        <f t="shared" si="6"/>
        <v>0.31</v>
      </c>
      <c r="L40" s="38">
        <v>0</v>
      </c>
      <c r="M40" s="64">
        <f t="shared" si="7"/>
        <v>0</v>
      </c>
      <c r="N40" s="65"/>
      <c r="O40" s="63">
        <f t="shared" si="8"/>
        <v>4.6470000000000002</v>
      </c>
      <c r="P40" s="63">
        <f t="shared" si="9"/>
        <v>4.6470000000000002</v>
      </c>
      <c r="Q40" s="66"/>
      <c r="R40" s="63">
        <f t="shared" si="10"/>
        <v>0.32</v>
      </c>
      <c r="S40" s="64">
        <f t="shared" si="11"/>
        <v>0.32</v>
      </c>
      <c r="T40" s="63">
        <f t="shared" si="12"/>
        <v>0</v>
      </c>
      <c r="U40" s="64">
        <f t="shared" si="13"/>
        <v>0</v>
      </c>
      <c r="V40" s="219">
        <f>IF($A41="","",IF(AND(MONTH(A40)&gt;3,MONTH(A40)&lt;11),(T40+R40+G40)*Summary!$T$10/(1-Summary!$T$10),(T40+R40+G40)*Summary!$U$10/(1-Summary!$U$10)))</f>
        <v>3.755645161290324E-2</v>
      </c>
      <c r="W40" s="63">
        <f t="shared" si="14"/>
        <v>4.6945564516129039</v>
      </c>
      <c r="X40" s="63">
        <f t="shared" si="15"/>
        <v>4.6945564516129039</v>
      </c>
      <c r="Y40" s="43"/>
      <c r="Z40" s="38">
        <f t="shared" si="16"/>
        <v>1.1000000000000001</v>
      </c>
      <c r="AA40" s="38">
        <f t="shared" si="17"/>
        <v>0.32</v>
      </c>
      <c r="AB40" s="38">
        <f t="shared" ca="1" si="18"/>
        <v>0.35025244352259471</v>
      </c>
      <c r="AC40" s="38">
        <f t="shared" si="19"/>
        <v>1.1000000000000001</v>
      </c>
      <c r="AD40" s="38">
        <f t="shared" si="19"/>
        <v>0.32</v>
      </c>
      <c r="AE40" s="38">
        <f t="shared" ca="1" si="20"/>
        <v>0.35025244352259471</v>
      </c>
      <c r="AF40" s="237">
        <f ca="1">((Summary!$N$10*(AA40*AD40)*(A40-$D$3))+(Summary!$M$10*Z40*AC40*(AJ40-EOMONTH(EDATE(A40,-1),0))))/(AK40*AB40*AE40)</f>
        <v>0.99991643886285664</v>
      </c>
      <c r="AG40" s="88">
        <f>IF($A41="","",Summary!$Q$10)</f>
        <v>0</v>
      </c>
      <c r="AH40" s="88">
        <f>IF($A41="","",IF(Summary!$R$10="Y",(VLOOKUP($A40,Summary!$AD$6:$AF$9,3)+'Escalating commodity'!F53),'Escalating commodity'!F53))</f>
        <v>1.2800000000000001E-2</v>
      </c>
      <c r="AI40" s="88">
        <f t="shared" si="35"/>
        <v>1.2800000000000001E-2</v>
      </c>
      <c r="AJ40" s="236">
        <f t="shared" si="21"/>
        <v>37970.5</v>
      </c>
      <c r="AK40" s="58">
        <f t="shared" ca="1" si="22"/>
        <v>930</v>
      </c>
      <c r="AL40" s="26">
        <f ca="1">IF($A41="","",_xll.SPRDOPT(P40,X40,AI40,0,AB40,AE40,AF40,AK40,$AJ$2,0))</f>
        <v>1.8860582431759337E-3</v>
      </c>
      <c r="AM40" s="89">
        <f t="shared" si="23"/>
        <v>0</v>
      </c>
      <c r="AN40" s="89">
        <f t="shared" ca="1" si="24"/>
        <v>1.8860582431759337E-3</v>
      </c>
      <c r="AO40" s="3">
        <f t="shared" si="25"/>
        <v>31</v>
      </c>
      <c r="AP40" s="33">
        <f t="shared" si="26"/>
        <v>37956</v>
      </c>
      <c r="AQ40" s="58">
        <f t="shared" ca="1" si="27"/>
        <v>930</v>
      </c>
      <c r="AR40" s="38">
        <f>'ANR OK vs ML7'!AR40</f>
        <v>0.1</v>
      </c>
      <c r="AS40" s="35">
        <f t="shared" ca="1" si="28"/>
        <v>0.78000172150863223</v>
      </c>
      <c r="AT40" s="3">
        <f t="shared" si="29"/>
        <v>1</v>
      </c>
      <c r="AU40" s="3">
        <f t="shared" si="30"/>
        <v>31</v>
      </c>
      <c r="AW40" s="32">
        <f t="shared" ca="1" si="31"/>
        <v>7000.9350351744752</v>
      </c>
      <c r="AX40" s="32">
        <f t="shared" si="32"/>
        <v>0</v>
      </c>
      <c r="AY40" s="32">
        <f t="shared" ca="1" si="33"/>
        <v>7000.9350351744752</v>
      </c>
      <c r="BA40" s="32">
        <f ca="1">IF($A41="","",F40*Summary!$Q$10)</f>
        <v>0</v>
      </c>
      <c r="BC40" s="256">
        <f t="shared" ca="1" si="36"/>
        <v>0</v>
      </c>
    </row>
    <row r="41" spans="1:55">
      <c r="A41" s="67">
        <f t="shared" si="34"/>
        <v>37987</v>
      </c>
      <c r="B41" s="69">
        <f t="shared" si="37"/>
        <v>119740</v>
      </c>
      <c r="C41" s="71"/>
      <c r="D41" s="69">
        <f t="shared" si="0"/>
        <v>119740</v>
      </c>
      <c r="E41" s="70">
        <f t="shared" si="1"/>
        <v>3711940</v>
      </c>
      <c r="F41" s="70">
        <f t="shared" ca="1" si="2"/>
        <v>2871439.6580662001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0.31</v>
      </c>
      <c r="K41" s="64">
        <f t="shared" si="6"/>
        <v>0.31</v>
      </c>
      <c r="L41" s="38">
        <v>0</v>
      </c>
      <c r="M41" s="64">
        <f t="shared" si="7"/>
        <v>0</v>
      </c>
      <c r="N41" s="65"/>
      <c r="O41" s="63">
        <f t="shared" si="8"/>
        <v>4.7039999999999997</v>
      </c>
      <c r="P41" s="63">
        <f t="shared" si="9"/>
        <v>4.7039999999999997</v>
      </c>
      <c r="Q41" s="66"/>
      <c r="R41" s="63">
        <f t="shared" si="10"/>
        <v>0.32</v>
      </c>
      <c r="S41" s="64">
        <f t="shared" si="11"/>
        <v>0.32</v>
      </c>
      <c r="T41" s="63">
        <f t="shared" si="12"/>
        <v>0</v>
      </c>
      <c r="U41" s="64">
        <f t="shared" si="13"/>
        <v>0</v>
      </c>
      <c r="V41" s="219">
        <f>IF($A42="","",IF(AND(MONTH(A41)&gt;3,MONTH(A41)&lt;11),(T41+R41+G41)*Summary!$T$10/(1-Summary!$T$10),(T41+R41+G41)*Summary!$U$10/(1-Summary!$U$10)))</f>
        <v>3.8016129032258067E-2</v>
      </c>
      <c r="W41" s="63">
        <f t="shared" si="14"/>
        <v>4.7520161290322589</v>
      </c>
      <c r="X41" s="63">
        <f t="shared" si="15"/>
        <v>4.7520161290322589</v>
      </c>
      <c r="Y41" s="43"/>
      <c r="Z41" s="38">
        <f t="shared" si="16"/>
        <v>1.1000000000000001</v>
      </c>
      <c r="AA41" s="38">
        <f t="shared" si="17"/>
        <v>0.32300000000000001</v>
      </c>
      <c r="AB41" s="38">
        <f t="shared" ca="1" si="18"/>
        <v>0.35207057813386372</v>
      </c>
      <c r="AC41" s="38">
        <f t="shared" si="19"/>
        <v>1.1000000000000001</v>
      </c>
      <c r="AD41" s="38">
        <f t="shared" si="19"/>
        <v>0.32300000000000001</v>
      </c>
      <c r="AE41" s="38">
        <f t="shared" ca="1" si="20"/>
        <v>0.35207057813386372</v>
      </c>
      <c r="AF41" s="237">
        <f ca="1">((Summary!$N$10*(AA41*AD41)*(A41-$D$3))+(Summary!$M$10*Z41*AC41*(AJ41-EOMONTH(EDATE(A41,-1),0))))/(AK41*AB41*AE41)</f>
        <v>0.99991574469361844</v>
      </c>
      <c r="AG41" s="88">
        <f>IF($A42="","",Summary!$Q$10)</f>
        <v>0</v>
      </c>
      <c r="AH41" s="88">
        <f>IF($A42="","",IF(Summary!$R$10="Y",(VLOOKUP($A41,Summary!$AD$6:$AF$9,3)+'Escalating commodity'!F54),'Escalating commodity'!F54))</f>
        <v>1.2800000000000001E-2</v>
      </c>
      <c r="AI41" s="88">
        <f t="shared" si="35"/>
        <v>1.2800000000000001E-2</v>
      </c>
      <c r="AJ41" s="236">
        <f t="shared" si="21"/>
        <v>38001.5</v>
      </c>
      <c r="AK41" s="58">
        <f t="shared" ca="1" si="22"/>
        <v>961</v>
      </c>
      <c r="AL41" s="26">
        <f ca="1">IF($A42="","",_xll.SPRDOPT(P41,X41,AI41,0,AB41,AE41,AF41,AK41,$AJ$2,0))</f>
        <v>2.0083405726855769E-3</v>
      </c>
      <c r="AM41" s="89">
        <f t="shared" si="23"/>
        <v>0</v>
      </c>
      <c r="AN41" s="89">
        <f t="shared" ca="1" si="24"/>
        <v>2.0083405726855769E-3</v>
      </c>
      <c r="AO41" s="3">
        <f t="shared" si="25"/>
        <v>31</v>
      </c>
      <c r="AP41" s="33">
        <f t="shared" si="26"/>
        <v>37987</v>
      </c>
      <c r="AQ41" s="58">
        <f t="shared" ca="1" si="27"/>
        <v>961</v>
      </c>
      <c r="AR41" s="38">
        <f>'ANR OK vs ML7'!AR41</f>
        <v>0.1</v>
      </c>
      <c r="AS41" s="35">
        <f t="shared" ca="1" si="28"/>
        <v>0.77356844616728726</v>
      </c>
      <c r="AT41" s="3">
        <f t="shared" si="29"/>
        <v>1</v>
      </c>
      <c r="AU41" s="3">
        <f t="shared" si="30"/>
        <v>31</v>
      </c>
      <c r="AW41" s="32">
        <f t="shared" ca="1" si="31"/>
        <v>7454.8397053745002</v>
      </c>
      <c r="AX41" s="32">
        <f t="shared" si="32"/>
        <v>0</v>
      </c>
      <c r="AY41" s="32">
        <f t="shared" ca="1" si="33"/>
        <v>7454.8397053745002</v>
      </c>
      <c r="BA41" s="32">
        <f ca="1">IF($A42="","",F41*Summary!$Q$10)</f>
        <v>0</v>
      </c>
      <c r="BC41" s="256">
        <f t="shared" ca="1" si="36"/>
        <v>0</v>
      </c>
    </row>
    <row r="42" spans="1:55">
      <c r="A42" s="67">
        <f t="shared" si="34"/>
        <v>38018</v>
      </c>
      <c r="B42" s="69">
        <f t="shared" si="37"/>
        <v>119740</v>
      </c>
      <c r="C42" s="71"/>
      <c r="D42" s="69">
        <f t="shared" si="0"/>
        <v>119740</v>
      </c>
      <c r="E42" s="70">
        <f t="shared" si="1"/>
        <v>3472460</v>
      </c>
      <c r="F42" s="70">
        <f t="shared" ca="1" si="2"/>
        <v>2664030.4446383337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0.31</v>
      </c>
      <c r="K42" s="64">
        <f t="shared" si="6"/>
        <v>0.31</v>
      </c>
      <c r="L42" s="38">
        <v>0</v>
      </c>
      <c r="M42" s="64">
        <f t="shared" si="7"/>
        <v>0</v>
      </c>
      <c r="N42" s="65"/>
      <c r="O42" s="63">
        <f t="shared" si="8"/>
        <v>4.5839999999999996</v>
      </c>
      <c r="P42" s="63">
        <f t="shared" si="9"/>
        <v>4.5839999999999996</v>
      </c>
      <c r="Q42" s="66"/>
      <c r="R42" s="63">
        <f t="shared" si="10"/>
        <v>0.32</v>
      </c>
      <c r="S42" s="64">
        <f t="shared" si="11"/>
        <v>0.32</v>
      </c>
      <c r="T42" s="63">
        <f t="shared" si="12"/>
        <v>0</v>
      </c>
      <c r="U42" s="64">
        <f t="shared" si="13"/>
        <v>0</v>
      </c>
      <c r="V42" s="219">
        <f>IF($A43="","",IF(AND(MONTH(A42)&gt;3,MONTH(A42)&lt;11),(T42+R42+G42)*Summary!$T$10/(1-Summary!$T$10),(T42+R42+G42)*Summary!$U$10/(1-Summary!$U$10)))</f>
        <v>3.7048387096774195E-2</v>
      </c>
      <c r="W42" s="63">
        <f t="shared" si="14"/>
        <v>4.6310483870967749</v>
      </c>
      <c r="X42" s="63">
        <f t="shared" si="15"/>
        <v>4.6310483870967749</v>
      </c>
      <c r="Y42" s="43"/>
      <c r="Z42" s="38">
        <f t="shared" si="16"/>
        <v>1.1000000000000001</v>
      </c>
      <c r="AA42" s="38">
        <f t="shared" si="17"/>
        <v>0.31</v>
      </c>
      <c r="AB42" s="38">
        <f t="shared" ca="1" si="18"/>
        <v>0.3374660974608914</v>
      </c>
      <c r="AC42" s="38">
        <f t="shared" si="19"/>
        <v>1.1000000000000001</v>
      </c>
      <c r="AD42" s="38">
        <f t="shared" si="19"/>
        <v>0.31</v>
      </c>
      <c r="AE42" s="38">
        <f t="shared" ca="1" si="20"/>
        <v>0.3374660974608914</v>
      </c>
      <c r="AF42" s="237">
        <f ca="1">((Summary!$N$10*(AA42*AD42)*(A42-$D$3))+(Summary!$M$10*Z42*AC42*(AJ42-EOMONTH(EDATE(A42,-1),0))))/(AK42*AB42*AE42)</f>
        <v>0.9999155303556716</v>
      </c>
      <c r="AG42" s="88">
        <f>IF($A43="","",Summary!$Q$10)</f>
        <v>0</v>
      </c>
      <c r="AH42" s="88">
        <f>IF($A43="","",IF(Summary!$R$10="Y",(VLOOKUP($A42,Summary!$AD$6:$AF$9,3)+'Escalating commodity'!F55),'Escalating commodity'!F55))</f>
        <v>1.2800000000000001E-2</v>
      </c>
      <c r="AI42" s="88">
        <f t="shared" si="35"/>
        <v>1.2800000000000001E-2</v>
      </c>
      <c r="AJ42" s="236">
        <f t="shared" si="21"/>
        <v>38031.5</v>
      </c>
      <c r="AK42" s="58">
        <f t="shared" ca="1" si="22"/>
        <v>992</v>
      </c>
      <c r="AL42" s="26">
        <f ca="1">IF($A43="","",_xll.SPRDOPT(P42,X42,AI42,0,AB42,AE42,AF42,AK42,$AJ$2,0))</f>
        <v>1.856353037082762E-3</v>
      </c>
      <c r="AM42" s="89">
        <f t="shared" si="23"/>
        <v>0</v>
      </c>
      <c r="AN42" s="89">
        <f t="shared" ca="1" si="24"/>
        <v>1.856353037082762E-3</v>
      </c>
      <c r="AO42" s="3">
        <f t="shared" si="25"/>
        <v>29</v>
      </c>
      <c r="AP42" s="33">
        <f t="shared" si="26"/>
        <v>38018</v>
      </c>
      <c r="AQ42" s="58">
        <f t="shared" ca="1" si="27"/>
        <v>992</v>
      </c>
      <c r="AR42" s="38">
        <f>'ANR OK vs ML7'!AR42</f>
        <v>0.1</v>
      </c>
      <c r="AS42" s="35">
        <f t="shared" ca="1" si="28"/>
        <v>0.76718823100578082</v>
      </c>
      <c r="AT42" s="3">
        <f t="shared" si="29"/>
        <v>1</v>
      </c>
      <c r="AU42" s="3">
        <f t="shared" si="30"/>
        <v>29</v>
      </c>
      <c r="AW42" s="32">
        <f t="shared" ca="1" si="31"/>
        <v>6446.1116671484078</v>
      </c>
      <c r="AX42" s="32">
        <f t="shared" si="32"/>
        <v>0</v>
      </c>
      <c r="AY42" s="32">
        <f t="shared" ca="1" si="33"/>
        <v>6446.1116671484078</v>
      </c>
      <c r="BA42" s="32">
        <f ca="1">IF($A43="","",F42*Summary!$Q$10)</f>
        <v>0</v>
      </c>
      <c r="BC42" s="256">
        <f t="shared" ca="1" si="36"/>
        <v>0</v>
      </c>
    </row>
    <row r="43" spans="1:55">
      <c r="A43" s="67">
        <f t="shared" si="34"/>
        <v>38047</v>
      </c>
      <c r="B43" s="69">
        <f t="shared" si="37"/>
        <v>119740</v>
      </c>
      <c r="C43" s="71"/>
      <c r="D43" s="69">
        <f t="shared" si="0"/>
        <v>119740</v>
      </c>
      <c r="E43" s="70">
        <f t="shared" si="1"/>
        <v>3711940</v>
      </c>
      <c r="F43" s="70">
        <f t="shared" ca="1" si="2"/>
        <v>2825778.5068935049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0.31</v>
      </c>
      <c r="K43" s="64">
        <f t="shared" si="6"/>
        <v>0.31</v>
      </c>
      <c r="L43" s="38">
        <v>0</v>
      </c>
      <c r="M43" s="64">
        <f t="shared" si="7"/>
        <v>0</v>
      </c>
      <c r="N43" s="65"/>
      <c r="O43" s="63">
        <f t="shared" si="8"/>
        <v>4.4449999999999994</v>
      </c>
      <c r="P43" s="63">
        <f t="shared" si="9"/>
        <v>4.4449999999999994</v>
      </c>
      <c r="Q43" s="66"/>
      <c r="R43" s="63">
        <f t="shared" si="10"/>
        <v>0.32</v>
      </c>
      <c r="S43" s="64">
        <f t="shared" si="11"/>
        <v>0.32</v>
      </c>
      <c r="T43" s="63">
        <f t="shared" si="12"/>
        <v>0</v>
      </c>
      <c r="U43" s="64">
        <f t="shared" si="13"/>
        <v>0</v>
      </c>
      <c r="V43" s="219">
        <f>IF($A44="","",IF(AND(MONTH(A43)&gt;3,MONTH(A43)&lt;11),(T43+R43+G43)*Summary!$T$10/(1-Summary!$T$10),(T43+R43+G43)*Summary!$U$10/(1-Summary!$U$10)))</f>
        <v>3.5927419354838709E-2</v>
      </c>
      <c r="W43" s="63">
        <f t="shared" si="14"/>
        <v>4.490927419354839</v>
      </c>
      <c r="X43" s="63">
        <f t="shared" si="15"/>
        <v>4.490927419354839</v>
      </c>
      <c r="Y43" s="43"/>
      <c r="Z43" s="38">
        <f t="shared" si="16"/>
        <v>0.75</v>
      </c>
      <c r="AA43" s="38">
        <f t="shared" si="17"/>
        <v>0.30299999999999999</v>
      </c>
      <c r="AB43" s="38">
        <f t="shared" ca="1" si="18"/>
        <v>0.31692008898328822</v>
      </c>
      <c r="AC43" s="38">
        <f t="shared" si="19"/>
        <v>0.75</v>
      </c>
      <c r="AD43" s="38">
        <f t="shared" si="19"/>
        <v>0.30299999999999999</v>
      </c>
      <c r="AE43" s="38">
        <f t="shared" ca="1" si="20"/>
        <v>0.31692008898328822</v>
      </c>
      <c r="AF43" s="237">
        <f ca="1">((Summary!$N$10*(AA43*AD43)*(A43-$D$3))+(Summary!$M$10*Z43*AC43*(AJ43-EOMONTH(EDATE(A43,-1),0))))/(AK43*AB43*AE43)</f>
        <v>0.9999085021535572</v>
      </c>
      <c r="AG43" s="88">
        <f>IF($A44="","",Summary!$Q$10)</f>
        <v>0</v>
      </c>
      <c r="AH43" s="88">
        <f>IF($A44="","",IF(Summary!$R$10="Y",(VLOOKUP($A43,Summary!$AD$6:$AF$9,3)+'Escalating commodity'!F56),'Escalating commodity'!F56))</f>
        <v>1.2800000000000001E-2</v>
      </c>
      <c r="AI43" s="88">
        <f t="shared" si="35"/>
        <v>1.2800000000000001E-2</v>
      </c>
      <c r="AJ43" s="236">
        <f t="shared" si="21"/>
        <v>38061.5</v>
      </c>
      <c r="AK43" s="58">
        <f t="shared" ca="1" si="22"/>
        <v>1021</v>
      </c>
      <c r="AL43" s="26">
        <f ca="1">IF($A44="","",_xll.SPRDOPT(P43,X43,AI43,0,AB43,AE43,AF43,AK43,$AJ$2,0))</f>
        <v>1.7652460255543796E-3</v>
      </c>
      <c r="AM43" s="89">
        <f t="shared" si="23"/>
        <v>0</v>
      </c>
      <c r="AN43" s="89">
        <f t="shared" ca="1" si="24"/>
        <v>1.7652460255543796E-3</v>
      </c>
      <c r="AO43" s="3">
        <f t="shared" si="25"/>
        <v>31</v>
      </c>
      <c r="AP43" s="33">
        <f t="shared" si="26"/>
        <v>38047</v>
      </c>
      <c r="AQ43" s="58">
        <f t="shared" ca="1" si="27"/>
        <v>1021</v>
      </c>
      <c r="AR43" s="38">
        <f>'ANR OK vs ML7'!AR43</f>
        <v>0.1</v>
      </c>
      <c r="AS43" s="35">
        <f t="shared" ca="1" si="28"/>
        <v>0.76126729066027599</v>
      </c>
      <c r="AT43" s="3">
        <f t="shared" si="29"/>
        <v>1</v>
      </c>
      <c r="AU43" s="3">
        <f t="shared" si="30"/>
        <v>31</v>
      </c>
      <c r="AW43" s="32">
        <f t="shared" ca="1" si="31"/>
        <v>6552.4873320963243</v>
      </c>
      <c r="AX43" s="32">
        <f t="shared" si="32"/>
        <v>0</v>
      </c>
      <c r="AY43" s="32">
        <f t="shared" ca="1" si="33"/>
        <v>6552.4873320963243</v>
      </c>
      <c r="BA43" s="32">
        <f ca="1">IF($A44="","",F43*Summary!$Q$10)</f>
        <v>0</v>
      </c>
      <c r="BC43" s="256">
        <f t="shared" ca="1" si="36"/>
        <v>0</v>
      </c>
    </row>
    <row r="44" spans="1:55">
      <c r="A44" s="67">
        <f t="shared" si="34"/>
        <v>38078</v>
      </c>
      <c r="B44" s="69">
        <f t="shared" si="37"/>
        <v>119740</v>
      </c>
      <c r="C44" s="71"/>
      <c r="D44" s="69">
        <f t="shared" si="0"/>
        <v>119740</v>
      </c>
      <c r="E44" s="70">
        <f t="shared" si="1"/>
        <v>3592200</v>
      </c>
      <c r="F44" s="70">
        <f t="shared" ca="1" si="2"/>
        <v>2712069.8068369175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0.185</v>
      </c>
      <c r="K44" s="64">
        <f t="shared" si="6"/>
        <v>0.185</v>
      </c>
      <c r="L44" s="38">
        <v>0</v>
      </c>
      <c r="M44" s="64">
        <f t="shared" si="7"/>
        <v>0</v>
      </c>
      <c r="N44" s="65"/>
      <c r="O44" s="63">
        <f t="shared" si="8"/>
        <v>4.1449999999999996</v>
      </c>
      <c r="P44" s="63">
        <f t="shared" si="9"/>
        <v>4.1449999999999996</v>
      </c>
      <c r="Q44" s="66"/>
      <c r="R44" s="63">
        <f t="shared" si="10"/>
        <v>0.215</v>
      </c>
      <c r="S44" s="64">
        <f t="shared" si="11"/>
        <v>0.215</v>
      </c>
      <c r="T44" s="63">
        <f t="shared" si="12"/>
        <v>0</v>
      </c>
      <c r="U44" s="64">
        <f t="shared" si="13"/>
        <v>0</v>
      </c>
      <c r="V44" s="219">
        <f>IF($A45="","",IF(AND(MONTH(A44)&gt;3,MONTH(A44)&lt;11),(T44+R44+G44)*Summary!$T$10/(1-Summary!$T$10),(T44+R44+G44)*Summary!$U$10/(1-Summary!$U$10)))</f>
        <v>3.3669354838709677E-2</v>
      </c>
      <c r="W44" s="63">
        <f t="shared" si="14"/>
        <v>4.2086693548387091</v>
      </c>
      <c r="X44" s="63">
        <f t="shared" si="15"/>
        <v>4.2086693548387091</v>
      </c>
      <c r="Y44" s="43"/>
      <c r="Z44" s="38">
        <f t="shared" si="16"/>
        <v>0.45</v>
      </c>
      <c r="AA44" s="38">
        <f t="shared" si="17"/>
        <v>0.28999999999999998</v>
      </c>
      <c r="AB44" s="38">
        <f t="shared" ca="1" si="18"/>
        <v>0.29507168684953172</v>
      </c>
      <c r="AC44" s="38">
        <f t="shared" si="19"/>
        <v>0.45</v>
      </c>
      <c r="AD44" s="38">
        <f t="shared" si="19"/>
        <v>0.28999999999999998</v>
      </c>
      <c r="AE44" s="38">
        <f t="shared" ca="1" si="20"/>
        <v>0.29507168684953172</v>
      </c>
      <c r="AF44" s="237">
        <f ca="1">((Summary!$N$10*(AA44*AD44)*(A44-$D$3))+(Summary!$M$10*Z44*AC44*(AJ44-EOMONTH(EDATE(A44,-1),0))))/(AK44*AB44*AE44)</f>
        <v>0.99990331623629314</v>
      </c>
      <c r="AG44" s="88">
        <f>IF($A45="","",Summary!$Q$10)</f>
        <v>0</v>
      </c>
      <c r="AH44" s="88">
        <f>IF($A45="","",IF(Summary!$R$10="Y",(VLOOKUP($A44,Summary!$AD$6:$AF$9,3)+'Escalating commodity'!F57),'Escalating commodity'!F57))</f>
        <v>1.2800000000000001E-2</v>
      </c>
      <c r="AI44" s="88">
        <f t="shared" si="35"/>
        <v>1.2800000000000001E-2</v>
      </c>
      <c r="AJ44" s="236">
        <f t="shared" si="21"/>
        <v>38092</v>
      </c>
      <c r="AK44" s="58">
        <f t="shared" ca="1" si="22"/>
        <v>1052</v>
      </c>
      <c r="AL44" s="26">
        <f ca="1">IF($A45="","",_xll.SPRDOPT(P44,X44,AI44,0,AB44,AE44,AF44,AK44,$AJ$2,0))</f>
        <v>1.0605570702339993E-3</v>
      </c>
      <c r="AM44" s="89">
        <f t="shared" si="23"/>
        <v>0</v>
      </c>
      <c r="AN44" s="89">
        <f t="shared" ca="1" si="24"/>
        <v>1.0605570702339993E-3</v>
      </c>
      <c r="AO44" s="3">
        <f t="shared" si="25"/>
        <v>30</v>
      </c>
      <c r="AP44" s="33">
        <f t="shared" si="26"/>
        <v>38078</v>
      </c>
      <c r="AQ44" s="58">
        <f t="shared" ca="1" si="27"/>
        <v>1052</v>
      </c>
      <c r="AR44" s="38">
        <f>'ANR OK vs ML7'!AR44</f>
        <v>0.1</v>
      </c>
      <c r="AS44" s="35">
        <f t="shared" ca="1" si="28"/>
        <v>0.75498853260868481</v>
      </c>
      <c r="AT44" s="3">
        <f t="shared" si="29"/>
        <v>1</v>
      </c>
      <c r="AU44" s="3">
        <f t="shared" si="30"/>
        <v>30</v>
      </c>
      <c r="AW44" s="32">
        <f t="shared" ca="1" si="31"/>
        <v>3809.7331076945725</v>
      </c>
      <c r="AX44" s="32">
        <f t="shared" si="32"/>
        <v>0</v>
      </c>
      <c r="AY44" s="32">
        <f t="shared" ca="1" si="33"/>
        <v>3809.7331076945725</v>
      </c>
      <c r="BA44" s="32">
        <f ca="1">IF($A45="","",F44*Summary!$Q$10)</f>
        <v>0</v>
      </c>
      <c r="BC44" s="256">
        <f t="shared" ca="1" si="36"/>
        <v>0</v>
      </c>
    </row>
    <row r="45" spans="1:55">
      <c r="A45" s="67">
        <f t="shared" si="34"/>
        <v>38108</v>
      </c>
      <c r="B45" s="69">
        <f t="shared" si="37"/>
        <v>119740</v>
      </c>
      <c r="C45" s="71"/>
      <c r="D45" s="69">
        <f t="shared" si="0"/>
        <v>119740</v>
      </c>
      <c r="E45" s="70">
        <f t="shared" si="1"/>
        <v>3711940</v>
      </c>
      <c r="F45" s="70">
        <f t="shared" ca="1" si="2"/>
        <v>2780100.6197200362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0.185</v>
      </c>
      <c r="K45" s="64">
        <f t="shared" si="6"/>
        <v>0.185</v>
      </c>
      <c r="L45" s="38">
        <v>0</v>
      </c>
      <c r="M45" s="64">
        <f t="shared" si="7"/>
        <v>0</v>
      </c>
      <c r="N45" s="65"/>
      <c r="O45" s="63">
        <f t="shared" si="8"/>
        <v>4.1150000000000002</v>
      </c>
      <c r="P45" s="63">
        <f t="shared" si="9"/>
        <v>4.1150000000000002</v>
      </c>
      <c r="Q45" s="66"/>
      <c r="R45" s="63">
        <f t="shared" si="10"/>
        <v>0.215</v>
      </c>
      <c r="S45" s="64">
        <f t="shared" si="11"/>
        <v>0.215</v>
      </c>
      <c r="T45" s="63">
        <f t="shared" si="12"/>
        <v>0</v>
      </c>
      <c r="U45" s="64">
        <f t="shared" si="13"/>
        <v>0</v>
      </c>
      <c r="V45" s="219">
        <f>IF($A46="","",IF(AND(MONTH(A45)&gt;3,MONTH(A45)&lt;11),(T45+R45+G45)*Summary!$T$10/(1-Summary!$T$10),(T45+R45+G45)*Summary!$U$10/(1-Summary!$U$10)))</f>
        <v>3.3427419354838714E-2</v>
      </c>
      <c r="W45" s="63">
        <f t="shared" si="14"/>
        <v>4.178427419354839</v>
      </c>
      <c r="X45" s="63">
        <f t="shared" si="15"/>
        <v>4.178427419354839</v>
      </c>
      <c r="Y45" s="43"/>
      <c r="Z45" s="38">
        <f t="shared" si="16"/>
        <v>0.5</v>
      </c>
      <c r="AA45" s="38">
        <f t="shared" si="17"/>
        <v>0.28800000000000003</v>
      </c>
      <c r="AB45" s="38">
        <f t="shared" ca="1" si="18"/>
        <v>0.29428215866652024</v>
      </c>
      <c r="AC45" s="38">
        <f t="shared" si="19"/>
        <v>0.5</v>
      </c>
      <c r="AD45" s="38">
        <f t="shared" si="19"/>
        <v>0.28800000000000003</v>
      </c>
      <c r="AE45" s="38">
        <f t="shared" ca="1" si="20"/>
        <v>0.29428215866652024</v>
      </c>
      <c r="AF45" s="237">
        <f ca="1">((Summary!$N$10*(AA45*AD45)*(A45-$D$3))+(Summary!$M$10*Z45*AC45*(AJ45-EOMONTH(EDATE(A45,-1),0))))/(AK45*AB45*AE45)</f>
        <v>0.99990413539101586</v>
      </c>
      <c r="AG45" s="88">
        <f>IF($A46="","",Summary!$Q$10)</f>
        <v>0</v>
      </c>
      <c r="AH45" s="88">
        <f>IF($A46="","",IF(Summary!$R$10="Y",(VLOOKUP($A45,Summary!$AD$6:$AF$9,3)+'Escalating commodity'!F58),'Escalating commodity'!F58))</f>
        <v>1.2800000000000001E-2</v>
      </c>
      <c r="AI45" s="88">
        <f t="shared" si="35"/>
        <v>1.2800000000000001E-2</v>
      </c>
      <c r="AJ45" s="236">
        <f t="shared" si="21"/>
        <v>38122.5</v>
      </c>
      <c r="AK45" s="58">
        <f t="shared" ca="1" si="22"/>
        <v>1082</v>
      </c>
      <c r="AL45" s="26">
        <f ca="1">IF($A46="","",_xll.SPRDOPT(P45,X45,AI45,0,AB45,AE45,AF45,AK45,$AJ$2,0))</f>
        <v>1.0672149276132973E-3</v>
      </c>
      <c r="AM45" s="89">
        <f t="shared" si="23"/>
        <v>0</v>
      </c>
      <c r="AN45" s="89">
        <f t="shared" ca="1" si="24"/>
        <v>1.0672149276132973E-3</v>
      </c>
      <c r="AO45" s="3">
        <f t="shared" si="25"/>
        <v>31</v>
      </c>
      <c r="AP45" s="33">
        <f t="shared" si="26"/>
        <v>38108</v>
      </c>
      <c r="AQ45" s="58">
        <f t="shared" ca="1" si="27"/>
        <v>1082</v>
      </c>
      <c r="AR45" s="38">
        <f>'ANR OK vs ML7'!AR45</f>
        <v>0.1</v>
      </c>
      <c r="AS45" s="35">
        <f t="shared" ca="1" si="28"/>
        <v>0.74896162645948916</v>
      </c>
      <c r="AT45" s="3">
        <f t="shared" si="29"/>
        <v>1</v>
      </c>
      <c r="AU45" s="3">
        <f t="shared" si="30"/>
        <v>31</v>
      </c>
      <c r="AW45" s="32">
        <f t="shared" ca="1" si="31"/>
        <v>3961.4377784049029</v>
      </c>
      <c r="AX45" s="32">
        <f t="shared" si="32"/>
        <v>0</v>
      </c>
      <c r="AY45" s="32">
        <f t="shared" ca="1" si="33"/>
        <v>3961.4377784049029</v>
      </c>
      <c r="BA45" s="32">
        <f ca="1">IF($A46="","",F45*Summary!$Q$10)</f>
        <v>0</v>
      </c>
      <c r="BC45" s="256">
        <f t="shared" ca="1" si="36"/>
        <v>0</v>
      </c>
    </row>
    <row r="46" spans="1:55">
      <c r="A46" s="67">
        <f t="shared" si="34"/>
        <v>38139</v>
      </c>
      <c r="B46" s="69">
        <f t="shared" si="37"/>
        <v>119740</v>
      </c>
      <c r="C46" s="71"/>
      <c r="D46" s="69">
        <f t="shared" si="0"/>
        <v>119740</v>
      </c>
      <c r="E46" s="70">
        <f t="shared" si="1"/>
        <v>3592200</v>
      </c>
      <c r="F46" s="70">
        <f t="shared" ca="1" si="2"/>
        <v>2668229.9877070547</v>
      </c>
      <c r="G46" s="63">
        <f t="shared" si="3"/>
        <v>4</v>
      </c>
      <c r="H46" s="64">
        <f t="shared" si="4"/>
        <v>4</v>
      </c>
      <c r="I46" s="43"/>
      <c r="J46" s="63">
        <f t="shared" si="5"/>
        <v>0.185</v>
      </c>
      <c r="K46" s="64">
        <f t="shared" si="6"/>
        <v>0.185</v>
      </c>
      <c r="L46" s="38">
        <v>0</v>
      </c>
      <c r="M46" s="64">
        <f t="shared" si="7"/>
        <v>0</v>
      </c>
      <c r="N46" s="65"/>
      <c r="O46" s="63">
        <f t="shared" si="8"/>
        <v>4.1849999999999996</v>
      </c>
      <c r="P46" s="63">
        <f t="shared" si="9"/>
        <v>4.1849999999999996</v>
      </c>
      <c r="Q46" s="66"/>
      <c r="R46" s="63">
        <f t="shared" si="10"/>
        <v>0.215</v>
      </c>
      <c r="S46" s="64">
        <f t="shared" si="11"/>
        <v>0.215</v>
      </c>
      <c r="T46" s="63">
        <f t="shared" si="12"/>
        <v>0</v>
      </c>
      <c r="U46" s="64">
        <f t="shared" si="13"/>
        <v>0</v>
      </c>
      <c r="V46" s="219">
        <f>IF($A47="","",IF(AND(MONTH(A46)&gt;3,MONTH(A46)&lt;11),(T46+R46+G46)*Summary!$T$10/(1-Summary!$T$10),(T46+R46+G46)*Summary!$U$10/(1-Summary!$U$10)))</f>
        <v>3.3991935483870965E-2</v>
      </c>
      <c r="W46" s="63">
        <f t="shared" si="14"/>
        <v>4.248991935483871</v>
      </c>
      <c r="X46" s="63">
        <f t="shared" si="15"/>
        <v>4.248991935483871</v>
      </c>
      <c r="Y46" s="43"/>
      <c r="Z46" s="38">
        <f t="shared" si="16"/>
        <v>0.5</v>
      </c>
      <c r="AA46" s="38">
        <f t="shared" si="17"/>
        <v>0.28800000000000003</v>
      </c>
      <c r="AB46" s="38">
        <f t="shared" ca="1" si="18"/>
        <v>0.2939180075263304</v>
      </c>
      <c r="AC46" s="38">
        <f t="shared" si="19"/>
        <v>0.5</v>
      </c>
      <c r="AD46" s="38">
        <f t="shared" si="19"/>
        <v>0.28800000000000003</v>
      </c>
      <c r="AE46" s="38">
        <f t="shared" ca="1" si="20"/>
        <v>0.2939180075263304</v>
      </c>
      <c r="AF46" s="237">
        <f ca="1">((Summary!$N$10*(AA46*AD46)*(A46-$D$3))+(Summary!$M$10*Z46*AC46*(AJ46-EOMONTH(EDATE(A46,-1),0))))/(AK46*AB46*AE46)</f>
        <v>0.99990390017158226</v>
      </c>
      <c r="AG46" s="88">
        <f>IF($A47="","",Summary!$Q$10)</f>
        <v>0</v>
      </c>
      <c r="AH46" s="88">
        <f>IF($A47="","",IF(Summary!$R$10="Y",(VLOOKUP($A46,Summary!$AD$6:$AF$9,3)+'Escalating commodity'!F59),'Escalating commodity'!F59))</f>
        <v>1.2800000000000001E-2</v>
      </c>
      <c r="AI46" s="88">
        <f t="shared" si="35"/>
        <v>1.2800000000000001E-2</v>
      </c>
      <c r="AJ46" s="236">
        <f t="shared" si="21"/>
        <v>38153</v>
      </c>
      <c r="AK46" s="58">
        <f t="shared" ca="1" si="22"/>
        <v>1113</v>
      </c>
      <c r="AL46" s="26">
        <f ca="1">IF($A47="","",_xll.SPRDOPT(P46,X46,AI46,0,AB46,AE46,AF46,AK46,$AJ$2,0))</f>
        <v>1.1371240794383185E-3</v>
      </c>
      <c r="AM46" s="89">
        <f t="shared" si="23"/>
        <v>0</v>
      </c>
      <c r="AN46" s="89">
        <f t="shared" ca="1" si="24"/>
        <v>1.1371240794383185E-3</v>
      </c>
      <c r="AO46" s="3">
        <f t="shared" si="25"/>
        <v>30</v>
      </c>
      <c r="AP46" s="33">
        <f t="shared" si="26"/>
        <v>38139</v>
      </c>
      <c r="AQ46" s="58">
        <f t="shared" ca="1" si="27"/>
        <v>1113</v>
      </c>
      <c r="AR46" s="38">
        <f>'ANR OK vs ML7'!AR46</f>
        <v>0.1</v>
      </c>
      <c r="AS46" s="35">
        <f t="shared" ca="1" si="28"/>
        <v>0.742784362704486</v>
      </c>
      <c r="AT46" s="3">
        <f t="shared" si="29"/>
        <v>1</v>
      </c>
      <c r="AU46" s="3">
        <f t="shared" si="30"/>
        <v>30</v>
      </c>
      <c r="AW46" s="32">
        <f t="shared" ca="1" si="31"/>
        <v>4084.777118158328</v>
      </c>
      <c r="AX46" s="32">
        <f t="shared" si="32"/>
        <v>0</v>
      </c>
      <c r="AY46" s="32">
        <f t="shared" ca="1" si="33"/>
        <v>4084.777118158328</v>
      </c>
      <c r="BA46" s="32">
        <f ca="1">IF($A47="","",F46*Summary!$Q$10)</f>
        <v>0</v>
      </c>
      <c r="BC46" s="256">
        <f t="shared" ca="1" si="36"/>
        <v>0</v>
      </c>
    </row>
    <row r="47" spans="1:55">
      <c r="A47" s="67">
        <f t="shared" si="34"/>
        <v>38169</v>
      </c>
      <c r="B47" s="69">
        <f t="shared" si="37"/>
        <v>119740</v>
      </c>
      <c r="C47" s="71"/>
      <c r="D47" s="69">
        <f t="shared" si="0"/>
        <v>119740</v>
      </c>
      <c r="E47" s="70">
        <f t="shared" si="1"/>
        <v>3711940</v>
      </c>
      <c r="F47" s="70">
        <f t="shared" ca="1" si="2"/>
        <v>2735161.1022990248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0.185</v>
      </c>
      <c r="K47" s="64">
        <f t="shared" si="6"/>
        <v>0.185</v>
      </c>
      <c r="L47" s="38">
        <v>0</v>
      </c>
      <c r="M47" s="64">
        <f t="shared" si="7"/>
        <v>0</v>
      </c>
      <c r="N47" s="65"/>
      <c r="O47" s="63">
        <f t="shared" si="8"/>
        <v>4.2399999999999993</v>
      </c>
      <c r="P47" s="63">
        <f t="shared" si="9"/>
        <v>4.2399999999999993</v>
      </c>
      <c r="Q47" s="66"/>
      <c r="R47" s="63">
        <f t="shared" si="10"/>
        <v>0.215</v>
      </c>
      <c r="S47" s="64">
        <f t="shared" si="11"/>
        <v>0.215</v>
      </c>
      <c r="T47" s="63">
        <f t="shared" si="12"/>
        <v>0</v>
      </c>
      <c r="U47" s="64">
        <f t="shared" si="13"/>
        <v>0</v>
      </c>
      <c r="V47" s="219">
        <f>IF($A48="","",IF(AND(MONTH(A47)&gt;3,MONTH(A47)&lt;11),(T47+R47+G47)*Summary!$T$10/(1-Summary!$T$10),(T47+R47+G47)*Summary!$U$10/(1-Summary!$U$10)))</f>
        <v>3.4435483870967738E-2</v>
      </c>
      <c r="W47" s="63">
        <f t="shared" si="14"/>
        <v>4.3044354838709671</v>
      </c>
      <c r="X47" s="63">
        <f t="shared" si="15"/>
        <v>4.3044354838709671</v>
      </c>
      <c r="Y47" s="43"/>
      <c r="Z47" s="38">
        <f t="shared" si="16"/>
        <v>0.55000000000000004</v>
      </c>
      <c r="AA47" s="38">
        <f t="shared" si="17"/>
        <v>0.28800000000000003</v>
      </c>
      <c r="AB47" s="38">
        <f t="shared" ca="1" si="18"/>
        <v>0.29515878847020399</v>
      </c>
      <c r="AC47" s="38">
        <f t="shared" si="19"/>
        <v>0.55000000000000004</v>
      </c>
      <c r="AD47" s="38">
        <f t="shared" si="19"/>
        <v>0.28800000000000003</v>
      </c>
      <c r="AE47" s="38">
        <f t="shared" ca="1" si="20"/>
        <v>0.29515878847020399</v>
      </c>
      <c r="AF47" s="237">
        <f ca="1">((Summary!$N$10*(AA47*AD47)*(A47-$D$3))+(Summary!$M$10*Z47*AC47*(AJ47-EOMONTH(EDATE(A47,-1),0))))/(AK47*AB47*AE47)</f>
        <v>0.99990470868251213</v>
      </c>
      <c r="AG47" s="88">
        <f>IF($A48="","",Summary!$Q$10)</f>
        <v>0</v>
      </c>
      <c r="AH47" s="88">
        <f>IF($A48="","",IF(Summary!$R$10="Y",(VLOOKUP($A47,Summary!$AD$6:$AF$9,3)+'Escalating commodity'!F60),'Escalating commodity'!F60))</f>
        <v>1.2800000000000001E-2</v>
      </c>
      <c r="AI47" s="88">
        <f t="shared" si="35"/>
        <v>1.2800000000000001E-2</v>
      </c>
      <c r="AJ47" s="236">
        <f t="shared" si="21"/>
        <v>38183.5</v>
      </c>
      <c r="AK47" s="58">
        <f t="shared" ca="1" si="22"/>
        <v>1143</v>
      </c>
      <c r="AL47" s="26">
        <f ca="1">IF($A48="","",_xll.SPRDOPT(P47,X47,AI47,0,AB47,AE47,AF47,AK47,$AJ$2,0))</f>
        <v>1.2024170540723186E-3</v>
      </c>
      <c r="AM47" s="89">
        <f t="shared" si="23"/>
        <v>0</v>
      </c>
      <c r="AN47" s="89">
        <f t="shared" ca="1" si="24"/>
        <v>1.2024170540723186E-3</v>
      </c>
      <c r="AO47" s="3">
        <f t="shared" si="25"/>
        <v>31</v>
      </c>
      <c r="AP47" s="33">
        <f t="shared" si="26"/>
        <v>38169</v>
      </c>
      <c r="AQ47" s="58">
        <f t="shared" ca="1" si="27"/>
        <v>1143</v>
      </c>
      <c r="AR47" s="38">
        <f>'ANR OK vs ML7'!AR47</f>
        <v>0.1</v>
      </c>
      <c r="AS47" s="35">
        <f t="shared" ca="1" si="28"/>
        <v>0.73685487973917274</v>
      </c>
      <c r="AT47" s="3">
        <f t="shared" si="29"/>
        <v>1</v>
      </c>
      <c r="AU47" s="3">
        <f t="shared" si="30"/>
        <v>31</v>
      </c>
      <c r="AW47" s="32">
        <f t="shared" ca="1" si="31"/>
        <v>4463.2999596932023</v>
      </c>
      <c r="AX47" s="32">
        <f t="shared" si="32"/>
        <v>0</v>
      </c>
      <c r="AY47" s="32">
        <f t="shared" ca="1" si="33"/>
        <v>4463.2999596932023</v>
      </c>
      <c r="BA47" s="32">
        <f ca="1">IF($A48="","",F47*Summary!$Q$10)</f>
        <v>0</v>
      </c>
      <c r="BC47" s="256">
        <f t="shared" ca="1" si="36"/>
        <v>0</v>
      </c>
    </row>
    <row r="48" spans="1:55">
      <c r="A48" s="67">
        <f t="shared" si="34"/>
        <v>38200</v>
      </c>
      <c r="B48" s="69">
        <f t="shared" si="37"/>
        <v>119740</v>
      </c>
      <c r="C48" s="71"/>
      <c r="D48" s="69">
        <f t="shared" si="0"/>
        <v>119740</v>
      </c>
      <c r="E48" s="70">
        <f t="shared" si="1"/>
        <v>3711940</v>
      </c>
      <c r="F48" s="70">
        <f t="shared" ca="1" si="2"/>
        <v>2712602.1207111473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0.185</v>
      </c>
      <c r="K48" s="64">
        <f t="shared" si="6"/>
        <v>0.185</v>
      </c>
      <c r="L48" s="38">
        <v>0</v>
      </c>
      <c r="M48" s="64">
        <f t="shared" si="7"/>
        <v>0</v>
      </c>
      <c r="N48" s="65"/>
      <c r="O48" s="63">
        <f t="shared" si="8"/>
        <v>4.2959999999999994</v>
      </c>
      <c r="P48" s="63">
        <f t="shared" si="9"/>
        <v>4.2959999999999994</v>
      </c>
      <c r="Q48" s="66"/>
      <c r="R48" s="63">
        <f t="shared" si="10"/>
        <v>0.215</v>
      </c>
      <c r="S48" s="64">
        <f t="shared" si="11"/>
        <v>0.215</v>
      </c>
      <c r="T48" s="63">
        <f t="shared" si="12"/>
        <v>0</v>
      </c>
      <c r="U48" s="64">
        <f t="shared" si="13"/>
        <v>0</v>
      </c>
      <c r="V48" s="219">
        <f>IF($A49="","",IF(AND(MONTH(A48)&gt;3,MONTH(A48)&lt;11),(T48+R48+G48)*Summary!$T$10/(1-Summary!$T$10),(T48+R48+G48)*Summary!$U$10/(1-Summary!$U$10)))</f>
        <v>3.4887096774193549E-2</v>
      </c>
      <c r="W48" s="63">
        <f t="shared" si="14"/>
        <v>4.3608870967741931</v>
      </c>
      <c r="X48" s="63">
        <f t="shared" si="15"/>
        <v>4.3608870967741931</v>
      </c>
      <c r="Y48" s="43"/>
      <c r="Z48" s="38">
        <f t="shared" si="16"/>
        <v>0.6</v>
      </c>
      <c r="AA48" s="38">
        <f t="shared" si="17"/>
        <v>0.28800000000000003</v>
      </c>
      <c r="AB48" s="38">
        <f t="shared" ca="1" si="18"/>
        <v>0.2962560244573218</v>
      </c>
      <c r="AC48" s="38">
        <f t="shared" si="19"/>
        <v>0.6</v>
      </c>
      <c r="AD48" s="38">
        <f t="shared" si="19"/>
        <v>0.28800000000000003</v>
      </c>
      <c r="AE48" s="38">
        <f t="shared" ca="1" si="20"/>
        <v>0.2962560244573218</v>
      </c>
      <c r="AF48" s="237">
        <f ca="1">((Summary!$N$10*(AA48*AD48)*(A48-$D$3))+(Summary!$M$10*Z48*AC48*(AJ48-EOMONTH(EDATE(A48,-1),0))))/(AK48*AB48*AE48)</f>
        <v>0.99990541541471611</v>
      </c>
      <c r="AG48" s="88">
        <f>IF($A49="","",Summary!$Q$10)</f>
        <v>0</v>
      </c>
      <c r="AH48" s="88">
        <f>IF($A49="","",IF(Summary!$R$10="Y",(VLOOKUP($A48,Summary!$AD$6:$AF$9,3)+'Escalating commodity'!F61),'Escalating commodity'!F61))</f>
        <v>1.2800000000000001E-2</v>
      </c>
      <c r="AI48" s="88">
        <f t="shared" si="35"/>
        <v>1.2800000000000001E-2</v>
      </c>
      <c r="AJ48" s="236">
        <f t="shared" si="21"/>
        <v>38214.5</v>
      </c>
      <c r="AK48" s="58">
        <f t="shared" ca="1" si="22"/>
        <v>1174</v>
      </c>
      <c r="AL48" s="26">
        <f ca="1">IF($A49="","",_xll.SPRDOPT(P48,X48,AI48,0,AB48,AE48,AF48,AK48,$AJ$2,0))</f>
        <v>1.2702142457971365E-3</v>
      </c>
      <c r="AM48" s="89">
        <f t="shared" si="23"/>
        <v>0</v>
      </c>
      <c r="AN48" s="89">
        <f t="shared" ca="1" si="24"/>
        <v>1.2702142457971365E-3</v>
      </c>
      <c r="AO48" s="3">
        <f t="shared" si="25"/>
        <v>31</v>
      </c>
      <c r="AP48" s="33">
        <f t="shared" si="26"/>
        <v>38200</v>
      </c>
      <c r="AQ48" s="58">
        <f t="shared" ca="1" si="27"/>
        <v>1174</v>
      </c>
      <c r="AR48" s="38">
        <f>'ANR OK vs ML7'!AR48</f>
        <v>0.1</v>
      </c>
      <c r="AS48" s="35">
        <f t="shared" ca="1" si="28"/>
        <v>0.73077746965499102</v>
      </c>
      <c r="AT48" s="3">
        <f t="shared" si="29"/>
        <v>1</v>
      </c>
      <c r="AU48" s="3">
        <f t="shared" si="30"/>
        <v>31</v>
      </c>
      <c r="AW48" s="32">
        <f t="shared" ca="1" si="31"/>
        <v>4714.9590675442232</v>
      </c>
      <c r="AX48" s="32">
        <f t="shared" si="32"/>
        <v>0</v>
      </c>
      <c r="AY48" s="32">
        <f t="shared" ca="1" si="33"/>
        <v>4714.9590675442232</v>
      </c>
      <c r="BA48" s="32">
        <f ca="1">IF($A49="","",F48*Summary!$Q$10)</f>
        <v>0</v>
      </c>
      <c r="BC48" s="256">
        <f t="shared" ca="1" si="36"/>
        <v>0</v>
      </c>
    </row>
    <row r="49" spans="1:55">
      <c r="A49" s="67">
        <f t="shared" si="34"/>
        <v>38231</v>
      </c>
      <c r="B49" s="69">
        <f t="shared" si="37"/>
        <v>119740</v>
      </c>
      <c r="C49" s="71"/>
      <c r="D49" s="69">
        <f t="shared" si="0"/>
        <v>119740</v>
      </c>
      <c r="E49" s="70">
        <f t="shared" si="1"/>
        <v>3592200</v>
      </c>
      <c r="F49" s="70">
        <f t="shared" ca="1" si="2"/>
        <v>2603447.6133198747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0.185</v>
      </c>
      <c r="K49" s="64">
        <f t="shared" si="6"/>
        <v>0.185</v>
      </c>
      <c r="L49" s="38">
        <v>0</v>
      </c>
      <c r="M49" s="64">
        <f t="shared" si="7"/>
        <v>0</v>
      </c>
      <c r="N49" s="65"/>
      <c r="O49" s="63">
        <f t="shared" si="8"/>
        <v>4.3099999999999996</v>
      </c>
      <c r="P49" s="63">
        <f t="shared" si="9"/>
        <v>4.3099999999999996</v>
      </c>
      <c r="Q49" s="66"/>
      <c r="R49" s="63">
        <f t="shared" si="10"/>
        <v>0.215</v>
      </c>
      <c r="S49" s="64">
        <f t="shared" si="11"/>
        <v>0.215</v>
      </c>
      <c r="T49" s="63">
        <f t="shared" si="12"/>
        <v>0</v>
      </c>
      <c r="U49" s="64">
        <f t="shared" si="13"/>
        <v>0</v>
      </c>
      <c r="V49" s="219">
        <f>IF($A50="","",IF(AND(MONTH(A49)&gt;3,MONTH(A49)&lt;11),(T49+R49+G49)*Summary!$T$10/(1-Summary!$T$10),(T49+R49+G49)*Summary!$U$10/(1-Summary!$U$10)))</f>
        <v>3.5000000000000003E-2</v>
      </c>
      <c r="W49" s="63">
        <f t="shared" si="14"/>
        <v>4.375</v>
      </c>
      <c r="X49" s="63">
        <f t="shared" si="15"/>
        <v>4.375</v>
      </c>
      <c r="Y49" s="43"/>
      <c r="Z49" s="38">
        <f t="shared" si="16"/>
        <v>0.6</v>
      </c>
      <c r="AA49" s="38">
        <f t="shared" si="17"/>
        <v>0.28800000000000003</v>
      </c>
      <c r="AB49" s="38">
        <f t="shared" ca="1" si="18"/>
        <v>0.29579411927191968</v>
      </c>
      <c r="AC49" s="38">
        <f t="shared" si="19"/>
        <v>0.6</v>
      </c>
      <c r="AD49" s="38">
        <f t="shared" si="19"/>
        <v>0.28800000000000003</v>
      </c>
      <c r="AE49" s="38">
        <f t="shared" ca="1" si="20"/>
        <v>0.29579411927191968</v>
      </c>
      <c r="AF49" s="237">
        <f ca="1">((Summary!$N$10*(AA49*AD49)*(A49-$D$3))+(Summary!$M$10*Z49*AC49*(AJ49-EOMONTH(EDATE(A49,-1),0))))/(AK49*AB49*AE49)</f>
        <v>0.99990512185927605</v>
      </c>
      <c r="AG49" s="88">
        <f>IF($A50="","",Summary!$Q$10)</f>
        <v>0</v>
      </c>
      <c r="AH49" s="88">
        <f>IF($A50="","",IF(Summary!$R$10="Y",(VLOOKUP($A49,Summary!$AD$6:$AF$9,3)+'Escalating commodity'!F62),'Escalating commodity'!F62))</f>
        <v>1.2800000000000001E-2</v>
      </c>
      <c r="AI49" s="88">
        <f t="shared" si="35"/>
        <v>1.2800000000000001E-2</v>
      </c>
      <c r="AJ49" s="236">
        <f t="shared" si="21"/>
        <v>38245</v>
      </c>
      <c r="AK49" s="58">
        <f t="shared" ca="1" si="22"/>
        <v>1205</v>
      </c>
      <c r="AL49" s="26">
        <f ca="1">IF($A50="","",_xll.SPRDOPT(P49,X49,AI49,0,AB49,AE49,AF49,AK49,$AJ$2,0))</f>
        <v>1.3153839778111895E-3</v>
      </c>
      <c r="AM49" s="89">
        <f t="shared" si="23"/>
        <v>0</v>
      </c>
      <c r="AN49" s="89">
        <f t="shared" ca="1" si="24"/>
        <v>1.3153839778111895E-3</v>
      </c>
      <c r="AO49" s="3">
        <f t="shared" si="25"/>
        <v>30</v>
      </c>
      <c r="AP49" s="33">
        <f t="shared" si="26"/>
        <v>38231</v>
      </c>
      <c r="AQ49" s="58">
        <f t="shared" ca="1" si="27"/>
        <v>1205</v>
      </c>
      <c r="AR49" s="38">
        <f>'ANR OK vs ML7'!AR49</f>
        <v>0.1</v>
      </c>
      <c r="AS49" s="35">
        <f t="shared" ca="1" si="28"/>
        <v>0.72475018465560792</v>
      </c>
      <c r="AT49" s="3">
        <f t="shared" si="29"/>
        <v>1</v>
      </c>
      <c r="AU49" s="3">
        <f t="shared" si="30"/>
        <v>30</v>
      </c>
      <c r="AW49" s="32">
        <f t="shared" ca="1" si="31"/>
        <v>4725.1223250933544</v>
      </c>
      <c r="AX49" s="32">
        <f t="shared" si="32"/>
        <v>0</v>
      </c>
      <c r="AY49" s="32">
        <f t="shared" ca="1" si="33"/>
        <v>4725.1223250933544</v>
      </c>
      <c r="BA49" s="32">
        <f ca="1">IF($A50="","",F49*Summary!$Q$10)</f>
        <v>0</v>
      </c>
      <c r="BC49" s="256">
        <f t="shared" ca="1" si="36"/>
        <v>0</v>
      </c>
    </row>
    <row r="50" spans="1:55">
      <c r="A50" s="67">
        <f t="shared" si="34"/>
        <v>38261</v>
      </c>
      <c r="B50" s="69">
        <f t="shared" si="37"/>
        <v>119740</v>
      </c>
      <c r="C50" s="71"/>
      <c r="D50" s="69">
        <f t="shared" si="0"/>
        <v>119740</v>
      </c>
      <c r="E50" s="70">
        <f t="shared" si="1"/>
        <v>3711940</v>
      </c>
      <c r="F50" s="70">
        <f t="shared" ca="1" si="2"/>
        <v>2668753.6968824267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0.185</v>
      </c>
      <c r="K50" s="64">
        <f t="shared" si="6"/>
        <v>0.185</v>
      </c>
      <c r="L50" s="38">
        <v>0</v>
      </c>
      <c r="M50" s="64">
        <f t="shared" si="7"/>
        <v>0</v>
      </c>
      <c r="N50" s="65"/>
      <c r="O50" s="63">
        <f t="shared" si="8"/>
        <v>4.3410000000000002</v>
      </c>
      <c r="P50" s="63">
        <f t="shared" si="9"/>
        <v>4.3410000000000002</v>
      </c>
      <c r="Q50" s="66"/>
      <c r="R50" s="63">
        <f t="shared" si="10"/>
        <v>0.215</v>
      </c>
      <c r="S50" s="64">
        <f t="shared" si="11"/>
        <v>0.215</v>
      </c>
      <c r="T50" s="63">
        <f t="shared" si="12"/>
        <v>0</v>
      </c>
      <c r="U50" s="64">
        <f t="shared" si="13"/>
        <v>0</v>
      </c>
      <c r="V50" s="219">
        <f>IF($A51="","",IF(AND(MONTH(A50)&gt;3,MONTH(A50)&lt;11),(T50+R50+G50)*Summary!$T$10/(1-Summary!$T$10),(T50+R50+G50)*Summary!$U$10/(1-Summary!$U$10)))</f>
        <v>3.5250000000000004E-2</v>
      </c>
      <c r="W50" s="63">
        <f t="shared" si="14"/>
        <v>4.40625</v>
      </c>
      <c r="X50" s="63">
        <f t="shared" si="15"/>
        <v>4.40625</v>
      </c>
      <c r="Y50" s="43"/>
      <c r="Z50" s="38">
        <f t="shared" si="16"/>
        <v>0.65</v>
      </c>
      <c r="AA50" s="38">
        <f t="shared" si="17"/>
        <v>0.28800000000000003</v>
      </c>
      <c r="AB50" s="38">
        <f t="shared" ca="1" si="18"/>
        <v>0.29717636634253175</v>
      </c>
      <c r="AC50" s="38">
        <f t="shared" si="19"/>
        <v>0.65</v>
      </c>
      <c r="AD50" s="38">
        <f t="shared" si="19"/>
        <v>0.28800000000000003</v>
      </c>
      <c r="AE50" s="38">
        <f t="shared" ca="1" si="20"/>
        <v>0.29717636634253175</v>
      </c>
      <c r="AF50" s="237">
        <f ca="1">((Summary!$N$10*(AA50*AD50)*(A50-$D$3))+(Summary!$M$10*Z50*AC50*(AJ50-EOMONTH(EDATE(A50,-1),0))))/(AK50*AB50*AE50)</f>
        <v>0.99990600430738608</v>
      </c>
      <c r="AG50" s="88">
        <f>IF($A51="","",Summary!$Q$10)</f>
        <v>0</v>
      </c>
      <c r="AH50" s="88">
        <f>IF($A51="","",IF(Summary!$R$10="Y",(VLOOKUP($A50,Summary!$AD$6:$AF$9,3)+'Escalating commodity'!F63),'Escalating commodity'!F63))</f>
        <v>1.2800000000000001E-2</v>
      </c>
      <c r="AI50" s="88">
        <f t="shared" si="35"/>
        <v>1.2800000000000001E-2</v>
      </c>
      <c r="AJ50" s="236">
        <f t="shared" si="21"/>
        <v>38275.5</v>
      </c>
      <c r="AK50" s="58">
        <f t="shared" ca="1" si="22"/>
        <v>1235</v>
      </c>
      <c r="AL50" s="26">
        <f ca="1">IF($A51="","",_xll.SPRDOPT(P50,X50,AI50,0,AB50,AE50,AF50,AK50,$AJ$2,0))</f>
        <v>1.3706155396808889E-3</v>
      </c>
      <c r="AM50" s="89">
        <f t="shared" si="23"/>
        <v>0</v>
      </c>
      <c r="AN50" s="89">
        <f t="shared" ca="1" si="24"/>
        <v>1.3706155396808889E-3</v>
      </c>
      <c r="AO50" s="3">
        <f t="shared" si="25"/>
        <v>31</v>
      </c>
      <c r="AP50" s="33">
        <f t="shared" si="26"/>
        <v>38261</v>
      </c>
      <c r="AQ50" s="58">
        <f t="shared" ca="1" si="27"/>
        <v>1235</v>
      </c>
      <c r="AR50" s="38">
        <f>'ANR OK vs ML7'!AR50</f>
        <v>0.1</v>
      </c>
      <c r="AS50" s="35">
        <f t="shared" ca="1" si="28"/>
        <v>0.71896466453725727</v>
      </c>
      <c r="AT50" s="3">
        <f t="shared" si="29"/>
        <v>1</v>
      </c>
      <c r="AU50" s="3">
        <f t="shared" si="30"/>
        <v>31</v>
      </c>
      <c r="AW50" s="32">
        <f t="shared" ca="1" si="31"/>
        <v>5087.6426463630787</v>
      </c>
      <c r="AX50" s="32">
        <f t="shared" si="32"/>
        <v>0</v>
      </c>
      <c r="AY50" s="32">
        <f t="shared" ca="1" si="33"/>
        <v>5087.6426463630787</v>
      </c>
      <c r="BA50" s="32">
        <f ca="1">IF($A51="","",F50*Summary!$Q$10)</f>
        <v>0</v>
      </c>
      <c r="BC50" s="256">
        <f t="shared" ca="1" si="36"/>
        <v>0</v>
      </c>
    </row>
    <row r="51" spans="1:55">
      <c r="A51" s="67">
        <f t="shared" si="34"/>
        <v>38292</v>
      </c>
      <c r="B51" s="69">
        <f t="shared" si="37"/>
        <v>119740</v>
      </c>
      <c r="C51" s="71"/>
      <c r="D51" s="69">
        <f t="shared" si="0"/>
        <v>119740</v>
      </c>
      <c r="E51" s="70">
        <f t="shared" si="1"/>
        <v>3592200</v>
      </c>
      <c r="F51" s="70">
        <f t="shared" ca="1" si="2"/>
        <v>2561363.6403357377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0.3</v>
      </c>
      <c r="K51" s="64">
        <f t="shared" si="6"/>
        <v>0.3</v>
      </c>
      <c r="L51" s="38">
        <v>0</v>
      </c>
      <c r="M51" s="64">
        <f t="shared" si="7"/>
        <v>0</v>
      </c>
      <c r="N51" s="65"/>
      <c r="O51" s="63">
        <f t="shared" si="8"/>
        <v>4.5890000000000004</v>
      </c>
      <c r="P51" s="63">
        <f t="shared" si="9"/>
        <v>4.5890000000000004</v>
      </c>
      <c r="Q51" s="66"/>
      <c r="R51" s="63">
        <f t="shared" si="10"/>
        <v>0.31</v>
      </c>
      <c r="S51" s="64">
        <f t="shared" si="11"/>
        <v>0.31</v>
      </c>
      <c r="T51" s="63">
        <f t="shared" si="12"/>
        <v>0</v>
      </c>
      <c r="U51" s="64">
        <f t="shared" si="13"/>
        <v>0</v>
      </c>
      <c r="V51" s="219">
        <f>IF($A52="","",IF(AND(MONTH(A51)&gt;3,MONTH(A51)&lt;11),(T51+R51+G51)*Summary!$T$10/(1-Summary!$T$10),(T51+R51+G51)*Summary!$U$10/(1-Summary!$U$10)))</f>
        <v>3.7088709677419361E-2</v>
      </c>
      <c r="W51" s="63">
        <f t="shared" si="14"/>
        <v>4.6360887096774199</v>
      </c>
      <c r="X51" s="63">
        <f t="shared" si="15"/>
        <v>4.6360887096774199</v>
      </c>
      <c r="Y51" s="43"/>
      <c r="Z51" s="38">
        <f t="shared" si="16"/>
        <v>0.8</v>
      </c>
      <c r="AA51" s="38">
        <f t="shared" si="17"/>
        <v>0.28800000000000003</v>
      </c>
      <c r="AB51" s="38">
        <f t="shared" ca="1" si="18"/>
        <v>0.30098580527377589</v>
      </c>
      <c r="AC51" s="38">
        <f t="shared" si="19"/>
        <v>0.8</v>
      </c>
      <c r="AD51" s="38">
        <f t="shared" si="19"/>
        <v>0.28800000000000003</v>
      </c>
      <c r="AE51" s="38">
        <f t="shared" ca="1" si="20"/>
        <v>0.30098580527377589</v>
      </c>
      <c r="AF51" s="237">
        <f ca="1">((Summary!$N$10*(AA51*AD51)*(A51-$D$3))+(Summary!$M$10*Z51*AC51*(AJ51-EOMONTH(EDATE(A51,-1),0))))/(AK51*AB51*AE51)</f>
        <v>0.99990837038624325</v>
      </c>
      <c r="AG51" s="88">
        <f>IF($A52="","",Summary!$Q$10)</f>
        <v>0</v>
      </c>
      <c r="AH51" s="88">
        <f>IF($A52="","",IF(Summary!$R$10="Y",(VLOOKUP($A51,Summary!$AD$6:$AF$9,3)+'Escalating commodity'!F64),'Escalating commodity'!F64))</f>
        <v>1.2800000000000001E-2</v>
      </c>
      <c r="AI51" s="88">
        <f t="shared" si="35"/>
        <v>1.2800000000000001E-2</v>
      </c>
      <c r="AJ51" s="236">
        <f t="shared" si="21"/>
        <v>38306</v>
      </c>
      <c r="AK51" s="58">
        <f t="shared" ca="1" si="22"/>
        <v>1266</v>
      </c>
      <c r="AL51" s="26">
        <f ca="1">IF($A52="","",_xll.SPRDOPT(P51,X51,AI51,0,AB51,AE51,AF51,AK51,$AJ$2,0))</f>
        <v>2.0444062216426542E-3</v>
      </c>
      <c r="AM51" s="89">
        <f t="shared" si="23"/>
        <v>0</v>
      </c>
      <c r="AN51" s="89">
        <f t="shared" ca="1" si="24"/>
        <v>2.0444062216426542E-3</v>
      </c>
      <c r="AO51" s="3">
        <f t="shared" si="25"/>
        <v>30</v>
      </c>
      <c r="AP51" s="33">
        <f t="shared" si="26"/>
        <v>38292</v>
      </c>
      <c r="AQ51" s="58">
        <f t="shared" ca="1" si="27"/>
        <v>1266</v>
      </c>
      <c r="AR51" s="38">
        <f>'ANR OK vs ML7'!AR51</f>
        <v>0.1</v>
      </c>
      <c r="AS51" s="35">
        <f t="shared" ca="1" si="28"/>
        <v>0.71303480884575965</v>
      </c>
      <c r="AT51" s="3">
        <f t="shared" si="29"/>
        <v>1</v>
      </c>
      <c r="AU51" s="3">
        <f t="shared" si="30"/>
        <v>30</v>
      </c>
      <c r="AW51" s="32">
        <f t="shared" ca="1" si="31"/>
        <v>7343.9160293847426</v>
      </c>
      <c r="AX51" s="32">
        <f t="shared" si="32"/>
        <v>0</v>
      </c>
      <c r="AY51" s="32">
        <f t="shared" ca="1" si="33"/>
        <v>7343.9160293847426</v>
      </c>
      <c r="BA51" s="32">
        <f ca="1">IF($A52="","",F51*Summary!$Q$10)</f>
        <v>0</v>
      </c>
      <c r="BC51" s="256">
        <f t="shared" ca="1" si="36"/>
        <v>0</v>
      </c>
    </row>
    <row r="52" spans="1:55">
      <c r="A52" s="67">
        <f t="shared" si="34"/>
        <v>38322</v>
      </c>
      <c r="B52" s="69">
        <f t="shared" si="37"/>
        <v>119740</v>
      </c>
      <c r="C52" s="71"/>
      <c r="D52" s="69">
        <f t="shared" si="0"/>
        <v>119740</v>
      </c>
      <c r="E52" s="70">
        <f t="shared" si="1"/>
        <v>3711940</v>
      </c>
      <c r="F52" s="70">
        <f t="shared" ca="1" si="2"/>
        <v>2625614.0700636269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0.3</v>
      </c>
      <c r="K52" s="64">
        <f t="shared" si="6"/>
        <v>0.3</v>
      </c>
      <c r="L52" s="38">
        <v>0</v>
      </c>
      <c r="M52" s="64">
        <f t="shared" si="7"/>
        <v>0</v>
      </c>
      <c r="N52" s="65"/>
      <c r="O52" s="63">
        <f t="shared" si="8"/>
        <v>4.7270000000000003</v>
      </c>
      <c r="P52" s="63">
        <f t="shared" si="9"/>
        <v>4.7270000000000003</v>
      </c>
      <c r="Q52" s="66"/>
      <c r="R52" s="63">
        <f t="shared" si="10"/>
        <v>0.31</v>
      </c>
      <c r="S52" s="64">
        <f t="shared" si="11"/>
        <v>0.31</v>
      </c>
      <c r="T52" s="63">
        <f t="shared" si="12"/>
        <v>0</v>
      </c>
      <c r="U52" s="64">
        <f t="shared" si="13"/>
        <v>0</v>
      </c>
      <c r="V52" s="219">
        <f>IF($A53="","",IF(AND(MONTH(A52)&gt;3,MONTH(A52)&lt;11),(T52+R52+G52)*Summary!$T$10/(1-Summary!$T$10),(T52+R52+G52)*Summary!$U$10/(1-Summary!$U$10)))</f>
        <v>3.8201612903225803E-2</v>
      </c>
      <c r="W52" s="63">
        <f t="shared" si="14"/>
        <v>4.775201612903226</v>
      </c>
      <c r="X52" s="63">
        <f t="shared" si="15"/>
        <v>4.775201612903226</v>
      </c>
      <c r="Y52" s="43"/>
      <c r="Z52" s="38">
        <f t="shared" si="16"/>
        <v>1.1000000000000001</v>
      </c>
      <c r="AA52" s="38">
        <f t="shared" si="17"/>
        <v>0.28999999999999998</v>
      </c>
      <c r="AB52" s="38">
        <f t="shared" ca="1" si="18"/>
        <v>0.31406423322720561</v>
      </c>
      <c r="AC52" s="38">
        <f t="shared" si="19"/>
        <v>1.1000000000000001</v>
      </c>
      <c r="AD52" s="38">
        <f t="shared" si="19"/>
        <v>0.28999999999999998</v>
      </c>
      <c r="AE52" s="38">
        <f t="shared" ca="1" si="20"/>
        <v>0.31406423322720561</v>
      </c>
      <c r="AF52" s="237">
        <f ca="1">((Summary!$N$10*(AA52*AD52)*(A52-$D$3))+(Summary!$M$10*Z52*AC52*(AJ52-EOMONTH(EDATE(A52,-1),0))))/(AK52*AB52*AE52)</f>
        <v>0.999914671519885</v>
      </c>
      <c r="AG52" s="88">
        <f>IF($A53="","",Summary!$Q$10)</f>
        <v>0</v>
      </c>
      <c r="AH52" s="88">
        <f>IF($A53="","",IF(Summary!$R$10="Y",(VLOOKUP($A52,Summary!$AD$6:$AF$9,3)+'Escalating commodity'!F65),'Escalating commodity'!F65))</f>
        <v>1.2800000000000001E-2</v>
      </c>
      <c r="AI52" s="88">
        <f t="shared" si="35"/>
        <v>1.2800000000000001E-2</v>
      </c>
      <c r="AJ52" s="236">
        <f t="shared" si="21"/>
        <v>38336.5</v>
      </c>
      <c r="AK52" s="58">
        <f t="shared" ca="1" si="22"/>
        <v>1296</v>
      </c>
      <c r="AL52" s="26">
        <f ca="1">IF($A53="","",_xll.SPRDOPT(P52,X52,AI52,0,AB52,AE52,AF52,AK52,$AJ$2,0))</f>
        <v>2.1784946380452273E-3</v>
      </c>
      <c r="AM52" s="89">
        <f t="shared" si="23"/>
        <v>0</v>
      </c>
      <c r="AN52" s="89">
        <f t="shared" ca="1" si="24"/>
        <v>2.1784946380452273E-3</v>
      </c>
      <c r="AO52" s="3">
        <f t="shared" si="25"/>
        <v>31</v>
      </c>
      <c r="AP52" s="33">
        <f t="shared" si="26"/>
        <v>38322</v>
      </c>
      <c r="AQ52" s="58">
        <f t="shared" ca="1" si="27"/>
        <v>1296</v>
      </c>
      <c r="AR52" s="38">
        <f>'ANR OK vs ML7'!AR52</f>
        <v>0.1</v>
      </c>
      <c r="AS52" s="35">
        <f t="shared" ca="1" si="28"/>
        <v>0.70734280997635379</v>
      </c>
      <c r="AT52" s="3">
        <f t="shared" si="29"/>
        <v>1</v>
      </c>
      <c r="AU52" s="3">
        <f t="shared" si="30"/>
        <v>31</v>
      </c>
      <c r="AW52" s="32">
        <f t="shared" ca="1" si="31"/>
        <v>8086.4413867456014</v>
      </c>
      <c r="AX52" s="32">
        <f t="shared" si="32"/>
        <v>0</v>
      </c>
      <c r="AY52" s="32">
        <f t="shared" ca="1" si="33"/>
        <v>8086.4413867456014</v>
      </c>
      <c r="BA52" s="32">
        <f ca="1">IF($A53="","",F52*Summary!$Q$10)</f>
        <v>0</v>
      </c>
      <c r="BC52" s="256">
        <f t="shared" ca="1" si="36"/>
        <v>0</v>
      </c>
    </row>
    <row r="53" spans="1:55">
      <c r="A53" s="67">
        <f t="shared" si="34"/>
        <v>38353</v>
      </c>
      <c r="B53" s="69">
        <f t="shared" si="37"/>
        <v>119740</v>
      </c>
      <c r="C53" s="71"/>
      <c r="D53" s="69">
        <f t="shared" si="0"/>
        <v>119740</v>
      </c>
      <c r="E53" s="70">
        <f t="shared" si="1"/>
        <v>3711940</v>
      </c>
      <c r="F53" s="70">
        <f t="shared" ca="1" si="2"/>
        <v>2603958.6072780336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0.3</v>
      </c>
      <c r="K53" s="64">
        <f t="shared" si="6"/>
        <v>0.3</v>
      </c>
      <c r="L53" s="38">
        <v>0</v>
      </c>
      <c r="M53" s="64">
        <f t="shared" si="7"/>
        <v>0</v>
      </c>
      <c r="N53" s="65"/>
      <c r="O53" s="63">
        <f t="shared" si="8"/>
        <v>4.7140000000000004</v>
      </c>
      <c r="P53" s="63">
        <f t="shared" si="9"/>
        <v>4.7140000000000004</v>
      </c>
      <c r="Q53" s="66"/>
      <c r="R53" s="63">
        <f t="shared" si="10"/>
        <v>0.31</v>
      </c>
      <c r="S53" s="64">
        <f t="shared" si="11"/>
        <v>0.31</v>
      </c>
      <c r="T53" s="63">
        <f t="shared" si="12"/>
        <v>0</v>
      </c>
      <c r="U53" s="64">
        <f t="shared" si="13"/>
        <v>0</v>
      </c>
      <c r="V53" s="219">
        <f>IF($A54="","",IF(AND(MONTH(A53)&gt;3,MONTH(A53)&lt;11),(T53+R53+G53)*Summary!$T$10/(1-Summary!$T$10),(T53+R53+G53)*Summary!$U$10/(1-Summary!$U$10)))</f>
        <v>3.8096774193548386E-2</v>
      </c>
      <c r="W53" s="63">
        <f t="shared" si="14"/>
        <v>4.7620967741935489</v>
      </c>
      <c r="X53" s="63">
        <f t="shared" si="15"/>
        <v>4.7620967741935489</v>
      </c>
      <c r="Y53" s="43"/>
      <c r="Z53" s="38">
        <f t="shared" si="16"/>
        <v>1.1000000000000001</v>
      </c>
      <c r="AA53" s="38">
        <f t="shared" si="17"/>
        <v>0.29300000000000004</v>
      </c>
      <c r="AB53" s="38">
        <f t="shared" ca="1" si="18"/>
        <v>0.31630219350913263</v>
      </c>
      <c r="AC53" s="38">
        <f t="shared" si="19"/>
        <v>1.1000000000000001</v>
      </c>
      <c r="AD53" s="38">
        <f t="shared" si="19"/>
        <v>0.29300000000000004</v>
      </c>
      <c r="AE53" s="38">
        <f t="shared" ca="1" si="20"/>
        <v>0.31630219350913263</v>
      </c>
      <c r="AF53" s="237">
        <f ca="1">((Summary!$N$10*(AA53*AD53)*(A53-$D$3))+(Summary!$M$10*Z53*AC53*(AJ53-EOMONTH(EDATE(A53,-1),0))))/(AK53*AB53*AE53)</f>
        <v>0.99991412673304281</v>
      </c>
      <c r="AG53" s="88">
        <f>IF($A54="","",Summary!$Q$10)</f>
        <v>0</v>
      </c>
      <c r="AH53" s="88">
        <f>IF($A54="","",IF(Summary!$R$10="Y",(VLOOKUP($A53,Summary!$AD$6:$AF$9,3)+'Escalating commodity'!F66),'Escalating commodity'!F66))</f>
        <v>1.3184000000000001E-2</v>
      </c>
      <c r="AI53" s="88">
        <f t="shared" si="35"/>
        <v>1.3184000000000001E-2</v>
      </c>
      <c r="AJ53" s="236">
        <f t="shared" si="21"/>
        <v>38367.5</v>
      </c>
      <c r="AK53" s="58">
        <f t="shared" ca="1" si="22"/>
        <v>1327</v>
      </c>
      <c r="AL53" s="26">
        <f ca="1">IF($A54="","",_xll.SPRDOPT(P53,X53,AI53,0,AB53,AE53,AF53,AK53,$AJ$2,0))</f>
        <v>2.2480843098274909E-3</v>
      </c>
      <c r="AM53" s="89">
        <f t="shared" si="23"/>
        <v>0</v>
      </c>
      <c r="AN53" s="89">
        <f t="shared" ca="1" si="24"/>
        <v>2.2480843098274909E-3</v>
      </c>
      <c r="AO53" s="3">
        <f t="shared" si="25"/>
        <v>31</v>
      </c>
      <c r="AP53" s="33">
        <f t="shared" si="26"/>
        <v>38353</v>
      </c>
      <c r="AQ53" s="58">
        <f t="shared" ca="1" si="27"/>
        <v>1327</v>
      </c>
      <c r="AR53" s="38">
        <f>'ANR OK vs ML7'!AR53</f>
        <v>0.1</v>
      </c>
      <c r="AS53" s="35">
        <f t="shared" ca="1" si="28"/>
        <v>0.70150880867633469</v>
      </c>
      <c r="AT53" s="3">
        <f t="shared" si="29"/>
        <v>1</v>
      </c>
      <c r="AU53" s="3">
        <f t="shared" si="30"/>
        <v>31</v>
      </c>
      <c r="AW53" s="32">
        <f t="shared" ca="1" si="31"/>
        <v>8344.7540730210567</v>
      </c>
      <c r="AX53" s="32">
        <f t="shared" si="32"/>
        <v>0</v>
      </c>
      <c r="AY53" s="32">
        <f t="shared" ca="1" si="33"/>
        <v>8344.7540730210567</v>
      </c>
      <c r="BA53" s="32">
        <f ca="1">IF($A54="","",F53*Summary!$Q$10)</f>
        <v>0</v>
      </c>
      <c r="BC53" s="256">
        <f t="shared" ca="1" si="36"/>
        <v>0</v>
      </c>
    </row>
    <row r="54" spans="1:55">
      <c r="A54" s="67">
        <f t="shared" si="34"/>
        <v>38384</v>
      </c>
      <c r="B54" s="69">
        <f t="shared" si="37"/>
        <v>119740</v>
      </c>
      <c r="C54" s="71"/>
      <c r="D54" s="69">
        <f t="shared" si="0"/>
        <v>119740</v>
      </c>
      <c r="E54" s="70">
        <f t="shared" si="1"/>
        <v>3352720</v>
      </c>
      <c r="F54" s="70">
        <f t="shared" ca="1" si="2"/>
        <v>2332564.1647079559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0.3</v>
      </c>
      <c r="K54" s="64">
        <f t="shared" si="6"/>
        <v>0.3</v>
      </c>
      <c r="L54" s="38">
        <v>0</v>
      </c>
      <c r="M54" s="64">
        <f t="shared" si="7"/>
        <v>0</v>
      </c>
      <c r="N54" s="65"/>
      <c r="O54" s="63">
        <f t="shared" si="8"/>
        <v>4.5940000000000003</v>
      </c>
      <c r="P54" s="63">
        <f t="shared" si="9"/>
        <v>4.5940000000000003</v>
      </c>
      <c r="Q54" s="66"/>
      <c r="R54" s="63">
        <f t="shared" si="10"/>
        <v>0.31</v>
      </c>
      <c r="S54" s="64">
        <f t="shared" si="11"/>
        <v>0.31</v>
      </c>
      <c r="T54" s="63">
        <f t="shared" si="12"/>
        <v>0</v>
      </c>
      <c r="U54" s="64">
        <f t="shared" si="13"/>
        <v>0</v>
      </c>
      <c r="V54" s="219">
        <f>IF($A55="","",IF(AND(MONTH(A54)&gt;3,MONTH(A54)&lt;11),(T54+R54+G54)*Summary!$T$10/(1-Summary!$T$10),(T54+R54+G54)*Summary!$U$10/(1-Summary!$U$10)))</f>
        <v>3.712903225806452E-2</v>
      </c>
      <c r="W54" s="63">
        <f t="shared" si="14"/>
        <v>4.6411290322580649</v>
      </c>
      <c r="X54" s="63">
        <f t="shared" si="15"/>
        <v>4.6411290322580649</v>
      </c>
      <c r="Y54" s="43"/>
      <c r="Z54" s="38">
        <f t="shared" si="16"/>
        <v>1.1000000000000001</v>
      </c>
      <c r="AA54" s="38">
        <f t="shared" si="17"/>
        <v>0.28499999999999998</v>
      </c>
      <c r="AB54" s="38">
        <f t="shared" ca="1" si="18"/>
        <v>0.30620097816300706</v>
      </c>
      <c r="AC54" s="38">
        <f t="shared" si="19"/>
        <v>1.1000000000000001</v>
      </c>
      <c r="AD54" s="38">
        <f t="shared" si="19"/>
        <v>0.28499999999999998</v>
      </c>
      <c r="AE54" s="38">
        <f t="shared" ca="1" si="20"/>
        <v>0.30620097816300706</v>
      </c>
      <c r="AF54" s="237">
        <f ca="1">((Summary!$N$10*(AA54*AD54)*(A54-$D$3))+(Summary!$M$10*Z54*AC54*(AJ54-EOMONTH(EDATE(A54,-1),0))))/(AK54*AB54*AE54)</f>
        <v>0.99991330455914795</v>
      </c>
      <c r="AG54" s="88">
        <f>IF($A55="","",Summary!$Q$10)</f>
        <v>0</v>
      </c>
      <c r="AH54" s="88">
        <f>IF($A55="","",IF(Summary!$R$10="Y",(VLOOKUP($A54,Summary!$AD$6:$AF$9,3)+'Escalating commodity'!F67),'Escalating commodity'!F67))</f>
        <v>1.3184000000000001E-2</v>
      </c>
      <c r="AI54" s="88">
        <f t="shared" si="35"/>
        <v>1.3184000000000001E-2</v>
      </c>
      <c r="AJ54" s="236">
        <f t="shared" si="21"/>
        <v>38397</v>
      </c>
      <c r="AK54" s="58">
        <f t="shared" ca="1" si="22"/>
        <v>1358</v>
      </c>
      <c r="AL54" s="26">
        <f ca="1">IF($A55="","",_xll.SPRDOPT(P54,X54,AI54,0,AB54,AE54,AF54,AK54,$AJ$2,0))</f>
        <v>2.1168686825888995E-3</v>
      </c>
      <c r="AM54" s="89">
        <f t="shared" si="23"/>
        <v>0</v>
      </c>
      <c r="AN54" s="89">
        <f t="shared" ca="1" si="24"/>
        <v>2.1168686825888995E-3</v>
      </c>
      <c r="AO54" s="3">
        <f t="shared" si="25"/>
        <v>28</v>
      </c>
      <c r="AP54" s="33">
        <f t="shared" si="26"/>
        <v>38384</v>
      </c>
      <c r="AQ54" s="58">
        <f t="shared" ca="1" si="27"/>
        <v>1358</v>
      </c>
      <c r="AR54" s="38">
        <f>'ANR OK vs ML7'!AR54</f>
        <v>0.1</v>
      </c>
      <c r="AS54" s="35">
        <f t="shared" ca="1" si="28"/>
        <v>0.69572292488127729</v>
      </c>
      <c r="AT54" s="3">
        <f t="shared" si="29"/>
        <v>1</v>
      </c>
      <c r="AU54" s="3">
        <f t="shared" si="30"/>
        <v>28</v>
      </c>
      <c r="AW54" s="32">
        <f t="shared" ca="1" si="31"/>
        <v>7097.267969489455</v>
      </c>
      <c r="AX54" s="32">
        <f t="shared" si="32"/>
        <v>0</v>
      </c>
      <c r="AY54" s="32">
        <f t="shared" ca="1" si="33"/>
        <v>7097.267969489455</v>
      </c>
      <c r="BA54" s="32">
        <f ca="1">IF($A55="","",F54*Summary!$Q$10)</f>
        <v>0</v>
      </c>
      <c r="BC54" s="256">
        <f t="shared" ca="1" si="36"/>
        <v>0</v>
      </c>
    </row>
    <row r="55" spans="1:55">
      <c r="A55" s="67">
        <f t="shared" si="34"/>
        <v>38412</v>
      </c>
      <c r="B55" s="69">
        <f t="shared" si="37"/>
        <v>119740</v>
      </c>
      <c r="C55" s="71"/>
      <c r="D55" s="69">
        <f t="shared" si="0"/>
        <v>119740</v>
      </c>
      <c r="E55" s="70">
        <f t="shared" si="1"/>
        <v>3711940</v>
      </c>
      <c r="F55" s="70">
        <f t="shared" ca="1" si="2"/>
        <v>2563235.5983768417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0.3</v>
      </c>
      <c r="K55" s="64">
        <f t="shared" si="6"/>
        <v>0.3</v>
      </c>
      <c r="L55" s="38">
        <v>0</v>
      </c>
      <c r="M55" s="64">
        <f t="shared" si="7"/>
        <v>0</v>
      </c>
      <c r="N55" s="65"/>
      <c r="O55" s="63">
        <f t="shared" si="8"/>
        <v>4.4550000000000001</v>
      </c>
      <c r="P55" s="63">
        <f t="shared" si="9"/>
        <v>4.4550000000000001</v>
      </c>
      <c r="Q55" s="66"/>
      <c r="R55" s="63">
        <f t="shared" si="10"/>
        <v>0.31</v>
      </c>
      <c r="S55" s="64">
        <f t="shared" si="11"/>
        <v>0.31</v>
      </c>
      <c r="T55" s="63">
        <f t="shared" si="12"/>
        <v>0</v>
      </c>
      <c r="U55" s="64">
        <f t="shared" si="13"/>
        <v>0</v>
      </c>
      <c r="V55" s="219">
        <f>IF($A56="","",IF(AND(MONTH(A55)&gt;3,MONTH(A55)&lt;11),(T55+R55+G55)*Summary!$T$10/(1-Summary!$T$10),(T55+R55+G55)*Summary!$U$10/(1-Summary!$U$10)))</f>
        <v>3.6008064516129035E-2</v>
      </c>
      <c r="W55" s="63">
        <f t="shared" si="14"/>
        <v>4.501008064516129</v>
      </c>
      <c r="X55" s="63">
        <f t="shared" si="15"/>
        <v>4.501008064516129</v>
      </c>
      <c r="Y55" s="43"/>
      <c r="Z55" s="38">
        <f t="shared" si="16"/>
        <v>0.75</v>
      </c>
      <c r="AA55" s="38">
        <f t="shared" si="17"/>
        <v>0.28000000000000003</v>
      </c>
      <c r="AB55" s="38">
        <f t="shared" ca="1" si="18"/>
        <v>0.2911136377295816</v>
      </c>
      <c r="AC55" s="38">
        <f t="shared" si="19"/>
        <v>0.75</v>
      </c>
      <c r="AD55" s="38">
        <f t="shared" si="19"/>
        <v>0.28000000000000003</v>
      </c>
      <c r="AE55" s="38">
        <f t="shared" ca="1" si="20"/>
        <v>0.2911136377295816</v>
      </c>
      <c r="AF55" s="237">
        <f ca="1">((Summary!$N$10*(AA55*AD55)*(A55-$D$3))+(Summary!$M$10*Z55*AC55*(AJ55-EOMONTH(EDATE(A55,-1),0))))/(AK55*AB55*AE55)</f>
        <v>0.99990742276809363</v>
      </c>
      <c r="AG55" s="88">
        <f>IF($A56="","",Summary!$Q$10)</f>
        <v>0</v>
      </c>
      <c r="AH55" s="88">
        <f>IF($A56="","",IF(Summary!$R$10="Y",(VLOOKUP($A55,Summary!$AD$6:$AF$9,3)+'Escalating commodity'!F68),'Escalating commodity'!F68))</f>
        <v>1.3184000000000001E-2</v>
      </c>
      <c r="AI55" s="88">
        <f t="shared" si="35"/>
        <v>1.3184000000000001E-2</v>
      </c>
      <c r="AJ55" s="236">
        <f t="shared" si="21"/>
        <v>38426.5</v>
      </c>
      <c r="AK55" s="58">
        <f t="shared" ca="1" si="22"/>
        <v>1386</v>
      </c>
      <c r="AL55" s="26">
        <f ca="1">IF($A56="","",_xll.SPRDOPT(P55,X55,AI55,0,AB55,AE55,AF55,AK55,$AJ$2,0))</f>
        <v>2.0205369021454173E-3</v>
      </c>
      <c r="AM55" s="89">
        <f t="shared" si="23"/>
        <v>0</v>
      </c>
      <c r="AN55" s="89">
        <f t="shared" ca="1" si="24"/>
        <v>2.0205369021454173E-3</v>
      </c>
      <c r="AO55" s="3">
        <f t="shared" si="25"/>
        <v>31</v>
      </c>
      <c r="AP55" s="33">
        <f t="shared" si="26"/>
        <v>38412</v>
      </c>
      <c r="AQ55" s="58">
        <f t="shared" ca="1" si="27"/>
        <v>1386</v>
      </c>
      <c r="AR55" s="38">
        <f>'ANR OK vs ML7'!AR55</f>
        <v>0.1</v>
      </c>
      <c r="AS55" s="35">
        <f t="shared" ca="1" si="28"/>
        <v>0.69053799317253017</v>
      </c>
      <c r="AT55" s="3">
        <f t="shared" si="29"/>
        <v>1</v>
      </c>
      <c r="AU55" s="3">
        <f t="shared" si="30"/>
        <v>31</v>
      </c>
      <c r="AW55" s="32">
        <f t="shared" ca="1" si="31"/>
        <v>7500.1117485496598</v>
      </c>
      <c r="AX55" s="32">
        <f t="shared" si="32"/>
        <v>0</v>
      </c>
      <c r="AY55" s="32">
        <f t="shared" ca="1" si="33"/>
        <v>7500.1117485496598</v>
      </c>
      <c r="BA55" s="32">
        <f ca="1">IF($A56="","",F55*Summary!$Q$10)</f>
        <v>0</v>
      </c>
      <c r="BC55" s="256">
        <f t="shared" ca="1" si="36"/>
        <v>0</v>
      </c>
    </row>
    <row r="56" spans="1:55">
      <c r="A56" s="67">
        <f t="shared" si="34"/>
        <v>38443</v>
      </c>
      <c r="B56" s="69">
        <f t="shared" si="37"/>
        <v>119740</v>
      </c>
      <c r="C56" s="71"/>
      <c r="D56" s="69">
        <f t="shared" si="0"/>
        <v>119740</v>
      </c>
      <c r="E56" s="70">
        <f t="shared" si="1"/>
        <v>3592200</v>
      </c>
      <c r="F56" s="70">
        <f t="shared" ca="1" si="2"/>
        <v>2460091.566698784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0.17</v>
      </c>
      <c r="K56" s="64">
        <f t="shared" si="6"/>
        <v>0.17</v>
      </c>
      <c r="L56" s="38">
        <v>0</v>
      </c>
      <c r="M56" s="64">
        <f t="shared" si="7"/>
        <v>0</v>
      </c>
      <c r="N56" s="65"/>
      <c r="O56" s="63">
        <f t="shared" si="8"/>
        <v>4.1500000000000004</v>
      </c>
      <c r="P56" s="63">
        <f t="shared" si="9"/>
        <v>4.1500000000000004</v>
      </c>
      <c r="Q56" s="66"/>
      <c r="R56" s="63">
        <f t="shared" si="10"/>
        <v>0.215</v>
      </c>
      <c r="S56" s="64">
        <f t="shared" si="11"/>
        <v>0.215</v>
      </c>
      <c r="T56" s="63">
        <f t="shared" si="12"/>
        <v>0</v>
      </c>
      <c r="U56" s="64">
        <f t="shared" si="13"/>
        <v>0</v>
      </c>
      <c r="V56" s="219">
        <f>IF($A57="","",IF(AND(MONTH(A56)&gt;3,MONTH(A56)&lt;11),(T56+R56+G56)*Summary!$T$10/(1-Summary!$T$10),(T56+R56+G56)*Summary!$U$10/(1-Summary!$U$10)))</f>
        <v>3.3830645161290321E-2</v>
      </c>
      <c r="W56" s="63">
        <f t="shared" si="14"/>
        <v>4.2288306451612909</v>
      </c>
      <c r="X56" s="63">
        <f t="shared" si="15"/>
        <v>4.2288306451612909</v>
      </c>
      <c r="Y56" s="43"/>
      <c r="Z56" s="38">
        <f t="shared" si="16"/>
        <v>0.45</v>
      </c>
      <c r="AA56" s="38">
        <f t="shared" si="17"/>
        <v>0.27</v>
      </c>
      <c r="AB56" s="38">
        <f t="shared" ca="1" si="18"/>
        <v>0.27403477878890786</v>
      </c>
      <c r="AC56" s="38">
        <f t="shared" si="19"/>
        <v>0.45</v>
      </c>
      <c r="AD56" s="38">
        <f t="shared" si="19"/>
        <v>0.27</v>
      </c>
      <c r="AE56" s="38">
        <f t="shared" ca="1" si="20"/>
        <v>0.27403477878890786</v>
      </c>
      <c r="AF56" s="237">
        <f ca="1">((Summary!$N$10*(AA56*AD56)*(A56-$D$3))+(Summary!$M$10*Z56*AC56*(AJ56-EOMONTH(EDATE(A56,-1),0))))/(AK56*AB56*AE56)</f>
        <v>0.99990285453299865</v>
      </c>
      <c r="AG56" s="88">
        <f>IF($A57="","",Summary!$Q$10)</f>
        <v>0</v>
      </c>
      <c r="AH56" s="88">
        <f>IF($A57="","",IF(Summary!$R$10="Y",(VLOOKUP($A56,Summary!$AD$6:$AF$9,3)+'Escalating commodity'!F69),'Escalating commodity'!F69))</f>
        <v>1.3184000000000001E-2</v>
      </c>
      <c r="AI56" s="88">
        <f t="shared" si="35"/>
        <v>1.3184000000000001E-2</v>
      </c>
      <c r="AJ56" s="236">
        <f t="shared" si="21"/>
        <v>38457</v>
      </c>
      <c r="AK56" s="58">
        <f t="shared" ca="1" si="22"/>
        <v>1417</v>
      </c>
      <c r="AL56" s="26">
        <f ca="1">IF($A57="","",_xll.SPRDOPT(P56,X56,AI56,0,AB56,AE56,AF56,AK56,$AJ$2,0))</f>
        <v>9.758224759188177E-4</v>
      </c>
      <c r="AM56" s="89">
        <f t="shared" si="23"/>
        <v>0</v>
      </c>
      <c r="AN56" s="89">
        <f t="shared" ca="1" si="24"/>
        <v>9.758224759188177E-4</v>
      </c>
      <c r="AO56" s="3">
        <f t="shared" si="25"/>
        <v>30</v>
      </c>
      <c r="AP56" s="33">
        <f t="shared" si="26"/>
        <v>38443</v>
      </c>
      <c r="AQ56" s="58">
        <f t="shared" ca="1" si="27"/>
        <v>1417</v>
      </c>
      <c r="AR56" s="38">
        <f>'ANR OK vs ML7'!AR56</f>
        <v>0.1</v>
      </c>
      <c r="AS56" s="35">
        <f t="shared" ca="1" si="28"/>
        <v>0.68484259414809423</v>
      </c>
      <c r="AT56" s="3">
        <f t="shared" si="29"/>
        <v>1</v>
      </c>
      <c r="AU56" s="3">
        <f t="shared" si="30"/>
        <v>30</v>
      </c>
      <c r="AW56" s="32">
        <f t="shared" ca="1" si="31"/>
        <v>3505.3494979955767</v>
      </c>
      <c r="AX56" s="32">
        <f t="shared" si="32"/>
        <v>0</v>
      </c>
      <c r="AY56" s="32">
        <f t="shared" ca="1" si="33"/>
        <v>3505.3494979955767</v>
      </c>
      <c r="BA56" s="32">
        <f ca="1">IF($A57="","",F56*Summary!$Q$10)</f>
        <v>0</v>
      </c>
      <c r="BC56" s="256">
        <f t="shared" ca="1" si="36"/>
        <v>0</v>
      </c>
    </row>
    <row r="57" spans="1:55">
      <c r="A57" s="67">
        <f t="shared" si="34"/>
        <v>38473</v>
      </c>
      <c r="B57" s="69">
        <f t="shared" si="37"/>
        <v>119740</v>
      </c>
      <c r="C57" s="71"/>
      <c r="D57" s="69">
        <f t="shared" si="0"/>
        <v>119740</v>
      </c>
      <c r="E57" s="70">
        <f t="shared" si="1"/>
        <v>3711940</v>
      </c>
      <c r="F57" s="70">
        <f t="shared" ca="1" si="2"/>
        <v>2521801.6409112979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0.17</v>
      </c>
      <c r="K57" s="64">
        <f t="shared" si="6"/>
        <v>0.17</v>
      </c>
      <c r="L57" s="38">
        <v>0</v>
      </c>
      <c r="M57" s="64">
        <f t="shared" si="7"/>
        <v>0</v>
      </c>
      <c r="N57" s="65"/>
      <c r="O57" s="63">
        <f t="shared" si="8"/>
        <v>4.12</v>
      </c>
      <c r="P57" s="63">
        <f t="shared" si="9"/>
        <v>4.12</v>
      </c>
      <c r="Q57" s="66"/>
      <c r="R57" s="63">
        <f t="shared" si="10"/>
        <v>0.215</v>
      </c>
      <c r="S57" s="64">
        <f t="shared" si="11"/>
        <v>0.215</v>
      </c>
      <c r="T57" s="63">
        <f t="shared" si="12"/>
        <v>0</v>
      </c>
      <c r="U57" s="64">
        <f t="shared" si="13"/>
        <v>0</v>
      </c>
      <c r="V57" s="219">
        <f>IF($A58="","",IF(AND(MONTH(A57)&gt;3,MONTH(A57)&lt;11),(T57+R57+G57)*Summary!$T$10/(1-Summary!$T$10),(T57+R57+G57)*Summary!$U$10/(1-Summary!$U$10)))</f>
        <v>3.3588709677419358E-2</v>
      </c>
      <c r="W57" s="63">
        <f t="shared" si="14"/>
        <v>4.198588709677419</v>
      </c>
      <c r="X57" s="63">
        <f t="shared" si="15"/>
        <v>4.198588709677419</v>
      </c>
      <c r="Y57" s="43"/>
      <c r="Z57" s="38">
        <f t="shared" si="16"/>
        <v>0.5</v>
      </c>
      <c r="AA57" s="38">
        <f t="shared" si="17"/>
        <v>0.26300000000000001</v>
      </c>
      <c r="AB57" s="38">
        <f t="shared" ca="1" si="18"/>
        <v>0.26813197505518394</v>
      </c>
      <c r="AC57" s="38">
        <f t="shared" si="19"/>
        <v>0.5</v>
      </c>
      <c r="AD57" s="38">
        <f t="shared" si="19"/>
        <v>0.26300000000000001</v>
      </c>
      <c r="AE57" s="38">
        <f t="shared" ca="1" si="20"/>
        <v>0.26813197505518394</v>
      </c>
      <c r="AF57" s="237">
        <f ca="1">((Summary!$N$10*(AA57*AD57)*(A57-$D$3))+(Summary!$M$10*Z57*AC57*(AJ57-EOMONTH(EDATE(A57,-1),0))))/(AK57*AB57*AE57)</f>
        <v>0.99990372482575318</v>
      </c>
      <c r="AG57" s="88">
        <f>IF($A58="","",Summary!$Q$10)</f>
        <v>0</v>
      </c>
      <c r="AH57" s="88">
        <f>IF($A58="","",IF(Summary!$R$10="Y",(VLOOKUP($A57,Summary!$AD$6:$AF$9,3)+'Escalating commodity'!F70),'Escalating commodity'!F70))</f>
        <v>1.3184000000000001E-2</v>
      </c>
      <c r="AI57" s="88">
        <f t="shared" si="35"/>
        <v>1.3184000000000001E-2</v>
      </c>
      <c r="AJ57" s="236">
        <f t="shared" si="21"/>
        <v>38487.5</v>
      </c>
      <c r="AK57" s="58">
        <f t="shared" ca="1" si="22"/>
        <v>1447</v>
      </c>
      <c r="AL57" s="26">
        <f ca="1">IF($A58="","",_xll.SPRDOPT(P57,X57,AI57,0,AB57,AE57,AF57,AK57,$AJ$2,0))</f>
        <v>9.2432864763096652E-4</v>
      </c>
      <c r="AM57" s="89">
        <f t="shared" si="23"/>
        <v>0</v>
      </c>
      <c r="AN57" s="89">
        <f t="shared" ca="1" si="24"/>
        <v>9.2432864763096652E-4</v>
      </c>
      <c r="AO57" s="3">
        <f t="shared" si="25"/>
        <v>31</v>
      </c>
      <c r="AP57" s="33">
        <f t="shared" si="26"/>
        <v>38473</v>
      </c>
      <c r="AQ57" s="58">
        <f t="shared" ca="1" si="27"/>
        <v>1447</v>
      </c>
      <c r="AR57" s="38">
        <f>'ANR OK vs ML7'!AR57</f>
        <v>0.1</v>
      </c>
      <c r="AS57" s="35">
        <f t="shared" ca="1" si="28"/>
        <v>0.67937564748118173</v>
      </c>
      <c r="AT57" s="3">
        <f t="shared" si="29"/>
        <v>1</v>
      </c>
      <c r="AU57" s="3">
        <f t="shared" si="30"/>
        <v>31</v>
      </c>
      <c r="AW57" s="32">
        <f t="shared" ca="1" si="31"/>
        <v>3431.0524802872897</v>
      </c>
      <c r="AX57" s="32">
        <f t="shared" si="32"/>
        <v>0</v>
      </c>
      <c r="AY57" s="32">
        <f t="shared" ca="1" si="33"/>
        <v>3431.0524802872897</v>
      </c>
      <c r="BA57" s="32">
        <f ca="1">IF($A58="","",F57*Summary!$Q$10)</f>
        <v>0</v>
      </c>
      <c r="BC57" s="256">
        <f t="shared" ca="1" si="36"/>
        <v>0</v>
      </c>
    </row>
    <row r="58" spans="1:55">
      <c r="A58" s="67">
        <f t="shared" si="34"/>
        <v>38504</v>
      </c>
      <c r="B58" s="69">
        <f t="shared" si="37"/>
        <v>119740</v>
      </c>
      <c r="C58" s="71"/>
      <c r="D58" s="69">
        <f t="shared" si="0"/>
        <v>119740</v>
      </c>
      <c r="E58" s="70">
        <f t="shared" si="1"/>
        <v>3592200</v>
      </c>
      <c r="F58" s="70">
        <f t="shared" ca="1" si="2"/>
        <v>2420324.9024871564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0.17</v>
      </c>
      <c r="K58" s="64">
        <f t="shared" si="6"/>
        <v>0.17</v>
      </c>
      <c r="L58" s="38">
        <v>0</v>
      </c>
      <c r="M58" s="64">
        <f t="shared" si="7"/>
        <v>0</v>
      </c>
      <c r="N58" s="65"/>
      <c r="O58" s="63">
        <f t="shared" si="8"/>
        <v>4.1899999999999995</v>
      </c>
      <c r="P58" s="63">
        <f t="shared" si="9"/>
        <v>4.1899999999999995</v>
      </c>
      <c r="Q58" s="66"/>
      <c r="R58" s="63">
        <f t="shared" si="10"/>
        <v>0.215</v>
      </c>
      <c r="S58" s="64">
        <f t="shared" si="11"/>
        <v>0.215</v>
      </c>
      <c r="T58" s="63">
        <f t="shared" si="12"/>
        <v>0</v>
      </c>
      <c r="U58" s="64">
        <f t="shared" si="13"/>
        <v>0</v>
      </c>
      <c r="V58" s="219">
        <f>IF($A59="","",IF(AND(MONTH(A58)&gt;3,MONTH(A58)&lt;11),(T58+R58+G58)*Summary!$T$10/(1-Summary!$T$10),(T58+R58+G58)*Summary!$U$10/(1-Summary!$U$10)))</f>
        <v>3.4153225806451609E-2</v>
      </c>
      <c r="W58" s="63">
        <f t="shared" si="14"/>
        <v>4.2691532258064511</v>
      </c>
      <c r="X58" s="63">
        <f t="shared" si="15"/>
        <v>4.2691532258064511</v>
      </c>
      <c r="Y58" s="43"/>
      <c r="Z58" s="38">
        <f t="shared" si="16"/>
        <v>0.5</v>
      </c>
      <c r="AA58" s="38">
        <f t="shared" si="17"/>
        <v>0.25800000000000001</v>
      </c>
      <c r="AB58" s="38">
        <f t="shared" ca="1" si="18"/>
        <v>0.26295674356272941</v>
      </c>
      <c r="AC58" s="38">
        <f t="shared" si="19"/>
        <v>0.5</v>
      </c>
      <c r="AD58" s="38">
        <f t="shared" si="19"/>
        <v>0.25800000000000001</v>
      </c>
      <c r="AE58" s="38">
        <f t="shared" ca="1" si="20"/>
        <v>0.26295674356272941</v>
      </c>
      <c r="AF58" s="237">
        <f ca="1">((Summary!$N$10*(AA58*AD58)*(A58-$D$3))+(Summary!$M$10*Z58*AC58*(AJ58-EOMONTH(EDATE(A58,-1),0))))/(AK58*AB58*AE58)</f>
        <v>0.99990366934213537</v>
      </c>
      <c r="AG58" s="88">
        <f>IF($A59="","",Summary!$Q$10)</f>
        <v>0</v>
      </c>
      <c r="AH58" s="88">
        <f>IF($A59="","",IF(Summary!$R$10="Y",(VLOOKUP($A58,Summary!$AD$6:$AF$9,3)+'Escalating commodity'!F71),'Escalating commodity'!F71))</f>
        <v>1.3184000000000001E-2</v>
      </c>
      <c r="AI58" s="88">
        <f t="shared" si="35"/>
        <v>1.3184000000000001E-2</v>
      </c>
      <c r="AJ58" s="236">
        <f t="shared" si="21"/>
        <v>38518</v>
      </c>
      <c r="AK58" s="58">
        <f t="shared" ca="1" si="22"/>
        <v>1478</v>
      </c>
      <c r="AL58" s="26">
        <f ca="1">IF($A59="","",_xll.SPRDOPT(P58,X58,AI58,0,AB58,AE58,AF58,AK58,$AJ$2,0))</f>
        <v>9.3468301626397493E-4</v>
      </c>
      <c r="AM58" s="89">
        <f t="shared" si="23"/>
        <v>0</v>
      </c>
      <c r="AN58" s="89">
        <f t="shared" ca="1" si="24"/>
        <v>9.3468301626397493E-4</v>
      </c>
      <c r="AO58" s="3">
        <f t="shared" si="25"/>
        <v>30</v>
      </c>
      <c r="AP58" s="33">
        <f t="shared" si="26"/>
        <v>38504</v>
      </c>
      <c r="AQ58" s="58">
        <f t="shared" ca="1" si="27"/>
        <v>1478</v>
      </c>
      <c r="AR58" s="38">
        <f>'ANR OK vs ML7'!AR58</f>
        <v>0.1</v>
      </c>
      <c r="AS58" s="35">
        <f t="shared" ca="1" si="28"/>
        <v>0.67377231292443529</v>
      </c>
      <c r="AT58" s="3">
        <f t="shared" si="29"/>
        <v>1</v>
      </c>
      <c r="AU58" s="3">
        <f t="shared" si="30"/>
        <v>30</v>
      </c>
      <c r="AW58" s="32">
        <f t="shared" ca="1" si="31"/>
        <v>3357.5683310234508</v>
      </c>
      <c r="AX58" s="32">
        <f t="shared" si="32"/>
        <v>0</v>
      </c>
      <c r="AY58" s="32">
        <f t="shared" ca="1" si="33"/>
        <v>3357.5683310234508</v>
      </c>
      <c r="BA58" s="32">
        <f ca="1">IF($A59="","",F58*Summary!$Q$10)</f>
        <v>0</v>
      </c>
      <c r="BC58" s="256">
        <f t="shared" ca="1" si="36"/>
        <v>0</v>
      </c>
    </row>
    <row r="59" spans="1:55">
      <c r="A59" s="67">
        <f t="shared" si="34"/>
        <v>38534</v>
      </c>
      <c r="B59" s="69">
        <f t="shared" si="37"/>
        <v>119740</v>
      </c>
      <c r="C59" s="71"/>
      <c r="D59" s="69">
        <f t="shared" si="0"/>
        <v>119740</v>
      </c>
      <c r="E59" s="70">
        <f t="shared" si="1"/>
        <v>3711940</v>
      </c>
      <c r="F59" s="70">
        <f t="shared" ca="1" si="2"/>
        <v>2481037.4513095985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0.17</v>
      </c>
      <c r="K59" s="64">
        <f t="shared" si="6"/>
        <v>0.17</v>
      </c>
      <c r="L59" s="38">
        <v>0</v>
      </c>
      <c r="M59" s="64">
        <f t="shared" si="7"/>
        <v>0</v>
      </c>
      <c r="N59" s="65"/>
      <c r="O59" s="63">
        <f t="shared" si="8"/>
        <v>4.2450000000000001</v>
      </c>
      <c r="P59" s="63">
        <f t="shared" si="9"/>
        <v>4.2450000000000001</v>
      </c>
      <c r="Q59" s="66"/>
      <c r="R59" s="63">
        <f t="shared" si="10"/>
        <v>0.215</v>
      </c>
      <c r="S59" s="64">
        <f t="shared" si="11"/>
        <v>0.215</v>
      </c>
      <c r="T59" s="63">
        <f t="shared" si="12"/>
        <v>0</v>
      </c>
      <c r="U59" s="64">
        <f t="shared" si="13"/>
        <v>0</v>
      </c>
      <c r="V59" s="219">
        <f>IF($A60="","",IF(AND(MONTH(A59)&gt;3,MONTH(A59)&lt;11),(T59+R59+G59)*Summary!$T$10/(1-Summary!$T$10),(T59+R59+G59)*Summary!$U$10/(1-Summary!$U$10)))</f>
        <v>3.4596774193548389E-2</v>
      </c>
      <c r="W59" s="63">
        <f t="shared" si="14"/>
        <v>4.324596774193548</v>
      </c>
      <c r="X59" s="63">
        <f t="shared" si="15"/>
        <v>4.324596774193548</v>
      </c>
      <c r="Y59" s="43"/>
      <c r="Z59" s="38">
        <f t="shared" si="16"/>
        <v>0.55000000000000004</v>
      </c>
      <c r="AA59" s="38">
        <f t="shared" si="17"/>
        <v>0.25800000000000001</v>
      </c>
      <c r="AB59" s="38">
        <f t="shared" ca="1" si="18"/>
        <v>0.26404051061661798</v>
      </c>
      <c r="AC59" s="38">
        <f t="shared" si="19"/>
        <v>0.55000000000000004</v>
      </c>
      <c r="AD59" s="38">
        <f t="shared" si="19"/>
        <v>0.25800000000000001</v>
      </c>
      <c r="AE59" s="38">
        <f t="shared" ca="1" si="20"/>
        <v>0.26404051061661798</v>
      </c>
      <c r="AF59" s="237">
        <f ca="1">((Summary!$N$10*(AA59*AD59)*(A59-$D$3))+(Summary!$M$10*Z59*AC59*(AJ59-EOMONTH(EDATE(A59,-1),0))))/(AK59*AB59*AE59)</f>
        <v>0.99990445979203668</v>
      </c>
      <c r="AG59" s="88">
        <f>IF($A60="","",Summary!$Q$10)</f>
        <v>0</v>
      </c>
      <c r="AH59" s="88">
        <f>IF($A60="","",IF(Summary!$R$10="Y",(VLOOKUP($A59,Summary!$AD$6:$AF$9,3)+'Escalating commodity'!F72),'Escalating commodity'!F72))</f>
        <v>1.3184000000000001E-2</v>
      </c>
      <c r="AI59" s="88">
        <f t="shared" si="35"/>
        <v>1.3184000000000001E-2</v>
      </c>
      <c r="AJ59" s="236">
        <f t="shared" si="21"/>
        <v>38548.5</v>
      </c>
      <c r="AK59" s="58">
        <f t="shared" ca="1" si="22"/>
        <v>1508</v>
      </c>
      <c r="AL59" s="26">
        <f ca="1">IF($A60="","",_xll.SPRDOPT(P59,X59,AI59,0,AB59,AE59,AF59,AK59,$AJ$2,0))</f>
        <v>9.886763375813977E-4</v>
      </c>
      <c r="AM59" s="89">
        <f t="shared" si="23"/>
        <v>0</v>
      </c>
      <c r="AN59" s="89">
        <f t="shared" ca="1" si="24"/>
        <v>9.886763375813977E-4</v>
      </c>
      <c r="AO59" s="3">
        <f t="shared" si="25"/>
        <v>31</v>
      </c>
      <c r="AP59" s="33">
        <f t="shared" si="26"/>
        <v>38534</v>
      </c>
      <c r="AQ59" s="58">
        <f t="shared" ca="1" si="27"/>
        <v>1508</v>
      </c>
      <c r="AR59" s="38">
        <f>'ANR OK vs ML7'!AR59</f>
        <v>0.1</v>
      </c>
      <c r="AS59" s="35">
        <f t="shared" ca="1" si="28"/>
        <v>0.66839373785933998</v>
      </c>
      <c r="AT59" s="3">
        <f t="shared" si="29"/>
        <v>1</v>
      </c>
      <c r="AU59" s="3">
        <f t="shared" si="30"/>
        <v>31</v>
      </c>
      <c r="AW59" s="32">
        <f t="shared" ca="1" si="31"/>
        <v>3669.9072445218935</v>
      </c>
      <c r="AX59" s="32">
        <f t="shared" si="32"/>
        <v>0</v>
      </c>
      <c r="AY59" s="32">
        <f t="shared" ca="1" si="33"/>
        <v>3669.9072445218935</v>
      </c>
      <c r="BA59" s="32">
        <f ca="1">IF($A60="","",F59*Summary!$Q$10)</f>
        <v>0</v>
      </c>
      <c r="BC59" s="256">
        <f t="shared" ca="1" si="36"/>
        <v>0</v>
      </c>
    </row>
    <row r="60" spans="1:55">
      <c r="A60" s="67">
        <f t="shared" si="34"/>
        <v>38565</v>
      </c>
      <c r="B60" s="69">
        <f t="shared" si="37"/>
        <v>119740</v>
      </c>
      <c r="C60" s="71"/>
      <c r="D60" s="69">
        <f t="shared" si="0"/>
        <v>119740</v>
      </c>
      <c r="E60" s="70">
        <f t="shared" si="1"/>
        <v>3711940</v>
      </c>
      <c r="F60" s="70">
        <f t="shared" ca="1" si="2"/>
        <v>2460574.4233234655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0.17</v>
      </c>
      <c r="K60" s="64">
        <f t="shared" si="6"/>
        <v>0.17</v>
      </c>
      <c r="L60" s="38">
        <v>0</v>
      </c>
      <c r="M60" s="64">
        <f t="shared" si="7"/>
        <v>0</v>
      </c>
      <c r="N60" s="65"/>
      <c r="O60" s="63">
        <f t="shared" si="8"/>
        <v>4.3010000000000002</v>
      </c>
      <c r="P60" s="63">
        <f t="shared" si="9"/>
        <v>4.3010000000000002</v>
      </c>
      <c r="Q60" s="66"/>
      <c r="R60" s="63">
        <f t="shared" si="10"/>
        <v>0.215</v>
      </c>
      <c r="S60" s="64">
        <f t="shared" si="11"/>
        <v>0.215</v>
      </c>
      <c r="T60" s="63">
        <f t="shared" si="12"/>
        <v>0</v>
      </c>
      <c r="U60" s="64">
        <f t="shared" si="13"/>
        <v>0</v>
      </c>
      <c r="V60" s="219">
        <f>IF($A61="","",IF(AND(MONTH(A60)&gt;3,MONTH(A60)&lt;11),(T60+R60+G60)*Summary!$T$10/(1-Summary!$T$10),(T60+R60+G60)*Summary!$U$10/(1-Summary!$U$10)))</f>
        <v>3.5048387096774193E-2</v>
      </c>
      <c r="W60" s="63">
        <f t="shared" si="14"/>
        <v>4.381048387096774</v>
      </c>
      <c r="X60" s="63">
        <f t="shared" si="15"/>
        <v>4.381048387096774</v>
      </c>
      <c r="Y60" s="43"/>
      <c r="Z60" s="38">
        <f t="shared" si="16"/>
        <v>0.6</v>
      </c>
      <c r="AA60" s="38">
        <f t="shared" si="17"/>
        <v>0.25800000000000001</v>
      </c>
      <c r="AB60" s="38">
        <f t="shared" ca="1" si="18"/>
        <v>0.2650150608100233</v>
      </c>
      <c r="AC60" s="38">
        <f t="shared" si="19"/>
        <v>0.6</v>
      </c>
      <c r="AD60" s="38">
        <f t="shared" si="19"/>
        <v>0.25800000000000001</v>
      </c>
      <c r="AE60" s="38">
        <f t="shared" ca="1" si="20"/>
        <v>0.2650150608100233</v>
      </c>
      <c r="AF60" s="237">
        <f ca="1">((Summary!$N$10*(AA60*AD60)*(A60-$D$3))+(Summary!$M$10*Z60*AC60*(AJ60-EOMONTH(EDATE(A60,-1),0))))/(AK60*AB60*AE60)</f>
        <v>0.99990516243347138</v>
      </c>
      <c r="AG60" s="88">
        <f>IF($A61="","",Summary!$Q$10)</f>
        <v>0</v>
      </c>
      <c r="AH60" s="88">
        <f>IF($A61="","",IF(Summary!$R$10="Y",(VLOOKUP($A60,Summary!$AD$6:$AF$9,3)+'Escalating commodity'!F73),'Escalating commodity'!F73))</f>
        <v>1.3184000000000001E-2</v>
      </c>
      <c r="AI60" s="88">
        <f t="shared" si="35"/>
        <v>1.3184000000000001E-2</v>
      </c>
      <c r="AJ60" s="236">
        <f t="shared" si="21"/>
        <v>38579.5</v>
      </c>
      <c r="AK60" s="58">
        <f t="shared" ca="1" si="22"/>
        <v>1539</v>
      </c>
      <c r="AL60" s="26">
        <f ca="1">IF($A61="","",_xll.SPRDOPT(P60,X60,AI60,0,AB60,AE60,AF60,AK60,$AJ$2,0))</f>
        <v>1.0447830661459399E-3</v>
      </c>
      <c r="AM60" s="89">
        <f t="shared" si="23"/>
        <v>0</v>
      </c>
      <c r="AN60" s="89">
        <f t="shared" ca="1" si="24"/>
        <v>1.0447830661459399E-3</v>
      </c>
      <c r="AO60" s="3">
        <f t="shared" si="25"/>
        <v>31</v>
      </c>
      <c r="AP60" s="33">
        <f t="shared" si="26"/>
        <v>38565</v>
      </c>
      <c r="AQ60" s="58">
        <f t="shared" ca="1" si="27"/>
        <v>1539</v>
      </c>
      <c r="AR60" s="38">
        <f>'ANR OK vs ML7'!AR60</f>
        <v>0.1</v>
      </c>
      <c r="AS60" s="35">
        <f t="shared" ca="1" si="28"/>
        <v>0.66288097957495684</v>
      </c>
      <c r="AT60" s="3">
        <f t="shared" si="29"/>
        <v>1</v>
      </c>
      <c r="AU60" s="3">
        <f t="shared" si="30"/>
        <v>31</v>
      </c>
      <c r="AW60" s="32">
        <f t="shared" ca="1" si="31"/>
        <v>3878.1720545497601</v>
      </c>
      <c r="AX60" s="32">
        <f t="shared" si="32"/>
        <v>0</v>
      </c>
      <c r="AY60" s="32">
        <f t="shared" ca="1" si="33"/>
        <v>3878.1720545497601</v>
      </c>
      <c r="BA60" s="32">
        <f ca="1">IF($A61="","",F60*Summary!$Q$10)</f>
        <v>0</v>
      </c>
      <c r="BC60" s="256">
        <f t="shared" ca="1" si="36"/>
        <v>0</v>
      </c>
    </row>
    <row r="61" spans="1:55">
      <c r="A61" s="67">
        <f t="shared" si="34"/>
        <v>38596</v>
      </c>
      <c r="B61" s="69">
        <f t="shared" si="37"/>
        <v>119740</v>
      </c>
      <c r="C61" s="71"/>
      <c r="D61" s="69">
        <f t="shared" si="0"/>
        <v>119740</v>
      </c>
      <c r="E61" s="70">
        <f t="shared" si="1"/>
        <v>3592200</v>
      </c>
      <c r="F61" s="70">
        <f t="shared" ca="1" si="2"/>
        <v>2361561.4545482937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0.17</v>
      </c>
      <c r="K61" s="64">
        <f t="shared" si="6"/>
        <v>0.17</v>
      </c>
      <c r="L61" s="38">
        <v>0</v>
      </c>
      <c r="M61" s="64">
        <f t="shared" si="7"/>
        <v>0</v>
      </c>
      <c r="N61" s="65"/>
      <c r="O61" s="63">
        <f t="shared" si="8"/>
        <v>4.3149999999999995</v>
      </c>
      <c r="P61" s="63">
        <f t="shared" si="9"/>
        <v>4.3149999999999995</v>
      </c>
      <c r="Q61" s="66"/>
      <c r="R61" s="63">
        <f t="shared" si="10"/>
        <v>0.215</v>
      </c>
      <c r="S61" s="64">
        <f t="shared" si="11"/>
        <v>0.215</v>
      </c>
      <c r="T61" s="63">
        <f t="shared" si="12"/>
        <v>0</v>
      </c>
      <c r="U61" s="64">
        <f t="shared" si="13"/>
        <v>0</v>
      </c>
      <c r="V61" s="219">
        <f>IF($A62="","",IF(AND(MONTH(A61)&gt;3,MONTH(A61)&lt;11),(T61+R61+G61)*Summary!$T$10/(1-Summary!$T$10),(T61+R61+G61)*Summary!$U$10/(1-Summary!$U$10)))</f>
        <v>3.5161290322580641E-2</v>
      </c>
      <c r="W61" s="63">
        <f t="shared" si="14"/>
        <v>4.3951612903225801</v>
      </c>
      <c r="X61" s="63">
        <f t="shared" si="15"/>
        <v>4.3951612903225801</v>
      </c>
      <c r="Y61" s="43"/>
      <c r="Z61" s="38">
        <f t="shared" si="16"/>
        <v>0.6</v>
      </c>
      <c r="AA61" s="38">
        <f t="shared" si="17"/>
        <v>0.25800000000000001</v>
      </c>
      <c r="AB61" s="38">
        <f t="shared" ca="1" si="18"/>
        <v>0.26466183687507566</v>
      </c>
      <c r="AC61" s="38">
        <f t="shared" si="19"/>
        <v>0.6</v>
      </c>
      <c r="AD61" s="38">
        <f t="shared" si="19"/>
        <v>0.25800000000000001</v>
      </c>
      <c r="AE61" s="38">
        <f t="shared" ca="1" si="20"/>
        <v>0.26466183687507566</v>
      </c>
      <c r="AF61" s="237">
        <f ca="1">((Summary!$N$10*(AA61*AD61)*(A61-$D$3))+(Summary!$M$10*Z61*AC61*(AJ61-EOMONTH(EDATE(A61,-1),0))))/(AK61*AB61*AE61)</f>
        <v>0.99990491033884954</v>
      </c>
      <c r="AG61" s="88">
        <f>IF($A62="","",Summary!$Q$10)</f>
        <v>0</v>
      </c>
      <c r="AH61" s="88">
        <f>IF($A62="","",IF(Summary!$R$10="Y",(VLOOKUP($A61,Summary!$AD$6:$AF$9,3)+'Escalating commodity'!F74),'Escalating commodity'!F74))</f>
        <v>1.3184000000000001E-2</v>
      </c>
      <c r="AI61" s="88">
        <f t="shared" si="35"/>
        <v>1.3184000000000001E-2</v>
      </c>
      <c r="AJ61" s="236">
        <f t="shared" si="21"/>
        <v>38610</v>
      </c>
      <c r="AK61" s="58">
        <f t="shared" ca="1" si="22"/>
        <v>1570</v>
      </c>
      <c r="AL61" s="26">
        <f ca="1">IF($A62="","",_xll.SPRDOPT(P61,X61,AI61,0,AB61,AE61,AF61,AK61,$AJ$2,0))</f>
        <v>1.0781670609409048E-3</v>
      </c>
      <c r="AM61" s="89">
        <f t="shared" si="23"/>
        <v>0</v>
      </c>
      <c r="AN61" s="89">
        <f t="shared" ca="1" si="24"/>
        <v>1.0781670609409048E-3</v>
      </c>
      <c r="AO61" s="3">
        <f t="shared" si="25"/>
        <v>30</v>
      </c>
      <c r="AP61" s="33">
        <f t="shared" si="26"/>
        <v>38596</v>
      </c>
      <c r="AQ61" s="58">
        <f t="shared" ca="1" si="27"/>
        <v>1570</v>
      </c>
      <c r="AR61" s="38">
        <f>'ANR OK vs ML7'!AR61</f>
        <v>0.1</v>
      </c>
      <c r="AS61" s="35">
        <f t="shared" ca="1" si="28"/>
        <v>0.65741368925680466</v>
      </c>
      <c r="AT61" s="3">
        <f t="shared" si="29"/>
        <v>1</v>
      </c>
      <c r="AU61" s="3">
        <f t="shared" si="30"/>
        <v>30</v>
      </c>
      <c r="AW61" s="32">
        <f t="shared" ca="1" si="31"/>
        <v>3872.991716311918</v>
      </c>
      <c r="AX61" s="32">
        <f t="shared" si="32"/>
        <v>0</v>
      </c>
      <c r="AY61" s="32">
        <f t="shared" ca="1" si="33"/>
        <v>3872.991716311918</v>
      </c>
      <c r="BA61" s="32">
        <f ca="1">IF($A62="","",F61*Summary!$Q$10)</f>
        <v>0</v>
      </c>
      <c r="BC61" s="256">
        <f t="shared" ca="1" si="36"/>
        <v>0</v>
      </c>
    </row>
    <row r="62" spans="1:55">
      <c r="A62" s="67">
        <f t="shared" si="34"/>
        <v>38626</v>
      </c>
      <c r="B62" s="69">
        <f t="shared" si="37"/>
        <v>119740</v>
      </c>
      <c r="C62" s="71"/>
      <c r="D62" s="69">
        <f t="shared" si="0"/>
        <v>119740</v>
      </c>
      <c r="E62" s="70">
        <f t="shared" si="1"/>
        <v>3711940</v>
      </c>
      <c r="F62" s="70">
        <f t="shared" ca="1" si="2"/>
        <v>2420799.9538750262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0.17</v>
      </c>
      <c r="K62" s="64">
        <f t="shared" si="6"/>
        <v>0.17</v>
      </c>
      <c r="L62" s="38">
        <v>0</v>
      </c>
      <c r="M62" s="64">
        <f t="shared" si="7"/>
        <v>0</v>
      </c>
      <c r="N62" s="65"/>
      <c r="O62" s="63">
        <f t="shared" si="8"/>
        <v>4.3460000000000001</v>
      </c>
      <c r="P62" s="63">
        <f t="shared" si="9"/>
        <v>4.3460000000000001</v>
      </c>
      <c r="Q62" s="66"/>
      <c r="R62" s="63">
        <f t="shared" si="10"/>
        <v>0.215</v>
      </c>
      <c r="S62" s="64">
        <f t="shared" si="11"/>
        <v>0.215</v>
      </c>
      <c r="T62" s="63">
        <f t="shared" si="12"/>
        <v>0</v>
      </c>
      <c r="U62" s="64">
        <f t="shared" si="13"/>
        <v>0</v>
      </c>
      <c r="V62" s="219">
        <f>IF($A63="","",IF(AND(MONTH(A62)&gt;3,MONTH(A62)&lt;11),(T62+R62+G62)*Summary!$T$10/(1-Summary!$T$10),(T62+R62+G62)*Summary!$U$10/(1-Summary!$U$10)))</f>
        <v>3.5411290322580648E-2</v>
      </c>
      <c r="W62" s="63">
        <f t="shared" si="14"/>
        <v>4.426411290322581</v>
      </c>
      <c r="X62" s="63">
        <f t="shared" si="15"/>
        <v>4.426411290322581</v>
      </c>
      <c r="Y62" s="43"/>
      <c r="Z62" s="38">
        <f t="shared" si="16"/>
        <v>0.65</v>
      </c>
      <c r="AA62" s="38">
        <f t="shared" si="17"/>
        <v>0.25800000000000001</v>
      </c>
      <c r="AB62" s="38">
        <f t="shared" ca="1" si="18"/>
        <v>0.26589202930889072</v>
      </c>
      <c r="AC62" s="38">
        <f t="shared" si="19"/>
        <v>0.65</v>
      </c>
      <c r="AD62" s="38">
        <f t="shared" si="19"/>
        <v>0.25800000000000001</v>
      </c>
      <c r="AE62" s="38">
        <f t="shared" ca="1" si="20"/>
        <v>0.26589202930889072</v>
      </c>
      <c r="AF62" s="237">
        <f ca="1">((Summary!$N$10*(AA62*AD62)*(A62-$D$3))+(Summary!$M$10*Z62*AC62*(AJ62-EOMONTH(EDATE(A62,-1),0))))/(AK62*AB62*AE62)</f>
        <v>0.999905789323147</v>
      </c>
      <c r="AG62" s="88">
        <f>IF($A63="","",Summary!$Q$10)</f>
        <v>0</v>
      </c>
      <c r="AH62" s="88">
        <f>IF($A63="","",IF(Summary!$R$10="Y",(VLOOKUP($A62,Summary!$AD$6:$AF$9,3)+'Escalating commodity'!F75),'Escalating commodity'!F75))</f>
        <v>1.3184000000000001E-2</v>
      </c>
      <c r="AI62" s="88">
        <f t="shared" si="35"/>
        <v>1.3184000000000001E-2</v>
      </c>
      <c r="AJ62" s="236">
        <f t="shared" si="21"/>
        <v>38640.5</v>
      </c>
      <c r="AK62" s="58">
        <f t="shared" ca="1" si="22"/>
        <v>1600</v>
      </c>
      <c r="AL62" s="26">
        <f ca="1">IF($A63="","",_xll.SPRDOPT(P62,X62,AI62,0,AB62,AE62,AF62,AK62,$AJ$2,0))</f>
        <v>1.1230673881005796E-3</v>
      </c>
      <c r="AM62" s="89">
        <f t="shared" si="23"/>
        <v>0</v>
      </c>
      <c r="AN62" s="89">
        <f t="shared" ca="1" si="24"/>
        <v>1.1230673881005796E-3</v>
      </c>
      <c r="AO62" s="3">
        <f t="shared" si="25"/>
        <v>31</v>
      </c>
      <c r="AP62" s="33">
        <f t="shared" si="26"/>
        <v>38626</v>
      </c>
      <c r="AQ62" s="58">
        <f t="shared" ca="1" si="27"/>
        <v>1600</v>
      </c>
      <c r="AR62" s="38">
        <f>'ANR OK vs ML7'!AR62</f>
        <v>0.1</v>
      </c>
      <c r="AS62" s="35">
        <f t="shared" ca="1" si="28"/>
        <v>0.65216570145935182</v>
      </c>
      <c r="AT62" s="3">
        <f t="shared" si="29"/>
        <v>1</v>
      </c>
      <c r="AU62" s="3">
        <f t="shared" si="30"/>
        <v>31</v>
      </c>
      <c r="AW62" s="32">
        <f t="shared" ca="1" si="31"/>
        <v>4168.7587605860654</v>
      </c>
      <c r="AX62" s="32">
        <f t="shared" si="32"/>
        <v>0</v>
      </c>
      <c r="AY62" s="32">
        <f t="shared" ca="1" si="33"/>
        <v>4168.7587605860654</v>
      </c>
      <c r="BA62" s="32">
        <f ca="1">IF($A63="","",F62*Summary!$Q$10)</f>
        <v>0</v>
      </c>
      <c r="BC62" s="256">
        <f t="shared" ca="1" si="36"/>
        <v>0</v>
      </c>
    </row>
    <row r="63" spans="1:55">
      <c r="A63" s="67">
        <f t="shared" si="34"/>
        <v>38657</v>
      </c>
      <c r="B63" s="69">
        <f t="shared" si="37"/>
        <v>119740</v>
      </c>
      <c r="C63" s="71"/>
      <c r="D63" s="69">
        <f t="shared" si="0"/>
        <v>119740</v>
      </c>
      <c r="E63" s="70">
        <f t="shared" si="1"/>
        <v>3592200</v>
      </c>
      <c r="F63" s="70">
        <f t="shared" ca="1" si="2"/>
        <v>2323387.5009242161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0.32500000000000001</v>
      </c>
      <c r="K63" s="64">
        <f t="shared" si="6"/>
        <v>0.32500000000000001</v>
      </c>
      <c r="L63" s="38">
        <v>0</v>
      </c>
      <c r="M63" s="64">
        <f t="shared" si="7"/>
        <v>0</v>
      </c>
      <c r="N63" s="65"/>
      <c r="O63" s="63">
        <f t="shared" si="8"/>
        <v>4.6340000000000003</v>
      </c>
      <c r="P63" s="63">
        <f t="shared" si="9"/>
        <v>4.6340000000000003</v>
      </c>
      <c r="Q63" s="66"/>
      <c r="R63" s="63">
        <f t="shared" si="10"/>
        <v>0.33500000000000002</v>
      </c>
      <c r="S63" s="64">
        <f t="shared" si="11"/>
        <v>0.33500000000000002</v>
      </c>
      <c r="T63" s="63">
        <f t="shared" si="12"/>
        <v>0</v>
      </c>
      <c r="U63" s="64">
        <f t="shared" si="13"/>
        <v>0</v>
      </c>
      <c r="V63" s="219">
        <f>IF($A64="","",IF(AND(MONTH(A63)&gt;3,MONTH(A63)&lt;11),(T63+R63+G63)*Summary!$T$10/(1-Summary!$T$10),(T63+R63+G63)*Summary!$U$10/(1-Summary!$U$10)))</f>
        <v>3.7451612903225809E-2</v>
      </c>
      <c r="W63" s="63">
        <f t="shared" si="14"/>
        <v>4.681451612903226</v>
      </c>
      <c r="X63" s="63">
        <f t="shared" si="15"/>
        <v>4.681451612903226</v>
      </c>
      <c r="Y63" s="43"/>
      <c r="Z63" s="38">
        <f t="shared" si="16"/>
        <v>0.8</v>
      </c>
      <c r="AA63" s="38">
        <f t="shared" si="17"/>
        <v>0.25800000000000001</v>
      </c>
      <c r="AB63" s="38">
        <f t="shared" ca="1" si="18"/>
        <v>0.2692411025566997</v>
      </c>
      <c r="AC63" s="38">
        <f t="shared" si="19"/>
        <v>0.8</v>
      </c>
      <c r="AD63" s="38">
        <f t="shared" si="19"/>
        <v>0.25800000000000001</v>
      </c>
      <c r="AE63" s="38">
        <f t="shared" ca="1" si="20"/>
        <v>0.2692411025566997</v>
      </c>
      <c r="AF63" s="237">
        <f ca="1">((Summary!$N$10*(AA63*AD63)*(A63-$D$3))+(Summary!$M$10*Z63*AC63*(AJ63-EOMONTH(EDATE(A63,-1),0))))/(AK63*AB63*AE63)</f>
        <v>0.99990811959843706</v>
      </c>
      <c r="AG63" s="88">
        <f>IF($A64="","",Summary!$Q$10)</f>
        <v>0</v>
      </c>
      <c r="AH63" s="88">
        <f>IF($A64="","",IF(Summary!$R$10="Y",(VLOOKUP($A63,Summary!$AD$6:$AF$9,3)+'Escalating commodity'!F76),'Escalating commodity'!F76))</f>
        <v>1.3184000000000001E-2</v>
      </c>
      <c r="AI63" s="88">
        <f t="shared" si="35"/>
        <v>1.3184000000000001E-2</v>
      </c>
      <c r="AJ63" s="236">
        <f t="shared" si="21"/>
        <v>38671</v>
      </c>
      <c r="AK63" s="58">
        <f t="shared" ca="1" si="22"/>
        <v>1631</v>
      </c>
      <c r="AL63" s="26">
        <f ca="1">IF($A64="","",_xll.SPRDOPT(P63,X63,AI63,0,AB63,AE63,AF63,AK63,$AJ$2,0))</f>
        <v>2.1235711529010957E-3</v>
      </c>
      <c r="AM63" s="89">
        <f t="shared" si="23"/>
        <v>0</v>
      </c>
      <c r="AN63" s="89">
        <f t="shared" ca="1" si="24"/>
        <v>2.1235711529010957E-3</v>
      </c>
      <c r="AO63" s="3">
        <f t="shared" si="25"/>
        <v>30</v>
      </c>
      <c r="AP63" s="33">
        <f t="shared" si="26"/>
        <v>38657</v>
      </c>
      <c r="AQ63" s="58">
        <f t="shared" ca="1" si="27"/>
        <v>1631</v>
      </c>
      <c r="AR63" s="38">
        <f>'ANR OK vs ML7'!AR63</f>
        <v>0.1</v>
      </c>
      <c r="AS63" s="35">
        <f t="shared" ca="1" si="28"/>
        <v>0.64678678829803915</v>
      </c>
      <c r="AT63" s="3">
        <f t="shared" si="29"/>
        <v>1</v>
      </c>
      <c r="AU63" s="3">
        <f t="shared" si="30"/>
        <v>30</v>
      </c>
      <c r="AW63" s="32">
        <f t="shared" ca="1" si="31"/>
        <v>7628.292295451316</v>
      </c>
      <c r="AX63" s="32">
        <f t="shared" si="32"/>
        <v>0</v>
      </c>
      <c r="AY63" s="32">
        <f t="shared" ca="1" si="33"/>
        <v>7628.292295451316</v>
      </c>
      <c r="BA63" s="32">
        <f ca="1">IF($A64="","",F63*Summary!$Q$10)</f>
        <v>0</v>
      </c>
      <c r="BC63" s="256">
        <f t="shared" ca="1" si="36"/>
        <v>0</v>
      </c>
    </row>
    <row r="64" spans="1:55">
      <c r="A64" s="67">
        <f t="shared" si="34"/>
        <v>38687</v>
      </c>
      <c r="B64" s="69">
        <f t="shared" si="37"/>
        <v>119740</v>
      </c>
      <c r="C64" s="71"/>
      <c r="D64" s="69">
        <f t="shared" si="0"/>
        <v>119740</v>
      </c>
      <c r="E64" s="70">
        <f t="shared" si="1"/>
        <v>3711940</v>
      </c>
      <c r="F64" s="70">
        <f t="shared" ca="1" si="2"/>
        <v>2381668.4271495994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0.32500000000000001</v>
      </c>
      <c r="K64" s="64">
        <f t="shared" si="6"/>
        <v>0.32500000000000001</v>
      </c>
      <c r="L64" s="38">
        <v>0</v>
      </c>
      <c r="M64" s="64">
        <f t="shared" si="7"/>
        <v>0</v>
      </c>
      <c r="N64" s="65"/>
      <c r="O64" s="63">
        <f t="shared" si="8"/>
        <v>4.7720000000000002</v>
      </c>
      <c r="P64" s="63">
        <f t="shared" si="9"/>
        <v>4.7720000000000002</v>
      </c>
      <c r="Q64" s="66"/>
      <c r="R64" s="63">
        <f t="shared" si="10"/>
        <v>0.33500000000000002</v>
      </c>
      <c r="S64" s="64">
        <f t="shared" si="11"/>
        <v>0.33500000000000002</v>
      </c>
      <c r="T64" s="63">
        <f t="shared" si="12"/>
        <v>0</v>
      </c>
      <c r="U64" s="64">
        <f t="shared" si="13"/>
        <v>0</v>
      </c>
      <c r="V64" s="219">
        <f>IF($A65="","",IF(AND(MONTH(A64)&gt;3,MONTH(A64)&lt;11),(T64+R64+G64)*Summary!$T$10/(1-Summary!$T$10),(T64+R64+G64)*Summary!$U$10/(1-Summary!$U$10)))</f>
        <v>3.8564516129032257E-2</v>
      </c>
      <c r="W64" s="63">
        <f t="shared" si="14"/>
        <v>4.820564516129032</v>
      </c>
      <c r="X64" s="63">
        <f t="shared" si="15"/>
        <v>4.820564516129032</v>
      </c>
      <c r="Y64" s="43"/>
      <c r="Z64" s="38">
        <f t="shared" si="16"/>
        <v>1.1000000000000001</v>
      </c>
      <c r="AA64" s="38">
        <f t="shared" si="17"/>
        <v>0.26</v>
      </c>
      <c r="AB64" s="38">
        <f t="shared" ca="1" si="18"/>
        <v>0.28094855241298189</v>
      </c>
      <c r="AC64" s="38">
        <f t="shared" si="19"/>
        <v>1.1000000000000001</v>
      </c>
      <c r="AD64" s="38">
        <f t="shared" si="19"/>
        <v>0.26</v>
      </c>
      <c r="AE64" s="38">
        <f t="shared" ca="1" si="20"/>
        <v>0.28094855241298189</v>
      </c>
      <c r="AF64" s="237">
        <f ca="1">((Summary!$N$10*(AA64*AD64)*(A64-$D$3))+(Summary!$M$10*Z64*AC64*(AJ64-EOMONTH(EDATE(A64,-1),0))))/(AK64*AB64*AE64)</f>
        <v>0.99991430519685587</v>
      </c>
      <c r="AG64" s="88">
        <f>IF($A65="","",Summary!$Q$10)</f>
        <v>0</v>
      </c>
      <c r="AH64" s="88">
        <f>IF($A65="","",IF(Summary!$R$10="Y",(VLOOKUP($A64,Summary!$AD$6:$AF$9,3)+'Escalating commodity'!F77),'Escalating commodity'!F77))</f>
        <v>1.3184000000000001E-2</v>
      </c>
      <c r="AI64" s="88">
        <f t="shared" si="35"/>
        <v>1.3184000000000001E-2</v>
      </c>
      <c r="AJ64" s="236">
        <f t="shared" si="21"/>
        <v>38701.5</v>
      </c>
      <c r="AK64" s="58">
        <f t="shared" ca="1" si="22"/>
        <v>1661</v>
      </c>
      <c r="AL64" s="26">
        <f ca="1">IF($A65="","",_xll.SPRDOPT(P64,X64,AI64,0,AB64,AE64,AF64,AK64,$AJ$2,0))</f>
        <v>2.2537661315236157E-3</v>
      </c>
      <c r="AM64" s="89">
        <f t="shared" si="23"/>
        <v>0</v>
      </c>
      <c r="AN64" s="89">
        <f t="shared" ca="1" si="24"/>
        <v>2.2537661315236157E-3</v>
      </c>
      <c r="AO64" s="3">
        <f t="shared" si="25"/>
        <v>31</v>
      </c>
      <c r="AP64" s="33">
        <f t="shared" si="26"/>
        <v>38687</v>
      </c>
      <c r="AQ64" s="58">
        <f t="shared" ca="1" si="27"/>
        <v>1661</v>
      </c>
      <c r="AR64" s="38">
        <f>'ANR OK vs ML7'!AR64</f>
        <v>0.1</v>
      </c>
      <c r="AS64" s="35">
        <f t="shared" ca="1" si="28"/>
        <v>0.64162363269600242</v>
      </c>
      <c r="AT64" s="3">
        <f t="shared" si="29"/>
        <v>1</v>
      </c>
      <c r="AU64" s="3">
        <f t="shared" si="30"/>
        <v>31</v>
      </c>
      <c r="AW64" s="32">
        <f t="shared" ca="1" si="31"/>
        <v>8365.8446542477704</v>
      </c>
      <c r="AX64" s="32">
        <f t="shared" si="32"/>
        <v>0</v>
      </c>
      <c r="AY64" s="32">
        <f t="shared" ca="1" si="33"/>
        <v>8365.8446542477704</v>
      </c>
      <c r="BA64" s="32">
        <f ca="1">IF($A65="","",F64*Summary!$Q$10)</f>
        <v>0</v>
      </c>
      <c r="BC64" s="256">
        <f t="shared" ca="1" si="36"/>
        <v>0</v>
      </c>
    </row>
    <row r="65" spans="1:55">
      <c r="A65" s="67">
        <f t="shared" si="34"/>
        <v>38718</v>
      </c>
      <c r="B65" s="69">
        <f t="shared" si="37"/>
        <v>119740</v>
      </c>
      <c r="C65" s="71"/>
      <c r="D65" s="69">
        <f t="shared" si="0"/>
        <v>119740</v>
      </c>
      <c r="E65" s="70">
        <f t="shared" si="1"/>
        <v>3711940</v>
      </c>
      <c r="F65" s="70">
        <f t="shared" ca="1" si="2"/>
        <v>2362024.9720890047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0.32500000000000001</v>
      </c>
      <c r="K65" s="64">
        <f t="shared" si="6"/>
        <v>0.32500000000000001</v>
      </c>
      <c r="L65" s="38">
        <v>0</v>
      </c>
      <c r="M65" s="64">
        <f t="shared" si="7"/>
        <v>0</v>
      </c>
      <c r="N65" s="65"/>
      <c r="O65" s="63">
        <f t="shared" si="8"/>
        <v>4.7690000000000001</v>
      </c>
      <c r="P65" s="63">
        <f t="shared" si="9"/>
        <v>4.7690000000000001</v>
      </c>
      <c r="Q65" s="66"/>
      <c r="R65" s="63">
        <f t="shared" si="10"/>
        <v>0.33500000000000002</v>
      </c>
      <c r="S65" s="64">
        <f t="shared" si="11"/>
        <v>0.33500000000000002</v>
      </c>
      <c r="T65" s="63">
        <f t="shared" si="12"/>
        <v>0</v>
      </c>
      <c r="U65" s="64">
        <f t="shared" si="13"/>
        <v>0</v>
      </c>
      <c r="V65" s="219">
        <f>IF($A66="","",IF(AND(MONTH(A65)&gt;3,MONTH(A65)&lt;11),(T65+R65+G65)*Summary!$T$10/(1-Summary!$T$10),(T65+R65+G65)*Summary!$U$10/(1-Summary!$U$10)))</f>
        <v>3.8540322580645166E-2</v>
      </c>
      <c r="W65" s="63">
        <f t="shared" si="14"/>
        <v>4.817540322580645</v>
      </c>
      <c r="X65" s="63">
        <f t="shared" si="15"/>
        <v>4.817540322580645</v>
      </c>
      <c r="Y65" s="43"/>
      <c r="Z65" s="38">
        <f t="shared" si="16"/>
        <v>1.1000000000000001</v>
      </c>
      <c r="AA65" s="38">
        <f t="shared" si="17"/>
        <v>0.26300000000000001</v>
      </c>
      <c r="AB65" s="38">
        <f t="shared" ca="1" si="18"/>
        <v>0.28336265701406554</v>
      </c>
      <c r="AC65" s="38">
        <f t="shared" si="19"/>
        <v>1.1000000000000001</v>
      </c>
      <c r="AD65" s="38">
        <f t="shared" si="19"/>
        <v>0.26300000000000001</v>
      </c>
      <c r="AE65" s="38">
        <f t="shared" ca="1" si="20"/>
        <v>0.28336265701406554</v>
      </c>
      <c r="AF65" s="237">
        <f ca="1">((Summary!$N$10*(AA65*AD65)*(A65-$D$3))+(Summary!$M$10*Z65*AC65*(AJ65-EOMONTH(EDATE(A65,-1),0))))/(AK65*AB65*AE65)</f>
        <v>0.99991380484318038</v>
      </c>
      <c r="AG65" s="88">
        <f>IF($A66="","",Summary!$Q$10)</f>
        <v>0</v>
      </c>
      <c r="AH65" s="88">
        <f>IF($A66="","",IF(Summary!$R$10="Y",(VLOOKUP($A65,Summary!$AD$6:$AF$9,3)+'Escalating commodity'!F78),'Escalating commodity'!F78))</f>
        <v>1.5820799999999999E-2</v>
      </c>
      <c r="AI65" s="88">
        <f t="shared" si="35"/>
        <v>1.5820799999999999E-2</v>
      </c>
      <c r="AJ65" s="236">
        <f t="shared" si="21"/>
        <v>38732.5</v>
      </c>
      <c r="AK65" s="58">
        <f t="shared" ca="1" si="22"/>
        <v>1692</v>
      </c>
      <c r="AL65" s="26">
        <f ca="1">IF($A66="","",_xll.SPRDOPT(P65,X65,AI65,0,AB65,AE65,AF65,AK65,$AJ$2,0))</f>
        <v>2.2683358186241752E-3</v>
      </c>
      <c r="AM65" s="89">
        <f t="shared" si="23"/>
        <v>0</v>
      </c>
      <c r="AN65" s="89">
        <f t="shared" ca="1" si="24"/>
        <v>2.2683358186241752E-3</v>
      </c>
      <c r="AO65" s="3">
        <f t="shared" si="25"/>
        <v>31</v>
      </c>
      <c r="AP65" s="33">
        <f t="shared" si="26"/>
        <v>38718</v>
      </c>
      <c r="AQ65" s="58">
        <f t="shared" ca="1" si="27"/>
        <v>1692</v>
      </c>
      <c r="AR65" s="38">
        <f>'ANR OK vs ML7'!AR65</f>
        <v>0.1</v>
      </c>
      <c r="AS65" s="35">
        <f t="shared" ca="1" si="28"/>
        <v>0.63633166810050934</v>
      </c>
      <c r="AT65" s="3">
        <f t="shared" si="29"/>
        <v>1</v>
      </c>
      <c r="AU65" s="3">
        <f t="shared" si="30"/>
        <v>31</v>
      </c>
      <c r="AW65" s="32">
        <f t="shared" ca="1" si="31"/>
        <v>8419.9264585838209</v>
      </c>
      <c r="AX65" s="32">
        <f t="shared" si="32"/>
        <v>0</v>
      </c>
      <c r="AY65" s="32">
        <f t="shared" ca="1" si="33"/>
        <v>8419.9264585838209</v>
      </c>
      <c r="BA65" s="32">
        <f ca="1">IF($A66="","",F65*Summary!$Q$10)</f>
        <v>0</v>
      </c>
      <c r="BC65" s="256">
        <f t="shared" ca="1" si="36"/>
        <v>0</v>
      </c>
    </row>
    <row r="66" spans="1:55">
      <c r="A66" s="67">
        <f t="shared" si="34"/>
        <v>38749</v>
      </c>
      <c r="B66" s="69">
        <f t="shared" si="37"/>
        <v>119740</v>
      </c>
      <c r="C66" s="71"/>
      <c r="D66" s="69">
        <f t="shared" si="0"/>
        <v>119740</v>
      </c>
      <c r="E66" s="70">
        <f t="shared" si="1"/>
        <v>3352720</v>
      </c>
      <c r="F66" s="70">
        <f t="shared" ca="1" si="2"/>
        <v>2115845.7706051567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0.32500000000000001</v>
      </c>
      <c r="K66" s="64">
        <f t="shared" si="6"/>
        <v>0.32500000000000001</v>
      </c>
      <c r="L66" s="38">
        <v>0</v>
      </c>
      <c r="M66" s="64">
        <f t="shared" si="7"/>
        <v>0</v>
      </c>
      <c r="N66" s="65"/>
      <c r="O66" s="63">
        <f t="shared" si="8"/>
        <v>4.649</v>
      </c>
      <c r="P66" s="63">
        <f t="shared" si="9"/>
        <v>4.649</v>
      </c>
      <c r="Q66" s="66"/>
      <c r="R66" s="63">
        <f t="shared" si="10"/>
        <v>0.33500000000000002</v>
      </c>
      <c r="S66" s="64">
        <f t="shared" si="11"/>
        <v>0.33500000000000002</v>
      </c>
      <c r="T66" s="63">
        <f t="shared" si="12"/>
        <v>0</v>
      </c>
      <c r="U66" s="64">
        <f t="shared" si="13"/>
        <v>0</v>
      </c>
      <c r="V66" s="219">
        <f>IF($A67="","",IF(AND(MONTH(A66)&gt;3,MONTH(A66)&lt;11),(T66+R66+G66)*Summary!$T$10/(1-Summary!$T$10),(T66+R66+G66)*Summary!$U$10/(1-Summary!$U$10)))</f>
        <v>3.7572580645161287E-2</v>
      </c>
      <c r="W66" s="63">
        <f t="shared" si="14"/>
        <v>4.696572580645161</v>
      </c>
      <c r="X66" s="63">
        <f t="shared" si="15"/>
        <v>4.696572580645161</v>
      </c>
      <c r="Y66" s="43"/>
      <c r="Z66" s="38">
        <f t="shared" si="16"/>
        <v>1.1000000000000001</v>
      </c>
      <c r="AA66" s="38">
        <f t="shared" si="17"/>
        <v>0.255</v>
      </c>
      <c r="AB66" s="38">
        <f t="shared" ca="1" si="18"/>
        <v>0.27366846424586994</v>
      </c>
      <c r="AC66" s="38">
        <f t="shared" si="19"/>
        <v>1.1000000000000001</v>
      </c>
      <c r="AD66" s="38">
        <f t="shared" si="19"/>
        <v>0.255</v>
      </c>
      <c r="AE66" s="38">
        <f t="shared" ca="1" si="20"/>
        <v>0.27366846424586994</v>
      </c>
      <c r="AF66" s="237">
        <f ca="1">((Summary!$N$10*(AA66*AD66)*(A66-$D$3))+(Summary!$M$10*Z66*AC66*(AJ66-EOMONTH(EDATE(A66,-1),0))))/(AK66*AB66*AE66)</f>
        <v>0.99991312739697003</v>
      </c>
      <c r="AG66" s="88">
        <f>IF($A67="","",Summary!$Q$10)</f>
        <v>0</v>
      </c>
      <c r="AH66" s="88">
        <f>IF($A67="","",IF(Summary!$R$10="Y",(VLOOKUP($A66,Summary!$AD$6:$AF$9,3)+'Escalating commodity'!F79),'Escalating commodity'!F79))</f>
        <v>1.5820799999999999E-2</v>
      </c>
      <c r="AI66" s="88">
        <f t="shared" si="35"/>
        <v>1.5820799999999999E-2</v>
      </c>
      <c r="AJ66" s="236">
        <f t="shared" si="21"/>
        <v>38762</v>
      </c>
      <c r="AK66" s="58">
        <f t="shared" ca="1" si="22"/>
        <v>1723</v>
      </c>
      <c r="AL66" s="26">
        <f ca="1">IF($A67="","",_xll.SPRDOPT(P66,X66,AI66,0,AB66,AE66,AF66,AK66,$AJ$2,0))</f>
        <v>2.112421644304991E-3</v>
      </c>
      <c r="AM66" s="89">
        <f t="shared" si="23"/>
        <v>0</v>
      </c>
      <c r="AN66" s="89">
        <f t="shared" ca="1" si="24"/>
        <v>2.112421644304991E-3</v>
      </c>
      <c r="AO66" s="3">
        <f t="shared" si="25"/>
        <v>28</v>
      </c>
      <c r="AP66" s="33">
        <f t="shared" si="26"/>
        <v>38749</v>
      </c>
      <c r="AQ66" s="58">
        <f t="shared" ca="1" si="27"/>
        <v>1723</v>
      </c>
      <c r="AR66" s="38">
        <f>'ANR OK vs ML7'!AR66</f>
        <v>0.1</v>
      </c>
      <c r="AS66" s="35">
        <f t="shared" ca="1" si="28"/>
        <v>0.63108335041553021</v>
      </c>
      <c r="AT66" s="3">
        <f t="shared" si="29"/>
        <v>1</v>
      </c>
      <c r="AU66" s="3">
        <f t="shared" si="30"/>
        <v>28</v>
      </c>
      <c r="AW66" s="32">
        <f t="shared" ca="1" si="31"/>
        <v>7082.3582952942297</v>
      </c>
      <c r="AX66" s="32">
        <f t="shared" si="32"/>
        <v>0</v>
      </c>
      <c r="AY66" s="32">
        <f t="shared" ca="1" si="33"/>
        <v>7082.3582952942297</v>
      </c>
      <c r="BA66" s="32">
        <f ca="1">IF($A67="","",F66*Summary!$Q$10)</f>
        <v>0</v>
      </c>
      <c r="BC66" s="256">
        <f t="shared" ca="1" si="36"/>
        <v>0</v>
      </c>
    </row>
    <row r="67" spans="1:55">
      <c r="A67" s="67">
        <f t="shared" si="34"/>
        <v>38777</v>
      </c>
      <c r="B67" s="69">
        <f t="shared" si="37"/>
        <v>119740</v>
      </c>
      <c r="C67" s="71"/>
      <c r="D67" s="69">
        <f t="shared" si="0"/>
        <v>119740</v>
      </c>
      <c r="E67" s="70">
        <f t="shared" si="1"/>
        <v>3711940</v>
      </c>
      <c r="F67" s="70">
        <f t="shared" ca="1" si="2"/>
        <v>2325085.5354580334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0.32500000000000001</v>
      </c>
      <c r="K67" s="64">
        <f t="shared" si="6"/>
        <v>0.32500000000000001</v>
      </c>
      <c r="L67" s="38">
        <v>0</v>
      </c>
      <c r="M67" s="64">
        <f t="shared" si="7"/>
        <v>0</v>
      </c>
      <c r="N67" s="65"/>
      <c r="O67" s="63">
        <f t="shared" si="8"/>
        <v>4.51</v>
      </c>
      <c r="P67" s="63">
        <f t="shared" si="9"/>
        <v>4.51</v>
      </c>
      <c r="Q67" s="66"/>
      <c r="R67" s="63">
        <f t="shared" si="10"/>
        <v>0.33500000000000002</v>
      </c>
      <c r="S67" s="64">
        <f t="shared" si="11"/>
        <v>0.33500000000000002</v>
      </c>
      <c r="T67" s="63">
        <f t="shared" si="12"/>
        <v>0</v>
      </c>
      <c r="U67" s="64">
        <f t="shared" si="13"/>
        <v>0</v>
      </c>
      <c r="V67" s="219">
        <f>IF($A68="","",IF(AND(MONTH(A67)&gt;3,MONTH(A67)&lt;11),(T67+R67+G67)*Summary!$T$10/(1-Summary!$T$10),(T67+R67+G67)*Summary!$U$10/(1-Summary!$U$10)))</f>
        <v>3.6451612903225801E-2</v>
      </c>
      <c r="W67" s="63">
        <f t="shared" si="14"/>
        <v>4.5564516129032251</v>
      </c>
      <c r="X67" s="63">
        <f t="shared" si="15"/>
        <v>4.5564516129032251</v>
      </c>
      <c r="Y67" s="43"/>
      <c r="Z67" s="38">
        <f t="shared" si="16"/>
        <v>0.75</v>
      </c>
      <c r="AA67" s="38">
        <f t="shared" si="17"/>
        <v>0.25</v>
      </c>
      <c r="AB67" s="38">
        <f t="shared" ca="1" si="18"/>
        <v>0.25983647056074827</v>
      </c>
      <c r="AC67" s="38">
        <f t="shared" si="19"/>
        <v>0.75</v>
      </c>
      <c r="AD67" s="38">
        <f t="shared" si="19"/>
        <v>0.25</v>
      </c>
      <c r="AE67" s="38">
        <f t="shared" ca="1" si="20"/>
        <v>0.25983647056074827</v>
      </c>
      <c r="AF67" s="237">
        <f ca="1">((Summary!$N$10*(AA67*AD67)*(A67-$D$3))+(Summary!$M$10*Z67*AC67*(AJ67-EOMONTH(EDATE(A67,-1),0))))/(AK67*AB67*AE67)</f>
        <v>0.99990737509912764</v>
      </c>
      <c r="AG67" s="88">
        <f>IF($A68="","",Summary!$Q$10)</f>
        <v>0</v>
      </c>
      <c r="AH67" s="88">
        <f>IF($A68="","",IF(Summary!$R$10="Y",(VLOOKUP($A67,Summary!$AD$6:$AF$9,3)+'Escalating commodity'!F80),'Escalating commodity'!F80))</f>
        <v>1.5820799999999999E-2</v>
      </c>
      <c r="AI67" s="88">
        <f t="shared" si="35"/>
        <v>1.5820799999999999E-2</v>
      </c>
      <c r="AJ67" s="236">
        <f t="shared" si="21"/>
        <v>38791.5</v>
      </c>
      <c r="AK67" s="58">
        <f t="shared" ca="1" si="22"/>
        <v>1751</v>
      </c>
      <c r="AL67" s="26">
        <f ca="1">IF($A68="","",_xll.SPRDOPT(P67,X67,AI67,0,AB67,AE67,AF67,AK67,$AJ$2,0))</f>
        <v>1.9971328272864845E-3</v>
      </c>
      <c r="AM67" s="89">
        <f t="shared" si="23"/>
        <v>0</v>
      </c>
      <c r="AN67" s="89">
        <f t="shared" ca="1" si="24"/>
        <v>1.9971328272864845E-3</v>
      </c>
      <c r="AO67" s="3">
        <f t="shared" si="25"/>
        <v>31</v>
      </c>
      <c r="AP67" s="33">
        <f t="shared" si="26"/>
        <v>38777</v>
      </c>
      <c r="AQ67" s="58">
        <f t="shared" ca="1" si="27"/>
        <v>1751</v>
      </c>
      <c r="AR67" s="38">
        <f>'ANR OK vs ML7'!AR67</f>
        <v>0.1</v>
      </c>
      <c r="AS67" s="35">
        <f t="shared" ca="1" si="28"/>
        <v>0.6263801503952201</v>
      </c>
      <c r="AT67" s="3">
        <f t="shared" si="29"/>
        <v>1</v>
      </c>
      <c r="AU67" s="3">
        <f t="shared" si="30"/>
        <v>31</v>
      </c>
      <c r="AW67" s="32">
        <f t="shared" ca="1" si="31"/>
        <v>7413.2372269177931</v>
      </c>
      <c r="AX67" s="32">
        <f t="shared" si="32"/>
        <v>0</v>
      </c>
      <c r="AY67" s="32">
        <f t="shared" ca="1" si="33"/>
        <v>7413.2372269177931</v>
      </c>
      <c r="BA67" s="32">
        <f ca="1">IF($A68="","",F67*Summary!$Q$10)</f>
        <v>0</v>
      </c>
      <c r="BC67" s="256">
        <f t="shared" ca="1" si="36"/>
        <v>0</v>
      </c>
    </row>
    <row r="68" spans="1:55">
      <c r="A68" s="67">
        <f t="shared" si="34"/>
        <v>38808</v>
      </c>
      <c r="B68" s="69">
        <f t="shared" si="37"/>
        <v>119740</v>
      </c>
      <c r="C68" s="71"/>
      <c r="D68" s="69">
        <f t="shared" si="0"/>
        <v>119740</v>
      </c>
      <c r="E68" s="70">
        <f t="shared" si="1"/>
        <v>3592200</v>
      </c>
      <c r="F68" s="70">
        <f t="shared" ca="1" si="2"/>
        <v>2231524.609464597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0.17</v>
      </c>
      <c r="K68" s="64">
        <f t="shared" si="6"/>
        <v>0.17</v>
      </c>
      <c r="L68" s="38">
        <v>0</v>
      </c>
      <c r="M68" s="64">
        <f t="shared" si="7"/>
        <v>0</v>
      </c>
      <c r="N68" s="65"/>
      <c r="O68" s="63">
        <f t="shared" si="8"/>
        <v>4.18</v>
      </c>
      <c r="P68" s="63">
        <f t="shared" si="9"/>
        <v>4.18</v>
      </c>
      <c r="Q68" s="66"/>
      <c r="R68" s="63">
        <f t="shared" si="10"/>
        <v>0.21</v>
      </c>
      <c r="S68" s="64">
        <f t="shared" si="11"/>
        <v>0.21</v>
      </c>
      <c r="T68" s="63">
        <f t="shared" si="12"/>
        <v>0</v>
      </c>
      <c r="U68" s="64">
        <f t="shared" si="13"/>
        <v>0</v>
      </c>
      <c r="V68" s="219">
        <f>IF($A69="","",IF(AND(MONTH(A68)&gt;3,MONTH(A68)&lt;11),(T68+R68+G68)*Summary!$T$10/(1-Summary!$T$10),(T68+R68+G68)*Summary!$U$10/(1-Summary!$U$10)))</f>
        <v>3.4032258064516124E-2</v>
      </c>
      <c r="W68" s="63">
        <f t="shared" si="14"/>
        <v>4.254032258064516</v>
      </c>
      <c r="X68" s="63">
        <f t="shared" si="15"/>
        <v>4.254032258064516</v>
      </c>
      <c r="Y68" s="43"/>
      <c r="Z68" s="38">
        <f t="shared" si="16"/>
        <v>0.45</v>
      </c>
      <c r="AA68" s="38">
        <f t="shared" si="17"/>
        <v>0.245</v>
      </c>
      <c r="AB68" s="38">
        <f t="shared" ca="1" si="18"/>
        <v>0.24852209060241742</v>
      </c>
      <c r="AC68" s="38">
        <f t="shared" si="19"/>
        <v>0.45</v>
      </c>
      <c r="AD68" s="38">
        <f t="shared" si="19"/>
        <v>0.245</v>
      </c>
      <c r="AE68" s="38">
        <f t="shared" ca="1" si="20"/>
        <v>0.24852209060241742</v>
      </c>
      <c r="AF68" s="237">
        <f ca="1">((Summary!$N$10*(AA68*AD68)*(A68-$D$3))+(Summary!$M$10*Z68*AC68*(AJ68-EOMONTH(EDATE(A68,-1),0))))/(AK68*AB68*AE68)</f>
        <v>0.99990275980622767</v>
      </c>
      <c r="AG68" s="88">
        <f>IF($A69="","",Summary!$Q$10)</f>
        <v>0</v>
      </c>
      <c r="AH68" s="88">
        <f>IF($A69="","",IF(Summary!$R$10="Y",(VLOOKUP($A68,Summary!$AD$6:$AF$9,3)+'Escalating commodity'!F81),'Escalating commodity'!F81))</f>
        <v>1.5820799999999999E-2</v>
      </c>
      <c r="AI68" s="88">
        <f t="shared" si="35"/>
        <v>1.5820799999999999E-2</v>
      </c>
      <c r="AJ68" s="236">
        <f t="shared" si="21"/>
        <v>38822</v>
      </c>
      <c r="AK68" s="58">
        <f t="shared" ca="1" si="22"/>
        <v>1782</v>
      </c>
      <c r="AL68" s="26">
        <f ca="1">IF($A69="","",_xll.SPRDOPT(P68,X68,AI68,0,AB68,AE68,AF68,AK68,$AJ$2,0))</f>
        <v>1.0823815229544578E-3</v>
      </c>
      <c r="AM68" s="89">
        <f t="shared" si="23"/>
        <v>0</v>
      </c>
      <c r="AN68" s="89">
        <f t="shared" ca="1" si="24"/>
        <v>1.0823815229544578E-3</v>
      </c>
      <c r="AO68" s="3">
        <f t="shared" si="25"/>
        <v>30</v>
      </c>
      <c r="AP68" s="33">
        <f t="shared" si="26"/>
        <v>38808</v>
      </c>
      <c r="AQ68" s="58">
        <f t="shared" ca="1" si="27"/>
        <v>1782</v>
      </c>
      <c r="AR68" s="38">
        <f>'ANR OK vs ML7'!AR68</f>
        <v>0.1</v>
      </c>
      <c r="AS68" s="35">
        <f t="shared" ca="1" si="28"/>
        <v>0.62121391054634956</v>
      </c>
      <c r="AT68" s="3">
        <f t="shared" si="29"/>
        <v>1</v>
      </c>
      <c r="AU68" s="3">
        <f t="shared" si="30"/>
        <v>30</v>
      </c>
      <c r="AW68" s="32">
        <f t="shared" ca="1" si="31"/>
        <v>3888.1309067570032</v>
      </c>
      <c r="AX68" s="32">
        <f t="shared" si="32"/>
        <v>0</v>
      </c>
      <c r="AY68" s="32">
        <f t="shared" ca="1" si="33"/>
        <v>3888.1309067570032</v>
      </c>
      <c r="BA68" s="32">
        <f ca="1">IF($A69="","",F68*Summary!$Q$10)</f>
        <v>0</v>
      </c>
      <c r="BC68" s="256">
        <f t="shared" ca="1" si="36"/>
        <v>0</v>
      </c>
    </row>
    <row r="69" spans="1:55">
      <c r="A69" s="67">
        <f t="shared" si="34"/>
        <v>38838</v>
      </c>
      <c r="B69" s="69">
        <f t="shared" si="37"/>
        <v>119740</v>
      </c>
      <c r="C69" s="71"/>
      <c r="D69" s="69">
        <f t="shared" si="0"/>
        <v>119740</v>
      </c>
      <c r="E69" s="70">
        <f t="shared" si="1"/>
        <v>3711940</v>
      </c>
      <c r="F69" s="70">
        <f t="shared" ca="1" si="2"/>
        <v>2287501.2044504094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0.17</v>
      </c>
      <c r="K69" s="64">
        <f t="shared" si="6"/>
        <v>0.17</v>
      </c>
      <c r="L69" s="38">
        <v>0</v>
      </c>
      <c r="M69" s="64">
        <f t="shared" si="7"/>
        <v>0</v>
      </c>
      <c r="N69" s="65"/>
      <c r="O69" s="63">
        <f t="shared" si="8"/>
        <v>4.1500000000000004</v>
      </c>
      <c r="P69" s="63">
        <f t="shared" si="9"/>
        <v>4.1500000000000004</v>
      </c>
      <c r="Q69" s="66"/>
      <c r="R69" s="63">
        <f t="shared" si="10"/>
        <v>0.21</v>
      </c>
      <c r="S69" s="64">
        <f t="shared" si="11"/>
        <v>0.21</v>
      </c>
      <c r="T69" s="63">
        <f t="shared" si="12"/>
        <v>0</v>
      </c>
      <c r="U69" s="64">
        <f t="shared" si="13"/>
        <v>0</v>
      </c>
      <c r="V69" s="219">
        <f>IF($A70="","",IF(AND(MONTH(A69)&gt;3,MONTH(A69)&lt;11),(T69+R69+G69)*Summary!$T$10/(1-Summary!$T$10),(T69+R69+G69)*Summary!$U$10/(1-Summary!$U$10)))</f>
        <v>3.3790322580645162E-2</v>
      </c>
      <c r="W69" s="63">
        <f t="shared" si="14"/>
        <v>4.2237903225806459</v>
      </c>
      <c r="X69" s="63">
        <f t="shared" si="15"/>
        <v>4.2237903225806459</v>
      </c>
      <c r="Y69" s="43"/>
      <c r="Z69" s="38">
        <f t="shared" si="16"/>
        <v>0.5</v>
      </c>
      <c r="AA69" s="38">
        <f t="shared" si="17"/>
        <v>0.23800000000000002</v>
      </c>
      <c r="AB69" s="38">
        <f t="shared" ca="1" si="18"/>
        <v>0.24251552828005396</v>
      </c>
      <c r="AC69" s="38">
        <f t="shared" si="19"/>
        <v>0.5</v>
      </c>
      <c r="AD69" s="38">
        <f t="shared" si="19"/>
        <v>0.23800000000000002</v>
      </c>
      <c r="AE69" s="38">
        <f t="shared" ca="1" si="20"/>
        <v>0.24251552828005396</v>
      </c>
      <c r="AF69" s="237">
        <f ca="1">((Summary!$N$10*(AA69*AD69)*(A69-$D$3))+(Summary!$M$10*Z69*AC69*(AJ69-EOMONTH(EDATE(A69,-1),0))))/(AK69*AB69*AE69)</f>
        <v>0.9999036360882062</v>
      </c>
      <c r="AG69" s="88">
        <f>IF($A70="","",Summary!$Q$10)</f>
        <v>0</v>
      </c>
      <c r="AH69" s="88">
        <f>IF($A70="","",IF(Summary!$R$10="Y",(VLOOKUP($A69,Summary!$AD$6:$AF$9,3)+'Escalating commodity'!F82),'Escalating commodity'!F82))</f>
        <v>1.5820799999999999E-2</v>
      </c>
      <c r="AI69" s="88">
        <f t="shared" si="35"/>
        <v>1.5820799999999999E-2</v>
      </c>
      <c r="AJ69" s="236">
        <f t="shared" si="21"/>
        <v>38852.5</v>
      </c>
      <c r="AK69" s="58">
        <f t="shared" ca="1" si="22"/>
        <v>1812</v>
      </c>
      <c r="AL69" s="26">
        <f ca="1">IF($A70="","",_xll.SPRDOPT(P69,X69,AI69,0,AB69,AE69,AF69,AK69,$AJ$2,0))</f>
        <v>1.0143920196028569E-3</v>
      </c>
      <c r="AM69" s="89">
        <f t="shared" si="23"/>
        <v>0</v>
      </c>
      <c r="AN69" s="89">
        <f t="shared" ca="1" si="24"/>
        <v>1.0143920196028569E-3</v>
      </c>
      <c r="AO69" s="3">
        <f t="shared" si="25"/>
        <v>31</v>
      </c>
      <c r="AP69" s="33">
        <f t="shared" si="26"/>
        <v>38838</v>
      </c>
      <c r="AQ69" s="58">
        <f t="shared" ca="1" si="27"/>
        <v>1812</v>
      </c>
      <c r="AR69" s="38">
        <f>'ANR OK vs ML7'!AR69</f>
        <v>0.1</v>
      </c>
      <c r="AS69" s="35">
        <f t="shared" ca="1" si="28"/>
        <v>0.61625489756041574</v>
      </c>
      <c r="AT69" s="3">
        <f t="shared" si="29"/>
        <v>1</v>
      </c>
      <c r="AU69" s="3">
        <f t="shared" si="30"/>
        <v>31</v>
      </c>
      <c r="AW69" s="32">
        <f t="shared" ca="1" si="31"/>
        <v>3765.3623132446287</v>
      </c>
      <c r="AX69" s="32">
        <f t="shared" si="32"/>
        <v>0</v>
      </c>
      <c r="AY69" s="32">
        <f t="shared" ca="1" si="33"/>
        <v>3765.3623132446287</v>
      </c>
      <c r="BA69" s="32">
        <f ca="1">IF($A70="","",F69*Summary!$Q$10)</f>
        <v>0</v>
      </c>
      <c r="BC69" s="256">
        <f t="shared" ca="1" si="36"/>
        <v>0</v>
      </c>
    </row>
    <row r="70" spans="1:55">
      <c r="A70" s="67">
        <f t="shared" si="34"/>
        <v>38869</v>
      </c>
      <c r="B70" s="69">
        <f t="shared" si="37"/>
        <v>119740</v>
      </c>
      <c r="C70" s="71"/>
      <c r="D70" s="69">
        <f t="shared" si="0"/>
        <v>119740</v>
      </c>
      <c r="E70" s="70">
        <f t="shared" si="1"/>
        <v>3592200</v>
      </c>
      <c r="F70" s="70">
        <f t="shared" ca="1" si="2"/>
        <v>2195452.6635964839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0.17</v>
      </c>
      <c r="K70" s="64">
        <f t="shared" si="6"/>
        <v>0.17</v>
      </c>
      <c r="L70" s="38">
        <v>0</v>
      </c>
      <c r="M70" s="64">
        <f t="shared" si="7"/>
        <v>0</v>
      </c>
      <c r="N70" s="65"/>
      <c r="O70" s="63">
        <f t="shared" si="8"/>
        <v>4.22</v>
      </c>
      <c r="P70" s="63">
        <f t="shared" si="9"/>
        <v>4.22</v>
      </c>
      <c r="Q70" s="66"/>
      <c r="R70" s="63">
        <f t="shared" si="10"/>
        <v>0.21</v>
      </c>
      <c r="S70" s="64">
        <f t="shared" si="11"/>
        <v>0.21</v>
      </c>
      <c r="T70" s="63">
        <f t="shared" si="12"/>
        <v>0</v>
      </c>
      <c r="U70" s="64">
        <f t="shared" si="13"/>
        <v>0</v>
      </c>
      <c r="V70" s="219">
        <f>IF($A71="","",IF(AND(MONTH(A70)&gt;3,MONTH(A70)&lt;11),(T70+R70+G70)*Summary!$T$10/(1-Summary!$T$10),(T70+R70+G70)*Summary!$U$10/(1-Summary!$U$10)))</f>
        <v>3.435483870967742E-2</v>
      </c>
      <c r="W70" s="63">
        <f t="shared" si="14"/>
        <v>4.294354838709677</v>
      </c>
      <c r="X70" s="63">
        <f t="shared" si="15"/>
        <v>4.294354838709677</v>
      </c>
      <c r="Y70" s="43"/>
      <c r="Z70" s="38">
        <f t="shared" si="16"/>
        <v>0.5</v>
      </c>
      <c r="AA70" s="38">
        <f t="shared" si="17"/>
        <v>0.23800000000000002</v>
      </c>
      <c r="AB70" s="38">
        <f t="shared" ca="1" si="18"/>
        <v>0.24230035217053275</v>
      </c>
      <c r="AC70" s="38">
        <f t="shared" si="19"/>
        <v>0.5</v>
      </c>
      <c r="AD70" s="38">
        <f t="shared" si="19"/>
        <v>0.23800000000000002</v>
      </c>
      <c r="AE70" s="38">
        <f t="shared" ca="1" si="20"/>
        <v>0.24230035217053275</v>
      </c>
      <c r="AF70" s="237">
        <f ca="1">((Summary!$N$10*(AA70*AD70)*(A70-$D$3))+(Summary!$M$10*Z70*AC70*(AJ70-EOMONTH(EDATE(A70,-1),0))))/(AK70*AB70*AE70)</f>
        <v>0.99990346575486688</v>
      </c>
      <c r="AG70" s="88">
        <f>IF($A71="","",Summary!$Q$10)</f>
        <v>0</v>
      </c>
      <c r="AH70" s="88">
        <f>IF($A71="","",IF(Summary!$R$10="Y",(VLOOKUP($A70,Summary!$AD$6:$AF$9,3)+'Escalating commodity'!F83),'Escalating commodity'!F83))</f>
        <v>1.5820799999999999E-2</v>
      </c>
      <c r="AI70" s="88">
        <f t="shared" si="35"/>
        <v>1.5820799999999999E-2</v>
      </c>
      <c r="AJ70" s="236">
        <f t="shared" si="21"/>
        <v>38883</v>
      </c>
      <c r="AK70" s="58">
        <f t="shared" ca="1" si="22"/>
        <v>1843</v>
      </c>
      <c r="AL70" s="26">
        <f ca="1">IF($A71="","",_xll.SPRDOPT(P70,X70,AI70,0,AB70,AE70,AF70,AK70,$AJ$2,0))</f>
        <v>1.0709160338993311E-3</v>
      </c>
      <c r="AM70" s="89">
        <f t="shared" si="23"/>
        <v>0</v>
      </c>
      <c r="AN70" s="89">
        <f t="shared" ca="1" si="24"/>
        <v>1.0709160338993311E-3</v>
      </c>
      <c r="AO70" s="3">
        <f t="shared" si="25"/>
        <v>30</v>
      </c>
      <c r="AP70" s="33">
        <f t="shared" si="26"/>
        <v>38869</v>
      </c>
      <c r="AQ70" s="58">
        <f t="shared" ca="1" si="27"/>
        <v>1843</v>
      </c>
      <c r="AR70" s="38">
        <f>'ANR OK vs ML7'!AR70</f>
        <v>0.1</v>
      </c>
      <c r="AS70" s="35">
        <f t="shared" ca="1" si="28"/>
        <v>0.61117216847516387</v>
      </c>
      <c r="AT70" s="3">
        <f t="shared" si="29"/>
        <v>1</v>
      </c>
      <c r="AU70" s="3">
        <f t="shared" si="30"/>
        <v>30</v>
      </c>
      <c r="AW70" s="32">
        <f t="shared" ca="1" si="31"/>
        <v>3846.9445769731774</v>
      </c>
      <c r="AX70" s="32">
        <f t="shared" si="32"/>
        <v>0</v>
      </c>
      <c r="AY70" s="32">
        <f t="shared" ca="1" si="33"/>
        <v>3846.9445769731774</v>
      </c>
      <c r="BA70" s="32">
        <f ca="1">IF($A71="","",F70*Summary!$Q$10)</f>
        <v>0</v>
      </c>
      <c r="BC70" s="256">
        <f t="shared" ca="1" si="36"/>
        <v>0</v>
      </c>
    </row>
    <row r="71" spans="1:55">
      <c r="A71" s="67">
        <f t="shared" si="34"/>
        <v>38899</v>
      </c>
      <c r="B71" s="69">
        <f t="shared" si="37"/>
        <v>119740</v>
      </c>
      <c r="C71" s="71"/>
      <c r="D71" s="69">
        <f t="shared" si="0"/>
        <v>119740</v>
      </c>
      <c r="E71" s="70">
        <f t="shared" si="1"/>
        <v>3711940</v>
      </c>
      <c r="F71" s="70">
        <f t="shared" ca="1" si="2"/>
        <v>2250524.4132153005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0.17</v>
      </c>
      <c r="K71" s="64">
        <f t="shared" si="6"/>
        <v>0.17</v>
      </c>
      <c r="L71" s="38">
        <v>0</v>
      </c>
      <c r="M71" s="64">
        <f t="shared" si="7"/>
        <v>0</v>
      </c>
      <c r="N71" s="65"/>
      <c r="O71" s="63">
        <f t="shared" si="8"/>
        <v>4.2750000000000004</v>
      </c>
      <c r="P71" s="63">
        <f t="shared" si="9"/>
        <v>4.2750000000000004</v>
      </c>
      <c r="Q71" s="66"/>
      <c r="R71" s="63">
        <f t="shared" si="10"/>
        <v>0.21</v>
      </c>
      <c r="S71" s="64">
        <f t="shared" si="11"/>
        <v>0.21</v>
      </c>
      <c r="T71" s="63">
        <f t="shared" si="12"/>
        <v>0</v>
      </c>
      <c r="U71" s="64">
        <f t="shared" si="13"/>
        <v>0</v>
      </c>
      <c r="V71" s="219">
        <f>IF($A72="","",IF(AND(MONTH(A71)&gt;3,MONTH(A71)&lt;11),(T71+R71+G71)*Summary!$T$10/(1-Summary!$T$10),(T71+R71+G71)*Summary!$U$10/(1-Summary!$U$10)))</f>
        <v>3.4798387096774193E-2</v>
      </c>
      <c r="W71" s="63">
        <f t="shared" si="14"/>
        <v>4.3497983870967749</v>
      </c>
      <c r="X71" s="63">
        <f t="shared" si="15"/>
        <v>4.3497983870967749</v>
      </c>
      <c r="Y71" s="43"/>
      <c r="Z71" s="38">
        <f t="shared" si="16"/>
        <v>0.55000000000000004</v>
      </c>
      <c r="AA71" s="38">
        <f t="shared" si="17"/>
        <v>0.23800000000000002</v>
      </c>
      <c r="AB71" s="38">
        <f t="shared" ca="1" si="18"/>
        <v>0.24326442256230199</v>
      </c>
      <c r="AC71" s="38">
        <f t="shared" si="19"/>
        <v>0.55000000000000004</v>
      </c>
      <c r="AD71" s="38">
        <f t="shared" si="19"/>
        <v>0.23800000000000002</v>
      </c>
      <c r="AE71" s="38">
        <f t="shared" ca="1" si="20"/>
        <v>0.24326442256230199</v>
      </c>
      <c r="AF71" s="237">
        <f ca="1">((Summary!$N$10*(AA71*AD71)*(A71-$D$3))+(Summary!$M$10*Z71*AC71*(AJ71-EOMONTH(EDATE(A71,-1),0))))/(AK71*AB71*AE71)</f>
        <v>0.9999042302117167</v>
      </c>
      <c r="AG71" s="88">
        <f>IF($A72="","",Summary!$Q$10)</f>
        <v>0</v>
      </c>
      <c r="AH71" s="88">
        <f>IF($A72="","",IF(Summary!$R$10="Y",(VLOOKUP($A71,Summary!$AD$6:$AF$9,3)+'Escalating commodity'!F84),'Escalating commodity'!F84))</f>
        <v>1.5820799999999999E-2</v>
      </c>
      <c r="AI71" s="88">
        <f t="shared" si="35"/>
        <v>1.5820799999999999E-2</v>
      </c>
      <c r="AJ71" s="236">
        <f t="shared" si="21"/>
        <v>38913.5</v>
      </c>
      <c r="AK71" s="58">
        <f t="shared" ca="1" si="22"/>
        <v>1873</v>
      </c>
      <c r="AL71" s="26">
        <f ca="1">IF($A72="","",_xll.SPRDOPT(P71,X71,AI71,0,AB71,AE71,AF71,AK71,$AJ$2,0))</f>
        <v>1.1233218684804074E-3</v>
      </c>
      <c r="AM71" s="89">
        <f t="shared" si="23"/>
        <v>0</v>
      </c>
      <c r="AN71" s="89">
        <f t="shared" ca="1" si="24"/>
        <v>1.1233218684804074E-3</v>
      </c>
      <c r="AO71" s="3">
        <f t="shared" si="25"/>
        <v>31</v>
      </c>
      <c r="AP71" s="33">
        <f t="shared" si="26"/>
        <v>38899</v>
      </c>
      <c r="AQ71" s="58">
        <f t="shared" ca="1" si="27"/>
        <v>1873</v>
      </c>
      <c r="AR71" s="38">
        <f>'ANR OK vs ML7'!AR71</f>
        <v>0.1</v>
      </c>
      <c r="AS71" s="35">
        <f t="shared" ca="1" si="28"/>
        <v>0.60629331649091867</v>
      </c>
      <c r="AT71" s="3">
        <f t="shared" si="29"/>
        <v>1</v>
      </c>
      <c r="AU71" s="3">
        <f t="shared" si="30"/>
        <v>31</v>
      </c>
      <c r="AW71" s="32">
        <f t="shared" ca="1" si="31"/>
        <v>4169.703376487164</v>
      </c>
      <c r="AX71" s="32">
        <f t="shared" si="32"/>
        <v>0</v>
      </c>
      <c r="AY71" s="32">
        <f t="shared" ca="1" si="33"/>
        <v>4169.703376487164</v>
      </c>
      <c r="BA71" s="32">
        <f ca="1">IF($A72="","",F71*Summary!$Q$10)</f>
        <v>0</v>
      </c>
      <c r="BC71" s="256">
        <f t="shared" ca="1" si="36"/>
        <v>0</v>
      </c>
    </row>
    <row r="72" spans="1:55">
      <c r="A72" s="67">
        <f t="shared" si="34"/>
        <v>38930</v>
      </c>
      <c r="B72" s="69">
        <f t="shared" si="37"/>
        <v>119740</v>
      </c>
      <c r="C72" s="71"/>
      <c r="D72" s="69">
        <f t="shared" si="0"/>
        <v>119740</v>
      </c>
      <c r="E72" s="70">
        <f t="shared" si="1"/>
        <v>3711940</v>
      </c>
      <c r="F72" s="70">
        <f t="shared" ca="1" si="2"/>
        <v>2231962.6039097649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0.17</v>
      </c>
      <c r="K72" s="64">
        <f t="shared" si="6"/>
        <v>0.17</v>
      </c>
      <c r="L72" s="38">
        <v>0</v>
      </c>
      <c r="M72" s="64">
        <f t="shared" si="7"/>
        <v>0</v>
      </c>
      <c r="N72" s="65"/>
      <c r="O72" s="63">
        <f t="shared" si="8"/>
        <v>4.3310000000000004</v>
      </c>
      <c r="P72" s="63">
        <f t="shared" si="9"/>
        <v>4.3310000000000004</v>
      </c>
      <c r="Q72" s="66"/>
      <c r="R72" s="63">
        <f t="shared" si="10"/>
        <v>0.21</v>
      </c>
      <c r="S72" s="64">
        <f t="shared" si="11"/>
        <v>0.21</v>
      </c>
      <c r="T72" s="63">
        <f t="shared" si="12"/>
        <v>0</v>
      </c>
      <c r="U72" s="64">
        <f t="shared" si="13"/>
        <v>0</v>
      </c>
      <c r="V72" s="219">
        <f>IF($A73="","",IF(AND(MONTH(A72)&gt;3,MONTH(A72)&lt;11),(T72+R72+G72)*Summary!$T$10/(1-Summary!$T$10),(T72+R72+G72)*Summary!$U$10/(1-Summary!$U$10)))</f>
        <v>3.5250000000000004E-2</v>
      </c>
      <c r="W72" s="63">
        <f t="shared" si="14"/>
        <v>4.40625</v>
      </c>
      <c r="X72" s="63">
        <f t="shared" si="15"/>
        <v>4.40625</v>
      </c>
      <c r="Y72" s="43"/>
      <c r="Z72" s="38">
        <f t="shared" si="16"/>
        <v>0.6</v>
      </c>
      <c r="AA72" s="38">
        <f t="shared" si="17"/>
        <v>0.23800000000000002</v>
      </c>
      <c r="AB72" s="38">
        <f t="shared" ca="1" si="18"/>
        <v>0.24414016930629742</v>
      </c>
      <c r="AC72" s="38">
        <f t="shared" si="19"/>
        <v>0.6</v>
      </c>
      <c r="AD72" s="38">
        <f t="shared" si="19"/>
        <v>0.23800000000000002</v>
      </c>
      <c r="AE72" s="38">
        <f t="shared" ca="1" si="20"/>
        <v>0.24414016930629742</v>
      </c>
      <c r="AF72" s="237">
        <f ca="1">((Summary!$N$10*(AA72*AD72)*(A72-$D$3))+(Summary!$M$10*Z72*AC72*(AJ72-EOMONTH(EDATE(A72,-1),0))))/(AK72*AB72*AE72)</f>
        <v>0.99990491687052296</v>
      </c>
      <c r="AG72" s="88">
        <f>IF($A73="","",Summary!$Q$10)</f>
        <v>0</v>
      </c>
      <c r="AH72" s="88">
        <f>IF($A73="","",IF(Summary!$R$10="Y",(VLOOKUP($A72,Summary!$AD$6:$AF$9,3)+'Escalating commodity'!F85),'Escalating commodity'!F85))</f>
        <v>1.5820799999999999E-2</v>
      </c>
      <c r="AI72" s="88">
        <f t="shared" si="35"/>
        <v>1.5820799999999999E-2</v>
      </c>
      <c r="AJ72" s="236">
        <f t="shared" si="21"/>
        <v>38944.5</v>
      </c>
      <c r="AK72" s="58">
        <f t="shared" ca="1" si="22"/>
        <v>1904</v>
      </c>
      <c r="AL72" s="26">
        <f ca="1">IF($A73="","",_xll.SPRDOPT(P72,X72,AI72,0,AB72,AE72,AF72,AK72,$AJ$2,0))</f>
        <v>1.1775989026787774E-3</v>
      </c>
      <c r="AM72" s="89">
        <f t="shared" si="23"/>
        <v>0</v>
      </c>
      <c r="AN72" s="89">
        <f t="shared" ca="1" si="24"/>
        <v>1.1775989026787774E-3</v>
      </c>
      <c r="AO72" s="3">
        <f t="shared" si="25"/>
        <v>31</v>
      </c>
      <c r="AP72" s="33">
        <f t="shared" si="26"/>
        <v>38930</v>
      </c>
      <c r="AQ72" s="58">
        <f t="shared" ca="1" si="27"/>
        <v>1904</v>
      </c>
      <c r="AR72" s="38">
        <f>'ANR OK vs ML7'!AR72</f>
        <v>0.1</v>
      </c>
      <c r="AS72" s="35">
        <f t="shared" ca="1" si="28"/>
        <v>0.60129274824209578</v>
      </c>
      <c r="AT72" s="3">
        <f t="shared" si="29"/>
        <v>1</v>
      </c>
      <c r="AU72" s="3">
        <f t="shared" si="30"/>
        <v>31</v>
      </c>
      <c r="AW72" s="32">
        <f t="shared" ca="1" si="31"/>
        <v>4371.1764708094606</v>
      </c>
      <c r="AX72" s="32">
        <f t="shared" si="32"/>
        <v>0</v>
      </c>
      <c r="AY72" s="32">
        <f t="shared" ca="1" si="33"/>
        <v>4371.1764708094606</v>
      </c>
      <c r="BA72" s="32">
        <f ca="1">IF($A73="","",F72*Summary!$Q$10)</f>
        <v>0</v>
      </c>
      <c r="BC72" s="256">
        <f t="shared" ca="1" si="36"/>
        <v>0</v>
      </c>
    </row>
    <row r="73" spans="1:55">
      <c r="A73" s="67">
        <f t="shared" si="34"/>
        <v>38961</v>
      </c>
      <c r="B73" s="69">
        <f t="shared" si="37"/>
        <v>119740</v>
      </c>
      <c r="C73" s="71"/>
      <c r="D73" s="69">
        <f t="shared" si="0"/>
        <v>119740</v>
      </c>
      <c r="E73" s="70">
        <f t="shared" si="1"/>
        <v>3592200</v>
      </c>
      <c r="F73" s="70">
        <f t="shared" ca="1" si="2"/>
        <v>2142148.9240171751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0.17</v>
      </c>
      <c r="K73" s="64">
        <f t="shared" si="6"/>
        <v>0.17</v>
      </c>
      <c r="L73" s="38">
        <v>0</v>
      </c>
      <c r="M73" s="64">
        <f t="shared" si="7"/>
        <v>0</v>
      </c>
      <c r="N73" s="65"/>
      <c r="O73" s="63">
        <f t="shared" si="8"/>
        <v>4.3449999999999998</v>
      </c>
      <c r="P73" s="63">
        <f t="shared" si="9"/>
        <v>4.3449999999999998</v>
      </c>
      <c r="Q73" s="66"/>
      <c r="R73" s="63">
        <f t="shared" si="10"/>
        <v>0.21</v>
      </c>
      <c r="S73" s="64">
        <f t="shared" si="11"/>
        <v>0.21</v>
      </c>
      <c r="T73" s="63">
        <f t="shared" si="12"/>
        <v>0</v>
      </c>
      <c r="U73" s="64">
        <f t="shared" si="13"/>
        <v>0</v>
      </c>
      <c r="V73" s="219">
        <f>IF($A74="","",IF(AND(MONTH(A73)&gt;3,MONTH(A73)&lt;11),(T73+R73+G73)*Summary!$T$10/(1-Summary!$T$10),(T73+R73+G73)*Summary!$U$10/(1-Summary!$U$10)))</f>
        <v>3.5362903225806451E-2</v>
      </c>
      <c r="W73" s="63">
        <f t="shared" si="14"/>
        <v>4.4203629032258061</v>
      </c>
      <c r="X73" s="63">
        <f t="shared" si="15"/>
        <v>4.4203629032258061</v>
      </c>
      <c r="Y73" s="43"/>
      <c r="Z73" s="38">
        <f t="shared" si="16"/>
        <v>0.6</v>
      </c>
      <c r="AA73" s="38">
        <f t="shared" si="17"/>
        <v>0.23800000000000002</v>
      </c>
      <c r="AB73" s="38">
        <f t="shared" ca="1" si="18"/>
        <v>0.24385235504179886</v>
      </c>
      <c r="AC73" s="38">
        <f t="shared" si="19"/>
        <v>0.6</v>
      </c>
      <c r="AD73" s="38">
        <f t="shared" si="19"/>
        <v>0.23800000000000002</v>
      </c>
      <c r="AE73" s="38">
        <f t="shared" ca="1" si="20"/>
        <v>0.24385235504179886</v>
      </c>
      <c r="AF73" s="237">
        <f ca="1">((Summary!$N$10*(AA73*AD73)*(A73-$D$3))+(Summary!$M$10*Z73*AC73*(AJ73-EOMONTH(EDATE(A73,-1),0))))/(AK73*AB73*AE73)</f>
        <v>0.99990469308999175</v>
      </c>
      <c r="AG73" s="88">
        <f>IF($A74="","",Summary!$Q$10)</f>
        <v>0</v>
      </c>
      <c r="AH73" s="88">
        <f>IF($A74="","",IF(Summary!$R$10="Y",(VLOOKUP($A73,Summary!$AD$6:$AF$9,3)+'Escalating commodity'!F86),'Escalating commodity'!F86))</f>
        <v>1.5820799999999999E-2</v>
      </c>
      <c r="AI73" s="88">
        <f t="shared" si="35"/>
        <v>1.5820799999999999E-2</v>
      </c>
      <c r="AJ73" s="236">
        <f t="shared" si="21"/>
        <v>38975</v>
      </c>
      <c r="AK73" s="58">
        <f t="shared" ca="1" si="22"/>
        <v>1935</v>
      </c>
      <c r="AL73" s="26">
        <f ca="1">IF($A74="","",_xll.SPRDOPT(P73,X73,AI73,0,AB73,AE73,AF73,AK73,$AJ$2,0))</f>
        <v>1.2080624817560042E-3</v>
      </c>
      <c r="AM73" s="89">
        <f t="shared" si="23"/>
        <v>0</v>
      </c>
      <c r="AN73" s="89">
        <f t="shared" ca="1" si="24"/>
        <v>1.2080624817560042E-3</v>
      </c>
      <c r="AO73" s="3">
        <f t="shared" si="25"/>
        <v>30</v>
      </c>
      <c r="AP73" s="33">
        <f t="shared" si="26"/>
        <v>38961</v>
      </c>
      <c r="AQ73" s="58">
        <f t="shared" ca="1" si="27"/>
        <v>1935</v>
      </c>
      <c r="AR73" s="38">
        <f>'ANR OK vs ML7'!AR73</f>
        <v>0.1</v>
      </c>
      <c r="AS73" s="35">
        <f t="shared" ca="1" si="28"/>
        <v>0.59633342353353791</v>
      </c>
      <c r="AT73" s="3">
        <f t="shared" si="29"/>
        <v>1</v>
      </c>
      <c r="AU73" s="3">
        <f t="shared" si="30"/>
        <v>30</v>
      </c>
      <c r="AW73" s="32">
        <f t="shared" ca="1" si="31"/>
        <v>4339.6020469639179</v>
      </c>
      <c r="AX73" s="32">
        <f t="shared" si="32"/>
        <v>0</v>
      </c>
      <c r="AY73" s="32">
        <f t="shared" ca="1" si="33"/>
        <v>4339.6020469639179</v>
      </c>
      <c r="BA73" s="32">
        <f ca="1">IF($A74="","",F73*Summary!$Q$10)</f>
        <v>0</v>
      </c>
      <c r="BC73" s="256">
        <f t="shared" ca="1" si="36"/>
        <v>0</v>
      </c>
    </row>
    <row r="74" spans="1:55">
      <c r="A74" s="67">
        <f t="shared" si="34"/>
        <v>38991</v>
      </c>
      <c r="B74" s="69">
        <f t="shared" si="37"/>
        <v>119740</v>
      </c>
      <c r="C74" s="71"/>
      <c r="D74" s="69">
        <f t="shared" ref="D74:D137" si="38">IF(A75&lt;&gt;"",B74+C74,"")</f>
        <v>119740</v>
      </c>
      <c r="E74" s="70">
        <f t="shared" ref="E74:E137" si="39">IF(A75="","",IF(AND(AT74=1,$H$3=1),D74*AO74,IF($H$3=2,D74,"N/A")))</f>
        <v>3711940</v>
      </c>
      <c r="F74" s="70">
        <f t="shared" ref="F74:F137" ca="1" si="40">IF(A75="","",E74*AS74)</f>
        <v>2195883.5779889151</v>
      </c>
      <c r="G74" s="63">
        <f t="shared" ref="G74:G137" si="41">IF($A75="","",VLOOKUP($A74,Table,MATCH(G$4,Curves,0)))</f>
        <v>4.2060000000000004</v>
      </c>
      <c r="H74" s="64">
        <f t="shared" ref="H74:H137" si="42">IF(A75="","",G74)</f>
        <v>4.2060000000000004</v>
      </c>
      <c r="I74" s="43"/>
      <c r="J74" s="63">
        <f t="shared" ref="J74:J137" si="43">IF($A75="","",VLOOKUP($A74,Table,MATCH(J$4,Curves,0)))</f>
        <v>0.17</v>
      </c>
      <c r="K74" s="64">
        <f t="shared" ref="K74:K137" si="44">IF(A75="","",J74)</f>
        <v>0.17</v>
      </c>
      <c r="L74" s="38">
        <v>0</v>
      </c>
      <c r="M74" s="64">
        <f t="shared" ref="M74:M137" si="45">IF(A75="","",L74)</f>
        <v>0</v>
      </c>
      <c r="N74" s="65"/>
      <c r="O74" s="63">
        <f t="shared" ref="O74:O137" si="46">IF(A75="","",L74+J74+G74)</f>
        <v>4.3760000000000003</v>
      </c>
      <c r="P74" s="63">
        <f t="shared" ref="P74:P137" si="47">IF(A75="","",M74+K74+H74)</f>
        <v>4.3760000000000003</v>
      </c>
      <c r="Q74" s="66"/>
      <c r="R74" s="63">
        <f t="shared" ref="R74:R137" si="48">IF($A75="","",VLOOKUP($A74,Table,MATCH(R$4,Curves,0)))</f>
        <v>0.21</v>
      </c>
      <c r="S74" s="64">
        <f t="shared" ref="S74:S137" si="49">IF(A75="","",R74)</f>
        <v>0.21</v>
      </c>
      <c r="T74" s="63">
        <f t="shared" ref="T74:T137" si="50">IF($A75="","",VLOOKUP($A74,Table,MATCH(T$4,Curves,0)))</f>
        <v>0</v>
      </c>
      <c r="U74" s="64">
        <f t="shared" ref="U74:U137" si="51">IF(A75="","",T74)</f>
        <v>0</v>
      </c>
      <c r="V74" s="219">
        <f>IF($A75="","",IF(AND(MONTH(A74)&gt;3,MONTH(A74)&lt;11),(T74+R74+G74)*Summary!$T$10/(1-Summary!$T$10),(T74+R74+G74)*Summary!$U$10/(1-Summary!$U$10)))</f>
        <v>3.5612903225806458E-2</v>
      </c>
      <c r="W74" s="63">
        <f t="shared" ref="W74:W137" si="52">IF($A75="","",(T74+R74+G74+V74))</f>
        <v>4.4516129032258069</v>
      </c>
      <c r="X74" s="63">
        <f t="shared" ref="X74:X137" si="53">IF($A75="","",(U74+S74+H74+V74))</f>
        <v>4.4516129032258069</v>
      </c>
      <c r="Y74" s="43"/>
      <c r="Z74" s="38">
        <f t="shared" ref="Z74:Z137" si="54">IF($A75="","",VLOOKUP($A74,Table,MATCH(Z$4,Curves,0)))</f>
        <v>0.65</v>
      </c>
      <c r="AA74" s="38">
        <f t="shared" ref="AA74:AA137" si="55">IF($A75="","",VLOOKUP($A74,Table,MATCH(AA$4,Curves,0)))</f>
        <v>0.23800000000000002</v>
      </c>
      <c r="AB74" s="38">
        <f t="shared" ref="AB74:AB137" ca="1" si="56">SQRT((AA74^2*(A74-$D$3)+Z74^2*(DAY(EOMONTH(A74,0))/2))/AK74)</f>
        <v>0.24496024915100439</v>
      </c>
      <c r="AC74" s="38">
        <f t="shared" ref="AC74:AD137" si="57">IF($A75="","",VLOOKUP($A74,Table,MATCH(AC$4,Curves,0)))</f>
        <v>0.65</v>
      </c>
      <c r="AD74" s="38">
        <f t="shared" si="57"/>
        <v>0.23800000000000002</v>
      </c>
      <c r="AE74" s="38">
        <f t="shared" ref="AE74:AE137" ca="1" si="58">SQRT((AD74^2*(A74-$D$3)+AC74^2*(DAY(EOMONTH(A74,0))/2))/AK74)</f>
        <v>0.24496024915100439</v>
      </c>
      <c r="AF74" s="237">
        <f ca="1">((Summary!$N$10*(AA74*AD74)*(A74-$D$3))+(Summary!$M$10*Z74*AC74*(AJ74-EOMONTH(EDATE(A74,-1),0))))/(AK74*AB74*AE74)</f>
        <v>0.99990555398402914</v>
      </c>
      <c r="AG74" s="88">
        <f>IF($A75="","",Summary!$Q$10)</f>
        <v>0</v>
      </c>
      <c r="AH74" s="88">
        <f>IF($A75="","",IF(Summary!$R$10="Y",(VLOOKUP($A74,Summary!$AD$6:$AF$9,3)+'Escalating commodity'!F87),'Escalating commodity'!F87))</f>
        <v>1.5820799999999999E-2</v>
      </c>
      <c r="AI74" s="88">
        <f t="shared" si="35"/>
        <v>1.5820799999999999E-2</v>
      </c>
      <c r="AJ74" s="236">
        <f t="shared" ref="AJ74:AJ137" si="59">A74+DAY(EOMONTH(A74,0))/2-1</f>
        <v>39005.5</v>
      </c>
      <c r="AK74" s="58">
        <f t="shared" ref="AK74:AK137" ca="1" si="60">IF($A75="","",$A74-$E$1)</f>
        <v>1965</v>
      </c>
      <c r="AL74" s="26">
        <f ca="1">IF($A75="","",_xll.SPRDOPT(P74,X74,AI74,0,AB74,AE74,AF74,AK74,$AJ$2,0))</f>
        <v>1.2501352149817454E-3</v>
      </c>
      <c r="AM74" s="89">
        <f t="shared" ref="AM74:AM137" si="61">IF($A75="","",MAX(0,O74-W74-AI74))</f>
        <v>0</v>
      </c>
      <c r="AN74" s="89">
        <f t="shared" ref="AN74:AN137" ca="1" si="62">IF($A75="","",AL74-AM74)</f>
        <v>1.2501352149817454E-3</v>
      </c>
      <c r="AO74" s="3">
        <f t="shared" ref="AO74:AO137" si="63">IF(A75="","",A75-A74)</f>
        <v>31</v>
      </c>
      <c r="AP74" s="33">
        <f t="shared" ref="AP74:AP137" si="64">IF(A75="","",CHOOSE(F$3,A75+24,A74))</f>
        <v>38991</v>
      </c>
      <c r="AQ74" s="58">
        <f t="shared" ref="AQ74:AQ137" ca="1" si="65">IF(A75="","",AP74-$E$1)</f>
        <v>1965</v>
      </c>
      <c r="AR74" s="38">
        <f>'ANR OK vs ML7'!AR74</f>
        <v>0.1</v>
      </c>
      <c r="AS74" s="35">
        <f t="shared" ref="AS74:AS137" ca="1" si="66">IF(A75="","",1/(1+CHOOSE(F$3,(AR75+($I$3/10000))/2,(AR74+($I$3/10000))/2))^(2*AQ74/365.25))</f>
        <v>0.59157302596187311</v>
      </c>
      <c r="AT74" s="3">
        <f t="shared" ref="AT74:AT137" si="67">IF(A75="","",IF(AND(mthbeg&lt;=A74,mthend&gt;=A74),1,0))</f>
        <v>1</v>
      </c>
      <c r="AU74" s="3">
        <f t="shared" ref="AU74:AU137" si="68">IF(A75="","",AO74*AT74)</f>
        <v>31</v>
      </c>
      <c r="AW74" s="32">
        <f t="shared" ref="AW74:AW137" ca="1" si="69">IF($A75="","",AL74*$E74)</f>
        <v>4640.42690989934</v>
      </c>
      <c r="AX74" s="32">
        <f t="shared" ref="AX74:AX137" si="70">IF($A75="","",AM74*$E74)</f>
        <v>0</v>
      </c>
      <c r="AY74" s="32">
        <f t="shared" ref="AY74:AY137" ca="1" si="71">IF($A75="","",AN74*$E74)</f>
        <v>4640.42690989934</v>
      </c>
      <c r="BA74" s="32">
        <f ca="1">IF($A75="","",F74*Summary!$Q$10)</f>
        <v>0</v>
      </c>
      <c r="BC74" s="256">
        <f t="shared" ca="1" si="36"/>
        <v>0</v>
      </c>
    </row>
    <row r="75" spans="1:55">
      <c r="A75" s="67">
        <f t="shared" ref="A75:A138" si="72">IF(A74&lt;mthend,EDATE(A74,1),"")</f>
        <v>39022</v>
      </c>
      <c r="B75" s="69">
        <f t="shared" si="37"/>
        <v>119740</v>
      </c>
      <c r="C75" s="71"/>
      <c r="D75" s="69">
        <f t="shared" si="38"/>
        <v>119740</v>
      </c>
      <c r="E75" s="70">
        <f t="shared" si="39"/>
        <v>3592200</v>
      </c>
      <c r="F75" s="70">
        <f t="shared" ca="1" si="40"/>
        <v>2107521.710093182</v>
      </c>
      <c r="G75" s="63">
        <f t="shared" si="41"/>
        <v>4.3390000000000004</v>
      </c>
      <c r="H75" s="64">
        <f t="shared" si="42"/>
        <v>4.3390000000000004</v>
      </c>
      <c r="I75" s="43"/>
      <c r="J75" s="63">
        <f t="shared" si="43"/>
        <v>0.26500000000000001</v>
      </c>
      <c r="K75" s="64">
        <f t="shared" si="44"/>
        <v>0.26500000000000001</v>
      </c>
      <c r="L75" s="38">
        <v>0</v>
      </c>
      <c r="M75" s="64">
        <f t="shared" si="45"/>
        <v>0</v>
      </c>
      <c r="N75" s="65"/>
      <c r="O75" s="63">
        <f t="shared" si="46"/>
        <v>4.6040000000000001</v>
      </c>
      <c r="P75" s="63">
        <f t="shared" si="47"/>
        <v>4.6040000000000001</v>
      </c>
      <c r="Q75" s="66"/>
      <c r="R75" s="63">
        <f t="shared" si="48"/>
        <v>0.32500000000000001</v>
      </c>
      <c r="S75" s="64">
        <f t="shared" si="49"/>
        <v>0.32500000000000001</v>
      </c>
      <c r="T75" s="63">
        <f t="shared" si="50"/>
        <v>0</v>
      </c>
      <c r="U75" s="64">
        <f t="shared" si="51"/>
        <v>0</v>
      </c>
      <c r="V75" s="219">
        <f>IF($A76="","",IF(AND(MONTH(A75)&gt;3,MONTH(A75)&lt;11),(T75+R75+G75)*Summary!$T$10/(1-Summary!$T$10),(T75+R75+G75)*Summary!$U$10/(1-Summary!$U$10)))</f>
        <v>3.761290322580646E-2</v>
      </c>
      <c r="W75" s="63">
        <f t="shared" si="52"/>
        <v>4.7016129032258069</v>
      </c>
      <c r="X75" s="63">
        <f t="shared" si="53"/>
        <v>4.7016129032258069</v>
      </c>
      <c r="Y75" s="43"/>
      <c r="Z75" s="38">
        <f t="shared" si="54"/>
        <v>0.8</v>
      </c>
      <c r="AA75" s="38">
        <f t="shared" si="55"/>
        <v>0.24</v>
      </c>
      <c r="AB75" s="38">
        <f t="shared" ca="1" si="56"/>
        <v>0.24987692361222116</v>
      </c>
      <c r="AC75" s="38">
        <f t="shared" si="57"/>
        <v>0.8</v>
      </c>
      <c r="AD75" s="38">
        <f t="shared" si="57"/>
        <v>0.24</v>
      </c>
      <c r="AE75" s="38">
        <f t="shared" ca="1" si="58"/>
        <v>0.24987692361222116</v>
      </c>
      <c r="AF75" s="237">
        <f ca="1">((Summary!$N$10*(AA75*AD75)*(A75-$D$3))+(Summary!$M$10*Z75*AC75*(AJ75-EOMONTH(EDATE(A75,-1),0))))/(AK75*AB75*AE75)</f>
        <v>0.99990770297334786</v>
      </c>
      <c r="AG75" s="88">
        <f>IF($A76="","",Summary!$Q$10)</f>
        <v>0</v>
      </c>
      <c r="AH75" s="88">
        <f>IF($A76="","",IF(Summary!$R$10="Y",(VLOOKUP($A75,Summary!$AD$6:$AF$9,3)+'Escalating commodity'!F88),'Escalating commodity'!F88))</f>
        <v>1.5820799999999999E-2</v>
      </c>
      <c r="AI75" s="88">
        <f t="shared" ref="AI75:AI138" si="73">IF($A76="","",AH75)</f>
        <v>1.5820799999999999E-2</v>
      </c>
      <c r="AJ75" s="236">
        <f t="shared" si="59"/>
        <v>39036</v>
      </c>
      <c r="AK75" s="58">
        <f t="shared" ca="1" si="60"/>
        <v>1996</v>
      </c>
      <c r="AL75" s="26">
        <f ca="1">IF($A76="","",_xll.SPRDOPT(P75,X75,AI75,0,AB75,AE75,AF75,AK75,$AJ$2,0))</f>
        <v>1.0688527344479264E-3</v>
      </c>
      <c r="AM75" s="89">
        <f t="shared" si="61"/>
        <v>0</v>
      </c>
      <c r="AN75" s="89">
        <f t="shared" ca="1" si="62"/>
        <v>1.0688527344479264E-3</v>
      </c>
      <c r="AO75" s="3">
        <f t="shared" si="63"/>
        <v>30</v>
      </c>
      <c r="AP75" s="33">
        <f t="shared" si="64"/>
        <v>39022</v>
      </c>
      <c r="AQ75" s="58">
        <f t="shared" ca="1" si="65"/>
        <v>1996</v>
      </c>
      <c r="AR75" s="38">
        <f>'ANR OK vs ML7'!AR75</f>
        <v>0.1</v>
      </c>
      <c r="AS75" s="35">
        <f t="shared" ca="1" si="66"/>
        <v>0.5866938672939096</v>
      </c>
      <c r="AT75" s="3">
        <f t="shared" si="67"/>
        <v>1</v>
      </c>
      <c r="AU75" s="3">
        <f t="shared" si="68"/>
        <v>30</v>
      </c>
      <c r="AW75" s="32">
        <f t="shared" ca="1" si="69"/>
        <v>3839.5327926838413</v>
      </c>
      <c r="AX75" s="32">
        <f t="shared" si="70"/>
        <v>0</v>
      </c>
      <c r="AY75" s="32">
        <f t="shared" ca="1" si="71"/>
        <v>3839.5327926838413</v>
      </c>
      <c r="BA75" s="32">
        <f ca="1">IF($A76="","",F75*Summary!$Q$10)</f>
        <v>0</v>
      </c>
      <c r="BC75" s="256">
        <f t="shared" ref="BC75:BC138" ca="1" si="74">IF(A76="","",AM75*F75)</f>
        <v>0</v>
      </c>
    </row>
    <row r="76" spans="1:55">
      <c r="A76" s="67">
        <f t="shared" si="72"/>
        <v>39052</v>
      </c>
      <c r="B76" s="69">
        <f t="shared" ref="B76:B139" si="75">IF(A76&lt;mthend,B75,"")</f>
        <v>119740</v>
      </c>
      <c r="C76" s="71"/>
      <c r="D76" s="69">
        <f t="shared" si="38"/>
        <v>119740</v>
      </c>
      <c r="E76" s="70">
        <f t="shared" si="39"/>
        <v>3711940</v>
      </c>
      <c r="F76" s="70">
        <f t="shared" ca="1" si="40"/>
        <v>2160387.7590219444</v>
      </c>
      <c r="G76" s="63">
        <f t="shared" si="41"/>
        <v>4.4770000000000003</v>
      </c>
      <c r="H76" s="64">
        <f t="shared" si="42"/>
        <v>4.4770000000000003</v>
      </c>
      <c r="I76" s="43"/>
      <c r="J76" s="63">
        <f t="shared" si="43"/>
        <v>0.26500000000000001</v>
      </c>
      <c r="K76" s="64">
        <f t="shared" si="44"/>
        <v>0.26500000000000001</v>
      </c>
      <c r="L76" s="38">
        <v>0</v>
      </c>
      <c r="M76" s="64">
        <f t="shared" si="45"/>
        <v>0</v>
      </c>
      <c r="N76" s="65"/>
      <c r="O76" s="63">
        <f t="shared" si="46"/>
        <v>4.742</v>
      </c>
      <c r="P76" s="63">
        <f t="shared" si="47"/>
        <v>4.742</v>
      </c>
      <c r="Q76" s="66"/>
      <c r="R76" s="63">
        <f t="shared" si="48"/>
        <v>0.32500000000000001</v>
      </c>
      <c r="S76" s="64">
        <f t="shared" si="49"/>
        <v>0.32500000000000001</v>
      </c>
      <c r="T76" s="63">
        <f t="shared" si="50"/>
        <v>0</v>
      </c>
      <c r="U76" s="64">
        <f t="shared" si="51"/>
        <v>0</v>
      </c>
      <c r="V76" s="219">
        <f>IF($A77="","",IF(AND(MONTH(A76)&gt;3,MONTH(A76)&lt;11),(T76+R76+G76)*Summary!$T$10/(1-Summary!$T$10),(T76+R76+G76)*Summary!$U$10/(1-Summary!$U$10)))</f>
        <v>3.8725806451612908E-2</v>
      </c>
      <c r="W76" s="63">
        <f t="shared" si="52"/>
        <v>4.840725806451613</v>
      </c>
      <c r="X76" s="63">
        <f t="shared" si="53"/>
        <v>4.840725806451613</v>
      </c>
      <c r="Y76" s="43"/>
      <c r="Z76" s="38">
        <f t="shared" si="54"/>
        <v>1.1000000000000001</v>
      </c>
      <c r="AA76" s="38">
        <f t="shared" si="55"/>
        <v>0.245</v>
      </c>
      <c r="AB76" s="38">
        <f t="shared" ca="1" si="56"/>
        <v>0.26327131310503121</v>
      </c>
      <c r="AC76" s="38">
        <f t="shared" si="57"/>
        <v>1.1000000000000001</v>
      </c>
      <c r="AD76" s="38">
        <f t="shared" si="57"/>
        <v>0.245</v>
      </c>
      <c r="AE76" s="38">
        <f t="shared" ca="1" si="58"/>
        <v>0.26327131310503121</v>
      </c>
      <c r="AF76" s="237">
        <f ca="1">((Summary!$N$10*(AA76*AD76)*(A76-$D$3))+(Summary!$M$10*Z76*AC76*(AJ76-EOMONTH(EDATE(A76,-1),0))))/(AK76*AB76*AE76)</f>
        <v>0.99991335581972451</v>
      </c>
      <c r="AG76" s="88">
        <f>IF($A77="","",Summary!$Q$10)</f>
        <v>0</v>
      </c>
      <c r="AH76" s="88">
        <f>IF($A77="","",IF(Summary!$R$10="Y",(VLOOKUP($A76,Summary!$AD$6:$AF$9,3)+'Escalating commodity'!F89),'Escalating commodity'!F89))</f>
        <v>1.5820799999999999E-2</v>
      </c>
      <c r="AI76" s="88">
        <f t="shared" si="73"/>
        <v>1.5820799999999999E-2</v>
      </c>
      <c r="AJ76" s="236">
        <f t="shared" si="59"/>
        <v>39066.5</v>
      </c>
      <c r="AK76" s="58">
        <f t="shared" ca="1" si="60"/>
        <v>2026</v>
      </c>
      <c r="AL76" s="26">
        <f ca="1">IF($A77="","",_xll.SPRDOPT(P76,X76,AI76,0,AB76,AE76,AF76,AK76,$AJ$2,0))</f>
        <v>1.2482778408536392E-3</v>
      </c>
      <c r="AM76" s="89">
        <f t="shared" si="61"/>
        <v>0</v>
      </c>
      <c r="AN76" s="89">
        <f t="shared" ca="1" si="62"/>
        <v>1.2482778408536392E-3</v>
      </c>
      <c r="AO76" s="3">
        <f t="shared" si="63"/>
        <v>31</v>
      </c>
      <c r="AP76" s="33">
        <f t="shared" si="64"/>
        <v>39052</v>
      </c>
      <c r="AQ76" s="58">
        <f t="shared" ca="1" si="65"/>
        <v>2026</v>
      </c>
      <c r="AR76" s="38">
        <f>'ANR OK vs ML7'!AR76</f>
        <v>0.1</v>
      </c>
      <c r="AS76" s="35">
        <f t="shared" ca="1" si="66"/>
        <v>0.5820104201635653</v>
      </c>
      <c r="AT76" s="3">
        <f t="shared" si="67"/>
        <v>1</v>
      </c>
      <c r="AU76" s="3">
        <f t="shared" si="68"/>
        <v>31</v>
      </c>
      <c r="AW76" s="32">
        <f t="shared" ca="1" si="69"/>
        <v>4633.5324485782576</v>
      </c>
      <c r="AX76" s="32">
        <f t="shared" si="70"/>
        <v>0</v>
      </c>
      <c r="AY76" s="32">
        <f t="shared" ca="1" si="71"/>
        <v>4633.5324485782576</v>
      </c>
      <c r="BA76" s="32">
        <f ca="1">IF($A77="","",F76*Summary!$Q$10)</f>
        <v>0</v>
      </c>
      <c r="BC76" s="256">
        <f t="shared" ca="1" si="74"/>
        <v>0</v>
      </c>
    </row>
    <row r="77" spans="1:55">
      <c r="A77" s="67">
        <f t="shared" si="72"/>
        <v>39083</v>
      </c>
      <c r="B77" s="69">
        <f t="shared" si="75"/>
        <v>119740</v>
      </c>
      <c r="C77" s="71"/>
      <c r="D77" s="69">
        <f t="shared" si="38"/>
        <v>119740</v>
      </c>
      <c r="E77" s="70">
        <f t="shared" si="39"/>
        <v>3711940</v>
      </c>
      <c r="F77" s="70">
        <f t="shared" ca="1" si="40"/>
        <v>2142569.3761714837</v>
      </c>
      <c r="G77" s="63">
        <f t="shared" si="41"/>
        <v>4.484</v>
      </c>
      <c r="H77" s="64">
        <f t="shared" si="42"/>
        <v>4.484</v>
      </c>
      <c r="I77" s="43"/>
      <c r="J77" s="63">
        <f t="shared" si="43"/>
        <v>0.26500000000000001</v>
      </c>
      <c r="K77" s="64">
        <f t="shared" si="44"/>
        <v>0.26500000000000001</v>
      </c>
      <c r="L77" s="38">
        <v>0</v>
      </c>
      <c r="M77" s="64">
        <f t="shared" si="45"/>
        <v>0</v>
      </c>
      <c r="N77" s="65"/>
      <c r="O77" s="63">
        <f t="shared" si="46"/>
        <v>4.7489999999999997</v>
      </c>
      <c r="P77" s="63">
        <f t="shared" si="47"/>
        <v>4.7489999999999997</v>
      </c>
      <c r="Q77" s="66"/>
      <c r="R77" s="63">
        <f t="shared" si="48"/>
        <v>0.32500000000000001</v>
      </c>
      <c r="S77" s="64">
        <f t="shared" si="49"/>
        <v>0.32500000000000001</v>
      </c>
      <c r="T77" s="63">
        <f t="shared" si="50"/>
        <v>0</v>
      </c>
      <c r="U77" s="64">
        <f t="shared" si="51"/>
        <v>0</v>
      </c>
      <c r="V77" s="219">
        <f>IF($A78="","",IF(AND(MONTH(A77)&gt;3,MONTH(A77)&lt;11),(T77+R77+G77)*Summary!$T$10/(1-Summary!$T$10),(T77+R77+G77)*Summary!$U$10/(1-Summary!$U$10)))</f>
        <v>3.8782258064516129E-2</v>
      </c>
      <c r="W77" s="63">
        <f t="shared" si="52"/>
        <v>4.847782258064516</v>
      </c>
      <c r="X77" s="63">
        <f t="shared" si="53"/>
        <v>4.847782258064516</v>
      </c>
      <c r="Y77" s="43"/>
      <c r="Z77" s="38">
        <f t="shared" si="54"/>
        <v>1.1000000000000001</v>
      </c>
      <c r="AA77" s="38">
        <f t="shared" si="55"/>
        <v>0.248</v>
      </c>
      <c r="AB77" s="38">
        <f t="shared" ca="1" si="56"/>
        <v>0.26580358709577279</v>
      </c>
      <c r="AC77" s="38">
        <f t="shared" si="57"/>
        <v>1.1000000000000001</v>
      </c>
      <c r="AD77" s="38">
        <f t="shared" si="57"/>
        <v>0.248</v>
      </c>
      <c r="AE77" s="38">
        <f t="shared" ca="1" si="58"/>
        <v>0.26580358709577279</v>
      </c>
      <c r="AF77" s="237">
        <f ca="1">((Summary!$N$10*(AA77*AD77)*(A77-$D$3))+(Summary!$M$10*Z77*AC77*(AJ77-EOMONTH(EDATE(A77,-1),0))))/(AK77*AB77*AE77)</f>
        <v>0.99991290509190134</v>
      </c>
      <c r="AG77" s="88">
        <f>IF($A78="","",Summary!$Q$10)</f>
        <v>0</v>
      </c>
      <c r="AH77" s="88">
        <f>IF($A78="","",IF(Summary!$R$10="Y",(VLOOKUP($A77,Summary!$AD$6:$AF$9,3)+'Escalating commodity'!F90),'Escalating commodity'!F90))</f>
        <v>1.5820799999999999E-2</v>
      </c>
      <c r="AI77" s="88">
        <f t="shared" si="73"/>
        <v>1.5820799999999999E-2</v>
      </c>
      <c r="AJ77" s="236">
        <f t="shared" si="59"/>
        <v>39097.5</v>
      </c>
      <c r="AK77" s="58">
        <f t="shared" ca="1" si="60"/>
        <v>2057</v>
      </c>
      <c r="AL77" s="26">
        <f ca="1">IF($A78="","",_xll.SPRDOPT(P77,X77,AI77,0,AB77,AE77,AF77,AK77,$AJ$2,0))</f>
        <v>1.3144224263417718E-3</v>
      </c>
      <c r="AM77" s="89">
        <f t="shared" si="61"/>
        <v>0</v>
      </c>
      <c r="AN77" s="89">
        <f t="shared" ca="1" si="62"/>
        <v>1.3144224263417718E-3</v>
      </c>
      <c r="AO77" s="3">
        <f t="shared" si="63"/>
        <v>31</v>
      </c>
      <c r="AP77" s="33">
        <f t="shared" si="64"/>
        <v>39083</v>
      </c>
      <c r="AQ77" s="58">
        <f t="shared" ca="1" si="65"/>
        <v>2057</v>
      </c>
      <c r="AR77" s="38">
        <f>'ANR OK vs ML7'!AR77</f>
        <v>0.1</v>
      </c>
      <c r="AS77" s="35">
        <f t="shared" ca="1" si="66"/>
        <v>0.57721013167548063</v>
      </c>
      <c r="AT77" s="3">
        <f t="shared" si="67"/>
        <v>1</v>
      </c>
      <c r="AU77" s="3">
        <f t="shared" si="68"/>
        <v>31</v>
      </c>
      <c r="AW77" s="32">
        <f t="shared" ca="1" si="69"/>
        <v>4879.0571812350763</v>
      </c>
      <c r="AX77" s="32">
        <f t="shared" si="70"/>
        <v>0</v>
      </c>
      <c r="AY77" s="32">
        <f t="shared" ca="1" si="71"/>
        <v>4879.0571812350763</v>
      </c>
      <c r="BA77" s="32">
        <f ca="1">IF($A78="","",F77*Summary!$Q$10)</f>
        <v>0</v>
      </c>
      <c r="BC77" s="256">
        <f t="shared" ca="1" si="74"/>
        <v>0</v>
      </c>
    </row>
    <row r="78" spans="1:55">
      <c r="A78" s="67">
        <f t="shared" si="72"/>
        <v>39114</v>
      </c>
      <c r="B78" s="69">
        <f t="shared" si="75"/>
        <v>119740</v>
      </c>
      <c r="C78" s="71"/>
      <c r="D78" s="69">
        <f t="shared" si="38"/>
        <v>119740</v>
      </c>
      <c r="E78" s="70">
        <f t="shared" si="39"/>
        <v>3352720</v>
      </c>
      <c r="F78" s="70">
        <f t="shared" ca="1" si="40"/>
        <v>1919262.6692643363</v>
      </c>
      <c r="G78" s="63">
        <f t="shared" si="41"/>
        <v>4.3639999999999999</v>
      </c>
      <c r="H78" s="64">
        <f t="shared" si="42"/>
        <v>4.3639999999999999</v>
      </c>
      <c r="I78" s="43"/>
      <c r="J78" s="63">
        <f t="shared" si="43"/>
        <v>0.26500000000000001</v>
      </c>
      <c r="K78" s="64">
        <f t="shared" si="44"/>
        <v>0.26500000000000001</v>
      </c>
      <c r="L78" s="38">
        <v>0</v>
      </c>
      <c r="M78" s="64">
        <f t="shared" si="45"/>
        <v>0</v>
      </c>
      <c r="N78" s="65"/>
      <c r="O78" s="63">
        <f t="shared" si="46"/>
        <v>4.6289999999999996</v>
      </c>
      <c r="P78" s="63">
        <f t="shared" si="47"/>
        <v>4.6289999999999996</v>
      </c>
      <c r="Q78" s="66"/>
      <c r="R78" s="63">
        <f t="shared" si="48"/>
        <v>0.32500000000000001</v>
      </c>
      <c r="S78" s="64">
        <f t="shared" si="49"/>
        <v>0.32500000000000001</v>
      </c>
      <c r="T78" s="63">
        <f t="shared" si="50"/>
        <v>0</v>
      </c>
      <c r="U78" s="64">
        <f t="shared" si="51"/>
        <v>0</v>
      </c>
      <c r="V78" s="219">
        <f>IF($A79="","",IF(AND(MONTH(A78)&gt;3,MONTH(A78)&lt;11),(T78+R78+G78)*Summary!$T$10/(1-Summary!$T$10),(T78+R78+G78)*Summary!$U$10/(1-Summary!$U$10)))</f>
        <v>3.7814516129032263E-2</v>
      </c>
      <c r="W78" s="63">
        <f t="shared" si="52"/>
        <v>4.726814516129032</v>
      </c>
      <c r="X78" s="63">
        <f t="shared" si="53"/>
        <v>4.726814516129032</v>
      </c>
      <c r="Y78" s="43"/>
      <c r="Z78" s="38">
        <f t="shared" si="54"/>
        <v>1.1000000000000001</v>
      </c>
      <c r="AA78" s="38">
        <f t="shared" si="55"/>
        <v>0.23499999999999999</v>
      </c>
      <c r="AB78" s="38">
        <f t="shared" ca="1" si="56"/>
        <v>0.25172301359770949</v>
      </c>
      <c r="AC78" s="38">
        <f t="shared" si="57"/>
        <v>1.1000000000000001</v>
      </c>
      <c r="AD78" s="38">
        <f t="shared" si="57"/>
        <v>0.23499999999999999</v>
      </c>
      <c r="AE78" s="38">
        <f t="shared" ca="1" si="58"/>
        <v>0.25172301359770949</v>
      </c>
      <c r="AF78" s="237">
        <f ca="1">((Summary!$N$10*(AA78*AD78)*(A78-$D$3))+(Summary!$M$10*Z78*AC78*(AJ78-EOMONTH(EDATE(A78,-1),0))))/(AK78*AB78*AE78)</f>
        <v>0.99991280374649427</v>
      </c>
      <c r="AG78" s="88">
        <f>IF($A79="","",Summary!$Q$10)</f>
        <v>0</v>
      </c>
      <c r="AH78" s="88">
        <f>IF($A79="","",IF(Summary!$R$10="Y",(VLOOKUP($A78,Summary!$AD$6:$AF$9,3)+'Escalating commodity'!F91),'Escalating commodity'!F91))</f>
        <v>1.5820799999999999E-2</v>
      </c>
      <c r="AI78" s="88">
        <f t="shared" si="73"/>
        <v>1.5820799999999999E-2</v>
      </c>
      <c r="AJ78" s="236">
        <f t="shared" si="59"/>
        <v>39127</v>
      </c>
      <c r="AK78" s="58">
        <f t="shared" ca="1" si="60"/>
        <v>2088</v>
      </c>
      <c r="AL78" s="26">
        <f ca="1">IF($A79="","",_xll.SPRDOPT(P78,X78,AI78,0,AB78,AE78,AF78,AK78,$AJ$2,0))</f>
        <v>1.1068175581523589E-3</v>
      </c>
      <c r="AM78" s="89">
        <f t="shared" si="61"/>
        <v>0</v>
      </c>
      <c r="AN78" s="89">
        <f t="shared" ca="1" si="62"/>
        <v>1.1068175581523589E-3</v>
      </c>
      <c r="AO78" s="3">
        <f t="shared" si="63"/>
        <v>28</v>
      </c>
      <c r="AP78" s="33">
        <f t="shared" si="64"/>
        <v>39114</v>
      </c>
      <c r="AQ78" s="58">
        <f t="shared" ca="1" si="65"/>
        <v>2088</v>
      </c>
      <c r="AR78" s="38">
        <f>'ANR OK vs ML7'!AR78</f>
        <v>0.1</v>
      </c>
      <c r="AS78" s="35">
        <f t="shared" ca="1" si="66"/>
        <v>0.57244943486611954</v>
      </c>
      <c r="AT78" s="3">
        <f t="shared" si="67"/>
        <v>1</v>
      </c>
      <c r="AU78" s="3">
        <f t="shared" si="68"/>
        <v>28</v>
      </c>
      <c r="AW78" s="32">
        <f t="shared" ca="1" si="69"/>
        <v>3710.8493635685768</v>
      </c>
      <c r="AX78" s="32">
        <f t="shared" si="70"/>
        <v>0</v>
      </c>
      <c r="AY78" s="32">
        <f t="shared" ca="1" si="71"/>
        <v>3710.8493635685768</v>
      </c>
      <c r="BA78" s="32">
        <f ca="1">IF($A79="","",F78*Summary!$Q$10)</f>
        <v>0</v>
      </c>
      <c r="BC78" s="256">
        <f t="shared" ca="1" si="74"/>
        <v>0</v>
      </c>
    </row>
    <row r="79" spans="1:55">
      <c r="A79" s="67">
        <f t="shared" si="72"/>
        <v>39142</v>
      </c>
      <c r="B79" s="69">
        <f t="shared" si="75"/>
        <v>119740</v>
      </c>
      <c r="C79" s="71"/>
      <c r="D79" s="69">
        <f t="shared" si="38"/>
        <v>119740</v>
      </c>
      <c r="E79" s="70">
        <f t="shared" si="39"/>
        <v>3711940</v>
      </c>
      <c r="F79" s="70">
        <f t="shared" ca="1" si="40"/>
        <v>2109061.9803421549</v>
      </c>
      <c r="G79" s="63">
        <f t="shared" si="41"/>
        <v>4.2249999999999996</v>
      </c>
      <c r="H79" s="64">
        <f t="shared" si="42"/>
        <v>4.2249999999999996</v>
      </c>
      <c r="I79" s="43"/>
      <c r="J79" s="63">
        <f t="shared" si="43"/>
        <v>0.26500000000000001</v>
      </c>
      <c r="K79" s="64">
        <f t="shared" si="44"/>
        <v>0.26500000000000001</v>
      </c>
      <c r="L79" s="38">
        <v>0</v>
      </c>
      <c r="M79" s="64">
        <f t="shared" si="45"/>
        <v>0</v>
      </c>
      <c r="N79" s="65"/>
      <c r="O79" s="63">
        <f t="shared" si="46"/>
        <v>4.4899999999999993</v>
      </c>
      <c r="P79" s="63">
        <f t="shared" si="47"/>
        <v>4.4899999999999993</v>
      </c>
      <c r="Q79" s="66"/>
      <c r="R79" s="63">
        <f t="shared" si="48"/>
        <v>0.32500000000000001</v>
      </c>
      <c r="S79" s="64">
        <f t="shared" si="49"/>
        <v>0.32500000000000001</v>
      </c>
      <c r="T79" s="63">
        <f t="shared" si="50"/>
        <v>0</v>
      </c>
      <c r="U79" s="64">
        <f t="shared" si="51"/>
        <v>0</v>
      </c>
      <c r="V79" s="219">
        <f>IF($A80="","",IF(AND(MONTH(A79)&gt;3,MONTH(A79)&lt;11),(T79+R79+G79)*Summary!$T$10/(1-Summary!$T$10),(T79+R79+G79)*Summary!$U$10/(1-Summary!$U$10)))</f>
        <v>3.6693548387096778E-2</v>
      </c>
      <c r="W79" s="63">
        <f t="shared" si="52"/>
        <v>4.586693548387097</v>
      </c>
      <c r="X79" s="63">
        <f t="shared" si="53"/>
        <v>4.586693548387097</v>
      </c>
      <c r="Y79" s="43"/>
      <c r="Z79" s="38">
        <f t="shared" si="54"/>
        <v>0.75</v>
      </c>
      <c r="AA79" s="38">
        <f t="shared" si="55"/>
        <v>0.22800000000000001</v>
      </c>
      <c r="AB79" s="38">
        <f t="shared" ca="1" si="56"/>
        <v>0.2369155110103133</v>
      </c>
      <c r="AC79" s="38">
        <f t="shared" si="57"/>
        <v>0.75</v>
      </c>
      <c r="AD79" s="38">
        <f t="shared" si="57"/>
        <v>0.22800000000000001</v>
      </c>
      <c r="AE79" s="38">
        <f t="shared" ca="1" si="58"/>
        <v>0.2369155110103133</v>
      </c>
      <c r="AF79" s="237">
        <f ca="1">((Summary!$N$10*(AA79*AD79)*(A79-$D$3))+(Summary!$M$10*Z79*AC79*(AJ79-EOMONTH(EDATE(A79,-1),0))))/(AK79*AB79*AE79)</f>
        <v>0.99990734093825506</v>
      </c>
      <c r="AG79" s="88">
        <f>IF($A80="","",Summary!$Q$10)</f>
        <v>0</v>
      </c>
      <c r="AH79" s="88">
        <f>IF($A80="","",IF(Summary!$R$10="Y",(VLOOKUP($A79,Summary!$AD$6:$AF$9,3)+'Escalating commodity'!F92),'Escalating commodity'!F92))</f>
        <v>1.5820799999999999E-2</v>
      </c>
      <c r="AI79" s="88">
        <f t="shared" si="73"/>
        <v>1.5820799999999999E-2</v>
      </c>
      <c r="AJ79" s="236">
        <f t="shared" si="59"/>
        <v>39156.5</v>
      </c>
      <c r="AK79" s="58">
        <f t="shared" ca="1" si="60"/>
        <v>2116</v>
      </c>
      <c r="AL79" s="26">
        <f ca="1">IF($A80="","",_xll.SPRDOPT(P79,X79,AI79,0,AB79,AE79,AF79,AK79,$AJ$2,0))</f>
        <v>9.506974927198774E-4</v>
      </c>
      <c r="AM79" s="89">
        <f t="shared" si="61"/>
        <v>0</v>
      </c>
      <c r="AN79" s="89">
        <f t="shared" ca="1" si="62"/>
        <v>9.506974927198774E-4</v>
      </c>
      <c r="AO79" s="3">
        <f t="shared" si="63"/>
        <v>31</v>
      </c>
      <c r="AP79" s="33">
        <f t="shared" si="64"/>
        <v>39142</v>
      </c>
      <c r="AQ79" s="58">
        <f t="shared" ca="1" si="65"/>
        <v>2116</v>
      </c>
      <c r="AR79" s="38">
        <f>'ANR OK vs ML7'!AR79</f>
        <v>0.1</v>
      </c>
      <c r="AS79" s="35">
        <f t="shared" ca="1" si="66"/>
        <v>0.56818320887249119</v>
      </c>
      <c r="AT79" s="3">
        <f t="shared" si="67"/>
        <v>1</v>
      </c>
      <c r="AU79" s="3">
        <f t="shared" si="68"/>
        <v>31</v>
      </c>
      <c r="AW79" s="32">
        <f t="shared" ca="1" si="69"/>
        <v>3528.9320511266219</v>
      </c>
      <c r="AX79" s="32">
        <f t="shared" si="70"/>
        <v>0</v>
      </c>
      <c r="AY79" s="32">
        <f t="shared" ca="1" si="71"/>
        <v>3528.9320511266219</v>
      </c>
      <c r="BA79" s="32">
        <f ca="1">IF($A80="","",F79*Summary!$Q$10)</f>
        <v>0</v>
      </c>
      <c r="BC79" s="256">
        <f t="shared" ca="1" si="74"/>
        <v>0</v>
      </c>
    </row>
    <row r="80" spans="1:55">
      <c r="A80" s="67">
        <f t="shared" si="72"/>
        <v>39173</v>
      </c>
      <c r="B80" s="69">
        <f t="shared" si="75"/>
        <v>119740</v>
      </c>
      <c r="C80" s="71"/>
      <c r="D80" s="69">
        <f t="shared" si="38"/>
        <v>119740</v>
      </c>
      <c r="E80" s="70">
        <f t="shared" si="39"/>
        <v>3592200</v>
      </c>
      <c r="F80" s="70">
        <f t="shared" ca="1" si="40"/>
        <v>2024193.7942693832</v>
      </c>
      <c r="G80" s="63">
        <f t="shared" si="41"/>
        <v>4.05</v>
      </c>
      <c r="H80" s="64">
        <f t="shared" si="42"/>
        <v>4.05</v>
      </c>
      <c r="I80" s="43"/>
      <c r="J80" s="63">
        <f t="shared" si="43"/>
        <v>0.17</v>
      </c>
      <c r="K80" s="64">
        <f t="shared" si="44"/>
        <v>0.17</v>
      </c>
      <c r="L80" s="38">
        <v>0</v>
      </c>
      <c r="M80" s="64">
        <f t="shared" si="45"/>
        <v>0</v>
      </c>
      <c r="N80" s="65"/>
      <c r="O80" s="63">
        <f t="shared" si="46"/>
        <v>4.22</v>
      </c>
      <c r="P80" s="63">
        <f t="shared" si="47"/>
        <v>4.22</v>
      </c>
      <c r="Q80" s="66"/>
      <c r="R80" s="63">
        <f t="shared" si="48"/>
        <v>0.21</v>
      </c>
      <c r="S80" s="64">
        <f t="shared" si="49"/>
        <v>0.21</v>
      </c>
      <c r="T80" s="63">
        <f t="shared" si="50"/>
        <v>0</v>
      </c>
      <c r="U80" s="64">
        <f t="shared" si="51"/>
        <v>0</v>
      </c>
      <c r="V80" s="219">
        <f>IF($A81="","",IF(AND(MONTH(A80)&gt;3,MONTH(A80)&lt;11),(T80+R80+G80)*Summary!$T$10/(1-Summary!$T$10),(T80+R80+G80)*Summary!$U$10/(1-Summary!$U$10)))</f>
        <v>3.435483870967742E-2</v>
      </c>
      <c r="W80" s="63">
        <f t="shared" si="52"/>
        <v>4.294354838709677</v>
      </c>
      <c r="X80" s="63">
        <f t="shared" si="53"/>
        <v>4.294354838709677</v>
      </c>
      <c r="Y80" s="43"/>
      <c r="Z80" s="38">
        <f t="shared" si="54"/>
        <v>0.45</v>
      </c>
      <c r="AA80" s="38">
        <f t="shared" si="55"/>
        <v>0.22800000000000001</v>
      </c>
      <c r="AB80" s="38">
        <f t="shared" ca="1" si="56"/>
        <v>0.23113411080465152</v>
      </c>
      <c r="AC80" s="38">
        <f t="shared" si="57"/>
        <v>0.45</v>
      </c>
      <c r="AD80" s="38">
        <f t="shared" si="57"/>
        <v>0.22800000000000001</v>
      </c>
      <c r="AE80" s="38">
        <f t="shared" ca="1" si="58"/>
        <v>0.23113411080465152</v>
      </c>
      <c r="AF80" s="237">
        <f ca="1">((Summary!$N$10*(AA80*AD80)*(A80-$D$3))+(Summary!$M$10*Z80*AC80*(AJ80-EOMONTH(EDATE(A80,-1),0))))/(AK80*AB80*AE80)</f>
        <v>0.99990264823276942</v>
      </c>
      <c r="AG80" s="88">
        <f>IF($A81="","",Summary!$Q$10)</f>
        <v>0</v>
      </c>
      <c r="AH80" s="88">
        <f>IF($A81="","",IF(Summary!$R$10="Y",(VLOOKUP($A80,Summary!$AD$6:$AF$9,3)+'Escalating commodity'!F93),'Escalating commodity'!F93))</f>
        <v>1.5820799999999999E-2</v>
      </c>
      <c r="AI80" s="88">
        <f t="shared" si="73"/>
        <v>1.5820799999999999E-2</v>
      </c>
      <c r="AJ80" s="236">
        <f t="shared" si="59"/>
        <v>39187</v>
      </c>
      <c r="AK80" s="58">
        <f t="shared" ca="1" si="60"/>
        <v>2147</v>
      </c>
      <c r="AL80" s="26">
        <f ca="1">IF($A81="","",_xll.SPRDOPT(P80,X80,AI80,0,AB80,AE80,AF80,AK80,$AJ$2,0))</f>
        <v>1.1630449537680838E-3</v>
      </c>
      <c r="AM80" s="89">
        <f t="shared" si="61"/>
        <v>0</v>
      </c>
      <c r="AN80" s="89">
        <f t="shared" ca="1" si="62"/>
        <v>1.1630449537680838E-3</v>
      </c>
      <c r="AO80" s="3">
        <f t="shared" si="63"/>
        <v>30</v>
      </c>
      <c r="AP80" s="33">
        <f t="shared" si="64"/>
        <v>39173</v>
      </c>
      <c r="AQ80" s="58">
        <f t="shared" ca="1" si="65"/>
        <v>2147</v>
      </c>
      <c r="AR80" s="38">
        <f>'ANR OK vs ML7'!AR80</f>
        <v>0.1</v>
      </c>
      <c r="AS80" s="35">
        <f t="shared" ca="1" si="66"/>
        <v>0.56349696405249794</v>
      </c>
      <c r="AT80" s="3">
        <f t="shared" si="67"/>
        <v>1</v>
      </c>
      <c r="AU80" s="3">
        <f t="shared" si="68"/>
        <v>30</v>
      </c>
      <c r="AW80" s="32">
        <f t="shared" ca="1" si="69"/>
        <v>4177.8900829257109</v>
      </c>
      <c r="AX80" s="32">
        <f t="shared" si="70"/>
        <v>0</v>
      </c>
      <c r="AY80" s="32">
        <f t="shared" ca="1" si="71"/>
        <v>4177.8900829257109</v>
      </c>
      <c r="BA80" s="32">
        <f ca="1">IF($A81="","",F80*Summary!$Q$10)</f>
        <v>0</v>
      </c>
      <c r="BC80" s="256">
        <f t="shared" ca="1" si="74"/>
        <v>0</v>
      </c>
    </row>
    <row r="81" spans="1:55">
      <c r="A81" s="67">
        <f t="shared" si="72"/>
        <v>39203</v>
      </c>
      <c r="B81" s="69">
        <f t="shared" si="75"/>
        <v>119740</v>
      </c>
      <c r="C81" s="71"/>
      <c r="D81" s="69">
        <f t="shared" si="38"/>
        <v>119740</v>
      </c>
      <c r="E81" s="70">
        <f t="shared" si="39"/>
        <v>3711940</v>
      </c>
      <c r="F81" s="70">
        <f t="shared" ca="1" si="40"/>
        <v>2074969.6072333269</v>
      </c>
      <c r="G81" s="63">
        <f t="shared" si="41"/>
        <v>4.0199999999999996</v>
      </c>
      <c r="H81" s="64">
        <f t="shared" si="42"/>
        <v>4.0199999999999996</v>
      </c>
      <c r="I81" s="43"/>
      <c r="J81" s="63">
        <f t="shared" si="43"/>
        <v>0.17</v>
      </c>
      <c r="K81" s="64">
        <f t="shared" si="44"/>
        <v>0.17</v>
      </c>
      <c r="L81" s="38">
        <v>0</v>
      </c>
      <c r="M81" s="64">
        <f t="shared" si="45"/>
        <v>0</v>
      </c>
      <c r="N81" s="65"/>
      <c r="O81" s="63">
        <f t="shared" si="46"/>
        <v>4.1899999999999995</v>
      </c>
      <c r="P81" s="63">
        <f t="shared" si="47"/>
        <v>4.1899999999999995</v>
      </c>
      <c r="Q81" s="66"/>
      <c r="R81" s="63">
        <f t="shared" si="48"/>
        <v>0.21</v>
      </c>
      <c r="S81" s="64">
        <f t="shared" si="49"/>
        <v>0.21</v>
      </c>
      <c r="T81" s="63">
        <f t="shared" si="50"/>
        <v>0</v>
      </c>
      <c r="U81" s="64">
        <f t="shared" si="51"/>
        <v>0</v>
      </c>
      <c r="V81" s="219">
        <f>IF($A82="","",IF(AND(MONTH(A81)&gt;3,MONTH(A81)&lt;11),(T81+R81+G81)*Summary!$T$10/(1-Summary!$T$10),(T81+R81+G81)*Summary!$U$10/(1-Summary!$U$10)))</f>
        <v>3.411290322580645E-2</v>
      </c>
      <c r="W81" s="63">
        <f t="shared" si="52"/>
        <v>4.2641129032258061</v>
      </c>
      <c r="X81" s="63">
        <f t="shared" si="53"/>
        <v>4.2641129032258061</v>
      </c>
      <c r="Y81" s="43"/>
      <c r="Z81" s="38">
        <f t="shared" si="54"/>
        <v>0.5</v>
      </c>
      <c r="AA81" s="38">
        <f t="shared" si="55"/>
        <v>0.22800000000000001</v>
      </c>
      <c r="AB81" s="38">
        <f t="shared" ca="1" si="56"/>
        <v>0.2319220799564731</v>
      </c>
      <c r="AC81" s="38">
        <f t="shared" si="57"/>
        <v>0.5</v>
      </c>
      <c r="AD81" s="38">
        <f t="shared" si="57"/>
        <v>0.22800000000000001</v>
      </c>
      <c r="AE81" s="38">
        <f t="shared" ca="1" si="58"/>
        <v>0.2319220799564731</v>
      </c>
      <c r="AF81" s="237">
        <f ca="1">((Summary!$N$10*(AA81*AD81)*(A81-$D$3))+(Summary!$M$10*Z81*AC81*(AJ81-EOMONTH(EDATE(A81,-1),0))))/(AK81*AB81*AE81)</f>
        <v>0.99990330924623394</v>
      </c>
      <c r="AG81" s="88">
        <f>IF($A82="","",Summary!$Q$10)</f>
        <v>0</v>
      </c>
      <c r="AH81" s="88">
        <f>IF($A82="","",IF(Summary!$R$10="Y",(VLOOKUP($A81,Summary!$AD$6:$AF$9,3)+'Escalating commodity'!F94),'Escalating commodity'!F94))</f>
        <v>1.5820799999999999E-2</v>
      </c>
      <c r="AI81" s="88">
        <f t="shared" si="73"/>
        <v>1.5820799999999999E-2</v>
      </c>
      <c r="AJ81" s="236">
        <f t="shared" si="59"/>
        <v>39217.5</v>
      </c>
      <c r="AK81" s="58">
        <f t="shared" ca="1" si="60"/>
        <v>2177</v>
      </c>
      <c r="AL81" s="26">
        <f ca="1">IF($A82="","",_xll.SPRDOPT(P81,X81,AI81,0,AB81,AE81,AF81,AK81,$AJ$2,0))</f>
        <v>1.1694522639171413E-3</v>
      </c>
      <c r="AM81" s="89">
        <f t="shared" si="61"/>
        <v>0</v>
      </c>
      <c r="AN81" s="89">
        <f t="shared" ca="1" si="62"/>
        <v>1.1694522639171413E-3</v>
      </c>
      <c r="AO81" s="3">
        <f t="shared" si="63"/>
        <v>31</v>
      </c>
      <c r="AP81" s="33">
        <f t="shared" si="64"/>
        <v>39203</v>
      </c>
      <c r="AQ81" s="58">
        <f t="shared" ca="1" si="65"/>
        <v>2177</v>
      </c>
      <c r="AR81" s="38">
        <f>'ANR OK vs ML7'!AR81</f>
        <v>0.1</v>
      </c>
      <c r="AS81" s="35">
        <f t="shared" ca="1" si="66"/>
        <v>0.55899869266026037</v>
      </c>
      <c r="AT81" s="3">
        <f t="shared" si="67"/>
        <v>1</v>
      </c>
      <c r="AU81" s="3">
        <f t="shared" si="68"/>
        <v>31</v>
      </c>
      <c r="AW81" s="32">
        <f t="shared" ca="1" si="69"/>
        <v>4340.9366365245933</v>
      </c>
      <c r="AX81" s="32">
        <f t="shared" si="70"/>
        <v>0</v>
      </c>
      <c r="AY81" s="32">
        <f t="shared" ca="1" si="71"/>
        <v>4340.9366365245933</v>
      </c>
      <c r="BA81" s="32">
        <f ca="1">IF($A82="","",F81*Summary!$Q$10)</f>
        <v>0</v>
      </c>
      <c r="BC81" s="256">
        <f t="shared" ca="1" si="74"/>
        <v>0</v>
      </c>
    </row>
    <row r="82" spans="1:55">
      <c r="A82" s="67">
        <f t="shared" si="72"/>
        <v>39234</v>
      </c>
      <c r="B82" s="69">
        <f t="shared" si="75"/>
        <v>119740</v>
      </c>
      <c r="C82" s="71"/>
      <c r="D82" s="69">
        <f t="shared" si="38"/>
        <v>119740</v>
      </c>
      <c r="E82" s="70">
        <f t="shared" si="39"/>
        <v>3592200</v>
      </c>
      <c r="F82" s="70">
        <f t="shared" ca="1" si="40"/>
        <v>1991473.2906891087</v>
      </c>
      <c r="G82" s="63">
        <f t="shared" si="41"/>
        <v>4.09</v>
      </c>
      <c r="H82" s="64">
        <f t="shared" si="42"/>
        <v>4.09</v>
      </c>
      <c r="I82" s="43"/>
      <c r="J82" s="63">
        <f t="shared" si="43"/>
        <v>0.17</v>
      </c>
      <c r="K82" s="64">
        <f t="shared" si="44"/>
        <v>0.17</v>
      </c>
      <c r="L82" s="38">
        <v>0</v>
      </c>
      <c r="M82" s="64">
        <f t="shared" si="45"/>
        <v>0</v>
      </c>
      <c r="N82" s="65"/>
      <c r="O82" s="63">
        <f t="shared" si="46"/>
        <v>4.26</v>
      </c>
      <c r="P82" s="63">
        <f t="shared" si="47"/>
        <v>4.26</v>
      </c>
      <c r="Q82" s="66"/>
      <c r="R82" s="63">
        <f t="shared" si="48"/>
        <v>0.21</v>
      </c>
      <c r="S82" s="64">
        <f t="shared" si="49"/>
        <v>0.21</v>
      </c>
      <c r="T82" s="63">
        <f t="shared" si="50"/>
        <v>0</v>
      </c>
      <c r="U82" s="64">
        <f t="shared" si="51"/>
        <v>0</v>
      </c>
      <c r="V82" s="219">
        <f>IF($A83="","",IF(AND(MONTH(A82)&gt;3,MONTH(A82)&lt;11),(T82+R82+G82)*Summary!$T$10/(1-Summary!$T$10),(T82+R82+G82)*Summary!$U$10/(1-Summary!$U$10)))</f>
        <v>3.4677419354838708E-2</v>
      </c>
      <c r="W82" s="63">
        <f t="shared" si="52"/>
        <v>4.334677419354839</v>
      </c>
      <c r="X82" s="63">
        <f t="shared" si="53"/>
        <v>4.334677419354839</v>
      </c>
      <c r="Y82" s="43"/>
      <c r="Z82" s="38">
        <f t="shared" si="54"/>
        <v>0.5</v>
      </c>
      <c r="AA82" s="38">
        <f t="shared" si="55"/>
        <v>0.218</v>
      </c>
      <c r="AB82" s="38">
        <f t="shared" ca="1" si="56"/>
        <v>0.22190965079496211</v>
      </c>
      <c r="AC82" s="38">
        <f t="shared" si="57"/>
        <v>0.5</v>
      </c>
      <c r="AD82" s="38">
        <f t="shared" si="57"/>
        <v>0.218</v>
      </c>
      <c r="AE82" s="38">
        <f t="shared" ca="1" si="58"/>
        <v>0.22190965079496211</v>
      </c>
      <c r="AF82" s="237">
        <f ca="1">((Summary!$N$10*(AA82*AD82)*(A82-$D$3))+(Summary!$M$10*Z82*AC82*(AJ82-EOMONTH(EDATE(A82,-1),0))))/(AK82*AB82*AE82)</f>
        <v>0.9999034488937768</v>
      </c>
      <c r="AG82" s="88">
        <f>IF($A83="","",Summary!$Q$10)</f>
        <v>0</v>
      </c>
      <c r="AH82" s="88">
        <f>IF($A83="","",IF(Summary!$R$10="Y",(VLOOKUP($A82,Summary!$AD$6:$AF$9,3)+'Escalating commodity'!F95),'Escalating commodity'!F95))</f>
        <v>1.5820799999999999E-2</v>
      </c>
      <c r="AI82" s="88">
        <f t="shared" si="73"/>
        <v>1.5820799999999999E-2</v>
      </c>
      <c r="AJ82" s="236">
        <f t="shared" si="59"/>
        <v>39248</v>
      </c>
      <c r="AK82" s="58">
        <f t="shared" ca="1" si="60"/>
        <v>2208</v>
      </c>
      <c r="AL82" s="26">
        <f ca="1">IF($A83="","",_xll.SPRDOPT(P82,X82,AI82,0,AB82,AE82,AF82,AK82,$AJ$2,0))</f>
        <v>1.097717274618772E-3</v>
      </c>
      <c r="AM82" s="89">
        <f t="shared" si="61"/>
        <v>0</v>
      </c>
      <c r="AN82" s="89">
        <f t="shared" ca="1" si="62"/>
        <v>1.097717274618772E-3</v>
      </c>
      <c r="AO82" s="3">
        <f t="shared" si="63"/>
        <v>30</v>
      </c>
      <c r="AP82" s="33">
        <f t="shared" si="64"/>
        <v>39234</v>
      </c>
      <c r="AQ82" s="58">
        <f t="shared" ca="1" si="65"/>
        <v>2208</v>
      </c>
      <c r="AR82" s="38">
        <f>'ANR OK vs ML7'!AR82</f>
        <v>0.1</v>
      </c>
      <c r="AS82" s="35">
        <f t="shared" ca="1" si="66"/>
        <v>0.55438819962393759</v>
      </c>
      <c r="AT82" s="3">
        <f t="shared" si="67"/>
        <v>1</v>
      </c>
      <c r="AU82" s="3">
        <f t="shared" si="68"/>
        <v>30</v>
      </c>
      <c r="AW82" s="32">
        <f t="shared" ca="1" si="69"/>
        <v>3943.2199938855524</v>
      </c>
      <c r="AX82" s="32">
        <f t="shared" si="70"/>
        <v>0</v>
      </c>
      <c r="AY82" s="32">
        <f t="shared" ca="1" si="71"/>
        <v>3943.2199938855524</v>
      </c>
      <c r="BA82" s="32">
        <f ca="1">IF($A83="","",F82*Summary!$Q$10)</f>
        <v>0</v>
      </c>
      <c r="BC82" s="256">
        <f t="shared" ca="1" si="74"/>
        <v>0</v>
      </c>
    </row>
    <row r="83" spans="1:55">
      <c r="A83" s="67">
        <f t="shared" si="72"/>
        <v>39264</v>
      </c>
      <c r="B83" s="69">
        <f t="shared" si="75"/>
        <v>119740</v>
      </c>
      <c r="C83" s="71"/>
      <c r="D83" s="69">
        <f t="shared" si="38"/>
        <v>119740</v>
      </c>
      <c r="E83" s="70">
        <f t="shared" si="39"/>
        <v>3711940</v>
      </c>
      <c r="F83" s="70">
        <f t="shared" ca="1" si="40"/>
        <v>2041428.3274138498</v>
      </c>
      <c r="G83" s="63">
        <f t="shared" si="41"/>
        <v>4.1449999999999996</v>
      </c>
      <c r="H83" s="64">
        <f t="shared" si="42"/>
        <v>4.1449999999999996</v>
      </c>
      <c r="I83" s="43"/>
      <c r="J83" s="63">
        <f t="shared" si="43"/>
        <v>0.17</v>
      </c>
      <c r="K83" s="64">
        <f t="shared" si="44"/>
        <v>0.17</v>
      </c>
      <c r="L83" s="38">
        <v>0</v>
      </c>
      <c r="M83" s="64">
        <f t="shared" si="45"/>
        <v>0</v>
      </c>
      <c r="N83" s="65"/>
      <c r="O83" s="63">
        <f t="shared" si="46"/>
        <v>4.3149999999999995</v>
      </c>
      <c r="P83" s="63">
        <f t="shared" si="47"/>
        <v>4.3149999999999995</v>
      </c>
      <c r="Q83" s="66"/>
      <c r="R83" s="63">
        <f t="shared" si="48"/>
        <v>0.21</v>
      </c>
      <c r="S83" s="64">
        <f t="shared" si="49"/>
        <v>0.21</v>
      </c>
      <c r="T83" s="63">
        <f t="shared" si="50"/>
        <v>0</v>
      </c>
      <c r="U83" s="64">
        <f t="shared" si="51"/>
        <v>0</v>
      </c>
      <c r="V83" s="219">
        <f>IF($A84="","",IF(AND(MONTH(A83)&gt;3,MONTH(A83)&lt;11),(T83+R83+G83)*Summary!$T$10/(1-Summary!$T$10),(T83+R83+G83)*Summary!$U$10/(1-Summary!$U$10)))</f>
        <v>3.5120967741935481E-2</v>
      </c>
      <c r="W83" s="63">
        <f t="shared" si="52"/>
        <v>4.3901209677419351</v>
      </c>
      <c r="X83" s="63">
        <f t="shared" si="53"/>
        <v>4.3901209677419351</v>
      </c>
      <c r="Y83" s="43"/>
      <c r="Z83" s="38">
        <f t="shared" si="54"/>
        <v>0.55000000000000004</v>
      </c>
      <c r="AA83" s="38">
        <f t="shared" si="55"/>
        <v>0.218</v>
      </c>
      <c r="AB83" s="38">
        <f t="shared" ca="1" si="56"/>
        <v>0.22280102689873618</v>
      </c>
      <c r="AC83" s="38">
        <f t="shared" si="57"/>
        <v>0.55000000000000004</v>
      </c>
      <c r="AD83" s="38">
        <f t="shared" si="57"/>
        <v>0.218</v>
      </c>
      <c r="AE83" s="38">
        <f t="shared" ca="1" si="58"/>
        <v>0.22280102689873618</v>
      </c>
      <c r="AF83" s="237">
        <f ca="1">((Summary!$N$10*(AA83*AD83)*(A83-$D$3))+(Summary!$M$10*Z83*AC83*(AJ83-EOMONTH(EDATE(A83,-1),0))))/(AK83*AB83*AE83)</f>
        <v>0.99990422048750238</v>
      </c>
      <c r="AG83" s="88">
        <f>IF($A84="","",Summary!$Q$10)</f>
        <v>0</v>
      </c>
      <c r="AH83" s="88">
        <f>IF($A84="","",IF(Summary!$R$10="Y",(VLOOKUP($A83,Summary!$AD$6:$AF$9,3)+'Escalating commodity'!F96),'Escalating commodity'!F96))</f>
        <v>1.5820799999999999E-2</v>
      </c>
      <c r="AI83" s="88">
        <f t="shared" si="73"/>
        <v>1.5820799999999999E-2</v>
      </c>
      <c r="AJ83" s="236">
        <f t="shared" si="59"/>
        <v>39278.5</v>
      </c>
      <c r="AK83" s="58">
        <f t="shared" ca="1" si="60"/>
        <v>2238</v>
      </c>
      <c r="AL83" s="26">
        <f ca="1">IF($A84="","",_xll.SPRDOPT(P83,X83,AI83,0,AB83,AE83,AF83,AK83,$AJ$2,0))</f>
        <v>1.1469347208836449E-3</v>
      </c>
      <c r="AM83" s="89">
        <f t="shared" si="61"/>
        <v>0</v>
      </c>
      <c r="AN83" s="89">
        <f t="shared" ca="1" si="62"/>
        <v>1.1469347208836449E-3</v>
      </c>
      <c r="AO83" s="3">
        <f t="shared" si="63"/>
        <v>31</v>
      </c>
      <c r="AP83" s="33">
        <f t="shared" si="64"/>
        <v>39264</v>
      </c>
      <c r="AQ83" s="58">
        <f t="shared" ca="1" si="65"/>
        <v>2238</v>
      </c>
      <c r="AR83" s="38">
        <f>'ANR OK vs ML7'!AR83</f>
        <v>0.1</v>
      </c>
      <c r="AS83" s="35">
        <f t="shared" ca="1" si="66"/>
        <v>0.54996264147961704</v>
      </c>
      <c r="AT83" s="3">
        <f t="shared" si="67"/>
        <v>1</v>
      </c>
      <c r="AU83" s="3">
        <f t="shared" si="68"/>
        <v>31</v>
      </c>
      <c r="AW83" s="32">
        <f t="shared" ca="1" si="69"/>
        <v>4257.3528678368366</v>
      </c>
      <c r="AX83" s="32">
        <f t="shared" si="70"/>
        <v>0</v>
      </c>
      <c r="AY83" s="32">
        <f t="shared" ca="1" si="71"/>
        <v>4257.3528678368366</v>
      </c>
      <c r="BA83" s="32">
        <f ca="1">IF($A84="","",F83*Summary!$Q$10)</f>
        <v>0</v>
      </c>
      <c r="BC83" s="256">
        <f t="shared" ca="1" si="74"/>
        <v>0</v>
      </c>
    </row>
    <row r="84" spans="1:55">
      <c r="A84" s="67">
        <f t="shared" si="72"/>
        <v>39295</v>
      </c>
      <c r="B84" s="69">
        <f t="shared" si="75"/>
        <v>119740</v>
      </c>
      <c r="C84" s="71"/>
      <c r="D84" s="69">
        <f t="shared" si="38"/>
        <v>119740</v>
      </c>
      <c r="E84" s="70">
        <f t="shared" si="39"/>
        <v>3711940</v>
      </c>
      <c r="F84" s="70">
        <f t="shared" ca="1" si="40"/>
        <v>2024591.094677397</v>
      </c>
      <c r="G84" s="63">
        <f t="shared" si="41"/>
        <v>4.2010000000000005</v>
      </c>
      <c r="H84" s="64">
        <f t="shared" si="42"/>
        <v>4.2010000000000005</v>
      </c>
      <c r="I84" s="43"/>
      <c r="J84" s="63">
        <f t="shared" si="43"/>
        <v>0.17</v>
      </c>
      <c r="K84" s="64">
        <f t="shared" si="44"/>
        <v>0.17</v>
      </c>
      <c r="L84" s="38">
        <v>0</v>
      </c>
      <c r="M84" s="64">
        <f t="shared" si="45"/>
        <v>0</v>
      </c>
      <c r="N84" s="65"/>
      <c r="O84" s="63">
        <f t="shared" si="46"/>
        <v>4.3710000000000004</v>
      </c>
      <c r="P84" s="63">
        <f t="shared" si="47"/>
        <v>4.3710000000000004</v>
      </c>
      <c r="Q84" s="66"/>
      <c r="R84" s="63">
        <f t="shared" si="48"/>
        <v>0.21</v>
      </c>
      <c r="S84" s="64">
        <f t="shared" si="49"/>
        <v>0.21</v>
      </c>
      <c r="T84" s="63">
        <f t="shared" si="50"/>
        <v>0</v>
      </c>
      <c r="U84" s="64">
        <f t="shared" si="51"/>
        <v>0</v>
      </c>
      <c r="V84" s="219">
        <f>IF($A85="","",IF(AND(MONTH(A84)&gt;3,MONTH(A84)&lt;11),(T84+R84+G84)*Summary!$T$10/(1-Summary!$T$10),(T84+R84+G84)*Summary!$U$10/(1-Summary!$U$10)))</f>
        <v>3.5572580645161299E-2</v>
      </c>
      <c r="W84" s="63">
        <f t="shared" si="52"/>
        <v>4.4465725806451619</v>
      </c>
      <c r="X84" s="63">
        <f t="shared" si="53"/>
        <v>4.4465725806451619</v>
      </c>
      <c r="Y84" s="43"/>
      <c r="Z84" s="38">
        <f t="shared" si="54"/>
        <v>0.6</v>
      </c>
      <c r="AA84" s="38">
        <f t="shared" si="55"/>
        <v>0.218</v>
      </c>
      <c r="AB84" s="38">
        <f t="shared" ca="1" si="56"/>
        <v>0.22361613996311913</v>
      </c>
      <c r="AC84" s="38">
        <f t="shared" si="57"/>
        <v>0.6</v>
      </c>
      <c r="AD84" s="38">
        <f t="shared" si="57"/>
        <v>0.218</v>
      </c>
      <c r="AE84" s="38">
        <f t="shared" ca="1" si="58"/>
        <v>0.22361613996311913</v>
      </c>
      <c r="AF84" s="237">
        <f ca="1">((Summary!$N$10*(AA84*AD84)*(A84-$D$3))+(Summary!$M$10*Z84*AC84*(AJ84-EOMONTH(EDATE(A84,-1),0))))/(AK84*AB84*AE84)</f>
        <v>0.99990491805532689</v>
      </c>
      <c r="AG84" s="88">
        <f>IF($A85="","",Summary!$Q$10)</f>
        <v>0</v>
      </c>
      <c r="AH84" s="88">
        <f>IF($A85="","",IF(Summary!$R$10="Y",(VLOOKUP($A84,Summary!$AD$6:$AF$9,3)+'Escalating commodity'!F97),'Escalating commodity'!F97))</f>
        <v>1.5820799999999999E-2</v>
      </c>
      <c r="AI84" s="88">
        <f t="shared" si="73"/>
        <v>1.5820799999999999E-2</v>
      </c>
      <c r="AJ84" s="236">
        <f t="shared" si="59"/>
        <v>39309.5</v>
      </c>
      <c r="AK84" s="58">
        <f t="shared" ca="1" si="60"/>
        <v>2269</v>
      </c>
      <c r="AL84" s="26">
        <f ca="1">IF($A85="","",_xll.SPRDOPT(P84,X84,AI84,0,AB84,AE84,AF84,AK84,$AJ$2,0))</f>
        <v>1.197799056140255E-3</v>
      </c>
      <c r="AM84" s="89">
        <f t="shared" si="61"/>
        <v>0</v>
      </c>
      <c r="AN84" s="89">
        <f t="shared" ca="1" si="62"/>
        <v>1.197799056140255E-3</v>
      </c>
      <c r="AO84" s="3">
        <f t="shared" si="63"/>
        <v>31</v>
      </c>
      <c r="AP84" s="33">
        <f t="shared" si="64"/>
        <v>39295</v>
      </c>
      <c r="AQ84" s="58">
        <f t="shared" ca="1" si="65"/>
        <v>2269</v>
      </c>
      <c r="AR84" s="38">
        <f>'ANR OK vs ML7'!AR84</f>
        <v>0.1</v>
      </c>
      <c r="AS84" s="35">
        <f t="shared" ca="1" si="66"/>
        <v>0.54542667572142789</v>
      </c>
      <c r="AT84" s="3">
        <f t="shared" si="67"/>
        <v>1</v>
      </c>
      <c r="AU84" s="3">
        <f t="shared" si="68"/>
        <v>31</v>
      </c>
      <c r="AW84" s="32">
        <f t="shared" ca="1" si="69"/>
        <v>4446.1582284492579</v>
      </c>
      <c r="AX84" s="32">
        <f t="shared" si="70"/>
        <v>0</v>
      </c>
      <c r="AY84" s="32">
        <f t="shared" ca="1" si="71"/>
        <v>4446.1582284492579</v>
      </c>
      <c r="BA84" s="32">
        <f ca="1">IF($A85="","",F84*Summary!$Q$10)</f>
        <v>0</v>
      </c>
      <c r="BC84" s="256">
        <f t="shared" ca="1" si="74"/>
        <v>0</v>
      </c>
    </row>
    <row r="85" spans="1:55">
      <c r="A85" s="67">
        <f t="shared" si="72"/>
        <v>39326</v>
      </c>
      <c r="B85" s="69">
        <f t="shared" si="75"/>
        <v>119740</v>
      </c>
      <c r="C85" s="71"/>
      <c r="D85" s="69">
        <f t="shared" si="38"/>
        <v>119740</v>
      </c>
      <c r="E85" s="70">
        <f t="shared" si="39"/>
        <v>3592200</v>
      </c>
      <c r="F85" s="70">
        <f t="shared" ca="1" si="40"/>
        <v>1943121.9982990709</v>
      </c>
      <c r="G85" s="63">
        <f t="shared" si="41"/>
        <v>4.2149999999999999</v>
      </c>
      <c r="H85" s="64">
        <f t="shared" si="42"/>
        <v>4.2149999999999999</v>
      </c>
      <c r="I85" s="43"/>
      <c r="J85" s="63">
        <f t="shared" si="43"/>
        <v>0.17</v>
      </c>
      <c r="K85" s="64">
        <f t="shared" si="44"/>
        <v>0.17</v>
      </c>
      <c r="L85" s="38">
        <v>0</v>
      </c>
      <c r="M85" s="64">
        <f t="shared" si="45"/>
        <v>0</v>
      </c>
      <c r="N85" s="65"/>
      <c r="O85" s="63">
        <f t="shared" si="46"/>
        <v>4.3849999999999998</v>
      </c>
      <c r="P85" s="63">
        <f t="shared" si="47"/>
        <v>4.3849999999999998</v>
      </c>
      <c r="Q85" s="66"/>
      <c r="R85" s="63">
        <f t="shared" si="48"/>
        <v>0.21</v>
      </c>
      <c r="S85" s="64">
        <f t="shared" si="49"/>
        <v>0.21</v>
      </c>
      <c r="T85" s="63">
        <f t="shared" si="50"/>
        <v>0</v>
      </c>
      <c r="U85" s="64">
        <f t="shared" si="51"/>
        <v>0</v>
      </c>
      <c r="V85" s="219">
        <f>IF($A86="","",IF(AND(MONTH(A85)&gt;3,MONTH(A85)&lt;11),(T85+R85+G85)*Summary!$T$10/(1-Summary!$T$10),(T85+R85+G85)*Summary!$U$10/(1-Summary!$U$10)))</f>
        <v>3.5685483870967746E-2</v>
      </c>
      <c r="W85" s="63">
        <f t="shared" si="52"/>
        <v>4.460685483870968</v>
      </c>
      <c r="X85" s="63">
        <f t="shared" si="53"/>
        <v>4.460685483870968</v>
      </c>
      <c r="Y85" s="43"/>
      <c r="Z85" s="38">
        <f t="shared" si="54"/>
        <v>0.6</v>
      </c>
      <c r="AA85" s="38">
        <f t="shared" si="55"/>
        <v>0.218</v>
      </c>
      <c r="AB85" s="38">
        <f t="shared" ca="1" si="56"/>
        <v>0.22336626579600638</v>
      </c>
      <c r="AC85" s="38">
        <f t="shared" si="57"/>
        <v>0.6</v>
      </c>
      <c r="AD85" s="38">
        <f t="shared" si="57"/>
        <v>0.218</v>
      </c>
      <c r="AE85" s="38">
        <f t="shared" ca="1" si="58"/>
        <v>0.22336626579600638</v>
      </c>
      <c r="AF85" s="237">
        <f ca="1">((Summary!$N$10*(AA85*AD85)*(A85-$D$3))+(Summary!$M$10*Z85*AC85*(AJ85-EOMONTH(EDATE(A85,-1),0))))/(AK85*AB85*AE85)</f>
        <v>0.99990470577064483</v>
      </c>
      <c r="AG85" s="88">
        <f>IF($A86="","",Summary!$Q$10)</f>
        <v>0</v>
      </c>
      <c r="AH85" s="88">
        <f>IF($A86="","",IF(Summary!$R$10="Y",(VLOOKUP($A85,Summary!$AD$6:$AF$9,3)+'Escalating commodity'!F98),'Escalating commodity'!F98))</f>
        <v>1.5820799999999999E-2</v>
      </c>
      <c r="AI85" s="88">
        <f t="shared" si="73"/>
        <v>1.5820799999999999E-2</v>
      </c>
      <c r="AJ85" s="236">
        <f t="shared" si="59"/>
        <v>39340</v>
      </c>
      <c r="AK85" s="58">
        <f t="shared" ca="1" si="60"/>
        <v>2300</v>
      </c>
      <c r="AL85" s="26">
        <f ca="1">IF($A86="","",_xll.SPRDOPT(P85,X85,AI85,0,AB85,AE85,AF85,AK85,$AJ$2,0))</f>
        <v>1.224729473443098E-3</v>
      </c>
      <c r="AM85" s="89">
        <f t="shared" si="61"/>
        <v>0</v>
      </c>
      <c r="AN85" s="89">
        <f t="shared" ca="1" si="62"/>
        <v>1.224729473443098E-3</v>
      </c>
      <c r="AO85" s="3">
        <f t="shared" si="63"/>
        <v>30</v>
      </c>
      <c r="AP85" s="33">
        <f t="shared" si="64"/>
        <v>39326</v>
      </c>
      <c r="AQ85" s="58">
        <f t="shared" ca="1" si="65"/>
        <v>2300</v>
      </c>
      <c r="AR85" s="38">
        <f>'ANR OK vs ML7'!AR85</f>
        <v>0.1</v>
      </c>
      <c r="AS85" s="35">
        <f t="shared" ca="1" si="66"/>
        <v>0.5409281215686963</v>
      </c>
      <c r="AT85" s="3">
        <f t="shared" si="67"/>
        <v>1</v>
      </c>
      <c r="AU85" s="3">
        <f t="shared" si="68"/>
        <v>30</v>
      </c>
      <c r="AW85" s="32">
        <f t="shared" ca="1" si="69"/>
        <v>4399.4732145022963</v>
      </c>
      <c r="AX85" s="32">
        <f t="shared" si="70"/>
        <v>0</v>
      </c>
      <c r="AY85" s="32">
        <f t="shared" ca="1" si="71"/>
        <v>4399.4732145022963</v>
      </c>
      <c r="BA85" s="32">
        <f ca="1">IF($A86="","",F85*Summary!$Q$10)</f>
        <v>0</v>
      </c>
      <c r="BC85" s="256">
        <f t="shared" ca="1" si="74"/>
        <v>0</v>
      </c>
    </row>
    <row r="86" spans="1:55">
      <c r="A86" s="67">
        <f t="shared" si="72"/>
        <v>39356</v>
      </c>
      <c r="B86" s="69">
        <f t="shared" si="75"/>
        <v>119740</v>
      </c>
      <c r="C86" s="71"/>
      <c r="D86" s="69">
        <f t="shared" si="38"/>
        <v>119740</v>
      </c>
      <c r="E86" s="70">
        <f t="shared" si="39"/>
        <v>3711940</v>
      </c>
      <c r="F86" s="70">
        <f t="shared" ca="1" si="40"/>
        <v>1991864.1688516538</v>
      </c>
      <c r="G86" s="63">
        <f t="shared" si="41"/>
        <v>4.2460000000000004</v>
      </c>
      <c r="H86" s="64">
        <f t="shared" si="42"/>
        <v>4.2460000000000004</v>
      </c>
      <c r="I86" s="43"/>
      <c r="J86" s="63">
        <f t="shared" si="43"/>
        <v>0.17</v>
      </c>
      <c r="K86" s="64">
        <f t="shared" si="44"/>
        <v>0.17</v>
      </c>
      <c r="L86" s="38">
        <v>0</v>
      </c>
      <c r="M86" s="64">
        <f t="shared" si="45"/>
        <v>0</v>
      </c>
      <c r="N86" s="65"/>
      <c r="O86" s="63">
        <f t="shared" si="46"/>
        <v>4.4160000000000004</v>
      </c>
      <c r="P86" s="63">
        <f t="shared" si="47"/>
        <v>4.4160000000000004</v>
      </c>
      <c r="Q86" s="66"/>
      <c r="R86" s="63">
        <f t="shared" si="48"/>
        <v>0.21</v>
      </c>
      <c r="S86" s="64">
        <f t="shared" si="49"/>
        <v>0.21</v>
      </c>
      <c r="T86" s="63">
        <f t="shared" si="50"/>
        <v>0</v>
      </c>
      <c r="U86" s="64">
        <f t="shared" si="51"/>
        <v>0</v>
      </c>
      <c r="V86" s="219">
        <f>IF($A87="","",IF(AND(MONTH(A86)&gt;3,MONTH(A86)&lt;11),(T86+R86+G86)*Summary!$T$10/(1-Summary!$T$10),(T86+R86+G86)*Summary!$U$10/(1-Summary!$U$10)))</f>
        <v>3.5935483870967747E-2</v>
      </c>
      <c r="W86" s="63">
        <f t="shared" si="52"/>
        <v>4.491935483870968</v>
      </c>
      <c r="X86" s="63">
        <f t="shared" si="53"/>
        <v>4.491935483870968</v>
      </c>
      <c r="Y86" s="43"/>
      <c r="Z86" s="38">
        <f t="shared" si="54"/>
        <v>0.65</v>
      </c>
      <c r="AA86" s="38">
        <f t="shared" si="55"/>
        <v>0.218</v>
      </c>
      <c r="AB86" s="38">
        <f t="shared" ca="1" si="56"/>
        <v>0.22439923993659197</v>
      </c>
      <c r="AC86" s="38">
        <f t="shared" si="57"/>
        <v>0.65</v>
      </c>
      <c r="AD86" s="38">
        <f t="shared" si="57"/>
        <v>0.218</v>
      </c>
      <c r="AE86" s="38">
        <f t="shared" ca="1" si="58"/>
        <v>0.22439923993659197</v>
      </c>
      <c r="AF86" s="237">
        <f ca="1">((Summary!$N$10*(AA86*AD86)*(A86-$D$3))+(Summary!$M$10*Z86*AC86*(AJ86-EOMONTH(EDATE(A86,-1),0))))/(AK86*AB86*AE86)</f>
        <v>0.99990558161307419</v>
      </c>
      <c r="AG86" s="88">
        <f>IF($A87="","",Summary!$Q$10)</f>
        <v>0</v>
      </c>
      <c r="AH86" s="88">
        <f>IF($A87="","",IF(Summary!$R$10="Y",(VLOOKUP($A86,Summary!$AD$6:$AF$9,3)+'Escalating commodity'!F99),'Escalating commodity'!F99))</f>
        <v>1.5820799999999999E-2</v>
      </c>
      <c r="AI86" s="88">
        <f t="shared" si="73"/>
        <v>1.5820799999999999E-2</v>
      </c>
      <c r="AJ86" s="236">
        <f t="shared" si="59"/>
        <v>39370.5</v>
      </c>
      <c r="AK86" s="58">
        <f t="shared" ca="1" si="60"/>
        <v>2330</v>
      </c>
      <c r="AL86" s="26">
        <f ca="1">IF($A87="","",_xll.SPRDOPT(P86,X86,AI86,0,AB86,AE86,AF86,AK86,$AJ$2,0))</f>
        <v>1.2633498312792472E-3</v>
      </c>
      <c r="AM86" s="89">
        <f t="shared" si="61"/>
        <v>0</v>
      </c>
      <c r="AN86" s="89">
        <f t="shared" ca="1" si="62"/>
        <v>1.2633498312792472E-3</v>
      </c>
      <c r="AO86" s="3">
        <f t="shared" si="63"/>
        <v>31</v>
      </c>
      <c r="AP86" s="33">
        <f t="shared" si="64"/>
        <v>39356</v>
      </c>
      <c r="AQ86" s="58">
        <f t="shared" ca="1" si="65"/>
        <v>2330</v>
      </c>
      <c r="AR86" s="38">
        <f>'ANR OK vs ML7'!AR86</f>
        <v>0.1</v>
      </c>
      <c r="AS86" s="35">
        <f t="shared" ca="1" si="66"/>
        <v>0.53661001224471672</v>
      </c>
      <c r="AT86" s="3">
        <f t="shared" si="67"/>
        <v>1</v>
      </c>
      <c r="AU86" s="3">
        <f t="shared" si="68"/>
        <v>31</v>
      </c>
      <c r="AW86" s="32">
        <f t="shared" ca="1" si="69"/>
        <v>4689.4787727186886</v>
      </c>
      <c r="AX86" s="32">
        <f t="shared" si="70"/>
        <v>0</v>
      </c>
      <c r="AY86" s="32">
        <f t="shared" ca="1" si="71"/>
        <v>4689.4787727186886</v>
      </c>
      <c r="BA86" s="32">
        <f ca="1">IF($A87="","",F86*Summary!$Q$10)</f>
        <v>0</v>
      </c>
      <c r="BC86" s="256">
        <f t="shared" ca="1" si="74"/>
        <v>0</v>
      </c>
    </row>
    <row r="87" spans="1:55">
      <c r="A87" s="67">
        <f t="shared" si="72"/>
        <v>39387</v>
      </c>
      <c r="B87" s="69">
        <f t="shared" si="75"/>
        <v>119740</v>
      </c>
      <c r="C87" s="71"/>
      <c r="D87" s="69">
        <f t="shared" si="38"/>
        <v>119740</v>
      </c>
      <c r="E87" s="70">
        <f t="shared" si="39"/>
        <v>3592200</v>
      </c>
      <c r="F87" s="70">
        <f t="shared" ca="1" si="40"/>
        <v>1911711.9967062126</v>
      </c>
      <c r="G87" s="63">
        <f t="shared" si="41"/>
        <v>4.3790000000000004</v>
      </c>
      <c r="H87" s="64">
        <f t="shared" si="42"/>
        <v>4.3790000000000004</v>
      </c>
      <c r="I87" s="43"/>
      <c r="J87" s="63">
        <f t="shared" si="43"/>
        <v>0.26500000000000001</v>
      </c>
      <c r="K87" s="64">
        <f t="shared" si="44"/>
        <v>0.26500000000000001</v>
      </c>
      <c r="L87" s="38">
        <v>0</v>
      </c>
      <c r="M87" s="64">
        <f t="shared" si="45"/>
        <v>0</v>
      </c>
      <c r="N87" s="65"/>
      <c r="O87" s="63">
        <f t="shared" si="46"/>
        <v>4.6440000000000001</v>
      </c>
      <c r="P87" s="63">
        <f t="shared" si="47"/>
        <v>4.6440000000000001</v>
      </c>
      <c r="Q87" s="66"/>
      <c r="R87" s="63">
        <f t="shared" si="48"/>
        <v>0.32500000000000001</v>
      </c>
      <c r="S87" s="64">
        <f t="shared" si="49"/>
        <v>0.32500000000000001</v>
      </c>
      <c r="T87" s="63">
        <f t="shared" si="50"/>
        <v>0</v>
      </c>
      <c r="U87" s="64">
        <f t="shared" si="51"/>
        <v>0</v>
      </c>
      <c r="V87" s="219">
        <f>IF($A88="","",IF(AND(MONTH(A87)&gt;3,MONTH(A87)&lt;11),(T87+R87+G87)*Summary!$T$10/(1-Summary!$T$10),(T87+R87+G87)*Summary!$U$10/(1-Summary!$U$10)))</f>
        <v>3.7935483870967748E-2</v>
      </c>
      <c r="W87" s="63">
        <f t="shared" si="52"/>
        <v>4.741935483870968</v>
      </c>
      <c r="X87" s="63">
        <f t="shared" si="53"/>
        <v>4.741935483870968</v>
      </c>
      <c r="Y87" s="43"/>
      <c r="Z87" s="38">
        <f t="shared" si="54"/>
        <v>0.8</v>
      </c>
      <c r="AA87" s="38">
        <f t="shared" si="55"/>
        <v>0.218</v>
      </c>
      <c r="AB87" s="38">
        <f t="shared" ca="1" si="56"/>
        <v>0.22717878962743462</v>
      </c>
      <c r="AC87" s="38">
        <f t="shared" si="57"/>
        <v>0.8</v>
      </c>
      <c r="AD87" s="38">
        <f t="shared" si="57"/>
        <v>0.218</v>
      </c>
      <c r="AE87" s="38">
        <f t="shared" ca="1" si="58"/>
        <v>0.22717878962743462</v>
      </c>
      <c r="AF87" s="237">
        <f ca="1">((Summary!$N$10*(AA87*AD87)*(A87-$D$3))+(Summary!$M$10*Z87*AC87*(AJ87-EOMONTH(EDATE(A87,-1),0))))/(AK87*AB87*AE87)</f>
        <v>0.99990787843004669</v>
      </c>
      <c r="AG87" s="88">
        <f>IF($A88="","",Summary!$Q$10)</f>
        <v>0</v>
      </c>
      <c r="AH87" s="88">
        <f>IF($A88="","",IF(Summary!$R$10="Y",(VLOOKUP($A87,Summary!$AD$6:$AF$9,3)+'Escalating commodity'!F100),'Escalating commodity'!F100))</f>
        <v>1.5820799999999999E-2</v>
      </c>
      <c r="AI87" s="88">
        <f t="shared" si="73"/>
        <v>1.5820799999999999E-2</v>
      </c>
      <c r="AJ87" s="236">
        <f t="shared" si="59"/>
        <v>39401</v>
      </c>
      <c r="AK87" s="58">
        <f t="shared" ca="1" si="60"/>
        <v>2361</v>
      </c>
      <c r="AL87" s="26">
        <f ca="1">IF($A88="","",_xll.SPRDOPT(P87,X87,AI87,0,AB87,AE87,AF87,AK87,$AJ$2,0))</f>
        <v>1.0537028664976845E-3</v>
      </c>
      <c r="AM87" s="89">
        <f t="shared" si="61"/>
        <v>0</v>
      </c>
      <c r="AN87" s="89">
        <f t="shared" ca="1" si="62"/>
        <v>1.0537028664976845E-3</v>
      </c>
      <c r="AO87" s="3">
        <f t="shared" si="63"/>
        <v>30</v>
      </c>
      <c r="AP87" s="33">
        <f t="shared" si="64"/>
        <v>39387</v>
      </c>
      <c r="AQ87" s="58">
        <f t="shared" ca="1" si="65"/>
        <v>2361</v>
      </c>
      <c r="AR87" s="38">
        <f>'ANR OK vs ML7'!AR87</f>
        <v>0.1</v>
      </c>
      <c r="AS87" s="35">
        <f t="shared" ca="1" si="66"/>
        <v>0.53218417591064326</v>
      </c>
      <c r="AT87" s="3">
        <f t="shared" si="67"/>
        <v>1</v>
      </c>
      <c r="AU87" s="3">
        <f t="shared" si="68"/>
        <v>30</v>
      </c>
      <c r="AW87" s="32">
        <f t="shared" ca="1" si="69"/>
        <v>3785.1114370329824</v>
      </c>
      <c r="AX87" s="32">
        <f t="shared" si="70"/>
        <v>0</v>
      </c>
      <c r="AY87" s="32">
        <f t="shared" ca="1" si="71"/>
        <v>3785.1114370329824</v>
      </c>
      <c r="BA87" s="32">
        <f ca="1">IF($A88="","",F87*Summary!$Q$10)</f>
        <v>0</v>
      </c>
      <c r="BC87" s="256">
        <f t="shared" ca="1" si="74"/>
        <v>0</v>
      </c>
    </row>
    <row r="88" spans="1:55">
      <c r="A88" s="67">
        <f t="shared" si="72"/>
        <v>39417</v>
      </c>
      <c r="B88" s="69">
        <f t="shared" si="75"/>
        <v>119740</v>
      </c>
      <c r="C88" s="71"/>
      <c r="D88" s="69">
        <f t="shared" si="38"/>
        <v>119740</v>
      </c>
      <c r="E88" s="70">
        <f t="shared" si="39"/>
        <v>3711940</v>
      </c>
      <c r="F88" s="70">
        <f t="shared" ca="1" si="40"/>
        <v>1959666.264257319</v>
      </c>
      <c r="G88" s="63">
        <f t="shared" si="41"/>
        <v>4.5170000000000003</v>
      </c>
      <c r="H88" s="64">
        <f t="shared" si="42"/>
        <v>4.5170000000000003</v>
      </c>
      <c r="I88" s="43"/>
      <c r="J88" s="63">
        <f t="shared" si="43"/>
        <v>0.26500000000000001</v>
      </c>
      <c r="K88" s="64">
        <f t="shared" si="44"/>
        <v>0.26500000000000001</v>
      </c>
      <c r="L88" s="38">
        <v>0</v>
      </c>
      <c r="M88" s="64">
        <f t="shared" si="45"/>
        <v>0</v>
      </c>
      <c r="N88" s="65"/>
      <c r="O88" s="63">
        <f t="shared" si="46"/>
        <v>4.782</v>
      </c>
      <c r="P88" s="63">
        <f t="shared" si="47"/>
        <v>4.782</v>
      </c>
      <c r="Q88" s="66"/>
      <c r="R88" s="63">
        <f t="shared" si="48"/>
        <v>0.32500000000000001</v>
      </c>
      <c r="S88" s="64">
        <f t="shared" si="49"/>
        <v>0.32500000000000001</v>
      </c>
      <c r="T88" s="63">
        <f t="shared" si="50"/>
        <v>0</v>
      </c>
      <c r="U88" s="64">
        <f t="shared" si="51"/>
        <v>0</v>
      </c>
      <c r="V88" s="219">
        <f>IF($A89="","",IF(AND(MONTH(A88)&gt;3,MONTH(A88)&lt;11),(T88+R88+G88)*Summary!$T$10/(1-Summary!$T$10),(T88+R88+G88)*Summary!$U$10/(1-Summary!$U$10)))</f>
        <v>3.9048387096774204E-2</v>
      </c>
      <c r="W88" s="63">
        <f t="shared" si="52"/>
        <v>4.8810483870967749</v>
      </c>
      <c r="X88" s="63">
        <f t="shared" si="53"/>
        <v>4.8810483870967749</v>
      </c>
      <c r="Y88" s="43"/>
      <c r="Z88" s="38">
        <f t="shared" si="54"/>
        <v>1.1000000000000001</v>
      </c>
      <c r="AA88" s="38">
        <f t="shared" si="55"/>
        <v>0.218</v>
      </c>
      <c r="AB88" s="38">
        <f t="shared" ca="1" si="56"/>
        <v>0.23534628641532793</v>
      </c>
      <c r="AC88" s="38">
        <f t="shared" si="57"/>
        <v>1.1000000000000001</v>
      </c>
      <c r="AD88" s="38">
        <f t="shared" si="57"/>
        <v>0.218</v>
      </c>
      <c r="AE88" s="38">
        <f t="shared" ca="1" si="58"/>
        <v>0.23534628641532793</v>
      </c>
      <c r="AF88" s="237">
        <f ca="1">((Summary!$N$10*(AA88*AD88)*(A88-$D$3))+(Summary!$M$10*Z88*AC88*(AJ88-EOMONTH(EDATE(A88,-1),0))))/(AK88*AB88*AE88)</f>
        <v>0.99991416194138838</v>
      </c>
      <c r="AG88" s="88">
        <f>IF($A89="","",Summary!$Q$10)</f>
        <v>0</v>
      </c>
      <c r="AH88" s="88">
        <f>IF($A89="","",IF(Summary!$R$10="Y",(VLOOKUP($A88,Summary!$AD$6:$AF$9,3)+'Escalating commodity'!F101),'Escalating commodity'!F101))</f>
        <v>1.5820799999999999E-2</v>
      </c>
      <c r="AI88" s="88">
        <f t="shared" si="73"/>
        <v>1.5820799999999999E-2</v>
      </c>
      <c r="AJ88" s="236">
        <f t="shared" si="59"/>
        <v>39431.5</v>
      </c>
      <c r="AK88" s="58">
        <f t="shared" ca="1" si="60"/>
        <v>2391</v>
      </c>
      <c r="AL88" s="26">
        <f ca="1">IF($A89="","",_xll.SPRDOPT(P88,X88,AI88,0,AB88,AE88,AF88,AK88,$AJ$2,0))</f>
        <v>1.1662690046916977E-3</v>
      </c>
      <c r="AM88" s="89">
        <f t="shared" si="61"/>
        <v>0</v>
      </c>
      <c r="AN88" s="89">
        <f t="shared" ca="1" si="62"/>
        <v>1.1662690046916977E-3</v>
      </c>
      <c r="AO88" s="3">
        <f t="shared" si="63"/>
        <v>31</v>
      </c>
      <c r="AP88" s="33">
        <f t="shared" si="64"/>
        <v>39417</v>
      </c>
      <c r="AQ88" s="58">
        <f t="shared" ca="1" si="65"/>
        <v>2391</v>
      </c>
      <c r="AR88" s="38">
        <f>'ANR OK vs ML7'!AR88</f>
        <v>0.1</v>
      </c>
      <c r="AS88" s="35">
        <f t="shared" ca="1" si="66"/>
        <v>0.52793586756718025</v>
      </c>
      <c r="AT88" s="3">
        <f t="shared" si="67"/>
        <v>1</v>
      </c>
      <c r="AU88" s="3">
        <f t="shared" si="68"/>
        <v>31</v>
      </c>
      <c r="AW88" s="32">
        <f t="shared" ca="1" si="69"/>
        <v>4329.1205692753001</v>
      </c>
      <c r="AX88" s="32">
        <f t="shared" si="70"/>
        <v>0</v>
      </c>
      <c r="AY88" s="32">
        <f t="shared" ca="1" si="71"/>
        <v>4329.1205692753001</v>
      </c>
      <c r="BA88" s="32">
        <f ca="1">IF($A89="","",F88*Summary!$Q$10)</f>
        <v>0</v>
      </c>
      <c r="BC88" s="256">
        <f t="shared" ca="1" si="74"/>
        <v>0</v>
      </c>
    </row>
    <row r="89" spans="1:55">
      <c r="A89" s="67">
        <f t="shared" si="72"/>
        <v>39448</v>
      </c>
      <c r="B89" s="69">
        <f t="shared" si="75"/>
        <v>119740</v>
      </c>
      <c r="C89" s="71"/>
      <c r="D89" s="69">
        <f t="shared" si="38"/>
        <v>119740</v>
      </c>
      <c r="E89" s="70">
        <f t="shared" si="39"/>
        <v>3711940</v>
      </c>
      <c r="F89" s="70">
        <f t="shared" ca="1" si="40"/>
        <v>1943503.386269398</v>
      </c>
      <c r="G89" s="63">
        <f t="shared" si="41"/>
        <v>4.5339999999999998</v>
      </c>
      <c r="H89" s="64">
        <f t="shared" si="42"/>
        <v>4.5339999999999998</v>
      </c>
      <c r="I89" s="43"/>
      <c r="J89" s="63">
        <f t="shared" si="43"/>
        <v>0.26500000000000001</v>
      </c>
      <c r="K89" s="64">
        <f t="shared" si="44"/>
        <v>0.26500000000000001</v>
      </c>
      <c r="L89" s="38">
        <v>0</v>
      </c>
      <c r="M89" s="64">
        <f t="shared" si="45"/>
        <v>0</v>
      </c>
      <c r="N89" s="65"/>
      <c r="O89" s="63">
        <f t="shared" si="46"/>
        <v>4.7989999999999995</v>
      </c>
      <c r="P89" s="63">
        <f t="shared" si="47"/>
        <v>4.7989999999999995</v>
      </c>
      <c r="Q89" s="66"/>
      <c r="R89" s="63">
        <f t="shared" si="48"/>
        <v>0.32500000000000001</v>
      </c>
      <c r="S89" s="64">
        <f t="shared" si="49"/>
        <v>0.32500000000000001</v>
      </c>
      <c r="T89" s="63">
        <f t="shared" si="50"/>
        <v>0</v>
      </c>
      <c r="U89" s="64">
        <f t="shared" si="51"/>
        <v>0</v>
      </c>
      <c r="V89" s="219">
        <f>IF($A90="","",IF(AND(MONTH(A89)&gt;3,MONTH(A89)&lt;11),(T89+R89+G89)*Summary!$T$10/(1-Summary!$T$10),(T89+R89+G89)*Summary!$U$10/(1-Summary!$U$10)))</f>
        <v>3.9185483870967749E-2</v>
      </c>
      <c r="W89" s="63">
        <f t="shared" si="52"/>
        <v>4.898185483870968</v>
      </c>
      <c r="X89" s="63">
        <f t="shared" si="53"/>
        <v>4.898185483870968</v>
      </c>
      <c r="Y89" s="43"/>
      <c r="Z89" s="38">
        <f t="shared" si="54"/>
        <v>1.1000000000000001</v>
      </c>
      <c r="AA89" s="38">
        <f t="shared" si="55"/>
        <v>0.218</v>
      </c>
      <c r="AB89" s="38">
        <f t="shared" ca="1" si="56"/>
        <v>0.2351323502423065</v>
      </c>
      <c r="AC89" s="38">
        <f t="shared" si="57"/>
        <v>1.1000000000000001</v>
      </c>
      <c r="AD89" s="38">
        <f t="shared" si="57"/>
        <v>0.218</v>
      </c>
      <c r="AE89" s="38">
        <f t="shared" ca="1" si="58"/>
        <v>0.2351323502423065</v>
      </c>
      <c r="AF89" s="237">
        <f ca="1">((Summary!$N$10*(AA89*AD89)*(A89-$D$3))+(Summary!$M$10*Z89*AC89*(AJ89-EOMONTH(EDATE(A89,-1),0))))/(AK89*AB89*AE89)</f>
        <v>0.99991400613022663</v>
      </c>
      <c r="AG89" s="88">
        <f>IF($A90="","",Summary!$Q$10)</f>
        <v>0</v>
      </c>
      <c r="AH89" s="88">
        <f>IF($A90="","",IF(Summary!$R$10="Y",(VLOOKUP($A89,Summary!$AD$6:$AF$9,3)+'Escalating commodity'!F102),'Escalating commodity'!F102))</f>
        <v>1.5820799999999999E-2</v>
      </c>
      <c r="AI89" s="88">
        <f t="shared" si="73"/>
        <v>1.5820799999999999E-2</v>
      </c>
      <c r="AJ89" s="236">
        <f t="shared" si="59"/>
        <v>39462.5</v>
      </c>
      <c r="AK89" s="58">
        <f t="shared" ca="1" si="60"/>
        <v>2422</v>
      </c>
      <c r="AL89" s="26">
        <f ca="1">IF($A90="","",_xll.SPRDOPT(P89,X89,AI89,0,AB89,AE89,AF89,AK89,$AJ$2,0))</f>
        <v>1.1938322607679217E-3</v>
      </c>
      <c r="AM89" s="89">
        <f t="shared" si="61"/>
        <v>0</v>
      </c>
      <c r="AN89" s="89">
        <f t="shared" ca="1" si="62"/>
        <v>1.1938322607679217E-3</v>
      </c>
      <c r="AO89" s="3">
        <f t="shared" si="63"/>
        <v>31</v>
      </c>
      <c r="AP89" s="33">
        <f t="shared" si="64"/>
        <v>39448</v>
      </c>
      <c r="AQ89" s="58">
        <f t="shared" ca="1" si="65"/>
        <v>2422</v>
      </c>
      <c r="AR89" s="38">
        <f>'ANR OK vs ML7'!AR89</f>
        <v>0.1</v>
      </c>
      <c r="AS89" s="35">
        <f t="shared" ca="1" si="66"/>
        <v>0.52358157358938939</v>
      </c>
      <c r="AT89" s="3">
        <f t="shared" si="67"/>
        <v>1</v>
      </c>
      <c r="AU89" s="3">
        <f t="shared" si="68"/>
        <v>31</v>
      </c>
      <c r="AW89" s="32">
        <f t="shared" ca="1" si="69"/>
        <v>4431.4337220348798</v>
      </c>
      <c r="AX89" s="32">
        <f t="shared" si="70"/>
        <v>0</v>
      </c>
      <c r="AY89" s="32">
        <f t="shared" ca="1" si="71"/>
        <v>4431.4337220348798</v>
      </c>
      <c r="BA89" s="32">
        <f ca="1">IF($A90="","",F89*Summary!$Q$10)</f>
        <v>0</v>
      </c>
      <c r="BC89" s="256">
        <f t="shared" ca="1" si="74"/>
        <v>0</v>
      </c>
    </row>
    <row r="90" spans="1:55">
      <c r="A90" s="67">
        <f t="shared" si="72"/>
        <v>39479</v>
      </c>
      <c r="B90" s="69">
        <f t="shared" si="75"/>
        <v>119740</v>
      </c>
      <c r="C90" s="71"/>
      <c r="D90" s="69">
        <f t="shared" si="38"/>
        <v>119740</v>
      </c>
      <c r="E90" s="70">
        <f t="shared" si="39"/>
        <v>3472460</v>
      </c>
      <c r="F90" s="70">
        <f t="shared" ca="1" si="40"/>
        <v>1803120.6665740092</v>
      </c>
      <c r="G90" s="63">
        <f t="shared" si="41"/>
        <v>4.4140000000000006</v>
      </c>
      <c r="H90" s="64">
        <f t="shared" si="42"/>
        <v>4.4140000000000006</v>
      </c>
      <c r="I90" s="43"/>
      <c r="J90" s="63">
        <f t="shared" si="43"/>
        <v>0.26500000000000001</v>
      </c>
      <c r="K90" s="64">
        <f t="shared" si="44"/>
        <v>0.26500000000000001</v>
      </c>
      <c r="L90" s="38">
        <v>0</v>
      </c>
      <c r="M90" s="64">
        <f t="shared" si="45"/>
        <v>0</v>
      </c>
      <c r="N90" s="65"/>
      <c r="O90" s="63">
        <f t="shared" si="46"/>
        <v>4.6790000000000003</v>
      </c>
      <c r="P90" s="63">
        <f t="shared" si="47"/>
        <v>4.6790000000000003</v>
      </c>
      <c r="Q90" s="66"/>
      <c r="R90" s="63">
        <f t="shared" si="48"/>
        <v>0.32500000000000001</v>
      </c>
      <c r="S90" s="64">
        <f t="shared" si="49"/>
        <v>0.32500000000000001</v>
      </c>
      <c r="T90" s="63">
        <f t="shared" si="50"/>
        <v>0</v>
      </c>
      <c r="U90" s="64">
        <f t="shared" si="51"/>
        <v>0</v>
      </c>
      <c r="V90" s="219">
        <f>IF($A91="","",IF(AND(MONTH(A90)&gt;3,MONTH(A90)&lt;11),(T90+R90+G90)*Summary!$T$10/(1-Summary!$T$10),(T90+R90+G90)*Summary!$U$10/(1-Summary!$U$10)))</f>
        <v>3.8217741935483877E-2</v>
      </c>
      <c r="W90" s="63">
        <f t="shared" si="52"/>
        <v>4.7772177419354849</v>
      </c>
      <c r="X90" s="63">
        <f t="shared" si="53"/>
        <v>4.7772177419354849</v>
      </c>
      <c r="Y90" s="43"/>
      <c r="Z90" s="38">
        <f t="shared" si="54"/>
        <v>1.1000000000000001</v>
      </c>
      <c r="AA90" s="38">
        <f t="shared" si="55"/>
        <v>0.218</v>
      </c>
      <c r="AB90" s="38">
        <f t="shared" ca="1" si="56"/>
        <v>0.23387141808198528</v>
      </c>
      <c r="AC90" s="38">
        <f t="shared" si="57"/>
        <v>1.1000000000000001</v>
      </c>
      <c r="AD90" s="38">
        <f t="shared" si="57"/>
        <v>0.218</v>
      </c>
      <c r="AE90" s="38">
        <f t="shared" ca="1" si="58"/>
        <v>0.23387141808198528</v>
      </c>
      <c r="AF90" s="237">
        <f ca="1">((Summary!$N$10*(AA90*AD90)*(A90-$D$3))+(Summary!$M$10*Z90*AC90*(AJ90-EOMONTH(EDATE(A90,-1),0))))/(AK90*AB90*AE90)</f>
        <v>0.99991307680134756</v>
      </c>
      <c r="AG90" s="88">
        <f>IF($A91="","",Summary!$Q$10)</f>
        <v>0</v>
      </c>
      <c r="AH90" s="88">
        <f>IF($A91="","",IF(Summary!$R$10="Y",(VLOOKUP($A90,Summary!$AD$6:$AF$9,3)+'Escalating commodity'!F103),'Escalating commodity'!F103))</f>
        <v>1.5820799999999999E-2</v>
      </c>
      <c r="AI90" s="88">
        <f t="shared" si="73"/>
        <v>1.5820799999999999E-2</v>
      </c>
      <c r="AJ90" s="236">
        <f t="shared" si="59"/>
        <v>39492.5</v>
      </c>
      <c r="AK90" s="58">
        <f t="shared" ca="1" si="60"/>
        <v>2453</v>
      </c>
      <c r="AL90" s="26">
        <f ca="1">IF($A91="","",_xll.SPRDOPT(P90,X90,AI90,0,AB90,AE90,AF90,AK90,$AJ$2,0))</f>
        <v>1.1490555908943226E-3</v>
      </c>
      <c r="AM90" s="89">
        <f t="shared" si="61"/>
        <v>0</v>
      </c>
      <c r="AN90" s="89">
        <f t="shared" ca="1" si="62"/>
        <v>1.1490555908943226E-3</v>
      </c>
      <c r="AO90" s="3">
        <f t="shared" si="63"/>
        <v>29</v>
      </c>
      <c r="AP90" s="33">
        <f t="shared" si="64"/>
        <v>39479</v>
      </c>
      <c r="AQ90" s="58">
        <f t="shared" ca="1" si="65"/>
        <v>2453</v>
      </c>
      <c r="AR90" s="38">
        <f>'ANR OK vs ML7'!AR90</f>
        <v>0.1</v>
      </c>
      <c r="AS90" s="35">
        <f t="shared" ca="1" si="66"/>
        <v>0.51926319282986966</v>
      </c>
      <c r="AT90" s="3">
        <f t="shared" si="67"/>
        <v>1</v>
      </c>
      <c r="AU90" s="3">
        <f t="shared" si="68"/>
        <v>29</v>
      </c>
      <c r="AW90" s="32">
        <f t="shared" ca="1" si="69"/>
        <v>3990.0495771568994</v>
      </c>
      <c r="AX90" s="32">
        <f t="shared" si="70"/>
        <v>0</v>
      </c>
      <c r="AY90" s="32">
        <f t="shared" ca="1" si="71"/>
        <v>3990.0495771568994</v>
      </c>
      <c r="BA90" s="32">
        <f ca="1">IF($A91="","",F90*Summary!$Q$10)</f>
        <v>0</v>
      </c>
      <c r="BC90" s="256">
        <f t="shared" ca="1" si="74"/>
        <v>0</v>
      </c>
    </row>
    <row r="91" spans="1:55">
      <c r="A91" s="67">
        <f t="shared" si="72"/>
        <v>39508</v>
      </c>
      <c r="B91" s="69">
        <f t="shared" si="75"/>
        <v>119740</v>
      </c>
      <c r="C91" s="71"/>
      <c r="D91" s="69">
        <f t="shared" si="38"/>
        <v>119740</v>
      </c>
      <c r="E91" s="70">
        <f t="shared" si="39"/>
        <v>3711940</v>
      </c>
      <c r="F91" s="70">
        <f t="shared" ca="1" si="40"/>
        <v>1912598.121840175</v>
      </c>
      <c r="G91" s="63">
        <f t="shared" si="41"/>
        <v>4.2750000000000004</v>
      </c>
      <c r="H91" s="64">
        <f t="shared" si="42"/>
        <v>4.2750000000000004</v>
      </c>
      <c r="I91" s="43"/>
      <c r="J91" s="63">
        <f t="shared" si="43"/>
        <v>0.26500000000000001</v>
      </c>
      <c r="K91" s="64">
        <f t="shared" si="44"/>
        <v>0.26500000000000001</v>
      </c>
      <c r="L91" s="38">
        <v>0</v>
      </c>
      <c r="M91" s="64">
        <f t="shared" si="45"/>
        <v>0</v>
      </c>
      <c r="N91" s="65"/>
      <c r="O91" s="63">
        <f t="shared" si="46"/>
        <v>4.54</v>
      </c>
      <c r="P91" s="63">
        <f t="shared" si="47"/>
        <v>4.54</v>
      </c>
      <c r="Q91" s="66"/>
      <c r="R91" s="63">
        <f t="shared" si="48"/>
        <v>0.32500000000000001</v>
      </c>
      <c r="S91" s="64">
        <f t="shared" si="49"/>
        <v>0.32500000000000001</v>
      </c>
      <c r="T91" s="63">
        <f t="shared" si="50"/>
        <v>0</v>
      </c>
      <c r="U91" s="64">
        <f t="shared" si="51"/>
        <v>0</v>
      </c>
      <c r="V91" s="219">
        <f>IF($A92="","",IF(AND(MONTH(A91)&gt;3,MONTH(A91)&lt;11),(T91+R91+G91)*Summary!$T$10/(1-Summary!$T$10),(T91+R91+G91)*Summary!$U$10/(1-Summary!$U$10)))</f>
        <v>3.7096774193548392E-2</v>
      </c>
      <c r="W91" s="63">
        <f t="shared" si="52"/>
        <v>4.6370967741935489</v>
      </c>
      <c r="X91" s="63">
        <f t="shared" si="53"/>
        <v>4.6370967741935489</v>
      </c>
      <c r="Y91" s="43"/>
      <c r="Z91" s="38">
        <f t="shared" si="54"/>
        <v>0.75</v>
      </c>
      <c r="AA91" s="38">
        <f t="shared" si="55"/>
        <v>0.20499999999999999</v>
      </c>
      <c r="AB91" s="38">
        <f t="shared" ca="1" si="56"/>
        <v>0.21343552659501844</v>
      </c>
      <c r="AC91" s="38">
        <f t="shared" si="57"/>
        <v>0.75</v>
      </c>
      <c r="AD91" s="38">
        <f t="shared" si="57"/>
        <v>0.20499999999999999</v>
      </c>
      <c r="AE91" s="38">
        <f t="shared" ca="1" si="58"/>
        <v>0.21343552659501844</v>
      </c>
      <c r="AF91" s="237">
        <f ca="1">((Summary!$N$10*(AA91*AD91)*(A91-$D$3))+(Summary!$M$10*Z91*AC91*(AJ91-EOMONTH(EDATE(A91,-1),0))))/(AK91*AB91*AE91)</f>
        <v>0.99990771114781007</v>
      </c>
      <c r="AG91" s="88">
        <f>IF($A92="","",Summary!$Q$10)</f>
        <v>0</v>
      </c>
      <c r="AH91" s="88">
        <f>IF($A92="","",IF(Summary!$R$10="Y",(VLOOKUP($A91,Summary!$AD$6:$AF$9,3)+'Escalating commodity'!F104),'Escalating commodity'!F104))</f>
        <v>1.5820799999999999E-2</v>
      </c>
      <c r="AI91" s="88">
        <f t="shared" si="73"/>
        <v>1.5820799999999999E-2</v>
      </c>
      <c r="AJ91" s="236">
        <f t="shared" si="59"/>
        <v>39522.5</v>
      </c>
      <c r="AK91" s="58">
        <f t="shared" ca="1" si="60"/>
        <v>2482</v>
      </c>
      <c r="AL91" s="26">
        <f ca="1">IF($A92="","",_xll.SPRDOPT(P91,X91,AI91,0,AB91,AE91,AF91,AK91,$AJ$2,0))</f>
        <v>9.0473016932920633E-4</v>
      </c>
      <c r="AM91" s="89">
        <f t="shared" si="61"/>
        <v>0</v>
      </c>
      <c r="AN91" s="89">
        <f t="shared" ca="1" si="62"/>
        <v>9.0473016932920633E-4</v>
      </c>
      <c r="AO91" s="3">
        <f t="shared" si="63"/>
        <v>31</v>
      </c>
      <c r="AP91" s="33">
        <f t="shared" si="64"/>
        <v>39508</v>
      </c>
      <c r="AQ91" s="58">
        <f t="shared" ca="1" si="65"/>
        <v>2482</v>
      </c>
      <c r="AR91" s="38">
        <f>'ANR OK vs ML7'!AR91</f>
        <v>0.1</v>
      </c>
      <c r="AS91" s="35">
        <f t="shared" ca="1" si="66"/>
        <v>0.51525566734380812</v>
      </c>
      <c r="AT91" s="3">
        <f t="shared" si="67"/>
        <v>1</v>
      </c>
      <c r="AU91" s="3">
        <f t="shared" si="68"/>
        <v>31</v>
      </c>
      <c r="AW91" s="32">
        <f t="shared" ca="1" si="69"/>
        <v>3358.3041047398542</v>
      </c>
      <c r="AX91" s="32">
        <f t="shared" si="70"/>
        <v>0</v>
      </c>
      <c r="AY91" s="32">
        <f t="shared" ca="1" si="71"/>
        <v>3358.3041047398542</v>
      </c>
      <c r="BA91" s="32">
        <f ca="1">IF($A92="","",F91*Summary!$Q$10)</f>
        <v>0</v>
      </c>
      <c r="BC91" s="256">
        <f t="shared" ca="1" si="74"/>
        <v>0</v>
      </c>
    </row>
    <row r="92" spans="1:55">
      <c r="A92" s="67">
        <f t="shared" si="72"/>
        <v>39539</v>
      </c>
      <c r="B92" s="69">
        <f t="shared" si="75"/>
        <v>119740</v>
      </c>
      <c r="C92" s="71"/>
      <c r="D92" s="69">
        <f t="shared" si="38"/>
        <v>119740</v>
      </c>
      <c r="E92" s="70">
        <f t="shared" si="39"/>
        <v>3592200</v>
      </c>
      <c r="F92" s="70">
        <f t="shared" ca="1" si="40"/>
        <v>1835635.5978367638</v>
      </c>
      <c r="G92" s="63">
        <f t="shared" si="41"/>
        <v>4.0999999999999996</v>
      </c>
      <c r="H92" s="64">
        <f t="shared" si="42"/>
        <v>4.0999999999999996</v>
      </c>
      <c r="I92" s="43"/>
      <c r="J92" s="63">
        <f t="shared" si="43"/>
        <v>0.17</v>
      </c>
      <c r="K92" s="64">
        <f t="shared" si="44"/>
        <v>0.17</v>
      </c>
      <c r="L92" s="38">
        <v>0</v>
      </c>
      <c r="M92" s="64">
        <f t="shared" si="45"/>
        <v>0</v>
      </c>
      <c r="N92" s="65"/>
      <c r="O92" s="63">
        <f t="shared" si="46"/>
        <v>4.2699999999999996</v>
      </c>
      <c r="P92" s="63">
        <f t="shared" si="47"/>
        <v>4.2699999999999996</v>
      </c>
      <c r="Q92" s="66"/>
      <c r="R92" s="63">
        <f t="shared" si="48"/>
        <v>0.21</v>
      </c>
      <c r="S92" s="64">
        <f t="shared" si="49"/>
        <v>0.21</v>
      </c>
      <c r="T92" s="63">
        <f t="shared" si="50"/>
        <v>0</v>
      </c>
      <c r="U92" s="64">
        <f t="shared" si="51"/>
        <v>0</v>
      </c>
      <c r="V92" s="219">
        <f>IF($A93="","",IF(AND(MONTH(A92)&gt;3,MONTH(A92)&lt;11),(T92+R92+G92)*Summary!$T$10/(1-Summary!$T$10),(T92+R92+G92)*Summary!$U$10/(1-Summary!$U$10)))</f>
        <v>3.4758064516129027E-2</v>
      </c>
      <c r="W92" s="63">
        <f t="shared" si="52"/>
        <v>4.344758064516129</v>
      </c>
      <c r="X92" s="63">
        <f t="shared" si="53"/>
        <v>4.344758064516129</v>
      </c>
      <c r="Y92" s="43"/>
      <c r="Z92" s="38">
        <f t="shared" si="54"/>
        <v>0.45</v>
      </c>
      <c r="AA92" s="38">
        <f t="shared" si="55"/>
        <v>0.20499999999999999</v>
      </c>
      <c r="AB92" s="38">
        <f t="shared" ca="1" si="56"/>
        <v>0.20796739581923904</v>
      </c>
      <c r="AC92" s="38">
        <f t="shared" si="57"/>
        <v>0.45</v>
      </c>
      <c r="AD92" s="38">
        <f t="shared" si="57"/>
        <v>0.20499999999999999</v>
      </c>
      <c r="AE92" s="38">
        <f t="shared" ca="1" si="58"/>
        <v>0.20796739581923904</v>
      </c>
      <c r="AF92" s="237">
        <f ca="1">((Summary!$N$10*(AA92*AD92)*(A92-$D$3))+(Summary!$M$10*Z92*AC92*(AJ92-EOMONTH(EDATE(A92,-1),0))))/(AK92*AB92*AE92)</f>
        <v>0.99990279468774712</v>
      </c>
      <c r="AG92" s="88">
        <f>IF($A93="","",Summary!$Q$10)</f>
        <v>0</v>
      </c>
      <c r="AH92" s="88">
        <f>IF($A93="","",IF(Summary!$R$10="Y",(VLOOKUP($A92,Summary!$AD$6:$AF$9,3)+'Escalating commodity'!F105),'Escalating commodity'!F105))</f>
        <v>1.5820799999999999E-2</v>
      </c>
      <c r="AI92" s="88">
        <f t="shared" si="73"/>
        <v>1.5820799999999999E-2</v>
      </c>
      <c r="AJ92" s="236">
        <f t="shared" si="59"/>
        <v>39553</v>
      </c>
      <c r="AK92" s="58">
        <f t="shared" ca="1" si="60"/>
        <v>2513</v>
      </c>
      <c r="AL92" s="26">
        <f ca="1">IF($A93="","",_xll.SPRDOPT(P92,X92,AI92,0,AB92,AE92,AF92,AK92,$AJ$2,0))</f>
        <v>1.1096216307748472E-3</v>
      </c>
      <c r="AM92" s="89">
        <f t="shared" si="61"/>
        <v>0</v>
      </c>
      <c r="AN92" s="89">
        <f t="shared" ca="1" si="62"/>
        <v>1.1096216307748472E-3</v>
      </c>
      <c r="AO92" s="3">
        <f t="shared" si="63"/>
        <v>30</v>
      </c>
      <c r="AP92" s="33">
        <f t="shared" si="64"/>
        <v>39539</v>
      </c>
      <c r="AQ92" s="58">
        <f t="shared" ca="1" si="65"/>
        <v>2513</v>
      </c>
      <c r="AR92" s="38">
        <f>'ANR OK vs ML7'!AR92</f>
        <v>0.1</v>
      </c>
      <c r="AS92" s="35">
        <f t="shared" ca="1" si="66"/>
        <v>0.51100595674983684</v>
      </c>
      <c r="AT92" s="3">
        <f t="shared" si="67"/>
        <v>1</v>
      </c>
      <c r="AU92" s="3">
        <f t="shared" si="68"/>
        <v>30</v>
      </c>
      <c r="AW92" s="32">
        <f t="shared" ca="1" si="69"/>
        <v>3985.9828220694058</v>
      </c>
      <c r="AX92" s="32">
        <f t="shared" si="70"/>
        <v>0</v>
      </c>
      <c r="AY92" s="32">
        <f t="shared" ca="1" si="71"/>
        <v>3985.9828220694058</v>
      </c>
      <c r="BA92" s="32">
        <f ca="1">IF($A93="","",F92*Summary!$Q$10)</f>
        <v>0</v>
      </c>
      <c r="BC92" s="256">
        <f t="shared" ca="1" si="74"/>
        <v>0</v>
      </c>
    </row>
    <row r="93" spans="1:55">
      <c r="A93" s="67">
        <f t="shared" si="72"/>
        <v>39569</v>
      </c>
      <c r="B93" s="69">
        <f t="shared" si="75"/>
        <v>119740</v>
      </c>
      <c r="C93" s="71"/>
      <c r="D93" s="69">
        <f t="shared" si="38"/>
        <v>119740</v>
      </c>
      <c r="E93" s="70">
        <f t="shared" si="39"/>
        <v>3711940</v>
      </c>
      <c r="F93" s="70">
        <f t="shared" ca="1" si="40"/>
        <v>1881681.5298268665</v>
      </c>
      <c r="G93" s="63">
        <f t="shared" si="41"/>
        <v>4.07</v>
      </c>
      <c r="H93" s="64">
        <f t="shared" si="42"/>
        <v>4.07</v>
      </c>
      <c r="I93" s="43"/>
      <c r="J93" s="63">
        <f t="shared" si="43"/>
        <v>0.17</v>
      </c>
      <c r="K93" s="64">
        <f t="shared" si="44"/>
        <v>0.17</v>
      </c>
      <c r="L93" s="38">
        <v>0</v>
      </c>
      <c r="M93" s="64">
        <f t="shared" si="45"/>
        <v>0</v>
      </c>
      <c r="N93" s="65"/>
      <c r="O93" s="63">
        <f t="shared" si="46"/>
        <v>4.24</v>
      </c>
      <c r="P93" s="63">
        <f t="shared" si="47"/>
        <v>4.24</v>
      </c>
      <c r="Q93" s="66"/>
      <c r="R93" s="63">
        <f t="shared" si="48"/>
        <v>0.21</v>
      </c>
      <c r="S93" s="64">
        <f t="shared" si="49"/>
        <v>0.21</v>
      </c>
      <c r="T93" s="63">
        <f t="shared" si="50"/>
        <v>0</v>
      </c>
      <c r="U93" s="64">
        <f t="shared" si="51"/>
        <v>0</v>
      </c>
      <c r="V93" s="219">
        <f>IF($A94="","",IF(AND(MONTH(A93)&gt;3,MONTH(A93)&lt;11),(T93+R93+G93)*Summary!$T$10/(1-Summary!$T$10),(T93+R93+G93)*Summary!$U$10/(1-Summary!$U$10)))</f>
        <v>3.4516129032258064E-2</v>
      </c>
      <c r="W93" s="63">
        <f t="shared" si="52"/>
        <v>4.314516129032258</v>
      </c>
      <c r="X93" s="63">
        <f t="shared" si="53"/>
        <v>4.314516129032258</v>
      </c>
      <c r="Y93" s="43"/>
      <c r="Z93" s="38">
        <f t="shared" si="54"/>
        <v>0.5</v>
      </c>
      <c r="AA93" s="38">
        <f t="shared" si="55"/>
        <v>0.20499999999999999</v>
      </c>
      <c r="AB93" s="38">
        <f t="shared" ca="1" si="56"/>
        <v>0.20872306186727355</v>
      </c>
      <c r="AC93" s="38">
        <f t="shared" si="57"/>
        <v>0.5</v>
      </c>
      <c r="AD93" s="38">
        <f t="shared" si="57"/>
        <v>0.20499999999999999</v>
      </c>
      <c r="AE93" s="38">
        <f t="shared" ca="1" si="58"/>
        <v>0.20872306186727355</v>
      </c>
      <c r="AF93" s="237">
        <f ca="1">((Summary!$N$10*(AA93*AD93)*(A93-$D$3))+(Summary!$M$10*Z93*AC93*(AJ93-EOMONTH(EDATE(A93,-1),0))))/(AK93*AB93*AE93)</f>
        <v>0.99990349771542764</v>
      </c>
      <c r="AG93" s="88">
        <f>IF($A94="","",Summary!$Q$10)</f>
        <v>0</v>
      </c>
      <c r="AH93" s="88">
        <f>IF($A94="","",IF(Summary!$R$10="Y",(VLOOKUP($A93,Summary!$AD$6:$AF$9,3)+'Escalating commodity'!F106),'Escalating commodity'!F106))</f>
        <v>1.5820799999999999E-2</v>
      </c>
      <c r="AI93" s="88">
        <f t="shared" si="73"/>
        <v>1.5820799999999999E-2</v>
      </c>
      <c r="AJ93" s="236">
        <f t="shared" si="59"/>
        <v>39583.5</v>
      </c>
      <c r="AK93" s="58">
        <f t="shared" ca="1" si="60"/>
        <v>2543</v>
      </c>
      <c r="AL93" s="26">
        <f ca="1">IF($A94="","",_xll.SPRDOPT(P93,X93,AI93,0,AB93,AE93,AF93,AK93,$AJ$2,0))</f>
        <v>1.113500910822034E-3</v>
      </c>
      <c r="AM93" s="89">
        <f t="shared" si="61"/>
        <v>0</v>
      </c>
      <c r="AN93" s="89">
        <f t="shared" ca="1" si="62"/>
        <v>1.113500910822034E-3</v>
      </c>
      <c r="AO93" s="3">
        <f t="shared" si="63"/>
        <v>31</v>
      </c>
      <c r="AP93" s="33">
        <f t="shared" si="64"/>
        <v>39569</v>
      </c>
      <c r="AQ93" s="58">
        <f t="shared" ca="1" si="65"/>
        <v>2543</v>
      </c>
      <c r="AR93" s="38">
        <f>'ANR OK vs ML7'!AR93</f>
        <v>0.1</v>
      </c>
      <c r="AS93" s="35">
        <f t="shared" ca="1" si="66"/>
        <v>0.5069267094368084</v>
      </c>
      <c r="AT93" s="3">
        <f t="shared" si="67"/>
        <v>1</v>
      </c>
      <c r="AU93" s="3">
        <f t="shared" si="68"/>
        <v>31</v>
      </c>
      <c r="AW93" s="32">
        <f t="shared" ca="1" si="69"/>
        <v>4133.2485709167413</v>
      </c>
      <c r="AX93" s="32">
        <f t="shared" si="70"/>
        <v>0</v>
      </c>
      <c r="AY93" s="32">
        <f t="shared" ca="1" si="71"/>
        <v>4133.2485709167413</v>
      </c>
      <c r="BA93" s="32">
        <f ca="1">IF($A94="","",F93*Summary!$Q$10)</f>
        <v>0</v>
      </c>
      <c r="BC93" s="256">
        <f t="shared" ca="1" si="74"/>
        <v>0</v>
      </c>
    </row>
    <row r="94" spans="1:55">
      <c r="A94" s="67">
        <f t="shared" si="72"/>
        <v>39600</v>
      </c>
      <c r="B94" s="69">
        <f t="shared" si="75"/>
        <v>119740</v>
      </c>
      <c r="C94" s="71"/>
      <c r="D94" s="69">
        <f t="shared" si="38"/>
        <v>119740</v>
      </c>
      <c r="E94" s="70">
        <f t="shared" si="39"/>
        <v>3592200</v>
      </c>
      <c r="F94" s="70">
        <f t="shared" ca="1" si="40"/>
        <v>1805963.0826254541</v>
      </c>
      <c r="G94" s="63">
        <f t="shared" si="41"/>
        <v>4.1399999999999997</v>
      </c>
      <c r="H94" s="64">
        <f t="shared" si="42"/>
        <v>4.1399999999999997</v>
      </c>
      <c r="I94" s="43"/>
      <c r="J94" s="63">
        <f t="shared" si="43"/>
        <v>0.17</v>
      </c>
      <c r="K94" s="64">
        <f t="shared" si="44"/>
        <v>0.17</v>
      </c>
      <c r="L94" s="38">
        <v>0</v>
      </c>
      <c r="M94" s="64">
        <f t="shared" si="45"/>
        <v>0</v>
      </c>
      <c r="N94" s="65"/>
      <c r="O94" s="63">
        <f t="shared" si="46"/>
        <v>4.3099999999999996</v>
      </c>
      <c r="P94" s="63">
        <f t="shared" si="47"/>
        <v>4.3099999999999996</v>
      </c>
      <c r="Q94" s="66"/>
      <c r="R94" s="63">
        <f t="shared" si="48"/>
        <v>0.21</v>
      </c>
      <c r="S94" s="64">
        <f t="shared" si="49"/>
        <v>0.21</v>
      </c>
      <c r="T94" s="63">
        <f t="shared" si="50"/>
        <v>0</v>
      </c>
      <c r="U94" s="64">
        <f t="shared" si="51"/>
        <v>0</v>
      </c>
      <c r="V94" s="219">
        <f>IF($A95="","",IF(AND(MONTH(A94)&gt;3,MONTH(A94)&lt;11),(T94+R94+G94)*Summary!$T$10/(1-Summary!$T$10),(T94+R94+G94)*Summary!$U$10/(1-Summary!$U$10)))</f>
        <v>3.5080645161290322E-2</v>
      </c>
      <c r="W94" s="63">
        <f t="shared" si="52"/>
        <v>4.38508064516129</v>
      </c>
      <c r="X94" s="63">
        <f t="shared" si="53"/>
        <v>4.38508064516129</v>
      </c>
      <c r="Y94" s="43"/>
      <c r="Z94" s="38">
        <f t="shared" si="54"/>
        <v>0.5</v>
      </c>
      <c r="AA94" s="38">
        <f t="shared" si="55"/>
        <v>0.20499999999999999</v>
      </c>
      <c r="AB94" s="38">
        <f t="shared" ca="1" si="56"/>
        <v>0.2085622285690848</v>
      </c>
      <c r="AC94" s="38">
        <f t="shared" si="57"/>
        <v>0.5</v>
      </c>
      <c r="AD94" s="38">
        <f t="shared" si="57"/>
        <v>0.20499999999999999</v>
      </c>
      <c r="AE94" s="38">
        <f t="shared" ca="1" si="58"/>
        <v>0.2085622285690848</v>
      </c>
      <c r="AF94" s="237">
        <f ca="1">((Summary!$N$10*(AA94*AD94)*(A94-$D$3))+(Summary!$M$10*Z94*AC94*(AJ94-EOMONTH(EDATE(A94,-1),0))))/(AK94*AB94*AE94)</f>
        <v>0.99990334927962587</v>
      </c>
      <c r="AG94" s="88">
        <f>IF($A95="","",Summary!$Q$10)</f>
        <v>0</v>
      </c>
      <c r="AH94" s="88">
        <f>IF($A95="","",IF(Summary!$R$10="Y",(VLOOKUP($A94,Summary!$AD$6:$AF$9,3)+'Escalating commodity'!F107),'Escalating commodity'!F107))</f>
        <v>1.5820799999999999E-2</v>
      </c>
      <c r="AI94" s="88">
        <f t="shared" si="73"/>
        <v>1.5820799999999999E-2</v>
      </c>
      <c r="AJ94" s="236">
        <f t="shared" si="59"/>
        <v>39614</v>
      </c>
      <c r="AK94" s="58">
        <f t="shared" ca="1" si="60"/>
        <v>2574</v>
      </c>
      <c r="AL94" s="26">
        <f ca="1">IF($A95="","",_xll.SPRDOPT(P94,X94,AI94,0,AB94,AE94,AF94,AK94,$AJ$2,0))</f>
        <v>1.1661818317786083E-3</v>
      </c>
      <c r="AM94" s="89">
        <f t="shared" si="61"/>
        <v>0</v>
      </c>
      <c r="AN94" s="89">
        <f t="shared" ca="1" si="62"/>
        <v>1.1661818317786083E-3</v>
      </c>
      <c r="AO94" s="3">
        <f t="shared" si="63"/>
        <v>30</v>
      </c>
      <c r="AP94" s="33">
        <f t="shared" si="64"/>
        <v>39600</v>
      </c>
      <c r="AQ94" s="58">
        <f t="shared" ca="1" si="65"/>
        <v>2574</v>
      </c>
      <c r="AR94" s="38">
        <f>'ANR OK vs ML7'!AR94</f>
        <v>0.1</v>
      </c>
      <c r="AS94" s="35">
        <f t="shared" ca="1" si="66"/>
        <v>0.50274569417778914</v>
      </c>
      <c r="AT94" s="3">
        <f t="shared" si="67"/>
        <v>1</v>
      </c>
      <c r="AU94" s="3">
        <f t="shared" si="68"/>
        <v>30</v>
      </c>
      <c r="AW94" s="32">
        <f t="shared" ca="1" si="69"/>
        <v>4189.1583761151169</v>
      </c>
      <c r="AX94" s="32">
        <f t="shared" si="70"/>
        <v>0</v>
      </c>
      <c r="AY94" s="32">
        <f t="shared" ca="1" si="71"/>
        <v>4189.1583761151169</v>
      </c>
      <c r="BA94" s="32">
        <f ca="1">IF($A95="","",F94*Summary!$Q$10)</f>
        <v>0</v>
      </c>
      <c r="BC94" s="256">
        <f t="shared" ca="1" si="74"/>
        <v>0</v>
      </c>
    </row>
    <row r="95" spans="1:55">
      <c r="A95" s="67">
        <f t="shared" si="72"/>
        <v>39630</v>
      </c>
      <c r="B95" s="69">
        <f t="shared" si="75"/>
        <v>119740</v>
      </c>
      <c r="C95" s="71"/>
      <c r="D95" s="69">
        <f t="shared" si="38"/>
        <v>119740</v>
      </c>
      <c r="E95" s="70">
        <f t="shared" si="39"/>
        <v>3711940</v>
      </c>
      <c r="F95" s="70">
        <f t="shared" ca="1" si="40"/>
        <v>1851264.6955257524</v>
      </c>
      <c r="G95" s="63">
        <f t="shared" si="41"/>
        <v>4.1950000000000003</v>
      </c>
      <c r="H95" s="64">
        <f t="shared" si="42"/>
        <v>4.1950000000000003</v>
      </c>
      <c r="I95" s="43"/>
      <c r="J95" s="63">
        <f t="shared" si="43"/>
        <v>0.17</v>
      </c>
      <c r="K95" s="64">
        <f t="shared" si="44"/>
        <v>0.17</v>
      </c>
      <c r="L95" s="38">
        <v>0</v>
      </c>
      <c r="M95" s="64">
        <f t="shared" si="45"/>
        <v>0</v>
      </c>
      <c r="N95" s="65"/>
      <c r="O95" s="63">
        <f t="shared" si="46"/>
        <v>4.3650000000000002</v>
      </c>
      <c r="P95" s="63">
        <f t="shared" si="47"/>
        <v>4.3650000000000002</v>
      </c>
      <c r="Q95" s="66"/>
      <c r="R95" s="63">
        <f t="shared" si="48"/>
        <v>0.21</v>
      </c>
      <c r="S95" s="64">
        <f t="shared" si="49"/>
        <v>0.21</v>
      </c>
      <c r="T95" s="63">
        <f t="shared" si="50"/>
        <v>0</v>
      </c>
      <c r="U95" s="64">
        <f t="shared" si="51"/>
        <v>0</v>
      </c>
      <c r="V95" s="219">
        <f>IF($A96="","",IF(AND(MONTH(A95)&gt;3,MONTH(A95)&lt;11),(T95+R95+G95)*Summary!$T$10/(1-Summary!$T$10),(T95+R95+G95)*Summary!$U$10/(1-Summary!$U$10)))</f>
        <v>3.5524193548387095E-2</v>
      </c>
      <c r="W95" s="63">
        <f t="shared" si="52"/>
        <v>4.440524193548387</v>
      </c>
      <c r="X95" s="63">
        <f t="shared" si="53"/>
        <v>4.440524193548387</v>
      </c>
      <c r="Y95" s="43"/>
      <c r="Z95" s="38">
        <f t="shared" si="54"/>
        <v>0.55000000000000004</v>
      </c>
      <c r="AA95" s="38">
        <f t="shared" si="55"/>
        <v>0.20300000000000001</v>
      </c>
      <c r="AB95" s="38">
        <f t="shared" ca="1" si="56"/>
        <v>0.20742569876202044</v>
      </c>
      <c r="AC95" s="38">
        <f t="shared" si="57"/>
        <v>0.55000000000000004</v>
      </c>
      <c r="AD95" s="38">
        <f t="shared" si="57"/>
        <v>0.20300000000000001</v>
      </c>
      <c r="AE95" s="38">
        <f t="shared" ca="1" si="58"/>
        <v>0.20742569876202044</v>
      </c>
      <c r="AF95" s="237">
        <f ca="1">((Summary!$N$10*(AA95*AD95)*(A95-$D$3))+(Summary!$M$10*Z95*AC95*(AJ95-EOMONTH(EDATE(A95,-1),0))))/(AK95*AB95*AE95)</f>
        <v>0.99990418495674604</v>
      </c>
      <c r="AG95" s="88">
        <f>IF($A96="","",Summary!$Q$10)</f>
        <v>0</v>
      </c>
      <c r="AH95" s="88">
        <f>IF($A96="","",IF(Summary!$R$10="Y",(VLOOKUP($A95,Summary!$AD$6:$AF$9,3)+'Escalating commodity'!F108),'Escalating commodity'!F108))</f>
        <v>1.5820799999999999E-2</v>
      </c>
      <c r="AI95" s="88">
        <f t="shared" si="73"/>
        <v>1.5820799999999999E-2</v>
      </c>
      <c r="AJ95" s="236">
        <f t="shared" si="59"/>
        <v>39644.5</v>
      </c>
      <c r="AK95" s="58">
        <f t="shared" ca="1" si="60"/>
        <v>2604</v>
      </c>
      <c r="AL95" s="26">
        <f ca="1">IF($A96="","",_xll.SPRDOPT(P95,X95,AI95,0,AB95,AE95,AF95,AK95,$AJ$2,0))</f>
        <v>1.185192453939863E-3</v>
      </c>
      <c r="AM95" s="89">
        <f t="shared" si="61"/>
        <v>0</v>
      </c>
      <c r="AN95" s="89">
        <f t="shared" ca="1" si="62"/>
        <v>1.185192453939863E-3</v>
      </c>
      <c r="AO95" s="3">
        <f t="shared" si="63"/>
        <v>31</v>
      </c>
      <c r="AP95" s="33">
        <f t="shared" si="64"/>
        <v>39630</v>
      </c>
      <c r="AQ95" s="58">
        <f t="shared" ca="1" si="65"/>
        <v>2604</v>
      </c>
      <c r="AR95" s="38">
        <f>'ANR OK vs ML7'!AR95</f>
        <v>0.1</v>
      </c>
      <c r="AS95" s="35">
        <f t="shared" ca="1" si="66"/>
        <v>0.49873238671038655</v>
      </c>
      <c r="AT95" s="3">
        <f t="shared" si="67"/>
        <v>1</v>
      </c>
      <c r="AU95" s="3">
        <f t="shared" si="68"/>
        <v>31</v>
      </c>
      <c r="AW95" s="32">
        <f t="shared" ca="1" si="69"/>
        <v>4399.3632774775351</v>
      </c>
      <c r="AX95" s="32">
        <f t="shared" si="70"/>
        <v>0</v>
      </c>
      <c r="AY95" s="32">
        <f t="shared" ca="1" si="71"/>
        <v>4399.3632774775351</v>
      </c>
      <c r="BA95" s="32">
        <f ca="1">IF($A96="","",F95*Summary!$Q$10)</f>
        <v>0</v>
      </c>
      <c r="BC95" s="256">
        <f t="shared" ca="1" si="74"/>
        <v>0</v>
      </c>
    </row>
    <row r="96" spans="1:55">
      <c r="A96" s="67">
        <f t="shared" si="72"/>
        <v>39661</v>
      </c>
      <c r="B96" s="69">
        <f t="shared" si="75"/>
        <v>119740</v>
      </c>
      <c r="C96" s="71"/>
      <c r="D96" s="69">
        <f t="shared" si="38"/>
        <v>119740</v>
      </c>
      <c r="E96" s="70">
        <f t="shared" si="39"/>
        <v>3711940</v>
      </c>
      <c r="F96" s="70">
        <f t="shared" ca="1" si="40"/>
        <v>1835995.888819796</v>
      </c>
      <c r="G96" s="63">
        <f t="shared" si="41"/>
        <v>4.2510000000000003</v>
      </c>
      <c r="H96" s="64">
        <f t="shared" si="42"/>
        <v>4.2510000000000003</v>
      </c>
      <c r="I96" s="43"/>
      <c r="J96" s="63">
        <f t="shared" si="43"/>
        <v>0.17</v>
      </c>
      <c r="K96" s="64">
        <f t="shared" si="44"/>
        <v>0.17</v>
      </c>
      <c r="L96" s="38">
        <v>0</v>
      </c>
      <c r="M96" s="64">
        <f t="shared" si="45"/>
        <v>0</v>
      </c>
      <c r="N96" s="65"/>
      <c r="O96" s="63">
        <f t="shared" si="46"/>
        <v>4.4210000000000003</v>
      </c>
      <c r="P96" s="63">
        <f t="shared" si="47"/>
        <v>4.4210000000000003</v>
      </c>
      <c r="Q96" s="66"/>
      <c r="R96" s="63">
        <f t="shared" si="48"/>
        <v>0.21</v>
      </c>
      <c r="S96" s="64">
        <f t="shared" si="49"/>
        <v>0.21</v>
      </c>
      <c r="T96" s="63">
        <f t="shared" si="50"/>
        <v>0</v>
      </c>
      <c r="U96" s="64">
        <f t="shared" si="51"/>
        <v>0</v>
      </c>
      <c r="V96" s="219">
        <f>IF($A97="","",IF(AND(MONTH(A96)&gt;3,MONTH(A96)&lt;11),(T96+R96+G96)*Summary!$T$10/(1-Summary!$T$10),(T96+R96+G96)*Summary!$U$10/(1-Summary!$U$10)))</f>
        <v>3.5975806451612906E-2</v>
      </c>
      <c r="W96" s="63">
        <f t="shared" si="52"/>
        <v>4.496975806451613</v>
      </c>
      <c r="X96" s="63">
        <f t="shared" si="53"/>
        <v>4.496975806451613</v>
      </c>
      <c r="Y96" s="43"/>
      <c r="Z96" s="38">
        <f t="shared" si="54"/>
        <v>0.6</v>
      </c>
      <c r="AA96" s="38">
        <f t="shared" si="55"/>
        <v>0.20300000000000001</v>
      </c>
      <c r="AB96" s="38">
        <f t="shared" ca="1" si="56"/>
        <v>0.20818810280130706</v>
      </c>
      <c r="AC96" s="38">
        <f t="shared" si="57"/>
        <v>0.6</v>
      </c>
      <c r="AD96" s="38">
        <f t="shared" si="57"/>
        <v>0.20300000000000001</v>
      </c>
      <c r="AE96" s="38">
        <f t="shared" ca="1" si="58"/>
        <v>0.20818810280130706</v>
      </c>
      <c r="AF96" s="237">
        <f ca="1">((Summary!$N$10*(AA96*AD96)*(A96-$D$3))+(Summary!$M$10*Z96*AC96*(AJ96-EOMONTH(EDATE(A96,-1),0))))/(AK96*AB96*AE96)</f>
        <v>0.99990488586839088</v>
      </c>
      <c r="AG96" s="88">
        <f>IF($A97="","",Summary!$Q$10)</f>
        <v>0</v>
      </c>
      <c r="AH96" s="88">
        <f>IF($A97="","",IF(Summary!$R$10="Y",(VLOOKUP($A96,Summary!$AD$6:$AF$9,3)+'Escalating commodity'!F109),'Escalating commodity'!F109))</f>
        <v>1.5820799999999999E-2</v>
      </c>
      <c r="AI96" s="88">
        <f t="shared" si="73"/>
        <v>1.5820799999999999E-2</v>
      </c>
      <c r="AJ96" s="236">
        <f t="shared" si="59"/>
        <v>39675.5</v>
      </c>
      <c r="AK96" s="58">
        <f t="shared" ca="1" si="60"/>
        <v>2635</v>
      </c>
      <c r="AL96" s="26">
        <f ca="1">IF($A97="","",_xll.SPRDOPT(P96,X96,AI96,0,AB96,AE96,AF96,AK96,$AJ$2,0))</f>
        <v>1.2339507505034469E-3</v>
      </c>
      <c r="AM96" s="89">
        <f t="shared" si="61"/>
        <v>0</v>
      </c>
      <c r="AN96" s="89">
        <f t="shared" ca="1" si="62"/>
        <v>1.2339507505034469E-3</v>
      </c>
      <c r="AO96" s="3">
        <f t="shared" si="63"/>
        <v>31</v>
      </c>
      <c r="AP96" s="33">
        <f t="shared" si="64"/>
        <v>39661</v>
      </c>
      <c r="AQ96" s="58">
        <f t="shared" ca="1" si="65"/>
        <v>2635</v>
      </c>
      <c r="AR96" s="38">
        <f>'ANR OK vs ML7'!AR96</f>
        <v>0.1</v>
      </c>
      <c r="AS96" s="35">
        <f t="shared" ca="1" si="66"/>
        <v>0.49461895634622222</v>
      </c>
      <c r="AT96" s="3">
        <f t="shared" si="67"/>
        <v>1</v>
      </c>
      <c r="AU96" s="3">
        <f t="shared" si="68"/>
        <v>31</v>
      </c>
      <c r="AW96" s="32">
        <f t="shared" ca="1" si="69"/>
        <v>4580.3511488237646</v>
      </c>
      <c r="AX96" s="32">
        <f t="shared" si="70"/>
        <v>0</v>
      </c>
      <c r="AY96" s="32">
        <f t="shared" ca="1" si="71"/>
        <v>4580.3511488237646</v>
      </c>
      <c r="BA96" s="32">
        <f ca="1">IF($A97="","",F96*Summary!$Q$10)</f>
        <v>0</v>
      </c>
      <c r="BC96" s="256">
        <f t="shared" ca="1" si="74"/>
        <v>0</v>
      </c>
    </row>
    <row r="97" spans="1:55">
      <c r="A97" s="67">
        <f t="shared" si="72"/>
        <v>39692</v>
      </c>
      <c r="B97" s="69">
        <f t="shared" si="75"/>
        <v>119740</v>
      </c>
      <c r="C97" s="71"/>
      <c r="D97" s="69">
        <f t="shared" si="38"/>
        <v>119740</v>
      </c>
      <c r="E97" s="70">
        <f t="shared" si="39"/>
        <v>3592200</v>
      </c>
      <c r="F97" s="70">
        <f t="shared" ca="1" si="40"/>
        <v>1762115.8216745318</v>
      </c>
      <c r="G97" s="63">
        <f t="shared" si="41"/>
        <v>4.2649999999999997</v>
      </c>
      <c r="H97" s="64">
        <f t="shared" si="42"/>
        <v>4.2649999999999997</v>
      </c>
      <c r="I97" s="43"/>
      <c r="J97" s="63">
        <f t="shared" si="43"/>
        <v>0.17</v>
      </c>
      <c r="K97" s="64">
        <f t="shared" si="44"/>
        <v>0.17</v>
      </c>
      <c r="L97" s="38">
        <v>0</v>
      </c>
      <c r="M97" s="64">
        <f t="shared" si="45"/>
        <v>0</v>
      </c>
      <c r="N97" s="65"/>
      <c r="O97" s="63">
        <f t="shared" si="46"/>
        <v>4.4349999999999996</v>
      </c>
      <c r="P97" s="63">
        <f t="shared" si="47"/>
        <v>4.4349999999999996</v>
      </c>
      <c r="Q97" s="66"/>
      <c r="R97" s="63">
        <f t="shared" si="48"/>
        <v>0.21</v>
      </c>
      <c r="S97" s="64">
        <f t="shared" si="49"/>
        <v>0.21</v>
      </c>
      <c r="T97" s="63">
        <f t="shared" si="50"/>
        <v>0</v>
      </c>
      <c r="U97" s="64">
        <f t="shared" si="51"/>
        <v>0</v>
      </c>
      <c r="V97" s="219">
        <f>IF($A98="","",IF(AND(MONTH(A97)&gt;3,MONTH(A97)&lt;11),(T97+R97+G97)*Summary!$T$10/(1-Summary!$T$10),(T97+R97+G97)*Summary!$U$10/(1-Summary!$U$10)))</f>
        <v>3.6088709677419353E-2</v>
      </c>
      <c r="W97" s="63">
        <f t="shared" si="52"/>
        <v>4.511088709677419</v>
      </c>
      <c r="X97" s="63">
        <f t="shared" si="53"/>
        <v>4.511088709677419</v>
      </c>
      <c r="Y97" s="43"/>
      <c r="Z97" s="38">
        <f t="shared" si="54"/>
        <v>0.6</v>
      </c>
      <c r="AA97" s="38">
        <f t="shared" si="55"/>
        <v>0.20300000000000001</v>
      </c>
      <c r="AB97" s="38">
        <f t="shared" ca="1" si="56"/>
        <v>0.207966255954912</v>
      </c>
      <c r="AC97" s="38">
        <f t="shared" si="57"/>
        <v>0.6</v>
      </c>
      <c r="AD97" s="38">
        <f t="shared" si="57"/>
        <v>0.20300000000000001</v>
      </c>
      <c r="AE97" s="38">
        <f t="shared" ca="1" si="58"/>
        <v>0.207966255954912</v>
      </c>
      <c r="AF97" s="237">
        <f ca="1">((Summary!$N$10*(AA97*AD97)*(A97-$D$3))+(Summary!$M$10*Z97*AC97*(AJ97-EOMONTH(EDATE(A97,-1),0))))/(AK97*AB97*AE97)</f>
        <v>0.99990468325567783</v>
      </c>
      <c r="AG97" s="88">
        <f>IF($A98="","",Summary!$Q$10)</f>
        <v>0</v>
      </c>
      <c r="AH97" s="88">
        <f>IF($A98="","",IF(Summary!$R$10="Y",(VLOOKUP($A97,Summary!$AD$6:$AF$9,3)+'Escalating commodity'!F110),'Escalating commodity'!F110))</f>
        <v>1.5820799999999999E-2</v>
      </c>
      <c r="AI97" s="88">
        <f t="shared" si="73"/>
        <v>1.5820799999999999E-2</v>
      </c>
      <c r="AJ97" s="236">
        <f t="shared" si="59"/>
        <v>39706</v>
      </c>
      <c r="AK97" s="58">
        <f t="shared" ca="1" si="60"/>
        <v>2666</v>
      </c>
      <c r="AL97" s="26">
        <f ca="1">IF($A98="","",_xll.SPRDOPT(P97,X97,AI97,0,AB97,AE97,AF97,AK97,$AJ$2,0))</f>
        <v>1.2585509823790763E-3</v>
      </c>
      <c r="AM97" s="89">
        <f t="shared" si="61"/>
        <v>0</v>
      </c>
      <c r="AN97" s="89">
        <f t="shared" ca="1" si="62"/>
        <v>1.2585509823790763E-3</v>
      </c>
      <c r="AO97" s="3">
        <f t="shared" si="63"/>
        <v>30</v>
      </c>
      <c r="AP97" s="33">
        <f t="shared" si="64"/>
        <v>39692</v>
      </c>
      <c r="AQ97" s="58">
        <f t="shared" ca="1" si="65"/>
        <v>2666</v>
      </c>
      <c r="AR97" s="38">
        <f>'ANR OK vs ML7'!AR97</f>
        <v>0.1</v>
      </c>
      <c r="AS97" s="35">
        <f t="shared" ca="1" si="66"/>
        <v>0.49053945261247472</v>
      </c>
      <c r="AT97" s="3">
        <f t="shared" si="67"/>
        <v>1</v>
      </c>
      <c r="AU97" s="3">
        <f t="shared" si="68"/>
        <v>30</v>
      </c>
      <c r="AW97" s="32">
        <f t="shared" ca="1" si="69"/>
        <v>4520.9668389021181</v>
      </c>
      <c r="AX97" s="32">
        <f t="shared" si="70"/>
        <v>0</v>
      </c>
      <c r="AY97" s="32">
        <f t="shared" ca="1" si="71"/>
        <v>4520.9668389021181</v>
      </c>
      <c r="BA97" s="32">
        <f ca="1">IF($A98="","",F97*Summary!$Q$10)</f>
        <v>0</v>
      </c>
      <c r="BC97" s="256">
        <f t="shared" ca="1" si="74"/>
        <v>0</v>
      </c>
    </row>
    <row r="98" spans="1:55">
      <c r="A98" s="67">
        <f t="shared" si="72"/>
        <v>39722</v>
      </c>
      <c r="B98" s="69">
        <f t="shared" si="75"/>
        <v>119740</v>
      </c>
      <c r="C98" s="71"/>
      <c r="D98" s="69">
        <f t="shared" si="38"/>
        <v>119740</v>
      </c>
      <c r="E98" s="70">
        <f t="shared" si="39"/>
        <v>3711940</v>
      </c>
      <c r="F98" s="70">
        <f t="shared" ca="1" si="40"/>
        <v>1806317.5496096017</v>
      </c>
      <c r="G98" s="63">
        <f t="shared" si="41"/>
        <v>4.2960000000000003</v>
      </c>
      <c r="H98" s="64">
        <f t="shared" si="42"/>
        <v>4.2960000000000003</v>
      </c>
      <c r="I98" s="43"/>
      <c r="J98" s="63">
        <f t="shared" si="43"/>
        <v>0.17</v>
      </c>
      <c r="K98" s="64">
        <f t="shared" si="44"/>
        <v>0.17</v>
      </c>
      <c r="L98" s="38">
        <v>0</v>
      </c>
      <c r="M98" s="64">
        <f t="shared" si="45"/>
        <v>0</v>
      </c>
      <c r="N98" s="65"/>
      <c r="O98" s="63">
        <f t="shared" si="46"/>
        <v>4.4660000000000002</v>
      </c>
      <c r="P98" s="63">
        <f t="shared" si="47"/>
        <v>4.4660000000000002</v>
      </c>
      <c r="Q98" s="66"/>
      <c r="R98" s="63">
        <f t="shared" si="48"/>
        <v>0.21</v>
      </c>
      <c r="S98" s="64">
        <f t="shared" si="49"/>
        <v>0.21</v>
      </c>
      <c r="T98" s="63">
        <f t="shared" si="50"/>
        <v>0</v>
      </c>
      <c r="U98" s="64">
        <f t="shared" si="51"/>
        <v>0</v>
      </c>
      <c r="V98" s="219">
        <f>IF($A99="","",IF(AND(MONTH(A98)&gt;3,MONTH(A98)&lt;11),(T98+R98+G98)*Summary!$T$10/(1-Summary!$T$10),(T98+R98+G98)*Summary!$U$10/(1-Summary!$U$10)))</f>
        <v>3.633870967741936E-2</v>
      </c>
      <c r="W98" s="63">
        <f t="shared" si="52"/>
        <v>4.5423387096774199</v>
      </c>
      <c r="X98" s="63">
        <f t="shared" si="53"/>
        <v>4.5423387096774199</v>
      </c>
      <c r="Y98" s="43"/>
      <c r="Z98" s="38">
        <f t="shared" si="54"/>
        <v>0.65</v>
      </c>
      <c r="AA98" s="38">
        <f t="shared" si="55"/>
        <v>0.20300000000000001</v>
      </c>
      <c r="AB98" s="38">
        <f t="shared" ca="1" si="56"/>
        <v>0.2089338335695993</v>
      </c>
      <c r="AC98" s="38">
        <f t="shared" si="57"/>
        <v>0.65</v>
      </c>
      <c r="AD98" s="38">
        <f t="shared" si="57"/>
        <v>0.20300000000000001</v>
      </c>
      <c r="AE98" s="38">
        <f t="shared" ca="1" si="58"/>
        <v>0.2089338335695993</v>
      </c>
      <c r="AF98" s="237">
        <f ca="1">((Summary!$N$10*(AA98*AD98)*(A98-$D$3))+(Summary!$M$10*Z98*AC98*(AJ98-EOMONTH(EDATE(A98,-1),0))))/(AK98*AB98*AE98)</f>
        <v>0.99990556443377254</v>
      </c>
      <c r="AG98" s="88">
        <f>IF($A99="","",Summary!$Q$10)</f>
        <v>0</v>
      </c>
      <c r="AH98" s="88">
        <f>IF($A99="","",IF(Summary!$R$10="Y",(VLOOKUP($A98,Summary!$AD$6:$AF$9,3)+'Escalating commodity'!F111),'Escalating commodity'!F111))</f>
        <v>1.5820799999999999E-2</v>
      </c>
      <c r="AI98" s="88">
        <f t="shared" si="73"/>
        <v>1.5820799999999999E-2</v>
      </c>
      <c r="AJ98" s="236">
        <f t="shared" si="59"/>
        <v>39736.5</v>
      </c>
      <c r="AK98" s="58">
        <f t="shared" ca="1" si="60"/>
        <v>2696</v>
      </c>
      <c r="AL98" s="26">
        <f ca="1">IF($A99="","",_xll.SPRDOPT(P98,X98,AI98,0,AB98,AE98,AF98,AK98,$AJ$2,0))</f>
        <v>1.2949124550604742E-3</v>
      </c>
      <c r="AM98" s="89">
        <f t="shared" si="61"/>
        <v>0</v>
      </c>
      <c r="AN98" s="89">
        <f t="shared" ca="1" si="62"/>
        <v>1.2949124550604742E-3</v>
      </c>
      <c r="AO98" s="3">
        <f t="shared" si="63"/>
        <v>31</v>
      </c>
      <c r="AP98" s="33">
        <f t="shared" si="64"/>
        <v>39722</v>
      </c>
      <c r="AQ98" s="58">
        <f t="shared" ca="1" si="65"/>
        <v>2696</v>
      </c>
      <c r="AR98" s="38">
        <f>'ANR OK vs ML7'!AR98</f>
        <v>0.1</v>
      </c>
      <c r="AS98" s="35">
        <f t="shared" ca="1" si="66"/>
        <v>0.48662358486656621</v>
      </c>
      <c r="AT98" s="3">
        <f t="shared" si="67"/>
        <v>1</v>
      </c>
      <c r="AU98" s="3">
        <f t="shared" si="68"/>
        <v>31</v>
      </c>
      <c r="AW98" s="32">
        <f t="shared" ca="1" si="69"/>
        <v>4806.6373384371764</v>
      </c>
      <c r="AX98" s="32">
        <f t="shared" si="70"/>
        <v>0</v>
      </c>
      <c r="AY98" s="32">
        <f t="shared" ca="1" si="71"/>
        <v>4806.6373384371764</v>
      </c>
      <c r="BA98" s="32">
        <f ca="1">IF($A99="","",F98*Summary!$Q$10)</f>
        <v>0</v>
      </c>
      <c r="BC98" s="256">
        <f t="shared" ca="1" si="74"/>
        <v>0</v>
      </c>
    </row>
    <row r="99" spans="1:55">
      <c r="A99" s="67">
        <f t="shared" si="72"/>
        <v>39753</v>
      </c>
      <c r="B99" s="69">
        <f t="shared" si="75"/>
        <v>119740</v>
      </c>
      <c r="C99" s="71"/>
      <c r="D99" s="69">
        <f t="shared" si="38"/>
        <v>119740</v>
      </c>
      <c r="E99" s="70">
        <f t="shared" si="39"/>
        <v>3592200</v>
      </c>
      <c r="F99" s="70">
        <f t="shared" ca="1" si="40"/>
        <v>1733631.7322483163</v>
      </c>
      <c r="G99" s="63">
        <f t="shared" si="41"/>
        <v>4.4290000000000003</v>
      </c>
      <c r="H99" s="64">
        <f t="shared" si="42"/>
        <v>4.4290000000000003</v>
      </c>
      <c r="I99" s="43"/>
      <c r="J99" s="63">
        <f t="shared" si="43"/>
        <v>0.27500000000000002</v>
      </c>
      <c r="K99" s="64">
        <f t="shared" si="44"/>
        <v>0.27500000000000002</v>
      </c>
      <c r="L99" s="38">
        <v>0</v>
      </c>
      <c r="M99" s="64">
        <f t="shared" si="45"/>
        <v>0</v>
      </c>
      <c r="N99" s="65"/>
      <c r="O99" s="63">
        <f t="shared" si="46"/>
        <v>4.7040000000000006</v>
      </c>
      <c r="P99" s="63">
        <f t="shared" si="47"/>
        <v>4.7040000000000006</v>
      </c>
      <c r="Q99" s="66"/>
      <c r="R99" s="63">
        <f t="shared" si="48"/>
        <v>0.32500000000000001</v>
      </c>
      <c r="S99" s="64">
        <f t="shared" si="49"/>
        <v>0.32500000000000001</v>
      </c>
      <c r="T99" s="63">
        <f t="shared" si="50"/>
        <v>0</v>
      </c>
      <c r="U99" s="64">
        <f t="shared" si="51"/>
        <v>0</v>
      </c>
      <c r="V99" s="219">
        <f>IF($A100="","",IF(AND(MONTH(A99)&gt;3,MONTH(A99)&lt;11),(T99+R99+G99)*Summary!$T$10/(1-Summary!$T$10),(T99+R99+G99)*Summary!$U$10/(1-Summary!$U$10)))</f>
        <v>3.8338709677419355E-2</v>
      </c>
      <c r="W99" s="63">
        <f t="shared" si="52"/>
        <v>4.7923387096774199</v>
      </c>
      <c r="X99" s="63">
        <f t="shared" si="53"/>
        <v>4.7923387096774199</v>
      </c>
      <c r="Y99" s="43"/>
      <c r="Z99" s="38">
        <f t="shared" si="54"/>
        <v>0.8</v>
      </c>
      <c r="AA99" s="38">
        <f t="shared" si="55"/>
        <v>0.20300000000000001</v>
      </c>
      <c r="AB99" s="38">
        <f t="shared" ca="1" si="56"/>
        <v>0.21152887158262337</v>
      </c>
      <c r="AC99" s="38">
        <f t="shared" si="57"/>
        <v>0.8</v>
      </c>
      <c r="AD99" s="38">
        <f t="shared" si="57"/>
        <v>0.20300000000000001</v>
      </c>
      <c r="AE99" s="38">
        <f t="shared" ca="1" si="58"/>
        <v>0.21152887158262337</v>
      </c>
      <c r="AF99" s="237">
        <f ca="1">((Summary!$N$10*(AA99*AD99)*(A99-$D$3))+(Summary!$M$10*Z99*AC99*(AJ99-EOMONTH(EDATE(A99,-1),0))))/(AK99*AB99*AE99)</f>
        <v>0.99990786768185114</v>
      </c>
      <c r="AG99" s="88">
        <f>IF($A100="","",Summary!$Q$10)</f>
        <v>0</v>
      </c>
      <c r="AH99" s="88">
        <f>IF($A100="","",IF(Summary!$R$10="Y",(VLOOKUP($A99,Summary!$AD$6:$AF$9,3)+'Escalating commodity'!F112),'Escalating commodity'!F112))</f>
        <v>1.5820799999999999E-2</v>
      </c>
      <c r="AI99" s="88">
        <f t="shared" si="73"/>
        <v>1.5820799999999999E-2</v>
      </c>
      <c r="AJ99" s="236">
        <f t="shared" si="59"/>
        <v>39767</v>
      </c>
      <c r="AK99" s="58">
        <f t="shared" ca="1" si="60"/>
        <v>2727</v>
      </c>
      <c r="AL99" s="26">
        <f ca="1">IF($A100="","",_xll.SPRDOPT(P99,X99,AI99,0,AB99,AE99,AF99,AK99,$AJ$2,0))</f>
        <v>1.2561461512710526E-3</v>
      </c>
      <c r="AM99" s="89">
        <f t="shared" si="61"/>
        <v>0</v>
      </c>
      <c r="AN99" s="89">
        <f t="shared" ca="1" si="62"/>
        <v>1.2561461512710526E-3</v>
      </c>
      <c r="AO99" s="3">
        <f t="shared" si="63"/>
        <v>30</v>
      </c>
      <c r="AP99" s="33">
        <f t="shared" si="64"/>
        <v>39753</v>
      </c>
      <c r="AQ99" s="58">
        <f t="shared" ca="1" si="65"/>
        <v>2727</v>
      </c>
      <c r="AR99" s="38">
        <f>'ANR OK vs ML7'!AR99</f>
        <v>0.1</v>
      </c>
      <c r="AS99" s="35">
        <f t="shared" ca="1" si="66"/>
        <v>0.48261002512341078</v>
      </c>
      <c r="AT99" s="3">
        <f t="shared" si="67"/>
        <v>1</v>
      </c>
      <c r="AU99" s="3">
        <f t="shared" si="68"/>
        <v>30</v>
      </c>
      <c r="AW99" s="32">
        <f t="shared" ca="1" si="69"/>
        <v>4512.3282045958749</v>
      </c>
      <c r="AX99" s="32">
        <f t="shared" si="70"/>
        <v>0</v>
      </c>
      <c r="AY99" s="32">
        <f t="shared" ca="1" si="71"/>
        <v>4512.3282045958749</v>
      </c>
      <c r="BA99" s="32">
        <f ca="1">IF($A100="","",F99*Summary!$Q$10)</f>
        <v>0</v>
      </c>
      <c r="BC99" s="256">
        <f t="shared" ca="1" si="74"/>
        <v>0</v>
      </c>
    </row>
    <row r="100" spans="1:55">
      <c r="A100" s="67">
        <f t="shared" si="72"/>
        <v>39783</v>
      </c>
      <c r="B100" s="69">
        <f t="shared" si="75"/>
        <v>119740</v>
      </c>
      <c r="C100" s="71"/>
      <c r="D100" s="69">
        <f t="shared" si="38"/>
        <v>119740</v>
      </c>
      <c r="E100" s="70">
        <f t="shared" si="39"/>
        <v>3711940</v>
      </c>
      <c r="F100" s="70">
        <f t="shared" ca="1" si="40"/>
        <v>1777118.9521154095</v>
      </c>
      <c r="G100" s="63">
        <f t="shared" si="41"/>
        <v>4.5670000000000002</v>
      </c>
      <c r="H100" s="64">
        <f t="shared" si="42"/>
        <v>4.5670000000000002</v>
      </c>
      <c r="I100" s="43"/>
      <c r="J100" s="63">
        <f t="shared" si="43"/>
        <v>0.27500000000000002</v>
      </c>
      <c r="K100" s="64">
        <f t="shared" si="44"/>
        <v>0.27500000000000002</v>
      </c>
      <c r="L100" s="38">
        <v>0</v>
      </c>
      <c r="M100" s="64">
        <f t="shared" si="45"/>
        <v>0</v>
      </c>
      <c r="N100" s="65"/>
      <c r="O100" s="63">
        <f t="shared" si="46"/>
        <v>4.8420000000000005</v>
      </c>
      <c r="P100" s="63">
        <f t="shared" si="47"/>
        <v>4.8420000000000005</v>
      </c>
      <c r="Q100" s="66"/>
      <c r="R100" s="63">
        <f t="shared" si="48"/>
        <v>0.32500000000000001</v>
      </c>
      <c r="S100" s="64">
        <f t="shared" si="49"/>
        <v>0.32500000000000001</v>
      </c>
      <c r="T100" s="63">
        <f t="shared" si="50"/>
        <v>0</v>
      </c>
      <c r="U100" s="64">
        <f t="shared" si="51"/>
        <v>0</v>
      </c>
      <c r="V100" s="219">
        <f>IF($A101="","",IF(AND(MONTH(A100)&gt;3,MONTH(A100)&lt;11),(T100+R100+G100)*Summary!$T$10/(1-Summary!$T$10),(T100+R100+G100)*Summary!$U$10/(1-Summary!$U$10)))</f>
        <v>3.9451612903225811E-2</v>
      </c>
      <c r="W100" s="63">
        <f t="shared" si="52"/>
        <v>4.931451612903226</v>
      </c>
      <c r="X100" s="63">
        <f t="shared" si="53"/>
        <v>4.931451612903226</v>
      </c>
      <c r="Y100" s="43"/>
      <c r="Z100" s="38">
        <f t="shared" si="54"/>
        <v>1.1000000000000001</v>
      </c>
      <c r="AA100" s="38">
        <f t="shared" si="55"/>
        <v>0.20499999999999999</v>
      </c>
      <c r="AB100" s="38">
        <f t="shared" ca="1" si="56"/>
        <v>0.22100435989968187</v>
      </c>
      <c r="AC100" s="38">
        <f t="shared" si="57"/>
        <v>1.1000000000000001</v>
      </c>
      <c r="AD100" s="38">
        <f t="shared" si="57"/>
        <v>0.20499999999999999</v>
      </c>
      <c r="AE100" s="38">
        <f t="shared" ca="1" si="58"/>
        <v>0.22100435989968187</v>
      </c>
      <c r="AF100" s="237">
        <f ca="1">((Summary!$N$10*(AA100*AD100)*(A100-$D$3))+(Summary!$M$10*Z100*AC100*(AJ100-EOMONTH(EDATE(A100,-1),0))))/(AK100*AB100*AE100)</f>
        <v>0.99991392767485798</v>
      </c>
      <c r="AG100" s="88">
        <f>IF($A101="","",Summary!$Q$10)</f>
        <v>0</v>
      </c>
      <c r="AH100" s="88">
        <f>IF($A101="","",IF(Summary!$R$10="Y",(VLOOKUP($A100,Summary!$AD$6:$AF$9,3)+'Escalating commodity'!F113),'Escalating commodity'!F113))</f>
        <v>1.5820799999999999E-2</v>
      </c>
      <c r="AI100" s="88">
        <f t="shared" si="73"/>
        <v>1.5820799999999999E-2</v>
      </c>
      <c r="AJ100" s="236">
        <f t="shared" si="59"/>
        <v>39797.5</v>
      </c>
      <c r="AK100" s="58">
        <f t="shared" ca="1" si="60"/>
        <v>2757</v>
      </c>
      <c r="AL100" s="26">
        <f ca="1">IF($A101="","",_xll.SPRDOPT(P100,X100,AI100,0,AB100,AE100,AF100,AK100,$AJ$2,0))</f>
        <v>1.398944980505766E-3</v>
      </c>
      <c r="AM100" s="89">
        <f t="shared" si="61"/>
        <v>0</v>
      </c>
      <c r="AN100" s="89">
        <f t="shared" ca="1" si="62"/>
        <v>1.398944980505766E-3</v>
      </c>
      <c r="AO100" s="3">
        <f t="shared" si="63"/>
        <v>31</v>
      </c>
      <c r="AP100" s="33">
        <f t="shared" si="64"/>
        <v>39783</v>
      </c>
      <c r="AQ100" s="58">
        <f t="shared" ca="1" si="65"/>
        <v>2757</v>
      </c>
      <c r="AR100" s="38">
        <f>'ANR OK vs ML7'!AR100</f>
        <v>0.1</v>
      </c>
      <c r="AS100" s="35">
        <f t="shared" ca="1" si="66"/>
        <v>0.47875745623997412</v>
      </c>
      <c r="AT100" s="3">
        <f t="shared" si="67"/>
        <v>1</v>
      </c>
      <c r="AU100" s="3">
        <f t="shared" si="68"/>
        <v>31</v>
      </c>
      <c r="AW100" s="32">
        <f t="shared" ca="1" si="69"/>
        <v>5192.799830938573</v>
      </c>
      <c r="AX100" s="32">
        <f t="shared" si="70"/>
        <v>0</v>
      </c>
      <c r="AY100" s="32">
        <f t="shared" ca="1" si="71"/>
        <v>5192.799830938573</v>
      </c>
      <c r="BA100" s="32">
        <f ca="1">IF($A101="","",F100*Summary!$Q$10)</f>
        <v>0</v>
      </c>
      <c r="BC100" s="256">
        <f t="shared" ca="1" si="74"/>
        <v>0</v>
      </c>
    </row>
    <row r="101" spans="1:55">
      <c r="A101" s="67">
        <f t="shared" si="72"/>
        <v>39814</v>
      </c>
      <c r="B101" s="69">
        <f t="shared" si="75"/>
        <v>119740</v>
      </c>
      <c r="C101" s="71"/>
      <c r="D101" s="69">
        <f t="shared" si="38"/>
        <v>119740</v>
      </c>
      <c r="E101" s="70">
        <f t="shared" si="39"/>
        <v>3711940</v>
      </c>
      <c r="F101" s="70">
        <f t="shared" ca="1" si="40"/>
        <v>1762461.6824991726</v>
      </c>
      <c r="G101" s="63">
        <f t="shared" si="41"/>
        <v>4.5890000000000004</v>
      </c>
      <c r="H101" s="64">
        <f t="shared" si="42"/>
        <v>4.5890000000000004</v>
      </c>
      <c r="I101" s="43"/>
      <c r="J101" s="63">
        <f t="shared" si="43"/>
        <v>0.27500000000000002</v>
      </c>
      <c r="K101" s="64">
        <f t="shared" si="44"/>
        <v>0.27500000000000002</v>
      </c>
      <c r="L101" s="38">
        <v>0</v>
      </c>
      <c r="M101" s="64">
        <f t="shared" si="45"/>
        <v>0</v>
      </c>
      <c r="N101" s="65"/>
      <c r="O101" s="63">
        <f t="shared" si="46"/>
        <v>4.8640000000000008</v>
      </c>
      <c r="P101" s="63">
        <f t="shared" si="47"/>
        <v>4.8640000000000008</v>
      </c>
      <c r="Q101" s="66"/>
      <c r="R101" s="63">
        <f t="shared" si="48"/>
        <v>0.32500000000000001</v>
      </c>
      <c r="S101" s="64">
        <f t="shared" si="49"/>
        <v>0.32500000000000001</v>
      </c>
      <c r="T101" s="63">
        <f t="shared" si="50"/>
        <v>0</v>
      </c>
      <c r="U101" s="64">
        <f t="shared" si="51"/>
        <v>0</v>
      </c>
      <c r="V101" s="219">
        <f>IF($A102="","",IF(AND(MONTH(A101)&gt;3,MONTH(A101)&lt;11),(T101+R101+G101)*Summary!$T$10/(1-Summary!$T$10),(T101+R101+G101)*Summary!$U$10/(1-Summary!$U$10)))</f>
        <v>3.9629032258064523E-2</v>
      </c>
      <c r="W101" s="63">
        <f t="shared" si="52"/>
        <v>4.9536290322580649</v>
      </c>
      <c r="X101" s="63">
        <f t="shared" si="53"/>
        <v>4.9536290322580649</v>
      </c>
      <c r="Y101" s="43"/>
      <c r="Z101" s="38">
        <f t="shared" si="54"/>
        <v>1.1000000000000001</v>
      </c>
      <c r="AA101" s="38">
        <f t="shared" si="55"/>
        <v>0.20499999999999999</v>
      </c>
      <c r="AB101" s="38">
        <f t="shared" ca="1" si="56"/>
        <v>0.22083278290538946</v>
      </c>
      <c r="AC101" s="38">
        <f t="shared" si="57"/>
        <v>1.1000000000000001</v>
      </c>
      <c r="AD101" s="38">
        <f t="shared" si="57"/>
        <v>0.20499999999999999</v>
      </c>
      <c r="AE101" s="38">
        <f t="shared" ca="1" si="58"/>
        <v>0.22083278290538946</v>
      </c>
      <c r="AF101" s="237">
        <f ca="1">((Summary!$N$10*(AA101*AD101)*(A101-$D$3))+(Summary!$M$10*Z101*AC101*(AJ101-EOMONTH(EDATE(A101,-1),0))))/(AK101*AB101*AE101)</f>
        <v>0.99991379422190885</v>
      </c>
      <c r="AG101" s="88">
        <f>IF($A102="","",Summary!$Q$10)</f>
        <v>0</v>
      </c>
      <c r="AH101" s="88">
        <f>IF($A102="","",IF(Summary!$R$10="Y",(VLOOKUP($A101,Summary!$AD$6:$AF$9,3)+'Escalating commodity'!F114),'Escalating commodity'!F114))</f>
        <v>1.5820799999999999E-2</v>
      </c>
      <c r="AI101" s="88">
        <f t="shared" si="73"/>
        <v>1.5820799999999999E-2</v>
      </c>
      <c r="AJ101" s="236">
        <f t="shared" si="59"/>
        <v>39828.5</v>
      </c>
      <c r="AK101" s="58">
        <f t="shared" ca="1" si="60"/>
        <v>2788</v>
      </c>
      <c r="AL101" s="26">
        <f ca="1">IF($A102="","",_xll.SPRDOPT(P101,X101,AI101,0,AB101,AE101,AF101,AK101,$AJ$2,0))</f>
        <v>1.4291815539609915E-3</v>
      </c>
      <c r="AM101" s="89">
        <f t="shared" si="61"/>
        <v>0</v>
      </c>
      <c r="AN101" s="89">
        <f t="shared" ca="1" si="62"/>
        <v>1.4291815539609915E-3</v>
      </c>
      <c r="AO101" s="3">
        <f t="shared" si="63"/>
        <v>31</v>
      </c>
      <c r="AP101" s="33">
        <f t="shared" si="64"/>
        <v>39814</v>
      </c>
      <c r="AQ101" s="58">
        <f t="shared" ca="1" si="65"/>
        <v>2788</v>
      </c>
      <c r="AR101" s="38">
        <f>'ANR OK vs ML7'!AR101</f>
        <v>0.1</v>
      </c>
      <c r="AS101" s="35">
        <f t="shared" ca="1" si="66"/>
        <v>0.4748087745219946</v>
      </c>
      <c r="AT101" s="3">
        <f t="shared" si="67"/>
        <v>1</v>
      </c>
      <c r="AU101" s="3">
        <f t="shared" si="68"/>
        <v>31</v>
      </c>
      <c r="AW101" s="32">
        <f t="shared" ca="1" si="69"/>
        <v>5305.0361774099629</v>
      </c>
      <c r="AX101" s="32">
        <f t="shared" si="70"/>
        <v>0</v>
      </c>
      <c r="AY101" s="32">
        <f t="shared" ca="1" si="71"/>
        <v>5305.0361774099629</v>
      </c>
      <c r="BA101" s="32">
        <f ca="1">IF($A102="","",F101*Summary!$Q$10)</f>
        <v>0</v>
      </c>
      <c r="BC101" s="256">
        <f t="shared" ca="1" si="74"/>
        <v>0</v>
      </c>
    </row>
    <row r="102" spans="1:55">
      <c r="A102" s="67">
        <f t="shared" si="72"/>
        <v>39845</v>
      </c>
      <c r="B102" s="69">
        <f t="shared" si="75"/>
        <v>119740</v>
      </c>
      <c r="C102" s="71"/>
      <c r="D102" s="69">
        <f t="shared" si="38"/>
        <v>119740</v>
      </c>
      <c r="E102" s="70">
        <f t="shared" si="39"/>
        <v>3352720</v>
      </c>
      <c r="F102" s="70">
        <f t="shared" ca="1" si="40"/>
        <v>1578771.2411319101</v>
      </c>
      <c r="G102" s="63">
        <f t="shared" si="41"/>
        <v>4.4690000000000003</v>
      </c>
      <c r="H102" s="64">
        <f t="shared" si="42"/>
        <v>4.4690000000000003</v>
      </c>
      <c r="I102" s="43"/>
      <c r="J102" s="63">
        <f t="shared" si="43"/>
        <v>0.27500000000000002</v>
      </c>
      <c r="K102" s="64">
        <f t="shared" si="44"/>
        <v>0.27500000000000002</v>
      </c>
      <c r="L102" s="38">
        <v>0</v>
      </c>
      <c r="M102" s="64">
        <f t="shared" si="45"/>
        <v>0</v>
      </c>
      <c r="N102" s="65"/>
      <c r="O102" s="63">
        <f t="shared" si="46"/>
        <v>4.7440000000000007</v>
      </c>
      <c r="P102" s="63">
        <f t="shared" si="47"/>
        <v>4.7440000000000007</v>
      </c>
      <c r="Q102" s="66"/>
      <c r="R102" s="63">
        <f t="shared" si="48"/>
        <v>0.32500000000000001</v>
      </c>
      <c r="S102" s="64">
        <f t="shared" si="49"/>
        <v>0.32500000000000001</v>
      </c>
      <c r="T102" s="63">
        <f t="shared" si="50"/>
        <v>0</v>
      </c>
      <c r="U102" s="64">
        <f t="shared" si="51"/>
        <v>0</v>
      </c>
      <c r="V102" s="219">
        <f>IF($A103="","",IF(AND(MONTH(A102)&gt;3,MONTH(A102)&lt;11),(T102+R102+G102)*Summary!$T$10/(1-Summary!$T$10),(T102+R102+G102)*Summary!$U$10/(1-Summary!$U$10)))</f>
        <v>3.8661290322580651E-2</v>
      </c>
      <c r="W102" s="63">
        <f t="shared" si="52"/>
        <v>4.832661290322581</v>
      </c>
      <c r="X102" s="63">
        <f t="shared" si="53"/>
        <v>4.832661290322581</v>
      </c>
      <c r="Y102" s="43"/>
      <c r="Z102" s="38">
        <f t="shared" si="54"/>
        <v>1.1000000000000001</v>
      </c>
      <c r="AA102" s="38">
        <f t="shared" si="55"/>
        <v>0.20300000000000001</v>
      </c>
      <c r="AB102" s="38">
        <f t="shared" ca="1" si="56"/>
        <v>0.21733117915552824</v>
      </c>
      <c r="AC102" s="38">
        <f t="shared" si="57"/>
        <v>1.1000000000000001</v>
      </c>
      <c r="AD102" s="38">
        <f t="shared" si="57"/>
        <v>0.20300000000000001</v>
      </c>
      <c r="AE102" s="38">
        <f t="shared" ca="1" si="58"/>
        <v>0.21733117915552824</v>
      </c>
      <c r="AF102" s="237">
        <f ca="1">((Summary!$N$10*(AA102*AD102)*(A102-$D$3))+(Summary!$M$10*Z102*AC102*(AJ102-EOMONTH(EDATE(A102,-1),0))))/(AK102*AB102*AE102)</f>
        <v>0.99991272255266983</v>
      </c>
      <c r="AG102" s="88">
        <f>IF($A103="","",Summary!$Q$10)</f>
        <v>0</v>
      </c>
      <c r="AH102" s="88">
        <f>IF($A103="","",IF(Summary!$R$10="Y",(VLOOKUP($A102,Summary!$AD$6:$AF$9,3)+'Escalating commodity'!F115),'Escalating commodity'!F115))</f>
        <v>1.5820799999999999E-2</v>
      </c>
      <c r="AI102" s="88">
        <f t="shared" si="73"/>
        <v>1.5820799999999999E-2</v>
      </c>
      <c r="AJ102" s="236">
        <f t="shared" si="59"/>
        <v>39858</v>
      </c>
      <c r="AK102" s="58">
        <f t="shared" ca="1" si="60"/>
        <v>2819</v>
      </c>
      <c r="AL102" s="26">
        <f ca="1">IF($A103="","",_xll.SPRDOPT(P102,X102,AI102,0,AB102,AE102,AF102,AK102,$AJ$2,0))</f>
        <v>1.3471323057508769E-3</v>
      </c>
      <c r="AM102" s="89">
        <f t="shared" si="61"/>
        <v>0</v>
      </c>
      <c r="AN102" s="89">
        <f t="shared" ca="1" si="62"/>
        <v>1.3471323057508769E-3</v>
      </c>
      <c r="AO102" s="3">
        <f t="shared" si="63"/>
        <v>28</v>
      </c>
      <c r="AP102" s="33">
        <f t="shared" si="64"/>
        <v>39845</v>
      </c>
      <c r="AQ102" s="58">
        <f t="shared" ca="1" si="65"/>
        <v>2819</v>
      </c>
      <c r="AR102" s="38">
        <f>'ANR OK vs ML7'!AR102</f>
        <v>0.1</v>
      </c>
      <c r="AS102" s="35">
        <f t="shared" ca="1" si="66"/>
        <v>0.47089266062537583</v>
      </c>
      <c r="AT102" s="3">
        <f t="shared" si="67"/>
        <v>1</v>
      </c>
      <c r="AU102" s="3">
        <f t="shared" si="68"/>
        <v>28</v>
      </c>
      <c r="AW102" s="32">
        <f t="shared" ca="1" si="69"/>
        <v>4516.5574241370796</v>
      </c>
      <c r="AX102" s="32">
        <f t="shared" si="70"/>
        <v>0</v>
      </c>
      <c r="AY102" s="32">
        <f t="shared" ca="1" si="71"/>
        <v>4516.5574241370796</v>
      </c>
      <c r="BA102" s="32">
        <f ca="1">IF($A103="","",F102*Summary!$Q$10)</f>
        <v>0</v>
      </c>
      <c r="BC102" s="256">
        <f t="shared" ca="1" si="74"/>
        <v>0</v>
      </c>
    </row>
    <row r="103" spans="1:55">
      <c r="A103" s="67">
        <f t="shared" si="72"/>
        <v>39873</v>
      </c>
      <c r="B103" s="69">
        <f t="shared" si="75"/>
        <v>119740</v>
      </c>
      <c r="C103" s="71"/>
      <c r="D103" s="69">
        <f t="shared" si="38"/>
        <v>119740</v>
      </c>
      <c r="E103" s="70">
        <f t="shared" si="39"/>
        <v>3711940</v>
      </c>
      <c r="F103" s="70">
        <f t="shared" ca="1" si="40"/>
        <v>1734898.7471346015</v>
      </c>
      <c r="G103" s="63">
        <f t="shared" si="41"/>
        <v>4.33</v>
      </c>
      <c r="H103" s="64">
        <f t="shared" si="42"/>
        <v>4.33</v>
      </c>
      <c r="I103" s="43"/>
      <c r="J103" s="63">
        <f t="shared" si="43"/>
        <v>0.27500000000000002</v>
      </c>
      <c r="K103" s="64">
        <f t="shared" si="44"/>
        <v>0.27500000000000002</v>
      </c>
      <c r="L103" s="38">
        <v>0</v>
      </c>
      <c r="M103" s="64">
        <f t="shared" si="45"/>
        <v>0</v>
      </c>
      <c r="N103" s="65"/>
      <c r="O103" s="63">
        <f t="shared" si="46"/>
        <v>4.6050000000000004</v>
      </c>
      <c r="P103" s="63">
        <f t="shared" si="47"/>
        <v>4.6050000000000004</v>
      </c>
      <c r="Q103" s="66"/>
      <c r="R103" s="63">
        <f t="shared" si="48"/>
        <v>0.32500000000000001</v>
      </c>
      <c r="S103" s="64">
        <f t="shared" si="49"/>
        <v>0.32500000000000001</v>
      </c>
      <c r="T103" s="63">
        <f t="shared" si="50"/>
        <v>0</v>
      </c>
      <c r="U103" s="64">
        <f t="shared" si="51"/>
        <v>0</v>
      </c>
      <c r="V103" s="219">
        <f>IF($A104="","",IF(AND(MONTH(A103)&gt;3,MONTH(A103)&lt;11),(T103+R103+G103)*Summary!$T$10/(1-Summary!$T$10),(T103+R103+G103)*Summary!$U$10/(1-Summary!$U$10)))</f>
        <v>3.7540322580645165E-2</v>
      </c>
      <c r="W103" s="63">
        <f t="shared" si="52"/>
        <v>4.692540322580645</v>
      </c>
      <c r="X103" s="63">
        <f t="shared" si="53"/>
        <v>4.692540322580645</v>
      </c>
      <c r="Y103" s="43"/>
      <c r="Z103" s="38">
        <f t="shared" si="54"/>
        <v>0.75</v>
      </c>
      <c r="AA103" s="38">
        <f t="shared" si="55"/>
        <v>0.193</v>
      </c>
      <c r="AB103" s="38">
        <f t="shared" ca="1" si="56"/>
        <v>0.20080965548989368</v>
      </c>
      <c r="AC103" s="38">
        <f t="shared" si="57"/>
        <v>0.75</v>
      </c>
      <c r="AD103" s="38">
        <f t="shared" si="57"/>
        <v>0.193</v>
      </c>
      <c r="AE103" s="38">
        <f t="shared" ca="1" si="58"/>
        <v>0.20080965548989368</v>
      </c>
      <c r="AF103" s="237">
        <f ca="1">((Summary!$N$10*(AA103*AD103)*(A103-$D$3))+(Summary!$M$10*Z103*AC103*(AJ103-EOMONTH(EDATE(A103,-1),0))))/(AK103*AB103*AE103)</f>
        <v>0.99990759447183253</v>
      </c>
      <c r="AG103" s="88">
        <f>IF($A104="","",Summary!$Q$10)</f>
        <v>0</v>
      </c>
      <c r="AH103" s="88">
        <f>IF($A104="","",IF(Summary!$R$10="Y",(VLOOKUP($A103,Summary!$AD$6:$AF$9,3)+'Escalating commodity'!F116),'Escalating commodity'!F116))</f>
        <v>1.5820799999999999E-2</v>
      </c>
      <c r="AI103" s="88">
        <f t="shared" si="73"/>
        <v>1.5820799999999999E-2</v>
      </c>
      <c r="AJ103" s="236">
        <f t="shared" si="59"/>
        <v>39887.5</v>
      </c>
      <c r="AK103" s="58">
        <f t="shared" ca="1" si="60"/>
        <v>2847</v>
      </c>
      <c r="AL103" s="26">
        <f ca="1">IF($A104="","",_xll.SPRDOPT(P103,X103,AI103,0,AB103,AE103,AF103,AK103,$AJ$2,0))</f>
        <v>1.1173238915462031E-3</v>
      </c>
      <c r="AM103" s="89">
        <f t="shared" si="61"/>
        <v>0</v>
      </c>
      <c r="AN103" s="89">
        <f t="shared" ca="1" si="62"/>
        <v>1.1173238915462031E-3</v>
      </c>
      <c r="AO103" s="3">
        <f t="shared" si="63"/>
        <v>31</v>
      </c>
      <c r="AP103" s="33">
        <f t="shared" si="64"/>
        <v>39873</v>
      </c>
      <c r="AQ103" s="58">
        <f t="shared" ca="1" si="65"/>
        <v>2847</v>
      </c>
      <c r="AR103" s="38">
        <f>'ANR OK vs ML7'!AR103</f>
        <v>0.1</v>
      </c>
      <c r="AS103" s="35">
        <f t="shared" ca="1" si="66"/>
        <v>0.4673832947554652</v>
      </c>
      <c r="AT103" s="3">
        <f t="shared" si="67"/>
        <v>1</v>
      </c>
      <c r="AU103" s="3">
        <f t="shared" si="68"/>
        <v>31</v>
      </c>
      <c r="AW103" s="32">
        <f t="shared" ca="1" si="69"/>
        <v>4147.4392459860128</v>
      </c>
      <c r="AX103" s="32">
        <f t="shared" si="70"/>
        <v>0</v>
      </c>
      <c r="AY103" s="32">
        <f t="shared" ca="1" si="71"/>
        <v>4147.4392459860128</v>
      </c>
      <c r="BA103" s="32">
        <f ca="1">IF($A104="","",F103*Summary!$Q$10)</f>
        <v>0</v>
      </c>
      <c r="BC103" s="256">
        <f t="shared" ca="1" si="74"/>
        <v>0</v>
      </c>
    </row>
    <row r="104" spans="1:55">
      <c r="A104" s="67">
        <f t="shared" si="72"/>
        <v>39904</v>
      </c>
      <c r="B104" s="69">
        <f t="shared" si="75"/>
        <v>119740</v>
      </c>
      <c r="C104" s="71"/>
      <c r="D104" s="69">
        <f t="shared" si="38"/>
        <v>119740</v>
      </c>
      <c r="E104" s="70">
        <f t="shared" si="39"/>
        <v>3592200</v>
      </c>
      <c r="F104" s="70">
        <f t="shared" ca="1" si="40"/>
        <v>1665086.8065365581</v>
      </c>
      <c r="G104" s="63">
        <f t="shared" si="41"/>
        <v>4.1550000000000002</v>
      </c>
      <c r="H104" s="64">
        <f t="shared" si="42"/>
        <v>4.1550000000000002</v>
      </c>
      <c r="I104" s="43"/>
      <c r="J104" s="63">
        <f t="shared" si="43"/>
        <v>0.18</v>
      </c>
      <c r="K104" s="64">
        <f t="shared" si="44"/>
        <v>0.18</v>
      </c>
      <c r="L104" s="38">
        <v>0</v>
      </c>
      <c r="M104" s="64">
        <f t="shared" si="45"/>
        <v>0</v>
      </c>
      <c r="N104" s="65"/>
      <c r="O104" s="63">
        <f t="shared" si="46"/>
        <v>4.335</v>
      </c>
      <c r="P104" s="63">
        <f t="shared" si="47"/>
        <v>4.335</v>
      </c>
      <c r="Q104" s="66"/>
      <c r="R104" s="63">
        <f t="shared" si="48"/>
        <v>0.21</v>
      </c>
      <c r="S104" s="64">
        <f t="shared" si="49"/>
        <v>0.21</v>
      </c>
      <c r="T104" s="63">
        <f t="shared" si="50"/>
        <v>0</v>
      </c>
      <c r="U104" s="64">
        <f t="shared" si="51"/>
        <v>0</v>
      </c>
      <c r="V104" s="219">
        <f>IF($A105="","",IF(AND(MONTH(A104)&gt;3,MONTH(A104)&lt;11),(T104+R104+G104)*Summary!$T$10/(1-Summary!$T$10),(T104+R104+G104)*Summary!$U$10/(1-Summary!$U$10)))</f>
        <v>3.5201612903225807E-2</v>
      </c>
      <c r="W104" s="63">
        <f t="shared" si="52"/>
        <v>4.400201612903226</v>
      </c>
      <c r="X104" s="63">
        <f t="shared" si="53"/>
        <v>4.400201612903226</v>
      </c>
      <c r="Y104" s="43"/>
      <c r="Z104" s="38">
        <f t="shared" si="54"/>
        <v>0.45</v>
      </c>
      <c r="AA104" s="38">
        <f t="shared" si="55"/>
        <v>0.19</v>
      </c>
      <c r="AB104" s="38">
        <f t="shared" ca="1" si="56"/>
        <v>0.19278994751748416</v>
      </c>
      <c r="AC104" s="38">
        <f t="shared" si="57"/>
        <v>0.45</v>
      </c>
      <c r="AD104" s="38">
        <f t="shared" si="57"/>
        <v>0.19</v>
      </c>
      <c r="AE104" s="38">
        <f t="shared" ca="1" si="58"/>
        <v>0.19278994751748416</v>
      </c>
      <c r="AF104" s="237">
        <f ca="1">((Summary!$N$10*(AA104*AD104)*(A104-$D$3))+(Summary!$M$10*Z104*AC104*(AJ104-EOMONTH(EDATE(A104,-1),0))))/(AK104*AB104*AE104)</f>
        <v>0.99990283959711856</v>
      </c>
      <c r="AG104" s="88">
        <f>IF($A105="","",Summary!$Q$10)</f>
        <v>0</v>
      </c>
      <c r="AH104" s="88">
        <f>IF($A105="","",IF(Summary!$R$10="Y",(VLOOKUP($A104,Summary!$AD$6:$AF$9,3)+'Escalating commodity'!F117),'Escalating commodity'!F117))</f>
        <v>1.5820799999999999E-2</v>
      </c>
      <c r="AI104" s="88">
        <f t="shared" si="73"/>
        <v>1.5820799999999999E-2</v>
      </c>
      <c r="AJ104" s="236">
        <f t="shared" si="59"/>
        <v>39918</v>
      </c>
      <c r="AK104" s="58">
        <f t="shared" ca="1" si="60"/>
        <v>2878</v>
      </c>
      <c r="AL104" s="26">
        <f ca="1">IF($A105="","",_xll.SPRDOPT(P104,X104,AI104,0,AB104,AE104,AF104,AK104,$AJ$2,0))</f>
        <v>1.3201081963899273E-3</v>
      </c>
      <c r="AM104" s="89">
        <f t="shared" si="61"/>
        <v>0</v>
      </c>
      <c r="AN104" s="89">
        <f t="shared" ca="1" si="62"/>
        <v>1.3201081963899273E-3</v>
      </c>
      <c r="AO104" s="3">
        <f t="shared" si="63"/>
        <v>30</v>
      </c>
      <c r="AP104" s="33">
        <f t="shared" si="64"/>
        <v>39904</v>
      </c>
      <c r="AQ104" s="58">
        <f t="shared" ca="1" si="65"/>
        <v>2878</v>
      </c>
      <c r="AR104" s="38">
        <f>'ANR OK vs ML7'!AR104</f>
        <v>0.1</v>
      </c>
      <c r="AS104" s="35">
        <f t="shared" ca="1" si="66"/>
        <v>0.46352842451326709</v>
      </c>
      <c r="AT104" s="3">
        <f t="shared" si="67"/>
        <v>1</v>
      </c>
      <c r="AU104" s="3">
        <f t="shared" si="68"/>
        <v>30</v>
      </c>
      <c r="AW104" s="32">
        <f t="shared" ca="1" si="69"/>
        <v>4742.0926630718968</v>
      </c>
      <c r="AX104" s="32">
        <f t="shared" si="70"/>
        <v>0</v>
      </c>
      <c r="AY104" s="32">
        <f t="shared" ca="1" si="71"/>
        <v>4742.0926630718968</v>
      </c>
      <c r="BA104" s="32">
        <f ca="1">IF($A105="","",F104*Summary!$Q$10)</f>
        <v>0</v>
      </c>
      <c r="BC104" s="256">
        <f t="shared" ca="1" si="74"/>
        <v>0</v>
      </c>
    </row>
    <row r="105" spans="1:55">
      <c r="A105" s="67">
        <f t="shared" si="72"/>
        <v>39934</v>
      </c>
      <c r="B105" s="69">
        <f t="shared" si="75"/>
        <v>119740</v>
      </c>
      <c r="C105" s="71"/>
      <c r="D105" s="69">
        <f t="shared" si="38"/>
        <v>119740</v>
      </c>
      <c r="E105" s="70">
        <f t="shared" si="39"/>
        <v>3711940</v>
      </c>
      <c r="F105" s="70">
        <f t="shared" ca="1" si="40"/>
        <v>1706854.6137972986</v>
      </c>
      <c r="G105" s="63">
        <f t="shared" si="41"/>
        <v>4.125</v>
      </c>
      <c r="H105" s="64">
        <f t="shared" si="42"/>
        <v>4.125</v>
      </c>
      <c r="I105" s="43"/>
      <c r="J105" s="63">
        <f t="shared" si="43"/>
        <v>0.18</v>
      </c>
      <c r="K105" s="64">
        <f t="shared" si="44"/>
        <v>0.18</v>
      </c>
      <c r="L105" s="38">
        <v>0</v>
      </c>
      <c r="M105" s="64">
        <f t="shared" si="45"/>
        <v>0</v>
      </c>
      <c r="N105" s="65"/>
      <c r="O105" s="63">
        <f t="shared" si="46"/>
        <v>4.3049999999999997</v>
      </c>
      <c r="P105" s="63">
        <f t="shared" si="47"/>
        <v>4.3049999999999997</v>
      </c>
      <c r="Q105" s="66"/>
      <c r="R105" s="63">
        <f t="shared" si="48"/>
        <v>0.21</v>
      </c>
      <c r="S105" s="64">
        <f t="shared" si="49"/>
        <v>0.21</v>
      </c>
      <c r="T105" s="63">
        <f t="shared" si="50"/>
        <v>0</v>
      </c>
      <c r="U105" s="64">
        <f t="shared" si="51"/>
        <v>0</v>
      </c>
      <c r="V105" s="219">
        <f>IF($A106="","",IF(AND(MONTH(A105)&gt;3,MONTH(A105)&lt;11),(T105+R105+G105)*Summary!$T$10/(1-Summary!$T$10),(T105+R105+G105)*Summary!$U$10/(1-Summary!$U$10)))</f>
        <v>3.4959677419354844E-2</v>
      </c>
      <c r="W105" s="63">
        <f t="shared" si="52"/>
        <v>4.369959677419355</v>
      </c>
      <c r="X105" s="63">
        <f t="shared" si="53"/>
        <v>4.369959677419355</v>
      </c>
      <c r="Y105" s="43"/>
      <c r="Z105" s="38">
        <f t="shared" si="54"/>
        <v>0.5</v>
      </c>
      <c r="AA105" s="38">
        <f t="shared" si="55"/>
        <v>0.19</v>
      </c>
      <c r="AB105" s="38">
        <f t="shared" ca="1" si="56"/>
        <v>0.19350696364567158</v>
      </c>
      <c r="AC105" s="38">
        <f t="shared" si="57"/>
        <v>0.5</v>
      </c>
      <c r="AD105" s="38">
        <f t="shared" si="57"/>
        <v>0.19</v>
      </c>
      <c r="AE105" s="38">
        <f t="shared" ca="1" si="58"/>
        <v>0.19350696364567158</v>
      </c>
      <c r="AF105" s="237">
        <f ca="1">((Summary!$N$10*(AA105*AD105)*(A105-$D$3))+(Summary!$M$10*Z105*AC105*(AJ105-EOMONTH(EDATE(A105,-1),0))))/(AK105*AB105*AE105)</f>
        <v>0.99990355864042479</v>
      </c>
      <c r="AG105" s="88">
        <f>IF($A106="","",Summary!$Q$10)</f>
        <v>0</v>
      </c>
      <c r="AH105" s="88">
        <f>IF($A106="","",IF(Summary!$R$10="Y",(VLOOKUP($A105,Summary!$AD$6:$AF$9,3)+'Escalating commodity'!F118),'Escalating commodity'!F118))</f>
        <v>1.5820799999999999E-2</v>
      </c>
      <c r="AI105" s="88">
        <f t="shared" si="73"/>
        <v>1.5820799999999999E-2</v>
      </c>
      <c r="AJ105" s="236">
        <f t="shared" si="59"/>
        <v>39948.5</v>
      </c>
      <c r="AK105" s="58">
        <f t="shared" ca="1" si="60"/>
        <v>2908</v>
      </c>
      <c r="AL105" s="26">
        <f ca="1">IF($A106="","",_xll.SPRDOPT(P105,X105,AI105,0,AB105,AE105,AF105,AK105,$AJ$2,0))</f>
        <v>1.3217606510313347E-3</v>
      </c>
      <c r="AM105" s="89">
        <f t="shared" si="61"/>
        <v>0</v>
      </c>
      <c r="AN105" s="89">
        <f t="shared" ca="1" si="62"/>
        <v>1.3217606510313347E-3</v>
      </c>
      <c r="AO105" s="3">
        <f t="shared" si="63"/>
        <v>31</v>
      </c>
      <c r="AP105" s="33">
        <f t="shared" si="64"/>
        <v>39934</v>
      </c>
      <c r="AQ105" s="58">
        <f t="shared" ca="1" si="65"/>
        <v>2908</v>
      </c>
      <c r="AR105" s="38">
        <f>'ANR OK vs ML7'!AR105</f>
        <v>0.1</v>
      </c>
      <c r="AS105" s="35">
        <f t="shared" ca="1" si="66"/>
        <v>0.45982817981898916</v>
      </c>
      <c r="AT105" s="3">
        <f t="shared" si="67"/>
        <v>1</v>
      </c>
      <c r="AU105" s="3">
        <f t="shared" si="68"/>
        <v>31</v>
      </c>
      <c r="AW105" s="32">
        <f t="shared" ca="1" si="69"/>
        <v>4906.2962309892528</v>
      </c>
      <c r="AX105" s="32">
        <f t="shared" si="70"/>
        <v>0</v>
      </c>
      <c r="AY105" s="32">
        <f t="shared" ca="1" si="71"/>
        <v>4906.2962309892528</v>
      </c>
      <c r="BA105" s="32">
        <f ca="1">IF($A106="","",F105*Summary!$Q$10)</f>
        <v>0</v>
      </c>
      <c r="BC105" s="256">
        <f t="shared" ca="1" si="74"/>
        <v>0</v>
      </c>
    </row>
    <row r="106" spans="1:55">
      <c r="A106" s="67">
        <f t="shared" si="72"/>
        <v>39965</v>
      </c>
      <c r="B106" s="69">
        <f t="shared" si="75"/>
        <v>119740</v>
      </c>
      <c r="C106" s="71"/>
      <c r="D106" s="69">
        <f t="shared" si="38"/>
        <v>119740</v>
      </c>
      <c r="E106" s="70">
        <f t="shared" si="39"/>
        <v>3592200</v>
      </c>
      <c r="F106" s="70">
        <f t="shared" ca="1" si="40"/>
        <v>1638171.1629015512</v>
      </c>
      <c r="G106" s="63">
        <f t="shared" si="41"/>
        <v>4.1950000000000003</v>
      </c>
      <c r="H106" s="64">
        <f t="shared" si="42"/>
        <v>4.1950000000000003</v>
      </c>
      <c r="I106" s="43"/>
      <c r="J106" s="63">
        <f t="shared" si="43"/>
        <v>0.18</v>
      </c>
      <c r="K106" s="64">
        <f t="shared" si="44"/>
        <v>0.18</v>
      </c>
      <c r="L106" s="38">
        <v>0</v>
      </c>
      <c r="M106" s="64">
        <f t="shared" si="45"/>
        <v>0</v>
      </c>
      <c r="N106" s="65"/>
      <c r="O106" s="63">
        <f t="shared" si="46"/>
        <v>4.375</v>
      </c>
      <c r="P106" s="63">
        <f t="shared" si="47"/>
        <v>4.375</v>
      </c>
      <c r="Q106" s="66"/>
      <c r="R106" s="63">
        <f t="shared" si="48"/>
        <v>0.21</v>
      </c>
      <c r="S106" s="64">
        <f t="shared" si="49"/>
        <v>0.21</v>
      </c>
      <c r="T106" s="63">
        <f t="shared" si="50"/>
        <v>0</v>
      </c>
      <c r="U106" s="64">
        <f t="shared" si="51"/>
        <v>0</v>
      </c>
      <c r="V106" s="219">
        <f>IF($A107="","",IF(AND(MONTH(A106)&gt;3,MONTH(A106)&lt;11),(T106+R106+G106)*Summary!$T$10/(1-Summary!$T$10),(T106+R106+G106)*Summary!$U$10/(1-Summary!$U$10)))</f>
        <v>3.5524193548387095E-2</v>
      </c>
      <c r="W106" s="63">
        <f t="shared" si="52"/>
        <v>4.440524193548387</v>
      </c>
      <c r="X106" s="63">
        <f t="shared" si="53"/>
        <v>4.440524193548387</v>
      </c>
      <c r="Y106" s="43"/>
      <c r="Z106" s="38">
        <f t="shared" si="54"/>
        <v>0.5</v>
      </c>
      <c r="AA106" s="38">
        <f t="shared" si="55"/>
        <v>0.19</v>
      </c>
      <c r="AB106" s="38">
        <f t="shared" ca="1" si="56"/>
        <v>0.19336035604071808</v>
      </c>
      <c r="AC106" s="38">
        <f t="shared" si="57"/>
        <v>0.5</v>
      </c>
      <c r="AD106" s="38">
        <f t="shared" si="57"/>
        <v>0.19</v>
      </c>
      <c r="AE106" s="38">
        <f t="shared" ca="1" si="58"/>
        <v>0.19336035604071808</v>
      </c>
      <c r="AF106" s="237">
        <f ca="1">((Summary!$N$10*(AA106*AD106)*(A106-$D$3))+(Summary!$M$10*Z106*AC106*(AJ106-EOMONTH(EDATE(A106,-1),0))))/(AK106*AB106*AE106)</f>
        <v>0.9999034126897457</v>
      </c>
      <c r="AG106" s="88">
        <f>IF($A107="","",Summary!$Q$10)</f>
        <v>0</v>
      </c>
      <c r="AH106" s="88">
        <f>IF($A107="","",IF(Summary!$R$10="Y",(VLOOKUP($A106,Summary!$AD$6:$AF$9,3)+'Escalating commodity'!F119),'Escalating commodity'!F119))</f>
        <v>1.5820799999999999E-2</v>
      </c>
      <c r="AI106" s="88">
        <f t="shared" si="73"/>
        <v>1.5820799999999999E-2</v>
      </c>
      <c r="AJ106" s="236">
        <f t="shared" si="59"/>
        <v>39979</v>
      </c>
      <c r="AK106" s="58">
        <f t="shared" ca="1" si="60"/>
        <v>2939</v>
      </c>
      <c r="AL106" s="26">
        <f ca="1">IF($A107="","",_xll.SPRDOPT(P106,X106,AI106,0,AB106,AE106,AF106,AK106,$AJ$2,0))</f>
        <v>1.3753206947634631E-3</v>
      </c>
      <c r="AM106" s="89">
        <f t="shared" si="61"/>
        <v>0</v>
      </c>
      <c r="AN106" s="89">
        <f t="shared" ca="1" si="62"/>
        <v>1.3753206947634631E-3</v>
      </c>
      <c r="AO106" s="3">
        <f t="shared" si="63"/>
        <v>30</v>
      </c>
      <c r="AP106" s="33">
        <f t="shared" si="64"/>
        <v>39965</v>
      </c>
      <c r="AQ106" s="58">
        <f t="shared" ca="1" si="65"/>
        <v>2939</v>
      </c>
      <c r="AR106" s="38">
        <f>'ANR OK vs ML7'!AR106</f>
        <v>0.1</v>
      </c>
      <c r="AS106" s="35">
        <f t="shared" ca="1" si="66"/>
        <v>0.45603562243236767</v>
      </c>
      <c r="AT106" s="3">
        <f t="shared" si="67"/>
        <v>1</v>
      </c>
      <c r="AU106" s="3">
        <f t="shared" si="68"/>
        <v>30</v>
      </c>
      <c r="AW106" s="32">
        <f t="shared" ca="1" si="69"/>
        <v>4940.4269997293122</v>
      </c>
      <c r="AX106" s="32">
        <f t="shared" si="70"/>
        <v>0</v>
      </c>
      <c r="AY106" s="32">
        <f t="shared" ca="1" si="71"/>
        <v>4940.4269997293122</v>
      </c>
      <c r="BA106" s="32">
        <f ca="1">IF($A107="","",F106*Summary!$Q$10)</f>
        <v>0</v>
      </c>
      <c r="BC106" s="256">
        <f t="shared" ca="1" si="74"/>
        <v>0</v>
      </c>
    </row>
    <row r="107" spans="1:55">
      <c r="A107" s="67">
        <f t="shared" si="72"/>
        <v>39995</v>
      </c>
      <c r="B107" s="69">
        <f t="shared" si="75"/>
        <v>119740</v>
      </c>
      <c r="C107" s="71"/>
      <c r="D107" s="69">
        <f t="shared" si="38"/>
        <v>119740</v>
      </c>
      <c r="E107" s="70">
        <f t="shared" si="39"/>
        <v>3711940</v>
      </c>
      <c r="F107" s="70">
        <f t="shared" ca="1" si="40"/>
        <v>1679263.805713668</v>
      </c>
      <c r="G107" s="63">
        <f t="shared" si="41"/>
        <v>4.25</v>
      </c>
      <c r="H107" s="64">
        <f t="shared" si="42"/>
        <v>4.25</v>
      </c>
      <c r="I107" s="43"/>
      <c r="J107" s="63">
        <f t="shared" si="43"/>
        <v>0.18</v>
      </c>
      <c r="K107" s="64">
        <f t="shared" si="44"/>
        <v>0.18</v>
      </c>
      <c r="L107" s="38">
        <v>0</v>
      </c>
      <c r="M107" s="64">
        <f t="shared" si="45"/>
        <v>0</v>
      </c>
      <c r="N107" s="65"/>
      <c r="O107" s="63">
        <f t="shared" si="46"/>
        <v>4.43</v>
      </c>
      <c r="P107" s="63">
        <f t="shared" si="47"/>
        <v>4.43</v>
      </c>
      <c r="Q107" s="66"/>
      <c r="R107" s="63">
        <f t="shared" si="48"/>
        <v>0.21</v>
      </c>
      <c r="S107" s="64">
        <f t="shared" si="49"/>
        <v>0.21</v>
      </c>
      <c r="T107" s="63">
        <f t="shared" si="50"/>
        <v>0</v>
      </c>
      <c r="U107" s="64">
        <f t="shared" si="51"/>
        <v>0</v>
      </c>
      <c r="V107" s="219">
        <f>IF($A108="","",IF(AND(MONTH(A107)&gt;3,MONTH(A107)&lt;11),(T107+R107+G107)*Summary!$T$10/(1-Summary!$T$10),(T107+R107+G107)*Summary!$U$10/(1-Summary!$U$10)))</f>
        <v>3.5967741935483875E-2</v>
      </c>
      <c r="W107" s="63">
        <f t="shared" si="52"/>
        <v>4.495967741935484</v>
      </c>
      <c r="X107" s="63">
        <f t="shared" si="53"/>
        <v>4.495967741935484</v>
      </c>
      <c r="Y107" s="43"/>
      <c r="Z107" s="38">
        <f t="shared" si="54"/>
        <v>0.55000000000000004</v>
      </c>
      <c r="AA107" s="38">
        <f t="shared" si="55"/>
        <v>0.19</v>
      </c>
      <c r="AB107" s="38">
        <f t="shared" ca="1" si="56"/>
        <v>0.19414271660016474</v>
      </c>
      <c r="AC107" s="38">
        <f t="shared" si="57"/>
        <v>0.55000000000000004</v>
      </c>
      <c r="AD107" s="38">
        <f t="shared" si="57"/>
        <v>0.19</v>
      </c>
      <c r="AE107" s="38">
        <f t="shared" ca="1" si="58"/>
        <v>0.19414271660016474</v>
      </c>
      <c r="AF107" s="237">
        <f ca="1">((Summary!$N$10*(AA107*AD107)*(A107-$D$3))+(Summary!$M$10*Z107*AC107*(AJ107-EOMONTH(EDATE(A107,-1),0))))/(AK107*AB107*AE107)</f>
        <v>0.99990418990981245</v>
      </c>
      <c r="AG107" s="88">
        <f>IF($A108="","",Summary!$Q$10)</f>
        <v>0</v>
      </c>
      <c r="AH107" s="88">
        <f>IF($A108="","",IF(Summary!$R$10="Y",(VLOOKUP($A107,Summary!$AD$6:$AF$9,3)+'Escalating commodity'!F120),'Escalating commodity'!F120))</f>
        <v>1.5820799999999999E-2</v>
      </c>
      <c r="AI107" s="88">
        <f t="shared" si="73"/>
        <v>1.5820799999999999E-2</v>
      </c>
      <c r="AJ107" s="236">
        <f t="shared" si="59"/>
        <v>40009.5</v>
      </c>
      <c r="AK107" s="58">
        <f t="shared" ca="1" si="60"/>
        <v>2969</v>
      </c>
      <c r="AL107" s="26">
        <f ca="1">IF($A108="","",_xll.SPRDOPT(P107,X107,AI107,0,AB107,AE107,AF107,AK107,$AJ$2,0))</f>
        <v>1.4228672489565372E-3</v>
      </c>
      <c r="AM107" s="89">
        <f t="shared" si="61"/>
        <v>0</v>
      </c>
      <c r="AN107" s="89">
        <f t="shared" ca="1" si="62"/>
        <v>1.4228672489565372E-3</v>
      </c>
      <c r="AO107" s="3">
        <f t="shared" si="63"/>
        <v>31</v>
      </c>
      <c r="AP107" s="33">
        <f t="shared" si="64"/>
        <v>39995</v>
      </c>
      <c r="AQ107" s="58">
        <f t="shared" ca="1" si="65"/>
        <v>2969</v>
      </c>
      <c r="AR107" s="38">
        <f>'ANR OK vs ML7'!AR107</f>
        <v>0.1</v>
      </c>
      <c r="AS107" s="35">
        <f t="shared" ca="1" si="66"/>
        <v>0.45239519111668508</v>
      </c>
      <c r="AT107" s="3">
        <f t="shared" si="67"/>
        <v>1</v>
      </c>
      <c r="AU107" s="3">
        <f t="shared" si="68"/>
        <v>31</v>
      </c>
      <c r="AW107" s="32">
        <f t="shared" ca="1" si="69"/>
        <v>5281.5978560917283</v>
      </c>
      <c r="AX107" s="32">
        <f t="shared" si="70"/>
        <v>0</v>
      </c>
      <c r="AY107" s="32">
        <f t="shared" ca="1" si="71"/>
        <v>5281.5978560917283</v>
      </c>
      <c r="BA107" s="32">
        <f ca="1">IF($A108="","",F107*Summary!$Q$10)</f>
        <v>0</v>
      </c>
      <c r="BC107" s="256">
        <f t="shared" ca="1" si="74"/>
        <v>0</v>
      </c>
    </row>
    <row r="108" spans="1:55">
      <c r="A108" s="67">
        <f t="shared" si="72"/>
        <v>40026</v>
      </c>
      <c r="B108" s="69">
        <f t="shared" si="75"/>
        <v>119740</v>
      </c>
      <c r="C108" s="71"/>
      <c r="D108" s="69">
        <f t="shared" si="38"/>
        <v>119740</v>
      </c>
      <c r="E108" s="70">
        <f t="shared" si="39"/>
        <v>3711940</v>
      </c>
      <c r="F108" s="70">
        <f t="shared" ca="1" si="40"/>
        <v>1665413.6229063584</v>
      </c>
      <c r="G108" s="63">
        <f t="shared" si="41"/>
        <v>4.306</v>
      </c>
      <c r="H108" s="64">
        <f t="shared" si="42"/>
        <v>4.306</v>
      </c>
      <c r="I108" s="43"/>
      <c r="J108" s="63">
        <f t="shared" si="43"/>
        <v>0.18</v>
      </c>
      <c r="K108" s="64">
        <f t="shared" si="44"/>
        <v>0.18</v>
      </c>
      <c r="L108" s="38">
        <v>0</v>
      </c>
      <c r="M108" s="64">
        <f t="shared" si="45"/>
        <v>0</v>
      </c>
      <c r="N108" s="65"/>
      <c r="O108" s="63">
        <f t="shared" si="46"/>
        <v>4.4859999999999998</v>
      </c>
      <c r="P108" s="63">
        <f t="shared" si="47"/>
        <v>4.4859999999999998</v>
      </c>
      <c r="Q108" s="66"/>
      <c r="R108" s="63">
        <f t="shared" si="48"/>
        <v>0.21</v>
      </c>
      <c r="S108" s="64">
        <f t="shared" si="49"/>
        <v>0.21</v>
      </c>
      <c r="T108" s="63">
        <f t="shared" si="50"/>
        <v>0</v>
      </c>
      <c r="U108" s="64">
        <f t="shared" si="51"/>
        <v>0</v>
      </c>
      <c r="V108" s="219">
        <f>IF($A109="","",IF(AND(MONTH(A108)&gt;3,MONTH(A108)&lt;11),(T108+R108+G108)*Summary!$T$10/(1-Summary!$T$10),(T108+R108+G108)*Summary!$U$10/(1-Summary!$U$10)))</f>
        <v>3.6419354838709679E-2</v>
      </c>
      <c r="W108" s="63">
        <f t="shared" si="52"/>
        <v>4.55241935483871</v>
      </c>
      <c r="X108" s="63">
        <f t="shared" si="53"/>
        <v>4.55241935483871</v>
      </c>
      <c r="Y108" s="43"/>
      <c r="Z108" s="38">
        <f t="shared" si="54"/>
        <v>0.6</v>
      </c>
      <c r="AA108" s="38">
        <f t="shared" si="55"/>
        <v>0.19</v>
      </c>
      <c r="AB108" s="38">
        <f t="shared" ca="1" si="56"/>
        <v>0.19486414070663011</v>
      </c>
      <c r="AC108" s="38">
        <f t="shared" si="57"/>
        <v>0.6</v>
      </c>
      <c r="AD108" s="38">
        <f t="shared" si="57"/>
        <v>0.19</v>
      </c>
      <c r="AE108" s="38">
        <f t="shared" ca="1" si="58"/>
        <v>0.19486414070663011</v>
      </c>
      <c r="AF108" s="237">
        <f ca="1">((Summary!$N$10*(AA108*AD108)*(A108-$D$3))+(Summary!$M$10*Z108*AC108*(AJ108-EOMONTH(EDATE(A108,-1),0))))/(AK108*AB108*AE108)</f>
        <v>0.9999048983418497</v>
      </c>
      <c r="AG108" s="88">
        <f>IF($A109="","",Summary!$Q$10)</f>
        <v>0</v>
      </c>
      <c r="AH108" s="88">
        <f>IF($A109="","",IF(Summary!$R$10="Y",(VLOOKUP($A108,Summary!$AD$6:$AF$9,3)+'Escalating commodity'!F121),'Escalating commodity'!F121))</f>
        <v>1.5820799999999999E-2</v>
      </c>
      <c r="AI108" s="88">
        <f t="shared" si="73"/>
        <v>1.5820799999999999E-2</v>
      </c>
      <c r="AJ108" s="236">
        <f t="shared" si="59"/>
        <v>40040.5</v>
      </c>
      <c r="AK108" s="58">
        <f t="shared" ca="1" si="60"/>
        <v>3000</v>
      </c>
      <c r="AL108" s="26">
        <f ca="1">IF($A109="","",_xll.SPRDOPT(P108,X108,AI108,0,AB108,AE108,AF108,AK108,$AJ$2,0))</f>
        <v>1.4718046174395007E-3</v>
      </c>
      <c r="AM108" s="89">
        <f t="shared" si="61"/>
        <v>0</v>
      </c>
      <c r="AN108" s="89">
        <f t="shared" ca="1" si="62"/>
        <v>1.4718046174395007E-3</v>
      </c>
      <c r="AO108" s="3">
        <f t="shared" si="63"/>
        <v>31</v>
      </c>
      <c r="AP108" s="33">
        <f t="shared" si="64"/>
        <v>40026</v>
      </c>
      <c r="AQ108" s="58">
        <f t="shared" ca="1" si="65"/>
        <v>3000</v>
      </c>
      <c r="AR108" s="38">
        <f>'ANR OK vs ML7'!AR108</f>
        <v>0.1</v>
      </c>
      <c r="AS108" s="35">
        <f t="shared" ca="1" si="66"/>
        <v>0.44866393931646481</v>
      </c>
      <c r="AT108" s="3">
        <f t="shared" si="67"/>
        <v>1</v>
      </c>
      <c r="AU108" s="3">
        <f t="shared" si="68"/>
        <v>31</v>
      </c>
      <c r="AW108" s="32">
        <f t="shared" ca="1" si="69"/>
        <v>5463.25043165838</v>
      </c>
      <c r="AX108" s="32">
        <f t="shared" si="70"/>
        <v>0</v>
      </c>
      <c r="AY108" s="32">
        <f t="shared" ca="1" si="71"/>
        <v>5463.25043165838</v>
      </c>
      <c r="BA108" s="32">
        <f ca="1">IF($A109="","",F108*Summary!$Q$10)</f>
        <v>0</v>
      </c>
      <c r="BC108" s="256">
        <f t="shared" ca="1" si="74"/>
        <v>0</v>
      </c>
    </row>
    <row r="109" spans="1:55">
      <c r="A109" s="67">
        <f t="shared" si="72"/>
        <v>40057</v>
      </c>
      <c r="B109" s="69">
        <f t="shared" si="75"/>
        <v>119740</v>
      </c>
      <c r="C109" s="71"/>
      <c r="D109" s="69">
        <f t="shared" si="38"/>
        <v>119740</v>
      </c>
      <c r="E109" s="70">
        <f t="shared" si="39"/>
        <v>3592200</v>
      </c>
      <c r="F109" s="70">
        <f t="shared" ca="1" si="40"/>
        <v>1598397.7482880049</v>
      </c>
      <c r="G109" s="63">
        <f t="shared" si="41"/>
        <v>4.32</v>
      </c>
      <c r="H109" s="64">
        <f t="shared" si="42"/>
        <v>4.32</v>
      </c>
      <c r="I109" s="43"/>
      <c r="J109" s="63">
        <f t="shared" si="43"/>
        <v>0.18</v>
      </c>
      <c r="K109" s="64">
        <f t="shared" si="44"/>
        <v>0.18</v>
      </c>
      <c r="L109" s="38">
        <v>0</v>
      </c>
      <c r="M109" s="64">
        <f t="shared" si="45"/>
        <v>0</v>
      </c>
      <c r="N109" s="65"/>
      <c r="O109" s="63">
        <f t="shared" si="46"/>
        <v>4.5</v>
      </c>
      <c r="P109" s="63">
        <f t="shared" si="47"/>
        <v>4.5</v>
      </c>
      <c r="Q109" s="66"/>
      <c r="R109" s="63">
        <f t="shared" si="48"/>
        <v>0.21</v>
      </c>
      <c r="S109" s="64">
        <f t="shared" si="49"/>
        <v>0.21</v>
      </c>
      <c r="T109" s="63">
        <f t="shared" si="50"/>
        <v>0</v>
      </c>
      <c r="U109" s="64">
        <f t="shared" si="51"/>
        <v>0</v>
      </c>
      <c r="V109" s="219">
        <f>IF($A110="","",IF(AND(MONTH(A109)&gt;3,MONTH(A109)&lt;11),(T109+R109+G109)*Summary!$T$10/(1-Summary!$T$10),(T109+R109+G109)*Summary!$U$10/(1-Summary!$U$10)))</f>
        <v>3.6532258064516134E-2</v>
      </c>
      <c r="W109" s="63">
        <f t="shared" si="52"/>
        <v>4.566532258064516</v>
      </c>
      <c r="X109" s="63">
        <f t="shared" si="53"/>
        <v>4.566532258064516</v>
      </c>
      <c r="Y109" s="43"/>
      <c r="Z109" s="38">
        <f t="shared" si="54"/>
        <v>0.6</v>
      </c>
      <c r="AA109" s="38">
        <f t="shared" si="55"/>
        <v>0.19</v>
      </c>
      <c r="AB109" s="38">
        <f t="shared" ca="1" si="56"/>
        <v>0.19466252976596748</v>
      </c>
      <c r="AC109" s="38">
        <f t="shared" si="57"/>
        <v>0.6</v>
      </c>
      <c r="AD109" s="38">
        <f t="shared" si="57"/>
        <v>0.19</v>
      </c>
      <c r="AE109" s="38">
        <f t="shared" ca="1" si="58"/>
        <v>0.19466252976596748</v>
      </c>
      <c r="AF109" s="237">
        <f ca="1">((Summary!$N$10*(AA109*AD109)*(A109-$D$3))+(Summary!$M$10*Z109*AC109*(AJ109-EOMONTH(EDATE(A109,-1),0))))/(AK109*AB109*AE109)</f>
        <v>0.99990470157206646</v>
      </c>
      <c r="AG109" s="88">
        <f>IF($A110="","",Summary!$Q$10)</f>
        <v>0</v>
      </c>
      <c r="AH109" s="88">
        <f>IF($A110="","",IF(Summary!$R$10="Y",(VLOOKUP($A109,Summary!$AD$6:$AF$9,3)+'Escalating commodity'!F122),'Escalating commodity'!F122))</f>
        <v>1.5820799999999999E-2</v>
      </c>
      <c r="AI109" s="88">
        <f t="shared" si="73"/>
        <v>1.5820799999999999E-2</v>
      </c>
      <c r="AJ109" s="236">
        <f t="shared" si="59"/>
        <v>40071</v>
      </c>
      <c r="AK109" s="58">
        <f t="shared" ca="1" si="60"/>
        <v>3031</v>
      </c>
      <c r="AL109" s="26">
        <f ca="1">IF($A110="","",_xll.SPRDOPT(P109,X109,AI109,0,AB109,AE109,AF109,AK109,$AJ$2,0))</f>
        <v>1.4962452193542138E-3</v>
      </c>
      <c r="AM109" s="89">
        <f t="shared" si="61"/>
        <v>0</v>
      </c>
      <c r="AN109" s="89">
        <f t="shared" ca="1" si="62"/>
        <v>1.4962452193542138E-3</v>
      </c>
      <c r="AO109" s="3">
        <f t="shared" si="63"/>
        <v>30</v>
      </c>
      <c r="AP109" s="33">
        <f t="shared" si="64"/>
        <v>40057</v>
      </c>
      <c r="AQ109" s="58">
        <f t="shared" ca="1" si="65"/>
        <v>3031</v>
      </c>
      <c r="AR109" s="38">
        <f>'ANR OK vs ML7'!AR109</f>
        <v>0.1</v>
      </c>
      <c r="AS109" s="35">
        <f t="shared" ca="1" si="66"/>
        <v>0.44496346202550108</v>
      </c>
      <c r="AT109" s="3">
        <f t="shared" si="67"/>
        <v>1</v>
      </c>
      <c r="AU109" s="3">
        <f t="shared" si="68"/>
        <v>30</v>
      </c>
      <c r="AW109" s="32">
        <f t="shared" ca="1" si="69"/>
        <v>5374.8120769642073</v>
      </c>
      <c r="AX109" s="32">
        <f t="shared" si="70"/>
        <v>0</v>
      </c>
      <c r="AY109" s="32">
        <f t="shared" ca="1" si="71"/>
        <v>5374.8120769642073</v>
      </c>
      <c r="BA109" s="32">
        <f ca="1">IF($A110="","",F109*Summary!$Q$10)</f>
        <v>0</v>
      </c>
      <c r="BC109" s="256">
        <f t="shared" ca="1" si="74"/>
        <v>0</v>
      </c>
    </row>
    <row r="110" spans="1:55">
      <c r="A110" s="67">
        <f t="shared" si="72"/>
        <v>40087</v>
      </c>
      <c r="B110" s="69">
        <f t="shared" si="75"/>
        <v>119740</v>
      </c>
      <c r="C110" s="71"/>
      <c r="D110" s="69">
        <f t="shared" si="38"/>
        <v>119740</v>
      </c>
      <c r="E110" s="70">
        <f t="shared" si="39"/>
        <v>3711940</v>
      </c>
      <c r="F110" s="70">
        <f t="shared" ca="1" si="40"/>
        <v>1638492.6963798476</v>
      </c>
      <c r="G110" s="63">
        <f t="shared" si="41"/>
        <v>4.351</v>
      </c>
      <c r="H110" s="64">
        <f t="shared" si="42"/>
        <v>4.351</v>
      </c>
      <c r="I110" s="43"/>
      <c r="J110" s="63">
        <f t="shared" si="43"/>
        <v>0.18</v>
      </c>
      <c r="K110" s="64">
        <f t="shared" si="44"/>
        <v>0.18</v>
      </c>
      <c r="L110" s="38">
        <v>0</v>
      </c>
      <c r="M110" s="64">
        <f t="shared" si="45"/>
        <v>0</v>
      </c>
      <c r="N110" s="65"/>
      <c r="O110" s="63">
        <f t="shared" si="46"/>
        <v>4.5309999999999997</v>
      </c>
      <c r="P110" s="63">
        <f t="shared" si="47"/>
        <v>4.5309999999999997</v>
      </c>
      <c r="Q110" s="66"/>
      <c r="R110" s="63">
        <f t="shared" si="48"/>
        <v>0.21</v>
      </c>
      <c r="S110" s="64">
        <f t="shared" si="49"/>
        <v>0.21</v>
      </c>
      <c r="T110" s="63">
        <f t="shared" si="50"/>
        <v>0</v>
      </c>
      <c r="U110" s="64">
        <f t="shared" si="51"/>
        <v>0</v>
      </c>
      <c r="V110" s="219">
        <f>IF($A111="","",IF(AND(MONTH(A110)&gt;3,MONTH(A110)&lt;11),(T110+R110+G110)*Summary!$T$10/(1-Summary!$T$10),(T110+R110+G110)*Summary!$U$10/(1-Summary!$U$10)))</f>
        <v>3.6782258064516127E-2</v>
      </c>
      <c r="W110" s="63">
        <f t="shared" si="52"/>
        <v>4.597782258064516</v>
      </c>
      <c r="X110" s="63">
        <f t="shared" si="53"/>
        <v>4.597782258064516</v>
      </c>
      <c r="Y110" s="43"/>
      <c r="Z110" s="38">
        <f t="shared" si="54"/>
        <v>0.65</v>
      </c>
      <c r="AA110" s="38">
        <f t="shared" si="55"/>
        <v>0.19</v>
      </c>
      <c r="AB110" s="38">
        <f t="shared" ca="1" si="56"/>
        <v>0.19557916237500539</v>
      </c>
      <c r="AC110" s="38">
        <f t="shared" si="57"/>
        <v>0.65</v>
      </c>
      <c r="AD110" s="38">
        <f t="shared" si="57"/>
        <v>0.19</v>
      </c>
      <c r="AE110" s="38">
        <f t="shared" ca="1" si="58"/>
        <v>0.19557916237500539</v>
      </c>
      <c r="AF110" s="237">
        <f ca="1">((Summary!$N$10*(AA110*AD110)*(A110-$D$3))+(Summary!$M$10*Z110*AC110*(AJ110-EOMONTH(EDATE(A110,-1),0))))/(AK110*AB110*AE110)</f>
        <v>0.99990559306566618</v>
      </c>
      <c r="AG110" s="88">
        <f>IF($A111="","",Summary!$Q$10)</f>
        <v>0</v>
      </c>
      <c r="AH110" s="88">
        <f>IF($A111="","",IF(Summary!$R$10="Y",(VLOOKUP($A110,Summary!$AD$6:$AF$9,3)+'Escalating commodity'!F123),'Escalating commodity'!F123))</f>
        <v>1.5820799999999999E-2</v>
      </c>
      <c r="AI110" s="88">
        <f t="shared" si="73"/>
        <v>1.5820799999999999E-2</v>
      </c>
      <c r="AJ110" s="236">
        <f t="shared" si="59"/>
        <v>40101.5</v>
      </c>
      <c r="AK110" s="58">
        <f t="shared" ca="1" si="60"/>
        <v>3061</v>
      </c>
      <c r="AL110" s="26">
        <f ca="1">IF($A111="","",_xll.SPRDOPT(P110,X110,AI110,0,AB110,AE110,AF110,AK110,$AJ$2,0))</f>
        <v>1.5316934924474411E-3</v>
      </c>
      <c r="AM110" s="89">
        <f t="shared" si="61"/>
        <v>0</v>
      </c>
      <c r="AN110" s="89">
        <f t="shared" ca="1" si="62"/>
        <v>1.5316934924474411E-3</v>
      </c>
      <c r="AO110" s="3">
        <f t="shared" si="63"/>
        <v>31</v>
      </c>
      <c r="AP110" s="33">
        <f t="shared" si="64"/>
        <v>40087</v>
      </c>
      <c r="AQ110" s="58">
        <f t="shared" ca="1" si="65"/>
        <v>3061</v>
      </c>
      <c r="AR110" s="38">
        <f>'ANR OK vs ML7'!AR110</f>
        <v>0.1</v>
      </c>
      <c r="AS110" s="35">
        <f t="shared" ca="1" si="66"/>
        <v>0.44141141731273881</v>
      </c>
      <c r="AT110" s="3">
        <f t="shared" si="67"/>
        <v>1</v>
      </c>
      <c r="AU110" s="3">
        <f t="shared" si="68"/>
        <v>31</v>
      </c>
      <c r="AW110" s="32">
        <f t="shared" ca="1" si="69"/>
        <v>5685.5543423553545</v>
      </c>
      <c r="AX110" s="32">
        <f t="shared" si="70"/>
        <v>0</v>
      </c>
      <c r="AY110" s="32">
        <f t="shared" ca="1" si="71"/>
        <v>5685.5543423553545</v>
      </c>
      <c r="BA110" s="32">
        <f ca="1">IF($A111="","",F110*Summary!$Q$10)</f>
        <v>0</v>
      </c>
      <c r="BC110" s="256">
        <f t="shared" ca="1" si="74"/>
        <v>0</v>
      </c>
    </row>
    <row r="111" spans="1:55">
      <c r="A111" s="67">
        <f t="shared" si="72"/>
        <v>40118</v>
      </c>
      <c r="B111" s="69">
        <f t="shared" si="75"/>
        <v>119740</v>
      </c>
      <c r="C111" s="71"/>
      <c r="D111" s="69">
        <f t="shared" si="38"/>
        <v>119740</v>
      </c>
      <c r="E111" s="70">
        <f t="shared" si="39"/>
        <v>3592200</v>
      </c>
      <c r="F111" s="70">
        <f t="shared" ca="1" si="40"/>
        <v>1572560.1138709716</v>
      </c>
      <c r="G111" s="63">
        <f t="shared" si="41"/>
        <v>4.484</v>
      </c>
      <c r="H111" s="64">
        <f t="shared" si="42"/>
        <v>4.484</v>
      </c>
      <c r="I111" s="43"/>
      <c r="J111" s="63">
        <f t="shared" si="43"/>
        <v>0.27500000000000002</v>
      </c>
      <c r="K111" s="64">
        <f t="shared" si="44"/>
        <v>0.27500000000000002</v>
      </c>
      <c r="L111" s="38">
        <v>0</v>
      </c>
      <c r="M111" s="64">
        <f t="shared" si="45"/>
        <v>0</v>
      </c>
      <c r="N111" s="65"/>
      <c r="O111" s="63">
        <f t="shared" si="46"/>
        <v>4.7590000000000003</v>
      </c>
      <c r="P111" s="63">
        <f t="shared" si="47"/>
        <v>4.7590000000000003</v>
      </c>
      <c r="Q111" s="66"/>
      <c r="R111" s="63">
        <f t="shared" si="48"/>
        <v>0.32500000000000001</v>
      </c>
      <c r="S111" s="64">
        <f t="shared" si="49"/>
        <v>0.32500000000000001</v>
      </c>
      <c r="T111" s="63">
        <f t="shared" si="50"/>
        <v>0</v>
      </c>
      <c r="U111" s="64">
        <f t="shared" si="51"/>
        <v>0</v>
      </c>
      <c r="V111" s="219">
        <f>IF($A112="","",IF(AND(MONTH(A111)&gt;3,MONTH(A111)&lt;11),(T111+R111+G111)*Summary!$T$10/(1-Summary!$T$10),(T111+R111+G111)*Summary!$U$10/(1-Summary!$U$10)))</f>
        <v>3.8782258064516129E-2</v>
      </c>
      <c r="W111" s="63">
        <f t="shared" si="52"/>
        <v>4.847782258064516</v>
      </c>
      <c r="X111" s="63">
        <f t="shared" si="53"/>
        <v>4.847782258064516</v>
      </c>
      <c r="Y111" s="43"/>
      <c r="Z111" s="38">
        <f t="shared" si="54"/>
        <v>0.8</v>
      </c>
      <c r="AA111" s="38">
        <f t="shared" si="55"/>
        <v>0.19</v>
      </c>
      <c r="AB111" s="38">
        <f t="shared" ca="1" si="56"/>
        <v>0.1980314667849499</v>
      </c>
      <c r="AC111" s="38">
        <f t="shared" si="57"/>
        <v>0.8</v>
      </c>
      <c r="AD111" s="38">
        <f t="shared" si="57"/>
        <v>0.19</v>
      </c>
      <c r="AE111" s="38">
        <f t="shared" ca="1" si="58"/>
        <v>0.1980314667849499</v>
      </c>
      <c r="AF111" s="237">
        <f ca="1">((Summary!$N$10*(AA111*AD111)*(A111-$D$3))+(Summary!$M$10*Z111*AC111*(AJ111-EOMONTH(EDATE(A111,-1),0))))/(AK111*AB111*AE111)</f>
        <v>0.99990791704911763</v>
      </c>
      <c r="AG111" s="88">
        <f>IF($A112="","",Summary!$Q$10)</f>
        <v>0</v>
      </c>
      <c r="AH111" s="88">
        <f>IF($A112="","",IF(Summary!$R$10="Y",(VLOOKUP($A111,Summary!$AD$6:$AF$9,3)+'Escalating commodity'!F124),'Escalating commodity'!F124))</f>
        <v>1.5820799999999999E-2</v>
      </c>
      <c r="AI111" s="88">
        <f t="shared" si="73"/>
        <v>1.5820799999999999E-2</v>
      </c>
      <c r="AJ111" s="236">
        <f t="shared" si="59"/>
        <v>40132</v>
      </c>
      <c r="AK111" s="58">
        <f t="shared" ca="1" si="60"/>
        <v>3092</v>
      </c>
      <c r="AL111" s="26">
        <f ca="1">IF($A112="","",_xll.SPRDOPT(P111,X111,AI111,0,AB111,AE111,AF111,AK111,$AJ$2,0))</f>
        <v>1.2739328390645992E-3</v>
      </c>
      <c r="AM111" s="89">
        <f t="shared" si="61"/>
        <v>0</v>
      </c>
      <c r="AN111" s="89">
        <f t="shared" ca="1" si="62"/>
        <v>1.2739328390645992E-3</v>
      </c>
      <c r="AO111" s="3">
        <f t="shared" si="63"/>
        <v>30</v>
      </c>
      <c r="AP111" s="33">
        <f t="shared" si="64"/>
        <v>40118</v>
      </c>
      <c r="AQ111" s="58">
        <f t="shared" ca="1" si="65"/>
        <v>3092</v>
      </c>
      <c r="AR111" s="38">
        <f>'ANR OK vs ML7'!AR111</f>
        <v>0.1</v>
      </c>
      <c r="AS111" s="35">
        <f t="shared" ca="1" si="66"/>
        <v>0.43777075716022817</v>
      </c>
      <c r="AT111" s="3">
        <f t="shared" si="67"/>
        <v>1</v>
      </c>
      <c r="AU111" s="3">
        <f t="shared" si="68"/>
        <v>30</v>
      </c>
      <c r="AW111" s="32">
        <f t="shared" ca="1" si="69"/>
        <v>4576.221544487853</v>
      </c>
      <c r="AX111" s="32">
        <f t="shared" si="70"/>
        <v>0</v>
      </c>
      <c r="AY111" s="32">
        <f t="shared" ca="1" si="71"/>
        <v>4576.221544487853</v>
      </c>
      <c r="BA111" s="32">
        <f ca="1">IF($A112="","",F111*Summary!$Q$10)</f>
        <v>0</v>
      </c>
      <c r="BC111" s="256">
        <f t="shared" ca="1" si="74"/>
        <v>0</v>
      </c>
    </row>
    <row r="112" spans="1:55">
      <c r="A112" s="67">
        <f t="shared" si="72"/>
        <v>40148</v>
      </c>
      <c r="B112" s="69">
        <f t="shared" si="75"/>
        <v>119740</v>
      </c>
      <c r="C112" s="71"/>
      <c r="D112" s="69">
        <f t="shared" si="38"/>
        <v>119740</v>
      </c>
      <c r="E112" s="70">
        <f t="shared" si="39"/>
        <v>3711940</v>
      </c>
      <c r="F112" s="70">
        <f t="shared" ca="1" si="40"/>
        <v>1612006.9387958008</v>
      </c>
      <c r="G112" s="63">
        <f t="shared" si="41"/>
        <v>4.6219999999999999</v>
      </c>
      <c r="H112" s="64">
        <f t="shared" si="42"/>
        <v>4.6219999999999999</v>
      </c>
      <c r="I112" s="43"/>
      <c r="J112" s="63">
        <f t="shared" si="43"/>
        <v>0.27500000000000002</v>
      </c>
      <c r="K112" s="64">
        <f t="shared" si="44"/>
        <v>0.27500000000000002</v>
      </c>
      <c r="L112" s="38">
        <v>0</v>
      </c>
      <c r="M112" s="64">
        <f t="shared" si="45"/>
        <v>0</v>
      </c>
      <c r="N112" s="65"/>
      <c r="O112" s="63">
        <f t="shared" si="46"/>
        <v>4.8970000000000002</v>
      </c>
      <c r="P112" s="63">
        <f t="shared" si="47"/>
        <v>4.8970000000000002</v>
      </c>
      <c r="Q112" s="66"/>
      <c r="R112" s="63">
        <f t="shared" si="48"/>
        <v>0.32500000000000001</v>
      </c>
      <c r="S112" s="64">
        <f t="shared" si="49"/>
        <v>0.32500000000000001</v>
      </c>
      <c r="T112" s="63">
        <f t="shared" si="50"/>
        <v>0</v>
      </c>
      <c r="U112" s="64">
        <f t="shared" si="51"/>
        <v>0</v>
      </c>
      <c r="V112" s="219">
        <f>IF($A113="","",IF(AND(MONTH(A112)&gt;3,MONTH(A112)&lt;11),(T112+R112+G112)*Summary!$T$10/(1-Summary!$T$10),(T112+R112+G112)*Summary!$U$10/(1-Summary!$U$10)))</f>
        <v>3.9895161290322584E-2</v>
      </c>
      <c r="W112" s="63">
        <f t="shared" si="52"/>
        <v>4.986895161290323</v>
      </c>
      <c r="X112" s="63">
        <f t="shared" si="53"/>
        <v>4.986895161290323</v>
      </c>
      <c r="Y112" s="43"/>
      <c r="Z112" s="38">
        <f t="shared" si="54"/>
        <v>1.1000000000000001</v>
      </c>
      <c r="AA112" s="38">
        <f t="shared" si="55"/>
        <v>0.19</v>
      </c>
      <c r="AB112" s="38">
        <f t="shared" ca="1" si="56"/>
        <v>0.20522897011135161</v>
      </c>
      <c r="AC112" s="38">
        <f t="shared" si="57"/>
        <v>1.1000000000000001</v>
      </c>
      <c r="AD112" s="38">
        <f t="shared" si="57"/>
        <v>0.19</v>
      </c>
      <c r="AE112" s="38">
        <f t="shared" ca="1" si="58"/>
        <v>0.20522897011135161</v>
      </c>
      <c r="AF112" s="237">
        <f ca="1">((Summary!$N$10*(AA112*AD112)*(A112-$D$3))+(Summary!$M$10*Z112*AC112*(AJ112-EOMONTH(EDATE(A112,-1),0))))/(AK112*AB112*AE112)</f>
        <v>0.99991426286718987</v>
      </c>
      <c r="AG112" s="88">
        <f>IF($A113="","",Summary!$Q$10)</f>
        <v>0</v>
      </c>
      <c r="AH112" s="88">
        <f>IF($A113="","",IF(Summary!$R$10="Y",(VLOOKUP($A112,Summary!$AD$6:$AF$9,3)+'Escalating commodity'!F125),'Escalating commodity'!F125))</f>
        <v>1.5820799999999999E-2</v>
      </c>
      <c r="AI112" s="88">
        <f t="shared" si="73"/>
        <v>1.5820799999999999E-2</v>
      </c>
      <c r="AJ112" s="236">
        <f t="shared" si="59"/>
        <v>40162.5</v>
      </c>
      <c r="AK112" s="58">
        <f t="shared" ca="1" si="60"/>
        <v>3122</v>
      </c>
      <c r="AL112" s="26">
        <f ca="1">IF($A113="","",_xll.SPRDOPT(P112,X112,AI112,0,AB112,AE112,AF112,AK112,$AJ$2,0))</f>
        <v>1.3829413643407854E-3</v>
      </c>
      <c r="AM112" s="89">
        <f t="shared" si="61"/>
        <v>0</v>
      </c>
      <c r="AN112" s="89">
        <f t="shared" ca="1" si="62"/>
        <v>1.3829413643407854E-3</v>
      </c>
      <c r="AO112" s="3">
        <f t="shared" si="63"/>
        <v>31</v>
      </c>
      <c r="AP112" s="33">
        <f t="shared" si="64"/>
        <v>40148</v>
      </c>
      <c r="AQ112" s="58">
        <f t="shared" ca="1" si="65"/>
        <v>3122</v>
      </c>
      <c r="AR112" s="38">
        <f>'ANR OK vs ML7'!AR112</f>
        <v>0.1</v>
      </c>
      <c r="AS112" s="35">
        <f t="shared" ca="1" si="66"/>
        <v>0.43427613021649081</v>
      </c>
      <c r="AT112" s="3">
        <f t="shared" si="67"/>
        <v>1</v>
      </c>
      <c r="AU112" s="3">
        <f t="shared" si="68"/>
        <v>31</v>
      </c>
      <c r="AW112" s="32">
        <f t="shared" ca="1" si="69"/>
        <v>5133.3953679511351</v>
      </c>
      <c r="AX112" s="32">
        <f t="shared" si="70"/>
        <v>0</v>
      </c>
      <c r="AY112" s="32">
        <f t="shared" ca="1" si="71"/>
        <v>5133.3953679511351</v>
      </c>
      <c r="BA112" s="32">
        <f ca="1">IF($A113="","",F112*Summary!$Q$10)</f>
        <v>0</v>
      </c>
      <c r="BC112" s="256">
        <f t="shared" ca="1" si="74"/>
        <v>0</v>
      </c>
    </row>
    <row r="113" spans="1:55">
      <c r="A113" s="67">
        <f t="shared" si="72"/>
        <v>40179</v>
      </c>
      <c r="B113" s="69">
        <f t="shared" si="75"/>
        <v>119740</v>
      </c>
      <c r="C113" s="71"/>
      <c r="D113" s="69">
        <f t="shared" si="38"/>
        <v>119740</v>
      </c>
      <c r="E113" s="70">
        <f t="shared" si="39"/>
        <v>3711940</v>
      </c>
      <c r="F113" s="70">
        <f t="shared" ca="1" si="40"/>
        <v>1598711.4752045488</v>
      </c>
      <c r="G113" s="63">
        <f t="shared" si="41"/>
        <v>4.649</v>
      </c>
      <c r="H113" s="64">
        <f t="shared" si="42"/>
        <v>4.649</v>
      </c>
      <c r="I113" s="43"/>
      <c r="J113" s="63">
        <f t="shared" si="43"/>
        <v>0.27500000000000002</v>
      </c>
      <c r="K113" s="64">
        <f t="shared" si="44"/>
        <v>0.27500000000000002</v>
      </c>
      <c r="L113" s="38">
        <v>0</v>
      </c>
      <c r="M113" s="64">
        <f t="shared" si="45"/>
        <v>0</v>
      </c>
      <c r="N113" s="65"/>
      <c r="O113" s="63">
        <f t="shared" si="46"/>
        <v>4.9240000000000004</v>
      </c>
      <c r="P113" s="63">
        <f t="shared" si="47"/>
        <v>4.9240000000000004</v>
      </c>
      <c r="Q113" s="66"/>
      <c r="R113" s="63">
        <f t="shared" si="48"/>
        <v>0.32500000000000001</v>
      </c>
      <c r="S113" s="64">
        <f t="shared" si="49"/>
        <v>0.32500000000000001</v>
      </c>
      <c r="T113" s="63">
        <f t="shared" si="50"/>
        <v>0</v>
      </c>
      <c r="U113" s="64">
        <f t="shared" si="51"/>
        <v>0</v>
      </c>
      <c r="V113" s="219">
        <f>IF($A114="","",IF(AND(MONTH(A113)&gt;3,MONTH(A113)&lt;11),(T113+R113+G113)*Summary!$T$10/(1-Summary!$T$10),(T113+R113+G113)*Summary!$U$10/(1-Summary!$U$10)))</f>
        <v>4.0112903225806455E-2</v>
      </c>
      <c r="W113" s="63">
        <f t="shared" si="52"/>
        <v>5.0141129032258069</v>
      </c>
      <c r="X113" s="63">
        <f t="shared" si="53"/>
        <v>5.0141129032258069</v>
      </c>
      <c r="Y113" s="43"/>
      <c r="Z113" s="38">
        <f t="shared" si="54"/>
        <v>1.1000000000000001</v>
      </c>
      <c r="AA113" s="38">
        <f t="shared" si="55"/>
        <v>0.19</v>
      </c>
      <c r="AB113" s="38">
        <f t="shared" ca="1" si="56"/>
        <v>0.20508474496304122</v>
      </c>
      <c r="AC113" s="38">
        <f t="shared" si="57"/>
        <v>1.1000000000000001</v>
      </c>
      <c r="AD113" s="38">
        <f t="shared" si="57"/>
        <v>0.19</v>
      </c>
      <c r="AE113" s="38">
        <f t="shared" ca="1" si="58"/>
        <v>0.20508474496304122</v>
      </c>
      <c r="AF113" s="237">
        <f ca="1">((Summary!$N$10*(AA113*AD113)*(A113-$D$3))+(Summary!$M$10*Z113*AC113*(AJ113-EOMONTH(EDATE(A113,-1),0))))/(AK113*AB113*AE113)</f>
        <v>0.99991414250639454</v>
      </c>
      <c r="AG113" s="88">
        <f>IF($A114="","",Summary!$Q$10)</f>
        <v>0</v>
      </c>
      <c r="AH113" s="88">
        <f>IF($A114="","",IF(Summary!$R$10="Y",(VLOOKUP($A113,Summary!$AD$6:$AF$9,3)+'Escalating commodity'!F126),'Escalating commodity'!F126))</f>
        <v>1.5820799999999999E-2</v>
      </c>
      <c r="AI113" s="88">
        <f t="shared" si="73"/>
        <v>1.5820799999999999E-2</v>
      </c>
      <c r="AJ113" s="236">
        <f t="shared" si="59"/>
        <v>40193.5</v>
      </c>
      <c r="AK113" s="58">
        <f t="shared" ca="1" si="60"/>
        <v>3153</v>
      </c>
      <c r="AL113" s="26">
        <f ca="1">IF($A114="","",_xll.SPRDOPT(P113,X113,AI113,0,AB113,AE113,AF113,AK113,$AJ$2,0))</f>
        <v>1.4132654798774055E-3</v>
      </c>
      <c r="AM113" s="89">
        <f t="shared" si="61"/>
        <v>0</v>
      </c>
      <c r="AN113" s="89">
        <f t="shared" ca="1" si="62"/>
        <v>1.4132654798774055E-3</v>
      </c>
      <c r="AO113" s="3">
        <f t="shared" si="63"/>
        <v>31</v>
      </c>
      <c r="AP113" s="33">
        <f t="shared" si="64"/>
        <v>40179</v>
      </c>
      <c r="AQ113" s="58">
        <f t="shared" ca="1" si="65"/>
        <v>3153</v>
      </c>
      <c r="AR113" s="38">
        <f>'ANR OK vs ML7'!AR113</f>
        <v>0.1</v>
      </c>
      <c r="AS113" s="35">
        <f t="shared" ca="1" si="66"/>
        <v>0.43069432027579885</v>
      </c>
      <c r="AT113" s="3">
        <f t="shared" si="67"/>
        <v>1</v>
      </c>
      <c r="AU113" s="3">
        <f t="shared" si="68"/>
        <v>31</v>
      </c>
      <c r="AW113" s="32">
        <f t="shared" ca="1" si="69"/>
        <v>5245.9566653761367</v>
      </c>
      <c r="AX113" s="32">
        <f t="shared" si="70"/>
        <v>0</v>
      </c>
      <c r="AY113" s="32">
        <f t="shared" ca="1" si="71"/>
        <v>5245.9566653761367</v>
      </c>
      <c r="BA113" s="32">
        <f ca="1">IF($A114="","",F113*Summary!$Q$10)</f>
        <v>0</v>
      </c>
      <c r="BC113" s="256">
        <f t="shared" ca="1" si="74"/>
        <v>0</v>
      </c>
    </row>
    <row r="114" spans="1:55">
      <c r="A114" s="67">
        <f t="shared" si="72"/>
        <v>40210</v>
      </c>
      <c r="B114" s="69">
        <f t="shared" si="75"/>
        <v>119740</v>
      </c>
      <c r="C114" s="71"/>
      <c r="D114" s="69">
        <f t="shared" si="38"/>
        <v>119740</v>
      </c>
      <c r="E114" s="70">
        <f t="shared" si="39"/>
        <v>3352720</v>
      </c>
      <c r="F114" s="70">
        <f t="shared" ca="1" si="40"/>
        <v>1432087.7015274896</v>
      </c>
      <c r="G114" s="63">
        <f t="shared" si="41"/>
        <v>4.5289999999999999</v>
      </c>
      <c r="H114" s="64">
        <f t="shared" si="42"/>
        <v>4.5289999999999999</v>
      </c>
      <c r="I114" s="43"/>
      <c r="J114" s="63">
        <f t="shared" si="43"/>
        <v>0.27500000000000002</v>
      </c>
      <c r="K114" s="64">
        <f t="shared" si="44"/>
        <v>0.27500000000000002</v>
      </c>
      <c r="L114" s="38">
        <v>0</v>
      </c>
      <c r="M114" s="64">
        <f t="shared" si="45"/>
        <v>0</v>
      </c>
      <c r="N114" s="65"/>
      <c r="O114" s="63">
        <f t="shared" si="46"/>
        <v>4.8040000000000003</v>
      </c>
      <c r="P114" s="63">
        <f t="shared" si="47"/>
        <v>4.8040000000000003</v>
      </c>
      <c r="Q114" s="66"/>
      <c r="R114" s="63">
        <f t="shared" si="48"/>
        <v>0.32500000000000001</v>
      </c>
      <c r="S114" s="64">
        <f t="shared" si="49"/>
        <v>0.32500000000000001</v>
      </c>
      <c r="T114" s="63">
        <f t="shared" si="50"/>
        <v>0</v>
      </c>
      <c r="U114" s="64">
        <f t="shared" si="51"/>
        <v>0</v>
      </c>
      <c r="V114" s="219">
        <f>IF($A115="","",IF(AND(MONTH(A114)&gt;3,MONTH(A114)&lt;11),(T114+R114+G114)*Summary!$T$10/(1-Summary!$T$10),(T114+R114+G114)*Summary!$U$10/(1-Summary!$U$10)))</f>
        <v>3.9145161290322576E-2</v>
      </c>
      <c r="W114" s="63">
        <f t="shared" si="52"/>
        <v>4.893145161290323</v>
      </c>
      <c r="X114" s="63">
        <f t="shared" si="53"/>
        <v>4.893145161290323</v>
      </c>
      <c r="Y114" s="43"/>
      <c r="Z114" s="38">
        <f t="shared" si="54"/>
        <v>1.1000000000000001</v>
      </c>
      <c r="AA114" s="38">
        <f t="shared" si="55"/>
        <v>0.185</v>
      </c>
      <c r="AB114" s="38">
        <f t="shared" ca="1" si="56"/>
        <v>0.19888715598696391</v>
      </c>
      <c r="AC114" s="38">
        <f t="shared" si="57"/>
        <v>1.1000000000000001</v>
      </c>
      <c r="AD114" s="38">
        <f t="shared" si="57"/>
        <v>0.185</v>
      </c>
      <c r="AE114" s="38">
        <f t="shared" ca="1" si="58"/>
        <v>0.19888715598696391</v>
      </c>
      <c r="AF114" s="237">
        <f ca="1">((Summary!$N$10*(AA114*AD114)*(A114-$D$3))+(Summary!$M$10*Z114*AC114*(AJ114-EOMONTH(EDATE(A114,-1),0))))/(AK114*AB114*AE114)</f>
        <v>0.99991345014207389</v>
      </c>
      <c r="AG114" s="88">
        <f>IF($A115="","",Summary!$Q$10)</f>
        <v>0</v>
      </c>
      <c r="AH114" s="88">
        <f>IF($A115="","",IF(Summary!$R$10="Y",(VLOOKUP($A114,Summary!$AD$6:$AF$9,3)+'Escalating commodity'!F127),'Escalating commodity'!F127))</f>
        <v>1.5820799999999999E-2</v>
      </c>
      <c r="AI114" s="88">
        <f t="shared" si="73"/>
        <v>1.5820799999999999E-2</v>
      </c>
      <c r="AJ114" s="236">
        <f t="shared" si="59"/>
        <v>40223</v>
      </c>
      <c r="AK114" s="58">
        <f t="shared" ca="1" si="60"/>
        <v>3184</v>
      </c>
      <c r="AL114" s="26">
        <f ca="1">IF($A115="","",_xll.SPRDOPT(P114,X114,AI114,0,AB114,AE114,AF114,AK114,$AJ$2,0))</f>
        <v>1.2780394279442164E-3</v>
      </c>
      <c r="AM114" s="89">
        <f t="shared" si="61"/>
        <v>0</v>
      </c>
      <c r="AN114" s="89">
        <f t="shared" ca="1" si="62"/>
        <v>1.2780394279442164E-3</v>
      </c>
      <c r="AO114" s="3">
        <f t="shared" si="63"/>
        <v>28</v>
      </c>
      <c r="AP114" s="33">
        <f t="shared" si="64"/>
        <v>40210</v>
      </c>
      <c r="AQ114" s="58">
        <f t="shared" ca="1" si="65"/>
        <v>3184</v>
      </c>
      <c r="AR114" s="38">
        <f>'ANR OK vs ML7'!AR114</f>
        <v>0.1</v>
      </c>
      <c r="AS114" s="35">
        <f t="shared" ca="1" si="66"/>
        <v>0.42714205228217378</v>
      </c>
      <c r="AT114" s="3">
        <f t="shared" si="67"/>
        <v>1</v>
      </c>
      <c r="AU114" s="3">
        <f t="shared" si="68"/>
        <v>28</v>
      </c>
      <c r="AW114" s="32">
        <f t="shared" ca="1" si="69"/>
        <v>4284.908350857133</v>
      </c>
      <c r="AX114" s="32">
        <f t="shared" si="70"/>
        <v>0</v>
      </c>
      <c r="AY114" s="32">
        <f t="shared" ca="1" si="71"/>
        <v>4284.908350857133</v>
      </c>
      <c r="BA114" s="32">
        <f ca="1">IF($A115="","",F114*Summary!$Q$10)</f>
        <v>0</v>
      </c>
      <c r="BC114" s="256">
        <f t="shared" ca="1" si="74"/>
        <v>0</v>
      </c>
    </row>
    <row r="115" spans="1:55">
      <c r="A115" s="67">
        <f t="shared" si="72"/>
        <v>40238</v>
      </c>
      <c r="B115" s="69">
        <f t="shared" si="75"/>
        <v>119740</v>
      </c>
      <c r="C115" s="71"/>
      <c r="D115" s="69">
        <f t="shared" si="38"/>
        <v>119740</v>
      </c>
      <c r="E115" s="70">
        <f t="shared" si="39"/>
        <v>3711940</v>
      </c>
      <c r="F115" s="70">
        <f t="shared" ca="1" si="40"/>
        <v>1573709.4104815437</v>
      </c>
      <c r="G115" s="63">
        <f t="shared" si="41"/>
        <v>4.3899999999999997</v>
      </c>
      <c r="H115" s="64">
        <f t="shared" si="42"/>
        <v>4.3899999999999997</v>
      </c>
      <c r="I115" s="43"/>
      <c r="J115" s="63">
        <f t="shared" si="43"/>
        <v>0.27500000000000002</v>
      </c>
      <c r="K115" s="64">
        <f t="shared" si="44"/>
        <v>0.27500000000000002</v>
      </c>
      <c r="L115" s="38">
        <v>0</v>
      </c>
      <c r="M115" s="64">
        <f t="shared" si="45"/>
        <v>0</v>
      </c>
      <c r="N115" s="65"/>
      <c r="O115" s="63">
        <f t="shared" si="46"/>
        <v>4.665</v>
      </c>
      <c r="P115" s="63">
        <f t="shared" si="47"/>
        <v>4.665</v>
      </c>
      <c r="Q115" s="66"/>
      <c r="R115" s="63">
        <f t="shared" si="48"/>
        <v>0.32500000000000001</v>
      </c>
      <c r="S115" s="64">
        <f t="shared" si="49"/>
        <v>0.32500000000000001</v>
      </c>
      <c r="T115" s="63">
        <f t="shared" si="50"/>
        <v>0</v>
      </c>
      <c r="U115" s="64">
        <f t="shared" si="51"/>
        <v>0</v>
      </c>
      <c r="V115" s="219">
        <f>IF($A116="","",IF(AND(MONTH(A115)&gt;3,MONTH(A115)&lt;11),(T115+R115+G115)*Summary!$T$10/(1-Summary!$T$10),(T115+R115+G115)*Summary!$U$10/(1-Summary!$U$10)))</f>
        <v>3.802419354838709E-2</v>
      </c>
      <c r="W115" s="63">
        <f t="shared" si="52"/>
        <v>4.753024193548387</v>
      </c>
      <c r="X115" s="63">
        <f t="shared" si="53"/>
        <v>4.753024193548387</v>
      </c>
      <c r="Y115" s="43"/>
      <c r="Z115" s="38">
        <f t="shared" si="54"/>
        <v>0.75</v>
      </c>
      <c r="AA115" s="38">
        <f t="shared" si="55"/>
        <v>0.183</v>
      </c>
      <c r="AB115" s="38">
        <f t="shared" ca="1" si="56"/>
        <v>0.19029938643021441</v>
      </c>
      <c r="AC115" s="38">
        <f t="shared" si="57"/>
        <v>0.75</v>
      </c>
      <c r="AD115" s="38">
        <f t="shared" si="57"/>
        <v>0.183</v>
      </c>
      <c r="AE115" s="38">
        <f t="shared" ca="1" si="58"/>
        <v>0.19029938643021441</v>
      </c>
      <c r="AF115" s="237">
        <f ca="1">((Summary!$N$10*(AA115*AD115)*(A115-$D$3))+(Summary!$M$10*Z115*AC115*(AJ115-EOMONTH(EDATE(A115,-1),0))))/(AK115*AB115*AE115)</f>
        <v>0.99990749555702041</v>
      </c>
      <c r="AG115" s="88">
        <f>IF($A116="","",Summary!$Q$10)</f>
        <v>0</v>
      </c>
      <c r="AH115" s="88">
        <f>IF($A116="","",IF(Summary!$R$10="Y",(VLOOKUP($A115,Summary!$AD$6:$AF$9,3)+'Escalating commodity'!F128),'Escalating commodity'!F128))</f>
        <v>1.5820799999999999E-2</v>
      </c>
      <c r="AI115" s="88">
        <f t="shared" si="73"/>
        <v>1.5820799999999999E-2</v>
      </c>
      <c r="AJ115" s="236">
        <f t="shared" si="59"/>
        <v>40252.5</v>
      </c>
      <c r="AK115" s="58">
        <f t="shared" ca="1" si="60"/>
        <v>3212</v>
      </c>
      <c r="AL115" s="26">
        <f ca="1">IF($A116="","",_xll.SPRDOPT(P115,X115,AI115,0,AB115,AE115,AF115,AK115,$AJ$2,0))</f>
        <v>1.167402976120932E-3</v>
      </c>
      <c r="AM115" s="89">
        <f t="shared" si="61"/>
        <v>0</v>
      </c>
      <c r="AN115" s="89">
        <f t="shared" ca="1" si="62"/>
        <v>1.167402976120932E-3</v>
      </c>
      <c r="AO115" s="3">
        <f t="shared" si="63"/>
        <v>31</v>
      </c>
      <c r="AP115" s="33">
        <f t="shared" si="64"/>
        <v>40238</v>
      </c>
      <c r="AQ115" s="58">
        <f t="shared" ca="1" si="65"/>
        <v>3212</v>
      </c>
      <c r="AR115" s="38">
        <f>'ANR OK vs ML7'!AR115</f>
        <v>0.1</v>
      </c>
      <c r="AS115" s="35">
        <f t="shared" ca="1" si="66"/>
        <v>0.42395874138093387</v>
      </c>
      <c r="AT115" s="3">
        <f t="shared" si="67"/>
        <v>1</v>
      </c>
      <c r="AU115" s="3">
        <f t="shared" si="68"/>
        <v>31</v>
      </c>
      <c r="AW115" s="32">
        <f t="shared" ca="1" si="69"/>
        <v>4333.3298031823324</v>
      </c>
      <c r="AX115" s="32">
        <f t="shared" si="70"/>
        <v>0</v>
      </c>
      <c r="AY115" s="32">
        <f t="shared" ca="1" si="71"/>
        <v>4333.3298031823324</v>
      </c>
      <c r="BA115" s="32">
        <f ca="1">IF($A116="","",F115*Summary!$Q$10)</f>
        <v>0</v>
      </c>
      <c r="BC115" s="256">
        <f t="shared" ca="1" si="74"/>
        <v>0</v>
      </c>
    </row>
    <row r="116" spans="1:55">
      <c r="A116" s="67">
        <f t="shared" si="72"/>
        <v>40269</v>
      </c>
      <c r="B116" s="69">
        <f t="shared" si="75"/>
        <v>119740</v>
      </c>
      <c r="C116" s="71"/>
      <c r="D116" s="69">
        <f t="shared" si="38"/>
        <v>119740</v>
      </c>
      <c r="E116" s="70">
        <f t="shared" si="39"/>
        <v>3592200</v>
      </c>
      <c r="F116" s="70">
        <f t="shared" ca="1" si="40"/>
        <v>1510383.6930213326</v>
      </c>
      <c r="G116" s="63">
        <f t="shared" si="41"/>
        <v>4.2149999999999999</v>
      </c>
      <c r="H116" s="64">
        <f t="shared" si="42"/>
        <v>4.2149999999999999</v>
      </c>
      <c r="I116" s="43"/>
      <c r="J116" s="63">
        <f t="shared" si="43"/>
        <v>0.18</v>
      </c>
      <c r="K116" s="64">
        <f t="shared" si="44"/>
        <v>0.18</v>
      </c>
      <c r="L116" s="38">
        <v>0</v>
      </c>
      <c r="M116" s="64">
        <f t="shared" si="45"/>
        <v>0</v>
      </c>
      <c r="N116" s="65"/>
      <c r="O116" s="63">
        <f t="shared" si="46"/>
        <v>4.3949999999999996</v>
      </c>
      <c r="P116" s="63">
        <f t="shared" si="47"/>
        <v>4.3949999999999996</v>
      </c>
      <c r="Q116" s="66"/>
      <c r="R116" s="63">
        <f t="shared" si="48"/>
        <v>0.21</v>
      </c>
      <c r="S116" s="64">
        <f t="shared" si="49"/>
        <v>0.21</v>
      </c>
      <c r="T116" s="63">
        <f t="shared" si="50"/>
        <v>0</v>
      </c>
      <c r="U116" s="64">
        <f t="shared" si="51"/>
        <v>0</v>
      </c>
      <c r="V116" s="219">
        <f>IF($A117="","",IF(AND(MONTH(A116)&gt;3,MONTH(A116)&lt;11),(T116+R116+G116)*Summary!$T$10/(1-Summary!$T$10),(T116+R116+G116)*Summary!$U$10/(1-Summary!$U$10)))</f>
        <v>3.5685483870967746E-2</v>
      </c>
      <c r="W116" s="63">
        <f t="shared" si="52"/>
        <v>4.460685483870968</v>
      </c>
      <c r="X116" s="63">
        <f t="shared" si="53"/>
        <v>4.460685483870968</v>
      </c>
      <c r="Y116" s="43"/>
      <c r="Z116" s="38">
        <f t="shared" si="54"/>
        <v>0.45</v>
      </c>
      <c r="AA116" s="38">
        <f t="shared" si="55"/>
        <v>0.183</v>
      </c>
      <c r="AB116" s="38">
        <f t="shared" ca="1" si="56"/>
        <v>0.18556928435747999</v>
      </c>
      <c r="AC116" s="38">
        <f t="shared" si="57"/>
        <v>0.45</v>
      </c>
      <c r="AD116" s="38">
        <f t="shared" si="57"/>
        <v>0.183</v>
      </c>
      <c r="AE116" s="38">
        <f t="shared" ca="1" si="58"/>
        <v>0.18556928435747999</v>
      </c>
      <c r="AF116" s="237">
        <f ca="1">((Summary!$N$10*(AA116*AD116)*(A116-$D$3))+(Summary!$M$10*Z116*AC116*(AJ116-EOMONTH(EDATE(A116,-1),0))))/(AK116*AB116*AE116)</f>
        <v>0.99990271992639845</v>
      </c>
      <c r="AG116" s="88">
        <f>IF($A117="","",Summary!$Q$10)</f>
        <v>0</v>
      </c>
      <c r="AH116" s="88">
        <f>IF($A117="","",IF(Summary!$R$10="Y",(VLOOKUP($A116,Summary!$AD$6:$AF$9,3)+'Escalating commodity'!F129),'Escalating commodity'!F129))</f>
        <v>1.5820799999999999E-2</v>
      </c>
      <c r="AI116" s="88">
        <f t="shared" si="73"/>
        <v>1.5820799999999999E-2</v>
      </c>
      <c r="AJ116" s="236">
        <f t="shared" si="59"/>
        <v>40283</v>
      </c>
      <c r="AK116" s="58">
        <f t="shared" ca="1" si="60"/>
        <v>3243</v>
      </c>
      <c r="AL116" s="26">
        <f ca="1">IF($A117="","",_xll.SPRDOPT(P116,X116,AI116,0,AB116,AE116,AF116,AK116,$AJ$2,0))</f>
        <v>1.4220718843966328E-3</v>
      </c>
      <c r="AM116" s="89">
        <f t="shared" si="61"/>
        <v>0</v>
      </c>
      <c r="AN116" s="89">
        <f t="shared" ca="1" si="62"/>
        <v>1.4220718843966328E-3</v>
      </c>
      <c r="AO116" s="3">
        <f t="shared" si="63"/>
        <v>30</v>
      </c>
      <c r="AP116" s="33">
        <f t="shared" si="64"/>
        <v>40269</v>
      </c>
      <c r="AQ116" s="58">
        <f t="shared" ca="1" si="65"/>
        <v>3243</v>
      </c>
      <c r="AR116" s="38">
        <f>'ANR OK vs ML7'!AR116</f>
        <v>0.1</v>
      </c>
      <c r="AS116" s="35">
        <f t="shared" ca="1" si="66"/>
        <v>0.42046202689753703</v>
      </c>
      <c r="AT116" s="3">
        <f t="shared" si="67"/>
        <v>1</v>
      </c>
      <c r="AU116" s="3">
        <f t="shared" si="68"/>
        <v>30</v>
      </c>
      <c r="AW116" s="32">
        <f t="shared" ca="1" si="69"/>
        <v>5108.3666231295838</v>
      </c>
      <c r="AX116" s="32">
        <f t="shared" si="70"/>
        <v>0</v>
      </c>
      <c r="AY116" s="32">
        <f t="shared" ca="1" si="71"/>
        <v>5108.3666231295838</v>
      </c>
      <c r="BA116" s="32">
        <f ca="1">IF($A117="","",F116*Summary!$Q$10)</f>
        <v>0</v>
      </c>
      <c r="BC116" s="256">
        <f t="shared" ca="1" si="74"/>
        <v>0</v>
      </c>
    </row>
    <row r="117" spans="1:55">
      <c r="A117" s="67">
        <f t="shared" si="72"/>
        <v>40299</v>
      </c>
      <c r="B117" s="69">
        <f t="shared" si="75"/>
        <v>119740</v>
      </c>
      <c r="C117" s="71"/>
      <c r="D117" s="69">
        <f t="shared" si="38"/>
        <v>119740</v>
      </c>
      <c r="E117" s="70">
        <f t="shared" si="39"/>
        <v>3711940</v>
      </c>
      <c r="F117" s="70">
        <f t="shared" ca="1" si="40"/>
        <v>1548270.8558600682</v>
      </c>
      <c r="G117" s="63">
        <f t="shared" si="41"/>
        <v>4.1849999999999996</v>
      </c>
      <c r="H117" s="64">
        <f t="shared" si="42"/>
        <v>4.1849999999999996</v>
      </c>
      <c r="I117" s="43"/>
      <c r="J117" s="63">
        <f t="shared" si="43"/>
        <v>0.18</v>
      </c>
      <c r="K117" s="64">
        <f t="shared" si="44"/>
        <v>0.18</v>
      </c>
      <c r="L117" s="38">
        <v>0</v>
      </c>
      <c r="M117" s="64">
        <f t="shared" si="45"/>
        <v>0</v>
      </c>
      <c r="N117" s="65"/>
      <c r="O117" s="63">
        <f t="shared" si="46"/>
        <v>4.3649999999999993</v>
      </c>
      <c r="P117" s="63">
        <f t="shared" si="47"/>
        <v>4.3649999999999993</v>
      </c>
      <c r="Q117" s="66"/>
      <c r="R117" s="63">
        <f t="shared" si="48"/>
        <v>0.21</v>
      </c>
      <c r="S117" s="64">
        <f t="shared" si="49"/>
        <v>0.21</v>
      </c>
      <c r="T117" s="63">
        <f t="shared" si="50"/>
        <v>0</v>
      </c>
      <c r="U117" s="64">
        <f t="shared" si="51"/>
        <v>0</v>
      </c>
      <c r="V117" s="219">
        <f>IF($A118="","",IF(AND(MONTH(A117)&gt;3,MONTH(A117)&lt;11),(T117+R117+G117)*Summary!$T$10/(1-Summary!$T$10),(T117+R117+G117)*Summary!$U$10/(1-Summary!$U$10)))</f>
        <v>3.544354838709677E-2</v>
      </c>
      <c r="W117" s="63">
        <f t="shared" si="52"/>
        <v>4.4304435483870961</v>
      </c>
      <c r="X117" s="63">
        <f t="shared" si="53"/>
        <v>4.4304435483870961</v>
      </c>
      <c r="Y117" s="43"/>
      <c r="Z117" s="38">
        <f t="shared" si="54"/>
        <v>0.5</v>
      </c>
      <c r="AA117" s="38">
        <f t="shared" si="55"/>
        <v>0.183</v>
      </c>
      <c r="AB117" s="38">
        <f t="shared" ca="1" si="56"/>
        <v>0.18623415641165267</v>
      </c>
      <c r="AC117" s="38">
        <f t="shared" si="57"/>
        <v>0.5</v>
      </c>
      <c r="AD117" s="38">
        <f t="shared" si="57"/>
        <v>0.183</v>
      </c>
      <c r="AE117" s="38">
        <f t="shared" ca="1" si="58"/>
        <v>0.18623415641165267</v>
      </c>
      <c r="AF117" s="237">
        <f ca="1">((Summary!$N$10*(AA117*AD117)*(A117-$D$3))+(Summary!$M$10*Z117*AC117*(AJ117-EOMONTH(EDATE(A117,-1),0))))/(AK117*AB117*AE117)</f>
        <v>0.99990341355598056</v>
      </c>
      <c r="AG117" s="88">
        <f>IF($A118="","",Summary!$Q$10)</f>
        <v>0</v>
      </c>
      <c r="AH117" s="88">
        <f>IF($A118="","",IF(Summary!$R$10="Y",(VLOOKUP($A117,Summary!$AD$6:$AF$9,3)+'Escalating commodity'!F130),'Escalating commodity'!F130))</f>
        <v>1.5820799999999999E-2</v>
      </c>
      <c r="AI117" s="88">
        <f t="shared" si="73"/>
        <v>1.5820799999999999E-2</v>
      </c>
      <c r="AJ117" s="236">
        <f t="shared" si="59"/>
        <v>40313.5</v>
      </c>
      <c r="AK117" s="58">
        <f t="shared" ca="1" si="60"/>
        <v>3273</v>
      </c>
      <c r="AL117" s="26">
        <f ca="1">IF($A118="","",_xll.SPRDOPT(P117,X117,AI117,0,AB117,AE117,AF117,AK117,$AJ$2,0))</f>
        <v>1.4218390761897778E-3</v>
      </c>
      <c r="AM117" s="89">
        <f t="shared" si="61"/>
        <v>0</v>
      </c>
      <c r="AN117" s="89">
        <f t="shared" ca="1" si="62"/>
        <v>1.4218390761897778E-3</v>
      </c>
      <c r="AO117" s="3">
        <f t="shared" si="63"/>
        <v>31</v>
      </c>
      <c r="AP117" s="33">
        <f t="shared" si="64"/>
        <v>40299</v>
      </c>
      <c r="AQ117" s="58">
        <f t="shared" ca="1" si="65"/>
        <v>3273</v>
      </c>
      <c r="AR117" s="38">
        <f>'ANR OK vs ML7'!AR117</f>
        <v>0.1</v>
      </c>
      <c r="AS117" s="35">
        <f t="shared" ca="1" si="66"/>
        <v>0.41710557171184559</v>
      </c>
      <c r="AT117" s="3">
        <f t="shared" si="67"/>
        <v>1</v>
      </c>
      <c r="AU117" s="3">
        <f t="shared" si="68"/>
        <v>31</v>
      </c>
      <c r="AW117" s="32">
        <f t="shared" ca="1" si="69"/>
        <v>5277.7813404718836</v>
      </c>
      <c r="AX117" s="32">
        <f t="shared" si="70"/>
        <v>0</v>
      </c>
      <c r="AY117" s="32">
        <f t="shared" ca="1" si="71"/>
        <v>5277.7813404718836</v>
      </c>
      <c r="BA117" s="32">
        <f ca="1">IF($A118="","",F117*Summary!$Q$10)</f>
        <v>0</v>
      </c>
      <c r="BC117" s="256">
        <f t="shared" ca="1" si="74"/>
        <v>0</v>
      </c>
    </row>
    <row r="118" spans="1:55">
      <c r="A118" s="67">
        <f t="shared" si="72"/>
        <v>40330</v>
      </c>
      <c r="B118" s="69">
        <f t="shared" si="75"/>
        <v>119740</v>
      </c>
      <c r="C118" s="71"/>
      <c r="D118" s="69">
        <f t="shared" si="38"/>
        <v>119740</v>
      </c>
      <c r="E118" s="70">
        <f t="shared" si="39"/>
        <v>3592200</v>
      </c>
      <c r="F118" s="70">
        <f t="shared" ca="1" si="40"/>
        <v>1485968.7801928255</v>
      </c>
      <c r="G118" s="63">
        <f t="shared" si="41"/>
        <v>4.2549999999999999</v>
      </c>
      <c r="H118" s="64">
        <f t="shared" si="42"/>
        <v>4.2549999999999999</v>
      </c>
      <c r="I118" s="43"/>
      <c r="J118" s="63">
        <f t="shared" si="43"/>
        <v>0.18</v>
      </c>
      <c r="K118" s="64">
        <f t="shared" si="44"/>
        <v>0.18</v>
      </c>
      <c r="L118" s="38">
        <v>0</v>
      </c>
      <c r="M118" s="64">
        <f t="shared" si="45"/>
        <v>0</v>
      </c>
      <c r="N118" s="65"/>
      <c r="O118" s="63">
        <f t="shared" si="46"/>
        <v>4.4349999999999996</v>
      </c>
      <c r="P118" s="63">
        <f t="shared" si="47"/>
        <v>4.4349999999999996</v>
      </c>
      <c r="Q118" s="66"/>
      <c r="R118" s="63">
        <f t="shared" si="48"/>
        <v>0.21</v>
      </c>
      <c r="S118" s="64">
        <f t="shared" si="49"/>
        <v>0.21</v>
      </c>
      <c r="T118" s="63">
        <f t="shared" si="50"/>
        <v>0</v>
      </c>
      <c r="U118" s="64">
        <f t="shared" si="51"/>
        <v>0</v>
      </c>
      <c r="V118" s="219">
        <f>IF($A119="","",IF(AND(MONTH(A118)&gt;3,MONTH(A118)&lt;11),(T118+R118+G118)*Summary!$T$10/(1-Summary!$T$10),(T118+R118+G118)*Summary!$U$10/(1-Summary!$U$10)))</f>
        <v>3.6008064516129035E-2</v>
      </c>
      <c r="W118" s="63">
        <f t="shared" si="52"/>
        <v>4.501008064516129</v>
      </c>
      <c r="X118" s="63">
        <f t="shared" si="53"/>
        <v>4.501008064516129</v>
      </c>
      <c r="Y118" s="43"/>
      <c r="Z118" s="38">
        <f t="shared" si="54"/>
        <v>0.5</v>
      </c>
      <c r="AA118" s="38">
        <f t="shared" si="55"/>
        <v>0.183</v>
      </c>
      <c r="AB118" s="38">
        <f t="shared" ca="1" si="56"/>
        <v>0.18610245508683179</v>
      </c>
      <c r="AC118" s="38">
        <f t="shared" si="57"/>
        <v>0.5</v>
      </c>
      <c r="AD118" s="38">
        <f t="shared" si="57"/>
        <v>0.183</v>
      </c>
      <c r="AE118" s="38">
        <f t="shared" ca="1" si="58"/>
        <v>0.18610245508683179</v>
      </c>
      <c r="AF118" s="237">
        <f ca="1">((Summary!$N$10*(AA118*AD118)*(A118-$D$3))+(Summary!$M$10*Z118*AC118*(AJ118-EOMONTH(EDATE(A118,-1),0))))/(AK118*AB118*AE118)</f>
        <v>0.99990327707985449</v>
      </c>
      <c r="AG118" s="88">
        <f>IF($A119="","",Summary!$Q$10)</f>
        <v>0</v>
      </c>
      <c r="AH118" s="88">
        <f>IF($A119="","",IF(Summary!$R$10="Y",(VLOOKUP($A118,Summary!$AD$6:$AF$9,3)+'Escalating commodity'!F131),'Escalating commodity'!F131))</f>
        <v>1.5820799999999999E-2</v>
      </c>
      <c r="AI118" s="88">
        <f t="shared" si="73"/>
        <v>1.5820799999999999E-2</v>
      </c>
      <c r="AJ118" s="236">
        <f t="shared" si="59"/>
        <v>40344</v>
      </c>
      <c r="AK118" s="58">
        <f t="shared" ca="1" si="60"/>
        <v>3304</v>
      </c>
      <c r="AL118" s="26">
        <f ca="1">IF($A119="","",_xll.SPRDOPT(P118,X118,AI118,0,AB118,AE118,AF118,AK118,$AJ$2,0))</f>
        <v>1.4759287578860417E-3</v>
      </c>
      <c r="AM118" s="89">
        <f t="shared" si="61"/>
        <v>0</v>
      </c>
      <c r="AN118" s="89">
        <f t="shared" ca="1" si="62"/>
        <v>1.4759287578860417E-3</v>
      </c>
      <c r="AO118" s="3">
        <f t="shared" si="63"/>
        <v>30</v>
      </c>
      <c r="AP118" s="33">
        <f t="shared" si="64"/>
        <v>40330</v>
      </c>
      <c r="AQ118" s="58">
        <f t="shared" ca="1" si="65"/>
        <v>3304</v>
      </c>
      <c r="AR118" s="38">
        <f>'ANR OK vs ML7'!AR118</f>
        <v>0.1</v>
      </c>
      <c r="AS118" s="35">
        <f t="shared" ca="1" si="66"/>
        <v>0.41366538060041907</v>
      </c>
      <c r="AT118" s="3">
        <f t="shared" si="67"/>
        <v>1</v>
      </c>
      <c r="AU118" s="3">
        <f t="shared" si="68"/>
        <v>30</v>
      </c>
      <c r="AW118" s="32">
        <f t="shared" ca="1" si="69"/>
        <v>5301.8312840782392</v>
      </c>
      <c r="AX118" s="32">
        <f t="shared" si="70"/>
        <v>0</v>
      </c>
      <c r="AY118" s="32">
        <f t="shared" ca="1" si="71"/>
        <v>5301.8312840782392</v>
      </c>
      <c r="BA118" s="32">
        <f ca="1">IF($A119="","",F118*Summary!$Q$10)</f>
        <v>0</v>
      </c>
      <c r="BC118" s="256">
        <f t="shared" ca="1" si="74"/>
        <v>0</v>
      </c>
    </row>
    <row r="119" spans="1:55">
      <c r="A119" s="67">
        <f t="shared" si="72"/>
        <v>40360</v>
      </c>
      <c r="B119" s="69">
        <f t="shared" si="75"/>
        <v>119740</v>
      </c>
      <c r="C119" s="71"/>
      <c r="D119" s="69">
        <f t="shared" si="38"/>
        <v>119740</v>
      </c>
      <c r="E119" s="70">
        <f t="shared" si="39"/>
        <v>3711940</v>
      </c>
      <c r="F119" s="70">
        <f t="shared" ca="1" si="40"/>
        <v>1523243.5080706291</v>
      </c>
      <c r="G119" s="63">
        <f t="shared" si="41"/>
        <v>4.3099999999999996</v>
      </c>
      <c r="H119" s="64">
        <f t="shared" si="42"/>
        <v>4.3099999999999996</v>
      </c>
      <c r="I119" s="43"/>
      <c r="J119" s="63">
        <f t="shared" si="43"/>
        <v>0.18</v>
      </c>
      <c r="K119" s="64">
        <f t="shared" si="44"/>
        <v>0.18</v>
      </c>
      <c r="L119" s="38">
        <v>0</v>
      </c>
      <c r="M119" s="64">
        <f t="shared" si="45"/>
        <v>0</v>
      </c>
      <c r="N119" s="65"/>
      <c r="O119" s="63">
        <f t="shared" si="46"/>
        <v>4.4899999999999993</v>
      </c>
      <c r="P119" s="63">
        <f t="shared" si="47"/>
        <v>4.4899999999999993</v>
      </c>
      <c r="Q119" s="66"/>
      <c r="R119" s="63">
        <f t="shared" si="48"/>
        <v>0.21</v>
      </c>
      <c r="S119" s="64">
        <f t="shared" si="49"/>
        <v>0.21</v>
      </c>
      <c r="T119" s="63">
        <f t="shared" si="50"/>
        <v>0</v>
      </c>
      <c r="U119" s="64">
        <f t="shared" si="51"/>
        <v>0</v>
      </c>
      <c r="V119" s="219">
        <f>IF($A120="","",IF(AND(MONTH(A119)&gt;3,MONTH(A119)&lt;11),(T119+R119+G119)*Summary!$T$10/(1-Summary!$T$10),(T119+R119+G119)*Summary!$U$10/(1-Summary!$U$10)))</f>
        <v>3.6451612903225801E-2</v>
      </c>
      <c r="W119" s="63">
        <f t="shared" si="52"/>
        <v>4.5564516129032251</v>
      </c>
      <c r="X119" s="63">
        <f t="shared" si="53"/>
        <v>4.5564516129032251</v>
      </c>
      <c r="Y119" s="43"/>
      <c r="Z119" s="38">
        <f t="shared" si="54"/>
        <v>0.55000000000000004</v>
      </c>
      <c r="AA119" s="38">
        <f t="shared" si="55"/>
        <v>0.183</v>
      </c>
      <c r="AB119" s="38">
        <f t="shared" ca="1" si="56"/>
        <v>0.18682983814775286</v>
      </c>
      <c r="AC119" s="38">
        <f t="shared" si="57"/>
        <v>0.55000000000000004</v>
      </c>
      <c r="AD119" s="38">
        <f t="shared" si="57"/>
        <v>0.183</v>
      </c>
      <c r="AE119" s="38">
        <f t="shared" ca="1" si="58"/>
        <v>0.18682983814775286</v>
      </c>
      <c r="AF119" s="237">
        <f ca="1">((Summary!$N$10*(AA119*AD119)*(A119-$D$3))+(Summary!$M$10*Z119*AC119*(AJ119-EOMONTH(EDATE(A119,-1),0))))/(AK119*AB119*AE119)</f>
        <v>0.99990402901613451</v>
      </c>
      <c r="AG119" s="88">
        <f>IF($A120="","",Summary!$Q$10)</f>
        <v>0</v>
      </c>
      <c r="AH119" s="88">
        <f>IF($A120="","",IF(Summary!$R$10="Y",(VLOOKUP($A119,Summary!$AD$6:$AF$9,3)+'Escalating commodity'!F132),'Escalating commodity'!F132))</f>
        <v>1.5820799999999999E-2</v>
      </c>
      <c r="AI119" s="88">
        <f t="shared" si="73"/>
        <v>1.5820799999999999E-2</v>
      </c>
      <c r="AJ119" s="236">
        <f t="shared" si="59"/>
        <v>40374.5</v>
      </c>
      <c r="AK119" s="58">
        <f t="shared" ca="1" si="60"/>
        <v>3334</v>
      </c>
      <c r="AL119" s="26">
        <f ca="1">IF($A120="","",_xll.SPRDOPT(P119,X119,AI119,0,AB119,AE119,AF119,AK119,$AJ$2,0))</f>
        <v>1.523404428809225E-3</v>
      </c>
      <c r="AM119" s="89">
        <f t="shared" si="61"/>
        <v>0</v>
      </c>
      <c r="AN119" s="89">
        <f t="shared" ca="1" si="62"/>
        <v>1.523404428809225E-3</v>
      </c>
      <c r="AO119" s="3">
        <f t="shared" si="63"/>
        <v>31</v>
      </c>
      <c r="AP119" s="33">
        <f t="shared" si="64"/>
        <v>40360</v>
      </c>
      <c r="AQ119" s="58">
        <f t="shared" ca="1" si="65"/>
        <v>3334</v>
      </c>
      <c r="AR119" s="38">
        <f>'ANR OK vs ML7'!AR119</f>
        <v>0.1</v>
      </c>
      <c r="AS119" s="35">
        <f t="shared" ca="1" si="66"/>
        <v>0.41036318153597018</v>
      </c>
      <c r="AT119" s="3">
        <f t="shared" si="67"/>
        <v>1</v>
      </c>
      <c r="AU119" s="3">
        <f t="shared" si="68"/>
        <v>31</v>
      </c>
      <c r="AW119" s="32">
        <f t="shared" ca="1" si="69"/>
        <v>5654.7858354741147</v>
      </c>
      <c r="AX119" s="32">
        <f t="shared" si="70"/>
        <v>0</v>
      </c>
      <c r="AY119" s="32">
        <f t="shared" ca="1" si="71"/>
        <v>5654.7858354741147</v>
      </c>
      <c r="BA119" s="32">
        <f ca="1">IF($A120="","",F119*Summary!$Q$10)</f>
        <v>0</v>
      </c>
      <c r="BC119" s="256">
        <f t="shared" ca="1" si="74"/>
        <v>0</v>
      </c>
    </row>
    <row r="120" spans="1:55">
      <c r="A120" s="67">
        <f t="shared" si="72"/>
        <v>40391</v>
      </c>
      <c r="B120" s="69">
        <f t="shared" si="75"/>
        <v>119740</v>
      </c>
      <c r="C120" s="71"/>
      <c r="D120" s="69">
        <f t="shared" si="38"/>
        <v>119740</v>
      </c>
      <c r="E120" s="70">
        <f t="shared" si="39"/>
        <v>3711940</v>
      </c>
      <c r="F120" s="70">
        <f t="shared" ca="1" si="40"/>
        <v>1510680.1449021725</v>
      </c>
      <c r="G120" s="63">
        <f t="shared" si="41"/>
        <v>4.3660000000000005</v>
      </c>
      <c r="H120" s="64">
        <f t="shared" si="42"/>
        <v>4.3660000000000005</v>
      </c>
      <c r="I120" s="43"/>
      <c r="J120" s="63">
        <f t="shared" si="43"/>
        <v>0.18</v>
      </c>
      <c r="K120" s="64">
        <f t="shared" si="44"/>
        <v>0.18</v>
      </c>
      <c r="L120" s="38">
        <v>0</v>
      </c>
      <c r="M120" s="64">
        <f t="shared" si="45"/>
        <v>0</v>
      </c>
      <c r="N120" s="65"/>
      <c r="O120" s="63">
        <f t="shared" si="46"/>
        <v>4.5460000000000003</v>
      </c>
      <c r="P120" s="63">
        <f t="shared" si="47"/>
        <v>4.5460000000000003</v>
      </c>
      <c r="Q120" s="66"/>
      <c r="R120" s="63">
        <f t="shared" si="48"/>
        <v>0.21</v>
      </c>
      <c r="S120" s="64">
        <f t="shared" si="49"/>
        <v>0.21</v>
      </c>
      <c r="T120" s="63">
        <f t="shared" si="50"/>
        <v>0</v>
      </c>
      <c r="U120" s="64">
        <f t="shared" si="51"/>
        <v>0</v>
      </c>
      <c r="V120" s="219">
        <f>IF($A121="","",IF(AND(MONTH(A120)&gt;3,MONTH(A120)&lt;11),(T120+R120+G120)*Summary!$T$10/(1-Summary!$T$10),(T120+R120+G120)*Summary!$U$10/(1-Summary!$U$10)))</f>
        <v>3.6903225806451612E-2</v>
      </c>
      <c r="W120" s="63">
        <f t="shared" si="52"/>
        <v>4.612903225806452</v>
      </c>
      <c r="X120" s="63">
        <f t="shared" si="53"/>
        <v>4.612903225806452</v>
      </c>
      <c r="Y120" s="43"/>
      <c r="Z120" s="38">
        <f t="shared" si="54"/>
        <v>0.6</v>
      </c>
      <c r="AA120" s="38">
        <f t="shared" si="55"/>
        <v>0.183</v>
      </c>
      <c r="AB120" s="38">
        <f t="shared" ca="1" si="56"/>
        <v>0.18750253014637622</v>
      </c>
      <c r="AC120" s="38">
        <f t="shared" si="57"/>
        <v>0.6</v>
      </c>
      <c r="AD120" s="38">
        <f t="shared" si="57"/>
        <v>0.183</v>
      </c>
      <c r="AE120" s="38">
        <f t="shared" ca="1" si="58"/>
        <v>0.18750253014637622</v>
      </c>
      <c r="AF120" s="237">
        <f ca="1">((Summary!$N$10*(AA120*AD120)*(A120-$D$3))+(Summary!$M$10*Z120*AC120*(AJ120-EOMONTH(EDATE(A120,-1),0))))/(AK120*AB120*AE120)</f>
        <v>0.99990471666319491</v>
      </c>
      <c r="AG120" s="88">
        <f>IF($A121="","",Summary!$Q$10)</f>
        <v>0</v>
      </c>
      <c r="AH120" s="88">
        <f>IF($A121="","",IF(Summary!$R$10="Y",(VLOOKUP($A120,Summary!$AD$6:$AF$9,3)+'Escalating commodity'!F133),'Escalating commodity'!F133))</f>
        <v>1.5820799999999999E-2</v>
      </c>
      <c r="AI120" s="88">
        <f t="shared" si="73"/>
        <v>1.5820799999999999E-2</v>
      </c>
      <c r="AJ120" s="236">
        <f t="shared" si="59"/>
        <v>40405.5</v>
      </c>
      <c r="AK120" s="58">
        <f t="shared" ca="1" si="60"/>
        <v>3365</v>
      </c>
      <c r="AL120" s="26">
        <f ca="1">IF($A121="","",_xll.SPRDOPT(P120,X120,AI120,0,AB120,AE120,AF120,AK120,$AJ$2,0))</f>
        <v>1.5722262991147481E-3</v>
      </c>
      <c r="AM120" s="89">
        <f t="shared" si="61"/>
        <v>0</v>
      </c>
      <c r="AN120" s="89">
        <f t="shared" ca="1" si="62"/>
        <v>1.5722262991147481E-3</v>
      </c>
      <c r="AO120" s="3">
        <f t="shared" si="63"/>
        <v>31</v>
      </c>
      <c r="AP120" s="33">
        <f t="shared" si="64"/>
        <v>40391</v>
      </c>
      <c r="AQ120" s="58">
        <f t="shared" ca="1" si="65"/>
        <v>3365</v>
      </c>
      <c r="AR120" s="38">
        <f>'ANR OK vs ML7'!AR120</f>
        <v>0.1</v>
      </c>
      <c r="AS120" s="35">
        <f t="shared" ca="1" si="66"/>
        <v>0.40697860011265602</v>
      </c>
      <c r="AT120" s="3">
        <f t="shared" si="67"/>
        <v>1</v>
      </c>
      <c r="AU120" s="3">
        <f t="shared" si="68"/>
        <v>31</v>
      </c>
      <c r="AW120" s="32">
        <f t="shared" ca="1" si="69"/>
        <v>5836.0096887359978</v>
      </c>
      <c r="AX120" s="32">
        <f t="shared" si="70"/>
        <v>0</v>
      </c>
      <c r="AY120" s="32">
        <f t="shared" ca="1" si="71"/>
        <v>5836.0096887359978</v>
      </c>
      <c r="BA120" s="32">
        <f ca="1">IF($A121="","",F120*Summary!$Q$10)</f>
        <v>0</v>
      </c>
      <c r="BC120" s="256">
        <f t="shared" ca="1" si="74"/>
        <v>0</v>
      </c>
    </row>
    <row r="121" spans="1:55">
      <c r="A121" s="67">
        <f t="shared" si="72"/>
        <v>40422</v>
      </c>
      <c r="B121" s="69">
        <f t="shared" si="75"/>
        <v>119740</v>
      </c>
      <c r="C121" s="71"/>
      <c r="D121" s="69">
        <f t="shared" si="38"/>
        <v>119740</v>
      </c>
      <c r="E121" s="70">
        <f t="shared" si="39"/>
        <v>3592200</v>
      </c>
      <c r="F121" s="70">
        <f t="shared" ca="1" si="40"/>
        <v>1449890.711102223</v>
      </c>
      <c r="G121" s="63">
        <f t="shared" si="41"/>
        <v>4.38</v>
      </c>
      <c r="H121" s="64">
        <f t="shared" si="42"/>
        <v>4.38</v>
      </c>
      <c r="I121" s="43"/>
      <c r="J121" s="63">
        <f t="shared" si="43"/>
        <v>0.18</v>
      </c>
      <c r="K121" s="64">
        <f t="shared" si="44"/>
        <v>0.18</v>
      </c>
      <c r="L121" s="38">
        <v>0</v>
      </c>
      <c r="M121" s="64">
        <f t="shared" si="45"/>
        <v>0</v>
      </c>
      <c r="N121" s="65"/>
      <c r="O121" s="63">
        <f t="shared" si="46"/>
        <v>4.5599999999999996</v>
      </c>
      <c r="P121" s="63">
        <f t="shared" si="47"/>
        <v>4.5599999999999996</v>
      </c>
      <c r="Q121" s="66"/>
      <c r="R121" s="63">
        <f t="shared" si="48"/>
        <v>0.21</v>
      </c>
      <c r="S121" s="64">
        <f t="shared" si="49"/>
        <v>0.21</v>
      </c>
      <c r="T121" s="63">
        <f t="shared" si="50"/>
        <v>0</v>
      </c>
      <c r="U121" s="64">
        <f t="shared" si="51"/>
        <v>0</v>
      </c>
      <c r="V121" s="219">
        <f>IF($A122="","",IF(AND(MONTH(A121)&gt;3,MONTH(A121)&lt;11),(T121+R121+G121)*Summary!$T$10/(1-Summary!$T$10),(T121+R121+G121)*Summary!$U$10/(1-Summary!$U$10)))</f>
        <v>3.7016129032258066E-2</v>
      </c>
      <c r="W121" s="63">
        <f t="shared" si="52"/>
        <v>4.627016129032258</v>
      </c>
      <c r="X121" s="63">
        <f t="shared" si="53"/>
        <v>4.627016129032258</v>
      </c>
      <c r="Y121" s="43"/>
      <c r="Z121" s="38">
        <f t="shared" si="54"/>
        <v>0.6</v>
      </c>
      <c r="AA121" s="38">
        <f t="shared" si="55"/>
        <v>0.183</v>
      </c>
      <c r="AB121" s="38">
        <f t="shared" ca="1" si="56"/>
        <v>0.18732049357848604</v>
      </c>
      <c r="AC121" s="38">
        <f t="shared" si="57"/>
        <v>0.6</v>
      </c>
      <c r="AD121" s="38">
        <f t="shared" si="57"/>
        <v>0.183</v>
      </c>
      <c r="AE121" s="38">
        <f t="shared" ca="1" si="58"/>
        <v>0.18732049357848604</v>
      </c>
      <c r="AF121" s="237">
        <f ca="1">((Summary!$N$10*(AA121*AD121)*(A121-$D$3))+(Summary!$M$10*Z121*AC121*(AJ121-EOMONTH(EDATE(A121,-1),0))))/(AK121*AB121*AE121)</f>
        <v>0.99990453164093673</v>
      </c>
      <c r="AG121" s="88">
        <f>IF($A122="","",Summary!$Q$10)</f>
        <v>0</v>
      </c>
      <c r="AH121" s="88">
        <f>IF($A122="","",IF(Summary!$R$10="Y",(VLOOKUP($A121,Summary!$AD$6:$AF$9,3)+'Escalating commodity'!F134),'Escalating commodity'!F134))</f>
        <v>1.5820799999999999E-2</v>
      </c>
      <c r="AI121" s="88">
        <f t="shared" si="73"/>
        <v>1.5820799999999999E-2</v>
      </c>
      <c r="AJ121" s="236">
        <f t="shared" si="59"/>
        <v>40436</v>
      </c>
      <c r="AK121" s="58">
        <f t="shared" ca="1" si="60"/>
        <v>3396</v>
      </c>
      <c r="AL121" s="26">
        <f ca="1">IF($A122="","",_xll.SPRDOPT(P121,X121,AI121,0,AB121,AE121,AF121,AK121,$AJ$2,0))</f>
        <v>1.5959028469715343E-3</v>
      </c>
      <c r="AM121" s="89">
        <f t="shared" si="61"/>
        <v>0</v>
      </c>
      <c r="AN121" s="89">
        <f t="shared" ca="1" si="62"/>
        <v>1.5959028469715343E-3</v>
      </c>
      <c r="AO121" s="3">
        <f t="shared" si="63"/>
        <v>30</v>
      </c>
      <c r="AP121" s="33">
        <f t="shared" si="64"/>
        <v>40422</v>
      </c>
      <c r="AQ121" s="58">
        <f t="shared" ca="1" si="65"/>
        <v>3396</v>
      </c>
      <c r="AR121" s="38">
        <f>'ANR OK vs ML7'!AR121</f>
        <v>0.1</v>
      </c>
      <c r="AS121" s="35">
        <f t="shared" ca="1" si="66"/>
        <v>0.40362193394082263</v>
      </c>
      <c r="AT121" s="3">
        <f t="shared" si="67"/>
        <v>1</v>
      </c>
      <c r="AU121" s="3">
        <f t="shared" si="68"/>
        <v>30</v>
      </c>
      <c r="AW121" s="32">
        <f t="shared" ca="1" si="69"/>
        <v>5732.8022068911459</v>
      </c>
      <c r="AX121" s="32">
        <f t="shared" si="70"/>
        <v>0</v>
      </c>
      <c r="AY121" s="32">
        <f t="shared" ca="1" si="71"/>
        <v>5732.8022068911459</v>
      </c>
      <c r="BA121" s="32">
        <f ca="1">IF($A122="","",F121*Summary!$Q$10)</f>
        <v>0</v>
      </c>
      <c r="BC121" s="256">
        <f t="shared" ca="1" si="74"/>
        <v>0</v>
      </c>
    </row>
    <row r="122" spans="1:55">
      <c r="A122" s="67">
        <f t="shared" si="72"/>
        <v>40452</v>
      </c>
      <c r="B122" s="69">
        <f t="shared" si="75"/>
        <v>119740</v>
      </c>
      <c r="C122" s="71"/>
      <c r="D122" s="69">
        <f t="shared" si="38"/>
        <v>119740</v>
      </c>
      <c r="E122" s="70">
        <f t="shared" si="39"/>
        <v>3711940</v>
      </c>
      <c r="F122" s="70">
        <f t="shared" ca="1" si="40"/>
        <v>1486260.4400152881</v>
      </c>
      <c r="G122" s="63">
        <f t="shared" si="41"/>
        <v>4.4110000000000005</v>
      </c>
      <c r="H122" s="64">
        <f t="shared" si="42"/>
        <v>4.4110000000000005</v>
      </c>
      <c r="I122" s="43"/>
      <c r="J122" s="63">
        <f t="shared" si="43"/>
        <v>0.18</v>
      </c>
      <c r="K122" s="64">
        <f t="shared" si="44"/>
        <v>0.18</v>
      </c>
      <c r="L122" s="38">
        <v>0</v>
      </c>
      <c r="M122" s="64">
        <f t="shared" si="45"/>
        <v>0</v>
      </c>
      <c r="N122" s="65"/>
      <c r="O122" s="63">
        <f t="shared" si="46"/>
        <v>4.5910000000000002</v>
      </c>
      <c r="P122" s="63">
        <f t="shared" si="47"/>
        <v>4.5910000000000002</v>
      </c>
      <c r="Q122" s="66"/>
      <c r="R122" s="63">
        <f t="shared" si="48"/>
        <v>0.21</v>
      </c>
      <c r="S122" s="64">
        <f t="shared" si="49"/>
        <v>0.21</v>
      </c>
      <c r="T122" s="63">
        <f t="shared" si="50"/>
        <v>0</v>
      </c>
      <c r="U122" s="64">
        <f t="shared" si="51"/>
        <v>0</v>
      </c>
      <c r="V122" s="219">
        <f>IF($A123="","",IF(AND(MONTH(A122)&gt;3,MONTH(A122)&lt;11),(T122+R122+G122)*Summary!$T$10/(1-Summary!$T$10),(T122+R122+G122)*Summary!$U$10/(1-Summary!$U$10)))</f>
        <v>3.7266129032258066E-2</v>
      </c>
      <c r="W122" s="63">
        <f t="shared" si="52"/>
        <v>4.6582661290322589</v>
      </c>
      <c r="X122" s="63">
        <f t="shared" si="53"/>
        <v>4.6582661290322589</v>
      </c>
      <c r="Y122" s="43"/>
      <c r="Z122" s="38">
        <f t="shared" si="54"/>
        <v>0.65</v>
      </c>
      <c r="AA122" s="38">
        <f t="shared" si="55"/>
        <v>0.183</v>
      </c>
      <c r="AB122" s="38">
        <f t="shared" ca="1" si="56"/>
        <v>0.18817614262659255</v>
      </c>
      <c r="AC122" s="38">
        <f t="shared" si="57"/>
        <v>0.65</v>
      </c>
      <c r="AD122" s="38">
        <f t="shared" si="57"/>
        <v>0.183</v>
      </c>
      <c r="AE122" s="38">
        <f t="shared" ca="1" si="58"/>
        <v>0.18817614262659255</v>
      </c>
      <c r="AF122" s="237">
        <f ca="1">((Summary!$N$10*(AA122*AD122)*(A122-$D$3))+(Summary!$M$10*Z122*AC122*(AJ122-EOMONTH(EDATE(A122,-1),0))))/(AK122*AB122*AE122)</f>
        <v>0.99990539811247459</v>
      </c>
      <c r="AG122" s="88">
        <f>IF($A123="","",Summary!$Q$10)</f>
        <v>0</v>
      </c>
      <c r="AH122" s="88">
        <f>IF($A123="","",IF(Summary!$R$10="Y",(VLOOKUP($A122,Summary!$AD$6:$AF$9,3)+'Escalating commodity'!F135),'Escalating commodity'!F135))</f>
        <v>1.5820799999999999E-2</v>
      </c>
      <c r="AI122" s="88">
        <f t="shared" si="73"/>
        <v>1.5820799999999999E-2</v>
      </c>
      <c r="AJ122" s="236">
        <f t="shared" si="59"/>
        <v>40466.5</v>
      </c>
      <c r="AK122" s="58">
        <f t="shared" ca="1" si="60"/>
        <v>3426</v>
      </c>
      <c r="AL122" s="26">
        <f ca="1">IF($A123="","",_xll.SPRDOPT(P122,X122,AI122,0,AB122,AE122,AF122,AK122,$AJ$2,0))</f>
        <v>1.6306557953576391E-3</v>
      </c>
      <c r="AM122" s="89">
        <f t="shared" si="61"/>
        <v>0</v>
      </c>
      <c r="AN122" s="89">
        <f t="shared" ca="1" si="62"/>
        <v>1.6306557953576391E-3</v>
      </c>
      <c r="AO122" s="3">
        <f t="shared" si="63"/>
        <v>31</v>
      </c>
      <c r="AP122" s="33">
        <f t="shared" si="64"/>
        <v>40452</v>
      </c>
      <c r="AQ122" s="58">
        <f t="shared" ca="1" si="65"/>
        <v>3426</v>
      </c>
      <c r="AR122" s="38">
        <f>'ANR OK vs ML7'!AR122</f>
        <v>0.1</v>
      </c>
      <c r="AS122" s="35">
        <f t="shared" ca="1" si="66"/>
        <v>0.4003999094854141</v>
      </c>
      <c r="AT122" s="3">
        <f t="shared" si="67"/>
        <v>1</v>
      </c>
      <c r="AU122" s="3">
        <f t="shared" si="68"/>
        <v>31</v>
      </c>
      <c r="AW122" s="32">
        <f t="shared" ca="1" si="69"/>
        <v>6052.896473019835</v>
      </c>
      <c r="AX122" s="32">
        <f t="shared" si="70"/>
        <v>0</v>
      </c>
      <c r="AY122" s="32">
        <f t="shared" ca="1" si="71"/>
        <v>6052.896473019835</v>
      </c>
      <c r="BA122" s="32">
        <f ca="1">IF($A123="","",F122*Summary!$Q$10)</f>
        <v>0</v>
      </c>
      <c r="BC122" s="256">
        <f t="shared" ca="1" si="74"/>
        <v>0</v>
      </c>
    </row>
    <row r="123" spans="1:55">
      <c r="A123" s="67">
        <f t="shared" si="72"/>
        <v>40483</v>
      </c>
      <c r="B123" s="69">
        <f t="shared" si="75"/>
        <v>119740</v>
      </c>
      <c r="C123" s="71"/>
      <c r="D123" s="69">
        <f t="shared" si="38"/>
        <v>119740</v>
      </c>
      <c r="E123" s="70">
        <f t="shared" si="39"/>
        <v>3592200</v>
      </c>
      <c r="F123" s="70">
        <f t="shared" ca="1" si="40"/>
        <v>1426453.6497210767</v>
      </c>
      <c r="G123" s="63">
        <f t="shared" si="41"/>
        <v>4.5440000000000005</v>
      </c>
      <c r="H123" s="64">
        <f t="shared" si="42"/>
        <v>4.5440000000000005</v>
      </c>
      <c r="I123" s="43"/>
      <c r="J123" s="63">
        <f t="shared" si="43"/>
        <v>0.27500000000000002</v>
      </c>
      <c r="K123" s="64">
        <f t="shared" si="44"/>
        <v>0.27500000000000002</v>
      </c>
      <c r="L123" s="38">
        <v>0</v>
      </c>
      <c r="M123" s="64">
        <f t="shared" si="45"/>
        <v>0</v>
      </c>
      <c r="N123" s="65"/>
      <c r="O123" s="63">
        <f t="shared" si="46"/>
        <v>4.8190000000000008</v>
      </c>
      <c r="P123" s="63">
        <f t="shared" si="47"/>
        <v>4.8190000000000008</v>
      </c>
      <c r="Q123" s="66"/>
      <c r="R123" s="63">
        <f t="shared" si="48"/>
        <v>0.32500000000000001</v>
      </c>
      <c r="S123" s="64">
        <f t="shared" si="49"/>
        <v>0.32500000000000001</v>
      </c>
      <c r="T123" s="63">
        <f t="shared" si="50"/>
        <v>0</v>
      </c>
      <c r="U123" s="64">
        <f t="shared" si="51"/>
        <v>0</v>
      </c>
      <c r="V123" s="219">
        <f>IF($A124="","",IF(AND(MONTH(A123)&gt;3,MONTH(A123)&lt;11),(T123+R123+G123)*Summary!$T$10/(1-Summary!$T$10),(T123+R123+G123)*Summary!$U$10/(1-Summary!$U$10)))</f>
        <v>3.9266129032258075E-2</v>
      </c>
      <c r="W123" s="63">
        <f t="shared" si="52"/>
        <v>4.9082661290322589</v>
      </c>
      <c r="X123" s="63">
        <f t="shared" si="53"/>
        <v>4.9082661290322589</v>
      </c>
      <c r="Y123" s="43"/>
      <c r="Z123" s="38">
        <f t="shared" si="54"/>
        <v>0.8</v>
      </c>
      <c r="AA123" s="38">
        <f t="shared" si="55"/>
        <v>0.183</v>
      </c>
      <c r="AB123" s="38">
        <f t="shared" ca="1" si="56"/>
        <v>0.19046170627258027</v>
      </c>
      <c r="AC123" s="38">
        <f t="shared" si="57"/>
        <v>0.8</v>
      </c>
      <c r="AD123" s="38">
        <f t="shared" si="57"/>
        <v>0.183</v>
      </c>
      <c r="AE123" s="38">
        <f t="shared" ca="1" si="58"/>
        <v>0.19046170627258027</v>
      </c>
      <c r="AF123" s="237">
        <f ca="1">((Summary!$N$10*(AA123*AD123)*(A123-$D$3))+(Summary!$M$10*Z123*AC123*(AJ123-EOMONTH(EDATE(A123,-1),0))))/(AK123*AB123*AE123)</f>
        <v>0.9999076551994811</v>
      </c>
      <c r="AG123" s="88">
        <f>IF($A124="","",Summary!$Q$10)</f>
        <v>0</v>
      </c>
      <c r="AH123" s="88">
        <f>IF($A124="","",IF(Summary!$R$10="Y",(VLOOKUP($A123,Summary!$AD$6:$AF$9,3)+'Escalating commodity'!F136),'Escalating commodity'!F136))</f>
        <v>1.5820799999999999E-2</v>
      </c>
      <c r="AI123" s="88">
        <f t="shared" si="73"/>
        <v>1.5820799999999999E-2</v>
      </c>
      <c r="AJ123" s="236">
        <f t="shared" si="59"/>
        <v>40497</v>
      </c>
      <c r="AK123" s="58">
        <f t="shared" ca="1" si="60"/>
        <v>3457</v>
      </c>
      <c r="AL123" s="26">
        <f ca="1">IF($A124="","",_xll.SPRDOPT(P123,X123,AI123,0,AB123,AE123,AF123,AK123,$AJ$2,0))</f>
        <v>1.3644256037726229E-3</v>
      </c>
      <c r="AM123" s="89">
        <f t="shared" si="61"/>
        <v>0</v>
      </c>
      <c r="AN123" s="89">
        <f t="shared" ca="1" si="62"/>
        <v>1.3644256037726229E-3</v>
      </c>
      <c r="AO123" s="3">
        <f t="shared" si="63"/>
        <v>30</v>
      </c>
      <c r="AP123" s="33">
        <f t="shared" si="64"/>
        <v>40483</v>
      </c>
      <c r="AQ123" s="58">
        <f t="shared" ca="1" si="65"/>
        <v>3457</v>
      </c>
      <c r="AR123" s="38">
        <f>'ANR OK vs ML7'!AR123</f>
        <v>0.1</v>
      </c>
      <c r="AS123" s="35">
        <f t="shared" ca="1" si="66"/>
        <v>0.39709750284535289</v>
      </c>
      <c r="AT123" s="3">
        <f t="shared" si="67"/>
        <v>1</v>
      </c>
      <c r="AU123" s="3">
        <f t="shared" si="68"/>
        <v>30</v>
      </c>
      <c r="AW123" s="32">
        <f t="shared" ca="1" si="69"/>
        <v>4901.2896538720161</v>
      </c>
      <c r="AX123" s="32">
        <f t="shared" si="70"/>
        <v>0</v>
      </c>
      <c r="AY123" s="32">
        <f t="shared" ca="1" si="71"/>
        <v>4901.2896538720161</v>
      </c>
      <c r="BA123" s="32">
        <f ca="1">IF($A124="","",F123*Summary!$Q$10)</f>
        <v>0</v>
      </c>
      <c r="BC123" s="256">
        <f t="shared" ca="1" si="74"/>
        <v>0</v>
      </c>
    </row>
    <row r="124" spans="1:55">
      <c r="A124" s="67">
        <f t="shared" si="72"/>
        <v>40513</v>
      </c>
      <c r="B124" s="69">
        <f t="shared" si="75"/>
        <v>119740</v>
      </c>
      <c r="C124" s="71"/>
      <c r="D124" s="69">
        <f t="shared" si="38"/>
        <v>119740</v>
      </c>
      <c r="E124" s="70">
        <f t="shared" si="39"/>
        <v>3711940</v>
      </c>
      <c r="F124" s="70">
        <f t="shared" ca="1" si="40"/>
        <v>1462235.4725509975</v>
      </c>
      <c r="G124" s="63">
        <f t="shared" si="41"/>
        <v>4.6820000000000004</v>
      </c>
      <c r="H124" s="64">
        <f t="shared" si="42"/>
        <v>4.6820000000000004</v>
      </c>
      <c r="I124" s="43"/>
      <c r="J124" s="63">
        <f t="shared" si="43"/>
        <v>0.27500000000000002</v>
      </c>
      <c r="K124" s="64">
        <f t="shared" si="44"/>
        <v>0.27500000000000002</v>
      </c>
      <c r="L124" s="38">
        <v>0</v>
      </c>
      <c r="M124" s="64">
        <f t="shared" si="45"/>
        <v>0</v>
      </c>
      <c r="N124" s="65"/>
      <c r="O124" s="63">
        <f t="shared" si="46"/>
        <v>4.9570000000000007</v>
      </c>
      <c r="P124" s="63">
        <f t="shared" si="47"/>
        <v>4.9570000000000007</v>
      </c>
      <c r="Q124" s="66"/>
      <c r="R124" s="63">
        <f t="shared" si="48"/>
        <v>0.32500000000000001</v>
      </c>
      <c r="S124" s="64">
        <f t="shared" si="49"/>
        <v>0.32500000000000001</v>
      </c>
      <c r="T124" s="63">
        <f t="shared" si="50"/>
        <v>0</v>
      </c>
      <c r="U124" s="64">
        <f t="shared" si="51"/>
        <v>0</v>
      </c>
      <c r="V124" s="219">
        <f>IF($A125="","",IF(AND(MONTH(A124)&gt;3,MONTH(A124)&lt;11),(T124+R124+G124)*Summary!$T$10/(1-Summary!$T$10),(T124+R124+G124)*Summary!$U$10/(1-Summary!$U$10)))</f>
        <v>4.0379032258064523E-2</v>
      </c>
      <c r="W124" s="63">
        <f t="shared" si="52"/>
        <v>5.0473790322580649</v>
      </c>
      <c r="X124" s="63">
        <f t="shared" si="53"/>
        <v>5.0473790322580649</v>
      </c>
      <c r="Y124" s="43"/>
      <c r="Z124" s="38">
        <f t="shared" si="54"/>
        <v>1.1000000000000001</v>
      </c>
      <c r="AA124" s="38">
        <f t="shared" si="55"/>
        <v>0.183</v>
      </c>
      <c r="AB124" s="38">
        <f t="shared" ca="1" si="56"/>
        <v>0.19717290091048437</v>
      </c>
      <c r="AC124" s="38">
        <f t="shared" si="57"/>
        <v>1.1000000000000001</v>
      </c>
      <c r="AD124" s="38">
        <f t="shared" si="57"/>
        <v>0.183</v>
      </c>
      <c r="AE124" s="38">
        <f t="shared" ca="1" si="58"/>
        <v>0.19717290091048437</v>
      </c>
      <c r="AF124" s="237">
        <f ca="1">((Summary!$N$10*(AA124*AD124)*(A124-$D$3))+(Summary!$M$10*Z124*AC124*(AJ124-EOMONTH(EDATE(A124,-1),0))))/(AK124*AB124*AE124)</f>
        <v>0.99991383472940087</v>
      </c>
      <c r="AG124" s="88">
        <f>IF($A125="","",Summary!$Q$10)</f>
        <v>0</v>
      </c>
      <c r="AH124" s="88">
        <f>IF($A125="","",IF(Summary!$R$10="Y",(VLOOKUP($A124,Summary!$AD$6:$AF$9,3)+'Escalating commodity'!F137),'Escalating commodity'!F137))</f>
        <v>1.5820799999999999E-2</v>
      </c>
      <c r="AI124" s="88">
        <f t="shared" si="73"/>
        <v>1.5820799999999999E-2</v>
      </c>
      <c r="AJ124" s="236">
        <f t="shared" si="59"/>
        <v>40527.5</v>
      </c>
      <c r="AK124" s="58">
        <f t="shared" ca="1" si="60"/>
        <v>3487</v>
      </c>
      <c r="AL124" s="26">
        <f ca="1">IF($A125="","",_xll.SPRDOPT(P124,X124,AI124,0,AB124,AE124,AF124,AK124,$AJ$2,0))</f>
        <v>1.473756966908199E-3</v>
      </c>
      <c r="AM124" s="89">
        <f t="shared" si="61"/>
        <v>0</v>
      </c>
      <c r="AN124" s="89">
        <f t="shared" ca="1" si="62"/>
        <v>1.473756966908199E-3</v>
      </c>
      <c r="AO124" s="3">
        <f t="shared" si="63"/>
        <v>31</v>
      </c>
      <c r="AP124" s="33">
        <f t="shared" si="64"/>
        <v>40513</v>
      </c>
      <c r="AQ124" s="58">
        <f t="shared" ca="1" si="65"/>
        <v>3487</v>
      </c>
      <c r="AR124" s="38">
        <f>'ANR OK vs ML7'!AR124</f>
        <v>0.1</v>
      </c>
      <c r="AS124" s="35">
        <f t="shared" ca="1" si="66"/>
        <v>0.39392756147755553</v>
      </c>
      <c r="AT124" s="3">
        <f t="shared" si="67"/>
        <v>1</v>
      </c>
      <c r="AU124" s="3">
        <f t="shared" si="68"/>
        <v>31</v>
      </c>
      <c r="AW124" s="32">
        <f t="shared" ca="1" si="69"/>
        <v>5470.4974357452202</v>
      </c>
      <c r="AX124" s="32">
        <f t="shared" si="70"/>
        <v>0</v>
      </c>
      <c r="AY124" s="32">
        <f t="shared" ca="1" si="71"/>
        <v>5470.4974357452202</v>
      </c>
      <c r="BA124" s="32">
        <f ca="1">IF($A125="","",F124*Summary!$Q$10)</f>
        <v>0</v>
      </c>
      <c r="BC124" s="256">
        <f t="shared" ca="1" si="74"/>
        <v>0</v>
      </c>
    </row>
    <row r="125" spans="1:55">
      <c r="A125" s="67">
        <f t="shared" si="72"/>
        <v>40544</v>
      </c>
      <c r="B125" s="69">
        <f t="shared" si="75"/>
        <v>119740</v>
      </c>
      <c r="C125" s="71"/>
      <c r="D125" s="69">
        <f t="shared" si="38"/>
        <v>119740</v>
      </c>
      <c r="E125" s="70">
        <f t="shared" si="39"/>
        <v>3711940</v>
      </c>
      <c r="F125" s="70">
        <f t="shared" ca="1" si="40"/>
        <v>1450175.2896701091</v>
      </c>
      <c r="G125" s="63">
        <f t="shared" si="41"/>
        <v>4.7140000000000004</v>
      </c>
      <c r="H125" s="64">
        <f t="shared" si="42"/>
        <v>4.7140000000000004</v>
      </c>
      <c r="I125" s="43"/>
      <c r="J125" s="63">
        <f t="shared" si="43"/>
        <v>0.27500000000000002</v>
      </c>
      <c r="K125" s="64">
        <f t="shared" si="44"/>
        <v>0.27500000000000002</v>
      </c>
      <c r="L125" s="38">
        <v>0</v>
      </c>
      <c r="M125" s="64">
        <f t="shared" si="45"/>
        <v>0</v>
      </c>
      <c r="N125" s="65"/>
      <c r="O125" s="63">
        <f t="shared" si="46"/>
        <v>4.9890000000000008</v>
      </c>
      <c r="P125" s="63">
        <f t="shared" si="47"/>
        <v>4.9890000000000008</v>
      </c>
      <c r="Q125" s="66"/>
      <c r="R125" s="63">
        <f t="shared" si="48"/>
        <v>0.32500000000000001</v>
      </c>
      <c r="S125" s="64">
        <f t="shared" si="49"/>
        <v>0.32500000000000001</v>
      </c>
      <c r="T125" s="63">
        <f t="shared" si="50"/>
        <v>0</v>
      </c>
      <c r="U125" s="64">
        <f t="shared" si="51"/>
        <v>0</v>
      </c>
      <c r="V125" s="219">
        <f>IF($A126="","",IF(AND(MONTH(A125)&gt;3,MONTH(A125)&lt;11),(T125+R125+G125)*Summary!$T$10/(1-Summary!$T$10),(T125+R125+G125)*Summary!$U$10/(1-Summary!$U$10)))</f>
        <v>4.0637096774193554E-2</v>
      </c>
      <c r="W125" s="63">
        <f t="shared" si="52"/>
        <v>5.0796370967741939</v>
      </c>
      <c r="X125" s="63">
        <f t="shared" si="53"/>
        <v>5.0796370967741939</v>
      </c>
      <c r="Y125" s="43"/>
      <c r="Z125" s="38">
        <f t="shared" si="54"/>
        <v>1.1000000000000001</v>
      </c>
      <c r="AA125" s="38">
        <f t="shared" si="55"/>
        <v>0.183</v>
      </c>
      <c r="AB125" s="38">
        <f t="shared" ca="1" si="56"/>
        <v>0.19705246355723099</v>
      </c>
      <c r="AC125" s="38">
        <f t="shared" si="57"/>
        <v>1.1000000000000001</v>
      </c>
      <c r="AD125" s="38">
        <f t="shared" si="57"/>
        <v>0.183</v>
      </c>
      <c r="AE125" s="38">
        <f t="shared" ca="1" si="58"/>
        <v>0.19705246355723099</v>
      </c>
      <c r="AF125" s="237">
        <f ca="1">((Summary!$N$10*(AA125*AD125)*(A125-$D$3))+(Summary!$M$10*Z125*AC125*(AJ125-EOMONTH(EDATE(A125,-1),0))))/(AK125*AB125*AE125)</f>
        <v>0.99991372958770663</v>
      </c>
      <c r="AG125" s="88">
        <f>IF($A126="","",Summary!$Q$10)</f>
        <v>0</v>
      </c>
      <c r="AH125" s="88">
        <f>IF($A126="","",IF(Summary!$R$10="Y",(VLOOKUP($A125,Summary!$AD$6:$AF$9,3)+'Escalating commodity'!F138),'Escalating commodity'!F138))</f>
        <v>1.5820799999999999E-2</v>
      </c>
      <c r="AI125" s="88">
        <f t="shared" si="73"/>
        <v>1.5820799999999999E-2</v>
      </c>
      <c r="AJ125" s="236">
        <f t="shared" si="59"/>
        <v>40558.5</v>
      </c>
      <c r="AK125" s="58">
        <f t="shared" ca="1" si="60"/>
        <v>3518</v>
      </c>
      <c r="AL125" s="26">
        <f ca="1">IF($A126="","",_xll.SPRDOPT(P125,X125,AI125,0,AB125,AE125,AF125,AK125,$AJ$2,0))</f>
        <v>1.5063596173278439E-3</v>
      </c>
      <c r="AM125" s="89">
        <f t="shared" si="61"/>
        <v>0</v>
      </c>
      <c r="AN125" s="89">
        <f t="shared" ca="1" si="62"/>
        <v>1.5063596173278439E-3</v>
      </c>
      <c r="AO125" s="3">
        <f t="shared" si="63"/>
        <v>31</v>
      </c>
      <c r="AP125" s="33">
        <f t="shared" si="64"/>
        <v>40544</v>
      </c>
      <c r="AQ125" s="58">
        <f t="shared" ca="1" si="65"/>
        <v>3518</v>
      </c>
      <c r="AR125" s="38">
        <f>'ANR OK vs ML7'!AR125</f>
        <v>0.1</v>
      </c>
      <c r="AS125" s="35">
        <f t="shared" ca="1" si="66"/>
        <v>0.39067853727972679</v>
      </c>
      <c r="AT125" s="3">
        <f t="shared" si="67"/>
        <v>1</v>
      </c>
      <c r="AU125" s="3">
        <f t="shared" si="68"/>
        <v>31</v>
      </c>
      <c r="AW125" s="32">
        <f t="shared" ca="1" si="69"/>
        <v>5591.5165179439164</v>
      </c>
      <c r="AX125" s="32">
        <f t="shared" si="70"/>
        <v>0</v>
      </c>
      <c r="AY125" s="32">
        <f t="shared" ca="1" si="71"/>
        <v>5591.5165179439164</v>
      </c>
      <c r="BA125" s="32">
        <f ca="1">IF($A126="","",F125*Summary!$Q$10)</f>
        <v>0</v>
      </c>
      <c r="BC125" s="256">
        <f t="shared" ca="1" si="74"/>
        <v>0</v>
      </c>
    </row>
    <row r="126" spans="1:55">
      <c r="A126" s="67">
        <f t="shared" si="72"/>
        <v>40575</v>
      </c>
      <c r="B126" s="69">
        <f t="shared" si="75"/>
        <v>119740</v>
      </c>
      <c r="C126" s="71"/>
      <c r="D126" s="69">
        <f t="shared" si="38"/>
        <v>119740</v>
      </c>
      <c r="E126" s="70">
        <f t="shared" si="39"/>
        <v>3352720</v>
      </c>
      <c r="F126" s="70">
        <f t="shared" ca="1" si="40"/>
        <v>1299032.5206303482</v>
      </c>
      <c r="G126" s="63">
        <f t="shared" si="41"/>
        <v>4.5940000000000003</v>
      </c>
      <c r="H126" s="64">
        <f t="shared" si="42"/>
        <v>4.5940000000000003</v>
      </c>
      <c r="I126" s="43"/>
      <c r="J126" s="63">
        <f t="shared" si="43"/>
        <v>0.27500000000000002</v>
      </c>
      <c r="K126" s="64">
        <f t="shared" si="44"/>
        <v>0.27500000000000002</v>
      </c>
      <c r="L126" s="38">
        <v>0</v>
      </c>
      <c r="M126" s="64">
        <f t="shared" si="45"/>
        <v>0</v>
      </c>
      <c r="N126" s="65"/>
      <c r="O126" s="63">
        <f t="shared" si="46"/>
        <v>4.8690000000000007</v>
      </c>
      <c r="P126" s="63">
        <f t="shared" si="47"/>
        <v>4.8690000000000007</v>
      </c>
      <c r="Q126" s="66"/>
      <c r="R126" s="63">
        <f t="shared" si="48"/>
        <v>0.32500000000000001</v>
      </c>
      <c r="S126" s="64">
        <f t="shared" si="49"/>
        <v>0.32500000000000001</v>
      </c>
      <c r="T126" s="63">
        <f t="shared" si="50"/>
        <v>0</v>
      </c>
      <c r="U126" s="64">
        <f t="shared" si="51"/>
        <v>0</v>
      </c>
      <c r="V126" s="219">
        <f>IF($A127="","",IF(AND(MONTH(A126)&gt;3,MONTH(A126)&lt;11),(T126+R126+G126)*Summary!$T$10/(1-Summary!$T$10),(T126+R126+G126)*Summary!$U$10/(1-Summary!$U$10)))</f>
        <v>3.9669354838709682E-2</v>
      </c>
      <c r="W126" s="63">
        <f t="shared" si="52"/>
        <v>4.95866935483871</v>
      </c>
      <c r="X126" s="63">
        <f t="shared" si="53"/>
        <v>4.95866935483871</v>
      </c>
      <c r="Y126" s="43"/>
      <c r="Z126" s="38">
        <f t="shared" si="54"/>
        <v>1.1000000000000001</v>
      </c>
      <c r="AA126" s="38">
        <f t="shared" si="55"/>
        <v>0.183</v>
      </c>
      <c r="AB126" s="38">
        <f t="shared" ca="1" si="56"/>
        <v>0.19563131579992946</v>
      </c>
      <c r="AC126" s="38">
        <f t="shared" si="57"/>
        <v>1.1000000000000001</v>
      </c>
      <c r="AD126" s="38">
        <f t="shared" si="57"/>
        <v>0.183</v>
      </c>
      <c r="AE126" s="38">
        <f t="shared" ca="1" si="58"/>
        <v>0.19563131579992946</v>
      </c>
      <c r="AF126" s="237">
        <f ca="1">((Summary!$N$10*(AA126*AD126)*(A126-$D$3))+(Summary!$M$10*Z126*AC126*(AJ126-EOMONTH(EDATE(A126,-1),0))))/(AK126*AB126*AE126)</f>
        <v>0.99991247184356147</v>
      </c>
      <c r="AG126" s="88">
        <f>IF($A127="","",Summary!$Q$10)</f>
        <v>0</v>
      </c>
      <c r="AH126" s="88">
        <f>IF($A127="","",IF(Summary!$R$10="Y",(VLOOKUP($A126,Summary!$AD$6:$AF$9,3)+'Escalating commodity'!F139),'Escalating commodity'!F139))</f>
        <v>1.5820799999999999E-2</v>
      </c>
      <c r="AI126" s="88">
        <f t="shared" si="73"/>
        <v>1.5820799999999999E-2</v>
      </c>
      <c r="AJ126" s="236">
        <f t="shared" si="59"/>
        <v>40588</v>
      </c>
      <c r="AK126" s="58">
        <f t="shared" ca="1" si="60"/>
        <v>3549</v>
      </c>
      <c r="AL126" s="26">
        <f ca="1">IF($A127="","",_xll.SPRDOPT(P126,X126,AI126,0,AB126,AE126,AF126,AK126,$AJ$2,0))</f>
        <v>1.4521091664441866E-3</v>
      </c>
      <c r="AM126" s="89">
        <f t="shared" si="61"/>
        <v>0</v>
      </c>
      <c r="AN126" s="89">
        <f t="shared" ca="1" si="62"/>
        <v>1.4521091664441866E-3</v>
      </c>
      <c r="AO126" s="3">
        <f t="shared" si="63"/>
        <v>28</v>
      </c>
      <c r="AP126" s="33">
        <f t="shared" si="64"/>
        <v>40575</v>
      </c>
      <c r="AQ126" s="58">
        <f t="shared" ca="1" si="65"/>
        <v>3549</v>
      </c>
      <c r="AR126" s="38">
        <f>'ANR OK vs ML7'!AR126</f>
        <v>0.1</v>
      </c>
      <c r="AS126" s="35">
        <f t="shared" ca="1" si="66"/>
        <v>0.38745631028846678</v>
      </c>
      <c r="AT126" s="3">
        <f t="shared" si="67"/>
        <v>1</v>
      </c>
      <c r="AU126" s="3">
        <f t="shared" si="68"/>
        <v>28</v>
      </c>
      <c r="AW126" s="32">
        <f t="shared" ca="1" si="69"/>
        <v>4868.5154445207536</v>
      </c>
      <c r="AX126" s="32">
        <f t="shared" si="70"/>
        <v>0</v>
      </c>
      <c r="AY126" s="32">
        <f t="shared" ca="1" si="71"/>
        <v>4868.5154445207536</v>
      </c>
      <c r="BA126" s="32">
        <f ca="1">IF($A127="","",F126*Summary!$Q$10)</f>
        <v>0</v>
      </c>
      <c r="BC126" s="256">
        <f t="shared" ca="1" si="74"/>
        <v>0</v>
      </c>
    </row>
    <row r="127" spans="1:55">
      <c r="A127" s="67">
        <f t="shared" si="72"/>
        <v>40603</v>
      </c>
      <c r="B127" s="69">
        <f t="shared" si="75"/>
        <v>119740</v>
      </c>
      <c r="C127" s="71"/>
      <c r="D127" s="69">
        <f t="shared" si="38"/>
        <v>119740</v>
      </c>
      <c r="E127" s="70">
        <f t="shared" si="39"/>
        <v>3711940</v>
      </c>
      <c r="F127" s="70">
        <f t="shared" ca="1" si="40"/>
        <v>1427496.1652537433</v>
      </c>
      <c r="G127" s="63">
        <f t="shared" si="41"/>
        <v>4.4550000000000001</v>
      </c>
      <c r="H127" s="64">
        <f t="shared" si="42"/>
        <v>4.4550000000000001</v>
      </c>
      <c r="I127" s="43"/>
      <c r="J127" s="63">
        <f t="shared" si="43"/>
        <v>0.27500000000000002</v>
      </c>
      <c r="K127" s="64">
        <f t="shared" si="44"/>
        <v>0.27500000000000002</v>
      </c>
      <c r="L127" s="38">
        <v>0</v>
      </c>
      <c r="M127" s="64">
        <f t="shared" si="45"/>
        <v>0</v>
      </c>
      <c r="N127" s="65"/>
      <c r="O127" s="63">
        <f t="shared" si="46"/>
        <v>4.7300000000000004</v>
      </c>
      <c r="P127" s="63">
        <f t="shared" si="47"/>
        <v>4.7300000000000004</v>
      </c>
      <c r="Q127" s="66"/>
      <c r="R127" s="63">
        <f t="shared" si="48"/>
        <v>0.32500000000000001</v>
      </c>
      <c r="S127" s="64">
        <f t="shared" si="49"/>
        <v>0.32500000000000001</v>
      </c>
      <c r="T127" s="63">
        <f t="shared" si="50"/>
        <v>0</v>
      </c>
      <c r="U127" s="64">
        <f t="shared" si="51"/>
        <v>0</v>
      </c>
      <c r="V127" s="219">
        <f>IF($A128="","",IF(AND(MONTH(A127)&gt;3,MONTH(A127)&lt;11),(T127+R127+G127)*Summary!$T$10/(1-Summary!$T$10),(T127+R127+G127)*Summary!$U$10/(1-Summary!$U$10)))</f>
        <v>3.8548387096774196E-2</v>
      </c>
      <c r="W127" s="63">
        <f t="shared" si="52"/>
        <v>4.818548387096774</v>
      </c>
      <c r="X127" s="63">
        <f t="shared" si="53"/>
        <v>4.818548387096774</v>
      </c>
      <c r="Y127" s="43"/>
      <c r="Z127" s="38">
        <f t="shared" si="54"/>
        <v>0.75</v>
      </c>
      <c r="AA127" s="38">
        <f t="shared" si="55"/>
        <v>0.18</v>
      </c>
      <c r="AB127" s="38">
        <f t="shared" ca="1" si="56"/>
        <v>0.18667218713963701</v>
      </c>
      <c r="AC127" s="38">
        <f t="shared" si="57"/>
        <v>0.75</v>
      </c>
      <c r="AD127" s="38">
        <f t="shared" si="57"/>
        <v>0.18</v>
      </c>
      <c r="AE127" s="38">
        <f t="shared" ca="1" si="58"/>
        <v>0.18667218713963701</v>
      </c>
      <c r="AF127" s="237">
        <f ca="1">((Summary!$N$10*(AA127*AD127)*(A127-$D$3))+(Summary!$M$10*Z127*AC127*(AJ127-EOMONTH(EDATE(A127,-1),0))))/(AK127*AB127*AE127)</f>
        <v>0.99990699481210599</v>
      </c>
      <c r="AG127" s="88">
        <f>IF($A128="","",Summary!$Q$10)</f>
        <v>0</v>
      </c>
      <c r="AH127" s="88">
        <f>IF($A128="","",IF(Summary!$R$10="Y",(VLOOKUP($A127,Summary!$AD$6:$AF$9,3)+'Escalating commodity'!F140),'Escalating commodity'!F140))</f>
        <v>1.5820799999999999E-2</v>
      </c>
      <c r="AI127" s="88">
        <f t="shared" si="73"/>
        <v>1.5820799999999999E-2</v>
      </c>
      <c r="AJ127" s="236">
        <f t="shared" si="59"/>
        <v>40617.5</v>
      </c>
      <c r="AK127" s="58">
        <f t="shared" ca="1" si="60"/>
        <v>3577</v>
      </c>
      <c r="AL127" s="26">
        <f ca="1">IF($A128="","",_xll.SPRDOPT(P127,X127,AI127,0,AB127,AE127,AF127,AK127,$AJ$2,0))</f>
        <v>1.3162759578906075E-3</v>
      </c>
      <c r="AM127" s="89">
        <f t="shared" si="61"/>
        <v>0</v>
      </c>
      <c r="AN127" s="89">
        <f t="shared" ca="1" si="62"/>
        <v>1.3162759578906075E-3</v>
      </c>
      <c r="AO127" s="3">
        <f t="shared" si="63"/>
        <v>31</v>
      </c>
      <c r="AP127" s="33">
        <f t="shared" si="64"/>
        <v>40603</v>
      </c>
      <c r="AQ127" s="58">
        <f t="shared" ca="1" si="65"/>
        <v>3577</v>
      </c>
      <c r="AR127" s="38">
        <f>'ANR OK vs ML7'!AR127</f>
        <v>0.1</v>
      </c>
      <c r="AS127" s="35">
        <f t="shared" ca="1" si="66"/>
        <v>0.38456876060866912</v>
      </c>
      <c r="AT127" s="3">
        <f t="shared" si="67"/>
        <v>1</v>
      </c>
      <c r="AU127" s="3">
        <f t="shared" si="68"/>
        <v>31</v>
      </c>
      <c r="AW127" s="32">
        <f t="shared" ca="1" si="69"/>
        <v>4885.9373791324615</v>
      </c>
      <c r="AX127" s="32">
        <f t="shared" si="70"/>
        <v>0</v>
      </c>
      <c r="AY127" s="32">
        <f t="shared" ca="1" si="71"/>
        <v>4885.9373791324615</v>
      </c>
      <c r="BA127" s="32">
        <f ca="1">IF($A128="","",F127*Summary!$Q$10)</f>
        <v>0</v>
      </c>
      <c r="BC127" s="256">
        <f t="shared" ca="1" si="74"/>
        <v>0</v>
      </c>
    </row>
    <row r="128" spans="1:55">
      <c r="A128" s="67">
        <f t="shared" si="72"/>
        <v>40634</v>
      </c>
      <c r="B128" s="69">
        <f t="shared" si="75"/>
        <v>119740</v>
      </c>
      <c r="C128" s="71"/>
      <c r="D128" s="69">
        <f t="shared" si="38"/>
        <v>119740</v>
      </c>
      <c r="E128" s="70">
        <f t="shared" si="39"/>
        <v>3592200</v>
      </c>
      <c r="F128" s="70">
        <f t="shared" ca="1" si="40"/>
        <v>1370054.0363357163</v>
      </c>
      <c r="G128" s="63">
        <f t="shared" si="41"/>
        <v>4.28</v>
      </c>
      <c r="H128" s="64">
        <f t="shared" si="42"/>
        <v>4.28</v>
      </c>
      <c r="I128" s="43"/>
      <c r="J128" s="63">
        <f t="shared" si="43"/>
        <v>0.18</v>
      </c>
      <c r="K128" s="64">
        <f t="shared" si="44"/>
        <v>0.18</v>
      </c>
      <c r="L128" s="38">
        <v>0</v>
      </c>
      <c r="M128" s="64">
        <f t="shared" si="45"/>
        <v>0</v>
      </c>
      <c r="N128" s="65"/>
      <c r="O128" s="63">
        <f t="shared" si="46"/>
        <v>4.46</v>
      </c>
      <c r="P128" s="63">
        <f t="shared" si="47"/>
        <v>4.46</v>
      </c>
      <c r="Q128" s="66"/>
      <c r="R128" s="63">
        <f t="shared" si="48"/>
        <v>0.21</v>
      </c>
      <c r="S128" s="64">
        <f t="shared" si="49"/>
        <v>0.21</v>
      </c>
      <c r="T128" s="63">
        <f t="shared" si="50"/>
        <v>0</v>
      </c>
      <c r="U128" s="64">
        <f t="shared" si="51"/>
        <v>0</v>
      </c>
      <c r="V128" s="219">
        <f>IF($A129="","",IF(AND(MONTH(A128)&gt;3,MONTH(A128)&lt;11),(T128+R128+G128)*Summary!$T$10/(1-Summary!$T$10),(T128+R128+G128)*Summary!$U$10/(1-Summary!$U$10)))</f>
        <v>3.6209677419354838E-2</v>
      </c>
      <c r="W128" s="63">
        <f t="shared" si="52"/>
        <v>4.526209677419355</v>
      </c>
      <c r="X128" s="63">
        <f t="shared" si="53"/>
        <v>4.526209677419355</v>
      </c>
      <c r="Y128" s="43"/>
      <c r="Z128" s="38">
        <f t="shared" si="54"/>
        <v>0.45</v>
      </c>
      <c r="AA128" s="38">
        <f t="shared" si="55"/>
        <v>0.18</v>
      </c>
      <c r="AB128" s="38">
        <f t="shared" ca="1" si="56"/>
        <v>0.18234818124065244</v>
      </c>
      <c r="AC128" s="38">
        <f t="shared" si="57"/>
        <v>0.45</v>
      </c>
      <c r="AD128" s="38">
        <f t="shared" si="57"/>
        <v>0.18</v>
      </c>
      <c r="AE128" s="38">
        <f t="shared" ca="1" si="58"/>
        <v>0.18234818124065244</v>
      </c>
      <c r="AF128" s="237">
        <f ca="1">((Summary!$N$10*(AA128*AD128)*(A128-$D$3))+(Summary!$M$10*Z128*AC128*(AJ128-EOMONTH(EDATE(A128,-1),0))))/(AK128*AB128*AE128)</f>
        <v>0.99990253190196476</v>
      </c>
      <c r="AG128" s="88">
        <f>IF($A129="","",Summary!$Q$10)</f>
        <v>0</v>
      </c>
      <c r="AH128" s="88">
        <f>IF($A129="","",IF(Summary!$R$10="Y",(VLOOKUP($A128,Summary!$AD$6:$AF$9,3)+'Escalating commodity'!F141),'Escalating commodity'!F141))</f>
        <v>1.5820799999999999E-2</v>
      </c>
      <c r="AI128" s="88">
        <f t="shared" si="73"/>
        <v>1.5820799999999999E-2</v>
      </c>
      <c r="AJ128" s="236">
        <f t="shared" si="59"/>
        <v>40648</v>
      </c>
      <c r="AK128" s="58">
        <f t="shared" ca="1" si="60"/>
        <v>3608</v>
      </c>
      <c r="AL128" s="26">
        <f ca="1">IF($A129="","",_xll.SPRDOPT(P128,X128,AI128,0,AB128,AE128,AF128,AK128,$AJ$2,0))</f>
        <v>1.5825522906165734E-3</v>
      </c>
      <c r="AM128" s="89">
        <f t="shared" si="61"/>
        <v>0</v>
      </c>
      <c r="AN128" s="89">
        <f t="shared" ca="1" si="62"/>
        <v>1.5825522906165734E-3</v>
      </c>
      <c r="AO128" s="3">
        <f t="shared" si="63"/>
        <v>30</v>
      </c>
      <c r="AP128" s="33">
        <f t="shared" si="64"/>
        <v>40634</v>
      </c>
      <c r="AQ128" s="58">
        <f t="shared" ca="1" si="65"/>
        <v>3608</v>
      </c>
      <c r="AR128" s="38">
        <f>'ANR OK vs ML7'!AR128</f>
        <v>0.1</v>
      </c>
      <c r="AS128" s="35">
        <f t="shared" ca="1" si="66"/>
        <v>0.38139692565439459</v>
      </c>
      <c r="AT128" s="3">
        <f t="shared" si="67"/>
        <v>1</v>
      </c>
      <c r="AU128" s="3">
        <f t="shared" si="68"/>
        <v>30</v>
      </c>
      <c r="AW128" s="32">
        <f t="shared" ca="1" si="69"/>
        <v>5684.8443383528547</v>
      </c>
      <c r="AX128" s="32">
        <f t="shared" si="70"/>
        <v>0</v>
      </c>
      <c r="AY128" s="32">
        <f t="shared" ca="1" si="71"/>
        <v>5684.8443383528547</v>
      </c>
      <c r="BA128" s="32">
        <f ca="1">IF($A129="","",F128*Summary!$Q$10)</f>
        <v>0</v>
      </c>
      <c r="BC128" s="256">
        <f t="shared" ca="1" si="74"/>
        <v>0</v>
      </c>
    </row>
    <row r="129" spans="1:55">
      <c r="A129" s="67">
        <f t="shared" si="72"/>
        <v>40664</v>
      </c>
      <c r="B129" s="69">
        <f t="shared" si="75"/>
        <v>119740</v>
      </c>
      <c r="C129" s="71"/>
      <c r="D129" s="69">
        <f t="shared" si="38"/>
        <v>119740</v>
      </c>
      <c r="E129" s="70">
        <f t="shared" si="39"/>
        <v>3711940</v>
      </c>
      <c r="F129" s="70">
        <f t="shared" ca="1" si="40"/>
        <v>1404421.1051887202</v>
      </c>
      <c r="G129" s="63">
        <f t="shared" si="41"/>
        <v>4.25</v>
      </c>
      <c r="H129" s="64">
        <f t="shared" si="42"/>
        <v>4.25</v>
      </c>
      <c r="I129" s="43"/>
      <c r="J129" s="63">
        <f t="shared" si="43"/>
        <v>0.18</v>
      </c>
      <c r="K129" s="64">
        <f t="shared" si="44"/>
        <v>0.18</v>
      </c>
      <c r="L129" s="38">
        <v>0</v>
      </c>
      <c r="M129" s="64">
        <f t="shared" si="45"/>
        <v>0</v>
      </c>
      <c r="N129" s="65"/>
      <c r="O129" s="63">
        <f t="shared" si="46"/>
        <v>4.43</v>
      </c>
      <c r="P129" s="63">
        <f t="shared" si="47"/>
        <v>4.43</v>
      </c>
      <c r="Q129" s="66"/>
      <c r="R129" s="63">
        <f t="shared" si="48"/>
        <v>0.21</v>
      </c>
      <c r="S129" s="64">
        <f t="shared" si="49"/>
        <v>0.21</v>
      </c>
      <c r="T129" s="63">
        <f t="shared" si="50"/>
        <v>0</v>
      </c>
      <c r="U129" s="64">
        <f t="shared" si="51"/>
        <v>0</v>
      </c>
      <c r="V129" s="219">
        <f>IF($A130="","",IF(AND(MONTH(A129)&gt;3,MONTH(A129)&lt;11),(T129+R129+G129)*Summary!$T$10/(1-Summary!$T$10),(T129+R129+G129)*Summary!$U$10/(1-Summary!$U$10)))</f>
        <v>3.5967741935483875E-2</v>
      </c>
      <c r="W129" s="63">
        <f t="shared" si="52"/>
        <v>4.495967741935484</v>
      </c>
      <c r="X129" s="63">
        <f t="shared" si="53"/>
        <v>4.495967741935484</v>
      </c>
      <c r="Y129" s="43"/>
      <c r="Z129" s="38">
        <f t="shared" si="54"/>
        <v>0.5</v>
      </c>
      <c r="AA129" s="38">
        <f t="shared" si="55"/>
        <v>0.18</v>
      </c>
      <c r="AB129" s="38">
        <f t="shared" ca="1" si="56"/>
        <v>0.18295915302806107</v>
      </c>
      <c r="AC129" s="38">
        <f t="shared" si="57"/>
        <v>0.5</v>
      </c>
      <c r="AD129" s="38">
        <f t="shared" si="57"/>
        <v>0.18</v>
      </c>
      <c r="AE129" s="38">
        <f t="shared" ca="1" si="58"/>
        <v>0.18295915302806107</v>
      </c>
      <c r="AF129" s="237">
        <f ca="1">((Summary!$N$10*(AA129*AD129)*(A129-$D$3))+(Summary!$M$10*Z129*AC129*(AJ129-EOMONTH(EDATE(A129,-1),0))))/(AK129*AB129*AE129)</f>
        <v>0.99990318200406292</v>
      </c>
      <c r="AG129" s="88">
        <f>IF($A130="","",Summary!$Q$10)</f>
        <v>0</v>
      </c>
      <c r="AH129" s="88">
        <f>IF($A130="","",IF(Summary!$R$10="Y",(VLOOKUP($A129,Summary!$AD$6:$AF$9,3)+'Escalating commodity'!F142),'Escalating commodity'!F142))</f>
        <v>1.5820799999999999E-2</v>
      </c>
      <c r="AI129" s="88">
        <f t="shared" si="73"/>
        <v>1.5820799999999999E-2</v>
      </c>
      <c r="AJ129" s="236">
        <f t="shared" si="59"/>
        <v>40678.5</v>
      </c>
      <c r="AK129" s="58">
        <f t="shared" ca="1" si="60"/>
        <v>3638</v>
      </c>
      <c r="AL129" s="26">
        <f ca="1">IF($A130="","",_xll.SPRDOPT(P129,X129,AI129,0,AB129,AE129,AF129,AK129,$AJ$2,0))</f>
        <v>1.5804233515142301E-3</v>
      </c>
      <c r="AM129" s="89">
        <f t="shared" si="61"/>
        <v>0</v>
      </c>
      <c r="AN129" s="89">
        <f t="shared" ca="1" si="62"/>
        <v>1.5804233515142301E-3</v>
      </c>
      <c r="AO129" s="3">
        <f t="shared" si="63"/>
        <v>31</v>
      </c>
      <c r="AP129" s="33">
        <f t="shared" si="64"/>
        <v>40664</v>
      </c>
      <c r="AQ129" s="58">
        <f t="shared" ca="1" si="65"/>
        <v>3638</v>
      </c>
      <c r="AR129" s="38">
        <f>'ANR OK vs ML7'!AR129</f>
        <v>0.1</v>
      </c>
      <c r="AS129" s="35">
        <f t="shared" ca="1" si="66"/>
        <v>0.3783523185150407</v>
      </c>
      <c r="AT129" s="3">
        <f t="shared" si="67"/>
        <v>1</v>
      </c>
      <c r="AU129" s="3">
        <f t="shared" si="68"/>
        <v>31</v>
      </c>
      <c r="AW129" s="32">
        <f t="shared" ca="1" si="69"/>
        <v>5866.4366554197313</v>
      </c>
      <c r="AX129" s="32">
        <f t="shared" si="70"/>
        <v>0</v>
      </c>
      <c r="AY129" s="32">
        <f t="shared" ca="1" si="71"/>
        <v>5866.4366554197313</v>
      </c>
      <c r="BA129" s="32">
        <f ca="1">IF($A130="","",F129*Summary!$Q$10)</f>
        <v>0</v>
      </c>
      <c r="BC129" s="256">
        <f t="shared" ca="1" si="74"/>
        <v>0</v>
      </c>
    </row>
    <row r="130" spans="1:55">
      <c r="A130" s="67">
        <f t="shared" si="72"/>
        <v>40695</v>
      </c>
      <c r="B130" s="69">
        <f t="shared" si="75"/>
        <v>119740</v>
      </c>
      <c r="C130" s="71"/>
      <c r="D130" s="69">
        <f t="shared" si="38"/>
        <v>119740</v>
      </c>
      <c r="E130" s="70">
        <f t="shared" si="39"/>
        <v>3592200</v>
      </c>
      <c r="F130" s="70">
        <f t="shared" ca="1" si="40"/>
        <v>1347907.5115671861</v>
      </c>
      <c r="G130" s="63">
        <f t="shared" si="41"/>
        <v>4.32</v>
      </c>
      <c r="H130" s="64">
        <f t="shared" si="42"/>
        <v>4.32</v>
      </c>
      <c r="I130" s="43"/>
      <c r="J130" s="63">
        <f t="shared" si="43"/>
        <v>0.18</v>
      </c>
      <c r="K130" s="64">
        <f t="shared" si="44"/>
        <v>0.18</v>
      </c>
      <c r="L130" s="38">
        <v>0</v>
      </c>
      <c r="M130" s="64">
        <f t="shared" si="45"/>
        <v>0</v>
      </c>
      <c r="N130" s="65"/>
      <c r="O130" s="63">
        <f t="shared" si="46"/>
        <v>4.5</v>
      </c>
      <c r="P130" s="63">
        <f t="shared" si="47"/>
        <v>4.5</v>
      </c>
      <c r="Q130" s="66"/>
      <c r="R130" s="63">
        <f t="shared" si="48"/>
        <v>0.21</v>
      </c>
      <c r="S130" s="64">
        <f t="shared" si="49"/>
        <v>0.21</v>
      </c>
      <c r="T130" s="63">
        <f t="shared" si="50"/>
        <v>0</v>
      </c>
      <c r="U130" s="64">
        <f t="shared" si="51"/>
        <v>0</v>
      </c>
      <c r="V130" s="219">
        <f>IF($A131="","",IF(AND(MONTH(A130)&gt;3,MONTH(A130)&lt;11),(T130+R130+G130)*Summary!$T$10/(1-Summary!$T$10),(T130+R130+G130)*Summary!$U$10/(1-Summary!$U$10)))</f>
        <v>3.6532258064516134E-2</v>
      </c>
      <c r="W130" s="63">
        <f t="shared" si="52"/>
        <v>4.566532258064516</v>
      </c>
      <c r="X130" s="63">
        <f t="shared" si="53"/>
        <v>4.566532258064516</v>
      </c>
      <c r="Y130" s="43"/>
      <c r="Z130" s="38">
        <f t="shared" si="54"/>
        <v>0.5</v>
      </c>
      <c r="AA130" s="38">
        <f t="shared" si="55"/>
        <v>0.18</v>
      </c>
      <c r="AB130" s="38">
        <f t="shared" ca="1" si="56"/>
        <v>0.18284120871469822</v>
      </c>
      <c r="AC130" s="38">
        <f t="shared" si="57"/>
        <v>0.5</v>
      </c>
      <c r="AD130" s="38">
        <f t="shared" si="57"/>
        <v>0.18</v>
      </c>
      <c r="AE130" s="38">
        <f t="shared" ca="1" si="58"/>
        <v>0.18284120871469822</v>
      </c>
      <c r="AF130" s="237">
        <f ca="1">((Summary!$N$10*(AA130*AD130)*(A130-$D$3))+(Summary!$M$10*Z130*AC130*(AJ130-EOMONTH(EDATE(A130,-1),0))))/(AK130*AB130*AE130)</f>
        <v>0.99990305728122097</v>
      </c>
      <c r="AG130" s="88">
        <f>IF($A131="","",Summary!$Q$10)</f>
        <v>0</v>
      </c>
      <c r="AH130" s="88">
        <f>IF($A131="","",IF(Summary!$R$10="Y",(VLOOKUP($A130,Summary!$AD$6:$AF$9,3)+'Escalating commodity'!F143),'Escalating commodity'!F143))</f>
        <v>1.5820799999999999E-2</v>
      </c>
      <c r="AI130" s="88">
        <f t="shared" si="73"/>
        <v>1.5820799999999999E-2</v>
      </c>
      <c r="AJ130" s="236">
        <f t="shared" si="59"/>
        <v>40709</v>
      </c>
      <c r="AK130" s="58">
        <f t="shared" ca="1" si="60"/>
        <v>3669</v>
      </c>
      <c r="AL130" s="26">
        <f ca="1">IF($A131="","",_xll.SPRDOPT(P130,X130,AI130,0,AB130,AE130,AF130,AK130,$AJ$2,0))</f>
        <v>1.6367171417768066E-3</v>
      </c>
      <c r="AM130" s="89">
        <f t="shared" si="61"/>
        <v>0</v>
      </c>
      <c r="AN130" s="89">
        <f t="shared" ca="1" si="62"/>
        <v>1.6367171417768066E-3</v>
      </c>
      <c r="AO130" s="3">
        <f t="shared" si="63"/>
        <v>30</v>
      </c>
      <c r="AP130" s="33">
        <f t="shared" si="64"/>
        <v>40695</v>
      </c>
      <c r="AQ130" s="58">
        <f t="shared" ca="1" si="65"/>
        <v>3669</v>
      </c>
      <c r="AR130" s="38">
        <f>'ANR OK vs ML7'!AR130</f>
        <v>0.1</v>
      </c>
      <c r="AS130" s="35">
        <f t="shared" ca="1" si="66"/>
        <v>0.37523175534969827</v>
      </c>
      <c r="AT130" s="3">
        <f t="shared" si="67"/>
        <v>1</v>
      </c>
      <c r="AU130" s="3">
        <f t="shared" si="68"/>
        <v>30</v>
      </c>
      <c r="AW130" s="32">
        <f t="shared" ca="1" si="69"/>
        <v>5879.4153166906444</v>
      </c>
      <c r="AX130" s="32">
        <f t="shared" si="70"/>
        <v>0</v>
      </c>
      <c r="AY130" s="32">
        <f t="shared" ca="1" si="71"/>
        <v>5879.4153166906444</v>
      </c>
      <c r="BA130" s="32">
        <f ca="1">IF($A131="","",F130*Summary!$Q$10)</f>
        <v>0</v>
      </c>
      <c r="BC130" s="256">
        <f t="shared" ca="1" si="74"/>
        <v>0</v>
      </c>
    </row>
    <row r="131" spans="1:55">
      <c r="A131" s="67">
        <f t="shared" si="72"/>
        <v>40725</v>
      </c>
      <c r="B131" s="69">
        <f t="shared" si="75"/>
        <v>119740</v>
      </c>
      <c r="C131" s="71"/>
      <c r="D131" s="69">
        <f t="shared" si="38"/>
        <v>119740</v>
      </c>
      <c r="E131" s="70">
        <f t="shared" si="39"/>
        <v>3711940</v>
      </c>
      <c r="F131" s="70">
        <f t="shared" ca="1" si="40"/>
        <v>1381719.0467540794</v>
      </c>
      <c r="G131" s="63">
        <f t="shared" si="41"/>
        <v>4.375</v>
      </c>
      <c r="H131" s="64">
        <f t="shared" si="42"/>
        <v>4.375</v>
      </c>
      <c r="I131" s="43"/>
      <c r="J131" s="63">
        <f t="shared" si="43"/>
        <v>0.18</v>
      </c>
      <c r="K131" s="64">
        <f t="shared" si="44"/>
        <v>0.18</v>
      </c>
      <c r="L131" s="38">
        <v>0</v>
      </c>
      <c r="M131" s="64">
        <f t="shared" si="45"/>
        <v>0</v>
      </c>
      <c r="N131" s="65"/>
      <c r="O131" s="63">
        <f t="shared" si="46"/>
        <v>4.5549999999999997</v>
      </c>
      <c r="P131" s="63">
        <f t="shared" si="47"/>
        <v>4.5549999999999997</v>
      </c>
      <c r="Q131" s="66"/>
      <c r="R131" s="63">
        <f t="shared" si="48"/>
        <v>0.21</v>
      </c>
      <c r="S131" s="64">
        <f t="shared" si="49"/>
        <v>0.21</v>
      </c>
      <c r="T131" s="63">
        <f t="shared" si="50"/>
        <v>0</v>
      </c>
      <c r="U131" s="64">
        <f t="shared" si="51"/>
        <v>0</v>
      </c>
      <c r="V131" s="219">
        <f>IF($A132="","",IF(AND(MONTH(A131)&gt;3,MONTH(A131)&lt;11),(T131+R131+G131)*Summary!$T$10/(1-Summary!$T$10),(T131+R131+G131)*Summary!$U$10/(1-Summary!$U$10)))</f>
        <v>3.69758064516129E-2</v>
      </c>
      <c r="W131" s="63">
        <f t="shared" si="52"/>
        <v>4.621975806451613</v>
      </c>
      <c r="X131" s="63">
        <f t="shared" si="53"/>
        <v>4.621975806451613</v>
      </c>
      <c r="Y131" s="43"/>
      <c r="Z131" s="38">
        <f t="shared" si="54"/>
        <v>0.55000000000000004</v>
      </c>
      <c r="AA131" s="38">
        <f t="shared" si="55"/>
        <v>0.18</v>
      </c>
      <c r="AB131" s="38">
        <f t="shared" ca="1" si="56"/>
        <v>0.18351112075547349</v>
      </c>
      <c r="AC131" s="38">
        <f t="shared" si="57"/>
        <v>0.55000000000000004</v>
      </c>
      <c r="AD131" s="38">
        <f t="shared" si="57"/>
        <v>0.18</v>
      </c>
      <c r="AE131" s="38">
        <f t="shared" ca="1" si="58"/>
        <v>0.18351112075547349</v>
      </c>
      <c r="AF131" s="237">
        <f ca="1">((Summary!$N$10*(AA131*AD131)*(A131-$D$3))+(Summary!$M$10*Z131*AC131*(AJ131-EOMONTH(EDATE(A131,-1),0))))/(AK131*AB131*AE131)</f>
        <v>0.99990376398575109</v>
      </c>
      <c r="AG131" s="88">
        <f>IF($A132="","",Summary!$Q$10)</f>
        <v>0</v>
      </c>
      <c r="AH131" s="88">
        <f>IF($A132="","",IF(Summary!$R$10="Y",(VLOOKUP($A131,Summary!$AD$6:$AF$9,3)+'Escalating commodity'!F144),'Escalating commodity'!F144))</f>
        <v>1.5820799999999999E-2</v>
      </c>
      <c r="AI131" s="88">
        <f t="shared" si="73"/>
        <v>1.5820799999999999E-2</v>
      </c>
      <c r="AJ131" s="236">
        <f t="shared" si="59"/>
        <v>40739.5</v>
      </c>
      <c r="AK131" s="58">
        <f t="shared" ca="1" si="60"/>
        <v>3699</v>
      </c>
      <c r="AL131" s="26">
        <f ca="1">IF($A132="","",_xll.SPRDOPT(P131,X131,AI131,0,AB131,AE131,AF131,AK131,$AJ$2,0))</f>
        <v>1.6854030521368697E-3</v>
      </c>
      <c r="AM131" s="89">
        <f t="shared" si="61"/>
        <v>0</v>
      </c>
      <c r="AN131" s="89">
        <f t="shared" ca="1" si="62"/>
        <v>1.6854030521368697E-3</v>
      </c>
      <c r="AO131" s="3">
        <f t="shared" si="63"/>
        <v>31</v>
      </c>
      <c r="AP131" s="33">
        <f t="shared" si="64"/>
        <v>40725</v>
      </c>
      <c r="AQ131" s="58">
        <f t="shared" ca="1" si="65"/>
        <v>3699</v>
      </c>
      <c r="AR131" s="38">
        <f>'ANR OK vs ML7'!AR131</f>
        <v>0.1</v>
      </c>
      <c r="AS131" s="35">
        <f t="shared" ca="1" si="66"/>
        <v>0.3722363633986755</v>
      </c>
      <c r="AT131" s="3">
        <f t="shared" si="67"/>
        <v>1</v>
      </c>
      <c r="AU131" s="3">
        <f t="shared" si="68"/>
        <v>31</v>
      </c>
      <c r="AW131" s="32">
        <f t="shared" ca="1" si="69"/>
        <v>6256.1150053489318</v>
      </c>
      <c r="AX131" s="32">
        <f t="shared" si="70"/>
        <v>0</v>
      </c>
      <c r="AY131" s="32">
        <f t="shared" ca="1" si="71"/>
        <v>6256.1150053489318</v>
      </c>
      <c r="BA131" s="32">
        <f ca="1">IF($A132="","",F131*Summary!$Q$10)</f>
        <v>0</v>
      </c>
      <c r="BC131" s="256">
        <f t="shared" ca="1" si="74"/>
        <v>0</v>
      </c>
    </row>
    <row r="132" spans="1:55">
      <c r="A132" s="67">
        <f t="shared" si="72"/>
        <v>40756</v>
      </c>
      <c r="B132" s="69">
        <f t="shared" si="75"/>
        <v>119740</v>
      </c>
      <c r="C132" s="71"/>
      <c r="D132" s="69">
        <f t="shared" si="38"/>
        <v>119740</v>
      </c>
      <c r="E132" s="70">
        <f t="shared" si="39"/>
        <v>3711940</v>
      </c>
      <c r="F132" s="70">
        <f t="shared" ca="1" si="40"/>
        <v>1370322.9448904104</v>
      </c>
      <c r="G132" s="63">
        <f t="shared" si="41"/>
        <v>4.431</v>
      </c>
      <c r="H132" s="64">
        <f t="shared" si="42"/>
        <v>4.431</v>
      </c>
      <c r="I132" s="43"/>
      <c r="J132" s="63">
        <f t="shared" si="43"/>
        <v>0.18</v>
      </c>
      <c r="K132" s="64">
        <f t="shared" si="44"/>
        <v>0.18</v>
      </c>
      <c r="L132" s="38">
        <v>0</v>
      </c>
      <c r="M132" s="64">
        <f t="shared" si="45"/>
        <v>0</v>
      </c>
      <c r="N132" s="65"/>
      <c r="O132" s="63">
        <f t="shared" si="46"/>
        <v>4.6109999999999998</v>
      </c>
      <c r="P132" s="63">
        <f t="shared" si="47"/>
        <v>4.6109999999999998</v>
      </c>
      <c r="Q132" s="66"/>
      <c r="R132" s="63">
        <f t="shared" si="48"/>
        <v>0.21</v>
      </c>
      <c r="S132" s="64">
        <f t="shared" si="49"/>
        <v>0.21</v>
      </c>
      <c r="T132" s="63">
        <f t="shared" si="50"/>
        <v>0</v>
      </c>
      <c r="U132" s="64">
        <f t="shared" si="51"/>
        <v>0</v>
      </c>
      <c r="V132" s="219">
        <f>IF($A133="","",IF(AND(MONTH(A132)&gt;3,MONTH(A132)&lt;11),(T132+R132+G132)*Summary!$T$10/(1-Summary!$T$10),(T132+R132+G132)*Summary!$U$10/(1-Summary!$U$10)))</f>
        <v>3.742741935483871E-2</v>
      </c>
      <c r="W132" s="63">
        <f t="shared" si="52"/>
        <v>4.678427419354839</v>
      </c>
      <c r="X132" s="63">
        <f t="shared" si="53"/>
        <v>4.678427419354839</v>
      </c>
      <c r="Y132" s="43"/>
      <c r="Z132" s="38">
        <f t="shared" si="54"/>
        <v>0.6</v>
      </c>
      <c r="AA132" s="38">
        <f t="shared" si="55"/>
        <v>0.18</v>
      </c>
      <c r="AB132" s="38">
        <f t="shared" ca="1" si="56"/>
        <v>0.18413219403286479</v>
      </c>
      <c r="AC132" s="38">
        <f t="shared" si="57"/>
        <v>0.6</v>
      </c>
      <c r="AD132" s="38">
        <f t="shared" si="57"/>
        <v>0.18</v>
      </c>
      <c r="AE132" s="38">
        <f t="shared" ca="1" si="58"/>
        <v>0.18413219403286479</v>
      </c>
      <c r="AF132" s="237">
        <f ca="1">((Summary!$N$10*(AA132*AD132)*(A132-$D$3))+(Summary!$M$10*Z132*AC132*(AJ132-EOMONTH(EDATE(A132,-1),0))))/(AK132*AB132*AE132)</f>
        <v>0.99990441230891836</v>
      </c>
      <c r="AG132" s="88">
        <f>IF($A133="","",Summary!$Q$10)</f>
        <v>0</v>
      </c>
      <c r="AH132" s="88">
        <f>IF($A133="","",IF(Summary!$R$10="Y",(VLOOKUP($A132,Summary!$AD$6:$AF$9,3)+'Escalating commodity'!F145),'Escalating commodity'!F145))</f>
        <v>1.5820799999999999E-2</v>
      </c>
      <c r="AI132" s="88">
        <f t="shared" si="73"/>
        <v>1.5820799999999999E-2</v>
      </c>
      <c r="AJ132" s="236">
        <f t="shared" si="59"/>
        <v>40770.5</v>
      </c>
      <c r="AK132" s="58">
        <f t="shared" ca="1" si="60"/>
        <v>3730</v>
      </c>
      <c r="AL132" s="26">
        <f ca="1">IF($A133="","",_xll.SPRDOPT(P132,X132,AI132,0,AB132,AE132,AF132,AK132,$AJ$2,0))</f>
        <v>1.7354452707230572E-3</v>
      </c>
      <c r="AM132" s="89">
        <f t="shared" si="61"/>
        <v>0</v>
      </c>
      <c r="AN132" s="89">
        <f t="shared" ca="1" si="62"/>
        <v>1.7354452707230572E-3</v>
      </c>
      <c r="AO132" s="3">
        <f t="shared" si="63"/>
        <v>31</v>
      </c>
      <c r="AP132" s="33">
        <f t="shared" si="64"/>
        <v>40756</v>
      </c>
      <c r="AQ132" s="58">
        <f t="shared" ca="1" si="65"/>
        <v>3730</v>
      </c>
      <c r="AR132" s="38">
        <f>'ANR OK vs ML7'!AR132</f>
        <v>0.1</v>
      </c>
      <c r="AS132" s="35">
        <f t="shared" ca="1" si="66"/>
        <v>0.36916624322871877</v>
      </c>
      <c r="AT132" s="3">
        <f t="shared" si="67"/>
        <v>1</v>
      </c>
      <c r="AU132" s="3">
        <f t="shared" si="68"/>
        <v>31</v>
      </c>
      <c r="AW132" s="32">
        <f t="shared" ca="1" si="69"/>
        <v>6441.8687182077447</v>
      </c>
      <c r="AX132" s="32">
        <f t="shared" si="70"/>
        <v>0</v>
      </c>
      <c r="AY132" s="32">
        <f t="shared" ca="1" si="71"/>
        <v>6441.8687182077447</v>
      </c>
      <c r="BA132" s="32">
        <f ca="1">IF($A133="","",F132*Summary!$Q$10)</f>
        <v>0</v>
      </c>
      <c r="BC132" s="256">
        <f t="shared" ca="1" si="74"/>
        <v>0</v>
      </c>
    </row>
    <row r="133" spans="1:55">
      <c r="A133" s="67">
        <f t="shared" si="72"/>
        <v>40787</v>
      </c>
      <c r="B133" s="69">
        <f t="shared" si="75"/>
        <v>119740</v>
      </c>
      <c r="C133" s="71"/>
      <c r="D133" s="69">
        <f t="shared" si="38"/>
        <v>119740</v>
      </c>
      <c r="E133" s="70">
        <f t="shared" si="39"/>
        <v>3592200</v>
      </c>
      <c r="F133" s="70">
        <f t="shared" ca="1" si="40"/>
        <v>1315181.4536726507</v>
      </c>
      <c r="G133" s="63">
        <f t="shared" si="41"/>
        <v>4.4450000000000003</v>
      </c>
      <c r="H133" s="64">
        <f t="shared" si="42"/>
        <v>4.4450000000000003</v>
      </c>
      <c r="I133" s="43"/>
      <c r="J133" s="63">
        <f t="shared" si="43"/>
        <v>0.18</v>
      </c>
      <c r="K133" s="64">
        <f t="shared" si="44"/>
        <v>0.18</v>
      </c>
      <c r="L133" s="38">
        <v>0</v>
      </c>
      <c r="M133" s="64">
        <f t="shared" si="45"/>
        <v>0</v>
      </c>
      <c r="N133" s="65"/>
      <c r="O133" s="63">
        <f t="shared" si="46"/>
        <v>4.625</v>
      </c>
      <c r="P133" s="63">
        <f t="shared" si="47"/>
        <v>4.625</v>
      </c>
      <c r="Q133" s="66"/>
      <c r="R133" s="63">
        <f t="shared" si="48"/>
        <v>0.21</v>
      </c>
      <c r="S133" s="64">
        <f t="shared" si="49"/>
        <v>0.21</v>
      </c>
      <c r="T133" s="63">
        <f t="shared" si="50"/>
        <v>0</v>
      </c>
      <c r="U133" s="64">
        <f t="shared" si="51"/>
        <v>0</v>
      </c>
      <c r="V133" s="219">
        <f>IF($A134="","",IF(AND(MONTH(A133)&gt;3,MONTH(A133)&lt;11),(T133+R133+G133)*Summary!$T$10/(1-Summary!$T$10),(T133+R133+G133)*Summary!$U$10/(1-Summary!$U$10)))</f>
        <v>3.7540322580645165E-2</v>
      </c>
      <c r="W133" s="63">
        <f t="shared" si="52"/>
        <v>4.692540322580645</v>
      </c>
      <c r="X133" s="63">
        <f t="shared" si="53"/>
        <v>4.692540322580645</v>
      </c>
      <c r="Y133" s="43"/>
      <c r="Z133" s="38">
        <f t="shared" si="54"/>
        <v>0.6</v>
      </c>
      <c r="AA133" s="38">
        <f t="shared" si="55"/>
        <v>0.18</v>
      </c>
      <c r="AB133" s="38">
        <f t="shared" ca="1" si="56"/>
        <v>0.18396848394300067</v>
      </c>
      <c r="AC133" s="38">
        <f t="shared" si="57"/>
        <v>0.6</v>
      </c>
      <c r="AD133" s="38">
        <f t="shared" si="57"/>
        <v>0.18</v>
      </c>
      <c r="AE133" s="38">
        <f t="shared" ca="1" si="58"/>
        <v>0.18396848394300067</v>
      </c>
      <c r="AF133" s="237">
        <f ca="1">((Summary!$N$10*(AA133*AD133)*(A133-$D$3))+(Summary!$M$10*Z133*AC133*(AJ133-EOMONTH(EDATE(A133,-1),0))))/(AK133*AB133*AE133)</f>
        <v>0.99990424232139818</v>
      </c>
      <c r="AG133" s="88">
        <f>IF($A134="","",Summary!$Q$10)</f>
        <v>0</v>
      </c>
      <c r="AH133" s="88">
        <f>IF($A134="","",IF(Summary!$R$10="Y",(VLOOKUP($A133,Summary!$AD$6:$AF$9,3)+'Escalating commodity'!F146),'Escalating commodity'!F146))</f>
        <v>1.5820799999999999E-2</v>
      </c>
      <c r="AI133" s="88">
        <f t="shared" si="73"/>
        <v>1.5820799999999999E-2</v>
      </c>
      <c r="AJ133" s="236">
        <f t="shared" si="59"/>
        <v>40801</v>
      </c>
      <c r="AK133" s="58">
        <f t="shared" ca="1" si="60"/>
        <v>3761</v>
      </c>
      <c r="AL133" s="26">
        <f ca="1">IF($A134="","",_xll.SPRDOPT(P133,X133,AI133,0,AB133,AE133,AF133,AK133,$AJ$2,0))</f>
        <v>1.7592071671862948E-3</v>
      </c>
      <c r="AM133" s="89">
        <f t="shared" si="61"/>
        <v>0</v>
      </c>
      <c r="AN133" s="89">
        <f t="shared" ca="1" si="62"/>
        <v>1.7592071671862948E-3</v>
      </c>
      <c r="AO133" s="3">
        <f t="shared" si="63"/>
        <v>30</v>
      </c>
      <c r="AP133" s="33">
        <f t="shared" si="64"/>
        <v>40787</v>
      </c>
      <c r="AQ133" s="58">
        <f t="shared" ca="1" si="65"/>
        <v>3761</v>
      </c>
      <c r="AR133" s="38">
        <f>'ANR OK vs ML7'!AR133</f>
        <v>0.1</v>
      </c>
      <c r="AS133" s="35">
        <f t="shared" ca="1" si="66"/>
        <v>0.3661214447059325</v>
      </c>
      <c r="AT133" s="3">
        <f t="shared" si="67"/>
        <v>1</v>
      </c>
      <c r="AU133" s="3">
        <f t="shared" si="68"/>
        <v>30</v>
      </c>
      <c r="AW133" s="32">
        <f t="shared" ca="1" si="69"/>
        <v>6319.4239859666086</v>
      </c>
      <c r="AX133" s="32">
        <f t="shared" si="70"/>
        <v>0</v>
      </c>
      <c r="AY133" s="32">
        <f t="shared" ca="1" si="71"/>
        <v>6319.4239859666086</v>
      </c>
      <c r="BA133" s="32">
        <f ca="1">IF($A134="","",F133*Summary!$Q$10)</f>
        <v>0</v>
      </c>
      <c r="BC133" s="256">
        <f t="shared" ca="1" si="74"/>
        <v>0</v>
      </c>
    </row>
    <row r="134" spans="1:55">
      <c r="A134" s="67">
        <f t="shared" si="72"/>
        <v>40817</v>
      </c>
      <c r="B134" s="69">
        <f t="shared" si="75"/>
        <v>119740</v>
      </c>
      <c r="C134" s="71"/>
      <c r="D134" s="69">
        <f t="shared" si="38"/>
        <v>119740</v>
      </c>
      <c r="E134" s="70">
        <f t="shared" si="39"/>
        <v>3711940</v>
      </c>
      <c r="F134" s="70">
        <f t="shared" ca="1" si="40"/>
        <v>1348172.0732933541</v>
      </c>
      <c r="G134" s="63">
        <f t="shared" si="41"/>
        <v>4.476</v>
      </c>
      <c r="H134" s="64">
        <f t="shared" si="42"/>
        <v>4.476</v>
      </c>
      <c r="I134" s="43"/>
      <c r="J134" s="63">
        <f t="shared" si="43"/>
        <v>0.18</v>
      </c>
      <c r="K134" s="64">
        <f t="shared" si="44"/>
        <v>0.18</v>
      </c>
      <c r="L134" s="38">
        <v>0</v>
      </c>
      <c r="M134" s="64">
        <f t="shared" si="45"/>
        <v>0</v>
      </c>
      <c r="N134" s="65"/>
      <c r="O134" s="63">
        <f t="shared" si="46"/>
        <v>4.6559999999999997</v>
      </c>
      <c r="P134" s="63">
        <f t="shared" si="47"/>
        <v>4.6559999999999997</v>
      </c>
      <c r="Q134" s="66"/>
      <c r="R134" s="63">
        <f t="shared" si="48"/>
        <v>0.21</v>
      </c>
      <c r="S134" s="64">
        <f t="shared" si="49"/>
        <v>0.21</v>
      </c>
      <c r="T134" s="63">
        <f t="shared" si="50"/>
        <v>0</v>
      </c>
      <c r="U134" s="64">
        <f t="shared" si="51"/>
        <v>0</v>
      </c>
      <c r="V134" s="219">
        <f>IF($A135="","",IF(AND(MONTH(A134)&gt;3,MONTH(A134)&lt;11),(T134+R134+G134)*Summary!$T$10/(1-Summary!$T$10),(T134+R134+G134)*Summary!$U$10/(1-Summary!$U$10)))</f>
        <v>3.7790322580645165E-2</v>
      </c>
      <c r="W134" s="63">
        <f t="shared" si="52"/>
        <v>4.723790322580645</v>
      </c>
      <c r="X134" s="63">
        <f t="shared" si="53"/>
        <v>4.723790322580645</v>
      </c>
      <c r="Y134" s="43"/>
      <c r="Z134" s="38">
        <f t="shared" si="54"/>
        <v>0.65</v>
      </c>
      <c r="AA134" s="38">
        <f t="shared" si="55"/>
        <v>0.18</v>
      </c>
      <c r="AB134" s="38">
        <f t="shared" ca="1" si="56"/>
        <v>0.18475928431786934</v>
      </c>
      <c r="AC134" s="38">
        <f t="shared" si="57"/>
        <v>0.65</v>
      </c>
      <c r="AD134" s="38">
        <f t="shared" si="57"/>
        <v>0.18</v>
      </c>
      <c r="AE134" s="38">
        <f t="shared" ca="1" si="58"/>
        <v>0.18475928431786934</v>
      </c>
      <c r="AF134" s="237">
        <f ca="1">((Summary!$N$10*(AA134*AD134)*(A134-$D$3))+(Summary!$M$10*Z134*AC134*(AJ134-EOMONTH(EDATE(A134,-1),0))))/(AK134*AB134*AE134)</f>
        <v>0.99990506048433059</v>
      </c>
      <c r="AG134" s="88">
        <f>IF($A135="","",Summary!$Q$10)</f>
        <v>0</v>
      </c>
      <c r="AH134" s="88">
        <f>IF($A135="","",IF(Summary!$R$10="Y",(VLOOKUP($A134,Summary!$AD$6:$AF$9,3)+'Escalating commodity'!F147),'Escalating commodity'!F147))</f>
        <v>1.5820799999999999E-2</v>
      </c>
      <c r="AI134" s="88">
        <f t="shared" si="73"/>
        <v>1.5820799999999999E-2</v>
      </c>
      <c r="AJ134" s="236">
        <f t="shared" si="59"/>
        <v>40831.5</v>
      </c>
      <c r="AK134" s="58">
        <f t="shared" ca="1" si="60"/>
        <v>3791</v>
      </c>
      <c r="AL134" s="26">
        <f ca="1">IF($A135="","",_xll.SPRDOPT(P134,X134,AI134,0,AB134,AE134,AF134,AK134,$AJ$2,0))</f>
        <v>1.7941665910788211E-3</v>
      </c>
      <c r="AM134" s="89">
        <f t="shared" si="61"/>
        <v>0</v>
      </c>
      <c r="AN134" s="89">
        <f t="shared" ca="1" si="62"/>
        <v>1.7941665910788211E-3</v>
      </c>
      <c r="AO134" s="3">
        <f t="shared" si="63"/>
        <v>31</v>
      </c>
      <c r="AP134" s="33">
        <f t="shared" si="64"/>
        <v>40817</v>
      </c>
      <c r="AQ134" s="58">
        <f t="shared" ca="1" si="65"/>
        <v>3791</v>
      </c>
      <c r="AR134" s="38">
        <f>'ANR OK vs ML7'!AR134</f>
        <v>0.1</v>
      </c>
      <c r="AS134" s="35">
        <f t="shared" ca="1" si="66"/>
        <v>0.36319877834591996</v>
      </c>
      <c r="AT134" s="3">
        <f t="shared" si="67"/>
        <v>1</v>
      </c>
      <c r="AU134" s="3">
        <f t="shared" si="68"/>
        <v>31</v>
      </c>
      <c r="AW134" s="32">
        <f t="shared" ca="1" si="69"/>
        <v>6659.8387360891193</v>
      </c>
      <c r="AX134" s="32">
        <f t="shared" si="70"/>
        <v>0</v>
      </c>
      <c r="AY134" s="32">
        <f t="shared" ca="1" si="71"/>
        <v>6659.8387360891193</v>
      </c>
      <c r="BA134" s="32">
        <f ca="1">IF($A135="","",F134*Summary!$Q$10)</f>
        <v>0</v>
      </c>
      <c r="BC134" s="256">
        <f t="shared" ca="1" si="74"/>
        <v>0</v>
      </c>
    </row>
    <row r="135" spans="1:55">
      <c r="A135" s="67">
        <f t="shared" si="72"/>
        <v>40848</v>
      </c>
      <c r="B135" s="69">
        <f t="shared" si="75"/>
        <v>119740</v>
      </c>
      <c r="C135" s="71"/>
      <c r="D135" s="69">
        <f t="shared" si="38"/>
        <v>119740</v>
      </c>
      <c r="E135" s="70">
        <f t="shared" si="39"/>
        <v>3592200</v>
      </c>
      <c r="F135" s="70">
        <f t="shared" ca="1" si="40"/>
        <v>1293921.9282332202</v>
      </c>
      <c r="G135" s="63">
        <f t="shared" si="41"/>
        <v>4.609</v>
      </c>
      <c r="H135" s="64">
        <f t="shared" si="42"/>
        <v>4.609</v>
      </c>
      <c r="I135" s="43"/>
      <c r="J135" s="63">
        <f t="shared" si="43"/>
        <v>0.27500000000000002</v>
      </c>
      <c r="K135" s="64">
        <f t="shared" si="44"/>
        <v>0.27500000000000002</v>
      </c>
      <c r="L135" s="38">
        <v>0</v>
      </c>
      <c r="M135" s="64">
        <f t="shared" si="45"/>
        <v>0</v>
      </c>
      <c r="N135" s="65"/>
      <c r="O135" s="63">
        <f t="shared" si="46"/>
        <v>4.8840000000000003</v>
      </c>
      <c r="P135" s="63">
        <f t="shared" si="47"/>
        <v>4.8840000000000003</v>
      </c>
      <c r="Q135" s="66"/>
      <c r="R135" s="63">
        <f t="shared" si="48"/>
        <v>0.32500000000000001</v>
      </c>
      <c r="S135" s="64">
        <f t="shared" si="49"/>
        <v>0.32500000000000001</v>
      </c>
      <c r="T135" s="63">
        <f t="shared" si="50"/>
        <v>0</v>
      </c>
      <c r="U135" s="64">
        <f t="shared" si="51"/>
        <v>0</v>
      </c>
      <c r="V135" s="219">
        <f>IF($A136="","",IF(AND(MONTH(A135)&gt;3,MONTH(A135)&lt;11),(T135+R135+G135)*Summary!$T$10/(1-Summary!$T$10),(T135+R135+G135)*Summary!$U$10/(1-Summary!$U$10)))</f>
        <v>3.979032258064516E-2</v>
      </c>
      <c r="W135" s="63">
        <f t="shared" si="52"/>
        <v>4.973790322580645</v>
      </c>
      <c r="X135" s="63">
        <f t="shared" si="53"/>
        <v>4.973790322580645</v>
      </c>
      <c r="Y135" s="43"/>
      <c r="Z135" s="38">
        <f t="shared" si="54"/>
        <v>0.8</v>
      </c>
      <c r="AA135" s="38">
        <f t="shared" si="55"/>
        <v>0.18</v>
      </c>
      <c r="AB135" s="38">
        <f t="shared" ca="1" si="56"/>
        <v>0.18686961009590092</v>
      </c>
      <c r="AC135" s="38">
        <f t="shared" si="57"/>
        <v>0.8</v>
      </c>
      <c r="AD135" s="38">
        <f t="shared" si="57"/>
        <v>0.18</v>
      </c>
      <c r="AE135" s="38">
        <f t="shared" ca="1" si="58"/>
        <v>0.18686961009590092</v>
      </c>
      <c r="AF135" s="237">
        <f ca="1">((Summary!$N$10*(AA135*AD135)*(A135-$D$3))+(Summary!$M$10*Z135*AC135*(AJ135-EOMONTH(EDATE(A135,-1),0))))/(AK135*AB135*AE135)</f>
        <v>0.99990719288623542</v>
      </c>
      <c r="AG135" s="88">
        <f>IF($A136="","",Summary!$Q$10)</f>
        <v>0</v>
      </c>
      <c r="AH135" s="88">
        <f>IF($A136="","",IF(Summary!$R$10="Y",(VLOOKUP($A135,Summary!$AD$6:$AF$9,3)+'Escalating commodity'!F148),'Escalating commodity'!F148))</f>
        <v>1.5820799999999999E-2</v>
      </c>
      <c r="AI135" s="88">
        <f t="shared" si="73"/>
        <v>1.5820799999999999E-2</v>
      </c>
      <c r="AJ135" s="236">
        <f t="shared" si="59"/>
        <v>40862</v>
      </c>
      <c r="AK135" s="58">
        <f t="shared" ca="1" si="60"/>
        <v>3822</v>
      </c>
      <c r="AL135" s="26">
        <f ca="1">IF($A136="","",_xll.SPRDOPT(P135,X135,AI135,0,AB135,AE135,AF135,AK135,$AJ$2,0))</f>
        <v>1.5164110720155225E-3</v>
      </c>
      <c r="AM135" s="89">
        <f t="shared" si="61"/>
        <v>0</v>
      </c>
      <c r="AN135" s="89">
        <f t="shared" ca="1" si="62"/>
        <v>1.5164110720155225E-3</v>
      </c>
      <c r="AO135" s="3">
        <f t="shared" si="63"/>
        <v>30</v>
      </c>
      <c r="AP135" s="33">
        <f t="shared" si="64"/>
        <v>40848</v>
      </c>
      <c r="AQ135" s="58">
        <f t="shared" ca="1" si="65"/>
        <v>3822</v>
      </c>
      <c r="AR135" s="38">
        <f>'ANR OK vs ML7'!AR135</f>
        <v>0.1</v>
      </c>
      <c r="AS135" s="35">
        <f t="shared" ca="1" si="66"/>
        <v>0.3602031981051223</v>
      </c>
      <c r="AT135" s="3">
        <f t="shared" si="67"/>
        <v>1</v>
      </c>
      <c r="AU135" s="3">
        <f t="shared" si="68"/>
        <v>30</v>
      </c>
      <c r="AW135" s="32">
        <f t="shared" ca="1" si="69"/>
        <v>5447.25185289416</v>
      </c>
      <c r="AX135" s="32">
        <f t="shared" si="70"/>
        <v>0</v>
      </c>
      <c r="AY135" s="32">
        <f t="shared" ca="1" si="71"/>
        <v>5447.25185289416</v>
      </c>
      <c r="BA135" s="32">
        <f ca="1">IF($A136="","",F135*Summary!$Q$10)</f>
        <v>0</v>
      </c>
      <c r="BC135" s="256">
        <f t="shared" ca="1" si="74"/>
        <v>0</v>
      </c>
    </row>
    <row r="136" spans="1:55">
      <c r="A136" s="67">
        <f t="shared" si="72"/>
        <v>40878</v>
      </c>
      <c r="B136" s="69">
        <f t="shared" si="75"/>
        <v>119740</v>
      </c>
      <c r="C136" s="71"/>
      <c r="D136" s="69">
        <f t="shared" si="38"/>
        <v>119740</v>
      </c>
      <c r="E136" s="70">
        <f t="shared" si="39"/>
        <v>3711940</v>
      </c>
      <c r="F136" s="70">
        <f t="shared" ca="1" si="40"/>
        <v>1326379.2640890637</v>
      </c>
      <c r="G136" s="63">
        <f t="shared" si="41"/>
        <v>4.7469999999999999</v>
      </c>
      <c r="H136" s="64">
        <f t="shared" si="42"/>
        <v>4.7469999999999999</v>
      </c>
      <c r="I136" s="43"/>
      <c r="J136" s="63">
        <f t="shared" si="43"/>
        <v>0.27500000000000002</v>
      </c>
      <c r="K136" s="64">
        <f t="shared" si="44"/>
        <v>0.27500000000000002</v>
      </c>
      <c r="L136" s="38">
        <v>0</v>
      </c>
      <c r="M136" s="64">
        <f t="shared" si="45"/>
        <v>0</v>
      </c>
      <c r="N136" s="65"/>
      <c r="O136" s="63">
        <f t="shared" si="46"/>
        <v>5.0220000000000002</v>
      </c>
      <c r="P136" s="63">
        <f t="shared" si="47"/>
        <v>5.0220000000000002</v>
      </c>
      <c r="Q136" s="66"/>
      <c r="R136" s="63">
        <f t="shared" si="48"/>
        <v>0.32500000000000001</v>
      </c>
      <c r="S136" s="64">
        <f t="shared" si="49"/>
        <v>0.32500000000000001</v>
      </c>
      <c r="T136" s="63">
        <f t="shared" si="50"/>
        <v>0</v>
      </c>
      <c r="U136" s="64">
        <f t="shared" si="51"/>
        <v>0</v>
      </c>
      <c r="V136" s="219">
        <f>IF($A137="","",IF(AND(MONTH(A136)&gt;3,MONTH(A136)&lt;11),(T136+R136+G136)*Summary!$T$10/(1-Summary!$T$10),(T136+R136+G136)*Summary!$U$10/(1-Summary!$U$10)))</f>
        <v>4.0903225806451615E-2</v>
      </c>
      <c r="W136" s="63">
        <f t="shared" si="52"/>
        <v>5.112903225806452</v>
      </c>
      <c r="X136" s="63">
        <f t="shared" si="53"/>
        <v>5.112903225806452</v>
      </c>
      <c r="Y136" s="43"/>
      <c r="Z136" s="38">
        <f t="shared" si="54"/>
        <v>1.1000000000000001</v>
      </c>
      <c r="AA136" s="38">
        <f t="shared" si="55"/>
        <v>0.18</v>
      </c>
      <c r="AB136" s="38">
        <f t="shared" ca="1" si="56"/>
        <v>0.19307332930277593</v>
      </c>
      <c r="AC136" s="38">
        <f t="shared" si="57"/>
        <v>1.1000000000000001</v>
      </c>
      <c r="AD136" s="38">
        <f t="shared" si="57"/>
        <v>0.18</v>
      </c>
      <c r="AE136" s="38">
        <f t="shared" ca="1" si="58"/>
        <v>0.19307332930277593</v>
      </c>
      <c r="AF136" s="237">
        <f ca="1">((Summary!$N$10*(AA136*AD136)*(A136-$D$3))+(Summary!$M$10*Z136*AC136*(AJ136-EOMONTH(EDATE(A136,-1),0))))/(AK136*AB136*AE136)</f>
        <v>0.99991306129441548</v>
      </c>
      <c r="AG136" s="88">
        <f>IF($A137="","",Summary!$Q$10)</f>
        <v>0</v>
      </c>
      <c r="AH136" s="88">
        <f>IF($A137="","",IF(Summary!$R$10="Y",(VLOOKUP($A136,Summary!$AD$6:$AF$9,3)+'Escalating commodity'!F149),'Escalating commodity'!F149))</f>
        <v>1.5820799999999999E-2</v>
      </c>
      <c r="AI136" s="88">
        <f t="shared" si="73"/>
        <v>1.5820799999999999E-2</v>
      </c>
      <c r="AJ136" s="236">
        <f t="shared" si="59"/>
        <v>40892.5</v>
      </c>
      <c r="AK136" s="58">
        <f t="shared" ca="1" si="60"/>
        <v>3852</v>
      </c>
      <c r="AL136" s="26">
        <f ca="1">IF($A137="","",_xll.SPRDOPT(P136,X136,AI136,0,AB136,AE136,AF136,AK136,$AJ$2,0))</f>
        <v>1.6276622192801689E-3</v>
      </c>
      <c r="AM136" s="89">
        <f t="shared" si="61"/>
        <v>0</v>
      </c>
      <c r="AN136" s="89">
        <f t="shared" ca="1" si="62"/>
        <v>1.6276622192801689E-3</v>
      </c>
      <c r="AO136" s="3">
        <f t="shared" si="63"/>
        <v>31</v>
      </c>
      <c r="AP136" s="33">
        <f t="shared" si="64"/>
        <v>40878</v>
      </c>
      <c r="AQ136" s="58">
        <f t="shared" ca="1" si="65"/>
        <v>3852</v>
      </c>
      <c r="AR136" s="38">
        <f>'ANR OK vs ML7'!AR136</f>
        <v>0.1</v>
      </c>
      <c r="AS136" s="35">
        <f t="shared" ca="1" si="66"/>
        <v>0.35732777579623154</v>
      </c>
      <c r="AT136" s="3">
        <f t="shared" si="67"/>
        <v>1</v>
      </c>
      <c r="AU136" s="3">
        <f t="shared" si="68"/>
        <v>31</v>
      </c>
      <c r="AW136" s="32">
        <f t="shared" ca="1" si="69"/>
        <v>6041.7844982348297</v>
      </c>
      <c r="AX136" s="32">
        <f t="shared" si="70"/>
        <v>0</v>
      </c>
      <c r="AY136" s="32">
        <f t="shared" ca="1" si="71"/>
        <v>6041.7844982348297</v>
      </c>
      <c r="BA136" s="32">
        <f ca="1">IF($A137="","",F136*Summary!$Q$10)</f>
        <v>0</v>
      </c>
      <c r="BC136" s="256">
        <f t="shared" ca="1" si="74"/>
        <v>0</v>
      </c>
    </row>
    <row r="137" spans="1:55">
      <c r="A137" s="67">
        <f t="shared" si="72"/>
        <v>40909</v>
      </c>
      <c r="B137" s="69">
        <f t="shared" si="75"/>
        <v>119740</v>
      </c>
      <c r="C137" s="71"/>
      <c r="D137" s="69">
        <f t="shared" si="38"/>
        <v>119740</v>
      </c>
      <c r="E137" s="70">
        <f t="shared" si="39"/>
        <v>3711940</v>
      </c>
      <c r="F137" s="70">
        <f t="shared" ca="1" si="40"/>
        <v>1315439.592063172</v>
      </c>
      <c r="G137" s="63">
        <f t="shared" si="41"/>
        <v>4.7890000000000006</v>
      </c>
      <c r="H137" s="64">
        <f t="shared" si="42"/>
        <v>4.7890000000000006</v>
      </c>
      <c r="I137" s="43"/>
      <c r="J137" s="63">
        <f t="shared" si="43"/>
        <v>0.27500000000000002</v>
      </c>
      <c r="K137" s="64">
        <f t="shared" si="44"/>
        <v>0.27500000000000002</v>
      </c>
      <c r="L137" s="38">
        <v>0</v>
      </c>
      <c r="M137" s="64">
        <f t="shared" si="45"/>
        <v>0</v>
      </c>
      <c r="N137" s="65"/>
      <c r="O137" s="63">
        <f t="shared" si="46"/>
        <v>5.0640000000000009</v>
      </c>
      <c r="P137" s="63">
        <f t="shared" si="47"/>
        <v>5.0640000000000009</v>
      </c>
      <c r="Q137" s="66"/>
      <c r="R137" s="63">
        <f t="shared" si="48"/>
        <v>0.32500000000000001</v>
      </c>
      <c r="S137" s="64">
        <f t="shared" si="49"/>
        <v>0.32500000000000001</v>
      </c>
      <c r="T137" s="63">
        <f t="shared" si="50"/>
        <v>0</v>
      </c>
      <c r="U137" s="64">
        <f t="shared" si="51"/>
        <v>0</v>
      </c>
      <c r="V137" s="219">
        <f>IF($A138="","",IF(AND(MONTH(A137)&gt;3,MONTH(A137)&lt;11),(T137+R137+G137)*Summary!$T$10/(1-Summary!$T$10),(T137+R137+G137)*Summary!$U$10/(1-Summary!$U$10)))</f>
        <v>4.1241935483870971E-2</v>
      </c>
      <c r="W137" s="63">
        <f t="shared" si="52"/>
        <v>5.1552419354838719</v>
      </c>
      <c r="X137" s="63">
        <f t="shared" si="53"/>
        <v>5.1552419354838719</v>
      </c>
      <c r="Y137" s="43"/>
      <c r="Z137" s="38">
        <f t="shared" si="54"/>
        <v>1.1000000000000001</v>
      </c>
      <c r="AA137" s="38">
        <f t="shared" si="55"/>
        <v>0.18</v>
      </c>
      <c r="AB137" s="38">
        <f t="shared" ca="1" si="56"/>
        <v>0.19297246537389742</v>
      </c>
      <c r="AC137" s="38">
        <f t="shared" si="57"/>
        <v>1.1000000000000001</v>
      </c>
      <c r="AD137" s="38">
        <f t="shared" si="57"/>
        <v>0.18</v>
      </c>
      <c r="AE137" s="38">
        <f t="shared" ca="1" si="58"/>
        <v>0.19297246537389742</v>
      </c>
      <c r="AF137" s="237">
        <f ca="1">((Summary!$N$10*(AA137*AD137)*(A137-$D$3))+(Summary!$M$10*Z137*AC137*(AJ137-EOMONTH(EDATE(A137,-1),0))))/(AK137*AB137*AE137)</f>
        <v>0.99991297056777262</v>
      </c>
      <c r="AG137" s="88">
        <f>IF($A138="","",Summary!$Q$10)</f>
        <v>0</v>
      </c>
      <c r="AH137" s="88">
        <f>IF($A138="","",IF(Summary!$R$10="Y",(VLOOKUP($A137,Summary!$AD$6:$AF$9,3)+'Escalating commodity'!F150),'Escalating commodity'!F150))</f>
        <v>1.5820799999999999E-2</v>
      </c>
      <c r="AI137" s="88">
        <f t="shared" si="73"/>
        <v>1.5820799999999999E-2</v>
      </c>
      <c r="AJ137" s="236">
        <f t="shared" si="59"/>
        <v>40923.5</v>
      </c>
      <c r="AK137" s="58">
        <f t="shared" ca="1" si="60"/>
        <v>3883</v>
      </c>
      <c r="AL137" s="26">
        <f ca="1">IF($A138="","",_xll.SPRDOPT(P137,X137,AI137,0,AB137,AE137,AF137,AK137,$AJ$2,0))</f>
        <v>1.6668483054205728E-3</v>
      </c>
      <c r="AM137" s="89">
        <f t="shared" si="61"/>
        <v>0</v>
      </c>
      <c r="AN137" s="89">
        <f t="shared" ca="1" si="62"/>
        <v>1.6668483054205728E-3</v>
      </c>
      <c r="AO137" s="3">
        <f t="shared" si="63"/>
        <v>31</v>
      </c>
      <c r="AP137" s="33">
        <f t="shared" si="64"/>
        <v>40909</v>
      </c>
      <c r="AQ137" s="58">
        <f t="shared" ca="1" si="65"/>
        <v>3883</v>
      </c>
      <c r="AR137" s="38">
        <f>'ANR OK vs ML7'!AR137</f>
        <v>0.1</v>
      </c>
      <c r="AS137" s="35">
        <f t="shared" ca="1" si="66"/>
        <v>0.35438061823821831</v>
      </c>
      <c r="AT137" s="3">
        <f t="shared" si="67"/>
        <v>1</v>
      </c>
      <c r="AU137" s="3">
        <f t="shared" si="68"/>
        <v>31</v>
      </c>
      <c r="AW137" s="32">
        <f t="shared" ca="1" si="69"/>
        <v>6187.2408988228408</v>
      </c>
      <c r="AX137" s="32">
        <f t="shared" si="70"/>
        <v>0</v>
      </c>
      <c r="AY137" s="32">
        <f t="shared" ca="1" si="71"/>
        <v>6187.2408988228408</v>
      </c>
      <c r="BA137" s="32">
        <f ca="1">IF($A138="","",F137*Summary!$Q$10)</f>
        <v>0</v>
      </c>
      <c r="BC137" s="256">
        <f t="shared" ca="1" si="74"/>
        <v>0</v>
      </c>
    </row>
    <row r="138" spans="1:55">
      <c r="A138" s="67">
        <f t="shared" si="72"/>
        <v>40940</v>
      </c>
      <c r="B138" s="69">
        <f t="shared" si="75"/>
        <v>119740</v>
      </c>
      <c r="C138" s="71"/>
      <c r="D138" s="69">
        <f t="shared" ref="D138:D201" si="76">IF(A139&lt;&gt;"",B138+C138,"")</f>
        <v>119740</v>
      </c>
      <c r="E138" s="70">
        <f t="shared" ref="E138:E201" si="77">IF(A139="","",IF(AND(AT138=1,$H$3=1),D138*AO138,IF($H$3=2,D138,"N/A")))</f>
        <v>3472460</v>
      </c>
      <c r="F138" s="70">
        <f t="shared" ref="F138:F201" ca="1" si="78">IF(A139="","",E138*AS138)</f>
        <v>1220423.041624693</v>
      </c>
      <c r="G138" s="63">
        <f t="shared" ref="G138:G201" si="79">IF($A139="","",VLOOKUP($A138,Table,MATCH(G$4,Curves,0)))</f>
        <v>4.6690000000000005</v>
      </c>
      <c r="H138" s="64">
        <f t="shared" ref="H138:H201" si="80">IF(A139="","",G138)</f>
        <v>4.6690000000000005</v>
      </c>
      <c r="I138" s="43"/>
      <c r="J138" s="63">
        <f t="shared" ref="J138:J201" si="81">IF($A139="","",VLOOKUP($A138,Table,MATCH(J$4,Curves,0)))</f>
        <v>0.27500000000000002</v>
      </c>
      <c r="K138" s="64">
        <f t="shared" ref="K138:K201" si="82">IF(A139="","",J138)</f>
        <v>0.27500000000000002</v>
      </c>
      <c r="L138" s="38">
        <v>0</v>
      </c>
      <c r="M138" s="64">
        <f t="shared" ref="M138:M201" si="83">IF(A139="","",L138)</f>
        <v>0</v>
      </c>
      <c r="N138" s="65"/>
      <c r="O138" s="63">
        <f t="shared" ref="O138:O201" si="84">IF(A139="","",L138+J138+G138)</f>
        <v>4.9440000000000008</v>
      </c>
      <c r="P138" s="63">
        <f t="shared" ref="P138:P201" si="85">IF(A139="","",M138+K138+H138)</f>
        <v>4.9440000000000008</v>
      </c>
      <c r="Q138" s="66"/>
      <c r="R138" s="63">
        <f t="shared" ref="R138:R201" si="86">IF($A139="","",VLOOKUP($A138,Table,MATCH(R$4,Curves,0)))</f>
        <v>0.32500000000000001</v>
      </c>
      <c r="S138" s="64">
        <f t="shared" ref="S138:S201" si="87">IF(A139="","",R138)</f>
        <v>0.32500000000000001</v>
      </c>
      <c r="T138" s="63">
        <f t="shared" ref="T138:T201" si="88">IF($A139="","",VLOOKUP($A138,Table,MATCH(T$4,Curves,0)))</f>
        <v>0</v>
      </c>
      <c r="U138" s="64">
        <f t="shared" ref="U138:U201" si="89">IF(A139="","",T138)</f>
        <v>0</v>
      </c>
      <c r="V138" s="219">
        <f>IF($A139="","",IF(AND(MONTH(A138)&gt;3,MONTH(A138)&lt;11),(T138+R138+G138)*Summary!$T$10/(1-Summary!$T$10),(T138+R138+G138)*Summary!$U$10/(1-Summary!$U$10)))</f>
        <v>4.0274193548387106E-2</v>
      </c>
      <c r="W138" s="63">
        <f t="shared" ref="W138:W201" si="90">IF($A139="","",(T138+R138+G138+V138))</f>
        <v>5.0342741935483879</v>
      </c>
      <c r="X138" s="63">
        <f t="shared" ref="X138:X201" si="91">IF($A139="","",(U138+S138+H138+V138))</f>
        <v>5.0342741935483879</v>
      </c>
      <c r="Y138" s="43"/>
      <c r="Z138" s="38">
        <f t="shared" ref="Z138:Z201" si="92">IF($A139="","",VLOOKUP($A138,Table,MATCH(Z$4,Curves,0)))</f>
        <v>1.1000000000000001</v>
      </c>
      <c r="AA138" s="38">
        <f t="shared" ref="AA138:AA201" si="93">IF($A139="","",VLOOKUP($A138,Table,MATCH(AA$4,Curves,0)))</f>
        <v>0.17499999999999999</v>
      </c>
      <c r="AB138" s="38">
        <f t="shared" ref="AB138:AB201" ca="1" si="94">SQRT((AA138^2*(A138-$D$3)+Z138^2*(DAY(EOMONTH(A138,0))/2))/AK138)</f>
        <v>0.18739117093749233</v>
      </c>
      <c r="AC138" s="38">
        <f t="shared" ref="AC138:AD201" si="95">IF($A139="","",VLOOKUP($A138,Table,MATCH(AC$4,Curves,0)))</f>
        <v>1.1000000000000001</v>
      </c>
      <c r="AD138" s="38">
        <f t="shared" si="95"/>
        <v>0.17499999999999999</v>
      </c>
      <c r="AE138" s="38">
        <f t="shared" ref="AE138:AE201" ca="1" si="96">SQRT((AD138^2*(A138-$D$3)+AC138^2*(DAY(EOMONTH(A138,0))/2))/AK138)</f>
        <v>0.18739117093749233</v>
      </c>
      <c r="AF138" s="237">
        <f ca="1">((Summary!$N$10*(AA138*AD138)*(A138-$D$3))+(Summary!$M$10*Z138*AC138*(AJ138-EOMONTH(EDATE(A138,-1),0))))/(AK138*AB138*AE138)</f>
        <v>0.99991276539628138</v>
      </c>
      <c r="AG138" s="88">
        <f>IF($A139="","",Summary!$Q$10)</f>
        <v>0</v>
      </c>
      <c r="AH138" s="88">
        <f>IF($A139="","",IF(Summary!$R$10="Y",(VLOOKUP($A138,Summary!$AD$6:$AF$9,3)+'Escalating commodity'!F151),'Escalating commodity'!F151))</f>
        <v>1.5820799999999999E-2</v>
      </c>
      <c r="AI138" s="88">
        <f t="shared" si="73"/>
        <v>1.5820799999999999E-2</v>
      </c>
      <c r="AJ138" s="236">
        <f t="shared" ref="AJ138:AJ201" si="97">A138+DAY(EOMONTH(A138,0))/2-1</f>
        <v>40953.5</v>
      </c>
      <c r="AK138" s="58">
        <f t="shared" ref="AK138:AK201" ca="1" si="98">IF($A139="","",$A138-$E$1)</f>
        <v>3914</v>
      </c>
      <c r="AL138" s="26">
        <f ca="1">IF($A139="","",_xll.SPRDOPT(P138,X138,AI138,0,AB138,AE138,AF138,AK138,$AJ$2,0))</f>
        <v>1.5091756213493415E-3</v>
      </c>
      <c r="AM138" s="89">
        <f t="shared" ref="AM138:AM201" si="99">IF($A139="","",MAX(0,O138-W138-AI138))</f>
        <v>0</v>
      </c>
      <c r="AN138" s="89">
        <f t="shared" ref="AN138:AN201" ca="1" si="100">IF($A139="","",AL138-AM138)</f>
        <v>1.5091756213493415E-3</v>
      </c>
      <c r="AO138" s="3">
        <f t="shared" ref="AO138:AO201" si="101">IF(A139="","",A139-A138)</f>
        <v>29</v>
      </c>
      <c r="AP138" s="33">
        <f t="shared" ref="AP138:AP201" si="102">IF(A139="","",CHOOSE(F$3,A139+24,A138))</f>
        <v>40940</v>
      </c>
      <c r="AQ138" s="58">
        <f t="shared" ref="AQ138:AQ201" ca="1" si="103">IF(A139="","",AP138-$E$1)</f>
        <v>3914</v>
      </c>
      <c r="AR138" s="38">
        <f>'ANR OK vs ML7'!AR138</f>
        <v>0.1</v>
      </c>
      <c r="AS138" s="35">
        <f t="shared" ref="AS138:AS201" ca="1" si="104">IF(A139="","",1/(1+CHOOSE(F$3,(AR139+($I$3/10000))/2,(AR138+($I$3/10000))/2))^(2*AQ138/365.25))</f>
        <v>0.351457768159948</v>
      </c>
      <c r="AT138" s="3">
        <f t="shared" ref="AT138:AT201" si="105">IF(A139="","",IF(AND(mthbeg&lt;=A138,mthend&gt;=A138),1,0))</f>
        <v>1</v>
      </c>
      <c r="AU138" s="3">
        <f t="shared" ref="AU138:AU201" si="106">IF(A139="","",AO138*AT138)</f>
        <v>29</v>
      </c>
      <c r="AW138" s="32">
        <f t="shared" ref="AW138:AW201" ca="1" si="107">IF($A139="","",AL138*$E138)</f>
        <v>5240.5519781107341</v>
      </c>
      <c r="AX138" s="32">
        <f t="shared" ref="AX138:AX201" si="108">IF($A139="","",AM138*$E138)</f>
        <v>0</v>
      </c>
      <c r="AY138" s="32">
        <f t="shared" ref="AY138:AY201" ca="1" si="109">IF($A139="","",AN138*$E138)</f>
        <v>5240.5519781107341</v>
      </c>
      <c r="BA138" s="32">
        <f ca="1">IF($A139="","",F138*Summary!$Q$10)</f>
        <v>0</v>
      </c>
      <c r="BC138" s="256">
        <f t="shared" ca="1" si="74"/>
        <v>0</v>
      </c>
    </row>
    <row r="139" spans="1:55">
      <c r="A139" s="67">
        <f t="shared" ref="A139:A202" si="110">IF(A138&lt;mthend,EDATE(A138,1),"")</f>
        <v>40969</v>
      </c>
      <c r="B139" s="69">
        <f t="shared" si="75"/>
        <v>119740</v>
      </c>
      <c r="C139" s="71"/>
      <c r="D139" s="69">
        <f t="shared" si="76"/>
        <v>119740</v>
      </c>
      <c r="E139" s="70">
        <f t="shared" si="77"/>
        <v>3711940</v>
      </c>
      <c r="F139" s="70">
        <f t="shared" ca="1" si="78"/>
        <v>1294521.6926035692</v>
      </c>
      <c r="G139" s="63">
        <f t="shared" si="79"/>
        <v>4.53</v>
      </c>
      <c r="H139" s="64">
        <f t="shared" si="80"/>
        <v>4.53</v>
      </c>
      <c r="I139" s="43"/>
      <c r="J139" s="63">
        <f t="shared" si="81"/>
        <v>0.27500000000000002</v>
      </c>
      <c r="K139" s="64">
        <f t="shared" si="82"/>
        <v>0.27500000000000002</v>
      </c>
      <c r="L139" s="38">
        <v>0</v>
      </c>
      <c r="M139" s="64">
        <f t="shared" si="83"/>
        <v>0</v>
      </c>
      <c r="N139" s="65"/>
      <c r="O139" s="63">
        <f t="shared" si="84"/>
        <v>4.8050000000000006</v>
      </c>
      <c r="P139" s="63">
        <f t="shared" si="85"/>
        <v>4.8050000000000006</v>
      </c>
      <c r="Q139" s="66"/>
      <c r="R139" s="63">
        <f t="shared" si="86"/>
        <v>0.32500000000000001</v>
      </c>
      <c r="S139" s="64">
        <f t="shared" si="87"/>
        <v>0.32500000000000001</v>
      </c>
      <c r="T139" s="63">
        <f t="shared" si="88"/>
        <v>0</v>
      </c>
      <c r="U139" s="64">
        <f t="shared" si="89"/>
        <v>0</v>
      </c>
      <c r="V139" s="219">
        <f>IF($A140="","",IF(AND(MONTH(A139)&gt;3,MONTH(A139)&lt;11),(T139+R139+G139)*Summary!$T$10/(1-Summary!$T$10),(T139+R139+G139)*Summary!$U$10/(1-Summary!$U$10)))</f>
        <v>3.9153225806451621E-2</v>
      </c>
      <c r="W139" s="63">
        <f t="shared" si="90"/>
        <v>4.894153225806452</v>
      </c>
      <c r="X139" s="63">
        <f t="shared" si="91"/>
        <v>4.894153225806452</v>
      </c>
      <c r="Y139" s="43"/>
      <c r="Z139" s="38">
        <f t="shared" si="92"/>
        <v>0.75</v>
      </c>
      <c r="AA139" s="38">
        <f t="shared" si="93"/>
        <v>0.17</v>
      </c>
      <c r="AB139" s="38">
        <f t="shared" ca="1" si="94"/>
        <v>0.17640444014441065</v>
      </c>
      <c r="AC139" s="38">
        <f t="shared" si="95"/>
        <v>0.75</v>
      </c>
      <c r="AD139" s="38">
        <f t="shared" si="95"/>
        <v>0.17</v>
      </c>
      <c r="AE139" s="38">
        <f t="shared" ca="1" si="96"/>
        <v>0.17640444014441065</v>
      </c>
      <c r="AF139" s="237">
        <f ca="1">((Summary!$N$10*(AA139*AD139)*(A139-$D$3))+(Summary!$M$10*Z139*AC139*(AJ139-EOMONTH(EDATE(A139,-1),0))))/(AK139*AB139*AE139)</f>
        <v>0.99990710572545216</v>
      </c>
      <c r="AG139" s="88">
        <f>IF($A140="","",Summary!$Q$10)</f>
        <v>0</v>
      </c>
      <c r="AH139" s="88">
        <f>IF($A140="","",IF(Summary!$R$10="Y",(VLOOKUP($A139,Summary!$AD$6:$AF$9,3)+'Escalating commodity'!F152),'Escalating commodity'!F152))</f>
        <v>1.5820799999999999E-2</v>
      </c>
      <c r="AI139" s="88">
        <f t="shared" ref="AI139:AI202" si="111">IF($A140="","",AH139)</f>
        <v>1.5820799999999999E-2</v>
      </c>
      <c r="AJ139" s="236">
        <f t="shared" si="97"/>
        <v>40983.5</v>
      </c>
      <c r="AK139" s="58">
        <f t="shared" ca="1" si="98"/>
        <v>3943</v>
      </c>
      <c r="AL139" s="26">
        <f ca="1">IF($A140="","",_xll.SPRDOPT(P139,X139,AI139,0,AB139,AE139,AF139,AK139,$AJ$2,0))</f>
        <v>1.3286142779276536E-3</v>
      </c>
      <c r="AM139" s="89">
        <f t="shared" si="99"/>
        <v>0</v>
      </c>
      <c r="AN139" s="89">
        <f t="shared" ca="1" si="100"/>
        <v>1.3286142779276536E-3</v>
      </c>
      <c r="AO139" s="3">
        <f t="shared" si="101"/>
        <v>31</v>
      </c>
      <c r="AP139" s="33">
        <f t="shared" si="102"/>
        <v>40969</v>
      </c>
      <c r="AQ139" s="58">
        <f t="shared" ca="1" si="103"/>
        <v>3943</v>
      </c>
      <c r="AR139" s="38">
        <f>'ANR OK vs ML7'!AR139</f>
        <v>0.1</v>
      </c>
      <c r="AS139" s="35">
        <f t="shared" ca="1" si="104"/>
        <v>0.34874531716664847</v>
      </c>
      <c r="AT139" s="3">
        <f t="shared" si="105"/>
        <v>1</v>
      </c>
      <c r="AU139" s="3">
        <f t="shared" si="106"/>
        <v>31</v>
      </c>
      <c r="AW139" s="32">
        <f t="shared" ca="1" si="107"/>
        <v>4931.7364828107748</v>
      </c>
      <c r="AX139" s="32">
        <f t="shared" si="108"/>
        <v>0</v>
      </c>
      <c r="AY139" s="32">
        <f t="shared" ca="1" si="109"/>
        <v>4931.7364828107748</v>
      </c>
      <c r="BA139" s="32">
        <f ca="1">IF($A140="","",F139*Summary!$Q$10)</f>
        <v>0</v>
      </c>
      <c r="BC139" s="256">
        <f t="shared" ref="BC139:BC173" ca="1" si="112">IF(A140="","",AM139*F139)</f>
        <v>0</v>
      </c>
    </row>
    <row r="140" spans="1:55">
      <c r="A140" s="67">
        <f t="shared" si="110"/>
        <v>41000</v>
      </c>
      <c r="B140" s="69">
        <f t="shared" ref="B140:B203" si="113">IF(A140&lt;mthend,B139,"")</f>
        <v>119740</v>
      </c>
      <c r="C140" s="71"/>
      <c r="D140" s="69">
        <f t="shared" si="76"/>
        <v>119740</v>
      </c>
      <c r="E140" s="70">
        <f t="shared" si="77"/>
        <v>3592200</v>
      </c>
      <c r="F140" s="70">
        <f t="shared" ca="1" si="78"/>
        <v>1242430.4269569824</v>
      </c>
      <c r="G140" s="63">
        <f t="shared" si="79"/>
        <v>4.3550000000000004</v>
      </c>
      <c r="H140" s="64">
        <f t="shared" si="80"/>
        <v>4.3550000000000004</v>
      </c>
      <c r="I140" s="43"/>
      <c r="J140" s="63">
        <f t="shared" si="81"/>
        <v>0.18</v>
      </c>
      <c r="K140" s="64">
        <f t="shared" si="82"/>
        <v>0.18</v>
      </c>
      <c r="L140" s="38">
        <v>0</v>
      </c>
      <c r="M140" s="64">
        <f t="shared" si="83"/>
        <v>0</v>
      </c>
      <c r="N140" s="65"/>
      <c r="O140" s="63">
        <f t="shared" si="84"/>
        <v>4.5350000000000001</v>
      </c>
      <c r="P140" s="63">
        <f t="shared" si="85"/>
        <v>4.5350000000000001</v>
      </c>
      <c r="Q140" s="66"/>
      <c r="R140" s="63">
        <f t="shared" si="86"/>
        <v>0.21</v>
      </c>
      <c r="S140" s="64">
        <f t="shared" si="87"/>
        <v>0.21</v>
      </c>
      <c r="T140" s="63">
        <f t="shared" si="88"/>
        <v>0</v>
      </c>
      <c r="U140" s="64">
        <f t="shared" si="89"/>
        <v>0</v>
      </c>
      <c r="V140" s="219">
        <f>IF($A141="","",IF(AND(MONTH(A140)&gt;3,MONTH(A140)&lt;11),(T140+R140+G140)*Summary!$T$10/(1-Summary!$T$10),(T140+R140+G140)*Summary!$U$10/(1-Summary!$U$10)))</f>
        <v>3.6814516129032263E-2</v>
      </c>
      <c r="W140" s="63">
        <f t="shared" si="90"/>
        <v>4.6018145161290329</v>
      </c>
      <c r="X140" s="63">
        <f t="shared" si="91"/>
        <v>4.6018145161290329</v>
      </c>
      <c r="Y140" s="43"/>
      <c r="Z140" s="38">
        <f t="shared" si="92"/>
        <v>0.45</v>
      </c>
      <c r="AA140" s="38">
        <f t="shared" si="93"/>
        <v>0.17</v>
      </c>
      <c r="AB140" s="38">
        <f t="shared" ca="1" si="94"/>
        <v>0.1722545079257867</v>
      </c>
      <c r="AC140" s="38">
        <f t="shared" si="95"/>
        <v>0.45</v>
      </c>
      <c r="AD140" s="38">
        <f t="shared" si="95"/>
        <v>0.17</v>
      </c>
      <c r="AE140" s="38">
        <f t="shared" ca="1" si="96"/>
        <v>0.1722545079257867</v>
      </c>
      <c r="AF140" s="237">
        <f ca="1">((Summary!$N$10*(AA140*AD140)*(A140-$D$3))+(Summary!$M$10*Z140*AC140*(AJ140-EOMONTH(EDATE(A140,-1),0))))/(AK140*AB140*AE140)</f>
        <v>0.99990257600814147</v>
      </c>
      <c r="AG140" s="88">
        <f>IF($A141="","",Summary!$Q$10)</f>
        <v>0</v>
      </c>
      <c r="AH140" s="88">
        <f>IF($A141="","",IF(Summary!$R$10="Y",(VLOOKUP($A140,Summary!$AD$6:$AF$9,3)+'Escalating commodity'!F153),'Escalating commodity'!F153))</f>
        <v>1.5820799999999999E-2</v>
      </c>
      <c r="AI140" s="88">
        <f t="shared" si="111"/>
        <v>1.5820799999999999E-2</v>
      </c>
      <c r="AJ140" s="236">
        <f t="shared" si="97"/>
        <v>41014</v>
      </c>
      <c r="AK140" s="58">
        <f t="shared" ca="1" si="98"/>
        <v>3974</v>
      </c>
      <c r="AL140" s="26">
        <f ca="1">IF($A141="","",_xll.SPRDOPT(P140,X140,AI140,0,AB140,AE140,AF140,AK140,$AJ$2,0))</f>
        <v>1.595332705180889E-3</v>
      </c>
      <c r="AM140" s="89">
        <f t="shared" si="99"/>
        <v>0</v>
      </c>
      <c r="AN140" s="89">
        <f t="shared" ca="1" si="100"/>
        <v>1.595332705180889E-3</v>
      </c>
      <c r="AO140" s="3">
        <f t="shared" si="101"/>
        <v>30</v>
      </c>
      <c r="AP140" s="33">
        <f t="shared" si="102"/>
        <v>41000</v>
      </c>
      <c r="AQ140" s="58">
        <f t="shared" ca="1" si="103"/>
        <v>3974</v>
      </c>
      <c r="AR140" s="38">
        <f>'ANR OK vs ML7'!AR140</f>
        <v>0.1</v>
      </c>
      <c r="AS140" s="35">
        <f t="shared" ca="1" si="104"/>
        <v>0.34586894575941829</v>
      </c>
      <c r="AT140" s="3">
        <f t="shared" si="105"/>
        <v>1</v>
      </c>
      <c r="AU140" s="3">
        <f t="shared" si="106"/>
        <v>30</v>
      </c>
      <c r="AW140" s="32">
        <f t="shared" ca="1" si="107"/>
        <v>5730.7541435507892</v>
      </c>
      <c r="AX140" s="32">
        <f t="shared" si="108"/>
        <v>0</v>
      </c>
      <c r="AY140" s="32">
        <f t="shared" ca="1" si="109"/>
        <v>5730.7541435507892</v>
      </c>
      <c r="BA140" s="32">
        <f ca="1">IF($A141="","",F140*Summary!$Q$10)</f>
        <v>0</v>
      </c>
      <c r="BC140" s="256">
        <f t="shared" ca="1" si="112"/>
        <v>0</v>
      </c>
    </row>
    <row r="141" spans="1:55">
      <c r="A141" s="67">
        <f t="shared" si="110"/>
        <v>41030</v>
      </c>
      <c r="B141" s="69">
        <f t="shared" si="113"/>
        <v>119740</v>
      </c>
      <c r="C141" s="71"/>
      <c r="D141" s="69">
        <f t="shared" si="76"/>
        <v>119740</v>
      </c>
      <c r="E141" s="70">
        <f t="shared" si="77"/>
        <v>3711940</v>
      </c>
      <c r="F141" s="70">
        <f t="shared" ca="1" si="78"/>
        <v>1273596.1261891802</v>
      </c>
      <c r="G141" s="63">
        <f t="shared" si="79"/>
        <v>4.3250000000000002</v>
      </c>
      <c r="H141" s="64">
        <f t="shared" si="80"/>
        <v>4.3250000000000002</v>
      </c>
      <c r="I141" s="43"/>
      <c r="J141" s="63">
        <f t="shared" si="81"/>
        <v>0.18</v>
      </c>
      <c r="K141" s="64">
        <f t="shared" si="82"/>
        <v>0.18</v>
      </c>
      <c r="L141" s="38">
        <v>0</v>
      </c>
      <c r="M141" s="64">
        <f t="shared" si="83"/>
        <v>0</v>
      </c>
      <c r="N141" s="65"/>
      <c r="O141" s="63">
        <f t="shared" si="84"/>
        <v>4.5049999999999999</v>
      </c>
      <c r="P141" s="63">
        <f t="shared" si="85"/>
        <v>4.5049999999999999</v>
      </c>
      <c r="Q141" s="66"/>
      <c r="R141" s="63">
        <f t="shared" si="86"/>
        <v>0.21</v>
      </c>
      <c r="S141" s="64">
        <f t="shared" si="87"/>
        <v>0.21</v>
      </c>
      <c r="T141" s="63">
        <f t="shared" si="88"/>
        <v>0</v>
      </c>
      <c r="U141" s="64">
        <f t="shared" si="89"/>
        <v>0</v>
      </c>
      <c r="V141" s="219">
        <f>IF($A142="","",IF(AND(MONTH(A141)&gt;3,MONTH(A141)&lt;11),(T141+R141+G141)*Summary!$T$10/(1-Summary!$T$10),(T141+R141+G141)*Summary!$U$10/(1-Summary!$U$10)))</f>
        <v>3.6572580645161293E-2</v>
      </c>
      <c r="W141" s="63">
        <f t="shared" si="90"/>
        <v>4.571572580645161</v>
      </c>
      <c r="X141" s="63">
        <f t="shared" si="91"/>
        <v>4.571572580645161</v>
      </c>
      <c r="Y141" s="43"/>
      <c r="Z141" s="38">
        <f t="shared" si="92"/>
        <v>0.5</v>
      </c>
      <c r="AA141" s="38">
        <f t="shared" si="93"/>
        <v>0.17</v>
      </c>
      <c r="AB141" s="38">
        <f t="shared" ca="1" si="94"/>
        <v>0.17284386017443606</v>
      </c>
      <c r="AC141" s="38">
        <f t="shared" si="95"/>
        <v>0.5</v>
      </c>
      <c r="AD141" s="38">
        <f t="shared" si="95"/>
        <v>0.17</v>
      </c>
      <c r="AE141" s="38">
        <f t="shared" ca="1" si="96"/>
        <v>0.17284386017443606</v>
      </c>
      <c r="AF141" s="237">
        <f ca="1">((Summary!$N$10*(AA141*AD141)*(A141-$D$3))+(Summary!$M$10*Z141*AC141*(AJ141-EOMONTH(EDATE(A141,-1),0))))/(AK141*AB141*AE141)</f>
        <v>0.99990323943838588</v>
      </c>
      <c r="AG141" s="88">
        <f>IF($A142="","",Summary!$Q$10)</f>
        <v>0</v>
      </c>
      <c r="AH141" s="88">
        <f>IF($A142="","",IF(Summary!$R$10="Y",(VLOOKUP($A141,Summary!$AD$6:$AF$9,3)+'Escalating commodity'!F154),'Escalating commodity'!F154))</f>
        <v>1.5820799999999999E-2</v>
      </c>
      <c r="AI141" s="88">
        <f t="shared" si="111"/>
        <v>1.5820799999999999E-2</v>
      </c>
      <c r="AJ141" s="236">
        <f t="shared" si="97"/>
        <v>41044.5</v>
      </c>
      <c r="AK141" s="58">
        <f t="shared" ca="1" si="98"/>
        <v>4004</v>
      </c>
      <c r="AL141" s="26">
        <f ca="1">IF($A142="","",_xll.SPRDOPT(P141,X141,AI141,0,AB141,AE141,AF141,AK141,$AJ$2,0))</f>
        <v>1.5922117881442769E-3</v>
      </c>
      <c r="AM141" s="89">
        <f t="shared" si="99"/>
        <v>0</v>
      </c>
      <c r="AN141" s="89">
        <f t="shared" ca="1" si="100"/>
        <v>1.5922117881442769E-3</v>
      </c>
      <c r="AO141" s="3">
        <f t="shared" si="101"/>
        <v>31</v>
      </c>
      <c r="AP141" s="33">
        <f t="shared" si="102"/>
        <v>41030</v>
      </c>
      <c r="AQ141" s="58">
        <f t="shared" ca="1" si="103"/>
        <v>4004</v>
      </c>
      <c r="AR141" s="38">
        <f>'ANR OK vs ML7'!AR141</f>
        <v>0.1</v>
      </c>
      <c r="AS141" s="35">
        <f t="shared" ca="1" si="104"/>
        <v>0.34310795061051097</v>
      </c>
      <c r="AT141" s="3">
        <f t="shared" si="105"/>
        <v>1</v>
      </c>
      <c r="AU141" s="3">
        <f t="shared" si="106"/>
        <v>31</v>
      </c>
      <c r="AW141" s="32">
        <f t="shared" ca="1" si="107"/>
        <v>5910.1946248842669</v>
      </c>
      <c r="AX141" s="32">
        <f t="shared" si="108"/>
        <v>0</v>
      </c>
      <c r="AY141" s="32">
        <f t="shared" ca="1" si="109"/>
        <v>5910.1946248842669</v>
      </c>
      <c r="BA141" s="32">
        <f ca="1">IF($A142="","",F141*Summary!$Q$10)</f>
        <v>0</v>
      </c>
      <c r="BC141" s="256">
        <f t="shared" ca="1" si="112"/>
        <v>0</v>
      </c>
    </row>
    <row r="142" spans="1:55">
      <c r="A142" s="67">
        <f t="shared" si="110"/>
        <v>41061</v>
      </c>
      <c r="B142" s="69">
        <f t="shared" si="113"/>
        <v>119740</v>
      </c>
      <c r="C142" s="71"/>
      <c r="D142" s="69">
        <f t="shared" si="76"/>
        <v>119740</v>
      </c>
      <c r="E142" s="70">
        <f t="shared" si="77"/>
        <v>3592200</v>
      </c>
      <c r="F142" s="70">
        <f t="shared" ca="1" si="78"/>
        <v>1222346.9006915735</v>
      </c>
      <c r="G142" s="63">
        <f t="shared" si="79"/>
        <v>4.3949999999999996</v>
      </c>
      <c r="H142" s="64">
        <f t="shared" si="80"/>
        <v>4.3949999999999996</v>
      </c>
      <c r="I142" s="43"/>
      <c r="J142" s="63">
        <f t="shared" si="81"/>
        <v>0.18</v>
      </c>
      <c r="K142" s="64">
        <f t="shared" si="82"/>
        <v>0.18</v>
      </c>
      <c r="L142" s="38">
        <v>0</v>
      </c>
      <c r="M142" s="64">
        <f t="shared" si="83"/>
        <v>0</v>
      </c>
      <c r="N142" s="65"/>
      <c r="O142" s="63">
        <f t="shared" si="84"/>
        <v>4.5749999999999993</v>
      </c>
      <c r="P142" s="63">
        <f t="shared" si="85"/>
        <v>4.5749999999999993</v>
      </c>
      <c r="Q142" s="66"/>
      <c r="R142" s="63">
        <f t="shared" si="86"/>
        <v>0.21</v>
      </c>
      <c r="S142" s="64">
        <f t="shared" si="87"/>
        <v>0.21</v>
      </c>
      <c r="T142" s="63">
        <f t="shared" si="88"/>
        <v>0</v>
      </c>
      <c r="U142" s="64">
        <f t="shared" si="89"/>
        <v>0</v>
      </c>
      <c r="V142" s="219">
        <f>IF($A143="","",IF(AND(MONTH(A142)&gt;3,MONTH(A142)&lt;11),(T142+R142+G142)*Summary!$T$10/(1-Summary!$T$10),(T142+R142+G142)*Summary!$U$10/(1-Summary!$U$10)))</f>
        <v>3.7137096774193544E-2</v>
      </c>
      <c r="W142" s="63">
        <f t="shared" si="90"/>
        <v>4.6421370967741931</v>
      </c>
      <c r="X142" s="63">
        <f t="shared" si="91"/>
        <v>4.6421370967741931</v>
      </c>
      <c r="Y142" s="43"/>
      <c r="Z142" s="38">
        <f t="shared" si="92"/>
        <v>0.5</v>
      </c>
      <c r="AA142" s="38">
        <f t="shared" si="93"/>
        <v>0.17</v>
      </c>
      <c r="AB142" s="38">
        <f t="shared" ca="1" si="94"/>
        <v>0.17273253995514465</v>
      </c>
      <c r="AC142" s="38">
        <f t="shared" si="95"/>
        <v>0.5</v>
      </c>
      <c r="AD142" s="38">
        <f t="shared" si="95"/>
        <v>0.17</v>
      </c>
      <c r="AE142" s="38">
        <f t="shared" ca="1" si="96"/>
        <v>0.17273253995514465</v>
      </c>
      <c r="AF142" s="237">
        <f ca="1">((Summary!$N$10*(AA142*AD142)*(A142-$D$3))+(Summary!$M$10*Z142*AC142*(AJ142-EOMONTH(EDATE(A142,-1),0))))/(AK142*AB142*AE142)</f>
        <v>0.99990311486630168</v>
      </c>
      <c r="AG142" s="88">
        <f>IF($A143="","",Summary!$Q$10)</f>
        <v>0</v>
      </c>
      <c r="AH142" s="88">
        <f>IF($A143="","",IF(Summary!$R$10="Y",(VLOOKUP($A142,Summary!$AD$6:$AF$9,3)+'Escalating commodity'!F155),'Escalating commodity'!F155))</f>
        <v>1.5820799999999999E-2</v>
      </c>
      <c r="AI142" s="88">
        <f t="shared" si="111"/>
        <v>1.5820799999999999E-2</v>
      </c>
      <c r="AJ142" s="236">
        <f t="shared" si="97"/>
        <v>41075</v>
      </c>
      <c r="AK142" s="58">
        <f t="shared" ca="1" si="98"/>
        <v>4035</v>
      </c>
      <c r="AL142" s="26">
        <f ca="1">IF($A143="","",_xll.SPRDOPT(P142,X142,AI142,0,AB142,AE142,AF142,AK142,$AJ$2,0))</f>
        <v>1.6467170811923729E-3</v>
      </c>
      <c r="AM142" s="89">
        <f t="shared" si="99"/>
        <v>0</v>
      </c>
      <c r="AN142" s="89">
        <f t="shared" ca="1" si="100"/>
        <v>1.6467170811923729E-3</v>
      </c>
      <c r="AO142" s="3">
        <f t="shared" si="101"/>
        <v>30</v>
      </c>
      <c r="AP142" s="33">
        <f t="shared" si="102"/>
        <v>41061</v>
      </c>
      <c r="AQ142" s="58">
        <f t="shared" ca="1" si="103"/>
        <v>4035</v>
      </c>
      <c r="AR142" s="38">
        <f>'ANR OK vs ML7'!AR142</f>
        <v>0.1</v>
      </c>
      <c r="AS142" s="35">
        <f t="shared" ca="1" si="104"/>
        <v>0.3402780749099642</v>
      </c>
      <c r="AT142" s="3">
        <f t="shared" si="105"/>
        <v>1</v>
      </c>
      <c r="AU142" s="3">
        <f t="shared" si="106"/>
        <v>30</v>
      </c>
      <c r="AW142" s="32">
        <f t="shared" ca="1" si="107"/>
        <v>5915.3370990592421</v>
      </c>
      <c r="AX142" s="32">
        <f t="shared" si="108"/>
        <v>0</v>
      </c>
      <c r="AY142" s="32">
        <f t="shared" ca="1" si="109"/>
        <v>5915.3370990592421</v>
      </c>
      <c r="BA142" s="32">
        <f ca="1">IF($A143="","",F142*Summary!$Q$10)</f>
        <v>0</v>
      </c>
      <c r="BC142" s="256">
        <f t="shared" ca="1" si="112"/>
        <v>0</v>
      </c>
    </row>
    <row r="143" spans="1:55">
      <c r="A143" s="67">
        <f t="shared" si="110"/>
        <v>41091</v>
      </c>
      <c r="B143" s="69">
        <f t="shared" si="113"/>
        <v>119740</v>
      </c>
      <c r="C143" s="71"/>
      <c r="D143" s="69">
        <f t="shared" si="76"/>
        <v>119740</v>
      </c>
      <c r="E143" s="70">
        <f t="shared" si="77"/>
        <v>3711940</v>
      </c>
      <c r="F143" s="70">
        <f t="shared" ca="1" si="78"/>
        <v>1253008.8154658815</v>
      </c>
      <c r="G143" s="63">
        <f t="shared" si="79"/>
        <v>4.45</v>
      </c>
      <c r="H143" s="64">
        <f t="shared" si="80"/>
        <v>4.45</v>
      </c>
      <c r="I143" s="43"/>
      <c r="J143" s="63">
        <f t="shared" si="81"/>
        <v>0.18</v>
      </c>
      <c r="K143" s="64">
        <f t="shared" si="82"/>
        <v>0.18</v>
      </c>
      <c r="L143" s="38">
        <v>0</v>
      </c>
      <c r="M143" s="64">
        <f t="shared" si="83"/>
        <v>0</v>
      </c>
      <c r="N143" s="65"/>
      <c r="O143" s="63">
        <f t="shared" si="84"/>
        <v>4.63</v>
      </c>
      <c r="P143" s="63">
        <f t="shared" si="85"/>
        <v>4.63</v>
      </c>
      <c r="Q143" s="66"/>
      <c r="R143" s="63">
        <f t="shared" si="86"/>
        <v>0.21</v>
      </c>
      <c r="S143" s="64">
        <f t="shared" si="87"/>
        <v>0.21</v>
      </c>
      <c r="T143" s="63">
        <f t="shared" si="88"/>
        <v>0</v>
      </c>
      <c r="U143" s="64">
        <f t="shared" si="89"/>
        <v>0</v>
      </c>
      <c r="V143" s="219">
        <f>IF($A144="","",IF(AND(MONTH(A143)&gt;3,MONTH(A143)&lt;11),(T143+R143+G143)*Summary!$T$10/(1-Summary!$T$10),(T143+R143+G143)*Summary!$U$10/(1-Summary!$U$10)))</f>
        <v>3.7580645161290324E-2</v>
      </c>
      <c r="W143" s="63">
        <f t="shared" si="90"/>
        <v>4.69758064516129</v>
      </c>
      <c r="X143" s="63">
        <f t="shared" si="91"/>
        <v>4.69758064516129</v>
      </c>
      <c r="Y143" s="43"/>
      <c r="Z143" s="38">
        <f t="shared" si="92"/>
        <v>0.55000000000000004</v>
      </c>
      <c r="AA143" s="38">
        <f t="shared" si="93"/>
        <v>0.17</v>
      </c>
      <c r="AB143" s="38">
        <f t="shared" ca="1" si="94"/>
        <v>0.17337979555165894</v>
      </c>
      <c r="AC143" s="38">
        <f t="shared" si="95"/>
        <v>0.55000000000000004</v>
      </c>
      <c r="AD143" s="38">
        <f t="shared" si="95"/>
        <v>0.17</v>
      </c>
      <c r="AE143" s="38">
        <f t="shared" ca="1" si="96"/>
        <v>0.17337979555165894</v>
      </c>
      <c r="AF143" s="237">
        <f ca="1">((Summary!$N$10*(AA143*AD143)*(A143-$D$3))+(Summary!$M$10*Z143*AC143*(AJ143-EOMONTH(EDATE(A143,-1),0))))/(AK143*AB143*AE143)</f>
        <v>0.99990383706851682</v>
      </c>
      <c r="AG143" s="88">
        <f>IF($A144="","",Summary!$Q$10)</f>
        <v>0</v>
      </c>
      <c r="AH143" s="88">
        <f>IF($A144="","",IF(Summary!$R$10="Y",(VLOOKUP($A143,Summary!$AD$6:$AF$9,3)+'Escalating commodity'!F156),'Escalating commodity'!F156))</f>
        <v>1.5820799999999999E-2</v>
      </c>
      <c r="AI143" s="88">
        <f t="shared" si="111"/>
        <v>1.5820799999999999E-2</v>
      </c>
      <c r="AJ143" s="236">
        <f t="shared" si="97"/>
        <v>41105.5</v>
      </c>
      <c r="AK143" s="58">
        <f t="shared" ca="1" si="98"/>
        <v>4065</v>
      </c>
      <c r="AL143" s="26">
        <f ca="1">IF($A144="","",_xll.SPRDOPT(P143,X143,AI143,0,AB143,AE143,AF143,AK143,$AJ$2,0))</f>
        <v>1.693754497132334E-3</v>
      </c>
      <c r="AM143" s="89">
        <f t="shared" si="99"/>
        <v>0</v>
      </c>
      <c r="AN143" s="89">
        <f t="shared" ca="1" si="100"/>
        <v>1.693754497132334E-3</v>
      </c>
      <c r="AO143" s="3">
        <f t="shared" si="101"/>
        <v>31</v>
      </c>
      <c r="AP143" s="33">
        <f t="shared" si="102"/>
        <v>41091</v>
      </c>
      <c r="AQ143" s="58">
        <f t="shared" ca="1" si="103"/>
        <v>4065</v>
      </c>
      <c r="AR143" s="38">
        <f>'ANR OK vs ML7'!AR143</f>
        <v>0.1</v>
      </c>
      <c r="AS143" s="35">
        <f t="shared" ca="1" si="104"/>
        <v>0.33756171044410244</v>
      </c>
      <c r="AT143" s="3">
        <f t="shared" si="105"/>
        <v>1</v>
      </c>
      <c r="AU143" s="3">
        <f t="shared" si="106"/>
        <v>31</v>
      </c>
      <c r="AW143" s="32">
        <f t="shared" ca="1" si="107"/>
        <v>6287.1150680853962</v>
      </c>
      <c r="AX143" s="32">
        <f t="shared" si="108"/>
        <v>0</v>
      </c>
      <c r="AY143" s="32">
        <f t="shared" ca="1" si="109"/>
        <v>6287.1150680853962</v>
      </c>
      <c r="BA143" s="32">
        <f ca="1">IF($A144="","",F143*Summary!$Q$10)</f>
        <v>0</v>
      </c>
      <c r="BC143" s="256">
        <f t="shared" ca="1" si="112"/>
        <v>0</v>
      </c>
    </row>
    <row r="144" spans="1:55">
      <c r="A144" s="67">
        <f t="shared" si="110"/>
        <v>41122</v>
      </c>
      <c r="B144" s="69">
        <f t="shared" si="113"/>
        <v>119740</v>
      </c>
      <c r="C144" s="71"/>
      <c r="D144" s="69">
        <f t="shared" si="76"/>
        <v>119740</v>
      </c>
      <c r="E144" s="70">
        <f t="shared" si="77"/>
        <v>3711940</v>
      </c>
      <c r="F144" s="70">
        <f t="shared" ca="1" si="78"/>
        <v>1242674.2860760828</v>
      </c>
      <c r="G144" s="63">
        <f t="shared" si="79"/>
        <v>4.5060000000000002</v>
      </c>
      <c r="H144" s="64">
        <f t="shared" si="80"/>
        <v>4.5060000000000002</v>
      </c>
      <c r="I144" s="43"/>
      <c r="J144" s="63">
        <f t="shared" si="81"/>
        <v>0.18</v>
      </c>
      <c r="K144" s="64">
        <f t="shared" si="82"/>
        <v>0.18</v>
      </c>
      <c r="L144" s="38">
        <v>0</v>
      </c>
      <c r="M144" s="64">
        <f t="shared" si="83"/>
        <v>0</v>
      </c>
      <c r="N144" s="65"/>
      <c r="O144" s="63">
        <f t="shared" si="84"/>
        <v>4.6859999999999999</v>
      </c>
      <c r="P144" s="63">
        <f t="shared" si="85"/>
        <v>4.6859999999999999</v>
      </c>
      <c r="Q144" s="66"/>
      <c r="R144" s="63">
        <f t="shared" si="86"/>
        <v>0.21</v>
      </c>
      <c r="S144" s="64">
        <f t="shared" si="87"/>
        <v>0.21</v>
      </c>
      <c r="T144" s="63">
        <f t="shared" si="88"/>
        <v>0</v>
      </c>
      <c r="U144" s="64">
        <f t="shared" si="89"/>
        <v>0</v>
      </c>
      <c r="V144" s="219">
        <f>IF($A145="","",IF(AND(MONTH(A144)&gt;3,MONTH(A144)&lt;11),(T144+R144+G144)*Summary!$T$10/(1-Summary!$T$10),(T144+R144+G144)*Summary!$U$10/(1-Summary!$U$10)))</f>
        <v>3.8032258064516135E-2</v>
      </c>
      <c r="W144" s="63">
        <f t="shared" si="90"/>
        <v>4.754032258064516</v>
      </c>
      <c r="X144" s="63">
        <f t="shared" si="91"/>
        <v>4.754032258064516</v>
      </c>
      <c r="Y144" s="43"/>
      <c r="Z144" s="38">
        <f t="shared" si="92"/>
        <v>0.6</v>
      </c>
      <c r="AA144" s="38">
        <f t="shared" si="93"/>
        <v>0.17</v>
      </c>
      <c r="AB144" s="38">
        <f t="shared" ca="1" si="94"/>
        <v>0.17398091950430225</v>
      </c>
      <c r="AC144" s="38">
        <f t="shared" si="95"/>
        <v>0.6</v>
      </c>
      <c r="AD144" s="38">
        <f t="shared" si="95"/>
        <v>0.17</v>
      </c>
      <c r="AE144" s="38">
        <f t="shared" ca="1" si="96"/>
        <v>0.17398091950430225</v>
      </c>
      <c r="AF144" s="237">
        <f ca="1">((Summary!$N$10*(AA144*AD144)*(A144-$D$3))+(Summary!$M$10*Z144*AC144*(AJ144-EOMONTH(EDATE(A144,-1),0))))/(AK144*AB144*AE144)</f>
        <v>0.99990450060613023</v>
      </c>
      <c r="AG144" s="88">
        <f>IF($A145="","",Summary!$Q$10)</f>
        <v>0</v>
      </c>
      <c r="AH144" s="88">
        <f>IF($A145="","",IF(Summary!$R$10="Y",(VLOOKUP($A144,Summary!$AD$6:$AF$9,3)+'Escalating commodity'!F157),'Escalating commodity'!F157))</f>
        <v>1.5820799999999999E-2</v>
      </c>
      <c r="AI144" s="88">
        <f t="shared" si="111"/>
        <v>1.5820799999999999E-2</v>
      </c>
      <c r="AJ144" s="236">
        <f t="shared" si="97"/>
        <v>41136.5</v>
      </c>
      <c r="AK144" s="58">
        <f t="shared" ca="1" si="98"/>
        <v>4096</v>
      </c>
      <c r="AL144" s="26">
        <f ca="1">IF($A145="","",_xll.SPRDOPT(P144,X144,AI144,0,AB144,AE144,AF144,AK144,$AJ$2,0))</f>
        <v>1.7420553791823376E-3</v>
      </c>
      <c r="AM144" s="89">
        <f t="shared" si="99"/>
        <v>0</v>
      </c>
      <c r="AN144" s="89">
        <f t="shared" ca="1" si="100"/>
        <v>1.7420553791823376E-3</v>
      </c>
      <c r="AO144" s="3">
        <f t="shared" si="101"/>
        <v>31</v>
      </c>
      <c r="AP144" s="33">
        <f t="shared" si="102"/>
        <v>41122</v>
      </c>
      <c r="AQ144" s="58">
        <f t="shared" ca="1" si="103"/>
        <v>4096</v>
      </c>
      <c r="AR144" s="38">
        <f>'ANR OK vs ML7'!AR144</f>
        <v>0.1</v>
      </c>
      <c r="AS144" s="35">
        <f t="shared" ca="1" si="104"/>
        <v>0.334777578860672</v>
      </c>
      <c r="AT144" s="3">
        <f t="shared" si="105"/>
        <v>1</v>
      </c>
      <c r="AU144" s="3">
        <f t="shared" si="106"/>
        <v>31</v>
      </c>
      <c r="AW144" s="32">
        <f t="shared" ca="1" si="107"/>
        <v>6466.4050442020862</v>
      </c>
      <c r="AX144" s="32">
        <f t="shared" si="108"/>
        <v>0</v>
      </c>
      <c r="AY144" s="32">
        <f t="shared" ca="1" si="109"/>
        <v>6466.4050442020862</v>
      </c>
      <c r="BA144" s="32">
        <f ca="1">IF($A145="","",F144*Summary!$Q$10)</f>
        <v>0</v>
      </c>
      <c r="BC144" s="256">
        <f t="shared" ca="1" si="112"/>
        <v>0</v>
      </c>
    </row>
    <row r="145" spans="1:55">
      <c r="A145" s="67">
        <f t="shared" si="110"/>
        <v>41153</v>
      </c>
      <c r="B145" s="69">
        <f t="shared" si="113"/>
        <v>119740</v>
      </c>
      <c r="C145" s="71"/>
      <c r="D145" s="69">
        <f t="shared" si="76"/>
        <v>119740</v>
      </c>
      <c r="E145" s="70">
        <f t="shared" si="77"/>
        <v>3592200</v>
      </c>
      <c r="F145" s="70">
        <f t="shared" ca="1" si="78"/>
        <v>1192669.3485628457</v>
      </c>
      <c r="G145" s="63">
        <f t="shared" si="79"/>
        <v>4.5199999999999996</v>
      </c>
      <c r="H145" s="64">
        <f t="shared" si="80"/>
        <v>4.5199999999999996</v>
      </c>
      <c r="I145" s="43"/>
      <c r="J145" s="63">
        <f t="shared" si="81"/>
        <v>0.18</v>
      </c>
      <c r="K145" s="64">
        <f t="shared" si="82"/>
        <v>0.18</v>
      </c>
      <c r="L145" s="38">
        <v>0</v>
      </c>
      <c r="M145" s="64">
        <f t="shared" si="83"/>
        <v>0</v>
      </c>
      <c r="N145" s="65"/>
      <c r="O145" s="63">
        <f t="shared" si="84"/>
        <v>4.6999999999999993</v>
      </c>
      <c r="P145" s="63">
        <f t="shared" si="85"/>
        <v>4.6999999999999993</v>
      </c>
      <c r="Q145" s="66"/>
      <c r="R145" s="63">
        <f t="shared" si="86"/>
        <v>0.21</v>
      </c>
      <c r="S145" s="64">
        <f t="shared" si="87"/>
        <v>0.21</v>
      </c>
      <c r="T145" s="63">
        <f t="shared" si="88"/>
        <v>0</v>
      </c>
      <c r="U145" s="64">
        <f t="shared" si="89"/>
        <v>0</v>
      </c>
      <c r="V145" s="219">
        <f>IF($A146="","",IF(AND(MONTH(A145)&gt;3,MONTH(A145)&lt;11),(T145+R145+G145)*Summary!$T$10/(1-Summary!$T$10),(T145+R145+G145)*Summary!$U$10/(1-Summary!$U$10)))</f>
        <v>3.8145161290322582E-2</v>
      </c>
      <c r="W145" s="63">
        <f t="shared" si="90"/>
        <v>4.7681451612903221</v>
      </c>
      <c r="X145" s="63">
        <f t="shared" si="91"/>
        <v>4.7681451612903221</v>
      </c>
      <c r="Y145" s="43"/>
      <c r="Z145" s="38">
        <f t="shared" si="92"/>
        <v>0.6</v>
      </c>
      <c r="AA145" s="38">
        <f t="shared" si="93"/>
        <v>0.17</v>
      </c>
      <c r="AB145" s="38">
        <f t="shared" ca="1" si="94"/>
        <v>0.17382594504650589</v>
      </c>
      <c r="AC145" s="38">
        <f t="shared" si="95"/>
        <v>0.6</v>
      </c>
      <c r="AD145" s="38">
        <f t="shared" si="95"/>
        <v>0.17</v>
      </c>
      <c r="AE145" s="38">
        <f t="shared" ca="1" si="96"/>
        <v>0.17382594504650589</v>
      </c>
      <c r="AF145" s="237">
        <f ca="1">((Summary!$N$10*(AA145*AD145)*(A145-$D$3))+(Summary!$M$10*Z145*AC145*(AJ145-EOMONTH(EDATE(A145,-1),0))))/(AK145*AB145*AE145)</f>
        <v>0.99990433042072446</v>
      </c>
      <c r="AG145" s="88">
        <f>IF($A146="","",Summary!$Q$10)</f>
        <v>0</v>
      </c>
      <c r="AH145" s="88">
        <f>IF($A146="","",IF(Summary!$R$10="Y",(VLOOKUP($A145,Summary!$AD$6:$AF$9,3)+'Escalating commodity'!F158),'Escalating commodity'!F158))</f>
        <v>1.5820799999999999E-2</v>
      </c>
      <c r="AI145" s="88">
        <f t="shared" si="111"/>
        <v>1.5820799999999999E-2</v>
      </c>
      <c r="AJ145" s="236">
        <f t="shared" si="97"/>
        <v>41167</v>
      </c>
      <c r="AK145" s="58">
        <f t="shared" ca="1" si="98"/>
        <v>4127</v>
      </c>
      <c r="AL145" s="26">
        <f ca="1">IF($A146="","",_xll.SPRDOPT(P145,X145,AI145,0,AB145,AE145,AF145,AK145,$AJ$2,0))</f>
        <v>1.7643741938570129E-3</v>
      </c>
      <c r="AM145" s="89">
        <f t="shared" si="99"/>
        <v>0</v>
      </c>
      <c r="AN145" s="89">
        <f t="shared" ca="1" si="100"/>
        <v>1.7643741938570129E-3</v>
      </c>
      <c r="AO145" s="3">
        <f t="shared" si="101"/>
        <v>30</v>
      </c>
      <c r="AP145" s="33">
        <f t="shared" si="102"/>
        <v>41153</v>
      </c>
      <c r="AQ145" s="58">
        <f t="shared" ca="1" si="103"/>
        <v>4127</v>
      </c>
      <c r="AR145" s="38">
        <f>'ANR OK vs ML7'!AR145</f>
        <v>0.1</v>
      </c>
      <c r="AS145" s="35">
        <f t="shared" ca="1" si="104"/>
        <v>0.33201641015612876</v>
      </c>
      <c r="AT145" s="3">
        <f t="shared" si="105"/>
        <v>1</v>
      </c>
      <c r="AU145" s="3">
        <f t="shared" si="106"/>
        <v>30</v>
      </c>
      <c r="AW145" s="32">
        <f t="shared" ca="1" si="107"/>
        <v>6337.9849791731613</v>
      </c>
      <c r="AX145" s="32">
        <f t="shared" si="108"/>
        <v>0</v>
      </c>
      <c r="AY145" s="32">
        <f t="shared" ca="1" si="109"/>
        <v>6337.9849791731613</v>
      </c>
      <c r="BA145" s="32">
        <f ca="1">IF($A146="","",F145*Summary!$Q$10)</f>
        <v>0</v>
      </c>
      <c r="BC145" s="256">
        <f t="shared" ca="1" si="112"/>
        <v>0</v>
      </c>
    </row>
    <row r="146" spans="1:55">
      <c r="A146" s="67">
        <f t="shared" si="110"/>
        <v>41183</v>
      </c>
      <c r="B146" s="69">
        <f t="shared" si="113"/>
        <v>119740</v>
      </c>
      <c r="C146" s="71"/>
      <c r="D146" s="69">
        <f t="shared" si="76"/>
        <v>119740</v>
      </c>
      <c r="E146" s="70">
        <f t="shared" si="77"/>
        <v>3711940</v>
      </c>
      <c r="F146" s="70">
        <f t="shared" ca="1" si="78"/>
        <v>1222586.8178989838</v>
      </c>
      <c r="G146" s="63">
        <f t="shared" si="79"/>
        <v>4.5510000000000002</v>
      </c>
      <c r="H146" s="64">
        <f t="shared" si="80"/>
        <v>4.5510000000000002</v>
      </c>
      <c r="I146" s="43"/>
      <c r="J146" s="63">
        <f t="shared" si="81"/>
        <v>0.18</v>
      </c>
      <c r="K146" s="64">
        <f t="shared" si="82"/>
        <v>0.18</v>
      </c>
      <c r="L146" s="38">
        <v>0</v>
      </c>
      <c r="M146" s="64">
        <f t="shared" si="83"/>
        <v>0</v>
      </c>
      <c r="N146" s="65"/>
      <c r="O146" s="63">
        <f t="shared" si="84"/>
        <v>4.7309999999999999</v>
      </c>
      <c r="P146" s="63">
        <f t="shared" si="85"/>
        <v>4.7309999999999999</v>
      </c>
      <c r="Q146" s="66"/>
      <c r="R146" s="63">
        <f t="shared" si="86"/>
        <v>0.21</v>
      </c>
      <c r="S146" s="64">
        <f t="shared" si="87"/>
        <v>0.21</v>
      </c>
      <c r="T146" s="63">
        <f t="shared" si="88"/>
        <v>0</v>
      </c>
      <c r="U146" s="64">
        <f t="shared" si="89"/>
        <v>0</v>
      </c>
      <c r="V146" s="219">
        <f>IF($A147="","",IF(AND(MONTH(A146)&gt;3,MONTH(A146)&lt;11),(T146+R146+G146)*Summary!$T$10/(1-Summary!$T$10),(T146+R146+G146)*Summary!$U$10/(1-Summary!$U$10)))</f>
        <v>3.8395161290322583E-2</v>
      </c>
      <c r="W146" s="63">
        <f t="shared" si="90"/>
        <v>4.799395161290323</v>
      </c>
      <c r="X146" s="63">
        <f t="shared" si="91"/>
        <v>4.799395161290323</v>
      </c>
      <c r="Y146" s="43"/>
      <c r="Z146" s="38">
        <f t="shared" si="92"/>
        <v>0.65</v>
      </c>
      <c r="AA146" s="38">
        <f t="shared" si="93"/>
        <v>0.17</v>
      </c>
      <c r="AB146" s="38">
        <f t="shared" ca="1" si="94"/>
        <v>0.17459182956865119</v>
      </c>
      <c r="AC146" s="38">
        <f t="shared" si="95"/>
        <v>0.65</v>
      </c>
      <c r="AD146" s="38">
        <f t="shared" si="95"/>
        <v>0.17</v>
      </c>
      <c r="AE146" s="38">
        <f t="shared" ca="1" si="96"/>
        <v>0.17459182956865119</v>
      </c>
      <c r="AF146" s="237">
        <f ca="1">((Summary!$N$10*(AA146*AD146)*(A146-$D$3))+(Summary!$M$10*Z146*AC146*(AJ146-EOMONTH(EDATE(A146,-1),0))))/(AK146*AB146*AE146)</f>
        <v>0.99990516809579311</v>
      </c>
      <c r="AG146" s="88">
        <f>IF($A147="","",Summary!$Q$10)</f>
        <v>0</v>
      </c>
      <c r="AH146" s="88">
        <f>IF($A147="","",IF(Summary!$R$10="Y",(VLOOKUP($A146,Summary!$AD$6:$AF$9,3)+'Escalating commodity'!F159),'Escalating commodity'!F159))</f>
        <v>1.5820799999999999E-2</v>
      </c>
      <c r="AI146" s="88">
        <f t="shared" si="111"/>
        <v>1.5820799999999999E-2</v>
      </c>
      <c r="AJ146" s="236">
        <f t="shared" si="97"/>
        <v>41197.5</v>
      </c>
      <c r="AK146" s="58">
        <f t="shared" ca="1" si="98"/>
        <v>4157</v>
      </c>
      <c r="AL146" s="26">
        <f ca="1">IF($A147="","",_xll.SPRDOPT(P146,X146,AI146,0,AB146,AE146,AF146,AK146,$AJ$2,0))</f>
        <v>1.7978168816744425E-3</v>
      </c>
      <c r="AM146" s="89">
        <f t="shared" si="99"/>
        <v>0</v>
      </c>
      <c r="AN146" s="89">
        <f t="shared" ca="1" si="100"/>
        <v>1.7978168816744425E-3</v>
      </c>
      <c r="AO146" s="3">
        <f t="shared" si="101"/>
        <v>31</v>
      </c>
      <c r="AP146" s="33">
        <f t="shared" si="102"/>
        <v>41183</v>
      </c>
      <c r="AQ146" s="58">
        <f t="shared" ca="1" si="103"/>
        <v>4157</v>
      </c>
      <c r="AR146" s="38">
        <f>'ANR OK vs ML7'!AR146</f>
        <v>0.1</v>
      </c>
      <c r="AS146" s="35">
        <f t="shared" ca="1" si="104"/>
        <v>0.32936599672919925</v>
      </c>
      <c r="AT146" s="3">
        <f t="shared" si="105"/>
        <v>1</v>
      </c>
      <c r="AU146" s="3">
        <f t="shared" si="106"/>
        <v>31</v>
      </c>
      <c r="AW146" s="32">
        <f t="shared" ca="1" si="107"/>
        <v>6673.3883957626304</v>
      </c>
      <c r="AX146" s="32">
        <f t="shared" si="108"/>
        <v>0</v>
      </c>
      <c r="AY146" s="32">
        <f t="shared" ca="1" si="109"/>
        <v>6673.3883957626304</v>
      </c>
      <c r="BA146" s="32">
        <f ca="1">IF($A147="","",F146*Summary!$Q$10)</f>
        <v>0</v>
      </c>
      <c r="BC146" s="256">
        <f t="shared" ca="1" si="112"/>
        <v>0</v>
      </c>
    </row>
    <row r="147" spans="1:55">
      <c r="A147" s="67">
        <f t="shared" si="110"/>
        <v>41214</v>
      </c>
      <c r="B147" s="69">
        <f t="shared" si="113"/>
        <v>119740</v>
      </c>
      <c r="C147" s="71"/>
      <c r="D147" s="69">
        <f t="shared" si="76"/>
        <v>119740</v>
      </c>
      <c r="E147" s="70">
        <f t="shared" si="77"/>
        <v>3592200</v>
      </c>
      <c r="F147" s="70">
        <f t="shared" ca="1" si="78"/>
        <v>1173390.1956476378</v>
      </c>
      <c r="G147" s="63">
        <f t="shared" si="79"/>
        <v>4.6840000000000002</v>
      </c>
      <c r="H147" s="64">
        <f t="shared" si="80"/>
        <v>4.6840000000000002</v>
      </c>
      <c r="I147" s="43"/>
      <c r="J147" s="63">
        <f t="shared" si="81"/>
        <v>0.27500000000000002</v>
      </c>
      <c r="K147" s="64">
        <f t="shared" si="82"/>
        <v>0.27500000000000002</v>
      </c>
      <c r="L147" s="38">
        <v>0</v>
      </c>
      <c r="M147" s="64">
        <f t="shared" si="83"/>
        <v>0</v>
      </c>
      <c r="N147" s="65"/>
      <c r="O147" s="63">
        <f t="shared" si="84"/>
        <v>4.9590000000000005</v>
      </c>
      <c r="P147" s="63">
        <f t="shared" si="85"/>
        <v>4.9590000000000005</v>
      </c>
      <c r="Q147" s="66"/>
      <c r="R147" s="63">
        <f t="shared" si="86"/>
        <v>0.32500000000000001</v>
      </c>
      <c r="S147" s="64">
        <f t="shared" si="87"/>
        <v>0.32500000000000001</v>
      </c>
      <c r="T147" s="63">
        <f t="shared" si="88"/>
        <v>0</v>
      </c>
      <c r="U147" s="64">
        <f t="shared" si="89"/>
        <v>0</v>
      </c>
      <c r="V147" s="219">
        <f>IF($A148="","",IF(AND(MONTH(A147)&gt;3,MONTH(A147)&lt;11),(T147+R147+G147)*Summary!$T$10/(1-Summary!$T$10),(T147+R147+G147)*Summary!$U$10/(1-Summary!$U$10)))</f>
        <v>4.0395161290322584E-2</v>
      </c>
      <c r="W147" s="63">
        <f t="shared" si="90"/>
        <v>5.049395161290323</v>
      </c>
      <c r="X147" s="63">
        <f t="shared" si="91"/>
        <v>5.049395161290323</v>
      </c>
      <c r="Y147" s="43"/>
      <c r="Z147" s="38">
        <f t="shared" si="92"/>
        <v>0.8</v>
      </c>
      <c r="AA147" s="38">
        <f t="shared" si="93"/>
        <v>0.17</v>
      </c>
      <c r="AB147" s="38">
        <f t="shared" ca="1" si="94"/>
        <v>0.17663285164117143</v>
      </c>
      <c r="AC147" s="38">
        <f t="shared" si="95"/>
        <v>0.8</v>
      </c>
      <c r="AD147" s="38">
        <f t="shared" si="95"/>
        <v>0.17</v>
      </c>
      <c r="AE147" s="38">
        <f t="shared" ca="1" si="96"/>
        <v>0.17663285164117143</v>
      </c>
      <c r="AF147" s="237">
        <f ca="1">((Summary!$N$10*(AA147*AD147)*(A147-$D$3))+(Summary!$M$10*Z147*AC147*(AJ147-EOMONTH(EDATE(A147,-1),0))))/(AK147*AB147*AE147)</f>
        <v>0.99990734719555263</v>
      </c>
      <c r="AG147" s="88">
        <f>IF($A148="","",Summary!$Q$10)</f>
        <v>0</v>
      </c>
      <c r="AH147" s="88">
        <f>IF($A148="","",IF(Summary!$R$10="Y",(VLOOKUP($A147,Summary!$AD$6:$AF$9,3)+'Escalating commodity'!F160),'Escalating commodity'!F160))</f>
        <v>1.5820799999999999E-2</v>
      </c>
      <c r="AI147" s="88">
        <f t="shared" si="111"/>
        <v>1.5820799999999999E-2</v>
      </c>
      <c r="AJ147" s="236">
        <f t="shared" si="97"/>
        <v>41228</v>
      </c>
      <c r="AK147" s="58">
        <f t="shared" ca="1" si="98"/>
        <v>4188</v>
      </c>
      <c r="AL147" s="26">
        <f ca="1">IF($A148="","",_xll.SPRDOPT(P147,X147,AI147,0,AB147,AE147,AF147,AK147,$AJ$2,0))</f>
        <v>1.5180010981310794E-3</v>
      </c>
      <c r="AM147" s="89">
        <f t="shared" si="99"/>
        <v>0</v>
      </c>
      <c r="AN147" s="89">
        <f t="shared" ca="1" si="100"/>
        <v>1.5180010981310794E-3</v>
      </c>
      <c r="AO147" s="3">
        <f t="shared" si="101"/>
        <v>30</v>
      </c>
      <c r="AP147" s="33">
        <f t="shared" si="102"/>
        <v>41214</v>
      </c>
      <c r="AQ147" s="58">
        <f t="shared" ca="1" si="103"/>
        <v>4188</v>
      </c>
      <c r="AR147" s="38">
        <f>'ANR OK vs ML7'!AR147</f>
        <v>0.1</v>
      </c>
      <c r="AS147" s="35">
        <f t="shared" ca="1" si="104"/>
        <v>0.32664946151317792</v>
      </c>
      <c r="AT147" s="3">
        <f t="shared" si="105"/>
        <v>1</v>
      </c>
      <c r="AU147" s="3">
        <f t="shared" si="106"/>
        <v>30</v>
      </c>
      <c r="AW147" s="32">
        <f t="shared" ca="1" si="107"/>
        <v>5452.9635447064629</v>
      </c>
      <c r="AX147" s="32">
        <f t="shared" si="108"/>
        <v>0</v>
      </c>
      <c r="AY147" s="32">
        <f t="shared" ca="1" si="109"/>
        <v>5452.9635447064629</v>
      </c>
      <c r="BA147" s="32">
        <f ca="1">IF($A148="","",F147*Summary!$Q$10)</f>
        <v>0</v>
      </c>
      <c r="BC147" s="256">
        <f t="shared" ca="1" si="112"/>
        <v>0</v>
      </c>
    </row>
    <row r="148" spans="1:55">
      <c r="A148" s="67">
        <f t="shared" si="110"/>
        <v>41244</v>
      </c>
      <c r="B148" s="69">
        <f t="shared" si="113"/>
        <v>119740</v>
      </c>
      <c r="C148" s="71"/>
      <c r="D148" s="69">
        <f t="shared" si="76"/>
        <v>119740</v>
      </c>
      <c r="E148" s="70">
        <f t="shared" si="77"/>
        <v>3711940</v>
      </c>
      <c r="F148" s="70">
        <f t="shared" ca="1" si="78"/>
        <v>1202824.0577988825</v>
      </c>
      <c r="G148" s="63">
        <f t="shared" si="79"/>
        <v>4.8220000000000001</v>
      </c>
      <c r="H148" s="64">
        <f t="shared" si="80"/>
        <v>4.8220000000000001</v>
      </c>
      <c r="I148" s="43"/>
      <c r="J148" s="63">
        <f t="shared" si="81"/>
        <v>0.27500000000000002</v>
      </c>
      <c r="K148" s="64">
        <f t="shared" si="82"/>
        <v>0.27500000000000002</v>
      </c>
      <c r="L148" s="38">
        <v>0</v>
      </c>
      <c r="M148" s="64">
        <f t="shared" si="83"/>
        <v>0</v>
      </c>
      <c r="N148" s="65"/>
      <c r="O148" s="63">
        <f t="shared" si="84"/>
        <v>5.0970000000000004</v>
      </c>
      <c r="P148" s="63">
        <f t="shared" si="85"/>
        <v>5.0970000000000004</v>
      </c>
      <c r="Q148" s="66"/>
      <c r="R148" s="63">
        <f t="shared" si="86"/>
        <v>0.32500000000000001</v>
      </c>
      <c r="S148" s="64">
        <f t="shared" si="87"/>
        <v>0.32500000000000001</v>
      </c>
      <c r="T148" s="63">
        <f t="shared" si="88"/>
        <v>0</v>
      </c>
      <c r="U148" s="64">
        <f t="shared" si="89"/>
        <v>0</v>
      </c>
      <c r="V148" s="219">
        <f>IF($A149="","",IF(AND(MONTH(A148)&gt;3,MONTH(A148)&lt;11),(T148+R148+G148)*Summary!$T$10/(1-Summary!$T$10),(T148+R148+G148)*Summary!$U$10/(1-Summary!$U$10)))</f>
        <v>4.150806451612904E-2</v>
      </c>
      <c r="W148" s="63">
        <f t="shared" si="90"/>
        <v>5.188508064516129</v>
      </c>
      <c r="X148" s="63">
        <f t="shared" si="91"/>
        <v>5.188508064516129</v>
      </c>
      <c r="Y148" s="43"/>
      <c r="Z148" s="38">
        <f t="shared" si="92"/>
        <v>1.1000000000000001</v>
      </c>
      <c r="AA148" s="38">
        <f t="shared" si="93"/>
        <v>0.17</v>
      </c>
      <c r="AB148" s="38">
        <f t="shared" ca="1" si="94"/>
        <v>0.18262878111827113</v>
      </c>
      <c r="AC148" s="38">
        <f t="shared" si="95"/>
        <v>1.1000000000000001</v>
      </c>
      <c r="AD148" s="38">
        <f t="shared" si="95"/>
        <v>0.17</v>
      </c>
      <c r="AE148" s="38">
        <f t="shared" ca="1" si="96"/>
        <v>0.18262878111827113</v>
      </c>
      <c r="AF148" s="237">
        <f ca="1">((Summary!$N$10*(AA148*AD148)*(A148-$D$3))+(Summary!$M$10*Z148*AC148*(AJ148-EOMONTH(EDATE(A148,-1),0))))/(AK148*AB148*AE148)</f>
        <v>0.99991333128619342</v>
      </c>
      <c r="AG148" s="88">
        <f>IF($A149="","",Summary!$Q$10)</f>
        <v>0</v>
      </c>
      <c r="AH148" s="88">
        <f>IF($A149="","",IF(Summary!$R$10="Y",(VLOOKUP($A148,Summary!$AD$6:$AF$9,3)+'Escalating commodity'!F161),'Escalating commodity'!F161))</f>
        <v>1.5820799999999999E-2</v>
      </c>
      <c r="AI148" s="88">
        <f t="shared" si="111"/>
        <v>1.5820799999999999E-2</v>
      </c>
      <c r="AJ148" s="236">
        <f t="shared" si="97"/>
        <v>41258.5</v>
      </c>
      <c r="AK148" s="58">
        <f t="shared" ca="1" si="98"/>
        <v>4218</v>
      </c>
      <c r="AL148" s="26">
        <f ca="1">IF($A149="","",_xll.SPRDOPT(P148,X148,AI148,0,AB148,AE148,AF148,AK148,$AJ$2,0))</f>
        <v>1.6272446161210222E-3</v>
      </c>
      <c r="AM148" s="89">
        <f t="shared" si="99"/>
        <v>0</v>
      </c>
      <c r="AN148" s="89">
        <f t="shared" ca="1" si="100"/>
        <v>1.6272446161210222E-3</v>
      </c>
      <c r="AO148" s="3">
        <f t="shared" si="101"/>
        <v>31</v>
      </c>
      <c r="AP148" s="33">
        <f t="shared" si="102"/>
        <v>41244</v>
      </c>
      <c r="AQ148" s="58">
        <f t="shared" ca="1" si="103"/>
        <v>4218</v>
      </c>
      <c r="AR148" s="38">
        <f>'ANR OK vs ML7'!AR148</f>
        <v>0.1</v>
      </c>
      <c r="AS148" s="35">
        <f t="shared" ca="1" si="104"/>
        <v>0.32404189124794108</v>
      </c>
      <c r="AT148" s="3">
        <f t="shared" si="105"/>
        <v>1</v>
      </c>
      <c r="AU148" s="3">
        <f t="shared" si="106"/>
        <v>31</v>
      </c>
      <c r="AW148" s="32">
        <f t="shared" ca="1" si="107"/>
        <v>6040.2343803642671</v>
      </c>
      <c r="AX148" s="32">
        <f t="shared" si="108"/>
        <v>0</v>
      </c>
      <c r="AY148" s="32">
        <f t="shared" ca="1" si="109"/>
        <v>6040.2343803642671</v>
      </c>
      <c r="BA148" s="32">
        <f ca="1">IF($A149="","",F148*Summary!$Q$10)</f>
        <v>0</v>
      </c>
      <c r="BC148" s="256">
        <f t="shared" ca="1" si="112"/>
        <v>0</v>
      </c>
    </row>
    <row r="149" spans="1:55">
      <c r="A149" s="67">
        <f t="shared" si="110"/>
        <v>41275</v>
      </c>
      <c r="B149" s="69">
        <f t="shared" si="113"/>
        <v>119740</v>
      </c>
      <c r="C149" s="71"/>
      <c r="D149" s="69">
        <f t="shared" si="76"/>
        <v>119740</v>
      </c>
      <c r="E149" s="70">
        <f t="shared" si="77"/>
        <v>3711940</v>
      </c>
      <c r="F149" s="70">
        <f t="shared" ca="1" si="78"/>
        <v>1192903.4407827465</v>
      </c>
      <c r="G149" s="63">
        <f t="shared" si="79"/>
        <v>4.8690000000000007</v>
      </c>
      <c r="H149" s="64">
        <f t="shared" si="80"/>
        <v>4.8690000000000007</v>
      </c>
      <c r="I149" s="43"/>
      <c r="J149" s="63">
        <f t="shared" si="81"/>
        <v>0.27500000000000002</v>
      </c>
      <c r="K149" s="64">
        <f t="shared" si="82"/>
        <v>0.27500000000000002</v>
      </c>
      <c r="L149" s="38">
        <v>0</v>
      </c>
      <c r="M149" s="64">
        <f t="shared" si="83"/>
        <v>0</v>
      </c>
      <c r="N149" s="65"/>
      <c r="O149" s="63">
        <f t="shared" si="84"/>
        <v>5.144000000000001</v>
      </c>
      <c r="P149" s="63">
        <f t="shared" si="85"/>
        <v>5.144000000000001</v>
      </c>
      <c r="Q149" s="66"/>
      <c r="R149" s="63">
        <f t="shared" si="86"/>
        <v>0.32500000000000001</v>
      </c>
      <c r="S149" s="64">
        <f t="shared" si="87"/>
        <v>0.32500000000000001</v>
      </c>
      <c r="T149" s="63">
        <f t="shared" si="88"/>
        <v>0</v>
      </c>
      <c r="U149" s="64">
        <f t="shared" si="89"/>
        <v>0</v>
      </c>
      <c r="V149" s="219">
        <f>IF($A150="","",IF(AND(MONTH(A149)&gt;3,MONTH(A149)&lt;11),(T149+R149+G149)*Summary!$T$10/(1-Summary!$T$10),(T149+R149+G149)*Summary!$U$10/(1-Summary!$U$10)))</f>
        <v>4.1887096774193555E-2</v>
      </c>
      <c r="W149" s="63">
        <f t="shared" si="90"/>
        <v>5.2358870967741939</v>
      </c>
      <c r="X149" s="63">
        <f t="shared" si="91"/>
        <v>5.2358870967741939</v>
      </c>
      <c r="Y149" s="43"/>
      <c r="Z149" s="38">
        <f t="shared" si="92"/>
        <v>1.1000000000000001</v>
      </c>
      <c r="AA149" s="38">
        <f t="shared" si="93"/>
        <v>0.17</v>
      </c>
      <c r="AB149" s="38">
        <f t="shared" ca="1" si="94"/>
        <v>0.18253980760458821</v>
      </c>
      <c r="AC149" s="38">
        <f t="shared" si="95"/>
        <v>1.1000000000000001</v>
      </c>
      <c r="AD149" s="38">
        <f t="shared" si="95"/>
        <v>0.17</v>
      </c>
      <c r="AE149" s="38">
        <f t="shared" ca="1" si="96"/>
        <v>0.18253980760458821</v>
      </c>
      <c r="AF149" s="237">
        <f ca="1">((Summary!$N$10*(AA149*AD149)*(A149-$D$3))+(Summary!$M$10*Z149*AC149*(AJ149-EOMONTH(EDATE(A149,-1),0))))/(AK149*AB149*AE149)</f>
        <v>0.99991324692753236</v>
      </c>
      <c r="AG149" s="88">
        <f>IF($A150="","",Summary!$Q$10)</f>
        <v>0</v>
      </c>
      <c r="AH149" s="88">
        <f>IF($A150="","",IF(Summary!$R$10="Y",(VLOOKUP($A149,Summary!$AD$6:$AF$9,3)+'Escalating commodity'!F162),'Escalating commodity'!F162))</f>
        <v>1.5820799999999999E-2</v>
      </c>
      <c r="AI149" s="88">
        <f t="shared" si="111"/>
        <v>1.5820799999999999E-2</v>
      </c>
      <c r="AJ149" s="236">
        <f t="shared" si="97"/>
        <v>41289.5</v>
      </c>
      <c r="AK149" s="58">
        <f t="shared" ca="1" si="98"/>
        <v>4249</v>
      </c>
      <c r="AL149" s="26">
        <f ca="1">IF($A150="","",_xll.SPRDOPT(P149,X149,AI149,0,AB149,AE149,AF149,AK149,$AJ$2,0))</f>
        <v>1.6675949036314211E-3</v>
      </c>
      <c r="AM149" s="89">
        <f t="shared" si="99"/>
        <v>0</v>
      </c>
      <c r="AN149" s="89">
        <f t="shared" ca="1" si="100"/>
        <v>1.6675949036314211E-3</v>
      </c>
      <c r="AO149" s="3">
        <f t="shared" si="101"/>
        <v>31</v>
      </c>
      <c r="AP149" s="33">
        <f t="shared" si="102"/>
        <v>41275</v>
      </c>
      <c r="AQ149" s="58">
        <f t="shared" ca="1" si="103"/>
        <v>4249</v>
      </c>
      <c r="AR149" s="38">
        <f>'ANR OK vs ML7'!AR149</f>
        <v>0.1</v>
      </c>
      <c r="AS149" s="35">
        <f t="shared" ca="1" si="104"/>
        <v>0.32136926803308957</v>
      </c>
      <c r="AT149" s="3">
        <f t="shared" si="105"/>
        <v>1</v>
      </c>
      <c r="AU149" s="3">
        <f t="shared" si="106"/>
        <v>31</v>
      </c>
      <c r="AW149" s="32">
        <f t="shared" ca="1" si="107"/>
        <v>6190.0122265856171</v>
      </c>
      <c r="AX149" s="32">
        <f t="shared" si="108"/>
        <v>0</v>
      </c>
      <c r="AY149" s="32">
        <f t="shared" ca="1" si="109"/>
        <v>6190.0122265856171</v>
      </c>
      <c r="BA149" s="32">
        <f ca="1">IF($A150="","",F149*Summary!$Q$10)</f>
        <v>0</v>
      </c>
      <c r="BC149" s="256">
        <f t="shared" ca="1" si="112"/>
        <v>0</v>
      </c>
    </row>
    <row r="150" spans="1:55">
      <c r="A150" s="67">
        <f t="shared" si="110"/>
        <v>41306</v>
      </c>
      <c r="B150" s="69">
        <f t="shared" si="113"/>
        <v>119740</v>
      </c>
      <c r="C150" s="71"/>
      <c r="D150" s="69">
        <f t="shared" si="76"/>
        <v>119740</v>
      </c>
      <c r="E150" s="70">
        <f t="shared" si="77"/>
        <v>3352720</v>
      </c>
      <c r="F150" s="70">
        <f t="shared" ca="1" si="78"/>
        <v>1068574.51963696</v>
      </c>
      <c r="G150" s="63">
        <f t="shared" si="79"/>
        <v>4.7490000000000006</v>
      </c>
      <c r="H150" s="64">
        <f t="shared" si="80"/>
        <v>4.7490000000000006</v>
      </c>
      <c r="I150" s="43"/>
      <c r="J150" s="63">
        <f t="shared" si="81"/>
        <v>0.27500000000000002</v>
      </c>
      <c r="K150" s="64">
        <f t="shared" si="82"/>
        <v>0.27500000000000002</v>
      </c>
      <c r="L150" s="38">
        <v>0</v>
      </c>
      <c r="M150" s="64">
        <f t="shared" si="83"/>
        <v>0</v>
      </c>
      <c r="N150" s="65"/>
      <c r="O150" s="63">
        <f t="shared" si="84"/>
        <v>5.0240000000000009</v>
      </c>
      <c r="P150" s="63">
        <f t="shared" si="85"/>
        <v>5.0240000000000009</v>
      </c>
      <c r="Q150" s="66"/>
      <c r="R150" s="63">
        <f t="shared" si="86"/>
        <v>0.32500000000000001</v>
      </c>
      <c r="S150" s="64">
        <f t="shared" si="87"/>
        <v>0.32500000000000001</v>
      </c>
      <c r="T150" s="63">
        <f t="shared" si="88"/>
        <v>0</v>
      </c>
      <c r="U150" s="64">
        <f t="shared" si="89"/>
        <v>0</v>
      </c>
      <c r="V150" s="219">
        <f>IF($A151="","",IF(AND(MONTH(A150)&gt;3,MONTH(A150)&lt;11),(T150+R150+G150)*Summary!$T$10/(1-Summary!$T$10),(T150+R150+G150)*Summary!$U$10/(1-Summary!$U$10)))</f>
        <v>4.091935483870969E-2</v>
      </c>
      <c r="W150" s="63">
        <f t="shared" si="90"/>
        <v>5.1149193548387109</v>
      </c>
      <c r="X150" s="63">
        <f t="shared" si="91"/>
        <v>5.1149193548387109</v>
      </c>
      <c r="Y150" s="43"/>
      <c r="Z150" s="38">
        <f t="shared" si="92"/>
        <v>1.1000000000000001</v>
      </c>
      <c r="AA150" s="38">
        <f t="shared" si="93"/>
        <v>0.17</v>
      </c>
      <c r="AB150" s="38">
        <f t="shared" ca="1" si="94"/>
        <v>0.181286227446219</v>
      </c>
      <c r="AC150" s="38">
        <f t="shared" si="95"/>
        <v>1.1000000000000001</v>
      </c>
      <c r="AD150" s="38">
        <f t="shared" si="95"/>
        <v>0.17</v>
      </c>
      <c r="AE150" s="38">
        <f t="shared" ca="1" si="96"/>
        <v>0.181286227446219</v>
      </c>
      <c r="AF150" s="237">
        <f ca="1">((Summary!$N$10*(AA150*AD150)*(A150-$D$3))+(Summary!$M$10*Z150*AC150*(AJ150-EOMONTH(EDATE(A150,-1),0))))/(AK150*AB150*AE150)</f>
        <v>0.99991204314774074</v>
      </c>
      <c r="AG150" s="88">
        <f>IF($A151="","",Summary!$Q$10)</f>
        <v>0</v>
      </c>
      <c r="AH150" s="88">
        <f>IF($A151="","",IF(Summary!$R$10="Y",(VLOOKUP($A150,Summary!$AD$6:$AF$9,3)+'Escalating commodity'!F163),'Escalating commodity'!F163))</f>
        <v>1.5820799999999999E-2</v>
      </c>
      <c r="AI150" s="88">
        <f t="shared" si="111"/>
        <v>1.5820799999999999E-2</v>
      </c>
      <c r="AJ150" s="236">
        <f t="shared" si="97"/>
        <v>41319</v>
      </c>
      <c r="AK150" s="58">
        <f t="shared" ca="1" si="98"/>
        <v>4280</v>
      </c>
      <c r="AL150" s="26">
        <f ca="1">IF($A151="","",_xll.SPRDOPT(P150,X150,AI150,0,AB150,AE150,AF150,AK150,$AJ$2,0))</f>
        <v>1.6091950153471965E-3</v>
      </c>
      <c r="AM150" s="89">
        <f t="shared" si="99"/>
        <v>0</v>
      </c>
      <c r="AN150" s="89">
        <f t="shared" ca="1" si="100"/>
        <v>1.6091950153471965E-3</v>
      </c>
      <c r="AO150" s="3">
        <f t="shared" si="101"/>
        <v>28</v>
      </c>
      <c r="AP150" s="33">
        <f t="shared" si="102"/>
        <v>41306</v>
      </c>
      <c r="AQ150" s="58">
        <f t="shared" ca="1" si="103"/>
        <v>4280</v>
      </c>
      <c r="AR150" s="38">
        <f>'ANR OK vs ML7'!AR150</f>
        <v>0.1</v>
      </c>
      <c r="AS150" s="35">
        <f t="shared" ca="1" si="104"/>
        <v>0.3187186880016703</v>
      </c>
      <c r="AT150" s="3">
        <f t="shared" si="105"/>
        <v>1</v>
      </c>
      <c r="AU150" s="3">
        <f t="shared" si="106"/>
        <v>28</v>
      </c>
      <c r="AW150" s="32">
        <f t="shared" ca="1" si="107"/>
        <v>5395.1803118548523</v>
      </c>
      <c r="AX150" s="32">
        <f t="shared" si="108"/>
        <v>0</v>
      </c>
      <c r="AY150" s="32">
        <f t="shared" ca="1" si="109"/>
        <v>5395.1803118548523</v>
      </c>
      <c r="BA150" s="32">
        <f ca="1">IF($A151="","",F150*Summary!$Q$10)</f>
        <v>0</v>
      </c>
      <c r="BC150" s="256">
        <f t="shared" ca="1" si="112"/>
        <v>0</v>
      </c>
    </row>
    <row r="151" spans="1:55">
      <c r="A151" s="67">
        <f t="shared" si="110"/>
        <v>41334</v>
      </c>
      <c r="B151" s="69">
        <f t="shared" si="113"/>
        <v>119740</v>
      </c>
      <c r="C151" s="71"/>
      <c r="D151" s="69">
        <f t="shared" si="76"/>
        <v>119740</v>
      </c>
      <c r="E151" s="70">
        <f t="shared" si="77"/>
        <v>3711940</v>
      </c>
      <c r="F151" s="70">
        <f t="shared" ca="1" si="78"/>
        <v>1174247.7611949518</v>
      </c>
      <c r="G151" s="63">
        <f t="shared" si="79"/>
        <v>4.6100000000000003</v>
      </c>
      <c r="H151" s="64">
        <f t="shared" si="80"/>
        <v>4.6100000000000003</v>
      </c>
      <c r="I151" s="43"/>
      <c r="J151" s="63">
        <f t="shared" si="81"/>
        <v>0.27500000000000002</v>
      </c>
      <c r="K151" s="64">
        <f t="shared" si="82"/>
        <v>0.27500000000000002</v>
      </c>
      <c r="L151" s="38">
        <v>0</v>
      </c>
      <c r="M151" s="64">
        <f t="shared" si="83"/>
        <v>0</v>
      </c>
      <c r="N151" s="65"/>
      <c r="O151" s="63">
        <f t="shared" si="84"/>
        <v>4.8850000000000007</v>
      </c>
      <c r="P151" s="63">
        <f t="shared" si="85"/>
        <v>4.8850000000000007</v>
      </c>
      <c r="Q151" s="66"/>
      <c r="R151" s="63">
        <f t="shared" si="86"/>
        <v>0.32500000000000001</v>
      </c>
      <c r="S151" s="64">
        <f t="shared" si="87"/>
        <v>0.32500000000000001</v>
      </c>
      <c r="T151" s="63">
        <f t="shared" si="88"/>
        <v>0</v>
      </c>
      <c r="U151" s="64">
        <f t="shared" si="89"/>
        <v>0</v>
      </c>
      <c r="V151" s="219">
        <f>IF($A152="","",IF(AND(MONTH(A151)&gt;3,MONTH(A151)&lt;11),(T151+R151+G151)*Summary!$T$10/(1-Summary!$T$10),(T151+R151+G151)*Summary!$U$10/(1-Summary!$U$10)))</f>
        <v>3.9798387096774204E-2</v>
      </c>
      <c r="W151" s="63">
        <f t="shared" si="90"/>
        <v>4.9747983870967749</v>
      </c>
      <c r="X151" s="63">
        <f t="shared" si="91"/>
        <v>4.9747983870967749</v>
      </c>
      <c r="Y151" s="43"/>
      <c r="Z151" s="38">
        <f t="shared" si="92"/>
        <v>0.75</v>
      </c>
      <c r="AA151" s="38">
        <f t="shared" si="93"/>
        <v>0.17</v>
      </c>
      <c r="AB151" s="38">
        <f t="shared" ca="1" si="94"/>
        <v>0.17587086007729316</v>
      </c>
      <c r="AC151" s="38">
        <f t="shared" si="95"/>
        <v>0.75</v>
      </c>
      <c r="AD151" s="38">
        <f t="shared" si="95"/>
        <v>0.17</v>
      </c>
      <c r="AE151" s="38">
        <f t="shared" ca="1" si="96"/>
        <v>0.17587086007729316</v>
      </c>
      <c r="AF151" s="237">
        <f ca="1">((Summary!$N$10*(AA151*AD151)*(A151-$D$3))+(Summary!$M$10*Z151*AC151*(AJ151-EOMONTH(EDATE(A151,-1),0))))/(AK151*AB151*AE151)</f>
        <v>0.99990654320844086</v>
      </c>
      <c r="AG151" s="88">
        <f>IF($A152="","",Summary!$Q$10)</f>
        <v>0</v>
      </c>
      <c r="AH151" s="88">
        <f>IF($A152="","",IF(Summary!$R$10="Y",(VLOOKUP($A151,Summary!$AD$6:$AF$9,3)+'Escalating commodity'!F164),'Escalating commodity'!F164))</f>
        <v>1.5820799999999999E-2</v>
      </c>
      <c r="AI151" s="88">
        <f t="shared" si="111"/>
        <v>1.5820799999999999E-2</v>
      </c>
      <c r="AJ151" s="236">
        <f t="shared" si="97"/>
        <v>41348.5</v>
      </c>
      <c r="AK151" s="58">
        <f t="shared" ca="1" si="98"/>
        <v>4308</v>
      </c>
      <c r="AL151" s="26">
        <f ca="1">IF($A152="","",_xll.SPRDOPT(P151,X151,AI151,0,AB151,AE151,AF151,AK151,$AJ$2,0))</f>
        <v>1.5246440187950284E-3</v>
      </c>
      <c r="AM151" s="89">
        <f t="shared" si="99"/>
        <v>0</v>
      </c>
      <c r="AN151" s="89">
        <f t="shared" ca="1" si="100"/>
        <v>1.5246440187950284E-3</v>
      </c>
      <c r="AO151" s="3">
        <f t="shared" si="101"/>
        <v>31</v>
      </c>
      <c r="AP151" s="33">
        <f t="shared" si="102"/>
        <v>41334</v>
      </c>
      <c r="AQ151" s="58">
        <f t="shared" ca="1" si="103"/>
        <v>4308</v>
      </c>
      <c r="AR151" s="38">
        <f>'ANR OK vs ML7'!AR151</f>
        <v>0.1</v>
      </c>
      <c r="AS151" s="35">
        <f t="shared" ca="1" si="104"/>
        <v>0.31634341104515479</v>
      </c>
      <c r="AT151" s="3">
        <f t="shared" si="105"/>
        <v>1</v>
      </c>
      <c r="AU151" s="3">
        <f t="shared" si="106"/>
        <v>31</v>
      </c>
      <c r="AW151" s="32">
        <f t="shared" ca="1" si="107"/>
        <v>5659.3871191260178</v>
      </c>
      <c r="AX151" s="32">
        <f t="shared" si="108"/>
        <v>0</v>
      </c>
      <c r="AY151" s="32">
        <f t="shared" ca="1" si="109"/>
        <v>5659.3871191260178</v>
      </c>
      <c r="BA151" s="32">
        <f ca="1">IF($A152="","",F151*Summary!$Q$10)</f>
        <v>0</v>
      </c>
      <c r="BC151" s="256">
        <f t="shared" ca="1" si="112"/>
        <v>0</v>
      </c>
    </row>
    <row r="152" spans="1:55">
      <c r="A152" s="67">
        <f t="shared" si="110"/>
        <v>41365</v>
      </c>
      <c r="B152" s="69">
        <f t="shared" si="113"/>
        <v>119740</v>
      </c>
      <c r="C152" s="71"/>
      <c r="D152" s="69">
        <f t="shared" si="76"/>
        <v>119740</v>
      </c>
      <c r="E152" s="70">
        <f t="shared" si="77"/>
        <v>3592200</v>
      </c>
      <c r="F152" s="70">
        <f t="shared" ca="1" si="78"/>
        <v>1126996.2918585879</v>
      </c>
      <c r="G152" s="63">
        <f t="shared" si="79"/>
        <v>4.4349999999999996</v>
      </c>
      <c r="H152" s="64">
        <f t="shared" si="80"/>
        <v>4.4349999999999996</v>
      </c>
      <c r="I152" s="43"/>
      <c r="J152" s="63">
        <f t="shared" si="81"/>
        <v>0.18</v>
      </c>
      <c r="K152" s="64">
        <f t="shared" si="82"/>
        <v>0.18</v>
      </c>
      <c r="L152" s="38">
        <v>0</v>
      </c>
      <c r="M152" s="64">
        <f t="shared" si="83"/>
        <v>0</v>
      </c>
      <c r="N152" s="65"/>
      <c r="O152" s="63">
        <f t="shared" si="84"/>
        <v>4.6149999999999993</v>
      </c>
      <c r="P152" s="63">
        <f t="shared" si="85"/>
        <v>4.6149999999999993</v>
      </c>
      <c r="Q152" s="66"/>
      <c r="R152" s="63">
        <f t="shared" si="86"/>
        <v>0.21</v>
      </c>
      <c r="S152" s="64">
        <f t="shared" si="87"/>
        <v>0.21</v>
      </c>
      <c r="T152" s="63">
        <f t="shared" si="88"/>
        <v>0</v>
      </c>
      <c r="U152" s="64">
        <f t="shared" si="89"/>
        <v>0</v>
      </c>
      <c r="V152" s="219">
        <f>IF($A153="","",IF(AND(MONTH(A152)&gt;3,MONTH(A152)&lt;11),(T152+R152+G152)*Summary!$T$10/(1-Summary!$T$10),(T152+R152+G152)*Summary!$U$10/(1-Summary!$U$10)))</f>
        <v>3.7459677419354839E-2</v>
      </c>
      <c r="W152" s="63">
        <f t="shared" si="90"/>
        <v>4.6824596774193541</v>
      </c>
      <c r="X152" s="63">
        <f t="shared" si="91"/>
        <v>4.6824596774193541</v>
      </c>
      <c r="Y152" s="43"/>
      <c r="Z152" s="38">
        <f t="shared" si="92"/>
        <v>0.45</v>
      </c>
      <c r="AA152" s="38">
        <f t="shared" si="93"/>
        <v>0.17</v>
      </c>
      <c r="AB152" s="38">
        <f t="shared" ca="1" si="94"/>
        <v>0.1720659949392305</v>
      </c>
      <c r="AC152" s="38">
        <f t="shared" si="95"/>
        <v>0.45</v>
      </c>
      <c r="AD152" s="38">
        <f t="shared" si="95"/>
        <v>0.17</v>
      </c>
      <c r="AE152" s="38">
        <f t="shared" ca="1" si="96"/>
        <v>0.1720659949392305</v>
      </c>
      <c r="AF152" s="237">
        <f ca="1">((Summary!$N$10*(AA152*AD152)*(A152-$D$3))+(Summary!$M$10*Z152*AC152*(AJ152-EOMONTH(EDATE(A152,-1),0))))/(AK152*AB152*AE152)</f>
        <v>0.99990236448485359</v>
      </c>
      <c r="AG152" s="88">
        <f>IF($A153="","",Summary!$Q$10)</f>
        <v>0</v>
      </c>
      <c r="AH152" s="88">
        <f>IF($A153="","",IF(Summary!$R$10="Y",(VLOOKUP($A152,Summary!$AD$6:$AF$9,3)+'Escalating commodity'!F165),'Escalating commodity'!F165))</f>
        <v>1.5820799999999999E-2</v>
      </c>
      <c r="AI152" s="88">
        <f t="shared" si="111"/>
        <v>1.5820799999999999E-2</v>
      </c>
      <c r="AJ152" s="236">
        <f t="shared" si="97"/>
        <v>41379</v>
      </c>
      <c r="AK152" s="58">
        <f t="shared" ca="1" si="98"/>
        <v>4339</v>
      </c>
      <c r="AL152" s="26">
        <f ca="1">IF($A153="","",_xll.SPRDOPT(P152,X152,AI152,0,AB152,AE152,AF152,AK152,$AJ$2,0))</f>
        <v>1.8050818571734711E-3</v>
      </c>
      <c r="AM152" s="89">
        <f t="shared" si="99"/>
        <v>0</v>
      </c>
      <c r="AN152" s="89">
        <f t="shared" ca="1" si="100"/>
        <v>1.8050818571734711E-3</v>
      </c>
      <c r="AO152" s="3">
        <f t="shared" si="101"/>
        <v>30</v>
      </c>
      <c r="AP152" s="33">
        <f t="shared" si="102"/>
        <v>41365</v>
      </c>
      <c r="AQ152" s="58">
        <f t="shared" ca="1" si="103"/>
        <v>4339</v>
      </c>
      <c r="AR152" s="38">
        <f>'ANR OK vs ML7'!AR152</f>
        <v>0.1</v>
      </c>
      <c r="AS152" s="35">
        <f t="shared" ca="1" si="104"/>
        <v>0.31373428312972212</v>
      </c>
      <c r="AT152" s="3">
        <f t="shared" si="105"/>
        <v>1</v>
      </c>
      <c r="AU152" s="3">
        <f t="shared" si="106"/>
        <v>30</v>
      </c>
      <c r="AW152" s="32">
        <f t="shared" ca="1" si="107"/>
        <v>6484.2150473385427</v>
      </c>
      <c r="AX152" s="32">
        <f t="shared" si="108"/>
        <v>0</v>
      </c>
      <c r="AY152" s="32">
        <f t="shared" ca="1" si="109"/>
        <v>6484.2150473385427</v>
      </c>
      <c r="BA152" s="32">
        <f ca="1">IF($A153="","",F152*Summary!$Q$10)</f>
        <v>0</v>
      </c>
      <c r="BC152" s="256">
        <f t="shared" ca="1" si="112"/>
        <v>0</v>
      </c>
    </row>
    <row r="153" spans="1:55">
      <c r="A153" s="67">
        <f t="shared" si="110"/>
        <v>41395</v>
      </c>
      <c r="B153" s="69">
        <f t="shared" si="113"/>
        <v>119740</v>
      </c>
      <c r="C153" s="71"/>
      <c r="D153" s="69">
        <f t="shared" si="76"/>
        <v>119740</v>
      </c>
      <c r="E153" s="70">
        <f t="shared" si="77"/>
        <v>3711940</v>
      </c>
      <c r="F153" s="70">
        <f t="shared" ca="1" si="78"/>
        <v>1155266.3878782843</v>
      </c>
      <c r="G153" s="63">
        <f t="shared" si="79"/>
        <v>4.4050000000000002</v>
      </c>
      <c r="H153" s="64">
        <f t="shared" si="80"/>
        <v>4.4050000000000002</v>
      </c>
      <c r="I153" s="43"/>
      <c r="J153" s="63">
        <f t="shared" si="81"/>
        <v>0.18</v>
      </c>
      <c r="K153" s="64">
        <f t="shared" si="82"/>
        <v>0.18</v>
      </c>
      <c r="L153" s="38">
        <v>0</v>
      </c>
      <c r="M153" s="64">
        <f t="shared" si="83"/>
        <v>0</v>
      </c>
      <c r="N153" s="65"/>
      <c r="O153" s="63">
        <f t="shared" si="84"/>
        <v>4.585</v>
      </c>
      <c r="P153" s="63">
        <f t="shared" si="85"/>
        <v>4.585</v>
      </c>
      <c r="Q153" s="66"/>
      <c r="R153" s="63">
        <f t="shared" si="86"/>
        <v>0.21</v>
      </c>
      <c r="S153" s="64">
        <f t="shared" si="87"/>
        <v>0.21</v>
      </c>
      <c r="T153" s="63">
        <f t="shared" si="88"/>
        <v>0</v>
      </c>
      <c r="U153" s="64">
        <f t="shared" si="89"/>
        <v>0</v>
      </c>
      <c r="V153" s="219">
        <f>IF($A154="","",IF(AND(MONTH(A153)&gt;3,MONTH(A153)&lt;11),(T153+R153+G153)*Summary!$T$10/(1-Summary!$T$10),(T153+R153+G153)*Summary!$U$10/(1-Summary!$U$10)))</f>
        <v>3.721774193548387E-2</v>
      </c>
      <c r="W153" s="63">
        <f t="shared" si="90"/>
        <v>4.652217741935484</v>
      </c>
      <c r="X153" s="63">
        <f t="shared" si="91"/>
        <v>4.652217741935484</v>
      </c>
      <c r="Y153" s="43"/>
      <c r="Z153" s="38">
        <f t="shared" si="92"/>
        <v>0.5</v>
      </c>
      <c r="AA153" s="38">
        <f t="shared" si="93"/>
        <v>0.17</v>
      </c>
      <c r="AB153" s="38">
        <f t="shared" ca="1" si="94"/>
        <v>0.17260806885466767</v>
      </c>
      <c r="AC153" s="38">
        <f t="shared" si="95"/>
        <v>0.5</v>
      </c>
      <c r="AD153" s="38">
        <f t="shared" si="95"/>
        <v>0.17</v>
      </c>
      <c r="AE153" s="38">
        <f t="shared" ca="1" si="96"/>
        <v>0.17260806885466767</v>
      </c>
      <c r="AF153" s="237">
        <f ca="1">((Summary!$N$10*(AA153*AD153)*(A153-$D$3))+(Summary!$M$10*Z153*AC153*(AJ153-EOMONTH(EDATE(A153,-1),0))))/(AK153*AB153*AE153)</f>
        <v>0.9999029769221317</v>
      </c>
      <c r="AG153" s="88">
        <f>IF($A154="","",Summary!$Q$10)</f>
        <v>0</v>
      </c>
      <c r="AH153" s="88">
        <f>IF($A154="","",IF(Summary!$R$10="Y",(VLOOKUP($A153,Summary!$AD$6:$AF$9,3)+'Escalating commodity'!F166),'Escalating commodity'!F166))</f>
        <v>1.5820799999999999E-2</v>
      </c>
      <c r="AI153" s="88">
        <f t="shared" si="111"/>
        <v>1.5820799999999999E-2</v>
      </c>
      <c r="AJ153" s="236">
        <f t="shared" si="97"/>
        <v>41409.5</v>
      </c>
      <c r="AK153" s="58">
        <f t="shared" ca="1" si="98"/>
        <v>4369</v>
      </c>
      <c r="AL153" s="26">
        <f ca="1">IF($A154="","",_xll.SPRDOPT(P153,X153,AI153,0,AB153,AE153,AF153,AK153,$AJ$2,0))</f>
        <v>1.8001738837543357E-3</v>
      </c>
      <c r="AM153" s="89">
        <f t="shared" si="99"/>
        <v>0</v>
      </c>
      <c r="AN153" s="89">
        <f t="shared" ca="1" si="100"/>
        <v>1.8001738837543357E-3</v>
      </c>
      <c r="AO153" s="3">
        <f t="shared" si="101"/>
        <v>31</v>
      </c>
      <c r="AP153" s="33">
        <f t="shared" si="102"/>
        <v>41395</v>
      </c>
      <c r="AQ153" s="58">
        <f t="shared" ca="1" si="103"/>
        <v>4369</v>
      </c>
      <c r="AR153" s="38">
        <f>'ANR OK vs ML7'!AR153</f>
        <v>0.1</v>
      </c>
      <c r="AS153" s="35">
        <f t="shared" ca="1" si="104"/>
        <v>0.31122981187149695</v>
      </c>
      <c r="AT153" s="3">
        <f t="shared" si="105"/>
        <v>1</v>
      </c>
      <c r="AU153" s="3">
        <f t="shared" si="106"/>
        <v>31</v>
      </c>
      <c r="AW153" s="32">
        <f t="shared" ca="1" si="107"/>
        <v>6682.1374460630686</v>
      </c>
      <c r="AX153" s="32">
        <f t="shared" si="108"/>
        <v>0</v>
      </c>
      <c r="AY153" s="32">
        <f t="shared" ca="1" si="109"/>
        <v>6682.1374460630686</v>
      </c>
      <c r="BA153" s="32">
        <f ca="1">IF($A154="","",F153*Summary!$Q$10)</f>
        <v>0</v>
      </c>
      <c r="BC153" s="256">
        <f t="shared" ca="1" si="112"/>
        <v>0</v>
      </c>
    </row>
    <row r="154" spans="1:55">
      <c r="A154" s="67">
        <f t="shared" si="110"/>
        <v>41426</v>
      </c>
      <c r="B154" s="69">
        <f t="shared" si="113"/>
        <v>119740</v>
      </c>
      <c r="C154" s="71"/>
      <c r="D154" s="69">
        <f t="shared" si="76"/>
        <v>119740</v>
      </c>
      <c r="E154" s="70">
        <f t="shared" si="77"/>
        <v>3592200</v>
      </c>
      <c r="F154" s="70">
        <f t="shared" ca="1" si="78"/>
        <v>1108778.7247920781</v>
      </c>
      <c r="G154" s="63">
        <f t="shared" si="79"/>
        <v>4.4749999999999996</v>
      </c>
      <c r="H154" s="64">
        <f t="shared" si="80"/>
        <v>4.4749999999999996</v>
      </c>
      <c r="I154" s="43"/>
      <c r="J154" s="63">
        <f t="shared" si="81"/>
        <v>0.18</v>
      </c>
      <c r="K154" s="64">
        <f t="shared" si="82"/>
        <v>0.18</v>
      </c>
      <c r="L154" s="38">
        <v>0</v>
      </c>
      <c r="M154" s="64">
        <f t="shared" si="83"/>
        <v>0</v>
      </c>
      <c r="N154" s="65"/>
      <c r="O154" s="63">
        <f t="shared" si="84"/>
        <v>4.6549999999999994</v>
      </c>
      <c r="P154" s="63">
        <f t="shared" si="85"/>
        <v>4.6549999999999994</v>
      </c>
      <c r="Q154" s="66"/>
      <c r="R154" s="63">
        <f t="shared" si="86"/>
        <v>0.21</v>
      </c>
      <c r="S154" s="64">
        <f t="shared" si="87"/>
        <v>0.21</v>
      </c>
      <c r="T154" s="63">
        <f t="shared" si="88"/>
        <v>0</v>
      </c>
      <c r="U154" s="64">
        <f t="shared" si="89"/>
        <v>0</v>
      </c>
      <c r="V154" s="219">
        <f>IF($A155="","",IF(AND(MONTH(A154)&gt;3,MONTH(A154)&lt;11),(T154+R154+G154)*Summary!$T$10/(1-Summary!$T$10),(T154+R154+G154)*Summary!$U$10/(1-Summary!$U$10)))</f>
        <v>3.7782258064516128E-2</v>
      </c>
      <c r="W154" s="63">
        <f t="shared" si="90"/>
        <v>4.722782258064516</v>
      </c>
      <c r="X154" s="63">
        <f t="shared" si="91"/>
        <v>4.722782258064516</v>
      </c>
      <c r="Y154" s="43"/>
      <c r="Z154" s="38">
        <f t="shared" si="92"/>
        <v>0.5</v>
      </c>
      <c r="AA154" s="38">
        <f t="shared" si="93"/>
        <v>0.17</v>
      </c>
      <c r="AB154" s="38">
        <f t="shared" ca="1" si="94"/>
        <v>0.17250750971795667</v>
      </c>
      <c r="AC154" s="38">
        <f t="shared" si="95"/>
        <v>0.5</v>
      </c>
      <c r="AD154" s="38">
        <f t="shared" si="95"/>
        <v>0.17</v>
      </c>
      <c r="AE154" s="38">
        <f t="shared" ca="1" si="96"/>
        <v>0.17250750971795667</v>
      </c>
      <c r="AF154" s="237">
        <f ca="1">((Summary!$N$10*(AA154*AD154)*(A154-$D$3))+(Summary!$M$10*Z154*AC154*(AJ154-EOMONTH(EDATE(A154,-1),0))))/(AK154*AB154*AE154)</f>
        <v>0.9999028639311921</v>
      </c>
      <c r="AG154" s="88">
        <f>IF($A155="","",Summary!$Q$10)</f>
        <v>0</v>
      </c>
      <c r="AH154" s="88">
        <f>IF($A155="","",IF(Summary!$R$10="Y",(VLOOKUP($A154,Summary!$AD$6:$AF$9,3)+'Escalating commodity'!F167),'Escalating commodity'!F167))</f>
        <v>1.5820799999999999E-2</v>
      </c>
      <c r="AI154" s="88">
        <f t="shared" si="111"/>
        <v>1.5820799999999999E-2</v>
      </c>
      <c r="AJ154" s="236">
        <f t="shared" si="97"/>
        <v>41440</v>
      </c>
      <c r="AK154" s="58">
        <f t="shared" ca="1" si="98"/>
        <v>4400</v>
      </c>
      <c r="AL154" s="26">
        <f ca="1">IF($A155="","",_xll.SPRDOPT(P154,X154,AI154,0,AB154,AE154,AF154,AK154,$AJ$2,0))</f>
        <v>1.8579788997549439E-3</v>
      </c>
      <c r="AM154" s="89">
        <f t="shared" si="99"/>
        <v>0</v>
      </c>
      <c r="AN154" s="89">
        <f t="shared" ca="1" si="100"/>
        <v>1.8579788997549439E-3</v>
      </c>
      <c r="AO154" s="3">
        <f t="shared" si="101"/>
        <v>30</v>
      </c>
      <c r="AP154" s="33">
        <f t="shared" si="102"/>
        <v>41426</v>
      </c>
      <c r="AQ154" s="58">
        <f t="shared" ca="1" si="103"/>
        <v>4400</v>
      </c>
      <c r="AR154" s="38">
        <f>'ANR OK vs ML7'!AR154</f>
        <v>0.1</v>
      </c>
      <c r="AS154" s="35">
        <f t="shared" ca="1" si="104"/>
        <v>0.30866285974947888</v>
      </c>
      <c r="AT154" s="3">
        <f t="shared" si="105"/>
        <v>1</v>
      </c>
      <c r="AU154" s="3">
        <f t="shared" si="106"/>
        <v>30</v>
      </c>
      <c r="AW154" s="32">
        <f t="shared" ca="1" si="107"/>
        <v>6674.2318036997094</v>
      </c>
      <c r="AX154" s="32">
        <f t="shared" si="108"/>
        <v>0</v>
      </c>
      <c r="AY154" s="32">
        <f t="shared" ca="1" si="109"/>
        <v>6674.2318036997094</v>
      </c>
      <c r="BA154" s="32">
        <f ca="1">IF($A155="","",F154*Summary!$Q$10)</f>
        <v>0</v>
      </c>
      <c r="BC154" s="256">
        <f t="shared" ca="1" si="112"/>
        <v>0</v>
      </c>
    </row>
    <row r="155" spans="1:55">
      <c r="A155" s="67">
        <f t="shared" si="110"/>
        <v>41456</v>
      </c>
      <c r="B155" s="69">
        <f t="shared" si="113"/>
        <v>119740</v>
      </c>
      <c r="C155" s="71"/>
      <c r="D155" s="69">
        <f t="shared" si="76"/>
        <v>119740</v>
      </c>
      <c r="E155" s="70">
        <f t="shared" si="77"/>
        <v>3711940</v>
      </c>
      <c r="F155" s="70">
        <f t="shared" ca="1" si="78"/>
        <v>1136591.8429371042</v>
      </c>
      <c r="G155" s="63">
        <f t="shared" si="79"/>
        <v>4.53</v>
      </c>
      <c r="H155" s="64">
        <f t="shared" si="80"/>
        <v>4.53</v>
      </c>
      <c r="I155" s="43"/>
      <c r="J155" s="63">
        <f t="shared" si="81"/>
        <v>0.18</v>
      </c>
      <c r="K155" s="64">
        <f t="shared" si="82"/>
        <v>0.18</v>
      </c>
      <c r="L155" s="38">
        <v>0</v>
      </c>
      <c r="M155" s="64">
        <f t="shared" si="83"/>
        <v>0</v>
      </c>
      <c r="N155" s="65"/>
      <c r="O155" s="63">
        <f t="shared" si="84"/>
        <v>4.71</v>
      </c>
      <c r="P155" s="63">
        <f t="shared" si="85"/>
        <v>4.71</v>
      </c>
      <c r="Q155" s="66"/>
      <c r="R155" s="63">
        <f t="shared" si="86"/>
        <v>0.21</v>
      </c>
      <c r="S155" s="64">
        <f t="shared" si="87"/>
        <v>0.21</v>
      </c>
      <c r="T155" s="63">
        <f t="shared" si="88"/>
        <v>0</v>
      </c>
      <c r="U155" s="64">
        <f t="shared" si="89"/>
        <v>0</v>
      </c>
      <c r="V155" s="219">
        <f>IF($A156="","",IF(AND(MONTH(A155)&gt;3,MONTH(A155)&lt;11),(T155+R155+G155)*Summary!$T$10/(1-Summary!$T$10),(T155+R155+G155)*Summary!$U$10/(1-Summary!$U$10)))</f>
        <v>3.8225806451612908E-2</v>
      </c>
      <c r="W155" s="63">
        <f t="shared" si="90"/>
        <v>4.778225806451613</v>
      </c>
      <c r="X155" s="63">
        <f t="shared" si="91"/>
        <v>4.778225806451613</v>
      </c>
      <c r="Y155" s="43"/>
      <c r="Z155" s="38">
        <f t="shared" si="92"/>
        <v>0.55000000000000004</v>
      </c>
      <c r="AA155" s="38">
        <f t="shared" si="93"/>
        <v>0.17</v>
      </c>
      <c r="AB155" s="38">
        <f t="shared" ca="1" si="94"/>
        <v>0.17310381936834818</v>
      </c>
      <c r="AC155" s="38">
        <f t="shared" si="95"/>
        <v>0.55000000000000004</v>
      </c>
      <c r="AD155" s="38">
        <f t="shared" si="95"/>
        <v>0.17</v>
      </c>
      <c r="AE155" s="38">
        <f t="shared" ca="1" si="96"/>
        <v>0.17310381936834818</v>
      </c>
      <c r="AF155" s="237">
        <f ca="1">((Summary!$N$10*(AA155*AD155)*(A155-$D$3))+(Summary!$M$10*Z155*AC155*(AJ155-EOMONTH(EDATE(A155,-1),0))))/(AK155*AB155*AE155)</f>
        <v>0.99990353215741656</v>
      </c>
      <c r="AG155" s="88">
        <f>IF($A156="","",Summary!$Q$10)</f>
        <v>0</v>
      </c>
      <c r="AH155" s="88">
        <f>IF($A156="","",IF(Summary!$R$10="Y",(VLOOKUP($A155,Summary!$AD$6:$AF$9,3)+'Escalating commodity'!F168),'Escalating commodity'!F168))</f>
        <v>1.5820799999999999E-2</v>
      </c>
      <c r="AI155" s="88">
        <f t="shared" si="111"/>
        <v>1.5820799999999999E-2</v>
      </c>
      <c r="AJ155" s="236">
        <f t="shared" si="97"/>
        <v>41470.5</v>
      </c>
      <c r="AK155" s="58">
        <f t="shared" ca="1" si="98"/>
        <v>4430</v>
      </c>
      <c r="AL155" s="26">
        <f ca="1">IF($A156="","",_xll.SPRDOPT(P155,X155,AI155,0,AB155,AE155,AF155,AK155,$AJ$2,0))</f>
        <v>1.907086485324009E-3</v>
      </c>
      <c r="AM155" s="89">
        <f t="shared" si="99"/>
        <v>0</v>
      </c>
      <c r="AN155" s="89">
        <f t="shared" ca="1" si="100"/>
        <v>1.907086485324009E-3</v>
      </c>
      <c r="AO155" s="3">
        <f t="shared" si="101"/>
        <v>31</v>
      </c>
      <c r="AP155" s="33">
        <f t="shared" si="102"/>
        <v>41456</v>
      </c>
      <c r="AQ155" s="58">
        <f t="shared" ca="1" si="103"/>
        <v>4430</v>
      </c>
      <c r="AR155" s="38">
        <f>'ANR OK vs ML7'!AR155</f>
        <v>0.1</v>
      </c>
      <c r="AS155" s="35">
        <f t="shared" ca="1" si="104"/>
        <v>0.30619887254026307</v>
      </c>
      <c r="AT155" s="3">
        <f t="shared" si="105"/>
        <v>1</v>
      </c>
      <c r="AU155" s="3">
        <f t="shared" si="106"/>
        <v>31</v>
      </c>
      <c r="AW155" s="32">
        <f t="shared" ca="1" si="107"/>
        <v>7078.9906083336018</v>
      </c>
      <c r="AX155" s="32">
        <f t="shared" si="108"/>
        <v>0</v>
      </c>
      <c r="AY155" s="32">
        <f t="shared" ca="1" si="109"/>
        <v>7078.9906083336018</v>
      </c>
      <c r="BA155" s="32">
        <f ca="1">IF($A156="","",F155*Summary!$Q$10)</f>
        <v>0</v>
      </c>
      <c r="BC155" s="256">
        <f t="shared" ca="1" si="112"/>
        <v>0</v>
      </c>
    </row>
    <row r="156" spans="1:55">
      <c r="A156" s="67">
        <f t="shared" si="110"/>
        <v>41487</v>
      </c>
      <c r="B156" s="69">
        <f t="shared" si="113"/>
        <v>119740</v>
      </c>
      <c r="C156" s="71"/>
      <c r="D156" s="69">
        <f t="shared" si="76"/>
        <v>119740</v>
      </c>
      <c r="E156" s="70">
        <f t="shared" si="77"/>
        <v>3711940</v>
      </c>
      <c r="F156" s="70">
        <f t="shared" ca="1" si="78"/>
        <v>1127217.494041824</v>
      </c>
      <c r="G156" s="63">
        <f t="shared" si="79"/>
        <v>4.5860000000000003</v>
      </c>
      <c r="H156" s="64">
        <f t="shared" si="80"/>
        <v>4.5860000000000003</v>
      </c>
      <c r="I156" s="43"/>
      <c r="J156" s="63">
        <f t="shared" si="81"/>
        <v>0.18</v>
      </c>
      <c r="K156" s="64">
        <f t="shared" si="82"/>
        <v>0.18</v>
      </c>
      <c r="L156" s="38">
        <v>0</v>
      </c>
      <c r="M156" s="64">
        <f t="shared" si="83"/>
        <v>0</v>
      </c>
      <c r="N156" s="65"/>
      <c r="O156" s="63">
        <f t="shared" si="84"/>
        <v>4.766</v>
      </c>
      <c r="P156" s="63">
        <f t="shared" si="85"/>
        <v>4.766</v>
      </c>
      <c r="Q156" s="66"/>
      <c r="R156" s="63">
        <f t="shared" si="86"/>
        <v>0.21</v>
      </c>
      <c r="S156" s="64">
        <f t="shared" si="87"/>
        <v>0.21</v>
      </c>
      <c r="T156" s="63">
        <f t="shared" si="88"/>
        <v>0</v>
      </c>
      <c r="U156" s="64">
        <f t="shared" si="89"/>
        <v>0</v>
      </c>
      <c r="V156" s="219">
        <f>IF($A157="","",IF(AND(MONTH(A156)&gt;3,MONTH(A156)&lt;11),(T156+R156+G156)*Summary!$T$10/(1-Summary!$T$10),(T156+R156+G156)*Summary!$U$10/(1-Summary!$U$10)))</f>
        <v>3.8677419354838719E-2</v>
      </c>
      <c r="W156" s="63">
        <f t="shared" si="90"/>
        <v>4.834677419354839</v>
      </c>
      <c r="X156" s="63">
        <f t="shared" si="91"/>
        <v>4.834677419354839</v>
      </c>
      <c r="Y156" s="43"/>
      <c r="Z156" s="38">
        <f t="shared" si="92"/>
        <v>0.6</v>
      </c>
      <c r="AA156" s="38">
        <f t="shared" si="93"/>
        <v>0.17</v>
      </c>
      <c r="AB156" s="38">
        <f t="shared" ca="1" si="94"/>
        <v>0.17365862773491639</v>
      </c>
      <c r="AC156" s="38">
        <f t="shared" si="95"/>
        <v>0.6</v>
      </c>
      <c r="AD156" s="38">
        <f t="shared" si="95"/>
        <v>0.17</v>
      </c>
      <c r="AE156" s="38">
        <f t="shared" ca="1" si="96"/>
        <v>0.17365862773491639</v>
      </c>
      <c r="AF156" s="237">
        <f ca="1">((Summary!$N$10*(AA156*AD156)*(A156-$D$3))+(Summary!$M$10*Z156*AC156*(AJ156-EOMONTH(EDATE(A156,-1),0))))/(AK156*AB156*AE156)</f>
        <v>0.99990414771823477</v>
      </c>
      <c r="AG156" s="88">
        <f>IF($A157="","",Summary!$Q$10)</f>
        <v>0</v>
      </c>
      <c r="AH156" s="88">
        <f>IF($A157="","",IF(Summary!$R$10="Y",(VLOOKUP($A156,Summary!$AD$6:$AF$9,3)+'Escalating commodity'!F169),'Escalating commodity'!F169))</f>
        <v>1.5820799999999999E-2</v>
      </c>
      <c r="AI156" s="88">
        <f t="shared" si="111"/>
        <v>1.5820799999999999E-2</v>
      </c>
      <c r="AJ156" s="236">
        <f t="shared" si="97"/>
        <v>41501.5</v>
      </c>
      <c r="AK156" s="58">
        <f t="shared" ca="1" si="98"/>
        <v>4461</v>
      </c>
      <c r="AL156" s="26">
        <f ca="1">IF($A157="","",_xll.SPRDOPT(P156,X156,AI156,0,AB156,AE156,AF156,AK156,$AJ$2,0))</f>
        <v>1.9575080902064432E-3</v>
      </c>
      <c r="AM156" s="89">
        <f t="shared" si="99"/>
        <v>0</v>
      </c>
      <c r="AN156" s="89">
        <f t="shared" ca="1" si="100"/>
        <v>1.9575080902064432E-3</v>
      </c>
      <c r="AO156" s="3">
        <f t="shared" si="101"/>
        <v>31</v>
      </c>
      <c r="AP156" s="33">
        <f t="shared" si="102"/>
        <v>41487</v>
      </c>
      <c r="AQ156" s="58">
        <f t="shared" ca="1" si="103"/>
        <v>4461</v>
      </c>
      <c r="AR156" s="38">
        <f>'ANR OK vs ML7'!AR156</f>
        <v>0.1</v>
      </c>
      <c r="AS156" s="35">
        <f t="shared" ca="1" si="104"/>
        <v>0.30367341445223361</v>
      </c>
      <c r="AT156" s="3">
        <f t="shared" si="105"/>
        <v>1</v>
      </c>
      <c r="AU156" s="3">
        <f t="shared" si="106"/>
        <v>31</v>
      </c>
      <c r="AW156" s="32">
        <f t="shared" ca="1" si="107"/>
        <v>7266.1525803609047</v>
      </c>
      <c r="AX156" s="32">
        <f t="shared" si="108"/>
        <v>0</v>
      </c>
      <c r="AY156" s="32">
        <f t="shared" ca="1" si="109"/>
        <v>7266.1525803609047</v>
      </c>
      <c r="BA156" s="32">
        <f ca="1">IF($A157="","",F156*Summary!$Q$10)</f>
        <v>0</v>
      </c>
      <c r="BC156" s="256">
        <f t="shared" ca="1" si="112"/>
        <v>0</v>
      </c>
    </row>
    <row r="157" spans="1:55">
      <c r="A157" s="67">
        <f t="shared" si="110"/>
        <v>41518</v>
      </c>
      <c r="B157" s="69">
        <f t="shared" si="113"/>
        <v>119740</v>
      </c>
      <c r="C157" s="71"/>
      <c r="D157" s="69">
        <f t="shared" si="76"/>
        <v>119740</v>
      </c>
      <c r="E157" s="70">
        <f t="shared" si="77"/>
        <v>3592200</v>
      </c>
      <c r="F157" s="70">
        <f t="shared" ca="1" si="78"/>
        <v>1081858.5122193429</v>
      </c>
      <c r="G157" s="63">
        <f t="shared" si="79"/>
        <v>4.5999999999999996</v>
      </c>
      <c r="H157" s="64">
        <f t="shared" si="80"/>
        <v>4.5999999999999996</v>
      </c>
      <c r="I157" s="43"/>
      <c r="J157" s="63">
        <f t="shared" si="81"/>
        <v>0.18</v>
      </c>
      <c r="K157" s="64">
        <f t="shared" si="82"/>
        <v>0.18</v>
      </c>
      <c r="L157" s="38">
        <v>0</v>
      </c>
      <c r="M157" s="64">
        <f t="shared" si="83"/>
        <v>0</v>
      </c>
      <c r="N157" s="65"/>
      <c r="O157" s="63">
        <f t="shared" si="84"/>
        <v>4.7799999999999994</v>
      </c>
      <c r="P157" s="63">
        <f t="shared" si="85"/>
        <v>4.7799999999999994</v>
      </c>
      <c r="Q157" s="66"/>
      <c r="R157" s="63">
        <f t="shared" si="86"/>
        <v>0.21</v>
      </c>
      <c r="S157" s="64">
        <f t="shared" si="87"/>
        <v>0.21</v>
      </c>
      <c r="T157" s="63">
        <f t="shared" si="88"/>
        <v>0</v>
      </c>
      <c r="U157" s="64">
        <f t="shared" si="89"/>
        <v>0</v>
      </c>
      <c r="V157" s="219">
        <f>IF($A158="","",IF(AND(MONTH(A157)&gt;3,MONTH(A157)&lt;11),(T157+R157+G157)*Summary!$T$10/(1-Summary!$T$10),(T157+R157+G157)*Summary!$U$10/(1-Summary!$U$10)))</f>
        <v>3.8790322580645159E-2</v>
      </c>
      <c r="W157" s="63">
        <f t="shared" si="90"/>
        <v>4.848790322580645</v>
      </c>
      <c r="X157" s="63">
        <f t="shared" si="91"/>
        <v>4.848790322580645</v>
      </c>
      <c r="Y157" s="43"/>
      <c r="Z157" s="38">
        <f t="shared" si="92"/>
        <v>0.6</v>
      </c>
      <c r="AA157" s="38">
        <f t="shared" si="93"/>
        <v>0.17</v>
      </c>
      <c r="AB157" s="38">
        <f t="shared" ca="1" si="94"/>
        <v>0.17351821458429095</v>
      </c>
      <c r="AC157" s="38">
        <f t="shared" si="95"/>
        <v>0.6</v>
      </c>
      <c r="AD157" s="38">
        <f t="shared" si="95"/>
        <v>0.17</v>
      </c>
      <c r="AE157" s="38">
        <f t="shared" ca="1" si="96"/>
        <v>0.17351821458429095</v>
      </c>
      <c r="AF157" s="237">
        <f ca="1">((Summary!$N$10*(AA157*AD157)*(A157-$D$3))+(Summary!$M$10*Z157*AC157*(AJ157-EOMONTH(EDATE(A157,-1),0))))/(AK157*AB157*AE157)</f>
        <v>0.9999039926741824</v>
      </c>
      <c r="AG157" s="88">
        <f>IF($A158="","",Summary!$Q$10)</f>
        <v>0</v>
      </c>
      <c r="AH157" s="88">
        <f>IF($A158="","",IF(Summary!$R$10="Y",(VLOOKUP($A157,Summary!$AD$6:$AF$9,3)+'Escalating commodity'!F170),'Escalating commodity'!F170))</f>
        <v>1.5820799999999999E-2</v>
      </c>
      <c r="AI157" s="88">
        <f t="shared" si="111"/>
        <v>1.5820799999999999E-2</v>
      </c>
      <c r="AJ157" s="236">
        <f t="shared" si="97"/>
        <v>41532</v>
      </c>
      <c r="AK157" s="58">
        <f t="shared" ca="1" si="98"/>
        <v>4492</v>
      </c>
      <c r="AL157" s="26">
        <f ca="1">IF($A158="","",_xll.SPRDOPT(P157,X157,AI157,0,AB157,AE157,AF157,AK157,$AJ$2,0))</f>
        <v>1.9805386596348888E-3</v>
      </c>
      <c r="AM157" s="89">
        <f t="shared" si="99"/>
        <v>0</v>
      </c>
      <c r="AN157" s="89">
        <f t="shared" ca="1" si="100"/>
        <v>1.9805386596348888E-3</v>
      </c>
      <c r="AO157" s="3">
        <f t="shared" si="101"/>
        <v>30</v>
      </c>
      <c r="AP157" s="33">
        <f t="shared" si="102"/>
        <v>41518</v>
      </c>
      <c r="AQ157" s="58">
        <f t="shared" ca="1" si="103"/>
        <v>4492</v>
      </c>
      <c r="AR157" s="38">
        <f>'ANR OK vs ML7'!AR157</f>
        <v>0.1</v>
      </c>
      <c r="AS157" s="35">
        <f t="shared" ca="1" si="104"/>
        <v>0.30116878576341599</v>
      </c>
      <c r="AT157" s="3">
        <f t="shared" si="105"/>
        <v>1</v>
      </c>
      <c r="AU157" s="3">
        <f t="shared" si="106"/>
        <v>30</v>
      </c>
      <c r="AW157" s="32">
        <f t="shared" ca="1" si="107"/>
        <v>7114.4909731404477</v>
      </c>
      <c r="AX157" s="32">
        <f t="shared" si="108"/>
        <v>0</v>
      </c>
      <c r="AY157" s="32">
        <f t="shared" ca="1" si="109"/>
        <v>7114.4909731404477</v>
      </c>
      <c r="BA157" s="32">
        <f ca="1">IF($A158="","",F157*Summary!$Q$10)</f>
        <v>0</v>
      </c>
      <c r="BC157" s="256">
        <f t="shared" ca="1" si="112"/>
        <v>0</v>
      </c>
    </row>
    <row r="158" spans="1:55">
      <c r="A158" s="67">
        <f t="shared" si="110"/>
        <v>41548</v>
      </c>
      <c r="B158" s="69">
        <f t="shared" si="113"/>
        <v>119740</v>
      </c>
      <c r="C158" s="71"/>
      <c r="D158" s="69">
        <f t="shared" si="76"/>
        <v>119740</v>
      </c>
      <c r="E158" s="70">
        <f t="shared" si="77"/>
        <v>3711940</v>
      </c>
      <c r="F158" s="70">
        <f t="shared" ca="1" si="78"/>
        <v>1108996.3513063991</v>
      </c>
      <c r="G158" s="63">
        <f t="shared" si="79"/>
        <v>4.6310000000000002</v>
      </c>
      <c r="H158" s="64">
        <f t="shared" si="80"/>
        <v>4.6310000000000002</v>
      </c>
      <c r="I158" s="43"/>
      <c r="J158" s="63">
        <f t="shared" si="81"/>
        <v>0.18</v>
      </c>
      <c r="K158" s="64">
        <f t="shared" si="82"/>
        <v>0.18</v>
      </c>
      <c r="L158" s="38">
        <v>0</v>
      </c>
      <c r="M158" s="64">
        <f t="shared" si="83"/>
        <v>0</v>
      </c>
      <c r="N158" s="65"/>
      <c r="O158" s="63">
        <f t="shared" si="84"/>
        <v>4.8109999999999999</v>
      </c>
      <c r="P158" s="63">
        <f t="shared" si="85"/>
        <v>4.8109999999999999</v>
      </c>
      <c r="Q158" s="66"/>
      <c r="R158" s="63">
        <f t="shared" si="86"/>
        <v>0.21</v>
      </c>
      <c r="S158" s="64">
        <f t="shared" si="87"/>
        <v>0.21</v>
      </c>
      <c r="T158" s="63">
        <f t="shared" si="88"/>
        <v>0</v>
      </c>
      <c r="U158" s="64">
        <f t="shared" si="89"/>
        <v>0</v>
      </c>
      <c r="V158" s="219">
        <f>IF($A159="","",IF(AND(MONTH(A158)&gt;3,MONTH(A158)&lt;11),(T158+R158+G158)*Summary!$T$10/(1-Summary!$T$10),(T158+R158+G158)*Summary!$U$10/(1-Summary!$U$10)))</f>
        <v>3.9040322580645166E-2</v>
      </c>
      <c r="W158" s="63">
        <f t="shared" si="90"/>
        <v>4.880040322580645</v>
      </c>
      <c r="X158" s="63">
        <f t="shared" si="91"/>
        <v>4.880040322580645</v>
      </c>
      <c r="Y158" s="43"/>
      <c r="Z158" s="38">
        <f t="shared" si="92"/>
        <v>0.65</v>
      </c>
      <c r="AA158" s="38">
        <f t="shared" si="93"/>
        <v>0.17</v>
      </c>
      <c r="AB158" s="38">
        <f t="shared" ca="1" si="94"/>
        <v>0.17422568317437101</v>
      </c>
      <c r="AC158" s="38">
        <f t="shared" si="95"/>
        <v>0.65</v>
      </c>
      <c r="AD158" s="38">
        <f t="shared" si="95"/>
        <v>0.17</v>
      </c>
      <c r="AE158" s="38">
        <f t="shared" ca="1" si="96"/>
        <v>0.17422568317437101</v>
      </c>
      <c r="AF158" s="237">
        <f ca="1">((Summary!$N$10*(AA158*AD158)*(A158-$D$3))+(Summary!$M$10*Z158*AC158*(AJ158-EOMONTH(EDATE(A158,-1),0))))/(AK158*AB158*AE158)</f>
        <v>0.99990477093501562</v>
      </c>
      <c r="AG158" s="88">
        <f>IF($A159="","",Summary!$Q$10)</f>
        <v>0</v>
      </c>
      <c r="AH158" s="88">
        <f>IF($A159="","",IF(Summary!$R$10="Y",(VLOOKUP($A158,Summary!$AD$6:$AF$9,3)+'Escalating commodity'!F171),'Escalating commodity'!F171))</f>
        <v>1.5820799999999999E-2</v>
      </c>
      <c r="AI158" s="88">
        <f t="shared" si="111"/>
        <v>1.5820799999999999E-2</v>
      </c>
      <c r="AJ158" s="236">
        <f t="shared" si="97"/>
        <v>41562.5</v>
      </c>
      <c r="AK158" s="58">
        <f t="shared" ca="1" si="98"/>
        <v>4522</v>
      </c>
      <c r="AL158" s="26">
        <f ca="1">IF($A159="","",_xll.SPRDOPT(P158,X158,AI158,0,AB158,AE158,AF158,AK158,$AJ$2,0))</f>
        <v>2.0148314018688142E-3</v>
      </c>
      <c r="AM158" s="89">
        <f t="shared" si="99"/>
        <v>0</v>
      </c>
      <c r="AN158" s="89">
        <f t="shared" ca="1" si="100"/>
        <v>2.0148314018688142E-3</v>
      </c>
      <c r="AO158" s="3">
        <f t="shared" si="101"/>
        <v>31</v>
      </c>
      <c r="AP158" s="33">
        <f t="shared" si="102"/>
        <v>41548</v>
      </c>
      <c r="AQ158" s="58">
        <f t="shared" ca="1" si="103"/>
        <v>4522</v>
      </c>
      <c r="AR158" s="38">
        <f>'ANR OK vs ML7'!AR158</f>
        <v>0.1</v>
      </c>
      <c r="AS158" s="35">
        <f t="shared" ca="1" si="104"/>
        <v>0.29876462208613264</v>
      </c>
      <c r="AT158" s="3">
        <f t="shared" si="105"/>
        <v>1</v>
      </c>
      <c r="AU158" s="3">
        <f t="shared" si="106"/>
        <v>31</v>
      </c>
      <c r="AW158" s="32">
        <f t="shared" ca="1" si="107"/>
        <v>7478.9332738529265</v>
      </c>
      <c r="AX158" s="32">
        <f t="shared" si="108"/>
        <v>0</v>
      </c>
      <c r="AY158" s="32">
        <f t="shared" ca="1" si="109"/>
        <v>7478.9332738529265</v>
      </c>
      <c r="BA158" s="32">
        <f ca="1">IF($A159="","",F158*Summary!$Q$10)</f>
        <v>0</v>
      </c>
      <c r="BC158" s="256">
        <f t="shared" ca="1" si="112"/>
        <v>0</v>
      </c>
    </row>
    <row r="159" spans="1:55">
      <c r="A159" s="67">
        <f t="shared" si="110"/>
        <v>41579</v>
      </c>
      <c r="B159" s="69">
        <f t="shared" si="113"/>
        <v>119740</v>
      </c>
      <c r="C159" s="71"/>
      <c r="D159" s="69">
        <f t="shared" si="76"/>
        <v>119740</v>
      </c>
      <c r="E159" s="70">
        <f t="shared" si="77"/>
        <v>3592200</v>
      </c>
      <c r="F159" s="70">
        <f t="shared" ca="1" si="78"/>
        <v>1064370.584224188</v>
      </c>
      <c r="G159" s="63">
        <f t="shared" si="79"/>
        <v>4.7640000000000002</v>
      </c>
      <c r="H159" s="64">
        <f t="shared" si="80"/>
        <v>4.7640000000000002</v>
      </c>
      <c r="I159" s="43"/>
      <c r="J159" s="63">
        <f t="shared" si="81"/>
        <v>0.27500000000000002</v>
      </c>
      <c r="K159" s="64">
        <f t="shared" si="82"/>
        <v>0.27500000000000002</v>
      </c>
      <c r="L159" s="38">
        <v>0</v>
      </c>
      <c r="M159" s="64">
        <f t="shared" si="83"/>
        <v>0</v>
      </c>
      <c r="N159" s="65"/>
      <c r="O159" s="63">
        <f t="shared" si="84"/>
        <v>5.0390000000000006</v>
      </c>
      <c r="P159" s="63">
        <f t="shared" si="85"/>
        <v>5.0390000000000006</v>
      </c>
      <c r="Q159" s="66"/>
      <c r="R159" s="63">
        <f t="shared" si="86"/>
        <v>0.32500000000000001</v>
      </c>
      <c r="S159" s="64">
        <f t="shared" si="87"/>
        <v>0.32500000000000001</v>
      </c>
      <c r="T159" s="63">
        <f t="shared" si="88"/>
        <v>0</v>
      </c>
      <c r="U159" s="64">
        <f t="shared" si="89"/>
        <v>0</v>
      </c>
      <c r="V159" s="219">
        <f>IF($A160="","",IF(AND(MONTH(A159)&gt;3,MONTH(A159)&lt;11),(T159+R159+G159)*Summary!$T$10/(1-Summary!$T$10),(T159+R159+G159)*Summary!$U$10/(1-Summary!$U$10)))</f>
        <v>4.1040322580645168E-2</v>
      </c>
      <c r="W159" s="63">
        <f t="shared" si="90"/>
        <v>5.1300403225806459</v>
      </c>
      <c r="X159" s="63">
        <f t="shared" si="91"/>
        <v>5.1300403225806459</v>
      </c>
      <c r="Y159" s="43"/>
      <c r="Z159" s="38">
        <f t="shared" si="92"/>
        <v>0.8</v>
      </c>
      <c r="AA159" s="38">
        <f t="shared" si="93"/>
        <v>0.17</v>
      </c>
      <c r="AB159" s="38">
        <f t="shared" ca="1" si="94"/>
        <v>0.17611032721959655</v>
      </c>
      <c r="AC159" s="38">
        <f t="shared" si="95"/>
        <v>0.8</v>
      </c>
      <c r="AD159" s="38">
        <f t="shared" si="95"/>
        <v>0.17</v>
      </c>
      <c r="AE159" s="38">
        <f t="shared" ca="1" si="96"/>
        <v>0.17611032721959655</v>
      </c>
      <c r="AF159" s="237">
        <f ca="1">((Summary!$N$10*(AA159*AD159)*(A159-$D$3))+(Summary!$M$10*Z159*AC159*(AJ159-EOMONTH(EDATE(A159,-1),0))))/(AK159*AB159*AE159)</f>
        <v>0.99990679835649765</v>
      </c>
      <c r="AG159" s="88">
        <f>IF($A160="","",Summary!$Q$10)</f>
        <v>0</v>
      </c>
      <c r="AH159" s="88">
        <f>IF($A160="","",IF(Summary!$R$10="Y",(VLOOKUP($A159,Summary!$AD$6:$AF$9,3)+'Escalating commodity'!F172),'Escalating commodity'!F172))</f>
        <v>1.5820799999999999E-2</v>
      </c>
      <c r="AI159" s="88">
        <f t="shared" si="111"/>
        <v>1.5820799999999999E-2</v>
      </c>
      <c r="AJ159" s="236">
        <f t="shared" si="97"/>
        <v>41593</v>
      </c>
      <c r="AK159" s="58">
        <f t="shared" ca="1" si="98"/>
        <v>4553</v>
      </c>
      <c r="AL159" s="26">
        <f ca="1">IF($A160="","",_xll.SPRDOPT(P159,X159,AI159,0,AB159,AE159,AF159,AK159,$AJ$2,0))</f>
        <v>1.7219969192999486E-3</v>
      </c>
      <c r="AM159" s="89">
        <f t="shared" si="99"/>
        <v>0</v>
      </c>
      <c r="AN159" s="89">
        <f t="shared" ca="1" si="100"/>
        <v>1.7219969192999486E-3</v>
      </c>
      <c r="AO159" s="3">
        <f t="shared" si="101"/>
        <v>30</v>
      </c>
      <c r="AP159" s="33">
        <f t="shared" si="102"/>
        <v>41579</v>
      </c>
      <c r="AQ159" s="58">
        <f t="shared" ca="1" si="103"/>
        <v>4553</v>
      </c>
      <c r="AR159" s="38">
        <f>'ANR OK vs ML7'!AR159</f>
        <v>0.1</v>
      </c>
      <c r="AS159" s="35">
        <f t="shared" ca="1" si="104"/>
        <v>0.29630047999114412</v>
      </c>
      <c r="AT159" s="3">
        <f t="shared" si="105"/>
        <v>1</v>
      </c>
      <c r="AU159" s="3">
        <f t="shared" si="106"/>
        <v>30</v>
      </c>
      <c r="AW159" s="32">
        <f t="shared" ca="1" si="107"/>
        <v>6185.7573335092757</v>
      </c>
      <c r="AX159" s="32">
        <f t="shared" si="108"/>
        <v>0</v>
      </c>
      <c r="AY159" s="32">
        <f t="shared" ca="1" si="109"/>
        <v>6185.7573335092757</v>
      </c>
      <c r="BA159" s="32">
        <f ca="1">IF($A160="","",F159*Summary!$Q$10)</f>
        <v>0</v>
      </c>
      <c r="BC159" s="256">
        <f t="shared" ca="1" si="112"/>
        <v>0</v>
      </c>
    </row>
    <row r="160" spans="1:55">
      <c r="A160" s="67">
        <f t="shared" si="110"/>
        <v>41609</v>
      </c>
      <c r="B160" s="69">
        <f t="shared" si="113"/>
        <v>119740</v>
      </c>
      <c r="C160" s="71"/>
      <c r="D160" s="69">
        <f t="shared" si="76"/>
        <v>119740</v>
      </c>
      <c r="E160" s="70">
        <f t="shared" si="77"/>
        <v>3711940</v>
      </c>
      <c r="F160" s="70">
        <f t="shared" ca="1" si="78"/>
        <v>1091069.7480403667</v>
      </c>
      <c r="G160" s="63">
        <f t="shared" si="79"/>
        <v>4.9020000000000001</v>
      </c>
      <c r="H160" s="64">
        <f t="shared" si="80"/>
        <v>4.9020000000000001</v>
      </c>
      <c r="I160" s="43"/>
      <c r="J160" s="63">
        <f t="shared" si="81"/>
        <v>0.27500000000000002</v>
      </c>
      <c r="K160" s="64">
        <f t="shared" si="82"/>
        <v>0.27500000000000002</v>
      </c>
      <c r="L160" s="38">
        <v>0</v>
      </c>
      <c r="M160" s="64">
        <f t="shared" si="83"/>
        <v>0</v>
      </c>
      <c r="N160" s="65"/>
      <c r="O160" s="63">
        <f t="shared" si="84"/>
        <v>5.1770000000000005</v>
      </c>
      <c r="P160" s="63">
        <f t="shared" si="85"/>
        <v>5.1770000000000005</v>
      </c>
      <c r="Q160" s="66"/>
      <c r="R160" s="63">
        <f t="shared" si="86"/>
        <v>0.32500000000000001</v>
      </c>
      <c r="S160" s="64">
        <f t="shared" si="87"/>
        <v>0.32500000000000001</v>
      </c>
      <c r="T160" s="63">
        <f t="shared" si="88"/>
        <v>0</v>
      </c>
      <c r="U160" s="64">
        <f t="shared" si="89"/>
        <v>0</v>
      </c>
      <c r="V160" s="219">
        <f>IF($A161="","",IF(AND(MONTH(A160)&gt;3,MONTH(A160)&lt;11),(T160+R160+G160)*Summary!$T$10/(1-Summary!$T$10),(T160+R160+G160)*Summary!$U$10/(1-Summary!$U$10)))</f>
        <v>4.2153225806451616E-2</v>
      </c>
      <c r="W160" s="63">
        <f t="shared" si="90"/>
        <v>5.269153225806452</v>
      </c>
      <c r="X160" s="63">
        <f t="shared" si="91"/>
        <v>5.269153225806452</v>
      </c>
      <c r="Y160" s="43"/>
      <c r="Z160" s="38">
        <f t="shared" si="92"/>
        <v>1.1000000000000001</v>
      </c>
      <c r="AA160" s="38">
        <f t="shared" si="93"/>
        <v>0.17</v>
      </c>
      <c r="AB160" s="38">
        <f t="shared" ca="1" si="94"/>
        <v>0.18165517756123148</v>
      </c>
      <c r="AC160" s="38">
        <f t="shared" si="95"/>
        <v>1.1000000000000001</v>
      </c>
      <c r="AD160" s="38">
        <f t="shared" si="95"/>
        <v>0.17</v>
      </c>
      <c r="AE160" s="38">
        <f t="shared" ca="1" si="96"/>
        <v>0.18165517756123148</v>
      </c>
      <c r="AF160" s="237">
        <f ca="1">((Summary!$N$10*(AA160*AD160)*(A160-$D$3))+(Summary!$M$10*Z160*AC160*(AJ160-EOMONTH(EDATE(A160,-1),0))))/(AK160*AB160*AE160)</f>
        <v>0.99991240142667659</v>
      </c>
      <c r="AG160" s="88">
        <f>IF($A161="","",Summary!$Q$10)</f>
        <v>0</v>
      </c>
      <c r="AH160" s="88">
        <f>IF($A161="","",IF(Summary!$R$10="Y",(VLOOKUP($A160,Summary!$AD$6:$AF$9,3)+'Escalating commodity'!F173),'Escalating commodity'!F173))</f>
        <v>1.5820799999999999E-2</v>
      </c>
      <c r="AI160" s="88">
        <f t="shared" si="111"/>
        <v>1.5820799999999999E-2</v>
      </c>
      <c r="AJ160" s="236">
        <f t="shared" si="97"/>
        <v>41623.5</v>
      </c>
      <c r="AK160" s="58">
        <f t="shared" ca="1" si="98"/>
        <v>4583</v>
      </c>
      <c r="AL160" s="26">
        <f ca="1">IF($A161="","",_xll.SPRDOPT(P160,X160,AI160,0,AB160,AE160,AF160,AK160,$AJ$2,0))</f>
        <v>1.8340865541898316E-3</v>
      </c>
      <c r="AM160" s="89">
        <f t="shared" si="99"/>
        <v>0</v>
      </c>
      <c r="AN160" s="89">
        <f t="shared" ca="1" si="100"/>
        <v>1.8340865541898316E-3</v>
      </c>
      <c r="AO160" s="3">
        <f t="shared" si="101"/>
        <v>31</v>
      </c>
      <c r="AP160" s="33">
        <f t="shared" si="102"/>
        <v>41609</v>
      </c>
      <c r="AQ160" s="58">
        <f t="shared" ca="1" si="103"/>
        <v>4583</v>
      </c>
      <c r="AR160" s="38">
        <f>'ANR OK vs ML7'!AR160</f>
        <v>0.1</v>
      </c>
      <c r="AS160" s="35">
        <f t="shared" ca="1" si="104"/>
        <v>0.29393517892001669</v>
      </c>
      <c r="AT160" s="3">
        <f t="shared" si="105"/>
        <v>1</v>
      </c>
      <c r="AU160" s="3">
        <f t="shared" si="106"/>
        <v>31</v>
      </c>
      <c r="AW160" s="32">
        <f t="shared" ca="1" si="107"/>
        <v>6808.0192439594039</v>
      </c>
      <c r="AX160" s="32">
        <f t="shared" si="108"/>
        <v>0</v>
      </c>
      <c r="AY160" s="32">
        <f t="shared" ca="1" si="109"/>
        <v>6808.0192439594039</v>
      </c>
      <c r="BA160" s="32">
        <f ca="1">IF($A161="","",F160*Summary!$Q$10)</f>
        <v>0</v>
      </c>
      <c r="BC160" s="256">
        <f t="shared" ca="1" si="112"/>
        <v>0</v>
      </c>
    </row>
    <row r="161" spans="1:55">
      <c r="A161" s="67">
        <f t="shared" si="110"/>
        <v>41640</v>
      </c>
      <c r="B161" s="69">
        <f t="shared" si="113"/>
        <v>119740</v>
      </c>
      <c r="C161" s="71"/>
      <c r="D161" s="69">
        <f t="shared" si="76"/>
        <v>119740</v>
      </c>
      <c r="E161" s="70">
        <f t="shared" si="77"/>
        <v>3711940</v>
      </c>
      <c r="F161" s="70">
        <f t="shared" ca="1" si="78"/>
        <v>1082070.8549453879</v>
      </c>
      <c r="G161" s="63">
        <f t="shared" si="79"/>
        <v>4.9540000000000006</v>
      </c>
      <c r="H161" s="64">
        <f t="shared" si="80"/>
        <v>4.9540000000000006</v>
      </c>
      <c r="I161" s="43"/>
      <c r="J161" s="63">
        <f t="shared" si="81"/>
        <v>0.27500000000000002</v>
      </c>
      <c r="K161" s="64">
        <f t="shared" si="82"/>
        <v>0.27500000000000002</v>
      </c>
      <c r="L161" s="38">
        <v>0</v>
      </c>
      <c r="M161" s="64">
        <f t="shared" si="83"/>
        <v>0</v>
      </c>
      <c r="N161" s="65"/>
      <c r="O161" s="63">
        <f t="shared" si="84"/>
        <v>5.229000000000001</v>
      </c>
      <c r="P161" s="63">
        <f t="shared" si="85"/>
        <v>5.229000000000001</v>
      </c>
      <c r="Q161" s="66"/>
      <c r="R161" s="63">
        <f t="shared" si="86"/>
        <v>0.32500000000000001</v>
      </c>
      <c r="S161" s="64">
        <f t="shared" si="87"/>
        <v>0.32500000000000001</v>
      </c>
      <c r="T161" s="63">
        <f t="shared" si="88"/>
        <v>0</v>
      </c>
      <c r="U161" s="64">
        <f t="shared" si="89"/>
        <v>0</v>
      </c>
      <c r="V161" s="219">
        <f>IF($A162="","",IF(AND(MONTH(A161)&gt;3,MONTH(A161)&lt;11),(T161+R161+G161)*Summary!$T$10/(1-Summary!$T$10),(T161+R161+G161)*Summary!$U$10/(1-Summary!$U$10)))</f>
        <v>4.2572580645161298E-2</v>
      </c>
      <c r="W161" s="63">
        <f t="shared" si="90"/>
        <v>5.3215725806451619</v>
      </c>
      <c r="X161" s="63">
        <f t="shared" si="91"/>
        <v>5.3215725806451619</v>
      </c>
      <c r="Y161" s="43"/>
      <c r="Z161" s="38">
        <f t="shared" si="92"/>
        <v>1.1000000000000001</v>
      </c>
      <c r="AA161" s="38">
        <f t="shared" si="93"/>
        <v>0.17</v>
      </c>
      <c r="AB161" s="38">
        <f t="shared" ca="1" si="94"/>
        <v>0.18157936644865785</v>
      </c>
      <c r="AC161" s="38">
        <f t="shared" si="95"/>
        <v>1.1000000000000001</v>
      </c>
      <c r="AD161" s="38">
        <f t="shared" si="95"/>
        <v>0.17</v>
      </c>
      <c r="AE161" s="38">
        <f t="shared" ca="1" si="96"/>
        <v>0.18157936644865785</v>
      </c>
      <c r="AF161" s="237">
        <f ca="1">((Summary!$N$10*(AA161*AD161)*(A161-$D$3))+(Summary!$M$10*Z161*AC161*(AJ161-EOMONTH(EDATE(A161,-1),0))))/(AK161*AB161*AE161)</f>
        <v>0.99991232839343069</v>
      </c>
      <c r="AG161" s="88">
        <f>IF($A162="","",Summary!$Q$10)</f>
        <v>0</v>
      </c>
      <c r="AH161" s="88">
        <f>IF($A162="","",IF(Summary!$R$10="Y",(VLOOKUP($A161,Summary!$AD$6:$AF$9,3)+'Escalating commodity'!F174),'Escalating commodity'!F174))</f>
        <v>1.5820799999999999E-2</v>
      </c>
      <c r="AI161" s="88">
        <f t="shared" si="111"/>
        <v>1.5820799999999999E-2</v>
      </c>
      <c r="AJ161" s="236">
        <f t="shared" si="97"/>
        <v>41654.5</v>
      </c>
      <c r="AK161" s="58">
        <f t="shared" ca="1" si="98"/>
        <v>4614</v>
      </c>
      <c r="AL161" s="26">
        <f ca="1">IF($A162="","",_xll.SPRDOPT(P161,X161,AI161,0,AB161,AE161,AF161,AK161,$AJ$2,0))</f>
        <v>1.8797359405393864E-3</v>
      </c>
      <c r="AM161" s="89">
        <f t="shared" si="99"/>
        <v>0</v>
      </c>
      <c r="AN161" s="89">
        <f t="shared" ca="1" si="100"/>
        <v>1.8797359405393864E-3</v>
      </c>
      <c r="AO161" s="3">
        <f t="shared" si="101"/>
        <v>31</v>
      </c>
      <c r="AP161" s="33">
        <f t="shared" si="102"/>
        <v>41640</v>
      </c>
      <c r="AQ161" s="58">
        <f t="shared" ca="1" si="103"/>
        <v>4614</v>
      </c>
      <c r="AR161" s="38">
        <f>'ANR OK vs ML7'!AR161</f>
        <v>0.1</v>
      </c>
      <c r="AS161" s="35">
        <f t="shared" ca="1" si="104"/>
        <v>0.29151086896485068</v>
      </c>
      <c r="AT161" s="3">
        <f t="shared" si="105"/>
        <v>1</v>
      </c>
      <c r="AU161" s="3">
        <f t="shared" si="106"/>
        <v>31</v>
      </c>
      <c r="AW161" s="32">
        <f t="shared" ca="1" si="107"/>
        <v>6977.4670271257701</v>
      </c>
      <c r="AX161" s="32">
        <f t="shared" si="108"/>
        <v>0</v>
      </c>
      <c r="AY161" s="32">
        <f t="shared" ca="1" si="109"/>
        <v>6977.4670271257701</v>
      </c>
      <c r="BA161" s="32">
        <f ca="1">IF($A162="","",F161*Summary!$Q$10)</f>
        <v>0</v>
      </c>
      <c r="BC161" s="256">
        <f t="shared" ca="1" si="112"/>
        <v>0</v>
      </c>
    </row>
    <row r="162" spans="1:55">
      <c r="A162" s="67">
        <f t="shared" si="110"/>
        <v>41671</v>
      </c>
      <c r="B162" s="69">
        <f t="shared" si="113"/>
        <v>119740</v>
      </c>
      <c r="C162" s="71"/>
      <c r="D162" s="69">
        <f t="shared" si="76"/>
        <v>119740</v>
      </c>
      <c r="E162" s="70">
        <f t="shared" si="77"/>
        <v>3352720</v>
      </c>
      <c r="F162" s="70">
        <f t="shared" ca="1" si="78"/>
        <v>969293.32627099473</v>
      </c>
      <c r="G162" s="63">
        <f t="shared" si="79"/>
        <v>4.8340000000000005</v>
      </c>
      <c r="H162" s="64">
        <f t="shared" si="80"/>
        <v>4.8340000000000005</v>
      </c>
      <c r="I162" s="43"/>
      <c r="J162" s="63">
        <f t="shared" si="81"/>
        <v>0.27500000000000002</v>
      </c>
      <c r="K162" s="64">
        <f t="shared" si="82"/>
        <v>0.27500000000000002</v>
      </c>
      <c r="L162" s="38">
        <v>0</v>
      </c>
      <c r="M162" s="64">
        <f t="shared" si="83"/>
        <v>0</v>
      </c>
      <c r="N162" s="65"/>
      <c r="O162" s="63">
        <f t="shared" si="84"/>
        <v>5.1090000000000009</v>
      </c>
      <c r="P162" s="63">
        <f t="shared" si="85"/>
        <v>5.1090000000000009</v>
      </c>
      <c r="Q162" s="66"/>
      <c r="R162" s="63">
        <f t="shared" si="86"/>
        <v>0.32500000000000001</v>
      </c>
      <c r="S162" s="64">
        <f t="shared" si="87"/>
        <v>0.32500000000000001</v>
      </c>
      <c r="T162" s="63">
        <f t="shared" si="88"/>
        <v>0</v>
      </c>
      <c r="U162" s="64">
        <f t="shared" si="89"/>
        <v>0</v>
      </c>
      <c r="V162" s="219">
        <f>IF($A163="","",IF(AND(MONTH(A162)&gt;3,MONTH(A162)&lt;11),(T162+R162+G162)*Summary!$T$10/(1-Summary!$T$10),(T162+R162+G162)*Summary!$U$10/(1-Summary!$U$10)))</f>
        <v>4.1604838709677426E-2</v>
      </c>
      <c r="W162" s="63">
        <f t="shared" si="90"/>
        <v>5.2006048387096779</v>
      </c>
      <c r="X162" s="63">
        <f t="shared" si="91"/>
        <v>5.2006048387096779</v>
      </c>
      <c r="Y162" s="43"/>
      <c r="Z162" s="38">
        <f t="shared" si="92"/>
        <v>1.1000000000000001</v>
      </c>
      <c r="AA162" s="38">
        <f t="shared" si="93"/>
        <v>0.17</v>
      </c>
      <c r="AB162" s="38">
        <f t="shared" ca="1" si="94"/>
        <v>0.18042492601898405</v>
      </c>
      <c r="AC162" s="38">
        <f t="shared" si="95"/>
        <v>1.1000000000000001</v>
      </c>
      <c r="AD162" s="38">
        <f t="shared" si="95"/>
        <v>0.17</v>
      </c>
      <c r="AE162" s="38">
        <f t="shared" ca="1" si="96"/>
        <v>0.18042492601898405</v>
      </c>
      <c r="AF162" s="237">
        <f ca="1">((Summary!$N$10*(AA162*AD162)*(A162-$D$3))+(Summary!$M$10*Z162*AC162*(AJ162-EOMONTH(EDATE(A162,-1),0))))/(AK162*AB162*AE162)</f>
        <v>0.99991120300722069</v>
      </c>
      <c r="AG162" s="88">
        <f>IF($A163="","",Summary!$Q$10)</f>
        <v>0</v>
      </c>
      <c r="AH162" s="88">
        <f>IF($A163="","",IF(Summary!$R$10="Y",(VLOOKUP($A162,Summary!$AD$6:$AF$9,3)+'Escalating commodity'!F175),'Escalating commodity'!F175))</f>
        <v>1.5820799999999999E-2</v>
      </c>
      <c r="AI162" s="88">
        <f t="shared" si="111"/>
        <v>1.5820799999999999E-2</v>
      </c>
      <c r="AJ162" s="236">
        <f t="shared" si="97"/>
        <v>41684</v>
      </c>
      <c r="AK162" s="58">
        <f t="shared" ca="1" si="98"/>
        <v>4645</v>
      </c>
      <c r="AL162" s="26">
        <f ca="1">IF($A163="","",_xll.SPRDOPT(P162,X162,AI162,0,AB162,AE162,AF162,AK162,$AJ$2,0))</f>
        <v>1.8167609587826684E-3</v>
      </c>
      <c r="AM162" s="89">
        <f t="shared" si="99"/>
        <v>0</v>
      </c>
      <c r="AN162" s="89">
        <f t="shared" ca="1" si="100"/>
        <v>1.8167609587826684E-3</v>
      </c>
      <c r="AO162" s="3">
        <f t="shared" si="101"/>
        <v>28</v>
      </c>
      <c r="AP162" s="33">
        <f t="shared" si="102"/>
        <v>41671</v>
      </c>
      <c r="AQ162" s="58">
        <f t="shared" ca="1" si="103"/>
        <v>4645</v>
      </c>
      <c r="AR162" s="38">
        <f>'ANR OK vs ML7'!AR162</f>
        <v>0.1</v>
      </c>
      <c r="AS162" s="35">
        <f t="shared" ca="1" si="104"/>
        <v>0.28910655416229053</v>
      </c>
      <c r="AT162" s="3">
        <f t="shared" si="105"/>
        <v>1</v>
      </c>
      <c r="AU162" s="3">
        <f t="shared" si="106"/>
        <v>28</v>
      </c>
      <c r="AW162" s="32">
        <f t="shared" ca="1" si="107"/>
        <v>6091.0908017298279</v>
      </c>
      <c r="AX162" s="32">
        <f t="shared" si="108"/>
        <v>0</v>
      </c>
      <c r="AY162" s="32">
        <f t="shared" ca="1" si="109"/>
        <v>6091.0908017298279</v>
      </c>
      <c r="BA162" s="32">
        <f ca="1">IF($A163="","",F162*Summary!$Q$10)</f>
        <v>0</v>
      </c>
      <c r="BC162" s="256">
        <f t="shared" ca="1" si="112"/>
        <v>0</v>
      </c>
    </row>
    <row r="163" spans="1:55">
      <c r="A163" s="67">
        <f t="shared" si="110"/>
        <v>41699</v>
      </c>
      <c r="B163" s="69">
        <f t="shared" si="113"/>
        <v>119740</v>
      </c>
      <c r="C163" s="71"/>
      <c r="D163" s="69">
        <f t="shared" si="76"/>
        <v>119740</v>
      </c>
      <c r="E163" s="70">
        <f t="shared" si="77"/>
        <v>3711940</v>
      </c>
      <c r="F163" s="70">
        <f t="shared" ca="1" si="78"/>
        <v>1065148.4734088688</v>
      </c>
      <c r="G163" s="63">
        <f t="shared" si="79"/>
        <v>4.6950000000000003</v>
      </c>
      <c r="H163" s="64">
        <f t="shared" si="80"/>
        <v>4.6950000000000003</v>
      </c>
      <c r="I163" s="43"/>
      <c r="J163" s="63">
        <f t="shared" si="81"/>
        <v>0.27500000000000002</v>
      </c>
      <c r="K163" s="64">
        <f t="shared" si="82"/>
        <v>0.27500000000000002</v>
      </c>
      <c r="L163" s="38">
        <v>0</v>
      </c>
      <c r="M163" s="64">
        <f t="shared" si="83"/>
        <v>0</v>
      </c>
      <c r="N163" s="65"/>
      <c r="O163" s="63">
        <f t="shared" si="84"/>
        <v>4.9700000000000006</v>
      </c>
      <c r="P163" s="63">
        <f t="shared" si="85"/>
        <v>4.9700000000000006</v>
      </c>
      <c r="Q163" s="66"/>
      <c r="R163" s="63">
        <f t="shared" si="86"/>
        <v>0.32500000000000001</v>
      </c>
      <c r="S163" s="64">
        <f t="shared" si="87"/>
        <v>0.32500000000000001</v>
      </c>
      <c r="T163" s="63">
        <f t="shared" si="88"/>
        <v>0</v>
      </c>
      <c r="U163" s="64">
        <f t="shared" si="89"/>
        <v>0</v>
      </c>
      <c r="V163" s="219">
        <f>IF($A164="","",IF(AND(MONTH(A163)&gt;3,MONTH(A163)&lt;11),(T163+R163+G163)*Summary!$T$10/(1-Summary!$T$10),(T163+R163+G163)*Summary!$U$10/(1-Summary!$U$10)))</f>
        <v>4.048387096774194E-2</v>
      </c>
      <c r="W163" s="63">
        <f t="shared" si="90"/>
        <v>5.060483870967742</v>
      </c>
      <c r="X163" s="63">
        <f t="shared" si="91"/>
        <v>5.060483870967742</v>
      </c>
      <c r="Y163" s="43"/>
      <c r="Z163" s="38">
        <f t="shared" si="92"/>
        <v>0.75</v>
      </c>
      <c r="AA163" s="38">
        <f t="shared" si="93"/>
        <v>0.17</v>
      </c>
      <c r="AB163" s="38">
        <f t="shared" ca="1" si="94"/>
        <v>0.17541937155562332</v>
      </c>
      <c r="AC163" s="38">
        <f t="shared" si="95"/>
        <v>0.75</v>
      </c>
      <c r="AD163" s="38">
        <f t="shared" si="95"/>
        <v>0.17</v>
      </c>
      <c r="AE163" s="38">
        <f t="shared" ca="1" si="96"/>
        <v>0.17541937155562332</v>
      </c>
      <c r="AF163" s="237">
        <f ca="1">((Summary!$N$10*(AA163*AD163)*(A163-$D$3))+(Summary!$M$10*Z163*AC163*(AJ163-EOMONTH(EDATE(A163,-1),0))))/(AK163*AB163*AE163)</f>
        <v>0.99990606322021969</v>
      </c>
      <c r="AG163" s="88">
        <f>IF($A164="","",Summary!$Q$10)</f>
        <v>0</v>
      </c>
      <c r="AH163" s="88">
        <f>IF($A164="","",IF(Summary!$R$10="Y",(VLOOKUP($A163,Summary!$AD$6:$AF$9,3)+'Escalating commodity'!F176),'Escalating commodity'!F176))</f>
        <v>1.5820799999999999E-2</v>
      </c>
      <c r="AI163" s="88">
        <f t="shared" si="111"/>
        <v>1.5820799999999999E-2</v>
      </c>
      <c r="AJ163" s="236">
        <f t="shared" si="97"/>
        <v>41713.5</v>
      </c>
      <c r="AK163" s="58">
        <f t="shared" ca="1" si="98"/>
        <v>4673</v>
      </c>
      <c r="AL163" s="26">
        <f ca="1">IF($A164="","",_xll.SPRDOPT(P163,X163,AI163,0,AB163,AE163,AF163,AK163,$AJ$2,0))</f>
        <v>1.7291753303402234E-3</v>
      </c>
      <c r="AM163" s="89">
        <f t="shared" si="99"/>
        <v>0</v>
      </c>
      <c r="AN163" s="89">
        <f t="shared" ca="1" si="100"/>
        <v>1.7291753303402234E-3</v>
      </c>
      <c r="AO163" s="3">
        <f t="shared" si="101"/>
        <v>31</v>
      </c>
      <c r="AP163" s="33">
        <f t="shared" si="102"/>
        <v>41699</v>
      </c>
      <c r="AQ163" s="58">
        <f t="shared" ca="1" si="103"/>
        <v>4673</v>
      </c>
      <c r="AR163" s="38">
        <f>'ANR OK vs ML7'!AR163</f>
        <v>0.1</v>
      </c>
      <c r="AS163" s="35">
        <f t="shared" ca="1" si="104"/>
        <v>0.2869519640427563</v>
      </c>
      <c r="AT163" s="3">
        <f t="shared" si="105"/>
        <v>1</v>
      </c>
      <c r="AU163" s="3">
        <f t="shared" si="106"/>
        <v>31</v>
      </c>
      <c r="AW163" s="32">
        <f t="shared" ca="1" si="107"/>
        <v>6418.5950757030887</v>
      </c>
      <c r="AX163" s="32">
        <f t="shared" si="108"/>
        <v>0</v>
      </c>
      <c r="AY163" s="32">
        <f t="shared" ca="1" si="109"/>
        <v>6418.5950757030887</v>
      </c>
      <c r="BA163" s="32">
        <f ca="1">IF($A164="","",F163*Summary!$Q$10)</f>
        <v>0</v>
      </c>
      <c r="BC163" s="256">
        <f t="shared" ca="1" si="112"/>
        <v>0</v>
      </c>
    </row>
    <row r="164" spans="1:55">
      <c r="A164" s="67">
        <f t="shared" si="110"/>
        <v>41730</v>
      </c>
      <c r="B164" s="69">
        <f t="shared" si="113"/>
        <v>119740</v>
      </c>
      <c r="C164" s="71"/>
      <c r="D164" s="69">
        <f t="shared" si="76"/>
        <v>119740</v>
      </c>
      <c r="E164" s="70">
        <f t="shared" si="77"/>
        <v>3592200</v>
      </c>
      <c r="F164" s="70">
        <f t="shared" ca="1" si="78"/>
        <v>1022287.1352030908</v>
      </c>
      <c r="G164" s="63">
        <f t="shared" si="79"/>
        <v>4.5199999999999996</v>
      </c>
      <c r="H164" s="64">
        <f t="shared" si="80"/>
        <v>4.5199999999999996</v>
      </c>
      <c r="I164" s="43"/>
      <c r="J164" s="63">
        <f t="shared" si="81"/>
        <v>0.18</v>
      </c>
      <c r="K164" s="64">
        <f t="shared" si="82"/>
        <v>0.18</v>
      </c>
      <c r="L164" s="38">
        <v>0</v>
      </c>
      <c r="M164" s="64">
        <f t="shared" si="83"/>
        <v>0</v>
      </c>
      <c r="N164" s="65"/>
      <c r="O164" s="63">
        <f t="shared" si="84"/>
        <v>4.6999999999999993</v>
      </c>
      <c r="P164" s="63">
        <f t="shared" si="85"/>
        <v>4.6999999999999993</v>
      </c>
      <c r="Q164" s="66"/>
      <c r="R164" s="63">
        <f t="shared" si="86"/>
        <v>0.21</v>
      </c>
      <c r="S164" s="64">
        <f t="shared" si="87"/>
        <v>0.21</v>
      </c>
      <c r="T164" s="63">
        <f t="shared" si="88"/>
        <v>0</v>
      </c>
      <c r="U164" s="64">
        <f t="shared" si="89"/>
        <v>0</v>
      </c>
      <c r="V164" s="219">
        <f>IF($A165="","",IF(AND(MONTH(A164)&gt;3,MONTH(A164)&lt;11),(T164+R164+G164)*Summary!$T$10/(1-Summary!$T$10),(T164+R164+G164)*Summary!$U$10/(1-Summary!$U$10)))</f>
        <v>3.8145161290322582E-2</v>
      </c>
      <c r="W164" s="63">
        <f t="shared" si="90"/>
        <v>4.7681451612903221</v>
      </c>
      <c r="X164" s="63">
        <f t="shared" si="91"/>
        <v>4.7681451612903221</v>
      </c>
      <c r="Y164" s="43"/>
      <c r="Z164" s="38">
        <f t="shared" si="92"/>
        <v>0.45</v>
      </c>
      <c r="AA164" s="38">
        <f t="shared" si="93"/>
        <v>0.17</v>
      </c>
      <c r="AB164" s="38">
        <f t="shared" ca="1" si="94"/>
        <v>0.17190657564008227</v>
      </c>
      <c r="AC164" s="38">
        <f t="shared" si="95"/>
        <v>0.45</v>
      </c>
      <c r="AD164" s="38">
        <f t="shared" si="95"/>
        <v>0.17</v>
      </c>
      <c r="AE164" s="38">
        <f t="shared" ca="1" si="96"/>
        <v>0.17190657564008227</v>
      </c>
      <c r="AF164" s="237">
        <f ca="1">((Summary!$N$10*(AA164*AD164)*(A164-$D$3))+(Summary!$M$10*Z164*AC164*(AJ164-EOMONTH(EDATE(A164,-1),0))))/(AK164*AB164*AE164)</f>
        <v>0.99990218506316009</v>
      </c>
      <c r="AG164" s="88">
        <f>IF($A165="","",Summary!$Q$10)</f>
        <v>0</v>
      </c>
      <c r="AH164" s="88">
        <f>IF($A165="","",IF(Summary!$R$10="Y",(VLOOKUP($A164,Summary!$AD$6:$AF$9,3)+'Escalating commodity'!F177),'Escalating commodity'!F177))</f>
        <v>1.5820799999999999E-2</v>
      </c>
      <c r="AI164" s="88">
        <f t="shared" si="111"/>
        <v>1.5820799999999999E-2</v>
      </c>
      <c r="AJ164" s="236">
        <f t="shared" si="97"/>
        <v>41744</v>
      </c>
      <c r="AK164" s="58">
        <f t="shared" ca="1" si="98"/>
        <v>4704</v>
      </c>
      <c r="AL164" s="26">
        <f ca="1">IF($A165="","",_xll.SPRDOPT(P164,X164,AI164,0,AB164,AE164,AF164,AK164,$AJ$2,0))</f>
        <v>2.0218374143317168E-3</v>
      </c>
      <c r="AM164" s="89">
        <f t="shared" si="99"/>
        <v>0</v>
      </c>
      <c r="AN164" s="89">
        <f t="shared" ca="1" si="100"/>
        <v>2.0218374143317168E-3</v>
      </c>
      <c r="AO164" s="3">
        <f t="shared" si="101"/>
        <v>30</v>
      </c>
      <c r="AP164" s="33">
        <f t="shared" si="102"/>
        <v>41730</v>
      </c>
      <c r="AQ164" s="58">
        <f t="shared" ca="1" si="103"/>
        <v>4704</v>
      </c>
      <c r="AR164" s="38">
        <f>'ANR OK vs ML7'!AR164</f>
        <v>0.1</v>
      </c>
      <c r="AS164" s="35">
        <f t="shared" ca="1" si="104"/>
        <v>0.28458525004261759</v>
      </c>
      <c r="AT164" s="3">
        <f t="shared" si="105"/>
        <v>1</v>
      </c>
      <c r="AU164" s="3">
        <f t="shared" si="106"/>
        <v>30</v>
      </c>
      <c r="AW164" s="32">
        <f t="shared" ca="1" si="107"/>
        <v>7262.8443597623927</v>
      </c>
      <c r="AX164" s="32">
        <f t="shared" si="108"/>
        <v>0</v>
      </c>
      <c r="AY164" s="32">
        <f t="shared" ca="1" si="109"/>
        <v>7262.8443597623927</v>
      </c>
      <c r="BA164" s="32">
        <f ca="1">IF($A165="","",F164*Summary!$Q$10)</f>
        <v>0</v>
      </c>
      <c r="BC164" s="256">
        <f t="shared" ca="1" si="112"/>
        <v>0</v>
      </c>
    </row>
    <row r="165" spans="1:55">
      <c r="A165" s="67">
        <f t="shared" si="110"/>
        <v>41760</v>
      </c>
      <c r="B165" s="69">
        <f t="shared" si="113"/>
        <v>119740</v>
      </c>
      <c r="C165" s="71"/>
      <c r="D165" s="69">
        <f t="shared" si="76"/>
        <v>119740</v>
      </c>
      <c r="E165" s="70">
        <f t="shared" si="77"/>
        <v>3711940</v>
      </c>
      <c r="F165" s="70">
        <f t="shared" ca="1" si="78"/>
        <v>1047930.6583279377</v>
      </c>
      <c r="G165" s="63">
        <f t="shared" si="79"/>
        <v>4.49</v>
      </c>
      <c r="H165" s="64">
        <f t="shared" si="80"/>
        <v>4.49</v>
      </c>
      <c r="I165" s="43"/>
      <c r="J165" s="63">
        <f t="shared" si="81"/>
        <v>0.18</v>
      </c>
      <c r="K165" s="64">
        <f t="shared" si="82"/>
        <v>0.18</v>
      </c>
      <c r="L165" s="38">
        <v>0</v>
      </c>
      <c r="M165" s="64">
        <f t="shared" si="83"/>
        <v>0</v>
      </c>
      <c r="N165" s="65"/>
      <c r="O165" s="63">
        <f t="shared" si="84"/>
        <v>4.67</v>
      </c>
      <c r="P165" s="63">
        <f t="shared" si="85"/>
        <v>4.67</v>
      </c>
      <c r="Q165" s="66"/>
      <c r="R165" s="63">
        <f t="shared" si="86"/>
        <v>0.21</v>
      </c>
      <c r="S165" s="64">
        <f t="shared" si="87"/>
        <v>0.21</v>
      </c>
      <c r="T165" s="63">
        <f t="shared" si="88"/>
        <v>0</v>
      </c>
      <c r="U165" s="64">
        <f t="shared" si="89"/>
        <v>0</v>
      </c>
      <c r="V165" s="219">
        <f>IF($A166="","",IF(AND(MONTH(A165)&gt;3,MONTH(A165)&lt;11),(T165+R165+G165)*Summary!$T$10/(1-Summary!$T$10),(T165+R165+G165)*Summary!$U$10/(1-Summary!$U$10)))</f>
        <v>3.7903225806451613E-2</v>
      </c>
      <c r="W165" s="63">
        <f t="shared" si="90"/>
        <v>4.737903225806452</v>
      </c>
      <c r="X165" s="63">
        <f t="shared" si="91"/>
        <v>4.737903225806452</v>
      </c>
      <c r="Y165" s="43"/>
      <c r="Z165" s="38">
        <f t="shared" si="92"/>
        <v>0.5</v>
      </c>
      <c r="AA165" s="38">
        <f t="shared" si="93"/>
        <v>0.17</v>
      </c>
      <c r="AB165" s="38">
        <f t="shared" ca="1" si="94"/>
        <v>0.17240838569379738</v>
      </c>
      <c r="AC165" s="38">
        <f t="shared" si="95"/>
        <v>0.5</v>
      </c>
      <c r="AD165" s="38">
        <f t="shared" si="95"/>
        <v>0.17</v>
      </c>
      <c r="AE165" s="38">
        <f t="shared" ca="1" si="96"/>
        <v>0.17240838569379738</v>
      </c>
      <c r="AF165" s="237">
        <f ca="1">((Summary!$N$10*(AA165*AD165)*(A165-$D$3))+(Summary!$M$10*Z165*AC165*(AJ165-EOMONTH(EDATE(A165,-1),0))))/(AK165*AB165*AE165)</f>
        <v>0.99990275376377336</v>
      </c>
      <c r="AG165" s="88">
        <f>IF($A166="","",Summary!$Q$10)</f>
        <v>0</v>
      </c>
      <c r="AH165" s="88">
        <f>IF($A166="","",IF(Summary!$R$10="Y",(VLOOKUP($A165,Summary!$AD$6:$AF$9,3)+'Escalating commodity'!F178),'Escalating commodity'!F178))</f>
        <v>1.5820799999999999E-2</v>
      </c>
      <c r="AI165" s="88">
        <f t="shared" si="111"/>
        <v>1.5820799999999999E-2</v>
      </c>
      <c r="AJ165" s="236">
        <f t="shared" si="97"/>
        <v>41774.5</v>
      </c>
      <c r="AK165" s="58">
        <f t="shared" ca="1" si="98"/>
        <v>4734</v>
      </c>
      <c r="AL165" s="26">
        <f ca="1">IF($A166="","",_xll.SPRDOPT(P165,X165,AI165,0,AB165,AE165,AF165,AK165,$AJ$2,0))</f>
        <v>2.0152202953103542E-3</v>
      </c>
      <c r="AM165" s="89">
        <f t="shared" si="99"/>
        <v>0</v>
      </c>
      <c r="AN165" s="89">
        <f t="shared" ca="1" si="100"/>
        <v>2.0152202953103542E-3</v>
      </c>
      <c r="AO165" s="3">
        <f t="shared" si="101"/>
        <v>31</v>
      </c>
      <c r="AP165" s="33">
        <f t="shared" si="102"/>
        <v>41760</v>
      </c>
      <c r="AQ165" s="58">
        <f t="shared" ca="1" si="103"/>
        <v>4734</v>
      </c>
      <c r="AR165" s="38">
        <f>'ANR OK vs ML7'!AR165</f>
        <v>0.1</v>
      </c>
      <c r="AS165" s="35">
        <f t="shared" ca="1" si="104"/>
        <v>0.28231346905605631</v>
      </c>
      <c r="AT165" s="3">
        <f t="shared" si="105"/>
        <v>1</v>
      </c>
      <c r="AU165" s="3">
        <f t="shared" si="106"/>
        <v>31</v>
      </c>
      <c r="AW165" s="32">
        <f t="shared" ca="1" si="107"/>
        <v>7480.3768229743164</v>
      </c>
      <c r="AX165" s="32">
        <f t="shared" si="108"/>
        <v>0</v>
      </c>
      <c r="AY165" s="32">
        <f t="shared" ca="1" si="109"/>
        <v>7480.3768229743164</v>
      </c>
      <c r="BA165" s="32">
        <f ca="1">IF($A166="","",F165*Summary!$Q$10)</f>
        <v>0</v>
      </c>
      <c r="BC165" s="256">
        <f t="shared" ca="1" si="112"/>
        <v>0</v>
      </c>
    </row>
    <row r="166" spans="1:55">
      <c r="A166" s="67">
        <f t="shared" si="110"/>
        <v>41791</v>
      </c>
      <c r="B166" s="69">
        <f t="shared" si="113"/>
        <v>119740</v>
      </c>
      <c r="C166" s="71"/>
      <c r="D166" s="69">
        <f t="shared" si="76"/>
        <v>119740</v>
      </c>
      <c r="E166" s="70">
        <f t="shared" si="77"/>
        <v>3592200</v>
      </c>
      <c r="F166" s="70">
        <f t="shared" ca="1" si="78"/>
        <v>1005762.1611802581</v>
      </c>
      <c r="G166" s="63">
        <f t="shared" si="79"/>
        <v>4.5599999999999996</v>
      </c>
      <c r="H166" s="64">
        <f t="shared" si="80"/>
        <v>4.5599999999999996</v>
      </c>
      <c r="I166" s="43"/>
      <c r="J166" s="63">
        <f t="shared" si="81"/>
        <v>0.18</v>
      </c>
      <c r="K166" s="64">
        <f t="shared" si="82"/>
        <v>0.18</v>
      </c>
      <c r="L166" s="38">
        <v>0</v>
      </c>
      <c r="M166" s="64">
        <f t="shared" si="83"/>
        <v>0</v>
      </c>
      <c r="N166" s="65"/>
      <c r="O166" s="63">
        <f t="shared" si="84"/>
        <v>4.7399999999999993</v>
      </c>
      <c r="P166" s="63">
        <f t="shared" si="85"/>
        <v>4.7399999999999993</v>
      </c>
      <c r="Q166" s="66"/>
      <c r="R166" s="63">
        <f t="shared" si="86"/>
        <v>0.21</v>
      </c>
      <c r="S166" s="64">
        <f t="shared" si="87"/>
        <v>0.21</v>
      </c>
      <c r="T166" s="63">
        <f t="shared" si="88"/>
        <v>0</v>
      </c>
      <c r="U166" s="64">
        <f t="shared" si="89"/>
        <v>0</v>
      </c>
      <c r="V166" s="219">
        <f>IF($A167="","",IF(AND(MONTH(A166)&gt;3,MONTH(A166)&lt;11),(T166+R166+G166)*Summary!$T$10/(1-Summary!$T$10),(T166+R166+G166)*Summary!$U$10/(1-Summary!$U$10)))</f>
        <v>3.8467741935483871E-2</v>
      </c>
      <c r="W166" s="63">
        <f t="shared" si="90"/>
        <v>4.8084677419354831</v>
      </c>
      <c r="X166" s="63">
        <f t="shared" si="91"/>
        <v>4.8084677419354831</v>
      </c>
      <c r="Y166" s="43"/>
      <c r="Z166" s="38">
        <f t="shared" si="92"/>
        <v>0.5</v>
      </c>
      <c r="AA166" s="38">
        <f t="shared" si="93"/>
        <v>0.17</v>
      </c>
      <c r="AB166" s="38">
        <f t="shared" ca="1" si="94"/>
        <v>0.17231672442109361</v>
      </c>
      <c r="AC166" s="38">
        <f t="shared" si="95"/>
        <v>0.5</v>
      </c>
      <c r="AD166" s="38">
        <f t="shared" si="95"/>
        <v>0.17</v>
      </c>
      <c r="AE166" s="38">
        <f t="shared" ca="1" si="96"/>
        <v>0.17231672442109361</v>
      </c>
      <c r="AF166" s="237">
        <f ca="1">((Summary!$N$10*(AA166*AD166)*(A166-$D$3))+(Summary!$M$10*Z166*AC166*(AJ166-EOMONTH(EDATE(A166,-1),0))))/(AK166*AB166*AE166)</f>
        <v>0.99990265041268689</v>
      </c>
      <c r="AG166" s="88">
        <f>IF($A167="","",Summary!$Q$10)</f>
        <v>0</v>
      </c>
      <c r="AH166" s="88">
        <f>IF($A167="","",IF(Summary!$R$10="Y",(VLOOKUP($A166,Summary!$AD$6:$AF$9,3)+'Escalating commodity'!F179),'Escalating commodity'!F179))</f>
        <v>1.5820799999999999E-2</v>
      </c>
      <c r="AI166" s="88">
        <f t="shared" si="111"/>
        <v>1.5820799999999999E-2</v>
      </c>
      <c r="AJ166" s="236">
        <f t="shared" si="97"/>
        <v>41805</v>
      </c>
      <c r="AK166" s="58">
        <f t="shared" ca="1" si="98"/>
        <v>4765</v>
      </c>
      <c r="AL166" s="26">
        <f ca="1">IF($A167="","",_xll.SPRDOPT(P166,X166,AI166,0,AB166,AE166,AF166,AK166,$AJ$2,0))</f>
        <v>2.0762063354873329E-3</v>
      </c>
      <c r="AM166" s="89">
        <f t="shared" si="99"/>
        <v>0</v>
      </c>
      <c r="AN166" s="89">
        <f t="shared" ca="1" si="100"/>
        <v>2.0762063354873329E-3</v>
      </c>
      <c r="AO166" s="3">
        <f t="shared" si="101"/>
        <v>30</v>
      </c>
      <c r="AP166" s="33">
        <f t="shared" si="102"/>
        <v>41791</v>
      </c>
      <c r="AQ166" s="58">
        <f t="shared" ca="1" si="103"/>
        <v>4765</v>
      </c>
      <c r="AR166" s="38">
        <f>'ANR OK vs ML7'!AR166</f>
        <v>0.1</v>
      </c>
      <c r="AS166" s="35">
        <f t="shared" ca="1" si="104"/>
        <v>0.27998501229894163</v>
      </c>
      <c r="AT166" s="3">
        <f t="shared" si="105"/>
        <v>1</v>
      </c>
      <c r="AU166" s="3">
        <f t="shared" si="106"/>
        <v>30</v>
      </c>
      <c r="AW166" s="32">
        <f t="shared" ca="1" si="107"/>
        <v>7458.1483983375974</v>
      </c>
      <c r="AX166" s="32">
        <f t="shared" si="108"/>
        <v>0</v>
      </c>
      <c r="AY166" s="32">
        <f t="shared" ca="1" si="109"/>
        <v>7458.1483983375974</v>
      </c>
      <c r="BA166" s="32">
        <f ca="1">IF($A167="","",F166*Summary!$Q$10)</f>
        <v>0</v>
      </c>
      <c r="BC166" s="256">
        <f t="shared" ca="1" si="112"/>
        <v>0</v>
      </c>
    </row>
    <row r="167" spans="1:55">
      <c r="A167" s="67">
        <f t="shared" si="110"/>
        <v>41821</v>
      </c>
      <c r="B167" s="69">
        <f t="shared" si="113"/>
        <v>119740</v>
      </c>
      <c r="C167" s="71"/>
      <c r="D167" s="69">
        <f t="shared" si="76"/>
        <v>119740</v>
      </c>
      <c r="E167" s="70">
        <f t="shared" si="77"/>
        <v>3711940</v>
      </c>
      <c r="F167" s="70">
        <f t="shared" ca="1" si="78"/>
        <v>1030991.1642168638</v>
      </c>
      <c r="G167" s="63">
        <f t="shared" si="79"/>
        <v>4.6150000000000002</v>
      </c>
      <c r="H167" s="64">
        <f t="shared" si="80"/>
        <v>4.6150000000000002</v>
      </c>
      <c r="I167" s="43"/>
      <c r="J167" s="63">
        <f t="shared" si="81"/>
        <v>0.18</v>
      </c>
      <c r="K167" s="64">
        <f t="shared" si="82"/>
        <v>0.18</v>
      </c>
      <c r="L167" s="38">
        <v>0</v>
      </c>
      <c r="M167" s="64">
        <f t="shared" si="83"/>
        <v>0</v>
      </c>
      <c r="N167" s="65"/>
      <c r="O167" s="63">
        <f t="shared" si="84"/>
        <v>4.7949999999999999</v>
      </c>
      <c r="P167" s="63">
        <f t="shared" si="85"/>
        <v>4.7949999999999999</v>
      </c>
      <c r="Q167" s="66"/>
      <c r="R167" s="63">
        <f t="shared" si="86"/>
        <v>0.21</v>
      </c>
      <c r="S167" s="64">
        <f t="shared" si="87"/>
        <v>0.21</v>
      </c>
      <c r="T167" s="63">
        <f t="shared" si="88"/>
        <v>0</v>
      </c>
      <c r="U167" s="64">
        <f t="shared" si="89"/>
        <v>0</v>
      </c>
      <c r="V167" s="219">
        <f>IF($A168="","",IF(AND(MONTH(A167)&gt;3,MONTH(A167)&lt;11),(T167+R167+G167)*Summary!$T$10/(1-Summary!$T$10),(T167+R167+G167)*Summary!$U$10/(1-Summary!$U$10)))</f>
        <v>3.8911290322580651E-2</v>
      </c>
      <c r="W167" s="63">
        <f t="shared" si="90"/>
        <v>4.863911290322581</v>
      </c>
      <c r="X167" s="63">
        <f t="shared" si="91"/>
        <v>4.863911290322581</v>
      </c>
      <c r="Y167" s="43"/>
      <c r="Z167" s="38">
        <f t="shared" si="92"/>
        <v>0.55000000000000004</v>
      </c>
      <c r="AA167" s="38">
        <f t="shared" si="93"/>
        <v>0.17</v>
      </c>
      <c r="AB167" s="38">
        <f t="shared" ca="1" si="94"/>
        <v>0.1728695132553415</v>
      </c>
      <c r="AC167" s="38">
        <f t="shared" si="95"/>
        <v>0.55000000000000004</v>
      </c>
      <c r="AD167" s="38">
        <f t="shared" si="95"/>
        <v>0.17</v>
      </c>
      <c r="AE167" s="38">
        <f t="shared" ca="1" si="96"/>
        <v>0.1728695132553415</v>
      </c>
      <c r="AF167" s="237">
        <f ca="1">((Summary!$N$10*(AA167*AD167)*(A167-$D$3))+(Summary!$M$10*Z167*AC167*(AJ167-EOMONTH(EDATE(A167,-1),0))))/(AK167*AB167*AE167)</f>
        <v>0.99990327213827035</v>
      </c>
      <c r="AG167" s="88">
        <f>IF($A168="","",Summary!$Q$10)</f>
        <v>0</v>
      </c>
      <c r="AH167" s="88">
        <f>IF($A168="","",IF(Summary!$R$10="Y",(VLOOKUP($A167,Summary!$AD$6:$AF$9,3)+'Escalating commodity'!F180),'Escalating commodity'!F180))</f>
        <v>1.5820799999999999E-2</v>
      </c>
      <c r="AI167" s="88">
        <f t="shared" si="111"/>
        <v>1.5820799999999999E-2</v>
      </c>
      <c r="AJ167" s="236">
        <f t="shared" si="97"/>
        <v>41835.5</v>
      </c>
      <c r="AK167" s="58">
        <f t="shared" ca="1" si="98"/>
        <v>4795</v>
      </c>
      <c r="AL167" s="26">
        <f ca="1">IF($A168="","",_xll.SPRDOPT(P167,X167,AI167,0,AB167,AE167,AF167,AK167,$AJ$2,0))</f>
        <v>2.1273233895625389E-3</v>
      </c>
      <c r="AM167" s="89">
        <f t="shared" si="99"/>
        <v>0</v>
      </c>
      <c r="AN167" s="89">
        <f t="shared" ca="1" si="100"/>
        <v>2.1273233895625389E-3</v>
      </c>
      <c r="AO167" s="3">
        <f t="shared" si="101"/>
        <v>31</v>
      </c>
      <c r="AP167" s="33">
        <f t="shared" si="102"/>
        <v>41821</v>
      </c>
      <c r="AQ167" s="58">
        <f t="shared" ca="1" si="103"/>
        <v>4795</v>
      </c>
      <c r="AR167" s="38">
        <f>'ANR OK vs ML7'!AR167</f>
        <v>0.1</v>
      </c>
      <c r="AS167" s="35">
        <f t="shared" ca="1" si="104"/>
        <v>0.27774995399086833</v>
      </c>
      <c r="AT167" s="3">
        <f t="shared" si="105"/>
        <v>1</v>
      </c>
      <c r="AU167" s="3">
        <f t="shared" si="106"/>
        <v>31</v>
      </c>
      <c r="AW167" s="32">
        <f t="shared" ca="1" si="107"/>
        <v>7896.4967826527709</v>
      </c>
      <c r="AX167" s="32">
        <f t="shared" si="108"/>
        <v>0</v>
      </c>
      <c r="AY167" s="32">
        <f t="shared" ca="1" si="109"/>
        <v>7896.4967826527709</v>
      </c>
      <c r="BA167" s="32">
        <f ca="1">IF($A168="","",F167*Summary!$Q$10)</f>
        <v>0</v>
      </c>
      <c r="BC167" s="256">
        <f t="shared" ca="1" si="112"/>
        <v>0</v>
      </c>
    </row>
    <row r="168" spans="1:55">
      <c r="A168" s="67">
        <f t="shared" si="110"/>
        <v>41852</v>
      </c>
      <c r="B168" s="69">
        <f t="shared" si="113"/>
        <v>119740</v>
      </c>
      <c r="C168" s="71"/>
      <c r="D168" s="69">
        <f t="shared" si="76"/>
        <v>119740</v>
      </c>
      <c r="E168" s="70">
        <f t="shared" si="77"/>
        <v>3711940</v>
      </c>
      <c r="F168" s="70">
        <f t="shared" ca="1" si="78"/>
        <v>1022487.7855049906</v>
      </c>
      <c r="G168" s="63">
        <f t="shared" si="79"/>
        <v>4.6710000000000003</v>
      </c>
      <c r="H168" s="64">
        <f t="shared" si="80"/>
        <v>4.6710000000000003</v>
      </c>
      <c r="I168" s="43"/>
      <c r="J168" s="63">
        <f t="shared" si="81"/>
        <v>0.18</v>
      </c>
      <c r="K168" s="64">
        <f t="shared" si="82"/>
        <v>0.18</v>
      </c>
      <c r="L168" s="38">
        <v>0</v>
      </c>
      <c r="M168" s="64">
        <f t="shared" si="83"/>
        <v>0</v>
      </c>
      <c r="N168" s="65"/>
      <c r="O168" s="63">
        <f t="shared" si="84"/>
        <v>4.851</v>
      </c>
      <c r="P168" s="63">
        <f t="shared" si="85"/>
        <v>4.851</v>
      </c>
      <c r="Q168" s="66"/>
      <c r="R168" s="63">
        <f t="shared" si="86"/>
        <v>0.21</v>
      </c>
      <c r="S168" s="64">
        <f t="shared" si="87"/>
        <v>0.21</v>
      </c>
      <c r="T168" s="63">
        <f t="shared" si="88"/>
        <v>0</v>
      </c>
      <c r="U168" s="64">
        <f t="shared" si="89"/>
        <v>0</v>
      </c>
      <c r="V168" s="219">
        <f>IF($A169="","",IF(AND(MONTH(A168)&gt;3,MONTH(A168)&lt;11),(T168+R168+G168)*Summary!$T$10/(1-Summary!$T$10),(T168+R168+G168)*Summary!$U$10/(1-Summary!$U$10)))</f>
        <v>3.9362903225806455E-2</v>
      </c>
      <c r="W168" s="63">
        <f t="shared" si="90"/>
        <v>4.9203629032258069</v>
      </c>
      <c r="X168" s="63">
        <f t="shared" si="91"/>
        <v>4.9203629032258069</v>
      </c>
      <c r="Y168" s="43"/>
      <c r="Z168" s="38">
        <f t="shared" si="92"/>
        <v>0.6</v>
      </c>
      <c r="AA168" s="38">
        <f t="shared" si="93"/>
        <v>0.17</v>
      </c>
      <c r="AB168" s="38">
        <f t="shared" ca="1" si="94"/>
        <v>0.17338461709593367</v>
      </c>
      <c r="AC168" s="38">
        <f t="shared" si="95"/>
        <v>0.6</v>
      </c>
      <c r="AD168" s="38">
        <f t="shared" si="95"/>
        <v>0.17</v>
      </c>
      <c r="AE168" s="38">
        <f t="shared" ca="1" si="96"/>
        <v>0.17338461709593367</v>
      </c>
      <c r="AF168" s="237">
        <f ca="1">((Summary!$N$10*(AA168*AD168)*(A168-$D$3))+(Summary!$M$10*Z168*AC168*(AJ168-EOMONTH(EDATE(A168,-1),0))))/(AK168*AB168*AE168)</f>
        <v>0.99990384614589289</v>
      </c>
      <c r="AG168" s="88">
        <f>IF($A169="","",Summary!$Q$10)</f>
        <v>0</v>
      </c>
      <c r="AH168" s="88">
        <f>IF($A169="","",IF(Summary!$R$10="Y",(VLOOKUP($A168,Summary!$AD$6:$AF$9,3)+'Escalating commodity'!F181),'Escalating commodity'!F181))</f>
        <v>1.5820799999999999E-2</v>
      </c>
      <c r="AI168" s="88">
        <f t="shared" si="111"/>
        <v>1.5820799999999999E-2</v>
      </c>
      <c r="AJ168" s="236">
        <f t="shared" si="97"/>
        <v>41866.5</v>
      </c>
      <c r="AK168" s="58">
        <f t="shared" ca="1" si="98"/>
        <v>4826</v>
      </c>
      <c r="AL168" s="26">
        <f ca="1">IF($A169="","",_xll.SPRDOPT(P168,X168,AI168,0,AB168,AE168,AF168,AK168,$AJ$2,0))</f>
        <v>2.1798042572286382E-3</v>
      </c>
      <c r="AM168" s="89">
        <f t="shared" si="99"/>
        <v>0</v>
      </c>
      <c r="AN168" s="89">
        <f t="shared" ca="1" si="100"/>
        <v>2.1798042572286382E-3</v>
      </c>
      <c r="AO168" s="3">
        <f t="shared" si="101"/>
        <v>31</v>
      </c>
      <c r="AP168" s="33">
        <f t="shared" si="102"/>
        <v>41852</v>
      </c>
      <c r="AQ168" s="58">
        <f t="shared" ca="1" si="103"/>
        <v>4826</v>
      </c>
      <c r="AR168" s="38">
        <f>'ANR OK vs ML7'!AR168</f>
        <v>0.1</v>
      </c>
      <c r="AS168" s="35">
        <f t="shared" ca="1" si="104"/>
        <v>0.27545913605957817</v>
      </c>
      <c r="AT168" s="3">
        <f t="shared" si="105"/>
        <v>1</v>
      </c>
      <c r="AU168" s="3">
        <f t="shared" si="106"/>
        <v>31</v>
      </c>
      <c r="AW168" s="32">
        <f t="shared" ca="1" si="107"/>
        <v>8091.302614577271</v>
      </c>
      <c r="AX168" s="32">
        <f t="shared" si="108"/>
        <v>0</v>
      </c>
      <c r="AY168" s="32">
        <f t="shared" ca="1" si="109"/>
        <v>8091.302614577271</v>
      </c>
      <c r="BA168" s="32">
        <f ca="1">IF($A169="","",F168*Summary!$Q$10)</f>
        <v>0</v>
      </c>
      <c r="BC168" s="256">
        <f t="shared" ca="1" si="112"/>
        <v>0</v>
      </c>
    </row>
    <row r="169" spans="1:55">
      <c r="A169" s="67">
        <f t="shared" si="110"/>
        <v>41883</v>
      </c>
      <c r="B169" s="69">
        <f t="shared" si="113"/>
        <v>119740</v>
      </c>
      <c r="C169" s="71"/>
      <c r="D169" s="69">
        <f t="shared" si="76"/>
        <v>119740</v>
      </c>
      <c r="E169" s="70">
        <f t="shared" si="77"/>
        <v>3592200</v>
      </c>
      <c r="F169" s="70">
        <f t="shared" ca="1" si="78"/>
        <v>981343.10391374794</v>
      </c>
      <c r="G169" s="63">
        <f t="shared" si="79"/>
        <v>4.6849999999999996</v>
      </c>
      <c r="H169" s="64">
        <f t="shared" si="80"/>
        <v>4.6849999999999996</v>
      </c>
      <c r="I169" s="43"/>
      <c r="J169" s="63">
        <f t="shared" si="81"/>
        <v>0.18</v>
      </c>
      <c r="K169" s="64">
        <f t="shared" si="82"/>
        <v>0.18</v>
      </c>
      <c r="L169" s="38">
        <v>0</v>
      </c>
      <c r="M169" s="64">
        <f t="shared" si="83"/>
        <v>0</v>
      </c>
      <c r="N169" s="65"/>
      <c r="O169" s="63">
        <f t="shared" si="84"/>
        <v>4.8649999999999993</v>
      </c>
      <c r="P169" s="63">
        <f t="shared" si="85"/>
        <v>4.8649999999999993</v>
      </c>
      <c r="Q169" s="66"/>
      <c r="R169" s="63">
        <f t="shared" si="86"/>
        <v>0.21</v>
      </c>
      <c r="S169" s="64">
        <f t="shared" si="87"/>
        <v>0.21</v>
      </c>
      <c r="T169" s="63">
        <f t="shared" si="88"/>
        <v>0</v>
      </c>
      <c r="U169" s="64">
        <f t="shared" si="89"/>
        <v>0</v>
      </c>
      <c r="V169" s="219">
        <f>IF($A170="","",IF(AND(MONTH(A169)&gt;3,MONTH(A169)&lt;11),(T169+R169+G169)*Summary!$T$10/(1-Summary!$T$10),(T169+R169+G169)*Summary!$U$10/(1-Summary!$U$10)))</f>
        <v>3.9475806451612902E-2</v>
      </c>
      <c r="W169" s="63">
        <f t="shared" si="90"/>
        <v>4.9344758064516121</v>
      </c>
      <c r="X169" s="63">
        <f t="shared" si="91"/>
        <v>4.9344758064516121</v>
      </c>
      <c r="Y169" s="43"/>
      <c r="Z169" s="38">
        <f t="shared" si="92"/>
        <v>0.6</v>
      </c>
      <c r="AA169" s="38">
        <f t="shared" si="93"/>
        <v>0.17</v>
      </c>
      <c r="AB169" s="38">
        <f t="shared" ca="1" si="94"/>
        <v>0.17325630603476228</v>
      </c>
      <c r="AC169" s="38">
        <f t="shared" si="95"/>
        <v>0.6</v>
      </c>
      <c r="AD169" s="38">
        <f t="shared" si="95"/>
        <v>0.17</v>
      </c>
      <c r="AE169" s="38">
        <f t="shared" ca="1" si="96"/>
        <v>0.17325630603476228</v>
      </c>
      <c r="AF169" s="237">
        <f ca="1">((Summary!$N$10*(AA169*AD169)*(A169-$D$3))+(Summary!$M$10*Z169*AC169*(AJ169-EOMONTH(EDATE(A169,-1),0))))/(AK169*AB169*AE169)</f>
        <v>0.99990370380023641</v>
      </c>
      <c r="AG169" s="88">
        <f>IF($A170="","",Summary!$Q$10)</f>
        <v>0</v>
      </c>
      <c r="AH169" s="88">
        <f>IF($A170="","",IF(Summary!$R$10="Y",(VLOOKUP($A169,Summary!$AD$6:$AF$9,3)+'Escalating commodity'!F182),'Escalating commodity'!F182))</f>
        <v>1.5820799999999999E-2</v>
      </c>
      <c r="AI169" s="88">
        <f t="shared" si="111"/>
        <v>1.5820799999999999E-2</v>
      </c>
      <c r="AJ169" s="236">
        <f t="shared" si="97"/>
        <v>41897</v>
      </c>
      <c r="AK169" s="58">
        <f t="shared" ca="1" si="98"/>
        <v>4857</v>
      </c>
      <c r="AL169" s="26">
        <f ca="1">IF($A170="","",_xll.SPRDOPT(P169,X169,AI169,0,AB169,AE169,AF169,AK169,$AJ$2,0))</f>
        <v>2.2035247824316456E-3</v>
      </c>
      <c r="AM169" s="89">
        <f t="shared" si="99"/>
        <v>0</v>
      </c>
      <c r="AN169" s="89">
        <f t="shared" ca="1" si="100"/>
        <v>2.2035247824316456E-3</v>
      </c>
      <c r="AO169" s="3">
        <f t="shared" si="101"/>
        <v>30</v>
      </c>
      <c r="AP169" s="33">
        <f t="shared" si="102"/>
        <v>41883</v>
      </c>
      <c r="AQ169" s="58">
        <f t="shared" ca="1" si="103"/>
        <v>4857</v>
      </c>
      <c r="AR169" s="38">
        <f>'ANR OK vs ML7'!AR169</f>
        <v>0.1</v>
      </c>
      <c r="AS169" s="35">
        <f t="shared" ca="1" si="104"/>
        <v>0.27318721226929121</v>
      </c>
      <c r="AT169" s="3">
        <f t="shared" si="105"/>
        <v>1</v>
      </c>
      <c r="AU169" s="3">
        <f t="shared" si="106"/>
        <v>30</v>
      </c>
      <c r="AW169" s="32">
        <f t="shared" ca="1" si="107"/>
        <v>7915.5017234509578</v>
      </c>
      <c r="AX169" s="32">
        <f t="shared" si="108"/>
        <v>0</v>
      </c>
      <c r="AY169" s="32">
        <f t="shared" ca="1" si="109"/>
        <v>7915.5017234509578</v>
      </c>
      <c r="BA169" s="32">
        <f ca="1">IF($A170="","",F169*Summary!$Q$10)</f>
        <v>0</v>
      </c>
      <c r="BC169" s="256">
        <f t="shared" ca="1" si="112"/>
        <v>0</v>
      </c>
    </row>
    <row r="170" spans="1:55" ht="12" customHeight="1">
      <c r="A170" s="67">
        <f t="shared" si="110"/>
        <v>41913</v>
      </c>
      <c r="B170" s="69">
        <f t="shared" si="113"/>
        <v>119740</v>
      </c>
      <c r="C170" s="71"/>
      <c r="D170" s="69">
        <f t="shared" si="76"/>
        <v>119740</v>
      </c>
      <c r="E170" s="70">
        <f t="shared" si="77"/>
        <v>3711940</v>
      </c>
      <c r="F170" s="70">
        <f t="shared" ca="1" si="78"/>
        <v>1005959.568028423</v>
      </c>
      <c r="G170" s="63">
        <f t="shared" si="79"/>
        <v>4.7160000000000002</v>
      </c>
      <c r="H170" s="64">
        <f t="shared" si="80"/>
        <v>4.7160000000000002</v>
      </c>
      <c r="I170" s="43"/>
      <c r="J170" s="63">
        <f t="shared" si="81"/>
        <v>0.18</v>
      </c>
      <c r="K170" s="64">
        <f t="shared" si="82"/>
        <v>0.18</v>
      </c>
      <c r="L170" s="38">
        <v>0</v>
      </c>
      <c r="M170" s="64">
        <f t="shared" si="83"/>
        <v>0</v>
      </c>
      <c r="N170" s="65"/>
      <c r="O170" s="63">
        <f t="shared" si="84"/>
        <v>4.8959999999999999</v>
      </c>
      <c r="P170" s="63">
        <f t="shared" si="85"/>
        <v>4.8959999999999999</v>
      </c>
      <c r="Q170" s="66"/>
      <c r="R170" s="63">
        <f t="shared" si="86"/>
        <v>0.21</v>
      </c>
      <c r="S170" s="64">
        <f t="shared" si="87"/>
        <v>0.21</v>
      </c>
      <c r="T170" s="63">
        <f t="shared" si="88"/>
        <v>0</v>
      </c>
      <c r="U170" s="64">
        <f t="shared" si="89"/>
        <v>0</v>
      </c>
      <c r="V170" s="219">
        <f>IF($A171="","",IF(AND(MONTH(A170)&gt;3,MONTH(A170)&lt;11),(T170+R170+G170)*Summary!$T$10/(1-Summary!$T$10),(T170+R170+G170)*Summary!$U$10/(1-Summary!$U$10)))</f>
        <v>3.9725806451612909E-2</v>
      </c>
      <c r="W170" s="63">
        <f t="shared" si="90"/>
        <v>4.965725806451613</v>
      </c>
      <c r="X170" s="63">
        <f t="shared" si="91"/>
        <v>4.965725806451613</v>
      </c>
      <c r="Y170" s="43"/>
      <c r="Z170" s="38">
        <f t="shared" si="92"/>
        <v>0.65</v>
      </c>
      <c r="AA170" s="38">
        <f t="shared" si="93"/>
        <v>0.17</v>
      </c>
      <c r="AB170" s="38">
        <f t="shared" ca="1" si="94"/>
        <v>0.17391362348770287</v>
      </c>
      <c r="AC170" s="38">
        <f t="shared" si="95"/>
        <v>0.65</v>
      </c>
      <c r="AD170" s="38">
        <f t="shared" si="95"/>
        <v>0.17</v>
      </c>
      <c r="AE170" s="38">
        <f t="shared" ca="1" si="96"/>
        <v>0.17391362348770287</v>
      </c>
      <c r="AF170" s="237">
        <f ca="1">((Summary!$N$10*(AA170*AD170)*(A170-$D$3))+(Summary!$M$10*Z170*AC170*(AJ170-EOMONTH(EDATE(A170,-1),0))))/(AK170*AB170*AE170)</f>
        <v>0.99990443046046029</v>
      </c>
      <c r="AG170" s="88">
        <f>IF($A171="","",Summary!$Q$10)</f>
        <v>0</v>
      </c>
      <c r="AH170" s="88">
        <f>IF($A171="","",IF(Summary!$R$10="Y",(VLOOKUP($A170,Summary!$AD$6:$AF$9,3)+'Escalating commodity'!F183),'Escalating commodity'!F183))</f>
        <v>1.5820799999999999E-2</v>
      </c>
      <c r="AI170" s="88">
        <f t="shared" si="111"/>
        <v>1.5820799999999999E-2</v>
      </c>
      <c r="AJ170" s="236">
        <f t="shared" si="97"/>
        <v>41927.5</v>
      </c>
      <c r="AK170" s="58">
        <f t="shared" ca="1" si="98"/>
        <v>4887</v>
      </c>
      <c r="AL170" s="26">
        <f ca="1">IF($A171="","",_xll.SPRDOPT(P170,X170,AI170,0,AB170,AE170,AF170,AK170,$AJ$2,0))</f>
        <v>2.2386555019099676E-3</v>
      </c>
      <c r="AM170" s="89">
        <f t="shared" si="99"/>
        <v>0</v>
      </c>
      <c r="AN170" s="89">
        <f t="shared" ca="1" si="100"/>
        <v>2.2386555019099676E-3</v>
      </c>
      <c r="AO170" s="3">
        <f t="shared" si="101"/>
        <v>31</v>
      </c>
      <c r="AP170" s="33">
        <f t="shared" si="102"/>
        <v>41913</v>
      </c>
      <c r="AQ170" s="58">
        <f t="shared" ca="1" si="103"/>
        <v>4887</v>
      </c>
      <c r="AR170" s="38">
        <f>'ANR OK vs ML7'!AR170</f>
        <v>0.1</v>
      </c>
      <c r="AS170" s="35">
        <f t="shared" ca="1" si="104"/>
        <v>0.27100641929245167</v>
      </c>
      <c r="AT170" s="3">
        <f t="shared" si="105"/>
        <v>1</v>
      </c>
      <c r="AU170" s="3">
        <f t="shared" si="106"/>
        <v>31</v>
      </c>
      <c r="AW170" s="32">
        <f t="shared" ca="1" si="107"/>
        <v>8309.7549037596855</v>
      </c>
      <c r="AX170" s="32">
        <f t="shared" si="108"/>
        <v>0</v>
      </c>
      <c r="AY170" s="32">
        <f t="shared" ca="1" si="109"/>
        <v>8309.7549037596855</v>
      </c>
      <c r="BA170" s="32">
        <f ca="1">IF($A171="","",F170*Summary!$Q$10)</f>
        <v>0</v>
      </c>
      <c r="BC170" s="256">
        <f t="shared" ca="1" si="112"/>
        <v>0</v>
      </c>
    </row>
    <row r="171" spans="1:55" ht="12" customHeight="1">
      <c r="A171" s="67">
        <f t="shared" si="110"/>
        <v>41944</v>
      </c>
      <c r="B171" s="69">
        <f t="shared" si="113"/>
        <v>119740</v>
      </c>
      <c r="C171" s="71"/>
      <c r="D171" s="69">
        <f t="shared" si="76"/>
        <v>119740</v>
      </c>
      <c r="E171" s="70">
        <f t="shared" si="77"/>
        <v>3592200</v>
      </c>
      <c r="F171" s="70">
        <f t="shared" ca="1" si="78"/>
        <v>965479.97824070556</v>
      </c>
      <c r="G171" s="63">
        <f t="shared" si="79"/>
        <v>4.8490000000000002</v>
      </c>
      <c r="H171" s="64">
        <f t="shared" si="80"/>
        <v>4.8490000000000002</v>
      </c>
      <c r="I171" s="43"/>
      <c r="J171" s="328">
        <f>J159</f>
        <v>0.27500000000000002</v>
      </c>
      <c r="K171" s="64">
        <f t="shared" si="82"/>
        <v>0.27500000000000002</v>
      </c>
      <c r="L171" s="38">
        <v>0</v>
      </c>
      <c r="M171" s="64">
        <f t="shared" si="83"/>
        <v>0</v>
      </c>
      <c r="N171" s="65"/>
      <c r="O171" s="63">
        <f t="shared" si="84"/>
        <v>5.1240000000000006</v>
      </c>
      <c r="P171" s="63">
        <f t="shared" si="85"/>
        <v>5.1240000000000006</v>
      </c>
      <c r="Q171" s="66"/>
      <c r="R171" s="63">
        <f t="shared" si="86"/>
        <v>0.1</v>
      </c>
      <c r="S171" s="64">
        <f t="shared" si="87"/>
        <v>0.1</v>
      </c>
      <c r="T171" s="63">
        <f t="shared" si="88"/>
        <v>0</v>
      </c>
      <c r="U171" s="64">
        <f t="shared" si="89"/>
        <v>0</v>
      </c>
      <c r="V171" s="219">
        <f>IF($A172="","",IF(AND(MONTH(A171)&gt;3,MONTH(A171)&lt;11),(T171+R171+G171)*Summary!$T$10/(1-Summary!$T$10),(T171+R171+G171)*Summary!$U$10/(1-Summary!$U$10)))</f>
        <v>3.9911290322580645E-2</v>
      </c>
      <c r="W171" s="63">
        <f t="shared" si="90"/>
        <v>4.9889112903225801</v>
      </c>
      <c r="X171" s="63">
        <f t="shared" si="91"/>
        <v>4.9889112903225801</v>
      </c>
      <c r="Y171" s="43"/>
      <c r="Z171" s="38">
        <f t="shared" si="92"/>
        <v>0.8</v>
      </c>
      <c r="AA171" s="38">
        <f t="shared" si="93"/>
        <v>0.17</v>
      </c>
      <c r="AB171" s="38">
        <f t="shared" ca="1" si="94"/>
        <v>0.17566413801891734</v>
      </c>
      <c r="AC171" s="38">
        <f t="shared" si="95"/>
        <v>0.8</v>
      </c>
      <c r="AD171" s="38">
        <f t="shared" si="95"/>
        <v>0.17</v>
      </c>
      <c r="AE171" s="38">
        <f t="shared" ca="1" si="96"/>
        <v>0.17566413801891734</v>
      </c>
      <c r="AF171" s="237">
        <f ca="1">((Summary!$N$10*(AA171*AD171)*(A171-$D$3))+(Summary!$M$10*Z171*AC171*(AJ171-EOMONTH(EDATE(A171,-1),0))))/(AK171*AB171*AE171)</f>
        <v>0.99990632581505845</v>
      </c>
      <c r="AG171" s="88">
        <f>IF($A172="","",Summary!$Q$10)</f>
        <v>0</v>
      </c>
      <c r="AH171" s="88">
        <f>IF($A172="","",IF(Summary!$R$10="Y",(VLOOKUP($A171,Summary!$AD$6:$AF$9,3)+'Escalating commodity'!F184),'Escalating commodity'!F184))</f>
        <v>1.5820799999999999E-2</v>
      </c>
      <c r="AI171" s="88">
        <f t="shared" si="111"/>
        <v>1.5820799999999999E-2</v>
      </c>
      <c r="AJ171" s="236">
        <f t="shared" si="97"/>
        <v>41958</v>
      </c>
      <c r="AK171" s="58">
        <f t="shared" ca="1" si="98"/>
        <v>4918</v>
      </c>
      <c r="AL171" s="26">
        <f ca="1">IF($A172="","",_xll.SPRDOPT(P171,X171,AI171,0,AB171,AE171,AF171,AK171,$AJ$2,0))</f>
        <v>0.12087223200412832</v>
      </c>
      <c r="AM171" s="89">
        <f t="shared" si="99"/>
        <v>0.11926790967742049</v>
      </c>
      <c r="AN171" s="89">
        <f t="shared" ca="1" si="100"/>
        <v>1.6043223267078327E-3</v>
      </c>
      <c r="AO171" s="3">
        <f t="shared" si="101"/>
        <v>30</v>
      </c>
      <c r="AP171" s="33">
        <f t="shared" si="102"/>
        <v>41944</v>
      </c>
      <c r="AQ171" s="58">
        <f t="shared" ca="1" si="103"/>
        <v>4918</v>
      </c>
      <c r="AR171" s="38">
        <f>'ANR OK vs ML7'!AR171</f>
        <v>0.1</v>
      </c>
      <c r="AS171" s="35">
        <f t="shared" ca="1" si="104"/>
        <v>0.26877122048903335</v>
      </c>
      <c r="AT171" s="3">
        <f t="shared" si="105"/>
        <v>1</v>
      </c>
      <c r="AU171" s="3">
        <f t="shared" si="106"/>
        <v>30</v>
      </c>
      <c r="AW171" s="32">
        <f t="shared" ca="1" si="107"/>
        <v>434197.23180522973</v>
      </c>
      <c r="AX171" s="32">
        <f t="shared" si="108"/>
        <v>428434.18514322984</v>
      </c>
      <c r="AY171" s="32">
        <f t="shared" ca="1" si="109"/>
        <v>5763.046661999877</v>
      </c>
      <c r="BA171" s="32">
        <f ca="1">IF($A172="","",F171*Summary!$Q$10)</f>
        <v>0</v>
      </c>
      <c r="BC171" s="256">
        <f t="shared" ca="1" si="112"/>
        <v>115150.77884017037</v>
      </c>
    </row>
    <row r="172" spans="1:55" ht="12" customHeight="1">
      <c r="A172" s="67">
        <f t="shared" si="110"/>
        <v>41974</v>
      </c>
      <c r="B172" s="69">
        <f t="shared" si="113"/>
        <v>119740</v>
      </c>
      <c r="C172" s="71"/>
      <c r="D172" s="69">
        <f t="shared" si="76"/>
        <v>119740</v>
      </c>
      <c r="E172" s="70">
        <f t="shared" si="77"/>
        <v>3711940</v>
      </c>
      <c r="F172" s="70">
        <f t="shared" ca="1" si="78"/>
        <v>989698.52437713288</v>
      </c>
      <c r="G172" s="63">
        <f t="shared" si="79"/>
        <v>4.9870000000000001</v>
      </c>
      <c r="H172" s="64">
        <f t="shared" si="80"/>
        <v>4.9870000000000001</v>
      </c>
      <c r="I172" s="43"/>
      <c r="J172" s="328">
        <f>J160</f>
        <v>0.27500000000000002</v>
      </c>
      <c r="K172" s="64">
        <f t="shared" si="82"/>
        <v>0.27500000000000002</v>
      </c>
      <c r="L172" s="38">
        <v>0</v>
      </c>
      <c r="M172" s="64">
        <f t="shared" si="83"/>
        <v>0</v>
      </c>
      <c r="N172" s="65"/>
      <c r="O172" s="63">
        <f t="shared" si="84"/>
        <v>5.2620000000000005</v>
      </c>
      <c r="P172" s="63">
        <f t="shared" si="85"/>
        <v>5.2620000000000005</v>
      </c>
      <c r="Q172" s="66"/>
      <c r="R172" s="63">
        <f t="shared" si="86"/>
        <v>0.1</v>
      </c>
      <c r="S172" s="64">
        <f t="shared" si="87"/>
        <v>0.1</v>
      </c>
      <c r="T172" s="63">
        <f t="shared" si="88"/>
        <v>0</v>
      </c>
      <c r="U172" s="64">
        <f t="shared" si="89"/>
        <v>0</v>
      </c>
      <c r="V172" s="219">
        <f>IF($A173="","",IF(AND(MONTH(A172)&gt;3,MONTH(A172)&lt;11),(T172+R172+G172)*Summary!$T$10/(1-Summary!$T$10),(T172+R172+G172)*Summary!$U$10/(1-Summary!$U$10)))</f>
        <v>4.1024193548387093E-2</v>
      </c>
      <c r="W172" s="63">
        <f t="shared" si="90"/>
        <v>5.128024193548387</v>
      </c>
      <c r="X172" s="63">
        <f t="shared" si="91"/>
        <v>5.128024193548387</v>
      </c>
      <c r="Y172" s="43"/>
      <c r="Z172" s="38">
        <f t="shared" si="92"/>
        <v>1.1000000000000001</v>
      </c>
      <c r="AA172" s="38">
        <f t="shared" si="93"/>
        <v>0.17</v>
      </c>
      <c r="AB172" s="38">
        <f t="shared" ca="1" si="94"/>
        <v>0.18082107486574198</v>
      </c>
      <c r="AC172" s="38">
        <f t="shared" si="95"/>
        <v>1.1000000000000001</v>
      </c>
      <c r="AD172" s="38">
        <f t="shared" si="95"/>
        <v>0.17</v>
      </c>
      <c r="AE172" s="38">
        <f t="shared" ca="1" si="96"/>
        <v>0.18082107486574198</v>
      </c>
      <c r="AF172" s="237">
        <f ca="1">((Summary!$N$10*(AA172*AD172)*(A172-$D$3))+(Summary!$M$10*Z172*AC172*(AJ172-EOMONTH(EDATE(A172,-1),0))))/(AK172*AB172*AE172)</f>
        <v>0.99991159282511999</v>
      </c>
      <c r="AG172" s="88">
        <f>IF($A173="","",Summary!$Q$10)</f>
        <v>0</v>
      </c>
      <c r="AH172" s="88">
        <f>IF($A173="","",IF(Summary!$R$10="Y",(VLOOKUP($A172,Summary!$AD$6:$AF$9,3)+'Escalating commodity'!F185),'Escalating commodity'!F185))</f>
        <v>1.5820799999999999E-2</v>
      </c>
      <c r="AI172" s="88">
        <f t="shared" si="111"/>
        <v>1.5820799999999999E-2</v>
      </c>
      <c r="AJ172" s="236">
        <f t="shared" si="97"/>
        <v>41988.5</v>
      </c>
      <c r="AK172" s="58">
        <f t="shared" ca="1" si="98"/>
        <v>4948</v>
      </c>
      <c r="AL172" s="26">
        <f ca="1">IF($A173="","",_xll.SPRDOPT(P172,X172,AI172,0,AB172,AE172,AF172,AK172,$AJ$2,0))</f>
        <v>0.11992124301610743</v>
      </c>
      <c r="AM172" s="89">
        <f t="shared" si="99"/>
        <v>0.11815500645161345</v>
      </c>
      <c r="AN172" s="89">
        <f t="shared" ca="1" si="100"/>
        <v>1.7662365644939837E-3</v>
      </c>
      <c r="AO172" s="3">
        <f t="shared" si="101"/>
        <v>31</v>
      </c>
      <c r="AP172" s="33">
        <f t="shared" si="102"/>
        <v>41974</v>
      </c>
      <c r="AQ172" s="58">
        <f t="shared" ca="1" si="103"/>
        <v>4948</v>
      </c>
      <c r="AR172" s="38">
        <f>'ANR OK vs ML7'!AR172</f>
        <v>0.1</v>
      </c>
      <c r="AS172" s="35">
        <f t="shared" ca="1" si="104"/>
        <v>0.26662567939598508</v>
      </c>
      <c r="AT172" s="3">
        <f t="shared" si="105"/>
        <v>1</v>
      </c>
      <c r="AU172" s="3">
        <f t="shared" si="106"/>
        <v>31</v>
      </c>
      <c r="AW172" s="32">
        <f t="shared" ca="1" si="107"/>
        <v>445140.45880120981</v>
      </c>
      <c r="AX172" s="32">
        <f t="shared" si="108"/>
        <v>438584.29464800202</v>
      </c>
      <c r="AY172" s="32">
        <f t="shared" ca="1" si="109"/>
        <v>6556.1641532077974</v>
      </c>
      <c r="BA172" s="32">
        <f ca="1">IF($A173="","",F172*Summary!$Q$10)</f>
        <v>0</v>
      </c>
      <c r="BC172" s="256">
        <f t="shared" ca="1" si="112"/>
        <v>116937.83553293244</v>
      </c>
    </row>
    <row r="173" spans="1:55" ht="12" customHeight="1">
      <c r="A173" s="67">
        <f t="shared" si="110"/>
        <v>42005</v>
      </c>
      <c r="B173" s="69">
        <f t="shared" si="113"/>
        <v>119740</v>
      </c>
      <c r="C173" s="71"/>
      <c r="D173" s="69">
        <f t="shared" si="76"/>
        <v>119740</v>
      </c>
      <c r="E173" s="70">
        <f t="shared" si="77"/>
        <v>3711940</v>
      </c>
      <c r="F173" s="70">
        <f t="shared" ca="1" si="78"/>
        <v>981535.71789008274</v>
      </c>
      <c r="G173" s="63">
        <f t="shared" si="79"/>
        <v>5.0440000000000005</v>
      </c>
      <c r="H173" s="64">
        <f t="shared" si="80"/>
        <v>5.0440000000000005</v>
      </c>
      <c r="I173" s="43"/>
      <c r="J173" s="328">
        <f>J161</f>
        <v>0.27500000000000002</v>
      </c>
      <c r="K173" s="64">
        <f t="shared" si="82"/>
        <v>0.27500000000000002</v>
      </c>
      <c r="L173" s="38">
        <v>0</v>
      </c>
      <c r="M173" s="64">
        <f t="shared" si="83"/>
        <v>0</v>
      </c>
      <c r="N173" s="65"/>
      <c r="O173" s="63">
        <f t="shared" si="84"/>
        <v>5.3190000000000008</v>
      </c>
      <c r="P173" s="63">
        <f t="shared" si="85"/>
        <v>5.3190000000000008</v>
      </c>
      <c r="Q173" s="66"/>
      <c r="R173" s="63">
        <f t="shared" si="86"/>
        <v>0.1</v>
      </c>
      <c r="S173" s="64">
        <f t="shared" si="87"/>
        <v>0.1</v>
      </c>
      <c r="T173" s="63">
        <f t="shared" si="88"/>
        <v>0</v>
      </c>
      <c r="U173" s="64">
        <f t="shared" si="89"/>
        <v>0</v>
      </c>
      <c r="V173" s="219">
        <f>IF($A174="","",IF(AND(MONTH(A173)&gt;3,MONTH(A173)&lt;11),(T173+R173+G173)*Summary!$T$10/(1-Summary!$T$10),(T173+R173+G173)*Summary!$U$10/(1-Summary!$U$10)))</f>
        <v>4.1483870967741934E-2</v>
      </c>
      <c r="W173" s="63">
        <f t="shared" si="90"/>
        <v>5.185483870967742</v>
      </c>
      <c r="X173" s="63">
        <f t="shared" si="91"/>
        <v>5.185483870967742</v>
      </c>
      <c r="Y173" s="43"/>
      <c r="Z173" s="38">
        <f t="shared" si="92"/>
        <v>1.1000000000000001</v>
      </c>
      <c r="AA173" s="38">
        <f t="shared" si="93"/>
        <v>0.17</v>
      </c>
      <c r="AB173" s="38">
        <f t="shared" ca="1" si="94"/>
        <v>0.18075570537359381</v>
      </c>
      <c r="AC173" s="38">
        <f t="shared" si="95"/>
        <v>1.1000000000000001</v>
      </c>
      <c r="AD173" s="38">
        <f t="shared" si="95"/>
        <v>0.17</v>
      </c>
      <c r="AE173" s="38">
        <f t="shared" ca="1" si="96"/>
        <v>0.18075570537359381</v>
      </c>
      <c r="AF173" s="237">
        <f ca="1">((Summary!$N$10*(AA173*AD173)*(A173-$D$3))+(Summary!$M$10*Z173*AC173*(AJ173-EOMONTH(EDATE(A173,-1),0))))/(AK173*AB173*AE173)</f>
        <v>0.99991152898074076</v>
      </c>
      <c r="AG173" s="88">
        <f>IF($A174="","",Summary!$Q$10)</f>
        <v>0</v>
      </c>
      <c r="AH173" s="88">
        <f>IF($A174="","",IF(Summary!$R$10="Y",(VLOOKUP($A173,Summary!$AD$6:$AF$9,3)+'Escalating commodity'!F186),'Escalating commodity'!F186))</f>
        <v>0</v>
      </c>
      <c r="AI173" s="88">
        <f t="shared" si="111"/>
        <v>0</v>
      </c>
      <c r="AJ173" s="236">
        <f t="shared" si="97"/>
        <v>42019.5</v>
      </c>
      <c r="AK173" s="58">
        <f t="shared" ca="1" si="98"/>
        <v>4979</v>
      </c>
      <c r="AL173" s="26">
        <f ca="1">IF($A174="","",_xll.SPRDOPT(P173,X173,AI173,0,AB173,AE173,AF173,AK173,$AJ$2,0))</f>
        <v>0.13503616831295387</v>
      </c>
      <c r="AM173" s="89">
        <f t="shared" si="99"/>
        <v>0.13351612903225885</v>
      </c>
      <c r="AN173" s="89">
        <f t="shared" ca="1" si="100"/>
        <v>1.5200392806950236E-3</v>
      </c>
      <c r="AO173" s="3">
        <f t="shared" si="101"/>
        <v>31</v>
      </c>
      <c r="AP173" s="33">
        <f t="shared" si="102"/>
        <v>42005</v>
      </c>
      <c r="AQ173" s="58">
        <f t="shared" ca="1" si="103"/>
        <v>4979</v>
      </c>
      <c r="AR173" s="38">
        <f>'ANR OK vs ML7'!AR173</f>
        <v>0.1</v>
      </c>
      <c r="AS173" s="35">
        <f t="shared" ca="1" si="104"/>
        <v>0.26442661193071082</v>
      </c>
      <c r="AT173" s="3">
        <f t="shared" si="105"/>
        <v>1</v>
      </c>
      <c r="AU173" s="3">
        <f t="shared" si="106"/>
        <v>31</v>
      </c>
      <c r="AW173" s="32">
        <f t="shared" ca="1" si="107"/>
        <v>501246.15460758598</v>
      </c>
      <c r="AX173" s="32">
        <f t="shared" si="108"/>
        <v>495603.8600000029</v>
      </c>
      <c r="AY173" s="32">
        <f t="shared" ca="1" si="109"/>
        <v>5642.294607583086</v>
      </c>
      <c r="BA173" s="32">
        <f ca="1">IF($A174="","",F173*Summary!$Q$10)</f>
        <v>0</v>
      </c>
      <c r="BC173" s="256">
        <f t="shared" ca="1" si="112"/>
        <v>131050.8495595831</v>
      </c>
    </row>
    <row r="174" spans="1:55" ht="12" customHeight="1">
      <c r="A174" s="67">
        <f t="shared" si="110"/>
        <v>42036</v>
      </c>
      <c r="B174" s="69">
        <f t="shared" si="113"/>
        <v>119740</v>
      </c>
      <c r="C174" s="71"/>
      <c r="D174" s="69">
        <f t="shared" si="76"/>
        <v>119740</v>
      </c>
      <c r="E174" s="70">
        <f t="shared" si="77"/>
        <v>3352720</v>
      </c>
      <c r="F174" s="70">
        <f t="shared" ca="1" si="78"/>
        <v>879236.3425179621</v>
      </c>
      <c r="G174" s="63">
        <f t="shared" si="79"/>
        <v>4.9240000000000004</v>
      </c>
      <c r="H174" s="64">
        <f t="shared" si="80"/>
        <v>4.9240000000000004</v>
      </c>
      <c r="I174" s="43"/>
      <c r="J174" s="328">
        <f>J162</f>
        <v>0.27500000000000002</v>
      </c>
      <c r="K174" s="64">
        <f t="shared" si="82"/>
        <v>0.27500000000000002</v>
      </c>
      <c r="L174" s="38">
        <v>0</v>
      </c>
      <c r="M174" s="64">
        <f t="shared" si="83"/>
        <v>0</v>
      </c>
      <c r="N174" s="65"/>
      <c r="O174" s="63">
        <f t="shared" si="84"/>
        <v>5.1990000000000007</v>
      </c>
      <c r="P174" s="63">
        <f t="shared" si="85"/>
        <v>5.1990000000000007</v>
      </c>
      <c r="Q174" s="66"/>
      <c r="R174" s="63">
        <f t="shared" si="86"/>
        <v>0.1</v>
      </c>
      <c r="S174" s="64">
        <f t="shared" si="87"/>
        <v>0.1</v>
      </c>
      <c r="T174" s="63">
        <f t="shared" si="88"/>
        <v>0</v>
      </c>
      <c r="U174" s="64">
        <f t="shared" si="89"/>
        <v>0</v>
      </c>
      <c r="V174" s="219">
        <f>IF($A175="","",IF(AND(MONTH(A174)&gt;3,MONTH(A174)&lt;11),(T174+R174+G174)*Summary!$T$10/(1-Summary!$T$10),(T174+R174+G174)*Summary!$U$10/(1-Summary!$U$10)))</f>
        <v>4.0516129032258062E-2</v>
      </c>
      <c r="W174" s="63">
        <f t="shared" si="90"/>
        <v>5.064516129032258</v>
      </c>
      <c r="X174" s="63">
        <f t="shared" si="91"/>
        <v>5.064516129032258</v>
      </c>
      <c r="Y174" s="43"/>
      <c r="Z174" s="38">
        <f t="shared" si="92"/>
        <v>1.1000000000000001</v>
      </c>
      <c r="AA174" s="38">
        <f t="shared" si="93"/>
        <v>0.17</v>
      </c>
      <c r="AB174" s="38">
        <f t="shared" ca="1" si="94"/>
        <v>0.17968585361130676</v>
      </c>
      <c r="AC174" s="38">
        <f t="shared" si="95"/>
        <v>1.1000000000000001</v>
      </c>
      <c r="AD174" s="38">
        <f t="shared" si="95"/>
        <v>0.17</v>
      </c>
      <c r="AE174" s="38">
        <f t="shared" ca="1" si="96"/>
        <v>0.17968585361130676</v>
      </c>
      <c r="AF174" s="237">
        <f ca="1">((Summary!$N$10*(AA174*AD174)*(A174-$D$3))+(Summary!$M$10*Z174*AC174*(AJ174-EOMONTH(EDATE(A174,-1),0))))/(AK174*AB174*AE174)</f>
        <v>0.99991047244060405</v>
      </c>
      <c r="AG174" s="88">
        <f>IF($A175="","",Summary!$Q$10)</f>
        <v>0</v>
      </c>
      <c r="AH174" s="88">
        <f>IF($A175="","",IF(Summary!$R$10="Y",(VLOOKUP($A174,Summary!$AD$6:$AF$9,3)+'Escalating commodity'!F187),'Escalating commodity'!F187))</f>
        <v>0</v>
      </c>
      <c r="AI174" s="88">
        <f t="shared" si="111"/>
        <v>0</v>
      </c>
      <c r="AJ174" s="236">
        <f t="shared" si="97"/>
        <v>42049</v>
      </c>
      <c r="AK174" s="58">
        <f t="shared" ca="1" si="98"/>
        <v>5010</v>
      </c>
      <c r="AL174" s="26">
        <f ca="1">IF($A175="","",_xll.SPRDOPT(P174,X174,AI174,0,AB174,AE174,AF174,AK174,$AJ$2,0))</f>
        <v>0.13590641829910374</v>
      </c>
      <c r="AM174" s="89">
        <f t="shared" si="99"/>
        <v>0.13448387096774272</v>
      </c>
      <c r="AN174" s="89">
        <f t="shared" ca="1" si="100"/>
        <v>1.4225473313610182E-3</v>
      </c>
      <c r="AO174" s="3">
        <f t="shared" si="101"/>
        <v>28</v>
      </c>
      <c r="AP174" s="33">
        <f t="shared" si="102"/>
        <v>42036</v>
      </c>
      <c r="AQ174" s="58">
        <f t="shared" ca="1" si="103"/>
        <v>5010</v>
      </c>
      <c r="AR174" s="38">
        <f>'ANR OK vs ML7'!AR174</f>
        <v>0.1</v>
      </c>
      <c r="AS174" s="35">
        <f t="shared" ca="1" si="104"/>
        <v>0.26224568186963482</v>
      </c>
      <c r="AT174" s="3">
        <f t="shared" si="105"/>
        <v>1</v>
      </c>
      <c r="AU174" s="3">
        <f t="shared" si="106"/>
        <v>28</v>
      </c>
      <c r="AW174" s="32">
        <f t="shared" ca="1" si="107"/>
        <v>455656.16675977112</v>
      </c>
      <c r="AX174" s="32">
        <f t="shared" si="108"/>
        <v>450886.7638709704</v>
      </c>
      <c r="AY174" s="32">
        <f t="shared" ca="1" si="109"/>
        <v>4769.4028888007133</v>
      </c>
      <c r="BA174" s="32">
        <f ca="1">IF($A175="","",F174*Summary!$Q$10)</f>
        <v>0</v>
      </c>
    </row>
    <row r="175" spans="1:55" ht="12" customHeight="1">
      <c r="A175" s="67">
        <f t="shared" si="110"/>
        <v>42064</v>
      </c>
      <c r="B175" s="69">
        <f t="shared" si="113"/>
        <v>119740</v>
      </c>
      <c r="C175" s="71"/>
      <c r="D175" s="69">
        <f t="shared" si="76"/>
        <v>119740</v>
      </c>
      <c r="E175" s="70">
        <f t="shared" si="77"/>
        <v>3711940</v>
      </c>
      <c r="F175" s="70">
        <f t="shared" ca="1" si="78"/>
        <v>966185.59378874069</v>
      </c>
      <c r="G175" s="63">
        <f t="shared" si="79"/>
        <v>4.7850000000000001</v>
      </c>
      <c r="H175" s="64">
        <f t="shared" si="80"/>
        <v>4.7850000000000001</v>
      </c>
      <c r="I175" s="43"/>
      <c r="J175" s="328">
        <f>J163</f>
        <v>0.27500000000000002</v>
      </c>
      <c r="K175" s="64">
        <f t="shared" si="82"/>
        <v>0.27500000000000002</v>
      </c>
      <c r="L175" s="38">
        <v>0</v>
      </c>
      <c r="M175" s="64">
        <f t="shared" si="83"/>
        <v>0</v>
      </c>
      <c r="N175" s="65"/>
      <c r="O175" s="63">
        <f t="shared" si="84"/>
        <v>5.0600000000000005</v>
      </c>
      <c r="P175" s="63">
        <f t="shared" si="85"/>
        <v>5.0600000000000005</v>
      </c>
      <c r="Q175" s="66"/>
      <c r="R175" s="63">
        <f t="shared" si="86"/>
        <v>0.1</v>
      </c>
      <c r="S175" s="64">
        <f t="shared" si="87"/>
        <v>0.1</v>
      </c>
      <c r="T175" s="63">
        <f t="shared" si="88"/>
        <v>0</v>
      </c>
      <c r="U175" s="64">
        <f t="shared" si="89"/>
        <v>0</v>
      </c>
      <c r="V175" s="219">
        <f>IF($A176="","",IF(AND(MONTH(A175)&gt;3,MONTH(A175)&lt;11),(T175+R175+G175)*Summary!$T$10/(1-Summary!$T$10),(T175+R175+G175)*Summary!$U$10/(1-Summary!$U$10)))</f>
        <v>3.9395161290322576E-2</v>
      </c>
      <c r="W175" s="63">
        <f t="shared" si="90"/>
        <v>4.9243951612903221</v>
      </c>
      <c r="X175" s="63">
        <f t="shared" si="91"/>
        <v>4.9243951612903221</v>
      </c>
      <c r="Y175" s="43"/>
      <c r="Z175" s="38">
        <f t="shared" si="92"/>
        <v>0.75</v>
      </c>
      <c r="AA175" s="38">
        <f t="shared" si="93"/>
        <v>0.17</v>
      </c>
      <c r="AB175" s="38">
        <f t="shared" ca="1" si="94"/>
        <v>0.17503237946918254</v>
      </c>
      <c r="AC175" s="38">
        <f t="shared" si="95"/>
        <v>0.75</v>
      </c>
      <c r="AD175" s="38">
        <f t="shared" si="95"/>
        <v>0.17</v>
      </c>
      <c r="AE175" s="38">
        <f t="shared" ca="1" si="96"/>
        <v>0.17503237946918254</v>
      </c>
      <c r="AF175" s="237">
        <f ca="1">((Summary!$N$10*(AA175*AD175)*(A175-$D$3))+(Summary!$M$10*Z175*AC175*(AJ175-EOMONTH(EDATE(A175,-1),0))))/(AK175*AB175*AE175)</f>
        <v>0.99990564883992661</v>
      </c>
      <c r="AG175" s="88">
        <f>IF($A176="","",Summary!$Q$10)</f>
        <v>0</v>
      </c>
      <c r="AH175" s="88">
        <f>IF($A176="","",IF(Summary!$R$10="Y",(VLOOKUP($A175,Summary!$AD$6:$AF$9,3)+'Escalating commodity'!F188),'Escalating commodity'!F188))</f>
        <v>0</v>
      </c>
      <c r="AI175" s="88">
        <f t="shared" si="111"/>
        <v>0</v>
      </c>
      <c r="AJ175" s="236">
        <f t="shared" si="97"/>
        <v>42078.5</v>
      </c>
      <c r="AK175" s="58">
        <f t="shared" ca="1" si="98"/>
        <v>5038</v>
      </c>
      <c r="AL175" s="26">
        <f ca="1">IF($A176="","",_xll.SPRDOPT(P175,X175,AI175,0,AB175,AE175,AF175,AK175,$AJ$2,0))</f>
        <v>0.13689525150704943</v>
      </c>
      <c r="AM175" s="89">
        <f t="shared" si="99"/>
        <v>0.13560483870967843</v>
      </c>
      <c r="AN175" s="89">
        <f t="shared" ca="1" si="100"/>
        <v>1.2904127973709933E-3</v>
      </c>
      <c r="AO175" s="3">
        <f t="shared" si="101"/>
        <v>31</v>
      </c>
      <c r="AP175" s="33">
        <f t="shared" si="102"/>
        <v>42064</v>
      </c>
      <c r="AQ175" s="58">
        <f t="shared" ca="1" si="103"/>
        <v>5038</v>
      </c>
      <c r="AR175" s="38">
        <f>'ANR OK vs ML7'!AR175</f>
        <v>0.1</v>
      </c>
      <c r="AS175" s="35">
        <f t="shared" ca="1" si="104"/>
        <v>0.26029127458653445</v>
      </c>
      <c r="AT175" s="3">
        <f t="shared" si="105"/>
        <v>1</v>
      </c>
      <c r="AU175" s="3">
        <f t="shared" si="106"/>
        <v>31</v>
      </c>
      <c r="AW175" s="32">
        <f t="shared" ca="1" si="107"/>
        <v>508146.95987907704</v>
      </c>
      <c r="AX175" s="32">
        <f t="shared" si="108"/>
        <v>503357.02500000375</v>
      </c>
      <c r="AY175" s="32">
        <f t="shared" ca="1" si="109"/>
        <v>4789.9348790732847</v>
      </c>
      <c r="BA175" s="32">
        <f ca="1">IF($A176="","",F175*Summary!$Q$10)</f>
        <v>0</v>
      </c>
    </row>
    <row r="176" spans="1:55" ht="12" customHeight="1">
      <c r="A176" s="67">
        <f t="shared" si="110"/>
        <v>42095</v>
      </c>
      <c r="B176" s="69" t="str">
        <f t="shared" si="113"/>
        <v/>
      </c>
      <c r="C176" s="71"/>
      <c r="D176" s="69" t="str">
        <f t="shared" si="76"/>
        <v/>
      </c>
      <c r="E176" s="70" t="str">
        <f t="shared" si="77"/>
        <v/>
      </c>
      <c r="F176" s="70" t="str">
        <f t="shared" si="78"/>
        <v/>
      </c>
      <c r="G176" s="63" t="str">
        <f t="shared" si="79"/>
        <v/>
      </c>
      <c r="H176" s="64" t="str">
        <f t="shared" si="80"/>
        <v/>
      </c>
      <c r="I176" s="43"/>
      <c r="J176" s="63" t="str">
        <f t="shared" si="81"/>
        <v/>
      </c>
      <c r="K176" s="64" t="str">
        <f t="shared" si="82"/>
        <v/>
      </c>
      <c r="L176" s="38">
        <v>0</v>
      </c>
      <c r="M176" s="64" t="str">
        <f t="shared" si="83"/>
        <v/>
      </c>
      <c r="N176" s="65"/>
      <c r="O176" s="63" t="str">
        <f t="shared" si="84"/>
        <v/>
      </c>
      <c r="P176" s="63" t="str">
        <f t="shared" si="85"/>
        <v/>
      </c>
      <c r="Q176" s="66"/>
      <c r="R176" s="63" t="str">
        <f t="shared" si="86"/>
        <v/>
      </c>
      <c r="S176" s="64" t="str">
        <f t="shared" si="87"/>
        <v/>
      </c>
      <c r="T176" s="63" t="str">
        <f t="shared" si="88"/>
        <v/>
      </c>
      <c r="U176" s="64" t="str">
        <f t="shared" si="89"/>
        <v/>
      </c>
      <c r="V176" s="219" t="str">
        <f>IF($A177="","",IF(AND(MONTH(A176)&gt;3,MONTH(A176)&lt;11),(T176+R176+G176)*Summary!$T$10/(1-Summary!$T$10),(T176+R176+G176)*Summary!$U$10/(1-Summary!$U$10)))</f>
        <v/>
      </c>
      <c r="W176" s="63" t="str">
        <f t="shared" si="90"/>
        <v/>
      </c>
      <c r="X176" s="63" t="str">
        <f t="shared" si="91"/>
        <v/>
      </c>
      <c r="Y176" s="43"/>
      <c r="Z176" s="38" t="str">
        <f t="shared" si="92"/>
        <v/>
      </c>
      <c r="AA176" s="38" t="str">
        <f t="shared" si="93"/>
        <v/>
      </c>
      <c r="AB176" s="38" t="e">
        <f t="shared" si="94"/>
        <v>#VALUE!</v>
      </c>
      <c r="AC176" s="38" t="str">
        <f t="shared" si="95"/>
        <v/>
      </c>
      <c r="AD176" s="38" t="str">
        <f t="shared" si="95"/>
        <v/>
      </c>
      <c r="AE176" s="38" t="e">
        <f t="shared" si="96"/>
        <v>#VALUE!</v>
      </c>
      <c r="AF176" s="237" t="e">
        <f>((Summary!$N$10*(AA176*AD176)*(A176-$D$3))+(Summary!$M$10*Z176*AC176*(AJ176-EOMONTH(EDATE(A176,-1),0))))/(AK176*AB176*AE176)</f>
        <v>#VALUE!</v>
      </c>
      <c r="AG176" s="88" t="str">
        <f>IF($A177="","",Summary!$Q$10)</f>
        <v/>
      </c>
      <c r="AH176" s="88" t="str">
        <f>IF($A177="","",IF(Summary!$R$10="Y",(VLOOKUP($A176,Summary!$AD$6:$AF$9,3)+'Escalating commodity'!F189),'Escalating commodity'!F189))</f>
        <v/>
      </c>
      <c r="AI176" s="88" t="str">
        <f t="shared" si="111"/>
        <v/>
      </c>
      <c r="AJ176" s="236">
        <f t="shared" si="97"/>
        <v>42109</v>
      </c>
      <c r="AK176" s="58" t="str">
        <f t="shared" si="98"/>
        <v/>
      </c>
      <c r="AL176" s="26" t="str">
        <f>IF($A177="","",_xll.SPRDOPT(P176,X176,AI176,0,AB176,AE176,AF176,AK176,$AJ$2,0))</f>
        <v/>
      </c>
      <c r="AM176" s="89" t="str">
        <f t="shared" si="99"/>
        <v/>
      </c>
      <c r="AN176" s="89" t="str">
        <f t="shared" si="100"/>
        <v/>
      </c>
      <c r="AO176" s="3" t="str">
        <f t="shared" si="101"/>
        <v/>
      </c>
      <c r="AP176" s="33" t="str">
        <f t="shared" si="102"/>
        <v/>
      </c>
      <c r="AQ176" s="58" t="str">
        <f t="shared" si="103"/>
        <v/>
      </c>
      <c r="AR176" s="38">
        <f>'ANR OK vs ML7'!AR176</f>
        <v>0.1</v>
      </c>
      <c r="AS176" s="35" t="str">
        <f t="shared" si="104"/>
        <v/>
      </c>
      <c r="AT176" s="3" t="str">
        <f t="shared" si="105"/>
        <v/>
      </c>
      <c r="AU176" s="3" t="str">
        <f t="shared" si="106"/>
        <v/>
      </c>
      <c r="AW176" s="32" t="str">
        <f t="shared" si="107"/>
        <v/>
      </c>
      <c r="AX176" s="32" t="str">
        <f t="shared" si="108"/>
        <v/>
      </c>
      <c r="AY176" s="32" t="str">
        <f t="shared" si="109"/>
        <v/>
      </c>
      <c r="BA176" s="32" t="str">
        <f>IF($A177="","",F176*Summary!$Q$10)</f>
        <v/>
      </c>
    </row>
    <row r="177" spans="1:53" ht="12" customHeight="1">
      <c r="A177" s="67" t="str">
        <f t="shared" si="110"/>
        <v/>
      </c>
      <c r="B177" s="69" t="str">
        <f t="shared" si="113"/>
        <v/>
      </c>
      <c r="C177" s="71"/>
      <c r="D177" s="69" t="str">
        <f t="shared" si="76"/>
        <v/>
      </c>
      <c r="E177" s="70" t="str">
        <f t="shared" si="77"/>
        <v/>
      </c>
      <c r="F177" s="70" t="str">
        <f t="shared" si="78"/>
        <v/>
      </c>
      <c r="G177" s="63" t="str">
        <f t="shared" si="79"/>
        <v/>
      </c>
      <c r="H177" s="64" t="str">
        <f t="shared" si="80"/>
        <v/>
      </c>
      <c r="I177" s="43"/>
      <c r="J177" s="63" t="str">
        <f t="shared" si="81"/>
        <v/>
      </c>
      <c r="K177" s="64" t="str">
        <f t="shared" si="82"/>
        <v/>
      </c>
      <c r="L177" s="38">
        <v>0</v>
      </c>
      <c r="M177" s="64" t="str">
        <f t="shared" si="83"/>
        <v/>
      </c>
      <c r="N177" s="65"/>
      <c r="O177" s="63" t="str">
        <f t="shared" si="84"/>
        <v/>
      </c>
      <c r="P177" s="63" t="str">
        <f t="shared" si="85"/>
        <v/>
      </c>
      <c r="Q177" s="66"/>
      <c r="R177" s="63" t="str">
        <f t="shared" si="86"/>
        <v/>
      </c>
      <c r="S177" s="64" t="str">
        <f t="shared" si="87"/>
        <v/>
      </c>
      <c r="T177" s="63" t="str">
        <f t="shared" si="88"/>
        <v/>
      </c>
      <c r="U177" s="64" t="str">
        <f t="shared" si="89"/>
        <v/>
      </c>
      <c r="V177" s="219" t="str">
        <f>IF($A178="","",IF(AND(MONTH(A177)&gt;3,MONTH(A177)&lt;11),(T177+R177+G177)*Summary!$T$10/(1-Summary!$T$10),(T177+R177+G177)*Summary!$U$10/(1-Summary!$U$10)))</f>
        <v/>
      </c>
      <c r="W177" s="63" t="str">
        <f t="shared" si="90"/>
        <v/>
      </c>
      <c r="X177" s="63" t="str">
        <f t="shared" si="91"/>
        <v/>
      </c>
      <c r="Y177" s="43"/>
      <c r="Z177" s="38" t="str">
        <f t="shared" si="92"/>
        <v/>
      </c>
      <c r="AA177" s="38" t="str">
        <f t="shared" si="93"/>
        <v/>
      </c>
      <c r="AB177" s="38" t="e">
        <f t="shared" si="94"/>
        <v>#VALUE!</v>
      </c>
      <c r="AC177" s="38" t="str">
        <f t="shared" si="95"/>
        <v/>
      </c>
      <c r="AD177" s="38" t="str">
        <f t="shared" si="95"/>
        <v/>
      </c>
      <c r="AE177" s="38" t="e">
        <f t="shared" si="96"/>
        <v>#VALUE!</v>
      </c>
      <c r="AF177" s="237" t="e">
        <f>((Summary!$N$10*(AA177*AD177)*(A177-$D$3))+(Summary!$M$10*Z177*AC177*(AJ177-EOMONTH(EDATE(A177,-1),0))))/(AK177*AB177*AE177)</f>
        <v>#VALUE!</v>
      </c>
      <c r="AG177" s="88" t="str">
        <f>IF($A178="","",Summary!$Q$10)</f>
        <v/>
      </c>
      <c r="AH177" s="88" t="str">
        <f>IF($A178="","",IF(Summary!$R$10="Y",(VLOOKUP($A177,Summary!$AD$6:$AF$9,3)+'Escalating commodity'!F190),'Escalating commodity'!F190))</f>
        <v/>
      </c>
      <c r="AI177" s="88" t="str">
        <f t="shared" si="111"/>
        <v/>
      </c>
      <c r="AJ177" s="236" t="e">
        <f t="shared" si="97"/>
        <v>#VALUE!</v>
      </c>
      <c r="AK177" s="58" t="str">
        <f t="shared" si="98"/>
        <v/>
      </c>
      <c r="AL177" s="26" t="str">
        <f>IF($A178="","",_xll.SPRDOPT(P177,X177,AI177,0,AB177,AE177,AF177,AK177,$AJ$2,0))</f>
        <v/>
      </c>
      <c r="AM177" s="89" t="str">
        <f t="shared" si="99"/>
        <v/>
      </c>
      <c r="AN177" s="89" t="str">
        <f t="shared" si="100"/>
        <v/>
      </c>
      <c r="AO177" s="3" t="str">
        <f t="shared" si="101"/>
        <v/>
      </c>
      <c r="AP177" s="33" t="str">
        <f t="shared" si="102"/>
        <v/>
      </c>
      <c r="AQ177" s="58" t="str">
        <f t="shared" si="103"/>
        <v/>
      </c>
      <c r="AR177" s="38">
        <f>'ANR OK vs ML7'!AR177</f>
        <v>0.1</v>
      </c>
      <c r="AS177" s="35" t="str">
        <f t="shared" si="104"/>
        <v/>
      </c>
      <c r="AT177" s="3" t="str">
        <f t="shared" si="105"/>
        <v/>
      </c>
      <c r="AU177" s="3" t="str">
        <f t="shared" si="106"/>
        <v/>
      </c>
      <c r="AW177" s="32" t="str">
        <f t="shared" si="107"/>
        <v/>
      </c>
      <c r="AX177" s="32" t="str">
        <f t="shared" si="108"/>
        <v/>
      </c>
      <c r="AY177" s="32" t="str">
        <f t="shared" si="109"/>
        <v/>
      </c>
      <c r="BA177" s="32" t="str">
        <f>IF($A178="","",F177*Summary!$Q$10)</f>
        <v/>
      </c>
    </row>
    <row r="178" spans="1:53" ht="12" customHeight="1">
      <c r="A178" s="67" t="str">
        <f t="shared" si="110"/>
        <v/>
      </c>
      <c r="B178" s="69" t="str">
        <f t="shared" si="113"/>
        <v/>
      </c>
      <c r="C178" s="71"/>
      <c r="D178" s="69" t="str">
        <f t="shared" si="76"/>
        <v/>
      </c>
      <c r="E178" s="70" t="str">
        <f t="shared" si="77"/>
        <v/>
      </c>
      <c r="F178" s="70" t="str">
        <f t="shared" si="78"/>
        <v/>
      </c>
      <c r="G178" s="63" t="str">
        <f t="shared" si="79"/>
        <v/>
      </c>
      <c r="H178" s="64" t="str">
        <f t="shared" si="80"/>
        <v/>
      </c>
      <c r="I178" s="43"/>
      <c r="J178" s="63" t="str">
        <f t="shared" si="81"/>
        <v/>
      </c>
      <c r="K178" s="64" t="str">
        <f t="shared" si="82"/>
        <v/>
      </c>
      <c r="L178" s="38">
        <v>0</v>
      </c>
      <c r="M178" s="64" t="str">
        <f t="shared" si="83"/>
        <v/>
      </c>
      <c r="N178" s="65"/>
      <c r="O178" s="63" t="str">
        <f t="shared" si="84"/>
        <v/>
      </c>
      <c r="P178" s="63" t="str">
        <f t="shared" si="85"/>
        <v/>
      </c>
      <c r="Q178" s="66"/>
      <c r="R178" s="63" t="str">
        <f t="shared" si="86"/>
        <v/>
      </c>
      <c r="S178" s="64" t="str">
        <f t="shared" si="87"/>
        <v/>
      </c>
      <c r="T178" s="63" t="str">
        <f t="shared" si="88"/>
        <v/>
      </c>
      <c r="U178" s="64" t="str">
        <f t="shared" si="89"/>
        <v/>
      </c>
      <c r="V178" s="219" t="str">
        <f>IF($A179="","",IF(AND(MONTH(A178)&gt;3,MONTH(A178)&lt;11),(T178+R178+G178)*Summary!$T$10/(1-Summary!$T$10),(T178+R178+G178)*Summary!$U$10/(1-Summary!$U$10)))</f>
        <v/>
      </c>
      <c r="W178" s="63" t="str">
        <f t="shared" si="90"/>
        <v/>
      </c>
      <c r="X178" s="63" t="str">
        <f t="shared" si="91"/>
        <v/>
      </c>
      <c r="Y178" s="43"/>
      <c r="Z178" s="38" t="str">
        <f t="shared" si="92"/>
        <v/>
      </c>
      <c r="AA178" s="38" t="str">
        <f t="shared" si="93"/>
        <v/>
      </c>
      <c r="AB178" s="38" t="e">
        <f t="shared" si="94"/>
        <v>#VALUE!</v>
      </c>
      <c r="AC178" s="38" t="str">
        <f t="shared" si="95"/>
        <v/>
      </c>
      <c r="AD178" s="38" t="str">
        <f t="shared" si="95"/>
        <v/>
      </c>
      <c r="AE178" s="38" t="e">
        <f t="shared" si="96"/>
        <v>#VALUE!</v>
      </c>
      <c r="AF178" s="237" t="e">
        <f>((Summary!$N$10*(AA178*AD178)*(A178-$D$3))+(Summary!$M$10*Z178*AC178*(AJ178-EOMONTH(EDATE(A178,-1),0))))/(AK178*AB178*AE178)</f>
        <v>#VALUE!</v>
      </c>
      <c r="AG178" s="88" t="str">
        <f>IF($A179="","",Summary!$Q$10)</f>
        <v/>
      </c>
      <c r="AH178" s="88" t="str">
        <f>IF($A179="","",IF(Summary!$R$10="Y",(VLOOKUP($A178,Summary!$AD$6:$AF$9,3)+'Escalating commodity'!F191),'Escalating commodity'!F191))</f>
        <v/>
      </c>
      <c r="AI178" s="88" t="str">
        <f t="shared" si="111"/>
        <v/>
      </c>
      <c r="AJ178" s="236" t="e">
        <f t="shared" si="97"/>
        <v>#VALUE!</v>
      </c>
      <c r="AK178" s="58" t="str">
        <f t="shared" si="98"/>
        <v/>
      </c>
      <c r="AL178" s="26" t="str">
        <f>IF($A179="","",_xll.SPRDOPT(P178,X178,AI178,0,AB178,AE178,AF178,AK178,$AJ$2,0))</f>
        <v/>
      </c>
      <c r="AM178" s="89" t="str">
        <f t="shared" si="99"/>
        <v/>
      </c>
      <c r="AN178" s="89" t="str">
        <f t="shared" si="100"/>
        <v/>
      </c>
      <c r="AO178" s="3" t="str">
        <f t="shared" si="101"/>
        <v/>
      </c>
      <c r="AP178" s="33" t="str">
        <f t="shared" si="102"/>
        <v/>
      </c>
      <c r="AQ178" s="58" t="str">
        <f t="shared" si="103"/>
        <v/>
      </c>
      <c r="AR178" s="38">
        <f>'ANR OK vs ML7'!AR178</f>
        <v>0.1</v>
      </c>
      <c r="AS178" s="35" t="str">
        <f t="shared" si="104"/>
        <v/>
      </c>
      <c r="AT178" s="3" t="str">
        <f t="shared" si="105"/>
        <v/>
      </c>
      <c r="AU178" s="3" t="str">
        <f t="shared" si="106"/>
        <v/>
      </c>
      <c r="AW178" s="32" t="str">
        <f t="shared" si="107"/>
        <v/>
      </c>
      <c r="AX178" s="32" t="str">
        <f t="shared" si="108"/>
        <v/>
      </c>
      <c r="AY178" s="32" t="str">
        <f t="shared" si="109"/>
        <v/>
      </c>
      <c r="BA178" s="32" t="str">
        <f>IF($A179="","",F178*Summary!$Q$10)</f>
        <v/>
      </c>
    </row>
    <row r="179" spans="1:53" ht="12" customHeight="1">
      <c r="A179" s="67" t="str">
        <f t="shared" si="110"/>
        <v/>
      </c>
      <c r="B179" s="69" t="str">
        <f t="shared" si="113"/>
        <v/>
      </c>
      <c r="C179" s="71"/>
      <c r="D179" s="69" t="str">
        <f t="shared" si="76"/>
        <v/>
      </c>
      <c r="E179" s="70" t="str">
        <f t="shared" si="77"/>
        <v/>
      </c>
      <c r="F179" s="70" t="str">
        <f t="shared" si="78"/>
        <v/>
      </c>
      <c r="G179" s="63" t="str">
        <f t="shared" si="79"/>
        <v/>
      </c>
      <c r="H179" s="64" t="str">
        <f t="shared" si="80"/>
        <v/>
      </c>
      <c r="I179" s="43"/>
      <c r="J179" s="63" t="str">
        <f t="shared" si="81"/>
        <v/>
      </c>
      <c r="K179" s="64" t="str">
        <f t="shared" si="82"/>
        <v/>
      </c>
      <c r="L179" s="38">
        <v>0</v>
      </c>
      <c r="M179" s="64" t="str">
        <f t="shared" si="83"/>
        <v/>
      </c>
      <c r="N179" s="65"/>
      <c r="O179" s="63" t="str">
        <f t="shared" si="84"/>
        <v/>
      </c>
      <c r="P179" s="63" t="str">
        <f t="shared" si="85"/>
        <v/>
      </c>
      <c r="Q179" s="66"/>
      <c r="R179" s="63" t="str">
        <f t="shared" si="86"/>
        <v/>
      </c>
      <c r="S179" s="64" t="str">
        <f t="shared" si="87"/>
        <v/>
      </c>
      <c r="T179" s="63" t="str">
        <f t="shared" si="88"/>
        <v/>
      </c>
      <c r="U179" s="64" t="str">
        <f t="shared" si="89"/>
        <v/>
      </c>
      <c r="V179" s="219" t="str">
        <f>IF($A180="","",IF(AND(MONTH(A179)&gt;3,MONTH(A179)&lt;11),(T179+R179+G179)*Summary!$T$10/(1-Summary!$T$10),(T179+R179+G179)*Summary!$U$10/(1-Summary!$U$10)))</f>
        <v/>
      </c>
      <c r="W179" s="63" t="str">
        <f t="shared" si="90"/>
        <v/>
      </c>
      <c r="X179" s="63" t="str">
        <f t="shared" si="91"/>
        <v/>
      </c>
      <c r="Y179" s="43"/>
      <c r="Z179" s="38" t="str">
        <f t="shared" si="92"/>
        <v/>
      </c>
      <c r="AA179" s="38" t="str">
        <f t="shared" si="93"/>
        <v/>
      </c>
      <c r="AB179" s="38" t="e">
        <f t="shared" si="94"/>
        <v>#VALUE!</v>
      </c>
      <c r="AC179" s="38" t="str">
        <f t="shared" si="95"/>
        <v/>
      </c>
      <c r="AD179" s="38" t="str">
        <f t="shared" si="95"/>
        <v/>
      </c>
      <c r="AE179" s="38" t="e">
        <f t="shared" si="96"/>
        <v>#VALUE!</v>
      </c>
      <c r="AF179" s="237" t="e">
        <f>((Summary!$N$10*(AA179*AD179)*(A179-$D$3))+(Summary!$M$10*Z179*AC179*(AJ179-EOMONTH(EDATE(A179,-1),0))))/(AK179*AB179*AE179)</f>
        <v>#VALUE!</v>
      </c>
      <c r="AG179" s="88" t="str">
        <f>IF($A180="","",Summary!$Q$10)</f>
        <v/>
      </c>
      <c r="AH179" s="88" t="str">
        <f>IF($A180="","",IF(Summary!$R$10="Y",(VLOOKUP($A179,Summary!$AD$6:$AF$9,3)+'Escalating commodity'!F192),'Escalating commodity'!F192))</f>
        <v/>
      </c>
      <c r="AI179" s="88" t="str">
        <f t="shared" si="111"/>
        <v/>
      </c>
      <c r="AJ179" s="236" t="e">
        <f t="shared" si="97"/>
        <v>#VALUE!</v>
      </c>
      <c r="AK179" s="58" t="str">
        <f t="shared" si="98"/>
        <v/>
      </c>
      <c r="AL179" s="26" t="str">
        <f>IF($A180="","",_xll.SPRDOPT(P179,X179,AI179,0,AB179,AE179,AF179,AK179,$AJ$2,0))</f>
        <v/>
      </c>
      <c r="AM179" s="89" t="str">
        <f t="shared" si="99"/>
        <v/>
      </c>
      <c r="AN179" s="89" t="str">
        <f t="shared" si="100"/>
        <v/>
      </c>
      <c r="AO179" s="3" t="str">
        <f t="shared" si="101"/>
        <v/>
      </c>
      <c r="AP179" s="33" t="str">
        <f t="shared" si="102"/>
        <v/>
      </c>
      <c r="AQ179" s="58" t="str">
        <f t="shared" si="103"/>
        <v/>
      </c>
      <c r="AR179" s="38">
        <f>'ANR OK vs ML7'!AR179</f>
        <v>0.1</v>
      </c>
      <c r="AS179" s="35" t="str">
        <f t="shared" si="104"/>
        <v/>
      </c>
      <c r="AT179" s="3" t="str">
        <f t="shared" si="105"/>
        <v/>
      </c>
      <c r="AU179" s="3" t="str">
        <f t="shared" si="106"/>
        <v/>
      </c>
      <c r="AW179" s="32" t="str">
        <f t="shared" si="107"/>
        <v/>
      </c>
      <c r="AX179" s="32" t="str">
        <f t="shared" si="108"/>
        <v/>
      </c>
      <c r="AY179" s="32" t="str">
        <f t="shared" si="109"/>
        <v/>
      </c>
      <c r="BA179" s="32" t="str">
        <f>IF($A180="","",F179*Summary!$Q$10)</f>
        <v/>
      </c>
    </row>
    <row r="180" spans="1:53" ht="12" customHeight="1">
      <c r="A180" s="67" t="str">
        <f t="shared" si="110"/>
        <v/>
      </c>
      <c r="B180" s="69" t="str">
        <f t="shared" si="113"/>
        <v/>
      </c>
      <c r="C180" s="71"/>
      <c r="D180" s="69" t="str">
        <f t="shared" si="76"/>
        <v/>
      </c>
      <c r="E180" s="70" t="str">
        <f t="shared" si="77"/>
        <v/>
      </c>
      <c r="F180" s="70" t="str">
        <f t="shared" si="78"/>
        <v/>
      </c>
      <c r="G180" s="63" t="str">
        <f t="shared" si="79"/>
        <v/>
      </c>
      <c r="H180" s="64" t="str">
        <f t="shared" si="80"/>
        <v/>
      </c>
      <c r="I180" s="43"/>
      <c r="J180" s="63" t="str">
        <f t="shared" si="81"/>
        <v/>
      </c>
      <c r="K180" s="64" t="str">
        <f t="shared" si="82"/>
        <v/>
      </c>
      <c r="L180" s="38">
        <v>0</v>
      </c>
      <c r="M180" s="64" t="str">
        <f t="shared" si="83"/>
        <v/>
      </c>
      <c r="N180" s="65"/>
      <c r="O180" s="63" t="str">
        <f t="shared" si="84"/>
        <v/>
      </c>
      <c r="P180" s="63" t="str">
        <f t="shared" si="85"/>
        <v/>
      </c>
      <c r="Q180" s="66"/>
      <c r="R180" s="63" t="str">
        <f t="shared" si="86"/>
        <v/>
      </c>
      <c r="S180" s="64" t="str">
        <f t="shared" si="87"/>
        <v/>
      </c>
      <c r="T180" s="63" t="str">
        <f t="shared" si="88"/>
        <v/>
      </c>
      <c r="U180" s="64" t="str">
        <f t="shared" si="89"/>
        <v/>
      </c>
      <c r="V180" s="219" t="str">
        <f>IF($A181="","",IF(AND(MONTH(A180)&gt;3,MONTH(A180)&lt;11),(T180+R180+G180)*Summary!$T$10/(1-Summary!$T$10),(T180+R180+G180)*Summary!$U$10/(1-Summary!$U$10)))</f>
        <v/>
      </c>
      <c r="W180" s="63" t="str">
        <f t="shared" si="90"/>
        <v/>
      </c>
      <c r="X180" s="63" t="str">
        <f t="shared" si="91"/>
        <v/>
      </c>
      <c r="Y180" s="43"/>
      <c r="Z180" s="38" t="str">
        <f t="shared" si="92"/>
        <v/>
      </c>
      <c r="AA180" s="38" t="str">
        <f t="shared" si="93"/>
        <v/>
      </c>
      <c r="AB180" s="38" t="e">
        <f t="shared" si="94"/>
        <v>#VALUE!</v>
      </c>
      <c r="AC180" s="38" t="str">
        <f t="shared" si="95"/>
        <v/>
      </c>
      <c r="AD180" s="38" t="str">
        <f t="shared" si="95"/>
        <v/>
      </c>
      <c r="AE180" s="38" t="e">
        <f t="shared" si="96"/>
        <v>#VALUE!</v>
      </c>
      <c r="AF180" s="237" t="e">
        <f>((Summary!$N$10*(AA180*AD180)*(A180-$D$3))+(Summary!$M$10*Z180*AC180*(AJ180-EOMONTH(EDATE(A180,-1),0))))/(AK180*AB180*AE180)</f>
        <v>#VALUE!</v>
      </c>
      <c r="AG180" s="88" t="str">
        <f>IF($A181="","",Summary!$Q$10)</f>
        <v/>
      </c>
      <c r="AH180" s="88" t="str">
        <f>IF($A181="","",IF(Summary!$R$10="Y",(VLOOKUP($A180,Summary!$AD$6:$AF$9,3)+'Escalating commodity'!F193),'Escalating commodity'!F193))</f>
        <v/>
      </c>
      <c r="AI180" s="88" t="str">
        <f t="shared" si="111"/>
        <v/>
      </c>
      <c r="AJ180" s="236" t="e">
        <f t="shared" si="97"/>
        <v>#VALUE!</v>
      </c>
      <c r="AK180" s="58" t="str">
        <f t="shared" si="98"/>
        <v/>
      </c>
      <c r="AL180" s="26" t="str">
        <f>IF($A181="","",_xll.SPRDOPT(P180,X180,AI180,0,AB180,AE180,AF180,AK180,$AJ$2,0))</f>
        <v/>
      </c>
      <c r="AM180" s="89" t="str">
        <f t="shared" si="99"/>
        <v/>
      </c>
      <c r="AN180" s="89" t="str">
        <f t="shared" si="100"/>
        <v/>
      </c>
      <c r="AO180" s="3" t="str">
        <f t="shared" si="101"/>
        <v/>
      </c>
      <c r="AP180" s="33" t="str">
        <f t="shared" si="102"/>
        <v/>
      </c>
      <c r="AQ180" s="58" t="str">
        <f t="shared" si="103"/>
        <v/>
      </c>
      <c r="AR180" s="38">
        <f>'ANR OK vs ML7'!AR180</f>
        <v>0.1</v>
      </c>
      <c r="AS180" s="35" t="str">
        <f t="shared" si="104"/>
        <v/>
      </c>
      <c r="AT180" s="3" t="str">
        <f t="shared" si="105"/>
        <v/>
      </c>
      <c r="AU180" s="3" t="str">
        <f t="shared" si="106"/>
        <v/>
      </c>
      <c r="AW180" s="32" t="str">
        <f t="shared" si="107"/>
        <v/>
      </c>
      <c r="AX180" s="32" t="str">
        <f t="shared" si="108"/>
        <v/>
      </c>
      <c r="AY180" s="32" t="str">
        <f t="shared" si="109"/>
        <v/>
      </c>
      <c r="BA180" s="32" t="str">
        <f>IF($A181="","",F180*Summary!$Q$10)</f>
        <v/>
      </c>
    </row>
    <row r="181" spans="1:53" ht="12" customHeight="1">
      <c r="A181" s="67" t="str">
        <f t="shared" si="110"/>
        <v/>
      </c>
      <c r="B181" s="69" t="str">
        <f t="shared" si="113"/>
        <v/>
      </c>
      <c r="C181" s="71"/>
      <c r="D181" s="69" t="str">
        <f t="shared" si="76"/>
        <v/>
      </c>
      <c r="E181" s="70" t="str">
        <f t="shared" si="77"/>
        <v/>
      </c>
      <c r="F181" s="70" t="str">
        <f t="shared" si="78"/>
        <v/>
      </c>
      <c r="G181" s="63" t="str">
        <f t="shared" si="79"/>
        <v/>
      </c>
      <c r="H181" s="64" t="str">
        <f t="shared" si="80"/>
        <v/>
      </c>
      <c r="I181" s="43"/>
      <c r="J181" s="63" t="str">
        <f t="shared" si="81"/>
        <v/>
      </c>
      <c r="K181" s="64" t="str">
        <f t="shared" si="82"/>
        <v/>
      </c>
      <c r="L181" s="38">
        <v>0</v>
      </c>
      <c r="M181" s="64" t="str">
        <f t="shared" si="83"/>
        <v/>
      </c>
      <c r="N181" s="65"/>
      <c r="O181" s="63" t="str">
        <f t="shared" si="84"/>
        <v/>
      </c>
      <c r="P181" s="63" t="str">
        <f t="shared" si="85"/>
        <v/>
      </c>
      <c r="Q181" s="66"/>
      <c r="R181" s="63" t="str">
        <f t="shared" si="86"/>
        <v/>
      </c>
      <c r="S181" s="64" t="str">
        <f t="shared" si="87"/>
        <v/>
      </c>
      <c r="T181" s="63" t="str">
        <f t="shared" si="88"/>
        <v/>
      </c>
      <c r="U181" s="64" t="str">
        <f t="shared" si="89"/>
        <v/>
      </c>
      <c r="V181" s="219" t="str">
        <f>IF($A182="","",IF(AND(MONTH(A181)&gt;3,MONTH(A181)&lt;11),(T181+R181+G181)*Summary!$T$10/(1-Summary!$T$10),(T181+R181+G181)*Summary!$U$10/(1-Summary!$U$10)))</f>
        <v/>
      </c>
      <c r="W181" s="63" t="str">
        <f t="shared" si="90"/>
        <v/>
      </c>
      <c r="X181" s="63" t="str">
        <f t="shared" si="91"/>
        <v/>
      </c>
      <c r="Y181" s="43"/>
      <c r="Z181" s="38" t="str">
        <f t="shared" si="92"/>
        <v/>
      </c>
      <c r="AA181" s="38" t="str">
        <f t="shared" si="93"/>
        <v/>
      </c>
      <c r="AB181" s="38" t="e">
        <f t="shared" si="94"/>
        <v>#VALUE!</v>
      </c>
      <c r="AC181" s="38" t="str">
        <f t="shared" si="95"/>
        <v/>
      </c>
      <c r="AD181" s="38" t="str">
        <f t="shared" si="95"/>
        <v/>
      </c>
      <c r="AE181" s="38" t="e">
        <f t="shared" si="96"/>
        <v>#VALUE!</v>
      </c>
      <c r="AF181" s="237" t="e">
        <f>((Summary!$N$10*(AA181*AD181)*(A181-$D$3))+(Summary!$M$10*Z181*AC181*(AJ181-EOMONTH(EDATE(A181,-1),0))))/(AK181*AB181*AE181)</f>
        <v>#VALUE!</v>
      </c>
      <c r="AG181" s="88" t="str">
        <f>IF($A182="","",Summary!$Q$10)</f>
        <v/>
      </c>
      <c r="AH181" s="88" t="str">
        <f>IF($A182="","",IF(Summary!$R$10="Y",(VLOOKUP($A181,Summary!$AD$6:$AF$9,3)+'Escalating commodity'!F194),'Escalating commodity'!F194))</f>
        <v/>
      </c>
      <c r="AI181" s="88" t="str">
        <f t="shared" si="111"/>
        <v/>
      </c>
      <c r="AJ181" s="236" t="e">
        <f t="shared" si="97"/>
        <v>#VALUE!</v>
      </c>
      <c r="AK181" s="58" t="str">
        <f t="shared" si="98"/>
        <v/>
      </c>
      <c r="AL181" s="26" t="str">
        <f>IF($A182="","",_xll.SPRDOPT(P181,X181,AI181,0,AB181,AE181,AF181,AK181,$AJ$2,0))</f>
        <v/>
      </c>
      <c r="AM181" s="89" t="str">
        <f t="shared" si="99"/>
        <v/>
      </c>
      <c r="AN181" s="89" t="str">
        <f t="shared" si="100"/>
        <v/>
      </c>
      <c r="AO181" s="3" t="str">
        <f t="shared" si="101"/>
        <v/>
      </c>
      <c r="AP181" s="33" t="str">
        <f t="shared" si="102"/>
        <v/>
      </c>
      <c r="AQ181" s="58" t="str">
        <f t="shared" si="103"/>
        <v/>
      </c>
      <c r="AR181" s="38">
        <f>'ANR OK vs ML7'!AR181</f>
        <v>0.1</v>
      </c>
      <c r="AS181" s="35" t="str">
        <f t="shared" si="104"/>
        <v/>
      </c>
      <c r="AT181" s="3" t="str">
        <f t="shared" si="105"/>
        <v/>
      </c>
      <c r="AU181" s="3" t="str">
        <f t="shared" si="106"/>
        <v/>
      </c>
      <c r="AW181" s="32" t="str">
        <f t="shared" si="107"/>
        <v/>
      </c>
      <c r="AX181" s="32" t="str">
        <f t="shared" si="108"/>
        <v/>
      </c>
      <c r="AY181" s="32" t="str">
        <f t="shared" si="109"/>
        <v/>
      </c>
      <c r="BA181" s="32" t="str">
        <f>IF($A182="","",F181*Summary!$Q$10)</f>
        <v/>
      </c>
    </row>
    <row r="182" spans="1:53" ht="12" customHeight="1">
      <c r="A182" s="67" t="str">
        <f t="shared" si="110"/>
        <v/>
      </c>
      <c r="B182" s="69" t="str">
        <f t="shared" si="113"/>
        <v/>
      </c>
      <c r="C182" s="71"/>
      <c r="D182" s="69" t="str">
        <f t="shared" si="76"/>
        <v/>
      </c>
      <c r="E182" s="70" t="str">
        <f t="shared" si="77"/>
        <v/>
      </c>
      <c r="F182" s="70" t="str">
        <f t="shared" si="78"/>
        <v/>
      </c>
      <c r="G182" s="63" t="str">
        <f t="shared" si="79"/>
        <v/>
      </c>
      <c r="H182" s="64" t="str">
        <f t="shared" si="80"/>
        <v/>
      </c>
      <c r="I182" s="43"/>
      <c r="J182" s="63" t="str">
        <f t="shared" si="81"/>
        <v/>
      </c>
      <c r="K182" s="64" t="str">
        <f t="shared" si="82"/>
        <v/>
      </c>
      <c r="L182" s="38">
        <v>0</v>
      </c>
      <c r="M182" s="64" t="str">
        <f t="shared" si="83"/>
        <v/>
      </c>
      <c r="N182" s="65"/>
      <c r="O182" s="63" t="str">
        <f t="shared" si="84"/>
        <v/>
      </c>
      <c r="P182" s="63" t="str">
        <f t="shared" si="85"/>
        <v/>
      </c>
      <c r="Q182" s="66"/>
      <c r="R182" s="63" t="str">
        <f t="shared" si="86"/>
        <v/>
      </c>
      <c r="S182" s="64" t="str">
        <f t="shared" si="87"/>
        <v/>
      </c>
      <c r="T182" s="63" t="str">
        <f t="shared" si="88"/>
        <v/>
      </c>
      <c r="U182" s="64" t="str">
        <f t="shared" si="89"/>
        <v/>
      </c>
      <c r="V182" s="219" t="str">
        <f>IF($A183="","",IF(AND(MONTH(A182)&gt;3,MONTH(A182)&lt;11),(T182+R182+G182)*Summary!$T$10/(1-Summary!$T$10),(T182+R182+G182)*Summary!$U$10/(1-Summary!$U$10)))</f>
        <v/>
      </c>
      <c r="W182" s="63" t="str">
        <f t="shared" si="90"/>
        <v/>
      </c>
      <c r="X182" s="63" t="str">
        <f t="shared" si="91"/>
        <v/>
      </c>
      <c r="Y182" s="43"/>
      <c r="Z182" s="38" t="str">
        <f t="shared" si="92"/>
        <v/>
      </c>
      <c r="AA182" s="38" t="str">
        <f t="shared" si="93"/>
        <v/>
      </c>
      <c r="AB182" s="38" t="e">
        <f t="shared" si="94"/>
        <v>#VALUE!</v>
      </c>
      <c r="AC182" s="38" t="str">
        <f t="shared" si="95"/>
        <v/>
      </c>
      <c r="AD182" s="38" t="str">
        <f t="shared" si="95"/>
        <v/>
      </c>
      <c r="AE182" s="38" t="e">
        <f t="shared" si="96"/>
        <v>#VALUE!</v>
      </c>
      <c r="AF182" s="237" t="e">
        <f>((Summary!$N$10*(AA182*AD182)*(A182-$D$3))+(Summary!$M$10*Z182*AC182*(AJ182-EOMONTH(EDATE(A182,-1),0))))/(AK182*AB182*AE182)</f>
        <v>#VALUE!</v>
      </c>
      <c r="AG182" s="88" t="str">
        <f>IF($A183="","",Summary!$Q$10)</f>
        <v/>
      </c>
      <c r="AH182" s="88" t="str">
        <f>IF($A183="","",IF(Summary!$R$10="Y",(VLOOKUP($A182,Summary!$AD$6:$AF$9,3)+'Escalating commodity'!F195),'Escalating commodity'!F195))</f>
        <v/>
      </c>
      <c r="AI182" s="88" t="str">
        <f t="shared" si="111"/>
        <v/>
      </c>
      <c r="AJ182" s="236" t="e">
        <f t="shared" si="97"/>
        <v>#VALUE!</v>
      </c>
      <c r="AK182" s="58" t="str">
        <f t="shared" si="98"/>
        <v/>
      </c>
      <c r="AL182" s="26" t="str">
        <f>IF($A183="","",_xll.SPRDOPT(P182,X182,AI182,0,AB182,AE182,AF182,AK182,$AJ$2,0))</f>
        <v/>
      </c>
      <c r="AM182" s="89" t="str">
        <f t="shared" si="99"/>
        <v/>
      </c>
      <c r="AN182" s="89" t="str">
        <f t="shared" si="100"/>
        <v/>
      </c>
      <c r="AO182" s="3" t="str">
        <f t="shared" si="101"/>
        <v/>
      </c>
      <c r="AP182" s="33" t="str">
        <f t="shared" si="102"/>
        <v/>
      </c>
      <c r="AQ182" s="58" t="str">
        <f t="shared" si="103"/>
        <v/>
      </c>
      <c r="AR182" s="38">
        <f>'ANR OK vs ML7'!AR182</f>
        <v>0.1</v>
      </c>
      <c r="AS182" s="35" t="str">
        <f t="shared" si="104"/>
        <v/>
      </c>
      <c r="AT182" s="3" t="str">
        <f t="shared" si="105"/>
        <v/>
      </c>
      <c r="AU182" s="3" t="str">
        <f t="shared" si="106"/>
        <v/>
      </c>
      <c r="AW182" s="32" t="str">
        <f t="shared" si="107"/>
        <v/>
      </c>
      <c r="AX182" s="32" t="str">
        <f t="shared" si="108"/>
        <v/>
      </c>
      <c r="AY182" s="32" t="str">
        <f t="shared" si="109"/>
        <v/>
      </c>
      <c r="BA182" s="32" t="str">
        <f>IF($A183="","",F182*Summary!$Q$10)</f>
        <v/>
      </c>
    </row>
    <row r="183" spans="1:53" ht="12" customHeight="1">
      <c r="A183" s="67" t="str">
        <f t="shared" si="110"/>
        <v/>
      </c>
      <c r="B183" s="69" t="str">
        <f t="shared" si="113"/>
        <v/>
      </c>
      <c r="C183" s="71"/>
      <c r="D183" s="69" t="str">
        <f t="shared" si="76"/>
        <v/>
      </c>
      <c r="E183" s="70" t="str">
        <f t="shared" si="77"/>
        <v/>
      </c>
      <c r="F183" s="70" t="str">
        <f t="shared" si="78"/>
        <v/>
      </c>
      <c r="G183" s="63" t="str">
        <f t="shared" si="79"/>
        <v/>
      </c>
      <c r="H183" s="64" t="str">
        <f t="shared" si="80"/>
        <v/>
      </c>
      <c r="I183" s="43"/>
      <c r="J183" s="63" t="str">
        <f t="shared" si="81"/>
        <v/>
      </c>
      <c r="K183" s="64" t="str">
        <f t="shared" si="82"/>
        <v/>
      </c>
      <c r="L183" s="38">
        <v>0</v>
      </c>
      <c r="M183" s="64" t="str">
        <f t="shared" si="83"/>
        <v/>
      </c>
      <c r="N183" s="65"/>
      <c r="O183" s="63" t="str">
        <f t="shared" si="84"/>
        <v/>
      </c>
      <c r="P183" s="63" t="str">
        <f t="shared" si="85"/>
        <v/>
      </c>
      <c r="Q183" s="66"/>
      <c r="R183" s="63" t="str">
        <f t="shared" si="86"/>
        <v/>
      </c>
      <c r="S183" s="64" t="str">
        <f t="shared" si="87"/>
        <v/>
      </c>
      <c r="T183" s="63" t="str">
        <f t="shared" si="88"/>
        <v/>
      </c>
      <c r="U183" s="64" t="str">
        <f t="shared" si="89"/>
        <v/>
      </c>
      <c r="V183" s="219" t="str">
        <f>IF($A184="","",IF(AND(MONTH(A183)&gt;3,MONTH(A183)&lt;11),(T183+R183+G183)*Summary!$T$10/(1-Summary!$T$10),(T183+R183+G183)*Summary!$U$10/(1-Summary!$U$10)))</f>
        <v/>
      </c>
      <c r="W183" s="63" t="str">
        <f t="shared" si="90"/>
        <v/>
      </c>
      <c r="X183" s="63" t="str">
        <f t="shared" si="91"/>
        <v/>
      </c>
      <c r="Y183" s="43"/>
      <c r="Z183" s="38" t="str">
        <f t="shared" si="92"/>
        <v/>
      </c>
      <c r="AA183" s="38" t="str">
        <f t="shared" si="93"/>
        <v/>
      </c>
      <c r="AB183" s="38" t="e">
        <f t="shared" si="94"/>
        <v>#VALUE!</v>
      </c>
      <c r="AC183" s="38" t="str">
        <f t="shared" si="95"/>
        <v/>
      </c>
      <c r="AD183" s="38" t="str">
        <f t="shared" si="95"/>
        <v/>
      </c>
      <c r="AE183" s="38" t="e">
        <f t="shared" si="96"/>
        <v>#VALUE!</v>
      </c>
      <c r="AF183" s="237" t="e">
        <f>((Summary!$N$10*(AA183*AD183)*(A183-$D$3))+(Summary!$M$10*Z183*AC183*(AJ183-EOMONTH(EDATE(A183,-1),0))))/(AK183*AB183*AE183)</f>
        <v>#VALUE!</v>
      </c>
      <c r="AG183" s="88" t="str">
        <f>IF($A184="","",Summary!$Q$10)</f>
        <v/>
      </c>
      <c r="AH183" s="88" t="str">
        <f>IF($A184="","",IF(Summary!$R$10="Y",(VLOOKUP($A183,Summary!$AD$6:$AF$9,3)+'Escalating commodity'!F196),'Escalating commodity'!F196))</f>
        <v/>
      </c>
      <c r="AI183" s="88" t="str">
        <f t="shared" si="111"/>
        <v/>
      </c>
      <c r="AJ183" s="236" t="e">
        <f t="shared" si="97"/>
        <v>#VALUE!</v>
      </c>
      <c r="AK183" s="58" t="str">
        <f t="shared" si="98"/>
        <v/>
      </c>
      <c r="AL183" s="26" t="str">
        <f>IF($A184="","",_xll.SPRDOPT(P183,X183,AI183,0,AB183,AE183,AF183,AK183,$AJ$2,0))</f>
        <v/>
      </c>
      <c r="AM183" s="89" t="str">
        <f t="shared" si="99"/>
        <v/>
      </c>
      <c r="AN183" s="89" t="str">
        <f t="shared" si="100"/>
        <v/>
      </c>
      <c r="AO183" s="3" t="str">
        <f t="shared" si="101"/>
        <v/>
      </c>
      <c r="AP183" s="33" t="str">
        <f t="shared" si="102"/>
        <v/>
      </c>
      <c r="AQ183" s="58" t="str">
        <f t="shared" si="103"/>
        <v/>
      </c>
      <c r="AR183" s="38">
        <f>'ANR OK vs ML7'!AR183</f>
        <v>0.1</v>
      </c>
      <c r="AS183" s="35" t="str">
        <f t="shared" si="104"/>
        <v/>
      </c>
      <c r="AT183" s="3" t="str">
        <f t="shared" si="105"/>
        <v/>
      </c>
      <c r="AU183" s="3" t="str">
        <f t="shared" si="106"/>
        <v/>
      </c>
      <c r="AW183" s="32" t="str">
        <f t="shared" si="107"/>
        <v/>
      </c>
      <c r="AX183" s="32" t="str">
        <f t="shared" si="108"/>
        <v/>
      </c>
      <c r="AY183" s="32" t="str">
        <f t="shared" si="109"/>
        <v/>
      </c>
      <c r="BA183" s="32" t="str">
        <f>IF($A184="","",F183*Summary!$Q$10)</f>
        <v/>
      </c>
    </row>
    <row r="184" spans="1:53" ht="12" customHeight="1">
      <c r="A184" s="67" t="str">
        <f t="shared" si="110"/>
        <v/>
      </c>
      <c r="B184" s="69" t="str">
        <f t="shared" si="113"/>
        <v/>
      </c>
      <c r="C184" s="71"/>
      <c r="D184" s="69" t="str">
        <f t="shared" si="76"/>
        <v/>
      </c>
      <c r="E184" s="70" t="str">
        <f t="shared" si="77"/>
        <v/>
      </c>
      <c r="F184" s="70" t="str">
        <f t="shared" si="78"/>
        <v/>
      </c>
      <c r="G184" s="63" t="str">
        <f t="shared" si="79"/>
        <v/>
      </c>
      <c r="H184" s="64" t="str">
        <f t="shared" si="80"/>
        <v/>
      </c>
      <c r="I184" s="43"/>
      <c r="J184" s="63" t="str">
        <f t="shared" si="81"/>
        <v/>
      </c>
      <c r="K184" s="64" t="str">
        <f t="shared" si="82"/>
        <v/>
      </c>
      <c r="L184" s="38">
        <v>0</v>
      </c>
      <c r="M184" s="64" t="str">
        <f t="shared" si="83"/>
        <v/>
      </c>
      <c r="N184" s="65"/>
      <c r="O184" s="63" t="str">
        <f t="shared" si="84"/>
        <v/>
      </c>
      <c r="P184" s="63" t="str">
        <f t="shared" si="85"/>
        <v/>
      </c>
      <c r="Q184" s="66"/>
      <c r="R184" s="63" t="str">
        <f t="shared" si="86"/>
        <v/>
      </c>
      <c r="S184" s="64" t="str">
        <f t="shared" si="87"/>
        <v/>
      </c>
      <c r="T184" s="63" t="str">
        <f t="shared" si="88"/>
        <v/>
      </c>
      <c r="U184" s="64" t="str">
        <f t="shared" si="89"/>
        <v/>
      </c>
      <c r="V184" s="219" t="str">
        <f>IF($A185="","",IF(AND(MONTH(A184)&gt;3,MONTH(A184)&lt;11),(T184+R184+G184)*Summary!$T$10/(1-Summary!$T$10),(T184+R184+G184)*Summary!$U$10/(1-Summary!$U$10)))</f>
        <v/>
      </c>
      <c r="W184" s="63" t="str">
        <f t="shared" si="90"/>
        <v/>
      </c>
      <c r="X184" s="63" t="str">
        <f t="shared" si="91"/>
        <v/>
      </c>
      <c r="Y184" s="43"/>
      <c r="Z184" s="38" t="str">
        <f t="shared" si="92"/>
        <v/>
      </c>
      <c r="AA184" s="38" t="str">
        <f t="shared" si="93"/>
        <v/>
      </c>
      <c r="AB184" s="38" t="e">
        <f t="shared" si="94"/>
        <v>#VALUE!</v>
      </c>
      <c r="AC184" s="38" t="str">
        <f t="shared" si="95"/>
        <v/>
      </c>
      <c r="AD184" s="38" t="str">
        <f t="shared" si="95"/>
        <v/>
      </c>
      <c r="AE184" s="38" t="e">
        <f t="shared" si="96"/>
        <v>#VALUE!</v>
      </c>
      <c r="AF184" s="237" t="e">
        <f>((Summary!$N$10*(AA184*AD184)*(A184-$D$3))+(Summary!$M$10*Z184*AC184*(AJ184-EOMONTH(EDATE(A184,-1),0))))/(AK184*AB184*AE184)</f>
        <v>#VALUE!</v>
      </c>
      <c r="AG184" s="88" t="str">
        <f>IF($A185="","",Summary!$Q$10)</f>
        <v/>
      </c>
      <c r="AH184" s="88" t="str">
        <f>IF($A185="","",IF(Summary!$R$10="Y",(VLOOKUP($A184,Summary!$AD$6:$AF$9,3)+'Escalating commodity'!F197),'Escalating commodity'!F197))</f>
        <v/>
      </c>
      <c r="AI184" s="88" t="str">
        <f t="shared" si="111"/>
        <v/>
      </c>
      <c r="AJ184" s="236" t="e">
        <f t="shared" si="97"/>
        <v>#VALUE!</v>
      </c>
      <c r="AK184" s="58" t="str">
        <f t="shared" si="98"/>
        <v/>
      </c>
      <c r="AL184" s="26" t="str">
        <f>IF($A185="","",_xll.SPRDOPT(P184,X184,AI184,0,AB184,AE184,AF184,AK184,$AJ$2,0))</f>
        <v/>
      </c>
      <c r="AM184" s="89" t="str">
        <f t="shared" si="99"/>
        <v/>
      </c>
      <c r="AN184" s="89" t="str">
        <f t="shared" si="100"/>
        <v/>
      </c>
      <c r="AO184" s="3" t="str">
        <f t="shared" si="101"/>
        <v/>
      </c>
      <c r="AP184" s="33" t="str">
        <f t="shared" si="102"/>
        <v/>
      </c>
      <c r="AQ184" s="58" t="str">
        <f t="shared" si="103"/>
        <v/>
      </c>
      <c r="AR184" s="38">
        <f>'ANR OK vs ML7'!AR184</f>
        <v>0.1</v>
      </c>
      <c r="AS184" s="35" t="str">
        <f t="shared" si="104"/>
        <v/>
      </c>
      <c r="AT184" s="3" t="str">
        <f t="shared" si="105"/>
        <v/>
      </c>
      <c r="AU184" s="3" t="str">
        <f t="shared" si="106"/>
        <v/>
      </c>
      <c r="AW184" s="32" t="str">
        <f t="shared" si="107"/>
        <v/>
      </c>
      <c r="AX184" s="32" t="str">
        <f t="shared" si="108"/>
        <v/>
      </c>
      <c r="AY184" s="32" t="str">
        <f t="shared" si="109"/>
        <v/>
      </c>
      <c r="BA184" s="32" t="str">
        <f>IF($A185="","",F184*Summary!$Q$10)</f>
        <v/>
      </c>
    </row>
    <row r="185" spans="1:53" ht="12" customHeight="1">
      <c r="A185" s="67" t="str">
        <f t="shared" si="110"/>
        <v/>
      </c>
      <c r="B185" s="69" t="str">
        <f t="shared" si="113"/>
        <v/>
      </c>
      <c r="C185" s="71"/>
      <c r="D185" s="69" t="str">
        <f t="shared" si="76"/>
        <v/>
      </c>
      <c r="E185" s="70" t="str">
        <f t="shared" si="77"/>
        <v/>
      </c>
      <c r="F185" s="70" t="str">
        <f t="shared" si="78"/>
        <v/>
      </c>
      <c r="G185" s="63" t="str">
        <f t="shared" si="79"/>
        <v/>
      </c>
      <c r="H185" s="64" t="str">
        <f t="shared" si="80"/>
        <v/>
      </c>
      <c r="I185" s="43"/>
      <c r="J185" s="63" t="str">
        <f t="shared" si="81"/>
        <v/>
      </c>
      <c r="K185" s="64" t="str">
        <f t="shared" si="82"/>
        <v/>
      </c>
      <c r="L185" s="38">
        <v>0</v>
      </c>
      <c r="M185" s="64" t="str">
        <f t="shared" si="83"/>
        <v/>
      </c>
      <c r="N185" s="65"/>
      <c r="O185" s="63" t="str">
        <f t="shared" si="84"/>
        <v/>
      </c>
      <c r="P185" s="63" t="str">
        <f t="shared" si="85"/>
        <v/>
      </c>
      <c r="Q185" s="66"/>
      <c r="R185" s="63" t="str">
        <f t="shared" si="86"/>
        <v/>
      </c>
      <c r="S185" s="64" t="str">
        <f t="shared" si="87"/>
        <v/>
      </c>
      <c r="T185" s="63" t="str">
        <f t="shared" si="88"/>
        <v/>
      </c>
      <c r="U185" s="64" t="str">
        <f t="shared" si="89"/>
        <v/>
      </c>
      <c r="V185" s="219" t="str">
        <f>IF($A186="","",IF(AND(MONTH(A185)&gt;3,MONTH(A185)&lt;11),(T185+R185+G185)*Summary!$T$10/(1-Summary!$T$10),(T185+R185+G185)*Summary!$U$10/(1-Summary!$U$10)))</f>
        <v/>
      </c>
      <c r="W185" s="63" t="str">
        <f t="shared" si="90"/>
        <v/>
      </c>
      <c r="X185" s="63" t="str">
        <f t="shared" si="91"/>
        <v/>
      </c>
      <c r="Y185" s="43"/>
      <c r="Z185" s="38" t="str">
        <f t="shared" si="92"/>
        <v/>
      </c>
      <c r="AA185" s="38" t="str">
        <f t="shared" si="93"/>
        <v/>
      </c>
      <c r="AB185" s="38" t="e">
        <f t="shared" si="94"/>
        <v>#VALUE!</v>
      </c>
      <c r="AC185" s="38" t="str">
        <f t="shared" si="95"/>
        <v/>
      </c>
      <c r="AD185" s="38" t="str">
        <f t="shared" si="95"/>
        <v/>
      </c>
      <c r="AE185" s="38" t="e">
        <f t="shared" si="96"/>
        <v>#VALUE!</v>
      </c>
      <c r="AF185" s="237" t="e">
        <f>((Summary!$N$10*(AA185*AD185)*(A185-$D$3))+(Summary!$M$10*Z185*AC185*(AJ185-EOMONTH(EDATE(A185,-1),0))))/(AK185*AB185*AE185)</f>
        <v>#VALUE!</v>
      </c>
      <c r="AG185" s="88" t="str">
        <f>IF($A186="","",Summary!$Q$10)</f>
        <v/>
      </c>
      <c r="AH185" s="88" t="str">
        <f>IF($A186="","",IF(Summary!$R$10="Y",(VLOOKUP($A185,Summary!$AD$6:$AF$9,3)+'Escalating commodity'!F198),'Escalating commodity'!F198))</f>
        <v/>
      </c>
      <c r="AI185" s="88" t="str">
        <f t="shared" si="111"/>
        <v/>
      </c>
      <c r="AJ185" s="236" t="e">
        <f t="shared" si="97"/>
        <v>#VALUE!</v>
      </c>
      <c r="AK185" s="58" t="str">
        <f t="shared" si="98"/>
        <v/>
      </c>
      <c r="AL185" s="26" t="str">
        <f>IF($A186="","",_xll.SPRDOPT(P185,X185,AI185,0,AB185,AE185,AF185,AK185,$AJ$2,0))</f>
        <v/>
      </c>
      <c r="AM185" s="89" t="str">
        <f t="shared" si="99"/>
        <v/>
      </c>
      <c r="AN185" s="89" t="str">
        <f t="shared" si="100"/>
        <v/>
      </c>
      <c r="AO185" s="3" t="str">
        <f t="shared" si="101"/>
        <v/>
      </c>
      <c r="AP185" s="33" t="str">
        <f t="shared" si="102"/>
        <v/>
      </c>
      <c r="AQ185" s="58" t="str">
        <f t="shared" si="103"/>
        <v/>
      </c>
      <c r="AR185" s="38">
        <f>'ANR OK vs ML7'!AR185</f>
        <v>0.1</v>
      </c>
      <c r="AS185" s="35" t="str">
        <f t="shared" si="104"/>
        <v/>
      </c>
      <c r="AT185" s="3" t="str">
        <f t="shared" si="105"/>
        <v/>
      </c>
      <c r="AU185" s="3" t="str">
        <f t="shared" si="106"/>
        <v/>
      </c>
      <c r="AW185" s="32" t="str">
        <f t="shared" si="107"/>
        <v/>
      </c>
      <c r="AX185" s="32" t="str">
        <f t="shared" si="108"/>
        <v/>
      </c>
      <c r="AY185" s="32" t="str">
        <f t="shared" si="109"/>
        <v/>
      </c>
      <c r="BA185" s="32" t="str">
        <f>IF($A186="","",F185*Summary!$Q$10)</f>
        <v/>
      </c>
    </row>
    <row r="186" spans="1:53" ht="12" customHeight="1">
      <c r="A186" s="67" t="str">
        <f t="shared" si="110"/>
        <v/>
      </c>
      <c r="B186" s="69" t="str">
        <f t="shared" si="113"/>
        <v/>
      </c>
      <c r="C186" s="71"/>
      <c r="D186" s="69" t="str">
        <f t="shared" si="76"/>
        <v/>
      </c>
      <c r="E186" s="70" t="str">
        <f t="shared" si="77"/>
        <v/>
      </c>
      <c r="F186" s="70" t="str">
        <f t="shared" si="78"/>
        <v/>
      </c>
      <c r="G186" s="63" t="str">
        <f t="shared" si="79"/>
        <v/>
      </c>
      <c r="H186" s="64" t="str">
        <f t="shared" si="80"/>
        <v/>
      </c>
      <c r="I186" s="43"/>
      <c r="J186" s="63" t="str">
        <f t="shared" si="81"/>
        <v/>
      </c>
      <c r="K186" s="64" t="str">
        <f t="shared" si="82"/>
        <v/>
      </c>
      <c r="L186" s="38">
        <v>0</v>
      </c>
      <c r="M186" s="64" t="str">
        <f t="shared" si="83"/>
        <v/>
      </c>
      <c r="N186" s="65"/>
      <c r="O186" s="63" t="str">
        <f t="shared" si="84"/>
        <v/>
      </c>
      <c r="P186" s="63" t="str">
        <f t="shared" si="85"/>
        <v/>
      </c>
      <c r="Q186" s="66"/>
      <c r="R186" s="63" t="str">
        <f t="shared" si="86"/>
        <v/>
      </c>
      <c r="S186" s="64" t="str">
        <f t="shared" si="87"/>
        <v/>
      </c>
      <c r="T186" s="63" t="str">
        <f t="shared" si="88"/>
        <v/>
      </c>
      <c r="U186" s="64" t="str">
        <f t="shared" si="89"/>
        <v/>
      </c>
      <c r="V186" s="219" t="str">
        <f>IF($A187="","",IF(AND(MONTH(A186)&gt;3,MONTH(A186)&lt;11),(T186+R186+G186)*Summary!$T$10/(1-Summary!$T$10),(T186+R186+G186)*Summary!$U$10/(1-Summary!$U$10)))</f>
        <v/>
      </c>
      <c r="W186" s="63" t="str">
        <f t="shared" si="90"/>
        <v/>
      </c>
      <c r="X186" s="63" t="str">
        <f t="shared" si="91"/>
        <v/>
      </c>
      <c r="Y186" s="43"/>
      <c r="Z186" s="38" t="str">
        <f t="shared" si="92"/>
        <v/>
      </c>
      <c r="AA186" s="38" t="str">
        <f t="shared" si="93"/>
        <v/>
      </c>
      <c r="AB186" s="38" t="e">
        <f t="shared" si="94"/>
        <v>#VALUE!</v>
      </c>
      <c r="AC186" s="38" t="str">
        <f t="shared" si="95"/>
        <v/>
      </c>
      <c r="AD186" s="38" t="str">
        <f t="shared" si="95"/>
        <v/>
      </c>
      <c r="AE186" s="38" t="e">
        <f t="shared" si="96"/>
        <v>#VALUE!</v>
      </c>
      <c r="AF186" s="237" t="e">
        <f>((Summary!$N$10*(AA186*AD186)*(A186-$D$3))+(Summary!$M$10*Z186*AC186*(AJ186-EOMONTH(EDATE(A186,-1),0))))/(AK186*AB186*AE186)</f>
        <v>#VALUE!</v>
      </c>
      <c r="AG186" s="88" t="str">
        <f>IF($A187="","",Summary!$Q$10)</f>
        <v/>
      </c>
      <c r="AH186" s="88" t="str">
        <f>IF($A187="","",IF(Summary!$R$10="Y",(VLOOKUP($A186,Summary!$AD$6:$AF$9,3)+'Escalating commodity'!F199),'Escalating commodity'!F199))</f>
        <v/>
      </c>
      <c r="AI186" s="88" t="str">
        <f t="shared" si="111"/>
        <v/>
      </c>
      <c r="AJ186" s="236" t="e">
        <f t="shared" si="97"/>
        <v>#VALUE!</v>
      </c>
      <c r="AK186" s="58" t="str">
        <f t="shared" si="98"/>
        <v/>
      </c>
      <c r="AL186" s="26" t="str">
        <f>IF($A187="","",_xll.SPRDOPT(P186,X186,AI186,0,AB186,AE186,AF186,AK186,$AJ$2,0))</f>
        <v/>
      </c>
      <c r="AM186" s="89" t="str">
        <f t="shared" si="99"/>
        <v/>
      </c>
      <c r="AN186" s="89" t="str">
        <f t="shared" si="100"/>
        <v/>
      </c>
      <c r="AO186" s="3" t="str">
        <f t="shared" si="101"/>
        <v/>
      </c>
      <c r="AP186" s="33" t="str">
        <f t="shared" si="102"/>
        <v/>
      </c>
      <c r="AQ186" s="58" t="str">
        <f t="shared" si="103"/>
        <v/>
      </c>
      <c r="AR186" s="38">
        <f>'ANR OK vs ML7'!AR186</f>
        <v>0.1</v>
      </c>
      <c r="AS186" s="35" t="str">
        <f t="shared" si="104"/>
        <v/>
      </c>
      <c r="AT186" s="3" t="str">
        <f t="shared" si="105"/>
        <v/>
      </c>
      <c r="AU186" s="3" t="str">
        <f t="shared" si="106"/>
        <v/>
      </c>
      <c r="AW186" s="32" t="str">
        <f t="shared" si="107"/>
        <v/>
      </c>
      <c r="AX186" s="32" t="str">
        <f t="shared" si="108"/>
        <v/>
      </c>
      <c r="AY186" s="32" t="str">
        <f t="shared" si="109"/>
        <v/>
      </c>
      <c r="BA186" s="32" t="str">
        <f>IF($A187="","",F186*Summary!$Q$10)</f>
        <v/>
      </c>
    </row>
    <row r="187" spans="1:53" ht="12" customHeight="1">
      <c r="A187" s="67" t="str">
        <f t="shared" si="110"/>
        <v/>
      </c>
      <c r="B187" s="69" t="str">
        <f t="shared" si="113"/>
        <v/>
      </c>
      <c r="C187" s="71"/>
      <c r="D187" s="69" t="str">
        <f t="shared" si="76"/>
        <v/>
      </c>
      <c r="E187" s="70" t="str">
        <f t="shared" si="77"/>
        <v/>
      </c>
      <c r="F187" s="70" t="str">
        <f t="shared" si="78"/>
        <v/>
      </c>
      <c r="G187" s="63" t="str">
        <f t="shared" si="79"/>
        <v/>
      </c>
      <c r="H187" s="64" t="str">
        <f t="shared" si="80"/>
        <v/>
      </c>
      <c r="I187" s="43"/>
      <c r="J187" s="63" t="str">
        <f t="shared" si="81"/>
        <v/>
      </c>
      <c r="K187" s="64" t="str">
        <f t="shared" si="82"/>
        <v/>
      </c>
      <c r="L187" s="38">
        <v>0</v>
      </c>
      <c r="M187" s="64" t="str">
        <f t="shared" si="83"/>
        <v/>
      </c>
      <c r="N187" s="65"/>
      <c r="O187" s="63" t="str">
        <f t="shared" si="84"/>
        <v/>
      </c>
      <c r="P187" s="63" t="str">
        <f t="shared" si="85"/>
        <v/>
      </c>
      <c r="Q187" s="66"/>
      <c r="R187" s="63" t="str">
        <f t="shared" si="86"/>
        <v/>
      </c>
      <c r="S187" s="64" t="str">
        <f t="shared" si="87"/>
        <v/>
      </c>
      <c r="T187" s="63" t="str">
        <f t="shared" si="88"/>
        <v/>
      </c>
      <c r="U187" s="64" t="str">
        <f t="shared" si="89"/>
        <v/>
      </c>
      <c r="V187" s="219" t="str">
        <f>IF($A188="","",IF(AND(MONTH(A187)&gt;3,MONTH(A187)&lt;11),(T187+R187+G187)*Summary!$T$10/(1-Summary!$T$10),(T187+R187+G187)*Summary!$U$10/(1-Summary!$U$10)))</f>
        <v/>
      </c>
      <c r="W187" s="63" t="str">
        <f t="shared" si="90"/>
        <v/>
      </c>
      <c r="X187" s="63" t="str">
        <f t="shared" si="91"/>
        <v/>
      </c>
      <c r="Y187" s="43"/>
      <c r="Z187" s="38" t="str">
        <f t="shared" si="92"/>
        <v/>
      </c>
      <c r="AA187" s="38" t="str">
        <f t="shared" si="93"/>
        <v/>
      </c>
      <c r="AB187" s="38" t="e">
        <f t="shared" si="94"/>
        <v>#VALUE!</v>
      </c>
      <c r="AC187" s="38" t="str">
        <f t="shared" si="95"/>
        <v/>
      </c>
      <c r="AD187" s="38" t="str">
        <f t="shared" si="95"/>
        <v/>
      </c>
      <c r="AE187" s="38" t="e">
        <f t="shared" si="96"/>
        <v>#VALUE!</v>
      </c>
      <c r="AF187" s="237" t="e">
        <f>((Summary!$N$10*(AA187*AD187)*(A187-$D$3))+(Summary!$M$10*Z187*AC187*(AJ187-EOMONTH(EDATE(A187,-1),0))))/(AK187*AB187*AE187)</f>
        <v>#VALUE!</v>
      </c>
      <c r="AG187" s="88" t="str">
        <f>IF($A188="","",Summary!$Q$10)</f>
        <v/>
      </c>
      <c r="AH187" s="88" t="str">
        <f>IF($A188="","",IF(Summary!$R$10="Y",(VLOOKUP($A187,Summary!$AD$6:$AF$9,3)+'Escalating commodity'!F200),'Escalating commodity'!F200))</f>
        <v/>
      </c>
      <c r="AI187" s="88" t="str">
        <f t="shared" si="111"/>
        <v/>
      </c>
      <c r="AJ187" s="236" t="e">
        <f t="shared" si="97"/>
        <v>#VALUE!</v>
      </c>
      <c r="AK187" s="58" t="str">
        <f t="shared" si="98"/>
        <v/>
      </c>
      <c r="AL187" s="26" t="str">
        <f>IF($A188="","",_xll.SPRDOPT(P187,X187,AI187,0,AB187,AE187,AF187,AK187,$AJ$2,0))</f>
        <v/>
      </c>
      <c r="AM187" s="89" t="str">
        <f t="shared" si="99"/>
        <v/>
      </c>
      <c r="AN187" s="89" t="str">
        <f t="shared" si="100"/>
        <v/>
      </c>
      <c r="AO187" s="3" t="str">
        <f t="shared" si="101"/>
        <v/>
      </c>
      <c r="AP187" s="33" t="str">
        <f t="shared" si="102"/>
        <v/>
      </c>
      <c r="AQ187" s="58" t="str">
        <f t="shared" si="103"/>
        <v/>
      </c>
      <c r="AR187" s="38">
        <f>'ANR OK vs ML7'!AR187</f>
        <v>0.1</v>
      </c>
      <c r="AS187" s="35" t="str">
        <f t="shared" si="104"/>
        <v/>
      </c>
      <c r="AT187" s="3" t="str">
        <f t="shared" si="105"/>
        <v/>
      </c>
      <c r="AU187" s="3" t="str">
        <f t="shared" si="106"/>
        <v/>
      </c>
      <c r="AW187" s="32" t="str">
        <f t="shared" si="107"/>
        <v/>
      </c>
      <c r="AX187" s="32" t="str">
        <f t="shared" si="108"/>
        <v/>
      </c>
      <c r="AY187" s="32" t="str">
        <f t="shared" si="109"/>
        <v/>
      </c>
      <c r="BA187" s="32" t="str">
        <f>IF($A188="","",F187*Summary!$Q$10)</f>
        <v/>
      </c>
    </row>
    <row r="188" spans="1:53" ht="12" customHeight="1">
      <c r="A188" s="67" t="str">
        <f t="shared" si="110"/>
        <v/>
      </c>
      <c r="B188" s="69" t="str">
        <f t="shared" si="113"/>
        <v/>
      </c>
      <c r="C188" s="71"/>
      <c r="D188" s="69" t="str">
        <f t="shared" si="76"/>
        <v/>
      </c>
      <c r="E188" s="70" t="str">
        <f t="shared" si="77"/>
        <v/>
      </c>
      <c r="F188" s="70" t="str">
        <f t="shared" si="78"/>
        <v/>
      </c>
      <c r="G188" s="63" t="str">
        <f t="shared" si="79"/>
        <v/>
      </c>
      <c r="H188" s="64" t="str">
        <f t="shared" si="80"/>
        <v/>
      </c>
      <c r="I188" s="43"/>
      <c r="J188" s="63" t="str">
        <f t="shared" si="81"/>
        <v/>
      </c>
      <c r="K188" s="64" t="str">
        <f t="shared" si="82"/>
        <v/>
      </c>
      <c r="L188" s="38">
        <v>0</v>
      </c>
      <c r="M188" s="64" t="str">
        <f t="shared" si="83"/>
        <v/>
      </c>
      <c r="N188" s="65"/>
      <c r="O188" s="63" t="str">
        <f t="shared" si="84"/>
        <v/>
      </c>
      <c r="P188" s="63" t="str">
        <f t="shared" si="85"/>
        <v/>
      </c>
      <c r="Q188" s="66"/>
      <c r="R188" s="63" t="str">
        <f t="shared" si="86"/>
        <v/>
      </c>
      <c r="S188" s="64" t="str">
        <f t="shared" si="87"/>
        <v/>
      </c>
      <c r="T188" s="63" t="str">
        <f t="shared" si="88"/>
        <v/>
      </c>
      <c r="U188" s="64" t="str">
        <f t="shared" si="89"/>
        <v/>
      </c>
      <c r="V188" s="219" t="str">
        <f>IF($A189="","",IF(AND(MONTH(A188)&gt;3,MONTH(A188)&lt;11),(T188+R188+G188)*Summary!$T$10/(1-Summary!$T$10),(T188+R188+G188)*Summary!$U$10/(1-Summary!$U$10)))</f>
        <v/>
      </c>
      <c r="W188" s="63" t="str">
        <f t="shared" si="90"/>
        <v/>
      </c>
      <c r="X188" s="63" t="str">
        <f t="shared" si="91"/>
        <v/>
      </c>
      <c r="Y188" s="43"/>
      <c r="Z188" s="38" t="str">
        <f t="shared" si="92"/>
        <v/>
      </c>
      <c r="AA188" s="38" t="str">
        <f t="shared" si="93"/>
        <v/>
      </c>
      <c r="AB188" s="38" t="e">
        <f t="shared" si="94"/>
        <v>#VALUE!</v>
      </c>
      <c r="AC188" s="38" t="str">
        <f t="shared" si="95"/>
        <v/>
      </c>
      <c r="AD188" s="38" t="str">
        <f t="shared" si="95"/>
        <v/>
      </c>
      <c r="AE188" s="38" t="e">
        <f t="shared" si="96"/>
        <v>#VALUE!</v>
      </c>
      <c r="AF188" s="237" t="e">
        <f>((Summary!$N$10*(AA188*AD188)*(A188-$D$3))+(Summary!$M$10*Z188*AC188*(AJ188-EOMONTH(EDATE(A188,-1),0))))/(AK188*AB188*AE188)</f>
        <v>#VALUE!</v>
      </c>
      <c r="AG188" s="88" t="str">
        <f>IF($A189="","",Summary!$Q$10)</f>
        <v/>
      </c>
      <c r="AH188" s="88" t="str">
        <f>IF($A189="","",IF(Summary!$R$10="Y",(VLOOKUP($A188,Summary!$AD$6:$AF$9,3)+'Escalating commodity'!F201),'Escalating commodity'!F201))</f>
        <v/>
      </c>
      <c r="AI188" s="88" t="str">
        <f t="shared" si="111"/>
        <v/>
      </c>
      <c r="AJ188" s="236" t="e">
        <f t="shared" si="97"/>
        <v>#VALUE!</v>
      </c>
      <c r="AK188" s="58" t="str">
        <f t="shared" si="98"/>
        <v/>
      </c>
      <c r="AL188" s="26" t="str">
        <f>IF($A189="","",_xll.SPRDOPT(P188,X188,AI188,0,AB188,AE188,AF188,AK188,$AJ$2,0))</f>
        <v/>
      </c>
      <c r="AM188" s="89" t="str">
        <f t="shared" si="99"/>
        <v/>
      </c>
      <c r="AN188" s="89" t="str">
        <f t="shared" si="100"/>
        <v/>
      </c>
      <c r="AO188" s="3" t="str">
        <f t="shared" si="101"/>
        <v/>
      </c>
      <c r="AP188" s="33" t="str">
        <f t="shared" si="102"/>
        <v/>
      </c>
      <c r="AQ188" s="58" t="str">
        <f t="shared" si="103"/>
        <v/>
      </c>
      <c r="AR188" s="38">
        <f>'ANR OK vs ML7'!AR188</f>
        <v>0.1</v>
      </c>
      <c r="AS188" s="35" t="str">
        <f t="shared" si="104"/>
        <v/>
      </c>
      <c r="AT188" s="3" t="str">
        <f t="shared" si="105"/>
        <v/>
      </c>
      <c r="AU188" s="3" t="str">
        <f t="shared" si="106"/>
        <v/>
      </c>
      <c r="AW188" s="32" t="str">
        <f t="shared" si="107"/>
        <v/>
      </c>
      <c r="AX188" s="32" t="str">
        <f t="shared" si="108"/>
        <v/>
      </c>
      <c r="AY188" s="32" t="str">
        <f t="shared" si="109"/>
        <v/>
      </c>
      <c r="BA188" s="32" t="str">
        <f>IF($A189="","",F188*Summary!$Q$10)</f>
        <v/>
      </c>
    </row>
    <row r="189" spans="1:53" ht="12" customHeight="1">
      <c r="A189" s="67" t="str">
        <f t="shared" si="110"/>
        <v/>
      </c>
      <c r="B189" s="69" t="str">
        <f t="shared" si="113"/>
        <v/>
      </c>
      <c r="C189" s="71"/>
      <c r="D189" s="69" t="str">
        <f t="shared" si="76"/>
        <v/>
      </c>
      <c r="E189" s="70" t="str">
        <f t="shared" si="77"/>
        <v/>
      </c>
      <c r="F189" s="70" t="str">
        <f t="shared" si="78"/>
        <v/>
      </c>
      <c r="G189" s="63" t="str">
        <f t="shared" si="79"/>
        <v/>
      </c>
      <c r="H189" s="64" t="str">
        <f t="shared" si="80"/>
        <v/>
      </c>
      <c r="I189" s="43"/>
      <c r="J189" s="63" t="str">
        <f t="shared" si="81"/>
        <v/>
      </c>
      <c r="K189" s="64" t="str">
        <f t="shared" si="82"/>
        <v/>
      </c>
      <c r="L189" s="38">
        <v>0</v>
      </c>
      <c r="M189" s="64" t="str">
        <f t="shared" si="83"/>
        <v/>
      </c>
      <c r="N189" s="65"/>
      <c r="O189" s="63" t="str">
        <f t="shared" si="84"/>
        <v/>
      </c>
      <c r="P189" s="63" t="str">
        <f t="shared" si="85"/>
        <v/>
      </c>
      <c r="Q189" s="66"/>
      <c r="R189" s="63" t="str">
        <f t="shared" si="86"/>
        <v/>
      </c>
      <c r="S189" s="64" t="str">
        <f t="shared" si="87"/>
        <v/>
      </c>
      <c r="T189" s="63" t="str">
        <f t="shared" si="88"/>
        <v/>
      </c>
      <c r="U189" s="64" t="str">
        <f t="shared" si="89"/>
        <v/>
      </c>
      <c r="V189" s="219" t="str">
        <f>IF($A190="","",IF(AND(MONTH(A189)&gt;3,MONTH(A189)&lt;11),(T189+R189+G189)*Summary!$T$10/(1-Summary!$T$10),(T189+R189+G189)*Summary!$U$10/(1-Summary!$U$10)))</f>
        <v/>
      </c>
      <c r="W189" s="63" t="str">
        <f t="shared" si="90"/>
        <v/>
      </c>
      <c r="X189" s="63" t="str">
        <f t="shared" si="91"/>
        <v/>
      </c>
      <c r="Y189" s="43"/>
      <c r="Z189" s="38" t="str">
        <f t="shared" si="92"/>
        <v/>
      </c>
      <c r="AA189" s="38" t="str">
        <f t="shared" si="93"/>
        <v/>
      </c>
      <c r="AB189" s="38" t="e">
        <f t="shared" si="94"/>
        <v>#VALUE!</v>
      </c>
      <c r="AC189" s="38" t="str">
        <f t="shared" si="95"/>
        <v/>
      </c>
      <c r="AD189" s="38" t="str">
        <f t="shared" si="95"/>
        <v/>
      </c>
      <c r="AE189" s="38" t="e">
        <f t="shared" si="96"/>
        <v>#VALUE!</v>
      </c>
      <c r="AF189" s="237" t="e">
        <f>((Summary!$N$10*(AA189*AD189)*(A189-$D$3))+(Summary!$M$10*Z189*AC189*(AJ189-EOMONTH(EDATE(A189,-1),0))))/(AK189*AB189*AE189)</f>
        <v>#VALUE!</v>
      </c>
      <c r="AG189" s="88" t="str">
        <f>IF($A190="","",Summary!$Q$10)</f>
        <v/>
      </c>
      <c r="AH189" s="88" t="str">
        <f>IF($A190="","",IF(Summary!$R$10="Y",(VLOOKUP($A189,Summary!$AD$6:$AF$9,3)+'Escalating commodity'!F202),'Escalating commodity'!F202))</f>
        <v/>
      </c>
      <c r="AI189" s="88" t="str">
        <f t="shared" si="111"/>
        <v/>
      </c>
      <c r="AJ189" s="236" t="e">
        <f t="shared" si="97"/>
        <v>#VALUE!</v>
      </c>
      <c r="AK189" s="58" t="str">
        <f t="shared" si="98"/>
        <v/>
      </c>
      <c r="AL189" s="26" t="str">
        <f>IF($A190="","",_xll.SPRDOPT(P189,X189,AI189,0,AB189,AE189,AF189,AK189,$AJ$2,0))</f>
        <v/>
      </c>
      <c r="AM189" s="89" t="str">
        <f t="shared" si="99"/>
        <v/>
      </c>
      <c r="AN189" s="89" t="str">
        <f t="shared" si="100"/>
        <v/>
      </c>
      <c r="AO189" s="3" t="str">
        <f t="shared" si="101"/>
        <v/>
      </c>
      <c r="AP189" s="33" t="str">
        <f t="shared" si="102"/>
        <v/>
      </c>
      <c r="AQ189" s="58" t="str">
        <f t="shared" si="103"/>
        <v/>
      </c>
      <c r="AR189" s="38">
        <f>'ANR OK vs ML7'!AR189</f>
        <v>0.1</v>
      </c>
      <c r="AS189" s="35" t="str">
        <f t="shared" si="104"/>
        <v/>
      </c>
      <c r="AT189" s="3" t="str">
        <f t="shared" si="105"/>
        <v/>
      </c>
      <c r="AU189" s="3" t="str">
        <f t="shared" si="106"/>
        <v/>
      </c>
      <c r="AW189" s="32" t="str">
        <f t="shared" si="107"/>
        <v/>
      </c>
      <c r="AX189" s="32" t="str">
        <f t="shared" si="108"/>
        <v/>
      </c>
      <c r="AY189" s="32" t="str">
        <f t="shared" si="109"/>
        <v/>
      </c>
      <c r="BA189" s="32" t="str">
        <f>IF($A190="","",F189*Summary!$Q$10)</f>
        <v/>
      </c>
    </row>
    <row r="190" spans="1:53" ht="12" customHeight="1">
      <c r="A190" s="67" t="str">
        <f t="shared" si="110"/>
        <v/>
      </c>
      <c r="B190" s="69" t="str">
        <f t="shared" si="113"/>
        <v/>
      </c>
      <c r="C190" s="71"/>
      <c r="D190" s="69" t="str">
        <f t="shared" si="76"/>
        <v/>
      </c>
      <c r="E190" s="70" t="str">
        <f t="shared" si="77"/>
        <v/>
      </c>
      <c r="F190" s="70" t="str">
        <f t="shared" si="78"/>
        <v/>
      </c>
      <c r="G190" s="63" t="str">
        <f t="shared" si="79"/>
        <v/>
      </c>
      <c r="H190" s="64" t="str">
        <f t="shared" si="80"/>
        <v/>
      </c>
      <c r="I190" s="43"/>
      <c r="J190" s="63" t="str">
        <f t="shared" si="81"/>
        <v/>
      </c>
      <c r="K190" s="64" t="str">
        <f t="shared" si="82"/>
        <v/>
      </c>
      <c r="L190" s="38">
        <v>0</v>
      </c>
      <c r="M190" s="64" t="str">
        <f t="shared" si="83"/>
        <v/>
      </c>
      <c r="N190" s="65"/>
      <c r="O190" s="63" t="str">
        <f t="shared" si="84"/>
        <v/>
      </c>
      <c r="P190" s="63" t="str">
        <f t="shared" si="85"/>
        <v/>
      </c>
      <c r="Q190" s="66"/>
      <c r="R190" s="63" t="str">
        <f t="shared" si="86"/>
        <v/>
      </c>
      <c r="S190" s="64" t="str">
        <f t="shared" si="87"/>
        <v/>
      </c>
      <c r="T190" s="63" t="str">
        <f t="shared" si="88"/>
        <v/>
      </c>
      <c r="U190" s="64" t="str">
        <f t="shared" si="89"/>
        <v/>
      </c>
      <c r="V190" s="219" t="str">
        <f>IF($A191="","",IF(AND(MONTH(A190)&gt;3,MONTH(A190)&lt;11),(T190+R190+G190)*Summary!$T$10/(1-Summary!$T$10),(T190+R190+G190)*Summary!$U$10/(1-Summary!$U$10)))</f>
        <v/>
      </c>
      <c r="W190" s="63" t="str">
        <f t="shared" si="90"/>
        <v/>
      </c>
      <c r="X190" s="63" t="str">
        <f t="shared" si="91"/>
        <v/>
      </c>
      <c r="Y190" s="43"/>
      <c r="Z190" s="38" t="str">
        <f t="shared" si="92"/>
        <v/>
      </c>
      <c r="AA190" s="38" t="str">
        <f t="shared" si="93"/>
        <v/>
      </c>
      <c r="AB190" s="38" t="e">
        <f t="shared" si="94"/>
        <v>#VALUE!</v>
      </c>
      <c r="AC190" s="38" t="str">
        <f t="shared" si="95"/>
        <v/>
      </c>
      <c r="AD190" s="38" t="str">
        <f t="shared" si="95"/>
        <v/>
      </c>
      <c r="AE190" s="38" t="e">
        <f t="shared" si="96"/>
        <v>#VALUE!</v>
      </c>
      <c r="AF190" s="237" t="e">
        <f>((Summary!$N$10*(AA190*AD190)*(A190-$D$3))+(Summary!$M$10*Z190*AC190*(AJ190-EOMONTH(EDATE(A190,-1),0))))/(AK190*AB190*AE190)</f>
        <v>#VALUE!</v>
      </c>
      <c r="AG190" s="88" t="str">
        <f>IF($A191="","",Summary!$Q$10)</f>
        <v/>
      </c>
      <c r="AH190" s="88" t="str">
        <f>IF($A191="","",IF(Summary!$R$10="Y",(VLOOKUP($A190,Summary!$AD$6:$AF$9,3)+'Escalating commodity'!F203),'Escalating commodity'!F203))</f>
        <v/>
      </c>
      <c r="AI190" s="88" t="str">
        <f t="shared" si="111"/>
        <v/>
      </c>
      <c r="AJ190" s="236" t="e">
        <f t="shared" si="97"/>
        <v>#VALUE!</v>
      </c>
      <c r="AK190" s="58" t="str">
        <f t="shared" si="98"/>
        <v/>
      </c>
      <c r="AL190" s="26" t="str">
        <f>IF($A191="","",_xll.SPRDOPT(P190,X190,AI190,0,AB190,AE190,AF190,AK190,$AJ$2,0))</f>
        <v/>
      </c>
      <c r="AM190" s="89" t="str">
        <f t="shared" si="99"/>
        <v/>
      </c>
      <c r="AN190" s="89" t="str">
        <f t="shared" si="100"/>
        <v/>
      </c>
      <c r="AO190" s="3" t="str">
        <f t="shared" si="101"/>
        <v/>
      </c>
      <c r="AP190" s="33" t="str">
        <f t="shared" si="102"/>
        <v/>
      </c>
      <c r="AQ190" s="58" t="str">
        <f t="shared" si="103"/>
        <v/>
      </c>
      <c r="AR190" s="38">
        <f>'ANR OK vs ML7'!AR190</f>
        <v>0.1</v>
      </c>
      <c r="AS190" s="35" t="str">
        <f t="shared" si="104"/>
        <v/>
      </c>
      <c r="AT190" s="3" t="str">
        <f t="shared" si="105"/>
        <v/>
      </c>
      <c r="AU190" s="3" t="str">
        <f t="shared" si="106"/>
        <v/>
      </c>
      <c r="AW190" s="32" t="str">
        <f t="shared" si="107"/>
        <v/>
      </c>
      <c r="AX190" s="32" t="str">
        <f t="shared" si="108"/>
        <v/>
      </c>
      <c r="AY190" s="32" t="str">
        <f t="shared" si="109"/>
        <v/>
      </c>
      <c r="BA190" s="32" t="str">
        <f>IF($A191="","",F190*Summary!$Q$10)</f>
        <v/>
      </c>
    </row>
    <row r="191" spans="1:53" ht="12" customHeight="1">
      <c r="A191" s="67" t="str">
        <f t="shared" si="110"/>
        <v/>
      </c>
      <c r="B191" s="69" t="str">
        <f t="shared" si="113"/>
        <v/>
      </c>
      <c r="C191" s="71"/>
      <c r="D191" s="69" t="str">
        <f t="shared" si="76"/>
        <v/>
      </c>
      <c r="E191" s="70" t="str">
        <f t="shared" si="77"/>
        <v/>
      </c>
      <c r="F191" s="70" t="str">
        <f t="shared" si="78"/>
        <v/>
      </c>
      <c r="G191" s="63" t="str">
        <f t="shared" si="79"/>
        <v/>
      </c>
      <c r="H191" s="64" t="str">
        <f t="shared" si="80"/>
        <v/>
      </c>
      <c r="I191" s="43"/>
      <c r="J191" s="63" t="str">
        <f t="shared" si="81"/>
        <v/>
      </c>
      <c r="K191" s="64" t="str">
        <f t="shared" si="82"/>
        <v/>
      </c>
      <c r="L191" s="38">
        <v>0</v>
      </c>
      <c r="M191" s="64" t="str">
        <f t="shared" si="83"/>
        <v/>
      </c>
      <c r="N191" s="65"/>
      <c r="O191" s="63" t="str">
        <f t="shared" si="84"/>
        <v/>
      </c>
      <c r="P191" s="63" t="str">
        <f t="shared" si="85"/>
        <v/>
      </c>
      <c r="Q191" s="66"/>
      <c r="R191" s="63" t="str">
        <f t="shared" si="86"/>
        <v/>
      </c>
      <c r="S191" s="64" t="str">
        <f t="shared" si="87"/>
        <v/>
      </c>
      <c r="T191" s="63" t="str">
        <f t="shared" si="88"/>
        <v/>
      </c>
      <c r="U191" s="64" t="str">
        <f t="shared" si="89"/>
        <v/>
      </c>
      <c r="V191" s="219" t="str">
        <f>IF($A192="","",IF(AND(MONTH(A191)&gt;3,MONTH(A191)&lt;11),(T191+R191+G191)*Summary!$T$10/(1-Summary!$T$10),(T191+R191+G191)*Summary!$U$10/(1-Summary!$U$10)))</f>
        <v/>
      </c>
      <c r="W191" s="63" t="str">
        <f t="shared" si="90"/>
        <v/>
      </c>
      <c r="X191" s="63" t="str">
        <f t="shared" si="91"/>
        <v/>
      </c>
      <c r="Y191" s="43"/>
      <c r="Z191" s="38" t="str">
        <f t="shared" si="92"/>
        <v/>
      </c>
      <c r="AA191" s="38" t="str">
        <f t="shared" si="93"/>
        <v/>
      </c>
      <c r="AB191" s="38" t="e">
        <f t="shared" si="94"/>
        <v>#VALUE!</v>
      </c>
      <c r="AC191" s="38" t="str">
        <f t="shared" si="95"/>
        <v/>
      </c>
      <c r="AD191" s="38" t="str">
        <f t="shared" si="95"/>
        <v/>
      </c>
      <c r="AE191" s="38" t="e">
        <f t="shared" si="96"/>
        <v>#VALUE!</v>
      </c>
      <c r="AF191" s="237" t="e">
        <f>((Summary!$N$10*(AA191*AD191)*(A191-$D$3))+(Summary!$M$10*Z191*AC191*(AJ191-EOMONTH(EDATE(A191,-1),0))))/(AK191*AB191*AE191)</f>
        <v>#VALUE!</v>
      </c>
      <c r="AG191" s="88" t="str">
        <f>IF($A192="","",Summary!$Q$10)</f>
        <v/>
      </c>
      <c r="AH191" s="88" t="str">
        <f>IF($A192="","",IF(Summary!$R$10="Y",(VLOOKUP($A191,Summary!$AD$6:$AF$9,3)+'Escalating commodity'!F204),'Escalating commodity'!F204))</f>
        <v/>
      </c>
      <c r="AI191" s="88" t="str">
        <f t="shared" si="111"/>
        <v/>
      </c>
      <c r="AJ191" s="236" t="e">
        <f t="shared" si="97"/>
        <v>#VALUE!</v>
      </c>
      <c r="AK191" s="58" t="str">
        <f t="shared" si="98"/>
        <v/>
      </c>
      <c r="AL191" s="26" t="str">
        <f>IF($A192="","",_xll.SPRDOPT(P191,X191,AI191,0,AB191,AE191,AF191,AK191,$AJ$2,0))</f>
        <v/>
      </c>
      <c r="AM191" s="89" t="str">
        <f t="shared" si="99"/>
        <v/>
      </c>
      <c r="AN191" s="89" t="str">
        <f t="shared" si="100"/>
        <v/>
      </c>
      <c r="AO191" s="3" t="str">
        <f t="shared" si="101"/>
        <v/>
      </c>
      <c r="AP191" s="33" t="str">
        <f t="shared" si="102"/>
        <v/>
      </c>
      <c r="AQ191" s="58" t="str">
        <f t="shared" si="103"/>
        <v/>
      </c>
      <c r="AR191" s="38">
        <f>'ANR OK vs ML7'!AR191</f>
        <v>0.1</v>
      </c>
      <c r="AS191" s="35" t="str">
        <f t="shared" si="104"/>
        <v/>
      </c>
      <c r="AT191" s="3" t="str">
        <f t="shared" si="105"/>
        <v/>
      </c>
      <c r="AU191" s="3" t="str">
        <f t="shared" si="106"/>
        <v/>
      </c>
      <c r="AW191" s="32" t="str">
        <f t="shared" si="107"/>
        <v/>
      </c>
      <c r="AX191" s="32" t="str">
        <f t="shared" si="108"/>
        <v/>
      </c>
      <c r="AY191" s="32" t="str">
        <f t="shared" si="109"/>
        <v/>
      </c>
      <c r="BA191" s="32" t="str">
        <f>IF($A192="","",F191*Summary!$Q$10)</f>
        <v/>
      </c>
    </row>
    <row r="192" spans="1:53" ht="12" customHeight="1">
      <c r="A192" s="67" t="str">
        <f t="shared" si="110"/>
        <v/>
      </c>
      <c r="B192" s="69" t="str">
        <f t="shared" si="113"/>
        <v/>
      </c>
      <c r="C192" s="71"/>
      <c r="D192" s="69" t="str">
        <f t="shared" si="76"/>
        <v/>
      </c>
      <c r="E192" s="70" t="str">
        <f t="shared" si="77"/>
        <v/>
      </c>
      <c r="F192" s="70" t="str">
        <f t="shared" si="78"/>
        <v/>
      </c>
      <c r="G192" s="63" t="str">
        <f t="shared" si="79"/>
        <v/>
      </c>
      <c r="H192" s="64" t="str">
        <f t="shared" si="80"/>
        <v/>
      </c>
      <c r="I192" s="43"/>
      <c r="J192" s="63" t="str">
        <f t="shared" si="81"/>
        <v/>
      </c>
      <c r="K192" s="64" t="str">
        <f t="shared" si="82"/>
        <v/>
      </c>
      <c r="L192" s="38">
        <v>0</v>
      </c>
      <c r="M192" s="64" t="str">
        <f t="shared" si="83"/>
        <v/>
      </c>
      <c r="N192" s="65"/>
      <c r="O192" s="63" t="str">
        <f t="shared" si="84"/>
        <v/>
      </c>
      <c r="P192" s="63" t="str">
        <f t="shared" si="85"/>
        <v/>
      </c>
      <c r="Q192" s="66"/>
      <c r="R192" s="63" t="str">
        <f t="shared" si="86"/>
        <v/>
      </c>
      <c r="S192" s="64" t="str">
        <f t="shared" si="87"/>
        <v/>
      </c>
      <c r="T192" s="63" t="str">
        <f t="shared" si="88"/>
        <v/>
      </c>
      <c r="U192" s="64" t="str">
        <f t="shared" si="89"/>
        <v/>
      </c>
      <c r="V192" s="219" t="str">
        <f>IF($A193="","",IF(AND(MONTH(A192)&gt;3,MONTH(A192)&lt;11),(T192+R192+G192)*Summary!$T$10/(1-Summary!$T$10),(T192+R192+G192)*Summary!$U$10/(1-Summary!$U$10)))</f>
        <v/>
      </c>
      <c r="W192" s="63" t="str">
        <f t="shared" si="90"/>
        <v/>
      </c>
      <c r="X192" s="63" t="str">
        <f t="shared" si="91"/>
        <v/>
      </c>
      <c r="Y192" s="43"/>
      <c r="Z192" s="38" t="str">
        <f t="shared" si="92"/>
        <v/>
      </c>
      <c r="AA192" s="38" t="str">
        <f t="shared" si="93"/>
        <v/>
      </c>
      <c r="AB192" s="38" t="e">
        <f t="shared" si="94"/>
        <v>#VALUE!</v>
      </c>
      <c r="AC192" s="38" t="str">
        <f t="shared" si="95"/>
        <v/>
      </c>
      <c r="AD192" s="38" t="str">
        <f t="shared" si="95"/>
        <v/>
      </c>
      <c r="AE192" s="38" t="e">
        <f t="shared" si="96"/>
        <v>#VALUE!</v>
      </c>
      <c r="AF192" s="237" t="e">
        <f>((Summary!$N$10*(AA192*AD192)*(A192-$D$3))+(Summary!$M$10*Z192*AC192*(AJ192-EOMONTH(EDATE(A192,-1),0))))/(AK192*AB192*AE192)</f>
        <v>#VALUE!</v>
      </c>
      <c r="AG192" s="88" t="str">
        <f>IF($A193="","",Summary!$Q$10)</f>
        <v/>
      </c>
      <c r="AH192" s="88" t="str">
        <f>IF($A193="","",IF(Summary!$R$10="Y",(VLOOKUP($A192,Summary!$AD$6:$AF$9,3)+'Escalating commodity'!F205),'Escalating commodity'!F205))</f>
        <v/>
      </c>
      <c r="AI192" s="88" t="str">
        <f t="shared" si="111"/>
        <v/>
      </c>
      <c r="AJ192" s="236" t="e">
        <f t="shared" si="97"/>
        <v>#VALUE!</v>
      </c>
      <c r="AK192" s="58" t="str">
        <f t="shared" si="98"/>
        <v/>
      </c>
      <c r="AL192" s="26" t="str">
        <f>IF($A193="","",_xll.SPRDOPT(P192,X192,AI192,0,AB192,AE192,AF192,AK192,$AJ$2,0))</f>
        <v/>
      </c>
      <c r="AM192" s="89" t="str">
        <f t="shared" si="99"/>
        <v/>
      </c>
      <c r="AN192" s="89" t="str">
        <f t="shared" si="100"/>
        <v/>
      </c>
      <c r="AO192" s="3" t="str">
        <f t="shared" si="101"/>
        <v/>
      </c>
      <c r="AP192" s="33" t="str">
        <f t="shared" si="102"/>
        <v/>
      </c>
      <c r="AQ192" s="58" t="str">
        <f t="shared" si="103"/>
        <v/>
      </c>
      <c r="AR192" s="38">
        <f>'ANR OK vs ML7'!AR192</f>
        <v>0.1</v>
      </c>
      <c r="AS192" s="35" t="str">
        <f t="shared" si="104"/>
        <v/>
      </c>
      <c r="AT192" s="3" t="str">
        <f t="shared" si="105"/>
        <v/>
      </c>
      <c r="AU192" s="3" t="str">
        <f t="shared" si="106"/>
        <v/>
      </c>
      <c r="AW192" s="32" t="str">
        <f t="shared" si="107"/>
        <v/>
      </c>
      <c r="AX192" s="32" t="str">
        <f t="shared" si="108"/>
        <v/>
      </c>
      <c r="AY192" s="32" t="str">
        <f t="shared" si="109"/>
        <v/>
      </c>
      <c r="BA192" s="32" t="str">
        <f>IF($A193="","",F192*Summary!$Q$10)</f>
        <v/>
      </c>
    </row>
    <row r="193" spans="1:53" ht="12" customHeight="1">
      <c r="A193" s="67" t="str">
        <f t="shared" si="110"/>
        <v/>
      </c>
      <c r="B193" s="69" t="str">
        <f t="shared" si="113"/>
        <v/>
      </c>
      <c r="C193" s="71"/>
      <c r="D193" s="69" t="str">
        <f t="shared" si="76"/>
        <v/>
      </c>
      <c r="E193" s="70" t="str">
        <f t="shared" si="77"/>
        <v/>
      </c>
      <c r="F193" s="70" t="str">
        <f t="shared" si="78"/>
        <v/>
      </c>
      <c r="G193" s="63" t="str">
        <f t="shared" si="79"/>
        <v/>
      </c>
      <c r="H193" s="64" t="str">
        <f t="shared" si="80"/>
        <v/>
      </c>
      <c r="I193" s="43"/>
      <c r="J193" s="63" t="str">
        <f t="shared" si="81"/>
        <v/>
      </c>
      <c r="K193" s="64" t="str">
        <f t="shared" si="82"/>
        <v/>
      </c>
      <c r="L193" s="38">
        <v>0</v>
      </c>
      <c r="M193" s="64" t="str">
        <f t="shared" si="83"/>
        <v/>
      </c>
      <c r="N193" s="65"/>
      <c r="O193" s="63" t="str">
        <f t="shared" si="84"/>
        <v/>
      </c>
      <c r="P193" s="63" t="str">
        <f t="shared" si="85"/>
        <v/>
      </c>
      <c r="Q193" s="66"/>
      <c r="R193" s="63" t="str">
        <f t="shared" si="86"/>
        <v/>
      </c>
      <c r="S193" s="64" t="str">
        <f t="shared" si="87"/>
        <v/>
      </c>
      <c r="T193" s="63" t="str">
        <f t="shared" si="88"/>
        <v/>
      </c>
      <c r="U193" s="64" t="str">
        <f t="shared" si="89"/>
        <v/>
      </c>
      <c r="V193" s="219" t="str">
        <f>IF($A194="","",IF(AND(MONTH(A193)&gt;3,MONTH(A193)&lt;11),(T193+R193+G193)*Summary!$T$10/(1-Summary!$T$10),(T193+R193+G193)*Summary!$U$10/(1-Summary!$U$10)))</f>
        <v/>
      </c>
      <c r="W193" s="63" t="str">
        <f t="shared" si="90"/>
        <v/>
      </c>
      <c r="X193" s="63" t="str">
        <f t="shared" si="91"/>
        <v/>
      </c>
      <c r="Y193" s="43"/>
      <c r="Z193" s="38" t="str">
        <f t="shared" si="92"/>
        <v/>
      </c>
      <c r="AA193" s="38" t="str">
        <f t="shared" si="93"/>
        <v/>
      </c>
      <c r="AB193" s="38" t="e">
        <f t="shared" si="94"/>
        <v>#VALUE!</v>
      </c>
      <c r="AC193" s="38" t="str">
        <f t="shared" si="95"/>
        <v/>
      </c>
      <c r="AD193" s="38" t="str">
        <f t="shared" si="95"/>
        <v/>
      </c>
      <c r="AE193" s="38" t="e">
        <f t="shared" si="96"/>
        <v>#VALUE!</v>
      </c>
      <c r="AF193" s="237" t="e">
        <f>((Summary!$N$10*(AA193*AD193)*(A193-$D$3))+(Summary!$M$10*Z193*AC193*(AJ193-EOMONTH(EDATE(A193,-1),0))))/(AK193*AB193*AE193)</f>
        <v>#VALUE!</v>
      </c>
      <c r="AG193" s="88" t="str">
        <f>IF($A194="","",Summary!$Q$10)</f>
        <v/>
      </c>
      <c r="AH193" s="88" t="str">
        <f>IF($A194="","",IF(Summary!$R$10="Y",(VLOOKUP($A193,Summary!$AD$6:$AF$9,3)+'Escalating commodity'!F206),'Escalating commodity'!F206))</f>
        <v/>
      </c>
      <c r="AI193" s="88" t="str">
        <f t="shared" si="111"/>
        <v/>
      </c>
      <c r="AJ193" s="236" t="e">
        <f t="shared" si="97"/>
        <v>#VALUE!</v>
      </c>
      <c r="AK193" s="58" t="str">
        <f t="shared" si="98"/>
        <v/>
      </c>
      <c r="AL193" s="26" t="str">
        <f>IF($A194="","",_xll.SPRDOPT(P193,X193,AI193,0,AB193,AE193,AF193,AK193,$AJ$2,0))</f>
        <v/>
      </c>
      <c r="AM193" s="89" t="str">
        <f t="shared" si="99"/>
        <v/>
      </c>
      <c r="AN193" s="89" t="str">
        <f t="shared" si="100"/>
        <v/>
      </c>
      <c r="AO193" s="3" t="str">
        <f t="shared" si="101"/>
        <v/>
      </c>
      <c r="AP193" s="33" t="str">
        <f t="shared" si="102"/>
        <v/>
      </c>
      <c r="AQ193" s="58" t="str">
        <f t="shared" si="103"/>
        <v/>
      </c>
      <c r="AR193" s="38">
        <f>'ANR OK vs ML7'!AR193</f>
        <v>0.1</v>
      </c>
      <c r="AS193" s="35" t="str">
        <f t="shared" si="104"/>
        <v/>
      </c>
      <c r="AT193" s="3" t="str">
        <f t="shared" si="105"/>
        <v/>
      </c>
      <c r="AU193" s="3" t="str">
        <f t="shared" si="106"/>
        <v/>
      </c>
      <c r="AW193" s="32" t="str">
        <f t="shared" si="107"/>
        <v/>
      </c>
      <c r="AX193" s="32" t="str">
        <f t="shared" si="108"/>
        <v/>
      </c>
      <c r="AY193" s="32" t="str">
        <f t="shared" si="109"/>
        <v/>
      </c>
      <c r="BA193" s="32" t="str">
        <f>IF($A194="","",F193*Summary!$Q$10)</f>
        <v/>
      </c>
    </row>
    <row r="194" spans="1:53" ht="12" customHeight="1">
      <c r="A194" s="67" t="str">
        <f t="shared" si="110"/>
        <v/>
      </c>
      <c r="B194" s="69" t="str">
        <f t="shared" si="113"/>
        <v/>
      </c>
      <c r="C194" s="71"/>
      <c r="D194" s="69" t="str">
        <f t="shared" si="76"/>
        <v/>
      </c>
      <c r="E194" s="70" t="str">
        <f t="shared" si="77"/>
        <v/>
      </c>
      <c r="F194" s="70" t="str">
        <f t="shared" si="78"/>
        <v/>
      </c>
      <c r="G194" s="63" t="str">
        <f t="shared" si="79"/>
        <v/>
      </c>
      <c r="H194" s="64" t="str">
        <f t="shared" si="80"/>
        <v/>
      </c>
      <c r="I194" s="43"/>
      <c r="J194" s="63" t="str">
        <f t="shared" si="81"/>
        <v/>
      </c>
      <c r="K194" s="64" t="str">
        <f t="shared" si="82"/>
        <v/>
      </c>
      <c r="L194" s="38">
        <v>0</v>
      </c>
      <c r="M194" s="64" t="str">
        <f t="shared" si="83"/>
        <v/>
      </c>
      <c r="N194" s="65"/>
      <c r="O194" s="63" t="str">
        <f t="shared" si="84"/>
        <v/>
      </c>
      <c r="P194" s="63" t="str">
        <f t="shared" si="85"/>
        <v/>
      </c>
      <c r="Q194" s="66"/>
      <c r="R194" s="63" t="str">
        <f t="shared" si="86"/>
        <v/>
      </c>
      <c r="S194" s="64" t="str">
        <f t="shared" si="87"/>
        <v/>
      </c>
      <c r="T194" s="63" t="str">
        <f t="shared" si="88"/>
        <v/>
      </c>
      <c r="U194" s="64" t="str">
        <f t="shared" si="89"/>
        <v/>
      </c>
      <c r="V194" s="219" t="str">
        <f>IF($A195="","",IF(AND(MONTH(A194)&gt;3,MONTH(A194)&lt;11),(T194+R194+G194)*Summary!$T$10/(1-Summary!$T$10),(T194+R194+G194)*Summary!$U$10/(1-Summary!$U$10)))</f>
        <v/>
      </c>
      <c r="W194" s="63" t="str">
        <f t="shared" si="90"/>
        <v/>
      </c>
      <c r="X194" s="63" t="str">
        <f t="shared" si="91"/>
        <v/>
      </c>
      <c r="Y194" s="43"/>
      <c r="Z194" s="38" t="str">
        <f t="shared" si="92"/>
        <v/>
      </c>
      <c r="AA194" s="38" t="str">
        <f t="shared" si="93"/>
        <v/>
      </c>
      <c r="AB194" s="38" t="e">
        <f t="shared" si="94"/>
        <v>#VALUE!</v>
      </c>
      <c r="AC194" s="38" t="str">
        <f t="shared" si="95"/>
        <v/>
      </c>
      <c r="AD194" s="38" t="str">
        <f t="shared" si="95"/>
        <v/>
      </c>
      <c r="AE194" s="38" t="e">
        <f t="shared" si="96"/>
        <v>#VALUE!</v>
      </c>
      <c r="AF194" s="237" t="e">
        <f>((Summary!$N$10*(AA194*AD194)*(A194-$D$3))+(Summary!$M$10*Z194*AC194*(AJ194-EOMONTH(EDATE(A194,-1),0))))/(AK194*AB194*AE194)</f>
        <v>#VALUE!</v>
      </c>
      <c r="AG194" s="88" t="str">
        <f>IF($A195="","",Summary!$Q$10)</f>
        <v/>
      </c>
      <c r="AH194" s="88" t="str">
        <f>IF($A195="","",IF(Summary!$R$10="Y",(VLOOKUP($A194,Summary!$AD$6:$AF$9,3)+'Escalating commodity'!F207),'Escalating commodity'!F207))</f>
        <v/>
      </c>
      <c r="AI194" s="88" t="str">
        <f t="shared" si="111"/>
        <v/>
      </c>
      <c r="AJ194" s="236" t="e">
        <f t="shared" si="97"/>
        <v>#VALUE!</v>
      </c>
      <c r="AK194" s="58" t="str">
        <f t="shared" si="98"/>
        <v/>
      </c>
      <c r="AL194" s="26" t="str">
        <f>IF($A195="","",_xll.SPRDOPT(P194,X194,AI194,0,AB194,AE194,AF194,AK194,$AJ$2,0))</f>
        <v/>
      </c>
      <c r="AM194" s="89" t="str">
        <f t="shared" si="99"/>
        <v/>
      </c>
      <c r="AN194" s="89" t="str">
        <f t="shared" si="100"/>
        <v/>
      </c>
      <c r="AO194" s="3" t="str">
        <f t="shared" si="101"/>
        <v/>
      </c>
      <c r="AP194" s="33" t="str">
        <f t="shared" si="102"/>
        <v/>
      </c>
      <c r="AQ194" s="58" t="str">
        <f t="shared" si="103"/>
        <v/>
      </c>
      <c r="AR194" s="38">
        <f>'ANR OK vs ML7'!AR194</f>
        <v>0.1</v>
      </c>
      <c r="AS194" s="35" t="str">
        <f t="shared" si="104"/>
        <v/>
      </c>
      <c r="AT194" s="3" t="str">
        <f t="shared" si="105"/>
        <v/>
      </c>
      <c r="AU194" s="3" t="str">
        <f t="shared" si="106"/>
        <v/>
      </c>
      <c r="AW194" s="32" t="str">
        <f t="shared" si="107"/>
        <v/>
      </c>
      <c r="AX194" s="32" t="str">
        <f t="shared" si="108"/>
        <v/>
      </c>
      <c r="AY194" s="32" t="str">
        <f t="shared" si="109"/>
        <v/>
      </c>
      <c r="BA194" s="32" t="str">
        <f>IF($A195="","",F194*Summary!$Q$10)</f>
        <v/>
      </c>
    </row>
    <row r="195" spans="1:53" ht="12" customHeight="1">
      <c r="A195" s="67" t="str">
        <f t="shared" si="110"/>
        <v/>
      </c>
      <c r="B195" s="69" t="str">
        <f t="shared" si="113"/>
        <v/>
      </c>
      <c r="C195" s="71"/>
      <c r="D195" s="69" t="str">
        <f t="shared" si="76"/>
        <v/>
      </c>
      <c r="E195" s="70" t="str">
        <f t="shared" si="77"/>
        <v/>
      </c>
      <c r="F195" s="70" t="str">
        <f t="shared" si="78"/>
        <v/>
      </c>
      <c r="G195" s="63" t="str">
        <f t="shared" si="79"/>
        <v/>
      </c>
      <c r="H195" s="64" t="str">
        <f t="shared" si="80"/>
        <v/>
      </c>
      <c r="I195" s="43"/>
      <c r="J195" s="63" t="str">
        <f t="shared" si="81"/>
        <v/>
      </c>
      <c r="K195" s="64" t="str">
        <f t="shared" si="82"/>
        <v/>
      </c>
      <c r="L195" s="38">
        <v>0</v>
      </c>
      <c r="M195" s="64" t="str">
        <f t="shared" si="83"/>
        <v/>
      </c>
      <c r="N195" s="65"/>
      <c r="O195" s="63" t="str">
        <f t="shared" si="84"/>
        <v/>
      </c>
      <c r="P195" s="63" t="str">
        <f t="shared" si="85"/>
        <v/>
      </c>
      <c r="Q195" s="66"/>
      <c r="R195" s="63" t="str">
        <f t="shared" si="86"/>
        <v/>
      </c>
      <c r="S195" s="64" t="str">
        <f t="shared" si="87"/>
        <v/>
      </c>
      <c r="T195" s="63" t="str">
        <f t="shared" si="88"/>
        <v/>
      </c>
      <c r="U195" s="64" t="str">
        <f t="shared" si="89"/>
        <v/>
      </c>
      <c r="V195" s="219" t="str">
        <f>IF($A196="","",IF(AND(MONTH(A195)&gt;3,MONTH(A195)&lt;11),(T195+R195+G195)*Summary!$T$10/(1-Summary!$T$10),(T195+R195+G195)*Summary!$U$10/(1-Summary!$U$10)))</f>
        <v/>
      </c>
      <c r="W195" s="63" t="str">
        <f t="shared" si="90"/>
        <v/>
      </c>
      <c r="X195" s="63" t="str">
        <f t="shared" si="91"/>
        <v/>
      </c>
      <c r="Y195" s="43"/>
      <c r="Z195" s="38" t="str">
        <f t="shared" si="92"/>
        <v/>
      </c>
      <c r="AA195" s="38" t="str">
        <f t="shared" si="93"/>
        <v/>
      </c>
      <c r="AB195" s="38" t="e">
        <f t="shared" si="94"/>
        <v>#VALUE!</v>
      </c>
      <c r="AC195" s="38" t="str">
        <f t="shared" si="95"/>
        <v/>
      </c>
      <c r="AD195" s="38" t="str">
        <f t="shared" si="95"/>
        <v/>
      </c>
      <c r="AE195" s="38" t="e">
        <f t="shared" si="96"/>
        <v>#VALUE!</v>
      </c>
      <c r="AF195" s="237" t="e">
        <f>((Summary!$N$10*(AA195*AD195)*(A195-$D$3))+(Summary!$M$10*Z195*AC195*(AJ195-EOMONTH(EDATE(A195,-1),0))))/(AK195*AB195*AE195)</f>
        <v>#VALUE!</v>
      </c>
      <c r="AG195" s="88" t="str">
        <f>IF($A196="","",Summary!$Q$10)</f>
        <v/>
      </c>
      <c r="AH195" s="88" t="str">
        <f>IF($A196="","",IF(Summary!$R$10="Y",(VLOOKUP($A195,Summary!$AD$6:$AF$9,3)+'Escalating commodity'!F208),'Escalating commodity'!F208))</f>
        <v/>
      </c>
      <c r="AI195" s="88" t="str">
        <f t="shared" si="111"/>
        <v/>
      </c>
      <c r="AJ195" s="236" t="e">
        <f t="shared" si="97"/>
        <v>#VALUE!</v>
      </c>
      <c r="AK195" s="58" t="str">
        <f t="shared" si="98"/>
        <v/>
      </c>
      <c r="AL195" s="26" t="str">
        <f>IF($A196="","",_xll.SPRDOPT(P195,X195,AI195,0,AB195,AE195,AF195,AK195,$AJ$2,0))</f>
        <v/>
      </c>
      <c r="AM195" s="89" t="str">
        <f t="shared" si="99"/>
        <v/>
      </c>
      <c r="AN195" s="89" t="str">
        <f t="shared" si="100"/>
        <v/>
      </c>
      <c r="AO195" s="3" t="str">
        <f t="shared" si="101"/>
        <v/>
      </c>
      <c r="AP195" s="33" t="str">
        <f t="shared" si="102"/>
        <v/>
      </c>
      <c r="AQ195" s="58" t="str">
        <f t="shared" si="103"/>
        <v/>
      </c>
      <c r="AR195" s="38">
        <f>'ANR OK vs ML7'!AR195</f>
        <v>0.1</v>
      </c>
      <c r="AS195" s="35" t="str">
        <f t="shared" si="104"/>
        <v/>
      </c>
      <c r="AT195" s="3" t="str">
        <f t="shared" si="105"/>
        <v/>
      </c>
      <c r="AU195" s="3" t="str">
        <f t="shared" si="106"/>
        <v/>
      </c>
      <c r="AW195" s="32" t="str">
        <f t="shared" si="107"/>
        <v/>
      </c>
      <c r="AX195" s="32" t="str">
        <f t="shared" si="108"/>
        <v/>
      </c>
      <c r="AY195" s="32" t="str">
        <f t="shared" si="109"/>
        <v/>
      </c>
      <c r="BA195" s="32" t="str">
        <f>IF($A196="","",F195*Summary!$Q$10)</f>
        <v/>
      </c>
    </row>
    <row r="196" spans="1:53" ht="12" customHeight="1">
      <c r="A196" s="67" t="str">
        <f t="shared" si="110"/>
        <v/>
      </c>
      <c r="B196" s="69" t="str">
        <f t="shared" si="113"/>
        <v/>
      </c>
      <c r="C196" s="71"/>
      <c r="D196" s="69" t="str">
        <f t="shared" si="76"/>
        <v/>
      </c>
      <c r="E196" s="70" t="str">
        <f t="shared" si="77"/>
        <v/>
      </c>
      <c r="F196" s="70" t="str">
        <f t="shared" si="78"/>
        <v/>
      </c>
      <c r="G196" s="63" t="str">
        <f t="shared" si="79"/>
        <v/>
      </c>
      <c r="H196" s="64" t="str">
        <f t="shared" si="80"/>
        <v/>
      </c>
      <c r="I196" s="43"/>
      <c r="J196" s="63" t="str">
        <f t="shared" si="81"/>
        <v/>
      </c>
      <c r="K196" s="64" t="str">
        <f t="shared" si="82"/>
        <v/>
      </c>
      <c r="L196" s="38">
        <v>0</v>
      </c>
      <c r="M196" s="64" t="str">
        <f t="shared" si="83"/>
        <v/>
      </c>
      <c r="N196" s="65"/>
      <c r="O196" s="63" t="str">
        <f t="shared" si="84"/>
        <v/>
      </c>
      <c r="P196" s="63" t="str">
        <f t="shared" si="85"/>
        <v/>
      </c>
      <c r="Q196" s="66"/>
      <c r="R196" s="63" t="str">
        <f t="shared" si="86"/>
        <v/>
      </c>
      <c r="S196" s="64" t="str">
        <f t="shared" si="87"/>
        <v/>
      </c>
      <c r="T196" s="63" t="str">
        <f t="shared" si="88"/>
        <v/>
      </c>
      <c r="U196" s="64" t="str">
        <f t="shared" si="89"/>
        <v/>
      </c>
      <c r="V196" s="219" t="str">
        <f>IF($A197="","",IF(AND(MONTH(A196)&gt;3,MONTH(A196)&lt;11),(T196+R196+G196)*Summary!$T$10/(1-Summary!$T$10),(T196+R196+G196)*Summary!$U$10/(1-Summary!$U$10)))</f>
        <v/>
      </c>
      <c r="W196" s="63" t="str">
        <f t="shared" si="90"/>
        <v/>
      </c>
      <c r="X196" s="63" t="str">
        <f t="shared" si="91"/>
        <v/>
      </c>
      <c r="Y196" s="43"/>
      <c r="Z196" s="38" t="str">
        <f t="shared" si="92"/>
        <v/>
      </c>
      <c r="AA196" s="38" t="str">
        <f t="shared" si="93"/>
        <v/>
      </c>
      <c r="AB196" s="38" t="e">
        <f t="shared" si="94"/>
        <v>#VALUE!</v>
      </c>
      <c r="AC196" s="38" t="str">
        <f t="shared" si="95"/>
        <v/>
      </c>
      <c r="AD196" s="38" t="str">
        <f t="shared" si="95"/>
        <v/>
      </c>
      <c r="AE196" s="38" t="e">
        <f t="shared" si="96"/>
        <v>#VALUE!</v>
      </c>
      <c r="AF196" s="237" t="e">
        <f>((Summary!$N$10*(AA196*AD196)*(A196-$D$3))+(Summary!$M$10*Z196*AC196*(AJ196-EOMONTH(EDATE(A196,-1),0))))/(AK196*AB196*AE196)</f>
        <v>#VALUE!</v>
      </c>
      <c r="AG196" s="88" t="str">
        <f>IF($A197="","",Summary!$Q$10)</f>
        <v/>
      </c>
      <c r="AH196" s="88" t="str">
        <f>IF($A197="","",IF(Summary!$R$10="Y",(VLOOKUP($A196,Summary!$AD$6:$AF$9,3)+'Escalating commodity'!F209),'Escalating commodity'!F209))</f>
        <v/>
      </c>
      <c r="AI196" s="88" t="str">
        <f t="shared" si="111"/>
        <v/>
      </c>
      <c r="AJ196" s="236" t="e">
        <f t="shared" si="97"/>
        <v>#VALUE!</v>
      </c>
      <c r="AK196" s="58" t="str">
        <f t="shared" si="98"/>
        <v/>
      </c>
      <c r="AL196" s="26" t="str">
        <f>IF($A197="","",_xll.SPRDOPT(P196,X196,AI196,0,AB196,AE196,AF196,AK196,$AJ$2,0))</f>
        <v/>
      </c>
      <c r="AM196" s="89" t="str">
        <f t="shared" si="99"/>
        <v/>
      </c>
      <c r="AN196" s="89" t="str">
        <f t="shared" si="100"/>
        <v/>
      </c>
      <c r="AO196" s="3" t="str">
        <f t="shared" si="101"/>
        <v/>
      </c>
      <c r="AP196" s="33" t="str">
        <f t="shared" si="102"/>
        <v/>
      </c>
      <c r="AQ196" s="58" t="str">
        <f t="shared" si="103"/>
        <v/>
      </c>
      <c r="AR196" s="38">
        <f>'ANR OK vs ML7'!AR196</f>
        <v>0.1</v>
      </c>
      <c r="AS196" s="35" t="str">
        <f t="shared" si="104"/>
        <v/>
      </c>
      <c r="AT196" s="3" t="str">
        <f t="shared" si="105"/>
        <v/>
      </c>
      <c r="AU196" s="3" t="str">
        <f t="shared" si="106"/>
        <v/>
      </c>
      <c r="AW196" s="32" t="str">
        <f t="shared" si="107"/>
        <v/>
      </c>
      <c r="AX196" s="32" t="str">
        <f t="shared" si="108"/>
        <v/>
      </c>
      <c r="AY196" s="32" t="str">
        <f t="shared" si="109"/>
        <v/>
      </c>
      <c r="BA196" s="32" t="str">
        <f>IF($A197="","",F196*Summary!$Q$10)</f>
        <v/>
      </c>
    </row>
    <row r="197" spans="1:53" ht="12" customHeight="1">
      <c r="A197" s="67" t="str">
        <f t="shared" si="110"/>
        <v/>
      </c>
      <c r="B197" s="69" t="str">
        <f t="shared" si="113"/>
        <v/>
      </c>
      <c r="C197" s="71"/>
      <c r="D197" s="69" t="str">
        <f t="shared" si="76"/>
        <v/>
      </c>
      <c r="E197" s="70" t="str">
        <f t="shared" si="77"/>
        <v/>
      </c>
      <c r="F197" s="70" t="str">
        <f t="shared" si="78"/>
        <v/>
      </c>
      <c r="G197" s="63" t="str">
        <f t="shared" si="79"/>
        <v/>
      </c>
      <c r="H197" s="64" t="str">
        <f t="shared" si="80"/>
        <v/>
      </c>
      <c r="I197" s="43"/>
      <c r="J197" s="63" t="str">
        <f t="shared" si="81"/>
        <v/>
      </c>
      <c r="K197" s="64" t="str">
        <f t="shared" si="82"/>
        <v/>
      </c>
      <c r="L197" s="38">
        <v>0</v>
      </c>
      <c r="M197" s="64" t="str">
        <f t="shared" si="83"/>
        <v/>
      </c>
      <c r="N197" s="65"/>
      <c r="O197" s="63" t="str">
        <f t="shared" si="84"/>
        <v/>
      </c>
      <c r="P197" s="63" t="str">
        <f t="shared" si="85"/>
        <v/>
      </c>
      <c r="Q197" s="66"/>
      <c r="R197" s="63" t="str">
        <f t="shared" si="86"/>
        <v/>
      </c>
      <c r="S197" s="64" t="str">
        <f t="shared" si="87"/>
        <v/>
      </c>
      <c r="T197" s="63" t="str">
        <f t="shared" si="88"/>
        <v/>
      </c>
      <c r="U197" s="64" t="str">
        <f t="shared" si="89"/>
        <v/>
      </c>
      <c r="V197" s="219" t="str">
        <f>IF($A198="","",IF(AND(MONTH(A197)&gt;3,MONTH(A197)&lt;11),(T197+R197+G197)*Summary!$T$10/(1-Summary!$T$10),(T197+R197+G197)*Summary!$U$10/(1-Summary!$U$10)))</f>
        <v/>
      </c>
      <c r="W197" s="63" t="str">
        <f t="shared" si="90"/>
        <v/>
      </c>
      <c r="X197" s="63" t="str">
        <f t="shared" si="91"/>
        <v/>
      </c>
      <c r="Y197" s="43"/>
      <c r="Z197" s="38" t="str">
        <f t="shared" si="92"/>
        <v/>
      </c>
      <c r="AA197" s="38" t="str">
        <f t="shared" si="93"/>
        <v/>
      </c>
      <c r="AB197" s="38" t="e">
        <f t="shared" si="94"/>
        <v>#VALUE!</v>
      </c>
      <c r="AC197" s="38" t="str">
        <f t="shared" si="95"/>
        <v/>
      </c>
      <c r="AD197" s="38" t="str">
        <f t="shared" si="95"/>
        <v/>
      </c>
      <c r="AE197" s="38" t="e">
        <f t="shared" si="96"/>
        <v>#VALUE!</v>
      </c>
      <c r="AF197" s="237" t="e">
        <f>((Summary!$N$10*(AA197*AD197)*(A197-$D$3))+(Summary!$M$10*Z197*AC197*(AJ197-EOMONTH(EDATE(A197,-1),0))))/(AK197*AB197*AE197)</f>
        <v>#VALUE!</v>
      </c>
      <c r="AG197" s="88" t="str">
        <f>IF($A198="","",Summary!$Q$10)</f>
        <v/>
      </c>
      <c r="AH197" s="88" t="str">
        <f>IF($A198="","",IF(Summary!$R$10="Y",(VLOOKUP($A197,Summary!$AD$6:$AF$9,3)+'Escalating commodity'!F210),'Escalating commodity'!F210))</f>
        <v/>
      </c>
      <c r="AI197" s="88" t="str">
        <f t="shared" si="111"/>
        <v/>
      </c>
      <c r="AJ197" s="236" t="e">
        <f t="shared" si="97"/>
        <v>#VALUE!</v>
      </c>
      <c r="AK197" s="58" t="str">
        <f t="shared" si="98"/>
        <v/>
      </c>
      <c r="AL197" s="26" t="str">
        <f>IF($A198="","",_xll.SPRDOPT(P197,X197,AI197,0,AB197,AE197,AF197,AK197,$AJ$2,0))</f>
        <v/>
      </c>
      <c r="AM197" s="89" t="str">
        <f t="shared" si="99"/>
        <v/>
      </c>
      <c r="AN197" s="89" t="str">
        <f t="shared" si="100"/>
        <v/>
      </c>
      <c r="AO197" s="3" t="str">
        <f t="shared" si="101"/>
        <v/>
      </c>
      <c r="AP197" s="33" t="str">
        <f t="shared" si="102"/>
        <v/>
      </c>
      <c r="AQ197" s="58" t="str">
        <f t="shared" si="103"/>
        <v/>
      </c>
      <c r="AR197" s="38">
        <f>'ANR OK vs ML7'!AR197</f>
        <v>0.1</v>
      </c>
      <c r="AS197" s="35" t="str">
        <f t="shared" si="104"/>
        <v/>
      </c>
      <c r="AT197" s="3" t="str">
        <f t="shared" si="105"/>
        <v/>
      </c>
      <c r="AU197" s="3" t="str">
        <f t="shared" si="106"/>
        <v/>
      </c>
      <c r="AW197" s="32" t="str">
        <f t="shared" si="107"/>
        <v/>
      </c>
      <c r="AX197" s="32" t="str">
        <f t="shared" si="108"/>
        <v/>
      </c>
      <c r="AY197" s="32" t="str">
        <f t="shared" si="109"/>
        <v/>
      </c>
      <c r="BA197" s="32" t="str">
        <f>IF($A198="","",F197*Summary!$Q$10)</f>
        <v/>
      </c>
    </row>
    <row r="198" spans="1:53" ht="12" customHeight="1">
      <c r="A198" s="67" t="str">
        <f t="shared" si="110"/>
        <v/>
      </c>
      <c r="B198" s="69" t="str">
        <f t="shared" si="113"/>
        <v/>
      </c>
      <c r="C198" s="71"/>
      <c r="D198" s="69" t="str">
        <f t="shared" si="76"/>
        <v/>
      </c>
      <c r="E198" s="70" t="str">
        <f t="shared" si="77"/>
        <v/>
      </c>
      <c r="F198" s="70" t="str">
        <f t="shared" si="78"/>
        <v/>
      </c>
      <c r="G198" s="63" t="str">
        <f t="shared" si="79"/>
        <v/>
      </c>
      <c r="H198" s="64" t="str">
        <f t="shared" si="80"/>
        <v/>
      </c>
      <c r="I198" s="43"/>
      <c r="J198" s="63" t="str">
        <f t="shared" si="81"/>
        <v/>
      </c>
      <c r="K198" s="64" t="str">
        <f t="shared" si="82"/>
        <v/>
      </c>
      <c r="L198" s="38">
        <v>0</v>
      </c>
      <c r="M198" s="64" t="str">
        <f t="shared" si="83"/>
        <v/>
      </c>
      <c r="N198" s="65"/>
      <c r="O198" s="63" t="str">
        <f t="shared" si="84"/>
        <v/>
      </c>
      <c r="P198" s="63" t="str">
        <f t="shared" si="85"/>
        <v/>
      </c>
      <c r="Q198" s="66"/>
      <c r="R198" s="63" t="str">
        <f t="shared" si="86"/>
        <v/>
      </c>
      <c r="S198" s="64" t="str">
        <f t="shared" si="87"/>
        <v/>
      </c>
      <c r="T198" s="63" t="str">
        <f t="shared" si="88"/>
        <v/>
      </c>
      <c r="U198" s="64" t="str">
        <f t="shared" si="89"/>
        <v/>
      </c>
      <c r="V198" s="219" t="str">
        <f>IF($A199="","",IF(AND(MONTH(A198)&gt;3,MONTH(A198)&lt;11),(T198+R198+G198)*Summary!$T$10/(1-Summary!$T$10),(T198+R198+G198)*Summary!$U$10/(1-Summary!$U$10)))</f>
        <v/>
      </c>
      <c r="W198" s="63" t="str">
        <f t="shared" si="90"/>
        <v/>
      </c>
      <c r="X198" s="63" t="str">
        <f t="shared" si="91"/>
        <v/>
      </c>
      <c r="Y198" s="43"/>
      <c r="Z198" s="38" t="str">
        <f t="shared" si="92"/>
        <v/>
      </c>
      <c r="AA198" s="38" t="str">
        <f t="shared" si="93"/>
        <v/>
      </c>
      <c r="AB198" s="38" t="e">
        <f t="shared" si="94"/>
        <v>#VALUE!</v>
      </c>
      <c r="AC198" s="38" t="str">
        <f t="shared" si="95"/>
        <v/>
      </c>
      <c r="AD198" s="38" t="str">
        <f t="shared" si="95"/>
        <v/>
      </c>
      <c r="AE198" s="38" t="e">
        <f t="shared" si="96"/>
        <v>#VALUE!</v>
      </c>
      <c r="AF198" s="237" t="e">
        <f>((Summary!$N$10*(AA198*AD198)*(A198-$D$3))+(Summary!$M$10*Z198*AC198*(AJ198-EOMONTH(EDATE(A198,-1),0))))/(AK198*AB198*AE198)</f>
        <v>#VALUE!</v>
      </c>
      <c r="AG198" s="88" t="str">
        <f>IF($A199="","",Summary!$Q$10)</f>
        <v/>
      </c>
      <c r="AH198" s="88" t="str">
        <f>IF($A199="","",IF(Summary!$R$10="Y",(VLOOKUP($A198,Summary!$AD$6:$AF$9,3)+'Escalating commodity'!F211),'Escalating commodity'!F211))</f>
        <v/>
      </c>
      <c r="AI198" s="88" t="str">
        <f t="shared" si="111"/>
        <v/>
      </c>
      <c r="AJ198" s="236" t="e">
        <f t="shared" si="97"/>
        <v>#VALUE!</v>
      </c>
      <c r="AK198" s="58" t="str">
        <f t="shared" si="98"/>
        <v/>
      </c>
      <c r="AL198" s="26" t="str">
        <f>IF($A199="","",_xll.SPRDOPT(P198,X198,AI198,0,AB198,AE198,AF198,AK198,$AJ$2,0))</f>
        <v/>
      </c>
      <c r="AM198" s="89" t="str">
        <f t="shared" si="99"/>
        <v/>
      </c>
      <c r="AN198" s="89" t="str">
        <f t="shared" si="100"/>
        <v/>
      </c>
      <c r="AO198" s="3" t="str">
        <f t="shared" si="101"/>
        <v/>
      </c>
      <c r="AP198" s="33" t="str">
        <f t="shared" si="102"/>
        <v/>
      </c>
      <c r="AQ198" s="58" t="str">
        <f t="shared" si="103"/>
        <v/>
      </c>
      <c r="AR198" s="38">
        <f>'ANR OK vs ML7'!AR198</f>
        <v>0.1</v>
      </c>
      <c r="AS198" s="35" t="str">
        <f t="shared" si="104"/>
        <v/>
      </c>
      <c r="AT198" s="3" t="str">
        <f t="shared" si="105"/>
        <v/>
      </c>
      <c r="AU198" s="3" t="str">
        <f t="shared" si="106"/>
        <v/>
      </c>
      <c r="AW198" s="32" t="str">
        <f t="shared" si="107"/>
        <v/>
      </c>
      <c r="AX198" s="32" t="str">
        <f t="shared" si="108"/>
        <v/>
      </c>
      <c r="AY198" s="32" t="str">
        <f t="shared" si="109"/>
        <v/>
      </c>
      <c r="BA198" s="32" t="str">
        <f>IF($A199="","",F198*Summary!$Q$10)</f>
        <v/>
      </c>
    </row>
    <row r="199" spans="1:53" ht="12" customHeight="1">
      <c r="A199" s="67" t="str">
        <f t="shared" si="110"/>
        <v/>
      </c>
      <c r="B199" s="69" t="str">
        <f t="shared" si="113"/>
        <v/>
      </c>
      <c r="C199" s="71"/>
      <c r="D199" s="69" t="str">
        <f t="shared" si="76"/>
        <v/>
      </c>
      <c r="E199" s="70" t="str">
        <f t="shared" si="77"/>
        <v/>
      </c>
      <c r="F199" s="70" t="str">
        <f t="shared" si="78"/>
        <v/>
      </c>
      <c r="G199" s="63" t="str">
        <f t="shared" si="79"/>
        <v/>
      </c>
      <c r="H199" s="64" t="str">
        <f t="shared" si="80"/>
        <v/>
      </c>
      <c r="I199" s="43"/>
      <c r="J199" s="63" t="str">
        <f t="shared" si="81"/>
        <v/>
      </c>
      <c r="K199" s="64" t="str">
        <f t="shared" si="82"/>
        <v/>
      </c>
      <c r="L199" s="38">
        <v>0</v>
      </c>
      <c r="M199" s="64" t="str">
        <f t="shared" si="83"/>
        <v/>
      </c>
      <c r="N199" s="65"/>
      <c r="O199" s="63" t="str">
        <f t="shared" si="84"/>
        <v/>
      </c>
      <c r="P199" s="63" t="str">
        <f t="shared" si="85"/>
        <v/>
      </c>
      <c r="Q199" s="66"/>
      <c r="R199" s="63" t="str">
        <f t="shared" si="86"/>
        <v/>
      </c>
      <c r="S199" s="64" t="str">
        <f t="shared" si="87"/>
        <v/>
      </c>
      <c r="T199" s="63" t="str">
        <f t="shared" si="88"/>
        <v/>
      </c>
      <c r="U199" s="64" t="str">
        <f t="shared" si="89"/>
        <v/>
      </c>
      <c r="V199" s="219" t="str">
        <f>IF($A200="","",IF(AND(MONTH(A199)&gt;3,MONTH(A199)&lt;11),(T199+R199+G199)*Summary!$T$10/(1-Summary!$T$10),(T199+R199+G199)*Summary!$U$10/(1-Summary!$U$10)))</f>
        <v/>
      </c>
      <c r="W199" s="63" t="str">
        <f t="shared" si="90"/>
        <v/>
      </c>
      <c r="X199" s="63" t="str">
        <f t="shared" si="91"/>
        <v/>
      </c>
      <c r="Y199" s="43"/>
      <c r="Z199" s="38" t="str">
        <f t="shared" si="92"/>
        <v/>
      </c>
      <c r="AA199" s="38" t="str">
        <f t="shared" si="93"/>
        <v/>
      </c>
      <c r="AB199" s="38" t="e">
        <f t="shared" si="94"/>
        <v>#VALUE!</v>
      </c>
      <c r="AC199" s="38" t="str">
        <f t="shared" si="95"/>
        <v/>
      </c>
      <c r="AD199" s="38" t="str">
        <f t="shared" si="95"/>
        <v/>
      </c>
      <c r="AE199" s="38" t="e">
        <f t="shared" si="96"/>
        <v>#VALUE!</v>
      </c>
      <c r="AF199" s="237" t="e">
        <f>((Summary!$N$10*(AA199*AD199)*(A199-$D$3))+(Summary!$M$10*Z199*AC199*(AJ199-EOMONTH(EDATE(A199,-1),0))))/(AK199*AB199*AE199)</f>
        <v>#VALUE!</v>
      </c>
      <c r="AG199" s="88" t="str">
        <f>IF($A200="","",Summary!$Q$10)</f>
        <v/>
      </c>
      <c r="AH199" s="88" t="str">
        <f>IF($A200="","",IF(Summary!$R$10="Y",(VLOOKUP($A199,Summary!$AD$6:$AF$9,3)+'Escalating commodity'!F212),'Escalating commodity'!F212))</f>
        <v/>
      </c>
      <c r="AI199" s="88" t="str">
        <f t="shared" si="111"/>
        <v/>
      </c>
      <c r="AJ199" s="236" t="e">
        <f t="shared" si="97"/>
        <v>#VALUE!</v>
      </c>
      <c r="AK199" s="58" t="str">
        <f t="shared" si="98"/>
        <v/>
      </c>
      <c r="AL199" s="26" t="str">
        <f>IF($A200="","",_xll.SPRDOPT(P199,X199,AI199,0,AB199,AE199,AF199,AK199,$AJ$2,0))</f>
        <v/>
      </c>
      <c r="AM199" s="89" t="str">
        <f t="shared" si="99"/>
        <v/>
      </c>
      <c r="AN199" s="89" t="str">
        <f t="shared" si="100"/>
        <v/>
      </c>
      <c r="AO199" s="3" t="str">
        <f t="shared" si="101"/>
        <v/>
      </c>
      <c r="AP199" s="33" t="str">
        <f t="shared" si="102"/>
        <v/>
      </c>
      <c r="AQ199" s="58" t="str">
        <f t="shared" si="103"/>
        <v/>
      </c>
      <c r="AR199" s="38">
        <f>'ANR OK vs ML7'!AR199</f>
        <v>0.1</v>
      </c>
      <c r="AS199" s="35" t="str">
        <f t="shared" si="104"/>
        <v/>
      </c>
      <c r="AT199" s="3" t="str">
        <f t="shared" si="105"/>
        <v/>
      </c>
      <c r="AU199" s="3" t="str">
        <f t="shared" si="106"/>
        <v/>
      </c>
      <c r="AW199" s="32" t="str">
        <f t="shared" si="107"/>
        <v/>
      </c>
      <c r="AX199" s="32" t="str">
        <f t="shared" si="108"/>
        <v/>
      </c>
      <c r="AY199" s="32" t="str">
        <f t="shared" si="109"/>
        <v/>
      </c>
      <c r="BA199" s="32" t="str">
        <f>IF($A200="","",F199*Summary!$Q$10)</f>
        <v/>
      </c>
    </row>
    <row r="200" spans="1:53" ht="12" customHeight="1">
      <c r="A200" s="67" t="str">
        <f t="shared" si="110"/>
        <v/>
      </c>
      <c r="B200" s="69" t="str">
        <f t="shared" si="113"/>
        <v/>
      </c>
      <c r="C200" s="71"/>
      <c r="D200" s="69" t="str">
        <f t="shared" si="76"/>
        <v/>
      </c>
      <c r="E200" s="70" t="str">
        <f t="shared" si="77"/>
        <v/>
      </c>
      <c r="F200" s="70" t="str">
        <f t="shared" si="78"/>
        <v/>
      </c>
      <c r="G200" s="63" t="str">
        <f t="shared" si="79"/>
        <v/>
      </c>
      <c r="H200" s="64" t="str">
        <f t="shared" si="80"/>
        <v/>
      </c>
      <c r="I200" s="43"/>
      <c r="J200" s="63" t="str">
        <f t="shared" si="81"/>
        <v/>
      </c>
      <c r="K200" s="64" t="str">
        <f t="shared" si="82"/>
        <v/>
      </c>
      <c r="L200" s="38">
        <v>0</v>
      </c>
      <c r="M200" s="64" t="str">
        <f t="shared" si="83"/>
        <v/>
      </c>
      <c r="N200" s="65"/>
      <c r="O200" s="63" t="str">
        <f t="shared" si="84"/>
        <v/>
      </c>
      <c r="P200" s="63" t="str">
        <f t="shared" si="85"/>
        <v/>
      </c>
      <c r="Q200" s="66"/>
      <c r="R200" s="63" t="str">
        <f t="shared" si="86"/>
        <v/>
      </c>
      <c r="S200" s="64" t="str">
        <f t="shared" si="87"/>
        <v/>
      </c>
      <c r="T200" s="63" t="str">
        <f t="shared" si="88"/>
        <v/>
      </c>
      <c r="U200" s="64" t="str">
        <f t="shared" si="89"/>
        <v/>
      </c>
      <c r="V200" s="219" t="str">
        <f>IF($A201="","",IF(AND(MONTH(A200)&gt;3,MONTH(A200)&lt;11),(T200+R200+G200)*Summary!$T$10/(1-Summary!$T$10),(T200+R200+G200)*Summary!$U$10/(1-Summary!$U$10)))</f>
        <v/>
      </c>
      <c r="W200" s="63" t="str">
        <f t="shared" si="90"/>
        <v/>
      </c>
      <c r="X200" s="63" t="str">
        <f t="shared" si="91"/>
        <v/>
      </c>
      <c r="Y200" s="43"/>
      <c r="Z200" s="38" t="str">
        <f t="shared" si="92"/>
        <v/>
      </c>
      <c r="AA200" s="38" t="str">
        <f t="shared" si="93"/>
        <v/>
      </c>
      <c r="AB200" s="38" t="e">
        <f t="shared" si="94"/>
        <v>#VALUE!</v>
      </c>
      <c r="AC200" s="38" t="str">
        <f t="shared" si="95"/>
        <v/>
      </c>
      <c r="AD200" s="38" t="str">
        <f t="shared" si="95"/>
        <v/>
      </c>
      <c r="AE200" s="38" t="e">
        <f t="shared" si="96"/>
        <v>#VALUE!</v>
      </c>
      <c r="AF200" s="237" t="e">
        <f>((Summary!$N$10*(AA200*AD200)*(A200-$D$3))+(Summary!$M$10*Z200*AC200*(AJ200-EOMONTH(EDATE(A200,-1),0))))/(AK200*AB200*AE200)</f>
        <v>#VALUE!</v>
      </c>
      <c r="AG200" s="88" t="str">
        <f>IF($A201="","",Summary!$Q$10)</f>
        <v/>
      </c>
      <c r="AH200" s="88" t="str">
        <f>IF($A201="","",IF(Summary!$R$10="Y",(VLOOKUP($A200,Summary!$AD$6:$AF$9,3)+'Escalating commodity'!F213),'Escalating commodity'!F213))</f>
        <v/>
      </c>
      <c r="AI200" s="88" t="str">
        <f t="shared" si="111"/>
        <v/>
      </c>
      <c r="AJ200" s="236" t="e">
        <f t="shared" si="97"/>
        <v>#VALUE!</v>
      </c>
      <c r="AK200" s="58" t="str">
        <f t="shared" si="98"/>
        <v/>
      </c>
      <c r="AL200" s="26" t="str">
        <f>IF($A201="","",_xll.SPRDOPT(P200,X200,AI200,0,AB200,AE200,AF200,AK200,$AJ$2,0))</f>
        <v/>
      </c>
      <c r="AM200" s="89" t="str">
        <f t="shared" si="99"/>
        <v/>
      </c>
      <c r="AN200" s="89" t="str">
        <f t="shared" si="100"/>
        <v/>
      </c>
      <c r="AO200" s="3" t="str">
        <f t="shared" si="101"/>
        <v/>
      </c>
      <c r="AP200" s="33" t="str">
        <f t="shared" si="102"/>
        <v/>
      </c>
      <c r="AQ200" s="58" t="str">
        <f t="shared" si="103"/>
        <v/>
      </c>
      <c r="AR200" s="38">
        <f>'ANR OK vs ML7'!AR200</f>
        <v>0.1</v>
      </c>
      <c r="AS200" s="35" t="str">
        <f t="shared" si="104"/>
        <v/>
      </c>
      <c r="AT200" s="3" t="str">
        <f t="shared" si="105"/>
        <v/>
      </c>
      <c r="AU200" s="3" t="str">
        <f t="shared" si="106"/>
        <v/>
      </c>
      <c r="AW200" s="32" t="str">
        <f t="shared" si="107"/>
        <v/>
      </c>
      <c r="AX200" s="32" t="str">
        <f t="shared" si="108"/>
        <v/>
      </c>
      <c r="AY200" s="32" t="str">
        <f t="shared" si="109"/>
        <v/>
      </c>
      <c r="BA200" s="32" t="str">
        <f>IF($A201="","",F200*Summary!$Q$10)</f>
        <v/>
      </c>
    </row>
    <row r="201" spans="1:53" ht="12" customHeight="1">
      <c r="A201" s="67" t="str">
        <f t="shared" si="110"/>
        <v/>
      </c>
      <c r="B201" s="69" t="str">
        <f t="shared" si="113"/>
        <v/>
      </c>
      <c r="C201" s="71"/>
      <c r="D201" s="69" t="str">
        <f t="shared" si="76"/>
        <v/>
      </c>
      <c r="E201" s="70" t="str">
        <f t="shared" si="77"/>
        <v/>
      </c>
      <c r="F201" s="70" t="str">
        <f t="shared" si="78"/>
        <v/>
      </c>
      <c r="G201" s="63" t="str">
        <f t="shared" si="79"/>
        <v/>
      </c>
      <c r="H201" s="64" t="str">
        <f t="shared" si="80"/>
        <v/>
      </c>
      <c r="I201" s="43"/>
      <c r="J201" s="63" t="str">
        <f t="shared" si="81"/>
        <v/>
      </c>
      <c r="K201" s="64" t="str">
        <f t="shared" si="82"/>
        <v/>
      </c>
      <c r="L201" s="38">
        <v>0</v>
      </c>
      <c r="M201" s="64" t="str">
        <f t="shared" si="83"/>
        <v/>
      </c>
      <c r="N201" s="65"/>
      <c r="O201" s="63" t="str">
        <f t="shared" si="84"/>
        <v/>
      </c>
      <c r="P201" s="63" t="str">
        <f t="shared" si="85"/>
        <v/>
      </c>
      <c r="Q201" s="66"/>
      <c r="R201" s="63" t="str">
        <f t="shared" si="86"/>
        <v/>
      </c>
      <c r="S201" s="64" t="str">
        <f t="shared" si="87"/>
        <v/>
      </c>
      <c r="T201" s="63" t="str">
        <f t="shared" si="88"/>
        <v/>
      </c>
      <c r="U201" s="64" t="str">
        <f t="shared" si="89"/>
        <v/>
      </c>
      <c r="V201" s="219" t="str">
        <f>IF($A202="","",IF(AND(MONTH(A201)&gt;3,MONTH(A201)&lt;11),(T201+R201+G201)*Summary!$T$10/(1-Summary!$T$10),(T201+R201+G201)*Summary!$U$10/(1-Summary!$U$10)))</f>
        <v/>
      </c>
      <c r="W201" s="63" t="str">
        <f t="shared" si="90"/>
        <v/>
      </c>
      <c r="X201" s="63" t="str">
        <f t="shared" si="91"/>
        <v/>
      </c>
      <c r="Y201" s="43"/>
      <c r="Z201" s="38" t="str">
        <f t="shared" si="92"/>
        <v/>
      </c>
      <c r="AA201" s="38" t="str">
        <f t="shared" si="93"/>
        <v/>
      </c>
      <c r="AB201" s="38" t="e">
        <f t="shared" si="94"/>
        <v>#VALUE!</v>
      </c>
      <c r="AC201" s="38" t="str">
        <f t="shared" si="95"/>
        <v/>
      </c>
      <c r="AD201" s="38" t="str">
        <f t="shared" si="95"/>
        <v/>
      </c>
      <c r="AE201" s="38" t="e">
        <f t="shared" si="96"/>
        <v>#VALUE!</v>
      </c>
      <c r="AF201" s="237" t="e">
        <f>((Summary!$N$10*(AA201*AD201)*(A201-$D$3))+(Summary!$M$10*Z201*AC201*(AJ201-EOMONTH(EDATE(A201,-1),0))))/(AK201*AB201*AE201)</f>
        <v>#VALUE!</v>
      </c>
      <c r="AG201" s="88" t="str">
        <f>IF($A202="","",Summary!$Q$10)</f>
        <v/>
      </c>
      <c r="AH201" s="88" t="str">
        <f>IF($A202="","",IF(Summary!$R$10="Y",(VLOOKUP($A201,Summary!$AD$6:$AF$9,3)+'Escalating commodity'!F214),'Escalating commodity'!F214))</f>
        <v/>
      </c>
      <c r="AI201" s="88" t="str">
        <f t="shared" si="111"/>
        <v/>
      </c>
      <c r="AJ201" s="236" t="e">
        <f t="shared" si="97"/>
        <v>#VALUE!</v>
      </c>
      <c r="AK201" s="58" t="str">
        <f t="shared" si="98"/>
        <v/>
      </c>
      <c r="AL201" s="26" t="str">
        <f>IF($A202="","",_xll.SPRDOPT(P201,X201,AI201,0,AB201,AE201,AF201,AK201,$AJ$2,0))</f>
        <v/>
      </c>
      <c r="AM201" s="89" t="str">
        <f t="shared" si="99"/>
        <v/>
      </c>
      <c r="AN201" s="89" t="str">
        <f t="shared" si="100"/>
        <v/>
      </c>
      <c r="AO201" s="3" t="str">
        <f t="shared" si="101"/>
        <v/>
      </c>
      <c r="AP201" s="33" t="str">
        <f t="shared" si="102"/>
        <v/>
      </c>
      <c r="AQ201" s="58" t="str">
        <f t="shared" si="103"/>
        <v/>
      </c>
      <c r="AR201" s="38">
        <f>'ANR OK vs ML7'!AR201</f>
        <v>0.1</v>
      </c>
      <c r="AS201" s="35" t="str">
        <f t="shared" si="104"/>
        <v/>
      </c>
      <c r="AT201" s="3" t="str">
        <f t="shared" si="105"/>
        <v/>
      </c>
      <c r="AU201" s="3" t="str">
        <f t="shared" si="106"/>
        <v/>
      </c>
      <c r="AW201" s="32" t="str">
        <f t="shared" si="107"/>
        <v/>
      </c>
      <c r="AX201" s="32" t="str">
        <f t="shared" si="108"/>
        <v/>
      </c>
      <c r="AY201" s="32" t="str">
        <f t="shared" si="109"/>
        <v/>
      </c>
      <c r="BA201" s="32" t="str">
        <f>IF($A202="","",F201*Summary!$Q$10)</f>
        <v/>
      </c>
    </row>
    <row r="202" spans="1:53" ht="12" customHeight="1">
      <c r="A202" s="67" t="str">
        <f t="shared" si="110"/>
        <v/>
      </c>
      <c r="B202" s="69" t="str">
        <f t="shared" si="113"/>
        <v/>
      </c>
      <c r="C202" s="71"/>
      <c r="D202" s="69" t="str">
        <f t="shared" ref="D202:D265" si="114">IF(A203&lt;&gt;"",B202+C202,"")</f>
        <v/>
      </c>
      <c r="E202" s="70" t="str">
        <f t="shared" ref="E202:E265" si="115">IF(A203="","",IF(AND(AT202=1,$H$3=1),D202*AO202,IF($H$3=2,D202,"N/A")))</f>
        <v/>
      </c>
      <c r="F202" s="70" t="str">
        <f t="shared" ref="F202:F265" si="116">IF(A203="","",E202*AS202)</f>
        <v/>
      </c>
      <c r="G202" s="63" t="str">
        <f t="shared" ref="G202:G265" si="117">IF($A203="","",VLOOKUP($A202,Table,MATCH(G$4,Curves,0)))</f>
        <v/>
      </c>
      <c r="H202" s="64" t="str">
        <f t="shared" ref="H202:H265" si="118">IF(A203="","",G202)</f>
        <v/>
      </c>
      <c r="I202" s="43"/>
      <c r="J202" s="63" t="str">
        <f t="shared" ref="J202:J265" si="119">IF($A203="","",VLOOKUP($A202,Table,MATCH(J$4,Curves,0)))</f>
        <v/>
      </c>
      <c r="K202" s="64" t="str">
        <f t="shared" ref="K202:K265" si="120">IF(A203="","",J202)</f>
        <v/>
      </c>
      <c r="L202" s="38">
        <v>0</v>
      </c>
      <c r="M202" s="64" t="str">
        <f t="shared" ref="M202:M265" si="121">IF(A203="","",L202)</f>
        <v/>
      </c>
      <c r="N202" s="65"/>
      <c r="O202" s="63" t="str">
        <f t="shared" ref="O202:O265" si="122">IF(A203="","",L202+J202+G202)</f>
        <v/>
      </c>
      <c r="P202" s="63" t="str">
        <f t="shared" ref="P202:P265" si="123">IF(A203="","",M202+K202+H202)</f>
        <v/>
      </c>
      <c r="Q202" s="66"/>
      <c r="R202" s="63" t="str">
        <f t="shared" ref="R202:R265" si="124">IF($A203="","",VLOOKUP($A202,Table,MATCH(R$4,Curves,0)))</f>
        <v/>
      </c>
      <c r="S202" s="64" t="str">
        <f t="shared" ref="S202:S265" si="125">IF(A203="","",R202)</f>
        <v/>
      </c>
      <c r="T202" s="63" t="str">
        <f t="shared" ref="T202:T265" si="126">IF($A203="","",VLOOKUP($A202,Table,MATCH(T$4,Curves,0)))</f>
        <v/>
      </c>
      <c r="U202" s="64" t="str">
        <f t="shared" ref="U202:U265" si="127">IF(A203="","",T202)</f>
        <v/>
      </c>
      <c r="V202" s="219" t="str">
        <f>IF($A203="","",IF(AND(MONTH(A202)&gt;3,MONTH(A202)&lt;11),(T202+R202+G202)*Summary!$T$10/(1-Summary!$T$10),(T202+R202+G202)*Summary!$U$10/(1-Summary!$U$10)))</f>
        <v/>
      </c>
      <c r="W202" s="63" t="str">
        <f t="shared" ref="W202:W265" si="128">IF($A203="","",(T202+R202+G202+V202))</f>
        <v/>
      </c>
      <c r="X202" s="63" t="str">
        <f t="shared" ref="X202:X265" si="129">IF($A203="","",(U202+S202+H202+V202))</f>
        <v/>
      </c>
      <c r="Y202" s="43"/>
      <c r="Z202" s="38" t="str">
        <f t="shared" ref="Z202:Z265" si="130">IF($A203="","",VLOOKUP($A202,Table,MATCH(Z$4,Curves,0)))</f>
        <v/>
      </c>
      <c r="AA202" s="38" t="str">
        <f t="shared" ref="AA202:AA265" si="131">IF($A203="","",VLOOKUP($A202,Table,MATCH(AA$4,Curves,0)))</f>
        <v/>
      </c>
      <c r="AB202" s="38" t="e">
        <f t="shared" ref="AB202:AB265" si="132">SQRT((AA202^2*(A202-$D$3)+Z202^2*(DAY(EOMONTH(A202,0))/2))/AK202)</f>
        <v>#VALUE!</v>
      </c>
      <c r="AC202" s="38" t="str">
        <f t="shared" ref="AC202:AD265" si="133">IF($A203="","",VLOOKUP($A202,Table,MATCH(AC$4,Curves,0)))</f>
        <v/>
      </c>
      <c r="AD202" s="38" t="str">
        <f t="shared" si="133"/>
        <v/>
      </c>
      <c r="AE202" s="38" t="e">
        <f t="shared" ref="AE202:AE265" si="134">SQRT((AD202^2*(A202-$D$3)+AC202^2*(DAY(EOMONTH(A202,0))/2))/AK202)</f>
        <v>#VALUE!</v>
      </c>
      <c r="AF202" s="237" t="e">
        <f>((Summary!$N$10*(AA202*AD202)*(A202-$D$3))+(Summary!$M$10*Z202*AC202*(AJ202-EOMONTH(EDATE(A202,-1),0))))/(AK202*AB202*AE202)</f>
        <v>#VALUE!</v>
      </c>
      <c r="AG202" s="88" t="str">
        <f>IF($A203="","",Summary!$Q$10)</f>
        <v/>
      </c>
      <c r="AH202" s="88" t="str">
        <f>IF($A203="","",IF(Summary!$R$10="Y",(VLOOKUP($A202,Summary!$AD$6:$AF$9,3)+'Escalating commodity'!F215),'Escalating commodity'!F215))</f>
        <v/>
      </c>
      <c r="AI202" s="88" t="str">
        <f t="shared" si="111"/>
        <v/>
      </c>
      <c r="AJ202" s="236" t="e">
        <f t="shared" ref="AJ202:AJ265" si="135">A202+DAY(EOMONTH(A202,0))/2-1</f>
        <v>#VALUE!</v>
      </c>
      <c r="AK202" s="58" t="str">
        <f t="shared" ref="AK202:AK265" si="136">IF($A203="","",$A202-$E$1)</f>
        <v/>
      </c>
      <c r="AL202" s="26" t="str">
        <f>IF($A203="","",_xll.SPRDOPT(P202,X202,AI202,0,AB202,AE202,AF202,AK202,$AJ$2,0))</f>
        <v/>
      </c>
      <c r="AM202" s="89" t="str">
        <f t="shared" ref="AM202:AM265" si="137">IF($A203="","",MAX(0,O202-W202-AI202))</f>
        <v/>
      </c>
      <c r="AN202" s="89" t="str">
        <f t="shared" ref="AN202:AN265" si="138">IF($A203="","",AL202-AM202)</f>
        <v/>
      </c>
      <c r="AO202" s="3" t="str">
        <f t="shared" ref="AO202:AO265" si="139">IF(A203="","",A203-A202)</f>
        <v/>
      </c>
      <c r="AP202" s="33" t="str">
        <f t="shared" ref="AP202:AP265" si="140">IF(A203="","",CHOOSE(F$3,A203+24,A202))</f>
        <v/>
      </c>
      <c r="AQ202" s="58" t="str">
        <f t="shared" ref="AQ202:AQ265" si="141">IF(A203="","",AP202-$E$1)</f>
        <v/>
      </c>
      <c r="AR202" s="38">
        <f>'ANR OK vs ML7'!AR202</f>
        <v>0.1</v>
      </c>
      <c r="AS202" s="35" t="str">
        <f t="shared" ref="AS202:AS265" si="142">IF(A203="","",1/(1+CHOOSE(F$3,(AR203+($I$3/10000))/2,(AR202+($I$3/10000))/2))^(2*AQ202/365.25))</f>
        <v/>
      </c>
      <c r="AT202" s="3" t="str">
        <f t="shared" ref="AT202:AT265" si="143">IF(A203="","",IF(AND(mthbeg&lt;=A202,mthend&gt;=A202),1,0))</f>
        <v/>
      </c>
      <c r="AU202" s="3" t="str">
        <f t="shared" ref="AU202:AU265" si="144">IF(A203="","",AO202*AT202)</f>
        <v/>
      </c>
      <c r="AW202" s="32" t="str">
        <f t="shared" ref="AW202:AW265" si="145">IF($A203="","",AL202*$E202)</f>
        <v/>
      </c>
      <c r="AX202" s="32" t="str">
        <f t="shared" ref="AX202:AX265" si="146">IF($A203="","",AM202*$E202)</f>
        <v/>
      </c>
      <c r="AY202" s="32" t="str">
        <f t="shared" ref="AY202:AY265" si="147">IF($A203="","",AN202*$E202)</f>
        <v/>
      </c>
      <c r="BA202" s="32" t="str">
        <f>IF($A203="","",F202*Summary!$Q$10)</f>
        <v/>
      </c>
    </row>
    <row r="203" spans="1:53" ht="12" customHeight="1">
      <c r="A203" s="67" t="str">
        <f t="shared" ref="A203:A266" si="148">IF(A202&lt;mthend,EDATE(A202,1),"")</f>
        <v/>
      </c>
      <c r="B203" s="69" t="str">
        <f t="shared" si="113"/>
        <v/>
      </c>
      <c r="C203" s="71"/>
      <c r="D203" s="69" t="str">
        <f t="shared" si="114"/>
        <v/>
      </c>
      <c r="E203" s="70" t="str">
        <f t="shared" si="115"/>
        <v/>
      </c>
      <c r="F203" s="70" t="str">
        <f t="shared" si="116"/>
        <v/>
      </c>
      <c r="G203" s="63" t="str">
        <f t="shared" si="117"/>
        <v/>
      </c>
      <c r="H203" s="64" t="str">
        <f t="shared" si="118"/>
        <v/>
      </c>
      <c r="I203" s="43"/>
      <c r="J203" s="63" t="str">
        <f t="shared" si="119"/>
        <v/>
      </c>
      <c r="K203" s="64" t="str">
        <f t="shared" si="120"/>
        <v/>
      </c>
      <c r="L203" s="38">
        <v>0</v>
      </c>
      <c r="M203" s="64" t="str">
        <f t="shared" si="121"/>
        <v/>
      </c>
      <c r="N203" s="65"/>
      <c r="O203" s="63" t="str">
        <f t="shared" si="122"/>
        <v/>
      </c>
      <c r="P203" s="63" t="str">
        <f t="shared" si="123"/>
        <v/>
      </c>
      <c r="Q203" s="66"/>
      <c r="R203" s="63" t="str">
        <f t="shared" si="124"/>
        <v/>
      </c>
      <c r="S203" s="64" t="str">
        <f t="shared" si="125"/>
        <v/>
      </c>
      <c r="T203" s="63" t="str">
        <f t="shared" si="126"/>
        <v/>
      </c>
      <c r="U203" s="64" t="str">
        <f t="shared" si="127"/>
        <v/>
      </c>
      <c r="V203" s="219" t="str">
        <f>IF($A204="","",IF(AND(MONTH(A203)&gt;3,MONTH(A203)&lt;11),(T203+R203+G203)*Summary!$T$10/(1-Summary!$T$10),(T203+R203+G203)*Summary!$U$10/(1-Summary!$U$10)))</f>
        <v/>
      </c>
      <c r="W203" s="63" t="str">
        <f t="shared" si="128"/>
        <v/>
      </c>
      <c r="X203" s="63" t="str">
        <f t="shared" si="129"/>
        <v/>
      </c>
      <c r="Y203" s="43"/>
      <c r="Z203" s="38" t="str">
        <f t="shared" si="130"/>
        <v/>
      </c>
      <c r="AA203" s="38" t="str">
        <f t="shared" si="131"/>
        <v/>
      </c>
      <c r="AB203" s="38" t="e">
        <f t="shared" si="132"/>
        <v>#VALUE!</v>
      </c>
      <c r="AC203" s="38" t="str">
        <f t="shared" si="133"/>
        <v/>
      </c>
      <c r="AD203" s="38" t="str">
        <f t="shared" si="133"/>
        <v/>
      </c>
      <c r="AE203" s="38" t="e">
        <f t="shared" si="134"/>
        <v>#VALUE!</v>
      </c>
      <c r="AF203" s="237" t="e">
        <f>((Summary!$N$10*(AA203*AD203)*(A203-$D$3))+(Summary!$M$10*Z203*AC203*(AJ203-EOMONTH(EDATE(A203,-1),0))))/(AK203*AB203*AE203)</f>
        <v>#VALUE!</v>
      </c>
      <c r="AG203" s="88" t="str">
        <f>IF($A204="","",Summary!$Q$10)</f>
        <v/>
      </c>
      <c r="AH203" s="88" t="str">
        <f>IF($A204="","",IF(Summary!$R$10="Y",(VLOOKUP($A203,Summary!$AD$6:$AF$9,3)+'Escalating commodity'!F216),'Escalating commodity'!F216))</f>
        <v/>
      </c>
      <c r="AI203" s="88" t="str">
        <f t="shared" ref="AI203:AI266" si="149">IF($A204="","",AH203)</f>
        <v/>
      </c>
      <c r="AJ203" s="236" t="e">
        <f t="shared" si="135"/>
        <v>#VALUE!</v>
      </c>
      <c r="AK203" s="58" t="str">
        <f t="shared" si="136"/>
        <v/>
      </c>
      <c r="AL203" s="26" t="str">
        <f>IF($A204="","",_xll.SPRDOPT(P203,X203,AI203,0,AB203,AE203,AF203,AK203,$AJ$2,0))</f>
        <v/>
      </c>
      <c r="AM203" s="89" t="str">
        <f t="shared" si="137"/>
        <v/>
      </c>
      <c r="AN203" s="89" t="str">
        <f t="shared" si="138"/>
        <v/>
      </c>
      <c r="AO203" s="3" t="str">
        <f t="shared" si="139"/>
        <v/>
      </c>
      <c r="AP203" s="33" t="str">
        <f t="shared" si="140"/>
        <v/>
      </c>
      <c r="AQ203" s="58" t="str">
        <f t="shared" si="141"/>
        <v/>
      </c>
      <c r="AR203" s="38">
        <f>'ANR OK vs ML7'!AR203</f>
        <v>0.1</v>
      </c>
      <c r="AS203" s="35" t="str">
        <f t="shared" si="142"/>
        <v/>
      </c>
      <c r="AT203" s="3" t="str">
        <f t="shared" si="143"/>
        <v/>
      </c>
      <c r="AU203" s="3" t="str">
        <f t="shared" si="144"/>
        <v/>
      </c>
      <c r="AW203" s="32" t="str">
        <f t="shared" si="145"/>
        <v/>
      </c>
      <c r="AX203" s="32" t="str">
        <f t="shared" si="146"/>
        <v/>
      </c>
      <c r="AY203" s="32" t="str">
        <f t="shared" si="147"/>
        <v/>
      </c>
      <c r="BA203" s="32" t="str">
        <f>IF($A204="","",F203*Summary!$Q$10)</f>
        <v/>
      </c>
    </row>
    <row r="204" spans="1:53" ht="12" customHeight="1">
      <c r="A204" s="67" t="str">
        <f t="shared" si="148"/>
        <v/>
      </c>
      <c r="B204" s="69" t="str">
        <f t="shared" ref="B204:B267" si="150">IF(A204&lt;mthend,B203,"")</f>
        <v/>
      </c>
      <c r="C204" s="71"/>
      <c r="D204" s="69" t="str">
        <f t="shared" si="114"/>
        <v/>
      </c>
      <c r="E204" s="70" t="str">
        <f t="shared" si="115"/>
        <v/>
      </c>
      <c r="F204" s="70" t="str">
        <f t="shared" si="116"/>
        <v/>
      </c>
      <c r="G204" s="63" t="str">
        <f t="shared" si="117"/>
        <v/>
      </c>
      <c r="H204" s="64" t="str">
        <f t="shared" si="118"/>
        <v/>
      </c>
      <c r="I204" s="43"/>
      <c r="J204" s="63" t="str">
        <f t="shared" si="119"/>
        <v/>
      </c>
      <c r="K204" s="64" t="str">
        <f t="shared" si="120"/>
        <v/>
      </c>
      <c r="L204" s="38">
        <v>0</v>
      </c>
      <c r="M204" s="64" t="str">
        <f t="shared" si="121"/>
        <v/>
      </c>
      <c r="N204" s="65"/>
      <c r="O204" s="63" t="str">
        <f t="shared" si="122"/>
        <v/>
      </c>
      <c r="P204" s="63" t="str">
        <f t="shared" si="123"/>
        <v/>
      </c>
      <c r="Q204" s="66"/>
      <c r="R204" s="63" t="str">
        <f t="shared" si="124"/>
        <v/>
      </c>
      <c r="S204" s="64" t="str">
        <f t="shared" si="125"/>
        <v/>
      </c>
      <c r="T204" s="63" t="str">
        <f t="shared" si="126"/>
        <v/>
      </c>
      <c r="U204" s="64" t="str">
        <f t="shared" si="127"/>
        <v/>
      </c>
      <c r="V204" s="219" t="str">
        <f>IF($A205="","",IF(AND(MONTH(A204)&gt;3,MONTH(A204)&lt;11),(T204+R204+G204)*Summary!$T$10/(1-Summary!$T$10),(T204+R204+G204)*Summary!$U$10/(1-Summary!$U$10)))</f>
        <v/>
      </c>
      <c r="W204" s="63" t="str">
        <f t="shared" si="128"/>
        <v/>
      </c>
      <c r="X204" s="63" t="str">
        <f t="shared" si="129"/>
        <v/>
      </c>
      <c r="Y204" s="43"/>
      <c r="Z204" s="38" t="str">
        <f t="shared" si="130"/>
        <v/>
      </c>
      <c r="AA204" s="38" t="str">
        <f t="shared" si="131"/>
        <v/>
      </c>
      <c r="AB204" s="38" t="e">
        <f t="shared" si="132"/>
        <v>#VALUE!</v>
      </c>
      <c r="AC204" s="38" t="str">
        <f t="shared" si="133"/>
        <v/>
      </c>
      <c r="AD204" s="38" t="str">
        <f t="shared" si="133"/>
        <v/>
      </c>
      <c r="AE204" s="38" t="e">
        <f t="shared" si="134"/>
        <v>#VALUE!</v>
      </c>
      <c r="AF204" s="237" t="e">
        <f>((Summary!$N$10*(AA204*AD204)*(A204-$D$3))+(Summary!$M$10*Z204*AC204*(AJ204-EOMONTH(EDATE(A204,-1),0))))/(AK204*AB204*AE204)</f>
        <v>#VALUE!</v>
      </c>
      <c r="AG204" s="88" t="str">
        <f>IF($A205="","",Summary!$Q$10)</f>
        <v/>
      </c>
      <c r="AH204" s="88" t="str">
        <f>IF($A205="","",IF(Summary!$R$10="Y",(VLOOKUP($A204,Summary!$AD$6:$AF$9,3)+'Escalating commodity'!F217),'Escalating commodity'!F217))</f>
        <v/>
      </c>
      <c r="AI204" s="88" t="str">
        <f t="shared" si="149"/>
        <v/>
      </c>
      <c r="AJ204" s="236" t="e">
        <f t="shared" si="135"/>
        <v>#VALUE!</v>
      </c>
      <c r="AK204" s="58" t="str">
        <f t="shared" si="136"/>
        <v/>
      </c>
      <c r="AL204" s="26" t="str">
        <f>IF($A205="","",_xll.SPRDOPT(P204,X204,AI204,0,AB204,AE204,AF204,AK204,$AJ$2,0))</f>
        <v/>
      </c>
      <c r="AM204" s="89" t="str">
        <f t="shared" si="137"/>
        <v/>
      </c>
      <c r="AN204" s="89" t="str">
        <f t="shared" si="138"/>
        <v/>
      </c>
      <c r="AO204" s="3" t="str">
        <f t="shared" si="139"/>
        <v/>
      </c>
      <c r="AP204" s="33" t="str">
        <f t="shared" si="140"/>
        <v/>
      </c>
      <c r="AQ204" s="58" t="str">
        <f t="shared" si="141"/>
        <v/>
      </c>
      <c r="AR204" s="38">
        <f>'ANR OK vs ML7'!AR204</f>
        <v>0.1</v>
      </c>
      <c r="AS204" s="35" t="str">
        <f t="shared" si="142"/>
        <v/>
      </c>
      <c r="AT204" s="3" t="str">
        <f t="shared" si="143"/>
        <v/>
      </c>
      <c r="AU204" s="3" t="str">
        <f t="shared" si="144"/>
        <v/>
      </c>
      <c r="AW204" s="32" t="str">
        <f t="shared" si="145"/>
        <v/>
      </c>
      <c r="AX204" s="32" t="str">
        <f t="shared" si="146"/>
        <v/>
      </c>
      <c r="AY204" s="32" t="str">
        <f t="shared" si="147"/>
        <v/>
      </c>
      <c r="BA204" s="32" t="str">
        <f>IF($A205="","",F204*Summary!$Q$10)</f>
        <v/>
      </c>
    </row>
    <row r="205" spans="1:53" ht="12" customHeight="1">
      <c r="A205" s="67" t="str">
        <f t="shared" si="148"/>
        <v/>
      </c>
      <c r="B205" s="69" t="str">
        <f t="shared" si="150"/>
        <v/>
      </c>
      <c r="C205" s="71"/>
      <c r="D205" s="69" t="str">
        <f t="shared" si="114"/>
        <v/>
      </c>
      <c r="E205" s="70" t="str">
        <f t="shared" si="115"/>
        <v/>
      </c>
      <c r="F205" s="70" t="str">
        <f t="shared" si="116"/>
        <v/>
      </c>
      <c r="G205" s="63" t="str">
        <f t="shared" si="117"/>
        <v/>
      </c>
      <c r="H205" s="64" t="str">
        <f t="shared" si="118"/>
        <v/>
      </c>
      <c r="I205" s="43"/>
      <c r="J205" s="63" t="str">
        <f t="shared" si="119"/>
        <v/>
      </c>
      <c r="K205" s="64" t="str">
        <f t="shared" si="120"/>
        <v/>
      </c>
      <c r="L205" s="38">
        <v>0</v>
      </c>
      <c r="M205" s="64" t="str">
        <f t="shared" si="121"/>
        <v/>
      </c>
      <c r="N205" s="65"/>
      <c r="O205" s="63" t="str">
        <f t="shared" si="122"/>
        <v/>
      </c>
      <c r="P205" s="63" t="str">
        <f t="shared" si="123"/>
        <v/>
      </c>
      <c r="Q205" s="66"/>
      <c r="R205" s="63" t="str">
        <f t="shared" si="124"/>
        <v/>
      </c>
      <c r="S205" s="64" t="str">
        <f t="shared" si="125"/>
        <v/>
      </c>
      <c r="T205" s="63" t="str">
        <f t="shared" si="126"/>
        <v/>
      </c>
      <c r="U205" s="64" t="str">
        <f t="shared" si="127"/>
        <v/>
      </c>
      <c r="V205" s="219" t="str">
        <f>IF($A206="","",IF(AND(MONTH(A205)&gt;3,MONTH(A205)&lt;11),(T205+R205+G205)*Summary!$T$10/(1-Summary!$T$10),(T205+R205+G205)*Summary!$U$10/(1-Summary!$U$10)))</f>
        <v/>
      </c>
      <c r="W205" s="63" t="str">
        <f t="shared" si="128"/>
        <v/>
      </c>
      <c r="X205" s="63" t="str">
        <f t="shared" si="129"/>
        <v/>
      </c>
      <c r="Y205" s="43"/>
      <c r="Z205" s="38" t="str">
        <f t="shared" si="130"/>
        <v/>
      </c>
      <c r="AA205" s="38" t="str">
        <f t="shared" si="131"/>
        <v/>
      </c>
      <c r="AB205" s="38" t="e">
        <f t="shared" si="132"/>
        <v>#VALUE!</v>
      </c>
      <c r="AC205" s="38" t="str">
        <f t="shared" si="133"/>
        <v/>
      </c>
      <c r="AD205" s="38" t="str">
        <f t="shared" si="133"/>
        <v/>
      </c>
      <c r="AE205" s="38" t="e">
        <f t="shared" si="134"/>
        <v>#VALUE!</v>
      </c>
      <c r="AF205" s="237" t="e">
        <f>((Summary!$N$10*(AA205*AD205)*(A205-$D$3))+(Summary!$M$10*Z205*AC205*(AJ205-EOMONTH(EDATE(A205,-1),0))))/(AK205*AB205*AE205)</f>
        <v>#VALUE!</v>
      </c>
      <c r="AG205" s="88" t="str">
        <f>IF($A206="","",Summary!$Q$10)</f>
        <v/>
      </c>
      <c r="AH205" s="88" t="str">
        <f>IF($A206="","",IF(Summary!$R$10="Y",(VLOOKUP($A205,Summary!$AD$6:$AF$9,3)+'Escalating commodity'!F218),'Escalating commodity'!F218))</f>
        <v/>
      </c>
      <c r="AI205" s="88" t="str">
        <f t="shared" si="149"/>
        <v/>
      </c>
      <c r="AJ205" s="236" t="e">
        <f t="shared" si="135"/>
        <v>#VALUE!</v>
      </c>
      <c r="AK205" s="58" t="str">
        <f t="shared" si="136"/>
        <v/>
      </c>
      <c r="AL205" s="26" t="str">
        <f>IF($A206="","",_xll.SPRDOPT(P205,X205,AI205,0,AB205,AE205,AF205,AK205,$AJ$2,0))</f>
        <v/>
      </c>
      <c r="AM205" s="89" t="str">
        <f t="shared" si="137"/>
        <v/>
      </c>
      <c r="AN205" s="89" t="str">
        <f t="shared" si="138"/>
        <v/>
      </c>
      <c r="AO205" s="3" t="str">
        <f t="shared" si="139"/>
        <v/>
      </c>
      <c r="AP205" s="33" t="str">
        <f t="shared" si="140"/>
        <v/>
      </c>
      <c r="AQ205" s="58" t="str">
        <f t="shared" si="141"/>
        <v/>
      </c>
      <c r="AR205" s="38">
        <f>'ANR OK vs ML7'!AR205</f>
        <v>0.1</v>
      </c>
      <c r="AS205" s="35" t="str">
        <f t="shared" si="142"/>
        <v/>
      </c>
      <c r="AT205" s="3" t="str">
        <f t="shared" si="143"/>
        <v/>
      </c>
      <c r="AU205" s="3" t="str">
        <f t="shared" si="144"/>
        <v/>
      </c>
      <c r="AW205" s="32" t="str">
        <f t="shared" si="145"/>
        <v/>
      </c>
      <c r="AX205" s="32" t="str">
        <f t="shared" si="146"/>
        <v/>
      </c>
      <c r="AY205" s="32" t="str">
        <f t="shared" si="147"/>
        <v/>
      </c>
      <c r="BA205" s="32" t="str">
        <f>IF($A206="","",F205*Summary!$Q$10)</f>
        <v/>
      </c>
    </row>
    <row r="206" spans="1:53" ht="12" customHeight="1">
      <c r="A206" s="67" t="str">
        <f t="shared" si="148"/>
        <v/>
      </c>
      <c r="B206" s="69" t="str">
        <f t="shared" si="150"/>
        <v/>
      </c>
      <c r="C206" s="71"/>
      <c r="D206" s="69" t="str">
        <f t="shared" si="114"/>
        <v/>
      </c>
      <c r="E206" s="70" t="str">
        <f t="shared" si="115"/>
        <v/>
      </c>
      <c r="F206" s="70" t="str">
        <f t="shared" si="116"/>
        <v/>
      </c>
      <c r="G206" s="63" t="str">
        <f t="shared" si="117"/>
        <v/>
      </c>
      <c r="H206" s="64" t="str">
        <f t="shared" si="118"/>
        <v/>
      </c>
      <c r="I206" s="43"/>
      <c r="J206" s="63" t="str">
        <f t="shared" si="119"/>
        <v/>
      </c>
      <c r="K206" s="64" t="str">
        <f t="shared" si="120"/>
        <v/>
      </c>
      <c r="L206" s="38">
        <v>0</v>
      </c>
      <c r="M206" s="64" t="str">
        <f t="shared" si="121"/>
        <v/>
      </c>
      <c r="N206" s="65"/>
      <c r="O206" s="63" t="str">
        <f t="shared" si="122"/>
        <v/>
      </c>
      <c r="P206" s="63" t="str">
        <f t="shared" si="123"/>
        <v/>
      </c>
      <c r="Q206" s="66"/>
      <c r="R206" s="63" t="str">
        <f t="shared" si="124"/>
        <v/>
      </c>
      <c r="S206" s="64" t="str">
        <f t="shared" si="125"/>
        <v/>
      </c>
      <c r="T206" s="63" t="str">
        <f t="shared" si="126"/>
        <v/>
      </c>
      <c r="U206" s="64" t="str">
        <f t="shared" si="127"/>
        <v/>
      </c>
      <c r="V206" s="219" t="str">
        <f>IF($A207="","",IF(AND(MONTH(A206)&gt;3,MONTH(A206)&lt;11),(T206+R206+G206)*Summary!$T$10/(1-Summary!$T$10),(T206+R206+G206)*Summary!$U$10/(1-Summary!$U$10)))</f>
        <v/>
      </c>
      <c r="W206" s="63" t="str">
        <f t="shared" si="128"/>
        <v/>
      </c>
      <c r="X206" s="63" t="str">
        <f t="shared" si="129"/>
        <v/>
      </c>
      <c r="Y206" s="43"/>
      <c r="Z206" s="38" t="str">
        <f t="shared" si="130"/>
        <v/>
      </c>
      <c r="AA206" s="38" t="str">
        <f t="shared" si="131"/>
        <v/>
      </c>
      <c r="AB206" s="38" t="e">
        <f t="shared" si="132"/>
        <v>#VALUE!</v>
      </c>
      <c r="AC206" s="38" t="str">
        <f t="shared" si="133"/>
        <v/>
      </c>
      <c r="AD206" s="38" t="str">
        <f t="shared" si="133"/>
        <v/>
      </c>
      <c r="AE206" s="38" t="e">
        <f t="shared" si="134"/>
        <v>#VALUE!</v>
      </c>
      <c r="AF206" s="237" t="e">
        <f>((Summary!$N$10*(AA206*AD206)*(A206-$D$3))+(Summary!$M$10*Z206*AC206*(AJ206-EOMONTH(EDATE(A206,-1),0))))/(AK206*AB206*AE206)</f>
        <v>#VALUE!</v>
      </c>
      <c r="AG206" s="88" t="str">
        <f>IF($A207="","",Summary!$Q$10)</f>
        <v/>
      </c>
      <c r="AH206" s="88" t="str">
        <f>IF($A207="","",IF(Summary!$R$10="Y",(VLOOKUP($A206,Summary!$AD$6:$AF$9,3)+'Escalating commodity'!F219),'Escalating commodity'!F219))</f>
        <v/>
      </c>
      <c r="AI206" s="88" t="str">
        <f t="shared" si="149"/>
        <v/>
      </c>
      <c r="AJ206" s="236" t="e">
        <f t="shared" si="135"/>
        <v>#VALUE!</v>
      </c>
      <c r="AK206" s="58" t="str">
        <f t="shared" si="136"/>
        <v/>
      </c>
      <c r="AL206" s="26" t="str">
        <f>IF($A207="","",_xll.SPRDOPT(P206,X206,AI206,0,AB206,AE206,AF206,AK206,$AJ$2,0))</f>
        <v/>
      </c>
      <c r="AM206" s="89" t="str">
        <f t="shared" si="137"/>
        <v/>
      </c>
      <c r="AN206" s="89" t="str">
        <f t="shared" si="138"/>
        <v/>
      </c>
      <c r="AO206" s="3" t="str">
        <f t="shared" si="139"/>
        <v/>
      </c>
      <c r="AP206" s="33" t="str">
        <f t="shared" si="140"/>
        <v/>
      </c>
      <c r="AQ206" s="58" t="str">
        <f t="shared" si="141"/>
        <v/>
      </c>
      <c r="AR206" s="38">
        <f>'ANR OK vs ML7'!AR206</f>
        <v>0.1</v>
      </c>
      <c r="AS206" s="35" t="str">
        <f t="shared" si="142"/>
        <v/>
      </c>
      <c r="AT206" s="3" t="str">
        <f t="shared" si="143"/>
        <v/>
      </c>
      <c r="AU206" s="3" t="str">
        <f t="shared" si="144"/>
        <v/>
      </c>
      <c r="AW206" s="32" t="str">
        <f t="shared" si="145"/>
        <v/>
      </c>
      <c r="AX206" s="32" t="str">
        <f t="shared" si="146"/>
        <v/>
      </c>
      <c r="AY206" s="32" t="str">
        <f t="shared" si="147"/>
        <v/>
      </c>
      <c r="BA206" s="32" t="str">
        <f>IF($A207="","",F206*Summary!$Q$10)</f>
        <v/>
      </c>
    </row>
    <row r="207" spans="1:53" ht="12" customHeight="1">
      <c r="A207" s="67" t="str">
        <f t="shared" si="148"/>
        <v/>
      </c>
      <c r="B207" s="69" t="str">
        <f t="shared" si="150"/>
        <v/>
      </c>
      <c r="C207" s="71"/>
      <c r="D207" s="69" t="str">
        <f t="shared" si="114"/>
        <v/>
      </c>
      <c r="E207" s="70" t="str">
        <f t="shared" si="115"/>
        <v/>
      </c>
      <c r="F207" s="70" t="str">
        <f t="shared" si="116"/>
        <v/>
      </c>
      <c r="G207" s="63" t="str">
        <f t="shared" si="117"/>
        <v/>
      </c>
      <c r="H207" s="64" t="str">
        <f t="shared" si="118"/>
        <v/>
      </c>
      <c r="I207" s="43"/>
      <c r="J207" s="63" t="str">
        <f t="shared" si="119"/>
        <v/>
      </c>
      <c r="K207" s="64" t="str">
        <f t="shared" si="120"/>
        <v/>
      </c>
      <c r="L207" s="38">
        <v>0</v>
      </c>
      <c r="M207" s="64" t="str">
        <f t="shared" si="121"/>
        <v/>
      </c>
      <c r="N207" s="65"/>
      <c r="O207" s="63" t="str">
        <f t="shared" si="122"/>
        <v/>
      </c>
      <c r="P207" s="63" t="str">
        <f t="shared" si="123"/>
        <v/>
      </c>
      <c r="Q207" s="66"/>
      <c r="R207" s="63" t="str">
        <f t="shared" si="124"/>
        <v/>
      </c>
      <c r="S207" s="64" t="str">
        <f t="shared" si="125"/>
        <v/>
      </c>
      <c r="T207" s="63" t="str">
        <f t="shared" si="126"/>
        <v/>
      </c>
      <c r="U207" s="64" t="str">
        <f t="shared" si="127"/>
        <v/>
      </c>
      <c r="V207" s="219" t="str">
        <f>IF($A208="","",IF(AND(MONTH(A207)&gt;3,MONTH(A207)&lt;11),(T207+R207+G207)*Summary!$T$10/(1-Summary!$T$10),(T207+R207+G207)*Summary!$U$10/(1-Summary!$U$10)))</f>
        <v/>
      </c>
      <c r="W207" s="63" t="str">
        <f t="shared" si="128"/>
        <v/>
      </c>
      <c r="X207" s="63" t="str">
        <f t="shared" si="129"/>
        <v/>
      </c>
      <c r="Y207" s="43"/>
      <c r="Z207" s="38" t="str">
        <f t="shared" si="130"/>
        <v/>
      </c>
      <c r="AA207" s="38" t="str">
        <f t="shared" si="131"/>
        <v/>
      </c>
      <c r="AB207" s="38" t="e">
        <f t="shared" si="132"/>
        <v>#VALUE!</v>
      </c>
      <c r="AC207" s="38" t="str">
        <f t="shared" si="133"/>
        <v/>
      </c>
      <c r="AD207" s="38" t="str">
        <f t="shared" si="133"/>
        <v/>
      </c>
      <c r="AE207" s="38" t="e">
        <f t="shared" si="134"/>
        <v>#VALUE!</v>
      </c>
      <c r="AF207" s="237" t="e">
        <f>((Summary!$N$10*(AA207*AD207)*(A207-$D$3))+(Summary!$M$10*Z207*AC207*(AJ207-EOMONTH(EDATE(A207,-1),0))))/(AK207*AB207*AE207)</f>
        <v>#VALUE!</v>
      </c>
      <c r="AG207" s="88" t="str">
        <f>IF($A208="","",Summary!$Q$10)</f>
        <v/>
      </c>
      <c r="AH207" s="88" t="str">
        <f>IF($A208="","",IF(Summary!$R$10="Y",(VLOOKUP($A207,Summary!$AD$6:$AF$9,3)+'Escalating commodity'!F220),'Escalating commodity'!F220))</f>
        <v/>
      </c>
      <c r="AI207" s="88" t="str">
        <f t="shared" si="149"/>
        <v/>
      </c>
      <c r="AJ207" s="236" t="e">
        <f t="shared" si="135"/>
        <v>#VALUE!</v>
      </c>
      <c r="AK207" s="58" t="str">
        <f t="shared" si="136"/>
        <v/>
      </c>
      <c r="AL207" s="26" t="str">
        <f>IF($A208="","",_xll.SPRDOPT(P207,X207,AI207,0,AB207,AE207,AF207,AK207,$AJ$2,0))</f>
        <v/>
      </c>
      <c r="AM207" s="89" t="str">
        <f t="shared" si="137"/>
        <v/>
      </c>
      <c r="AN207" s="89" t="str">
        <f t="shared" si="138"/>
        <v/>
      </c>
      <c r="AO207" s="3" t="str">
        <f t="shared" si="139"/>
        <v/>
      </c>
      <c r="AP207" s="33" t="str">
        <f t="shared" si="140"/>
        <v/>
      </c>
      <c r="AQ207" s="58" t="str">
        <f t="shared" si="141"/>
        <v/>
      </c>
      <c r="AR207" s="38">
        <f>'ANR OK vs ML7'!AR207</f>
        <v>0.1</v>
      </c>
      <c r="AS207" s="35" t="str">
        <f t="shared" si="142"/>
        <v/>
      </c>
      <c r="AT207" s="3" t="str">
        <f t="shared" si="143"/>
        <v/>
      </c>
      <c r="AU207" s="3" t="str">
        <f t="shared" si="144"/>
        <v/>
      </c>
      <c r="AW207" s="32" t="str">
        <f t="shared" si="145"/>
        <v/>
      </c>
      <c r="AX207" s="32" t="str">
        <f t="shared" si="146"/>
        <v/>
      </c>
      <c r="AY207" s="32" t="str">
        <f t="shared" si="147"/>
        <v/>
      </c>
      <c r="BA207" s="32" t="str">
        <f>IF($A208="","",F207*Summary!$Q$10)</f>
        <v/>
      </c>
    </row>
    <row r="208" spans="1:53" ht="12" customHeight="1">
      <c r="A208" s="67" t="str">
        <f t="shared" si="148"/>
        <v/>
      </c>
      <c r="B208" s="69" t="str">
        <f t="shared" si="150"/>
        <v/>
      </c>
      <c r="C208" s="71"/>
      <c r="D208" s="69" t="str">
        <f t="shared" si="114"/>
        <v/>
      </c>
      <c r="E208" s="70" t="str">
        <f t="shared" si="115"/>
        <v/>
      </c>
      <c r="F208" s="70" t="str">
        <f t="shared" si="116"/>
        <v/>
      </c>
      <c r="G208" s="63" t="str">
        <f t="shared" si="117"/>
        <v/>
      </c>
      <c r="H208" s="64" t="str">
        <f t="shared" si="118"/>
        <v/>
      </c>
      <c r="I208" s="43"/>
      <c r="J208" s="63" t="str">
        <f t="shared" si="119"/>
        <v/>
      </c>
      <c r="K208" s="64" t="str">
        <f t="shared" si="120"/>
        <v/>
      </c>
      <c r="L208" s="38">
        <v>0</v>
      </c>
      <c r="M208" s="64" t="str">
        <f t="shared" si="121"/>
        <v/>
      </c>
      <c r="N208" s="65"/>
      <c r="O208" s="63" t="str">
        <f t="shared" si="122"/>
        <v/>
      </c>
      <c r="P208" s="63" t="str">
        <f t="shared" si="123"/>
        <v/>
      </c>
      <c r="Q208" s="66"/>
      <c r="R208" s="63" t="str">
        <f t="shared" si="124"/>
        <v/>
      </c>
      <c r="S208" s="64" t="str">
        <f t="shared" si="125"/>
        <v/>
      </c>
      <c r="T208" s="63" t="str">
        <f t="shared" si="126"/>
        <v/>
      </c>
      <c r="U208" s="64" t="str">
        <f t="shared" si="127"/>
        <v/>
      </c>
      <c r="V208" s="219" t="str">
        <f>IF($A209="","",IF(AND(MONTH(A208)&gt;3,MONTH(A208)&lt;11),(T208+R208+G208)*Summary!$T$10/(1-Summary!$T$10),(T208+R208+G208)*Summary!$U$10/(1-Summary!$U$10)))</f>
        <v/>
      </c>
      <c r="W208" s="63" t="str">
        <f t="shared" si="128"/>
        <v/>
      </c>
      <c r="X208" s="63" t="str">
        <f t="shared" si="129"/>
        <v/>
      </c>
      <c r="Y208" s="43"/>
      <c r="Z208" s="38" t="str">
        <f t="shared" si="130"/>
        <v/>
      </c>
      <c r="AA208" s="38" t="str">
        <f t="shared" si="131"/>
        <v/>
      </c>
      <c r="AB208" s="38" t="e">
        <f t="shared" si="132"/>
        <v>#VALUE!</v>
      </c>
      <c r="AC208" s="38" t="str">
        <f t="shared" si="133"/>
        <v/>
      </c>
      <c r="AD208" s="38" t="str">
        <f t="shared" si="133"/>
        <v/>
      </c>
      <c r="AE208" s="38" t="e">
        <f t="shared" si="134"/>
        <v>#VALUE!</v>
      </c>
      <c r="AF208" s="237" t="e">
        <f>((Summary!$N$10*(AA208*AD208)*(A208-$D$3))+(Summary!$M$10*Z208*AC208*(AJ208-EOMONTH(EDATE(A208,-1),0))))/(AK208*AB208*AE208)</f>
        <v>#VALUE!</v>
      </c>
      <c r="AG208" s="88" t="str">
        <f>IF($A209="","",Summary!$Q$10)</f>
        <v/>
      </c>
      <c r="AH208" s="88" t="str">
        <f>IF($A209="","",IF(Summary!$R$10="Y",(VLOOKUP($A208,Summary!$AD$6:$AF$9,3)+'Escalating commodity'!F221),'Escalating commodity'!F221))</f>
        <v/>
      </c>
      <c r="AI208" s="88" t="str">
        <f t="shared" si="149"/>
        <v/>
      </c>
      <c r="AJ208" s="236" t="e">
        <f t="shared" si="135"/>
        <v>#VALUE!</v>
      </c>
      <c r="AK208" s="58" t="str">
        <f t="shared" si="136"/>
        <v/>
      </c>
      <c r="AL208" s="26" t="str">
        <f>IF($A209="","",_xll.SPRDOPT(P208,X208,AI208,0,AB208,AE208,AF208,AK208,$AJ$2,0))</f>
        <v/>
      </c>
      <c r="AM208" s="89" t="str">
        <f t="shared" si="137"/>
        <v/>
      </c>
      <c r="AN208" s="89" t="str">
        <f t="shared" si="138"/>
        <v/>
      </c>
      <c r="AO208" s="3" t="str">
        <f t="shared" si="139"/>
        <v/>
      </c>
      <c r="AP208" s="33" t="str">
        <f t="shared" si="140"/>
        <v/>
      </c>
      <c r="AQ208" s="58" t="str">
        <f t="shared" si="141"/>
        <v/>
      </c>
      <c r="AR208" s="38">
        <f>'ANR OK vs ML7'!AR208</f>
        <v>0.1</v>
      </c>
      <c r="AS208" s="35" t="str">
        <f t="shared" si="142"/>
        <v/>
      </c>
      <c r="AT208" s="3" t="str">
        <f t="shared" si="143"/>
        <v/>
      </c>
      <c r="AU208" s="3" t="str">
        <f t="shared" si="144"/>
        <v/>
      </c>
      <c r="AW208" s="32" t="str">
        <f t="shared" si="145"/>
        <v/>
      </c>
      <c r="AX208" s="32" t="str">
        <f t="shared" si="146"/>
        <v/>
      </c>
      <c r="AY208" s="32" t="str">
        <f t="shared" si="147"/>
        <v/>
      </c>
      <c r="BA208" s="32" t="str">
        <f>IF($A209="","",F208*Summary!$Q$10)</f>
        <v/>
      </c>
    </row>
    <row r="209" spans="1:53" ht="12" customHeight="1">
      <c r="A209" s="67" t="str">
        <f t="shared" si="148"/>
        <v/>
      </c>
      <c r="B209" s="69" t="str">
        <f t="shared" si="150"/>
        <v/>
      </c>
      <c r="C209" s="71"/>
      <c r="D209" s="69" t="str">
        <f t="shared" si="114"/>
        <v/>
      </c>
      <c r="E209" s="70" t="str">
        <f t="shared" si="115"/>
        <v/>
      </c>
      <c r="F209" s="70" t="str">
        <f t="shared" si="116"/>
        <v/>
      </c>
      <c r="G209" s="63" t="str">
        <f t="shared" si="117"/>
        <v/>
      </c>
      <c r="H209" s="64" t="str">
        <f t="shared" si="118"/>
        <v/>
      </c>
      <c r="I209" s="43"/>
      <c r="J209" s="63" t="str">
        <f t="shared" si="119"/>
        <v/>
      </c>
      <c r="K209" s="64" t="str">
        <f t="shared" si="120"/>
        <v/>
      </c>
      <c r="L209" s="38">
        <v>0</v>
      </c>
      <c r="M209" s="64" t="str">
        <f t="shared" si="121"/>
        <v/>
      </c>
      <c r="N209" s="65"/>
      <c r="O209" s="63" t="str">
        <f t="shared" si="122"/>
        <v/>
      </c>
      <c r="P209" s="63" t="str">
        <f t="shared" si="123"/>
        <v/>
      </c>
      <c r="Q209" s="66"/>
      <c r="R209" s="63" t="str">
        <f t="shared" si="124"/>
        <v/>
      </c>
      <c r="S209" s="64" t="str">
        <f t="shared" si="125"/>
        <v/>
      </c>
      <c r="T209" s="63" t="str">
        <f t="shared" si="126"/>
        <v/>
      </c>
      <c r="U209" s="64" t="str">
        <f t="shared" si="127"/>
        <v/>
      </c>
      <c r="V209" s="219" t="str">
        <f>IF($A210="","",IF(AND(MONTH(A209)&gt;3,MONTH(A209)&lt;11),(T209+R209+G209)*Summary!$T$10/(1-Summary!$T$10),(T209+R209+G209)*Summary!$U$10/(1-Summary!$U$10)))</f>
        <v/>
      </c>
      <c r="W209" s="63" t="str">
        <f t="shared" si="128"/>
        <v/>
      </c>
      <c r="X209" s="63" t="str">
        <f t="shared" si="129"/>
        <v/>
      </c>
      <c r="Y209" s="43"/>
      <c r="Z209" s="38" t="str">
        <f t="shared" si="130"/>
        <v/>
      </c>
      <c r="AA209" s="38" t="str">
        <f t="shared" si="131"/>
        <v/>
      </c>
      <c r="AB209" s="38" t="e">
        <f t="shared" si="132"/>
        <v>#VALUE!</v>
      </c>
      <c r="AC209" s="38" t="str">
        <f t="shared" si="133"/>
        <v/>
      </c>
      <c r="AD209" s="38" t="str">
        <f t="shared" si="133"/>
        <v/>
      </c>
      <c r="AE209" s="38" t="e">
        <f t="shared" si="134"/>
        <v>#VALUE!</v>
      </c>
      <c r="AF209" s="237" t="e">
        <f>((Summary!$N$10*(AA209*AD209)*(A209-$D$3))+(Summary!$M$10*Z209*AC209*(AJ209-EOMONTH(EDATE(A209,-1),0))))/(AK209*AB209*AE209)</f>
        <v>#VALUE!</v>
      </c>
      <c r="AG209" s="88" t="str">
        <f>IF($A210="","",Summary!$Q$10)</f>
        <v/>
      </c>
      <c r="AH209" s="88" t="str">
        <f>IF($A210="","",IF(Summary!$R$10="Y",(VLOOKUP($A209,Summary!$AD$6:$AF$9,3)+'Escalating commodity'!F222),'Escalating commodity'!F222))</f>
        <v/>
      </c>
      <c r="AI209" s="88" t="str">
        <f t="shared" si="149"/>
        <v/>
      </c>
      <c r="AJ209" s="236" t="e">
        <f t="shared" si="135"/>
        <v>#VALUE!</v>
      </c>
      <c r="AK209" s="58" t="str">
        <f t="shared" si="136"/>
        <v/>
      </c>
      <c r="AL209" s="26" t="str">
        <f>IF($A210="","",_xll.SPRDOPT(P209,X209,AI209,0,AB209,AE209,AF209,AK209,$AJ$2,0))</f>
        <v/>
      </c>
      <c r="AM209" s="89" t="str">
        <f t="shared" si="137"/>
        <v/>
      </c>
      <c r="AN209" s="89" t="str">
        <f t="shared" si="138"/>
        <v/>
      </c>
      <c r="AO209" s="3" t="str">
        <f t="shared" si="139"/>
        <v/>
      </c>
      <c r="AP209" s="33" t="str">
        <f t="shared" si="140"/>
        <v/>
      </c>
      <c r="AQ209" s="58" t="str">
        <f t="shared" si="141"/>
        <v/>
      </c>
      <c r="AR209" s="38">
        <f>'ANR OK vs ML7'!AR209</f>
        <v>0.1</v>
      </c>
      <c r="AS209" s="35" t="str">
        <f t="shared" si="142"/>
        <v/>
      </c>
      <c r="AT209" s="3" t="str">
        <f t="shared" si="143"/>
        <v/>
      </c>
      <c r="AU209" s="3" t="str">
        <f t="shared" si="144"/>
        <v/>
      </c>
      <c r="AW209" s="32" t="str">
        <f t="shared" si="145"/>
        <v/>
      </c>
      <c r="AX209" s="32" t="str">
        <f t="shared" si="146"/>
        <v/>
      </c>
      <c r="AY209" s="32" t="str">
        <f t="shared" si="147"/>
        <v/>
      </c>
      <c r="BA209" s="32" t="str">
        <f>IF($A210="","",F209*Summary!$Q$10)</f>
        <v/>
      </c>
    </row>
    <row r="210" spans="1:53" ht="12" customHeight="1">
      <c r="A210" s="67" t="str">
        <f t="shared" si="148"/>
        <v/>
      </c>
      <c r="B210" s="69" t="str">
        <f t="shared" si="150"/>
        <v/>
      </c>
      <c r="C210" s="71"/>
      <c r="D210" s="69" t="str">
        <f t="shared" si="114"/>
        <v/>
      </c>
      <c r="E210" s="70" t="str">
        <f t="shared" si="115"/>
        <v/>
      </c>
      <c r="F210" s="70" t="str">
        <f t="shared" si="116"/>
        <v/>
      </c>
      <c r="G210" s="63" t="str">
        <f t="shared" si="117"/>
        <v/>
      </c>
      <c r="H210" s="64" t="str">
        <f t="shared" si="118"/>
        <v/>
      </c>
      <c r="I210" s="43"/>
      <c r="J210" s="63" t="str">
        <f t="shared" si="119"/>
        <v/>
      </c>
      <c r="K210" s="64" t="str">
        <f t="shared" si="120"/>
        <v/>
      </c>
      <c r="L210" s="38">
        <v>0</v>
      </c>
      <c r="M210" s="64" t="str">
        <f t="shared" si="121"/>
        <v/>
      </c>
      <c r="N210" s="65"/>
      <c r="O210" s="63" t="str">
        <f t="shared" si="122"/>
        <v/>
      </c>
      <c r="P210" s="63" t="str">
        <f t="shared" si="123"/>
        <v/>
      </c>
      <c r="Q210" s="66"/>
      <c r="R210" s="63" t="str">
        <f t="shared" si="124"/>
        <v/>
      </c>
      <c r="S210" s="64" t="str">
        <f t="shared" si="125"/>
        <v/>
      </c>
      <c r="T210" s="63" t="str">
        <f t="shared" si="126"/>
        <v/>
      </c>
      <c r="U210" s="64" t="str">
        <f t="shared" si="127"/>
        <v/>
      </c>
      <c r="V210" s="219" t="str">
        <f>IF($A211="","",IF(AND(MONTH(A210)&gt;3,MONTH(A210)&lt;11),(T210+R210+G210)*Summary!$T$10/(1-Summary!$T$10),(T210+R210+G210)*Summary!$U$10/(1-Summary!$U$10)))</f>
        <v/>
      </c>
      <c r="W210" s="63" t="str">
        <f t="shared" si="128"/>
        <v/>
      </c>
      <c r="X210" s="63" t="str">
        <f t="shared" si="129"/>
        <v/>
      </c>
      <c r="Y210" s="43"/>
      <c r="Z210" s="38" t="str">
        <f t="shared" si="130"/>
        <v/>
      </c>
      <c r="AA210" s="38" t="str">
        <f t="shared" si="131"/>
        <v/>
      </c>
      <c r="AB210" s="38" t="e">
        <f t="shared" si="132"/>
        <v>#VALUE!</v>
      </c>
      <c r="AC210" s="38" t="str">
        <f t="shared" si="133"/>
        <v/>
      </c>
      <c r="AD210" s="38" t="str">
        <f t="shared" si="133"/>
        <v/>
      </c>
      <c r="AE210" s="38" t="e">
        <f t="shared" si="134"/>
        <v>#VALUE!</v>
      </c>
      <c r="AF210" s="237" t="e">
        <f>((Summary!$N$10*(AA210*AD210)*(A210-$D$3))+(Summary!$M$10*Z210*AC210*(AJ210-EOMONTH(EDATE(A210,-1),0))))/(AK210*AB210*AE210)</f>
        <v>#VALUE!</v>
      </c>
      <c r="AG210" s="88" t="str">
        <f>IF($A211="","",Summary!$Q$10)</f>
        <v/>
      </c>
      <c r="AH210" s="88" t="str">
        <f>IF($A211="","",IF(Summary!$R$10="Y",(VLOOKUP($A210,Summary!$AD$6:$AF$9,3)+'Escalating commodity'!F223),'Escalating commodity'!F223))</f>
        <v/>
      </c>
      <c r="AI210" s="88" t="str">
        <f t="shared" si="149"/>
        <v/>
      </c>
      <c r="AJ210" s="236" t="e">
        <f t="shared" si="135"/>
        <v>#VALUE!</v>
      </c>
      <c r="AK210" s="58" t="str">
        <f t="shared" si="136"/>
        <v/>
      </c>
      <c r="AL210" s="26" t="str">
        <f>IF($A211="","",_xll.SPRDOPT(P210,X210,AI210,0,AB210,AE210,AF210,AK210,$AJ$2,0))</f>
        <v/>
      </c>
      <c r="AM210" s="89" t="str">
        <f t="shared" si="137"/>
        <v/>
      </c>
      <c r="AN210" s="89" t="str">
        <f t="shared" si="138"/>
        <v/>
      </c>
      <c r="AO210" s="3" t="str">
        <f t="shared" si="139"/>
        <v/>
      </c>
      <c r="AP210" s="33" t="str">
        <f t="shared" si="140"/>
        <v/>
      </c>
      <c r="AQ210" s="58" t="str">
        <f t="shared" si="141"/>
        <v/>
      </c>
      <c r="AR210" s="38">
        <f>'ANR OK vs ML7'!AR210</f>
        <v>0.1</v>
      </c>
      <c r="AS210" s="35" t="str">
        <f t="shared" si="142"/>
        <v/>
      </c>
      <c r="AT210" s="3" t="str">
        <f t="shared" si="143"/>
        <v/>
      </c>
      <c r="AU210" s="3" t="str">
        <f t="shared" si="144"/>
        <v/>
      </c>
      <c r="AW210" s="32" t="str">
        <f t="shared" si="145"/>
        <v/>
      </c>
      <c r="AX210" s="32" t="str">
        <f t="shared" si="146"/>
        <v/>
      </c>
      <c r="AY210" s="32" t="str">
        <f t="shared" si="147"/>
        <v/>
      </c>
      <c r="BA210" s="32" t="str">
        <f>IF($A211="","",F210*Summary!$Q$10)</f>
        <v/>
      </c>
    </row>
    <row r="211" spans="1:53" ht="12" customHeight="1">
      <c r="A211" s="67" t="str">
        <f t="shared" si="148"/>
        <v/>
      </c>
      <c r="B211" s="69" t="str">
        <f t="shared" si="150"/>
        <v/>
      </c>
      <c r="C211" s="71"/>
      <c r="D211" s="69" t="str">
        <f t="shared" si="114"/>
        <v/>
      </c>
      <c r="E211" s="70" t="str">
        <f t="shared" si="115"/>
        <v/>
      </c>
      <c r="F211" s="70" t="str">
        <f t="shared" si="116"/>
        <v/>
      </c>
      <c r="G211" s="63" t="str">
        <f t="shared" si="117"/>
        <v/>
      </c>
      <c r="H211" s="64" t="str">
        <f t="shared" si="118"/>
        <v/>
      </c>
      <c r="I211" s="43"/>
      <c r="J211" s="63" t="str">
        <f t="shared" si="119"/>
        <v/>
      </c>
      <c r="K211" s="64" t="str">
        <f t="shared" si="120"/>
        <v/>
      </c>
      <c r="L211" s="38">
        <v>0</v>
      </c>
      <c r="M211" s="64" t="str">
        <f t="shared" si="121"/>
        <v/>
      </c>
      <c r="N211" s="65"/>
      <c r="O211" s="63" t="str">
        <f t="shared" si="122"/>
        <v/>
      </c>
      <c r="P211" s="63" t="str">
        <f t="shared" si="123"/>
        <v/>
      </c>
      <c r="Q211" s="66"/>
      <c r="R211" s="63" t="str">
        <f t="shared" si="124"/>
        <v/>
      </c>
      <c r="S211" s="64" t="str">
        <f t="shared" si="125"/>
        <v/>
      </c>
      <c r="T211" s="63" t="str">
        <f t="shared" si="126"/>
        <v/>
      </c>
      <c r="U211" s="64" t="str">
        <f t="shared" si="127"/>
        <v/>
      </c>
      <c r="V211" s="219" t="str">
        <f>IF($A212="","",IF(AND(MONTH(A211)&gt;3,MONTH(A211)&lt;11),(T211+R211+G211)*Summary!$T$10/(1-Summary!$T$10),(T211+R211+G211)*Summary!$U$10/(1-Summary!$U$10)))</f>
        <v/>
      </c>
      <c r="W211" s="63" t="str">
        <f t="shared" si="128"/>
        <v/>
      </c>
      <c r="X211" s="63" t="str">
        <f t="shared" si="129"/>
        <v/>
      </c>
      <c r="Y211" s="43"/>
      <c r="Z211" s="38" t="str">
        <f t="shared" si="130"/>
        <v/>
      </c>
      <c r="AA211" s="38" t="str">
        <f t="shared" si="131"/>
        <v/>
      </c>
      <c r="AB211" s="38" t="e">
        <f t="shared" si="132"/>
        <v>#VALUE!</v>
      </c>
      <c r="AC211" s="38" t="str">
        <f t="shared" si="133"/>
        <v/>
      </c>
      <c r="AD211" s="38" t="str">
        <f t="shared" si="133"/>
        <v/>
      </c>
      <c r="AE211" s="38" t="e">
        <f t="shared" si="134"/>
        <v>#VALUE!</v>
      </c>
      <c r="AF211" s="237" t="e">
        <f>((Summary!$N$10*(AA211*AD211)*(A211-$D$3))+(Summary!$M$10*Z211*AC211*(AJ211-EOMONTH(EDATE(A211,-1),0))))/(AK211*AB211*AE211)</f>
        <v>#VALUE!</v>
      </c>
      <c r="AG211" s="88" t="str">
        <f>IF($A212="","",Summary!$Q$10)</f>
        <v/>
      </c>
      <c r="AH211" s="88" t="str">
        <f>IF($A212="","",IF(Summary!$R$10="Y",(VLOOKUP($A211,Summary!$AD$6:$AF$9,3)+'Escalating commodity'!F224),'Escalating commodity'!F224))</f>
        <v/>
      </c>
      <c r="AI211" s="88" t="str">
        <f t="shared" si="149"/>
        <v/>
      </c>
      <c r="AJ211" s="236" t="e">
        <f t="shared" si="135"/>
        <v>#VALUE!</v>
      </c>
      <c r="AK211" s="58" t="str">
        <f t="shared" si="136"/>
        <v/>
      </c>
      <c r="AL211" s="26" t="str">
        <f>IF($A212="","",_xll.SPRDOPT(P211,X211,AI211,0,AB211,AE211,AF211,AK211,$AJ$2,0))</f>
        <v/>
      </c>
      <c r="AM211" s="89" t="str">
        <f t="shared" si="137"/>
        <v/>
      </c>
      <c r="AN211" s="89" t="str">
        <f t="shared" si="138"/>
        <v/>
      </c>
      <c r="AO211" s="3" t="str">
        <f t="shared" si="139"/>
        <v/>
      </c>
      <c r="AP211" s="33" t="str">
        <f t="shared" si="140"/>
        <v/>
      </c>
      <c r="AQ211" s="58" t="str">
        <f t="shared" si="141"/>
        <v/>
      </c>
      <c r="AR211" s="38">
        <f>'ANR OK vs ML7'!AR211</f>
        <v>0.1</v>
      </c>
      <c r="AS211" s="35" t="str">
        <f t="shared" si="142"/>
        <v/>
      </c>
      <c r="AT211" s="3" t="str">
        <f t="shared" si="143"/>
        <v/>
      </c>
      <c r="AU211" s="3" t="str">
        <f t="shared" si="144"/>
        <v/>
      </c>
      <c r="AW211" s="32" t="str">
        <f t="shared" si="145"/>
        <v/>
      </c>
      <c r="AX211" s="32" t="str">
        <f t="shared" si="146"/>
        <v/>
      </c>
      <c r="AY211" s="32" t="str">
        <f t="shared" si="147"/>
        <v/>
      </c>
      <c r="BA211" s="32" t="str">
        <f>IF($A212="","",F211*Summary!$Q$10)</f>
        <v/>
      </c>
    </row>
    <row r="212" spans="1:53" ht="12" customHeight="1">
      <c r="A212" s="67" t="str">
        <f t="shared" si="148"/>
        <v/>
      </c>
      <c r="B212" s="69" t="str">
        <f t="shared" si="150"/>
        <v/>
      </c>
      <c r="C212" s="71"/>
      <c r="D212" s="69" t="str">
        <f t="shared" si="114"/>
        <v/>
      </c>
      <c r="E212" s="70" t="str">
        <f t="shared" si="115"/>
        <v/>
      </c>
      <c r="F212" s="70" t="str">
        <f t="shared" si="116"/>
        <v/>
      </c>
      <c r="G212" s="63" t="str">
        <f t="shared" si="117"/>
        <v/>
      </c>
      <c r="H212" s="64" t="str">
        <f t="shared" si="118"/>
        <v/>
      </c>
      <c r="I212" s="43"/>
      <c r="J212" s="63" t="str">
        <f t="shared" si="119"/>
        <v/>
      </c>
      <c r="K212" s="64" t="str">
        <f t="shared" si="120"/>
        <v/>
      </c>
      <c r="L212" s="38">
        <v>0</v>
      </c>
      <c r="M212" s="64" t="str">
        <f t="shared" si="121"/>
        <v/>
      </c>
      <c r="N212" s="65"/>
      <c r="O212" s="63" t="str">
        <f t="shared" si="122"/>
        <v/>
      </c>
      <c r="P212" s="63" t="str">
        <f t="shared" si="123"/>
        <v/>
      </c>
      <c r="Q212" s="66"/>
      <c r="R212" s="63" t="str">
        <f t="shared" si="124"/>
        <v/>
      </c>
      <c r="S212" s="64" t="str">
        <f t="shared" si="125"/>
        <v/>
      </c>
      <c r="T212" s="63" t="str">
        <f t="shared" si="126"/>
        <v/>
      </c>
      <c r="U212" s="64" t="str">
        <f t="shared" si="127"/>
        <v/>
      </c>
      <c r="V212" s="219" t="str">
        <f>IF($A213="","",IF(AND(MONTH(A212)&gt;3,MONTH(A212)&lt;11),(T212+R212+G212)*Summary!$T$10/(1-Summary!$T$10),(T212+R212+G212)*Summary!$U$10/(1-Summary!$U$10)))</f>
        <v/>
      </c>
      <c r="W212" s="63" t="str">
        <f t="shared" si="128"/>
        <v/>
      </c>
      <c r="X212" s="63" t="str">
        <f t="shared" si="129"/>
        <v/>
      </c>
      <c r="Y212" s="43"/>
      <c r="Z212" s="38" t="str">
        <f t="shared" si="130"/>
        <v/>
      </c>
      <c r="AA212" s="38" t="str">
        <f t="shared" si="131"/>
        <v/>
      </c>
      <c r="AB212" s="38" t="e">
        <f t="shared" si="132"/>
        <v>#VALUE!</v>
      </c>
      <c r="AC212" s="38" t="str">
        <f t="shared" si="133"/>
        <v/>
      </c>
      <c r="AD212" s="38" t="str">
        <f t="shared" si="133"/>
        <v/>
      </c>
      <c r="AE212" s="38" t="e">
        <f t="shared" si="134"/>
        <v>#VALUE!</v>
      </c>
      <c r="AF212" s="237" t="e">
        <f>((Summary!$N$10*(AA212*AD212)*(A212-$D$3))+(Summary!$M$10*Z212*AC212*(AJ212-EOMONTH(EDATE(A212,-1),0))))/(AK212*AB212*AE212)</f>
        <v>#VALUE!</v>
      </c>
      <c r="AG212" s="88" t="str">
        <f>IF($A213="","",Summary!$Q$10)</f>
        <v/>
      </c>
      <c r="AH212" s="88" t="str">
        <f>IF($A213="","",IF(Summary!$R$10="Y",(VLOOKUP($A212,Summary!$AD$6:$AF$9,3)+'Escalating commodity'!F225),'Escalating commodity'!F225))</f>
        <v/>
      </c>
      <c r="AI212" s="88" t="str">
        <f t="shared" si="149"/>
        <v/>
      </c>
      <c r="AJ212" s="236" t="e">
        <f t="shared" si="135"/>
        <v>#VALUE!</v>
      </c>
      <c r="AK212" s="58" t="str">
        <f t="shared" si="136"/>
        <v/>
      </c>
      <c r="AL212" s="26" t="str">
        <f>IF($A213="","",_xll.SPRDOPT(P212,X212,AI212,0,AB212,AE212,AF212,AK212,$AJ$2,0))</f>
        <v/>
      </c>
      <c r="AM212" s="89" t="str">
        <f t="shared" si="137"/>
        <v/>
      </c>
      <c r="AN212" s="89" t="str">
        <f t="shared" si="138"/>
        <v/>
      </c>
      <c r="AO212" s="3" t="str">
        <f t="shared" si="139"/>
        <v/>
      </c>
      <c r="AP212" s="33" t="str">
        <f t="shared" si="140"/>
        <v/>
      </c>
      <c r="AQ212" s="58" t="str">
        <f t="shared" si="141"/>
        <v/>
      </c>
      <c r="AR212" s="38">
        <f>'ANR OK vs ML7'!AR212</f>
        <v>0.1</v>
      </c>
      <c r="AS212" s="35" t="str">
        <f t="shared" si="142"/>
        <v/>
      </c>
      <c r="AT212" s="3" t="str">
        <f t="shared" si="143"/>
        <v/>
      </c>
      <c r="AU212" s="3" t="str">
        <f t="shared" si="144"/>
        <v/>
      </c>
      <c r="AW212" s="32" t="str">
        <f t="shared" si="145"/>
        <v/>
      </c>
      <c r="AX212" s="32" t="str">
        <f t="shared" si="146"/>
        <v/>
      </c>
      <c r="AY212" s="32" t="str">
        <f t="shared" si="147"/>
        <v/>
      </c>
      <c r="BA212" s="32" t="str">
        <f>IF($A213="","",F212*Summary!$Q$10)</f>
        <v/>
      </c>
    </row>
    <row r="213" spans="1:53" ht="12" customHeight="1">
      <c r="A213" s="67" t="str">
        <f t="shared" si="148"/>
        <v/>
      </c>
      <c r="B213" s="69" t="str">
        <f t="shared" si="150"/>
        <v/>
      </c>
      <c r="C213" s="71"/>
      <c r="D213" s="69" t="str">
        <f t="shared" si="114"/>
        <v/>
      </c>
      <c r="E213" s="70" t="str">
        <f t="shared" si="115"/>
        <v/>
      </c>
      <c r="F213" s="70" t="str">
        <f t="shared" si="116"/>
        <v/>
      </c>
      <c r="G213" s="63" t="str">
        <f t="shared" si="117"/>
        <v/>
      </c>
      <c r="H213" s="64" t="str">
        <f t="shared" si="118"/>
        <v/>
      </c>
      <c r="I213" s="43"/>
      <c r="J213" s="63" t="str">
        <f t="shared" si="119"/>
        <v/>
      </c>
      <c r="K213" s="64" t="str">
        <f t="shared" si="120"/>
        <v/>
      </c>
      <c r="L213" s="38">
        <v>0</v>
      </c>
      <c r="M213" s="64" t="str">
        <f t="shared" si="121"/>
        <v/>
      </c>
      <c r="N213" s="65"/>
      <c r="O213" s="63" t="str">
        <f t="shared" si="122"/>
        <v/>
      </c>
      <c r="P213" s="63" t="str">
        <f t="shared" si="123"/>
        <v/>
      </c>
      <c r="Q213" s="66"/>
      <c r="R213" s="63" t="str">
        <f t="shared" si="124"/>
        <v/>
      </c>
      <c r="S213" s="64" t="str">
        <f t="shared" si="125"/>
        <v/>
      </c>
      <c r="T213" s="63" t="str">
        <f t="shared" si="126"/>
        <v/>
      </c>
      <c r="U213" s="64" t="str">
        <f t="shared" si="127"/>
        <v/>
      </c>
      <c r="V213" s="219" t="str">
        <f>IF($A214="","",IF(AND(MONTH(A213)&gt;3,MONTH(A213)&lt;11),(T213+R213+G213)*Summary!$T$10/(1-Summary!$T$10),(T213+R213+G213)*Summary!$U$10/(1-Summary!$U$10)))</f>
        <v/>
      </c>
      <c r="W213" s="63" t="str">
        <f t="shared" si="128"/>
        <v/>
      </c>
      <c r="X213" s="63" t="str">
        <f t="shared" si="129"/>
        <v/>
      </c>
      <c r="Y213" s="43"/>
      <c r="Z213" s="38" t="str">
        <f t="shared" si="130"/>
        <v/>
      </c>
      <c r="AA213" s="38" t="str">
        <f t="shared" si="131"/>
        <v/>
      </c>
      <c r="AB213" s="38" t="e">
        <f t="shared" si="132"/>
        <v>#VALUE!</v>
      </c>
      <c r="AC213" s="38" t="str">
        <f t="shared" si="133"/>
        <v/>
      </c>
      <c r="AD213" s="38" t="str">
        <f t="shared" si="133"/>
        <v/>
      </c>
      <c r="AE213" s="38" t="e">
        <f t="shared" si="134"/>
        <v>#VALUE!</v>
      </c>
      <c r="AF213" s="237" t="e">
        <f>((Summary!$N$10*(AA213*AD213)*(A213-$D$3))+(Summary!$M$10*Z213*AC213*(AJ213-EOMONTH(EDATE(A213,-1),0))))/(AK213*AB213*AE213)</f>
        <v>#VALUE!</v>
      </c>
      <c r="AG213" s="88" t="str">
        <f>IF($A214="","",Summary!$Q$10)</f>
        <v/>
      </c>
      <c r="AH213" s="88" t="str">
        <f>IF($A214="","",IF(Summary!$R$10="Y",(VLOOKUP($A213,Summary!$AD$6:$AF$9,3)+'Escalating commodity'!F226),'Escalating commodity'!F226))</f>
        <v/>
      </c>
      <c r="AI213" s="88" t="str">
        <f t="shared" si="149"/>
        <v/>
      </c>
      <c r="AJ213" s="236" t="e">
        <f t="shared" si="135"/>
        <v>#VALUE!</v>
      </c>
      <c r="AK213" s="58" t="str">
        <f t="shared" si="136"/>
        <v/>
      </c>
      <c r="AL213" s="26" t="str">
        <f>IF($A214="","",_xll.SPRDOPT(P213,X213,AI213,0,AB213,AE213,AF213,AK213,$AJ$2,0))</f>
        <v/>
      </c>
      <c r="AM213" s="89" t="str">
        <f t="shared" si="137"/>
        <v/>
      </c>
      <c r="AN213" s="89" t="str">
        <f t="shared" si="138"/>
        <v/>
      </c>
      <c r="AO213" s="3" t="str">
        <f t="shared" si="139"/>
        <v/>
      </c>
      <c r="AP213" s="33" t="str">
        <f t="shared" si="140"/>
        <v/>
      </c>
      <c r="AQ213" s="58" t="str">
        <f t="shared" si="141"/>
        <v/>
      </c>
      <c r="AR213" s="38">
        <f>'ANR OK vs ML7'!AR213</f>
        <v>0.1</v>
      </c>
      <c r="AS213" s="35" t="str">
        <f t="shared" si="142"/>
        <v/>
      </c>
      <c r="AT213" s="3" t="str">
        <f t="shared" si="143"/>
        <v/>
      </c>
      <c r="AU213" s="3" t="str">
        <f t="shared" si="144"/>
        <v/>
      </c>
      <c r="AW213" s="32" t="str">
        <f t="shared" si="145"/>
        <v/>
      </c>
      <c r="AX213" s="32" t="str">
        <f t="shared" si="146"/>
        <v/>
      </c>
      <c r="AY213" s="32" t="str">
        <f t="shared" si="147"/>
        <v/>
      </c>
      <c r="BA213" s="32" t="str">
        <f>IF($A214="","",F213*Summary!$Q$10)</f>
        <v/>
      </c>
    </row>
    <row r="214" spans="1:53" ht="12" customHeight="1">
      <c r="A214" s="67" t="str">
        <f t="shared" si="148"/>
        <v/>
      </c>
      <c r="B214" s="69" t="str">
        <f t="shared" si="150"/>
        <v/>
      </c>
      <c r="C214" s="71"/>
      <c r="D214" s="69" t="str">
        <f t="shared" si="114"/>
        <v/>
      </c>
      <c r="E214" s="70" t="str">
        <f t="shared" si="115"/>
        <v/>
      </c>
      <c r="F214" s="70" t="str">
        <f t="shared" si="116"/>
        <v/>
      </c>
      <c r="G214" s="63" t="str">
        <f t="shared" si="117"/>
        <v/>
      </c>
      <c r="H214" s="64" t="str">
        <f t="shared" si="118"/>
        <v/>
      </c>
      <c r="I214" s="43"/>
      <c r="J214" s="63" t="str">
        <f t="shared" si="119"/>
        <v/>
      </c>
      <c r="K214" s="64" t="str">
        <f t="shared" si="120"/>
        <v/>
      </c>
      <c r="L214" s="38">
        <v>0</v>
      </c>
      <c r="M214" s="64" t="str">
        <f t="shared" si="121"/>
        <v/>
      </c>
      <c r="N214" s="65"/>
      <c r="O214" s="63" t="str">
        <f t="shared" si="122"/>
        <v/>
      </c>
      <c r="P214" s="63" t="str">
        <f t="shared" si="123"/>
        <v/>
      </c>
      <c r="Q214" s="66"/>
      <c r="R214" s="63" t="str">
        <f t="shared" si="124"/>
        <v/>
      </c>
      <c r="S214" s="64" t="str">
        <f t="shared" si="125"/>
        <v/>
      </c>
      <c r="T214" s="63" t="str">
        <f t="shared" si="126"/>
        <v/>
      </c>
      <c r="U214" s="64" t="str">
        <f t="shared" si="127"/>
        <v/>
      </c>
      <c r="V214" s="219" t="str">
        <f>IF($A215="","",IF(AND(MONTH(A214)&gt;3,MONTH(A214)&lt;11),(T214+R214+G214)*Summary!$T$10/(1-Summary!$T$10),(T214+R214+G214)*Summary!$U$10/(1-Summary!$U$10)))</f>
        <v/>
      </c>
      <c r="W214" s="63" t="str">
        <f t="shared" si="128"/>
        <v/>
      </c>
      <c r="X214" s="63" t="str">
        <f t="shared" si="129"/>
        <v/>
      </c>
      <c r="Y214" s="43"/>
      <c r="Z214" s="38" t="str">
        <f t="shared" si="130"/>
        <v/>
      </c>
      <c r="AA214" s="38" t="str">
        <f t="shared" si="131"/>
        <v/>
      </c>
      <c r="AB214" s="38" t="e">
        <f t="shared" si="132"/>
        <v>#VALUE!</v>
      </c>
      <c r="AC214" s="38" t="str">
        <f t="shared" si="133"/>
        <v/>
      </c>
      <c r="AD214" s="38" t="str">
        <f t="shared" si="133"/>
        <v/>
      </c>
      <c r="AE214" s="38" t="e">
        <f t="shared" si="134"/>
        <v>#VALUE!</v>
      </c>
      <c r="AF214" s="237" t="e">
        <f>((Summary!$N$10*(AA214*AD214)*(A214-$D$3))+(Summary!$M$10*Z214*AC214*(AJ214-EOMONTH(EDATE(A214,-1),0))))/(AK214*AB214*AE214)</f>
        <v>#VALUE!</v>
      </c>
      <c r="AG214" s="88" t="str">
        <f>IF($A215="","",Summary!$Q$10)</f>
        <v/>
      </c>
      <c r="AH214" s="88" t="str">
        <f>IF($A215="","",IF(Summary!$R$10="Y",(VLOOKUP($A214,Summary!$AD$6:$AF$9,3)+'Escalating commodity'!F227),'Escalating commodity'!F227))</f>
        <v/>
      </c>
      <c r="AI214" s="88" t="str">
        <f t="shared" si="149"/>
        <v/>
      </c>
      <c r="AJ214" s="236" t="e">
        <f t="shared" si="135"/>
        <v>#VALUE!</v>
      </c>
      <c r="AK214" s="58" t="str">
        <f t="shared" si="136"/>
        <v/>
      </c>
      <c r="AL214" s="26" t="str">
        <f>IF($A215="","",_xll.SPRDOPT(P214,X214,AI214,0,AB214,AE214,AF214,AK214,$AJ$2,0))</f>
        <v/>
      </c>
      <c r="AM214" s="89" t="str">
        <f t="shared" si="137"/>
        <v/>
      </c>
      <c r="AN214" s="89" t="str">
        <f t="shared" si="138"/>
        <v/>
      </c>
      <c r="AO214" s="3" t="str">
        <f t="shared" si="139"/>
        <v/>
      </c>
      <c r="AP214" s="33" t="str">
        <f t="shared" si="140"/>
        <v/>
      </c>
      <c r="AQ214" s="58" t="str">
        <f t="shared" si="141"/>
        <v/>
      </c>
      <c r="AR214" s="38">
        <f>'ANR OK vs ML7'!AR214</f>
        <v>0.1</v>
      </c>
      <c r="AS214" s="35" t="str">
        <f t="shared" si="142"/>
        <v/>
      </c>
      <c r="AT214" s="3" t="str">
        <f t="shared" si="143"/>
        <v/>
      </c>
      <c r="AU214" s="3" t="str">
        <f t="shared" si="144"/>
        <v/>
      </c>
      <c r="AW214" s="32" t="str">
        <f t="shared" si="145"/>
        <v/>
      </c>
      <c r="AX214" s="32" t="str">
        <f t="shared" si="146"/>
        <v/>
      </c>
      <c r="AY214" s="32" t="str">
        <f t="shared" si="147"/>
        <v/>
      </c>
      <c r="BA214" s="32" t="str">
        <f>IF($A215="","",F214*Summary!$Q$10)</f>
        <v/>
      </c>
    </row>
    <row r="215" spans="1:53" ht="12" customHeight="1">
      <c r="A215" s="67" t="str">
        <f t="shared" si="148"/>
        <v/>
      </c>
      <c r="B215" s="69" t="str">
        <f t="shared" si="150"/>
        <v/>
      </c>
      <c r="C215" s="71"/>
      <c r="D215" s="69" t="str">
        <f t="shared" si="114"/>
        <v/>
      </c>
      <c r="E215" s="70" t="str">
        <f t="shared" si="115"/>
        <v/>
      </c>
      <c r="F215" s="70" t="str">
        <f t="shared" si="116"/>
        <v/>
      </c>
      <c r="G215" s="63" t="str">
        <f t="shared" si="117"/>
        <v/>
      </c>
      <c r="H215" s="64" t="str">
        <f t="shared" si="118"/>
        <v/>
      </c>
      <c r="I215" s="43"/>
      <c r="J215" s="63" t="str">
        <f t="shared" si="119"/>
        <v/>
      </c>
      <c r="K215" s="64" t="str">
        <f t="shared" si="120"/>
        <v/>
      </c>
      <c r="L215" s="38">
        <v>0</v>
      </c>
      <c r="M215" s="64" t="str">
        <f t="shared" si="121"/>
        <v/>
      </c>
      <c r="N215" s="65"/>
      <c r="O215" s="63" t="str">
        <f t="shared" si="122"/>
        <v/>
      </c>
      <c r="P215" s="63" t="str">
        <f t="shared" si="123"/>
        <v/>
      </c>
      <c r="Q215" s="66"/>
      <c r="R215" s="63" t="str">
        <f t="shared" si="124"/>
        <v/>
      </c>
      <c r="S215" s="64" t="str">
        <f t="shared" si="125"/>
        <v/>
      </c>
      <c r="T215" s="63" t="str">
        <f t="shared" si="126"/>
        <v/>
      </c>
      <c r="U215" s="64" t="str">
        <f t="shared" si="127"/>
        <v/>
      </c>
      <c r="V215" s="219" t="str">
        <f>IF($A216="","",IF(AND(MONTH(A215)&gt;3,MONTH(A215)&lt;11),(T215+R215+G215)*Summary!$T$10/(1-Summary!$T$10),(T215+R215+G215)*Summary!$U$10/(1-Summary!$U$10)))</f>
        <v/>
      </c>
      <c r="W215" s="63" t="str">
        <f t="shared" si="128"/>
        <v/>
      </c>
      <c r="X215" s="63" t="str">
        <f t="shared" si="129"/>
        <v/>
      </c>
      <c r="Y215" s="43"/>
      <c r="Z215" s="38" t="str">
        <f t="shared" si="130"/>
        <v/>
      </c>
      <c r="AA215" s="38" t="str">
        <f t="shared" si="131"/>
        <v/>
      </c>
      <c r="AB215" s="38" t="e">
        <f t="shared" si="132"/>
        <v>#VALUE!</v>
      </c>
      <c r="AC215" s="38" t="str">
        <f t="shared" si="133"/>
        <v/>
      </c>
      <c r="AD215" s="38" t="str">
        <f t="shared" si="133"/>
        <v/>
      </c>
      <c r="AE215" s="38" t="e">
        <f t="shared" si="134"/>
        <v>#VALUE!</v>
      </c>
      <c r="AF215" s="237" t="e">
        <f>((Summary!$N$10*(AA215*AD215)*(A215-$D$3))+(Summary!$M$10*Z215*AC215*(AJ215-EOMONTH(EDATE(A215,-1),0))))/(AK215*AB215*AE215)</f>
        <v>#VALUE!</v>
      </c>
      <c r="AG215" s="88" t="str">
        <f>IF($A216="","",Summary!$Q$10)</f>
        <v/>
      </c>
      <c r="AH215" s="88" t="str">
        <f>IF($A216="","",IF(Summary!$R$10="Y",(VLOOKUP($A215,Summary!$AD$6:$AF$9,3)+'Escalating commodity'!F228),'Escalating commodity'!F228))</f>
        <v/>
      </c>
      <c r="AI215" s="88" t="str">
        <f t="shared" si="149"/>
        <v/>
      </c>
      <c r="AJ215" s="236" t="e">
        <f t="shared" si="135"/>
        <v>#VALUE!</v>
      </c>
      <c r="AK215" s="58" t="str">
        <f t="shared" si="136"/>
        <v/>
      </c>
      <c r="AL215" s="26" t="str">
        <f>IF($A216="","",_xll.SPRDOPT(P215,X215,AI215,0,AB215,AE215,AF215,AK215,$AJ$2,0))</f>
        <v/>
      </c>
      <c r="AM215" s="89" t="str">
        <f t="shared" si="137"/>
        <v/>
      </c>
      <c r="AN215" s="89" t="str">
        <f t="shared" si="138"/>
        <v/>
      </c>
      <c r="AO215" s="3" t="str">
        <f t="shared" si="139"/>
        <v/>
      </c>
      <c r="AP215" s="33" t="str">
        <f t="shared" si="140"/>
        <v/>
      </c>
      <c r="AQ215" s="58" t="str">
        <f t="shared" si="141"/>
        <v/>
      </c>
      <c r="AR215" s="38">
        <f>'ANR OK vs ML7'!AR215</f>
        <v>0.1</v>
      </c>
      <c r="AS215" s="35" t="str">
        <f t="shared" si="142"/>
        <v/>
      </c>
      <c r="AT215" s="3" t="str">
        <f t="shared" si="143"/>
        <v/>
      </c>
      <c r="AU215" s="3" t="str">
        <f t="shared" si="144"/>
        <v/>
      </c>
      <c r="AW215" s="32" t="str">
        <f t="shared" si="145"/>
        <v/>
      </c>
      <c r="AX215" s="32" t="str">
        <f t="shared" si="146"/>
        <v/>
      </c>
      <c r="AY215" s="32" t="str">
        <f t="shared" si="147"/>
        <v/>
      </c>
      <c r="BA215" s="32" t="str">
        <f>IF($A216="","",F215*Summary!$Q$10)</f>
        <v/>
      </c>
    </row>
    <row r="216" spans="1:53" ht="12" customHeight="1">
      <c r="A216" s="67" t="str">
        <f t="shared" si="148"/>
        <v/>
      </c>
      <c r="B216" s="69" t="str">
        <f t="shared" si="150"/>
        <v/>
      </c>
      <c r="C216" s="71"/>
      <c r="D216" s="69" t="str">
        <f t="shared" si="114"/>
        <v/>
      </c>
      <c r="E216" s="70" t="str">
        <f t="shared" si="115"/>
        <v/>
      </c>
      <c r="F216" s="70" t="str">
        <f t="shared" si="116"/>
        <v/>
      </c>
      <c r="G216" s="63" t="str">
        <f t="shared" si="117"/>
        <v/>
      </c>
      <c r="H216" s="64" t="str">
        <f t="shared" si="118"/>
        <v/>
      </c>
      <c r="I216" s="43"/>
      <c r="J216" s="63" t="str">
        <f t="shared" si="119"/>
        <v/>
      </c>
      <c r="K216" s="64" t="str">
        <f t="shared" si="120"/>
        <v/>
      </c>
      <c r="L216" s="38">
        <v>0</v>
      </c>
      <c r="M216" s="64" t="str">
        <f t="shared" si="121"/>
        <v/>
      </c>
      <c r="N216" s="65"/>
      <c r="O216" s="63" t="str">
        <f t="shared" si="122"/>
        <v/>
      </c>
      <c r="P216" s="63" t="str">
        <f t="shared" si="123"/>
        <v/>
      </c>
      <c r="Q216" s="66"/>
      <c r="R216" s="63" t="str">
        <f t="shared" si="124"/>
        <v/>
      </c>
      <c r="S216" s="64" t="str">
        <f t="shared" si="125"/>
        <v/>
      </c>
      <c r="T216" s="63" t="str">
        <f t="shared" si="126"/>
        <v/>
      </c>
      <c r="U216" s="64" t="str">
        <f t="shared" si="127"/>
        <v/>
      </c>
      <c r="V216" s="219" t="str">
        <f>IF($A217="","",IF(AND(MONTH(A216)&gt;3,MONTH(A216)&lt;11),(T216+R216+G216)*Summary!$T$10/(1-Summary!$T$10),(T216+R216+G216)*Summary!$U$10/(1-Summary!$U$10)))</f>
        <v/>
      </c>
      <c r="W216" s="63" t="str">
        <f t="shared" si="128"/>
        <v/>
      </c>
      <c r="X216" s="63" t="str">
        <f t="shared" si="129"/>
        <v/>
      </c>
      <c r="Y216" s="43"/>
      <c r="Z216" s="38" t="str">
        <f t="shared" si="130"/>
        <v/>
      </c>
      <c r="AA216" s="38" t="str">
        <f t="shared" si="131"/>
        <v/>
      </c>
      <c r="AB216" s="38" t="e">
        <f t="shared" si="132"/>
        <v>#VALUE!</v>
      </c>
      <c r="AC216" s="38" t="str">
        <f t="shared" si="133"/>
        <v/>
      </c>
      <c r="AD216" s="38" t="str">
        <f t="shared" si="133"/>
        <v/>
      </c>
      <c r="AE216" s="38" t="e">
        <f t="shared" si="134"/>
        <v>#VALUE!</v>
      </c>
      <c r="AF216" s="237" t="e">
        <f>((Summary!$N$10*(AA216*AD216)*(A216-$D$3))+(Summary!$M$10*Z216*AC216*(AJ216-EOMONTH(EDATE(A216,-1),0))))/(AK216*AB216*AE216)</f>
        <v>#VALUE!</v>
      </c>
      <c r="AG216" s="88" t="str">
        <f>IF($A217="","",Summary!$Q$10)</f>
        <v/>
      </c>
      <c r="AH216" s="88" t="str">
        <f>IF($A217="","",IF(Summary!$R$10="Y",(VLOOKUP($A216,Summary!$AD$6:$AF$9,3)+'Escalating commodity'!F229),'Escalating commodity'!F229))</f>
        <v/>
      </c>
      <c r="AI216" s="88" t="str">
        <f t="shared" si="149"/>
        <v/>
      </c>
      <c r="AJ216" s="236" t="e">
        <f t="shared" si="135"/>
        <v>#VALUE!</v>
      </c>
      <c r="AK216" s="58" t="str">
        <f t="shared" si="136"/>
        <v/>
      </c>
      <c r="AL216" s="26" t="str">
        <f>IF($A217="","",_xll.SPRDOPT(P216,X216,AI216,0,AB216,AE216,AF216,AK216,$AJ$2,0))</f>
        <v/>
      </c>
      <c r="AM216" s="89" t="str">
        <f t="shared" si="137"/>
        <v/>
      </c>
      <c r="AN216" s="89" t="str">
        <f t="shared" si="138"/>
        <v/>
      </c>
      <c r="AO216" s="3" t="str">
        <f t="shared" si="139"/>
        <v/>
      </c>
      <c r="AP216" s="33" t="str">
        <f t="shared" si="140"/>
        <v/>
      </c>
      <c r="AQ216" s="58" t="str">
        <f t="shared" si="141"/>
        <v/>
      </c>
      <c r="AR216" s="38">
        <f>'ANR OK vs ML7'!AR216</f>
        <v>0.1</v>
      </c>
      <c r="AS216" s="35" t="str">
        <f t="shared" si="142"/>
        <v/>
      </c>
      <c r="AT216" s="3" t="str">
        <f t="shared" si="143"/>
        <v/>
      </c>
      <c r="AU216" s="3" t="str">
        <f t="shared" si="144"/>
        <v/>
      </c>
      <c r="AW216" s="32" t="str">
        <f t="shared" si="145"/>
        <v/>
      </c>
      <c r="AX216" s="32" t="str">
        <f t="shared" si="146"/>
        <v/>
      </c>
      <c r="AY216" s="32" t="str">
        <f t="shared" si="147"/>
        <v/>
      </c>
      <c r="BA216" s="32" t="str">
        <f>IF($A217="","",F216*Summary!$Q$10)</f>
        <v/>
      </c>
    </row>
    <row r="217" spans="1:53" ht="12" customHeight="1">
      <c r="A217" s="67" t="str">
        <f t="shared" si="148"/>
        <v/>
      </c>
      <c r="B217" s="69" t="str">
        <f t="shared" si="150"/>
        <v/>
      </c>
      <c r="C217" s="71"/>
      <c r="D217" s="69" t="str">
        <f t="shared" si="114"/>
        <v/>
      </c>
      <c r="E217" s="70" t="str">
        <f t="shared" si="115"/>
        <v/>
      </c>
      <c r="F217" s="70" t="str">
        <f t="shared" si="116"/>
        <v/>
      </c>
      <c r="G217" s="63" t="str">
        <f t="shared" si="117"/>
        <v/>
      </c>
      <c r="H217" s="64" t="str">
        <f t="shared" si="118"/>
        <v/>
      </c>
      <c r="I217" s="43"/>
      <c r="J217" s="63" t="str">
        <f t="shared" si="119"/>
        <v/>
      </c>
      <c r="K217" s="64" t="str">
        <f t="shared" si="120"/>
        <v/>
      </c>
      <c r="L217" s="38">
        <v>0</v>
      </c>
      <c r="M217" s="64" t="str">
        <f t="shared" si="121"/>
        <v/>
      </c>
      <c r="N217" s="65"/>
      <c r="O217" s="63" t="str">
        <f t="shared" si="122"/>
        <v/>
      </c>
      <c r="P217" s="63" t="str">
        <f t="shared" si="123"/>
        <v/>
      </c>
      <c r="Q217" s="66"/>
      <c r="R217" s="63" t="str">
        <f t="shared" si="124"/>
        <v/>
      </c>
      <c r="S217" s="64" t="str">
        <f t="shared" si="125"/>
        <v/>
      </c>
      <c r="T217" s="63" t="str">
        <f t="shared" si="126"/>
        <v/>
      </c>
      <c r="U217" s="64" t="str">
        <f t="shared" si="127"/>
        <v/>
      </c>
      <c r="V217" s="219" t="str">
        <f>IF($A218="","",IF(AND(MONTH(A217)&gt;3,MONTH(A217)&lt;11),(T217+R217+G217)*Summary!$T$10/(1-Summary!$T$10),(T217+R217+G217)*Summary!$U$10/(1-Summary!$U$10)))</f>
        <v/>
      </c>
      <c r="W217" s="63" t="str">
        <f t="shared" si="128"/>
        <v/>
      </c>
      <c r="X217" s="63" t="str">
        <f t="shared" si="129"/>
        <v/>
      </c>
      <c r="Y217" s="43"/>
      <c r="Z217" s="38" t="str">
        <f t="shared" si="130"/>
        <v/>
      </c>
      <c r="AA217" s="38" t="str">
        <f t="shared" si="131"/>
        <v/>
      </c>
      <c r="AB217" s="38" t="e">
        <f t="shared" si="132"/>
        <v>#VALUE!</v>
      </c>
      <c r="AC217" s="38" t="str">
        <f t="shared" si="133"/>
        <v/>
      </c>
      <c r="AD217" s="38" t="str">
        <f t="shared" si="133"/>
        <v/>
      </c>
      <c r="AE217" s="38" t="e">
        <f t="shared" si="134"/>
        <v>#VALUE!</v>
      </c>
      <c r="AF217" s="237" t="e">
        <f>((Summary!$N$10*(AA217*AD217)*(A217-$D$3))+(Summary!$M$10*Z217*AC217*(AJ217-EOMONTH(EDATE(A217,-1),0))))/(AK217*AB217*AE217)</f>
        <v>#VALUE!</v>
      </c>
      <c r="AG217" s="88" t="str">
        <f>IF($A218="","",Summary!$Q$10)</f>
        <v/>
      </c>
      <c r="AH217" s="88" t="str">
        <f>IF($A218="","",IF(Summary!$R$10="Y",(VLOOKUP($A217,Summary!$AD$6:$AF$9,3)+'Escalating commodity'!F230),'Escalating commodity'!F230))</f>
        <v/>
      </c>
      <c r="AI217" s="88" t="str">
        <f t="shared" si="149"/>
        <v/>
      </c>
      <c r="AJ217" s="236" t="e">
        <f t="shared" si="135"/>
        <v>#VALUE!</v>
      </c>
      <c r="AK217" s="58" t="str">
        <f t="shared" si="136"/>
        <v/>
      </c>
      <c r="AL217" s="26" t="str">
        <f>IF($A218="","",_xll.SPRDOPT(P217,X217,AI217,0,AB217,AE217,AF217,AK217,$AJ$2,0))</f>
        <v/>
      </c>
      <c r="AM217" s="89" t="str">
        <f t="shared" si="137"/>
        <v/>
      </c>
      <c r="AN217" s="89" t="str">
        <f t="shared" si="138"/>
        <v/>
      </c>
      <c r="AO217" s="3" t="str">
        <f t="shared" si="139"/>
        <v/>
      </c>
      <c r="AP217" s="33" t="str">
        <f t="shared" si="140"/>
        <v/>
      </c>
      <c r="AQ217" s="58" t="str">
        <f t="shared" si="141"/>
        <v/>
      </c>
      <c r="AR217" s="38">
        <f>'ANR OK vs ML7'!AR217</f>
        <v>0.1</v>
      </c>
      <c r="AS217" s="35" t="str">
        <f t="shared" si="142"/>
        <v/>
      </c>
      <c r="AT217" s="3" t="str">
        <f t="shared" si="143"/>
        <v/>
      </c>
      <c r="AU217" s="3" t="str">
        <f t="shared" si="144"/>
        <v/>
      </c>
      <c r="AW217" s="32" t="str">
        <f t="shared" si="145"/>
        <v/>
      </c>
      <c r="AX217" s="32" t="str">
        <f t="shared" si="146"/>
        <v/>
      </c>
      <c r="AY217" s="32" t="str">
        <f t="shared" si="147"/>
        <v/>
      </c>
      <c r="BA217" s="32" t="str">
        <f>IF($A218="","",F217*Summary!$Q$10)</f>
        <v/>
      </c>
    </row>
    <row r="218" spans="1:53" ht="12" customHeight="1">
      <c r="A218" s="67" t="str">
        <f t="shared" si="148"/>
        <v/>
      </c>
      <c r="B218" s="69" t="str">
        <f t="shared" si="150"/>
        <v/>
      </c>
      <c r="C218" s="71"/>
      <c r="D218" s="69" t="str">
        <f t="shared" si="114"/>
        <v/>
      </c>
      <c r="E218" s="70" t="str">
        <f t="shared" si="115"/>
        <v/>
      </c>
      <c r="F218" s="70" t="str">
        <f t="shared" si="116"/>
        <v/>
      </c>
      <c r="G218" s="63" t="str">
        <f t="shared" si="117"/>
        <v/>
      </c>
      <c r="H218" s="64" t="str">
        <f t="shared" si="118"/>
        <v/>
      </c>
      <c r="I218" s="43"/>
      <c r="J218" s="63" t="str">
        <f t="shared" si="119"/>
        <v/>
      </c>
      <c r="K218" s="64" t="str">
        <f t="shared" si="120"/>
        <v/>
      </c>
      <c r="L218" s="38">
        <v>0</v>
      </c>
      <c r="M218" s="64" t="str">
        <f t="shared" si="121"/>
        <v/>
      </c>
      <c r="N218" s="65"/>
      <c r="O218" s="63" t="str">
        <f t="shared" si="122"/>
        <v/>
      </c>
      <c r="P218" s="63" t="str">
        <f t="shared" si="123"/>
        <v/>
      </c>
      <c r="Q218" s="66"/>
      <c r="R218" s="63" t="str">
        <f t="shared" si="124"/>
        <v/>
      </c>
      <c r="S218" s="64" t="str">
        <f t="shared" si="125"/>
        <v/>
      </c>
      <c r="T218" s="63" t="str">
        <f t="shared" si="126"/>
        <v/>
      </c>
      <c r="U218" s="64" t="str">
        <f t="shared" si="127"/>
        <v/>
      </c>
      <c r="V218" s="219" t="str">
        <f>IF($A219="","",IF(AND(MONTH(A218)&gt;3,MONTH(A218)&lt;11),(T218+R218+G218)*Summary!$T$10/(1-Summary!$T$10),(T218+R218+G218)*Summary!$U$10/(1-Summary!$U$10)))</f>
        <v/>
      </c>
      <c r="W218" s="63" t="str">
        <f t="shared" si="128"/>
        <v/>
      </c>
      <c r="X218" s="63" t="str">
        <f t="shared" si="129"/>
        <v/>
      </c>
      <c r="Y218" s="43"/>
      <c r="Z218" s="38" t="str">
        <f t="shared" si="130"/>
        <v/>
      </c>
      <c r="AA218" s="38" t="str">
        <f t="shared" si="131"/>
        <v/>
      </c>
      <c r="AB218" s="38" t="e">
        <f t="shared" si="132"/>
        <v>#VALUE!</v>
      </c>
      <c r="AC218" s="38" t="str">
        <f t="shared" si="133"/>
        <v/>
      </c>
      <c r="AD218" s="38" t="str">
        <f t="shared" si="133"/>
        <v/>
      </c>
      <c r="AE218" s="38" t="e">
        <f t="shared" si="134"/>
        <v>#VALUE!</v>
      </c>
      <c r="AF218" s="237" t="e">
        <f>((Summary!$N$10*(AA218*AD218)*(A218-$D$3))+(Summary!$M$10*Z218*AC218*(AJ218-EOMONTH(EDATE(A218,-1),0))))/(AK218*AB218*AE218)</f>
        <v>#VALUE!</v>
      </c>
      <c r="AG218" s="88" t="str">
        <f>IF($A219="","",Summary!$Q$10)</f>
        <v/>
      </c>
      <c r="AH218" s="88" t="str">
        <f>IF($A219="","",IF(Summary!$R$10="Y",(VLOOKUP($A218,Summary!$AD$6:$AF$9,3)+'Escalating commodity'!F231),'Escalating commodity'!F231))</f>
        <v/>
      </c>
      <c r="AI218" s="88" t="str">
        <f t="shared" si="149"/>
        <v/>
      </c>
      <c r="AJ218" s="236" t="e">
        <f t="shared" si="135"/>
        <v>#VALUE!</v>
      </c>
      <c r="AK218" s="58" t="str">
        <f t="shared" si="136"/>
        <v/>
      </c>
      <c r="AL218" s="26" t="str">
        <f>IF($A219="","",_xll.SPRDOPT(P218,X218,AI218,0,AB218,AE218,AF218,AK218,$AJ$2,0))</f>
        <v/>
      </c>
      <c r="AM218" s="89" t="str">
        <f t="shared" si="137"/>
        <v/>
      </c>
      <c r="AN218" s="89" t="str">
        <f t="shared" si="138"/>
        <v/>
      </c>
      <c r="AO218" s="3" t="str">
        <f t="shared" si="139"/>
        <v/>
      </c>
      <c r="AP218" s="33" t="str">
        <f t="shared" si="140"/>
        <v/>
      </c>
      <c r="AQ218" s="58" t="str">
        <f t="shared" si="141"/>
        <v/>
      </c>
      <c r="AR218" s="38">
        <f>'ANR OK vs ML7'!AR218</f>
        <v>0.1</v>
      </c>
      <c r="AS218" s="35" t="str">
        <f t="shared" si="142"/>
        <v/>
      </c>
      <c r="AT218" s="3" t="str">
        <f t="shared" si="143"/>
        <v/>
      </c>
      <c r="AU218" s="3" t="str">
        <f t="shared" si="144"/>
        <v/>
      </c>
      <c r="AW218" s="32" t="str">
        <f t="shared" si="145"/>
        <v/>
      </c>
      <c r="AX218" s="32" t="str">
        <f t="shared" si="146"/>
        <v/>
      </c>
      <c r="AY218" s="32" t="str">
        <f t="shared" si="147"/>
        <v/>
      </c>
      <c r="BA218" s="32" t="str">
        <f>IF($A219="","",F218*Summary!$Q$10)</f>
        <v/>
      </c>
    </row>
    <row r="219" spans="1:53" ht="12" customHeight="1">
      <c r="A219" s="67" t="str">
        <f t="shared" si="148"/>
        <v/>
      </c>
      <c r="B219" s="69" t="str">
        <f t="shared" si="150"/>
        <v/>
      </c>
      <c r="C219" s="71"/>
      <c r="D219" s="69" t="str">
        <f t="shared" si="114"/>
        <v/>
      </c>
      <c r="E219" s="70" t="str">
        <f t="shared" si="115"/>
        <v/>
      </c>
      <c r="F219" s="70" t="str">
        <f t="shared" si="116"/>
        <v/>
      </c>
      <c r="G219" s="63" t="str">
        <f t="shared" si="117"/>
        <v/>
      </c>
      <c r="H219" s="64" t="str">
        <f t="shared" si="118"/>
        <v/>
      </c>
      <c r="I219" s="43"/>
      <c r="J219" s="63" t="str">
        <f t="shared" si="119"/>
        <v/>
      </c>
      <c r="K219" s="64" t="str">
        <f t="shared" si="120"/>
        <v/>
      </c>
      <c r="L219" s="38">
        <v>0</v>
      </c>
      <c r="M219" s="64" t="str">
        <f t="shared" si="121"/>
        <v/>
      </c>
      <c r="N219" s="65"/>
      <c r="O219" s="63" t="str">
        <f t="shared" si="122"/>
        <v/>
      </c>
      <c r="P219" s="63" t="str">
        <f t="shared" si="123"/>
        <v/>
      </c>
      <c r="Q219" s="66"/>
      <c r="R219" s="63" t="str">
        <f t="shared" si="124"/>
        <v/>
      </c>
      <c r="S219" s="64" t="str">
        <f t="shared" si="125"/>
        <v/>
      </c>
      <c r="T219" s="63" t="str">
        <f t="shared" si="126"/>
        <v/>
      </c>
      <c r="U219" s="64" t="str">
        <f t="shared" si="127"/>
        <v/>
      </c>
      <c r="V219" s="219" t="str">
        <f>IF($A220="","",IF(AND(MONTH(A219)&gt;3,MONTH(A219)&lt;11),(T219+R219+G219)*Summary!$T$10/(1-Summary!$T$10),(T219+R219+G219)*Summary!$U$10/(1-Summary!$U$10)))</f>
        <v/>
      </c>
      <c r="W219" s="63" t="str">
        <f t="shared" si="128"/>
        <v/>
      </c>
      <c r="X219" s="63" t="str">
        <f t="shared" si="129"/>
        <v/>
      </c>
      <c r="Y219" s="43"/>
      <c r="Z219" s="38" t="str">
        <f t="shared" si="130"/>
        <v/>
      </c>
      <c r="AA219" s="38" t="str">
        <f t="shared" si="131"/>
        <v/>
      </c>
      <c r="AB219" s="38" t="e">
        <f t="shared" si="132"/>
        <v>#VALUE!</v>
      </c>
      <c r="AC219" s="38" t="str">
        <f t="shared" si="133"/>
        <v/>
      </c>
      <c r="AD219" s="38" t="str">
        <f t="shared" si="133"/>
        <v/>
      </c>
      <c r="AE219" s="38" t="e">
        <f t="shared" si="134"/>
        <v>#VALUE!</v>
      </c>
      <c r="AF219" s="237" t="e">
        <f>((Summary!$N$10*(AA219*AD219)*(A219-$D$3))+(Summary!$M$10*Z219*AC219*(AJ219-EOMONTH(EDATE(A219,-1),0))))/(AK219*AB219*AE219)</f>
        <v>#VALUE!</v>
      </c>
      <c r="AG219" s="88" t="str">
        <f>IF($A220="","",Summary!$Q$10)</f>
        <v/>
      </c>
      <c r="AH219" s="88" t="str">
        <f>IF($A220="","",IF(Summary!$R$10="Y",(VLOOKUP($A219,Summary!$AD$6:$AF$9,3)+'Escalating commodity'!F232),'Escalating commodity'!F232))</f>
        <v/>
      </c>
      <c r="AI219" s="88" t="str">
        <f t="shared" si="149"/>
        <v/>
      </c>
      <c r="AJ219" s="236" t="e">
        <f t="shared" si="135"/>
        <v>#VALUE!</v>
      </c>
      <c r="AK219" s="58" t="str">
        <f t="shared" si="136"/>
        <v/>
      </c>
      <c r="AL219" s="26" t="str">
        <f>IF($A220="","",_xll.SPRDOPT(P219,X219,AI219,0,AB219,AE219,AF219,AK219,$AJ$2,0))</f>
        <v/>
      </c>
      <c r="AM219" s="89" t="str">
        <f t="shared" si="137"/>
        <v/>
      </c>
      <c r="AN219" s="89" t="str">
        <f t="shared" si="138"/>
        <v/>
      </c>
      <c r="AO219" s="3" t="str">
        <f t="shared" si="139"/>
        <v/>
      </c>
      <c r="AP219" s="33" t="str">
        <f t="shared" si="140"/>
        <v/>
      </c>
      <c r="AQ219" s="58" t="str">
        <f t="shared" si="141"/>
        <v/>
      </c>
      <c r="AR219" s="38">
        <f>'ANR OK vs ML7'!AR219</f>
        <v>0.1</v>
      </c>
      <c r="AS219" s="35" t="str">
        <f t="shared" si="142"/>
        <v/>
      </c>
      <c r="AT219" s="3" t="str">
        <f t="shared" si="143"/>
        <v/>
      </c>
      <c r="AU219" s="3" t="str">
        <f t="shared" si="144"/>
        <v/>
      </c>
      <c r="AW219" s="32" t="str">
        <f t="shared" si="145"/>
        <v/>
      </c>
      <c r="AX219" s="32" t="str">
        <f t="shared" si="146"/>
        <v/>
      </c>
      <c r="AY219" s="32" t="str">
        <f t="shared" si="147"/>
        <v/>
      </c>
      <c r="BA219" s="32" t="str">
        <f>IF($A220="","",F219*Summary!$Q$10)</f>
        <v/>
      </c>
    </row>
    <row r="220" spans="1:53" ht="12" customHeight="1">
      <c r="A220" s="67" t="str">
        <f t="shared" si="148"/>
        <v/>
      </c>
      <c r="B220" s="69" t="str">
        <f t="shared" si="150"/>
        <v/>
      </c>
      <c r="C220" s="71"/>
      <c r="D220" s="69" t="str">
        <f t="shared" si="114"/>
        <v/>
      </c>
      <c r="E220" s="70" t="str">
        <f t="shared" si="115"/>
        <v/>
      </c>
      <c r="F220" s="70" t="str">
        <f t="shared" si="116"/>
        <v/>
      </c>
      <c r="G220" s="63" t="str">
        <f t="shared" si="117"/>
        <v/>
      </c>
      <c r="H220" s="64" t="str">
        <f t="shared" si="118"/>
        <v/>
      </c>
      <c r="I220" s="43"/>
      <c r="J220" s="63" t="str">
        <f t="shared" si="119"/>
        <v/>
      </c>
      <c r="K220" s="64" t="str">
        <f t="shared" si="120"/>
        <v/>
      </c>
      <c r="L220" s="38">
        <v>0</v>
      </c>
      <c r="M220" s="64" t="str">
        <f t="shared" si="121"/>
        <v/>
      </c>
      <c r="N220" s="65"/>
      <c r="O220" s="63" t="str">
        <f t="shared" si="122"/>
        <v/>
      </c>
      <c r="P220" s="63" t="str">
        <f t="shared" si="123"/>
        <v/>
      </c>
      <c r="Q220" s="66"/>
      <c r="R220" s="63" t="str">
        <f t="shared" si="124"/>
        <v/>
      </c>
      <c r="S220" s="64" t="str">
        <f t="shared" si="125"/>
        <v/>
      </c>
      <c r="T220" s="63" t="str">
        <f t="shared" si="126"/>
        <v/>
      </c>
      <c r="U220" s="64" t="str">
        <f t="shared" si="127"/>
        <v/>
      </c>
      <c r="V220" s="219" t="str">
        <f>IF($A221="","",IF(AND(MONTH(A220)&gt;3,MONTH(A220)&lt;11),(T220+R220+G220)*Summary!$T$10/(1-Summary!$T$10),(T220+R220+G220)*Summary!$U$10/(1-Summary!$U$10)))</f>
        <v/>
      </c>
      <c r="W220" s="63" t="str">
        <f t="shared" si="128"/>
        <v/>
      </c>
      <c r="X220" s="63" t="str">
        <f t="shared" si="129"/>
        <v/>
      </c>
      <c r="Y220" s="43"/>
      <c r="Z220" s="38" t="str">
        <f t="shared" si="130"/>
        <v/>
      </c>
      <c r="AA220" s="38" t="str">
        <f t="shared" si="131"/>
        <v/>
      </c>
      <c r="AB220" s="38" t="e">
        <f t="shared" si="132"/>
        <v>#VALUE!</v>
      </c>
      <c r="AC220" s="38" t="str">
        <f t="shared" si="133"/>
        <v/>
      </c>
      <c r="AD220" s="38" t="str">
        <f t="shared" si="133"/>
        <v/>
      </c>
      <c r="AE220" s="38" t="e">
        <f t="shared" si="134"/>
        <v>#VALUE!</v>
      </c>
      <c r="AF220" s="237" t="e">
        <f>((Summary!$N$10*(AA220*AD220)*(A220-$D$3))+(Summary!$M$10*Z220*AC220*(AJ220-EOMONTH(EDATE(A220,-1),0))))/(AK220*AB220*AE220)</f>
        <v>#VALUE!</v>
      </c>
      <c r="AG220" s="88" t="str">
        <f>IF($A221="","",Summary!$Q$10)</f>
        <v/>
      </c>
      <c r="AH220" s="88" t="str">
        <f>IF($A221="","",IF(Summary!$R$10="Y",(VLOOKUP($A220,Summary!$AD$6:$AF$9,3)+'Escalating commodity'!F233),'Escalating commodity'!F233))</f>
        <v/>
      </c>
      <c r="AI220" s="88" t="str">
        <f t="shared" si="149"/>
        <v/>
      </c>
      <c r="AJ220" s="236" t="e">
        <f t="shared" si="135"/>
        <v>#VALUE!</v>
      </c>
      <c r="AK220" s="58" t="str">
        <f t="shared" si="136"/>
        <v/>
      </c>
      <c r="AL220" s="26" t="str">
        <f>IF($A221="","",_xll.SPRDOPT(P220,X220,AI220,0,AB220,AE220,AF220,AK220,$AJ$2,0))</f>
        <v/>
      </c>
      <c r="AM220" s="89" t="str">
        <f t="shared" si="137"/>
        <v/>
      </c>
      <c r="AN220" s="89" t="str">
        <f t="shared" si="138"/>
        <v/>
      </c>
      <c r="AO220" s="3" t="str">
        <f t="shared" si="139"/>
        <v/>
      </c>
      <c r="AP220" s="33" t="str">
        <f t="shared" si="140"/>
        <v/>
      </c>
      <c r="AQ220" s="58" t="str">
        <f t="shared" si="141"/>
        <v/>
      </c>
      <c r="AR220" s="38">
        <f>'ANR OK vs ML7'!AR220</f>
        <v>0.1</v>
      </c>
      <c r="AS220" s="35" t="str">
        <f t="shared" si="142"/>
        <v/>
      </c>
      <c r="AT220" s="3" t="str">
        <f t="shared" si="143"/>
        <v/>
      </c>
      <c r="AU220" s="3" t="str">
        <f t="shared" si="144"/>
        <v/>
      </c>
      <c r="AW220" s="32" t="str">
        <f t="shared" si="145"/>
        <v/>
      </c>
      <c r="AX220" s="32" t="str">
        <f t="shared" si="146"/>
        <v/>
      </c>
      <c r="AY220" s="32" t="str">
        <f t="shared" si="147"/>
        <v/>
      </c>
      <c r="BA220" s="32" t="str">
        <f>IF($A221="","",F220*Summary!$Q$10)</f>
        <v/>
      </c>
    </row>
    <row r="221" spans="1:53" ht="12" customHeight="1">
      <c r="A221" s="67" t="str">
        <f t="shared" si="148"/>
        <v/>
      </c>
      <c r="B221" s="69" t="str">
        <f t="shared" si="150"/>
        <v/>
      </c>
      <c r="C221" s="71"/>
      <c r="D221" s="69" t="str">
        <f t="shared" si="114"/>
        <v/>
      </c>
      <c r="E221" s="70" t="str">
        <f t="shared" si="115"/>
        <v/>
      </c>
      <c r="F221" s="70" t="str">
        <f t="shared" si="116"/>
        <v/>
      </c>
      <c r="G221" s="63" t="str">
        <f t="shared" si="117"/>
        <v/>
      </c>
      <c r="H221" s="64" t="str">
        <f t="shared" si="118"/>
        <v/>
      </c>
      <c r="I221" s="43"/>
      <c r="J221" s="63" t="str">
        <f t="shared" si="119"/>
        <v/>
      </c>
      <c r="K221" s="64" t="str">
        <f t="shared" si="120"/>
        <v/>
      </c>
      <c r="L221" s="38">
        <v>0</v>
      </c>
      <c r="M221" s="64" t="str">
        <f t="shared" si="121"/>
        <v/>
      </c>
      <c r="N221" s="65"/>
      <c r="O221" s="63" t="str">
        <f t="shared" si="122"/>
        <v/>
      </c>
      <c r="P221" s="63" t="str">
        <f t="shared" si="123"/>
        <v/>
      </c>
      <c r="Q221" s="66"/>
      <c r="R221" s="63" t="str">
        <f t="shared" si="124"/>
        <v/>
      </c>
      <c r="S221" s="64" t="str">
        <f t="shared" si="125"/>
        <v/>
      </c>
      <c r="T221" s="63" t="str">
        <f t="shared" si="126"/>
        <v/>
      </c>
      <c r="U221" s="64" t="str">
        <f t="shared" si="127"/>
        <v/>
      </c>
      <c r="V221" s="219" t="str">
        <f>IF($A222="","",IF(AND(MONTH(A221)&gt;3,MONTH(A221)&lt;11),(T221+R221+G221)*Summary!$T$10/(1-Summary!$T$10),(T221+R221+G221)*Summary!$U$10/(1-Summary!$U$10)))</f>
        <v/>
      </c>
      <c r="W221" s="63" t="str">
        <f t="shared" si="128"/>
        <v/>
      </c>
      <c r="X221" s="63" t="str">
        <f t="shared" si="129"/>
        <v/>
      </c>
      <c r="Y221" s="43"/>
      <c r="Z221" s="38" t="str">
        <f t="shared" si="130"/>
        <v/>
      </c>
      <c r="AA221" s="38" t="str">
        <f t="shared" si="131"/>
        <v/>
      </c>
      <c r="AB221" s="38" t="e">
        <f t="shared" si="132"/>
        <v>#VALUE!</v>
      </c>
      <c r="AC221" s="38" t="str">
        <f t="shared" si="133"/>
        <v/>
      </c>
      <c r="AD221" s="38" t="str">
        <f t="shared" si="133"/>
        <v/>
      </c>
      <c r="AE221" s="38" t="e">
        <f t="shared" si="134"/>
        <v>#VALUE!</v>
      </c>
      <c r="AF221" s="237" t="e">
        <f>((Summary!$N$10*(AA221*AD221)*(A221-$D$3))+(Summary!$M$10*Z221*AC221*(AJ221-EOMONTH(EDATE(A221,-1),0))))/(AK221*AB221*AE221)</f>
        <v>#VALUE!</v>
      </c>
      <c r="AG221" s="88" t="str">
        <f>IF($A222="","",Summary!$Q$10)</f>
        <v/>
      </c>
      <c r="AH221" s="88" t="str">
        <f>IF($A222="","",IF(Summary!$R$10="Y",(VLOOKUP($A221,Summary!$AD$6:$AF$9,3)+'Escalating commodity'!F234),'Escalating commodity'!F234))</f>
        <v/>
      </c>
      <c r="AI221" s="88" t="str">
        <f t="shared" si="149"/>
        <v/>
      </c>
      <c r="AJ221" s="236" t="e">
        <f t="shared" si="135"/>
        <v>#VALUE!</v>
      </c>
      <c r="AK221" s="58" t="str">
        <f t="shared" si="136"/>
        <v/>
      </c>
      <c r="AL221" s="26" t="str">
        <f>IF($A222="","",_xll.SPRDOPT(P221,X221,AI221,0,AB221,AE221,AF221,AK221,$AJ$2,0))</f>
        <v/>
      </c>
      <c r="AM221" s="89" t="str">
        <f t="shared" si="137"/>
        <v/>
      </c>
      <c r="AN221" s="89" t="str">
        <f t="shared" si="138"/>
        <v/>
      </c>
      <c r="AO221" s="3" t="str">
        <f t="shared" si="139"/>
        <v/>
      </c>
      <c r="AP221" s="33" t="str">
        <f t="shared" si="140"/>
        <v/>
      </c>
      <c r="AQ221" s="58" t="str">
        <f t="shared" si="141"/>
        <v/>
      </c>
      <c r="AR221" s="38">
        <f>'ANR OK vs ML7'!AR221</f>
        <v>0.1</v>
      </c>
      <c r="AS221" s="35" t="str">
        <f t="shared" si="142"/>
        <v/>
      </c>
      <c r="AT221" s="3" t="str">
        <f t="shared" si="143"/>
        <v/>
      </c>
      <c r="AU221" s="3" t="str">
        <f t="shared" si="144"/>
        <v/>
      </c>
      <c r="AW221" s="32" t="str">
        <f t="shared" si="145"/>
        <v/>
      </c>
      <c r="AX221" s="32" t="str">
        <f t="shared" si="146"/>
        <v/>
      </c>
      <c r="AY221" s="32" t="str">
        <f t="shared" si="147"/>
        <v/>
      </c>
      <c r="BA221" s="32" t="str">
        <f>IF($A222="","",F221*Summary!$Q$10)</f>
        <v/>
      </c>
    </row>
    <row r="222" spans="1:53" ht="12" customHeight="1">
      <c r="A222" s="67" t="str">
        <f t="shared" si="148"/>
        <v/>
      </c>
      <c r="B222" s="69" t="str">
        <f t="shared" si="150"/>
        <v/>
      </c>
      <c r="C222" s="71"/>
      <c r="D222" s="69" t="str">
        <f t="shared" si="114"/>
        <v/>
      </c>
      <c r="E222" s="70" t="str">
        <f t="shared" si="115"/>
        <v/>
      </c>
      <c r="F222" s="70" t="str">
        <f t="shared" si="116"/>
        <v/>
      </c>
      <c r="G222" s="63" t="str">
        <f t="shared" si="117"/>
        <v/>
      </c>
      <c r="H222" s="64" t="str">
        <f t="shared" si="118"/>
        <v/>
      </c>
      <c r="I222" s="43"/>
      <c r="J222" s="63" t="str">
        <f t="shared" si="119"/>
        <v/>
      </c>
      <c r="K222" s="64" t="str">
        <f t="shared" si="120"/>
        <v/>
      </c>
      <c r="L222" s="38">
        <v>0</v>
      </c>
      <c r="M222" s="64" t="str">
        <f t="shared" si="121"/>
        <v/>
      </c>
      <c r="N222" s="65"/>
      <c r="O222" s="63" t="str">
        <f t="shared" si="122"/>
        <v/>
      </c>
      <c r="P222" s="63" t="str">
        <f t="shared" si="123"/>
        <v/>
      </c>
      <c r="Q222" s="66"/>
      <c r="R222" s="63" t="str">
        <f t="shared" si="124"/>
        <v/>
      </c>
      <c r="S222" s="64" t="str">
        <f t="shared" si="125"/>
        <v/>
      </c>
      <c r="T222" s="63" t="str">
        <f t="shared" si="126"/>
        <v/>
      </c>
      <c r="U222" s="64" t="str">
        <f t="shared" si="127"/>
        <v/>
      </c>
      <c r="V222" s="219" t="str">
        <f>IF($A223="","",IF(AND(MONTH(A222)&gt;3,MONTH(A222)&lt;11),(T222+R222+G222)*Summary!$T$10/(1-Summary!$T$10),(T222+R222+G222)*Summary!$U$10/(1-Summary!$U$10)))</f>
        <v/>
      </c>
      <c r="W222" s="63" t="str">
        <f t="shared" si="128"/>
        <v/>
      </c>
      <c r="X222" s="63" t="str">
        <f t="shared" si="129"/>
        <v/>
      </c>
      <c r="Y222" s="43"/>
      <c r="Z222" s="38" t="str">
        <f t="shared" si="130"/>
        <v/>
      </c>
      <c r="AA222" s="38" t="str">
        <f t="shared" si="131"/>
        <v/>
      </c>
      <c r="AB222" s="38" t="e">
        <f t="shared" si="132"/>
        <v>#VALUE!</v>
      </c>
      <c r="AC222" s="38" t="str">
        <f t="shared" si="133"/>
        <v/>
      </c>
      <c r="AD222" s="38" t="str">
        <f t="shared" si="133"/>
        <v/>
      </c>
      <c r="AE222" s="38" t="e">
        <f t="shared" si="134"/>
        <v>#VALUE!</v>
      </c>
      <c r="AF222" s="237" t="e">
        <f>((Summary!$N$10*(AA222*AD222)*(A222-$D$3))+(Summary!$M$10*Z222*AC222*(AJ222-EOMONTH(EDATE(A222,-1),0))))/(AK222*AB222*AE222)</f>
        <v>#VALUE!</v>
      </c>
      <c r="AG222" s="88" t="str">
        <f>IF($A223="","",Summary!$Q$10)</f>
        <v/>
      </c>
      <c r="AH222" s="88" t="str">
        <f>IF($A223="","",IF(Summary!$R$10="Y",(VLOOKUP($A222,Summary!$AD$6:$AF$9,3)+'Escalating commodity'!F235),'Escalating commodity'!F235))</f>
        <v/>
      </c>
      <c r="AI222" s="88" t="str">
        <f t="shared" si="149"/>
        <v/>
      </c>
      <c r="AJ222" s="236" t="e">
        <f t="shared" si="135"/>
        <v>#VALUE!</v>
      </c>
      <c r="AK222" s="58" t="str">
        <f t="shared" si="136"/>
        <v/>
      </c>
      <c r="AL222" s="26" t="str">
        <f>IF($A223="","",_xll.SPRDOPT(P222,X222,AI222,0,AB222,AE222,AF222,AK222,$AJ$2,0))</f>
        <v/>
      </c>
      <c r="AM222" s="89" t="str">
        <f t="shared" si="137"/>
        <v/>
      </c>
      <c r="AN222" s="89" t="str">
        <f t="shared" si="138"/>
        <v/>
      </c>
      <c r="AO222" s="3" t="str">
        <f t="shared" si="139"/>
        <v/>
      </c>
      <c r="AP222" s="33" t="str">
        <f t="shared" si="140"/>
        <v/>
      </c>
      <c r="AQ222" s="58" t="str">
        <f t="shared" si="141"/>
        <v/>
      </c>
      <c r="AR222" s="38">
        <f>'ANR OK vs ML7'!AR222</f>
        <v>0.1</v>
      </c>
      <c r="AS222" s="35" t="str">
        <f t="shared" si="142"/>
        <v/>
      </c>
      <c r="AT222" s="3" t="str">
        <f t="shared" si="143"/>
        <v/>
      </c>
      <c r="AU222" s="3" t="str">
        <f t="shared" si="144"/>
        <v/>
      </c>
      <c r="AW222" s="32" t="str">
        <f t="shared" si="145"/>
        <v/>
      </c>
      <c r="AX222" s="32" t="str">
        <f t="shared" si="146"/>
        <v/>
      </c>
      <c r="AY222" s="32" t="str">
        <f t="shared" si="147"/>
        <v/>
      </c>
      <c r="BA222" s="32" t="str">
        <f>IF($A223="","",F222*Summary!$Q$10)</f>
        <v/>
      </c>
    </row>
    <row r="223" spans="1:53" ht="12" customHeight="1">
      <c r="A223" s="67" t="str">
        <f t="shared" si="148"/>
        <v/>
      </c>
      <c r="B223" s="69" t="str">
        <f t="shared" si="150"/>
        <v/>
      </c>
      <c r="C223" s="71"/>
      <c r="D223" s="69" t="str">
        <f t="shared" si="114"/>
        <v/>
      </c>
      <c r="E223" s="70" t="str">
        <f t="shared" si="115"/>
        <v/>
      </c>
      <c r="F223" s="70" t="str">
        <f t="shared" si="116"/>
        <v/>
      </c>
      <c r="G223" s="63" t="str">
        <f t="shared" si="117"/>
        <v/>
      </c>
      <c r="H223" s="64" t="str">
        <f t="shared" si="118"/>
        <v/>
      </c>
      <c r="I223" s="43"/>
      <c r="J223" s="63" t="str">
        <f t="shared" si="119"/>
        <v/>
      </c>
      <c r="K223" s="64" t="str">
        <f t="shared" si="120"/>
        <v/>
      </c>
      <c r="L223" s="38">
        <v>0</v>
      </c>
      <c r="M223" s="64" t="str">
        <f t="shared" si="121"/>
        <v/>
      </c>
      <c r="N223" s="65"/>
      <c r="O223" s="63" t="str">
        <f t="shared" si="122"/>
        <v/>
      </c>
      <c r="P223" s="63" t="str">
        <f t="shared" si="123"/>
        <v/>
      </c>
      <c r="Q223" s="66"/>
      <c r="R223" s="63" t="str">
        <f t="shared" si="124"/>
        <v/>
      </c>
      <c r="S223" s="64" t="str">
        <f t="shared" si="125"/>
        <v/>
      </c>
      <c r="T223" s="63" t="str">
        <f t="shared" si="126"/>
        <v/>
      </c>
      <c r="U223" s="64" t="str">
        <f t="shared" si="127"/>
        <v/>
      </c>
      <c r="V223" s="219" t="str">
        <f>IF($A224="","",IF(AND(MONTH(A223)&gt;3,MONTH(A223)&lt;11),(T223+R223+G223)*Summary!$T$10/(1-Summary!$T$10),(T223+R223+G223)*Summary!$U$10/(1-Summary!$U$10)))</f>
        <v/>
      </c>
      <c r="W223" s="63" t="str">
        <f t="shared" si="128"/>
        <v/>
      </c>
      <c r="X223" s="63" t="str">
        <f t="shared" si="129"/>
        <v/>
      </c>
      <c r="Y223" s="43"/>
      <c r="Z223" s="38" t="str">
        <f t="shared" si="130"/>
        <v/>
      </c>
      <c r="AA223" s="38" t="str">
        <f t="shared" si="131"/>
        <v/>
      </c>
      <c r="AB223" s="38" t="e">
        <f t="shared" si="132"/>
        <v>#VALUE!</v>
      </c>
      <c r="AC223" s="38" t="str">
        <f t="shared" si="133"/>
        <v/>
      </c>
      <c r="AD223" s="38" t="str">
        <f t="shared" si="133"/>
        <v/>
      </c>
      <c r="AE223" s="38" t="e">
        <f t="shared" si="134"/>
        <v>#VALUE!</v>
      </c>
      <c r="AF223" s="237" t="e">
        <f>((Summary!$N$10*(AA223*AD223)*(A223-$D$3))+(Summary!$M$10*Z223*AC223*(AJ223-EOMONTH(EDATE(A223,-1),0))))/(AK223*AB223*AE223)</f>
        <v>#VALUE!</v>
      </c>
      <c r="AG223" s="88" t="str">
        <f>IF($A224="","",Summary!$Q$10)</f>
        <v/>
      </c>
      <c r="AH223" s="88" t="str">
        <f>IF($A224="","",IF(Summary!$R$10="Y",(VLOOKUP($A223,Summary!$AD$6:$AF$9,3)+'Escalating commodity'!F236),'Escalating commodity'!F236))</f>
        <v/>
      </c>
      <c r="AI223" s="88" t="str">
        <f t="shared" si="149"/>
        <v/>
      </c>
      <c r="AJ223" s="236" t="e">
        <f t="shared" si="135"/>
        <v>#VALUE!</v>
      </c>
      <c r="AK223" s="58" t="str">
        <f t="shared" si="136"/>
        <v/>
      </c>
      <c r="AL223" s="26" t="str">
        <f>IF($A224="","",_xll.SPRDOPT(P223,X223,AI223,0,AB223,AE223,AF223,AK223,$AJ$2,0))</f>
        <v/>
      </c>
      <c r="AM223" s="89" t="str">
        <f t="shared" si="137"/>
        <v/>
      </c>
      <c r="AN223" s="89" t="str">
        <f t="shared" si="138"/>
        <v/>
      </c>
      <c r="AO223" s="3" t="str">
        <f t="shared" si="139"/>
        <v/>
      </c>
      <c r="AP223" s="33" t="str">
        <f t="shared" si="140"/>
        <v/>
      </c>
      <c r="AQ223" s="58" t="str">
        <f t="shared" si="141"/>
        <v/>
      </c>
      <c r="AR223" s="38">
        <f>'ANR OK vs ML7'!AR223</f>
        <v>0.1</v>
      </c>
      <c r="AS223" s="35" t="str">
        <f t="shared" si="142"/>
        <v/>
      </c>
      <c r="AT223" s="3" t="str">
        <f t="shared" si="143"/>
        <v/>
      </c>
      <c r="AU223" s="3" t="str">
        <f t="shared" si="144"/>
        <v/>
      </c>
      <c r="AW223" s="32" t="str">
        <f t="shared" si="145"/>
        <v/>
      </c>
      <c r="AX223" s="32" t="str">
        <f t="shared" si="146"/>
        <v/>
      </c>
      <c r="AY223" s="32" t="str">
        <f t="shared" si="147"/>
        <v/>
      </c>
      <c r="BA223" s="32" t="str">
        <f>IF($A224="","",F223*Summary!$Q$10)</f>
        <v/>
      </c>
    </row>
    <row r="224" spans="1:53" ht="12" customHeight="1">
      <c r="A224" s="67" t="str">
        <f t="shared" si="148"/>
        <v/>
      </c>
      <c r="B224" s="69" t="str">
        <f t="shared" si="150"/>
        <v/>
      </c>
      <c r="C224" s="71"/>
      <c r="D224" s="69" t="str">
        <f t="shared" si="114"/>
        <v/>
      </c>
      <c r="E224" s="70" t="str">
        <f t="shared" si="115"/>
        <v/>
      </c>
      <c r="F224" s="70" t="str">
        <f t="shared" si="116"/>
        <v/>
      </c>
      <c r="G224" s="63" t="str">
        <f t="shared" si="117"/>
        <v/>
      </c>
      <c r="H224" s="64" t="str">
        <f t="shared" si="118"/>
        <v/>
      </c>
      <c r="I224" s="43"/>
      <c r="J224" s="63" t="str">
        <f t="shared" si="119"/>
        <v/>
      </c>
      <c r="K224" s="64" t="str">
        <f t="shared" si="120"/>
        <v/>
      </c>
      <c r="L224" s="38">
        <v>0</v>
      </c>
      <c r="M224" s="64" t="str">
        <f t="shared" si="121"/>
        <v/>
      </c>
      <c r="N224" s="65"/>
      <c r="O224" s="63" t="str">
        <f t="shared" si="122"/>
        <v/>
      </c>
      <c r="P224" s="63" t="str">
        <f t="shared" si="123"/>
        <v/>
      </c>
      <c r="Q224" s="66"/>
      <c r="R224" s="63" t="str">
        <f t="shared" si="124"/>
        <v/>
      </c>
      <c r="S224" s="64" t="str">
        <f t="shared" si="125"/>
        <v/>
      </c>
      <c r="T224" s="63" t="str">
        <f t="shared" si="126"/>
        <v/>
      </c>
      <c r="U224" s="64" t="str">
        <f t="shared" si="127"/>
        <v/>
      </c>
      <c r="V224" s="219" t="str">
        <f>IF($A225="","",IF(AND(MONTH(A224)&gt;3,MONTH(A224)&lt;11),(T224+R224+G224)*Summary!$T$10/(1-Summary!$T$10),(T224+R224+G224)*Summary!$U$10/(1-Summary!$U$10)))</f>
        <v/>
      </c>
      <c r="W224" s="63" t="str">
        <f t="shared" si="128"/>
        <v/>
      </c>
      <c r="X224" s="63" t="str">
        <f t="shared" si="129"/>
        <v/>
      </c>
      <c r="Y224" s="43"/>
      <c r="Z224" s="38" t="str">
        <f t="shared" si="130"/>
        <v/>
      </c>
      <c r="AA224" s="38" t="str">
        <f t="shared" si="131"/>
        <v/>
      </c>
      <c r="AB224" s="38" t="e">
        <f t="shared" si="132"/>
        <v>#VALUE!</v>
      </c>
      <c r="AC224" s="38" t="str">
        <f t="shared" si="133"/>
        <v/>
      </c>
      <c r="AD224" s="38" t="str">
        <f t="shared" si="133"/>
        <v/>
      </c>
      <c r="AE224" s="38" t="e">
        <f t="shared" si="134"/>
        <v>#VALUE!</v>
      </c>
      <c r="AF224" s="237" t="e">
        <f>((Summary!$N$10*(AA224*AD224)*(A224-$D$3))+(Summary!$M$10*Z224*AC224*(AJ224-EOMONTH(EDATE(A224,-1),0))))/(AK224*AB224*AE224)</f>
        <v>#VALUE!</v>
      </c>
      <c r="AG224" s="88" t="str">
        <f>IF($A225="","",Summary!$Q$10)</f>
        <v/>
      </c>
      <c r="AH224" s="88" t="str">
        <f>IF($A225="","",IF(Summary!$R$10="Y",(VLOOKUP($A224,Summary!$AD$6:$AF$9,3)+'Escalating commodity'!F237),'Escalating commodity'!F237))</f>
        <v/>
      </c>
      <c r="AI224" s="88" t="str">
        <f t="shared" si="149"/>
        <v/>
      </c>
      <c r="AJ224" s="236" t="e">
        <f t="shared" si="135"/>
        <v>#VALUE!</v>
      </c>
      <c r="AK224" s="58" t="str">
        <f t="shared" si="136"/>
        <v/>
      </c>
      <c r="AL224" s="26" t="str">
        <f>IF($A225="","",_xll.SPRDOPT(P224,X224,AI224,0,AB224,AE224,AF224,AK224,$AJ$2,0))</f>
        <v/>
      </c>
      <c r="AM224" s="89" t="str">
        <f t="shared" si="137"/>
        <v/>
      </c>
      <c r="AN224" s="89" t="str">
        <f t="shared" si="138"/>
        <v/>
      </c>
      <c r="AO224" s="3" t="str">
        <f t="shared" si="139"/>
        <v/>
      </c>
      <c r="AP224" s="33" t="str">
        <f t="shared" si="140"/>
        <v/>
      </c>
      <c r="AQ224" s="58" t="str">
        <f t="shared" si="141"/>
        <v/>
      </c>
      <c r="AR224" s="38">
        <f>'ANR OK vs ML7'!AR224</f>
        <v>0.1</v>
      </c>
      <c r="AS224" s="35" t="str">
        <f t="shared" si="142"/>
        <v/>
      </c>
      <c r="AT224" s="3" t="str">
        <f t="shared" si="143"/>
        <v/>
      </c>
      <c r="AU224" s="3" t="str">
        <f t="shared" si="144"/>
        <v/>
      </c>
      <c r="AW224" s="32" t="str">
        <f t="shared" si="145"/>
        <v/>
      </c>
      <c r="AX224" s="32" t="str">
        <f t="shared" si="146"/>
        <v/>
      </c>
      <c r="AY224" s="32" t="str">
        <f t="shared" si="147"/>
        <v/>
      </c>
      <c r="BA224" s="32" t="str">
        <f>IF($A225="","",F224*Summary!$Q$10)</f>
        <v/>
      </c>
    </row>
    <row r="225" spans="1:53" ht="12" customHeight="1">
      <c r="A225" s="67" t="str">
        <f t="shared" si="148"/>
        <v/>
      </c>
      <c r="B225" s="69" t="str">
        <f t="shared" si="150"/>
        <v/>
      </c>
      <c r="C225" s="71"/>
      <c r="D225" s="69" t="str">
        <f t="shared" si="114"/>
        <v/>
      </c>
      <c r="E225" s="70" t="str">
        <f t="shared" si="115"/>
        <v/>
      </c>
      <c r="F225" s="70" t="str">
        <f t="shared" si="116"/>
        <v/>
      </c>
      <c r="G225" s="63" t="str">
        <f t="shared" si="117"/>
        <v/>
      </c>
      <c r="H225" s="64" t="str">
        <f t="shared" si="118"/>
        <v/>
      </c>
      <c r="I225" s="43"/>
      <c r="J225" s="63" t="str">
        <f t="shared" si="119"/>
        <v/>
      </c>
      <c r="K225" s="64" t="str">
        <f t="shared" si="120"/>
        <v/>
      </c>
      <c r="L225" s="38">
        <v>0</v>
      </c>
      <c r="M225" s="64" t="str">
        <f t="shared" si="121"/>
        <v/>
      </c>
      <c r="N225" s="65"/>
      <c r="O225" s="63" t="str">
        <f t="shared" si="122"/>
        <v/>
      </c>
      <c r="P225" s="63" t="str">
        <f t="shared" si="123"/>
        <v/>
      </c>
      <c r="Q225" s="66"/>
      <c r="R225" s="63" t="str">
        <f t="shared" si="124"/>
        <v/>
      </c>
      <c r="S225" s="64" t="str">
        <f t="shared" si="125"/>
        <v/>
      </c>
      <c r="T225" s="63" t="str">
        <f t="shared" si="126"/>
        <v/>
      </c>
      <c r="U225" s="64" t="str">
        <f t="shared" si="127"/>
        <v/>
      </c>
      <c r="V225" s="219" t="str">
        <f>IF($A226="","",IF(AND(MONTH(A225)&gt;3,MONTH(A225)&lt;11),(T225+R225+G225)*Summary!$T$10/(1-Summary!$T$10),(T225+R225+G225)*Summary!$U$10/(1-Summary!$U$10)))</f>
        <v/>
      </c>
      <c r="W225" s="63" t="str">
        <f t="shared" si="128"/>
        <v/>
      </c>
      <c r="X225" s="63" t="str">
        <f t="shared" si="129"/>
        <v/>
      </c>
      <c r="Y225" s="43"/>
      <c r="Z225" s="38" t="str">
        <f t="shared" si="130"/>
        <v/>
      </c>
      <c r="AA225" s="38" t="str">
        <f t="shared" si="131"/>
        <v/>
      </c>
      <c r="AB225" s="38" t="e">
        <f t="shared" si="132"/>
        <v>#VALUE!</v>
      </c>
      <c r="AC225" s="38" t="str">
        <f t="shared" si="133"/>
        <v/>
      </c>
      <c r="AD225" s="38" t="str">
        <f t="shared" si="133"/>
        <v/>
      </c>
      <c r="AE225" s="38" t="e">
        <f t="shared" si="134"/>
        <v>#VALUE!</v>
      </c>
      <c r="AF225" s="237" t="e">
        <f>((Summary!$N$10*(AA225*AD225)*(A225-$D$3))+(Summary!$M$10*Z225*AC225*(AJ225-EOMONTH(EDATE(A225,-1),0))))/(AK225*AB225*AE225)</f>
        <v>#VALUE!</v>
      </c>
      <c r="AG225" s="88" t="str">
        <f>IF($A226="","",Summary!$Q$10)</f>
        <v/>
      </c>
      <c r="AH225" s="88" t="str">
        <f>IF($A226="","",IF(Summary!$R$10="Y",(VLOOKUP($A225,Summary!$AD$6:$AF$9,3)+'Escalating commodity'!F238),'Escalating commodity'!F238))</f>
        <v/>
      </c>
      <c r="AI225" s="88" t="str">
        <f t="shared" si="149"/>
        <v/>
      </c>
      <c r="AJ225" s="236" t="e">
        <f t="shared" si="135"/>
        <v>#VALUE!</v>
      </c>
      <c r="AK225" s="58" t="str">
        <f t="shared" si="136"/>
        <v/>
      </c>
      <c r="AL225" s="26" t="str">
        <f>IF($A226="","",_xll.SPRDOPT(P225,X225,AI225,0,AB225,AE225,AF225,AK225,$AJ$2,0))</f>
        <v/>
      </c>
      <c r="AM225" s="89" t="str">
        <f t="shared" si="137"/>
        <v/>
      </c>
      <c r="AN225" s="89" t="str">
        <f t="shared" si="138"/>
        <v/>
      </c>
      <c r="AO225" s="3" t="str">
        <f t="shared" si="139"/>
        <v/>
      </c>
      <c r="AP225" s="33" t="str">
        <f t="shared" si="140"/>
        <v/>
      </c>
      <c r="AQ225" s="58" t="str">
        <f t="shared" si="141"/>
        <v/>
      </c>
      <c r="AR225" s="38">
        <f>'ANR OK vs ML7'!AR225</f>
        <v>0.1</v>
      </c>
      <c r="AS225" s="35" t="str">
        <f t="shared" si="142"/>
        <v/>
      </c>
      <c r="AT225" s="3" t="str">
        <f t="shared" si="143"/>
        <v/>
      </c>
      <c r="AU225" s="3" t="str">
        <f t="shared" si="144"/>
        <v/>
      </c>
      <c r="AW225" s="32" t="str">
        <f t="shared" si="145"/>
        <v/>
      </c>
      <c r="AX225" s="32" t="str">
        <f t="shared" si="146"/>
        <v/>
      </c>
      <c r="AY225" s="32" t="str">
        <f t="shared" si="147"/>
        <v/>
      </c>
      <c r="BA225" s="32" t="str">
        <f>IF($A226="","",F225*Summary!$Q$10)</f>
        <v/>
      </c>
    </row>
    <row r="226" spans="1:53" ht="12" customHeight="1">
      <c r="A226" s="67" t="str">
        <f t="shared" si="148"/>
        <v/>
      </c>
      <c r="B226" s="69" t="str">
        <f t="shared" si="150"/>
        <v/>
      </c>
      <c r="C226" s="71"/>
      <c r="D226" s="69" t="str">
        <f t="shared" si="114"/>
        <v/>
      </c>
      <c r="E226" s="70" t="str">
        <f t="shared" si="115"/>
        <v/>
      </c>
      <c r="F226" s="70" t="str">
        <f t="shared" si="116"/>
        <v/>
      </c>
      <c r="G226" s="63" t="str">
        <f t="shared" si="117"/>
        <v/>
      </c>
      <c r="H226" s="64" t="str">
        <f t="shared" si="118"/>
        <v/>
      </c>
      <c r="I226" s="43"/>
      <c r="J226" s="63" t="str">
        <f t="shared" si="119"/>
        <v/>
      </c>
      <c r="K226" s="64" t="str">
        <f t="shared" si="120"/>
        <v/>
      </c>
      <c r="L226" s="38">
        <v>0</v>
      </c>
      <c r="M226" s="64" t="str">
        <f t="shared" si="121"/>
        <v/>
      </c>
      <c r="N226" s="65"/>
      <c r="O226" s="63" t="str">
        <f t="shared" si="122"/>
        <v/>
      </c>
      <c r="P226" s="63" t="str">
        <f t="shared" si="123"/>
        <v/>
      </c>
      <c r="Q226" s="66"/>
      <c r="R226" s="63" t="str">
        <f t="shared" si="124"/>
        <v/>
      </c>
      <c r="S226" s="64" t="str">
        <f t="shared" si="125"/>
        <v/>
      </c>
      <c r="T226" s="63" t="str">
        <f t="shared" si="126"/>
        <v/>
      </c>
      <c r="U226" s="64" t="str">
        <f t="shared" si="127"/>
        <v/>
      </c>
      <c r="V226" s="219" t="str">
        <f>IF($A227="","",IF(AND(MONTH(A226)&gt;3,MONTH(A226)&lt;11),(T226+R226+G226)*Summary!$T$10/(1-Summary!$T$10),(T226+R226+G226)*Summary!$U$10/(1-Summary!$U$10)))</f>
        <v/>
      </c>
      <c r="W226" s="63" t="str">
        <f t="shared" si="128"/>
        <v/>
      </c>
      <c r="X226" s="63" t="str">
        <f t="shared" si="129"/>
        <v/>
      </c>
      <c r="Y226" s="43"/>
      <c r="Z226" s="38" t="str">
        <f t="shared" si="130"/>
        <v/>
      </c>
      <c r="AA226" s="38" t="str">
        <f t="shared" si="131"/>
        <v/>
      </c>
      <c r="AB226" s="38" t="e">
        <f t="shared" si="132"/>
        <v>#VALUE!</v>
      </c>
      <c r="AC226" s="38" t="str">
        <f t="shared" si="133"/>
        <v/>
      </c>
      <c r="AD226" s="38" t="str">
        <f t="shared" si="133"/>
        <v/>
      </c>
      <c r="AE226" s="38" t="e">
        <f t="shared" si="134"/>
        <v>#VALUE!</v>
      </c>
      <c r="AF226" s="237" t="e">
        <f>((Summary!$N$10*(AA226*AD226)*(A226-$D$3))+(Summary!$M$10*Z226*AC226*(AJ226-EOMONTH(EDATE(A226,-1),0))))/(AK226*AB226*AE226)</f>
        <v>#VALUE!</v>
      </c>
      <c r="AG226" s="88" t="str">
        <f>IF($A227="","",Summary!$Q$10)</f>
        <v/>
      </c>
      <c r="AH226" s="88" t="str">
        <f>IF($A227="","",IF(Summary!$R$10="Y",(VLOOKUP($A226,Summary!$AD$6:$AF$9,3)+'Escalating commodity'!F239),'Escalating commodity'!F239))</f>
        <v/>
      </c>
      <c r="AI226" s="88" t="str">
        <f t="shared" si="149"/>
        <v/>
      </c>
      <c r="AJ226" s="236" t="e">
        <f t="shared" si="135"/>
        <v>#VALUE!</v>
      </c>
      <c r="AK226" s="58" t="str">
        <f t="shared" si="136"/>
        <v/>
      </c>
      <c r="AL226" s="26" t="str">
        <f>IF($A227="","",_xll.SPRDOPT(P226,X226,AI226,0,AB226,AE226,AF226,AK226,$AJ$2,0))</f>
        <v/>
      </c>
      <c r="AM226" s="89" t="str">
        <f t="shared" si="137"/>
        <v/>
      </c>
      <c r="AN226" s="89" t="str">
        <f t="shared" si="138"/>
        <v/>
      </c>
      <c r="AO226" s="3" t="str">
        <f t="shared" si="139"/>
        <v/>
      </c>
      <c r="AP226" s="33" t="str">
        <f t="shared" si="140"/>
        <v/>
      </c>
      <c r="AQ226" s="58" t="str">
        <f t="shared" si="141"/>
        <v/>
      </c>
      <c r="AR226" s="38">
        <f>'ANR OK vs ML7'!AR226</f>
        <v>0.1</v>
      </c>
      <c r="AS226" s="35" t="str">
        <f t="shared" si="142"/>
        <v/>
      </c>
      <c r="AT226" s="3" t="str">
        <f t="shared" si="143"/>
        <v/>
      </c>
      <c r="AU226" s="3" t="str">
        <f t="shared" si="144"/>
        <v/>
      </c>
      <c r="AW226" s="32" t="str">
        <f t="shared" si="145"/>
        <v/>
      </c>
      <c r="AX226" s="32" t="str">
        <f t="shared" si="146"/>
        <v/>
      </c>
      <c r="AY226" s="32" t="str">
        <f t="shared" si="147"/>
        <v/>
      </c>
      <c r="BA226" s="32" t="str">
        <f>IF($A227="","",F226*Summary!$Q$10)</f>
        <v/>
      </c>
    </row>
    <row r="227" spans="1:53" ht="12" customHeight="1">
      <c r="A227" s="67" t="str">
        <f t="shared" si="148"/>
        <v/>
      </c>
      <c r="B227" s="69" t="str">
        <f t="shared" si="150"/>
        <v/>
      </c>
      <c r="C227" s="71"/>
      <c r="D227" s="69" t="str">
        <f t="shared" si="114"/>
        <v/>
      </c>
      <c r="E227" s="70" t="str">
        <f t="shared" si="115"/>
        <v/>
      </c>
      <c r="F227" s="70" t="str">
        <f t="shared" si="116"/>
        <v/>
      </c>
      <c r="G227" s="63" t="str">
        <f t="shared" si="117"/>
        <v/>
      </c>
      <c r="H227" s="64" t="str">
        <f t="shared" si="118"/>
        <v/>
      </c>
      <c r="I227" s="43"/>
      <c r="J227" s="63" t="str">
        <f t="shared" si="119"/>
        <v/>
      </c>
      <c r="K227" s="64" t="str">
        <f t="shared" si="120"/>
        <v/>
      </c>
      <c r="L227" s="38">
        <v>0</v>
      </c>
      <c r="M227" s="64" t="str">
        <f t="shared" si="121"/>
        <v/>
      </c>
      <c r="N227" s="65"/>
      <c r="O227" s="63" t="str">
        <f t="shared" si="122"/>
        <v/>
      </c>
      <c r="P227" s="63" t="str">
        <f t="shared" si="123"/>
        <v/>
      </c>
      <c r="Q227" s="66"/>
      <c r="R227" s="63" t="str">
        <f t="shared" si="124"/>
        <v/>
      </c>
      <c r="S227" s="64" t="str">
        <f t="shared" si="125"/>
        <v/>
      </c>
      <c r="T227" s="63" t="str">
        <f t="shared" si="126"/>
        <v/>
      </c>
      <c r="U227" s="64" t="str">
        <f t="shared" si="127"/>
        <v/>
      </c>
      <c r="V227" s="219" t="str">
        <f>IF($A228="","",IF(AND(MONTH(A227)&gt;3,MONTH(A227)&lt;11),(T227+R227+G227)*Summary!$T$10/(1-Summary!$T$10),(T227+R227+G227)*Summary!$U$10/(1-Summary!$U$10)))</f>
        <v/>
      </c>
      <c r="W227" s="63" t="str">
        <f t="shared" si="128"/>
        <v/>
      </c>
      <c r="X227" s="63" t="str">
        <f t="shared" si="129"/>
        <v/>
      </c>
      <c r="Y227" s="43"/>
      <c r="Z227" s="38" t="str">
        <f t="shared" si="130"/>
        <v/>
      </c>
      <c r="AA227" s="38" t="str">
        <f t="shared" si="131"/>
        <v/>
      </c>
      <c r="AB227" s="38" t="e">
        <f t="shared" si="132"/>
        <v>#VALUE!</v>
      </c>
      <c r="AC227" s="38" t="str">
        <f t="shared" si="133"/>
        <v/>
      </c>
      <c r="AD227" s="38" t="str">
        <f t="shared" si="133"/>
        <v/>
      </c>
      <c r="AE227" s="38" t="e">
        <f t="shared" si="134"/>
        <v>#VALUE!</v>
      </c>
      <c r="AF227" s="237" t="e">
        <f>((Summary!$N$10*(AA227*AD227)*(A227-$D$3))+(Summary!$M$10*Z227*AC227*(AJ227-EOMONTH(EDATE(A227,-1),0))))/(AK227*AB227*AE227)</f>
        <v>#VALUE!</v>
      </c>
      <c r="AG227" s="88" t="str">
        <f>IF($A228="","",Summary!$Q$10)</f>
        <v/>
      </c>
      <c r="AH227" s="88" t="str">
        <f>IF($A228="","",IF(Summary!$R$10="Y",(VLOOKUP($A227,Summary!$AD$6:$AF$9,3)+'Escalating commodity'!F240),'Escalating commodity'!F240))</f>
        <v/>
      </c>
      <c r="AI227" s="88" t="str">
        <f t="shared" si="149"/>
        <v/>
      </c>
      <c r="AJ227" s="236" t="e">
        <f t="shared" si="135"/>
        <v>#VALUE!</v>
      </c>
      <c r="AK227" s="58" t="str">
        <f t="shared" si="136"/>
        <v/>
      </c>
      <c r="AL227" s="26" t="str">
        <f>IF($A228="","",_xll.SPRDOPT(P227,X227,AI227,0,AB227,AE227,AF227,AK227,$AJ$2,0))</f>
        <v/>
      </c>
      <c r="AM227" s="89" t="str">
        <f t="shared" si="137"/>
        <v/>
      </c>
      <c r="AN227" s="89" t="str">
        <f t="shared" si="138"/>
        <v/>
      </c>
      <c r="AO227" s="3" t="str">
        <f t="shared" si="139"/>
        <v/>
      </c>
      <c r="AP227" s="33" t="str">
        <f t="shared" si="140"/>
        <v/>
      </c>
      <c r="AQ227" s="58" t="str">
        <f t="shared" si="141"/>
        <v/>
      </c>
      <c r="AR227" s="38">
        <f>'ANR OK vs ML7'!AR227</f>
        <v>0.1</v>
      </c>
      <c r="AS227" s="35" t="str">
        <f t="shared" si="142"/>
        <v/>
      </c>
      <c r="AT227" s="3" t="str">
        <f t="shared" si="143"/>
        <v/>
      </c>
      <c r="AU227" s="3" t="str">
        <f t="shared" si="144"/>
        <v/>
      </c>
      <c r="AW227" s="32" t="str">
        <f t="shared" si="145"/>
        <v/>
      </c>
      <c r="AX227" s="32" t="str">
        <f t="shared" si="146"/>
        <v/>
      </c>
      <c r="AY227" s="32" t="str">
        <f t="shared" si="147"/>
        <v/>
      </c>
      <c r="BA227" s="32" t="str">
        <f>IF($A228="","",F227*Summary!$Q$10)</f>
        <v/>
      </c>
    </row>
    <row r="228" spans="1:53" ht="12" customHeight="1">
      <c r="A228" s="67" t="str">
        <f t="shared" si="148"/>
        <v/>
      </c>
      <c r="B228" s="69" t="str">
        <f t="shared" si="150"/>
        <v/>
      </c>
      <c r="C228" s="71"/>
      <c r="D228" s="69" t="str">
        <f t="shared" si="114"/>
        <v/>
      </c>
      <c r="E228" s="70" t="str">
        <f t="shared" si="115"/>
        <v/>
      </c>
      <c r="F228" s="70" t="str">
        <f t="shared" si="116"/>
        <v/>
      </c>
      <c r="G228" s="63" t="str">
        <f t="shared" si="117"/>
        <v/>
      </c>
      <c r="H228" s="64" t="str">
        <f t="shared" si="118"/>
        <v/>
      </c>
      <c r="I228" s="43"/>
      <c r="J228" s="63" t="str">
        <f t="shared" si="119"/>
        <v/>
      </c>
      <c r="K228" s="64" t="str">
        <f t="shared" si="120"/>
        <v/>
      </c>
      <c r="L228" s="38">
        <v>0</v>
      </c>
      <c r="M228" s="64" t="str">
        <f t="shared" si="121"/>
        <v/>
      </c>
      <c r="N228" s="65"/>
      <c r="O228" s="63" t="str">
        <f t="shared" si="122"/>
        <v/>
      </c>
      <c r="P228" s="63" t="str">
        <f t="shared" si="123"/>
        <v/>
      </c>
      <c r="Q228" s="66"/>
      <c r="R228" s="63" t="str">
        <f t="shared" si="124"/>
        <v/>
      </c>
      <c r="S228" s="64" t="str">
        <f t="shared" si="125"/>
        <v/>
      </c>
      <c r="T228" s="63" t="str">
        <f t="shared" si="126"/>
        <v/>
      </c>
      <c r="U228" s="64" t="str">
        <f t="shared" si="127"/>
        <v/>
      </c>
      <c r="V228" s="219" t="str">
        <f>IF($A229="","",IF(AND(MONTH(A228)&gt;3,MONTH(A228)&lt;11),(T228+R228+G228)*Summary!$T$10/(1-Summary!$T$10),(T228+R228+G228)*Summary!$U$10/(1-Summary!$U$10)))</f>
        <v/>
      </c>
      <c r="W228" s="63" t="str">
        <f t="shared" si="128"/>
        <v/>
      </c>
      <c r="X228" s="63" t="str">
        <f t="shared" si="129"/>
        <v/>
      </c>
      <c r="Y228" s="43"/>
      <c r="Z228" s="38" t="str">
        <f t="shared" si="130"/>
        <v/>
      </c>
      <c r="AA228" s="38" t="str">
        <f t="shared" si="131"/>
        <v/>
      </c>
      <c r="AB228" s="38" t="e">
        <f t="shared" si="132"/>
        <v>#VALUE!</v>
      </c>
      <c r="AC228" s="38" t="str">
        <f t="shared" si="133"/>
        <v/>
      </c>
      <c r="AD228" s="38" t="str">
        <f t="shared" si="133"/>
        <v/>
      </c>
      <c r="AE228" s="38" t="e">
        <f t="shared" si="134"/>
        <v>#VALUE!</v>
      </c>
      <c r="AF228" s="237" t="e">
        <f>((Summary!$N$10*(AA228*AD228)*(A228-$D$3))+(Summary!$M$10*Z228*AC228*(AJ228-EOMONTH(EDATE(A228,-1),0))))/(AK228*AB228*AE228)</f>
        <v>#VALUE!</v>
      </c>
      <c r="AG228" s="88" t="str">
        <f>IF($A229="","",Summary!$Q$10)</f>
        <v/>
      </c>
      <c r="AH228" s="88" t="str">
        <f>IF($A229="","",IF(Summary!$R$10="Y",(VLOOKUP($A228,Summary!$AD$6:$AF$9,3)+'Escalating commodity'!F241),'Escalating commodity'!F241))</f>
        <v/>
      </c>
      <c r="AI228" s="88" t="str">
        <f t="shared" si="149"/>
        <v/>
      </c>
      <c r="AJ228" s="236" t="e">
        <f t="shared" si="135"/>
        <v>#VALUE!</v>
      </c>
      <c r="AK228" s="58" t="str">
        <f t="shared" si="136"/>
        <v/>
      </c>
      <c r="AL228" s="26" t="str">
        <f>IF($A229="","",_xll.SPRDOPT(P228,X228,AI228,0,AB228,AE228,AF228,AK228,$AJ$2,0))</f>
        <v/>
      </c>
      <c r="AM228" s="89" t="str">
        <f t="shared" si="137"/>
        <v/>
      </c>
      <c r="AN228" s="89" t="str">
        <f t="shared" si="138"/>
        <v/>
      </c>
      <c r="AO228" s="3" t="str">
        <f t="shared" si="139"/>
        <v/>
      </c>
      <c r="AP228" s="33" t="str">
        <f t="shared" si="140"/>
        <v/>
      </c>
      <c r="AQ228" s="58" t="str">
        <f t="shared" si="141"/>
        <v/>
      </c>
      <c r="AR228" s="38">
        <f>'ANR OK vs ML7'!AR228</f>
        <v>0.1</v>
      </c>
      <c r="AS228" s="35" t="str">
        <f t="shared" si="142"/>
        <v/>
      </c>
      <c r="AT228" s="3" t="str">
        <f t="shared" si="143"/>
        <v/>
      </c>
      <c r="AU228" s="3" t="str">
        <f t="shared" si="144"/>
        <v/>
      </c>
      <c r="AW228" s="32" t="str">
        <f t="shared" si="145"/>
        <v/>
      </c>
      <c r="AX228" s="32" t="str">
        <f t="shared" si="146"/>
        <v/>
      </c>
      <c r="AY228" s="32" t="str">
        <f t="shared" si="147"/>
        <v/>
      </c>
      <c r="BA228" s="32" t="str">
        <f>IF($A229="","",F228*Summary!$Q$10)</f>
        <v/>
      </c>
    </row>
    <row r="229" spans="1:53" ht="12" customHeight="1">
      <c r="A229" s="67" t="str">
        <f t="shared" si="148"/>
        <v/>
      </c>
      <c r="B229" s="69" t="str">
        <f t="shared" si="150"/>
        <v/>
      </c>
      <c r="C229" s="71"/>
      <c r="D229" s="69" t="str">
        <f t="shared" si="114"/>
        <v/>
      </c>
      <c r="E229" s="70" t="str">
        <f t="shared" si="115"/>
        <v/>
      </c>
      <c r="F229" s="70" t="str">
        <f t="shared" si="116"/>
        <v/>
      </c>
      <c r="G229" s="63" t="str">
        <f t="shared" si="117"/>
        <v/>
      </c>
      <c r="H229" s="64" t="str">
        <f t="shared" si="118"/>
        <v/>
      </c>
      <c r="I229" s="43"/>
      <c r="J229" s="63" t="str">
        <f t="shared" si="119"/>
        <v/>
      </c>
      <c r="K229" s="64" t="str">
        <f t="shared" si="120"/>
        <v/>
      </c>
      <c r="L229" s="38">
        <v>0</v>
      </c>
      <c r="M229" s="64" t="str">
        <f t="shared" si="121"/>
        <v/>
      </c>
      <c r="N229" s="65"/>
      <c r="O229" s="63" t="str">
        <f t="shared" si="122"/>
        <v/>
      </c>
      <c r="P229" s="63" t="str">
        <f t="shared" si="123"/>
        <v/>
      </c>
      <c r="Q229" s="66"/>
      <c r="R229" s="63" t="str">
        <f t="shared" si="124"/>
        <v/>
      </c>
      <c r="S229" s="64" t="str">
        <f t="shared" si="125"/>
        <v/>
      </c>
      <c r="T229" s="63" t="str">
        <f t="shared" si="126"/>
        <v/>
      </c>
      <c r="U229" s="64" t="str">
        <f t="shared" si="127"/>
        <v/>
      </c>
      <c r="V229" s="219" t="str">
        <f>IF($A230="","",IF(AND(MONTH(A229)&gt;3,MONTH(A229)&lt;11),(T229+R229+G229)*Summary!$T$10/(1-Summary!$T$10),(T229+R229+G229)*Summary!$U$10/(1-Summary!$U$10)))</f>
        <v/>
      </c>
      <c r="W229" s="63" t="str">
        <f t="shared" si="128"/>
        <v/>
      </c>
      <c r="X229" s="63" t="str">
        <f t="shared" si="129"/>
        <v/>
      </c>
      <c r="Y229" s="43"/>
      <c r="Z229" s="38" t="str">
        <f t="shared" si="130"/>
        <v/>
      </c>
      <c r="AA229" s="38" t="str">
        <f t="shared" si="131"/>
        <v/>
      </c>
      <c r="AB229" s="38" t="e">
        <f t="shared" si="132"/>
        <v>#VALUE!</v>
      </c>
      <c r="AC229" s="38" t="str">
        <f t="shared" si="133"/>
        <v/>
      </c>
      <c r="AD229" s="38" t="str">
        <f t="shared" si="133"/>
        <v/>
      </c>
      <c r="AE229" s="38" t="e">
        <f t="shared" si="134"/>
        <v>#VALUE!</v>
      </c>
      <c r="AF229" s="237" t="e">
        <f>((Summary!$N$10*(AA229*AD229)*(A229-$D$3))+(Summary!$M$10*Z229*AC229*(AJ229-EOMONTH(EDATE(A229,-1),0))))/(AK229*AB229*AE229)</f>
        <v>#VALUE!</v>
      </c>
      <c r="AG229" s="88" t="str">
        <f>IF($A230="","",Summary!$Q$10)</f>
        <v/>
      </c>
      <c r="AH229" s="88" t="str">
        <f>IF($A230="","",IF(Summary!$R$10="Y",(VLOOKUP($A229,Summary!$AD$6:$AF$9,3)+'Escalating commodity'!F242),'Escalating commodity'!F242))</f>
        <v/>
      </c>
      <c r="AI229" s="88" t="str">
        <f t="shared" si="149"/>
        <v/>
      </c>
      <c r="AJ229" s="236" t="e">
        <f t="shared" si="135"/>
        <v>#VALUE!</v>
      </c>
      <c r="AK229" s="58" t="str">
        <f t="shared" si="136"/>
        <v/>
      </c>
      <c r="AL229" s="26" t="str">
        <f>IF($A230="","",_xll.SPRDOPT(P229,X229,AI229,0,AB229,AE229,AF229,AK229,$AJ$2,0))</f>
        <v/>
      </c>
      <c r="AM229" s="89" t="str">
        <f t="shared" si="137"/>
        <v/>
      </c>
      <c r="AN229" s="89" t="str">
        <f t="shared" si="138"/>
        <v/>
      </c>
      <c r="AO229" s="3" t="str">
        <f t="shared" si="139"/>
        <v/>
      </c>
      <c r="AP229" s="33" t="str">
        <f t="shared" si="140"/>
        <v/>
      </c>
      <c r="AQ229" s="58" t="str">
        <f t="shared" si="141"/>
        <v/>
      </c>
      <c r="AR229" s="38">
        <f>'ANR OK vs ML7'!AR229</f>
        <v>0.1</v>
      </c>
      <c r="AS229" s="35" t="str">
        <f t="shared" si="142"/>
        <v/>
      </c>
      <c r="AT229" s="3" t="str">
        <f t="shared" si="143"/>
        <v/>
      </c>
      <c r="AU229" s="3" t="str">
        <f t="shared" si="144"/>
        <v/>
      </c>
      <c r="AW229" s="32" t="str">
        <f t="shared" si="145"/>
        <v/>
      </c>
      <c r="AX229" s="32" t="str">
        <f t="shared" si="146"/>
        <v/>
      </c>
      <c r="AY229" s="32" t="str">
        <f t="shared" si="147"/>
        <v/>
      </c>
      <c r="BA229" s="32" t="str">
        <f>IF($A230="","",F229*Summary!$Q$10)</f>
        <v/>
      </c>
    </row>
    <row r="230" spans="1:53" ht="12" customHeight="1">
      <c r="A230" s="67" t="str">
        <f t="shared" si="148"/>
        <v/>
      </c>
      <c r="B230" s="69" t="str">
        <f t="shared" si="150"/>
        <v/>
      </c>
      <c r="C230" s="71"/>
      <c r="D230" s="69" t="str">
        <f t="shared" si="114"/>
        <v/>
      </c>
      <c r="E230" s="70" t="str">
        <f t="shared" si="115"/>
        <v/>
      </c>
      <c r="F230" s="70" t="str">
        <f t="shared" si="116"/>
        <v/>
      </c>
      <c r="G230" s="63" t="str">
        <f t="shared" si="117"/>
        <v/>
      </c>
      <c r="H230" s="64" t="str">
        <f t="shared" si="118"/>
        <v/>
      </c>
      <c r="I230" s="43"/>
      <c r="J230" s="63" t="str">
        <f t="shared" si="119"/>
        <v/>
      </c>
      <c r="K230" s="64" t="str">
        <f t="shared" si="120"/>
        <v/>
      </c>
      <c r="L230" s="38">
        <v>0</v>
      </c>
      <c r="M230" s="64" t="str">
        <f t="shared" si="121"/>
        <v/>
      </c>
      <c r="N230" s="65"/>
      <c r="O230" s="63" t="str">
        <f t="shared" si="122"/>
        <v/>
      </c>
      <c r="P230" s="63" t="str">
        <f t="shared" si="123"/>
        <v/>
      </c>
      <c r="Q230" s="66"/>
      <c r="R230" s="63" t="str">
        <f t="shared" si="124"/>
        <v/>
      </c>
      <c r="S230" s="64" t="str">
        <f t="shared" si="125"/>
        <v/>
      </c>
      <c r="T230" s="63" t="str">
        <f t="shared" si="126"/>
        <v/>
      </c>
      <c r="U230" s="64" t="str">
        <f t="shared" si="127"/>
        <v/>
      </c>
      <c r="V230" s="219" t="str">
        <f>IF($A231="","",IF(AND(MONTH(A230)&gt;3,MONTH(A230)&lt;11),(T230+R230+G230)*Summary!$T$10/(1-Summary!$T$10),(T230+R230+G230)*Summary!$U$10/(1-Summary!$U$10)))</f>
        <v/>
      </c>
      <c r="W230" s="63" t="str">
        <f t="shared" si="128"/>
        <v/>
      </c>
      <c r="X230" s="63" t="str">
        <f t="shared" si="129"/>
        <v/>
      </c>
      <c r="Y230" s="43"/>
      <c r="Z230" s="38" t="str">
        <f t="shared" si="130"/>
        <v/>
      </c>
      <c r="AA230" s="38" t="str">
        <f t="shared" si="131"/>
        <v/>
      </c>
      <c r="AB230" s="38" t="e">
        <f t="shared" si="132"/>
        <v>#VALUE!</v>
      </c>
      <c r="AC230" s="38" t="str">
        <f t="shared" si="133"/>
        <v/>
      </c>
      <c r="AD230" s="38" t="str">
        <f t="shared" si="133"/>
        <v/>
      </c>
      <c r="AE230" s="38" t="e">
        <f t="shared" si="134"/>
        <v>#VALUE!</v>
      </c>
      <c r="AF230" s="237" t="e">
        <f>((Summary!$N$10*(AA230*AD230)*(A230-$D$3))+(Summary!$M$10*Z230*AC230*(AJ230-EOMONTH(EDATE(A230,-1),0))))/(AK230*AB230*AE230)</f>
        <v>#VALUE!</v>
      </c>
      <c r="AG230" s="88" t="str">
        <f>IF($A231="","",Summary!$Q$10)</f>
        <v/>
      </c>
      <c r="AH230" s="88" t="str">
        <f>IF($A231="","",IF(Summary!$R$10="Y",(VLOOKUP($A230,Summary!$AD$6:$AF$9,3)+'Escalating commodity'!F243),'Escalating commodity'!F243))</f>
        <v/>
      </c>
      <c r="AI230" s="88" t="str">
        <f t="shared" si="149"/>
        <v/>
      </c>
      <c r="AJ230" s="236" t="e">
        <f t="shared" si="135"/>
        <v>#VALUE!</v>
      </c>
      <c r="AK230" s="58" t="str">
        <f t="shared" si="136"/>
        <v/>
      </c>
      <c r="AL230" s="26" t="str">
        <f>IF($A231="","",_xll.SPRDOPT(P230,X230,AI230,0,AB230,AE230,AF230,AK230,$AJ$2,0))</f>
        <v/>
      </c>
      <c r="AM230" s="89" t="str">
        <f t="shared" si="137"/>
        <v/>
      </c>
      <c r="AN230" s="89" t="str">
        <f t="shared" si="138"/>
        <v/>
      </c>
      <c r="AO230" s="3" t="str">
        <f t="shared" si="139"/>
        <v/>
      </c>
      <c r="AP230" s="33" t="str">
        <f t="shared" si="140"/>
        <v/>
      </c>
      <c r="AQ230" s="58" t="str">
        <f t="shared" si="141"/>
        <v/>
      </c>
      <c r="AR230" s="38">
        <f>'ANR OK vs ML7'!AR230</f>
        <v>0.1</v>
      </c>
      <c r="AS230" s="35" t="str">
        <f t="shared" si="142"/>
        <v/>
      </c>
      <c r="AT230" s="3" t="str">
        <f t="shared" si="143"/>
        <v/>
      </c>
      <c r="AU230" s="3" t="str">
        <f t="shared" si="144"/>
        <v/>
      </c>
      <c r="AW230" s="32" t="str">
        <f t="shared" si="145"/>
        <v/>
      </c>
      <c r="AX230" s="32" t="str">
        <f t="shared" si="146"/>
        <v/>
      </c>
      <c r="AY230" s="32" t="str">
        <f t="shared" si="147"/>
        <v/>
      </c>
      <c r="BA230" s="32" t="str">
        <f>IF($A231="","",F230*Summary!$Q$10)</f>
        <v/>
      </c>
    </row>
    <row r="231" spans="1:53" ht="12" customHeight="1">
      <c r="A231" s="67" t="str">
        <f t="shared" si="148"/>
        <v/>
      </c>
      <c r="B231" s="69" t="str">
        <f t="shared" si="150"/>
        <v/>
      </c>
      <c r="C231" s="71"/>
      <c r="D231" s="69" t="str">
        <f t="shared" si="114"/>
        <v/>
      </c>
      <c r="E231" s="70" t="str">
        <f t="shared" si="115"/>
        <v/>
      </c>
      <c r="F231" s="70" t="str">
        <f t="shared" si="116"/>
        <v/>
      </c>
      <c r="G231" s="63" t="str">
        <f t="shared" si="117"/>
        <v/>
      </c>
      <c r="H231" s="64" t="str">
        <f t="shared" si="118"/>
        <v/>
      </c>
      <c r="I231" s="43"/>
      <c r="J231" s="63" t="str">
        <f t="shared" si="119"/>
        <v/>
      </c>
      <c r="K231" s="64" t="str">
        <f t="shared" si="120"/>
        <v/>
      </c>
      <c r="L231" s="38">
        <v>0</v>
      </c>
      <c r="M231" s="64" t="str">
        <f t="shared" si="121"/>
        <v/>
      </c>
      <c r="N231" s="65"/>
      <c r="O231" s="63" t="str">
        <f t="shared" si="122"/>
        <v/>
      </c>
      <c r="P231" s="63" t="str">
        <f t="shared" si="123"/>
        <v/>
      </c>
      <c r="Q231" s="66"/>
      <c r="R231" s="63" t="str">
        <f t="shared" si="124"/>
        <v/>
      </c>
      <c r="S231" s="64" t="str">
        <f t="shared" si="125"/>
        <v/>
      </c>
      <c r="T231" s="63" t="str">
        <f t="shared" si="126"/>
        <v/>
      </c>
      <c r="U231" s="64" t="str">
        <f t="shared" si="127"/>
        <v/>
      </c>
      <c r="V231" s="219" t="str">
        <f>IF($A232="","",IF(AND(MONTH(A231)&gt;3,MONTH(A231)&lt;11),(T231+R231+G231)*Summary!$T$10/(1-Summary!$T$10),(T231+R231+G231)*Summary!$U$10/(1-Summary!$U$10)))</f>
        <v/>
      </c>
      <c r="W231" s="63" t="str">
        <f t="shared" si="128"/>
        <v/>
      </c>
      <c r="X231" s="63" t="str">
        <f t="shared" si="129"/>
        <v/>
      </c>
      <c r="Y231" s="43"/>
      <c r="Z231" s="38" t="str">
        <f t="shared" si="130"/>
        <v/>
      </c>
      <c r="AA231" s="38" t="str">
        <f t="shared" si="131"/>
        <v/>
      </c>
      <c r="AB231" s="38" t="e">
        <f t="shared" si="132"/>
        <v>#VALUE!</v>
      </c>
      <c r="AC231" s="38" t="str">
        <f t="shared" si="133"/>
        <v/>
      </c>
      <c r="AD231" s="38" t="str">
        <f t="shared" si="133"/>
        <v/>
      </c>
      <c r="AE231" s="38" t="e">
        <f t="shared" si="134"/>
        <v>#VALUE!</v>
      </c>
      <c r="AF231" s="237" t="e">
        <f>((Summary!$N$10*(AA231*AD231)*(A231-$D$3))+(Summary!$M$10*Z231*AC231*(AJ231-EOMONTH(EDATE(A231,-1),0))))/(AK231*AB231*AE231)</f>
        <v>#VALUE!</v>
      </c>
      <c r="AG231" s="88" t="str">
        <f>IF($A232="","",Summary!$Q$10)</f>
        <v/>
      </c>
      <c r="AH231" s="88" t="str">
        <f>IF($A232="","",IF(Summary!$R$10="Y",(VLOOKUP($A231,Summary!$AD$6:$AF$9,3)+'Escalating commodity'!F244),'Escalating commodity'!F244))</f>
        <v/>
      </c>
      <c r="AI231" s="88" t="str">
        <f t="shared" si="149"/>
        <v/>
      </c>
      <c r="AJ231" s="236" t="e">
        <f t="shared" si="135"/>
        <v>#VALUE!</v>
      </c>
      <c r="AK231" s="58" t="str">
        <f t="shared" si="136"/>
        <v/>
      </c>
      <c r="AL231" s="26" t="str">
        <f>IF($A232="","",_xll.SPRDOPT(P231,X231,AI231,0,AB231,AE231,AF231,AK231,$AJ$2,0))</f>
        <v/>
      </c>
      <c r="AM231" s="89" t="str">
        <f t="shared" si="137"/>
        <v/>
      </c>
      <c r="AN231" s="89" t="str">
        <f t="shared" si="138"/>
        <v/>
      </c>
      <c r="AO231" s="3" t="str">
        <f t="shared" si="139"/>
        <v/>
      </c>
      <c r="AP231" s="33" t="str">
        <f t="shared" si="140"/>
        <v/>
      </c>
      <c r="AQ231" s="58" t="str">
        <f t="shared" si="141"/>
        <v/>
      </c>
      <c r="AR231" s="38">
        <f>'ANR OK vs ML7'!AR231</f>
        <v>0.1</v>
      </c>
      <c r="AS231" s="35" t="str">
        <f t="shared" si="142"/>
        <v/>
      </c>
      <c r="AT231" s="3" t="str">
        <f t="shared" si="143"/>
        <v/>
      </c>
      <c r="AU231" s="3" t="str">
        <f t="shared" si="144"/>
        <v/>
      </c>
      <c r="AW231" s="32" t="str">
        <f t="shared" si="145"/>
        <v/>
      </c>
      <c r="AX231" s="32" t="str">
        <f t="shared" si="146"/>
        <v/>
      </c>
      <c r="AY231" s="32" t="str">
        <f t="shared" si="147"/>
        <v/>
      </c>
      <c r="BA231" s="32" t="str">
        <f>IF($A232="","",F231*Summary!$Q$10)</f>
        <v/>
      </c>
    </row>
    <row r="232" spans="1:53" ht="12" customHeight="1">
      <c r="A232" s="67" t="str">
        <f t="shared" si="148"/>
        <v/>
      </c>
      <c r="B232" s="69" t="str">
        <f t="shared" si="150"/>
        <v/>
      </c>
      <c r="C232" s="71"/>
      <c r="D232" s="69" t="str">
        <f t="shared" si="114"/>
        <v/>
      </c>
      <c r="E232" s="70" t="str">
        <f t="shared" si="115"/>
        <v/>
      </c>
      <c r="F232" s="70" t="str">
        <f t="shared" si="116"/>
        <v/>
      </c>
      <c r="G232" s="63" t="str">
        <f t="shared" si="117"/>
        <v/>
      </c>
      <c r="H232" s="64" t="str">
        <f t="shared" si="118"/>
        <v/>
      </c>
      <c r="I232" s="43"/>
      <c r="J232" s="63" t="str">
        <f t="shared" si="119"/>
        <v/>
      </c>
      <c r="K232" s="64" t="str">
        <f t="shared" si="120"/>
        <v/>
      </c>
      <c r="L232" s="38">
        <v>0</v>
      </c>
      <c r="M232" s="64" t="str">
        <f t="shared" si="121"/>
        <v/>
      </c>
      <c r="N232" s="65"/>
      <c r="O232" s="63" t="str">
        <f t="shared" si="122"/>
        <v/>
      </c>
      <c r="P232" s="63" t="str">
        <f t="shared" si="123"/>
        <v/>
      </c>
      <c r="Q232" s="66"/>
      <c r="R232" s="63" t="str">
        <f t="shared" si="124"/>
        <v/>
      </c>
      <c r="S232" s="64" t="str">
        <f t="shared" si="125"/>
        <v/>
      </c>
      <c r="T232" s="63" t="str">
        <f t="shared" si="126"/>
        <v/>
      </c>
      <c r="U232" s="64" t="str">
        <f t="shared" si="127"/>
        <v/>
      </c>
      <c r="V232" s="219" t="str">
        <f>IF($A233="","",IF(AND(MONTH(A232)&gt;3,MONTH(A232)&lt;11),(T232+R232+G232)*Summary!$T$10/(1-Summary!$T$10),(T232+R232+G232)*Summary!$U$10/(1-Summary!$U$10)))</f>
        <v/>
      </c>
      <c r="W232" s="63" t="str">
        <f t="shared" si="128"/>
        <v/>
      </c>
      <c r="X232" s="63" t="str">
        <f t="shared" si="129"/>
        <v/>
      </c>
      <c r="Y232" s="43"/>
      <c r="Z232" s="38" t="str">
        <f t="shared" si="130"/>
        <v/>
      </c>
      <c r="AA232" s="38" t="str">
        <f t="shared" si="131"/>
        <v/>
      </c>
      <c r="AB232" s="38" t="e">
        <f t="shared" si="132"/>
        <v>#VALUE!</v>
      </c>
      <c r="AC232" s="38" t="str">
        <f t="shared" si="133"/>
        <v/>
      </c>
      <c r="AD232" s="38" t="str">
        <f t="shared" si="133"/>
        <v/>
      </c>
      <c r="AE232" s="38" t="e">
        <f t="shared" si="134"/>
        <v>#VALUE!</v>
      </c>
      <c r="AF232" s="237" t="e">
        <f>((Summary!$N$10*(AA232*AD232)*(A232-$D$3))+(Summary!$M$10*Z232*AC232*(AJ232-EOMONTH(EDATE(A232,-1),0))))/(AK232*AB232*AE232)</f>
        <v>#VALUE!</v>
      </c>
      <c r="AG232" s="88" t="str">
        <f>IF($A233="","",Summary!$Q$10)</f>
        <v/>
      </c>
      <c r="AH232" s="88" t="str">
        <f>IF($A233="","",IF(Summary!$R$10="Y",(VLOOKUP($A232,Summary!$AD$6:$AF$9,3)+'Escalating commodity'!F245),'Escalating commodity'!F245))</f>
        <v/>
      </c>
      <c r="AI232" s="88" t="str">
        <f t="shared" si="149"/>
        <v/>
      </c>
      <c r="AJ232" s="236" t="e">
        <f t="shared" si="135"/>
        <v>#VALUE!</v>
      </c>
      <c r="AK232" s="58" t="str">
        <f t="shared" si="136"/>
        <v/>
      </c>
      <c r="AL232" s="26" t="str">
        <f>IF($A233="","",_xll.SPRDOPT(P232,X232,AI232,0,AB232,AE232,AF232,AK232,$AJ$2,0))</f>
        <v/>
      </c>
      <c r="AM232" s="89" t="str">
        <f t="shared" si="137"/>
        <v/>
      </c>
      <c r="AN232" s="89" t="str">
        <f t="shared" si="138"/>
        <v/>
      </c>
      <c r="AO232" s="3" t="str">
        <f t="shared" si="139"/>
        <v/>
      </c>
      <c r="AP232" s="33" t="str">
        <f t="shared" si="140"/>
        <v/>
      </c>
      <c r="AQ232" s="58" t="str">
        <f t="shared" si="141"/>
        <v/>
      </c>
      <c r="AR232" s="38">
        <f>'ANR OK vs ML7'!AR232</f>
        <v>0.1</v>
      </c>
      <c r="AS232" s="35" t="str">
        <f t="shared" si="142"/>
        <v/>
      </c>
      <c r="AT232" s="3" t="str">
        <f t="shared" si="143"/>
        <v/>
      </c>
      <c r="AU232" s="3" t="str">
        <f t="shared" si="144"/>
        <v/>
      </c>
      <c r="AW232" s="32" t="str">
        <f t="shared" si="145"/>
        <v/>
      </c>
      <c r="AX232" s="32" t="str">
        <f t="shared" si="146"/>
        <v/>
      </c>
      <c r="AY232" s="32" t="str">
        <f t="shared" si="147"/>
        <v/>
      </c>
      <c r="BA232" s="32" t="str">
        <f>IF($A233="","",F232*Summary!$Q$10)</f>
        <v/>
      </c>
    </row>
    <row r="233" spans="1:53" ht="12" customHeight="1">
      <c r="A233" s="67" t="str">
        <f t="shared" si="148"/>
        <v/>
      </c>
      <c r="B233" s="69" t="str">
        <f t="shared" si="150"/>
        <v/>
      </c>
      <c r="C233" s="71"/>
      <c r="D233" s="69" t="str">
        <f t="shared" si="114"/>
        <v/>
      </c>
      <c r="E233" s="70" t="str">
        <f t="shared" si="115"/>
        <v/>
      </c>
      <c r="F233" s="70" t="str">
        <f t="shared" si="116"/>
        <v/>
      </c>
      <c r="G233" s="63" t="str">
        <f t="shared" si="117"/>
        <v/>
      </c>
      <c r="H233" s="64" t="str">
        <f t="shared" si="118"/>
        <v/>
      </c>
      <c r="I233" s="43"/>
      <c r="J233" s="63" t="str">
        <f t="shared" si="119"/>
        <v/>
      </c>
      <c r="K233" s="64" t="str">
        <f t="shared" si="120"/>
        <v/>
      </c>
      <c r="L233" s="38">
        <v>0</v>
      </c>
      <c r="M233" s="64" t="str">
        <f t="shared" si="121"/>
        <v/>
      </c>
      <c r="N233" s="65"/>
      <c r="O233" s="63" t="str">
        <f t="shared" si="122"/>
        <v/>
      </c>
      <c r="P233" s="63" t="str">
        <f t="shared" si="123"/>
        <v/>
      </c>
      <c r="Q233" s="66"/>
      <c r="R233" s="63" t="str">
        <f t="shared" si="124"/>
        <v/>
      </c>
      <c r="S233" s="64" t="str">
        <f t="shared" si="125"/>
        <v/>
      </c>
      <c r="T233" s="63" t="str">
        <f t="shared" si="126"/>
        <v/>
      </c>
      <c r="U233" s="64" t="str">
        <f t="shared" si="127"/>
        <v/>
      </c>
      <c r="V233" s="219" t="str">
        <f>IF($A234="","",IF(AND(MONTH(A233)&gt;3,MONTH(A233)&lt;11),(T233+R233+G233)*Summary!$T$10/(1-Summary!$T$10),(T233+R233+G233)*Summary!$U$10/(1-Summary!$U$10)))</f>
        <v/>
      </c>
      <c r="W233" s="63" t="str">
        <f t="shared" si="128"/>
        <v/>
      </c>
      <c r="X233" s="63" t="str">
        <f t="shared" si="129"/>
        <v/>
      </c>
      <c r="Y233" s="43"/>
      <c r="Z233" s="38" t="str">
        <f t="shared" si="130"/>
        <v/>
      </c>
      <c r="AA233" s="38" t="str">
        <f t="shared" si="131"/>
        <v/>
      </c>
      <c r="AB233" s="38" t="e">
        <f t="shared" si="132"/>
        <v>#VALUE!</v>
      </c>
      <c r="AC233" s="38" t="str">
        <f t="shared" si="133"/>
        <v/>
      </c>
      <c r="AD233" s="38" t="str">
        <f t="shared" si="133"/>
        <v/>
      </c>
      <c r="AE233" s="38" t="e">
        <f t="shared" si="134"/>
        <v>#VALUE!</v>
      </c>
      <c r="AF233" s="237" t="e">
        <f>((Summary!$N$10*(AA233*AD233)*(A233-$D$3))+(Summary!$M$10*Z233*AC233*(AJ233-EOMONTH(EDATE(A233,-1),0))))/(AK233*AB233*AE233)</f>
        <v>#VALUE!</v>
      </c>
      <c r="AG233" s="88" t="str">
        <f>IF($A234="","",Summary!$Q$10)</f>
        <v/>
      </c>
      <c r="AH233" s="88" t="str">
        <f>IF($A234="","",IF(Summary!$R$10="Y",(VLOOKUP($A233,Summary!$AD$6:$AF$9,3)+'Escalating commodity'!F246),'Escalating commodity'!F246))</f>
        <v/>
      </c>
      <c r="AI233" s="88" t="str">
        <f t="shared" si="149"/>
        <v/>
      </c>
      <c r="AJ233" s="236" t="e">
        <f t="shared" si="135"/>
        <v>#VALUE!</v>
      </c>
      <c r="AK233" s="58" t="str">
        <f t="shared" si="136"/>
        <v/>
      </c>
      <c r="AL233" s="26" t="str">
        <f>IF($A234="","",_xll.SPRDOPT(P233,X233,AI233,0,AB233,AE233,AF233,AK233,$AJ$2,0))</f>
        <v/>
      </c>
      <c r="AM233" s="89" t="str">
        <f t="shared" si="137"/>
        <v/>
      </c>
      <c r="AN233" s="89" t="str">
        <f t="shared" si="138"/>
        <v/>
      </c>
      <c r="AO233" s="3" t="str">
        <f t="shared" si="139"/>
        <v/>
      </c>
      <c r="AP233" s="33" t="str">
        <f t="shared" si="140"/>
        <v/>
      </c>
      <c r="AQ233" s="58" t="str">
        <f t="shared" si="141"/>
        <v/>
      </c>
      <c r="AR233" s="38">
        <f>'ANR OK vs ML7'!AR233</f>
        <v>0.1</v>
      </c>
      <c r="AS233" s="35" t="str">
        <f t="shared" si="142"/>
        <v/>
      </c>
      <c r="AT233" s="3" t="str">
        <f t="shared" si="143"/>
        <v/>
      </c>
      <c r="AU233" s="3" t="str">
        <f t="shared" si="144"/>
        <v/>
      </c>
      <c r="AW233" s="32" t="str">
        <f t="shared" si="145"/>
        <v/>
      </c>
      <c r="AX233" s="32" t="str">
        <f t="shared" si="146"/>
        <v/>
      </c>
      <c r="AY233" s="32" t="str">
        <f t="shared" si="147"/>
        <v/>
      </c>
      <c r="BA233" s="32" t="str">
        <f>IF($A234="","",F233*Summary!$Q$10)</f>
        <v/>
      </c>
    </row>
    <row r="234" spans="1:53" ht="12" customHeight="1">
      <c r="A234" s="67" t="str">
        <f t="shared" si="148"/>
        <v/>
      </c>
      <c r="B234" s="69" t="str">
        <f t="shared" si="150"/>
        <v/>
      </c>
      <c r="C234" s="71"/>
      <c r="D234" s="69" t="str">
        <f t="shared" si="114"/>
        <v/>
      </c>
      <c r="E234" s="70" t="str">
        <f t="shared" si="115"/>
        <v/>
      </c>
      <c r="F234" s="70" t="str">
        <f t="shared" si="116"/>
        <v/>
      </c>
      <c r="G234" s="63" t="str">
        <f t="shared" si="117"/>
        <v/>
      </c>
      <c r="H234" s="64" t="str">
        <f t="shared" si="118"/>
        <v/>
      </c>
      <c r="I234" s="43"/>
      <c r="J234" s="63" t="str">
        <f t="shared" si="119"/>
        <v/>
      </c>
      <c r="K234" s="64" t="str">
        <f t="shared" si="120"/>
        <v/>
      </c>
      <c r="L234" s="38">
        <v>0</v>
      </c>
      <c r="M234" s="64" t="str">
        <f t="shared" si="121"/>
        <v/>
      </c>
      <c r="N234" s="65"/>
      <c r="O234" s="63" t="str">
        <f t="shared" si="122"/>
        <v/>
      </c>
      <c r="P234" s="63" t="str">
        <f t="shared" si="123"/>
        <v/>
      </c>
      <c r="Q234" s="66"/>
      <c r="R234" s="63" t="str">
        <f t="shared" si="124"/>
        <v/>
      </c>
      <c r="S234" s="64" t="str">
        <f t="shared" si="125"/>
        <v/>
      </c>
      <c r="T234" s="63" t="str">
        <f t="shared" si="126"/>
        <v/>
      </c>
      <c r="U234" s="64" t="str">
        <f t="shared" si="127"/>
        <v/>
      </c>
      <c r="V234" s="219" t="str">
        <f>IF($A235="","",IF(AND(MONTH(A234)&gt;3,MONTH(A234)&lt;11),(T234+R234+G234)*Summary!$T$10/(1-Summary!$T$10),(T234+R234+G234)*Summary!$U$10/(1-Summary!$U$10)))</f>
        <v/>
      </c>
      <c r="W234" s="63" t="str">
        <f t="shared" si="128"/>
        <v/>
      </c>
      <c r="X234" s="63" t="str">
        <f t="shared" si="129"/>
        <v/>
      </c>
      <c r="Y234" s="43"/>
      <c r="Z234" s="38" t="str">
        <f t="shared" si="130"/>
        <v/>
      </c>
      <c r="AA234" s="38" t="str">
        <f t="shared" si="131"/>
        <v/>
      </c>
      <c r="AB234" s="38" t="e">
        <f t="shared" si="132"/>
        <v>#VALUE!</v>
      </c>
      <c r="AC234" s="38" t="str">
        <f t="shared" si="133"/>
        <v/>
      </c>
      <c r="AD234" s="38" t="str">
        <f t="shared" si="133"/>
        <v/>
      </c>
      <c r="AE234" s="38" t="e">
        <f t="shared" si="134"/>
        <v>#VALUE!</v>
      </c>
      <c r="AF234" s="237" t="e">
        <f>((Summary!$N$10*(AA234*AD234)*(A234-$D$3))+(Summary!$M$10*Z234*AC234*(AJ234-EOMONTH(EDATE(A234,-1),0))))/(AK234*AB234*AE234)</f>
        <v>#VALUE!</v>
      </c>
      <c r="AG234" s="88" t="str">
        <f>IF($A235="","",Summary!$Q$10)</f>
        <v/>
      </c>
      <c r="AH234" s="88" t="str">
        <f>IF($A235="","",IF(Summary!$R$10="Y",(VLOOKUP($A234,Summary!$AD$6:$AF$9,3)+'Escalating commodity'!F247),'Escalating commodity'!F247))</f>
        <v/>
      </c>
      <c r="AI234" s="88" t="str">
        <f t="shared" si="149"/>
        <v/>
      </c>
      <c r="AJ234" s="236" t="e">
        <f t="shared" si="135"/>
        <v>#VALUE!</v>
      </c>
      <c r="AK234" s="58" t="str">
        <f t="shared" si="136"/>
        <v/>
      </c>
      <c r="AL234" s="26" t="str">
        <f>IF($A235="","",_xll.SPRDOPT(P234,X234,AI234,0,AB234,AE234,AF234,AK234,$AJ$2,0))</f>
        <v/>
      </c>
      <c r="AM234" s="89" t="str">
        <f t="shared" si="137"/>
        <v/>
      </c>
      <c r="AN234" s="89" t="str">
        <f t="shared" si="138"/>
        <v/>
      </c>
      <c r="AO234" s="3" t="str">
        <f t="shared" si="139"/>
        <v/>
      </c>
      <c r="AP234" s="33" t="str">
        <f t="shared" si="140"/>
        <v/>
      </c>
      <c r="AQ234" s="58" t="str">
        <f t="shared" si="141"/>
        <v/>
      </c>
      <c r="AR234" s="38">
        <f>'ANR OK vs ML7'!AR234</f>
        <v>0.1</v>
      </c>
      <c r="AS234" s="35" t="str">
        <f t="shared" si="142"/>
        <v/>
      </c>
      <c r="AT234" s="3" t="str">
        <f t="shared" si="143"/>
        <v/>
      </c>
      <c r="AU234" s="3" t="str">
        <f t="shared" si="144"/>
        <v/>
      </c>
      <c r="AW234" s="32" t="str">
        <f t="shared" si="145"/>
        <v/>
      </c>
      <c r="AX234" s="32" t="str">
        <f t="shared" si="146"/>
        <v/>
      </c>
      <c r="AY234" s="32" t="str">
        <f t="shared" si="147"/>
        <v/>
      </c>
      <c r="BA234" s="32" t="str">
        <f>IF($A235="","",F234*Summary!$Q$10)</f>
        <v/>
      </c>
    </row>
    <row r="235" spans="1:53" ht="12" customHeight="1">
      <c r="A235" s="67" t="str">
        <f t="shared" si="148"/>
        <v/>
      </c>
      <c r="B235" s="69" t="str">
        <f t="shared" si="150"/>
        <v/>
      </c>
      <c r="C235" s="71"/>
      <c r="D235" s="69" t="str">
        <f t="shared" si="114"/>
        <v/>
      </c>
      <c r="E235" s="70" t="str">
        <f t="shared" si="115"/>
        <v/>
      </c>
      <c r="F235" s="70" t="str">
        <f t="shared" si="116"/>
        <v/>
      </c>
      <c r="G235" s="63" t="str">
        <f t="shared" si="117"/>
        <v/>
      </c>
      <c r="H235" s="64" t="str">
        <f t="shared" si="118"/>
        <v/>
      </c>
      <c r="I235" s="43"/>
      <c r="J235" s="63" t="str">
        <f t="shared" si="119"/>
        <v/>
      </c>
      <c r="K235" s="64" t="str">
        <f t="shared" si="120"/>
        <v/>
      </c>
      <c r="L235" s="38">
        <v>0</v>
      </c>
      <c r="M235" s="64" t="str">
        <f t="shared" si="121"/>
        <v/>
      </c>
      <c r="N235" s="65"/>
      <c r="O235" s="63" t="str">
        <f t="shared" si="122"/>
        <v/>
      </c>
      <c r="P235" s="63" t="str">
        <f t="shared" si="123"/>
        <v/>
      </c>
      <c r="Q235" s="66"/>
      <c r="R235" s="63" t="str">
        <f t="shared" si="124"/>
        <v/>
      </c>
      <c r="S235" s="64" t="str">
        <f t="shared" si="125"/>
        <v/>
      </c>
      <c r="T235" s="63" t="str">
        <f t="shared" si="126"/>
        <v/>
      </c>
      <c r="U235" s="64" t="str">
        <f t="shared" si="127"/>
        <v/>
      </c>
      <c r="V235" s="219" t="str">
        <f>IF($A236="","",IF(AND(MONTH(A235)&gt;3,MONTH(A235)&lt;11),(T235+R235+G235)*Summary!$T$10/(1-Summary!$T$10),(T235+R235+G235)*Summary!$U$10/(1-Summary!$U$10)))</f>
        <v/>
      </c>
      <c r="W235" s="63" t="str">
        <f t="shared" si="128"/>
        <v/>
      </c>
      <c r="X235" s="63" t="str">
        <f t="shared" si="129"/>
        <v/>
      </c>
      <c r="Y235" s="43"/>
      <c r="Z235" s="38" t="str">
        <f t="shared" si="130"/>
        <v/>
      </c>
      <c r="AA235" s="38" t="str">
        <f t="shared" si="131"/>
        <v/>
      </c>
      <c r="AB235" s="38" t="e">
        <f t="shared" si="132"/>
        <v>#VALUE!</v>
      </c>
      <c r="AC235" s="38" t="str">
        <f t="shared" si="133"/>
        <v/>
      </c>
      <c r="AD235" s="38" t="str">
        <f t="shared" si="133"/>
        <v/>
      </c>
      <c r="AE235" s="38" t="e">
        <f t="shared" si="134"/>
        <v>#VALUE!</v>
      </c>
      <c r="AF235" s="237" t="e">
        <f>((Summary!$N$10*(AA235*AD235)*(A235-$D$3))+(Summary!$M$10*Z235*AC235*(AJ235-EOMONTH(EDATE(A235,-1),0))))/(AK235*AB235*AE235)</f>
        <v>#VALUE!</v>
      </c>
      <c r="AG235" s="88" t="str">
        <f>IF($A236="","",Summary!$Q$10)</f>
        <v/>
      </c>
      <c r="AH235" s="88" t="str">
        <f>IF($A236="","",IF(Summary!$R$10="Y",(VLOOKUP($A235,Summary!$AD$6:$AF$9,3)+'Escalating commodity'!F248),'Escalating commodity'!F248))</f>
        <v/>
      </c>
      <c r="AI235" s="88" t="str">
        <f t="shared" si="149"/>
        <v/>
      </c>
      <c r="AJ235" s="236" t="e">
        <f t="shared" si="135"/>
        <v>#VALUE!</v>
      </c>
      <c r="AK235" s="58" t="str">
        <f t="shared" si="136"/>
        <v/>
      </c>
      <c r="AL235" s="26" t="str">
        <f>IF($A236="","",_xll.SPRDOPT(P235,X235,AI235,0,AB235,AE235,AF235,AK235,$AJ$2,0))</f>
        <v/>
      </c>
      <c r="AM235" s="89" t="str">
        <f t="shared" si="137"/>
        <v/>
      </c>
      <c r="AN235" s="89" t="str">
        <f t="shared" si="138"/>
        <v/>
      </c>
      <c r="AO235" s="3" t="str">
        <f t="shared" si="139"/>
        <v/>
      </c>
      <c r="AP235" s="33" t="str">
        <f t="shared" si="140"/>
        <v/>
      </c>
      <c r="AQ235" s="58" t="str">
        <f t="shared" si="141"/>
        <v/>
      </c>
      <c r="AR235" s="38">
        <f>'ANR OK vs ML7'!AR235</f>
        <v>0.1</v>
      </c>
      <c r="AS235" s="35" t="str">
        <f t="shared" si="142"/>
        <v/>
      </c>
      <c r="AT235" s="3" t="str">
        <f t="shared" si="143"/>
        <v/>
      </c>
      <c r="AU235" s="3" t="str">
        <f t="shared" si="144"/>
        <v/>
      </c>
      <c r="AW235" s="32" t="str">
        <f t="shared" si="145"/>
        <v/>
      </c>
      <c r="AX235" s="32" t="str">
        <f t="shared" si="146"/>
        <v/>
      </c>
      <c r="AY235" s="32" t="str">
        <f t="shared" si="147"/>
        <v/>
      </c>
      <c r="BA235" s="32" t="str">
        <f>IF($A236="","",F235*Summary!$Q$10)</f>
        <v/>
      </c>
    </row>
    <row r="236" spans="1:53" ht="12" customHeight="1">
      <c r="A236" s="67" t="str">
        <f t="shared" si="148"/>
        <v/>
      </c>
      <c r="B236" s="69" t="str">
        <f t="shared" si="150"/>
        <v/>
      </c>
      <c r="C236" s="71"/>
      <c r="D236" s="69" t="str">
        <f t="shared" si="114"/>
        <v/>
      </c>
      <c r="E236" s="70" t="str">
        <f t="shared" si="115"/>
        <v/>
      </c>
      <c r="F236" s="70" t="str">
        <f t="shared" si="116"/>
        <v/>
      </c>
      <c r="G236" s="63" t="str">
        <f t="shared" si="117"/>
        <v/>
      </c>
      <c r="H236" s="64" t="str">
        <f t="shared" si="118"/>
        <v/>
      </c>
      <c r="I236" s="43"/>
      <c r="J236" s="63" t="str">
        <f t="shared" si="119"/>
        <v/>
      </c>
      <c r="K236" s="64" t="str">
        <f t="shared" si="120"/>
        <v/>
      </c>
      <c r="L236" s="38">
        <v>0</v>
      </c>
      <c r="M236" s="64" t="str">
        <f t="shared" si="121"/>
        <v/>
      </c>
      <c r="N236" s="65"/>
      <c r="O236" s="63" t="str">
        <f t="shared" si="122"/>
        <v/>
      </c>
      <c r="P236" s="63" t="str">
        <f t="shared" si="123"/>
        <v/>
      </c>
      <c r="Q236" s="66"/>
      <c r="R236" s="63" t="str">
        <f t="shared" si="124"/>
        <v/>
      </c>
      <c r="S236" s="64" t="str">
        <f t="shared" si="125"/>
        <v/>
      </c>
      <c r="T236" s="63" t="str">
        <f t="shared" si="126"/>
        <v/>
      </c>
      <c r="U236" s="64" t="str">
        <f t="shared" si="127"/>
        <v/>
      </c>
      <c r="V236" s="219" t="str">
        <f>IF($A237="","",IF(AND(MONTH(A236)&gt;3,MONTH(A236)&lt;11),(T236+R236+G236)*Summary!$T$10/(1-Summary!$T$10),(T236+R236+G236)*Summary!$U$10/(1-Summary!$U$10)))</f>
        <v/>
      </c>
      <c r="W236" s="63" t="str">
        <f t="shared" si="128"/>
        <v/>
      </c>
      <c r="X236" s="63" t="str">
        <f t="shared" si="129"/>
        <v/>
      </c>
      <c r="Y236" s="43"/>
      <c r="Z236" s="38" t="str">
        <f t="shared" si="130"/>
        <v/>
      </c>
      <c r="AA236" s="38" t="str">
        <f t="shared" si="131"/>
        <v/>
      </c>
      <c r="AB236" s="38" t="e">
        <f t="shared" si="132"/>
        <v>#VALUE!</v>
      </c>
      <c r="AC236" s="38" t="str">
        <f t="shared" si="133"/>
        <v/>
      </c>
      <c r="AD236" s="38" t="str">
        <f t="shared" si="133"/>
        <v/>
      </c>
      <c r="AE236" s="38" t="e">
        <f t="shared" si="134"/>
        <v>#VALUE!</v>
      </c>
      <c r="AF236" s="237" t="e">
        <f>((Summary!$N$10*(AA236*AD236)*(A236-$D$3))+(Summary!$M$10*Z236*AC236*(AJ236-EOMONTH(EDATE(A236,-1),0))))/(AK236*AB236*AE236)</f>
        <v>#VALUE!</v>
      </c>
      <c r="AG236" s="88" t="str">
        <f>IF($A237="","",Summary!$Q$10)</f>
        <v/>
      </c>
      <c r="AH236" s="88" t="str">
        <f>IF($A237="","",IF(Summary!$R$10="Y",(VLOOKUP($A236,Summary!$AD$6:$AF$9,3)+'Escalating commodity'!F249),'Escalating commodity'!F249))</f>
        <v/>
      </c>
      <c r="AI236" s="88" t="str">
        <f t="shared" si="149"/>
        <v/>
      </c>
      <c r="AJ236" s="236" t="e">
        <f t="shared" si="135"/>
        <v>#VALUE!</v>
      </c>
      <c r="AK236" s="58" t="str">
        <f t="shared" si="136"/>
        <v/>
      </c>
      <c r="AL236" s="26" t="str">
        <f>IF($A237="","",_xll.SPRDOPT(P236,X236,AI236,0,AB236,AE236,AF236,AK236,$AJ$2,0))</f>
        <v/>
      </c>
      <c r="AM236" s="89" t="str">
        <f t="shared" si="137"/>
        <v/>
      </c>
      <c r="AN236" s="89" t="str">
        <f t="shared" si="138"/>
        <v/>
      </c>
      <c r="AO236" s="3" t="str">
        <f t="shared" si="139"/>
        <v/>
      </c>
      <c r="AP236" s="33" t="str">
        <f t="shared" si="140"/>
        <v/>
      </c>
      <c r="AQ236" s="58" t="str">
        <f t="shared" si="141"/>
        <v/>
      </c>
      <c r="AR236" s="38">
        <f>'ANR OK vs ML7'!AR236</f>
        <v>0.1</v>
      </c>
      <c r="AS236" s="35" t="str">
        <f t="shared" si="142"/>
        <v/>
      </c>
      <c r="AT236" s="3" t="str">
        <f t="shared" si="143"/>
        <v/>
      </c>
      <c r="AU236" s="3" t="str">
        <f t="shared" si="144"/>
        <v/>
      </c>
      <c r="AW236" s="32" t="str">
        <f t="shared" si="145"/>
        <v/>
      </c>
      <c r="AX236" s="32" t="str">
        <f t="shared" si="146"/>
        <v/>
      </c>
      <c r="AY236" s="32" t="str">
        <f t="shared" si="147"/>
        <v/>
      </c>
      <c r="BA236" s="32" t="str">
        <f>IF($A237="","",F236*Summary!$Q$10)</f>
        <v/>
      </c>
    </row>
    <row r="237" spans="1:53" ht="12" customHeight="1">
      <c r="A237" s="67" t="str">
        <f t="shared" si="148"/>
        <v/>
      </c>
      <c r="B237" s="69" t="str">
        <f t="shared" si="150"/>
        <v/>
      </c>
      <c r="C237" s="71"/>
      <c r="D237" s="69" t="str">
        <f t="shared" si="114"/>
        <v/>
      </c>
      <c r="E237" s="70" t="str">
        <f t="shared" si="115"/>
        <v/>
      </c>
      <c r="F237" s="70" t="str">
        <f t="shared" si="116"/>
        <v/>
      </c>
      <c r="G237" s="63" t="str">
        <f t="shared" si="117"/>
        <v/>
      </c>
      <c r="H237" s="64" t="str">
        <f t="shared" si="118"/>
        <v/>
      </c>
      <c r="I237" s="43"/>
      <c r="J237" s="63" t="str">
        <f t="shared" si="119"/>
        <v/>
      </c>
      <c r="K237" s="64" t="str">
        <f t="shared" si="120"/>
        <v/>
      </c>
      <c r="L237" s="38">
        <v>0</v>
      </c>
      <c r="M237" s="64" t="str">
        <f t="shared" si="121"/>
        <v/>
      </c>
      <c r="N237" s="65"/>
      <c r="O237" s="63" t="str">
        <f t="shared" si="122"/>
        <v/>
      </c>
      <c r="P237" s="63" t="str">
        <f t="shared" si="123"/>
        <v/>
      </c>
      <c r="Q237" s="66"/>
      <c r="R237" s="63" t="str">
        <f t="shared" si="124"/>
        <v/>
      </c>
      <c r="S237" s="64" t="str">
        <f t="shared" si="125"/>
        <v/>
      </c>
      <c r="T237" s="63" t="str">
        <f t="shared" si="126"/>
        <v/>
      </c>
      <c r="U237" s="64" t="str">
        <f t="shared" si="127"/>
        <v/>
      </c>
      <c r="V237" s="219" t="str">
        <f>IF($A238="","",IF(AND(MONTH(A237)&gt;3,MONTH(A237)&lt;11),(T237+R237+G237)*Summary!$T$10/(1-Summary!$T$10),(T237+R237+G237)*Summary!$U$10/(1-Summary!$U$10)))</f>
        <v/>
      </c>
      <c r="W237" s="63" t="str">
        <f t="shared" si="128"/>
        <v/>
      </c>
      <c r="X237" s="63" t="str">
        <f t="shared" si="129"/>
        <v/>
      </c>
      <c r="Y237" s="43"/>
      <c r="Z237" s="38" t="str">
        <f t="shared" si="130"/>
        <v/>
      </c>
      <c r="AA237" s="38" t="str">
        <f t="shared" si="131"/>
        <v/>
      </c>
      <c r="AB237" s="38" t="e">
        <f t="shared" si="132"/>
        <v>#VALUE!</v>
      </c>
      <c r="AC237" s="38" t="str">
        <f t="shared" si="133"/>
        <v/>
      </c>
      <c r="AD237" s="38" t="str">
        <f t="shared" si="133"/>
        <v/>
      </c>
      <c r="AE237" s="38" t="e">
        <f t="shared" si="134"/>
        <v>#VALUE!</v>
      </c>
      <c r="AF237" s="237" t="e">
        <f>((Summary!$N$10*(AA237*AD237)*(A237-$D$3))+(Summary!$M$10*Z237*AC237*(AJ237-EOMONTH(EDATE(A237,-1),0))))/(AK237*AB237*AE237)</f>
        <v>#VALUE!</v>
      </c>
      <c r="AG237" s="88" t="str">
        <f>IF($A238="","",Summary!$Q$10)</f>
        <v/>
      </c>
      <c r="AH237" s="88" t="str">
        <f>IF($A238="","",IF(Summary!$R$10="Y",(VLOOKUP($A237,Summary!$AD$6:$AF$9,3)+'Escalating commodity'!F250),'Escalating commodity'!F250))</f>
        <v/>
      </c>
      <c r="AI237" s="88" t="str">
        <f t="shared" si="149"/>
        <v/>
      </c>
      <c r="AJ237" s="236" t="e">
        <f t="shared" si="135"/>
        <v>#VALUE!</v>
      </c>
      <c r="AK237" s="58" t="str">
        <f t="shared" si="136"/>
        <v/>
      </c>
      <c r="AL237" s="26" t="str">
        <f>IF($A238="","",_xll.SPRDOPT(P237,X237,AI237,0,AB237,AE237,AF237,AK237,$AJ$2,0))</f>
        <v/>
      </c>
      <c r="AM237" s="89" t="str">
        <f t="shared" si="137"/>
        <v/>
      </c>
      <c r="AN237" s="89" t="str">
        <f t="shared" si="138"/>
        <v/>
      </c>
      <c r="AO237" s="3" t="str">
        <f t="shared" si="139"/>
        <v/>
      </c>
      <c r="AP237" s="33" t="str">
        <f t="shared" si="140"/>
        <v/>
      </c>
      <c r="AQ237" s="58" t="str">
        <f t="shared" si="141"/>
        <v/>
      </c>
      <c r="AR237" s="38">
        <f>'ANR OK vs ML7'!AR237</f>
        <v>0.1</v>
      </c>
      <c r="AS237" s="35" t="str">
        <f t="shared" si="142"/>
        <v/>
      </c>
      <c r="AT237" s="3" t="str">
        <f t="shared" si="143"/>
        <v/>
      </c>
      <c r="AU237" s="3" t="str">
        <f t="shared" si="144"/>
        <v/>
      </c>
      <c r="AW237" s="32" t="str">
        <f t="shared" si="145"/>
        <v/>
      </c>
      <c r="AX237" s="32" t="str">
        <f t="shared" si="146"/>
        <v/>
      </c>
      <c r="AY237" s="32" t="str">
        <f t="shared" si="147"/>
        <v/>
      </c>
      <c r="BA237" s="32" t="str">
        <f>IF($A238="","",F237*Summary!$Q$10)</f>
        <v/>
      </c>
    </row>
    <row r="238" spans="1:53" ht="12" customHeight="1">
      <c r="A238" s="67" t="str">
        <f t="shared" si="148"/>
        <v/>
      </c>
      <c r="B238" s="69" t="str">
        <f t="shared" si="150"/>
        <v/>
      </c>
      <c r="C238" s="71"/>
      <c r="D238" s="69" t="str">
        <f t="shared" si="114"/>
        <v/>
      </c>
      <c r="E238" s="70" t="str">
        <f t="shared" si="115"/>
        <v/>
      </c>
      <c r="F238" s="70" t="str">
        <f t="shared" si="116"/>
        <v/>
      </c>
      <c r="G238" s="63" t="str">
        <f t="shared" si="117"/>
        <v/>
      </c>
      <c r="H238" s="64" t="str">
        <f t="shared" si="118"/>
        <v/>
      </c>
      <c r="I238" s="43"/>
      <c r="J238" s="63" t="str">
        <f t="shared" si="119"/>
        <v/>
      </c>
      <c r="K238" s="64" t="str">
        <f t="shared" si="120"/>
        <v/>
      </c>
      <c r="L238" s="38">
        <v>0</v>
      </c>
      <c r="M238" s="64" t="str">
        <f t="shared" si="121"/>
        <v/>
      </c>
      <c r="N238" s="65"/>
      <c r="O238" s="63" t="str">
        <f t="shared" si="122"/>
        <v/>
      </c>
      <c r="P238" s="63" t="str">
        <f t="shared" si="123"/>
        <v/>
      </c>
      <c r="Q238" s="66"/>
      <c r="R238" s="63" t="str">
        <f t="shared" si="124"/>
        <v/>
      </c>
      <c r="S238" s="64" t="str">
        <f t="shared" si="125"/>
        <v/>
      </c>
      <c r="T238" s="63" t="str">
        <f t="shared" si="126"/>
        <v/>
      </c>
      <c r="U238" s="64" t="str">
        <f t="shared" si="127"/>
        <v/>
      </c>
      <c r="V238" s="219" t="str">
        <f>IF($A239="","",IF(AND(MONTH(A238)&gt;3,MONTH(A238)&lt;11),(T238+R238+G238)*Summary!$T$10/(1-Summary!$T$10),(T238+R238+G238)*Summary!$U$10/(1-Summary!$U$10)))</f>
        <v/>
      </c>
      <c r="W238" s="63" t="str">
        <f t="shared" si="128"/>
        <v/>
      </c>
      <c r="X238" s="63" t="str">
        <f t="shared" si="129"/>
        <v/>
      </c>
      <c r="Y238" s="43"/>
      <c r="Z238" s="38" t="str">
        <f t="shared" si="130"/>
        <v/>
      </c>
      <c r="AA238" s="38" t="str">
        <f t="shared" si="131"/>
        <v/>
      </c>
      <c r="AB238" s="38" t="e">
        <f t="shared" si="132"/>
        <v>#VALUE!</v>
      </c>
      <c r="AC238" s="38" t="str">
        <f t="shared" si="133"/>
        <v/>
      </c>
      <c r="AD238" s="38" t="str">
        <f t="shared" si="133"/>
        <v/>
      </c>
      <c r="AE238" s="38" t="e">
        <f t="shared" si="134"/>
        <v>#VALUE!</v>
      </c>
      <c r="AF238" s="237" t="e">
        <f>((Summary!$N$10*(AA238*AD238)*(A238-$D$3))+(Summary!$M$10*Z238*AC238*(AJ238-EOMONTH(EDATE(A238,-1),0))))/(AK238*AB238*AE238)</f>
        <v>#VALUE!</v>
      </c>
      <c r="AG238" s="88" t="str">
        <f>IF($A239="","",Summary!$Q$10)</f>
        <v/>
      </c>
      <c r="AH238" s="88" t="str">
        <f>IF($A239="","",IF(Summary!$R$10="Y",(VLOOKUP($A238,Summary!$AD$6:$AF$9,3)+'Escalating commodity'!F251),'Escalating commodity'!F251))</f>
        <v/>
      </c>
      <c r="AI238" s="88" t="str">
        <f t="shared" si="149"/>
        <v/>
      </c>
      <c r="AJ238" s="236" t="e">
        <f t="shared" si="135"/>
        <v>#VALUE!</v>
      </c>
      <c r="AK238" s="58" t="str">
        <f t="shared" si="136"/>
        <v/>
      </c>
      <c r="AL238" s="26" t="str">
        <f>IF($A239="","",_xll.SPRDOPT(P238,X238,AI238,0,AB238,AE238,AF238,AK238,$AJ$2,0))</f>
        <v/>
      </c>
      <c r="AM238" s="89" t="str">
        <f t="shared" si="137"/>
        <v/>
      </c>
      <c r="AN238" s="89" t="str">
        <f t="shared" si="138"/>
        <v/>
      </c>
      <c r="AO238" s="3" t="str">
        <f t="shared" si="139"/>
        <v/>
      </c>
      <c r="AP238" s="33" t="str">
        <f t="shared" si="140"/>
        <v/>
      </c>
      <c r="AQ238" s="58" t="str">
        <f t="shared" si="141"/>
        <v/>
      </c>
      <c r="AR238" s="38">
        <f>'ANR OK vs ML7'!AR238</f>
        <v>0.1</v>
      </c>
      <c r="AS238" s="35" t="str">
        <f t="shared" si="142"/>
        <v/>
      </c>
      <c r="AT238" s="3" t="str">
        <f t="shared" si="143"/>
        <v/>
      </c>
      <c r="AU238" s="3" t="str">
        <f t="shared" si="144"/>
        <v/>
      </c>
      <c r="AW238" s="32" t="str">
        <f t="shared" si="145"/>
        <v/>
      </c>
      <c r="AX238" s="32" t="str">
        <f t="shared" si="146"/>
        <v/>
      </c>
      <c r="AY238" s="32" t="str">
        <f t="shared" si="147"/>
        <v/>
      </c>
      <c r="BA238" s="32" t="str">
        <f>IF($A239="","",F238*Summary!$Q$10)</f>
        <v/>
      </c>
    </row>
    <row r="239" spans="1:53" ht="12" customHeight="1">
      <c r="A239" s="67" t="str">
        <f t="shared" si="148"/>
        <v/>
      </c>
      <c r="B239" s="69" t="str">
        <f t="shared" si="150"/>
        <v/>
      </c>
      <c r="C239" s="71"/>
      <c r="D239" s="69" t="str">
        <f t="shared" si="114"/>
        <v/>
      </c>
      <c r="E239" s="70" t="str">
        <f t="shared" si="115"/>
        <v/>
      </c>
      <c r="F239" s="70" t="str">
        <f t="shared" si="116"/>
        <v/>
      </c>
      <c r="G239" s="63" t="str">
        <f t="shared" si="117"/>
        <v/>
      </c>
      <c r="H239" s="64" t="str">
        <f t="shared" si="118"/>
        <v/>
      </c>
      <c r="I239" s="43"/>
      <c r="J239" s="63" t="str">
        <f t="shared" si="119"/>
        <v/>
      </c>
      <c r="K239" s="64" t="str">
        <f t="shared" si="120"/>
        <v/>
      </c>
      <c r="L239" s="38">
        <v>0</v>
      </c>
      <c r="M239" s="64" t="str">
        <f t="shared" si="121"/>
        <v/>
      </c>
      <c r="N239" s="65"/>
      <c r="O239" s="63" t="str">
        <f t="shared" si="122"/>
        <v/>
      </c>
      <c r="P239" s="63" t="str">
        <f t="shared" si="123"/>
        <v/>
      </c>
      <c r="Q239" s="66"/>
      <c r="R239" s="63" t="str">
        <f t="shared" si="124"/>
        <v/>
      </c>
      <c r="S239" s="64" t="str">
        <f t="shared" si="125"/>
        <v/>
      </c>
      <c r="T239" s="63" t="str">
        <f t="shared" si="126"/>
        <v/>
      </c>
      <c r="U239" s="64" t="str">
        <f t="shared" si="127"/>
        <v/>
      </c>
      <c r="V239" s="219" t="str">
        <f>IF($A240="","",IF(AND(MONTH(A239)&gt;3,MONTH(A239)&lt;11),(T239+R239+G239)*Summary!$T$10/(1-Summary!$T$10),(T239+R239+G239)*Summary!$U$10/(1-Summary!$U$10)))</f>
        <v/>
      </c>
      <c r="W239" s="63" t="str">
        <f t="shared" si="128"/>
        <v/>
      </c>
      <c r="X239" s="63" t="str">
        <f t="shared" si="129"/>
        <v/>
      </c>
      <c r="Y239" s="43"/>
      <c r="Z239" s="38" t="str">
        <f t="shared" si="130"/>
        <v/>
      </c>
      <c r="AA239" s="38" t="str">
        <f t="shared" si="131"/>
        <v/>
      </c>
      <c r="AB239" s="38" t="e">
        <f t="shared" si="132"/>
        <v>#VALUE!</v>
      </c>
      <c r="AC239" s="38" t="str">
        <f t="shared" si="133"/>
        <v/>
      </c>
      <c r="AD239" s="38" t="str">
        <f t="shared" si="133"/>
        <v/>
      </c>
      <c r="AE239" s="38" t="e">
        <f t="shared" si="134"/>
        <v>#VALUE!</v>
      </c>
      <c r="AF239" s="237" t="e">
        <f>((Summary!$N$10*(AA239*AD239)*(A239-$D$3))+(Summary!$M$10*Z239*AC239*(AJ239-EOMONTH(EDATE(A239,-1),0))))/(AK239*AB239*AE239)</f>
        <v>#VALUE!</v>
      </c>
      <c r="AG239" s="88" t="str">
        <f>IF($A240="","",Summary!$Q$10)</f>
        <v/>
      </c>
      <c r="AH239" s="88" t="str">
        <f>IF($A240="","",IF(Summary!$R$10="Y",(VLOOKUP($A239,Summary!$AD$6:$AF$9,3)+'Escalating commodity'!F252),'Escalating commodity'!F252))</f>
        <v/>
      </c>
      <c r="AI239" s="88" t="str">
        <f t="shared" si="149"/>
        <v/>
      </c>
      <c r="AJ239" s="236" t="e">
        <f t="shared" si="135"/>
        <v>#VALUE!</v>
      </c>
      <c r="AK239" s="58" t="str">
        <f t="shared" si="136"/>
        <v/>
      </c>
      <c r="AL239" s="26" t="str">
        <f>IF($A240="","",_xll.SPRDOPT(P239,X239,AI239,0,AB239,AE239,AF239,AK239,$AJ$2,0))</f>
        <v/>
      </c>
      <c r="AM239" s="89" t="str">
        <f t="shared" si="137"/>
        <v/>
      </c>
      <c r="AN239" s="89" t="str">
        <f t="shared" si="138"/>
        <v/>
      </c>
      <c r="AO239" s="3" t="str">
        <f t="shared" si="139"/>
        <v/>
      </c>
      <c r="AP239" s="33" t="str">
        <f t="shared" si="140"/>
        <v/>
      </c>
      <c r="AQ239" s="58" t="str">
        <f t="shared" si="141"/>
        <v/>
      </c>
      <c r="AR239" s="38">
        <f>'ANR OK vs ML7'!AR239</f>
        <v>0.1</v>
      </c>
      <c r="AS239" s="35" t="str">
        <f t="shared" si="142"/>
        <v/>
      </c>
      <c r="AT239" s="3" t="str">
        <f t="shared" si="143"/>
        <v/>
      </c>
      <c r="AU239" s="3" t="str">
        <f t="shared" si="144"/>
        <v/>
      </c>
      <c r="AW239" s="32" t="str">
        <f t="shared" si="145"/>
        <v/>
      </c>
      <c r="AX239" s="32" t="str">
        <f t="shared" si="146"/>
        <v/>
      </c>
      <c r="AY239" s="32" t="str">
        <f t="shared" si="147"/>
        <v/>
      </c>
      <c r="BA239" s="32" t="str">
        <f>IF($A240="","",F239*Summary!$Q$10)</f>
        <v/>
      </c>
    </row>
    <row r="240" spans="1:53" ht="12" customHeight="1">
      <c r="A240" s="67" t="str">
        <f t="shared" si="148"/>
        <v/>
      </c>
      <c r="B240" s="69" t="str">
        <f t="shared" si="150"/>
        <v/>
      </c>
      <c r="C240" s="71"/>
      <c r="D240" s="69" t="str">
        <f t="shared" si="114"/>
        <v/>
      </c>
      <c r="E240" s="70" t="str">
        <f t="shared" si="115"/>
        <v/>
      </c>
      <c r="F240" s="70" t="str">
        <f t="shared" si="116"/>
        <v/>
      </c>
      <c r="G240" s="63" t="str">
        <f t="shared" si="117"/>
        <v/>
      </c>
      <c r="H240" s="64" t="str">
        <f t="shared" si="118"/>
        <v/>
      </c>
      <c r="I240" s="43"/>
      <c r="J240" s="63" t="str">
        <f t="shared" si="119"/>
        <v/>
      </c>
      <c r="K240" s="64" t="str">
        <f t="shared" si="120"/>
        <v/>
      </c>
      <c r="L240" s="38">
        <v>0</v>
      </c>
      <c r="M240" s="64" t="str">
        <f t="shared" si="121"/>
        <v/>
      </c>
      <c r="N240" s="65"/>
      <c r="O240" s="63" t="str">
        <f t="shared" si="122"/>
        <v/>
      </c>
      <c r="P240" s="63" t="str">
        <f t="shared" si="123"/>
        <v/>
      </c>
      <c r="Q240" s="66"/>
      <c r="R240" s="63" t="str">
        <f t="shared" si="124"/>
        <v/>
      </c>
      <c r="S240" s="64" t="str">
        <f t="shared" si="125"/>
        <v/>
      </c>
      <c r="T240" s="63" t="str">
        <f t="shared" si="126"/>
        <v/>
      </c>
      <c r="U240" s="64" t="str">
        <f t="shared" si="127"/>
        <v/>
      </c>
      <c r="V240" s="219" t="str">
        <f>IF($A241="","",IF(AND(MONTH(A240)&gt;3,MONTH(A240)&lt;11),(T240+R240+G240)*Summary!$T$10/(1-Summary!$T$10),(T240+R240+G240)*Summary!$U$10/(1-Summary!$U$10)))</f>
        <v/>
      </c>
      <c r="W240" s="63" t="str">
        <f t="shared" si="128"/>
        <v/>
      </c>
      <c r="X240" s="63" t="str">
        <f t="shared" si="129"/>
        <v/>
      </c>
      <c r="Y240" s="43"/>
      <c r="Z240" s="38" t="str">
        <f t="shared" si="130"/>
        <v/>
      </c>
      <c r="AA240" s="38" t="str">
        <f t="shared" si="131"/>
        <v/>
      </c>
      <c r="AB240" s="38" t="e">
        <f t="shared" si="132"/>
        <v>#VALUE!</v>
      </c>
      <c r="AC240" s="38" t="str">
        <f t="shared" si="133"/>
        <v/>
      </c>
      <c r="AD240" s="38" t="str">
        <f t="shared" si="133"/>
        <v/>
      </c>
      <c r="AE240" s="38" t="e">
        <f t="shared" si="134"/>
        <v>#VALUE!</v>
      </c>
      <c r="AF240" s="237" t="e">
        <f>((Summary!$N$10*(AA240*AD240)*(A240-$D$3))+(Summary!$M$10*Z240*AC240*(AJ240-EOMONTH(EDATE(A240,-1),0))))/(AK240*AB240*AE240)</f>
        <v>#VALUE!</v>
      </c>
      <c r="AG240" s="88" t="str">
        <f>IF($A241="","",Summary!$Q$10)</f>
        <v/>
      </c>
      <c r="AH240" s="88" t="str">
        <f>IF($A241="","",IF(Summary!$R$10="Y",(VLOOKUP($A240,Summary!$AD$6:$AF$9,3)+'Escalating commodity'!F253),'Escalating commodity'!F253))</f>
        <v/>
      </c>
      <c r="AI240" s="88" t="str">
        <f t="shared" si="149"/>
        <v/>
      </c>
      <c r="AJ240" s="236" t="e">
        <f t="shared" si="135"/>
        <v>#VALUE!</v>
      </c>
      <c r="AK240" s="58" t="str">
        <f t="shared" si="136"/>
        <v/>
      </c>
      <c r="AL240" s="26" t="str">
        <f>IF($A241="","",_xll.SPRDOPT(P240,X240,AI240,0,AB240,AE240,AF240,AK240,$AJ$2,0))</f>
        <v/>
      </c>
      <c r="AM240" s="89" t="str">
        <f t="shared" si="137"/>
        <v/>
      </c>
      <c r="AN240" s="89" t="str">
        <f t="shared" si="138"/>
        <v/>
      </c>
      <c r="AO240" s="3" t="str">
        <f t="shared" si="139"/>
        <v/>
      </c>
      <c r="AP240" s="33" t="str">
        <f t="shared" si="140"/>
        <v/>
      </c>
      <c r="AQ240" s="58" t="str">
        <f t="shared" si="141"/>
        <v/>
      </c>
      <c r="AR240" s="38">
        <f>'ANR OK vs ML7'!AR240</f>
        <v>0.1</v>
      </c>
      <c r="AS240" s="35" t="str">
        <f t="shared" si="142"/>
        <v/>
      </c>
      <c r="AT240" s="3" t="str">
        <f t="shared" si="143"/>
        <v/>
      </c>
      <c r="AU240" s="3" t="str">
        <f t="shared" si="144"/>
        <v/>
      </c>
      <c r="AW240" s="32" t="str">
        <f t="shared" si="145"/>
        <v/>
      </c>
      <c r="AX240" s="32" t="str">
        <f t="shared" si="146"/>
        <v/>
      </c>
      <c r="AY240" s="32" t="str">
        <f t="shared" si="147"/>
        <v/>
      </c>
      <c r="BA240" s="32" t="str">
        <f>IF($A241="","",F240*Summary!$Q$10)</f>
        <v/>
      </c>
    </row>
    <row r="241" spans="1:53" ht="12" customHeight="1">
      <c r="A241" s="67" t="str">
        <f t="shared" si="148"/>
        <v/>
      </c>
      <c r="B241" s="69" t="str">
        <f t="shared" si="150"/>
        <v/>
      </c>
      <c r="C241" s="71"/>
      <c r="D241" s="69" t="str">
        <f t="shared" si="114"/>
        <v/>
      </c>
      <c r="E241" s="70" t="str">
        <f t="shared" si="115"/>
        <v/>
      </c>
      <c r="F241" s="70" t="str">
        <f t="shared" si="116"/>
        <v/>
      </c>
      <c r="G241" s="63" t="str">
        <f t="shared" si="117"/>
        <v/>
      </c>
      <c r="H241" s="64" t="str">
        <f t="shared" si="118"/>
        <v/>
      </c>
      <c r="I241" s="43"/>
      <c r="J241" s="63" t="str">
        <f t="shared" si="119"/>
        <v/>
      </c>
      <c r="K241" s="64" t="str">
        <f t="shared" si="120"/>
        <v/>
      </c>
      <c r="L241" s="38">
        <v>0</v>
      </c>
      <c r="M241" s="64" t="str">
        <f t="shared" si="121"/>
        <v/>
      </c>
      <c r="N241" s="65"/>
      <c r="O241" s="63" t="str">
        <f t="shared" si="122"/>
        <v/>
      </c>
      <c r="P241" s="63" t="str">
        <f t="shared" si="123"/>
        <v/>
      </c>
      <c r="Q241" s="66"/>
      <c r="R241" s="63" t="str">
        <f t="shared" si="124"/>
        <v/>
      </c>
      <c r="S241" s="64" t="str">
        <f t="shared" si="125"/>
        <v/>
      </c>
      <c r="T241" s="63" t="str">
        <f t="shared" si="126"/>
        <v/>
      </c>
      <c r="U241" s="64" t="str">
        <f t="shared" si="127"/>
        <v/>
      </c>
      <c r="V241" s="219" t="str">
        <f>IF($A242="","",IF(AND(MONTH(A241)&gt;3,MONTH(A241)&lt;11),(T241+R241+G241)*Summary!$T$10/(1-Summary!$T$10),(T241+R241+G241)*Summary!$U$10/(1-Summary!$U$10)))</f>
        <v/>
      </c>
      <c r="W241" s="63" t="str">
        <f t="shared" si="128"/>
        <v/>
      </c>
      <c r="X241" s="63" t="str">
        <f t="shared" si="129"/>
        <v/>
      </c>
      <c r="Y241" s="43"/>
      <c r="Z241" s="38" t="str">
        <f t="shared" si="130"/>
        <v/>
      </c>
      <c r="AA241" s="38" t="str">
        <f t="shared" si="131"/>
        <v/>
      </c>
      <c r="AB241" s="38" t="e">
        <f t="shared" si="132"/>
        <v>#VALUE!</v>
      </c>
      <c r="AC241" s="38" t="str">
        <f t="shared" si="133"/>
        <v/>
      </c>
      <c r="AD241" s="38" t="str">
        <f t="shared" si="133"/>
        <v/>
      </c>
      <c r="AE241" s="38" t="e">
        <f t="shared" si="134"/>
        <v>#VALUE!</v>
      </c>
      <c r="AF241" s="237" t="e">
        <f>((Summary!$N$10*(AA241*AD241)*(A241-$D$3))+(Summary!$M$10*Z241*AC241*(AJ241-EOMONTH(EDATE(A241,-1),0))))/(AK241*AB241*AE241)</f>
        <v>#VALUE!</v>
      </c>
      <c r="AG241" s="88" t="str">
        <f>IF($A242="","",Summary!$Q$10)</f>
        <v/>
      </c>
      <c r="AH241" s="88" t="str">
        <f>IF($A242="","",IF(Summary!$R$10="Y",(VLOOKUP($A241,Summary!$AD$6:$AF$9,3)+'Escalating commodity'!F254),'Escalating commodity'!F254))</f>
        <v/>
      </c>
      <c r="AI241" s="88" t="str">
        <f t="shared" si="149"/>
        <v/>
      </c>
      <c r="AJ241" s="236" t="e">
        <f t="shared" si="135"/>
        <v>#VALUE!</v>
      </c>
      <c r="AK241" s="58" t="str">
        <f t="shared" si="136"/>
        <v/>
      </c>
      <c r="AL241" s="26" t="str">
        <f>IF($A242="","",_xll.SPRDOPT(P241,X241,AI241,0,AB241,AE241,AF241,AK241,$AJ$2,0))</f>
        <v/>
      </c>
      <c r="AM241" s="89" t="str">
        <f t="shared" si="137"/>
        <v/>
      </c>
      <c r="AN241" s="89" t="str">
        <f t="shared" si="138"/>
        <v/>
      </c>
      <c r="AO241" s="3" t="str">
        <f t="shared" si="139"/>
        <v/>
      </c>
      <c r="AP241" s="33" t="str">
        <f t="shared" si="140"/>
        <v/>
      </c>
      <c r="AQ241" s="58" t="str">
        <f t="shared" si="141"/>
        <v/>
      </c>
      <c r="AR241" s="38">
        <f>'ANR OK vs ML7'!AR241</f>
        <v>0.1</v>
      </c>
      <c r="AS241" s="35" t="str">
        <f t="shared" si="142"/>
        <v/>
      </c>
      <c r="AT241" s="3" t="str">
        <f t="shared" si="143"/>
        <v/>
      </c>
      <c r="AU241" s="3" t="str">
        <f t="shared" si="144"/>
        <v/>
      </c>
      <c r="AW241" s="32" t="str">
        <f t="shared" si="145"/>
        <v/>
      </c>
      <c r="AX241" s="32" t="str">
        <f t="shared" si="146"/>
        <v/>
      </c>
      <c r="AY241" s="32" t="str">
        <f t="shared" si="147"/>
        <v/>
      </c>
      <c r="BA241" s="32" t="str">
        <f>IF($A242="","",F241*Summary!$Q$10)</f>
        <v/>
      </c>
    </row>
    <row r="242" spans="1:53" ht="12" customHeight="1">
      <c r="A242" s="67" t="str">
        <f t="shared" si="148"/>
        <v/>
      </c>
      <c r="B242" s="69" t="str">
        <f t="shared" si="150"/>
        <v/>
      </c>
      <c r="C242" s="71"/>
      <c r="D242" s="69" t="str">
        <f t="shared" si="114"/>
        <v/>
      </c>
      <c r="E242" s="70" t="str">
        <f t="shared" si="115"/>
        <v/>
      </c>
      <c r="F242" s="70" t="str">
        <f t="shared" si="116"/>
        <v/>
      </c>
      <c r="G242" s="63" t="str">
        <f t="shared" si="117"/>
        <v/>
      </c>
      <c r="H242" s="64" t="str">
        <f t="shared" si="118"/>
        <v/>
      </c>
      <c r="I242" s="43"/>
      <c r="J242" s="63" t="str">
        <f t="shared" si="119"/>
        <v/>
      </c>
      <c r="K242" s="64" t="str">
        <f t="shared" si="120"/>
        <v/>
      </c>
      <c r="L242" s="38">
        <v>0</v>
      </c>
      <c r="M242" s="64" t="str">
        <f t="shared" si="121"/>
        <v/>
      </c>
      <c r="N242" s="65"/>
      <c r="O242" s="63" t="str">
        <f t="shared" si="122"/>
        <v/>
      </c>
      <c r="P242" s="63" t="str">
        <f t="shared" si="123"/>
        <v/>
      </c>
      <c r="Q242" s="66"/>
      <c r="R242" s="63" t="str">
        <f t="shared" si="124"/>
        <v/>
      </c>
      <c r="S242" s="64" t="str">
        <f t="shared" si="125"/>
        <v/>
      </c>
      <c r="T242" s="63" t="str">
        <f t="shared" si="126"/>
        <v/>
      </c>
      <c r="U242" s="64" t="str">
        <f t="shared" si="127"/>
        <v/>
      </c>
      <c r="V242" s="219" t="str">
        <f>IF($A243="","",IF(AND(MONTH(A242)&gt;3,MONTH(A242)&lt;11),(T242+R242+G242)*Summary!$T$10/(1-Summary!$T$10),(T242+R242+G242)*Summary!$U$10/(1-Summary!$U$10)))</f>
        <v/>
      </c>
      <c r="W242" s="63" t="str">
        <f t="shared" si="128"/>
        <v/>
      </c>
      <c r="X242" s="63" t="str">
        <f t="shared" si="129"/>
        <v/>
      </c>
      <c r="Y242" s="43"/>
      <c r="Z242" s="38" t="str">
        <f t="shared" si="130"/>
        <v/>
      </c>
      <c r="AA242" s="38" t="str">
        <f t="shared" si="131"/>
        <v/>
      </c>
      <c r="AB242" s="38" t="e">
        <f t="shared" si="132"/>
        <v>#VALUE!</v>
      </c>
      <c r="AC242" s="38" t="str">
        <f t="shared" si="133"/>
        <v/>
      </c>
      <c r="AD242" s="38" t="str">
        <f t="shared" si="133"/>
        <v/>
      </c>
      <c r="AE242" s="38" t="e">
        <f t="shared" si="134"/>
        <v>#VALUE!</v>
      </c>
      <c r="AF242" s="237" t="e">
        <f>((Summary!$N$10*(AA242*AD242)*(A242-$D$3))+(Summary!$M$10*Z242*AC242*(AJ242-EOMONTH(EDATE(A242,-1),0))))/(AK242*AB242*AE242)</f>
        <v>#VALUE!</v>
      </c>
      <c r="AG242" s="88" t="str">
        <f>IF($A243="","",Summary!$Q$10)</f>
        <v/>
      </c>
      <c r="AH242" s="88" t="str">
        <f>IF($A243="","",IF(Summary!$R$10="Y",(VLOOKUP($A242,Summary!$AD$6:$AF$9,3)+'Escalating commodity'!F255),'Escalating commodity'!F255))</f>
        <v/>
      </c>
      <c r="AI242" s="88" t="str">
        <f t="shared" si="149"/>
        <v/>
      </c>
      <c r="AJ242" s="236" t="e">
        <f t="shared" si="135"/>
        <v>#VALUE!</v>
      </c>
      <c r="AK242" s="58" t="str">
        <f t="shared" si="136"/>
        <v/>
      </c>
      <c r="AL242" s="26" t="str">
        <f>IF($A243="","",_xll.SPRDOPT(P242,X242,AI242,0,AB242,AE242,AF242,AK242,$AJ$2,0))</f>
        <v/>
      </c>
      <c r="AM242" s="89" t="str">
        <f t="shared" si="137"/>
        <v/>
      </c>
      <c r="AN242" s="89" t="str">
        <f t="shared" si="138"/>
        <v/>
      </c>
      <c r="AO242" s="3" t="str">
        <f t="shared" si="139"/>
        <v/>
      </c>
      <c r="AP242" s="33" t="str">
        <f t="shared" si="140"/>
        <v/>
      </c>
      <c r="AQ242" s="58" t="str">
        <f t="shared" si="141"/>
        <v/>
      </c>
      <c r="AR242" s="38">
        <f>'ANR OK vs ML7'!AR242</f>
        <v>0.1</v>
      </c>
      <c r="AS242" s="35" t="str">
        <f t="shared" si="142"/>
        <v/>
      </c>
      <c r="AT242" s="3" t="str">
        <f t="shared" si="143"/>
        <v/>
      </c>
      <c r="AU242" s="3" t="str">
        <f t="shared" si="144"/>
        <v/>
      </c>
      <c r="AW242" s="32" t="str">
        <f t="shared" si="145"/>
        <v/>
      </c>
      <c r="AX242" s="32" t="str">
        <f t="shared" si="146"/>
        <v/>
      </c>
      <c r="AY242" s="32" t="str">
        <f t="shared" si="147"/>
        <v/>
      </c>
      <c r="BA242" s="32" t="str">
        <f>IF($A243="","",F242*Summary!$Q$10)</f>
        <v/>
      </c>
    </row>
    <row r="243" spans="1:53" ht="12" customHeight="1">
      <c r="A243" s="67" t="str">
        <f t="shared" si="148"/>
        <v/>
      </c>
      <c r="B243" s="69" t="str">
        <f t="shared" si="150"/>
        <v/>
      </c>
      <c r="C243" s="71"/>
      <c r="D243" s="69" t="str">
        <f t="shared" si="114"/>
        <v/>
      </c>
      <c r="E243" s="70" t="str">
        <f t="shared" si="115"/>
        <v/>
      </c>
      <c r="F243" s="70" t="str">
        <f t="shared" si="116"/>
        <v/>
      </c>
      <c r="G243" s="63" t="str">
        <f t="shared" si="117"/>
        <v/>
      </c>
      <c r="H243" s="64" t="str">
        <f t="shared" si="118"/>
        <v/>
      </c>
      <c r="I243" s="43"/>
      <c r="J243" s="63" t="str">
        <f t="shared" si="119"/>
        <v/>
      </c>
      <c r="K243" s="64" t="str">
        <f t="shared" si="120"/>
        <v/>
      </c>
      <c r="L243" s="38">
        <v>0</v>
      </c>
      <c r="M243" s="64" t="str">
        <f t="shared" si="121"/>
        <v/>
      </c>
      <c r="N243" s="65"/>
      <c r="O243" s="63" t="str">
        <f t="shared" si="122"/>
        <v/>
      </c>
      <c r="P243" s="63" t="str">
        <f t="shared" si="123"/>
        <v/>
      </c>
      <c r="Q243" s="66"/>
      <c r="R243" s="63" t="str">
        <f t="shared" si="124"/>
        <v/>
      </c>
      <c r="S243" s="64" t="str">
        <f t="shared" si="125"/>
        <v/>
      </c>
      <c r="T243" s="63" t="str">
        <f t="shared" si="126"/>
        <v/>
      </c>
      <c r="U243" s="64" t="str">
        <f t="shared" si="127"/>
        <v/>
      </c>
      <c r="V243" s="219" t="str">
        <f>IF($A244="","",IF(AND(MONTH(A243)&gt;3,MONTH(A243)&lt;11),(T243+R243+G243)*Summary!$T$10/(1-Summary!$T$10),(T243+R243+G243)*Summary!$U$10/(1-Summary!$U$10)))</f>
        <v/>
      </c>
      <c r="W243" s="63" t="str">
        <f t="shared" si="128"/>
        <v/>
      </c>
      <c r="X243" s="63" t="str">
        <f t="shared" si="129"/>
        <v/>
      </c>
      <c r="Y243" s="43"/>
      <c r="Z243" s="38" t="str">
        <f t="shared" si="130"/>
        <v/>
      </c>
      <c r="AA243" s="38" t="str">
        <f t="shared" si="131"/>
        <v/>
      </c>
      <c r="AB243" s="38" t="e">
        <f t="shared" si="132"/>
        <v>#VALUE!</v>
      </c>
      <c r="AC243" s="38" t="str">
        <f t="shared" si="133"/>
        <v/>
      </c>
      <c r="AD243" s="38" t="str">
        <f t="shared" si="133"/>
        <v/>
      </c>
      <c r="AE243" s="38" t="e">
        <f t="shared" si="134"/>
        <v>#VALUE!</v>
      </c>
      <c r="AF243" s="237" t="e">
        <f>((Summary!$N$10*(AA243*AD243)*(A243-$D$3))+(Summary!$M$10*Z243*AC243*(AJ243-EOMONTH(EDATE(A243,-1),0))))/(AK243*AB243*AE243)</f>
        <v>#VALUE!</v>
      </c>
      <c r="AG243" s="88" t="str">
        <f>IF($A244="","",Summary!$Q$10)</f>
        <v/>
      </c>
      <c r="AH243" s="88" t="str">
        <f>IF($A244="","",IF(Summary!$R$10="Y",(VLOOKUP($A243,Summary!$AD$6:$AF$9,3)+'Escalating commodity'!F256),'Escalating commodity'!F256))</f>
        <v/>
      </c>
      <c r="AI243" s="88" t="str">
        <f t="shared" si="149"/>
        <v/>
      </c>
      <c r="AJ243" s="236" t="e">
        <f t="shared" si="135"/>
        <v>#VALUE!</v>
      </c>
      <c r="AK243" s="58" t="str">
        <f t="shared" si="136"/>
        <v/>
      </c>
      <c r="AL243" s="26" t="str">
        <f>IF($A244="","",_xll.SPRDOPT(P243,X243,AI243,0,AB243,AE243,AF243,AK243,$AJ$2,0))</f>
        <v/>
      </c>
      <c r="AM243" s="89" t="str">
        <f t="shared" si="137"/>
        <v/>
      </c>
      <c r="AN243" s="89" t="str">
        <f t="shared" si="138"/>
        <v/>
      </c>
      <c r="AO243" s="3" t="str">
        <f t="shared" si="139"/>
        <v/>
      </c>
      <c r="AP243" s="33" t="str">
        <f t="shared" si="140"/>
        <v/>
      </c>
      <c r="AQ243" s="58" t="str">
        <f t="shared" si="141"/>
        <v/>
      </c>
      <c r="AR243" s="38">
        <f>'ANR OK vs ML7'!AR243</f>
        <v>0.1</v>
      </c>
      <c r="AS243" s="35" t="str">
        <f t="shared" si="142"/>
        <v/>
      </c>
      <c r="AT243" s="3" t="str">
        <f t="shared" si="143"/>
        <v/>
      </c>
      <c r="AU243" s="3" t="str">
        <f t="shared" si="144"/>
        <v/>
      </c>
      <c r="AW243" s="32" t="str">
        <f t="shared" si="145"/>
        <v/>
      </c>
      <c r="AX243" s="32" t="str">
        <f t="shared" si="146"/>
        <v/>
      </c>
      <c r="AY243" s="32" t="str">
        <f t="shared" si="147"/>
        <v/>
      </c>
      <c r="BA243" s="32" t="str">
        <f>IF($A244="","",F243*Summary!$Q$10)</f>
        <v/>
      </c>
    </row>
    <row r="244" spans="1:53" ht="12" customHeight="1">
      <c r="A244" s="67" t="str">
        <f t="shared" si="148"/>
        <v/>
      </c>
      <c r="B244" s="69" t="str">
        <f t="shared" si="150"/>
        <v/>
      </c>
      <c r="C244" s="71"/>
      <c r="D244" s="69" t="str">
        <f t="shared" si="114"/>
        <v/>
      </c>
      <c r="E244" s="70" t="str">
        <f t="shared" si="115"/>
        <v/>
      </c>
      <c r="F244" s="70" t="str">
        <f t="shared" si="116"/>
        <v/>
      </c>
      <c r="G244" s="63" t="str">
        <f t="shared" si="117"/>
        <v/>
      </c>
      <c r="H244" s="64" t="str">
        <f t="shared" si="118"/>
        <v/>
      </c>
      <c r="I244" s="43"/>
      <c r="J244" s="63" t="str">
        <f t="shared" si="119"/>
        <v/>
      </c>
      <c r="K244" s="64" t="str">
        <f t="shared" si="120"/>
        <v/>
      </c>
      <c r="L244" s="38">
        <v>0</v>
      </c>
      <c r="M244" s="64" t="str">
        <f t="shared" si="121"/>
        <v/>
      </c>
      <c r="N244" s="65"/>
      <c r="O244" s="63" t="str">
        <f t="shared" si="122"/>
        <v/>
      </c>
      <c r="P244" s="63" t="str">
        <f t="shared" si="123"/>
        <v/>
      </c>
      <c r="Q244" s="66"/>
      <c r="R244" s="63" t="str">
        <f t="shared" si="124"/>
        <v/>
      </c>
      <c r="S244" s="64" t="str">
        <f t="shared" si="125"/>
        <v/>
      </c>
      <c r="T244" s="63" t="str">
        <f t="shared" si="126"/>
        <v/>
      </c>
      <c r="U244" s="64" t="str">
        <f t="shared" si="127"/>
        <v/>
      </c>
      <c r="V244" s="219" t="str">
        <f>IF($A245="","",IF(AND(MONTH(A244)&gt;3,MONTH(A244)&lt;11),(T244+R244+G244)*Summary!$T$10/(1-Summary!$T$10),(T244+R244+G244)*Summary!$U$10/(1-Summary!$U$10)))</f>
        <v/>
      </c>
      <c r="W244" s="63" t="str">
        <f t="shared" si="128"/>
        <v/>
      </c>
      <c r="X244" s="63" t="str">
        <f t="shared" si="129"/>
        <v/>
      </c>
      <c r="Y244" s="43"/>
      <c r="Z244" s="38" t="str">
        <f t="shared" si="130"/>
        <v/>
      </c>
      <c r="AA244" s="38" t="str">
        <f t="shared" si="131"/>
        <v/>
      </c>
      <c r="AB244" s="38" t="e">
        <f t="shared" si="132"/>
        <v>#VALUE!</v>
      </c>
      <c r="AC244" s="38" t="str">
        <f t="shared" si="133"/>
        <v/>
      </c>
      <c r="AD244" s="38" t="str">
        <f t="shared" si="133"/>
        <v/>
      </c>
      <c r="AE244" s="38" t="e">
        <f t="shared" si="134"/>
        <v>#VALUE!</v>
      </c>
      <c r="AF244" s="237" t="e">
        <f>((Summary!$N$10*(AA244*AD244)*(A244-$D$3))+(Summary!$M$10*Z244*AC244*(AJ244-EOMONTH(EDATE(A244,-1),0))))/(AK244*AB244*AE244)</f>
        <v>#VALUE!</v>
      </c>
      <c r="AG244" s="88" t="str">
        <f>IF($A245="","",Summary!$Q$10)</f>
        <v/>
      </c>
      <c r="AH244" s="88" t="str">
        <f>IF($A245="","",IF(Summary!$R$10="Y",(VLOOKUP($A244,Summary!$AD$6:$AF$9,3)+'Escalating commodity'!F257),'Escalating commodity'!F257))</f>
        <v/>
      </c>
      <c r="AI244" s="88" t="str">
        <f t="shared" si="149"/>
        <v/>
      </c>
      <c r="AJ244" s="236" t="e">
        <f t="shared" si="135"/>
        <v>#VALUE!</v>
      </c>
      <c r="AK244" s="58" t="str">
        <f t="shared" si="136"/>
        <v/>
      </c>
      <c r="AL244" s="26" t="str">
        <f>IF($A245="","",_xll.SPRDOPT(P244,X244,AI244,0,AB244,AE244,AF244,AK244,$AJ$2,0))</f>
        <v/>
      </c>
      <c r="AM244" s="89" t="str">
        <f t="shared" si="137"/>
        <v/>
      </c>
      <c r="AN244" s="89" t="str">
        <f t="shared" si="138"/>
        <v/>
      </c>
      <c r="AO244" s="3" t="str">
        <f t="shared" si="139"/>
        <v/>
      </c>
      <c r="AP244" s="33" t="str">
        <f t="shared" si="140"/>
        <v/>
      </c>
      <c r="AQ244" s="58" t="str">
        <f t="shared" si="141"/>
        <v/>
      </c>
      <c r="AR244" s="38">
        <f>'ANR OK vs ML7'!AR244</f>
        <v>0.1</v>
      </c>
      <c r="AS244" s="35" t="str">
        <f t="shared" si="142"/>
        <v/>
      </c>
      <c r="AT244" s="3" t="str">
        <f t="shared" si="143"/>
        <v/>
      </c>
      <c r="AU244" s="3" t="str">
        <f t="shared" si="144"/>
        <v/>
      </c>
      <c r="AW244" s="32" t="str">
        <f t="shared" si="145"/>
        <v/>
      </c>
      <c r="AX244" s="32" t="str">
        <f t="shared" si="146"/>
        <v/>
      </c>
      <c r="AY244" s="32" t="str">
        <f t="shared" si="147"/>
        <v/>
      </c>
      <c r="BA244" s="32" t="str">
        <f>IF($A245="","",F244*Summary!$Q$10)</f>
        <v/>
      </c>
    </row>
    <row r="245" spans="1:53" ht="12" customHeight="1">
      <c r="A245" s="67" t="str">
        <f t="shared" si="148"/>
        <v/>
      </c>
      <c r="B245" s="69" t="str">
        <f t="shared" si="150"/>
        <v/>
      </c>
      <c r="C245" s="71"/>
      <c r="D245" s="69" t="str">
        <f t="shared" si="114"/>
        <v/>
      </c>
      <c r="E245" s="70" t="str">
        <f t="shared" si="115"/>
        <v/>
      </c>
      <c r="F245" s="70" t="str">
        <f t="shared" si="116"/>
        <v/>
      </c>
      <c r="G245" s="63" t="str">
        <f t="shared" si="117"/>
        <v/>
      </c>
      <c r="H245" s="64" t="str">
        <f t="shared" si="118"/>
        <v/>
      </c>
      <c r="I245" s="43"/>
      <c r="J245" s="63" t="str">
        <f t="shared" si="119"/>
        <v/>
      </c>
      <c r="K245" s="64" t="str">
        <f t="shared" si="120"/>
        <v/>
      </c>
      <c r="L245" s="38">
        <v>0</v>
      </c>
      <c r="M245" s="64" t="str">
        <f t="shared" si="121"/>
        <v/>
      </c>
      <c r="N245" s="65"/>
      <c r="O245" s="63" t="str">
        <f t="shared" si="122"/>
        <v/>
      </c>
      <c r="P245" s="63" t="str">
        <f t="shared" si="123"/>
        <v/>
      </c>
      <c r="Q245" s="66"/>
      <c r="R245" s="63" t="str">
        <f t="shared" si="124"/>
        <v/>
      </c>
      <c r="S245" s="64" t="str">
        <f t="shared" si="125"/>
        <v/>
      </c>
      <c r="T245" s="63" t="str">
        <f t="shared" si="126"/>
        <v/>
      </c>
      <c r="U245" s="64" t="str">
        <f t="shared" si="127"/>
        <v/>
      </c>
      <c r="V245" s="219" t="str">
        <f>IF($A246="","",IF(AND(MONTH(A245)&gt;3,MONTH(A245)&lt;11),(T245+R245+G245)*Summary!$T$10/(1-Summary!$T$10),(T245+R245+G245)*Summary!$U$10/(1-Summary!$U$10)))</f>
        <v/>
      </c>
      <c r="W245" s="63" t="str">
        <f t="shared" si="128"/>
        <v/>
      </c>
      <c r="X245" s="63" t="str">
        <f t="shared" si="129"/>
        <v/>
      </c>
      <c r="Y245" s="43"/>
      <c r="Z245" s="38" t="str">
        <f t="shared" si="130"/>
        <v/>
      </c>
      <c r="AA245" s="38" t="str">
        <f t="shared" si="131"/>
        <v/>
      </c>
      <c r="AB245" s="38" t="e">
        <f t="shared" si="132"/>
        <v>#VALUE!</v>
      </c>
      <c r="AC245" s="38" t="str">
        <f t="shared" si="133"/>
        <v/>
      </c>
      <c r="AD245" s="38" t="str">
        <f t="shared" si="133"/>
        <v/>
      </c>
      <c r="AE245" s="38" t="e">
        <f t="shared" si="134"/>
        <v>#VALUE!</v>
      </c>
      <c r="AF245" s="237" t="e">
        <f>((Summary!$N$10*(AA245*AD245)*(A245-$D$3))+(Summary!$M$10*Z245*AC245*(AJ245-EOMONTH(EDATE(A245,-1),0))))/(AK245*AB245*AE245)</f>
        <v>#VALUE!</v>
      </c>
      <c r="AG245" s="88" t="str">
        <f>IF($A246="","",Summary!$Q$10)</f>
        <v/>
      </c>
      <c r="AH245" s="88" t="str">
        <f>IF($A246="","",IF(Summary!$R$10="Y",(VLOOKUP($A245,Summary!$AD$6:$AF$9,3)+'Escalating commodity'!F258),'Escalating commodity'!F258))</f>
        <v/>
      </c>
      <c r="AI245" s="88" t="str">
        <f t="shared" si="149"/>
        <v/>
      </c>
      <c r="AJ245" s="236" t="e">
        <f t="shared" si="135"/>
        <v>#VALUE!</v>
      </c>
      <c r="AK245" s="58" t="str">
        <f t="shared" si="136"/>
        <v/>
      </c>
      <c r="AL245" s="26" t="str">
        <f>IF($A246="","",_xll.SPRDOPT(P245,X245,AI245,0,AB245,AE245,AF245,AK245,$AJ$2,0))</f>
        <v/>
      </c>
      <c r="AM245" s="89" t="str">
        <f t="shared" si="137"/>
        <v/>
      </c>
      <c r="AN245" s="89" t="str">
        <f t="shared" si="138"/>
        <v/>
      </c>
      <c r="AO245" s="3" t="str">
        <f t="shared" si="139"/>
        <v/>
      </c>
      <c r="AP245" s="33" t="str">
        <f t="shared" si="140"/>
        <v/>
      </c>
      <c r="AQ245" s="58" t="str">
        <f t="shared" si="141"/>
        <v/>
      </c>
      <c r="AR245" s="38">
        <f>'ANR OK vs ML7'!AR245</f>
        <v>0.1</v>
      </c>
      <c r="AS245" s="35" t="str">
        <f t="shared" si="142"/>
        <v/>
      </c>
      <c r="AT245" s="3" t="str">
        <f t="shared" si="143"/>
        <v/>
      </c>
      <c r="AU245" s="3" t="str">
        <f t="shared" si="144"/>
        <v/>
      </c>
      <c r="AW245" s="32" t="str">
        <f t="shared" si="145"/>
        <v/>
      </c>
      <c r="AX245" s="32" t="str">
        <f t="shared" si="146"/>
        <v/>
      </c>
      <c r="AY245" s="32" t="str">
        <f t="shared" si="147"/>
        <v/>
      </c>
      <c r="BA245" s="32" t="str">
        <f>IF($A246="","",F245*Summary!$Q$10)</f>
        <v/>
      </c>
    </row>
    <row r="246" spans="1:53" ht="12" customHeight="1">
      <c r="A246" s="67" t="str">
        <f t="shared" si="148"/>
        <v/>
      </c>
      <c r="B246" s="69" t="str">
        <f t="shared" si="150"/>
        <v/>
      </c>
      <c r="C246" s="71"/>
      <c r="D246" s="69" t="str">
        <f t="shared" si="114"/>
        <v/>
      </c>
      <c r="E246" s="70" t="str">
        <f t="shared" si="115"/>
        <v/>
      </c>
      <c r="F246" s="70" t="str">
        <f t="shared" si="116"/>
        <v/>
      </c>
      <c r="G246" s="63" t="str">
        <f t="shared" si="117"/>
        <v/>
      </c>
      <c r="H246" s="64" t="str">
        <f t="shared" si="118"/>
        <v/>
      </c>
      <c r="I246" s="43"/>
      <c r="J246" s="63" t="str">
        <f t="shared" si="119"/>
        <v/>
      </c>
      <c r="K246" s="64" t="str">
        <f t="shared" si="120"/>
        <v/>
      </c>
      <c r="L246" s="38">
        <v>0</v>
      </c>
      <c r="M246" s="64" t="str">
        <f t="shared" si="121"/>
        <v/>
      </c>
      <c r="N246" s="65"/>
      <c r="O246" s="63" t="str">
        <f t="shared" si="122"/>
        <v/>
      </c>
      <c r="P246" s="63" t="str">
        <f t="shared" si="123"/>
        <v/>
      </c>
      <c r="Q246" s="66"/>
      <c r="R246" s="63" t="str">
        <f t="shared" si="124"/>
        <v/>
      </c>
      <c r="S246" s="64" t="str">
        <f t="shared" si="125"/>
        <v/>
      </c>
      <c r="T246" s="63" t="str">
        <f t="shared" si="126"/>
        <v/>
      </c>
      <c r="U246" s="64" t="str">
        <f t="shared" si="127"/>
        <v/>
      </c>
      <c r="V246" s="219" t="str">
        <f>IF($A247="","",IF(AND(MONTH(A246)&gt;3,MONTH(A246)&lt;11),(T246+R246+G246)*Summary!$T$10/(1-Summary!$T$10),(T246+R246+G246)*Summary!$U$10/(1-Summary!$U$10)))</f>
        <v/>
      </c>
      <c r="W246" s="63" t="str">
        <f t="shared" si="128"/>
        <v/>
      </c>
      <c r="X246" s="63" t="str">
        <f t="shared" si="129"/>
        <v/>
      </c>
      <c r="Y246" s="43"/>
      <c r="Z246" s="38" t="str">
        <f t="shared" si="130"/>
        <v/>
      </c>
      <c r="AA246" s="38" t="str">
        <f t="shared" si="131"/>
        <v/>
      </c>
      <c r="AB246" s="38" t="e">
        <f t="shared" si="132"/>
        <v>#VALUE!</v>
      </c>
      <c r="AC246" s="38" t="str">
        <f t="shared" si="133"/>
        <v/>
      </c>
      <c r="AD246" s="38" t="str">
        <f t="shared" si="133"/>
        <v/>
      </c>
      <c r="AE246" s="38" t="e">
        <f t="shared" si="134"/>
        <v>#VALUE!</v>
      </c>
      <c r="AF246" s="237" t="e">
        <f>((Summary!$N$10*(AA246*AD246)*(A246-$D$3))+(Summary!$M$10*Z246*AC246*(AJ246-EOMONTH(EDATE(A246,-1),0))))/(AK246*AB246*AE246)</f>
        <v>#VALUE!</v>
      </c>
      <c r="AG246" s="88" t="str">
        <f>IF($A247="","",Summary!$Q$10)</f>
        <v/>
      </c>
      <c r="AH246" s="88" t="str">
        <f>IF($A247="","",IF(Summary!$R$10="Y",(VLOOKUP($A246,Summary!$AD$6:$AF$9,3)+'Escalating commodity'!F259),'Escalating commodity'!F259))</f>
        <v/>
      </c>
      <c r="AI246" s="88" t="str">
        <f t="shared" si="149"/>
        <v/>
      </c>
      <c r="AJ246" s="236" t="e">
        <f t="shared" si="135"/>
        <v>#VALUE!</v>
      </c>
      <c r="AK246" s="58" t="str">
        <f t="shared" si="136"/>
        <v/>
      </c>
      <c r="AL246" s="26" t="str">
        <f>IF($A247="","",_xll.SPRDOPT(P246,X246,AI246,0,AB246,AE246,AF246,AK246,$AJ$2,0))</f>
        <v/>
      </c>
      <c r="AM246" s="89" t="str">
        <f t="shared" si="137"/>
        <v/>
      </c>
      <c r="AN246" s="89" t="str">
        <f t="shared" si="138"/>
        <v/>
      </c>
      <c r="AO246" s="3" t="str">
        <f t="shared" si="139"/>
        <v/>
      </c>
      <c r="AP246" s="33" t="str">
        <f t="shared" si="140"/>
        <v/>
      </c>
      <c r="AQ246" s="58" t="str">
        <f t="shared" si="141"/>
        <v/>
      </c>
      <c r="AR246" s="38">
        <f>'ANR OK vs ML7'!AR246</f>
        <v>0.1</v>
      </c>
      <c r="AS246" s="35" t="str">
        <f t="shared" si="142"/>
        <v/>
      </c>
      <c r="AT246" s="3" t="str">
        <f t="shared" si="143"/>
        <v/>
      </c>
      <c r="AU246" s="3" t="str">
        <f t="shared" si="144"/>
        <v/>
      </c>
      <c r="AW246" s="32" t="str">
        <f t="shared" si="145"/>
        <v/>
      </c>
      <c r="AX246" s="32" t="str">
        <f t="shared" si="146"/>
        <v/>
      </c>
      <c r="AY246" s="32" t="str">
        <f t="shared" si="147"/>
        <v/>
      </c>
      <c r="BA246" s="32" t="str">
        <f>IF($A247="","",F246*Summary!$Q$10)</f>
        <v/>
      </c>
    </row>
    <row r="247" spans="1:53" ht="12" customHeight="1">
      <c r="A247" s="67" t="str">
        <f t="shared" si="148"/>
        <v/>
      </c>
      <c r="B247" s="69" t="str">
        <f t="shared" si="150"/>
        <v/>
      </c>
      <c r="C247" s="71"/>
      <c r="D247" s="69" t="str">
        <f t="shared" si="114"/>
        <v/>
      </c>
      <c r="E247" s="70" t="str">
        <f t="shared" si="115"/>
        <v/>
      </c>
      <c r="F247" s="70" t="str">
        <f t="shared" si="116"/>
        <v/>
      </c>
      <c r="G247" s="63" t="str">
        <f t="shared" si="117"/>
        <v/>
      </c>
      <c r="H247" s="64" t="str">
        <f t="shared" si="118"/>
        <v/>
      </c>
      <c r="I247" s="43"/>
      <c r="J247" s="63" t="str">
        <f t="shared" si="119"/>
        <v/>
      </c>
      <c r="K247" s="64" t="str">
        <f t="shared" si="120"/>
        <v/>
      </c>
      <c r="L247" s="38">
        <v>0</v>
      </c>
      <c r="M247" s="64" t="str">
        <f t="shared" si="121"/>
        <v/>
      </c>
      <c r="N247" s="65"/>
      <c r="O247" s="63" t="str">
        <f t="shared" si="122"/>
        <v/>
      </c>
      <c r="P247" s="63" t="str">
        <f t="shared" si="123"/>
        <v/>
      </c>
      <c r="Q247" s="66"/>
      <c r="R247" s="63" t="str">
        <f t="shared" si="124"/>
        <v/>
      </c>
      <c r="S247" s="64" t="str">
        <f t="shared" si="125"/>
        <v/>
      </c>
      <c r="T247" s="63" t="str">
        <f t="shared" si="126"/>
        <v/>
      </c>
      <c r="U247" s="64" t="str">
        <f t="shared" si="127"/>
        <v/>
      </c>
      <c r="V247" s="219" t="str">
        <f>IF($A248="","",IF(AND(MONTH(A247)&gt;3,MONTH(A247)&lt;11),(T247+R247+G247)*Summary!$T$10/(1-Summary!$T$10),(T247+R247+G247)*Summary!$U$10/(1-Summary!$U$10)))</f>
        <v/>
      </c>
      <c r="W247" s="63" t="str">
        <f t="shared" si="128"/>
        <v/>
      </c>
      <c r="X247" s="63" t="str">
        <f t="shared" si="129"/>
        <v/>
      </c>
      <c r="Y247" s="43"/>
      <c r="Z247" s="38" t="str">
        <f t="shared" si="130"/>
        <v/>
      </c>
      <c r="AA247" s="38" t="str">
        <f t="shared" si="131"/>
        <v/>
      </c>
      <c r="AB247" s="38" t="e">
        <f t="shared" si="132"/>
        <v>#VALUE!</v>
      </c>
      <c r="AC247" s="38" t="str">
        <f t="shared" si="133"/>
        <v/>
      </c>
      <c r="AD247" s="38" t="str">
        <f t="shared" si="133"/>
        <v/>
      </c>
      <c r="AE247" s="38" t="e">
        <f t="shared" si="134"/>
        <v>#VALUE!</v>
      </c>
      <c r="AF247" s="237" t="e">
        <f>((Summary!$N$10*(AA247*AD247)*(A247-$D$3))+(Summary!$M$10*Z247*AC247*(AJ247-EOMONTH(EDATE(A247,-1),0))))/(AK247*AB247*AE247)</f>
        <v>#VALUE!</v>
      </c>
      <c r="AG247" s="88" t="str">
        <f>IF($A248="","",Summary!$Q$10)</f>
        <v/>
      </c>
      <c r="AH247" s="88" t="str">
        <f>IF($A248="","",IF(Summary!$R$10="Y",(VLOOKUP($A247,Summary!$AD$6:$AF$9,3)+'Escalating commodity'!F260),'Escalating commodity'!F260))</f>
        <v/>
      </c>
      <c r="AI247" s="88" t="str">
        <f t="shared" si="149"/>
        <v/>
      </c>
      <c r="AJ247" s="236" t="e">
        <f t="shared" si="135"/>
        <v>#VALUE!</v>
      </c>
      <c r="AK247" s="58" t="str">
        <f t="shared" si="136"/>
        <v/>
      </c>
      <c r="AL247" s="26" t="str">
        <f>IF($A248="","",_xll.SPRDOPT(P247,X247,AI247,0,AB247,AE247,AF247,AK247,$AJ$2,0))</f>
        <v/>
      </c>
      <c r="AM247" s="89" t="str">
        <f t="shared" si="137"/>
        <v/>
      </c>
      <c r="AN247" s="89" t="str">
        <f t="shared" si="138"/>
        <v/>
      </c>
      <c r="AO247" s="3" t="str">
        <f t="shared" si="139"/>
        <v/>
      </c>
      <c r="AP247" s="33" t="str">
        <f t="shared" si="140"/>
        <v/>
      </c>
      <c r="AQ247" s="58" t="str">
        <f t="shared" si="141"/>
        <v/>
      </c>
      <c r="AR247" s="38">
        <f>'ANR OK vs ML7'!AR247</f>
        <v>0.1</v>
      </c>
      <c r="AS247" s="35" t="str">
        <f t="shared" si="142"/>
        <v/>
      </c>
      <c r="AT247" s="3" t="str">
        <f t="shared" si="143"/>
        <v/>
      </c>
      <c r="AU247" s="3" t="str">
        <f t="shared" si="144"/>
        <v/>
      </c>
      <c r="AW247" s="32" t="str">
        <f t="shared" si="145"/>
        <v/>
      </c>
      <c r="AX247" s="32" t="str">
        <f t="shared" si="146"/>
        <v/>
      </c>
      <c r="AY247" s="32" t="str">
        <f t="shared" si="147"/>
        <v/>
      </c>
      <c r="BA247" s="32" t="str">
        <f>IF($A248="","",F247*Summary!$Q$10)</f>
        <v/>
      </c>
    </row>
    <row r="248" spans="1:53" ht="12" customHeight="1">
      <c r="A248" s="67" t="str">
        <f t="shared" si="148"/>
        <v/>
      </c>
      <c r="B248" s="69" t="str">
        <f t="shared" si="150"/>
        <v/>
      </c>
      <c r="C248" s="71"/>
      <c r="D248" s="69" t="str">
        <f t="shared" si="114"/>
        <v/>
      </c>
      <c r="E248" s="70" t="str">
        <f t="shared" si="115"/>
        <v/>
      </c>
      <c r="F248" s="70" t="str">
        <f t="shared" si="116"/>
        <v/>
      </c>
      <c r="G248" s="63" t="str">
        <f t="shared" si="117"/>
        <v/>
      </c>
      <c r="H248" s="64" t="str">
        <f t="shared" si="118"/>
        <v/>
      </c>
      <c r="I248" s="43"/>
      <c r="J248" s="63" t="str">
        <f t="shared" si="119"/>
        <v/>
      </c>
      <c r="K248" s="64" t="str">
        <f t="shared" si="120"/>
        <v/>
      </c>
      <c r="L248" s="38">
        <v>0</v>
      </c>
      <c r="M248" s="64" t="str">
        <f t="shared" si="121"/>
        <v/>
      </c>
      <c r="N248" s="65"/>
      <c r="O248" s="63" t="str">
        <f t="shared" si="122"/>
        <v/>
      </c>
      <c r="P248" s="63" t="str">
        <f t="shared" si="123"/>
        <v/>
      </c>
      <c r="Q248" s="66"/>
      <c r="R248" s="63" t="str">
        <f t="shared" si="124"/>
        <v/>
      </c>
      <c r="S248" s="64" t="str">
        <f t="shared" si="125"/>
        <v/>
      </c>
      <c r="T248" s="63" t="str">
        <f t="shared" si="126"/>
        <v/>
      </c>
      <c r="U248" s="64" t="str">
        <f t="shared" si="127"/>
        <v/>
      </c>
      <c r="V248" s="219" t="str">
        <f>IF($A249="","",IF(AND(MONTH(A248)&gt;3,MONTH(A248)&lt;11),(T248+R248+G248)*Summary!$T$10/(1-Summary!$T$10),(T248+R248+G248)*Summary!$U$10/(1-Summary!$U$10)))</f>
        <v/>
      </c>
      <c r="W248" s="63" t="str">
        <f t="shared" si="128"/>
        <v/>
      </c>
      <c r="X248" s="63" t="str">
        <f t="shared" si="129"/>
        <v/>
      </c>
      <c r="Y248" s="43"/>
      <c r="Z248" s="38" t="str">
        <f t="shared" si="130"/>
        <v/>
      </c>
      <c r="AA248" s="38" t="str">
        <f t="shared" si="131"/>
        <v/>
      </c>
      <c r="AB248" s="38" t="e">
        <f t="shared" si="132"/>
        <v>#VALUE!</v>
      </c>
      <c r="AC248" s="38" t="str">
        <f t="shared" si="133"/>
        <v/>
      </c>
      <c r="AD248" s="38" t="str">
        <f t="shared" si="133"/>
        <v/>
      </c>
      <c r="AE248" s="38" t="e">
        <f t="shared" si="134"/>
        <v>#VALUE!</v>
      </c>
      <c r="AF248" s="237" t="e">
        <f>((Summary!$N$10*(AA248*AD248)*(A248-$D$3))+(Summary!$M$10*Z248*AC248*(AJ248-EOMONTH(EDATE(A248,-1),0))))/(AK248*AB248*AE248)</f>
        <v>#VALUE!</v>
      </c>
      <c r="AG248" s="88" t="str">
        <f>IF($A249="","",Summary!$Q$10)</f>
        <v/>
      </c>
      <c r="AH248" s="88" t="str">
        <f>IF($A249="","",IF(Summary!$R$10="Y",(VLOOKUP($A248,Summary!$AD$6:$AF$9,3)+'Escalating commodity'!F261),'Escalating commodity'!F261))</f>
        <v/>
      </c>
      <c r="AI248" s="88" t="str">
        <f t="shared" si="149"/>
        <v/>
      </c>
      <c r="AJ248" s="236" t="e">
        <f t="shared" si="135"/>
        <v>#VALUE!</v>
      </c>
      <c r="AK248" s="58" t="str">
        <f t="shared" si="136"/>
        <v/>
      </c>
      <c r="AL248" s="26" t="str">
        <f>IF($A249="","",_xll.SPRDOPT(P248,X248,AI248,0,AB248,AE248,AF248,AK248,$AJ$2,0))</f>
        <v/>
      </c>
      <c r="AM248" s="89" t="str">
        <f t="shared" si="137"/>
        <v/>
      </c>
      <c r="AN248" s="89" t="str">
        <f t="shared" si="138"/>
        <v/>
      </c>
      <c r="AO248" s="3" t="str">
        <f t="shared" si="139"/>
        <v/>
      </c>
      <c r="AP248" s="33" t="str">
        <f t="shared" si="140"/>
        <v/>
      </c>
      <c r="AQ248" s="58" t="str">
        <f t="shared" si="141"/>
        <v/>
      </c>
      <c r="AR248" s="38">
        <f>'ANR OK vs ML7'!AR248</f>
        <v>0.1</v>
      </c>
      <c r="AS248" s="35" t="str">
        <f t="shared" si="142"/>
        <v/>
      </c>
      <c r="AT248" s="3" t="str">
        <f t="shared" si="143"/>
        <v/>
      </c>
      <c r="AU248" s="3" t="str">
        <f t="shared" si="144"/>
        <v/>
      </c>
      <c r="AW248" s="32" t="str">
        <f t="shared" si="145"/>
        <v/>
      </c>
      <c r="AX248" s="32" t="str">
        <f t="shared" si="146"/>
        <v/>
      </c>
      <c r="AY248" s="32" t="str">
        <f t="shared" si="147"/>
        <v/>
      </c>
      <c r="BA248" s="32" t="str">
        <f>IF($A249="","",F248*Summary!$Q$10)</f>
        <v/>
      </c>
    </row>
    <row r="249" spans="1:53" ht="12" customHeight="1">
      <c r="A249" s="67" t="str">
        <f t="shared" si="148"/>
        <v/>
      </c>
      <c r="B249" s="69" t="str">
        <f t="shared" si="150"/>
        <v/>
      </c>
      <c r="C249" s="71"/>
      <c r="D249" s="69" t="str">
        <f t="shared" si="114"/>
        <v/>
      </c>
      <c r="E249" s="70" t="str">
        <f t="shared" si="115"/>
        <v/>
      </c>
      <c r="F249" s="70" t="str">
        <f t="shared" si="116"/>
        <v/>
      </c>
      <c r="G249" s="63" t="str">
        <f t="shared" si="117"/>
        <v/>
      </c>
      <c r="H249" s="64" t="str">
        <f t="shared" si="118"/>
        <v/>
      </c>
      <c r="I249" s="43"/>
      <c r="J249" s="63" t="str">
        <f t="shared" si="119"/>
        <v/>
      </c>
      <c r="K249" s="64" t="str">
        <f t="shared" si="120"/>
        <v/>
      </c>
      <c r="L249" s="38">
        <v>0</v>
      </c>
      <c r="M249" s="64" t="str">
        <f t="shared" si="121"/>
        <v/>
      </c>
      <c r="N249" s="65"/>
      <c r="O249" s="63" t="str">
        <f t="shared" si="122"/>
        <v/>
      </c>
      <c r="P249" s="63" t="str">
        <f t="shared" si="123"/>
        <v/>
      </c>
      <c r="Q249" s="66"/>
      <c r="R249" s="63" t="str">
        <f t="shared" si="124"/>
        <v/>
      </c>
      <c r="S249" s="64" t="str">
        <f t="shared" si="125"/>
        <v/>
      </c>
      <c r="T249" s="63" t="str">
        <f t="shared" si="126"/>
        <v/>
      </c>
      <c r="U249" s="64" t="str">
        <f t="shared" si="127"/>
        <v/>
      </c>
      <c r="V249" s="219" t="str">
        <f>IF($A250="","",IF(AND(MONTH(A249)&gt;3,MONTH(A249)&lt;11),(T249+R249+G249)*Summary!$T$10/(1-Summary!$T$10),(T249+R249+G249)*Summary!$U$10/(1-Summary!$U$10)))</f>
        <v/>
      </c>
      <c r="W249" s="63" t="str">
        <f t="shared" si="128"/>
        <v/>
      </c>
      <c r="X249" s="63" t="str">
        <f t="shared" si="129"/>
        <v/>
      </c>
      <c r="Y249" s="43"/>
      <c r="Z249" s="38" t="str">
        <f t="shared" si="130"/>
        <v/>
      </c>
      <c r="AA249" s="38" t="str">
        <f t="shared" si="131"/>
        <v/>
      </c>
      <c r="AB249" s="38" t="e">
        <f t="shared" si="132"/>
        <v>#VALUE!</v>
      </c>
      <c r="AC249" s="38" t="str">
        <f t="shared" si="133"/>
        <v/>
      </c>
      <c r="AD249" s="38" t="str">
        <f t="shared" si="133"/>
        <v/>
      </c>
      <c r="AE249" s="38" t="e">
        <f t="shared" si="134"/>
        <v>#VALUE!</v>
      </c>
      <c r="AF249" s="237" t="e">
        <f>((Summary!$N$10*(AA249*AD249)*(A249-$D$3))+(Summary!$M$10*Z249*AC249*(AJ249-EOMONTH(EDATE(A249,-1),0))))/(AK249*AB249*AE249)</f>
        <v>#VALUE!</v>
      </c>
      <c r="AG249" s="88" t="str">
        <f>IF($A250="","",Summary!$Q$10)</f>
        <v/>
      </c>
      <c r="AH249" s="88" t="str">
        <f>IF($A250="","",IF(Summary!$R$10="Y",(VLOOKUP($A249,Summary!$AD$6:$AF$9,3)+'Escalating commodity'!F262),'Escalating commodity'!F262))</f>
        <v/>
      </c>
      <c r="AI249" s="88" t="str">
        <f t="shared" si="149"/>
        <v/>
      </c>
      <c r="AJ249" s="236" t="e">
        <f t="shared" si="135"/>
        <v>#VALUE!</v>
      </c>
      <c r="AK249" s="58" t="str">
        <f t="shared" si="136"/>
        <v/>
      </c>
      <c r="AL249" s="26" t="str">
        <f>IF($A250="","",_xll.SPRDOPT(P249,X249,AI249,0,AB249,AE249,AF249,AK249,$AJ$2,0))</f>
        <v/>
      </c>
      <c r="AM249" s="89" t="str">
        <f t="shared" si="137"/>
        <v/>
      </c>
      <c r="AN249" s="89" t="str">
        <f t="shared" si="138"/>
        <v/>
      </c>
      <c r="AO249" s="3" t="str">
        <f t="shared" si="139"/>
        <v/>
      </c>
      <c r="AP249" s="33" t="str">
        <f t="shared" si="140"/>
        <v/>
      </c>
      <c r="AQ249" s="58" t="str">
        <f t="shared" si="141"/>
        <v/>
      </c>
      <c r="AR249" s="38">
        <f>'ANR OK vs ML7'!AR249</f>
        <v>0.1</v>
      </c>
      <c r="AS249" s="35" t="str">
        <f t="shared" si="142"/>
        <v/>
      </c>
      <c r="AT249" s="3" t="str">
        <f t="shared" si="143"/>
        <v/>
      </c>
      <c r="AU249" s="3" t="str">
        <f t="shared" si="144"/>
        <v/>
      </c>
      <c r="AW249" s="32" t="str">
        <f t="shared" si="145"/>
        <v/>
      </c>
      <c r="AX249" s="32" t="str">
        <f t="shared" si="146"/>
        <v/>
      </c>
      <c r="AY249" s="32" t="str">
        <f t="shared" si="147"/>
        <v/>
      </c>
      <c r="BA249" s="32" t="str">
        <f>IF($A250="","",F249*Summary!$Q$10)</f>
        <v/>
      </c>
    </row>
    <row r="250" spans="1:53" ht="12" customHeight="1">
      <c r="A250" s="67" t="str">
        <f t="shared" si="148"/>
        <v/>
      </c>
      <c r="B250" s="69" t="str">
        <f t="shared" si="150"/>
        <v/>
      </c>
      <c r="C250" s="71"/>
      <c r="D250" s="69" t="str">
        <f t="shared" si="114"/>
        <v/>
      </c>
      <c r="E250" s="70" t="str">
        <f t="shared" si="115"/>
        <v/>
      </c>
      <c r="F250" s="70" t="str">
        <f t="shared" si="116"/>
        <v/>
      </c>
      <c r="G250" s="63" t="str">
        <f t="shared" si="117"/>
        <v/>
      </c>
      <c r="H250" s="64" t="str">
        <f t="shared" si="118"/>
        <v/>
      </c>
      <c r="I250" s="43"/>
      <c r="J250" s="63" t="str">
        <f t="shared" si="119"/>
        <v/>
      </c>
      <c r="K250" s="64" t="str">
        <f t="shared" si="120"/>
        <v/>
      </c>
      <c r="L250" s="38">
        <v>0</v>
      </c>
      <c r="M250" s="64" t="str">
        <f t="shared" si="121"/>
        <v/>
      </c>
      <c r="N250" s="65"/>
      <c r="O250" s="63" t="str">
        <f t="shared" si="122"/>
        <v/>
      </c>
      <c r="P250" s="63" t="str">
        <f t="shared" si="123"/>
        <v/>
      </c>
      <c r="Q250" s="66"/>
      <c r="R250" s="63" t="str">
        <f t="shared" si="124"/>
        <v/>
      </c>
      <c r="S250" s="64" t="str">
        <f t="shared" si="125"/>
        <v/>
      </c>
      <c r="T250" s="63" t="str">
        <f t="shared" si="126"/>
        <v/>
      </c>
      <c r="U250" s="64" t="str">
        <f t="shared" si="127"/>
        <v/>
      </c>
      <c r="V250" s="219" t="str">
        <f>IF($A251="","",IF(AND(MONTH(A250)&gt;3,MONTH(A250)&lt;11),(T250+R250+G250)*Summary!$T$10/(1-Summary!$T$10),(T250+R250+G250)*Summary!$U$10/(1-Summary!$U$10)))</f>
        <v/>
      </c>
      <c r="W250" s="63" t="str">
        <f t="shared" si="128"/>
        <v/>
      </c>
      <c r="X250" s="63" t="str">
        <f t="shared" si="129"/>
        <v/>
      </c>
      <c r="Y250" s="43"/>
      <c r="Z250" s="38" t="str">
        <f t="shared" si="130"/>
        <v/>
      </c>
      <c r="AA250" s="38" t="str">
        <f t="shared" si="131"/>
        <v/>
      </c>
      <c r="AB250" s="38" t="e">
        <f t="shared" si="132"/>
        <v>#VALUE!</v>
      </c>
      <c r="AC250" s="38" t="str">
        <f t="shared" si="133"/>
        <v/>
      </c>
      <c r="AD250" s="38" t="str">
        <f t="shared" si="133"/>
        <v/>
      </c>
      <c r="AE250" s="38" t="e">
        <f t="shared" si="134"/>
        <v>#VALUE!</v>
      </c>
      <c r="AF250" s="237" t="e">
        <f>((Summary!$N$10*(AA250*AD250)*(A250-$D$3))+(Summary!$M$10*Z250*AC250*(AJ250-EOMONTH(EDATE(A250,-1),0))))/(AK250*AB250*AE250)</f>
        <v>#VALUE!</v>
      </c>
      <c r="AG250" s="88" t="str">
        <f>IF($A251="","",Summary!$Q$10)</f>
        <v/>
      </c>
      <c r="AH250" s="88" t="str">
        <f>IF($A251="","",IF(Summary!$R$10="Y",(VLOOKUP($A250,Summary!$AD$6:$AF$9,3)+'Escalating commodity'!F263),'Escalating commodity'!F263))</f>
        <v/>
      </c>
      <c r="AI250" s="88" t="str">
        <f t="shared" si="149"/>
        <v/>
      </c>
      <c r="AJ250" s="236" t="e">
        <f t="shared" si="135"/>
        <v>#VALUE!</v>
      </c>
      <c r="AK250" s="58" t="str">
        <f t="shared" si="136"/>
        <v/>
      </c>
      <c r="AL250" s="26" t="str">
        <f>IF($A251="","",_xll.SPRDOPT(P250,X250,AI250,0,AB250,AE250,AF250,AK250,$AJ$2,0))</f>
        <v/>
      </c>
      <c r="AM250" s="89" t="str">
        <f t="shared" si="137"/>
        <v/>
      </c>
      <c r="AN250" s="89" t="str">
        <f t="shared" si="138"/>
        <v/>
      </c>
      <c r="AO250" s="3" t="str">
        <f t="shared" si="139"/>
        <v/>
      </c>
      <c r="AP250" s="33" t="str">
        <f t="shared" si="140"/>
        <v/>
      </c>
      <c r="AQ250" s="58" t="str">
        <f t="shared" si="141"/>
        <v/>
      </c>
      <c r="AR250" s="38">
        <f>'ANR OK vs ML7'!AR250</f>
        <v>0.1</v>
      </c>
      <c r="AS250" s="35" t="str">
        <f t="shared" si="142"/>
        <v/>
      </c>
      <c r="AT250" s="3" t="str">
        <f t="shared" si="143"/>
        <v/>
      </c>
      <c r="AU250" s="3" t="str">
        <f t="shared" si="144"/>
        <v/>
      </c>
      <c r="AW250" s="32" t="str">
        <f t="shared" si="145"/>
        <v/>
      </c>
      <c r="AX250" s="32" t="str">
        <f t="shared" si="146"/>
        <v/>
      </c>
      <c r="AY250" s="32" t="str">
        <f t="shared" si="147"/>
        <v/>
      </c>
      <c r="BA250" s="32" t="str">
        <f>IF($A251="","",F250*Summary!$Q$10)</f>
        <v/>
      </c>
    </row>
    <row r="251" spans="1:53" ht="12" customHeight="1">
      <c r="A251" s="67" t="str">
        <f t="shared" si="148"/>
        <v/>
      </c>
      <c r="B251" s="69" t="str">
        <f t="shared" si="150"/>
        <v/>
      </c>
      <c r="C251" s="71"/>
      <c r="D251" s="69" t="str">
        <f t="shared" si="114"/>
        <v/>
      </c>
      <c r="E251" s="70" t="str">
        <f t="shared" si="115"/>
        <v/>
      </c>
      <c r="F251" s="70" t="str">
        <f t="shared" si="116"/>
        <v/>
      </c>
      <c r="G251" s="63" t="str">
        <f t="shared" si="117"/>
        <v/>
      </c>
      <c r="H251" s="64" t="str">
        <f t="shared" si="118"/>
        <v/>
      </c>
      <c r="I251" s="43"/>
      <c r="J251" s="63" t="str">
        <f t="shared" si="119"/>
        <v/>
      </c>
      <c r="K251" s="64" t="str">
        <f t="shared" si="120"/>
        <v/>
      </c>
      <c r="L251" s="38">
        <v>0</v>
      </c>
      <c r="M251" s="64" t="str">
        <f t="shared" si="121"/>
        <v/>
      </c>
      <c r="N251" s="65"/>
      <c r="O251" s="63" t="str">
        <f t="shared" si="122"/>
        <v/>
      </c>
      <c r="P251" s="63" t="str">
        <f t="shared" si="123"/>
        <v/>
      </c>
      <c r="Q251" s="66"/>
      <c r="R251" s="63" t="str">
        <f t="shared" si="124"/>
        <v/>
      </c>
      <c r="S251" s="64" t="str">
        <f t="shared" si="125"/>
        <v/>
      </c>
      <c r="T251" s="63" t="str">
        <f t="shared" si="126"/>
        <v/>
      </c>
      <c r="U251" s="64" t="str">
        <f t="shared" si="127"/>
        <v/>
      </c>
      <c r="V251" s="219" t="str">
        <f>IF($A252="","",IF(AND(MONTH(A251)&gt;3,MONTH(A251)&lt;11),(T251+R251+G251)*Summary!$T$10/(1-Summary!$T$10),(T251+R251+G251)*Summary!$U$10/(1-Summary!$U$10)))</f>
        <v/>
      </c>
      <c r="W251" s="63" t="str">
        <f t="shared" si="128"/>
        <v/>
      </c>
      <c r="X251" s="63" t="str">
        <f t="shared" si="129"/>
        <v/>
      </c>
      <c r="Y251" s="43"/>
      <c r="Z251" s="38" t="str">
        <f t="shared" si="130"/>
        <v/>
      </c>
      <c r="AA251" s="38" t="str">
        <f t="shared" si="131"/>
        <v/>
      </c>
      <c r="AB251" s="38" t="e">
        <f t="shared" si="132"/>
        <v>#VALUE!</v>
      </c>
      <c r="AC251" s="38" t="str">
        <f t="shared" si="133"/>
        <v/>
      </c>
      <c r="AD251" s="38" t="str">
        <f t="shared" si="133"/>
        <v/>
      </c>
      <c r="AE251" s="38" t="e">
        <f t="shared" si="134"/>
        <v>#VALUE!</v>
      </c>
      <c r="AF251" s="237" t="e">
        <f>((Summary!$N$10*(AA251*AD251)*(A251-$D$3))+(Summary!$M$10*Z251*AC251*(AJ251-EOMONTH(EDATE(A251,-1),0))))/(AK251*AB251*AE251)</f>
        <v>#VALUE!</v>
      </c>
      <c r="AG251" s="88" t="str">
        <f>IF($A252="","",Summary!$Q$10)</f>
        <v/>
      </c>
      <c r="AH251" s="88" t="str">
        <f>IF($A252="","",IF(Summary!$R$10="Y",(VLOOKUP($A251,Summary!$AD$6:$AF$9,3)+'Escalating commodity'!F264),'Escalating commodity'!F264))</f>
        <v/>
      </c>
      <c r="AI251" s="88" t="str">
        <f t="shared" si="149"/>
        <v/>
      </c>
      <c r="AJ251" s="236" t="e">
        <f t="shared" si="135"/>
        <v>#VALUE!</v>
      </c>
      <c r="AK251" s="58" t="str">
        <f t="shared" si="136"/>
        <v/>
      </c>
      <c r="AL251" s="26" t="str">
        <f>IF($A252="","",_xll.SPRDOPT(P251,X251,AI251,0,AB251,AE251,AF251,AK251,$AJ$2,0))</f>
        <v/>
      </c>
      <c r="AM251" s="89" t="str">
        <f t="shared" si="137"/>
        <v/>
      </c>
      <c r="AN251" s="89" t="str">
        <f t="shared" si="138"/>
        <v/>
      </c>
      <c r="AO251" s="3" t="str">
        <f t="shared" si="139"/>
        <v/>
      </c>
      <c r="AP251" s="33" t="str">
        <f t="shared" si="140"/>
        <v/>
      </c>
      <c r="AQ251" s="58" t="str">
        <f t="shared" si="141"/>
        <v/>
      </c>
      <c r="AR251" s="38">
        <f>'ANR OK vs ML7'!AR251</f>
        <v>0.1</v>
      </c>
      <c r="AS251" s="35" t="str">
        <f t="shared" si="142"/>
        <v/>
      </c>
      <c r="AT251" s="3" t="str">
        <f t="shared" si="143"/>
        <v/>
      </c>
      <c r="AU251" s="3" t="str">
        <f t="shared" si="144"/>
        <v/>
      </c>
      <c r="AW251" s="32" t="str">
        <f t="shared" si="145"/>
        <v/>
      </c>
      <c r="AX251" s="32" t="str">
        <f t="shared" si="146"/>
        <v/>
      </c>
      <c r="AY251" s="32" t="str">
        <f t="shared" si="147"/>
        <v/>
      </c>
      <c r="BA251" s="32" t="str">
        <f>IF($A252="","",F251*Summary!$Q$10)</f>
        <v/>
      </c>
    </row>
    <row r="252" spans="1:53" ht="12" customHeight="1">
      <c r="A252" s="67" t="str">
        <f t="shared" si="148"/>
        <v/>
      </c>
      <c r="B252" s="69" t="str">
        <f t="shared" si="150"/>
        <v/>
      </c>
      <c r="C252" s="71"/>
      <c r="D252" s="69" t="str">
        <f t="shared" si="114"/>
        <v/>
      </c>
      <c r="E252" s="70" t="str">
        <f t="shared" si="115"/>
        <v/>
      </c>
      <c r="F252" s="70" t="str">
        <f t="shared" si="116"/>
        <v/>
      </c>
      <c r="G252" s="63" t="str">
        <f t="shared" si="117"/>
        <v/>
      </c>
      <c r="H252" s="64" t="str">
        <f t="shared" si="118"/>
        <v/>
      </c>
      <c r="I252" s="43"/>
      <c r="J252" s="63" t="str">
        <f t="shared" si="119"/>
        <v/>
      </c>
      <c r="K252" s="64" t="str">
        <f t="shared" si="120"/>
        <v/>
      </c>
      <c r="L252" s="38">
        <v>0</v>
      </c>
      <c r="M252" s="64" t="str">
        <f t="shared" si="121"/>
        <v/>
      </c>
      <c r="N252" s="65"/>
      <c r="O252" s="63" t="str">
        <f t="shared" si="122"/>
        <v/>
      </c>
      <c r="P252" s="63" t="str">
        <f t="shared" si="123"/>
        <v/>
      </c>
      <c r="Q252" s="66"/>
      <c r="R252" s="63" t="str">
        <f t="shared" si="124"/>
        <v/>
      </c>
      <c r="S252" s="64" t="str">
        <f t="shared" si="125"/>
        <v/>
      </c>
      <c r="T252" s="63" t="str">
        <f t="shared" si="126"/>
        <v/>
      </c>
      <c r="U252" s="64" t="str">
        <f t="shared" si="127"/>
        <v/>
      </c>
      <c r="V252" s="219" t="str">
        <f>IF($A253="","",IF(AND(MONTH(A252)&gt;3,MONTH(A252)&lt;11),(T252+R252+G252)*Summary!$T$10/(1-Summary!$T$10),(T252+R252+G252)*Summary!$U$10/(1-Summary!$U$10)))</f>
        <v/>
      </c>
      <c r="W252" s="63" t="str">
        <f t="shared" si="128"/>
        <v/>
      </c>
      <c r="X252" s="63" t="str">
        <f t="shared" si="129"/>
        <v/>
      </c>
      <c r="Y252" s="43"/>
      <c r="Z252" s="38" t="str">
        <f t="shared" si="130"/>
        <v/>
      </c>
      <c r="AA252" s="38" t="str">
        <f t="shared" si="131"/>
        <v/>
      </c>
      <c r="AB252" s="38" t="e">
        <f t="shared" si="132"/>
        <v>#VALUE!</v>
      </c>
      <c r="AC252" s="38" t="str">
        <f t="shared" si="133"/>
        <v/>
      </c>
      <c r="AD252" s="38" t="str">
        <f t="shared" si="133"/>
        <v/>
      </c>
      <c r="AE252" s="38" t="e">
        <f t="shared" si="134"/>
        <v>#VALUE!</v>
      </c>
      <c r="AF252" s="237" t="e">
        <f>((Summary!$N$10*(AA252*AD252)*(A252-$D$3))+(Summary!$M$10*Z252*AC252*(AJ252-EOMONTH(EDATE(A252,-1),0))))/(AK252*AB252*AE252)</f>
        <v>#VALUE!</v>
      </c>
      <c r="AG252" s="88" t="str">
        <f>IF($A253="","",Summary!$Q$10)</f>
        <v/>
      </c>
      <c r="AH252" s="88" t="str">
        <f>IF($A253="","",IF(Summary!$R$10="Y",(VLOOKUP($A252,Summary!$AD$6:$AF$9,3)+'Escalating commodity'!F265),'Escalating commodity'!F265))</f>
        <v/>
      </c>
      <c r="AI252" s="88" t="str">
        <f t="shared" si="149"/>
        <v/>
      </c>
      <c r="AJ252" s="236" t="e">
        <f t="shared" si="135"/>
        <v>#VALUE!</v>
      </c>
      <c r="AK252" s="58" t="str">
        <f t="shared" si="136"/>
        <v/>
      </c>
      <c r="AL252" s="26" t="str">
        <f>IF($A253="","",_xll.SPRDOPT(P252,X252,AI252,0,AB252,AE252,AF252,AK252,$AJ$2,0))</f>
        <v/>
      </c>
      <c r="AM252" s="89" t="str">
        <f t="shared" si="137"/>
        <v/>
      </c>
      <c r="AN252" s="89" t="str">
        <f t="shared" si="138"/>
        <v/>
      </c>
      <c r="AO252" s="3" t="str">
        <f t="shared" si="139"/>
        <v/>
      </c>
      <c r="AP252" s="33" t="str">
        <f t="shared" si="140"/>
        <v/>
      </c>
      <c r="AQ252" s="58" t="str">
        <f t="shared" si="141"/>
        <v/>
      </c>
      <c r="AR252" s="38">
        <f>'ANR OK vs ML7'!AR252</f>
        <v>0.1</v>
      </c>
      <c r="AS252" s="35" t="str">
        <f t="shared" si="142"/>
        <v/>
      </c>
      <c r="AT252" s="3" t="str">
        <f t="shared" si="143"/>
        <v/>
      </c>
      <c r="AU252" s="3" t="str">
        <f t="shared" si="144"/>
        <v/>
      </c>
      <c r="AW252" s="32" t="str">
        <f t="shared" si="145"/>
        <v/>
      </c>
      <c r="AX252" s="32" t="str">
        <f t="shared" si="146"/>
        <v/>
      </c>
      <c r="AY252" s="32" t="str">
        <f t="shared" si="147"/>
        <v/>
      </c>
      <c r="BA252" s="32" t="str">
        <f>IF($A253="","",F252*Summary!$Q$10)</f>
        <v/>
      </c>
    </row>
    <row r="253" spans="1:53" ht="12" customHeight="1">
      <c r="A253" s="67" t="str">
        <f t="shared" si="148"/>
        <v/>
      </c>
      <c r="B253" s="69" t="str">
        <f t="shared" si="150"/>
        <v/>
      </c>
      <c r="C253" s="71"/>
      <c r="D253" s="69" t="str">
        <f t="shared" si="114"/>
        <v/>
      </c>
      <c r="E253" s="70" t="str">
        <f t="shared" si="115"/>
        <v/>
      </c>
      <c r="F253" s="70" t="str">
        <f t="shared" si="116"/>
        <v/>
      </c>
      <c r="G253" s="63" t="str">
        <f t="shared" si="117"/>
        <v/>
      </c>
      <c r="H253" s="64" t="str">
        <f t="shared" si="118"/>
        <v/>
      </c>
      <c r="I253" s="43"/>
      <c r="J253" s="63" t="str">
        <f t="shared" si="119"/>
        <v/>
      </c>
      <c r="K253" s="64" t="str">
        <f t="shared" si="120"/>
        <v/>
      </c>
      <c r="L253" s="38">
        <v>0</v>
      </c>
      <c r="M253" s="64" t="str">
        <f t="shared" si="121"/>
        <v/>
      </c>
      <c r="N253" s="65"/>
      <c r="O253" s="63" t="str">
        <f t="shared" si="122"/>
        <v/>
      </c>
      <c r="P253" s="63" t="str">
        <f t="shared" si="123"/>
        <v/>
      </c>
      <c r="Q253" s="66"/>
      <c r="R253" s="63" t="str">
        <f t="shared" si="124"/>
        <v/>
      </c>
      <c r="S253" s="64" t="str">
        <f t="shared" si="125"/>
        <v/>
      </c>
      <c r="T253" s="63" t="str">
        <f t="shared" si="126"/>
        <v/>
      </c>
      <c r="U253" s="64" t="str">
        <f t="shared" si="127"/>
        <v/>
      </c>
      <c r="V253" s="219" t="str">
        <f>IF($A254="","",IF(AND(MONTH(A253)&gt;3,MONTH(A253)&lt;11),(T253+R253+G253)*Summary!$T$10/(1-Summary!$T$10),(T253+R253+G253)*Summary!$U$10/(1-Summary!$U$10)))</f>
        <v/>
      </c>
      <c r="W253" s="63" t="str">
        <f t="shared" si="128"/>
        <v/>
      </c>
      <c r="X253" s="63" t="str">
        <f t="shared" si="129"/>
        <v/>
      </c>
      <c r="Y253" s="43"/>
      <c r="Z253" s="38" t="str">
        <f t="shared" si="130"/>
        <v/>
      </c>
      <c r="AA253" s="38" t="str">
        <f t="shared" si="131"/>
        <v/>
      </c>
      <c r="AB253" s="38" t="e">
        <f t="shared" si="132"/>
        <v>#VALUE!</v>
      </c>
      <c r="AC253" s="38" t="str">
        <f t="shared" si="133"/>
        <v/>
      </c>
      <c r="AD253" s="38" t="str">
        <f t="shared" si="133"/>
        <v/>
      </c>
      <c r="AE253" s="38" t="e">
        <f t="shared" si="134"/>
        <v>#VALUE!</v>
      </c>
      <c r="AF253" s="237" t="e">
        <f>((Summary!$N$10*(AA253*AD253)*(A253-$D$3))+(Summary!$M$10*Z253*AC253*(AJ253-EOMONTH(EDATE(A253,-1),0))))/(AK253*AB253*AE253)</f>
        <v>#VALUE!</v>
      </c>
      <c r="AG253" s="88" t="str">
        <f>IF($A254="","",Summary!$Q$10)</f>
        <v/>
      </c>
      <c r="AH253" s="88" t="str">
        <f>IF($A254="","",IF(Summary!$R$10="Y",(VLOOKUP($A253,Summary!$AD$6:$AF$9,3)+'Escalating commodity'!F266),'Escalating commodity'!F266))</f>
        <v/>
      </c>
      <c r="AI253" s="88" t="str">
        <f t="shared" si="149"/>
        <v/>
      </c>
      <c r="AJ253" s="236" t="e">
        <f t="shared" si="135"/>
        <v>#VALUE!</v>
      </c>
      <c r="AK253" s="58" t="str">
        <f t="shared" si="136"/>
        <v/>
      </c>
      <c r="AL253" s="26" t="str">
        <f>IF($A254="","",_xll.SPRDOPT(P253,X253,AI253,0,AB253,AE253,AF253,AK253,$AJ$2,0))</f>
        <v/>
      </c>
      <c r="AM253" s="89" t="str">
        <f t="shared" si="137"/>
        <v/>
      </c>
      <c r="AN253" s="89" t="str">
        <f t="shared" si="138"/>
        <v/>
      </c>
      <c r="AO253" s="3" t="str">
        <f t="shared" si="139"/>
        <v/>
      </c>
      <c r="AP253" s="33" t="str">
        <f t="shared" si="140"/>
        <v/>
      </c>
      <c r="AQ253" s="58" t="str">
        <f t="shared" si="141"/>
        <v/>
      </c>
      <c r="AR253" s="38">
        <f>'ANR OK vs ML7'!AR253</f>
        <v>0.1</v>
      </c>
      <c r="AS253" s="35" t="str">
        <f t="shared" si="142"/>
        <v/>
      </c>
      <c r="AT253" s="3" t="str">
        <f t="shared" si="143"/>
        <v/>
      </c>
      <c r="AU253" s="3" t="str">
        <f t="shared" si="144"/>
        <v/>
      </c>
      <c r="AW253" s="32" t="str">
        <f t="shared" si="145"/>
        <v/>
      </c>
      <c r="AX253" s="32" t="str">
        <f t="shared" si="146"/>
        <v/>
      </c>
      <c r="AY253" s="32" t="str">
        <f t="shared" si="147"/>
        <v/>
      </c>
      <c r="BA253" s="32" t="str">
        <f>IF($A254="","",F253*Summary!$Q$10)</f>
        <v/>
      </c>
    </row>
    <row r="254" spans="1:53" ht="12" customHeight="1">
      <c r="A254" s="67" t="str">
        <f t="shared" si="148"/>
        <v/>
      </c>
      <c r="B254" s="69" t="str">
        <f t="shared" si="150"/>
        <v/>
      </c>
      <c r="C254" s="71"/>
      <c r="D254" s="69" t="str">
        <f t="shared" si="114"/>
        <v/>
      </c>
      <c r="E254" s="70" t="str">
        <f t="shared" si="115"/>
        <v/>
      </c>
      <c r="F254" s="70" t="str">
        <f t="shared" si="116"/>
        <v/>
      </c>
      <c r="G254" s="63" t="str">
        <f t="shared" si="117"/>
        <v/>
      </c>
      <c r="H254" s="64" t="str">
        <f t="shared" si="118"/>
        <v/>
      </c>
      <c r="I254" s="43"/>
      <c r="J254" s="63" t="str">
        <f t="shared" si="119"/>
        <v/>
      </c>
      <c r="K254" s="64" t="str">
        <f t="shared" si="120"/>
        <v/>
      </c>
      <c r="L254" s="38">
        <v>0</v>
      </c>
      <c r="M254" s="64" t="str">
        <f t="shared" si="121"/>
        <v/>
      </c>
      <c r="N254" s="65"/>
      <c r="O254" s="63" t="str">
        <f t="shared" si="122"/>
        <v/>
      </c>
      <c r="P254" s="63" t="str">
        <f t="shared" si="123"/>
        <v/>
      </c>
      <c r="Q254" s="66"/>
      <c r="R254" s="63" t="str">
        <f t="shared" si="124"/>
        <v/>
      </c>
      <c r="S254" s="64" t="str">
        <f t="shared" si="125"/>
        <v/>
      </c>
      <c r="T254" s="63" t="str">
        <f t="shared" si="126"/>
        <v/>
      </c>
      <c r="U254" s="64" t="str">
        <f t="shared" si="127"/>
        <v/>
      </c>
      <c r="V254" s="219" t="str">
        <f>IF($A255="","",IF(AND(MONTH(A254)&gt;3,MONTH(A254)&lt;11),(T254+R254+G254)*Summary!$T$10/(1-Summary!$T$10),(T254+R254+G254)*Summary!$U$10/(1-Summary!$U$10)))</f>
        <v/>
      </c>
      <c r="W254" s="63" t="str">
        <f t="shared" si="128"/>
        <v/>
      </c>
      <c r="X254" s="63" t="str">
        <f t="shared" si="129"/>
        <v/>
      </c>
      <c r="Y254" s="43"/>
      <c r="Z254" s="38" t="str">
        <f t="shared" si="130"/>
        <v/>
      </c>
      <c r="AA254" s="38" t="str">
        <f t="shared" si="131"/>
        <v/>
      </c>
      <c r="AB254" s="38" t="e">
        <f t="shared" si="132"/>
        <v>#VALUE!</v>
      </c>
      <c r="AC254" s="38" t="str">
        <f t="shared" si="133"/>
        <v/>
      </c>
      <c r="AD254" s="38" t="str">
        <f t="shared" si="133"/>
        <v/>
      </c>
      <c r="AE254" s="38" t="e">
        <f t="shared" si="134"/>
        <v>#VALUE!</v>
      </c>
      <c r="AF254" s="237" t="e">
        <f>((Summary!$N$10*(AA254*AD254)*(A254-$D$3))+(Summary!$M$10*Z254*AC254*(AJ254-EOMONTH(EDATE(A254,-1),0))))/(AK254*AB254*AE254)</f>
        <v>#VALUE!</v>
      </c>
      <c r="AG254" s="88" t="str">
        <f>IF($A255="","",Summary!$Q$10)</f>
        <v/>
      </c>
      <c r="AH254" s="88" t="str">
        <f>IF($A255="","",IF(Summary!$R$10="Y",(VLOOKUP($A254,Summary!$AD$6:$AF$9,3)+'Escalating commodity'!F267),'Escalating commodity'!F267))</f>
        <v/>
      </c>
      <c r="AI254" s="88" t="str">
        <f t="shared" si="149"/>
        <v/>
      </c>
      <c r="AJ254" s="236" t="e">
        <f t="shared" si="135"/>
        <v>#VALUE!</v>
      </c>
      <c r="AK254" s="58" t="str">
        <f t="shared" si="136"/>
        <v/>
      </c>
      <c r="AL254" s="26" t="str">
        <f>IF($A255="","",_xll.SPRDOPT(P254,X254,AI254,0,AB254,AE254,AF254,AK254,$AJ$2,0))</f>
        <v/>
      </c>
      <c r="AM254" s="89" t="str">
        <f t="shared" si="137"/>
        <v/>
      </c>
      <c r="AN254" s="89" t="str">
        <f t="shared" si="138"/>
        <v/>
      </c>
      <c r="AO254" s="3" t="str">
        <f t="shared" si="139"/>
        <v/>
      </c>
      <c r="AP254" s="33" t="str">
        <f t="shared" si="140"/>
        <v/>
      </c>
      <c r="AQ254" s="58" t="str">
        <f t="shared" si="141"/>
        <v/>
      </c>
      <c r="AR254" s="38">
        <f>'ANR OK vs ML7'!AR254</f>
        <v>0.1</v>
      </c>
      <c r="AS254" s="35" t="str">
        <f t="shared" si="142"/>
        <v/>
      </c>
      <c r="AT254" s="3" t="str">
        <f t="shared" si="143"/>
        <v/>
      </c>
      <c r="AU254" s="3" t="str">
        <f t="shared" si="144"/>
        <v/>
      </c>
      <c r="AW254" s="32" t="str">
        <f t="shared" si="145"/>
        <v/>
      </c>
      <c r="AX254" s="32" t="str">
        <f t="shared" si="146"/>
        <v/>
      </c>
      <c r="AY254" s="32" t="str">
        <f t="shared" si="147"/>
        <v/>
      </c>
      <c r="BA254" s="32" t="str">
        <f>IF($A255="","",F254*Summary!$Q$10)</f>
        <v/>
      </c>
    </row>
    <row r="255" spans="1:53" ht="12" customHeight="1">
      <c r="A255" s="67" t="str">
        <f t="shared" si="148"/>
        <v/>
      </c>
      <c r="B255" s="69" t="str">
        <f t="shared" si="150"/>
        <v/>
      </c>
      <c r="C255" s="71"/>
      <c r="D255" s="69" t="str">
        <f t="shared" si="114"/>
        <v/>
      </c>
      <c r="E255" s="70" t="str">
        <f t="shared" si="115"/>
        <v/>
      </c>
      <c r="F255" s="70" t="str">
        <f t="shared" si="116"/>
        <v/>
      </c>
      <c r="G255" s="63" t="str">
        <f t="shared" si="117"/>
        <v/>
      </c>
      <c r="H255" s="64" t="str">
        <f t="shared" si="118"/>
        <v/>
      </c>
      <c r="I255" s="43"/>
      <c r="J255" s="63" t="str">
        <f t="shared" si="119"/>
        <v/>
      </c>
      <c r="K255" s="64" t="str">
        <f t="shared" si="120"/>
        <v/>
      </c>
      <c r="L255" s="38">
        <v>0</v>
      </c>
      <c r="M255" s="64" t="str">
        <f t="shared" si="121"/>
        <v/>
      </c>
      <c r="N255" s="65"/>
      <c r="O255" s="63" t="str">
        <f t="shared" si="122"/>
        <v/>
      </c>
      <c r="P255" s="63" t="str">
        <f t="shared" si="123"/>
        <v/>
      </c>
      <c r="Q255" s="66"/>
      <c r="R255" s="63" t="str">
        <f t="shared" si="124"/>
        <v/>
      </c>
      <c r="S255" s="64" t="str">
        <f t="shared" si="125"/>
        <v/>
      </c>
      <c r="T255" s="63" t="str">
        <f t="shared" si="126"/>
        <v/>
      </c>
      <c r="U255" s="64" t="str">
        <f t="shared" si="127"/>
        <v/>
      </c>
      <c r="V255" s="219" t="str">
        <f>IF($A256="","",IF(AND(MONTH(A255)&gt;3,MONTH(A255)&lt;11),(T255+R255+G255)*Summary!$T$10/(1-Summary!$T$10),(T255+R255+G255)*Summary!$U$10/(1-Summary!$U$10)))</f>
        <v/>
      </c>
      <c r="W255" s="63" t="str">
        <f t="shared" si="128"/>
        <v/>
      </c>
      <c r="X255" s="63" t="str">
        <f t="shared" si="129"/>
        <v/>
      </c>
      <c r="Y255" s="43"/>
      <c r="Z255" s="38" t="str">
        <f t="shared" si="130"/>
        <v/>
      </c>
      <c r="AA255" s="38" t="str">
        <f t="shared" si="131"/>
        <v/>
      </c>
      <c r="AB255" s="38" t="e">
        <f t="shared" si="132"/>
        <v>#VALUE!</v>
      </c>
      <c r="AC255" s="38" t="str">
        <f t="shared" si="133"/>
        <v/>
      </c>
      <c r="AD255" s="38" t="str">
        <f t="shared" si="133"/>
        <v/>
      </c>
      <c r="AE255" s="38" t="e">
        <f t="shared" si="134"/>
        <v>#VALUE!</v>
      </c>
      <c r="AF255" s="237" t="e">
        <f>((Summary!$N$10*(AA255*AD255)*(A255-$D$3))+(Summary!$M$10*Z255*AC255*(AJ255-EOMONTH(EDATE(A255,-1),0))))/(AK255*AB255*AE255)</f>
        <v>#VALUE!</v>
      </c>
      <c r="AG255" s="88" t="str">
        <f>IF($A256="","",Summary!$Q$10)</f>
        <v/>
      </c>
      <c r="AH255" s="88" t="str">
        <f>IF($A256="","",IF(Summary!$R$10="Y",(VLOOKUP($A255,Summary!$AD$6:$AF$9,3)+'Escalating commodity'!F268),'Escalating commodity'!F268))</f>
        <v/>
      </c>
      <c r="AI255" s="88" t="str">
        <f t="shared" si="149"/>
        <v/>
      </c>
      <c r="AJ255" s="236" t="e">
        <f t="shared" si="135"/>
        <v>#VALUE!</v>
      </c>
      <c r="AK255" s="58" t="str">
        <f t="shared" si="136"/>
        <v/>
      </c>
      <c r="AL255" s="26" t="str">
        <f>IF($A256="","",_xll.SPRDOPT(P255,X255,AI255,0,AB255,AE255,AF255,AK255,$AJ$2,0))</f>
        <v/>
      </c>
      <c r="AM255" s="89" t="str">
        <f t="shared" si="137"/>
        <v/>
      </c>
      <c r="AN255" s="89" t="str">
        <f t="shared" si="138"/>
        <v/>
      </c>
      <c r="AO255" s="3" t="str">
        <f t="shared" si="139"/>
        <v/>
      </c>
      <c r="AP255" s="33" t="str">
        <f t="shared" si="140"/>
        <v/>
      </c>
      <c r="AQ255" s="58" t="str">
        <f t="shared" si="141"/>
        <v/>
      </c>
      <c r="AR255" s="38">
        <f>'ANR OK vs ML7'!AR255</f>
        <v>0.1</v>
      </c>
      <c r="AS255" s="35" t="str">
        <f t="shared" si="142"/>
        <v/>
      </c>
      <c r="AT255" s="3" t="str">
        <f t="shared" si="143"/>
        <v/>
      </c>
      <c r="AU255" s="3" t="str">
        <f t="shared" si="144"/>
        <v/>
      </c>
      <c r="AW255" s="32" t="str">
        <f t="shared" si="145"/>
        <v/>
      </c>
      <c r="AX255" s="32" t="str">
        <f t="shared" si="146"/>
        <v/>
      </c>
      <c r="AY255" s="32" t="str">
        <f t="shared" si="147"/>
        <v/>
      </c>
      <c r="BA255" s="32" t="str">
        <f>IF($A256="","",F255*Summary!$Q$10)</f>
        <v/>
      </c>
    </row>
    <row r="256" spans="1:53" ht="12" customHeight="1">
      <c r="A256" s="67" t="str">
        <f t="shared" si="148"/>
        <v/>
      </c>
      <c r="B256" s="69" t="str">
        <f t="shared" si="150"/>
        <v/>
      </c>
      <c r="C256" s="71"/>
      <c r="D256" s="69" t="str">
        <f t="shared" si="114"/>
        <v/>
      </c>
      <c r="E256" s="70" t="str">
        <f t="shared" si="115"/>
        <v/>
      </c>
      <c r="F256" s="70" t="str">
        <f t="shared" si="116"/>
        <v/>
      </c>
      <c r="G256" s="63" t="str">
        <f t="shared" si="117"/>
        <v/>
      </c>
      <c r="H256" s="64" t="str">
        <f t="shared" si="118"/>
        <v/>
      </c>
      <c r="I256" s="43"/>
      <c r="J256" s="63" t="str">
        <f t="shared" si="119"/>
        <v/>
      </c>
      <c r="K256" s="64" t="str">
        <f t="shared" si="120"/>
        <v/>
      </c>
      <c r="L256" s="38">
        <v>0</v>
      </c>
      <c r="M256" s="64" t="str">
        <f t="shared" si="121"/>
        <v/>
      </c>
      <c r="N256" s="65"/>
      <c r="O256" s="63" t="str">
        <f t="shared" si="122"/>
        <v/>
      </c>
      <c r="P256" s="63" t="str">
        <f t="shared" si="123"/>
        <v/>
      </c>
      <c r="Q256" s="66"/>
      <c r="R256" s="63" t="str">
        <f t="shared" si="124"/>
        <v/>
      </c>
      <c r="S256" s="64" t="str">
        <f t="shared" si="125"/>
        <v/>
      </c>
      <c r="T256" s="63" t="str">
        <f t="shared" si="126"/>
        <v/>
      </c>
      <c r="U256" s="64" t="str">
        <f t="shared" si="127"/>
        <v/>
      </c>
      <c r="V256" s="219" t="str">
        <f>IF($A257="","",IF(AND(MONTH(A256)&gt;3,MONTH(A256)&lt;11),(T256+R256+G256)*Summary!$T$10/(1-Summary!$T$10),(T256+R256+G256)*Summary!$U$10/(1-Summary!$U$10)))</f>
        <v/>
      </c>
      <c r="W256" s="63" t="str">
        <f t="shared" si="128"/>
        <v/>
      </c>
      <c r="X256" s="63" t="str">
        <f t="shared" si="129"/>
        <v/>
      </c>
      <c r="Y256" s="43"/>
      <c r="Z256" s="38" t="str">
        <f t="shared" si="130"/>
        <v/>
      </c>
      <c r="AA256" s="38" t="str">
        <f t="shared" si="131"/>
        <v/>
      </c>
      <c r="AB256" s="38" t="e">
        <f t="shared" si="132"/>
        <v>#VALUE!</v>
      </c>
      <c r="AC256" s="38" t="str">
        <f t="shared" si="133"/>
        <v/>
      </c>
      <c r="AD256" s="38" t="str">
        <f t="shared" si="133"/>
        <v/>
      </c>
      <c r="AE256" s="38" t="e">
        <f t="shared" si="134"/>
        <v>#VALUE!</v>
      </c>
      <c r="AF256" s="237" t="e">
        <f>((Summary!$N$10*(AA256*AD256)*(A256-$D$3))+(Summary!$M$10*Z256*AC256*(AJ256-EOMONTH(EDATE(A256,-1),0))))/(AK256*AB256*AE256)</f>
        <v>#VALUE!</v>
      </c>
      <c r="AG256" s="88" t="str">
        <f>IF($A257="","",Summary!$Q$10)</f>
        <v/>
      </c>
      <c r="AH256" s="88" t="str">
        <f>IF($A257="","",IF(Summary!$R$10="Y",(VLOOKUP($A256,Summary!$AD$6:$AF$9,3)+'Escalating commodity'!F269),'Escalating commodity'!F269))</f>
        <v/>
      </c>
      <c r="AI256" s="88" t="str">
        <f t="shared" si="149"/>
        <v/>
      </c>
      <c r="AJ256" s="236" t="e">
        <f t="shared" si="135"/>
        <v>#VALUE!</v>
      </c>
      <c r="AK256" s="58" t="str">
        <f t="shared" si="136"/>
        <v/>
      </c>
      <c r="AL256" s="26" t="str">
        <f>IF($A257="","",_xll.SPRDOPT(P256,X256,AI256,0,AB256,AE256,AF256,AK256,$AJ$2,0))</f>
        <v/>
      </c>
      <c r="AM256" s="89" t="str">
        <f t="shared" si="137"/>
        <v/>
      </c>
      <c r="AN256" s="89" t="str">
        <f t="shared" si="138"/>
        <v/>
      </c>
      <c r="AO256" s="3" t="str">
        <f t="shared" si="139"/>
        <v/>
      </c>
      <c r="AP256" s="33" t="str">
        <f t="shared" si="140"/>
        <v/>
      </c>
      <c r="AQ256" s="58" t="str">
        <f t="shared" si="141"/>
        <v/>
      </c>
      <c r="AR256" s="38">
        <f>'ANR OK vs ML7'!AR256</f>
        <v>0.1</v>
      </c>
      <c r="AS256" s="35" t="str">
        <f t="shared" si="142"/>
        <v/>
      </c>
      <c r="AT256" s="3" t="str">
        <f t="shared" si="143"/>
        <v/>
      </c>
      <c r="AU256" s="3" t="str">
        <f t="shared" si="144"/>
        <v/>
      </c>
      <c r="AW256" s="32" t="str">
        <f t="shared" si="145"/>
        <v/>
      </c>
      <c r="AX256" s="32" t="str">
        <f t="shared" si="146"/>
        <v/>
      </c>
      <c r="AY256" s="32" t="str">
        <f t="shared" si="147"/>
        <v/>
      </c>
      <c r="BA256" s="32" t="str">
        <f>IF($A257="","",F256*Summary!$Q$10)</f>
        <v/>
      </c>
    </row>
    <row r="257" spans="1:53" ht="12" customHeight="1">
      <c r="A257" s="67" t="str">
        <f t="shared" si="148"/>
        <v/>
      </c>
      <c r="B257" s="69" t="str">
        <f t="shared" si="150"/>
        <v/>
      </c>
      <c r="C257" s="71"/>
      <c r="D257" s="69" t="str">
        <f t="shared" si="114"/>
        <v/>
      </c>
      <c r="E257" s="70" t="str">
        <f t="shared" si="115"/>
        <v/>
      </c>
      <c r="F257" s="70" t="str">
        <f t="shared" si="116"/>
        <v/>
      </c>
      <c r="G257" s="63" t="str">
        <f t="shared" si="117"/>
        <v/>
      </c>
      <c r="H257" s="64" t="str">
        <f t="shared" si="118"/>
        <v/>
      </c>
      <c r="I257" s="43"/>
      <c r="J257" s="63" t="str">
        <f t="shared" si="119"/>
        <v/>
      </c>
      <c r="K257" s="64" t="str">
        <f t="shared" si="120"/>
        <v/>
      </c>
      <c r="L257" s="38">
        <v>0</v>
      </c>
      <c r="M257" s="64" t="str">
        <f t="shared" si="121"/>
        <v/>
      </c>
      <c r="N257" s="65"/>
      <c r="O257" s="63" t="str">
        <f t="shared" si="122"/>
        <v/>
      </c>
      <c r="P257" s="63" t="str">
        <f t="shared" si="123"/>
        <v/>
      </c>
      <c r="Q257" s="66"/>
      <c r="R257" s="63" t="str">
        <f t="shared" si="124"/>
        <v/>
      </c>
      <c r="S257" s="64" t="str">
        <f t="shared" si="125"/>
        <v/>
      </c>
      <c r="T257" s="63" t="str">
        <f t="shared" si="126"/>
        <v/>
      </c>
      <c r="U257" s="64" t="str">
        <f t="shared" si="127"/>
        <v/>
      </c>
      <c r="V257" s="219" t="str">
        <f>IF($A258="","",IF(AND(MONTH(A257)&gt;3,MONTH(A257)&lt;11),(T257+R257+G257)*Summary!$T$10/(1-Summary!$T$10),(T257+R257+G257)*Summary!$U$10/(1-Summary!$U$10)))</f>
        <v/>
      </c>
      <c r="W257" s="63" t="str">
        <f t="shared" si="128"/>
        <v/>
      </c>
      <c r="X257" s="63" t="str">
        <f t="shared" si="129"/>
        <v/>
      </c>
      <c r="Y257" s="43"/>
      <c r="Z257" s="38" t="str">
        <f t="shared" si="130"/>
        <v/>
      </c>
      <c r="AA257" s="38" t="str">
        <f t="shared" si="131"/>
        <v/>
      </c>
      <c r="AB257" s="38" t="e">
        <f t="shared" si="132"/>
        <v>#VALUE!</v>
      </c>
      <c r="AC257" s="38" t="str">
        <f t="shared" si="133"/>
        <v/>
      </c>
      <c r="AD257" s="38" t="str">
        <f t="shared" si="133"/>
        <v/>
      </c>
      <c r="AE257" s="38" t="e">
        <f t="shared" si="134"/>
        <v>#VALUE!</v>
      </c>
      <c r="AF257" s="237" t="e">
        <f>((Summary!$N$10*(AA257*AD257)*(A257-$D$3))+(Summary!$M$10*Z257*AC257*(AJ257-EOMONTH(EDATE(A257,-1),0))))/(AK257*AB257*AE257)</f>
        <v>#VALUE!</v>
      </c>
      <c r="AG257" s="88" t="str">
        <f>IF($A258="","",Summary!$Q$10)</f>
        <v/>
      </c>
      <c r="AH257" s="88" t="str">
        <f>IF($A258="","",IF(Summary!$R$10="Y",(VLOOKUP($A257,Summary!$AD$6:$AF$9,3)+'Escalating commodity'!F270),'Escalating commodity'!F270))</f>
        <v/>
      </c>
      <c r="AI257" s="88" t="str">
        <f t="shared" si="149"/>
        <v/>
      </c>
      <c r="AJ257" s="236" t="e">
        <f t="shared" si="135"/>
        <v>#VALUE!</v>
      </c>
      <c r="AK257" s="58" t="str">
        <f t="shared" si="136"/>
        <v/>
      </c>
      <c r="AL257" s="26" t="str">
        <f>IF($A258="","",_xll.SPRDOPT(P257,X257,AI257,0,AB257,AE257,AF257,AK257,$AJ$2,0))</f>
        <v/>
      </c>
      <c r="AM257" s="89" t="str">
        <f t="shared" si="137"/>
        <v/>
      </c>
      <c r="AN257" s="89" t="str">
        <f t="shared" si="138"/>
        <v/>
      </c>
      <c r="AO257" s="3" t="str">
        <f t="shared" si="139"/>
        <v/>
      </c>
      <c r="AP257" s="33" t="str">
        <f t="shared" si="140"/>
        <v/>
      </c>
      <c r="AQ257" s="58" t="str">
        <f t="shared" si="141"/>
        <v/>
      </c>
      <c r="AR257" s="38">
        <f>'ANR OK vs ML7'!AR257</f>
        <v>0.1</v>
      </c>
      <c r="AS257" s="35" t="str">
        <f t="shared" si="142"/>
        <v/>
      </c>
      <c r="AT257" s="3" t="str">
        <f t="shared" si="143"/>
        <v/>
      </c>
      <c r="AU257" s="3" t="str">
        <f t="shared" si="144"/>
        <v/>
      </c>
      <c r="AW257" s="32" t="str">
        <f t="shared" si="145"/>
        <v/>
      </c>
      <c r="AX257" s="32" t="str">
        <f t="shared" si="146"/>
        <v/>
      </c>
      <c r="AY257" s="32" t="str">
        <f t="shared" si="147"/>
        <v/>
      </c>
      <c r="BA257" s="32" t="str">
        <f>IF($A258="","",F257*Summary!$Q$10)</f>
        <v/>
      </c>
    </row>
    <row r="258" spans="1:53" ht="12" customHeight="1">
      <c r="A258" s="67" t="str">
        <f t="shared" si="148"/>
        <v/>
      </c>
      <c r="B258" s="69" t="str">
        <f t="shared" si="150"/>
        <v/>
      </c>
      <c r="C258" s="71"/>
      <c r="D258" s="69" t="str">
        <f t="shared" si="114"/>
        <v/>
      </c>
      <c r="E258" s="70" t="str">
        <f t="shared" si="115"/>
        <v/>
      </c>
      <c r="F258" s="70" t="str">
        <f t="shared" si="116"/>
        <v/>
      </c>
      <c r="G258" s="63" t="str">
        <f t="shared" si="117"/>
        <v/>
      </c>
      <c r="H258" s="64" t="str">
        <f t="shared" si="118"/>
        <v/>
      </c>
      <c r="I258" s="43"/>
      <c r="J258" s="63" t="str">
        <f t="shared" si="119"/>
        <v/>
      </c>
      <c r="K258" s="64" t="str">
        <f t="shared" si="120"/>
        <v/>
      </c>
      <c r="L258" s="38">
        <v>0</v>
      </c>
      <c r="M258" s="64" t="str">
        <f t="shared" si="121"/>
        <v/>
      </c>
      <c r="N258" s="65"/>
      <c r="O258" s="63" t="str">
        <f t="shared" si="122"/>
        <v/>
      </c>
      <c r="P258" s="63" t="str">
        <f t="shared" si="123"/>
        <v/>
      </c>
      <c r="Q258" s="66"/>
      <c r="R258" s="63" t="str">
        <f t="shared" si="124"/>
        <v/>
      </c>
      <c r="S258" s="64" t="str">
        <f t="shared" si="125"/>
        <v/>
      </c>
      <c r="T258" s="63" t="str">
        <f t="shared" si="126"/>
        <v/>
      </c>
      <c r="U258" s="64" t="str">
        <f t="shared" si="127"/>
        <v/>
      </c>
      <c r="V258" s="219" t="str">
        <f>IF($A259="","",IF(AND(MONTH(A258)&gt;3,MONTH(A258)&lt;11),(T258+R258+G258)*Summary!$T$10/(1-Summary!$T$10),(T258+R258+G258)*Summary!$U$10/(1-Summary!$U$10)))</f>
        <v/>
      </c>
      <c r="W258" s="63" t="str">
        <f t="shared" si="128"/>
        <v/>
      </c>
      <c r="X258" s="63" t="str">
        <f t="shared" si="129"/>
        <v/>
      </c>
      <c r="Y258" s="43"/>
      <c r="Z258" s="38" t="str">
        <f t="shared" si="130"/>
        <v/>
      </c>
      <c r="AA258" s="38" t="str">
        <f t="shared" si="131"/>
        <v/>
      </c>
      <c r="AB258" s="38" t="e">
        <f t="shared" si="132"/>
        <v>#VALUE!</v>
      </c>
      <c r="AC258" s="38" t="str">
        <f t="shared" si="133"/>
        <v/>
      </c>
      <c r="AD258" s="38" t="str">
        <f t="shared" si="133"/>
        <v/>
      </c>
      <c r="AE258" s="38" t="e">
        <f t="shared" si="134"/>
        <v>#VALUE!</v>
      </c>
      <c r="AF258" s="237" t="e">
        <f>((Summary!$N$10*(AA258*AD258)*(A258-$D$3))+(Summary!$M$10*Z258*AC258*(AJ258-EOMONTH(EDATE(A258,-1),0))))/(AK258*AB258*AE258)</f>
        <v>#VALUE!</v>
      </c>
      <c r="AG258" s="88" t="str">
        <f>IF($A259="","",Summary!$Q$10)</f>
        <v/>
      </c>
      <c r="AH258" s="88" t="str">
        <f>IF($A259="","",IF(Summary!$R$10="Y",(VLOOKUP($A258,Summary!$AD$6:$AF$9,3)+'Escalating commodity'!F271),'Escalating commodity'!F271))</f>
        <v/>
      </c>
      <c r="AI258" s="88" t="str">
        <f t="shared" si="149"/>
        <v/>
      </c>
      <c r="AJ258" s="236" t="e">
        <f t="shared" si="135"/>
        <v>#VALUE!</v>
      </c>
      <c r="AK258" s="58" t="str">
        <f t="shared" si="136"/>
        <v/>
      </c>
      <c r="AL258" s="26" t="str">
        <f>IF($A259="","",_xll.SPRDOPT(P258,X258,AI258,0,AB258,AE258,AF258,AK258,$AJ$2,0))</f>
        <v/>
      </c>
      <c r="AM258" s="89" t="str">
        <f t="shared" si="137"/>
        <v/>
      </c>
      <c r="AN258" s="89" t="str">
        <f t="shared" si="138"/>
        <v/>
      </c>
      <c r="AO258" s="3" t="str">
        <f t="shared" si="139"/>
        <v/>
      </c>
      <c r="AP258" s="33" t="str">
        <f t="shared" si="140"/>
        <v/>
      </c>
      <c r="AQ258" s="58" t="str">
        <f t="shared" si="141"/>
        <v/>
      </c>
      <c r="AR258" s="38">
        <f>'ANR OK vs ML7'!AR258</f>
        <v>0.1</v>
      </c>
      <c r="AS258" s="35" t="str">
        <f t="shared" si="142"/>
        <v/>
      </c>
      <c r="AT258" s="3" t="str">
        <f t="shared" si="143"/>
        <v/>
      </c>
      <c r="AU258" s="3" t="str">
        <f t="shared" si="144"/>
        <v/>
      </c>
      <c r="AW258" s="32" t="str">
        <f t="shared" si="145"/>
        <v/>
      </c>
      <c r="AX258" s="32" t="str">
        <f t="shared" si="146"/>
        <v/>
      </c>
      <c r="AY258" s="32" t="str">
        <f t="shared" si="147"/>
        <v/>
      </c>
      <c r="BA258" s="32" t="str">
        <f>IF($A259="","",F258*Summary!$Q$10)</f>
        <v/>
      </c>
    </row>
    <row r="259" spans="1:53" ht="12" customHeight="1">
      <c r="A259" s="67" t="str">
        <f t="shared" si="148"/>
        <v/>
      </c>
      <c r="B259" s="69" t="str">
        <f t="shared" si="150"/>
        <v/>
      </c>
      <c r="C259" s="71"/>
      <c r="D259" s="69" t="str">
        <f t="shared" si="114"/>
        <v/>
      </c>
      <c r="E259" s="70" t="str">
        <f t="shared" si="115"/>
        <v/>
      </c>
      <c r="F259" s="70" t="str">
        <f t="shared" si="116"/>
        <v/>
      </c>
      <c r="G259" s="63" t="str">
        <f t="shared" si="117"/>
        <v/>
      </c>
      <c r="H259" s="64" t="str">
        <f t="shared" si="118"/>
        <v/>
      </c>
      <c r="I259" s="43"/>
      <c r="J259" s="63" t="str">
        <f t="shared" si="119"/>
        <v/>
      </c>
      <c r="K259" s="64" t="str">
        <f t="shared" si="120"/>
        <v/>
      </c>
      <c r="L259" s="38">
        <v>0</v>
      </c>
      <c r="M259" s="64" t="str">
        <f t="shared" si="121"/>
        <v/>
      </c>
      <c r="N259" s="65"/>
      <c r="O259" s="63" t="str">
        <f t="shared" si="122"/>
        <v/>
      </c>
      <c r="P259" s="63" t="str">
        <f t="shared" si="123"/>
        <v/>
      </c>
      <c r="Q259" s="66"/>
      <c r="R259" s="63" t="str">
        <f t="shared" si="124"/>
        <v/>
      </c>
      <c r="S259" s="64" t="str">
        <f t="shared" si="125"/>
        <v/>
      </c>
      <c r="T259" s="63" t="str">
        <f t="shared" si="126"/>
        <v/>
      </c>
      <c r="U259" s="64" t="str">
        <f t="shared" si="127"/>
        <v/>
      </c>
      <c r="V259" s="219" t="str">
        <f>IF($A260="","",IF(AND(MONTH(A259)&gt;3,MONTH(A259)&lt;11),(T259+R259+G259)*Summary!$T$10/(1-Summary!$T$10),(T259+R259+G259)*Summary!$U$10/(1-Summary!$U$10)))</f>
        <v/>
      </c>
      <c r="W259" s="63" t="str">
        <f t="shared" si="128"/>
        <v/>
      </c>
      <c r="X259" s="63" t="str">
        <f t="shared" si="129"/>
        <v/>
      </c>
      <c r="Y259" s="43"/>
      <c r="Z259" s="38" t="str">
        <f t="shared" si="130"/>
        <v/>
      </c>
      <c r="AA259" s="38" t="str">
        <f t="shared" si="131"/>
        <v/>
      </c>
      <c r="AB259" s="38" t="e">
        <f t="shared" si="132"/>
        <v>#VALUE!</v>
      </c>
      <c r="AC259" s="38" t="str">
        <f t="shared" si="133"/>
        <v/>
      </c>
      <c r="AD259" s="38" t="str">
        <f t="shared" si="133"/>
        <v/>
      </c>
      <c r="AE259" s="38" t="e">
        <f t="shared" si="134"/>
        <v>#VALUE!</v>
      </c>
      <c r="AF259" s="237" t="e">
        <f>((Summary!$N$10*(AA259*AD259)*(A259-$D$3))+(Summary!$M$10*Z259*AC259*(AJ259-EOMONTH(EDATE(A259,-1),0))))/(AK259*AB259*AE259)</f>
        <v>#VALUE!</v>
      </c>
      <c r="AG259" s="88" t="str">
        <f>IF($A260="","",Summary!$Q$10)</f>
        <v/>
      </c>
      <c r="AH259" s="88" t="str">
        <f>IF($A260="","",IF(Summary!$R$10="Y",(VLOOKUP($A259,Summary!$AD$6:$AF$9,3)+'Escalating commodity'!F272),'Escalating commodity'!F272))</f>
        <v/>
      </c>
      <c r="AI259" s="88" t="str">
        <f t="shared" si="149"/>
        <v/>
      </c>
      <c r="AJ259" s="236" t="e">
        <f t="shared" si="135"/>
        <v>#VALUE!</v>
      </c>
      <c r="AK259" s="58" t="str">
        <f t="shared" si="136"/>
        <v/>
      </c>
      <c r="AL259" s="26" t="str">
        <f>IF($A260="","",_xll.SPRDOPT(P259,X259,AI259,0,AB259,AE259,AF259,AK259,$AJ$2,0))</f>
        <v/>
      </c>
      <c r="AM259" s="89" t="str">
        <f t="shared" si="137"/>
        <v/>
      </c>
      <c r="AN259" s="89" t="str">
        <f t="shared" si="138"/>
        <v/>
      </c>
      <c r="AO259" s="3" t="str">
        <f t="shared" si="139"/>
        <v/>
      </c>
      <c r="AP259" s="33" t="str">
        <f t="shared" si="140"/>
        <v/>
      </c>
      <c r="AQ259" s="58" t="str">
        <f t="shared" si="141"/>
        <v/>
      </c>
      <c r="AR259" s="38">
        <f>'ANR OK vs ML7'!AR259</f>
        <v>0.1</v>
      </c>
      <c r="AS259" s="35" t="str">
        <f t="shared" si="142"/>
        <v/>
      </c>
      <c r="AT259" s="3" t="str">
        <f t="shared" si="143"/>
        <v/>
      </c>
      <c r="AU259" s="3" t="str">
        <f t="shared" si="144"/>
        <v/>
      </c>
      <c r="AW259" s="32" t="str">
        <f t="shared" si="145"/>
        <v/>
      </c>
      <c r="AX259" s="32" t="str">
        <f t="shared" si="146"/>
        <v/>
      </c>
      <c r="AY259" s="32" t="str">
        <f t="shared" si="147"/>
        <v/>
      </c>
      <c r="BA259" s="32" t="str">
        <f>IF($A260="","",F259*Summary!$Q$10)</f>
        <v/>
      </c>
    </row>
    <row r="260" spans="1:53" ht="12" customHeight="1">
      <c r="A260" s="67" t="str">
        <f t="shared" si="148"/>
        <v/>
      </c>
      <c r="B260" s="69" t="str">
        <f t="shared" si="150"/>
        <v/>
      </c>
      <c r="C260" s="71"/>
      <c r="D260" s="69" t="str">
        <f t="shared" si="114"/>
        <v/>
      </c>
      <c r="E260" s="70" t="str">
        <f t="shared" si="115"/>
        <v/>
      </c>
      <c r="F260" s="70" t="str">
        <f t="shared" si="116"/>
        <v/>
      </c>
      <c r="G260" s="63" t="str">
        <f t="shared" si="117"/>
        <v/>
      </c>
      <c r="H260" s="64" t="str">
        <f t="shared" si="118"/>
        <v/>
      </c>
      <c r="I260" s="43"/>
      <c r="J260" s="63" t="str">
        <f t="shared" si="119"/>
        <v/>
      </c>
      <c r="K260" s="64" t="str">
        <f t="shared" si="120"/>
        <v/>
      </c>
      <c r="L260" s="38">
        <v>0</v>
      </c>
      <c r="M260" s="64" t="str">
        <f t="shared" si="121"/>
        <v/>
      </c>
      <c r="N260" s="65"/>
      <c r="O260" s="63" t="str">
        <f t="shared" si="122"/>
        <v/>
      </c>
      <c r="P260" s="63" t="str">
        <f t="shared" si="123"/>
        <v/>
      </c>
      <c r="Q260" s="66"/>
      <c r="R260" s="63" t="str">
        <f t="shared" si="124"/>
        <v/>
      </c>
      <c r="S260" s="64" t="str">
        <f t="shared" si="125"/>
        <v/>
      </c>
      <c r="T260" s="63" t="str">
        <f t="shared" si="126"/>
        <v/>
      </c>
      <c r="U260" s="64" t="str">
        <f t="shared" si="127"/>
        <v/>
      </c>
      <c r="V260" s="219" t="str">
        <f>IF($A261="","",IF(AND(MONTH(A260)&gt;3,MONTH(A260)&lt;11),(T260+R260+G260)*Summary!$T$10/(1-Summary!$T$10),(T260+R260+G260)*Summary!$U$10/(1-Summary!$U$10)))</f>
        <v/>
      </c>
      <c r="W260" s="63" t="str">
        <f t="shared" si="128"/>
        <v/>
      </c>
      <c r="X260" s="63" t="str">
        <f t="shared" si="129"/>
        <v/>
      </c>
      <c r="Y260" s="43"/>
      <c r="Z260" s="38" t="str">
        <f t="shared" si="130"/>
        <v/>
      </c>
      <c r="AA260" s="38" t="str">
        <f t="shared" si="131"/>
        <v/>
      </c>
      <c r="AB260" s="38" t="e">
        <f t="shared" si="132"/>
        <v>#VALUE!</v>
      </c>
      <c r="AC260" s="38" t="str">
        <f t="shared" si="133"/>
        <v/>
      </c>
      <c r="AD260" s="38" t="str">
        <f t="shared" si="133"/>
        <v/>
      </c>
      <c r="AE260" s="38" t="e">
        <f t="shared" si="134"/>
        <v>#VALUE!</v>
      </c>
      <c r="AF260" s="237" t="e">
        <f>((Summary!$N$10*(AA260*AD260)*(A260-$D$3))+(Summary!$M$10*Z260*AC260*(AJ260-EOMONTH(EDATE(A260,-1),0))))/(AK260*AB260*AE260)</f>
        <v>#VALUE!</v>
      </c>
      <c r="AG260" s="88" t="str">
        <f>IF($A261="","",Summary!$Q$10)</f>
        <v/>
      </c>
      <c r="AH260" s="88" t="str">
        <f>IF($A261="","",IF(Summary!$R$10="Y",(VLOOKUP($A260,Summary!$AD$6:$AF$9,3)+'Escalating commodity'!F273),'Escalating commodity'!F273))</f>
        <v/>
      </c>
      <c r="AI260" s="88" t="str">
        <f t="shared" si="149"/>
        <v/>
      </c>
      <c r="AJ260" s="236" t="e">
        <f t="shared" si="135"/>
        <v>#VALUE!</v>
      </c>
      <c r="AK260" s="58" t="str">
        <f t="shared" si="136"/>
        <v/>
      </c>
      <c r="AL260" s="26" t="str">
        <f>IF($A261="","",_xll.SPRDOPT(P260,X260,AI260,0,AB260,AE260,AF260,AK260,$AJ$2,0))</f>
        <v/>
      </c>
      <c r="AM260" s="89" t="str">
        <f t="shared" si="137"/>
        <v/>
      </c>
      <c r="AN260" s="89" t="str">
        <f t="shared" si="138"/>
        <v/>
      </c>
      <c r="AO260" s="3" t="str">
        <f t="shared" si="139"/>
        <v/>
      </c>
      <c r="AP260" s="33" t="str">
        <f t="shared" si="140"/>
        <v/>
      </c>
      <c r="AQ260" s="58" t="str">
        <f t="shared" si="141"/>
        <v/>
      </c>
      <c r="AR260" s="38">
        <f>'ANR OK vs ML7'!AR260</f>
        <v>0.1</v>
      </c>
      <c r="AS260" s="35" t="str">
        <f t="shared" si="142"/>
        <v/>
      </c>
      <c r="AT260" s="3" t="str">
        <f t="shared" si="143"/>
        <v/>
      </c>
      <c r="AU260" s="3" t="str">
        <f t="shared" si="144"/>
        <v/>
      </c>
      <c r="AW260" s="32" t="str">
        <f t="shared" si="145"/>
        <v/>
      </c>
      <c r="AX260" s="32" t="str">
        <f t="shared" si="146"/>
        <v/>
      </c>
      <c r="AY260" s="32" t="str">
        <f t="shared" si="147"/>
        <v/>
      </c>
      <c r="BA260" s="32" t="str">
        <f>IF($A261="","",F260*Summary!$Q$10)</f>
        <v/>
      </c>
    </row>
    <row r="261" spans="1:53" ht="12" customHeight="1">
      <c r="A261" s="67" t="str">
        <f t="shared" si="148"/>
        <v/>
      </c>
      <c r="B261" s="69" t="str">
        <f t="shared" si="150"/>
        <v/>
      </c>
      <c r="C261" s="71"/>
      <c r="D261" s="69" t="str">
        <f t="shared" si="114"/>
        <v/>
      </c>
      <c r="E261" s="70" t="str">
        <f t="shared" si="115"/>
        <v/>
      </c>
      <c r="F261" s="70" t="str">
        <f t="shared" si="116"/>
        <v/>
      </c>
      <c r="G261" s="63" t="str">
        <f t="shared" si="117"/>
        <v/>
      </c>
      <c r="H261" s="64" t="str">
        <f t="shared" si="118"/>
        <v/>
      </c>
      <c r="I261" s="43"/>
      <c r="J261" s="63" t="str">
        <f t="shared" si="119"/>
        <v/>
      </c>
      <c r="K261" s="64" t="str">
        <f t="shared" si="120"/>
        <v/>
      </c>
      <c r="L261" s="38">
        <v>0</v>
      </c>
      <c r="M261" s="64" t="str">
        <f t="shared" si="121"/>
        <v/>
      </c>
      <c r="N261" s="65"/>
      <c r="O261" s="63" t="str">
        <f t="shared" si="122"/>
        <v/>
      </c>
      <c r="P261" s="63" t="str">
        <f t="shared" si="123"/>
        <v/>
      </c>
      <c r="Q261" s="66"/>
      <c r="R261" s="63" t="str">
        <f t="shared" si="124"/>
        <v/>
      </c>
      <c r="S261" s="64" t="str">
        <f t="shared" si="125"/>
        <v/>
      </c>
      <c r="T261" s="63" t="str">
        <f t="shared" si="126"/>
        <v/>
      </c>
      <c r="U261" s="64" t="str">
        <f t="shared" si="127"/>
        <v/>
      </c>
      <c r="V261" s="219" t="str">
        <f>IF($A262="","",IF(AND(MONTH(A261)&gt;3,MONTH(A261)&lt;11),(T261+R261+G261)*Summary!$T$10/(1-Summary!$T$10),(T261+R261+G261)*Summary!$U$10/(1-Summary!$U$10)))</f>
        <v/>
      </c>
      <c r="W261" s="63" t="str">
        <f t="shared" si="128"/>
        <v/>
      </c>
      <c r="X261" s="63" t="str">
        <f t="shared" si="129"/>
        <v/>
      </c>
      <c r="Y261" s="43"/>
      <c r="Z261" s="38" t="str">
        <f t="shared" si="130"/>
        <v/>
      </c>
      <c r="AA261" s="38" t="str">
        <f t="shared" si="131"/>
        <v/>
      </c>
      <c r="AB261" s="38" t="e">
        <f t="shared" si="132"/>
        <v>#VALUE!</v>
      </c>
      <c r="AC261" s="38" t="str">
        <f t="shared" si="133"/>
        <v/>
      </c>
      <c r="AD261" s="38" t="str">
        <f t="shared" si="133"/>
        <v/>
      </c>
      <c r="AE261" s="38" t="e">
        <f t="shared" si="134"/>
        <v>#VALUE!</v>
      </c>
      <c r="AF261" s="237" t="e">
        <f>((Summary!$N$10*(AA261*AD261)*(A261-$D$3))+(Summary!$M$10*Z261*AC261*(AJ261-EOMONTH(EDATE(A261,-1),0))))/(AK261*AB261*AE261)</f>
        <v>#VALUE!</v>
      </c>
      <c r="AG261" s="88" t="str">
        <f>IF($A262="","",Summary!$Q$10)</f>
        <v/>
      </c>
      <c r="AH261" s="88" t="str">
        <f>IF($A262="","",IF(Summary!$R$10="Y",(VLOOKUP($A261,Summary!$AD$6:$AF$9,3)+'Escalating commodity'!F274),'Escalating commodity'!F274))</f>
        <v/>
      </c>
      <c r="AI261" s="88" t="str">
        <f t="shared" si="149"/>
        <v/>
      </c>
      <c r="AJ261" s="236" t="e">
        <f t="shared" si="135"/>
        <v>#VALUE!</v>
      </c>
      <c r="AK261" s="58" t="str">
        <f t="shared" si="136"/>
        <v/>
      </c>
      <c r="AL261" s="26" t="str">
        <f>IF($A262="","",_xll.SPRDOPT(P261,X261,AI261,0,AB261,AE261,AF261,AK261,$AJ$2,0))</f>
        <v/>
      </c>
      <c r="AM261" s="89" t="str">
        <f t="shared" si="137"/>
        <v/>
      </c>
      <c r="AN261" s="89" t="str">
        <f t="shared" si="138"/>
        <v/>
      </c>
      <c r="AO261" s="3" t="str">
        <f t="shared" si="139"/>
        <v/>
      </c>
      <c r="AP261" s="33" t="str">
        <f t="shared" si="140"/>
        <v/>
      </c>
      <c r="AQ261" s="58" t="str">
        <f t="shared" si="141"/>
        <v/>
      </c>
      <c r="AR261" s="38">
        <f>'ANR OK vs ML7'!AR261</f>
        <v>0.1</v>
      </c>
      <c r="AS261" s="35" t="str">
        <f t="shared" si="142"/>
        <v/>
      </c>
      <c r="AT261" s="3" t="str">
        <f t="shared" si="143"/>
        <v/>
      </c>
      <c r="AU261" s="3" t="str">
        <f t="shared" si="144"/>
        <v/>
      </c>
      <c r="AW261" s="32" t="str">
        <f t="shared" si="145"/>
        <v/>
      </c>
      <c r="AX261" s="32" t="str">
        <f t="shared" si="146"/>
        <v/>
      </c>
      <c r="AY261" s="32" t="str">
        <f t="shared" si="147"/>
        <v/>
      </c>
      <c r="BA261" s="32" t="str">
        <f>IF($A262="","",F261*Summary!$Q$10)</f>
        <v/>
      </c>
    </row>
    <row r="262" spans="1:53" ht="12" customHeight="1">
      <c r="A262" s="67" t="str">
        <f t="shared" si="148"/>
        <v/>
      </c>
      <c r="B262" s="69" t="str">
        <f t="shared" si="150"/>
        <v/>
      </c>
      <c r="C262" s="71"/>
      <c r="D262" s="69" t="str">
        <f t="shared" si="114"/>
        <v/>
      </c>
      <c r="E262" s="70" t="str">
        <f t="shared" si="115"/>
        <v/>
      </c>
      <c r="F262" s="70" t="str">
        <f t="shared" si="116"/>
        <v/>
      </c>
      <c r="G262" s="63" t="str">
        <f t="shared" si="117"/>
        <v/>
      </c>
      <c r="H262" s="64" t="str">
        <f t="shared" si="118"/>
        <v/>
      </c>
      <c r="I262" s="43"/>
      <c r="J262" s="63" t="str">
        <f t="shared" si="119"/>
        <v/>
      </c>
      <c r="K262" s="64" t="str">
        <f t="shared" si="120"/>
        <v/>
      </c>
      <c r="L262" s="38">
        <v>0</v>
      </c>
      <c r="M262" s="64" t="str">
        <f t="shared" si="121"/>
        <v/>
      </c>
      <c r="N262" s="65"/>
      <c r="O262" s="63" t="str">
        <f t="shared" si="122"/>
        <v/>
      </c>
      <c r="P262" s="63" t="str">
        <f t="shared" si="123"/>
        <v/>
      </c>
      <c r="Q262" s="66"/>
      <c r="R262" s="63" t="str">
        <f t="shared" si="124"/>
        <v/>
      </c>
      <c r="S262" s="64" t="str">
        <f t="shared" si="125"/>
        <v/>
      </c>
      <c r="T262" s="63" t="str">
        <f t="shared" si="126"/>
        <v/>
      </c>
      <c r="U262" s="64" t="str">
        <f t="shared" si="127"/>
        <v/>
      </c>
      <c r="V262" s="219" t="str">
        <f>IF($A263="","",IF(AND(MONTH(A262)&gt;3,MONTH(A262)&lt;11),(T262+R262+G262)*Summary!$T$10/(1-Summary!$T$10),(T262+R262+G262)*Summary!$U$10/(1-Summary!$U$10)))</f>
        <v/>
      </c>
      <c r="W262" s="63" t="str">
        <f t="shared" si="128"/>
        <v/>
      </c>
      <c r="X262" s="63" t="str">
        <f t="shared" si="129"/>
        <v/>
      </c>
      <c r="Y262" s="43"/>
      <c r="Z262" s="38" t="str">
        <f t="shared" si="130"/>
        <v/>
      </c>
      <c r="AA262" s="38" t="str">
        <f t="shared" si="131"/>
        <v/>
      </c>
      <c r="AB262" s="38" t="e">
        <f t="shared" si="132"/>
        <v>#VALUE!</v>
      </c>
      <c r="AC262" s="38" t="str">
        <f t="shared" si="133"/>
        <v/>
      </c>
      <c r="AD262" s="38" t="str">
        <f t="shared" si="133"/>
        <v/>
      </c>
      <c r="AE262" s="38" t="e">
        <f t="shared" si="134"/>
        <v>#VALUE!</v>
      </c>
      <c r="AF262" s="237" t="e">
        <f>((Summary!$N$10*(AA262*AD262)*(A262-$D$3))+(Summary!$M$10*Z262*AC262*(AJ262-EOMONTH(EDATE(A262,-1),0))))/(AK262*AB262*AE262)</f>
        <v>#VALUE!</v>
      </c>
      <c r="AG262" s="88" t="str">
        <f>IF($A263="","",Summary!$Q$10)</f>
        <v/>
      </c>
      <c r="AH262" s="88" t="str">
        <f>IF($A263="","",IF(Summary!$R$10="Y",(VLOOKUP($A262,Summary!$AD$6:$AF$9,3)+'Escalating commodity'!F275),'Escalating commodity'!F275))</f>
        <v/>
      </c>
      <c r="AI262" s="88" t="str">
        <f t="shared" si="149"/>
        <v/>
      </c>
      <c r="AJ262" s="236" t="e">
        <f t="shared" si="135"/>
        <v>#VALUE!</v>
      </c>
      <c r="AK262" s="58" t="str">
        <f t="shared" si="136"/>
        <v/>
      </c>
      <c r="AL262" s="26" t="str">
        <f>IF($A263="","",_xll.SPRDOPT(P262,X262,AI262,0,AB262,AE262,AF262,AK262,$AJ$2,0))</f>
        <v/>
      </c>
      <c r="AM262" s="89" t="str">
        <f t="shared" si="137"/>
        <v/>
      </c>
      <c r="AN262" s="89" t="str">
        <f t="shared" si="138"/>
        <v/>
      </c>
      <c r="AO262" s="3" t="str">
        <f t="shared" si="139"/>
        <v/>
      </c>
      <c r="AP262" s="33" t="str">
        <f t="shared" si="140"/>
        <v/>
      </c>
      <c r="AQ262" s="58" t="str">
        <f t="shared" si="141"/>
        <v/>
      </c>
      <c r="AR262" s="38">
        <f>'ANR OK vs ML7'!AR262</f>
        <v>0.1</v>
      </c>
      <c r="AS262" s="35" t="str">
        <f t="shared" si="142"/>
        <v/>
      </c>
      <c r="AT262" s="3" t="str">
        <f t="shared" si="143"/>
        <v/>
      </c>
      <c r="AU262" s="3" t="str">
        <f t="shared" si="144"/>
        <v/>
      </c>
      <c r="AW262" s="32" t="str">
        <f t="shared" si="145"/>
        <v/>
      </c>
      <c r="AX262" s="32" t="str">
        <f t="shared" si="146"/>
        <v/>
      </c>
      <c r="AY262" s="32" t="str">
        <f t="shared" si="147"/>
        <v/>
      </c>
      <c r="BA262" s="32" t="str">
        <f>IF($A263="","",F262*Summary!$Q$10)</f>
        <v/>
      </c>
    </row>
    <row r="263" spans="1:53" ht="12" customHeight="1">
      <c r="A263" s="67" t="str">
        <f t="shared" si="148"/>
        <v/>
      </c>
      <c r="B263" s="69" t="str">
        <f t="shared" si="150"/>
        <v/>
      </c>
      <c r="C263" s="71"/>
      <c r="D263" s="69" t="str">
        <f t="shared" si="114"/>
        <v/>
      </c>
      <c r="E263" s="70" t="str">
        <f t="shared" si="115"/>
        <v/>
      </c>
      <c r="F263" s="70" t="str">
        <f t="shared" si="116"/>
        <v/>
      </c>
      <c r="G263" s="63" t="str">
        <f t="shared" si="117"/>
        <v/>
      </c>
      <c r="H263" s="64" t="str">
        <f t="shared" si="118"/>
        <v/>
      </c>
      <c r="I263" s="43"/>
      <c r="J263" s="63" t="str">
        <f t="shared" si="119"/>
        <v/>
      </c>
      <c r="K263" s="64" t="str">
        <f t="shared" si="120"/>
        <v/>
      </c>
      <c r="L263" s="38">
        <v>0</v>
      </c>
      <c r="M263" s="64" t="str">
        <f t="shared" si="121"/>
        <v/>
      </c>
      <c r="N263" s="65"/>
      <c r="O263" s="63" t="str">
        <f t="shared" si="122"/>
        <v/>
      </c>
      <c r="P263" s="63" t="str">
        <f t="shared" si="123"/>
        <v/>
      </c>
      <c r="Q263" s="66"/>
      <c r="R263" s="63" t="str">
        <f t="shared" si="124"/>
        <v/>
      </c>
      <c r="S263" s="64" t="str">
        <f t="shared" si="125"/>
        <v/>
      </c>
      <c r="T263" s="63" t="str">
        <f t="shared" si="126"/>
        <v/>
      </c>
      <c r="U263" s="64" t="str">
        <f t="shared" si="127"/>
        <v/>
      </c>
      <c r="V263" s="219" t="str">
        <f>IF($A264="","",IF(AND(MONTH(A263)&gt;3,MONTH(A263)&lt;11),(T263+R263+G263)*Summary!$T$10/(1-Summary!$T$10),(T263+R263+G263)*Summary!$U$10/(1-Summary!$U$10)))</f>
        <v/>
      </c>
      <c r="W263" s="63" t="str">
        <f t="shared" si="128"/>
        <v/>
      </c>
      <c r="X263" s="63" t="str">
        <f t="shared" si="129"/>
        <v/>
      </c>
      <c r="Y263" s="43"/>
      <c r="Z263" s="38" t="str">
        <f t="shared" si="130"/>
        <v/>
      </c>
      <c r="AA263" s="38" t="str">
        <f t="shared" si="131"/>
        <v/>
      </c>
      <c r="AB263" s="38" t="e">
        <f t="shared" si="132"/>
        <v>#VALUE!</v>
      </c>
      <c r="AC263" s="38" t="str">
        <f t="shared" si="133"/>
        <v/>
      </c>
      <c r="AD263" s="38" t="str">
        <f t="shared" si="133"/>
        <v/>
      </c>
      <c r="AE263" s="38" t="e">
        <f t="shared" si="134"/>
        <v>#VALUE!</v>
      </c>
      <c r="AF263" s="237" t="e">
        <f>((Summary!$N$10*(AA263*AD263)*(A263-$D$3))+(Summary!$M$10*Z263*AC263*(AJ263-EOMONTH(EDATE(A263,-1),0))))/(AK263*AB263*AE263)</f>
        <v>#VALUE!</v>
      </c>
      <c r="AG263" s="88" t="str">
        <f>IF($A264="","",Summary!$Q$10)</f>
        <v/>
      </c>
      <c r="AH263" s="88" t="str">
        <f>IF($A264="","",IF(Summary!$R$10="Y",(VLOOKUP($A263,Summary!$AD$6:$AF$9,3)+'Escalating commodity'!F276),'Escalating commodity'!F276))</f>
        <v/>
      </c>
      <c r="AI263" s="88" t="str">
        <f t="shared" si="149"/>
        <v/>
      </c>
      <c r="AJ263" s="236" t="e">
        <f t="shared" si="135"/>
        <v>#VALUE!</v>
      </c>
      <c r="AK263" s="58" t="str">
        <f t="shared" si="136"/>
        <v/>
      </c>
      <c r="AL263" s="26" t="str">
        <f>IF($A264="","",_xll.SPRDOPT(P263,X263,AI263,0,AB263,AE263,AF263,AK263,$AJ$2,0))</f>
        <v/>
      </c>
      <c r="AM263" s="89" t="str">
        <f t="shared" si="137"/>
        <v/>
      </c>
      <c r="AN263" s="89" t="str">
        <f t="shared" si="138"/>
        <v/>
      </c>
      <c r="AO263" s="3" t="str">
        <f t="shared" si="139"/>
        <v/>
      </c>
      <c r="AP263" s="33" t="str">
        <f t="shared" si="140"/>
        <v/>
      </c>
      <c r="AQ263" s="58" t="str">
        <f t="shared" si="141"/>
        <v/>
      </c>
      <c r="AR263" s="38">
        <f>'ANR OK vs ML7'!AR263</f>
        <v>0.1</v>
      </c>
      <c r="AS263" s="35" t="str">
        <f t="shared" si="142"/>
        <v/>
      </c>
      <c r="AT263" s="3" t="str">
        <f t="shared" si="143"/>
        <v/>
      </c>
      <c r="AU263" s="3" t="str">
        <f t="shared" si="144"/>
        <v/>
      </c>
      <c r="AW263" s="32" t="str">
        <f t="shared" si="145"/>
        <v/>
      </c>
      <c r="AX263" s="32" t="str">
        <f t="shared" si="146"/>
        <v/>
      </c>
      <c r="AY263" s="32" t="str">
        <f t="shared" si="147"/>
        <v/>
      </c>
      <c r="BA263" s="32" t="str">
        <f>IF($A264="","",F263*Summary!$Q$10)</f>
        <v/>
      </c>
    </row>
    <row r="264" spans="1:53" ht="12" customHeight="1">
      <c r="A264" s="67" t="str">
        <f t="shared" si="148"/>
        <v/>
      </c>
      <c r="B264" s="69" t="str">
        <f t="shared" si="150"/>
        <v/>
      </c>
      <c r="C264" s="71"/>
      <c r="D264" s="69" t="str">
        <f t="shared" si="114"/>
        <v/>
      </c>
      <c r="E264" s="70" t="str">
        <f t="shared" si="115"/>
        <v/>
      </c>
      <c r="F264" s="70" t="str">
        <f t="shared" si="116"/>
        <v/>
      </c>
      <c r="G264" s="63" t="str">
        <f t="shared" si="117"/>
        <v/>
      </c>
      <c r="H264" s="64" t="str">
        <f t="shared" si="118"/>
        <v/>
      </c>
      <c r="I264" s="43"/>
      <c r="J264" s="63" t="str">
        <f t="shared" si="119"/>
        <v/>
      </c>
      <c r="K264" s="64" t="str">
        <f t="shared" si="120"/>
        <v/>
      </c>
      <c r="L264" s="38">
        <v>0</v>
      </c>
      <c r="M264" s="64" t="str">
        <f t="shared" si="121"/>
        <v/>
      </c>
      <c r="N264" s="65"/>
      <c r="O264" s="63" t="str">
        <f t="shared" si="122"/>
        <v/>
      </c>
      <c r="P264" s="63" t="str">
        <f t="shared" si="123"/>
        <v/>
      </c>
      <c r="Q264" s="66"/>
      <c r="R264" s="63" t="str">
        <f t="shared" si="124"/>
        <v/>
      </c>
      <c r="S264" s="64" t="str">
        <f t="shared" si="125"/>
        <v/>
      </c>
      <c r="T264" s="63" t="str">
        <f t="shared" si="126"/>
        <v/>
      </c>
      <c r="U264" s="64" t="str">
        <f t="shared" si="127"/>
        <v/>
      </c>
      <c r="V264" s="219" t="str">
        <f>IF($A265="","",IF(AND(MONTH(A264)&gt;3,MONTH(A264)&lt;11),(T264+R264+G264)*Summary!$T$10/(1-Summary!$T$10),(T264+R264+G264)*Summary!$U$10/(1-Summary!$U$10)))</f>
        <v/>
      </c>
      <c r="W264" s="63" t="str">
        <f t="shared" si="128"/>
        <v/>
      </c>
      <c r="X264" s="63" t="str">
        <f t="shared" si="129"/>
        <v/>
      </c>
      <c r="Y264" s="43"/>
      <c r="Z264" s="38" t="str">
        <f t="shared" si="130"/>
        <v/>
      </c>
      <c r="AA264" s="38" t="str">
        <f t="shared" si="131"/>
        <v/>
      </c>
      <c r="AB264" s="38" t="e">
        <f t="shared" si="132"/>
        <v>#VALUE!</v>
      </c>
      <c r="AC264" s="38" t="str">
        <f t="shared" si="133"/>
        <v/>
      </c>
      <c r="AD264" s="38" t="str">
        <f t="shared" si="133"/>
        <v/>
      </c>
      <c r="AE264" s="38" t="e">
        <f t="shared" si="134"/>
        <v>#VALUE!</v>
      </c>
      <c r="AF264" s="237" t="e">
        <f>((Summary!$N$10*(AA264*AD264)*(A264-$D$3))+(Summary!$M$10*Z264*AC264*(AJ264-EOMONTH(EDATE(A264,-1),0))))/(AK264*AB264*AE264)</f>
        <v>#VALUE!</v>
      </c>
      <c r="AG264" s="88" t="str">
        <f>IF($A265="","",Summary!$Q$10)</f>
        <v/>
      </c>
      <c r="AH264" s="88" t="str">
        <f>IF($A265="","",IF(Summary!$R$10="Y",(VLOOKUP($A264,Summary!$AD$6:$AF$9,3)+'Escalating commodity'!F277),'Escalating commodity'!F277))</f>
        <v/>
      </c>
      <c r="AI264" s="88" t="str">
        <f t="shared" si="149"/>
        <v/>
      </c>
      <c r="AJ264" s="236" t="e">
        <f t="shared" si="135"/>
        <v>#VALUE!</v>
      </c>
      <c r="AK264" s="58" t="str">
        <f t="shared" si="136"/>
        <v/>
      </c>
      <c r="AL264" s="26" t="str">
        <f>IF($A265="","",_xll.SPRDOPT(P264,X264,AI264,0,AB264,AE264,AF264,AK264,$AJ$2,0))</f>
        <v/>
      </c>
      <c r="AM264" s="89" t="str">
        <f t="shared" si="137"/>
        <v/>
      </c>
      <c r="AN264" s="89" t="str">
        <f t="shared" si="138"/>
        <v/>
      </c>
      <c r="AO264" s="3" t="str">
        <f t="shared" si="139"/>
        <v/>
      </c>
      <c r="AP264" s="33" t="str">
        <f t="shared" si="140"/>
        <v/>
      </c>
      <c r="AQ264" s="58" t="str">
        <f t="shared" si="141"/>
        <v/>
      </c>
      <c r="AR264" s="38">
        <f>'ANR OK vs ML7'!AR264</f>
        <v>0.1</v>
      </c>
      <c r="AS264" s="35" t="str">
        <f t="shared" si="142"/>
        <v/>
      </c>
      <c r="AT264" s="3" t="str">
        <f t="shared" si="143"/>
        <v/>
      </c>
      <c r="AU264" s="3" t="str">
        <f t="shared" si="144"/>
        <v/>
      </c>
      <c r="AW264" s="32" t="str">
        <f t="shared" si="145"/>
        <v/>
      </c>
      <c r="AX264" s="32" t="str">
        <f t="shared" si="146"/>
        <v/>
      </c>
      <c r="AY264" s="32" t="str">
        <f t="shared" si="147"/>
        <v/>
      </c>
      <c r="BA264" s="32" t="str">
        <f>IF($A265="","",F264*Summary!$Q$10)</f>
        <v/>
      </c>
    </row>
    <row r="265" spans="1:53" ht="12" customHeight="1">
      <c r="A265" s="67" t="str">
        <f t="shared" si="148"/>
        <v/>
      </c>
      <c r="B265" s="69" t="str">
        <f t="shared" si="150"/>
        <v/>
      </c>
      <c r="C265" s="71"/>
      <c r="D265" s="69" t="str">
        <f t="shared" si="114"/>
        <v/>
      </c>
      <c r="E265" s="70" t="str">
        <f t="shared" si="115"/>
        <v/>
      </c>
      <c r="F265" s="70" t="str">
        <f t="shared" si="116"/>
        <v/>
      </c>
      <c r="G265" s="63" t="str">
        <f t="shared" si="117"/>
        <v/>
      </c>
      <c r="H265" s="64" t="str">
        <f t="shared" si="118"/>
        <v/>
      </c>
      <c r="I265" s="43"/>
      <c r="J265" s="63" t="str">
        <f t="shared" si="119"/>
        <v/>
      </c>
      <c r="K265" s="64" t="str">
        <f t="shared" si="120"/>
        <v/>
      </c>
      <c r="L265" s="38">
        <v>0</v>
      </c>
      <c r="M265" s="64" t="str">
        <f t="shared" si="121"/>
        <v/>
      </c>
      <c r="N265" s="65"/>
      <c r="O265" s="63" t="str">
        <f t="shared" si="122"/>
        <v/>
      </c>
      <c r="P265" s="63" t="str">
        <f t="shared" si="123"/>
        <v/>
      </c>
      <c r="Q265" s="66"/>
      <c r="R265" s="63" t="str">
        <f t="shared" si="124"/>
        <v/>
      </c>
      <c r="S265" s="64" t="str">
        <f t="shared" si="125"/>
        <v/>
      </c>
      <c r="T265" s="63" t="str">
        <f t="shared" si="126"/>
        <v/>
      </c>
      <c r="U265" s="64" t="str">
        <f t="shared" si="127"/>
        <v/>
      </c>
      <c r="V265" s="219" t="str">
        <f>IF($A266="","",IF(AND(MONTH(A265)&gt;3,MONTH(A265)&lt;11),(T265+R265+G265)*Summary!$T$10/(1-Summary!$T$10),(T265+R265+G265)*Summary!$U$10/(1-Summary!$U$10)))</f>
        <v/>
      </c>
      <c r="W265" s="63" t="str">
        <f t="shared" si="128"/>
        <v/>
      </c>
      <c r="X265" s="63" t="str">
        <f t="shared" si="129"/>
        <v/>
      </c>
      <c r="Y265" s="43"/>
      <c r="Z265" s="38" t="str">
        <f t="shared" si="130"/>
        <v/>
      </c>
      <c r="AA265" s="38" t="str">
        <f t="shared" si="131"/>
        <v/>
      </c>
      <c r="AB265" s="38" t="e">
        <f t="shared" si="132"/>
        <v>#VALUE!</v>
      </c>
      <c r="AC265" s="38" t="str">
        <f t="shared" si="133"/>
        <v/>
      </c>
      <c r="AD265" s="38" t="str">
        <f t="shared" si="133"/>
        <v/>
      </c>
      <c r="AE265" s="38" t="e">
        <f t="shared" si="134"/>
        <v>#VALUE!</v>
      </c>
      <c r="AF265" s="237" t="e">
        <f>((Summary!$N$10*(AA265*AD265)*(A265-$D$3))+(Summary!$M$10*Z265*AC265*(AJ265-EOMONTH(EDATE(A265,-1),0))))/(AK265*AB265*AE265)</f>
        <v>#VALUE!</v>
      </c>
      <c r="AG265" s="88" t="str">
        <f>IF($A266="","",Summary!$Q$10)</f>
        <v/>
      </c>
      <c r="AH265" s="88" t="str">
        <f>IF($A266="","",IF(Summary!$R$10="Y",(VLOOKUP($A265,Summary!$AD$6:$AF$9,3)+'Escalating commodity'!F278),'Escalating commodity'!F278))</f>
        <v/>
      </c>
      <c r="AI265" s="88" t="str">
        <f t="shared" si="149"/>
        <v/>
      </c>
      <c r="AJ265" s="236" t="e">
        <f t="shared" si="135"/>
        <v>#VALUE!</v>
      </c>
      <c r="AK265" s="58" t="str">
        <f t="shared" si="136"/>
        <v/>
      </c>
      <c r="AL265" s="26" t="str">
        <f>IF($A266="","",_xll.SPRDOPT(P265,X265,AI265,0,AB265,AE265,AF265,AK265,$AJ$2,0))</f>
        <v/>
      </c>
      <c r="AM265" s="89" t="str">
        <f t="shared" si="137"/>
        <v/>
      </c>
      <c r="AN265" s="89" t="str">
        <f t="shared" si="138"/>
        <v/>
      </c>
      <c r="AO265" s="3" t="str">
        <f t="shared" si="139"/>
        <v/>
      </c>
      <c r="AP265" s="33" t="str">
        <f t="shared" si="140"/>
        <v/>
      </c>
      <c r="AQ265" s="58" t="str">
        <f t="shared" si="141"/>
        <v/>
      </c>
      <c r="AR265" s="38">
        <f>'ANR OK vs ML7'!AR265</f>
        <v>0.1</v>
      </c>
      <c r="AS265" s="35" t="str">
        <f t="shared" si="142"/>
        <v/>
      </c>
      <c r="AT265" s="3" t="str">
        <f t="shared" si="143"/>
        <v/>
      </c>
      <c r="AU265" s="3" t="str">
        <f t="shared" si="144"/>
        <v/>
      </c>
      <c r="AW265" s="32" t="str">
        <f t="shared" si="145"/>
        <v/>
      </c>
      <c r="AX265" s="32" t="str">
        <f t="shared" si="146"/>
        <v/>
      </c>
      <c r="AY265" s="32" t="str">
        <f t="shared" si="147"/>
        <v/>
      </c>
      <c r="BA265" s="32" t="str">
        <f>IF($A266="","",F265*Summary!$Q$10)</f>
        <v/>
      </c>
    </row>
    <row r="266" spans="1:53" ht="12" customHeight="1">
      <c r="A266" s="67" t="str">
        <f t="shared" si="148"/>
        <v/>
      </c>
      <c r="B266" s="69" t="str">
        <f t="shared" si="150"/>
        <v/>
      </c>
      <c r="C266" s="71"/>
      <c r="D266" s="69" t="str">
        <f t="shared" ref="D266:D329" si="151">IF(A267&lt;&gt;"",B266+C266,"")</f>
        <v/>
      </c>
      <c r="E266" s="70" t="str">
        <f t="shared" ref="E266:E329" si="152">IF(A267="","",IF(AND(AT266=1,$H$3=1),D266*AO266,IF($H$3=2,D266,"N/A")))</f>
        <v/>
      </c>
      <c r="F266" s="70" t="str">
        <f t="shared" ref="F266:F329" si="153">IF(A267="","",E266*AS266)</f>
        <v/>
      </c>
      <c r="G266" s="63" t="str">
        <f t="shared" ref="G266:G329" si="154">IF($A267="","",VLOOKUP($A266,Table,MATCH(G$4,Curves,0)))</f>
        <v/>
      </c>
      <c r="H266" s="64" t="str">
        <f t="shared" ref="H266:H329" si="155">IF(A267="","",G266)</f>
        <v/>
      </c>
      <c r="I266" s="43"/>
      <c r="J266" s="63" t="str">
        <f t="shared" ref="J266:J329" si="156">IF($A267="","",VLOOKUP($A266,Table,MATCH(J$4,Curves,0)))</f>
        <v/>
      </c>
      <c r="K266" s="64" t="str">
        <f t="shared" ref="K266:K329" si="157">IF(A267="","",J266)</f>
        <v/>
      </c>
      <c r="L266" s="38">
        <v>0</v>
      </c>
      <c r="M266" s="64" t="str">
        <f t="shared" ref="M266:M329" si="158">IF(A267="","",L266)</f>
        <v/>
      </c>
      <c r="N266" s="65"/>
      <c r="O266" s="63" t="str">
        <f t="shared" ref="O266:O329" si="159">IF(A267="","",L266+J266+G266)</f>
        <v/>
      </c>
      <c r="P266" s="63" t="str">
        <f t="shared" ref="P266:P329" si="160">IF(A267="","",M266+K266+H266)</f>
        <v/>
      </c>
      <c r="Q266" s="66"/>
      <c r="R266" s="63" t="str">
        <f t="shared" ref="R266:R329" si="161">IF($A267="","",VLOOKUP($A266,Table,MATCH(R$4,Curves,0)))</f>
        <v/>
      </c>
      <c r="S266" s="64" t="str">
        <f t="shared" ref="S266:S329" si="162">IF(A267="","",R266)</f>
        <v/>
      </c>
      <c r="T266" s="63" t="str">
        <f t="shared" ref="T266:T329" si="163">IF($A267="","",VLOOKUP($A266,Table,MATCH(T$4,Curves,0)))</f>
        <v/>
      </c>
      <c r="U266" s="64" t="str">
        <f t="shared" ref="U266:U329" si="164">IF(A267="","",T266)</f>
        <v/>
      </c>
      <c r="V266" s="219" t="str">
        <f>IF($A267="","",IF(AND(MONTH(A266)&gt;3,MONTH(A266)&lt;11),(T266+R266+G266)*Summary!$T$10/(1-Summary!$T$10),(T266+R266+G266)*Summary!$U$10/(1-Summary!$U$10)))</f>
        <v/>
      </c>
      <c r="W266" s="63" t="str">
        <f t="shared" ref="W266:W329" si="165">IF($A267="","",(T266+R266+G266+V266))</f>
        <v/>
      </c>
      <c r="X266" s="63" t="str">
        <f t="shared" ref="X266:X329" si="166">IF($A267="","",(U266+S266+H266+V266))</f>
        <v/>
      </c>
      <c r="Y266" s="43"/>
      <c r="Z266" s="38" t="str">
        <f t="shared" ref="Z266:Z329" si="167">IF($A267="","",VLOOKUP($A266,Table,MATCH(Z$4,Curves,0)))</f>
        <v/>
      </c>
      <c r="AA266" s="38" t="str">
        <f t="shared" ref="AA266:AA329" si="168">IF($A267="","",VLOOKUP($A266,Table,MATCH(AA$4,Curves,0)))</f>
        <v/>
      </c>
      <c r="AB266" s="38" t="e">
        <f t="shared" ref="AB266:AB329" si="169">SQRT((AA266^2*(A266-$D$3)+Z266^2*(DAY(EOMONTH(A266,0))/2))/AK266)</f>
        <v>#VALUE!</v>
      </c>
      <c r="AC266" s="38" t="str">
        <f t="shared" ref="AC266:AD329" si="170">IF($A267="","",VLOOKUP($A266,Table,MATCH(AC$4,Curves,0)))</f>
        <v/>
      </c>
      <c r="AD266" s="38" t="str">
        <f t="shared" si="170"/>
        <v/>
      </c>
      <c r="AE266" s="38" t="e">
        <f t="shared" ref="AE266:AE329" si="171">SQRT((AD266^2*(A266-$D$3)+AC266^2*(DAY(EOMONTH(A266,0))/2))/AK266)</f>
        <v>#VALUE!</v>
      </c>
      <c r="AF266" s="237" t="e">
        <f>((Summary!$N$10*(AA266*AD266)*(A266-$D$3))+(Summary!$M$10*Z266*AC266*(AJ266-EOMONTH(EDATE(A266,-1),0))))/(AK266*AB266*AE266)</f>
        <v>#VALUE!</v>
      </c>
      <c r="AG266" s="88" t="str">
        <f>IF($A267="","",Summary!$Q$10)</f>
        <v/>
      </c>
      <c r="AH266" s="88" t="str">
        <f>IF($A267="","",IF(Summary!$R$10="Y",(VLOOKUP($A266,Summary!$AD$6:$AF$9,3)+'Escalating commodity'!F279),'Escalating commodity'!F279))</f>
        <v/>
      </c>
      <c r="AI266" s="88" t="str">
        <f t="shared" si="149"/>
        <v/>
      </c>
      <c r="AJ266" s="236" t="e">
        <f t="shared" ref="AJ266:AJ329" si="172">A266+DAY(EOMONTH(A266,0))/2-1</f>
        <v>#VALUE!</v>
      </c>
      <c r="AK266" s="58" t="str">
        <f t="shared" ref="AK266:AK329" si="173">IF($A267="","",$A266-$E$1)</f>
        <v/>
      </c>
      <c r="AL266" s="26" t="str">
        <f>IF($A267="","",_xll.SPRDOPT(P266,X266,AI266,0,AB266,AE266,AF266,AK266,$AJ$2,0))</f>
        <v/>
      </c>
      <c r="AM266" s="89" t="str">
        <f t="shared" ref="AM266:AM329" si="174">IF($A267="","",MAX(0,O266-W266-AI266))</f>
        <v/>
      </c>
      <c r="AN266" s="89" t="str">
        <f t="shared" ref="AN266:AN329" si="175">IF($A267="","",AL266-AM266)</f>
        <v/>
      </c>
      <c r="AO266" s="3" t="str">
        <f t="shared" ref="AO266:AO329" si="176">IF(A267="","",A267-A266)</f>
        <v/>
      </c>
      <c r="AP266" s="33" t="str">
        <f t="shared" ref="AP266:AP329" si="177">IF(A267="","",CHOOSE(F$3,A267+24,A266))</f>
        <v/>
      </c>
      <c r="AQ266" s="58" t="str">
        <f t="shared" ref="AQ266:AQ329" si="178">IF(A267="","",AP266-$E$1)</f>
        <v/>
      </c>
      <c r="AR266" s="38">
        <f>'ANR OK vs ML7'!AR266</f>
        <v>0.1</v>
      </c>
      <c r="AS266" s="35" t="str">
        <f t="shared" ref="AS266:AS329" si="179">IF(A267="","",1/(1+CHOOSE(F$3,(AR267+($I$3/10000))/2,(AR266+($I$3/10000))/2))^(2*AQ266/365.25))</f>
        <v/>
      </c>
      <c r="AT266" s="3" t="str">
        <f t="shared" ref="AT266:AT329" si="180">IF(A267="","",IF(AND(mthbeg&lt;=A266,mthend&gt;=A266),1,0))</f>
        <v/>
      </c>
      <c r="AU266" s="3" t="str">
        <f t="shared" ref="AU266:AU329" si="181">IF(A267="","",AO266*AT266)</f>
        <v/>
      </c>
      <c r="AW266" s="32" t="str">
        <f t="shared" ref="AW266:AW329" si="182">IF($A267="","",AL266*$E266)</f>
        <v/>
      </c>
      <c r="AX266" s="32" t="str">
        <f t="shared" ref="AX266:AX329" si="183">IF($A267="","",AM266*$E266)</f>
        <v/>
      </c>
      <c r="AY266" s="32" t="str">
        <f t="shared" ref="AY266:AY329" si="184">IF($A267="","",AN266*$E266)</f>
        <v/>
      </c>
      <c r="BA266" s="32" t="str">
        <f>IF($A267="","",F266*Summary!$Q$10)</f>
        <v/>
      </c>
    </row>
    <row r="267" spans="1:53" ht="12" customHeight="1">
      <c r="A267" s="67" t="str">
        <f t="shared" ref="A267:A330" si="185">IF(A266&lt;mthend,EDATE(A266,1),"")</f>
        <v/>
      </c>
      <c r="B267" s="69" t="str">
        <f t="shared" si="150"/>
        <v/>
      </c>
      <c r="C267" s="71"/>
      <c r="D267" s="69" t="str">
        <f t="shared" si="151"/>
        <v/>
      </c>
      <c r="E267" s="70" t="str">
        <f t="shared" si="152"/>
        <v/>
      </c>
      <c r="F267" s="70" t="str">
        <f t="shared" si="153"/>
        <v/>
      </c>
      <c r="G267" s="63" t="str">
        <f t="shared" si="154"/>
        <v/>
      </c>
      <c r="H267" s="64" t="str">
        <f t="shared" si="155"/>
        <v/>
      </c>
      <c r="I267" s="43"/>
      <c r="J267" s="63" t="str">
        <f t="shared" si="156"/>
        <v/>
      </c>
      <c r="K267" s="64" t="str">
        <f t="shared" si="157"/>
        <v/>
      </c>
      <c r="L267" s="38">
        <v>0</v>
      </c>
      <c r="M267" s="64" t="str">
        <f t="shared" si="158"/>
        <v/>
      </c>
      <c r="N267" s="65"/>
      <c r="O267" s="63" t="str">
        <f t="shared" si="159"/>
        <v/>
      </c>
      <c r="P267" s="63" t="str">
        <f t="shared" si="160"/>
        <v/>
      </c>
      <c r="Q267" s="66"/>
      <c r="R267" s="63" t="str">
        <f t="shared" si="161"/>
        <v/>
      </c>
      <c r="S267" s="64" t="str">
        <f t="shared" si="162"/>
        <v/>
      </c>
      <c r="T267" s="63" t="str">
        <f t="shared" si="163"/>
        <v/>
      </c>
      <c r="U267" s="64" t="str">
        <f t="shared" si="164"/>
        <v/>
      </c>
      <c r="V267" s="219" t="str">
        <f>IF($A268="","",IF(AND(MONTH(A267)&gt;3,MONTH(A267)&lt;11),(T267+R267+G267)*Summary!$T$10/(1-Summary!$T$10),(T267+R267+G267)*Summary!$U$10/(1-Summary!$U$10)))</f>
        <v/>
      </c>
      <c r="W267" s="63" t="str">
        <f t="shared" si="165"/>
        <v/>
      </c>
      <c r="X267" s="63" t="str">
        <f t="shared" si="166"/>
        <v/>
      </c>
      <c r="Y267" s="43"/>
      <c r="Z267" s="38" t="str">
        <f t="shared" si="167"/>
        <v/>
      </c>
      <c r="AA267" s="38" t="str">
        <f t="shared" si="168"/>
        <v/>
      </c>
      <c r="AB267" s="38" t="e">
        <f t="shared" si="169"/>
        <v>#VALUE!</v>
      </c>
      <c r="AC267" s="38" t="str">
        <f t="shared" si="170"/>
        <v/>
      </c>
      <c r="AD267" s="38" t="str">
        <f t="shared" si="170"/>
        <v/>
      </c>
      <c r="AE267" s="38" t="e">
        <f t="shared" si="171"/>
        <v>#VALUE!</v>
      </c>
      <c r="AF267" s="237" t="e">
        <f>((Summary!$N$10*(AA267*AD267)*(A267-$D$3))+(Summary!$M$10*Z267*AC267*(AJ267-EOMONTH(EDATE(A267,-1),0))))/(AK267*AB267*AE267)</f>
        <v>#VALUE!</v>
      </c>
      <c r="AG267" s="88" t="str">
        <f>IF($A268="","",Summary!$Q$10)</f>
        <v/>
      </c>
      <c r="AH267" s="88" t="str">
        <f>IF($A268="","",IF(Summary!$R$10="Y",(VLOOKUP($A267,Summary!$AD$6:$AF$9,3)+'Escalating commodity'!F280),'Escalating commodity'!F280))</f>
        <v/>
      </c>
      <c r="AI267" s="88" t="str">
        <f t="shared" ref="AI267:AI330" si="186">IF($A268="","",AH267)</f>
        <v/>
      </c>
      <c r="AJ267" s="236" t="e">
        <f t="shared" si="172"/>
        <v>#VALUE!</v>
      </c>
      <c r="AK267" s="58" t="str">
        <f t="shared" si="173"/>
        <v/>
      </c>
      <c r="AL267" s="26" t="str">
        <f>IF($A268="","",_xll.SPRDOPT(P267,X267,AI267,0,AB267,AE267,AF267,AK267,$AJ$2,0))</f>
        <v/>
      </c>
      <c r="AM267" s="89" t="str">
        <f t="shared" si="174"/>
        <v/>
      </c>
      <c r="AN267" s="89" t="str">
        <f t="shared" si="175"/>
        <v/>
      </c>
      <c r="AO267" s="3" t="str">
        <f t="shared" si="176"/>
        <v/>
      </c>
      <c r="AP267" s="33" t="str">
        <f t="shared" si="177"/>
        <v/>
      </c>
      <c r="AQ267" s="58" t="str">
        <f t="shared" si="178"/>
        <v/>
      </c>
      <c r="AR267" s="38">
        <f>'ANR OK vs ML7'!AR267</f>
        <v>0.1</v>
      </c>
      <c r="AS267" s="35" t="str">
        <f t="shared" si="179"/>
        <v/>
      </c>
      <c r="AT267" s="3" t="str">
        <f t="shared" si="180"/>
        <v/>
      </c>
      <c r="AU267" s="3" t="str">
        <f t="shared" si="181"/>
        <v/>
      </c>
      <c r="AW267" s="32" t="str">
        <f t="shared" si="182"/>
        <v/>
      </c>
      <c r="AX267" s="32" t="str">
        <f t="shared" si="183"/>
        <v/>
      </c>
      <c r="AY267" s="32" t="str">
        <f t="shared" si="184"/>
        <v/>
      </c>
      <c r="BA267" s="32" t="str">
        <f>IF($A268="","",F267*Summary!$Q$10)</f>
        <v/>
      </c>
    </row>
    <row r="268" spans="1:53" ht="12" customHeight="1">
      <c r="A268" s="67" t="str">
        <f t="shared" si="185"/>
        <v/>
      </c>
      <c r="B268" s="69" t="str">
        <f t="shared" ref="B268:B331" si="187">IF(A268&lt;mthend,B267,"")</f>
        <v/>
      </c>
      <c r="C268" s="71"/>
      <c r="D268" s="69" t="str">
        <f t="shared" si="151"/>
        <v/>
      </c>
      <c r="E268" s="70" t="str">
        <f t="shared" si="152"/>
        <v/>
      </c>
      <c r="F268" s="70" t="str">
        <f t="shared" si="153"/>
        <v/>
      </c>
      <c r="G268" s="63" t="str">
        <f t="shared" si="154"/>
        <v/>
      </c>
      <c r="H268" s="64" t="str">
        <f t="shared" si="155"/>
        <v/>
      </c>
      <c r="I268" s="43"/>
      <c r="J268" s="63" t="str">
        <f t="shared" si="156"/>
        <v/>
      </c>
      <c r="K268" s="64" t="str">
        <f t="shared" si="157"/>
        <v/>
      </c>
      <c r="L268" s="38">
        <v>0</v>
      </c>
      <c r="M268" s="64" t="str">
        <f t="shared" si="158"/>
        <v/>
      </c>
      <c r="N268" s="65"/>
      <c r="O268" s="63" t="str">
        <f t="shared" si="159"/>
        <v/>
      </c>
      <c r="P268" s="63" t="str">
        <f t="shared" si="160"/>
        <v/>
      </c>
      <c r="Q268" s="66"/>
      <c r="R268" s="63" t="str">
        <f t="shared" si="161"/>
        <v/>
      </c>
      <c r="S268" s="64" t="str">
        <f t="shared" si="162"/>
        <v/>
      </c>
      <c r="T268" s="63" t="str">
        <f t="shared" si="163"/>
        <v/>
      </c>
      <c r="U268" s="64" t="str">
        <f t="shared" si="164"/>
        <v/>
      </c>
      <c r="V268" s="219" t="str">
        <f>IF($A269="","",IF(AND(MONTH(A268)&gt;3,MONTH(A268)&lt;11),(T268+R268+G268)*Summary!$T$10/(1-Summary!$T$10),(T268+R268+G268)*Summary!$U$10/(1-Summary!$U$10)))</f>
        <v/>
      </c>
      <c r="W268" s="63" t="str">
        <f t="shared" si="165"/>
        <v/>
      </c>
      <c r="X268" s="63" t="str">
        <f t="shared" si="166"/>
        <v/>
      </c>
      <c r="Y268" s="43"/>
      <c r="Z268" s="38" t="str">
        <f t="shared" si="167"/>
        <v/>
      </c>
      <c r="AA268" s="38" t="str">
        <f t="shared" si="168"/>
        <v/>
      </c>
      <c r="AB268" s="38" t="e">
        <f t="shared" si="169"/>
        <v>#VALUE!</v>
      </c>
      <c r="AC268" s="38" t="str">
        <f t="shared" si="170"/>
        <v/>
      </c>
      <c r="AD268" s="38" t="str">
        <f t="shared" si="170"/>
        <v/>
      </c>
      <c r="AE268" s="38" t="e">
        <f t="shared" si="171"/>
        <v>#VALUE!</v>
      </c>
      <c r="AF268" s="237" t="e">
        <f>((Summary!$N$10*(AA268*AD268)*(A268-$D$3))+(Summary!$M$10*Z268*AC268*(AJ268-EOMONTH(EDATE(A268,-1),0))))/(AK268*AB268*AE268)</f>
        <v>#VALUE!</v>
      </c>
      <c r="AG268" s="88" t="str">
        <f>IF($A269="","",Summary!$Q$10)</f>
        <v/>
      </c>
      <c r="AH268" s="88" t="str">
        <f>IF($A269="","",IF(Summary!$R$10="Y",(VLOOKUP($A268,Summary!$AD$6:$AF$9,3)+'Escalating commodity'!F281),'Escalating commodity'!F281))</f>
        <v/>
      </c>
      <c r="AI268" s="88" t="str">
        <f t="shared" si="186"/>
        <v/>
      </c>
      <c r="AJ268" s="236" t="e">
        <f t="shared" si="172"/>
        <v>#VALUE!</v>
      </c>
      <c r="AK268" s="58" t="str">
        <f t="shared" si="173"/>
        <v/>
      </c>
      <c r="AL268" s="26" t="str">
        <f>IF($A269="","",_xll.SPRDOPT(P268,X268,AI268,0,AB268,AE268,AF268,AK268,$AJ$2,0))</f>
        <v/>
      </c>
      <c r="AM268" s="89" t="str">
        <f t="shared" si="174"/>
        <v/>
      </c>
      <c r="AN268" s="89" t="str">
        <f t="shared" si="175"/>
        <v/>
      </c>
      <c r="AO268" s="3" t="str">
        <f t="shared" si="176"/>
        <v/>
      </c>
      <c r="AP268" s="33" t="str">
        <f t="shared" si="177"/>
        <v/>
      </c>
      <c r="AQ268" s="58" t="str">
        <f t="shared" si="178"/>
        <v/>
      </c>
      <c r="AR268" s="38">
        <f>'ANR OK vs ML7'!AR268</f>
        <v>0.1</v>
      </c>
      <c r="AS268" s="35" t="str">
        <f t="shared" si="179"/>
        <v/>
      </c>
      <c r="AT268" s="3" t="str">
        <f t="shared" si="180"/>
        <v/>
      </c>
      <c r="AU268" s="3" t="str">
        <f t="shared" si="181"/>
        <v/>
      </c>
      <c r="AW268" s="32" t="str">
        <f t="shared" si="182"/>
        <v/>
      </c>
      <c r="AX268" s="32" t="str">
        <f t="shared" si="183"/>
        <v/>
      </c>
      <c r="AY268" s="32" t="str">
        <f t="shared" si="184"/>
        <v/>
      </c>
      <c r="BA268" s="32" t="str">
        <f>IF($A269="","",F268*Summary!$Q$10)</f>
        <v/>
      </c>
    </row>
    <row r="269" spans="1:53" ht="12" customHeight="1">
      <c r="A269" s="67" t="str">
        <f t="shared" si="185"/>
        <v/>
      </c>
      <c r="B269" s="69" t="str">
        <f t="shared" si="187"/>
        <v/>
      </c>
      <c r="C269" s="71"/>
      <c r="D269" s="69" t="str">
        <f t="shared" si="151"/>
        <v/>
      </c>
      <c r="E269" s="70" t="str">
        <f t="shared" si="152"/>
        <v/>
      </c>
      <c r="F269" s="70" t="str">
        <f t="shared" si="153"/>
        <v/>
      </c>
      <c r="G269" s="63" t="str">
        <f t="shared" si="154"/>
        <v/>
      </c>
      <c r="H269" s="64" t="str">
        <f t="shared" si="155"/>
        <v/>
      </c>
      <c r="I269" s="43"/>
      <c r="J269" s="63" t="str">
        <f t="shared" si="156"/>
        <v/>
      </c>
      <c r="K269" s="64" t="str">
        <f t="shared" si="157"/>
        <v/>
      </c>
      <c r="L269" s="38">
        <v>0</v>
      </c>
      <c r="M269" s="64" t="str">
        <f t="shared" si="158"/>
        <v/>
      </c>
      <c r="N269" s="65"/>
      <c r="O269" s="63" t="str">
        <f t="shared" si="159"/>
        <v/>
      </c>
      <c r="P269" s="63" t="str">
        <f t="shared" si="160"/>
        <v/>
      </c>
      <c r="Q269" s="66"/>
      <c r="R269" s="63" t="str">
        <f t="shared" si="161"/>
        <v/>
      </c>
      <c r="S269" s="64" t="str">
        <f t="shared" si="162"/>
        <v/>
      </c>
      <c r="T269" s="63" t="str">
        <f t="shared" si="163"/>
        <v/>
      </c>
      <c r="U269" s="64" t="str">
        <f t="shared" si="164"/>
        <v/>
      </c>
      <c r="V269" s="219" t="str">
        <f>IF($A270="","",IF(AND(MONTH(A269)&gt;3,MONTH(A269)&lt;11),(T269+R269+G269)*Summary!$T$10/(1-Summary!$T$10),(T269+R269+G269)*Summary!$U$10/(1-Summary!$U$10)))</f>
        <v/>
      </c>
      <c r="W269" s="63" t="str">
        <f t="shared" si="165"/>
        <v/>
      </c>
      <c r="X269" s="63" t="str">
        <f t="shared" si="166"/>
        <v/>
      </c>
      <c r="Y269" s="43"/>
      <c r="Z269" s="38" t="str">
        <f t="shared" si="167"/>
        <v/>
      </c>
      <c r="AA269" s="38" t="str">
        <f t="shared" si="168"/>
        <v/>
      </c>
      <c r="AB269" s="38" t="e">
        <f t="shared" si="169"/>
        <v>#VALUE!</v>
      </c>
      <c r="AC269" s="38" t="str">
        <f t="shared" si="170"/>
        <v/>
      </c>
      <c r="AD269" s="38" t="str">
        <f t="shared" si="170"/>
        <v/>
      </c>
      <c r="AE269" s="38" t="e">
        <f t="shared" si="171"/>
        <v>#VALUE!</v>
      </c>
      <c r="AF269" s="237" t="e">
        <f>((Summary!$N$10*(AA269*AD269)*(A269-$D$3))+(Summary!$M$10*Z269*AC269*(AJ269-EOMONTH(EDATE(A269,-1),0))))/(AK269*AB269*AE269)</f>
        <v>#VALUE!</v>
      </c>
      <c r="AG269" s="88" t="str">
        <f>IF($A270="","",Summary!$Q$10)</f>
        <v/>
      </c>
      <c r="AH269" s="88" t="str">
        <f>IF($A270="","",IF(Summary!$R$10="Y",(VLOOKUP($A269,Summary!$AD$6:$AF$9,3)+'Escalating commodity'!F282),'Escalating commodity'!F282))</f>
        <v/>
      </c>
      <c r="AI269" s="88" t="str">
        <f t="shared" si="186"/>
        <v/>
      </c>
      <c r="AJ269" s="236" t="e">
        <f t="shared" si="172"/>
        <v>#VALUE!</v>
      </c>
      <c r="AK269" s="58" t="str">
        <f t="shared" si="173"/>
        <v/>
      </c>
      <c r="AL269" s="26" t="str">
        <f>IF($A270="","",_xll.SPRDOPT(P269,X269,AI269,0,AB269,AE269,AF269,AK269,$AJ$2,0))</f>
        <v/>
      </c>
      <c r="AM269" s="89" t="str">
        <f t="shared" si="174"/>
        <v/>
      </c>
      <c r="AN269" s="89" t="str">
        <f t="shared" si="175"/>
        <v/>
      </c>
      <c r="AO269" s="3" t="str">
        <f t="shared" si="176"/>
        <v/>
      </c>
      <c r="AP269" s="33" t="str">
        <f t="shared" si="177"/>
        <v/>
      </c>
      <c r="AQ269" s="58" t="str">
        <f t="shared" si="178"/>
        <v/>
      </c>
      <c r="AR269" s="38">
        <f>'ANR OK vs ML7'!AR269</f>
        <v>0.1</v>
      </c>
      <c r="AS269" s="35" t="str">
        <f t="shared" si="179"/>
        <v/>
      </c>
      <c r="AT269" s="3" t="str">
        <f t="shared" si="180"/>
        <v/>
      </c>
      <c r="AU269" s="3" t="str">
        <f t="shared" si="181"/>
        <v/>
      </c>
      <c r="AW269" s="32" t="str">
        <f t="shared" si="182"/>
        <v/>
      </c>
      <c r="AX269" s="32" t="str">
        <f t="shared" si="183"/>
        <v/>
      </c>
      <c r="AY269" s="32" t="str">
        <f t="shared" si="184"/>
        <v/>
      </c>
      <c r="BA269" s="32" t="str">
        <f>IF($A270="","",F269*Summary!$Q$10)</f>
        <v/>
      </c>
    </row>
    <row r="270" spans="1:53" ht="12" customHeight="1">
      <c r="A270" s="67" t="str">
        <f t="shared" si="185"/>
        <v/>
      </c>
      <c r="B270" s="69" t="str">
        <f t="shared" si="187"/>
        <v/>
      </c>
      <c r="C270" s="71"/>
      <c r="D270" s="69" t="str">
        <f t="shared" si="151"/>
        <v/>
      </c>
      <c r="E270" s="70" t="str">
        <f t="shared" si="152"/>
        <v/>
      </c>
      <c r="F270" s="70" t="str">
        <f t="shared" si="153"/>
        <v/>
      </c>
      <c r="G270" s="63" t="str">
        <f t="shared" si="154"/>
        <v/>
      </c>
      <c r="H270" s="64" t="str">
        <f t="shared" si="155"/>
        <v/>
      </c>
      <c r="I270" s="43"/>
      <c r="J270" s="63" t="str">
        <f t="shared" si="156"/>
        <v/>
      </c>
      <c r="K270" s="64" t="str">
        <f t="shared" si="157"/>
        <v/>
      </c>
      <c r="L270" s="38">
        <v>0</v>
      </c>
      <c r="M270" s="64" t="str">
        <f t="shared" si="158"/>
        <v/>
      </c>
      <c r="N270" s="65"/>
      <c r="O270" s="63" t="str">
        <f t="shared" si="159"/>
        <v/>
      </c>
      <c r="P270" s="63" t="str">
        <f t="shared" si="160"/>
        <v/>
      </c>
      <c r="Q270" s="66"/>
      <c r="R270" s="63" t="str">
        <f t="shared" si="161"/>
        <v/>
      </c>
      <c r="S270" s="64" t="str">
        <f t="shared" si="162"/>
        <v/>
      </c>
      <c r="T270" s="63" t="str">
        <f t="shared" si="163"/>
        <v/>
      </c>
      <c r="U270" s="64" t="str">
        <f t="shared" si="164"/>
        <v/>
      </c>
      <c r="V270" s="219" t="str">
        <f>IF($A271="","",IF(AND(MONTH(A270)&gt;3,MONTH(A270)&lt;11),(T270+R270+G270)*Summary!$T$10/(1-Summary!$T$10),(T270+R270+G270)*Summary!$U$10/(1-Summary!$U$10)))</f>
        <v/>
      </c>
      <c r="W270" s="63" t="str">
        <f t="shared" si="165"/>
        <v/>
      </c>
      <c r="X270" s="63" t="str">
        <f t="shared" si="166"/>
        <v/>
      </c>
      <c r="Y270" s="43"/>
      <c r="Z270" s="38" t="str">
        <f t="shared" si="167"/>
        <v/>
      </c>
      <c r="AA270" s="38" t="str">
        <f t="shared" si="168"/>
        <v/>
      </c>
      <c r="AB270" s="38" t="e">
        <f t="shared" si="169"/>
        <v>#VALUE!</v>
      </c>
      <c r="AC270" s="38" t="str">
        <f t="shared" si="170"/>
        <v/>
      </c>
      <c r="AD270" s="38" t="str">
        <f t="shared" si="170"/>
        <v/>
      </c>
      <c r="AE270" s="38" t="e">
        <f t="shared" si="171"/>
        <v>#VALUE!</v>
      </c>
      <c r="AF270" s="237" t="e">
        <f>((Summary!$N$10*(AA270*AD270)*(A270-$D$3))+(Summary!$M$10*Z270*AC270*(AJ270-EOMONTH(EDATE(A270,-1),0))))/(AK270*AB270*AE270)</f>
        <v>#VALUE!</v>
      </c>
      <c r="AG270" s="88" t="str">
        <f>IF($A271="","",Summary!$Q$10)</f>
        <v/>
      </c>
      <c r="AH270" s="88" t="str">
        <f>IF($A271="","",IF(Summary!$R$10="Y",(VLOOKUP($A270,Summary!$AD$6:$AF$9,3)+'Escalating commodity'!F283),'Escalating commodity'!F283))</f>
        <v/>
      </c>
      <c r="AI270" s="88" t="str">
        <f t="shared" si="186"/>
        <v/>
      </c>
      <c r="AJ270" s="236" t="e">
        <f t="shared" si="172"/>
        <v>#VALUE!</v>
      </c>
      <c r="AK270" s="58" t="str">
        <f t="shared" si="173"/>
        <v/>
      </c>
      <c r="AL270" s="26" t="str">
        <f>IF($A271="","",_xll.SPRDOPT(P270,X270,AI270,0,AB270,AE270,AF270,AK270,$AJ$2,0))</f>
        <v/>
      </c>
      <c r="AM270" s="89" t="str">
        <f t="shared" si="174"/>
        <v/>
      </c>
      <c r="AN270" s="89" t="str">
        <f t="shared" si="175"/>
        <v/>
      </c>
      <c r="AO270" s="3" t="str">
        <f t="shared" si="176"/>
        <v/>
      </c>
      <c r="AP270" s="33" t="str">
        <f t="shared" si="177"/>
        <v/>
      </c>
      <c r="AQ270" s="58" t="str">
        <f t="shared" si="178"/>
        <v/>
      </c>
      <c r="AR270" s="38">
        <f>'ANR OK vs ML7'!AR270</f>
        <v>0.1</v>
      </c>
      <c r="AS270" s="35" t="str">
        <f t="shared" si="179"/>
        <v/>
      </c>
      <c r="AT270" s="3" t="str">
        <f t="shared" si="180"/>
        <v/>
      </c>
      <c r="AU270" s="3" t="str">
        <f t="shared" si="181"/>
        <v/>
      </c>
      <c r="AW270" s="32" t="str">
        <f t="shared" si="182"/>
        <v/>
      </c>
      <c r="AX270" s="32" t="str">
        <f t="shared" si="183"/>
        <v/>
      </c>
      <c r="AY270" s="32" t="str">
        <f t="shared" si="184"/>
        <v/>
      </c>
      <c r="BA270" s="32" t="str">
        <f>IF($A271="","",F270*Summary!$Q$10)</f>
        <v/>
      </c>
    </row>
    <row r="271" spans="1:53" ht="12" customHeight="1">
      <c r="A271" s="67" t="str">
        <f t="shared" si="185"/>
        <v/>
      </c>
      <c r="B271" s="69" t="str">
        <f t="shared" si="187"/>
        <v/>
      </c>
      <c r="C271" s="71"/>
      <c r="D271" s="69" t="str">
        <f t="shared" si="151"/>
        <v/>
      </c>
      <c r="E271" s="70" t="str">
        <f t="shared" si="152"/>
        <v/>
      </c>
      <c r="F271" s="70" t="str">
        <f t="shared" si="153"/>
        <v/>
      </c>
      <c r="G271" s="63" t="str">
        <f t="shared" si="154"/>
        <v/>
      </c>
      <c r="H271" s="64" t="str">
        <f t="shared" si="155"/>
        <v/>
      </c>
      <c r="I271" s="43"/>
      <c r="J271" s="63" t="str">
        <f t="shared" si="156"/>
        <v/>
      </c>
      <c r="K271" s="64" t="str">
        <f t="shared" si="157"/>
        <v/>
      </c>
      <c r="L271" s="38">
        <v>0</v>
      </c>
      <c r="M271" s="64" t="str">
        <f t="shared" si="158"/>
        <v/>
      </c>
      <c r="N271" s="65"/>
      <c r="O271" s="63" t="str">
        <f t="shared" si="159"/>
        <v/>
      </c>
      <c r="P271" s="63" t="str">
        <f t="shared" si="160"/>
        <v/>
      </c>
      <c r="Q271" s="66"/>
      <c r="R271" s="63" t="str">
        <f t="shared" si="161"/>
        <v/>
      </c>
      <c r="S271" s="64" t="str">
        <f t="shared" si="162"/>
        <v/>
      </c>
      <c r="T271" s="63" t="str">
        <f t="shared" si="163"/>
        <v/>
      </c>
      <c r="U271" s="64" t="str">
        <f t="shared" si="164"/>
        <v/>
      </c>
      <c r="V271" s="219" t="str">
        <f>IF($A272="","",IF(AND(MONTH(A271)&gt;3,MONTH(A271)&lt;11),(T271+R271+G271)*Summary!$T$10/(1-Summary!$T$10),(T271+R271+G271)*Summary!$U$10/(1-Summary!$U$10)))</f>
        <v/>
      </c>
      <c r="W271" s="63" t="str">
        <f t="shared" si="165"/>
        <v/>
      </c>
      <c r="X271" s="63" t="str">
        <f t="shared" si="166"/>
        <v/>
      </c>
      <c r="Y271" s="43"/>
      <c r="Z271" s="38" t="str">
        <f t="shared" si="167"/>
        <v/>
      </c>
      <c r="AA271" s="38" t="str">
        <f t="shared" si="168"/>
        <v/>
      </c>
      <c r="AB271" s="38" t="e">
        <f t="shared" si="169"/>
        <v>#VALUE!</v>
      </c>
      <c r="AC271" s="38" t="str">
        <f t="shared" si="170"/>
        <v/>
      </c>
      <c r="AD271" s="38" t="str">
        <f t="shared" si="170"/>
        <v/>
      </c>
      <c r="AE271" s="38" t="e">
        <f t="shared" si="171"/>
        <v>#VALUE!</v>
      </c>
      <c r="AF271" s="237" t="e">
        <f>((Summary!$N$10*(AA271*AD271)*(A271-$D$3))+(Summary!$M$10*Z271*AC271*(AJ271-EOMONTH(EDATE(A271,-1),0))))/(AK271*AB271*AE271)</f>
        <v>#VALUE!</v>
      </c>
      <c r="AG271" s="88" t="str">
        <f>IF($A272="","",Summary!$Q$10)</f>
        <v/>
      </c>
      <c r="AH271" s="88" t="str">
        <f>IF($A272="","",IF(Summary!$R$10="Y",(VLOOKUP($A271,Summary!$AD$6:$AF$9,3)+'Escalating commodity'!F284),'Escalating commodity'!F284))</f>
        <v/>
      </c>
      <c r="AI271" s="88" t="str">
        <f t="shared" si="186"/>
        <v/>
      </c>
      <c r="AJ271" s="236" t="e">
        <f t="shared" si="172"/>
        <v>#VALUE!</v>
      </c>
      <c r="AK271" s="58" t="str">
        <f t="shared" si="173"/>
        <v/>
      </c>
      <c r="AL271" s="26" t="str">
        <f>IF($A272="","",_xll.SPRDOPT(P271,X271,AI271,0,AB271,AE271,AF271,AK271,$AJ$2,0))</f>
        <v/>
      </c>
      <c r="AM271" s="89" t="str">
        <f t="shared" si="174"/>
        <v/>
      </c>
      <c r="AN271" s="89" t="str">
        <f t="shared" si="175"/>
        <v/>
      </c>
      <c r="AO271" s="3" t="str">
        <f t="shared" si="176"/>
        <v/>
      </c>
      <c r="AP271" s="33" t="str">
        <f t="shared" si="177"/>
        <v/>
      </c>
      <c r="AQ271" s="58" t="str">
        <f t="shared" si="178"/>
        <v/>
      </c>
      <c r="AR271" s="38">
        <f>'ANR OK vs ML7'!AR271</f>
        <v>0.1</v>
      </c>
      <c r="AS271" s="35" t="str">
        <f t="shared" si="179"/>
        <v/>
      </c>
      <c r="AT271" s="3" t="str">
        <f t="shared" si="180"/>
        <v/>
      </c>
      <c r="AU271" s="3" t="str">
        <f t="shared" si="181"/>
        <v/>
      </c>
      <c r="AW271" s="32" t="str">
        <f t="shared" si="182"/>
        <v/>
      </c>
      <c r="AX271" s="32" t="str">
        <f t="shared" si="183"/>
        <v/>
      </c>
      <c r="AY271" s="32" t="str">
        <f t="shared" si="184"/>
        <v/>
      </c>
      <c r="BA271" s="32" t="str">
        <f>IF($A272="","",F271*Summary!$Q$10)</f>
        <v/>
      </c>
    </row>
    <row r="272" spans="1:53" ht="12" customHeight="1">
      <c r="A272" s="67" t="str">
        <f t="shared" si="185"/>
        <v/>
      </c>
      <c r="B272" s="69" t="str">
        <f t="shared" si="187"/>
        <v/>
      </c>
      <c r="C272" s="71"/>
      <c r="D272" s="69" t="str">
        <f t="shared" si="151"/>
        <v/>
      </c>
      <c r="E272" s="70" t="str">
        <f t="shared" si="152"/>
        <v/>
      </c>
      <c r="F272" s="70" t="str">
        <f t="shared" si="153"/>
        <v/>
      </c>
      <c r="G272" s="63" t="str">
        <f t="shared" si="154"/>
        <v/>
      </c>
      <c r="H272" s="64" t="str">
        <f t="shared" si="155"/>
        <v/>
      </c>
      <c r="I272" s="43"/>
      <c r="J272" s="63" t="str">
        <f t="shared" si="156"/>
        <v/>
      </c>
      <c r="K272" s="64" t="str">
        <f t="shared" si="157"/>
        <v/>
      </c>
      <c r="L272" s="38">
        <v>0</v>
      </c>
      <c r="M272" s="64" t="str">
        <f t="shared" si="158"/>
        <v/>
      </c>
      <c r="N272" s="65"/>
      <c r="O272" s="63" t="str">
        <f t="shared" si="159"/>
        <v/>
      </c>
      <c r="P272" s="63" t="str">
        <f t="shared" si="160"/>
        <v/>
      </c>
      <c r="Q272" s="66"/>
      <c r="R272" s="63" t="str">
        <f t="shared" si="161"/>
        <v/>
      </c>
      <c r="S272" s="64" t="str">
        <f t="shared" si="162"/>
        <v/>
      </c>
      <c r="T272" s="63" t="str">
        <f t="shared" si="163"/>
        <v/>
      </c>
      <c r="U272" s="64" t="str">
        <f t="shared" si="164"/>
        <v/>
      </c>
      <c r="V272" s="219" t="str">
        <f>IF($A273="","",IF(AND(MONTH(A272)&gt;3,MONTH(A272)&lt;11),(T272+R272+G272)*Summary!$T$10/(1-Summary!$T$10),(T272+R272+G272)*Summary!$U$10/(1-Summary!$U$10)))</f>
        <v/>
      </c>
      <c r="W272" s="63" t="str">
        <f t="shared" si="165"/>
        <v/>
      </c>
      <c r="X272" s="63" t="str">
        <f t="shared" si="166"/>
        <v/>
      </c>
      <c r="Y272" s="43"/>
      <c r="Z272" s="38" t="str">
        <f t="shared" si="167"/>
        <v/>
      </c>
      <c r="AA272" s="38" t="str">
        <f t="shared" si="168"/>
        <v/>
      </c>
      <c r="AB272" s="38" t="e">
        <f t="shared" si="169"/>
        <v>#VALUE!</v>
      </c>
      <c r="AC272" s="38" t="str">
        <f t="shared" si="170"/>
        <v/>
      </c>
      <c r="AD272" s="38" t="str">
        <f t="shared" si="170"/>
        <v/>
      </c>
      <c r="AE272" s="38" t="e">
        <f t="shared" si="171"/>
        <v>#VALUE!</v>
      </c>
      <c r="AF272" s="237" t="e">
        <f>((Summary!$N$10*(AA272*AD272)*(A272-$D$3))+(Summary!$M$10*Z272*AC272*(AJ272-EOMONTH(EDATE(A272,-1),0))))/(AK272*AB272*AE272)</f>
        <v>#VALUE!</v>
      </c>
      <c r="AG272" s="88" t="str">
        <f>IF($A273="","",Summary!$Q$10)</f>
        <v/>
      </c>
      <c r="AH272" s="88" t="str">
        <f>IF($A273="","",IF(Summary!$R$10="Y",(VLOOKUP($A272,Summary!$AD$6:$AF$9,3)+'Escalating commodity'!F285),'Escalating commodity'!F285))</f>
        <v/>
      </c>
      <c r="AI272" s="88" t="str">
        <f t="shared" si="186"/>
        <v/>
      </c>
      <c r="AJ272" s="236" t="e">
        <f t="shared" si="172"/>
        <v>#VALUE!</v>
      </c>
      <c r="AK272" s="58" t="str">
        <f t="shared" si="173"/>
        <v/>
      </c>
      <c r="AL272" s="26" t="str">
        <f>IF($A273="","",_xll.SPRDOPT(P272,X272,AI272,0,AB272,AE272,AF272,AK272,$AJ$2,0))</f>
        <v/>
      </c>
      <c r="AM272" s="89" t="str">
        <f t="shared" si="174"/>
        <v/>
      </c>
      <c r="AN272" s="89" t="str">
        <f t="shared" si="175"/>
        <v/>
      </c>
      <c r="AO272" s="3" t="str">
        <f t="shared" si="176"/>
        <v/>
      </c>
      <c r="AP272" s="33" t="str">
        <f t="shared" si="177"/>
        <v/>
      </c>
      <c r="AQ272" s="58" t="str">
        <f t="shared" si="178"/>
        <v/>
      </c>
      <c r="AR272" s="38">
        <f>'ANR OK vs ML7'!AR272</f>
        <v>0.1</v>
      </c>
      <c r="AS272" s="35" t="str">
        <f t="shared" si="179"/>
        <v/>
      </c>
      <c r="AT272" s="3" t="str">
        <f t="shared" si="180"/>
        <v/>
      </c>
      <c r="AU272" s="3" t="str">
        <f t="shared" si="181"/>
        <v/>
      </c>
      <c r="AW272" s="32" t="str">
        <f t="shared" si="182"/>
        <v/>
      </c>
      <c r="AX272" s="32" t="str">
        <f t="shared" si="183"/>
        <v/>
      </c>
      <c r="AY272" s="32" t="str">
        <f t="shared" si="184"/>
        <v/>
      </c>
      <c r="BA272" s="32" t="str">
        <f>IF($A273="","",F272*Summary!$Q$10)</f>
        <v/>
      </c>
    </row>
    <row r="273" spans="1:53" ht="12" customHeight="1">
      <c r="A273" s="67" t="str">
        <f t="shared" si="185"/>
        <v/>
      </c>
      <c r="B273" s="69" t="str">
        <f t="shared" si="187"/>
        <v/>
      </c>
      <c r="C273" s="71"/>
      <c r="D273" s="69" t="str">
        <f t="shared" si="151"/>
        <v/>
      </c>
      <c r="E273" s="70" t="str">
        <f t="shared" si="152"/>
        <v/>
      </c>
      <c r="F273" s="70" t="str">
        <f t="shared" si="153"/>
        <v/>
      </c>
      <c r="G273" s="63" t="str">
        <f t="shared" si="154"/>
        <v/>
      </c>
      <c r="H273" s="64" t="str">
        <f t="shared" si="155"/>
        <v/>
      </c>
      <c r="I273" s="43"/>
      <c r="J273" s="63" t="str">
        <f t="shared" si="156"/>
        <v/>
      </c>
      <c r="K273" s="64" t="str">
        <f t="shared" si="157"/>
        <v/>
      </c>
      <c r="L273" s="38">
        <v>0</v>
      </c>
      <c r="M273" s="64" t="str">
        <f t="shared" si="158"/>
        <v/>
      </c>
      <c r="N273" s="65"/>
      <c r="O273" s="63" t="str">
        <f t="shared" si="159"/>
        <v/>
      </c>
      <c r="P273" s="63" t="str">
        <f t="shared" si="160"/>
        <v/>
      </c>
      <c r="Q273" s="66"/>
      <c r="R273" s="63" t="str">
        <f t="shared" si="161"/>
        <v/>
      </c>
      <c r="S273" s="64" t="str">
        <f t="shared" si="162"/>
        <v/>
      </c>
      <c r="T273" s="63" t="str">
        <f t="shared" si="163"/>
        <v/>
      </c>
      <c r="U273" s="64" t="str">
        <f t="shared" si="164"/>
        <v/>
      </c>
      <c r="V273" s="219" t="str">
        <f>IF($A274="","",IF(AND(MONTH(A273)&gt;3,MONTH(A273)&lt;11),(T273+R273+G273)*Summary!$T$10/(1-Summary!$T$10),(T273+R273+G273)*Summary!$U$10/(1-Summary!$U$10)))</f>
        <v/>
      </c>
      <c r="W273" s="63" t="str">
        <f t="shared" si="165"/>
        <v/>
      </c>
      <c r="X273" s="63" t="str">
        <f t="shared" si="166"/>
        <v/>
      </c>
      <c r="Y273" s="43"/>
      <c r="Z273" s="38" t="str">
        <f t="shared" si="167"/>
        <v/>
      </c>
      <c r="AA273" s="38" t="str">
        <f t="shared" si="168"/>
        <v/>
      </c>
      <c r="AB273" s="38" t="e">
        <f t="shared" si="169"/>
        <v>#VALUE!</v>
      </c>
      <c r="AC273" s="38" t="str">
        <f t="shared" si="170"/>
        <v/>
      </c>
      <c r="AD273" s="38" t="str">
        <f t="shared" si="170"/>
        <v/>
      </c>
      <c r="AE273" s="38" t="e">
        <f t="shared" si="171"/>
        <v>#VALUE!</v>
      </c>
      <c r="AF273" s="237" t="e">
        <f>((Summary!$N$10*(AA273*AD273)*(A273-$D$3))+(Summary!$M$10*Z273*AC273*(AJ273-EOMONTH(EDATE(A273,-1),0))))/(AK273*AB273*AE273)</f>
        <v>#VALUE!</v>
      </c>
      <c r="AG273" s="88" t="str">
        <f>IF($A274="","",Summary!$Q$10)</f>
        <v/>
      </c>
      <c r="AH273" s="88" t="str">
        <f>IF($A274="","",IF(Summary!$R$10="Y",(VLOOKUP($A273,Summary!$AD$6:$AF$9,3)+'Escalating commodity'!F286),'Escalating commodity'!F286))</f>
        <v/>
      </c>
      <c r="AI273" s="88" t="str">
        <f t="shared" si="186"/>
        <v/>
      </c>
      <c r="AJ273" s="236" t="e">
        <f t="shared" si="172"/>
        <v>#VALUE!</v>
      </c>
      <c r="AK273" s="58" t="str">
        <f t="shared" si="173"/>
        <v/>
      </c>
      <c r="AL273" s="26" t="str">
        <f>IF($A274="","",_xll.SPRDOPT(P273,X273,AI273,0,AB273,AE273,AF273,AK273,$AJ$2,0))</f>
        <v/>
      </c>
      <c r="AM273" s="89" t="str">
        <f t="shared" si="174"/>
        <v/>
      </c>
      <c r="AN273" s="89" t="str">
        <f t="shared" si="175"/>
        <v/>
      </c>
      <c r="AO273" s="3" t="str">
        <f t="shared" si="176"/>
        <v/>
      </c>
      <c r="AP273" s="33" t="str">
        <f t="shared" si="177"/>
        <v/>
      </c>
      <c r="AQ273" s="58" t="str">
        <f t="shared" si="178"/>
        <v/>
      </c>
      <c r="AR273" s="38">
        <f>'ANR OK vs ML7'!AR273</f>
        <v>0.1</v>
      </c>
      <c r="AS273" s="35" t="str">
        <f t="shared" si="179"/>
        <v/>
      </c>
      <c r="AT273" s="3" t="str">
        <f t="shared" si="180"/>
        <v/>
      </c>
      <c r="AU273" s="3" t="str">
        <f t="shared" si="181"/>
        <v/>
      </c>
      <c r="AW273" s="32" t="str">
        <f t="shared" si="182"/>
        <v/>
      </c>
      <c r="AX273" s="32" t="str">
        <f t="shared" si="183"/>
        <v/>
      </c>
      <c r="AY273" s="32" t="str">
        <f t="shared" si="184"/>
        <v/>
      </c>
      <c r="BA273" s="32" t="str">
        <f>IF($A274="","",F273*Summary!$Q$10)</f>
        <v/>
      </c>
    </row>
    <row r="274" spans="1:53" ht="12" customHeight="1">
      <c r="A274" s="67" t="str">
        <f t="shared" si="185"/>
        <v/>
      </c>
      <c r="B274" s="69" t="str">
        <f t="shared" si="187"/>
        <v/>
      </c>
      <c r="C274" s="71"/>
      <c r="D274" s="69" t="str">
        <f t="shared" si="151"/>
        <v/>
      </c>
      <c r="E274" s="70" t="str">
        <f t="shared" si="152"/>
        <v/>
      </c>
      <c r="F274" s="70" t="str">
        <f t="shared" si="153"/>
        <v/>
      </c>
      <c r="G274" s="63" t="str">
        <f t="shared" si="154"/>
        <v/>
      </c>
      <c r="H274" s="64" t="str">
        <f t="shared" si="155"/>
        <v/>
      </c>
      <c r="I274" s="43"/>
      <c r="J274" s="63" t="str">
        <f t="shared" si="156"/>
        <v/>
      </c>
      <c r="K274" s="64" t="str">
        <f t="shared" si="157"/>
        <v/>
      </c>
      <c r="L274" s="38">
        <v>0</v>
      </c>
      <c r="M274" s="64" t="str">
        <f t="shared" si="158"/>
        <v/>
      </c>
      <c r="N274" s="65"/>
      <c r="O274" s="63" t="str">
        <f t="shared" si="159"/>
        <v/>
      </c>
      <c r="P274" s="63" t="str">
        <f t="shared" si="160"/>
        <v/>
      </c>
      <c r="Q274" s="66"/>
      <c r="R274" s="63" t="str">
        <f t="shared" si="161"/>
        <v/>
      </c>
      <c r="S274" s="64" t="str">
        <f t="shared" si="162"/>
        <v/>
      </c>
      <c r="T274" s="63" t="str">
        <f t="shared" si="163"/>
        <v/>
      </c>
      <c r="U274" s="64" t="str">
        <f t="shared" si="164"/>
        <v/>
      </c>
      <c r="V274" s="219" t="str">
        <f>IF($A275="","",IF(AND(MONTH(A274)&gt;3,MONTH(A274)&lt;11),(T274+R274+G274)*Summary!$T$10/(1-Summary!$T$10),(T274+R274+G274)*Summary!$U$10/(1-Summary!$U$10)))</f>
        <v/>
      </c>
      <c r="W274" s="63" t="str">
        <f t="shared" si="165"/>
        <v/>
      </c>
      <c r="X274" s="63" t="str">
        <f t="shared" si="166"/>
        <v/>
      </c>
      <c r="Y274" s="43"/>
      <c r="Z274" s="38" t="str">
        <f t="shared" si="167"/>
        <v/>
      </c>
      <c r="AA274" s="38" t="str">
        <f t="shared" si="168"/>
        <v/>
      </c>
      <c r="AB274" s="38" t="e">
        <f t="shared" si="169"/>
        <v>#VALUE!</v>
      </c>
      <c r="AC274" s="38" t="str">
        <f t="shared" si="170"/>
        <v/>
      </c>
      <c r="AD274" s="38" t="str">
        <f t="shared" si="170"/>
        <v/>
      </c>
      <c r="AE274" s="38" t="e">
        <f t="shared" si="171"/>
        <v>#VALUE!</v>
      </c>
      <c r="AF274" s="237" t="e">
        <f>((Summary!$N$10*(AA274*AD274)*(A274-$D$3))+(Summary!$M$10*Z274*AC274*(AJ274-EOMONTH(EDATE(A274,-1),0))))/(AK274*AB274*AE274)</f>
        <v>#VALUE!</v>
      </c>
      <c r="AG274" s="88" t="str">
        <f>IF($A275="","",Summary!$Q$10)</f>
        <v/>
      </c>
      <c r="AH274" s="88" t="str">
        <f>IF($A275="","",IF(Summary!$R$10="Y",(VLOOKUP($A274,Summary!$AD$6:$AF$9,3)+'Escalating commodity'!F287),'Escalating commodity'!F287))</f>
        <v/>
      </c>
      <c r="AI274" s="88" t="str">
        <f t="shared" si="186"/>
        <v/>
      </c>
      <c r="AJ274" s="236" t="e">
        <f t="shared" si="172"/>
        <v>#VALUE!</v>
      </c>
      <c r="AK274" s="58" t="str">
        <f t="shared" si="173"/>
        <v/>
      </c>
      <c r="AL274" s="26" t="str">
        <f>IF($A275="","",_xll.SPRDOPT(P274,X274,AI274,0,AB274,AE274,AF274,AK274,$AJ$2,0))</f>
        <v/>
      </c>
      <c r="AM274" s="89" t="str">
        <f t="shared" si="174"/>
        <v/>
      </c>
      <c r="AN274" s="89" t="str">
        <f t="shared" si="175"/>
        <v/>
      </c>
      <c r="AO274" s="3" t="str">
        <f t="shared" si="176"/>
        <v/>
      </c>
      <c r="AP274" s="33" t="str">
        <f t="shared" si="177"/>
        <v/>
      </c>
      <c r="AQ274" s="58" t="str">
        <f t="shared" si="178"/>
        <v/>
      </c>
      <c r="AR274" s="38">
        <f>'ANR OK vs ML7'!AR274</f>
        <v>0.1</v>
      </c>
      <c r="AS274" s="35" t="str">
        <f t="shared" si="179"/>
        <v/>
      </c>
      <c r="AT274" s="3" t="str">
        <f t="shared" si="180"/>
        <v/>
      </c>
      <c r="AU274" s="3" t="str">
        <f t="shared" si="181"/>
        <v/>
      </c>
      <c r="AW274" s="32" t="str">
        <f t="shared" si="182"/>
        <v/>
      </c>
      <c r="AX274" s="32" t="str">
        <f t="shared" si="183"/>
        <v/>
      </c>
      <c r="AY274" s="32" t="str">
        <f t="shared" si="184"/>
        <v/>
      </c>
      <c r="BA274" s="32" t="str">
        <f>IF($A275="","",F274*Summary!$Q$10)</f>
        <v/>
      </c>
    </row>
    <row r="275" spans="1:53" ht="12" customHeight="1">
      <c r="A275" s="67" t="str">
        <f t="shared" si="185"/>
        <v/>
      </c>
      <c r="B275" s="69" t="str">
        <f t="shared" si="187"/>
        <v/>
      </c>
      <c r="C275" s="71"/>
      <c r="D275" s="69" t="str">
        <f t="shared" si="151"/>
        <v/>
      </c>
      <c r="E275" s="70" t="str">
        <f t="shared" si="152"/>
        <v/>
      </c>
      <c r="F275" s="70" t="str">
        <f t="shared" si="153"/>
        <v/>
      </c>
      <c r="G275" s="63" t="str">
        <f t="shared" si="154"/>
        <v/>
      </c>
      <c r="H275" s="64" t="str">
        <f t="shared" si="155"/>
        <v/>
      </c>
      <c r="I275" s="43"/>
      <c r="J275" s="63" t="str">
        <f t="shared" si="156"/>
        <v/>
      </c>
      <c r="K275" s="64" t="str">
        <f t="shared" si="157"/>
        <v/>
      </c>
      <c r="L275" s="38">
        <v>0</v>
      </c>
      <c r="M275" s="64" t="str">
        <f t="shared" si="158"/>
        <v/>
      </c>
      <c r="N275" s="65"/>
      <c r="O275" s="63" t="str">
        <f t="shared" si="159"/>
        <v/>
      </c>
      <c r="P275" s="63" t="str">
        <f t="shared" si="160"/>
        <v/>
      </c>
      <c r="Q275" s="66"/>
      <c r="R275" s="63" t="str">
        <f t="shared" si="161"/>
        <v/>
      </c>
      <c r="S275" s="64" t="str">
        <f t="shared" si="162"/>
        <v/>
      </c>
      <c r="T275" s="63" t="str">
        <f t="shared" si="163"/>
        <v/>
      </c>
      <c r="U275" s="64" t="str">
        <f t="shared" si="164"/>
        <v/>
      </c>
      <c r="V275" s="219" t="str">
        <f>IF($A276="","",IF(AND(MONTH(A275)&gt;3,MONTH(A275)&lt;11),(T275+R275+G275)*Summary!$T$10/(1-Summary!$T$10),(T275+R275+G275)*Summary!$U$10/(1-Summary!$U$10)))</f>
        <v/>
      </c>
      <c r="W275" s="63" t="str">
        <f t="shared" si="165"/>
        <v/>
      </c>
      <c r="X275" s="63" t="str">
        <f t="shared" si="166"/>
        <v/>
      </c>
      <c r="Y275" s="43"/>
      <c r="Z275" s="38" t="str">
        <f t="shared" si="167"/>
        <v/>
      </c>
      <c r="AA275" s="38" t="str">
        <f t="shared" si="168"/>
        <v/>
      </c>
      <c r="AB275" s="38" t="e">
        <f t="shared" si="169"/>
        <v>#VALUE!</v>
      </c>
      <c r="AC275" s="38" t="str">
        <f t="shared" si="170"/>
        <v/>
      </c>
      <c r="AD275" s="38" t="str">
        <f t="shared" si="170"/>
        <v/>
      </c>
      <c r="AE275" s="38" t="e">
        <f t="shared" si="171"/>
        <v>#VALUE!</v>
      </c>
      <c r="AF275" s="237" t="e">
        <f>((Summary!$N$10*(AA275*AD275)*(A275-$D$3))+(Summary!$M$10*Z275*AC275*(AJ275-EOMONTH(EDATE(A275,-1),0))))/(AK275*AB275*AE275)</f>
        <v>#VALUE!</v>
      </c>
      <c r="AG275" s="88" t="str">
        <f>IF($A276="","",Summary!$Q$10)</f>
        <v/>
      </c>
      <c r="AH275" s="88" t="str">
        <f>IF($A276="","",IF(Summary!$R$10="Y",(VLOOKUP($A275,Summary!$AD$6:$AF$9,3)+'Escalating commodity'!F288),'Escalating commodity'!F288))</f>
        <v/>
      </c>
      <c r="AI275" s="88" t="str">
        <f t="shared" si="186"/>
        <v/>
      </c>
      <c r="AJ275" s="236" t="e">
        <f t="shared" si="172"/>
        <v>#VALUE!</v>
      </c>
      <c r="AK275" s="58" t="str">
        <f t="shared" si="173"/>
        <v/>
      </c>
      <c r="AL275" s="26" t="str">
        <f>IF($A276="","",_xll.SPRDOPT(P275,X275,AI275,0,AB275,AE275,AF275,AK275,$AJ$2,0))</f>
        <v/>
      </c>
      <c r="AM275" s="89" t="str">
        <f t="shared" si="174"/>
        <v/>
      </c>
      <c r="AN275" s="89" t="str">
        <f t="shared" si="175"/>
        <v/>
      </c>
      <c r="AO275" s="3" t="str">
        <f t="shared" si="176"/>
        <v/>
      </c>
      <c r="AP275" s="33" t="str">
        <f t="shared" si="177"/>
        <v/>
      </c>
      <c r="AQ275" s="58" t="str">
        <f t="shared" si="178"/>
        <v/>
      </c>
      <c r="AR275" s="38">
        <f>'ANR OK vs ML7'!AR275</f>
        <v>0.1</v>
      </c>
      <c r="AS275" s="35" t="str">
        <f t="shared" si="179"/>
        <v/>
      </c>
      <c r="AT275" s="3" t="str">
        <f t="shared" si="180"/>
        <v/>
      </c>
      <c r="AU275" s="3" t="str">
        <f t="shared" si="181"/>
        <v/>
      </c>
      <c r="AW275" s="32" t="str">
        <f t="shared" si="182"/>
        <v/>
      </c>
      <c r="AX275" s="32" t="str">
        <f t="shared" si="183"/>
        <v/>
      </c>
      <c r="AY275" s="32" t="str">
        <f t="shared" si="184"/>
        <v/>
      </c>
      <c r="BA275" s="32" t="str">
        <f>IF($A276="","",F275*Summary!$Q$10)</f>
        <v/>
      </c>
    </row>
    <row r="276" spans="1:53" ht="12" customHeight="1">
      <c r="A276" s="67" t="str">
        <f t="shared" si="185"/>
        <v/>
      </c>
      <c r="B276" s="69" t="str">
        <f t="shared" si="187"/>
        <v/>
      </c>
      <c r="C276" s="71"/>
      <c r="D276" s="69" t="str">
        <f t="shared" si="151"/>
        <v/>
      </c>
      <c r="E276" s="70" t="str">
        <f t="shared" si="152"/>
        <v/>
      </c>
      <c r="F276" s="70" t="str">
        <f t="shared" si="153"/>
        <v/>
      </c>
      <c r="G276" s="63" t="str">
        <f t="shared" si="154"/>
        <v/>
      </c>
      <c r="H276" s="64" t="str">
        <f t="shared" si="155"/>
        <v/>
      </c>
      <c r="I276" s="43"/>
      <c r="J276" s="63" t="str">
        <f t="shared" si="156"/>
        <v/>
      </c>
      <c r="K276" s="64" t="str">
        <f t="shared" si="157"/>
        <v/>
      </c>
      <c r="L276" s="38">
        <v>0</v>
      </c>
      <c r="M276" s="64" t="str">
        <f t="shared" si="158"/>
        <v/>
      </c>
      <c r="N276" s="65"/>
      <c r="O276" s="63" t="str">
        <f t="shared" si="159"/>
        <v/>
      </c>
      <c r="P276" s="63" t="str">
        <f t="shared" si="160"/>
        <v/>
      </c>
      <c r="Q276" s="66"/>
      <c r="R276" s="63" t="str">
        <f t="shared" si="161"/>
        <v/>
      </c>
      <c r="S276" s="64" t="str">
        <f t="shared" si="162"/>
        <v/>
      </c>
      <c r="T276" s="63" t="str">
        <f t="shared" si="163"/>
        <v/>
      </c>
      <c r="U276" s="64" t="str">
        <f t="shared" si="164"/>
        <v/>
      </c>
      <c r="V276" s="219" t="str">
        <f>IF($A277="","",IF(AND(MONTH(A276)&gt;3,MONTH(A276)&lt;11),(T276+R276+G276)*Summary!$T$10/(1-Summary!$T$10),(T276+R276+G276)*Summary!$U$10/(1-Summary!$U$10)))</f>
        <v/>
      </c>
      <c r="W276" s="63" t="str">
        <f t="shared" si="165"/>
        <v/>
      </c>
      <c r="X276" s="63" t="str">
        <f t="shared" si="166"/>
        <v/>
      </c>
      <c r="Y276" s="43"/>
      <c r="Z276" s="38" t="str">
        <f t="shared" si="167"/>
        <v/>
      </c>
      <c r="AA276" s="38" t="str">
        <f t="shared" si="168"/>
        <v/>
      </c>
      <c r="AB276" s="38" t="e">
        <f t="shared" si="169"/>
        <v>#VALUE!</v>
      </c>
      <c r="AC276" s="38" t="str">
        <f t="shared" si="170"/>
        <v/>
      </c>
      <c r="AD276" s="38" t="str">
        <f t="shared" si="170"/>
        <v/>
      </c>
      <c r="AE276" s="38" t="e">
        <f t="shared" si="171"/>
        <v>#VALUE!</v>
      </c>
      <c r="AF276" s="237" t="e">
        <f>((Summary!$N$10*(AA276*AD276)*(A276-$D$3))+(Summary!$M$10*Z276*AC276*(AJ276-EOMONTH(EDATE(A276,-1),0))))/(AK276*AB276*AE276)</f>
        <v>#VALUE!</v>
      </c>
      <c r="AG276" s="88" t="str">
        <f>IF($A277="","",Summary!$Q$10)</f>
        <v/>
      </c>
      <c r="AH276" s="88" t="str">
        <f>IF($A277="","",IF(Summary!$R$10="Y",(VLOOKUP($A276,Summary!$AD$6:$AF$9,3)+'Escalating commodity'!F289),'Escalating commodity'!F289))</f>
        <v/>
      </c>
      <c r="AI276" s="88" t="str">
        <f t="shared" si="186"/>
        <v/>
      </c>
      <c r="AJ276" s="236" t="e">
        <f t="shared" si="172"/>
        <v>#VALUE!</v>
      </c>
      <c r="AK276" s="58" t="str">
        <f t="shared" si="173"/>
        <v/>
      </c>
      <c r="AL276" s="26" t="str">
        <f>IF($A277="","",_xll.SPRDOPT(P276,X276,AI276,0,AB276,AE276,AF276,AK276,$AJ$2,0))</f>
        <v/>
      </c>
      <c r="AM276" s="89" t="str">
        <f t="shared" si="174"/>
        <v/>
      </c>
      <c r="AN276" s="89" t="str">
        <f t="shared" si="175"/>
        <v/>
      </c>
      <c r="AO276" s="3" t="str">
        <f t="shared" si="176"/>
        <v/>
      </c>
      <c r="AP276" s="33" t="str">
        <f t="shared" si="177"/>
        <v/>
      </c>
      <c r="AQ276" s="58" t="str">
        <f t="shared" si="178"/>
        <v/>
      </c>
      <c r="AR276" s="38">
        <f>'ANR OK vs ML7'!AR276</f>
        <v>0.1</v>
      </c>
      <c r="AS276" s="35" t="str">
        <f t="shared" si="179"/>
        <v/>
      </c>
      <c r="AT276" s="3" t="str">
        <f t="shared" si="180"/>
        <v/>
      </c>
      <c r="AU276" s="3" t="str">
        <f t="shared" si="181"/>
        <v/>
      </c>
      <c r="AW276" s="32" t="str">
        <f t="shared" si="182"/>
        <v/>
      </c>
      <c r="AX276" s="32" t="str">
        <f t="shared" si="183"/>
        <v/>
      </c>
      <c r="AY276" s="32" t="str">
        <f t="shared" si="184"/>
        <v/>
      </c>
      <c r="BA276" s="32" t="str">
        <f>IF($A277="","",F276*Summary!$Q$10)</f>
        <v/>
      </c>
    </row>
    <row r="277" spans="1:53" ht="12" customHeight="1">
      <c r="A277" s="67" t="str">
        <f t="shared" si="185"/>
        <v/>
      </c>
      <c r="B277" s="69" t="str">
        <f t="shared" si="187"/>
        <v/>
      </c>
      <c r="C277" s="71"/>
      <c r="D277" s="69" t="str">
        <f t="shared" si="151"/>
        <v/>
      </c>
      <c r="E277" s="70" t="str">
        <f t="shared" si="152"/>
        <v/>
      </c>
      <c r="F277" s="70" t="str">
        <f t="shared" si="153"/>
        <v/>
      </c>
      <c r="G277" s="63" t="str">
        <f t="shared" si="154"/>
        <v/>
      </c>
      <c r="H277" s="64" t="str">
        <f t="shared" si="155"/>
        <v/>
      </c>
      <c r="I277" s="43"/>
      <c r="J277" s="63" t="str">
        <f t="shared" si="156"/>
        <v/>
      </c>
      <c r="K277" s="64" t="str">
        <f t="shared" si="157"/>
        <v/>
      </c>
      <c r="L277" s="38">
        <v>0</v>
      </c>
      <c r="M277" s="64" t="str">
        <f t="shared" si="158"/>
        <v/>
      </c>
      <c r="N277" s="65"/>
      <c r="O277" s="63" t="str">
        <f t="shared" si="159"/>
        <v/>
      </c>
      <c r="P277" s="63" t="str">
        <f t="shared" si="160"/>
        <v/>
      </c>
      <c r="Q277" s="66"/>
      <c r="R277" s="63" t="str">
        <f t="shared" si="161"/>
        <v/>
      </c>
      <c r="S277" s="64" t="str">
        <f t="shared" si="162"/>
        <v/>
      </c>
      <c r="T277" s="63" t="str">
        <f t="shared" si="163"/>
        <v/>
      </c>
      <c r="U277" s="64" t="str">
        <f t="shared" si="164"/>
        <v/>
      </c>
      <c r="V277" s="219" t="str">
        <f>IF($A278="","",IF(AND(MONTH(A277)&gt;3,MONTH(A277)&lt;11),(T277+R277+G277)*Summary!$T$10/(1-Summary!$T$10),(T277+R277+G277)*Summary!$U$10/(1-Summary!$U$10)))</f>
        <v/>
      </c>
      <c r="W277" s="63" t="str">
        <f t="shared" si="165"/>
        <v/>
      </c>
      <c r="X277" s="63" t="str">
        <f t="shared" si="166"/>
        <v/>
      </c>
      <c r="Y277" s="43"/>
      <c r="Z277" s="38" t="str">
        <f t="shared" si="167"/>
        <v/>
      </c>
      <c r="AA277" s="38" t="str">
        <f t="shared" si="168"/>
        <v/>
      </c>
      <c r="AB277" s="38" t="e">
        <f t="shared" si="169"/>
        <v>#VALUE!</v>
      </c>
      <c r="AC277" s="38" t="str">
        <f t="shared" si="170"/>
        <v/>
      </c>
      <c r="AD277" s="38" t="str">
        <f t="shared" si="170"/>
        <v/>
      </c>
      <c r="AE277" s="38" t="e">
        <f t="shared" si="171"/>
        <v>#VALUE!</v>
      </c>
      <c r="AF277" s="237" t="e">
        <f>((Summary!$N$10*(AA277*AD277)*(A277-$D$3))+(Summary!$M$10*Z277*AC277*(AJ277-EOMONTH(EDATE(A277,-1),0))))/(AK277*AB277*AE277)</f>
        <v>#VALUE!</v>
      </c>
      <c r="AG277" s="88" t="str">
        <f>IF($A278="","",Summary!$Q$10)</f>
        <v/>
      </c>
      <c r="AH277" s="88" t="str">
        <f>IF($A278="","",IF(Summary!$R$10="Y",(VLOOKUP($A277,Summary!$AD$6:$AF$9,3)+'Escalating commodity'!F290),'Escalating commodity'!F290))</f>
        <v/>
      </c>
      <c r="AI277" s="88" t="str">
        <f t="shared" si="186"/>
        <v/>
      </c>
      <c r="AJ277" s="236" t="e">
        <f t="shared" si="172"/>
        <v>#VALUE!</v>
      </c>
      <c r="AK277" s="58" t="str">
        <f t="shared" si="173"/>
        <v/>
      </c>
      <c r="AL277" s="26" t="str">
        <f>IF($A278="","",_xll.SPRDOPT(P277,X277,AI277,0,AB277,AE277,AF277,AK277,$AJ$2,0))</f>
        <v/>
      </c>
      <c r="AM277" s="89" t="str">
        <f t="shared" si="174"/>
        <v/>
      </c>
      <c r="AN277" s="89" t="str">
        <f t="shared" si="175"/>
        <v/>
      </c>
      <c r="AO277" s="3" t="str">
        <f t="shared" si="176"/>
        <v/>
      </c>
      <c r="AP277" s="33" t="str">
        <f t="shared" si="177"/>
        <v/>
      </c>
      <c r="AQ277" s="58" t="str">
        <f t="shared" si="178"/>
        <v/>
      </c>
      <c r="AR277" s="38">
        <f>'ANR OK vs ML7'!AR277</f>
        <v>0.1</v>
      </c>
      <c r="AS277" s="35" t="str">
        <f t="shared" si="179"/>
        <v/>
      </c>
      <c r="AT277" s="3" t="str">
        <f t="shared" si="180"/>
        <v/>
      </c>
      <c r="AU277" s="3" t="str">
        <f t="shared" si="181"/>
        <v/>
      </c>
      <c r="AW277" s="32" t="str">
        <f t="shared" si="182"/>
        <v/>
      </c>
      <c r="AX277" s="32" t="str">
        <f t="shared" si="183"/>
        <v/>
      </c>
      <c r="AY277" s="32" t="str">
        <f t="shared" si="184"/>
        <v/>
      </c>
      <c r="BA277" s="32" t="str">
        <f>IF($A278="","",F277*Summary!$Q$10)</f>
        <v/>
      </c>
    </row>
    <row r="278" spans="1:53" ht="12" customHeight="1">
      <c r="A278" s="67" t="str">
        <f t="shared" si="185"/>
        <v/>
      </c>
      <c r="B278" s="69" t="str">
        <f t="shared" si="187"/>
        <v/>
      </c>
      <c r="C278" s="71"/>
      <c r="D278" s="69" t="str">
        <f t="shared" si="151"/>
        <v/>
      </c>
      <c r="E278" s="70" t="str">
        <f t="shared" si="152"/>
        <v/>
      </c>
      <c r="F278" s="70" t="str">
        <f t="shared" si="153"/>
        <v/>
      </c>
      <c r="G278" s="63" t="str">
        <f t="shared" si="154"/>
        <v/>
      </c>
      <c r="H278" s="64" t="str">
        <f t="shared" si="155"/>
        <v/>
      </c>
      <c r="I278" s="43"/>
      <c r="J278" s="63" t="str">
        <f t="shared" si="156"/>
        <v/>
      </c>
      <c r="K278" s="64" t="str">
        <f t="shared" si="157"/>
        <v/>
      </c>
      <c r="L278" s="38">
        <v>0</v>
      </c>
      <c r="M278" s="64" t="str">
        <f t="shared" si="158"/>
        <v/>
      </c>
      <c r="N278" s="65"/>
      <c r="O278" s="63" t="str">
        <f t="shared" si="159"/>
        <v/>
      </c>
      <c r="P278" s="63" t="str">
        <f t="shared" si="160"/>
        <v/>
      </c>
      <c r="Q278" s="66"/>
      <c r="R278" s="63" t="str">
        <f t="shared" si="161"/>
        <v/>
      </c>
      <c r="S278" s="64" t="str">
        <f t="shared" si="162"/>
        <v/>
      </c>
      <c r="T278" s="63" t="str">
        <f t="shared" si="163"/>
        <v/>
      </c>
      <c r="U278" s="64" t="str">
        <f t="shared" si="164"/>
        <v/>
      </c>
      <c r="V278" s="219" t="str">
        <f>IF($A279="","",IF(AND(MONTH(A278)&gt;3,MONTH(A278)&lt;11),(T278+R278+G278)*Summary!$T$10/(1-Summary!$T$10),(T278+R278+G278)*Summary!$U$10/(1-Summary!$U$10)))</f>
        <v/>
      </c>
      <c r="W278" s="63" t="str">
        <f t="shared" si="165"/>
        <v/>
      </c>
      <c r="X278" s="63" t="str">
        <f t="shared" si="166"/>
        <v/>
      </c>
      <c r="Y278" s="43"/>
      <c r="Z278" s="38" t="str">
        <f t="shared" si="167"/>
        <v/>
      </c>
      <c r="AA278" s="38" t="str">
        <f t="shared" si="168"/>
        <v/>
      </c>
      <c r="AB278" s="38" t="e">
        <f t="shared" si="169"/>
        <v>#VALUE!</v>
      </c>
      <c r="AC278" s="38" t="str">
        <f t="shared" si="170"/>
        <v/>
      </c>
      <c r="AD278" s="38" t="str">
        <f t="shared" si="170"/>
        <v/>
      </c>
      <c r="AE278" s="38" t="e">
        <f t="shared" si="171"/>
        <v>#VALUE!</v>
      </c>
      <c r="AF278" s="237" t="e">
        <f>((Summary!$N$10*(AA278*AD278)*(A278-$D$3))+(Summary!$M$10*Z278*AC278*(AJ278-EOMONTH(EDATE(A278,-1),0))))/(AK278*AB278*AE278)</f>
        <v>#VALUE!</v>
      </c>
      <c r="AG278" s="88" t="str">
        <f>IF($A279="","",Summary!$Q$10)</f>
        <v/>
      </c>
      <c r="AH278" s="88" t="str">
        <f>IF($A279="","",IF(Summary!$R$10="Y",(VLOOKUP($A278,Summary!$AD$6:$AF$9,3)+'Escalating commodity'!F291),'Escalating commodity'!F291))</f>
        <v/>
      </c>
      <c r="AI278" s="88" t="str">
        <f t="shared" si="186"/>
        <v/>
      </c>
      <c r="AJ278" s="236" t="e">
        <f t="shared" si="172"/>
        <v>#VALUE!</v>
      </c>
      <c r="AK278" s="58" t="str">
        <f t="shared" si="173"/>
        <v/>
      </c>
      <c r="AL278" s="26" t="str">
        <f>IF($A279="","",_xll.SPRDOPT(P278,X278,AI278,0,AB278,AE278,AF278,AK278,$AJ$2,0))</f>
        <v/>
      </c>
      <c r="AM278" s="89" t="str">
        <f t="shared" si="174"/>
        <v/>
      </c>
      <c r="AN278" s="89" t="str">
        <f t="shared" si="175"/>
        <v/>
      </c>
      <c r="AO278" s="3" t="str">
        <f t="shared" si="176"/>
        <v/>
      </c>
      <c r="AP278" s="33" t="str">
        <f t="shared" si="177"/>
        <v/>
      </c>
      <c r="AQ278" s="58" t="str">
        <f t="shared" si="178"/>
        <v/>
      </c>
      <c r="AR278" s="38">
        <f>'ANR OK vs ML7'!AR278</f>
        <v>0.1</v>
      </c>
      <c r="AS278" s="35" t="str">
        <f t="shared" si="179"/>
        <v/>
      </c>
      <c r="AT278" s="3" t="str">
        <f t="shared" si="180"/>
        <v/>
      </c>
      <c r="AU278" s="3" t="str">
        <f t="shared" si="181"/>
        <v/>
      </c>
      <c r="AW278" s="32" t="str">
        <f t="shared" si="182"/>
        <v/>
      </c>
      <c r="AX278" s="32" t="str">
        <f t="shared" si="183"/>
        <v/>
      </c>
      <c r="AY278" s="32" t="str">
        <f t="shared" si="184"/>
        <v/>
      </c>
      <c r="BA278" s="32" t="str">
        <f>IF($A279="","",F278*Summary!$Q$10)</f>
        <v/>
      </c>
    </row>
    <row r="279" spans="1:53" ht="12" customHeight="1">
      <c r="A279" s="67" t="str">
        <f t="shared" si="185"/>
        <v/>
      </c>
      <c r="B279" s="69" t="str">
        <f t="shared" si="187"/>
        <v/>
      </c>
      <c r="C279" s="71"/>
      <c r="D279" s="69" t="str">
        <f t="shared" si="151"/>
        <v/>
      </c>
      <c r="E279" s="70" t="str">
        <f t="shared" si="152"/>
        <v/>
      </c>
      <c r="F279" s="70" t="str">
        <f t="shared" si="153"/>
        <v/>
      </c>
      <c r="G279" s="63" t="str">
        <f t="shared" si="154"/>
        <v/>
      </c>
      <c r="H279" s="64" t="str">
        <f t="shared" si="155"/>
        <v/>
      </c>
      <c r="I279" s="43"/>
      <c r="J279" s="63" t="str">
        <f t="shared" si="156"/>
        <v/>
      </c>
      <c r="K279" s="64" t="str">
        <f t="shared" si="157"/>
        <v/>
      </c>
      <c r="L279" s="38">
        <v>0</v>
      </c>
      <c r="M279" s="64" t="str">
        <f t="shared" si="158"/>
        <v/>
      </c>
      <c r="N279" s="65"/>
      <c r="O279" s="63" t="str">
        <f t="shared" si="159"/>
        <v/>
      </c>
      <c r="P279" s="63" t="str">
        <f t="shared" si="160"/>
        <v/>
      </c>
      <c r="Q279" s="66"/>
      <c r="R279" s="63" t="str">
        <f t="shared" si="161"/>
        <v/>
      </c>
      <c r="S279" s="64" t="str">
        <f t="shared" si="162"/>
        <v/>
      </c>
      <c r="T279" s="63" t="str">
        <f t="shared" si="163"/>
        <v/>
      </c>
      <c r="U279" s="64" t="str">
        <f t="shared" si="164"/>
        <v/>
      </c>
      <c r="V279" s="219" t="str">
        <f>IF($A280="","",IF(AND(MONTH(A279)&gt;3,MONTH(A279)&lt;11),(T279+R279+G279)*Summary!$T$10/(1-Summary!$T$10),(T279+R279+G279)*Summary!$U$10/(1-Summary!$U$10)))</f>
        <v/>
      </c>
      <c r="W279" s="63" t="str">
        <f t="shared" si="165"/>
        <v/>
      </c>
      <c r="X279" s="63" t="str">
        <f t="shared" si="166"/>
        <v/>
      </c>
      <c r="Y279" s="43"/>
      <c r="Z279" s="38" t="str">
        <f t="shared" si="167"/>
        <v/>
      </c>
      <c r="AA279" s="38" t="str">
        <f t="shared" si="168"/>
        <v/>
      </c>
      <c r="AB279" s="38" t="e">
        <f t="shared" si="169"/>
        <v>#VALUE!</v>
      </c>
      <c r="AC279" s="38" t="str">
        <f t="shared" si="170"/>
        <v/>
      </c>
      <c r="AD279" s="38" t="str">
        <f t="shared" si="170"/>
        <v/>
      </c>
      <c r="AE279" s="38" t="e">
        <f t="shared" si="171"/>
        <v>#VALUE!</v>
      </c>
      <c r="AF279" s="237" t="e">
        <f>((Summary!$N$10*(AA279*AD279)*(A279-$D$3))+(Summary!$M$10*Z279*AC279*(AJ279-EOMONTH(EDATE(A279,-1),0))))/(AK279*AB279*AE279)</f>
        <v>#VALUE!</v>
      </c>
      <c r="AG279" s="88" t="str">
        <f>IF($A280="","",Summary!$Q$10)</f>
        <v/>
      </c>
      <c r="AH279" s="88" t="str">
        <f>IF($A280="","",IF(Summary!$R$10="Y",(VLOOKUP($A279,Summary!$AD$6:$AF$9,3)+'Escalating commodity'!F292),'Escalating commodity'!F292))</f>
        <v/>
      </c>
      <c r="AI279" s="88" t="str">
        <f t="shared" si="186"/>
        <v/>
      </c>
      <c r="AJ279" s="236" t="e">
        <f t="shared" si="172"/>
        <v>#VALUE!</v>
      </c>
      <c r="AK279" s="58" t="str">
        <f t="shared" si="173"/>
        <v/>
      </c>
      <c r="AL279" s="26" t="str">
        <f>IF($A280="","",_xll.SPRDOPT(P279,X279,AI279,0,AB279,AE279,AF279,AK279,$AJ$2,0))</f>
        <v/>
      </c>
      <c r="AM279" s="89" t="str">
        <f t="shared" si="174"/>
        <v/>
      </c>
      <c r="AN279" s="89" t="str">
        <f t="shared" si="175"/>
        <v/>
      </c>
      <c r="AO279" s="3" t="str">
        <f t="shared" si="176"/>
        <v/>
      </c>
      <c r="AP279" s="33" t="str">
        <f t="shared" si="177"/>
        <v/>
      </c>
      <c r="AQ279" s="58" t="str">
        <f t="shared" si="178"/>
        <v/>
      </c>
      <c r="AR279" s="38">
        <f>'ANR OK vs ML7'!AR279</f>
        <v>0.1</v>
      </c>
      <c r="AS279" s="35" t="str">
        <f t="shared" si="179"/>
        <v/>
      </c>
      <c r="AT279" s="3" t="str">
        <f t="shared" si="180"/>
        <v/>
      </c>
      <c r="AU279" s="3" t="str">
        <f t="shared" si="181"/>
        <v/>
      </c>
      <c r="AW279" s="32" t="str">
        <f t="shared" si="182"/>
        <v/>
      </c>
      <c r="AX279" s="32" t="str">
        <f t="shared" si="183"/>
        <v/>
      </c>
      <c r="AY279" s="32" t="str">
        <f t="shared" si="184"/>
        <v/>
      </c>
      <c r="BA279" s="32" t="str">
        <f>IF($A280="","",F279*Summary!$Q$10)</f>
        <v/>
      </c>
    </row>
    <row r="280" spans="1:53" ht="12" customHeight="1">
      <c r="A280" s="67" t="str">
        <f t="shared" si="185"/>
        <v/>
      </c>
      <c r="B280" s="69" t="str">
        <f t="shared" si="187"/>
        <v/>
      </c>
      <c r="C280" s="71"/>
      <c r="D280" s="69" t="str">
        <f t="shared" si="151"/>
        <v/>
      </c>
      <c r="E280" s="70" t="str">
        <f t="shared" si="152"/>
        <v/>
      </c>
      <c r="F280" s="70" t="str">
        <f t="shared" si="153"/>
        <v/>
      </c>
      <c r="G280" s="63" t="str">
        <f t="shared" si="154"/>
        <v/>
      </c>
      <c r="H280" s="64" t="str">
        <f t="shared" si="155"/>
        <v/>
      </c>
      <c r="I280" s="43"/>
      <c r="J280" s="63" t="str">
        <f t="shared" si="156"/>
        <v/>
      </c>
      <c r="K280" s="64" t="str">
        <f t="shared" si="157"/>
        <v/>
      </c>
      <c r="L280" s="38">
        <v>0</v>
      </c>
      <c r="M280" s="64" t="str">
        <f t="shared" si="158"/>
        <v/>
      </c>
      <c r="N280" s="65"/>
      <c r="O280" s="63" t="str">
        <f t="shared" si="159"/>
        <v/>
      </c>
      <c r="P280" s="63" t="str">
        <f t="shared" si="160"/>
        <v/>
      </c>
      <c r="Q280" s="66"/>
      <c r="R280" s="63" t="str">
        <f t="shared" si="161"/>
        <v/>
      </c>
      <c r="S280" s="64" t="str">
        <f t="shared" si="162"/>
        <v/>
      </c>
      <c r="T280" s="63" t="str">
        <f t="shared" si="163"/>
        <v/>
      </c>
      <c r="U280" s="64" t="str">
        <f t="shared" si="164"/>
        <v/>
      </c>
      <c r="V280" s="219" t="str">
        <f>IF($A281="","",IF(AND(MONTH(A280)&gt;3,MONTH(A280)&lt;11),(T280+R280+G280)*Summary!$T$10/(1-Summary!$T$10),(T280+R280+G280)*Summary!$U$10/(1-Summary!$U$10)))</f>
        <v/>
      </c>
      <c r="W280" s="63" t="str">
        <f t="shared" si="165"/>
        <v/>
      </c>
      <c r="X280" s="63" t="str">
        <f t="shared" si="166"/>
        <v/>
      </c>
      <c r="Y280" s="43"/>
      <c r="Z280" s="38" t="str">
        <f t="shared" si="167"/>
        <v/>
      </c>
      <c r="AA280" s="38" t="str">
        <f t="shared" si="168"/>
        <v/>
      </c>
      <c r="AB280" s="38" t="e">
        <f t="shared" si="169"/>
        <v>#VALUE!</v>
      </c>
      <c r="AC280" s="38" t="str">
        <f t="shared" si="170"/>
        <v/>
      </c>
      <c r="AD280" s="38" t="str">
        <f t="shared" si="170"/>
        <v/>
      </c>
      <c r="AE280" s="38" t="e">
        <f t="shared" si="171"/>
        <v>#VALUE!</v>
      </c>
      <c r="AF280" s="237" t="e">
        <f>((Summary!$N$10*(AA280*AD280)*(A280-$D$3))+(Summary!$M$10*Z280*AC280*(AJ280-EOMONTH(EDATE(A280,-1),0))))/(AK280*AB280*AE280)</f>
        <v>#VALUE!</v>
      </c>
      <c r="AG280" s="88" t="str">
        <f>IF($A281="","",Summary!$Q$10)</f>
        <v/>
      </c>
      <c r="AH280" s="88" t="str">
        <f>IF($A281="","",IF(Summary!$R$10="Y",(VLOOKUP($A280,Summary!$AD$6:$AF$9,3)+'Escalating commodity'!F293),'Escalating commodity'!F293))</f>
        <v/>
      </c>
      <c r="AI280" s="88" t="str">
        <f t="shared" si="186"/>
        <v/>
      </c>
      <c r="AJ280" s="236" t="e">
        <f t="shared" si="172"/>
        <v>#VALUE!</v>
      </c>
      <c r="AK280" s="58" t="str">
        <f t="shared" si="173"/>
        <v/>
      </c>
      <c r="AL280" s="26" t="str">
        <f>IF($A281="","",_xll.SPRDOPT(P280,X280,AI280,0,AB280,AE280,AF280,AK280,$AJ$2,0))</f>
        <v/>
      </c>
      <c r="AM280" s="89" t="str">
        <f t="shared" si="174"/>
        <v/>
      </c>
      <c r="AN280" s="89" t="str">
        <f t="shared" si="175"/>
        <v/>
      </c>
      <c r="AO280" s="3" t="str">
        <f t="shared" si="176"/>
        <v/>
      </c>
      <c r="AP280" s="33" t="str">
        <f t="shared" si="177"/>
        <v/>
      </c>
      <c r="AQ280" s="58" t="str">
        <f t="shared" si="178"/>
        <v/>
      </c>
      <c r="AR280" s="38">
        <f>'ANR OK vs ML7'!AR280</f>
        <v>0.1</v>
      </c>
      <c r="AS280" s="35" t="str">
        <f t="shared" si="179"/>
        <v/>
      </c>
      <c r="AT280" s="3" t="str">
        <f t="shared" si="180"/>
        <v/>
      </c>
      <c r="AU280" s="3" t="str">
        <f t="shared" si="181"/>
        <v/>
      </c>
      <c r="AW280" s="32" t="str">
        <f t="shared" si="182"/>
        <v/>
      </c>
      <c r="AX280" s="32" t="str">
        <f t="shared" si="183"/>
        <v/>
      </c>
      <c r="AY280" s="32" t="str">
        <f t="shared" si="184"/>
        <v/>
      </c>
      <c r="BA280" s="32" t="str">
        <f>IF($A281="","",F280*Summary!$Q$10)</f>
        <v/>
      </c>
    </row>
    <row r="281" spans="1:53" ht="12" customHeight="1">
      <c r="A281" s="67" t="str">
        <f t="shared" si="185"/>
        <v/>
      </c>
      <c r="B281" s="69" t="str">
        <f t="shared" si="187"/>
        <v/>
      </c>
      <c r="C281" s="71"/>
      <c r="D281" s="69" t="str">
        <f t="shared" si="151"/>
        <v/>
      </c>
      <c r="E281" s="70" t="str">
        <f t="shared" si="152"/>
        <v/>
      </c>
      <c r="F281" s="70" t="str">
        <f t="shared" si="153"/>
        <v/>
      </c>
      <c r="G281" s="63" t="str">
        <f t="shared" si="154"/>
        <v/>
      </c>
      <c r="H281" s="64" t="str">
        <f t="shared" si="155"/>
        <v/>
      </c>
      <c r="I281" s="43"/>
      <c r="J281" s="63" t="str">
        <f t="shared" si="156"/>
        <v/>
      </c>
      <c r="K281" s="64" t="str">
        <f t="shared" si="157"/>
        <v/>
      </c>
      <c r="L281" s="38">
        <v>0</v>
      </c>
      <c r="M281" s="64" t="str">
        <f t="shared" si="158"/>
        <v/>
      </c>
      <c r="N281" s="65"/>
      <c r="O281" s="63" t="str">
        <f t="shared" si="159"/>
        <v/>
      </c>
      <c r="P281" s="63" t="str">
        <f t="shared" si="160"/>
        <v/>
      </c>
      <c r="Q281" s="66"/>
      <c r="R281" s="63" t="str">
        <f t="shared" si="161"/>
        <v/>
      </c>
      <c r="S281" s="64" t="str">
        <f t="shared" si="162"/>
        <v/>
      </c>
      <c r="T281" s="63" t="str">
        <f t="shared" si="163"/>
        <v/>
      </c>
      <c r="U281" s="64" t="str">
        <f t="shared" si="164"/>
        <v/>
      </c>
      <c r="V281" s="219" t="str">
        <f>IF($A282="","",IF(AND(MONTH(A281)&gt;3,MONTH(A281)&lt;11),(T281+R281+G281)*Summary!$T$10/(1-Summary!$T$10),(T281+R281+G281)*Summary!$U$10/(1-Summary!$U$10)))</f>
        <v/>
      </c>
      <c r="W281" s="63" t="str">
        <f t="shared" si="165"/>
        <v/>
      </c>
      <c r="X281" s="63" t="str">
        <f t="shared" si="166"/>
        <v/>
      </c>
      <c r="Y281" s="43"/>
      <c r="Z281" s="38" t="str">
        <f t="shared" si="167"/>
        <v/>
      </c>
      <c r="AA281" s="38" t="str">
        <f t="shared" si="168"/>
        <v/>
      </c>
      <c r="AB281" s="38" t="e">
        <f t="shared" si="169"/>
        <v>#VALUE!</v>
      </c>
      <c r="AC281" s="38" t="str">
        <f t="shared" si="170"/>
        <v/>
      </c>
      <c r="AD281" s="38" t="str">
        <f t="shared" si="170"/>
        <v/>
      </c>
      <c r="AE281" s="38" t="e">
        <f t="shared" si="171"/>
        <v>#VALUE!</v>
      </c>
      <c r="AF281" s="237" t="e">
        <f>((Summary!$N$10*(AA281*AD281)*(A281-$D$3))+(Summary!$M$10*Z281*AC281*(AJ281-EOMONTH(EDATE(A281,-1),0))))/(AK281*AB281*AE281)</f>
        <v>#VALUE!</v>
      </c>
      <c r="AG281" s="88" t="str">
        <f>IF($A282="","",Summary!$Q$10)</f>
        <v/>
      </c>
      <c r="AH281" s="88" t="str">
        <f>IF($A282="","",IF(Summary!$R$10="Y",(VLOOKUP($A281,Summary!$AD$6:$AF$9,3)+'Escalating commodity'!F294),'Escalating commodity'!F294))</f>
        <v/>
      </c>
      <c r="AI281" s="88" t="str">
        <f t="shared" si="186"/>
        <v/>
      </c>
      <c r="AJ281" s="236" t="e">
        <f t="shared" si="172"/>
        <v>#VALUE!</v>
      </c>
      <c r="AK281" s="58" t="str">
        <f t="shared" si="173"/>
        <v/>
      </c>
      <c r="AL281" s="26" t="str">
        <f>IF($A282="","",_xll.SPRDOPT(P281,X281,AI281,0,AB281,AE281,AF281,AK281,$AJ$2,0))</f>
        <v/>
      </c>
      <c r="AM281" s="89" t="str">
        <f t="shared" si="174"/>
        <v/>
      </c>
      <c r="AN281" s="89" t="str">
        <f t="shared" si="175"/>
        <v/>
      </c>
      <c r="AO281" s="3" t="str">
        <f t="shared" si="176"/>
        <v/>
      </c>
      <c r="AP281" s="33" t="str">
        <f t="shared" si="177"/>
        <v/>
      </c>
      <c r="AQ281" s="58" t="str">
        <f t="shared" si="178"/>
        <v/>
      </c>
      <c r="AR281" s="38">
        <f>'ANR OK vs ML7'!AR281</f>
        <v>0.1</v>
      </c>
      <c r="AS281" s="35" t="str">
        <f t="shared" si="179"/>
        <v/>
      </c>
      <c r="AT281" s="3" t="str">
        <f t="shared" si="180"/>
        <v/>
      </c>
      <c r="AU281" s="3" t="str">
        <f t="shared" si="181"/>
        <v/>
      </c>
      <c r="AW281" s="32" t="str">
        <f t="shared" si="182"/>
        <v/>
      </c>
      <c r="AX281" s="32" t="str">
        <f t="shared" si="183"/>
        <v/>
      </c>
      <c r="AY281" s="32" t="str">
        <f t="shared" si="184"/>
        <v/>
      </c>
      <c r="BA281" s="32" t="str">
        <f>IF($A282="","",F281*Summary!$Q$10)</f>
        <v/>
      </c>
    </row>
    <row r="282" spans="1:53" ht="12" customHeight="1">
      <c r="A282" s="67" t="str">
        <f t="shared" si="185"/>
        <v/>
      </c>
      <c r="B282" s="69" t="str">
        <f t="shared" si="187"/>
        <v/>
      </c>
      <c r="C282" s="71"/>
      <c r="D282" s="69" t="str">
        <f t="shared" si="151"/>
        <v/>
      </c>
      <c r="E282" s="70" t="str">
        <f t="shared" si="152"/>
        <v/>
      </c>
      <c r="F282" s="70" t="str">
        <f t="shared" si="153"/>
        <v/>
      </c>
      <c r="G282" s="63" t="str">
        <f t="shared" si="154"/>
        <v/>
      </c>
      <c r="H282" s="64" t="str">
        <f t="shared" si="155"/>
        <v/>
      </c>
      <c r="I282" s="43"/>
      <c r="J282" s="63" t="str">
        <f t="shared" si="156"/>
        <v/>
      </c>
      <c r="K282" s="64" t="str">
        <f t="shared" si="157"/>
        <v/>
      </c>
      <c r="L282" s="38">
        <v>0</v>
      </c>
      <c r="M282" s="64" t="str">
        <f t="shared" si="158"/>
        <v/>
      </c>
      <c r="N282" s="65"/>
      <c r="O282" s="63" t="str">
        <f t="shared" si="159"/>
        <v/>
      </c>
      <c r="P282" s="63" t="str">
        <f t="shared" si="160"/>
        <v/>
      </c>
      <c r="Q282" s="66"/>
      <c r="R282" s="63" t="str">
        <f t="shared" si="161"/>
        <v/>
      </c>
      <c r="S282" s="64" t="str">
        <f t="shared" si="162"/>
        <v/>
      </c>
      <c r="T282" s="63" t="str">
        <f t="shared" si="163"/>
        <v/>
      </c>
      <c r="U282" s="64" t="str">
        <f t="shared" si="164"/>
        <v/>
      </c>
      <c r="V282" s="219" t="str">
        <f>IF($A283="","",IF(AND(MONTH(A282)&gt;3,MONTH(A282)&lt;11),(T282+R282+G282)*Summary!$T$10/(1-Summary!$T$10),(T282+R282+G282)*Summary!$U$10/(1-Summary!$U$10)))</f>
        <v/>
      </c>
      <c r="W282" s="63" t="str">
        <f t="shared" si="165"/>
        <v/>
      </c>
      <c r="X282" s="63" t="str">
        <f t="shared" si="166"/>
        <v/>
      </c>
      <c r="Y282" s="43"/>
      <c r="Z282" s="38" t="str">
        <f t="shared" si="167"/>
        <v/>
      </c>
      <c r="AA282" s="38" t="str">
        <f t="shared" si="168"/>
        <v/>
      </c>
      <c r="AB282" s="38" t="e">
        <f t="shared" si="169"/>
        <v>#VALUE!</v>
      </c>
      <c r="AC282" s="38" t="str">
        <f t="shared" si="170"/>
        <v/>
      </c>
      <c r="AD282" s="38" t="str">
        <f t="shared" si="170"/>
        <v/>
      </c>
      <c r="AE282" s="38" t="e">
        <f t="shared" si="171"/>
        <v>#VALUE!</v>
      </c>
      <c r="AF282" s="237" t="e">
        <f>((Summary!$N$10*(AA282*AD282)*(A282-$D$3))+(Summary!$M$10*Z282*AC282*(AJ282-EOMONTH(EDATE(A282,-1),0))))/(AK282*AB282*AE282)</f>
        <v>#VALUE!</v>
      </c>
      <c r="AG282" s="88" t="str">
        <f>IF($A283="","",Summary!$Q$10)</f>
        <v/>
      </c>
      <c r="AH282" s="88" t="str">
        <f>IF($A283="","",IF(Summary!$R$10="Y",(VLOOKUP($A282,Summary!$AD$6:$AF$9,3)+'Escalating commodity'!F295),'Escalating commodity'!F295))</f>
        <v/>
      </c>
      <c r="AI282" s="88" t="str">
        <f t="shared" si="186"/>
        <v/>
      </c>
      <c r="AJ282" s="236" t="e">
        <f t="shared" si="172"/>
        <v>#VALUE!</v>
      </c>
      <c r="AK282" s="58" t="str">
        <f t="shared" si="173"/>
        <v/>
      </c>
      <c r="AL282" s="26" t="str">
        <f>IF($A283="","",_xll.SPRDOPT(P282,X282,AI282,0,AB282,AE282,AF282,AK282,$AJ$2,0))</f>
        <v/>
      </c>
      <c r="AM282" s="89" t="str">
        <f t="shared" si="174"/>
        <v/>
      </c>
      <c r="AN282" s="89" t="str">
        <f t="shared" si="175"/>
        <v/>
      </c>
      <c r="AO282" s="3" t="str">
        <f t="shared" si="176"/>
        <v/>
      </c>
      <c r="AP282" s="33" t="str">
        <f t="shared" si="177"/>
        <v/>
      </c>
      <c r="AQ282" s="58" t="str">
        <f t="shared" si="178"/>
        <v/>
      </c>
      <c r="AR282" s="38">
        <f>'ANR OK vs ML7'!AR282</f>
        <v>0.1</v>
      </c>
      <c r="AS282" s="35" t="str">
        <f t="shared" si="179"/>
        <v/>
      </c>
      <c r="AT282" s="3" t="str">
        <f t="shared" si="180"/>
        <v/>
      </c>
      <c r="AU282" s="3" t="str">
        <f t="shared" si="181"/>
        <v/>
      </c>
      <c r="AW282" s="32" t="str">
        <f t="shared" si="182"/>
        <v/>
      </c>
      <c r="AX282" s="32" t="str">
        <f t="shared" si="183"/>
        <v/>
      </c>
      <c r="AY282" s="32" t="str">
        <f t="shared" si="184"/>
        <v/>
      </c>
      <c r="BA282" s="32" t="str">
        <f>IF($A283="","",F282*Summary!$Q$10)</f>
        <v/>
      </c>
    </row>
    <row r="283" spans="1:53" ht="12" customHeight="1">
      <c r="A283" s="67" t="str">
        <f t="shared" si="185"/>
        <v/>
      </c>
      <c r="B283" s="69" t="str">
        <f t="shared" si="187"/>
        <v/>
      </c>
      <c r="C283" s="71"/>
      <c r="D283" s="69" t="str">
        <f t="shared" si="151"/>
        <v/>
      </c>
      <c r="E283" s="70" t="str">
        <f t="shared" si="152"/>
        <v/>
      </c>
      <c r="F283" s="70" t="str">
        <f t="shared" si="153"/>
        <v/>
      </c>
      <c r="G283" s="63" t="str">
        <f t="shared" si="154"/>
        <v/>
      </c>
      <c r="H283" s="64" t="str">
        <f t="shared" si="155"/>
        <v/>
      </c>
      <c r="I283" s="43"/>
      <c r="J283" s="63" t="str">
        <f t="shared" si="156"/>
        <v/>
      </c>
      <c r="K283" s="64" t="str">
        <f t="shared" si="157"/>
        <v/>
      </c>
      <c r="L283" s="38">
        <v>0</v>
      </c>
      <c r="M283" s="64" t="str">
        <f t="shared" si="158"/>
        <v/>
      </c>
      <c r="N283" s="65"/>
      <c r="O283" s="63" t="str">
        <f t="shared" si="159"/>
        <v/>
      </c>
      <c r="P283" s="63" t="str">
        <f t="shared" si="160"/>
        <v/>
      </c>
      <c r="Q283" s="66"/>
      <c r="R283" s="63" t="str">
        <f t="shared" si="161"/>
        <v/>
      </c>
      <c r="S283" s="64" t="str">
        <f t="shared" si="162"/>
        <v/>
      </c>
      <c r="T283" s="63" t="str">
        <f t="shared" si="163"/>
        <v/>
      </c>
      <c r="U283" s="64" t="str">
        <f t="shared" si="164"/>
        <v/>
      </c>
      <c r="V283" s="219" t="str">
        <f>IF($A284="","",IF(AND(MONTH(A283)&gt;3,MONTH(A283)&lt;11),(T283+R283+G283)*Summary!$T$10/(1-Summary!$T$10),(T283+R283+G283)*Summary!$U$10/(1-Summary!$U$10)))</f>
        <v/>
      </c>
      <c r="W283" s="63" t="str">
        <f t="shared" si="165"/>
        <v/>
      </c>
      <c r="X283" s="63" t="str">
        <f t="shared" si="166"/>
        <v/>
      </c>
      <c r="Y283" s="43"/>
      <c r="Z283" s="38" t="str">
        <f t="shared" si="167"/>
        <v/>
      </c>
      <c r="AA283" s="38" t="str">
        <f t="shared" si="168"/>
        <v/>
      </c>
      <c r="AB283" s="38" t="e">
        <f t="shared" si="169"/>
        <v>#VALUE!</v>
      </c>
      <c r="AC283" s="38" t="str">
        <f t="shared" si="170"/>
        <v/>
      </c>
      <c r="AD283" s="38" t="str">
        <f t="shared" si="170"/>
        <v/>
      </c>
      <c r="AE283" s="38" t="e">
        <f t="shared" si="171"/>
        <v>#VALUE!</v>
      </c>
      <c r="AF283" s="237" t="e">
        <f>((Summary!$N$10*(AA283*AD283)*(A283-$D$3))+(Summary!$M$10*Z283*AC283*(AJ283-EOMONTH(EDATE(A283,-1),0))))/(AK283*AB283*AE283)</f>
        <v>#VALUE!</v>
      </c>
      <c r="AG283" s="88" t="str">
        <f>IF($A284="","",Summary!$Q$10)</f>
        <v/>
      </c>
      <c r="AH283" s="88" t="str">
        <f>IF($A284="","",IF(Summary!$R$10="Y",(VLOOKUP($A283,Summary!$AD$6:$AF$9,3)+'Escalating commodity'!F296),'Escalating commodity'!F296))</f>
        <v/>
      </c>
      <c r="AI283" s="88" t="str">
        <f t="shared" si="186"/>
        <v/>
      </c>
      <c r="AJ283" s="236" t="e">
        <f t="shared" si="172"/>
        <v>#VALUE!</v>
      </c>
      <c r="AK283" s="58" t="str">
        <f t="shared" si="173"/>
        <v/>
      </c>
      <c r="AL283" s="26" t="str">
        <f>IF($A284="","",_xll.SPRDOPT(P283,X283,AI283,0,AB283,AE283,AF283,AK283,$AJ$2,0))</f>
        <v/>
      </c>
      <c r="AM283" s="89" t="str">
        <f t="shared" si="174"/>
        <v/>
      </c>
      <c r="AN283" s="89" t="str">
        <f t="shared" si="175"/>
        <v/>
      </c>
      <c r="AO283" s="3" t="str">
        <f t="shared" si="176"/>
        <v/>
      </c>
      <c r="AP283" s="33" t="str">
        <f t="shared" si="177"/>
        <v/>
      </c>
      <c r="AQ283" s="58" t="str">
        <f t="shared" si="178"/>
        <v/>
      </c>
      <c r="AR283" s="38">
        <f>'ANR OK vs ML7'!AR283</f>
        <v>0.1</v>
      </c>
      <c r="AS283" s="35" t="str">
        <f t="shared" si="179"/>
        <v/>
      </c>
      <c r="AT283" s="3" t="str">
        <f t="shared" si="180"/>
        <v/>
      </c>
      <c r="AU283" s="3" t="str">
        <f t="shared" si="181"/>
        <v/>
      </c>
      <c r="AW283" s="32" t="str">
        <f t="shared" si="182"/>
        <v/>
      </c>
      <c r="AX283" s="32" t="str">
        <f t="shared" si="183"/>
        <v/>
      </c>
      <c r="AY283" s="32" t="str">
        <f t="shared" si="184"/>
        <v/>
      </c>
      <c r="BA283" s="32" t="str">
        <f>IF($A284="","",F283*Summary!$Q$10)</f>
        <v/>
      </c>
    </row>
    <row r="284" spans="1:53" ht="12" customHeight="1">
      <c r="A284" s="67" t="str">
        <f t="shared" si="185"/>
        <v/>
      </c>
      <c r="B284" s="69" t="str">
        <f t="shared" si="187"/>
        <v/>
      </c>
      <c r="C284" s="71"/>
      <c r="D284" s="69" t="str">
        <f t="shared" si="151"/>
        <v/>
      </c>
      <c r="E284" s="70" t="str">
        <f t="shared" si="152"/>
        <v/>
      </c>
      <c r="F284" s="70" t="str">
        <f t="shared" si="153"/>
        <v/>
      </c>
      <c r="G284" s="63" t="str">
        <f t="shared" si="154"/>
        <v/>
      </c>
      <c r="H284" s="64" t="str">
        <f t="shared" si="155"/>
        <v/>
      </c>
      <c r="I284" s="43"/>
      <c r="J284" s="63" t="str">
        <f t="shared" si="156"/>
        <v/>
      </c>
      <c r="K284" s="64" t="str">
        <f t="shared" si="157"/>
        <v/>
      </c>
      <c r="L284" s="38">
        <v>0</v>
      </c>
      <c r="M284" s="64" t="str">
        <f t="shared" si="158"/>
        <v/>
      </c>
      <c r="N284" s="65"/>
      <c r="O284" s="63" t="str">
        <f t="shared" si="159"/>
        <v/>
      </c>
      <c r="P284" s="63" t="str">
        <f t="shared" si="160"/>
        <v/>
      </c>
      <c r="Q284" s="66"/>
      <c r="R284" s="63" t="str">
        <f t="shared" si="161"/>
        <v/>
      </c>
      <c r="S284" s="64" t="str">
        <f t="shared" si="162"/>
        <v/>
      </c>
      <c r="T284" s="63" t="str">
        <f t="shared" si="163"/>
        <v/>
      </c>
      <c r="U284" s="64" t="str">
        <f t="shared" si="164"/>
        <v/>
      </c>
      <c r="V284" s="219" t="str">
        <f>IF($A285="","",IF(AND(MONTH(A284)&gt;3,MONTH(A284)&lt;11),(T284+R284+G284)*Summary!$T$10/(1-Summary!$T$10),(T284+R284+G284)*Summary!$U$10/(1-Summary!$U$10)))</f>
        <v/>
      </c>
      <c r="W284" s="63" t="str">
        <f t="shared" si="165"/>
        <v/>
      </c>
      <c r="X284" s="63" t="str">
        <f t="shared" si="166"/>
        <v/>
      </c>
      <c r="Y284" s="43"/>
      <c r="Z284" s="38" t="str">
        <f t="shared" si="167"/>
        <v/>
      </c>
      <c r="AA284" s="38" t="str">
        <f t="shared" si="168"/>
        <v/>
      </c>
      <c r="AB284" s="38" t="e">
        <f t="shared" si="169"/>
        <v>#VALUE!</v>
      </c>
      <c r="AC284" s="38" t="str">
        <f t="shared" si="170"/>
        <v/>
      </c>
      <c r="AD284" s="38" t="str">
        <f t="shared" si="170"/>
        <v/>
      </c>
      <c r="AE284" s="38" t="e">
        <f t="shared" si="171"/>
        <v>#VALUE!</v>
      </c>
      <c r="AF284" s="237" t="e">
        <f>((Summary!$N$10*(AA284*AD284)*(A284-$D$3))+(Summary!$M$10*Z284*AC284*(AJ284-EOMONTH(EDATE(A284,-1),0))))/(AK284*AB284*AE284)</f>
        <v>#VALUE!</v>
      </c>
      <c r="AG284" s="88" t="str">
        <f>IF($A285="","",Summary!$Q$10)</f>
        <v/>
      </c>
      <c r="AH284" s="88" t="str">
        <f>IF($A285="","",IF(Summary!$R$10="Y",(VLOOKUP($A284,Summary!$AD$6:$AF$9,3)+'Escalating commodity'!F297),'Escalating commodity'!F297))</f>
        <v/>
      </c>
      <c r="AI284" s="88" t="str">
        <f t="shared" si="186"/>
        <v/>
      </c>
      <c r="AJ284" s="236" t="e">
        <f t="shared" si="172"/>
        <v>#VALUE!</v>
      </c>
      <c r="AK284" s="58" t="str">
        <f t="shared" si="173"/>
        <v/>
      </c>
      <c r="AL284" s="26" t="str">
        <f>IF($A285="","",_xll.SPRDOPT(P284,X284,AI284,0,AB284,AE284,AF284,AK284,$AJ$2,0))</f>
        <v/>
      </c>
      <c r="AM284" s="89" t="str">
        <f t="shared" si="174"/>
        <v/>
      </c>
      <c r="AN284" s="89" t="str">
        <f t="shared" si="175"/>
        <v/>
      </c>
      <c r="AO284" s="3" t="str">
        <f t="shared" si="176"/>
        <v/>
      </c>
      <c r="AP284" s="33" t="str">
        <f t="shared" si="177"/>
        <v/>
      </c>
      <c r="AQ284" s="58" t="str">
        <f t="shared" si="178"/>
        <v/>
      </c>
      <c r="AR284" s="38">
        <f>'ANR OK vs ML7'!AR284</f>
        <v>0.1</v>
      </c>
      <c r="AS284" s="35" t="str">
        <f t="shared" si="179"/>
        <v/>
      </c>
      <c r="AT284" s="3" t="str">
        <f t="shared" si="180"/>
        <v/>
      </c>
      <c r="AU284" s="3" t="str">
        <f t="shared" si="181"/>
        <v/>
      </c>
      <c r="AW284" s="32" t="str">
        <f t="shared" si="182"/>
        <v/>
      </c>
      <c r="AX284" s="32" t="str">
        <f t="shared" si="183"/>
        <v/>
      </c>
      <c r="AY284" s="32" t="str">
        <f t="shared" si="184"/>
        <v/>
      </c>
      <c r="BA284" s="32" t="str">
        <f>IF($A285="","",F284*Summary!$Q$10)</f>
        <v/>
      </c>
    </row>
    <row r="285" spans="1:53" ht="12" customHeight="1">
      <c r="A285" s="67" t="str">
        <f t="shared" si="185"/>
        <v/>
      </c>
      <c r="B285" s="69" t="str">
        <f t="shared" si="187"/>
        <v/>
      </c>
      <c r="C285" s="71"/>
      <c r="D285" s="69" t="str">
        <f t="shared" si="151"/>
        <v/>
      </c>
      <c r="E285" s="70" t="str">
        <f t="shared" si="152"/>
        <v/>
      </c>
      <c r="F285" s="70" t="str">
        <f t="shared" si="153"/>
        <v/>
      </c>
      <c r="G285" s="63" t="str">
        <f t="shared" si="154"/>
        <v/>
      </c>
      <c r="H285" s="64" t="str">
        <f t="shared" si="155"/>
        <v/>
      </c>
      <c r="I285" s="43"/>
      <c r="J285" s="63" t="str">
        <f t="shared" si="156"/>
        <v/>
      </c>
      <c r="K285" s="64" t="str">
        <f t="shared" si="157"/>
        <v/>
      </c>
      <c r="L285" s="38">
        <v>0</v>
      </c>
      <c r="M285" s="64" t="str">
        <f t="shared" si="158"/>
        <v/>
      </c>
      <c r="N285" s="65"/>
      <c r="O285" s="63" t="str">
        <f t="shared" si="159"/>
        <v/>
      </c>
      <c r="P285" s="63" t="str">
        <f t="shared" si="160"/>
        <v/>
      </c>
      <c r="Q285" s="66"/>
      <c r="R285" s="63" t="str">
        <f t="shared" si="161"/>
        <v/>
      </c>
      <c r="S285" s="64" t="str">
        <f t="shared" si="162"/>
        <v/>
      </c>
      <c r="T285" s="63" t="str">
        <f t="shared" si="163"/>
        <v/>
      </c>
      <c r="U285" s="64" t="str">
        <f t="shared" si="164"/>
        <v/>
      </c>
      <c r="V285" s="219" t="str">
        <f>IF($A286="","",IF(AND(MONTH(A285)&gt;3,MONTH(A285)&lt;11),(T285+R285+G285)*Summary!$T$10/(1-Summary!$T$10),(T285+R285+G285)*Summary!$U$10/(1-Summary!$U$10)))</f>
        <v/>
      </c>
      <c r="W285" s="63" t="str">
        <f t="shared" si="165"/>
        <v/>
      </c>
      <c r="X285" s="63" t="str">
        <f t="shared" si="166"/>
        <v/>
      </c>
      <c r="Y285" s="43"/>
      <c r="Z285" s="38" t="str">
        <f t="shared" si="167"/>
        <v/>
      </c>
      <c r="AA285" s="38" t="str">
        <f t="shared" si="168"/>
        <v/>
      </c>
      <c r="AB285" s="38" t="e">
        <f t="shared" si="169"/>
        <v>#VALUE!</v>
      </c>
      <c r="AC285" s="38" t="str">
        <f t="shared" si="170"/>
        <v/>
      </c>
      <c r="AD285" s="38" t="str">
        <f t="shared" si="170"/>
        <v/>
      </c>
      <c r="AE285" s="38" t="e">
        <f t="shared" si="171"/>
        <v>#VALUE!</v>
      </c>
      <c r="AF285" s="237" t="e">
        <f>((Summary!$N$10*(AA285*AD285)*(A285-$D$3))+(Summary!$M$10*Z285*AC285*(AJ285-EOMONTH(EDATE(A285,-1),0))))/(AK285*AB285*AE285)</f>
        <v>#VALUE!</v>
      </c>
      <c r="AG285" s="88" t="str">
        <f>IF($A286="","",Summary!$Q$10)</f>
        <v/>
      </c>
      <c r="AH285" s="88" t="str">
        <f>IF($A286="","",IF(Summary!$R$10="Y",(VLOOKUP($A285,Summary!$AD$6:$AF$9,3)+'Escalating commodity'!F298),'Escalating commodity'!F298))</f>
        <v/>
      </c>
      <c r="AI285" s="88" t="str">
        <f t="shared" si="186"/>
        <v/>
      </c>
      <c r="AJ285" s="236" t="e">
        <f t="shared" si="172"/>
        <v>#VALUE!</v>
      </c>
      <c r="AK285" s="58" t="str">
        <f t="shared" si="173"/>
        <v/>
      </c>
      <c r="AL285" s="26" t="str">
        <f>IF($A286="","",_xll.SPRDOPT(P285,X285,AI285,0,AB285,AE285,AF285,AK285,$AJ$2,0))</f>
        <v/>
      </c>
      <c r="AM285" s="89" t="str">
        <f t="shared" si="174"/>
        <v/>
      </c>
      <c r="AN285" s="89" t="str">
        <f t="shared" si="175"/>
        <v/>
      </c>
      <c r="AO285" s="3" t="str">
        <f t="shared" si="176"/>
        <v/>
      </c>
      <c r="AP285" s="33" t="str">
        <f t="shared" si="177"/>
        <v/>
      </c>
      <c r="AQ285" s="58" t="str">
        <f t="shared" si="178"/>
        <v/>
      </c>
      <c r="AR285" s="38">
        <f>'ANR OK vs ML7'!AR285</f>
        <v>0.1</v>
      </c>
      <c r="AS285" s="35" t="str">
        <f t="shared" si="179"/>
        <v/>
      </c>
      <c r="AT285" s="3" t="str">
        <f t="shared" si="180"/>
        <v/>
      </c>
      <c r="AU285" s="3" t="str">
        <f t="shared" si="181"/>
        <v/>
      </c>
      <c r="AW285" s="32" t="str">
        <f t="shared" si="182"/>
        <v/>
      </c>
      <c r="AX285" s="32" t="str">
        <f t="shared" si="183"/>
        <v/>
      </c>
      <c r="AY285" s="32" t="str">
        <f t="shared" si="184"/>
        <v/>
      </c>
      <c r="BA285" s="32" t="str">
        <f>IF($A286="","",F285*Summary!$Q$10)</f>
        <v/>
      </c>
    </row>
    <row r="286" spans="1:53" ht="12" customHeight="1">
      <c r="A286" s="67" t="str">
        <f t="shared" si="185"/>
        <v/>
      </c>
      <c r="B286" s="69" t="str">
        <f t="shared" si="187"/>
        <v/>
      </c>
      <c r="C286" s="71"/>
      <c r="D286" s="69" t="str">
        <f t="shared" si="151"/>
        <v/>
      </c>
      <c r="E286" s="70" t="str">
        <f t="shared" si="152"/>
        <v/>
      </c>
      <c r="F286" s="70" t="str">
        <f t="shared" si="153"/>
        <v/>
      </c>
      <c r="G286" s="63" t="str">
        <f t="shared" si="154"/>
        <v/>
      </c>
      <c r="H286" s="64" t="str">
        <f t="shared" si="155"/>
        <v/>
      </c>
      <c r="I286" s="43"/>
      <c r="J286" s="63" t="str">
        <f t="shared" si="156"/>
        <v/>
      </c>
      <c r="K286" s="64" t="str">
        <f t="shared" si="157"/>
        <v/>
      </c>
      <c r="L286" s="38">
        <v>0</v>
      </c>
      <c r="M286" s="64" t="str">
        <f t="shared" si="158"/>
        <v/>
      </c>
      <c r="N286" s="65"/>
      <c r="O286" s="63" t="str">
        <f t="shared" si="159"/>
        <v/>
      </c>
      <c r="P286" s="63" t="str">
        <f t="shared" si="160"/>
        <v/>
      </c>
      <c r="Q286" s="66"/>
      <c r="R286" s="63" t="str">
        <f t="shared" si="161"/>
        <v/>
      </c>
      <c r="S286" s="64" t="str">
        <f t="shared" si="162"/>
        <v/>
      </c>
      <c r="T286" s="63" t="str">
        <f t="shared" si="163"/>
        <v/>
      </c>
      <c r="U286" s="64" t="str">
        <f t="shared" si="164"/>
        <v/>
      </c>
      <c r="V286" s="219" t="str">
        <f>IF($A287="","",IF(AND(MONTH(A286)&gt;3,MONTH(A286)&lt;11),(T286+R286+G286)*Summary!$T$10/(1-Summary!$T$10),(T286+R286+G286)*Summary!$U$10/(1-Summary!$U$10)))</f>
        <v/>
      </c>
      <c r="W286" s="63" t="str">
        <f t="shared" si="165"/>
        <v/>
      </c>
      <c r="X286" s="63" t="str">
        <f t="shared" si="166"/>
        <v/>
      </c>
      <c r="Y286" s="43"/>
      <c r="Z286" s="38" t="str">
        <f t="shared" si="167"/>
        <v/>
      </c>
      <c r="AA286" s="38" t="str">
        <f t="shared" si="168"/>
        <v/>
      </c>
      <c r="AB286" s="38" t="e">
        <f t="shared" si="169"/>
        <v>#VALUE!</v>
      </c>
      <c r="AC286" s="38" t="str">
        <f t="shared" si="170"/>
        <v/>
      </c>
      <c r="AD286" s="38" t="str">
        <f t="shared" si="170"/>
        <v/>
      </c>
      <c r="AE286" s="38" t="e">
        <f t="shared" si="171"/>
        <v>#VALUE!</v>
      </c>
      <c r="AF286" s="237" t="e">
        <f>((Summary!$N$10*(AA286*AD286)*(A286-$D$3))+(Summary!$M$10*Z286*AC286*(AJ286-EOMONTH(EDATE(A286,-1),0))))/(AK286*AB286*AE286)</f>
        <v>#VALUE!</v>
      </c>
      <c r="AG286" s="88" t="str">
        <f>IF($A287="","",Summary!$Q$10)</f>
        <v/>
      </c>
      <c r="AH286" s="88" t="str">
        <f>IF($A287="","",IF(Summary!$R$10="Y",(VLOOKUP($A286,Summary!$AD$6:$AF$9,3)+'Escalating commodity'!F299),'Escalating commodity'!F299))</f>
        <v/>
      </c>
      <c r="AI286" s="88" t="str">
        <f t="shared" si="186"/>
        <v/>
      </c>
      <c r="AJ286" s="236" t="e">
        <f t="shared" si="172"/>
        <v>#VALUE!</v>
      </c>
      <c r="AK286" s="58" t="str">
        <f t="shared" si="173"/>
        <v/>
      </c>
      <c r="AL286" s="26" t="str">
        <f>IF($A287="","",_xll.SPRDOPT(P286,X286,AI286,0,AB286,AE286,AF286,AK286,$AJ$2,0))</f>
        <v/>
      </c>
      <c r="AM286" s="89" t="str">
        <f t="shared" si="174"/>
        <v/>
      </c>
      <c r="AN286" s="89" t="str">
        <f t="shared" si="175"/>
        <v/>
      </c>
      <c r="AO286" s="3" t="str">
        <f t="shared" si="176"/>
        <v/>
      </c>
      <c r="AP286" s="33" t="str">
        <f t="shared" si="177"/>
        <v/>
      </c>
      <c r="AQ286" s="58" t="str">
        <f t="shared" si="178"/>
        <v/>
      </c>
      <c r="AR286" s="38">
        <f>'ANR OK vs ML7'!AR286</f>
        <v>0.1</v>
      </c>
      <c r="AS286" s="35" t="str">
        <f t="shared" si="179"/>
        <v/>
      </c>
      <c r="AT286" s="3" t="str">
        <f t="shared" si="180"/>
        <v/>
      </c>
      <c r="AU286" s="3" t="str">
        <f t="shared" si="181"/>
        <v/>
      </c>
      <c r="AW286" s="32" t="str">
        <f t="shared" si="182"/>
        <v/>
      </c>
      <c r="AX286" s="32" t="str">
        <f t="shared" si="183"/>
        <v/>
      </c>
      <c r="AY286" s="32" t="str">
        <f t="shared" si="184"/>
        <v/>
      </c>
      <c r="BA286" s="32" t="str">
        <f>IF($A287="","",F286*Summary!$Q$10)</f>
        <v/>
      </c>
    </row>
    <row r="287" spans="1:53" ht="12" customHeight="1">
      <c r="A287" s="67" t="str">
        <f t="shared" si="185"/>
        <v/>
      </c>
      <c r="B287" s="69" t="str">
        <f t="shared" si="187"/>
        <v/>
      </c>
      <c r="C287" s="71"/>
      <c r="D287" s="69" t="str">
        <f t="shared" si="151"/>
        <v/>
      </c>
      <c r="E287" s="70" t="str">
        <f t="shared" si="152"/>
        <v/>
      </c>
      <c r="F287" s="70" t="str">
        <f t="shared" si="153"/>
        <v/>
      </c>
      <c r="G287" s="63" t="str">
        <f t="shared" si="154"/>
        <v/>
      </c>
      <c r="H287" s="64" t="str">
        <f t="shared" si="155"/>
        <v/>
      </c>
      <c r="I287" s="43"/>
      <c r="J287" s="63" t="str">
        <f t="shared" si="156"/>
        <v/>
      </c>
      <c r="K287" s="64" t="str">
        <f t="shared" si="157"/>
        <v/>
      </c>
      <c r="L287" s="38">
        <v>0</v>
      </c>
      <c r="M287" s="64" t="str">
        <f t="shared" si="158"/>
        <v/>
      </c>
      <c r="N287" s="65"/>
      <c r="O287" s="63" t="str">
        <f t="shared" si="159"/>
        <v/>
      </c>
      <c r="P287" s="63" t="str">
        <f t="shared" si="160"/>
        <v/>
      </c>
      <c r="Q287" s="66"/>
      <c r="R287" s="63" t="str">
        <f t="shared" si="161"/>
        <v/>
      </c>
      <c r="S287" s="64" t="str">
        <f t="shared" si="162"/>
        <v/>
      </c>
      <c r="T287" s="63" t="str">
        <f t="shared" si="163"/>
        <v/>
      </c>
      <c r="U287" s="64" t="str">
        <f t="shared" si="164"/>
        <v/>
      </c>
      <c r="V287" s="219" t="str">
        <f>IF($A288="","",IF(AND(MONTH(A287)&gt;3,MONTH(A287)&lt;11),(T287+R287+G287)*Summary!$T$10/(1-Summary!$T$10),(T287+R287+G287)*Summary!$U$10/(1-Summary!$U$10)))</f>
        <v/>
      </c>
      <c r="W287" s="63" t="str">
        <f t="shared" si="165"/>
        <v/>
      </c>
      <c r="X287" s="63" t="str">
        <f t="shared" si="166"/>
        <v/>
      </c>
      <c r="Y287" s="43"/>
      <c r="Z287" s="38" t="str">
        <f t="shared" si="167"/>
        <v/>
      </c>
      <c r="AA287" s="38" t="str">
        <f t="shared" si="168"/>
        <v/>
      </c>
      <c r="AB287" s="38" t="e">
        <f t="shared" si="169"/>
        <v>#VALUE!</v>
      </c>
      <c r="AC287" s="38" t="str">
        <f t="shared" si="170"/>
        <v/>
      </c>
      <c r="AD287" s="38" t="str">
        <f t="shared" si="170"/>
        <v/>
      </c>
      <c r="AE287" s="38" t="e">
        <f t="shared" si="171"/>
        <v>#VALUE!</v>
      </c>
      <c r="AF287" s="237" t="e">
        <f>((Summary!$N$10*(AA287*AD287)*(A287-$D$3))+(Summary!$M$10*Z287*AC287*(AJ287-EOMONTH(EDATE(A287,-1),0))))/(AK287*AB287*AE287)</f>
        <v>#VALUE!</v>
      </c>
      <c r="AG287" s="88" t="str">
        <f>IF($A288="","",Summary!$Q$10)</f>
        <v/>
      </c>
      <c r="AH287" s="88" t="str">
        <f>IF($A288="","",IF(Summary!$R$10="Y",(VLOOKUP($A287,Summary!$AD$6:$AF$9,3)+'Escalating commodity'!F300),'Escalating commodity'!F300))</f>
        <v/>
      </c>
      <c r="AI287" s="88" t="str">
        <f t="shared" si="186"/>
        <v/>
      </c>
      <c r="AJ287" s="236" t="e">
        <f t="shared" si="172"/>
        <v>#VALUE!</v>
      </c>
      <c r="AK287" s="58" t="str">
        <f t="shared" si="173"/>
        <v/>
      </c>
      <c r="AL287" s="26" t="str">
        <f>IF($A288="","",_xll.SPRDOPT(P287,X287,AI287,0,AB287,AE287,AF287,AK287,$AJ$2,0))</f>
        <v/>
      </c>
      <c r="AM287" s="89" t="str">
        <f t="shared" si="174"/>
        <v/>
      </c>
      <c r="AN287" s="89" t="str">
        <f t="shared" si="175"/>
        <v/>
      </c>
      <c r="AO287" s="3" t="str">
        <f t="shared" si="176"/>
        <v/>
      </c>
      <c r="AP287" s="33" t="str">
        <f t="shared" si="177"/>
        <v/>
      </c>
      <c r="AQ287" s="58" t="str">
        <f t="shared" si="178"/>
        <v/>
      </c>
      <c r="AR287" s="38">
        <f>'ANR OK vs ML7'!AR287</f>
        <v>0.1</v>
      </c>
      <c r="AS287" s="35" t="str">
        <f t="shared" si="179"/>
        <v/>
      </c>
      <c r="AT287" s="3" t="str">
        <f t="shared" si="180"/>
        <v/>
      </c>
      <c r="AU287" s="3" t="str">
        <f t="shared" si="181"/>
        <v/>
      </c>
      <c r="AW287" s="32" t="str">
        <f t="shared" si="182"/>
        <v/>
      </c>
      <c r="AX287" s="32" t="str">
        <f t="shared" si="183"/>
        <v/>
      </c>
      <c r="AY287" s="32" t="str">
        <f t="shared" si="184"/>
        <v/>
      </c>
      <c r="BA287" s="32" t="str">
        <f>IF($A288="","",F287*Summary!$Q$10)</f>
        <v/>
      </c>
    </row>
    <row r="288" spans="1:53" ht="12" customHeight="1">
      <c r="A288" s="67" t="str">
        <f t="shared" si="185"/>
        <v/>
      </c>
      <c r="B288" s="69" t="str">
        <f t="shared" si="187"/>
        <v/>
      </c>
      <c r="C288" s="71"/>
      <c r="D288" s="69" t="str">
        <f t="shared" si="151"/>
        <v/>
      </c>
      <c r="E288" s="70" t="str">
        <f t="shared" si="152"/>
        <v/>
      </c>
      <c r="F288" s="70" t="str">
        <f t="shared" si="153"/>
        <v/>
      </c>
      <c r="G288" s="63" t="str">
        <f t="shared" si="154"/>
        <v/>
      </c>
      <c r="H288" s="64" t="str">
        <f t="shared" si="155"/>
        <v/>
      </c>
      <c r="I288" s="43"/>
      <c r="J288" s="63" t="str">
        <f t="shared" si="156"/>
        <v/>
      </c>
      <c r="K288" s="64" t="str">
        <f t="shared" si="157"/>
        <v/>
      </c>
      <c r="L288" s="38">
        <v>0</v>
      </c>
      <c r="M288" s="64" t="str">
        <f t="shared" si="158"/>
        <v/>
      </c>
      <c r="N288" s="65"/>
      <c r="O288" s="63" t="str">
        <f t="shared" si="159"/>
        <v/>
      </c>
      <c r="P288" s="63" t="str">
        <f t="shared" si="160"/>
        <v/>
      </c>
      <c r="Q288" s="66"/>
      <c r="R288" s="63" t="str">
        <f t="shared" si="161"/>
        <v/>
      </c>
      <c r="S288" s="64" t="str">
        <f t="shared" si="162"/>
        <v/>
      </c>
      <c r="T288" s="63" t="str">
        <f t="shared" si="163"/>
        <v/>
      </c>
      <c r="U288" s="64" t="str">
        <f t="shared" si="164"/>
        <v/>
      </c>
      <c r="V288" s="219" t="str">
        <f>IF($A289="","",IF(AND(MONTH(A288)&gt;3,MONTH(A288)&lt;11),(T288+R288+G288)*Summary!$T$10/(1-Summary!$T$10),(T288+R288+G288)*Summary!$U$10/(1-Summary!$U$10)))</f>
        <v/>
      </c>
      <c r="W288" s="63" t="str">
        <f t="shared" si="165"/>
        <v/>
      </c>
      <c r="X288" s="63" t="str">
        <f t="shared" si="166"/>
        <v/>
      </c>
      <c r="Y288" s="43"/>
      <c r="Z288" s="38" t="str">
        <f t="shared" si="167"/>
        <v/>
      </c>
      <c r="AA288" s="38" t="str">
        <f t="shared" si="168"/>
        <v/>
      </c>
      <c r="AB288" s="38" t="e">
        <f t="shared" si="169"/>
        <v>#VALUE!</v>
      </c>
      <c r="AC288" s="38" t="str">
        <f t="shared" si="170"/>
        <v/>
      </c>
      <c r="AD288" s="38" t="str">
        <f t="shared" si="170"/>
        <v/>
      </c>
      <c r="AE288" s="38" t="e">
        <f t="shared" si="171"/>
        <v>#VALUE!</v>
      </c>
      <c r="AF288" s="237" t="e">
        <f>((Summary!$N$10*(AA288*AD288)*(A288-$D$3))+(Summary!$M$10*Z288*AC288*(AJ288-EOMONTH(EDATE(A288,-1),0))))/(AK288*AB288*AE288)</f>
        <v>#VALUE!</v>
      </c>
      <c r="AG288" s="88" t="str">
        <f>IF($A289="","",Summary!$Q$10)</f>
        <v/>
      </c>
      <c r="AH288" s="88" t="str">
        <f>IF($A289="","",IF(Summary!$R$10="Y",(VLOOKUP($A288,Summary!$AD$6:$AF$9,3)+'Escalating commodity'!F301),'Escalating commodity'!F301))</f>
        <v/>
      </c>
      <c r="AI288" s="88" t="str">
        <f t="shared" si="186"/>
        <v/>
      </c>
      <c r="AJ288" s="236" t="e">
        <f t="shared" si="172"/>
        <v>#VALUE!</v>
      </c>
      <c r="AK288" s="58" t="str">
        <f t="shared" si="173"/>
        <v/>
      </c>
      <c r="AL288" s="26" t="str">
        <f>IF($A289="","",_xll.SPRDOPT(P288,X288,AI288,0,AB288,AE288,AF288,AK288,$AJ$2,0))</f>
        <v/>
      </c>
      <c r="AM288" s="89" t="str">
        <f t="shared" si="174"/>
        <v/>
      </c>
      <c r="AN288" s="89" t="str">
        <f t="shared" si="175"/>
        <v/>
      </c>
      <c r="AO288" s="3" t="str">
        <f t="shared" si="176"/>
        <v/>
      </c>
      <c r="AP288" s="33" t="str">
        <f t="shared" si="177"/>
        <v/>
      </c>
      <c r="AQ288" s="58" t="str">
        <f t="shared" si="178"/>
        <v/>
      </c>
      <c r="AR288" s="38">
        <f>'ANR OK vs ML7'!AR288</f>
        <v>0.1</v>
      </c>
      <c r="AS288" s="35" t="str">
        <f t="shared" si="179"/>
        <v/>
      </c>
      <c r="AT288" s="3" t="str">
        <f t="shared" si="180"/>
        <v/>
      </c>
      <c r="AU288" s="3" t="str">
        <f t="shared" si="181"/>
        <v/>
      </c>
      <c r="AW288" s="32" t="str">
        <f t="shared" si="182"/>
        <v/>
      </c>
      <c r="AX288" s="32" t="str">
        <f t="shared" si="183"/>
        <v/>
      </c>
      <c r="AY288" s="32" t="str">
        <f t="shared" si="184"/>
        <v/>
      </c>
      <c r="BA288" s="32" t="str">
        <f>IF($A289="","",F288*Summary!$Q$10)</f>
        <v/>
      </c>
    </row>
    <row r="289" spans="1:53" ht="12" customHeight="1">
      <c r="A289" s="67" t="str">
        <f t="shared" si="185"/>
        <v/>
      </c>
      <c r="B289" s="69" t="str">
        <f t="shared" si="187"/>
        <v/>
      </c>
      <c r="C289" s="71"/>
      <c r="D289" s="69" t="str">
        <f t="shared" si="151"/>
        <v/>
      </c>
      <c r="E289" s="70" t="str">
        <f t="shared" si="152"/>
        <v/>
      </c>
      <c r="F289" s="70" t="str">
        <f t="shared" si="153"/>
        <v/>
      </c>
      <c r="G289" s="63" t="str">
        <f t="shared" si="154"/>
        <v/>
      </c>
      <c r="H289" s="64" t="str">
        <f t="shared" si="155"/>
        <v/>
      </c>
      <c r="I289" s="43"/>
      <c r="J289" s="63" t="str">
        <f t="shared" si="156"/>
        <v/>
      </c>
      <c r="K289" s="64" t="str">
        <f t="shared" si="157"/>
        <v/>
      </c>
      <c r="L289" s="38">
        <v>0</v>
      </c>
      <c r="M289" s="64" t="str">
        <f t="shared" si="158"/>
        <v/>
      </c>
      <c r="N289" s="65"/>
      <c r="O289" s="63" t="str">
        <f t="shared" si="159"/>
        <v/>
      </c>
      <c r="P289" s="63" t="str">
        <f t="shared" si="160"/>
        <v/>
      </c>
      <c r="Q289" s="66"/>
      <c r="R289" s="63" t="str">
        <f t="shared" si="161"/>
        <v/>
      </c>
      <c r="S289" s="64" t="str">
        <f t="shared" si="162"/>
        <v/>
      </c>
      <c r="T289" s="63" t="str">
        <f t="shared" si="163"/>
        <v/>
      </c>
      <c r="U289" s="64" t="str">
        <f t="shared" si="164"/>
        <v/>
      </c>
      <c r="V289" s="219" t="str">
        <f>IF($A290="","",IF(AND(MONTH(A289)&gt;3,MONTH(A289)&lt;11),(T289+R289+G289)*Summary!$T$10/(1-Summary!$T$10),(T289+R289+G289)*Summary!$U$10/(1-Summary!$U$10)))</f>
        <v/>
      </c>
      <c r="W289" s="63" t="str">
        <f t="shared" si="165"/>
        <v/>
      </c>
      <c r="X289" s="63" t="str">
        <f t="shared" si="166"/>
        <v/>
      </c>
      <c r="Y289" s="43"/>
      <c r="Z289" s="38" t="str">
        <f t="shared" si="167"/>
        <v/>
      </c>
      <c r="AA289" s="38" t="str">
        <f t="shared" si="168"/>
        <v/>
      </c>
      <c r="AB289" s="38" t="e">
        <f t="shared" si="169"/>
        <v>#VALUE!</v>
      </c>
      <c r="AC289" s="38" t="str">
        <f t="shared" si="170"/>
        <v/>
      </c>
      <c r="AD289" s="38" t="str">
        <f t="shared" si="170"/>
        <v/>
      </c>
      <c r="AE289" s="38" t="e">
        <f t="shared" si="171"/>
        <v>#VALUE!</v>
      </c>
      <c r="AF289" s="237" t="e">
        <f>((Summary!$N$10*(AA289*AD289)*(A289-$D$3))+(Summary!$M$10*Z289*AC289*(AJ289-EOMONTH(EDATE(A289,-1),0))))/(AK289*AB289*AE289)</f>
        <v>#VALUE!</v>
      </c>
      <c r="AG289" s="88" t="str">
        <f>IF($A290="","",Summary!$Q$10)</f>
        <v/>
      </c>
      <c r="AH289" s="88" t="str">
        <f>IF($A290="","",IF(Summary!$R$10="Y",(VLOOKUP($A289,Summary!$AD$6:$AF$9,3)+'Escalating commodity'!F302),'Escalating commodity'!F302))</f>
        <v/>
      </c>
      <c r="AI289" s="88" t="str">
        <f t="shared" si="186"/>
        <v/>
      </c>
      <c r="AJ289" s="236" t="e">
        <f t="shared" si="172"/>
        <v>#VALUE!</v>
      </c>
      <c r="AK289" s="58" t="str">
        <f t="shared" si="173"/>
        <v/>
      </c>
      <c r="AL289" s="26" t="str">
        <f>IF($A290="","",_xll.SPRDOPT(P289,X289,AI289,0,AB289,AE289,AF289,AK289,$AJ$2,0))</f>
        <v/>
      </c>
      <c r="AM289" s="89" t="str">
        <f t="shared" si="174"/>
        <v/>
      </c>
      <c r="AN289" s="89" t="str">
        <f t="shared" si="175"/>
        <v/>
      </c>
      <c r="AO289" s="3" t="str">
        <f t="shared" si="176"/>
        <v/>
      </c>
      <c r="AP289" s="33" t="str">
        <f t="shared" si="177"/>
        <v/>
      </c>
      <c r="AQ289" s="58" t="str">
        <f t="shared" si="178"/>
        <v/>
      </c>
      <c r="AR289" s="38">
        <f>'ANR OK vs ML7'!AR289</f>
        <v>0.1</v>
      </c>
      <c r="AS289" s="35" t="str">
        <f t="shared" si="179"/>
        <v/>
      </c>
      <c r="AT289" s="3" t="str">
        <f t="shared" si="180"/>
        <v/>
      </c>
      <c r="AU289" s="3" t="str">
        <f t="shared" si="181"/>
        <v/>
      </c>
      <c r="AW289" s="32" t="str">
        <f t="shared" si="182"/>
        <v/>
      </c>
      <c r="AX289" s="32" t="str">
        <f t="shared" si="183"/>
        <v/>
      </c>
      <c r="AY289" s="32" t="str">
        <f t="shared" si="184"/>
        <v/>
      </c>
      <c r="BA289" s="32" t="str">
        <f>IF($A290="","",F289*Summary!$Q$10)</f>
        <v/>
      </c>
    </row>
    <row r="290" spans="1:53" ht="12" customHeight="1">
      <c r="A290" s="67" t="str">
        <f t="shared" si="185"/>
        <v/>
      </c>
      <c r="B290" s="69" t="str">
        <f t="shared" si="187"/>
        <v/>
      </c>
      <c r="C290" s="71"/>
      <c r="D290" s="69" t="str">
        <f t="shared" si="151"/>
        <v/>
      </c>
      <c r="E290" s="70" t="str">
        <f t="shared" si="152"/>
        <v/>
      </c>
      <c r="F290" s="70" t="str">
        <f t="shared" si="153"/>
        <v/>
      </c>
      <c r="G290" s="63" t="str">
        <f t="shared" si="154"/>
        <v/>
      </c>
      <c r="H290" s="64" t="str">
        <f t="shared" si="155"/>
        <v/>
      </c>
      <c r="I290" s="43"/>
      <c r="J290" s="63" t="str">
        <f t="shared" si="156"/>
        <v/>
      </c>
      <c r="K290" s="64" t="str">
        <f t="shared" si="157"/>
        <v/>
      </c>
      <c r="L290" s="38">
        <v>0</v>
      </c>
      <c r="M290" s="64" t="str">
        <f t="shared" si="158"/>
        <v/>
      </c>
      <c r="N290" s="65"/>
      <c r="O290" s="63" t="str">
        <f t="shared" si="159"/>
        <v/>
      </c>
      <c r="P290" s="63" t="str">
        <f t="shared" si="160"/>
        <v/>
      </c>
      <c r="Q290" s="66"/>
      <c r="R290" s="63" t="str">
        <f t="shared" si="161"/>
        <v/>
      </c>
      <c r="S290" s="64" t="str">
        <f t="shared" si="162"/>
        <v/>
      </c>
      <c r="T290" s="63" t="str">
        <f t="shared" si="163"/>
        <v/>
      </c>
      <c r="U290" s="64" t="str">
        <f t="shared" si="164"/>
        <v/>
      </c>
      <c r="V290" s="219" t="str">
        <f>IF($A291="","",IF(AND(MONTH(A290)&gt;3,MONTH(A290)&lt;11),(T290+R290+G290)*Summary!$T$10/(1-Summary!$T$10),(T290+R290+G290)*Summary!$U$10/(1-Summary!$U$10)))</f>
        <v/>
      </c>
      <c r="W290" s="63" t="str">
        <f t="shared" si="165"/>
        <v/>
      </c>
      <c r="X290" s="63" t="str">
        <f t="shared" si="166"/>
        <v/>
      </c>
      <c r="Y290" s="43"/>
      <c r="Z290" s="38" t="str">
        <f t="shared" si="167"/>
        <v/>
      </c>
      <c r="AA290" s="38" t="str">
        <f t="shared" si="168"/>
        <v/>
      </c>
      <c r="AB290" s="38" t="e">
        <f t="shared" si="169"/>
        <v>#VALUE!</v>
      </c>
      <c r="AC290" s="38" t="str">
        <f t="shared" si="170"/>
        <v/>
      </c>
      <c r="AD290" s="38" t="str">
        <f t="shared" si="170"/>
        <v/>
      </c>
      <c r="AE290" s="38" t="e">
        <f t="shared" si="171"/>
        <v>#VALUE!</v>
      </c>
      <c r="AF290" s="237" t="e">
        <f>((Summary!$N$10*(AA290*AD290)*(A290-$D$3))+(Summary!$M$10*Z290*AC290*(AJ290-EOMONTH(EDATE(A290,-1),0))))/(AK290*AB290*AE290)</f>
        <v>#VALUE!</v>
      </c>
      <c r="AG290" s="88" t="str">
        <f>IF($A291="","",Summary!$Q$10)</f>
        <v/>
      </c>
      <c r="AH290" s="88" t="str">
        <f>IF($A291="","",IF(Summary!$R$10="Y",(VLOOKUP($A290,Summary!$AD$6:$AF$9,3)+'Escalating commodity'!F303),'Escalating commodity'!F303))</f>
        <v/>
      </c>
      <c r="AI290" s="88" t="str">
        <f t="shared" si="186"/>
        <v/>
      </c>
      <c r="AJ290" s="236" t="e">
        <f t="shared" si="172"/>
        <v>#VALUE!</v>
      </c>
      <c r="AK290" s="58" t="str">
        <f t="shared" si="173"/>
        <v/>
      </c>
      <c r="AL290" s="26" t="str">
        <f>IF($A291="","",_xll.SPRDOPT(P290,X290,AI290,0,AB290,AE290,AF290,AK290,$AJ$2,0))</f>
        <v/>
      </c>
      <c r="AM290" s="89" t="str">
        <f t="shared" si="174"/>
        <v/>
      </c>
      <c r="AN290" s="89" t="str">
        <f t="shared" si="175"/>
        <v/>
      </c>
      <c r="AO290" s="3" t="str">
        <f t="shared" si="176"/>
        <v/>
      </c>
      <c r="AP290" s="33" t="str">
        <f t="shared" si="177"/>
        <v/>
      </c>
      <c r="AQ290" s="58" t="str">
        <f t="shared" si="178"/>
        <v/>
      </c>
      <c r="AR290" s="38">
        <f>'ANR OK vs ML7'!AR290</f>
        <v>0.1</v>
      </c>
      <c r="AS290" s="35" t="str">
        <f t="shared" si="179"/>
        <v/>
      </c>
      <c r="AT290" s="3" t="str">
        <f t="shared" si="180"/>
        <v/>
      </c>
      <c r="AU290" s="3" t="str">
        <f t="shared" si="181"/>
        <v/>
      </c>
      <c r="AW290" s="32" t="str">
        <f t="shared" si="182"/>
        <v/>
      </c>
      <c r="AX290" s="32" t="str">
        <f t="shared" si="183"/>
        <v/>
      </c>
      <c r="AY290" s="32" t="str">
        <f t="shared" si="184"/>
        <v/>
      </c>
      <c r="BA290" s="32" t="str">
        <f>IF($A291="","",F290*Summary!$Q$10)</f>
        <v/>
      </c>
    </row>
    <row r="291" spans="1:53" ht="12" customHeight="1">
      <c r="A291" s="67" t="str">
        <f t="shared" si="185"/>
        <v/>
      </c>
      <c r="B291" s="69" t="str">
        <f t="shared" si="187"/>
        <v/>
      </c>
      <c r="C291" s="71"/>
      <c r="D291" s="69" t="str">
        <f t="shared" si="151"/>
        <v/>
      </c>
      <c r="E291" s="70" t="str">
        <f t="shared" si="152"/>
        <v/>
      </c>
      <c r="F291" s="70" t="str">
        <f t="shared" si="153"/>
        <v/>
      </c>
      <c r="G291" s="63" t="str">
        <f t="shared" si="154"/>
        <v/>
      </c>
      <c r="H291" s="64" t="str">
        <f t="shared" si="155"/>
        <v/>
      </c>
      <c r="I291" s="43"/>
      <c r="J291" s="63" t="str">
        <f t="shared" si="156"/>
        <v/>
      </c>
      <c r="K291" s="64" t="str">
        <f t="shared" si="157"/>
        <v/>
      </c>
      <c r="L291" s="38">
        <v>0</v>
      </c>
      <c r="M291" s="64" t="str">
        <f t="shared" si="158"/>
        <v/>
      </c>
      <c r="N291" s="65"/>
      <c r="O291" s="63" t="str">
        <f t="shared" si="159"/>
        <v/>
      </c>
      <c r="P291" s="63" t="str">
        <f t="shared" si="160"/>
        <v/>
      </c>
      <c r="Q291" s="66"/>
      <c r="R291" s="63" t="str">
        <f t="shared" si="161"/>
        <v/>
      </c>
      <c r="S291" s="64" t="str">
        <f t="shared" si="162"/>
        <v/>
      </c>
      <c r="T291" s="63" t="str">
        <f t="shared" si="163"/>
        <v/>
      </c>
      <c r="U291" s="64" t="str">
        <f t="shared" si="164"/>
        <v/>
      </c>
      <c r="V291" s="219" t="str">
        <f>IF($A292="","",IF(AND(MONTH(A291)&gt;3,MONTH(A291)&lt;11),(T291+R291+G291)*Summary!$T$10/(1-Summary!$T$10),(T291+R291+G291)*Summary!$U$10/(1-Summary!$U$10)))</f>
        <v/>
      </c>
      <c r="W291" s="63" t="str">
        <f t="shared" si="165"/>
        <v/>
      </c>
      <c r="X291" s="63" t="str">
        <f t="shared" si="166"/>
        <v/>
      </c>
      <c r="Y291" s="43"/>
      <c r="Z291" s="38" t="str">
        <f t="shared" si="167"/>
        <v/>
      </c>
      <c r="AA291" s="38" t="str">
        <f t="shared" si="168"/>
        <v/>
      </c>
      <c r="AB291" s="38" t="e">
        <f t="shared" si="169"/>
        <v>#VALUE!</v>
      </c>
      <c r="AC291" s="38" t="str">
        <f t="shared" si="170"/>
        <v/>
      </c>
      <c r="AD291" s="38" t="str">
        <f t="shared" si="170"/>
        <v/>
      </c>
      <c r="AE291" s="38" t="e">
        <f t="shared" si="171"/>
        <v>#VALUE!</v>
      </c>
      <c r="AF291" s="237" t="e">
        <f>((Summary!$N$10*(AA291*AD291)*(A291-$D$3))+(Summary!$M$10*Z291*AC291*(AJ291-EOMONTH(EDATE(A291,-1),0))))/(AK291*AB291*AE291)</f>
        <v>#VALUE!</v>
      </c>
      <c r="AG291" s="88" t="str">
        <f>IF($A292="","",Summary!$Q$10)</f>
        <v/>
      </c>
      <c r="AH291" s="88" t="str">
        <f>IF($A292="","",IF(Summary!$R$10="Y",(VLOOKUP($A291,Summary!$AD$6:$AF$9,3)+'Escalating commodity'!F304),'Escalating commodity'!F304))</f>
        <v/>
      </c>
      <c r="AI291" s="88" t="str">
        <f t="shared" si="186"/>
        <v/>
      </c>
      <c r="AJ291" s="236" t="e">
        <f t="shared" si="172"/>
        <v>#VALUE!</v>
      </c>
      <c r="AK291" s="58" t="str">
        <f t="shared" si="173"/>
        <v/>
      </c>
      <c r="AL291" s="26" t="str">
        <f>IF($A292="","",_xll.SPRDOPT(P291,X291,AI291,0,AB291,AE291,AF291,AK291,$AJ$2,0))</f>
        <v/>
      </c>
      <c r="AM291" s="89" t="str">
        <f t="shared" si="174"/>
        <v/>
      </c>
      <c r="AN291" s="89" t="str">
        <f t="shared" si="175"/>
        <v/>
      </c>
      <c r="AO291" s="3" t="str">
        <f t="shared" si="176"/>
        <v/>
      </c>
      <c r="AP291" s="33" t="str">
        <f t="shared" si="177"/>
        <v/>
      </c>
      <c r="AQ291" s="58" t="str">
        <f t="shared" si="178"/>
        <v/>
      </c>
      <c r="AR291" s="38">
        <f>'ANR OK vs ML7'!AR291</f>
        <v>0.1</v>
      </c>
      <c r="AS291" s="35" t="str">
        <f t="shared" si="179"/>
        <v/>
      </c>
      <c r="AT291" s="3" t="str">
        <f t="shared" si="180"/>
        <v/>
      </c>
      <c r="AU291" s="3" t="str">
        <f t="shared" si="181"/>
        <v/>
      </c>
      <c r="AW291" s="32" t="str">
        <f t="shared" si="182"/>
        <v/>
      </c>
      <c r="AX291" s="32" t="str">
        <f t="shared" si="183"/>
        <v/>
      </c>
      <c r="AY291" s="32" t="str">
        <f t="shared" si="184"/>
        <v/>
      </c>
      <c r="BA291" s="32" t="str">
        <f>IF($A292="","",F291*Summary!$Q$10)</f>
        <v/>
      </c>
    </row>
    <row r="292" spans="1:53" ht="12" customHeight="1">
      <c r="A292" s="67" t="str">
        <f t="shared" si="185"/>
        <v/>
      </c>
      <c r="B292" s="69" t="str">
        <f t="shared" si="187"/>
        <v/>
      </c>
      <c r="C292" s="71"/>
      <c r="D292" s="69" t="str">
        <f t="shared" si="151"/>
        <v/>
      </c>
      <c r="E292" s="70" t="str">
        <f t="shared" si="152"/>
        <v/>
      </c>
      <c r="F292" s="70" t="str">
        <f t="shared" si="153"/>
        <v/>
      </c>
      <c r="G292" s="63" t="str">
        <f t="shared" si="154"/>
        <v/>
      </c>
      <c r="H292" s="64" t="str">
        <f t="shared" si="155"/>
        <v/>
      </c>
      <c r="I292" s="43"/>
      <c r="J292" s="63" t="str">
        <f t="shared" si="156"/>
        <v/>
      </c>
      <c r="K292" s="64" t="str">
        <f t="shared" si="157"/>
        <v/>
      </c>
      <c r="L292" s="38">
        <v>0</v>
      </c>
      <c r="M292" s="64" t="str">
        <f t="shared" si="158"/>
        <v/>
      </c>
      <c r="N292" s="65"/>
      <c r="O292" s="63" t="str">
        <f t="shared" si="159"/>
        <v/>
      </c>
      <c r="P292" s="63" t="str">
        <f t="shared" si="160"/>
        <v/>
      </c>
      <c r="Q292" s="66"/>
      <c r="R292" s="63" t="str">
        <f t="shared" si="161"/>
        <v/>
      </c>
      <c r="S292" s="64" t="str">
        <f t="shared" si="162"/>
        <v/>
      </c>
      <c r="T292" s="63" t="str">
        <f t="shared" si="163"/>
        <v/>
      </c>
      <c r="U292" s="64" t="str">
        <f t="shared" si="164"/>
        <v/>
      </c>
      <c r="V292" s="219" t="str">
        <f>IF($A293="","",IF(AND(MONTH(A292)&gt;3,MONTH(A292)&lt;11),(T292+R292+G292)*Summary!$T$10/(1-Summary!$T$10),(T292+R292+G292)*Summary!$U$10/(1-Summary!$U$10)))</f>
        <v/>
      </c>
      <c r="W292" s="63" t="str">
        <f t="shared" si="165"/>
        <v/>
      </c>
      <c r="X292" s="63" t="str">
        <f t="shared" si="166"/>
        <v/>
      </c>
      <c r="Y292" s="43"/>
      <c r="Z292" s="38" t="str">
        <f t="shared" si="167"/>
        <v/>
      </c>
      <c r="AA292" s="38" t="str">
        <f t="shared" si="168"/>
        <v/>
      </c>
      <c r="AB292" s="38" t="e">
        <f t="shared" si="169"/>
        <v>#VALUE!</v>
      </c>
      <c r="AC292" s="38" t="str">
        <f t="shared" si="170"/>
        <v/>
      </c>
      <c r="AD292" s="38" t="str">
        <f t="shared" si="170"/>
        <v/>
      </c>
      <c r="AE292" s="38" t="e">
        <f t="shared" si="171"/>
        <v>#VALUE!</v>
      </c>
      <c r="AF292" s="237" t="e">
        <f>((Summary!$N$10*(AA292*AD292)*(A292-$D$3))+(Summary!$M$10*Z292*AC292*(AJ292-EOMONTH(EDATE(A292,-1),0))))/(AK292*AB292*AE292)</f>
        <v>#VALUE!</v>
      </c>
      <c r="AG292" s="88" t="str">
        <f>IF($A293="","",Summary!$Q$10)</f>
        <v/>
      </c>
      <c r="AH292" s="88" t="str">
        <f>IF($A293="","",IF(Summary!$R$10="Y",(VLOOKUP($A292,Summary!$AD$6:$AF$9,3)+'Escalating commodity'!F305),'Escalating commodity'!F305))</f>
        <v/>
      </c>
      <c r="AI292" s="88" t="str">
        <f t="shared" si="186"/>
        <v/>
      </c>
      <c r="AJ292" s="236" t="e">
        <f t="shared" si="172"/>
        <v>#VALUE!</v>
      </c>
      <c r="AK292" s="58" t="str">
        <f t="shared" si="173"/>
        <v/>
      </c>
      <c r="AL292" s="26" t="str">
        <f>IF($A293="","",_xll.SPRDOPT(P292,X292,AI292,0,AB292,AE292,AF292,AK292,$AJ$2,0))</f>
        <v/>
      </c>
      <c r="AM292" s="89" t="str">
        <f t="shared" si="174"/>
        <v/>
      </c>
      <c r="AN292" s="89" t="str">
        <f t="shared" si="175"/>
        <v/>
      </c>
      <c r="AO292" s="3" t="str">
        <f t="shared" si="176"/>
        <v/>
      </c>
      <c r="AP292" s="33" t="str">
        <f t="shared" si="177"/>
        <v/>
      </c>
      <c r="AQ292" s="58" t="str">
        <f t="shared" si="178"/>
        <v/>
      </c>
      <c r="AR292" s="38">
        <f>'ANR OK vs ML7'!AR292</f>
        <v>0.1</v>
      </c>
      <c r="AS292" s="35" t="str">
        <f t="shared" si="179"/>
        <v/>
      </c>
      <c r="AT292" s="3" t="str">
        <f t="shared" si="180"/>
        <v/>
      </c>
      <c r="AU292" s="3" t="str">
        <f t="shared" si="181"/>
        <v/>
      </c>
      <c r="AW292" s="32" t="str">
        <f t="shared" si="182"/>
        <v/>
      </c>
      <c r="AX292" s="32" t="str">
        <f t="shared" si="183"/>
        <v/>
      </c>
      <c r="AY292" s="32" t="str">
        <f t="shared" si="184"/>
        <v/>
      </c>
      <c r="BA292" s="32" t="str">
        <f>IF($A293="","",F292*Summary!$Q$10)</f>
        <v/>
      </c>
    </row>
    <row r="293" spans="1:53" ht="12" customHeight="1">
      <c r="A293" s="67" t="str">
        <f t="shared" si="185"/>
        <v/>
      </c>
      <c r="B293" s="69" t="str">
        <f t="shared" si="187"/>
        <v/>
      </c>
      <c r="C293" s="71"/>
      <c r="D293" s="69" t="str">
        <f t="shared" si="151"/>
        <v/>
      </c>
      <c r="E293" s="70" t="str">
        <f t="shared" si="152"/>
        <v/>
      </c>
      <c r="F293" s="70" t="str">
        <f t="shared" si="153"/>
        <v/>
      </c>
      <c r="G293" s="63" t="str">
        <f t="shared" si="154"/>
        <v/>
      </c>
      <c r="H293" s="64" t="str">
        <f t="shared" si="155"/>
        <v/>
      </c>
      <c r="I293" s="43"/>
      <c r="J293" s="63" t="str">
        <f t="shared" si="156"/>
        <v/>
      </c>
      <c r="K293" s="64" t="str">
        <f t="shared" si="157"/>
        <v/>
      </c>
      <c r="L293" s="38">
        <v>0</v>
      </c>
      <c r="M293" s="64" t="str">
        <f t="shared" si="158"/>
        <v/>
      </c>
      <c r="N293" s="65"/>
      <c r="O293" s="63" t="str">
        <f t="shared" si="159"/>
        <v/>
      </c>
      <c r="P293" s="63" t="str">
        <f t="shared" si="160"/>
        <v/>
      </c>
      <c r="Q293" s="66"/>
      <c r="R293" s="63" t="str">
        <f t="shared" si="161"/>
        <v/>
      </c>
      <c r="S293" s="64" t="str">
        <f t="shared" si="162"/>
        <v/>
      </c>
      <c r="T293" s="63" t="str">
        <f t="shared" si="163"/>
        <v/>
      </c>
      <c r="U293" s="64" t="str">
        <f t="shared" si="164"/>
        <v/>
      </c>
      <c r="V293" s="219" t="str">
        <f>IF($A294="","",IF(AND(MONTH(A293)&gt;3,MONTH(A293)&lt;11),(T293+R293+G293)*Summary!$T$10/(1-Summary!$T$10),(T293+R293+G293)*Summary!$U$10/(1-Summary!$U$10)))</f>
        <v/>
      </c>
      <c r="W293" s="63" t="str">
        <f t="shared" si="165"/>
        <v/>
      </c>
      <c r="X293" s="63" t="str">
        <f t="shared" si="166"/>
        <v/>
      </c>
      <c r="Y293" s="43"/>
      <c r="Z293" s="38" t="str">
        <f t="shared" si="167"/>
        <v/>
      </c>
      <c r="AA293" s="38" t="str">
        <f t="shared" si="168"/>
        <v/>
      </c>
      <c r="AB293" s="38" t="e">
        <f t="shared" si="169"/>
        <v>#VALUE!</v>
      </c>
      <c r="AC293" s="38" t="str">
        <f t="shared" si="170"/>
        <v/>
      </c>
      <c r="AD293" s="38" t="str">
        <f t="shared" si="170"/>
        <v/>
      </c>
      <c r="AE293" s="38" t="e">
        <f t="shared" si="171"/>
        <v>#VALUE!</v>
      </c>
      <c r="AF293" s="237" t="e">
        <f>((Summary!$N$10*(AA293*AD293)*(A293-$D$3))+(Summary!$M$10*Z293*AC293*(AJ293-EOMONTH(EDATE(A293,-1),0))))/(AK293*AB293*AE293)</f>
        <v>#VALUE!</v>
      </c>
      <c r="AG293" s="88" t="str">
        <f>IF($A294="","",Summary!$Q$10)</f>
        <v/>
      </c>
      <c r="AH293" s="88" t="str">
        <f>IF($A294="","",IF(Summary!$R$10="Y",(VLOOKUP($A293,Summary!$AD$6:$AF$9,3)+'Escalating commodity'!F306),'Escalating commodity'!F306))</f>
        <v/>
      </c>
      <c r="AI293" s="88" t="str">
        <f t="shared" si="186"/>
        <v/>
      </c>
      <c r="AJ293" s="236" t="e">
        <f t="shared" si="172"/>
        <v>#VALUE!</v>
      </c>
      <c r="AK293" s="58" t="str">
        <f t="shared" si="173"/>
        <v/>
      </c>
      <c r="AL293" s="26" t="str">
        <f>IF($A294="","",_xll.SPRDOPT(P293,X293,AI293,0,AB293,AE293,AF293,AK293,$AJ$2,0))</f>
        <v/>
      </c>
      <c r="AM293" s="89" t="str">
        <f t="shared" si="174"/>
        <v/>
      </c>
      <c r="AN293" s="89" t="str">
        <f t="shared" si="175"/>
        <v/>
      </c>
      <c r="AO293" s="3" t="str">
        <f t="shared" si="176"/>
        <v/>
      </c>
      <c r="AP293" s="33" t="str">
        <f t="shared" si="177"/>
        <v/>
      </c>
      <c r="AQ293" s="58" t="str">
        <f t="shared" si="178"/>
        <v/>
      </c>
      <c r="AR293" s="38">
        <f>'ANR OK vs ML7'!AR293</f>
        <v>0.1</v>
      </c>
      <c r="AS293" s="35" t="str">
        <f t="shared" si="179"/>
        <v/>
      </c>
      <c r="AT293" s="3" t="str">
        <f t="shared" si="180"/>
        <v/>
      </c>
      <c r="AU293" s="3" t="str">
        <f t="shared" si="181"/>
        <v/>
      </c>
      <c r="AW293" s="32" t="str">
        <f t="shared" si="182"/>
        <v/>
      </c>
      <c r="AX293" s="32" t="str">
        <f t="shared" si="183"/>
        <v/>
      </c>
      <c r="AY293" s="32" t="str">
        <f t="shared" si="184"/>
        <v/>
      </c>
      <c r="BA293" s="32" t="str">
        <f>IF($A294="","",F293*Summary!$Q$10)</f>
        <v/>
      </c>
    </row>
    <row r="294" spans="1:53" ht="12" customHeight="1">
      <c r="A294" s="67" t="str">
        <f t="shared" si="185"/>
        <v/>
      </c>
      <c r="B294" s="69" t="str">
        <f t="shared" si="187"/>
        <v/>
      </c>
      <c r="C294" s="71"/>
      <c r="D294" s="69" t="str">
        <f t="shared" si="151"/>
        <v/>
      </c>
      <c r="E294" s="70" t="str">
        <f t="shared" si="152"/>
        <v/>
      </c>
      <c r="F294" s="70" t="str">
        <f t="shared" si="153"/>
        <v/>
      </c>
      <c r="G294" s="63" t="str">
        <f t="shared" si="154"/>
        <v/>
      </c>
      <c r="H294" s="64" t="str">
        <f t="shared" si="155"/>
        <v/>
      </c>
      <c r="I294" s="43"/>
      <c r="J294" s="63" t="str">
        <f t="shared" si="156"/>
        <v/>
      </c>
      <c r="K294" s="64" t="str">
        <f t="shared" si="157"/>
        <v/>
      </c>
      <c r="L294" s="38">
        <v>0</v>
      </c>
      <c r="M294" s="64" t="str">
        <f t="shared" si="158"/>
        <v/>
      </c>
      <c r="N294" s="65"/>
      <c r="O294" s="63" t="str">
        <f t="shared" si="159"/>
        <v/>
      </c>
      <c r="P294" s="63" t="str">
        <f t="shared" si="160"/>
        <v/>
      </c>
      <c r="Q294" s="66"/>
      <c r="R294" s="63" t="str">
        <f t="shared" si="161"/>
        <v/>
      </c>
      <c r="S294" s="64" t="str">
        <f t="shared" si="162"/>
        <v/>
      </c>
      <c r="T294" s="63" t="str">
        <f t="shared" si="163"/>
        <v/>
      </c>
      <c r="U294" s="64" t="str">
        <f t="shared" si="164"/>
        <v/>
      </c>
      <c r="V294" s="219" t="str">
        <f>IF($A295="","",IF(AND(MONTH(A294)&gt;3,MONTH(A294)&lt;11),(T294+R294+G294)*Summary!$T$10/(1-Summary!$T$10),(T294+R294+G294)*Summary!$U$10/(1-Summary!$U$10)))</f>
        <v/>
      </c>
      <c r="W294" s="63" t="str">
        <f t="shared" si="165"/>
        <v/>
      </c>
      <c r="X294" s="63" t="str">
        <f t="shared" si="166"/>
        <v/>
      </c>
      <c r="Y294" s="43"/>
      <c r="Z294" s="38" t="str">
        <f t="shared" si="167"/>
        <v/>
      </c>
      <c r="AA294" s="38" t="str">
        <f t="shared" si="168"/>
        <v/>
      </c>
      <c r="AB294" s="38" t="e">
        <f t="shared" si="169"/>
        <v>#VALUE!</v>
      </c>
      <c r="AC294" s="38" t="str">
        <f t="shared" si="170"/>
        <v/>
      </c>
      <c r="AD294" s="38" t="str">
        <f t="shared" si="170"/>
        <v/>
      </c>
      <c r="AE294" s="38" t="e">
        <f t="shared" si="171"/>
        <v>#VALUE!</v>
      </c>
      <c r="AF294" s="237" t="e">
        <f>((Summary!$N$10*(AA294*AD294)*(A294-$D$3))+(Summary!$M$10*Z294*AC294*(AJ294-EOMONTH(EDATE(A294,-1),0))))/(AK294*AB294*AE294)</f>
        <v>#VALUE!</v>
      </c>
      <c r="AG294" s="88" t="str">
        <f>IF($A295="","",Summary!$Q$10)</f>
        <v/>
      </c>
      <c r="AH294" s="88" t="str">
        <f>IF($A295="","",IF(Summary!$R$10="Y",(VLOOKUP($A294,Summary!$AD$6:$AF$9,3)+'Escalating commodity'!F307),'Escalating commodity'!F307))</f>
        <v/>
      </c>
      <c r="AI294" s="88" t="str">
        <f t="shared" si="186"/>
        <v/>
      </c>
      <c r="AJ294" s="236" t="e">
        <f t="shared" si="172"/>
        <v>#VALUE!</v>
      </c>
      <c r="AK294" s="58" t="str">
        <f t="shared" si="173"/>
        <v/>
      </c>
      <c r="AL294" s="26" t="str">
        <f>IF($A295="","",_xll.SPRDOPT(P294,X294,AI294,0,AB294,AE294,AF294,AK294,$AJ$2,0))</f>
        <v/>
      </c>
      <c r="AM294" s="89" t="str">
        <f t="shared" si="174"/>
        <v/>
      </c>
      <c r="AN294" s="89" t="str">
        <f t="shared" si="175"/>
        <v/>
      </c>
      <c r="AO294" s="3" t="str">
        <f t="shared" si="176"/>
        <v/>
      </c>
      <c r="AP294" s="33" t="str">
        <f t="shared" si="177"/>
        <v/>
      </c>
      <c r="AQ294" s="58" t="str">
        <f t="shared" si="178"/>
        <v/>
      </c>
      <c r="AR294" s="38">
        <f>'ANR OK vs ML7'!AR294</f>
        <v>0.1</v>
      </c>
      <c r="AS294" s="35" t="str">
        <f t="shared" si="179"/>
        <v/>
      </c>
      <c r="AT294" s="3" t="str">
        <f t="shared" si="180"/>
        <v/>
      </c>
      <c r="AU294" s="3" t="str">
        <f t="shared" si="181"/>
        <v/>
      </c>
      <c r="AW294" s="32" t="str">
        <f t="shared" si="182"/>
        <v/>
      </c>
      <c r="AX294" s="32" t="str">
        <f t="shared" si="183"/>
        <v/>
      </c>
      <c r="AY294" s="32" t="str">
        <f t="shared" si="184"/>
        <v/>
      </c>
      <c r="BA294" s="32" t="str">
        <f>IF($A295="","",F294*Summary!$Q$10)</f>
        <v/>
      </c>
    </row>
    <row r="295" spans="1:53" ht="12" customHeight="1">
      <c r="A295" s="67" t="str">
        <f t="shared" si="185"/>
        <v/>
      </c>
      <c r="B295" s="69" t="str">
        <f t="shared" si="187"/>
        <v/>
      </c>
      <c r="C295" s="71"/>
      <c r="D295" s="69" t="str">
        <f t="shared" si="151"/>
        <v/>
      </c>
      <c r="E295" s="70" t="str">
        <f t="shared" si="152"/>
        <v/>
      </c>
      <c r="F295" s="70" t="str">
        <f t="shared" si="153"/>
        <v/>
      </c>
      <c r="G295" s="63" t="str">
        <f t="shared" si="154"/>
        <v/>
      </c>
      <c r="H295" s="64" t="str">
        <f t="shared" si="155"/>
        <v/>
      </c>
      <c r="I295" s="43"/>
      <c r="J295" s="63" t="str">
        <f t="shared" si="156"/>
        <v/>
      </c>
      <c r="K295" s="64" t="str">
        <f t="shared" si="157"/>
        <v/>
      </c>
      <c r="L295" s="38">
        <v>0</v>
      </c>
      <c r="M295" s="64" t="str">
        <f t="shared" si="158"/>
        <v/>
      </c>
      <c r="N295" s="65"/>
      <c r="O295" s="63" t="str">
        <f t="shared" si="159"/>
        <v/>
      </c>
      <c r="P295" s="63" t="str">
        <f t="shared" si="160"/>
        <v/>
      </c>
      <c r="Q295" s="66"/>
      <c r="R295" s="63" t="str">
        <f t="shared" si="161"/>
        <v/>
      </c>
      <c r="S295" s="64" t="str">
        <f t="shared" si="162"/>
        <v/>
      </c>
      <c r="T295" s="63" t="str">
        <f t="shared" si="163"/>
        <v/>
      </c>
      <c r="U295" s="64" t="str">
        <f t="shared" si="164"/>
        <v/>
      </c>
      <c r="V295" s="219" t="str">
        <f>IF($A296="","",IF(AND(MONTH(A295)&gt;3,MONTH(A295)&lt;11),(T295+R295+G295)*Summary!$T$10/(1-Summary!$T$10),(T295+R295+G295)*Summary!$U$10/(1-Summary!$U$10)))</f>
        <v/>
      </c>
      <c r="W295" s="63" t="str">
        <f t="shared" si="165"/>
        <v/>
      </c>
      <c r="X295" s="63" t="str">
        <f t="shared" si="166"/>
        <v/>
      </c>
      <c r="Y295" s="43"/>
      <c r="Z295" s="38" t="str">
        <f t="shared" si="167"/>
        <v/>
      </c>
      <c r="AA295" s="38" t="str">
        <f t="shared" si="168"/>
        <v/>
      </c>
      <c r="AB295" s="38" t="e">
        <f t="shared" si="169"/>
        <v>#VALUE!</v>
      </c>
      <c r="AC295" s="38" t="str">
        <f t="shared" si="170"/>
        <v/>
      </c>
      <c r="AD295" s="38" t="str">
        <f t="shared" si="170"/>
        <v/>
      </c>
      <c r="AE295" s="38" t="e">
        <f t="shared" si="171"/>
        <v>#VALUE!</v>
      </c>
      <c r="AF295" s="237" t="e">
        <f>((Summary!$N$10*(AA295*AD295)*(A295-$D$3))+(Summary!$M$10*Z295*AC295*(AJ295-EOMONTH(EDATE(A295,-1),0))))/(AK295*AB295*AE295)</f>
        <v>#VALUE!</v>
      </c>
      <c r="AG295" s="88" t="str">
        <f>IF($A296="","",Summary!$Q$10)</f>
        <v/>
      </c>
      <c r="AH295" s="88" t="str">
        <f>IF($A296="","",IF(Summary!$R$10="Y",(VLOOKUP($A295,Summary!$AD$6:$AF$9,3)+'Escalating commodity'!F308),'Escalating commodity'!F308))</f>
        <v/>
      </c>
      <c r="AI295" s="88" t="str">
        <f t="shared" si="186"/>
        <v/>
      </c>
      <c r="AJ295" s="236" t="e">
        <f t="shared" si="172"/>
        <v>#VALUE!</v>
      </c>
      <c r="AK295" s="58" t="str">
        <f t="shared" si="173"/>
        <v/>
      </c>
      <c r="AL295" s="26" t="str">
        <f>IF($A296="","",_xll.SPRDOPT(P295,X295,AI295,0,AB295,AE295,AF295,AK295,$AJ$2,0))</f>
        <v/>
      </c>
      <c r="AM295" s="89" t="str">
        <f t="shared" si="174"/>
        <v/>
      </c>
      <c r="AN295" s="89" t="str">
        <f t="shared" si="175"/>
        <v/>
      </c>
      <c r="AO295" s="3" t="str">
        <f t="shared" si="176"/>
        <v/>
      </c>
      <c r="AP295" s="33" t="str">
        <f t="shared" si="177"/>
        <v/>
      </c>
      <c r="AQ295" s="58" t="str">
        <f t="shared" si="178"/>
        <v/>
      </c>
      <c r="AR295" s="38">
        <f>'ANR OK vs ML7'!AR295</f>
        <v>0.1</v>
      </c>
      <c r="AS295" s="35" t="str">
        <f t="shared" si="179"/>
        <v/>
      </c>
      <c r="AT295" s="3" t="str">
        <f t="shared" si="180"/>
        <v/>
      </c>
      <c r="AU295" s="3" t="str">
        <f t="shared" si="181"/>
        <v/>
      </c>
      <c r="AW295" s="32" t="str">
        <f t="shared" si="182"/>
        <v/>
      </c>
      <c r="AX295" s="32" t="str">
        <f t="shared" si="183"/>
        <v/>
      </c>
      <c r="AY295" s="32" t="str">
        <f t="shared" si="184"/>
        <v/>
      </c>
      <c r="BA295" s="32" t="str">
        <f>IF($A296="","",F295*Summary!$Q$10)</f>
        <v/>
      </c>
    </row>
    <row r="296" spans="1:53" ht="12" customHeight="1">
      <c r="A296" s="67" t="str">
        <f t="shared" si="185"/>
        <v/>
      </c>
      <c r="B296" s="69" t="str">
        <f t="shared" si="187"/>
        <v/>
      </c>
      <c r="C296" s="71"/>
      <c r="D296" s="69" t="str">
        <f t="shared" si="151"/>
        <v/>
      </c>
      <c r="E296" s="70" t="str">
        <f t="shared" si="152"/>
        <v/>
      </c>
      <c r="F296" s="70" t="str">
        <f t="shared" si="153"/>
        <v/>
      </c>
      <c r="G296" s="63" t="str">
        <f t="shared" si="154"/>
        <v/>
      </c>
      <c r="H296" s="64" t="str">
        <f t="shared" si="155"/>
        <v/>
      </c>
      <c r="I296" s="43"/>
      <c r="J296" s="63" t="str">
        <f t="shared" si="156"/>
        <v/>
      </c>
      <c r="K296" s="64" t="str">
        <f t="shared" si="157"/>
        <v/>
      </c>
      <c r="L296" s="38">
        <v>0</v>
      </c>
      <c r="M296" s="64" t="str">
        <f t="shared" si="158"/>
        <v/>
      </c>
      <c r="N296" s="65"/>
      <c r="O296" s="63" t="str">
        <f t="shared" si="159"/>
        <v/>
      </c>
      <c r="P296" s="63" t="str">
        <f t="shared" si="160"/>
        <v/>
      </c>
      <c r="Q296" s="66"/>
      <c r="R296" s="63" t="str">
        <f t="shared" si="161"/>
        <v/>
      </c>
      <c r="S296" s="64" t="str">
        <f t="shared" si="162"/>
        <v/>
      </c>
      <c r="T296" s="63" t="str">
        <f t="shared" si="163"/>
        <v/>
      </c>
      <c r="U296" s="64" t="str">
        <f t="shared" si="164"/>
        <v/>
      </c>
      <c r="V296" s="219" t="str">
        <f>IF($A297="","",IF(AND(MONTH(A296)&gt;3,MONTH(A296)&lt;11),(T296+R296+G296)*Summary!$T$10/(1-Summary!$T$10),(T296+R296+G296)*Summary!$U$10/(1-Summary!$U$10)))</f>
        <v/>
      </c>
      <c r="W296" s="63" t="str">
        <f t="shared" si="165"/>
        <v/>
      </c>
      <c r="X296" s="63" t="str">
        <f t="shared" si="166"/>
        <v/>
      </c>
      <c r="Y296" s="43"/>
      <c r="Z296" s="38" t="str">
        <f t="shared" si="167"/>
        <v/>
      </c>
      <c r="AA296" s="38" t="str">
        <f t="shared" si="168"/>
        <v/>
      </c>
      <c r="AB296" s="38" t="e">
        <f t="shared" si="169"/>
        <v>#VALUE!</v>
      </c>
      <c r="AC296" s="38" t="str">
        <f t="shared" si="170"/>
        <v/>
      </c>
      <c r="AD296" s="38" t="str">
        <f t="shared" si="170"/>
        <v/>
      </c>
      <c r="AE296" s="38" t="e">
        <f t="shared" si="171"/>
        <v>#VALUE!</v>
      </c>
      <c r="AF296" s="237" t="e">
        <f>((Summary!$N$10*(AA296*AD296)*(A296-$D$3))+(Summary!$M$10*Z296*AC296*(AJ296-EOMONTH(EDATE(A296,-1),0))))/(AK296*AB296*AE296)</f>
        <v>#VALUE!</v>
      </c>
      <c r="AG296" s="88" t="str">
        <f>IF($A297="","",Summary!$Q$10)</f>
        <v/>
      </c>
      <c r="AH296" s="88" t="str">
        <f>IF($A297="","",IF(Summary!$R$10="Y",(VLOOKUP($A296,Summary!$AD$6:$AF$9,3)+'Escalating commodity'!F309),'Escalating commodity'!F309))</f>
        <v/>
      </c>
      <c r="AI296" s="88" t="str">
        <f t="shared" si="186"/>
        <v/>
      </c>
      <c r="AJ296" s="236" t="e">
        <f t="shared" si="172"/>
        <v>#VALUE!</v>
      </c>
      <c r="AK296" s="58" t="str">
        <f t="shared" si="173"/>
        <v/>
      </c>
      <c r="AL296" s="26" t="str">
        <f>IF($A297="","",_xll.SPRDOPT(P296,X296,AI296,0,AB296,AE296,AF296,AK296,$AJ$2,0))</f>
        <v/>
      </c>
      <c r="AM296" s="89" t="str">
        <f t="shared" si="174"/>
        <v/>
      </c>
      <c r="AN296" s="89" t="str">
        <f t="shared" si="175"/>
        <v/>
      </c>
      <c r="AO296" s="3" t="str">
        <f t="shared" si="176"/>
        <v/>
      </c>
      <c r="AP296" s="33" t="str">
        <f t="shared" si="177"/>
        <v/>
      </c>
      <c r="AQ296" s="58" t="str">
        <f t="shared" si="178"/>
        <v/>
      </c>
      <c r="AR296" s="38">
        <f>'ANR OK vs ML7'!AR296</f>
        <v>0.1</v>
      </c>
      <c r="AS296" s="35" t="str">
        <f t="shared" si="179"/>
        <v/>
      </c>
      <c r="AT296" s="3" t="str">
        <f t="shared" si="180"/>
        <v/>
      </c>
      <c r="AU296" s="3" t="str">
        <f t="shared" si="181"/>
        <v/>
      </c>
      <c r="AW296" s="32" t="str">
        <f t="shared" si="182"/>
        <v/>
      </c>
      <c r="AX296" s="32" t="str">
        <f t="shared" si="183"/>
        <v/>
      </c>
      <c r="AY296" s="32" t="str">
        <f t="shared" si="184"/>
        <v/>
      </c>
      <c r="BA296" s="32" t="str">
        <f>IF($A297="","",F296*Summary!$Q$10)</f>
        <v/>
      </c>
    </row>
    <row r="297" spans="1:53" ht="12" customHeight="1">
      <c r="A297" s="67" t="str">
        <f t="shared" si="185"/>
        <v/>
      </c>
      <c r="B297" s="69" t="str">
        <f t="shared" si="187"/>
        <v/>
      </c>
      <c r="C297" s="71"/>
      <c r="D297" s="69" t="str">
        <f t="shared" si="151"/>
        <v/>
      </c>
      <c r="E297" s="70" t="str">
        <f t="shared" si="152"/>
        <v/>
      </c>
      <c r="F297" s="70" t="str">
        <f t="shared" si="153"/>
        <v/>
      </c>
      <c r="G297" s="63" t="str">
        <f t="shared" si="154"/>
        <v/>
      </c>
      <c r="H297" s="64" t="str">
        <f t="shared" si="155"/>
        <v/>
      </c>
      <c r="I297" s="43"/>
      <c r="J297" s="63" t="str">
        <f t="shared" si="156"/>
        <v/>
      </c>
      <c r="K297" s="64" t="str">
        <f t="shared" si="157"/>
        <v/>
      </c>
      <c r="L297" s="38">
        <v>0</v>
      </c>
      <c r="M297" s="64" t="str">
        <f t="shared" si="158"/>
        <v/>
      </c>
      <c r="N297" s="65"/>
      <c r="O297" s="63" t="str">
        <f t="shared" si="159"/>
        <v/>
      </c>
      <c r="P297" s="63" t="str">
        <f t="shared" si="160"/>
        <v/>
      </c>
      <c r="Q297" s="66"/>
      <c r="R297" s="63" t="str">
        <f t="shared" si="161"/>
        <v/>
      </c>
      <c r="S297" s="64" t="str">
        <f t="shared" si="162"/>
        <v/>
      </c>
      <c r="T297" s="63" t="str">
        <f t="shared" si="163"/>
        <v/>
      </c>
      <c r="U297" s="64" t="str">
        <f t="shared" si="164"/>
        <v/>
      </c>
      <c r="V297" s="219" t="str">
        <f>IF($A298="","",IF(AND(MONTH(A297)&gt;3,MONTH(A297)&lt;11),(T297+R297+G297)*Summary!$T$10/(1-Summary!$T$10),(T297+R297+G297)*Summary!$U$10/(1-Summary!$U$10)))</f>
        <v/>
      </c>
      <c r="W297" s="63" t="str">
        <f t="shared" si="165"/>
        <v/>
      </c>
      <c r="X297" s="63" t="str">
        <f t="shared" si="166"/>
        <v/>
      </c>
      <c r="Y297" s="43"/>
      <c r="Z297" s="38" t="str">
        <f t="shared" si="167"/>
        <v/>
      </c>
      <c r="AA297" s="38" t="str">
        <f t="shared" si="168"/>
        <v/>
      </c>
      <c r="AB297" s="38" t="e">
        <f t="shared" si="169"/>
        <v>#VALUE!</v>
      </c>
      <c r="AC297" s="38" t="str">
        <f t="shared" si="170"/>
        <v/>
      </c>
      <c r="AD297" s="38" t="str">
        <f t="shared" si="170"/>
        <v/>
      </c>
      <c r="AE297" s="38" t="e">
        <f t="shared" si="171"/>
        <v>#VALUE!</v>
      </c>
      <c r="AF297" s="237" t="e">
        <f>((Summary!$N$10*(AA297*AD297)*(A297-$D$3))+(Summary!$M$10*Z297*AC297*(AJ297-EOMONTH(EDATE(A297,-1),0))))/(AK297*AB297*AE297)</f>
        <v>#VALUE!</v>
      </c>
      <c r="AG297" s="88" t="str">
        <f>IF($A298="","",Summary!$Q$10)</f>
        <v/>
      </c>
      <c r="AH297" s="88" t="str">
        <f>IF($A298="","",IF(Summary!$R$10="Y",(VLOOKUP($A297,Summary!$AD$6:$AF$9,3)+'Escalating commodity'!F310),'Escalating commodity'!F310))</f>
        <v/>
      </c>
      <c r="AI297" s="88" t="str">
        <f t="shared" si="186"/>
        <v/>
      </c>
      <c r="AJ297" s="236" t="e">
        <f t="shared" si="172"/>
        <v>#VALUE!</v>
      </c>
      <c r="AK297" s="58" t="str">
        <f t="shared" si="173"/>
        <v/>
      </c>
      <c r="AL297" s="26" t="str">
        <f>IF($A298="","",_xll.SPRDOPT(P297,X297,AI297,0,AB297,AE297,AF297,AK297,$AJ$2,0))</f>
        <v/>
      </c>
      <c r="AM297" s="89" t="str">
        <f t="shared" si="174"/>
        <v/>
      </c>
      <c r="AN297" s="89" t="str">
        <f t="shared" si="175"/>
        <v/>
      </c>
      <c r="AO297" s="3" t="str">
        <f t="shared" si="176"/>
        <v/>
      </c>
      <c r="AP297" s="33" t="str">
        <f t="shared" si="177"/>
        <v/>
      </c>
      <c r="AQ297" s="58" t="str">
        <f t="shared" si="178"/>
        <v/>
      </c>
      <c r="AR297" s="38">
        <f>'ANR OK vs ML7'!AR297</f>
        <v>0.1</v>
      </c>
      <c r="AS297" s="35" t="str">
        <f t="shared" si="179"/>
        <v/>
      </c>
      <c r="AT297" s="3" t="str">
        <f t="shared" si="180"/>
        <v/>
      </c>
      <c r="AU297" s="3" t="str">
        <f t="shared" si="181"/>
        <v/>
      </c>
      <c r="AW297" s="32" t="str">
        <f t="shared" si="182"/>
        <v/>
      </c>
      <c r="AX297" s="32" t="str">
        <f t="shared" si="183"/>
        <v/>
      </c>
      <c r="AY297" s="32" t="str">
        <f t="shared" si="184"/>
        <v/>
      </c>
      <c r="BA297" s="32" t="str">
        <f>IF($A298="","",F297*Summary!$Q$10)</f>
        <v/>
      </c>
    </row>
    <row r="298" spans="1:53" ht="12" customHeight="1">
      <c r="A298" s="67" t="str">
        <f t="shared" si="185"/>
        <v/>
      </c>
      <c r="B298" s="69" t="str">
        <f t="shared" si="187"/>
        <v/>
      </c>
      <c r="C298" s="71"/>
      <c r="D298" s="69" t="str">
        <f t="shared" si="151"/>
        <v/>
      </c>
      <c r="E298" s="70" t="str">
        <f t="shared" si="152"/>
        <v/>
      </c>
      <c r="F298" s="70" t="str">
        <f t="shared" si="153"/>
        <v/>
      </c>
      <c r="G298" s="63" t="str">
        <f t="shared" si="154"/>
        <v/>
      </c>
      <c r="H298" s="64" t="str">
        <f t="shared" si="155"/>
        <v/>
      </c>
      <c r="I298" s="43"/>
      <c r="J298" s="63" t="str">
        <f t="shared" si="156"/>
        <v/>
      </c>
      <c r="K298" s="64" t="str">
        <f t="shared" si="157"/>
        <v/>
      </c>
      <c r="L298" s="38">
        <v>0</v>
      </c>
      <c r="M298" s="64" t="str">
        <f t="shared" si="158"/>
        <v/>
      </c>
      <c r="N298" s="65"/>
      <c r="O298" s="63" t="str">
        <f t="shared" si="159"/>
        <v/>
      </c>
      <c r="P298" s="63" t="str">
        <f t="shared" si="160"/>
        <v/>
      </c>
      <c r="Q298" s="66"/>
      <c r="R298" s="63" t="str">
        <f t="shared" si="161"/>
        <v/>
      </c>
      <c r="S298" s="64" t="str">
        <f t="shared" si="162"/>
        <v/>
      </c>
      <c r="T298" s="63" t="str">
        <f t="shared" si="163"/>
        <v/>
      </c>
      <c r="U298" s="64" t="str">
        <f t="shared" si="164"/>
        <v/>
      </c>
      <c r="V298" s="219" t="str">
        <f>IF($A299="","",IF(AND(MONTH(A298)&gt;3,MONTH(A298)&lt;11),(T298+R298+G298)*Summary!$T$10/(1-Summary!$T$10),(T298+R298+G298)*Summary!$U$10/(1-Summary!$U$10)))</f>
        <v/>
      </c>
      <c r="W298" s="63" t="str">
        <f t="shared" si="165"/>
        <v/>
      </c>
      <c r="X298" s="63" t="str">
        <f t="shared" si="166"/>
        <v/>
      </c>
      <c r="Y298" s="43"/>
      <c r="Z298" s="38" t="str">
        <f t="shared" si="167"/>
        <v/>
      </c>
      <c r="AA298" s="38" t="str">
        <f t="shared" si="168"/>
        <v/>
      </c>
      <c r="AB298" s="38" t="e">
        <f t="shared" si="169"/>
        <v>#VALUE!</v>
      </c>
      <c r="AC298" s="38" t="str">
        <f t="shared" si="170"/>
        <v/>
      </c>
      <c r="AD298" s="38" t="str">
        <f t="shared" si="170"/>
        <v/>
      </c>
      <c r="AE298" s="38" t="e">
        <f t="shared" si="171"/>
        <v>#VALUE!</v>
      </c>
      <c r="AF298" s="237" t="e">
        <f>((Summary!$N$10*(AA298*AD298)*(A298-$D$3))+(Summary!$M$10*Z298*AC298*(AJ298-EOMONTH(EDATE(A298,-1),0))))/(AK298*AB298*AE298)</f>
        <v>#VALUE!</v>
      </c>
      <c r="AG298" s="88" t="str">
        <f>IF($A299="","",Summary!$Q$10)</f>
        <v/>
      </c>
      <c r="AH298" s="88" t="str">
        <f>IF($A299="","",IF(Summary!$R$10="Y",(VLOOKUP($A298,Summary!$AD$6:$AF$9,3)+'Escalating commodity'!F311),'Escalating commodity'!F311))</f>
        <v/>
      </c>
      <c r="AI298" s="88" t="str">
        <f t="shared" si="186"/>
        <v/>
      </c>
      <c r="AJ298" s="236" t="e">
        <f t="shared" si="172"/>
        <v>#VALUE!</v>
      </c>
      <c r="AK298" s="58" t="str">
        <f t="shared" si="173"/>
        <v/>
      </c>
      <c r="AL298" s="26" t="str">
        <f>IF($A299="","",_xll.SPRDOPT(P298,X298,AI298,0,AB298,AE298,AF298,AK298,$AJ$2,0))</f>
        <v/>
      </c>
      <c r="AM298" s="89" t="str">
        <f t="shared" si="174"/>
        <v/>
      </c>
      <c r="AN298" s="89" t="str">
        <f t="shared" si="175"/>
        <v/>
      </c>
      <c r="AO298" s="3" t="str">
        <f t="shared" si="176"/>
        <v/>
      </c>
      <c r="AP298" s="33" t="str">
        <f t="shared" si="177"/>
        <v/>
      </c>
      <c r="AQ298" s="58" t="str">
        <f t="shared" si="178"/>
        <v/>
      </c>
      <c r="AR298" s="38">
        <f>'ANR OK vs ML7'!AR298</f>
        <v>0.1</v>
      </c>
      <c r="AS298" s="35" t="str">
        <f t="shared" si="179"/>
        <v/>
      </c>
      <c r="AT298" s="3" t="str">
        <f t="shared" si="180"/>
        <v/>
      </c>
      <c r="AU298" s="3" t="str">
        <f t="shared" si="181"/>
        <v/>
      </c>
      <c r="AW298" s="32" t="str">
        <f t="shared" si="182"/>
        <v/>
      </c>
      <c r="AX298" s="32" t="str">
        <f t="shared" si="183"/>
        <v/>
      </c>
      <c r="AY298" s="32" t="str">
        <f t="shared" si="184"/>
        <v/>
      </c>
      <c r="BA298" s="32" t="str">
        <f>IF($A299="","",F298*Summary!$Q$10)</f>
        <v/>
      </c>
    </row>
    <row r="299" spans="1:53" ht="12" customHeight="1">
      <c r="A299" s="67" t="str">
        <f t="shared" si="185"/>
        <v/>
      </c>
      <c r="B299" s="69" t="str">
        <f t="shared" si="187"/>
        <v/>
      </c>
      <c r="C299" s="71"/>
      <c r="D299" s="69" t="str">
        <f t="shared" si="151"/>
        <v/>
      </c>
      <c r="E299" s="70" t="str">
        <f t="shared" si="152"/>
        <v/>
      </c>
      <c r="F299" s="70" t="str">
        <f t="shared" si="153"/>
        <v/>
      </c>
      <c r="G299" s="63" t="str">
        <f t="shared" si="154"/>
        <v/>
      </c>
      <c r="H299" s="64" t="str">
        <f t="shared" si="155"/>
        <v/>
      </c>
      <c r="I299" s="43"/>
      <c r="J299" s="63" t="str">
        <f t="shared" si="156"/>
        <v/>
      </c>
      <c r="K299" s="64" t="str">
        <f t="shared" si="157"/>
        <v/>
      </c>
      <c r="L299" s="38">
        <v>0</v>
      </c>
      <c r="M299" s="64" t="str">
        <f t="shared" si="158"/>
        <v/>
      </c>
      <c r="N299" s="65"/>
      <c r="O299" s="63" t="str">
        <f t="shared" si="159"/>
        <v/>
      </c>
      <c r="P299" s="63" t="str">
        <f t="shared" si="160"/>
        <v/>
      </c>
      <c r="Q299" s="66"/>
      <c r="R299" s="63" t="str">
        <f t="shared" si="161"/>
        <v/>
      </c>
      <c r="S299" s="64" t="str">
        <f t="shared" si="162"/>
        <v/>
      </c>
      <c r="T299" s="63" t="str">
        <f t="shared" si="163"/>
        <v/>
      </c>
      <c r="U299" s="64" t="str">
        <f t="shared" si="164"/>
        <v/>
      </c>
      <c r="V299" s="219" t="str">
        <f>IF($A300="","",IF(AND(MONTH(A299)&gt;3,MONTH(A299)&lt;11),(T299+R299+G299)*Summary!$T$10/(1-Summary!$T$10),(T299+R299+G299)*Summary!$U$10/(1-Summary!$U$10)))</f>
        <v/>
      </c>
      <c r="W299" s="63" t="str">
        <f t="shared" si="165"/>
        <v/>
      </c>
      <c r="X299" s="63" t="str">
        <f t="shared" si="166"/>
        <v/>
      </c>
      <c r="Y299" s="43"/>
      <c r="Z299" s="38" t="str">
        <f t="shared" si="167"/>
        <v/>
      </c>
      <c r="AA299" s="38" t="str">
        <f t="shared" si="168"/>
        <v/>
      </c>
      <c r="AB299" s="38" t="e">
        <f t="shared" si="169"/>
        <v>#VALUE!</v>
      </c>
      <c r="AC299" s="38" t="str">
        <f t="shared" si="170"/>
        <v/>
      </c>
      <c r="AD299" s="38" t="str">
        <f t="shared" si="170"/>
        <v/>
      </c>
      <c r="AE299" s="38" t="e">
        <f t="shared" si="171"/>
        <v>#VALUE!</v>
      </c>
      <c r="AF299" s="237" t="e">
        <f>((Summary!$N$10*(AA299*AD299)*(A299-$D$3))+(Summary!$M$10*Z299*AC299*(AJ299-EOMONTH(EDATE(A299,-1),0))))/(AK299*AB299*AE299)</f>
        <v>#VALUE!</v>
      </c>
      <c r="AG299" s="88" t="str">
        <f>IF($A300="","",Summary!$Q$10)</f>
        <v/>
      </c>
      <c r="AH299" s="88" t="str">
        <f>IF($A300="","",IF(Summary!$R$10="Y",(VLOOKUP($A299,Summary!$AD$6:$AF$9,3)+'Escalating commodity'!F312),'Escalating commodity'!F312))</f>
        <v/>
      </c>
      <c r="AI299" s="88" t="str">
        <f t="shared" si="186"/>
        <v/>
      </c>
      <c r="AJ299" s="236" t="e">
        <f t="shared" si="172"/>
        <v>#VALUE!</v>
      </c>
      <c r="AK299" s="58" t="str">
        <f t="shared" si="173"/>
        <v/>
      </c>
      <c r="AL299" s="26" t="str">
        <f>IF($A300="","",_xll.SPRDOPT(P299,X299,AI299,0,AB299,AE299,AF299,AK299,$AJ$2,0))</f>
        <v/>
      </c>
      <c r="AM299" s="89" t="str">
        <f t="shared" si="174"/>
        <v/>
      </c>
      <c r="AN299" s="89" t="str">
        <f t="shared" si="175"/>
        <v/>
      </c>
      <c r="AO299" s="3" t="str">
        <f t="shared" si="176"/>
        <v/>
      </c>
      <c r="AP299" s="33" t="str">
        <f t="shared" si="177"/>
        <v/>
      </c>
      <c r="AQ299" s="58" t="str">
        <f t="shared" si="178"/>
        <v/>
      </c>
      <c r="AR299" s="38">
        <f>'ANR OK vs ML7'!AR299</f>
        <v>0.1</v>
      </c>
      <c r="AS299" s="35" t="str">
        <f t="shared" si="179"/>
        <v/>
      </c>
      <c r="AT299" s="3" t="str">
        <f t="shared" si="180"/>
        <v/>
      </c>
      <c r="AU299" s="3" t="str">
        <f t="shared" si="181"/>
        <v/>
      </c>
      <c r="AW299" s="32" t="str">
        <f t="shared" si="182"/>
        <v/>
      </c>
      <c r="AX299" s="32" t="str">
        <f t="shared" si="183"/>
        <v/>
      </c>
      <c r="AY299" s="32" t="str">
        <f t="shared" si="184"/>
        <v/>
      </c>
      <c r="BA299" s="32" t="str">
        <f>IF($A300="","",F299*Summary!$Q$10)</f>
        <v/>
      </c>
    </row>
    <row r="300" spans="1:53" ht="12" customHeight="1">
      <c r="A300" s="67" t="str">
        <f t="shared" si="185"/>
        <v/>
      </c>
      <c r="B300" s="69" t="str">
        <f t="shared" si="187"/>
        <v/>
      </c>
      <c r="C300" s="71"/>
      <c r="D300" s="69" t="str">
        <f t="shared" si="151"/>
        <v/>
      </c>
      <c r="E300" s="70" t="str">
        <f t="shared" si="152"/>
        <v/>
      </c>
      <c r="F300" s="70" t="str">
        <f t="shared" si="153"/>
        <v/>
      </c>
      <c r="G300" s="63" t="str">
        <f t="shared" si="154"/>
        <v/>
      </c>
      <c r="H300" s="64" t="str">
        <f t="shared" si="155"/>
        <v/>
      </c>
      <c r="I300" s="43"/>
      <c r="J300" s="63" t="str">
        <f t="shared" si="156"/>
        <v/>
      </c>
      <c r="K300" s="64" t="str">
        <f t="shared" si="157"/>
        <v/>
      </c>
      <c r="L300" s="38">
        <v>0</v>
      </c>
      <c r="M300" s="64" t="str">
        <f t="shared" si="158"/>
        <v/>
      </c>
      <c r="N300" s="65"/>
      <c r="O300" s="63" t="str">
        <f t="shared" si="159"/>
        <v/>
      </c>
      <c r="P300" s="63" t="str">
        <f t="shared" si="160"/>
        <v/>
      </c>
      <c r="Q300" s="66"/>
      <c r="R300" s="63" t="str">
        <f t="shared" si="161"/>
        <v/>
      </c>
      <c r="S300" s="64" t="str">
        <f t="shared" si="162"/>
        <v/>
      </c>
      <c r="T300" s="63" t="str">
        <f t="shared" si="163"/>
        <v/>
      </c>
      <c r="U300" s="64" t="str">
        <f t="shared" si="164"/>
        <v/>
      </c>
      <c r="V300" s="219" t="str">
        <f>IF($A301="","",IF(AND(MONTH(A300)&gt;3,MONTH(A300)&lt;11),(T300+R300+G300)*Summary!$T$10/(1-Summary!$T$10),(T300+R300+G300)*Summary!$U$10/(1-Summary!$U$10)))</f>
        <v/>
      </c>
      <c r="W300" s="63" t="str">
        <f t="shared" si="165"/>
        <v/>
      </c>
      <c r="X300" s="63" t="str">
        <f t="shared" si="166"/>
        <v/>
      </c>
      <c r="Y300" s="43"/>
      <c r="Z300" s="38" t="str">
        <f t="shared" si="167"/>
        <v/>
      </c>
      <c r="AA300" s="38" t="str">
        <f t="shared" si="168"/>
        <v/>
      </c>
      <c r="AB300" s="38" t="e">
        <f t="shared" si="169"/>
        <v>#VALUE!</v>
      </c>
      <c r="AC300" s="38" t="str">
        <f t="shared" si="170"/>
        <v/>
      </c>
      <c r="AD300" s="38" t="str">
        <f t="shared" si="170"/>
        <v/>
      </c>
      <c r="AE300" s="38" t="e">
        <f t="shared" si="171"/>
        <v>#VALUE!</v>
      </c>
      <c r="AF300" s="237" t="e">
        <f>((Summary!$N$10*(AA300*AD300)*(A300-$D$3))+(Summary!$M$10*Z300*AC300*(AJ300-EOMONTH(EDATE(A300,-1),0))))/(AK300*AB300*AE300)</f>
        <v>#VALUE!</v>
      </c>
      <c r="AG300" s="88" t="str">
        <f>IF($A301="","",Summary!$Q$10)</f>
        <v/>
      </c>
      <c r="AH300" s="88" t="str">
        <f>IF($A301="","",IF(Summary!$R$10="Y",(VLOOKUP($A300,Summary!$AD$6:$AF$9,3)+'Escalating commodity'!F313),'Escalating commodity'!F313))</f>
        <v/>
      </c>
      <c r="AI300" s="88" t="str">
        <f t="shared" si="186"/>
        <v/>
      </c>
      <c r="AJ300" s="236" t="e">
        <f t="shared" si="172"/>
        <v>#VALUE!</v>
      </c>
      <c r="AK300" s="58" t="str">
        <f t="shared" si="173"/>
        <v/>
      </c>
      <c r="AL300" s="26" t="str">
        <f>IF($A301="","",_xll.SPRDOPT(P300,X300,AI300,0,AB300,AE300,AF300,AK300,$AJ$2,0))</f>
        <v/>
      </c>
      <c r="AM300" s="89" t="str">
        <f t="shared" si="174"/>
        <v/>
      </c>
      <c r="AN300" s="89" t="str">
        <f t="shared" si="175"/>
        <v/>
      </c>
      <c r="AO300" s="3" t="str">
        <f t="shared" si="176"/>
        <v/>
      </c>
      <c r="AP300" s="33" t="str">
        <f t="shared" si="177"/>
        <v/>
      </c>
      <c r="AQ300" s="58" t="str">
        <f t="shared" si="178"/>
        <v/>
      </c>
      <c r="AR300" s="38">
        <f>'ANR OK vs ML7'!AR300</f>
        <v>0.1</v>
      </c>
      <c r="AS300" s="35" t="str">
        <f t="shared" si="179"/>
        <v/>
      </c>
      <c r="AT300" s="3" t="str">
        <f t="shared" si="180"/>
        <v/>
      </c>
      <c r="AU300" s="3" t="str">
        <f t="shared" si="181"/>
        <v/>
      </c>
      <c r="AW300" s="32" t="str">
        <f t="shared" si="182"/>
        <v/>
      </c>
      <c r="AX300" s="32" t="str">
        <f t="shared" si="183"/>
        <v/>
      </c>
      <c r="AY300" s="32" t="str">
        <f t="shared" si="184"/>
        <v/>
      </c>
      <c r="BA300" s="32" t="str">
        <f>IF($A301="","",F300*Summary!$Q$10)</f>
        <v/>
      </c>
    </row>
    <row r="301" spans="1:53" ht="12" customHeight="1">
      <c r="A301" s="67" t="str">
        <f t="shared" si="185"/>
        <v/>
      </c>
      <c r="B301" s="69" t="str">
        <f t="shared" si="187"/>
        <v/>
      </c>
      <c r="C301" s="71"/>
      <c r="D301" s="69" t="str">
        <f t="shared" si="151"/>
        <v/>
      </c>
      <c r="E301" s="70" t="str">
        <f t="shared" si="152"/>
        <v/>
      </c>
      <c r="F301" s="70" t="str">
        <f t="shared" si="153"/>
        <v/>
      </c>
      <c r="G301" s="63" t="str">
        <f t="shared" si="154"/>
        <v/>
      </c>
      <c r="H301" s="64" t="str">
        <f t="shared" si="155"/>
        <v/>
      </c>
      <c r="I301" s="43"/>
      <c r="J301" s="63" t="str">
        <f t="shared" si="156"/>
        <v/>
      </c>
      <c r="K301" s="64" t="str">
        <f t="shared" si="157"/>
        <v/>
      </c>
      <c r="L301" s="38">
        <v>0</v>
      </c>
      <c r="M301" s="64" t="str">
        <f t="shared" si="158"/>
        <v/>
      </c>
      <c r="N301" s="65"/>
      <c r="O301" s="63" t="str">
        <f t="shared" si="159"/>
        <v/>
      </c>
      <c r="P301" s="63" t="str">
        <f t="shared" si="160"/>
        <v/>
      </c>
      <c r="Q301" s="66"/>
      <c r="R301" s="63" t="str">
        <f t="shared" si="161"/>
        <v/>
      </c>
      <c r="S301" s="64" t="str">
        <f t="shared" si="162"/>
        <v/>
      </c>
      <c r="T301" s="63" t="str">
        <f t="shared" si="163"/>
        <v/>
      </c>
      <c r="U301" s="64" t="str">
        <f t="shared" si="164"/>
        <v/>
      </c>
      <c r="V301" s="219" t="str">
        <f>IF($A302="","",IF(AND(MONTH(A301)&gt;3,MONTH(A301)&lt;11),(T301+R301+G301)*Summary!$T$10/(1-Summary!$T$10),(T301+R301+G301)*Summary!$U$10/(1-Summary!$U$10)))</f>
        <v/>
      </c>
      <c r="W301" s="63" t="str">
        <f t="shared" si="165"/>
        <v/>
      </c>
      <c r="X301" s="63" t="str">
        <f t="shared" si="166"/>
        <v/>
      </c>
      <c r="Y301" s="43"/>
      <c r="Z301" s="38" t="str">
        <f t="shared" si="167"/>
        <v/>
      </c>
      <c r="AA301" s="38" t="str">
        <f t="shared" si="168"/>
        <v/>
      </c>
      <c r="AB301" s="38" t="e">
        <f t="shared" si="169"/>
        <v>#VALUE!</v>
      </c>
      <c r="AC301" s="38" t="str">
        <f t="shared" si="170"/>
        <v/>
      </c>
      <c r="AD301" s="38" t="str">
        <f t="shared" si="170"/>
        <v/>
      </c>
      <c r="AE301" s="38" t="e">
        <f t="shared" si="171"/>
        <v>#VALUE!</v>
      </c>
      <c r="AF301" s="237" t="e">
        <f>((Summary!$N$10*(AA301*AD301)*(A301-$D$3))+(Summary!$M$10*Z301*AC301*(AJ301-EOMONTH(EDATE(A301,-1),0))))/(AK301*AB301*AE301)</f>
        <v>#VALUE!</v>
      </c>
      <c r="AG301" s="88" t="str">
        <f>IF($A302="","",Summary!$Q$10)</f>
        <v/>
      </c>
      <c r="AH301" s="88" t="str">
        <f>IF($A302="","",IF(Summary!$R$10="Y",(VLOOKUP($A301,Summary!$AD$6:$AF$9,3)+'Escalating commodity'!F314),'Escalating commodity'!F314))</f>
        <v/>
      </c>
      <c r="AI301" s="88" t="str">
        <f t="shared" si="186"/>
        <v/>
      </c>
      <c r="AJ301" s="236" t="e">
        <f t="shared" si="172"/>
        <v>#VALUE!</v>
      </c>
      <c r="AK301" s="58" t="str">
        <f t="shared" si="173"/>
        <v/>
      </c>
      <c r="AL301" s="26" t="str">
        <f>IF($A302="","",_xll.SPRDOPT(P301,X301,AI301,0,AB301,AE301,AF301,AK301,$AJ$2,0))</f>
        <v/>
      </c>
      <c r="AM301" s="89" t="str">
        <f t="shared" si="174"/>
        <v/>
      </c>
      <c r="AN301" s="89" t="str">
        <f t="shared" si="175"/>
        <v/>
      </c>
      <c r="AO301" s="3" t="str">
        <f t="shared" si="176"/>
        <v/>
      </c>
      <c r="AP301" s="33" t="str">
        <f t="shared" si="177"/>
        <v/>
      </c>
      <c r="AQ301" s="58" t="str">
        <f t="shared" si="178"/>
        <v/>
      </c>
      <c r="AR301" s="38">
        <f>'ANR OK vs ML7'!AR301</f>
        <v>0.1</v>
      </c>
      <c r="AS301" s="35" t="str">
        <f t="shared" si="179"/>
        <v/>
      </c>
      <c r="AT301" s="3" t="str">
        <f t="shared" si="180"/>
        <v/>
      </c>
      <c r="AU301" s="3" t="str">
        <f t="shared" si="181"/>
        <v/>
      </c>
      <c r="AW301" s="32" t="str">
        <f t="shared" si="182"/>
        <v/>
      </c>
      <c r="AX301" s="32" t="str">
        <f t="shared" si="183"/>
        <v/>
      </c>
      <c r="AY301" s="32" t="str">
        <f t="shared" si="184"/>
        <v/>
      </c>
      <c r="BA301" s="32" t="str">
        <f>IF($A302="","",F301*Summary!$Q$10)</f>
        <v/>
      </c>
    </row>
    <row r="302" spans="1:53" ht="12" customHeight="1">
      <c r="A302" s="67" t="str">
        <f t="shared" si="185"/>
        <v/>
      </c>
      <c r="B302" s="69" t="str">
        <f t="shared" si="187"/>
        <v/>
      </c>
      <c r="C302" s="71"/>
      <c r="D302" s="69" t="str">
        <f t="shared" si="151"/>
        <v/>
      </c>
      <c r="E302" s="70" t="str">
        <f t="shared" si="152"/>
        <v/>
      </c>
      <c r="F302" s="70" t="str">
        <f t="shared" si="153"/>
        <v/>
      </c>
      <c r="G302" s="63" t="str">
        <f t="shared" si="154"/>
        <v/>
      </c>
      <c r="H302" s="64" t="str">
        <f t="shared" si="155"/>
        <v/>
      </c>
      <c r="I302" s="43"/>
      <c r="J302" s="63" t="str">
        <f t="shared" si="156"/>
        <v/>
      </c>
      <c r="K302" s="64" t="str">
        <f t="shared" si="157"/>
        <v/>
      </c>
      <c r="L302" s="38">
        <v>0</v>
      </c>
      <c r="M302" s="64" t="str">
        <f t="shared" si="158"/>
        <v/>
      </c>
      <c r="N302" s="65"/>
      <c r="O302" s="63" t="str">
        <f t="shared" si="159"/>
        <v/>
      </c>
      <c r="P302" s="63" t="str">
        <f t="shared" si="160"/>
        <v/>
      </c>
      <c r="Q302" s="66"/>
      <c r="R302" s="63" t="str">
        <f t="shared" si="161"/>
        <v/>
      </c>
      <c r="S302" s="64" t="str">
        <f t="shared" si="162"/>
        <v/>
      </c>
      <c r="T302" s="63" t="str">
        <f t="shared" si="163"/>
        <v/>
      </c>
      <c r="U302" s="64" t="str">
        <f t="shared" si="164"/>
        <v/>
      </c>
      <c r="V302" s="219" t="str">
        <f>IF($A303="","",IF(AND(MONTH(A302)&gt;3,MONTH(A302)&lt;11),(T302+R302+G302)*Summary!$T$10/(1-Summary!$T$10),(T302+R302+G302)*Summary!$U$10/(1-Summary!$U$10)))</f>
        <v/>
      </c>
      <c r="W302" s="63" t="str">
        <f t="shared" si="165"/>
        <v/>
      </c>
      <c r="X302" s="63" t="str">
        <f t="shared" si="166"/>
        <v/>
      </c>
      <c r="Y302" s="43"/>
      <c r="Z302" s="38" t="str">
        <f t="shared" si="167"/>
        <v/>
      </c>
      <c r="AA302" s="38" t="str">
        <f t="shared" si="168"/>
        <v/>
      </c>
      <c r="AB302" s="38" t="e">
        <f t="shared" si="169"/>
        <v>#VALUE!</v>
      </c>
      <c r="AC302" s="38" t="str">
        <f t="shared" si="170"/>
        <v/>
      </c>
      <c r="AD302" s="38" t="str">
        <f t="shared" si="170"/>
        <v/>
      </c>
      <c r="AE302" s="38" t="e">
        <f t="shared" si="171"/>
        <v>#VALUE!</v>
      </c>
      <c r="AF302" s="237" t="e">
        <f>((Summary!$N$10*(AA302*AD302)*(A302-$D$3))+(Summary!$M$10*Z302*AC302*(AJ302-EOMONTH(EDATE(A302,-1),0))))/(AK302*AB302*AE302)</f>
        <v>#VALUE!</v>
      </c>
      <c r="AG302" s="88" t="str">
        <f>IF($A303="","",Summary!$Q$10)</f>
        <v/>
      </c>
      <c r="AH302" s="88" t="str">
        <f>IF($A303="","",IF(Summary!$R$10="Y",(VLOOKUP($A302,Summary!$AD$6:$AF$9,3)+'Escalating commodity'!F315),'Escalating commodity'!F315))</f>
        <v/>
      </c>
      <c r="AI302" s="88" t="str">
        <f t="shared" si="186"/>
        <v/>
      </c>
      <c r="AJ302" s="236" t="e">
        <f t="shared" si="172"/>
        <v>#VALUE!</v>
      </c>
      <c r="AK302" s="58" t="str">
        <f t="shared" si="173"/>
        <v/>
      </c>
      <c r="AL302" s="26" t="str">
        <f>IF($A303="","",_xll.SPRDOPT(P302,X302,AI302,0,AB302,AE302,AF302,AK302,$AJ$2,0))</f>
        <v/>
      </c>
      <c r="AM302" s="89" t="str">
        <f t="shared" si="174"/>
        <v/>
      </c>
      <c r="AN302" s="89" t="str">
        <f t="shared" si="175"/>
        <v/>
      </c>
      <c r="AO302" s="3" t="str">
        <f t="shared" si="176"/>
        <v/>
      </c>
      <c r="AP302" s="33" t="str">
        <f t="shared" si="177"/>
        <v/>
      </c>
      <c r="AQ302" s="58" t="str">
        <f t="shared" si="178"/>
        <v/>
      </c>
      <c r="AR302" s="38">
        <f>'ANR OK vs ML7'!AR302</f>
        <v>0.1</v>
      </c>
      <c r="AS302" s="35" t="str">
        <f t="shared" si="179"/>
        <v/>
      </c>
      <c r="AT302" s="3" t="str">
        <f t="shared" si="180"/>
        <v/>
      </c>
      <c r="AU302" s="3" t="str">
        <f t="shared" si="181"/>
        <v/>
      </c>
      <c r="AW302" s="32" t="str">
        <f t="shared" si="182"/>
        <v/>
      </c>
      <c r="AX302" s="32" t="str">
        <f t="shared" si="183"/>
        <v/>
      </c>
      <c r="AY302" s="32" t="str">
        <f t="shared" si="184"/>
        <v/>
      </c>
      <c r="BA302" s="32" t="str">
        <f>IF($A303="","",F302*Summary!$Q$10)</f>
        <v/>
      </c>
    </row>
    <row r="303" spans="1:53" ht="12" customHeight="1">
      <c r="A303" s="67" t="str">
        <f t="shared" si="185"/>
        <v/>
      </c>
      <c r="B303" s="69" t="str">
        <f t="shared" si="187"/>
        <v/>
      </c>
      <c r="C303" s="71"/>
      <c r="D303" s="69" t="str">
        <f t="shared" si="151"/>
        <v/>
      </c>
      <c r="E303" s="70" t="str">
        <f t="shared" si="152"/>
        <v/>
      </c>
      <c r="F303" s="70" t="str">
        <f t="shared" si="153"/>
        <v/>
      </c>
      <c r="G303" s="63" t="str">
        <f t="shared" si="154"/>
        <v/>
      </c>
      <c r="H303" s="64" t="str">
        <f t="shared" si="155"/>
        <v/>
      </c>
      <c r="I303" s="43"/>
      <c r="J303" s="63" t="str">
        <f t="shared" si="156"/>
        <v/>
      </c>
      <c r="K303" s="64" t="str">
        <f t="shared" si="157"/>
        <v/>
      </c>
      <c r="L303" s="38">
        <v>0</v>
      </c>
      <c r="M303" s="64" t="str">
        <f t="shared" si="158"/>
        <v/>
      </c>
      <c r="N303" s="65"/>
      <c r="O303" s="63" t="str">
        <f t="shared" si="159"/>
        <v/>
      </c>
      <c r="P303" s="63" t="str">
        <f t="shared" si="160"/>
        <v/>
      </c>
      <c r="Q303" s="66"/>
      <c r="R303" s="63" t="str">
        <f t="shared" si="161"/>
        <v/>
      </c>
      <c r="S303" s="64" t="str">
        <f t="shared" si="162"/>
        <v/>
      </c>
      <c r="T303" s="63" t="str">
        <f t="shared" si="163"/>
        <v/>
      </c>
      <c r="U303" s="64" t="str">
        <f t="shared" si="164"/>
        <v/>
      </c>
      <c r="V303" s="219" t="str">
        <f>IF($A304="","",IF(AND(MONTH(A303)&gt;3,MONTH(A303)&lt;11),(T303+R303+G303)*Summary!$T$10/(1-Summary!$T$10),(T303+R303+G303)*Summary!$U$10/(1-Summary!$U$10)))</f>
        <v/>
      </c>
      <c r="W303" s="63" t="str">
        <f t="shared" si="165"/>
        <v/>
      </c>
      <c r="X303" s="63" t="str">
        <f t="shared" si="166"/>
        <v/>
      </c>
      <c r="Y303" s="43"/>
      <c r="Z303" s="38" t="str">
        <f t="shared" si="167"/>
        <v/>
      </c>
      <c r="AA303" s="38" t="str">
        <f t="shared" si="168"/>
        <v/>
      </c>
      <c r="AB303" s="38" t="e">
        <f t="shared" si="169"/>
        <v>#VALUE!</v>
      </c>
      <c r="AC303" s="38" t="str">
        <f t="shared" si="170"/>
        <v/>
      </c>
      <c r="AD303" s="38" t="str">
        <f t="shared" si="170"/>
        <v/>
      </c>
      <c r="AE303" s="38" t="e">
        <f t="shared" si="171"/>
        <v>#VALUE!</v>
      </c>
      <c r="AF303" s="237" t="e">
        <f>((Summary!$N$10*(AA303*AD303)*(A303-$D$3))+(Summary!$M$10*Z303*AC303*(AJ303-EOMONTH(EDATE(A303,-1),0))))/(AK303*AB303*AE303)</f>
        <v>#VALUE!</v>
      </c>
      <c r="AG303" s="88" t="str">
        <f>IF($A304="","",Summary!$Q$10)</f>
        <v/>
      </c>
      <c r="AH303" s="88" t="str">
        <f>IF($A304="","",IF(Summary!$R$10="Y",(VLOOKUP($A303,Summary!$AD$6:$AF$9,3)+'Escalating commodity'!F316),'Escalating commodity'!F316))</f>
        <v/>
      </c>
      <c r="AI303" s="88" t="str">
        <f t="shared" si="186"/>
        <v/>
      </c>
      <c r="AJ303" s="236" t="e">
        <f t="shared" si="172"/>
        <v>#VALUE!</v>
      </c>
      <c r="AK303" s="58" t="str">
        <f t="shared" si="173"/>
        <v/>
      </c>
      <c r="AL303" s="26" t="str">
        <f>IF($A304="","",_xll.SPRDOPT(P303,X303,AI303,0,AB303,AE303,AF303,AK303,$AJ$2,0))</f>
        <v/>
      </c>
      <c r="AM303" s="89" t="str">
        <f t="shared" si="174"/>
        <v/>
      </c>
      <c r="AN303" s="89" t="str">
        <f t="shared" si="175"/>
        <v/>
      </c>
      <c r="AO303" s="3" t="str">
        <f t="shared" si="176"/>
        <v/>
      </c>
      <c r="AP303" s="33" t="str">
        <f t="shared" si="177"/>
        <v/>
      </c>
      <c r="AQ303" s="58" t="str">
        <f t="shared" si="178"/>
        <v/>
      </c>
      <c r="AR303" s="38">
        <f>'ANR OK vs ML7'!AR303</f>
        <v>0.1</v>
      </c>
      <c r="AS303" s="35" t="str">
        <f t="shared" si="179"/>
        <v/>
      </c>
      <c r="AT303" s="3" t="str">
        <f t="shared" si="180"/>
        <v/>
      </c>
      <c r="AU303" s="3" t="str">
        <f t="shared" si="181"/>
        <v/>
      </c>
      <c r="AW303" s="32" t="str">
        <f t="shared" si="182"/>
        <v/>
      </c>
      <c r="AX303" s="32" t="str">
        <f t="shared" si="183"/>
        <v/>
      </c>
      <c r="AY303" s="32" t="str">
        <f t="shared" si="184"/>
        <v/>
      </c>
      <c r="BA303" s="32" t="str">
        <f>IF($A304="","",F303*Summary!$Q$10)</f>
        <v/>
      </c>
    </row>
    <row r="304" spans="1:53" ht="12" customHeight="1">
      <c r="A304" s="67" t="str">
        <f t="shared" si="185"/>
        <v/>
      </c>
      <c r="B304" s="69" t="str">
        <f t="shared" si="187"/>
        <v/>
      </c>
      <c r="C304" s="71"/>
      <c r="D304" s="69" t="str">
        <f t="shared" si="151"/>
        <v/>
      </c>
      <c r="E304" s="70" t="str">
        <f t="shared" si="152"/>
        <v/>
      </c>
      <c r="F304" s="70" t="str">
        <f t="shared" si="153"/>
        <v/>
      </c>
      <c r="G304" s="63" t="str">
        <f t="shared" si="154"/>
        <v/>
      </c>
      <c r="H304" s="64" t="str">
        <f t="shared" si="155"/>
        <v/>
      </c>
      <c r="I304" s="43"/>
      <c r="J304" s="63" t="str">
        <f t="shared" si="156"/>
        <v/>
      </c>
      <c r="K304" s="64" t="str">
        <f t="shared" si="157"/>
        <v/>
      </c>
      <c r="L304" s="38">
        <v>0</v>
      </c>
      <c r="M304" s="64" t="str">
        <f t="shared" si="158"/>
        <v/>
      </c>
      <c r="N304" s="65"/>
      <c r="O304" s="63" t="str">
        <f t="shared" si="159"/>
        <v/>
      </c>
      <c r="P304" s="63" t="str">
        <f t="shared" si="160"/>
        <v/>
      </c>
      <c r="Q304" s="66"/>
      <c r="R304" s="63" t="str">
        <f t="shared" si="161"/>
        <v/>
      </c>
      <c r="S304" s="64" t="str">
        <f t="shared" si="162"/>
        <v/>
      </c>
      <c r="T304" s="63" t="str">
        <f t="shared" si="163"/>
        <v/>
      </c>
      <c r="U304" s="64" t="str">
        <f t="shared" si="164"/>
        <v/>
      </c>
      <c r="V304" s="219" t="str">
        <f>IF($A305="","",IF(AND(MONTH(A304)&gt;3,MONTH(A304)&lt;11),(T304+R304+G304)*Summary!$T$10/(1-Summary!$T$10),(T304+R304+G304)*Summary!$U$10/(1-Summary!$U$10)))</f>
        <v/>
      </c>
      <c r="W304" s="63" t="str">
        <f t="shared" si="165"/>
        <v/>
      </c>
      <c r="X304" s="63" t="str">
        <f t="shared" si="166"/>
        <v/>
      </c>
      <c r="Y304" s="43"/>
      <c r="Z304" s="38" t="str">
        <f t="shared" si="167"/>
        <v/>
      </c>
      <c r="AA304" s="38" t="str">
        <f t="shared" si="168"/>
        <v/>
      </c>
      <c r="AB304" s="38" t="e">
        <f t="shared" si="169"/>
        <v>#VALUE!</v>
      </c>
      <c r="AC304" s="38" t="str">
        <f t="shared" si="170"/>
        <v/>
      </c>
      <c r="AD304" s="38" t="str">
        <f t="shared" si="170"/>
        <v/>
      </c>
      <c r="AE304" s="38" t="e">
        <f t="shared" si="171"/>
        <v>#VALUE!</v>
      </c>
      <c r="AF304" s="237" t="e">
        <f>((Summary!$N$10*(AA304*AD304)*(A304-$D$3))+(Summary!$M$10*Z304*AC304*(AJ304-EOMONTH(EDATE(A304,-1),0))))/(AK304*AB304*AE304)</f>
        <v>#VALUE!</v>
      </c>
      <c r="AG304" s="88" t="str">
        <f>IF($A305="","",Summary!$Q$10)</f>
        <v/>
      </c>
      <c r="AH304" s="88" t="str">
        <f>IF($A305="","",IF(Summary!$R$10="Y",(VLOOKUP($A304,Summary!$AD$6:$AF$9,3)+'Escalating commodity'!F317),'Escalating commodity'!F317))</f>
        <v/>
      </c>
      <c r="AI304" s="88" t="str">
        <f t="shared" si="186"/>
        <v/>
      </c>
      <c r="AJ304" s="236" t="e">
        <f t="shared" si="172"/>
        <v>#VALUE!</v>
      </c>
      <c r="AK304" s="58" t="str">
        <f t="shared" si="173"/>
        <v/>
      </c>
      <c r="AL304" s="26" t="str">
        <f>IF($A305="","",_xll.SPRDOPT(P304,X304,AI304,0,AB304,AE304,AF304,AK304,$AJ$2,0))</f>
        <v/>
      </c>
      <c r="AM304" s="89" t="str">
        <f t="shared" si="174"/>
        <v/>
      </c>
      <c r="AN304" s="89" t="str">
        <f t="shared" si="175"/>
        <v/>
      </c>
      <c r="AO304" s="3" t="str">
        <f t="shared" si="176"/>
        <v/>
      </c>
      <c r="AP304" s="33" t="str">
        <f t="shared" si="177"/>
        <v/>
      </c>
      <c r="AQ304" s="58" t="str">
        <f t="shared" si="178"/>
        <v/>
      </c>
      <c r="AR304" s="38">
        <f>'ANR OK vs ML7'!AR304</f>
        <v>0.1</v>
      </c>
      <c r="AS304" s="35" t="str">
        <f t="shared" si="179"/>
        <v/>
      </c>
      <c r="AT304" s="3" t="str">
        <f t="shared" si="180"/>
        <v/>
      </c>
      <c r="AU304" s="3" t="str">
        <f t="shared" si="181"/>
        <v/>
      </c>
      <c r="AW304" s="32" t="str">
        <f t="shared" si="182"/>
        <v/>
      </c>
      <c r="AX304" s="32" t="str">
        <f t="shared" si="183"/>
        <v/>
      </c>
      <c r="AY304" s="32" t="str">
        <f t="shared" si="184"/>
        <v/>
      </c>
      <c r="BA304" s="32" t="str">
        <f>IF($A305="","",F304*Summary!$Q$10)</f>
        <v/>
      </c>
    </row>
    <row r="305" spans="1:53" ht="12" customHeight="1">
      <c r="A305" s="67" t="str">
        <f t="shared" si="185"/>
        <v/>
      </c>
      <c r="B305" s="69" t="str">
        <f t="shared" si="187"/>
        <v/>
      </c>
      <c r="C305" s="71"/>
      <c r="D305" s="69" t="str">
        <f t="shared" si="151"/>
        <v/>
      </c>
      <c r="E305" s="70" t="str">
        <f t="shared" si="152"/>
        <v/>
      </c>
      <c r="F305" s="70" t="str">
        <f t="shared" si="153"/>
        <v/>
      </c>
      <c r="G305" s="63" t="str">
        <f t="shared" si="154"/>
        <v/>
      </c>
      <c r="H305" s="64" t="str">
        <f t="shared" si="155"/>
        <v/>
      </c>
      <c r="I305" s="43"/>
      <c r="J305" s="63" t="str">
        <f t="shared" si="156"/>
        <v/>
      </c>
      <c r="K305" s="64" t="str">
        <f t="shared" si="157"/>
        <v/>
      </c>
      <c r="L305" s="38">
        <v>0</v>
      </c>
      <c r="M305" s="64" t="str">
        <f t="shared" si="158"/>
        <v/>
      </c>
      <c r="N305" s="65"/>
      <c r="O305" s="63" t="str">
        <f t="shared" si="159"/>
        <v/>
      </c>
      <c r="P305" s="63" t="str">
        <f t="shared" si="160"/>
        <v/>
      </c>
      <c r="Q305" s="66"/>
      <c r="R305" s="63" t="str">
        <f t="shared" si="161"/>
        <v/>
      </c>
      <c r="S305" s="64" t="str">
        <f t="shared" si="162"/>
        <v/>
      </c>
      <c r="T305" s="63" t="str">
        <f t="shared" si="163"/>
        <v/>
      </c>
      <c r="U305" s="64" t="str">
        <f t="shared" si="164"/>
        <v/>
      </c>
      <c r="V305" s="219" t="str">
        <f>IF($A306="","",IF(AND(MONTH(A305)&gt;3,MONTH(A305)&lt;11),(T305+R305+G305)*Summary!$T$10/(1-Summary!$T$10),(T305+R305+G305)*Summary!$U$10/(1-Summary!$U$10)))</f>
        <v/>
      </c>
      <c r="W305" s="63" t="str">
        <f t="shared" si="165"/>
        <v/>
      </c>
      <c r="X305" s="63" t="str">
        <f t="shared" si="166"/>
        <v/>
      </c>
      <c r="Y305" s="43"/>
      <c r="Z305" s="38" t="str">
        <f t="shared" si="167"/>
        <v/>
      </c>
      <c r="AA305" s="38" t="str">
        <f t="shared" si="168"/>
        <v/>
      </c>
      <c r="AB305" s="38" t="e">
        <f t="shared" si="169"/>
        <v>#VALUE!</v>
      </c>
      <c r="AC305" s="38" t="str">
        <f t="shared" si="170"/>
        <v/>
      </c>
      <c r="AD305" s="38" t="str">
        <f t="shared" si="170"/>
        <v/>
      </c>
      <c r="AE305" s="38" t="e">
        <f t="shared" si="171"/>
        <v>#VALUE!</v>
      </c>
      <c r="AF305" s="237" t="e">
        <f>((Summary!$N$10*(AA305*AD305)*(A305-$D$3))+(Summary!$M$10*Z305*AC305*(AJ305-EOMONTH(EDATE(A305,-1),0))))/(AK305*AB305*AE305)</f>
        <v>#VALUE!</v>
      </c>
      <c r="AG305" s="88" t="str">
        <f>IF($A306="","",Summary!$Q$10)</f>
        <v/>
      </c>
      <c r="AH305" s="88" t="str">
        <f>IF($A306="","",IF(Summary!$R$10="Y",(VLOOKUP($A305,Summary!$AD$6:$AF$9,3)+'Escalating commodity'!F318),'Escalating commodity'!F318))</f>
        <v/>
      </c>
      <c r="AI305" s="88" t="str">
        <f t="shared" si="186"/>
        <v/>
      </c>
      <c r="AJ305" s="236" t="e">
        <f t="shared" si="172"/>
        <v>#VALUE!</v>
      </c>
      <c r="AK305" s="58" t="str">
        <f t="shared" si="173"/>
        <v/>
      </c>
      <c r="AL305" s="26" t="str">
        <f>IF($A306="","",_xll.SPRDOPT(P305,X305,AI305,0,AB305,AE305,AF305,AK305,$AJ$2,0))</f>
        <v/>
      </c>
      <c r="AM305" s="89" t="str">
        <f t="shared" si="174"/>
        <v/>
      </c>
      <c r="AN305" s="89" t="str">
        <f t="shared" si="175"/>
        <v/>
      </c>
      <c r="AO305" s="3" t="str">
        <f t="shared" si="176"/>
        <v/>
      </c>
      <c r="AP305" s="33" t="str">
        <f t="shared" si="177"/>
        <v/>
      </c>
      <c r="AQ305" s="58" t="str">
        <f t="shared" si="178"/>
        <v/>
      </c>
      <c r="AR305" s="38">
        <f>'ANR OK vs ML7'!AR305</f>
        <v>0.1</v>
      </c>
      <c r="AS305" s="35" t="str">
        <f t="shared" si="179"/>
        <v/>
      </c>
      <c r="AT305" s="3" t="str">
        <f t="shared" si="180"/>
        <v/>
      </c>
      <c r="AU305" s="3" t="str">
        <f t="shared" si="181"/>
        <v/>
      </c>
      <c r="AW305" s="32" t="str">
        <f t="shared" si="182"/>
        <v/>
      </c>
      <c r="AX305" s="32" t="str">
        <f t="shared" si="183"/>
        <v/>
      </c>
      <c r="AY305" s="32" t="str">
        <f t="shared" si="184"/>
        <v/>
      </c>
      <c r="BA305" s="32" t="str">
        <f>IF($A306="","",F305*Summary!$Q$10)</f>
        <v/>
      </c>
    </row>
    <row r="306" spans="1:53" ht="12" customHeight="1">
      <c r="A306" s="67" t="str">
        <f t="shared" si="185"/>
        <v/>
      </c>
      <c r="B306" s="69" t="str">
        <f t="shared" si="187"/>
        <v/>
      </c>
      <c r="C306" s="71"/>
      <c r="D306" s="69" t="str">
        <f t="shared" si="151"/>
        <v/>
      </c>
      <c r="E306" s="70" t="str">
        <f t="shared" si="152"/>
        <v/>
      </c>
      <c r="F306" s="70" t="str">
        <f t="shared" si="153"/>
        <v/>
      </c>
      <c r="G306" s="63" t="str">
        <f t="shared" si="154"/>
        <v/>
      </c>
      <c r="H306" s="64" t="str">
        <f t="shared" si="155"/>
        <v/>
      </c>
      <c r="I306" s="43"/>
      <c r="J306" s="63" t="str">
        <f t="shared" si="156"/>
        <v/>
      </c>
      <c r="K306" s="64" t="str">
        <f t="shared" si="157"/>
        <v/>
      </c>
      <c r="L306" s="38">
        <v>0</v>
      </c>
      <c r="M306" s="64" t="str">
        <f t="shared" si="158"/>
        <v/>
      </c>
      <c r="N306" s="65"/>
      <c r="O306" s="63" t="str">
        <f t="shared" si="159"/>
        <v/>
      </c>
      <c r="P306" s="63" t="str">
        <f t="shared" si="160"/>
        <v/>
      </c>
      <c r="Q306" s="66"/>
      <c r="R306" s="63" t="str">
        <f t="shared" si="161"/>
        <v/>
      </c>
      <c r="S306" s="64" t="str">
        <f t="shared" si="162"/>
        <v/>
      </c>
      <c r="T306" s="63" t="str">
        <f t="shared" si="163"/>
        <v/>
      </c>
      <c r="U306" s="64" t="str">
        <f t="shared" si="164"/>
        <v/>
      </c>
      <c r="V306" s="219" t="str">
        <f>IF($A307="","",IF(AND(MONTH(A306)&gt;3,MONTH(A306)&lt;11),(T306+R306+G306)*Summary!$T$10/(1-Summary!$T$10),(T306+R306+G306)*Summary!$U$10/(1-Summary!$U$10)))</f>
        <v/>
      </c>
      <c r="W306" s="63" t="str">
        <f t="shared" si="165"/>
        <v/>
      </c>
      <c r="X306" s="63" t="str">
        <f t="shared" si="166"/>
        <v/>
      </c>
      <c r="Y306" s="43"/>
      <c r="Z306" s="38" t="str">
        <f t="shared" si="167"/>
        <v/>
      </c>
      <c r="AA306" s="38" t="str">
        <f t="shared" si="168"/>
        <v/>
      </c>
      <c r="AB306" s="38" t="e">
        <f t="shared" si="169"/>
        <v>#VALUE!</v>
      </c>
      <c r="AC306" s="38" t="str">
        <f t="shared" si="170"/>
        <v/>
      </c>
      <c r="AD306" s="38" t="str">
        <f t="shared" si="170"/>
        <v/>
      </c>
      <c r="AE306" s="38" t="e">
        <f t="shared" si="171"/>
        <v>#VALUE!</v>
      </c>
      <c r="AF306" s="237" t="e">
        <f>((Summary!$N$10*(AA306*AD306)*(A306-$D$3))+(Summary!$M$10*Z306*AC306*(AJ306-EOMONTH(EDATE(A306,-1),0))))/(AK306*AB306*AE306)</f>
        <v>#VALUE!</v>
      </c>
      <c r="AG306" s="88" t="str">
        <f>IF($A307="","",Summary!$Q$10)</f>
        <v/>
      </c>
      <c r="AH306" s="88" t="str">
        <f>IF($A307="","",IF(Summary!$R$10="Y",(VLOOKUP($A306,Summary!$AD$6:$AF$9,3)+'Escalating commodity'!F319),'Escalating commodity'!F319))</f>
        <v/>
      </c>
      <c r="AI306" s="88" t="str">
        <f t="shared" si="186"/>
        <v/>
      </c>
      <c r="AJ306" s="236" t="e">
        <f t="shared" si="172"/>
        <v>#VALUE!</v>
      </c>
      <c r="AK306" s="58" t="str">
        <f t="shared" si="173"/>
        <v/>
      </c>
      <c r="AL306" s="26" t="str">
        <f>IF($A307="","",_xll.SPRDOPT(P306,X306,AI306,0,AB306,AE306,AF306,AK306,$AJ$2,0))</f>
        <v/>
      </c>
      <c r="AM306" s="89" t="str">
        <f t="shared" si="174"/>
        <v/>
      </c>
      <c r="AN306" s="89" t="str">
        <f t="shared" si="175"/>
        <v/>
      </c>
      <c r="AO306" s="3" t="str">
        <f t="shared" si="176"/>
        <v/>
      </c>
      <c r="AP306" s="33" t="str">
        <f t="shared" si="177"/>
        <v/>
      </c>
      <c r="AQ306" s="58" t="str">
        <f t="shared" si="178"/>
        <v/>
      </c>
      <c r="AR306" s="38">
        <f>'ANR OK vs ML7'!AR306</f>
        <v>0.1</v>
      </c>
      <c r="AS306" s="35" t="str">
        <f t="shared" si="179"/>
        <v/>
      </c>
      <c r="AT306" s="3" t="str">
        <f t="shared" si="180"/>
        <v/>
      </c>
      <c r="AU306" s="3" t="str">
        <f t="shared" si="181"/>
        <v/>
      </c>
      <c r="AW306" s="32" t="str">
        <f t="shared" si="182"/>
        <v/>
      </c>
      <c r="AX306" s="32" t="str">
        <f t="shared" si="183"/>
        <v/>
      </c>
      <c r="AY306" s="32" t="str">
        <f t="shared" si="184"/>
        <v/>
      </c>
      <c r="BA306" s="32" t="str">
        <f>IF($A307="","",F306*Summary!$Q$10)</f>
        <v/>
      </c>
    </row>
    <row r="307" spans="1:53" ht="12" customHeight="1">
      <c r="A307" s="67" t="str">
        <f t="shared" si="185"/>
        <v/>
      </c>
      <c r="B307" s="69" t="str">
        <f t="shared" si="187"/>
        <v/>
      </c>
      <c r="C307" s="71"/>
      <c r="D307" s="69" t="str">
        <f t="shared" si="151"/>
        <v/>
      </c>
      <c r="E307" s="70" t="str">
        <f t="shared" si="152"/>
        <v/>
      </c>
      <c r="F307" s="70" t="str">
        <f t="shared" si="153"/>
        <v/>
      </c>
      <c r="G307" s="63" t="str">
        <f t="shared" si="154"/>
        <v/>
      </c>
      <c r="H307" s="64" t="str">
        <f t="shared" si="155"/>
        <v/>
      </c>
      <c r="I307" s="43"/>
      <c r="J307" s="63" t="str">
        <f t="shared" si="156"/>
        <v/>
      </c>
      <c r="K307" s="64" t="str">
        <f t="shared" si="157"/>
        <v/>
      </c>
      <c r="L307" s="38">
        <v>0</v>
      </c>
      <c r="M307" s="64" t="str">
        <f t="shared" si="158"/>
        <v/>
      </c>
      <c r="N307" s="65"/>
      <c r="O307" s="63" t="str">
        <f t="shared" si="159"/>
        <v/>
      </c>
      <c r="P307" s="63" t="str">
        <f t="shared" si="160"/>
        <v/>
      </c>
      <c r="Q307" s="66"/>
      <c r="R307" s="63" t="str">
        <f t="shared" si="161"/>
        <v/>
      </c>
      <c r="S307" s="64" t="str">
        <f t="shared" si="162"/>
        <v/>
      </c>
      <c r="T307" s="63" t="str">
        <f t="shared" si="163"/>
        <v/>
      </c>
      <c r="U307" s="64" t="str">
        <f t="shared" si="164"/>
        <v/>
      </c>
      <c r="V307" s="219" t="str">
        <f>IF($A308="","",IF(AND(MONTH(A307)&gt;3,MONTH(A307)&lt;11),(T307+R307+G307)*Summary!$T$10/(1-Summary!$T$10),(T307+R307+G307)*Summary!$U$10/(1-Summary!$U$10)))</f>
        <v/>
      </c>
      <c r="W307" s="63" t="str">
        <f t="shared" si="165"/>
        <v/>
      </c>
      <c r="X307" s="63" t="str">
        <f t="shared" si="166"/>
        <v/>
      </c>
      <c r="Y307" s="43"/>
      <c r="Z307" s="38" t="str">
        <f t="shared" si="167"/>
        <v/>
      </c>
      <c r="AA307" s="38" t="str">
        <f t="shared" si="168"/>
        <v/>
      </c>
      <c r="AB307" s="38" t="e">
        <f t="shared" si="169"/>
        <v>#VALUE!</v>
      </c>
      <c r="AC307" s="38" t="str">
        <f t="shared" si="170"/>
        <v/>
      </c>
      <c r="AD307" s="38" t="str">
        <f t="shared" si="170"/>
        <v/>
      </c>
      <c r="AE307" s="38" t="e">
        <f t="shared" si="171"/>
        <v>#VALUE!</v>
      </c>
      <c r="AF307" s="237" t="e">
        <f>((Summary!$N$10*(AA307*AD307)*(A307-$D$3))+(Summary!$M$10*Z307*AC307*(AJ307-EOMONTH(EDATE(A307,-1),0))))/(AK307*AB307*AE307)</f>
        <v>#VALUE!</v>
      </c>
      <c r="AG307" s="88" t="str">
        <f>IF($A308="","",Summary!$Q$10)</f>
        <v/>
      </c>
      <c r="AH307" s="88" t="str">
        <f>IF($A308="","",IF(Summary!$R$10="Y",(VLOOKUP($A307,Summary!$AD$6:$AF$9,3)+'Escalating commodity'!F320),'Escalating commodity'!F320))</f>
        <v/>
      </c>
      <c r="AI307" s="88" t="str">
        <f t="shared" si="186"/>
        <v/>
      </c>
      <c r="AJ307" s="236" t="e">
        <f t="shared" si="172"/>
        <v>#VALUE!</v>
      </c>
      <c r="AK307" s="58" t="str">
        <f t="shared" si="173"/>
        <v/>
      </c>
      <c r="AL307" s="26" t="str">
        <f>IF($A308="","",_xll.SPRDOPT(P307,X307,AI307,0,AB307,AE307,AF307,AK307,$AJ$2,0))</f>
        <v/>
      </c>
      <c r="AM307" s="89" t="str">
        <f t="shared" si="174"/>
        <v/>
      </c>
      <c r="AN307" s="89" t="str">
        <f t="shared" si="175"/>
        <v/>
      </c>
      <c r="AO307" s="3" t="str">
        <f t="shared" si="176"/>
        <v/>
      </c>
      <c r="AP307" s="33" t="str">
        <f t="shared" si="177"/>
        <v/>
      </c>
      <c r="AQ307" s="58" t="str">
        <f t="shared" si="178"/>
        <v/>
      </c>
      <c r="AR307" s="38">
        <f>'ANR OK vs ML7'!AR307</f>
        <v>0.1</v>
      </c>
      <c r="AS307" s="35" t="str">
        <f t="shared" si="179"/>
        <v/>
      </c>
      <c r="AT307" s="3" t="str">
        <f t="shared" si="180"/>
        <v/>
      </c>
      <c r="AU307" s="3" t="str">
        <f t="shared" si="181"/>
        <v/>
      </c>
      <c r="AW307" s="32" t="str">
        <f t="shared" si="182"/>
        <v/>
      </c>
      <c r="AX307" s="32" t="str">
        <f t="shared" si="183"/>
        <v/>
      </c>
      <c r="AY307" s="32" t="str">
        <f t="shared" si="184"/>
        <v/>
      </c>
      <c r="BA307" s="32" t="str">
        <f>IF($A308="","",F307*Summary!$Q$10)</f>
        <v/>
      </c>
    </row>
    <row r="308" spans="1:53" ht="12" customHeight="1">
      <c r="A308" s="67" t="str">
        <f t="shared" si="185"/>
        <v/>
      </c>
      <c r="B308" s="69" t="str">
        <f t="shared" si="187"/>
        <v/>
      </c>
      <c r="C308" s="71"/>
      <c r="D308" s="69" t="str">
        <f t="shared" si="151"/>
        <v/>
      </c>
      <c r="E308" s="70" t="str">
        <f t="shared" si="152"/>
        <v/>
      </c>
      <c r="F308" s="70" t="str">
        <f t="shared" si="153"/>
        <v/>
      </c>
      <c r="G308" s="63" t="str">
        <f t="shared" si="154"/>
        <v/>
      </c>
      <c r="H308" s="64" t="str">
        <f t="shared" si="155"/>
        <v/>
      </c>
      <c r="I308" s="43"/>
      <c r="J308" s="63" t="str">
        <f t="shared" si="156"/>
        <v/>
      </c>
      <c r="K308" s="64" t="str">
        <f t="shared" si="157"/>
        <v/>
      </c>
      <c r="L308" s="38">
        <v>0</v>
      </c>
      <c r="M308" s="64" t="str">
        <f t="shared" si="158"/>
        <v/>
      </c>
      <c r="N308" s="65"/>
      <c r="O308" s="63" t="str">
        <f t="shared" si="159"/>
        <v/>
      </c>
      <c r="P308" s="63" t="str">
        <f t="shared" si="160"/>
        <v/>
      </c>
      <c r="Q308" s="66"/>
      <c r="R308" s="63" t="str">
        <f t="shared" si="161"/>
        <v/>
      </c>
      <c r="S308" s="64" t="str">
        <f t="shared" si="162"/>
        <v/>
      </c>
      <c r="T308" s="63" t="str">
        <f t="shared" si="163"/>
        <v/>
      </c>
      <c r="U308" s="64" t="str">
        <f t="shared" si="164"/>
        <v/>
      </c>
      <c r="V308" s="219" t="str">
        <f>IF($A309="","",IF(AND(MONTH(A308)&gt;3,MONTH(A308)&lt;11),(T308+R308+G308)*Summary!$T$10/(1-Summary!$T$10),(T308+R308+G308)*Summary!$U$10/(1-Summary!$U$10)))</f>
        <v/>
      </c>
      <c r="W308" s="63" t="str">
        <f t="shared" si="165"/>
        <v/>
      </c>
      <c r="X308" s="63" t="str">
        <f t="shared" si="166"/>
        <v/>
      </c>
      <c r="Y308" s="43"/>
      <c r="Z308" s="38" t="str">
        <f t="shared" si="167"/>
        <v/>
      </c>
      <c r="AA308" s="38" t="str">
        <f t="shared" si="168"/>
        <v/>
      </c>
      <c r="AB308" s="38" t="e">
        <f t="shared" si="169"/>
        <v>#VALUE!</v>
      </c>
      <c r="AC308" s="38" t="str">
        <f t="shared" si="170"/>
        <v/>
      </c>
      <c r="AD308" s="38" t="str">
        <f t="shared" si="170"/>
        <v/>
      </c>
      <c r="AE308" s="38" t="e">
        <f t="shared" si="171"/>
        <v>#VALUE!</v>
      </c>
      <c r="AF308" s="237" t="e">
        <f>((Summary!$N$10*(AA308*AD308)*(A308-$D$3))+(Summary!$M$10*Z308*AC308*(AJ308-EOMONTH(EDATE(A308,-1),0))))/(AK308*AB308*AE308)</f>
        <v>#VALUE!</v>
      </c>
      <c r="AG308" s="88" t="str">
        <f>IF($A309="","",Summary!$Q$10)</f>
        <v/>
      </c>
      <c r="AH308" s="88" t="str">
        <f>IF($A309="","",IF(Summary!$R$10="Y",(VLOOKUP($A308,Summary!$AD$6:$AF$9,3)+'Escalating commodity'!F321),'Escalating commodity'!F321))</f>
        <v/>
      </c>
      <c r="AI308" s="88" t="str">
        <f t="shared" si="186"/>
        <v/>
      </c>
      <c r="AJ308" s="236" t="e">
        <f t="shared" si="172"/>
        <v>#VALUE!</v>
      </c>
      <c r="AK308" s="58" t="str">
        <f t="shared" si="173"/>
        <v/>
      </c>
      <c r="AL308" s="26" t="str">
        <f>IF($A309="","",_xll.SPRDOPT(P308,X308,AI308,0,AB308,AE308,AF308,AK308,$AJ$2,0))</f>
        <v/>
      </c>
      <c r="AM308" s="89" t="str">
        <f t="shared" si="174"/>
        <v/>
      </c>
      <c r="AN308" s="89" t="str">
        <f t="shared" si="175"/>
        <v/>
      </c>
      <c r="AO308" s="3" t="str">
        <f t="shared" si="176"/>
        <v/>
      </c>
      <c r="AP308" s="33" t="str">
        <f t="shared" si="177"/>
        <v/>
      </c>
      <c r="AQ308" s="58" t="str">
        <f t="shared" si="178"/>
        <v/>
      </c>
      <c r="AR308" s="38">
        <f>'ANR OK vs ML7'!AR308</f>
        <v>0.1</v>
      </c>
      <c r="AS308" s="35" t="str">
        <f t="shared" si="179"/>
        <v/>
      </c>
      <c r="AT308" s="3" t="str">
        <f t="shared" si="180"/>
        <v/>
      </c>
      <c r="AU308" s="3" t="str">
        <f t="shared" si="181"/>
        <v/>
      </c>
      <c r="AW308" s="32" t="str">
        <f t="shared" si="182"/>
        <v/>
      </c>
      <c r="AX308" s="32" t="str">
        <f t="shared" si="183"/>
        <v/>
      </c>
      <c r="AY308" s="32" t="str">
        <f t="shared" si="184"/>
        <v/>
      </c>
      <c r="BA308" s="32" t="str">
        <f>IF($A309="","",F308*Summary!$Q$10)</f>
        <v/>
      </c>
    </row>
    <row r="309" spans="1:53" ht="12" customHeight="1">
      <c r="A309" s="67" t="str">
        <f t="shared" si="185"/>
        <v/>
      </c>
      <c r="B309" s="69" t="str">
        <f t="shared" si="187"/>
        <v/>
      </c>
      <c r="C309" s="71"/>
      <c r="D309" s="69" t="str">
        <f t="shared" si="151"/>
        <v/>
      </c>
      <c r="E309" s="70" t="str">
        <f t="shared" si="152"/>
        <v/>
      </c>
      <c r="F309" s="70" t="str">
        <f t="shared" si="153"/>
        <v/>
      </c>
      <c r="G309" s="63" t="str">
        <f t="shared" si="154"/>
        <v/>
      </c>
      <c r="H309" s="64" t="str">
        <f t="shared" si="155"/>
        <v/>
      </c>
      <c r="I309" s="43"/>
      <c r="J309" s="63" t="str">
        <f t="shared" si="156"/>
        <v/>
      </c>
      <c r="K309" s="64" t="str">
        <f t="shared" si="157"/>
        <v/>
      </c>
      <c r="L309" s="38">
        <v>0</v>
      </c>
      <c r="M309" s="64" t="str">
        <f t="shared" si="158"/>
        <v/>
      </c>
      <c r="N309" s="65"/>
      <c r="O309" s="63" t="str">
        <f t="shared" si="159"/>
        <v/>
      </c>
      <c r="P309" s="63" t="str">
        <f t="shared" si="160"/>
        <v/>
      </c>
      <c r="Q309" s="66"/>
      <c r="R309" s="63" t="str">
        <f t="shared" si="161"/>
        <v/>
      </c>
      <c r="S309" s="64" t="str">
        <f t="shared" si="162"/>
        <v/>
      </c>
      <c r="T309" s="63" t="str">
        <f t="shared" si="163"/>
        <v/>
      </c>
      <c r="U309" s="64" t="str">
        <f t="shared" si="164"/>
        <v/>
      </c>
      <c r="V309" s="219" t="str">
        <f>IF($A310="","",IF(AND(MONTH(A309)&gt;3,MONTH(A309)&lt;11),(T309+R309+G309)*Summary!$T$10/(1-Summary!$T$10),(T309+R309+G309)*Summary!$U$10/(1-Summary!$U$10)))</f>
        <v/>
      </c>
      <c r="W309" s="63" t="str">
        <f t="shared" si="165"/>
        <v/>
      </c>
      <c r="X309" s="63" t="str">
        <f t="shared" si="166"/>
        <v/>
      </c>
      <c r="Y309" s="43"/>
      <c r="Z309" s="38" t="str">
        <f t="shared" si="167"/>
        <v/>
      </c>
      <c r="AA309" s="38" t="str">
        <f t="shared" si="168"/>
        <v/>
      </c>
      <c r="AB309" s="38" t="e">
        <f t="shared" si="169"/>
        <v>#VALUE!</v>
      </c>
      <c r="AC309" s="38" t="str">
        <f t="shared" si="170"/>
        <v/>
      </c>
      <c r="AD309" s="38" t="str">
        <f t="shared" si="170"/>
        <v/>
      </c>
      <c r="AE309" s="38" t="e">
        <f t="shared" si="171"/>
        <v>#VALUE!</v>
      </c>
      <c r="AF309" s="237" t="e">
        <f>((Summary!$N$10*(AA309*AD309)*(A309-$D$3))+(Summary!$M$10*Z309*AC309*(AJ309-EOMONTH(EDATE(A309,-1),0))))/(AK309*AB309*AE309)</f>
        <v>#VALUE!</v>
      </c>
      <c r="AG309" s="88" t="str">
        <f>IF($A310="","",Summary!$Q$10)</f>
        <v/>
      </c>
      <c r="AH309" s="88" t="str">
        <f>IF($A310="","",IF(Summary!$R$10="Y",(VLOOKUP($A309,Summary!$AD$6:$AF$9,3)+'Escalating commodity'!F322),'Escalating commodity'!F322))</f>
        <v/>
      </c>
      <c r="AI309" s="88" t="str">
        <f t="shared" si="186"/>
        <v/>
      </c>
      <c r="AJ309" s="236" t="e">
        <f t="shared" si="172"/>
        <v>#VALUE!</v>
      </c>
      <c r="AK309" s="58" t="str">
        <f t="shared" si="173"/>
        <v/>
      </c>
      <c r="AL309" s="26" t="str">
        <f>IF($A310="","",_xll.SPRDOPT(P309,X309,AI309,0,AB309,AE309,AF309,AK309,$AJ$2,0))</f>
        <v/>
      </c>
      <c r="AM309" s="89" t="str">
        <f t="shared" si="174"/>
        <v/>
      </c>
      <c r="AN309" s="89" t="str">
        <f t="shared" si="175"/>
        <v/>
      </c>
      <c r="AO309" s="3" t="str">
        <f t="shared" si="176"/>
        <v/>
      </c>
      <c r="AP309" s="33" t="str">
        <f t="shared" si="177"/>
        <v/>
      </c>
      <c r="AQ309" s="58" t="str">
        <f t="shared" si="178"/>
        <v/>
      </c>
      <c r="AR309" s="38">
        <f>'ANR OK vs ML7'!AR309</f>
        <v>0.1</v>
      </c>
      <c r="AS309" s="35" t="str">
        <f t="shared" si="179"/>
        <v/>
      </c>
      <c r="AT309" s="3" t="str">
        <f t="shared" si="180"/>
        <v/>
      </c>
      <c r="AU309" s="3" t="str">
        <f t="shared" si="181"/>
        <v/>
      </c>
      <c r="AW309" s="32" t="str">
        <f t="shared" si="182"/>
        <v/>
      </c>
      <c r="AX309" s="32" t="str">
        <f t="shared" si="183"/>
        <v/>
      </c>
      <c r="AY309" s="32" t="str">
        <f t="shared" si="184"/>
        <v/>
      </c>
      <c r="BA309" s="32" t="str">
        <f>IF($A310="","",F309*Summary!$Q$10)</f>
        <v/>
      </c>
    </row>
    <row r="310" spans="1:53" ht="12" customHeight="1">
      <c r="A310" s="67" t="str">
        <f t="shared" si="185"/>
        <v/>
      </c>
      <c r="B310" s="69" t="str">
        <f t="shared" si="187"/>
        <v/>
      </c>
      <c r="C310" s="71"/>
      <c r="D310" s="69" t="str">
        <f t="shared" si="151"/>
        <v/>
      </c>
      <c r="E310" s="70" t="str">
        <f t="shared" si="152"/>
        <v/>
      </c>
      <c r="F310" s="70" t="str">
        <f t="shared" si="153"/>
        <v/>
      </c>
      <c r="G310" s="63" t="str">
        <f t="shared" si="154"/>
        <v/>
      </c>
      <c r="H310" s="64" t="str">
        <f t="shared" si="155"/>
        <v/>
      </c>
      <c r="I310" s="43"/>
      <c r="J310" s="63" t="str">
        <f t="shared" si="156"/>
        <v/>
      </c>
      <c r="K310" s="64" t="str">
        <f t="shared" si="157"/>
        <v/>
      </c>
      <c r="L310" s="38">
        <v>0</v>
      </c>
      <c r="M310" s="64" t="str">
        <f t="shared" si="158"/>
        <v/>
      </c>
      <c r="N310" s="65"/>
      <c r="O310" s="63" t="str">
        <f t="shared" si="159"/>
        <v/>
      </c>
      <c r="P310" s="63" t="str">
        <f t="shared" si="160"/>
        <v/>
      </c>
      <c r="Q310" s="66"/>
      <c r="R310" s="63" t="str">
        <f t="shared" si="161"/>
        <v/>
      </c>
      <c r="S310" s="64" t="str">
        <f t="shared" si="162"/>
        <v/>
      </c>
      <c r="T310" s="63" t="str">
        <f t="shared" si="163"/>
        <v/>
      </c>
      <c r="U310" s="64" t="str">
        <f t="shared" si="164"/>
        <v/>
      </c>
      <c r="V310" s="219" t="str">
        <f>IF($A311="","",IF(AND(MONTH(A310)&gt;3,MONTH(A310)&lt;11),(T310+R310+G310)*Summary!$T$10/(1-Summary!$T$10),(T310+R310+G310)*Summary!$U$10/(1-Summary!$U$10)))</f>
        <v/>
      </c>
      <c r="W310" s="63" t="str">
        <f t="shared" si="165"/>
        <v/>
      </c>
      <c r="X310" s="63" t="str">
        <f t="shared" si="166"/>
        <v/>
      </c>
      <c r="Y310" s="43"/>
      <c r="Z310" s="38" t="str">
        <f t="shared" si="167"/>
        <v/>
      </c>
      <c r="AA310" s="38" t="str">
        <f t="shared" si="168"/>
        <v/>
      </c>
      <c r="AB310" s="38" t="e">
        <f t="shared" si="169"/>
        <v>#VALUE!</v>
      </c>
      <c r="AC310" s="38" t="str">
        <f t="shared" si="170"/>
        <v/>
      </c>
      <c r="AD310" s="38" t="str">
        <f t="shared" si="170"/>
        <v/>
      </c>
      <c r="AE310" s="38" t="e">
        <f t="shared" si="171"/>
        <v>#VALUE!</v>
      </c>
      <c r="AF310" s="237" t="e">
        <f>((Summary!$N$10*(AA310*AD310)*(A310-$D$3))+(Summary!$M$10*Z310*AC310*(AJ310-EOMONTH(EDATE(A310,-1),0))))/(AK310*AB310*AE310)</f>
        <v>#VALUE!</v>
      </c>
      <c r="AG310" s="88" t="str">
        <f>IF($A311="","",Summary!$Q$10)</f>
        <v/>
      </c>
      <c r="AH310" s="88" t="str">
        <f>IF($A311="","",IF(Summary!$R$10="Y",(VLOOKUP($A310,Summary!$AD$6:$AF$9,3)+'Escalating commodity'!F323),'Escalating commodity'!F323))</f>
        <v/>
      </c>
      <c r="AI310" s="88" t="str">
        <f t="shared" si="186"/>
        <v/>
      </c>
      <c r="AJ310" s="236" t="e">
        <f t="shared" si="172"/>
        <v>#VALUE!</v>
      </c>
      <c r="AK310" s="58" t="str">
        <f t="shared" si="173"/>
        <v/>
      </c>
      <c r="AL310" s="26" t="str">
        <f>IF($A311="","",_xll.SPRDOPT(P310,X310,AI310,0,AB310,AE310,AF310,AK310,$AJ$2,0))</f>
        <v/>
      </c>
      <c r="AM310" s="89" t="str">
        <f t="shared" si="174"/>
        <v/>
      </c>
      <c r="AN310" s="89" t="str">
        <f t="shared" si="175"/>
        <v/>
      </c>
      <c r="AO310" s="3" t="str">
        <f t="shared" si="176"/>
        <v/>
      </c>
      <c r="AP310" s="33" t="str">
        <f t="shared" si="177"/>
        <v/>
      </c>
      <c r="AQ310" s="58" t="str">
        <f t="shared" si="178"/>
        <v/>
      </c>
      <c r="AR310" s="38">
        <f>'ANR OK vs ML7'!AR310</f>
        <v>0.1</v>
      </c>
      <c r="AS310" s="35" t="str">
        <f t="shared" si="179"/>
        <v/>
      </c>
      <c r="AT310" s="3" t="str">
        <f t="shared" si="180"/>
        <v/>
      </c>
      <c r="AU310" s="3" t="str">
        <f t="shared" si="181"/>
        <v/>
      </c>
      <c r="AW310" s="32" t="str">
        <f t="shared" si="182"/>
        <v/>
      </c>
      <c r="AX310" s="32" t="str">
        <f t="shared" si="183"/>
        <v/>
      </c>
      <c r="AY310" s="32" t="str">
        <f t="shared" si="184"/>
        <v/>
      </c>
      <c r="BA310" s="32" t="str">
        <f>IF($A311="","",F310*Summary!$Q$10)</f>
        <v/>
      </c>
    </row>
    <row r="311" spans="1:53" ht="12" customHeight="1">
      <c r="A311" s="67" t="str">
        <f t="shared" si="185"/>
        <v/>
      </c>
      <c r="B311" s="69" t="str">
        <f t="shared" si="187"/>
        <v/>
      </c>
      <c r="C311" s="71"/>
      <c r="D311" s="69" t="str">
        <f t="shared" si="151"/>
        <v/>
      </c>
      <c r="E311" s="70" t="str">
        <f t="shared" si="152"/>
        <v/>
      </c>
      <c r="F311" s="70" t="str">
        <f t="shared" si="153"/>
        <v/>
      </c>
      <c r="G311" s="63" t="str">
        <f t="shared" si="154"/>
        <v/>
      </c>
      <c r="H311" s="64" t="str">
        <f t="shared" si="155"/>
        <v/>
      </c>
      <c r="I311" s="43"/>
      <c r="J311" s="63" t="str">
        <f t="shared" si="156"/>
        <v/>
      </c>
      <c r="K311" s="64" t="str">
        <f t="shared" si="157"/>
        <v/>
      </c>
      <c r="L311" s="38">
        <v>0</v>
      </c>
      <c r="M311" s="64" t="str">
        <f t="shared" si="158"/>
        <v/>
      </c>
      <c r="N311" s="65"/>
      <c r="O311" s="63" t="str">
        <f t="shared" si="159"/>
        <v/>
      </c>
      <c r="P311" s="63" t="str">
        <f t="shared" si="160"/>
        <v/>
      </c>
      <c r="Q311" s="66"/>
      <c r="R311" s="63" t="str">
        <f t="shared" si="161"/>
        <v/>
      </c>
      <c r="S311" s="64" t="str">
        <f t="shared" si="162"/>
        <v/>
      </c>
      <c r="T311" s="63" t="str">
        <f t="shared" si="163"/>
        <v/>
      </c>
      <c r="U311" s="64" t="str">
        <f t="shared" si="164"/>
        <v/>
      </c>
      <c r="V311" s="219" t="str">
        <f>IF($A312="","",IF(AND(MONTH(A311)&gt;3,MONTH(A311)&lt;11),(T311+R311+G311)*Summary!$T$10/(1-Summary!$T$10),(T311+R311+G311)*Summary!$U$10/(1-Summary!$U$10)))</f>
        <v/>
      </c>
      <c r="W311" s="63" t="str">
        <f t="shared" si="165"/>
        <v/>
      </c>
      <c r="X311" s="63" t="str">
        <f t="shared" si="166"/>
        <v/>
      </c>
      <c r="Y311" s="43"/>
      <c r="Z311" s="38" t="str">
        <f t="shared" si="167"/>
        <v/>
      </c>
      <c r="AA311" s="38" t="str">
        <f t="shared" si="168"/>
        <v/>
      </c>
      <c r="AB311" s="38" t="e">
        <f t="shared" si="169"/>
        <v>#VALUE!</v>
      </c>
      <c r="AC311" s="38" t="str">
        <f t="shared" si="170"/>
        <v/>
      </c>
      <c r="AD311" s="38" t="str">
        <f t="shared" si="170"/>
        <v/>
      </c>
      <c r="AE311" s="38" t="e">
        <f t="shared" si="171"/>
        <v>#VALUE!</v>
      </c>
      <c r="AF311" s="237" t="e">
        <f>((Summary!$N$10*(AA311*AD311)*(A311-$D$3))+(Summary!$M$10*Z311*AC311*(AJ311-EOMONTH(EDATE(A311,-1),0))))/(AK311*AB311*AE311)</f>
        <v>#VALUE!</v>
      </c>
      <c r="AG311" s="88" t="str">
        <f>IF($A312="","",Summary!$Q$10)</f>
        <v/>
      </c>
      <c r="AH311" s="88" t="str">
        <f>IF($A312="","",IF(Summary!$R$10="Y",(VLOOKUP($A311,Summary!$AD$6:$AF$9,3)+'Escalating commodity'!F324),'Escalating commodity'!F324))</f>
        <v/>
      </c>
      <c r="AI311" s="88" t="str">
        <f t="shared" si="186"/>
        <v/>
      </c>
      <c r="AJ311" s="236" t="e">
        <f t="shared" si="172"/>
        <v>#VALUE!</v>
      </c>
      <c r="AK311" s="58" t="str">
        <f t="shared" si="173"/>
        <v/>
      </c>
      <c r="AL311" s="26" t="str">
        <f>IF($A312="","",_xll.SPRDOPT(P311,X311,AI311,0,AB311,AE311,AF311,AK311,$AJ$2,0))</f>
        <v/>
      </c>
      <c r="AM311" s="89" t="str">
        <f t="shared" si="174"/>
        <v/>
      </c>
      <c r="AN311" s="89" t="str">
        <f t="shared" si="175"/>
        <v/>
      </c>
      <c r="AO311" s="3" t="str">
        <f t="shared" si="176"/>
        <v/>
      </c>
      <c r="AP311" s="33" t="str">
        <f t="shared" si="177"/>
        <v/>
      </c>
      <c r="AQ311" s="58" t="str">
        <f t="shared" si="178"/>
        <v/>
      </c>
      <c r="AR311" s="38">
        <f>'ANR OK vs ML7'!AR311</f>
        <v>0.1</v>
      </c>
      <c r="AS311" s="35" t="str">
        <f t="shared" si="179"/>
        <v/>
      </c>
      <c r="AT311" s="3" t="str">
        <f t="shared" si="180"/>
        <v/>
      </c>
      <c r="AU311" s="3" t="str">
        <f t="shared" si="181"/>
        <v/>
      </c>
      <c r="AW311" s="32" t="str">
        <f t="shared" si="182"/>
        <v/>
      </c>
      <c r="AX311" s="32" t="str">
        <f t="shared" si="183"/>
        <v/>
      </c>
      <c r="AY311" s="32" t="str">
        <f t="shared" si="184"/>
        <v/>
      </c>
      <c r="BA311" s="32" t="str">
        <f>IF($A312="","",F311*Summary!$Q$10)</f>
        <v/>
      </c>
    </row>
    <row r="312" spans="1:53" ht="12" customHeight="1">
      <c r="A312" s="67" t="str">
        <f t="shared" si="185"/>
        <v/>
      </c>
      <c r="B312" s="69" t="str">
        <f t="shared" si="187"/>
        <v/>
      </c>
      <c r="C312" s="71"/>
      <c r="D312" s="69" t="str">
        <f t="shared" si="151"/>
        <v/>
      </c>
      <c r="E312" s="70" t="str">
        <f t="shared" si="152"/>
        <v/>
      </c>
      <c r="F312" s="70" t="str">
        <f t="shared" si="153"/>
        <v/>
      </c>
      <c r="G312" s="63" t="str">
        <f t="shared" si="154"/>
        <v/>
      </c>
      <c r="H312" s="64" t="str">
        <f t="shared" si="155"/>
        <v/>
      </c>
      <c r="I312" s="43"/>
      <c r="J312" s="63" t="str">
        <f t="shared" si="156"/>
        <v/>
      </c>
      <c r="K312" s="64" t="str">
        <f t="shared" si="157"/>
        <v/>
      </c>
      <c r="L312" s="38">
        <v>0</v>
      </c>
      <c r="M312" s="64" t="str">
        <f t="shared" si="158"/>
        <v/>
      </c>
      <c r="N312" s="65"/>
      <c r="O312" s="63" t="str">
        <f t="shared" si="159"/>
        <v/>
      </c>
      <c r="P312" s="63" t="str">
        <f t="shared" si="160"/>
        <v/>
      </c>
      <c r="Q312" s="66"/>
      <c r="R312" s="63" t="str">
        <f t="shared" si="161"/>
        <v/>
      </c>
      <c r="S312" s="64" t="str">
        <f t="shared" si="162"/>
        <v/>
      </c>
      <c r="T312" s="63" t="str">
        <f t="shared" si="163"/>
        <v/>
      </c>
      <c r="U312" s="64" t="str">
        <f t="shared" si="164"/>
        <v/>
      </c>
      <c r="V312" s="219" t="str">
        <f>IF($A313="","",IF(AND(MONTH(A312)&gt;3,MONTH(A312)&lt;11),(T312+R312+G312)*Summary!$T$10/(1-Summary!$T$10),(T312+R312+G312)*Summary!$U$10/(1-Summary!$U$10)))</f>
        <v/>
      </c>
      <c r="W312" s="63" t="str">
        <f t="shared" si="165"/>
        <v/>
      </c>
      <c r="X312" s="63" t="str">
        <f t="shared" si="166"/>
        <v/>
      </c>
      <c r="Y312" s="43"/>
      <c r="Z312" s="38" t="str">
        <f t="shared" si="167"/>
        <v/>
      </c>
      <c r="AA312" s="38" t="str">
        <f t="shared" si="168"/>
        <v/>
      </c>
      <c r="AB312" s="38" t="e">
        <f t="shared" si="169"/>
        <v>#VALUE!</v>
      </c>
      <c r="AC312" s="38" t="str">
        <f t="shared" si="170"/>
        <v/>
      </c>
      <c r="AD312" s="38" t="str">
        <f t="shared" si="170"/>
        <v/>
      </c>
      <c r="AE312" s="38" t="e">
        <f t="shared" si="171"/>
        <v>#VALUE!</v>
      </c>
      <c r="AF312" s="237" t="e">
        <f>((Summary!$N$10*(AA312*AD312)*(A312-$D$3))+(Summary!$M$10*Z312*AC312*(AJ312-EOMONTH(EDATE(A312,-1),0))))/(AK312*AB312*AE312)</f>
        <v>#VALUE!</v>
      </c>
      <c r="AG312" s="88" t="str">
        <f>IF($A313="","",Summary!$Q$10)</f>
        <v/>
      </c>
      <c r="AH312" s="88" t="str">
        <f>IF($A313="","",IF(Summary!$R$10="Y",(VLOOKUP($A312,Summary!$AD$6:$AF$9,3)+'Escalating commodity'!F325),'Escalating commodity'!F325))</f>
        <v/>
      </c>
      <c r="AI312" s="88" t="str">
        <f t="shared" si="186"/>
        <v/>
      </c>
      <c r="AJ312" s="236" t="e">
        <f t="shared" si="172"/>
        <v>#VALUE!</v>
      </c>
      <c r="AK312" s="58" t="str">
        <f t="shared" si="173"/>
        <v/>
      </c>
      <c r="AL312" s="26" t="str">
        <f>IF($A313="","",_xll.SPRDOPT(P312,X312,AI312,0,AB312,AE312,AF312,AK312,$AJ$2,0))</f>
        <v/>
      </c>
      <c r="AM312" s="89" t="str">
        <f t="shared" si="174"/>
        <v/>
      </c>
      <c r="AN312" s="89" t="str">
        <f t="shared" si="175"/>
        <v/>
      </c>
      <c r="AO312" s="3" t="str">
        <f t="shared" si="176"/>
        <v/>
      </c>
      <c r="AP312" s="33" t="str">
        <f t="shared" si="177"/>
        <v/>
      </c>
      <c r="AQ312" s="58" t="str">
        <f t="shared" si="178"/>
        <v/>
      </c>
      <c r="AR312" s="38">
        <f>'ANR OK vs ML7'!AR312</f>
        <v>0.1</v>
      </c>
      <c r="AS312" s="35" t="str">
        <f t="shared" si="179"/>
        <v/>
      </c>
      <c r="AT312" s="3" t="str">
        <f t="shared" si="180"/>
        <v/>
      </c>
      <c r="AU312" s="3" t="str">
        <f t="shared" si="181"/>
        <v/>
      </c>
      <c r="AW312" s="32" t="str">
        <f t="shared" si="182"/>
        <v/>
      </c>
      <c r="AX312" s="32" t="str">
        <f t="shared" si="183"/>
        <v/>
      </c>
      <c r="AY312" s="32" t="str">
        <f t="shared" si="184"/>
        <v/>
      </c>
      <c r="BA312" s="32" t="str">
        <f>IF($A313="","",F312*Summary!$Q$10)</f>
        <v/>
      </c>
    </row>
    <row r="313" spans="1:53" ht="12" customHeight="1">
      <c r="A313" s="67" t="str">
        <f t="shared" si="185"/>
        <v/>
      </c>
      <c r="B313" s="69" t="str">
        <f t="shared" si="187"/>
        <v/>
      </c>
      <c r="C313" s="71"/>
      <c r="D313" s="69" t="str">
        <f t="shared" si="151"/>
        <v/>
      </c>
      <c r="E313" s="70" t="str">
        <f t="shared" si="152"/>
        <v/>
      </c>
      <c r="F313" s="70" t="str">
        <f t="shared" si="153"/>
        <v/>
      </c>
      <c r="G313" s="63" t="str">
        <f t="shared" si="154"/>
        <v/>
      </c>
      <c r="H313" s="64" t="str">
        <f t="shared" si="155"/>
        <v/>
      </c>
      <c r="I313" s="43"/>
      <c r="J313" s="63" t="str">
        <f t="shared" si="156"/>
        <v/>
      </c>
      <c r="K313" s="64" t="str">
        <f t="shared" si="157"/>
        <v/>
      </c>
      <c r="L313" s="38">
        <v>0</v>
      </c>
      <c r="M313" s="64" t="str">
        <f t="shared" si="158"/>
        <v/>
      </c>
      <c r="N313" s="65"/>
      <c r="O313" s="63" t="str">
        <f t="shared" si="159"/>
        <v/>
      </c>
      <c r="P313" s="63" t="str">
        <f t="shared" si="160"/>
        <v/>
      </c>
      <c r="Q313" s="66"/>
      <c r="R313" s="63" t="str">
        <f t="shared" si="161"/>
        <v/>
      </c>
      <c r="S313" s="64" t="str">
        <f t="shared" si="162"/>
        <v/>
      </c>
      <c r="T313" s="63" t="str">
        <f t="shared" si="163"/>
        <v/>
      </c>
      <c r="U313" s="64" t="str">
        <f t="shared" si="164"/>
        <v/>
      </c>
      <c r="V313" s="219" t="str">
        <f>IF($A314="","",IF(AND(MONTH(A313)&gt;3,MONTH(A313)&lt;11),(T313+R313+G313)*Summary!$T$10/(1-Summary!$T$10),(T313+R313+G313)*Summary!$U$10/(1-Summary!$U$10)))</f>
        <v/>
      </c>
      <c r="W313" s="63" t="str">
        <f t="shared" si="165"/>
        <v/>
      </c>
      <c r="X313" s="63" t="str">
        <f t="shared" si="166"/>
        <v/>
      </c>
      <c r="Y313" s="43"/>
      <c r="Z313" s="38" t="str">
        <f t="shared" si="167"/>
        <v/>
      </c>
      <c r="AA313" s="38" t="str">
        <f t="shared" si="168"/>
        <v/>
      </c>
      <c r="AB313" s="38" t="e">
        <f t="shared" si="169"/>
        <v>#VALUE!</v>
      </c>
      <c r="AC313" s="38" t="str">
        <f t="shared" si="170"/>
        <v/>
      </c>
      <c r="AD313" s="38" t="str">
        <f t="shared" si="170"/>
        <v/>
      </c>
      <c r="AE313" s="38" t="e">
        <f t="shared" si="171"/>
        <v>#VALUE!</v>
      </c>
      <c r="AF313" s="237" t="e">
        <f>((Summary!$N$10*(AA313*AD313)*(A313-$D$3))+(Summary!$M$10*Z313*AC313*(AJ313-EOMONTH(EDATE(A313,-1),0))))/(AK313*AB313*AE313)</f>
        <v>#VALUE!</v>
      </c>
      <c r="AG313" s="88" t="str">
        <f>IF($A314="","",Summary!$Q$10)</f>
        <v/>
      </c>
      <c r="AH313" s="88" t="str">
        <f>IF($A314="","",IF(Summary!$R$10="Y",(VLOOKUP($A313,Summary!$AD$6:$AF$9,3)+'Escalating commodity'!F326),'Escalating commodity'!F326))</f>
        <v/>
      </c>
      <c r="AI313" s="88" t="str">
        <f t="shared" si="186"/>
        <v/>
      </c>
      <c r="AJ313" s="236" t="e">
        <f t="shared" si="172"/>
        <v>#VALUE!</v>
      </c>
      <c r="AK313" s="58" t="str">
        <f t="shared" si="173"/>
        <v/>
      </c>
      <c r="AL313" s="26" t="str">
        <f>IF($A314="","",_xll.SPRDOPT(P313,X313,AI313,0,AB313,AE313,AF313,AK313,$AJ$2,0))</f>
        <v/>
      </c>
      <c r="AM313" s="89" t="str">
        <f t="shared" si="174"/>
        <v/>
      </c>
      <c r="AN313" s="89" t="str">
        <f t="shared" si="175"/>
        <v/>
      </c>
      <c r="AO313" s="3" t="str">
        <f t="shared" si="176"/>
        <v/>
      </c>
      <c r="AP313" s="33" t="str">
        <f t="shared" si="177"/>
        <v/>
      </c>
      <c r="AQ313" s="58" t="str">
        <f t="shared" si="178"/>
        <v/>
      </c>
      <c r="AR313" s="38">
        <f>'ANR OK vs ML7'!AR313</f>
        <v>0.1</v>
      </c>
      <c r="AS313" s="35" t="str">
        <f t="shared" si="179"/>
        <v/>
      </c>
      <c r="AT313" s="3" t="str">
        <f t="shared" si="180"/>
        <v/>
      </c>
      <c r="AU313" s="3" t="str">
        <f t="shared" si="181"/>
        <v/>
      </c>
      <c r="AW313" s="32" t="str">
        <f t="shared" si="182"/>
        <v/>
      </c>
      <c r="AX313" s="32" t="str">
        <f t="shared" si="183"/>
        <v/>
      </c>
      <c r="AY313" s="32" t="str">
        <f t="shared" si="184"/>
        <v/>
      </c>
      <c r="BA313" s="32" t="str">
        <f>IF($A314="","",F313*Summary!$Q$10)</f>
        <v/>
      </c>
    </row>
    <row r="314" spans="1:53" ht="12" customHeight="1">
      <c r="A314" s="67" t="str">
        <f t="shared" si="185"/>
        <v/>
      </c>
      <c r="B314" s="69" t="str">
        <f t="shared" si="187"/>
        <v/>
      </c>
      <c r="C314" s="71"/>
      <c r="D314" s="69" t="str">
        <f t="shared" si="151"/>
        <v/>
      </c>
      <c r="E314" s="70" t="str">
        <f t="shared" si="152"/>
        <v/>
      </c>
      <c r="F314" s="70" t="str">
        <f t="shared" si="153"/>
        <v/>
      </c>
      <c r="G314" s="63" t="str">
        <f t="shared" si="154"/>
        <v/>
      </c>
      <c r="H314" s="64" t="str">
        <f t="shared" si="155"/>
        <v/>
      </c>
      <c r="I314" s="43"/>
      <c r="J314" s="63" t="str">
        <f t="shared" si="156"/>
        <v/>
      </c>
      <c r="K314" s="64" t="str">
        <f t="shared" si="157"/>
        <v/>
      </c>
      <c r="L314" s="38">
        <v>0</v>
      </c>
      <c r="M314" s="64" t="str">
        <f t="shared" si="158"/>
        <v/>
      </c>
      <c r="N314" s="65"/>
      <c r="O314" s="63" t="str">
        <f t="shared" si="159"/>
        <v/>
      </c>
      <c r="P314" s="63" t="str">
        <f t="shared" si="160"/>
        <v/>
      </c>
      <c r="Q314" s="66"/>
      <c r="R314" s="63" t="str">
        <f t="shared" si="161"/>
        <v/>
      </c>
      <c r="S314" s="64" t="str">
        <f t="shared" si="162"/>
        <v/>
      </c>
      <c r="T314" s="63" t="str">
        <f t="shared" si="163"/>
        <v/>
      </c>
      <c r="U314" s="64" t="str">
        <f t="shared" si="164"/>
        <v/>
      </c>
      <c r="V314" s="219" t="str">
        <f>IF($A315="","",IF(AND(MONTH(A314)&gt;3,MONTH(A314)&lt;11),(T314+R314+G314)*Summary!$T$10/(1-Summary!$T$10),(T314+R314+G314)*Summary!$U$10/(1-Summary!$U$10)))</f>
        <v/>
      </c>
      <c r="W314" s="63" t="str">
        <f t="shared" si="165"/>
        <v/>
      </c>
      <c r="X314" s="63" t="str">
        <f t="shared" si="166"/>
        <v/>
      </c>
      <c r="Y314" s="43"/>
      <c r="Z314" s="38" t="str">
        <f t="shared" si="167"/>
        <v/>
      </c>
      <c r="AA314" s="38" t="str">
        <f t="shared" si="168"/>
        <v/>
      </c>
      <c r="AB314" s="38" t="e">
        <f t="shared" si="169"/>
        <v>#VALUE!</v>
      </c>
      <c r="AC314" s="38" t="str">
        <f t="shared" si="170"/>
        <v/>
      </c>
      <c r="AD314" s="38" t="str">
        <f t="shared" si="170"/>
        <v/>
      </c>
      <c r="AE314" s="38" t="e">
        <f t="shared" si="171"/>
        <v>#VALUE!</v>
      </c>
      <c r="AF314" s="237" t="e">
        <f>((Summary!$N$10*(AA314*AD314)*(A314-$D$3))+(Summary!$M$10*Z314*AC314*(AJ314-EOMONTH(EDATE(A314,-1),0))))/(AK314*AB314*AE314)</f>
        <v>#VALUE!</v>
      </c>
      <c r="AG314" s="88" t="str">
        <f>IF($A315="","",Summary!$Q$10)</f>
        <v/>
      </c>
      <c r="AH314" s="88" t="str">
        <f>IF($A315="","",IF(Summary!$R$10="Y",(VLOOKUP($A314,Summary!$AD$6:$AF$9,3)+'Escalating commodity'!F327),'Escalating commodity'!F327))</f>
        <v/>
      </c>
      <c r="AI314" s="88" t="str">
        <f t="shared" si="186"/>
        <v/>
      </c>
      <c r="AJ314" s="236" t="e">
        <f t="shared" si="172"/>
        <v>#VALUE!</v>
      </c>
      <c r="AK314" s="58" t="str">
        <f t="shared" si="173"/>
        <v/>
      </c>
      <c r="AL314" s="26" t="str">
        <f>IF($A315="","",_xll.SPRDOPT(P314,X314,AI314,0,AB314,AE314,AF314,AK314,$AJ$2,0))</f>
        <v/>
      </c>
      <c r="AM314" s="89" t="str">
        <f t="shared" si="174"/>
        <v/>
      </c>
      <c r="AN314" s="89" t="str">
        <f t="shared" si="175"/>
        <v/>
      </c>
      <c r="AO314" s="3" t="str">
        <f t="shared" si="176"/>
        <v/>
      </c>
      <c r="AP314" s="33" t="str">
        <f t="shared" si="177"/>
        <v/>
      </c>
      <c r="AQ314" s="58" t="str">
        <f t="shared" si="178"/>
        <v/>
      </c>
      <c r="AR314" s="38">
        <f>'ANR OK vs ML7'!AR314</f>
        <v>0.1</v>
      </c>
      <c r="AS314" s="35" t="str">
        <f t="shared" si="179"/>
        <v/>
      </c>
      <c r="AT314" s="3" t="str">
        <f t="shared" si="180"/>
        <v/>
      </c>
      <c r="AU314" s="3" t="str">
        <f t="shared" si="181"/>
        <v/>
      </c>
      <c r="AW314" s="32" t="str">
        <f t="shared" si="182"/>
        <v/>
      </c>
      <c r="AX314" s="32" t="str">
        <f t="shared" si="183"/>
        <v/>
      </c>
      <c r="AY314" s="32" t="str">
        <f t="shared" si="184"/>
        <v/>
      </c>
      <c r="BA314" s="32" t="str">
        <f>IF($A315="","",F314*Summary!$Q$10)</f>
        <v/>
      </c>
    </row>
    <row r="315" spans="1:53" ht="12" customHeight="1">
      <c r="A315" s="67" t="str">
        <f t="shared" si="185"/>
        <v/>
      </c>
      <c r="B315" s="69" t="str">
        <f t="shared" si="187"/>
        <v/>
      </c>
      <c r="C315" s="71"/>
      <c r="D315" s="69" t="str">
        <f t="shared" si="151"/>
        <v/>
      </c>
      <c r="E315" s="70" t="str">
        <f t="shared" si="152"/>
        <v/>
      </c>
      <c r="F315" s="70" t="str">
        <f t="shared" si="153"/>
        <v/>
      </c>
      <c r="G315" s="63" t="str">
        <f t="shared" si="154"/>
        <v/>
      </c>
      <c r="H315" s="64" t="str">
        <f t="shared" si="155"/>
        <v/>
      </c>
      <c r="I315" s="43"/>
      <c r="J315" s="63" t="str">
        <f t="shared" si="156"/>
        <v/>
      </c>
      <c r="K315" s="64" t="str">
        <f t="shared" si="157"/>
        <v/>
      </c>
      <c r="L315" s="38">
        <v>0</v>
      </c>
      <c r="M315" s="64" t="str">
        <f t="shared" si="158"/>
        <v/>
      </c>
      <c r="N315" s="65"/>
      <c r="O315" s="63" t="str">
        <f t="shared" si="159"/>
        <v/>
      </c>
      <c r="P315" s="63" t="str">
        <f t="shared" si="160"/>
        <v/>
      </c>
      <c r="Q315" s="66"/>
      <c r="R315" s="63" t="str">
        <f t="shared" si="161"/>
        <v/>
      </c>
      <c r="S315" s="64" t="str">
        <f t="shared" si="162"/>
        <v/>
      </c>
      <c r="T315" s="63" t="str">
        <f t="shared" si="163"/>
        <v/>
      </c>
      <c r="U315" s="64" t="str">
        <f t="shared" si="164"/>
        <v/>
      </c>
      <c r="V315" s="219" t="str">
        <f>IF($A316="","",IF(AND(MONTH(A315)&gt;3,MONTH(A315)&lt;11),(T315+R315+G315)*Summary!$T$10/(1-Summary!$T$10),(T315+R315+G315)*Summary!$U$10/(1-Summary!$U$10)))</f>
        <v/>
      </c>
      <c r="W315" s="63" t="str">
        <f t="shared" si="165"/>
        <v/>
      </c>
      <c r="X315" s="63" t="str">
        <f t="shared" si="166"/>
        <v/>
      </c>
      <c r="Y315" s="43"/>
      <c r="Z315" s="38" t="str">
        <f t="shared" si="167"/>
        <v/>
      </c>
      <c r="AA315" s="38" t="str">
        <f t="shared" si="168"/>
        <v/>
      </c>
      <c r="AB315" s="38" t="e">
        <f t="shared" si="169"/>
        <v>#VALUE!</v>
      </c>
      <c r="AC315" s="38" t="str">
        <f t="shared" si="170"/>
        <v/>
      </c>
      <c r="AD315" s="38" t="str">
        <f t="shared" si="170"/>
        <v/>
      </c>
      <c r="AE315" s="38" t="e">
        <f t="shared" si="171"/>
        <v>#VALUE!</v>
      </c>
      <c r="AF315" s="237" t="e">
        <f>((Summary!$N$10*(AA315*AD315)*(A315-$D$3))+(Summary!$M$10*Z315*AC315*(AJ315-EOMONTH(EDATE(A315,-1),0))))/(AK315*AB315*AE315)</f>
        <v>#VALUE!</v>
      </c>
      <c r="AG315" s="88" t="str">
        <f>IF($A316="","",Summary!$Q$10)</f>
        <v/>
      </c>
      <c r="AH315" s="88" t="str">
        <f>IF($A316="","",IF(Summary!$R$10="Y",(VLOOKUP($A315,Summary!$AD$6:$AF$9,3)+'Escalating commodity'!F328),'Escalating commodity'!F328))</f>
        <v/>
      </c>
      <c r="AI315" s="88" t="str">
        <f t="shared" si="186"/>
        <v/>
      </c>
      <c r="AJ315" s="236" t="e">
        <f t="shared" si="172"/>
        <v>#VALUE!</v>
      </c>
      <c r="AK315" s="58" t="str">
        <f t="shared" si="173"/>
        <v/>
      </c>
      <c r="AL315" s="26" t="str">
        <f>IF($A316="","",_xll.SPRDOPT(P315,X315,AI315,0,AB315,AE315,AF315,AK315,$AJ$2,0))</f>
        <v/>
      </c>
      <c r="AM315" s="89" t="str">
        <f t="shared" si="174"/>
        <v/>
      </c>
      <c r="AN315" s="89" t="str">
        <f t="shared" si="175"/>
        <v/>
      </c>
      <c r="AO315" s="3" t="str">
        <f t="shared" si="176"/>
        <v/>
      </c>
      <c r="AP315" s="33" t="str">
        <f t="shared" si="177"/>
        <v/>
      </c>
      <c r="AQ315" s="58" t="str">
        <f t="shared" si="178"/>
        <v/>
      </c>
      <c r="AR315" s="38">
        <f>'ANR OK vs ML7'!AR315</f>
        <v>0.1</v>
      </c>
      <c r="AS315" s="35" t="str">
        <f t="shared" si="179"/>
        <v/>
      </c>
      <c r="AT315" s="3" t="str">
        <f t="shared" si="180"/>
        <v/>
      </c>
      <c r="AU315" s="3" t="str">
        <f t="shared" si="181"/>
        <v/>
      </c>
      <c r="AW315" s="32" t="str">
        <f t="shared" si="182"/>
        <v/>
      </c>
      <c r="AX315" s="32" t="str">
        <f t="shared" si="183"/>
        <v/>
      </c>
      <c r="AY315" s="32" t="str">
        <f t="shared" si="184"/>
        <v/>
      </c>
      <c r="BA315" s="32" t="str">
        <f>IF($A316="","",F315*Summary!$Q$10)</f>
        <v/>
      </c>
    </row>
    <row r="316" spans="1:53" ht="12" customHeight="1">
      <c r="A316" s="67" t="str">
        <f t="shared" si="185"/>
        <v/>
      </c>
      <c r="B316" s="69" t="str">
        <f t="shared" si="187"/>
        <v/>
      </c>
      <c r="C316" s="71"/>
      <c r="D316" s="69" t="str">
        <f t="shared" si="151"/>
        <v/>
      </c>
      <c r="E316" s="70" t="str">
        <f t="shared" si="152"/>
        <v/>
      </c>
      <c r="F316" s="70" t="str">
        <f t="shared" si="153"/>
        <v/>
      </c>
      <c r="G316" s="63" t="str">
        <f t="shared" si="154"/>
        <v/>
      </c>
      <c r="H316" s="64" t="str">
        <f t="shared" si="155"/>
        <v/>
      </c>
      <c r="I316" s="43"/>
      <c r="J316" s="63" t="str">
        <f t="shared" si="156"/>
        <v/>
      </c>
      <c r="K316" s="64" t="str">
        <f t="shared" si="157"/>
        <v/>
      </c>
      <c r="L316" s="38">
        <v>0</v>
      </c>
      <c r="M316" s="64" t="str">
        <f t="shared" si="158"/>
        <v/>
      </c>
      <c r="N316" s="65"/>
      <c r="O316" s="63" t="str">
        <f t="shared" si="159"/>
        <v/>
      </c>
      <c r="P316" s="63" t="str">
        <f t="shared" si="160"/>
        <v/>
      </c>
      <c r="Q316" s="66"/>
      <c r="R316" s="63" t="str">
        <f t="shared" si="161"/>
        <v/>
      </c>
      <c r="S316" s="64" t="str">
        <f t="shared" si="162"/>
        <v/>
      </c>
      <c r="T316" s="63" t="str">
        <f t="shared" si="163"/>
        <v/>
      </c>
      <c r="U316" s="64" t="str">
        <f t="shared" si="164"/>
        <v/>
      </c>
      <c r="V316" s="219" t="str">
        <f>IF($A317="","",IF(AND(MONTH(A316)&gt;3,MONTH(A316)&lt;11),(T316+R316+G316)*Summary!$T$10/(1-Summary!$T$10),(T316+R316+G316)*Summary!$U$10/(1-Summary!$U$10)))</f>
        <v/>
      </c>
      <c r="W316" s="63" t="str">
        <f t="shared" si="165"/>
        <v/>
      </c>
      <c r="X316" s="63" t="str">
        <f t="shared" si="166"/>
        <v/>
      </c>
      <c r="Y316" s="43"/>
      <c r="Z316" s="38" t="str">
        <f t="shared" si="167"/>
        <v/>
      </c>
      <c r="AA316" s="38" t="str">
        <f t="shared" si="168"/>
        <v/>
      </c>
      <c r="AB316" s="38" t="e">
        <f t="shared" si="169"/>
        <v>#VALUE!</v>
      </c>
      <c r="AC316" s="38" t="str">
        <f t="shared" si="170"/>
        <v/>
      </c>
      <c r="AD316" s="38" t="str">
        <f t="shared" si="170"/>
        <v/>
      </c>
      <c r="AE316" s="38" t="e">
        <f t="shared" si="171"/>
        <v>#VALUE!</v>
      </c>
      <c r="AF316" s="237" t="e">
        <f>((Summary!$N$10*(AA316*AD316)*(A316-$D$3))+(Summary!$M$10*Z316*AC316*(AJ316-EOMONTH(EDATE(A316,-1),0))))/(AK316*AB316*AE316)</f>
        <v>#VALUE!</v>
      </c>
      <c r="AG316" s="88" t="str">
        <f>IF($A317="","",Summary!$Q$10)</f>
        <v/>
      </c>
      <c r="AH316" s="88" t="str">
        <f>IF($A317="","",IF(Summary!$R$10="Y",(VLOOKUP($A316,Summary!$AD$6:$AF$9,3)+'Escalating commodity'!F329),'Escalating commodity'!F329))</f>
        <v/>
      </c>
      <c r="AI316" s="88" t="str">
        <f t="shared" si="186"/>
        <v/>
      </c>
      <c r="AJ316" s="236" t="e">
        <f t="shared" si="172"/>
        <v>#VALUE!</v>
      </c>
      <c r="AK316" s="58" t="str">
        <f t="shared" si="173"/>
        <v/>
      </c>
      <c r="AL316" s="26" t="str">
        <f>IF($A317="","",_xll.SPRDOPT(P316,X316,AI316,0,AB316,AE316,AF316,AK316,$AJ$2,0))</f>
        <v/>
      </c>
      <c r="AM316" s="89" t="str">
        <f t="shared" si="174"/>
        <v/>
      </c>
      <c r="AN316" s="89" t="str">
        <f t="shared" si="175"/>
        <v/>
      </c>
      <c r="AO316" s="3" t="str">
        <f t="shared" si="176"/>
        <v/>
      </c>
      <c r="AP316" s="33" t="str">
        <f t="shared" si="177"/>
        <v/>
      </c>
      <c r="AQ316" s="58" t="str">
        <f t="shared" si="178"/>
        <v/>
      </c>
      <c r="AR316" s="38">
        <f>'ANR OK vs ML7'!AR316</f>
        <v>0.1</v>
      </c>
      <c r="AS316" s="35" t="str">
        <f t="shared" si="179"/>
        <v/>
      </c>
      <c r="AT316" s="3" t="str">
        <f t="shared" si="180"/>
        <v/>
      </c>
      <c r="AU316" s="3" t="str">
        <f t="shared" si="181"/>
        <v/>
      </c>
      <c r="AW316" s="32" t="str">
        <f t="shared" si="182"/>
        <v/>
      </c>
      <c r="AX316" s="32" t="str">
        <f t="shared" si="183"/>
        <v/>
      </c>
      <c r="AY316" s="32" t="str">
        <f t="shared" si="184"/>
        <v/>
      </c>
      <c r="BA316" s="32" t="str">
        <f>IF($A317="","",F316*Summary!$Q$10)</f>
        <v/>
      </c>
    </row>
    <row r="317" spans="1:53" ht="12" customHeight="1">
      <c r="A317" s="67" t="str">
        <f t="shared" si="185"/>
        <v/>
      </c>
      <c r="B317" s="69" t="str">
        <f t="shared" si="187"/>
        <v/>
      </c>
      <c r="C317" s="71"/>
      <c r="D317" s="69" t="str">
        <f t="shared" si="151"/>
        <v/>
      </c>
      <c r="E317" s="70" t="str">
        <f t="shared" si="152"/>
        <v/>
      </c>
      <c r="F317" s="70" t="str">
        <f t="shared" si="153"/>
        <v/>
      </c>
      <c r="G317" s="63" t="str">
        <f t="shared" si="154"/>
        <v/>
      </c>
      <c r="H317" s="64" t="str">
        <f t="shared" si="155"/>
        <v/>
      </c>
      <c r="I317" s="43"/>
      <c r="J317" s="63" t="str">
        <f t="shared" si="156"/>
        <v/>
      </c>
      <c r="K317" s="64" t="str">
        <f t="shared" si="157"/>
        <v/>
      </c>
      <c r="L317" s="38">
        <v>0</v>
      </c>
      <c r="M317" s="64" t="str">
        <f t="shared" si="158"/>
        <v/>
      </c>
      <c r="N317" s="65"/>
      <c r="O317" s="63" t="str">
        <f t="shared" si="159"/>
        <v/>
      </c>
      <c r="P317" s="63" t="str">
        <f t="shared" si="160"/>
        <v/>
      </c>
      <c r="Q317" s="66"/>
      <c r="R317" s="63" t="str">
        <f t="shared" si="161"/>
        <v/>
      </c>
      <c r="S317" s="64" t="str">
        <f t="shared" si="162"/>
        <v/>
      </c>
      <c r="T317" s="63" t="str">
        <f t="shared" si="163"/>
        <v/>
      </c>
      <c r="U317" s="64" t="str">
        <f t="shared" si="164"/>
        <v/>
      </c>
      <c r="V317" s="219" t="str">
        <f>IF($A318="","",IF(AND(MONTH(A317)&gt;3,MONTH(A317)&lt;11),(T317+R317+G317)*Summary!$T$10/(1-Summary!$T$10),(T317+R317+G317)*Summary!$U$10/(1-Summary!$U$10)))</f>
        <v/>
      </c>
      <c r="W317" s="63" t="str">
        <f t="shared" si="165"/>
        <v/>
      </c>
      <c r="X317" s="63" t="str">
        <f t="shared" si="166"/>
        <v/>
      </c>
      <c r="Y317" s="43"/>
      <c r="Z317" s="38" t="str">
        <f t="shared" si="167"/>
        <v/>
      </c>
      <c r="AA317" s="38" t="str">
        <f t="shared" si="168"/>
        <v/>
      </c>
      <c r="AB317" s="38" t="e">
        <f t="shared" si="169"/>
        <v>#VALUE!</v>
      </c>
      <c r="AC317" s="38" t="str">
        <f t="shared" si="170"/>
        <v/>
      </c>
      <c r="AD317" s="38" t="str">
        <f t="shared" si="170"/>
        <v/>
      </c>
      <c r="AE317" s="38" t="e">
        <f t="shared" si="171"/>
        <v>#VALUE!</v>
      </c>
      <c r="AF317" s="237" t="e">
        <f>((Summary!$N$10*(AA317*AD317)*(A317-$D$3))+(Summary!$M$10*Z317*AC317*(AJ317-EOMONTH(EDATE(A317,-1),0))))/(AK317*AB317*AE317)</f>
        <v>#VALUE!</v>
      </c>
      <c r="AG317" s="88" t="str">
        <f>IF($A318="","",Summary!$Q$10)</f>
        <v/>
      </c>
      <c r="AH317" s="88" t="str">
        <f>IF($A318="","",IF(Summary!$R$10="Y",(VLOOKUP($A317,Summary!$AD$6:$AF$9,3)+'Escalating commodity'!F330),'Escalating commodity'!F330))</f>
        <v/>
      </c>
      <c r="AI317" s="88" t="str">
        <f t="shared" si="186"/>
        <v/>
      </c>
      <c r="AJ317" s="236" t="e">
        <f t="shared" si="172"/>
        <v>#VALUE!</v>
      </c>
      <c r="AK317" s="58" t="str">
        <f t="shared" si="173"/>
        <v/>
      </c>
      <c r="AL317" s="26" t="str">
        <f>IF($A318="","",_xll.SPRDOPT(P317,X317,AI317,0,AB317,AE317,AF317,AK317,$AJ$2,0))</f>
        <v/>
      </c>
      <c r="AM317" s="89" t="str">
        <f t="shared" si="174"/>
        <v/>
      </c>
      <c r="AN317" s="89" t="str">
        <f t="shared" si="175"/>
        <v/>
      </c>
      <c r="AO317" s="3" t="str">
        <f t="shared" si="176"/>
        <v/>
      </c>
      <c r="AP317" s="33" t="str">
        <f t="shared" si="177"/>
        <v/>
      </c>
      <c r="AQ317" s="58" t="str">
        <f t="shared" si="178"/>
        <v/>
      </c>
      <c r="AR317" s="38">
        <f>'ANR OK vs ML7'!AR317</f>
        <v>0.1</v>
      </c>
      <c r="AS317" s="35" t="str">
        <f t="shared" si="179"/>
        <v/>
      </c>
      <c r="AT317" s="3" t="str">
        <f t="shared" si="180"/>
        <v/>
      </c>
      <c r="AU317" s="3" t="str">
        <f t="shared" si="181"/>
        <v/>
      </c>
      <c r="AW317" s="32" t="str">
        <f t="shared" si="182"/>
        <v/>
      </c>
      <c r="AX317" s="32" t="str">
        <f t="shared" si="183"/>
        <v/>
      </c>
      <c r="AY317" s="32" t="str">
        <f t="shared" si="184"/>
        <v/>
      </c>
      <c r="BA317" s="32" t="str">
        <f>IF($A318="","",F317*Summary!$Q$10)</f>
        <v/>
      </c>
    </row>
    <row r="318" spans="1:53" ht="12" customHeight="1">
      <c r="A318" s="67" t="str">
        <f t="shared" si="185"/>
        <v/>
      </c>
      <c r="B318" s="69" t="str">
        <f t="shared" si="187"/>
        <v/>
      </c>
      <c r="C318" s="71"/>
      <c r="D318" s="69" t="str">
        <f t="shared" si="151"/>
        <v/>
      </c>
      <c r="E318" s="70" t="str">
        <f t="shared" si="152"/>
        <v/>
      </c>
      <c r="F318" s="70" t="str">
        <f t="shared" si="153"/>
        <v/>
      </c>
      <c r="G318" s="63" t="str">
        <f t="shared" si="154"/>
        <v/>
      </c>
      <c r="H318" s="64" t="str">
        <f t="shared" si="155"/>
        <v/>
      </c>
      <c r="I318" s="43"/>
      <c r="J318" s="63" t="str">
        <f t="shared" si="156"/>
        <v/>
      </c>
      <c r="K318" s="64" t="str">
        <f t="shared" si="157"/>
        <v/>
      </c>
      <c r="L318" s="38">
        <v>0</v>
      </c>
      <c r="M318" s="64" t="str">
        <f t="shared" si="158"/>
        <v/>
      </c>
      <c r="N318" s="65"/>
      <c r="O318" s="63" t="str">
        <f t="shared" si="159"/>
        <v/>
      </c>
      <c r="P318" s="63" t="str">
        <f t="shared" si="160"/>
        <v/>
      </c>
      <c r="Q318" s="66"/>
      <c r="R318" s="63" t="str">
        <f t="shared" si="161"/>
        <v/>
      </c>
      <c r="S318" s="64" t="str">
        <f t="shared" si="162"/>
        <v/>
      </c>
      <c r="T318" s="63" t="str">
        <f t="shared" si="163"/>
        <v/>
      </c>
      <c r="U318" s="64" t="str">
        <f t="shared" si="164"/>
        <v/>
      </c>
      <c r="V318" s="219" t="str">
        <f>IF($A319="","",IF(AND(MONTH(A318)&gt;3,MONTH(A318)&lt;11),(T318+R318+G318)*Summary!$T$10/(1-Summary!$T$10),(T318+R318+G318)*Summary!$U$10/(1-Summary!$U$10)))</f>
        <v/>
      </c>
      <c r="W318" s="63" t="str">
        <f t="shared" si="165"/>
        <v/>
      </c>
      <c r="X318" s="63" t="str">
        <f t="shared" si="166"/>
        <v/>
      </c>
      <c r="Y318" s="43"/>
      <c r="Z318" s="38" t="str">
        <f t="shared" si="167"/>
        <v/>
      </c>
      <c r="AA318" s="38" t="str">
        <f t="shared" si="168"/>
        <v/>
      </c>
      <c r="AB318" s="38" t="e">
        <f t="shared" si="169"/>
        <v>#VALUE!</v>
      </c>
      <c r="AC318" s="38" t="str">
        <f t="shared" si="170"/>
        <v/>
      </c>
      <c r="AD318" s="38" t="str">
        <f t="shared" si="170"/>
        <v/>
      </c>
      <c r="AE318" s="38" t="e">
        <f t="shared" si="171"/>
        <v>#VALUE!</v>
      </c>
      <c r="AF318" s="237" t="e">
        <f>((Summary!$N$10*(AA318*AD318)*(A318-$D$3))+(Summary!$M$10*Z318*AC318*(AJ318-EOMONTH(EDATE(A318,-1),0))))/(AK318*AB318*AE318)</f>
        <v>#VALUE!</v>
      </c>
      <c r="AG318" s="88" t="str">
        <f>IF($A319="","",Summary!$Q$10)</f>
        <v/>
      </c>
      <c r="AH318" s="88" t="str">
        <f>IF($A319="","",IF(Summary!$R$10="Y",(VLOOKUP($A318,Summary!$AD$6:$AF$9,3)+'Escalating commodity'!F331),'Escalating commodity'!F331))</f>
        <v/>
      </c>
      <c r="AI318" s="88" t="str">
        <f t="shared" si="186"/>
        <v/>
      </c>
      <c r="AJ318" s="236" t="e">
        <f t="shared" si="172"/>
        <v>#VALUE!</v>
      </c>
      <c r="AK318" s="58" t="str">
        <f t="shared" si="173"/>
        <v/>
      </c>
      <c r="AL318" s="26" t="str">
        <f>IF($A319="","",_xll.SPRDOPT(P318,X318,AI318,0,AB318,AE318,AF318,AK318,$AJ$2,0))</f>
        <v/>
      </c>
      <c r="AM318" s="89" t="str">
        <f t="shared" si="174"/>
        <v/>
      </c>
      <c r="AN318" s="89" t="str">
        <f t="shared" si="175"/>
        <v/>
      </c>
      <c r="AO318" s="3" t="str">
        <f t="shared" si="176"/>
        <v/>
      </c>
      <c r="AP318" s="33" t="str">
        <f t="shared" si="177"/>
        <v/>
      </c>
      <c r="AQ318" s="58" t="str">
        <f t="shared" si="178"/>
        <v/>
      </c>
      <c r="AR318" s="38">
        <f>'ANR OK vs ML7'!AR318</f>
        <v>0.1</v>
      </c>
      <c r="AS318" s="35" t="str">
        <f t="shared" si="179"/>
        <v/>
      </c>
      <c r="AT318" s="3" t="str">
        <f t="shared" si="180"/>
        <v/>
      </c>
      <c r="AU318" s="3" t="str">
        <f t="shared" si="181"/>
        <v/>
      </c>
      <c r="AW318" s="32" t="str">
        <f t="shared" si="182"/>
        <v/>
      </c>
      <c r="AX318" s="32" t="str">
        <f t="shared" si="183"/>
        <v/>
      </c>
      <c r="AY318" s="32" t="str">
        <f t="shared" si="184"/>
        <v/>
      </c>
      <c r="BA318" s="32" t="str">
        <f>IF($A319="","",F318*Summary!$Q$10)</f>
        <v/>
      </c>
    </row>
    <row r="319" spans="1:53" ht="12" customHeight="1">
      <c r="A319" s="67" t="str">
        <f t="shared" si="185"/>
        <v/>
      </c>
      <c r="B319" s="69" t="str">
        <f t="shared" si="187"/>
        <v/>
      </c>
      <c r="C319" s="71"/>
      <c r="D319" s="69" t="str">
        <f t="shared" si="151"/>
        <v/>
      </c>
      <c r="E319" s="70" t="str">
        <f t="shared" si="152"/>
        <v/>
      </c>
      <c r="F319" s="70" t="str">
        <f t="shared" si="153"/>
        <v/>
      </c>
      <c r="G319" s="63" t="str">
        <f t="shared" si="154"/>
        <v/>
      </c>
      <c r="H319" s="64" t="str">
        <f t="shared" si="155"/>
        <v/>
      </c>
      <c r="I319" s="43"/>
      <c r="J319" s="63" t="str">
        <f t="shared" si="156"/>
        <v/>
      </c>
      <c r="K319" s="64" t="str">
        <f t="shared" si="157"/>
        <v/>
      </c>
      <c r="L319" s="38">
        <v>0</v>
      </c>
      <c r="M319" s="64" t="str">
        <f t="shared" si="158"/>
        <v/>
      </c>
      <c r="N319" s="65"/>
      <c r="O319" s="63" t="str">
        <f t="shared" si="159"/>
        <v/>
      </c>
      <c r="P319" s="63" t="str">
        <f t="shared" si="160"/>
        <v/>
      </c>
      <c r="Q319" s="66"/>
      <c r="R319" s="63" t="str">
        <f t="shared" si="161"/>
        <v/>
      </c>
      <c r="S319" s="64" t="str">
        <f t="shared" si="162"/>
        <v/>
      </c>
      <c r="T319" s="63" t="str">
        <f t="shared" si="163"/>
        <v/>
      </c>
      <c r="U319" s="64" t="str">
        <f t="shared" si="164"/>
        <v/>
      </c>
      <c r="V319" s="219" t="str">
        <f>IF($A320="","",IF(AND(MONTH(A319)&gt;3,MONTH(A319)&lt;11),(T319+R319+G319)*Summary!$T$10/(1-Summary!$T$10),(T319+R319+G319)*Summary!$U$10/(1-Summary!$U$10)))</f>
        <v/>
      </c>
      <c r="W319" s="63" t="str">
        <f t="shared" si="165"/>
        <v/>
      </c>
      <c r="X319" s="63" t="str">
        <f t="shared" si="166"/>
        <v/>
      </c>
      <c r="Y319" s="43"/>
      <c r="Z319" s="38" t="str">
        <f t="shared" si="167"/>
        <v/>
      </c>
      <c r="AA319" s="38" t="str">
        <f t="shared" si="168"/>
        <v/>
      </c>
      <c r="AB319" s="38" t="e">
        <f t="shared" si="169"/>
        <v>#VALUE!</v>
      </c>
      <c r="AC319" s="38" t="str">
        <f t="shared" si="170"/>
        <v/>
      </c>
      <c r="AD319" s="38" t="str">
        <f t="shared" si="170"/>
        <v/>
      </c>
      <c r="AE319" s="38" t="e">
        <f t="shared" si="171"/>
        <v>#VALUE!</v>
      </c>
      <c r="AF319" s="237" t="e">
        <f>((Summary!$N$10*(AA319*AD319)*(A319-$D$3))+(Summary!$M$10*Z319*AC319*(AJ319-EOMONTH(EDATE(A319,-1),0))))/(AK319*AB319*AE319)</f>
        <v>#VALUE!</v>
      </c>
      <c r="AG319" s="88" t="str">
        <f>IF($A320="","",Summary!$Q$10)</f>
        <v/>
      </c>
      <c r="AH319" s="88" t="str">
        <f>IF($A320="","",IF(Summary!$R$10="Y",(VLOOKUP($A319,Summary!$AD$6:$AF$9,3)+'Escalating commodity'!F332),'Escalating commodity'!F332))</f>
        <v/>
      </c>
      <c r="AI319" s="88" t="str">
        <f t="shared" si="186"/>
        <v/>
      </c>
      <c r="AJ319" s="236" t="e">
        <f t="shared" si="172"/>
        <v>#VALUE!</v>
      </c>
      <c r="AK319" s="58" t="str">
        <f t="shared" si="173"/>
        <v/>
      </c>
      <c r="AL319" s="26" t="str">
        <f>IF($A320="","",_xll.SPRDOPT(P319,X319,AI319,0,AB319,AE319,AF319,AK319,$AJ$2,0))</f>
        <v/>
      </c>
      <c r="AM319" s="89" t="str">
        <f t="shared" si="174"/>
        <v/>
      </c>
      <c r="AN319" s="89" t="str">
        <f t="shared" si="175"/>
        <v/>
      </c>
      <c r="AO319" s="3" t="str">
        <f t="shared" si="176"/>
        <v/>
      </c>
      <c r="AP319" s="33" t="str">
        <f t="shared" si="177"/>
        <v/>
      </c>
      <c r="AQ319" s="58" t="str">
        <f t="shared" si="178"/>
        <v/>
      </c>
      <c r="AR319" s="38">
        <f>'ANR OK vs ML7'!AR319</f>
        <v>0.1</v>
      </c>
      <c r="AS319" s="35" t="str">
        <f t="shared" si="179"/>
        <v/>
      </c>
      <c r="AT319" s="3" t="str">
        <f t="shared" si="180"/>
        <v/>
      </c>
      <c r="AU319" s="3" t="str">
        <f t="shared" si="181"/>
        <v/>
      </c>
      <c r="AW319" s="32" t="str">
        <f t="shared" si="182"/>
        <v/>
      </c>
      <c r="AX319" s="32" t="str">
        <f t="shared" si="183"/>
        <v/>
      </c>
      <c r="AY319" s="32" t="str">
        <f t="shared" si="184"/>
        <v/>
      </c>
      <c r="BA319" s="32" t="str">
        <f>IF($A320="","",F319*Summary!$Q$10)</f>
        <v/>
      </c>
    </row>
    <row r="320" spans="1:53" ht="12" customHeight="1">
      <c r="A320" s="67" t="str">
        <f t="shared" si="185"/>
        <v/>
      </c>
      <c r="B320" s="69" t="str">
        <f t="shared" si="187"/>
        <v/>
      </c>
      <c r="C320" s="71"/>
      <c r="D320" s="69" t="str">
        <f t="shared" si="151"/>
        <v/>
      </c>
      <c r="E320" s="70" t="str">
        <f t="shared" si="152"/>
        <v/>
      </c>
      <c r="F320" s="70" t="str">
        <f t="shared" si="153"/>
        <v/>
      </c>
      <c r="G320" s="63" t="str">
        <f t="shared" si="154"/>
        <v/>
      </c>
      <c r="H320" s="64" t="str">
        <f t="shared" si="155"/>
        <v/>
      </c>
      <c r="I320" s="43"/>
      <c r="J320" s="63" t="str">
        <f t="shared" si="156"/>
        <v/>
      </c>
      <c r="K320" s="64" t="str">
        <f t="shared" si="157"/>
        <v/>
      </c>
      <c r="L320" s="38">
        <v>0</v>
      </c>
      <c r="M320" s="64" t="str">
        <f t="shared" si="158"/>
        <v/>
      </c>
      <c r="N320" s="65"/>
      <c r="O320" s="63" t="str">
        <f t="shared" si="159"/>
        <v/>
      </c>
      <c r="P320" s="63" t="str">
        <f t="shared" si="160"/>
        <v/>
      </c>
      <c r="Q320" s="66"/>
      <c r="R320" s="63" t="str">
        <f t="shared" si="161"/>
        <v/>
      </c>
      <c r="S320" s="64" t="str">
        <f t="shared" si="162"/>
        <v/>
      </c>
      <c r="T320" s="63" t="str">
        <f t="shared" si="163"/>
        <v/>
      </c>
      <c r="U320" s="64" t="str">
        <f t="shared" si="164"/>
        <v/>
      </c>
      <c r="V320" s="219" t="str">
        <f>IF($A321="","",IF(AND(MONTH(A320)&gt;3,MONTH(A320)&lt;11),(T320+R320+G320)*Summary!$T$10/(1-Summary!$T$10),(T320+R320+G320)*Summary!$U$10/(1-Summary!$U$10)))</f>
        <v/>
      </c>
      <c r="W320" s="63" t="str">
        <f t="shared" si="165"/>
        <v/>
      </c>
      <c r="X320" s="63" t="str">
        <f t="shared" si="166"/>
        <v/>
      </c>
      <c r="Y320" s="43"/>
      <c r="Z320" s="38" t="str">
        <f t="shared" si="167"/>
        <v/>
      </c>
      <c r="AA320" s="38" t="str">
        <f t="shared" si="168"/>
        <v/>
      </c>
      <c r="AB320" s="38" t="e">
        <f t="shared" si="169"/>
        <v>#VALUE!</v>
      </c>
      <c r="AC320" s="38" t="str">
        <f t="shared" si="170"/>
        <v/>
      </c>
      <c r="AD320" s="38" t="str">
        <f t="shared" si="170"/>
        <v/>
      </c>
      <c r="AE320" s="38" t="e">
        <f t="shared" si="171"/>
        <v>#VALUE!</v>
      </c>
      <c r="AF320" s="237" t="e">
        <f>((Summary!$N$10*(AA320*AD320)*(A320-$D$3))+(Summary!$M$10*Z320*AC320*(AJ320-EOMONTH(EDATE(A320,-1),0))))/(AK320*AB320*AE320)</f>
        <v>#VALUE!</v>
      </c>
      <c r="AG320" s="88" t="str">
        <f>IF($A321="","",Summary!$Q$10)</f>
        <v/>
      </c>
      <c r="AH320" s="88" t="str">
        <f>IF($A321="","",IF(Summary!$R$10="Y",(VLOOKUP($A320,Summary!$AD$6:$AF$9,3)+'Escalating commodity'!F333),'Escalating commodity'!F333))</f>
        <v/>
      </c>
      <c r="AI320" s="88" t="str">
        <f t="shared" si="186"/>
        <v/>
      </c>
      <c r="AJ320" s="236" t="e">
        <f t="shared" si="172"/>
        <v>#VALUE!</v>
      </c>
      <c r="AK320" s="58" t="str">
        <f t="shared" si="173"/>
        <v/>
      </c>
      <c r="AL320" s="26" t="str">
        <f>IF($A321="","",_xll.SPRDOPT(P320,X320,AI320,0,AB320,AE320,AF320,AK320,$AJ$2,0))</f>
        <v/>
      </c>
      <c r="AM320" s="89" t="str">
        <f t="shared" si="174"/>
        <v/>
      </c>
      <c r="AN320" s="89" t="str">
        <f t="shared" si="175"/>
        <v/>
      </c>
      <c r="AO320" s="3" t="str">
        <f t="shared" si="176"/>
        <v/>
      </c>
      <c r="AP320" s="33" t="str">
        <f t="shared" si="177"/>
        <v/>
      </c>
      <c r="AQ320" s="58" t="str">
        <f t="shared" si="178"/>
        <v/>
      </c>
      <c r="AR320" s="38">
        <f>'ANR OK vs ML7'!AR320</f>
        <v>0.1</v>
      </c>
      <c r="AS320" s="35" t="str">
        <f t="shared" si="179"/>
        <v/>
      </c>
      <c r="AT320" s="3" t="str">
        <f t="shared" si="180"/>
        <v/>
      </c>
      <c r="AU320" s="3" t="str">
        <f t="shared" si="181"/>
        <v/>
      </c>
      <c r="AW320" s="32" t="str">
        <f t="shared" si="182"/>
        <v/>
      </c>
      <c r="AX320" s="32" t="str">
        <f t="shared" si="183"/>
        <v/>
      </c>
      <c r="AY320" s="32" t="str">
        <f t="shared" si="184"/>
        <v/>
      </c>
      <c r="BA320" s="32" t="str">
        <f>IF($A321="","",F320*Summary!$Q$10)</f>
        <v/>
      </c>
    </row>
    <row r="321" spans="1:53" ht="12" customHeight="1">
      <c r="A321" s="67" t="str">
        <f t="shared" si="185"/>
        <v/>
      </c>
      <c r="B321" s="69" t="str">
        <f t="shared" si="187"/>
        <v/>
      </c>
      <c r="C321" s="71"/>
      <c r="D321" s="69" t="str">
        <f t="shared" si="151"/>
        <v/>
      </c>
      <c r="E321" s="70" t="str">
        <f t="shared" si="152"/>
        <v/>
      </c>
      <c r="F321" s="70" t="str">
        <f t="shared" si="153"/>
        <v/>
      </c>
      <c r="G321" s="63" t="str">
        <f t="shared" si="154"/>
        <v/>
      </c>
      <c r="H321" s="64" t="str">
        <f t="shared" si="155"/>
        <v/>
      </c>
      <c r="I321" s="43"/>
      <c r="J321" s="63" t="str">
        <f t="shared" si="156"/>
        <v/>
      </c>
      <c r="K321" s="64" t="str">
        <f t="shared" si="157"/>
        <v/>
      </c>
      <c r="L321" s="38">
        <v>0</v>
      </c>
      <c r="M321" s="64" t="str">
        <f t="shared" si="158"/>
        <v/>
      </c>
      <c r="N321" s="65"/>
      <c r="O321" s="63" t="str">
        <f t="shared" si="159"/>
        <v/>
      </c>
      <c r="P321" s="63" t="str">
        <f t="shared" si="160"/>
        <v/>
      </c>
      <c r="Q321" s="66"/>
      <c r="R321" s="63" t="str">
        <f t="shared" si="161"/>
        <v/>
      </c>
      <c r="S321" s="64" t="str">
        <f t="shared" si="162"/>
        <v/>
      </c>
      <c r="T321" s="63" t="str">
        <f t="shared" si="163"/>
        <v/>
      </c>
      <c r="U321" s="64" t="str">
        <f t="shared" si="164"/>
        <v/>
      </c>
      <c r="V321" s="219" t="str">
        <f>IF($A322="","",IF(AND(MONTH(A321)&gt;3,MONTH(A321)&lt;11),(T321+R321+G321)*Summary!$T$10/(1-Summary!$T$10),(T321+R321+G321)*Summary!$U$10/(1-Summary!$U$10)))</f>
        <v/>
      </c>
      <c r="W321" s="63" t="str">
        <f t="shared" si="165"/>
        <v/>
      </c>
      <c r="X321" s="63" t="str">
        <f t="shared" si="166"/>
        <v/>
      </c>
      <c r="Y321" s="43"/>
      <c r="Z321" s="38" t="str">
        <f t="shared" si="167"/>
        <v/>
      </c>
      <c r="AA321" s="38" t="str">
        <f t="shared" si="168"/>
        <v/>
      </c>
      <c r="AB321" s="38" t="e">
        <f t="shared" si="169"/>
        <v>#VALUE!</v>
      </c>
      <c r="AC321" s="38" t="str">
        <f t="shared" si="170"/>
        <v/>
      </c>
      <c r="AD321" s="38" t="str">
        <f t="shared" si="170"/>
        <v/>
      </c>
      <c r="AE321" s="38" t="e">
        <f t="shared" si="171"/>
        <v>#VALUE!</v>
      </c>
      <c r="AF321" s="237" t="e">
        <f>((Summary!$N$10*(AA321*AD321)*(A321-$D$3))+(Summary!$M$10*Z321*AC321*(AJ321-EOMONTH(EDATE(A321,-1),0))))/(AK321*AB321*AE321)</f>
        <v>#VALUE!</v>
      </c>
      <c r="AG321" s="88" t="str">
        <f>IF($A322="","",Summary!$Q$10)</f>
        <v/>
      </c>
      <c r="AH321" s="88" t="str">
        <f>IF($A322="","",IF(Summary!$R$10="Y",(VLOOKUP($A321,Summary!$AD$6:$AF$9,3)+'Escalating commodity'!F334),'Escalating commodity'!F334))</f>
        <v/>
      </c>
      <c r="AI321" s="88" t="str">
        <f t="shared" si="186"/>
        <v/>
      </c>
      <c r="AJ321" s="236" t="e">
        <f t="shared" si="172"/>
        <v>#VALUE!</v>
      </c>
      <c r="AK321" s="58" t="str">
        <f t="shared" si="173"/>
        <v/>
      </c>
      <c r="AL321" s="26" t="str">
        <f>IF($A322="","",_xll.SPRDOPT(P321,X321,AI321,0,AB321,AE321,AF321,AK321,$AJ$2,0))</f>
        <v/>
      </c>
      <c r="AM321" s="89" t="str">
        <f t="shared" si="174"/>
        <v/>
      </c>
      <c r="AN321" s="89" t="str">
        <f t="shared" si="175"/>
        <v/>
      </c>
      <c r="AO321" s="3" t="str">
        <f t="shared" si="176"/>
        <v/>
      </c>
      <c r="AP321" s="33" t="str">
        <f t="shared" si="177"/>
        <v/>
      </c>
      <c r="AQ321" s="58" t="str">
        <f t="shared" si="178"/>
        <v/>
      </c>
      <c r="AR321" s="38">
        <f>'ANR OK vs ML7'!AR321</f>
        <v>0.1</v>
      </c>
      <c r="AS321" s="35" t="str">
        <f t="shared" si="179"/>
        <v/>
      </c>
      <c r="AT321" s="3" t="str">
        <f t="shared" si="180"/>
        <v/>
      </c>
      <c r="AU321" s="3" t="str">
        <f t="shared" si="181"/>
        <v/>
      </c>
      <c r="AW321" s="32" t="str">
        <f t="shared" si="182"/>
        <v/>
      </c>
      <c r="AX321" s="32" t="str">
        <f t="shared" si="183"/>
        <v/>
      </c>
      <c r="AY321" s="32" t="str">
        <f t="shared" si="184"/>
        <v/>
      </c>
      <c r="BA321" s="32" t="str">
        <f>IF($A322="","",F321*Summary!$Q$10)</f>
        <v/>
      </c>
    </row>
    <row r="322" spans="1:53" ht="12" customHeight="1">
      <c r="A322" s="67" t="str">
        <f t="shared" si="185"/>
        <v/>
      </c>
      <c r="B322" s="69" t="str">
        <f t="shared" si="187"/>
        <v/>
      </c>
      <c r="C322" s="71"/>
      <c r="D322" s="69" t="str">
        <f t="shared" si="151"/>
        <v/>
      </c>
      <c r="E322" s="70" t="str">
        <f t="shared" si="152"/>
        <v/>
      </c>
      <c r="F322" s="70" t="str">
        <f t="shared" si="153"/>
        <v/>
      </c>
      <c r="G322" s="63" t="str">
        <f t="shared" si="154"/>
        <v/>
      </c>
      <c r="H322" s="64" t="str">
        <f t="shared" si="155"/>
        <v/>
      </c>
      <c r="I322" s="43"/>
      <c r="J322" s="63" t="str">
        <f t="shared" si="156"/>
        <v/>
      </c>
      <c r="K322" s="64" t="str">
        <f t="shared" si="157"/>
        <v/>
      </c>
      <c r="L322" s="38">
        <v>0</v>
      </c>
      <c r="M322" s="64" t="str">
        <f t="shared" si="158"/>
        <v/>
      </c>
      <c r="N322" s="65"/>
      <c r="O322" s="63" t="str">
        <f t="shared" si="159"/>
        <v/>
      </c>
      <c r="P322" s="63" t="str">
        <f t="shared" si="160"/>
        <v/>
      </c>
      <c r="Q322" s="66"/>
      <c r="R322" s="63" t="str">
        <f t="shared" si="161"/>
        <v/>
      </c>
      <c r="S322" s="64" t="str">
        <f t="shared" si="162"/>
        <v/>
      </c>
      <c r="T322" s="63" t="str">
        <f t="shared" si="163"/>
        <v/>
      </c>
      <c r="U322" s="64" t="str">
        <f t="shared" si="164"/>
        <v/>
      </c>
      <c r="V322" s="219" t="str">
        <f>IF($A323="","",IF(AND(MONTH(A322)&gt;3,MONTH(A322)&lt;11),(T322+R322+G322)*Summary!$T$10/(1-Summary!$T$10),(T322+R322+G322)*Summary!$U$10/(1-Summary!$U$10)))</f>
        <v/>
      </c>
      <c r="W322" s="63" t="str">
        <f t="shared" si="165"/>
        <v/>
      </c>
      <c r="X322" s="63" t="str">
        <f t="shared" si="166"/>
        <v/>
      </c>
      <c r="Y322" s="43"/>
      <c r="Z322" s="38" t="str">
        <f t="shared" si="167"/>
        <v/>
      </c>
      <c r="AA322" s="38" t="str">
        <f t="shared" si="168"/>
        <v/>
      </c>
      <c r="AB322" s="38" t="e">
        <f t="shared" si="169"/>
        <v>#VALUE!</v>
      </c>
      <c r="AC322" s="38" t="str">
        <f t="shared" si="170"/>
        <v/>
      </c>
      <c r="AD322" s="38" t="str">
        <f t="shared" si="170"/>
        <v/>
      </c>
      <c r="AE322" s="38" t="e">
        <f t="shared" si="171"/>
        <v>#VALUE!</v>
      </c>
      <c r="AF322" s="237" t="e">
        <f>((Summary!$N$10*(AA322*AD322)*(A322-$D$3))+(Summary!$M$10*Z322*AC322*(AJ322-EOMONTH(EDATE(A322,-1),0))))/(AK322*AB322*AE322)</f>
        <v>#VALUE!</v>
      </c>
      <c r="AG322" s="88" t="str">
        <f>IF($A323="","",Summary!$Q$10)</f>
        <v/>
      </c>
      <c r="AH322" s="88" t="str">
        <f>IF($A323="","",IF(Summary!$R$10="Y",(VLOOKUP($A322,Summary!$AD$6:$AF$9,3)+'Escalating commodity'!F335),'Escalating commodity'!F335))</f>
        <v/>
      </c>
      <c r="AI322" s="88" t="str">
        <f t="shared" si="186"/>
        <v/>
      </c>
      <c r="AJ322" s="236" t="e">
        <f t="shared" si="172"/>
        <v>#VALUE!</v>
      </c>
      <c r="AK322" s="58" t="str">
        <f t="shared" si="173"/>
        <v/>
      </c>
      <c r="AL322" s="26" t="str">
        <f>IF($A323="","",_xll.SPRDOPT(P322,X322,AI322,0,AB322,AE322,AF322,AK322,$AJ$2,0))</f>
        <v/>
      </c>
      <c r="AM322" s="89" t="str">
        <f t="shared" si="174"/>
        <v/>
      </c>
      <c r="AN322" s="89" t="str">
        <f t="shared" si="175"/>
        <v/>
      </c>
      <c r="AO322" s="3" t="str">
        <f t="shared" si="176"/>
        <v/>
      </c>
      <c r="AP322" s="33" t="str">
        <f t="shared" si="177"/>
        <v/>
      </c>
      <c r="AQ322" s="58" t="str">
        <f t="shared" si="178"/>
        <v/>
      </c>
      <c r="AR322" s="38">
        <f>'ANR OK vs ML7'!AR322</f>
        <v>0.1</v>
      </c>
      <c r="AS322" s="35" t="str">
        <f t="shared" si="179"/>
        <v/>
      </c>
      <c r="AT322" s="3" t="str">
        <f t="shared" si="180"/>
        <v/>
      </c>
      <c r="AU322" s="3" t="str">
        <f t="shared" si="181"/>
        <v/>
      </c>
      <c r="AW322" s="32" t="str">
        <f t="shared" si="182"/>
        <v/>
      </c>
      <c r="AX322" s="32" t="str">
        <f t="shared" si="183"/>
        <v/>
      </c>
      <c r="AY322" s="32" t="str">
        <f t="shared" si="184"/>
        <v/>
      </c>
      <c r="BA322" s="32" t="str">
        <f>IF($A323="","",F322*Summary!$Q$10)</f>
        <v/>
      </c>
    </row>
    <row r="323" spans="1:53" ht="12" customHeight="1">
      <c r="A323" s="67" t="str">
        <f t="shared" si="185"/>
        <v/>
      </c>
      <c r="B323" s="69" t="str">
        <f t="shared" si="187"/>
        <v/>
      </c>
      <c r="C323" s="71"/>
      <c r="D323" s="69" t="str">
        <f t="shared" si="151"/>
        <v/>
      </c>
      <c r="E323" s="70" t="str">
        <f t="shared" si="152"/>
        <v/>
      </c>
      <c r="F323" s="70" t="str">
        <f t="shared" si="153"/>
        <v/>
      </c>
      <c r="G323" s="63" t="str">
        <f t="shared" si="154"/>
        <v/>
      </c>
      <c r="H323" s="64" t="str">
        <f t="shared" si="155"/>
        <v/>
      </c>
      <c r="I323" s="43"/>
      <c r="J323" s="63" t="str">
        <f t="shared" si="156"/>
        <v/>
      </c>
      <c r="K323" s="64" t="str">
        <f t="shared" si="157"/>
        <v/>
      </c>
      <c r="L323" s="38">
        <v>0</v>
      </c>
      <c r="M323" s="64" t="str">
        <f t="shared" si="158"/>
        <v/>
      </c>
      <c r="N323" s="65"/>
      <c r="O323" s="63" t="str">
        <f t="shared" si="159"/>
        <v/>
      </c>
      <c r="P323" s="63" t="str">
        <f t="shared" si="160"/>
        <v/>
      </c>
      <c r="Q323" s="66"/>
      <c r="R323" s="63" t="str">
        <f t="shared" si="161"/>
        <v/>
      </c>
      <c r="S323" s="64" t="str">
        <f t="shared" si="162"/>
        <v/>
      </c>
      <c r="T323" s="63" t="str">
        <f t="shared" si="163"/>
        <v/>
      </c>
      <c r="U323" s="64" t="str">
        <f t="shared" si="164"/>
        <v/>
      </c>
      <c r="V323" s="219" t="str">
        <f>IF($A324="","",IF(AND(MONTH(A323)&gt;3,MONTH(A323)&lt;11),(T323+R323+G323)*Summary!$T$10/(1-Summary!$T$10),(T323+R323+G323)*Summary!$U$10/(1-Summary!$U$10)))</f>
        <v/>
      </c>
      <c r="W323" s="63" t="str">
        <f t="shared" si="165"/>
        <v/>
      </c>
      <c r="X323" s="63" t="str">
        <f t="shared" si="166"/>
        <v/>
      </c>
      <c r="Y323" s="43"/>
      <c r="Z323" s="38" t="str">
        <f t="shared" si="167"/>
        <v/>
      </c>
      <c r="AA323" s="38" t="str">
        <f t="shared" si="168"/>
        <v/>
      </c>
      <c r="AB323" s="38" t="e">
        <f t="shared" si="169"/>
        <v>#VALUE!</v>
      </c>
      <c r="AC323" s="38" t="str">
        <f t="shared" si="170"/>
        <v/>
      </c>
      <c r="AD323" s="38" t="str">
        <f t="shared" si="170"/>
        <v/>
      </c>
      <c r="AE323" s="38" t="e">
        <f t="shared" si="171"/>
        <v>#VALUE!</v>
      </c>
      <c r="AF323" s="237" t="e">
        <f>((Summary!$N$10*(AA323*AD323)*(A323-$D$3))+(Summary!$M$10*Z323*AC323*(AJ323-EOMONTH(EDATE(A323,-1),0))))/(AK323*AB323*AE323)</f>
        <v>#VALUE!</v>
      </c>
      <c r="AG323" s="88" t="str">
        <f>IF($A324="","",Summary!$Q$10)</f>
        <v/>
      </c>
      <c r="AH323" s="88" t="str">
        <f>IF($A324="","",IF(Summary!$R$10="Y",(VLOOKUP($A323,Summary!$AD$6:$AF$9,3)+'Escalating commodity'!F336),'Escalating commodity'!F336))</f>
        <v/>
      </c>
      <c r="AI323" s="88" t="str">
        <f t="shared" si="186"/>
        <v/>
      </c>
      <c r="AJ323" s="236" t="e">
        <f t="shared" si="172"/>
        <v>#VALUE!</v>
      </c>
      <c r="AK323" s="58" t="str">
        <f t="shared" si="173"/>
        <v/>
      </c>
      <c r="AL323" s="26" t="str">
        <f>IF($A324="","",_xll.SPRDOPT(P323,X323,AI323,0,AB323,AE323,AF323,AK323,$AJ$2,0))</f>
        <v/>
      </c>
      <c r="AM323" s="89" t="str">
        <f t="shared" si="174"/>
        <v/>
      </c>
      <c r="AN323" s="89" t="str">
        <f t="shared" si="175"/>
        <v/>
      </c>
      <c r="AO323" s="3" t="str">
        <f t="shared" si="176"/>
        <v/>
      </c>
      <c r="AP323" s="33" t="str">
        <f t="shared" si="177"/>
        <v/>
      </c>
      <c r="AQ323" s="58" t="str">
        <f t="shared" si="178"/>
        <v/>
      </c>
      <c r="AR323" s="38">
        <f>'ANR OK vs ML7'!AR323</f>
        <v>0.1</v>
      </c>
      <c r="AS323" s="35" t="str">
        <f t="shared" si="179"/>
        <v/>
      </c>
      <c r="AT323" s="3" t="str">
        <f t="shared" si="180"/>
        <v/>
      </c>
      <c r="AU323" s="3" t="str">
        <f t="shared" si="181"/>
        <v/>
      </c>
      <c r="AW323" s="32" t="str">
        <f t="shared" si="182"/>
        <v/>
      </c>
      <c r="AX323" s="32" t="str">
        <f t="shared" si="183"/>
        <v/>
      </c>
      <c r="AY323" s="32" t="str">
        <f t="shared" si="184"/>
        <v/>
      </c>
      <c r="BA323" s="32" t="str">
        <f>IF($A324="","",F323*Summary!$Q$10)</f>
        <v/>
      </c>
    </row>
    <row r="324" spans="1:53" ht="12" customHeight="1">
      <c r="A324" s="67" t="str">
        <f t="shared" si="185"/>
        <v/>
      </c>
      <c r="B324" s="69" t="str">
        <f t="shared" si="187"/>
        <v/>
      </c>
      <c r="C324" s="71"/>
      <c r="D324" s="69" t="str">
        <f t="shared" si="151"/>
        <v/>
      </c>
      <c r="E324" s="70" t="str">
        <f t="shared" si="152"/>
        <v/>
      </c>
      <c r="F324" s="70" t="str">
        <f t="shared" si="153"/>
        <v/>
      </c>
      <c r="G324" s="63" t="str">
        <f t="shared" si="154"/>
        <v/>
      </c>
      <c r="H324" s="64" t="str">
        <f t="shared" si="155"/>
        <v/>
      </c>
      <c r="I324" s="43"/>
      <c r="J324" s="63" t="str">
        <f t="shared" si="156"/>
        <v/>
      </c>
      <c r="K324" s="64" t="str">
        <f t="shared" si="157"/>
        <v/>
      </c>
      <c r="L324" s="38">
        <v>0</v>
      </c>
      <c r="M324" s="64" t="str">
        <f t="shared" si="158"/>
        <v/>
      </c>
      <c r="N324" s="65"/>
      <c r="O324" s="63" t="str">
        <f t="shared" si="159"/>
        <v/>
      </c>
      <c r="P324" s="63" t="str">
        <f t="shared" si="160"/>
        <v/>
      </c>
      <c r="Q324" s="66"/>
      <c r="R324" s="63" t="str">
        <f t="shared" si="161"/>
        <v/>
      </c>
      <c r="S324" s="64" t="str">
        <f t="shared" si="162"/>
        <v/>
      </c>
      <c r="T324" s="63" t="str">
        <f t="shared" si="163"/>
        <v/>
      </c>
      <c r="U324" s="64" t="str">
        <f t="shared" si="164"/>
        <v/>
      </c>
      <c r="V324" s="219" t="str">
        <f>IF($A325="","",IF(AND(MONTH(A324)&gt;3,MONTH(A324)&lt;11),(T324+R324+G324)*Summary!$T$10/(1-Summary!$T$10),(T324+R324+G324)*Summary!$U$10/(1-Summary!$U$10)))</f>
        <v/>
      </c>
      <c r="W324" s="63" t="str">
        <f t="shared" si="165"/>
        <v/>
      </c>
      <c r="X324" s="63" t="str">
        <f t="shared" si="166"/>
        <v/>
      </c>
      <c r="Y324" s="43"/>
      <c r="Z324" s="38" t="str">
        <f t="shared" si="167"/>
        <v/>
      </c>
      <c r="AA324" s="38" t="str">
        <f t="shared" si="168"/>
        <v/>
      </c>
      <c r="AB324" s="38" t="e">
        <f t="shared" si="169"/>
        <v>#VALUE!</v>
      </c>
      <c r="AC324" s="38" t="str">
        <f t="shared" si="170"/>
        <v/>
      </c>
      <c r="AD324" s="38" t="str">
        <f t="shared" si="170"/>
        <v/>
      </c>
      <c r="AE324" s="38" t="e">
        <f t="shared" si="171"/>
        <v>#VALUE!</v>
      </c>
      <c r="AF324" s="237" t="e">
        <f>((Summary!$N$10*(AA324*AD324)*(A324-$D$3))+(Summary!$M$10*Z324*AC324*(AJ324-EOMONTH(EDATE(A324,-1),0))))/(AK324*AB324*AE324)</f>
        <v>#VALUE!</v>
      </c>
      <c r="AG324" s="88" t="str">
        <f>IF($A325="","",Summary!$Q$10)</f>
        <v/>
      </c>
      <c r="AH324" s="88" t="str">
        <f>IF($A325="","",IF(Summary!$R$10="Y",(VLOOKUP($A324,Summary!$AD$6:$AF$9,3)+'Escalating commodity'!F337),'Escalating commodity'!F337))</f>
        <v/>
      </c>
      <c r="AI324" s="88" t="str">
        <f t="shared" si="186"/>
        <v/>
      </c>
      <c r="AJ324" s="236" t="e">
        <f t="shared" si="172"/>
        <v>#VALUE!</v>
      </c>
      <c r="AK324" s="58" t="str">
        <f t="shared" si="173"/>
        <v/>
      </c>
      <c r="AL324" s="26" t="str">
        <f>IF($A325="","",_xll.SPRDOPT(P324,X324,AI324,0,AB324,AE324,AF324,AK324,$AJ$2,0))</f>
        <v/>
      </c>
      <c r="AM324" s="89" t="str">
        <f t="shared" si="174"/>
        <v/>
      </c>
      <c r="AN324" s="89" t="str">
        <f t="shared" si="175"/>
        <v/>
      </c>
      <c r="AO324" s="3" t="str">
        <f t="shared" si="176"/>
        <v/>
      </c>
      <c r="AP324" s="33" t="str">
        <f t="shared" si="177"/>
        <v/>
      </c>
      <c r="AQ324" s="58" t="str">
        <f t="shared" si="178"/>
        <v/>
      </c>
      <c r="AR324" s="38">
        <f>'ANR OK vs ML7'!AR324</f>
        <v>0.1</v>
      </c>
      <c r="AS324" s="35" t="str">
        <f t="shared" si="179"/>
        <v/>
      </c>
      <c r="AT324" s="3" t="str">
        <f t="shared" si="180"/>
        <v/>
      </c>
      <c r="AU324" s="3" t="str">
        <f t="shared" si="181"/>
        <v/>
      </c>
      <c r="AW324" s="32" t="str">
        <f t="shared" si="182"/>
        <v/>
      </c>
      <c r="AX324" s="32" t="str">
        <f t="shared" si="183"/>
        <v/>
      </c>
      <c r="AY324" s="32" t="str">
        <f t="shared" si="184"/>
        <v/>
      </c>
      <c r="BA324" s="32" t="str">
        <f>IF($A325="","",F324*Summary!$Q$10)</f>
        <v/>
      </c>
    </row>
    <row r="325" spans="1:53" ht="12" customHeight="1">
      <c r="A325" s="67" t="str">
        <f t="shared" si="185"/>
        <v/>
      </c>
      <c r="B325" s="69" t="str">
        <f t="shared" si="187"/>
        <v/>
      </c>
      <c r="C325" s="71"/>
      <c r="D325" s="69" t="str">
        <f t="shared" si="151"/>
        <v/>
      </c>
      <c r="E325" s="70" t="str">
        <f t="shared" si="152"/>
        <v/>
      </c>
      <c r="F325" s="70" t="str">
        <f t="shared" si="153"/>
        <v/>
      </c>
      <c r="G325" s="63" t="str">
        <f t="shared" si="154"/>
        <v/>
      </c>
      <c r="H325" s="64" t="str">
        <f t="shared" si="155"/>
        <v/>
      </c>
      <c r="I325" s="43"/>
      <c r="J325" s="63" t="str">
        <f t="shared" si="156"/>
        <v/>
      </c>
      <c r="K325" s="64" t="str">
        <f t="shared" si="157"/>
        <v/>
      </c>
      <c r="L325" s="38">
        <v>0</v>
      </c>
      <c r="M325" s="64" t="str">
        <f t="shared" si="158"/>
        <v/>
      </c>
      <c r="N325" s="65"/>
      <c r="O325" s="63" t="str">
        <f t="shared" si="159"/>
        <v/>
      </c>
      <c r="P325" s="63" t="str">
        <f t="shared" si="160"/>
        <v/>
      </c>
      <c r="Q325" s="66"/>
      <c r="R325" s="63" t="str">
        <f t="shared" si="161"/>
        <v/>
      </c>
      <c r="S325" s="64" t="str">
        <f t="shared" si="162"/>
        <v/>
      </c>
      <c r="T325" s="63" t="str">
        <f t="shared" si="163"/>
        <v/>
      </c>
      <c r="U325" s="64" t="str">
        <f t="shared" si="164"/>
        <v/>
      </c>
      <c r="V325" s="219" t="str">
        <f>IF($A326="","",IF(AND(MONTH(A325)&gt;3,MONTH(A325)&lt;11),(T325+R325+G325)*Summary!$T$10/(1-Summary!$T$10),(T325+R325+G325)*Summary!$U$10/(1-Summary!$U$10)))</f>
        <v/>
      </c>
      <c r="W325" s="63" t="str">
        <f t="shared" si="165"/>
        <v/>
      </c>
      <c r="X325" s="63" t="str">
        <f t="shared" si="166"/>
        <v/>
      </c>
      <c r="Y325" s="43"/>
      <c r="Z325" s="38" t="str">
        <f t="shared" si="167"/>
        <v/>
      </c>
      <c r="AA325" s="38" t="str">
        <f t="shared" si="168"/>
        <v/>
      </c>
      <c r="AB325" s="38" t="e">
        <f t="shared" si="169"/>
        <v>#VALUE!</v>
      </c>
      <c r="AC325" s="38" t="str">
        <f t="shared" si="170"/>
        <v/>
      </c>
      <c r="AD325" s="38" t="str">
        <f t="shared" si="170"/>
        <v/>
      </c>
      <c r="AE325" s="38" t="e">
        <f t="shared" si="171"/>
        <v>#VALUE!</v>
      </c>
      <c r="AF325" s="237" t="e">
        <f>((Summary!$N$10*(AA325*AD325)*(A325-$D$3))+(Summary!$M$10*Z325*AC325*(AJ325-EOMONTH(EDATE(A325,-1),0))))/(AK325*AB325*AE325)</f>
        <v>#VALUE!</v>
      </c>
      <c r="AG325" s="88" t="str">
        <f>IF($A326="","",Summary!$Q$10)</f>
        <v/>
      </c>
      <c r="AH325" s="88" t="str">
        <f>IF($A326="","",IF(Summary!$R$10="Y",(VLOOKUP($A325,Summary!$AD$6:$AF$9,3)+'Escalating commodity'!F338),'Escalating commodity'!F338))</f>
        <v/>
      </c>
      <c r="AI325" s="88" t="str">
        <f t="shared" si="186"/>
        <v/>
      </c>
      <c r="AJ325" s="236" t="e">
        <f t="shared" si="172"/>
        <v>#VALUE!</v>
      </c>
      <c r="AK325" s="58" t="str">
        <f t="shared" si="173"/>
        <v/>
      </c>
      <c r="AL325" s="26" t="str">
        <f>IF($A326="","",_xll.SPRDOPT(P325,X325,AI325,0,AB325,AE325,AF325,AK325,$AJ$2,0))</f>
        <v/>
      </c>
      <c r="AM325" s="89" t="str">
        <f t="shared" si="174"/>
        <v/>
      </c>
      <c r="AN325" s="89" t="str">
        <f t="shared" si="175"/>
        <v/>
      </c>
      <c r="AO325" s="3" t="str">
        <f t="shared" si="176"/>
        <v/>
      </c>
      <c r="AP325" s="33" t="str">
        <f t="shared" si="177"/>
        <v/>
      </c>
      <c r="AQ325" s="58" t="str">
        <f t="shared" si="178"/>
        <v/>
      </c>
      <c r="AR325" s="38">
        <f>'ANR OK vs ML7'!AR325</f>
        <v>0.1</v>
      </c>
      <c r="AS325" s="35" t="str">
        <f t="shared" si="179"/>
        <v/>
      </c>
      <c r="AT325" s="3" t="str">
        <f t="shared" si="180"/>
        <v/>
      </c>
      <c r="AU325" s="3" t="str">
        <f t="shared" si="181"/>
        <v/>
      </c>
      <c r="AW325" s="32" t="str">
        <f t="shared" si="182"/>
        <v/>
      </c>
      <c r="AX325" s="32" t="str">
        <f t="shared" si="183"/>
        <v/>
      </c>
      <c r="AY325" s="32" t="str">
        <f t="shared" si="184"/>
        <v/>
      </c>
      <c r="BA325" s="32" t="str">
        <f>IF($A326="","",F325*Summary!$Q$10)</f>
        <v/>
      </c>
    </row>
    <row r="326" spans="1:53" ht="12" customHeight="1">
      <c r="A326" s="67" t="str">
        <f t="shared" si="185"/>
        <v/>
      </c>
      <c r="B326" s="69" t="str">
        <f t="shared" si="187"/>
        <v/>
      </c>
      <c r="C326" s="71"/>
      <c r="D326" s="69" t="str">
        <f t="shared" si="151"/>
        <v/>
      </c>
      <c r="E326" s="70" t="str">
        <f t="shared" si="152"/>
        <v/>
      </c>
      <c r="F326" s="70" t="str">
        <f t="shared" si="153"/>
        <v/>
      </c>
      <c r="G326" s="63" t="str">
        <f t="shared" si="154"/>
        <v/>
      </c>
      <c r="H326" s="64" t="str">
        <f t="shared" si="155"/>
        <v/>
      </c>
      <c r="I326" s="43"/>
      <c r="J326" s="63" t="str">
        <f t="shared" si="156"/>
        <v/>
      </c>
      <c r="K326" s="64" t="str">
        <f t="shared" si="157"/>
        <v/>
      </c>
      <c r="L326" s="38">
        <v>0</v>
      </c>
      <c r="M326" s="64" t="str">
        <f t="shared" si="158"/>
        <v/>
      </c>
      <c r="N326" s="65"/>
      <c r="O326" s="63" t="str">
        <f t="shared" si="159"/>
        <v/>
      </c>
      <c r="P326" s="63" t="str">
        <f t="shared" si="160"/>
        <v/>
      </c>
      <c r="Q326" s="66"/>
      <c r="R326" s="63" t="str">
        <f t="shared" si="161"/>
        <v/>
      </c>
      <c r="S326" s="64" t="str">
        <f t="shared" si="162"/>
        <v/>
      </c>
      <c r="T326" s="63" t="str">
        <f t="shared" si="163"/>
        <v/>
      </c>
      <c r="U326" s="64" t="str">
        <f t="shared" si="164"/>
        <v/>
      </c>
      <c r="V326" s="219" t="str">
        <f>IF($A327="","",IF(AND(MONTH(A326)&gt;3,MONTH(A326)&lt;11),(T326+R326+G326)*Summary!$T$10/(1-Summary!$T$10),(T326+R326+G326)*Summary!$U$10/(1-Summary!$U$10)))</f>
        <v/>
      </c>
      <c r="W326" s="63" t="str">
        <f t="shared" si="165"/>
        <v/>
      </c>
      <c r="X326" s="63" t="str">
        <f t="shared" si="166"/>
        <v/>
      </c>
      <c r="Y326" s="43"/>
      <c r="Z326" s="38" t="str">
        <f t="shared" si="167"/>
        <v/>
      </c>
      <c r="AA326" s="38" t="str">
        <f t="shared" si="168"/>
        <v/>
      </c>
      <c r="AB326" s="38" t="e">
        <f t="shared" si="169"/>
        <v>#VALUE!</v>
      </c>
      <c r="AC326" s="38" t="str">
        <f t="shared" si="170"/>
        <v/>
      </c>
      <c r="AD326" s="38" t="str">
        <f t="shared" si="170"/>
        <v/>
      </c>
      <c r="AE326" s="38" t="e">
        <f t="shared" si="171"/>
        <v>#VALUE!</v>
      </c>
      <c r="AF326" s="237" t="e">
        <f>((Summary!$N$10*(AA326*AD326)*(A326-$D$3))+(Summary!$M$10*Z326*AC326*(AJ326-EOMONTH(EDATE(A326,-1),0))))/(AK326*AB326*AE326)</f>
        <v>#VALUE!</v>
      </c>
      <c r="AG326" s="88" t="str">
        <f>IF($A327="","",Summary!$Q$10)</f>
        <v/>
      </c>
      <c r="AH326" s="88" t="str">
        <f>IF($A327="","",IF(Summary!$R$10="Y",(VLOOKUP($A326,Summary!$AD$6:$AF$9,3)+'Escalating commodity'!F339),'Escalating commodity'!F339))</f>
        <v/>
      </c>
      <c r="AI326" s="88" t="str">
        <f t="shared" si="186"/>
        <v/>
      </c>
      <c r="AJ326" s="236" t="e">
        <f t="shared" si="172"/>
        <v>#VALUE!</v>
      </c>
      <c r="AK326" s="58" t="str">
        <f t="shared" si="173"/>
        <v/>
      </c>
      <c r="AL326" s="26" t="str">
        <f>IF($A327="","",_xll.SPRDOPT(P326,X326,AI326,0,AB326,AE326,AF326,AK326,$AJ$2,0))</f>
        <v/>
      </c>
      <c r="AM326" s="89" t="str">
        <f t="shared" si="174"/>
        <v/>
      </c>
      <c r="AN326" s="89" t="str">
        <f t="shared" si="175"/>
        <v/>
      </c>
      <c r="AO326" s="3" t="str">
        <f t="shared" si="176"/>
        <v/>
      </c>
      <c r="AP326" s="33" t="str">
        <f t="shared" si="177"/>
        <v/>
      </c>
      <c r="AQ326" s="58" t="str">
        <f t="shared" si="178"/>
        <v/>
      </c>
      <c r="AR326" s="38">
        <f>'ANR OK vs ML7'!AR326</f>
        <v>0.1</v>
      </c>
      <c r="AS326" s="35" t="str">
        <f t="shared" si="179"/>
        <v/>
      </c>
      <c r="AT326" s="3" t="str">
        <f t="shared" si="180"/>
        <v/>
      </c>
      <c r="AU326" s="3" t="str">
        <f t="shared" si="181"/>
        <v/>
      </c>
      <c r="AW326" s="32" t="str">
        <f t="shared" si="182"/>
        <v/>
      </c>
      <c r="AX326" s="32" t="str">
        <f t="shared" si="183"/>
        <v/>
      </c>
      <c r="AY326" s="32" t="str">
        <f t="shared" si="184"/>
        <v/>
      </c>
      <c r="BA326" s="32" t="str">
        <f>IF($A327="","",F326*Summary!$Q$10)</f>
        <v/>
      </c>
    </row>
    <row r="327" spans="1:53" ht="12" customHeight="1">
      <c r="A327" s="67" t="str">
        <f t="shared" si="185"/>
        <v/>
      </c>
      <c r="B327" s="69" t="str">
        <f t="shared" si="187"/>
        <v/>
      </c>
      <c r="C327" s="71"/>
      <c r="D327" s="69" t="str">
        <f t="shared" si="151"/>
        <v/>
      </c>
      <c r="E327" s="70" t="str">
        <f t="shared" si="152"/>
        <v/>
      </c>
      <c r="F327" s="70" t="str">
        <f t="shared" si="153"/>
        <v/>
      </c>
      <c r="G327" s="63" t="str">
        <f t="shared" si="154"/>
        <v/>
      </c>
      <c r="H327" s="64" t="str">
        <f t="shared" si="155"/>
        <v/>
      </c>
      <c r="I327" s="43"/>
      <c r="J327" s="63" t="str">
        <f t="shared" si="156"/>
        <v/>
      </c>
      <c r="K327" s="64" t="str">
        <f t="shared" si="157"/>
        <v/>
      </c>
      <c r="L327" s="38">
        <v>0</v>
      </c>
      <c r="M327" s="64" t="str">
        <f t="shared" si="158"/>
        <v/>
      </c>
      <c r="N327" s="65"/>
      <c r="O327" s="63" t="str">
        <f t="shared" si="159"/>
        <v/>
      </c>
      <c r="P327" s="63" t="str">
        <f t="shared" si="160"/>
        <v/>
      </c>
      <c r="Q327" s="66"/>
      <c r="R327" s="63" t="str">
        <f t="shared" si="161"/>
        <v/>
      </c>
      <c r="S327" s="64" t="str">
        <f t="shared" si="162"/>
        <v/>
      </c>
      <c r="T327" s="63" t="str">
        <f t="shared" si="163"/>
        <v/>
      </c>
      <c r="U327" s="64" t="str">
        <f t="shared" si="164"/>
        <v/>
      </c>
      <c r="V327" s="219" t="str">
        <f>IF($A328="","",IF(AND(MONTH(A327)&gt;3,MONTH(A327)&lt;11),(T327+R327+G327)*Summary!$T$10/(1-Summary!$T$10),(T327+R327+G327)*Summary!$U$10/(1-Summary!$U$10)))</f>
        <v/>
      </c>
      <c r="W327" s="63" t="str">
        <f t="shared" si="165"/>
        <v/>
      </c>
      <c r="X327" s="63" t="str">
        <f t="shared" si="166"/>
        <v/>
      </c>
      <c r="Y327" s="43"/>
      <c r="Z327" s="38" t="str">
        <f t="shared" si="167"/>
        <v/>
      </c>
      <c r="AA327" s="38" t="str">
        <f t="shared" si="168"/>
        <v/>
      </c>
      <c r="AB327" s="38" t="e">
        <f t="shared" si="169"/>
        <v>#VALUE!</v>
      </c>
      <c r="AC327" s="38" t="str">
        <f t="shared" si="170"/>
        <v/>
      </c>
      <c r="AD327" s="38" t="str">
        <f t="shared" si="170"/>
        <v/>
      </c>
      <c r="AE327" s="38" t="e">
        <f t="shared" si="171"/>
        <v>#VALUE!</v>
      </c>
      <c r="AF327" s="237" t="e">
        <f>((Summary!$N$10*(AA327*AD327)*(A327-$D$3))+(Summary!$M$10*Z327*AC327*(AJ327-EOMONTH(EDATE(A327,-1),0))))/(AK327*AB327*AE327)</f>
        <v>#VALUE!</v>
      </c>
      <c r="AG327" s="88" t="str">
        <f>IF($A328="","",Summary!$Q$10)</f>
        <v/>
      </c>
      <c r="AH327" s="88" t="str">
        <f>IF($A328="","",IF(Summary!$R$10="Y",(VLOOKUP($A327,Summary!$AD$6:$AF$9,3)+'Escalating commodity'!F340),'Escalating commodity'!F340))</f>
        <v/>
      </c>
      <c r="AI327" s="88" t="str">
        <f t="shared" si="186"/>
        <v/>
      </c>
      <c r="AJ327" s="236" t="e">
        <f t="shared" si="172"/>
        <v>#VALUE!</v>
      </c>
      <c r="AK327" s="58" t="str">
        <f t="shared" si="173"/>
        <v/>
      </c>
      <c r="AL327" s="26" t="str">
        <f>IF($A328="","",_xll.SPRDOPT(P327,X327,AI327,0,AB327,AE327,AF327,AK327,$AJ$2,0))</f>
        <v/>
      </c>
      <c r="AM327" s="89" t="str">
        <f t="shared" si="174"/>
        <v/>
      </c>
      <c r="AN327" s="89" t="str">
        <f t="shared" si="175"/>
        <v/>
      </c>
      <c r="AO327" s="3" t="str">
        <f t="shared" si="176"/>
        <v/>
      </c>
      <c r="AP327" s="33" t="str">
        <f t="shared" si="177"/>
        <v/>
      </c>
      <c r="AQ327" s="58" t="str">
        <f t="shared" si="178"/>
        <v/>
      </c>
      <c r="AR327" s="38">
        <f>'ANR OK vs ML7'!AR327</f>
        <v>0.1</v>
      </c>
      <c r="AS327" s="35" t="str">
        <f t="shared" si="179"/>
        <v/>
      </c>
      <c r="AT327" s="3" t="str">
        <f t="shared" si="180"/>
        <v/>
      </c>
      <c r="AU327" s="3" t="str">
        <f t="shared" si="181"/>
        <v/>
      </c>
      <c r="AW327" s="32" t="str">
        <f t="shared" si="182"/>
        <v/>
      </c>
      <c r="AX327" s="32" t="str">
        <f t="shared" si="183"/>
        <v/>
      </c>
      <c r="AY327" s="32" t="str">
        <f t="shared" si="184"/>
        <v/>
      </c>
      <c r="BA327" s="32" t="str">
        <f>IF($A328="","",F327*Summary!$Q$10)</f>
        <v/>
      </c>
    </row>
    <row r="328" spans="1:53" ht="12" customHeight="1">
      <c r="A328" s="67" t="str">
        <f t="shared" si="185"/>
        <v/>
      </c>
      <c r="B328" s="69" t="str">
        <f t="shared" si="187"/>
        <v/>
      </c>
      <c r="C328" s="71"/>
      <c r="D328" s="69" t="str">
        <f t="shared" si="151"/>
        <v/>
      </c>
      <c r="E328" s="70" t="str">
        <f t="shared" si="152"/>
        <v/>
      </c>
      <c r="F328" s="70" t="str">
        <f t="shared" si="153"/>
        <v/>
      </c>
      <c r="G328" s="63" t="str">
        <f t="shared" si="154"/>
        <v/>
      </c>
      <c r="H328" s="64" t="str">
        <f t="shared" si="155"/>
        <v/>
      </c>
      <c r="I328" s="43"/>
      <c r="J328" s="63" t="str">
        <f t="shared" si="156"/>
        <v/>
      </c>
      <c r="K328" s="64" t="str">
        <f t="shared" si="157"/>
        <v/>
      </c>
      <c r="L328" s="38">
        <v>0</v>
      </c>
      <c r="M328" s="64" t="str">
        <f t="shared" si="158"/>
        <v/>
      </c>
      <c r="N328" s="65"/>
      <c r="O328" s="63" t="str">
        <f t="shared" si="159"/>
        <v/>
      </c>
      <c r="P328" s="63" t="str">
        <f t="shared" si="160"/>
        <v/>
      </c>
      <c r="Q328" s="66"/>
      <c r="R328" s="63" t="str">
        <f t="shared" si="161"/>
        <v/>
      </c>
      <c r="S328" s="64" t="str">
        <f t="shared" si="162"/>
        <v/>
      </c>
      <c r="T328" s="63" t="str">
        <f t="shared" si="163"/>
        <v/>
      </c>
      <c r="U328" s="64" t="str">
        <f t="shared" si="164"/>
        <v/>
      </c>
      <c r="V328" s="219" t="str">
        <f>IF($A329="","",IF(AND(MONTH(A328)&gt;3,MONTH(A328)&lt;11),(T328+R328+G328)*Summary!$T$10/(1-Summary!$T$10),(T328+R328+G328)*Summary!$U$10/(1-Summary!$U$10)))</f>
        <v/>
      </c>
      <c r="W328" s="63" t="str">
        <f t="shared" si="165"/>
        <v/>
      </c>
      <c r="X328" s="63" t="str">
        <f t="shared" si="166"/>
        <v/>
      </c>
      <c r="Y328" s="43"/>
      <c r="Z328" s="38" t="str">
        <f t="shared" si="167"/>
        <v/>
      </c>
      <c r="AA328" s="38" t="str">
        <f t="shared" si="168"/>
        <v/>
      </c>
      <c r="AB328" s="38" t="e">
        <f t="shared" si="169"/>
        <v>#VALUE!</v>
      </c>
      <c r="AC328" s="38" t="str">
        <f t="shared" si="170"/>
        <v/>
      </c>
      <c r="AD328" s="38" t="str">
        <f t="shared" si="170"/>
        <v/>
      </c>
      <c r="AE328" s="38" t="e">
        <f t="shared" si="171"/>
        <v>#VALUE!</v>
      </c>
      <c r="AF328" s="237" t="e">
        <f>((Summary!$N$10*(AA328*AD328)*(A328-$D$3))+(Summary!$M$10*Z328*AC328*(AJ328-EOMONTH(EDATE(A328,-1),0))))/(AK328*AB328*AE328)</f>
        <v>#VALUE!</v>
      </c>
      <c r="AG328" s="88" t="str">
        <f>IF($A329="","",Summary!$Q$10)</f>
        <v/>
      </c>
      <c r="AH328" s="88" t="str">
        <f>IF($A329="","",IF(Summary!$R$10="Y",(VLOOKUP($A328,Summary!$AD$6:$AF$9,3)+'Escalating commodity'!F341),'Escalating commodity'!F341))</f>
        <v/>
      </c>
      <c r="AI328" s="88" t="str">
        <f t="shared" si="186"/>
        <v/>
      </c>
      <c r="AJ328" s="236" t="e">
        <f t="shared" si="172"/>
        <v>#VALUE!</v>
      </c>
      <c r="AK328" s="58" t="str">
        <f t="shared" si="173"/>
        <v/>
      </c>
      <c r="AL328" s="26" t="str">
        <f>IF($A329="","",_xll.SPRDOPT(P328,X328,AI328,0,AB328,AE328,AF328,AK328,$AJ$2,0))</f>
        <v/>
      </c>
      <c r="AM328" s="89" t="str">
        <f t="shared" si="174"/>
        <v/>
      </c>
      <c r="AN328" s="89" t="str">
        <f t="shared" si="175"/>
        <v/>
      </c>
      <c r="AO328" s="3" t="str">
        <f t="shared" si="176"/>
        <v/>
      </c>
      <c r="AP328" s="33" t="str">
        <f t="shared" si="177"/>
        <v/>
      </c>
      <c r="AQ328" s="58" t="str">
        <f t="shared" si="178"/>
        <v/>
      </c>
      <c r="AR328" s="38">
        <f>'ANR OK vs ML7'!AR328</f>
        <v>0.1</v>
      </c>
      <c r="AS328" s="35" t="str">
        <f t="shared" si="179"/>
        <v/>
      </c>
      <c r="AT328" s="3" t="str">
        <f t="shared" si="180"/>
        <v/>
      </c>
      <c r="AU328" s="3" t="str">
        <f t="shared" si="181"/>
        <v/>
      </c>
      <c r="AW328" s="32" t="str">
        <f t="shared" si="182"/>
        <v/>
      </c>
      <c r="AX328" s="32" t="str">
        <f t="shared" si="183"/>
        <v/>
      </c>
      <c r="AY328" s="32" t="str">
        <f t="shared" si="184"/>
        <v/>
      </c>
      <c r="BA328" s="32" t="str">
        <f>IF($A329="","",F328*Summary!$Q$10)</f>
        <v/>
      </c>
    </row>
    <row r="329" spans="1:53" ht="12" customHeight="1">
      <c r="A329" s="67" t="str">
        <f t="shared" si="185"/>
        <v/>
      </c>
      <c r="B329" s="69" t="str">
        <f t="shared" si="187"/>
        <v/>
      </c>
      <c r="C329" s="71"/>
      <c r="D329" s="69" t="str">
        <f t="shared" si="151"/>
        <v/>
      </c>
      <c r="E329" s="70" t="str">
        <f t="shared" si="152"/>
        <v/>
      </c>
      <c r="F329" s="70" t="str">
        <f t="shared" si="153"/>
        <v/>
      </c>
      <c r="G329" s="63" t="str">
        <f t="shared" si="154"/>
        <v/>
      </c>
      <c r="H329" s="64" t="str">
        <f t="shared" si="155"/>
        <v/>
      </c>
      <c r="I329" s="43"/>
      <c r="J329" s="63" t="str">
        <f t="shared" si="156"/>
        <v/>
      </c>
      <c r="K329" s="64" t="str">
        <f t="shared" si="157"/>
        <v/>
      </c>
      <c r="L329" s="38">
        <v>0</v>
      </c>
      <c r="M329" s="64" t="str">
        <f t="shared" si="158"/>
        <v/>
      </c>
      <c r="N329" s="65"/>
      <c r="O329" s="63" t="str">
        <f t="shared" si="159"/>
        <v/>
      </c>
      <c r="P329" s="63" t="str">
        <f t="shared" si="160"/>
        <v/>
      </c>
      <c r="Q329" s="66"/>
      <c r="R329" s="63" t="str">
        <f t="shared" si="161"/>
        <v/>
      </c>
      <c r="S329" s="64" t="str">
        <f t="shared" si="162"/>
        <v/>
      </c>
      <c r="T329" s="63" t="str">
        <f t="shared" si="163"/>
        <v/>
      </c>
      <c r="U329" s="64" t="str">
        <f t="shared" si="164"/>
        <v/>
      </c>
      <c r="V329" s="219" t="str">
        <f>IF($A330="","",IF(AND(MONTH(A329)&gt;3,MONTH(A329)&lt;11),(T329+R329+G329)*Summary!$T$10/(1-Summary!$T$10),(T329+R329+G329)*Summary!$U$10/(1-Summary!$U$10)))</f>
        <v/>
      </c>
      <c r="W329" s="63" t="str">
        <f t="shared" si="165"/>
        <v/>
      </c>
      <c r="X329" s="63" t="str">
        <f t="shared" si="166"/>
        <v/>
      </c>
      <c r="Y329" s="43"/>
      <c r="Z329" s="38" t="str">
        <f t="shared" si="167"/>
        <v/>
      </c>
      <c r="AA329" s="38" t="str">
        <f t="shared" si="168"/>
        <v/>
      </c>
      <c r="AB329" s="38" t="e">
        <f t="shared" si="169"/>
        <v>#VALUE!</v>
      </c>
      <c r="AC329" s="38" t="str">
        <f t="shared" si="170"/>
        <v/>
      </c>
      <c r="AD329" s="38" t="str">
        <f t="shared" si="170"/>
        <v/>
      </c>
      <c r="AE329" s="38" t="e">
        <f t="shared" si="171"/>
        <v>#VALUE!</v>
      </c>
      <c r="AF329" s="237" t="e">
        <f>((Summary!$N$10*(AA329*AD329)*(A329-$D$3))+(Summary!$M$10*Z329*AC329*(AJ329-EOMONTH(EDATE(A329,-1),0))))/(AK329*AB329*AE329)</f>
        <v>#VALUE!</v>
      </c>
      <c r="AG329" s="88" t="str">
        <f>IF($A330="","",Summary!$Q$10)</f>
        <v/>
      </c>
      <c r="AH329" s="88" t="str">
        <f>IF($A330="","",IF(Summary!$R$10="Y",(VLOOKUP($A329,Summary!$AD$6:$AF$9,3)+'Escalating commodity'!F342),'Escalating commodity'!F342))</f>
        <v/>
      </c>
      <c r="AI329" s="88" t="str">
        <f t="shared" si="186"/>
        <v/>
      </c>
      <c r="AJ329" s="236" t="e">
        <f t="shared" si="172"/>
        <v>#VALUE!</v>
      </c>
      <c r="AK329" s="58" t="str">
        <f t="shared" si="173"/>
        <v/>
      </c>
      <c r="AL329" s="26" t="str">
        <f>IF($A330="","",_xll.SPRDOPT(P329,X329,AI329,0,AB329,AE329,AF329,AK329,$AJ$2,0))</f>
        <v/>
      </c>
      <c r="AM329" s="89" t="str">
        <f t="shared" si="174"/>
        <v/>
      </c>
      <c r="AN329" s="89" t="str">
        <f t="shared" si="175"/>
        <v/>
      </c>
      <c r="AO329" s="3" t="str">
        <f t="shared" si="176"/>
        <v/>
      </c>
      <c r="AP329" s="33" t="str">
        <f t="shared" si="177"/>
        <v/>
      </c>
      <c r="AQ329" s="58" t="str">
        <f t="shared" si="178"/>
        <v/>
      </c>
      <c r="AR329" s="38">
        <f>'ANR OK vs ML7'!AR329</f>
        <v>0.1</v>
      </c>
      <c r="AS329" s="35" t="str">
        <f t="shared" si="179"/>
        <v/>
      </c>
      <c r="AT329" s="3" t="str">
        <f t="shared" si="180"/>
        <v/>
      </c>
      <c r="AU329" s="3" t="str">
        <f t="shared" si="181"/>
        <v/>
      </c>
      <c r="AW329" s="32" t="str">
        <f t="shared" si="182"/>
        <v/>
      </c>
      <c r="AX329" s="32" t="str">
        <f t="shared" si="183"/>
        <v/>
      </c>
      <c r="AY329" s="32" t="str">
        <f t="shared" si="184"/>
        <v/>
      </c>
      <c r="BA329" s="32" t="str">
        <f>IF($A330="","",F329*Summary!$Q$10)</f>
        <v/>
      </c>
    </row>
    <row r="330" spans="1:53" ht="12" customHeight="1">
      <c r="A330" s="67" t="str">
        <f t="shared" si="185"/>
        <v/>
      </c>
      <c r="B330" s="69" t="str">
        <f t="shared" si="187"/>
        <v/>
      </c>
      <c r="C330" s="71"/>
      <c r="D330" s="69" t="str">
        <f t="shared" ref="D330:D393" si="188">IF(A331&lt;&gt;"",B330+C330,"")</f>
        <v/>
      </c>
      <c r="E330" s="70" t="str">
        <f t="shared" ref="E330:E393" si="189">IF(A331="","",IF(AND(AT330=1,$H$3=1),D330*AO330,IF($H$3=2,D330,"N/A")))</f>
        <v/>
      </c>
      <c r="F330" s="70" t="str">
        <f t="shared" ref="F330:F393" si="190">IF(A331="","",E330*AS330)</f>
        <v/>
      </c>
      <c r="G330" s="63" t="str">
        <f t="shared" ref="G330:G393" si="191">IF($A331="","",VLOOKUP($A330,Table,MATCH(G$4,Curves,0)))</f>
        <v/>
      </c>
      <c r="H330" s="64" t="str">
        <f t="shared" ref="H330:H393" si="192">IF(A331="","",G330)</f>
        <v/>
      </c>
      <c r="I330" s="43"/>
      <c r="J330" s="63" t="str">
        <f t="shared" ref="J330:J393" si="193">IF($A331="","",VLOOKUP($A330,Table,MATCH(J$4,Curves,0)))</f>
        <v/>
      </c>
      <c r="K330" s="64" t="str">
        <f t="shared" ref="K330:K393" si="194">IF(A331="","",J330)</f>
        <v/>
      </c>
      <c r="L330" s="38">
        <v>0</v>
      </c>
      <c r="M330" s="64" t="str">
        <f t="shared" ref="M330:M393" si="195">IF(A331="","",L330)</f>
        <v/>
      </c>
      <c r="N330" s="65"/>
      <c r="O330" s="63" t="str">
        <f t="shared" ref="O330:O393" si="196">IF(A331="","",L330+J330+G330)</f>
        <v/>
      </c>
      <c r="P330" s="63" t="str">
        <f t="shared" ref="P330:P393" si="197">IF(A331="","",M330+K330+H330)</f>
        <v/>
      </c>
      <c r="Q330" s="66"/>
      <c r="R330" s="63" t="str">
        <f t="shared" ref="R330:R393" si="198">IF($A331="","",VLOOKUP($A330,Table,MATCH(R$4,Curves,0)))</f>
        <v/>
      </c>
      <c r="S330" s="64" t="str">
        <f t="shared" ref="S330:S393" si="199">IF(A331="","",R330)</f>
        <v/>
      </c>
      <c r="T330" s="63" t="str">
        <f t="shared" ref="T330:T393" si="200">IF($A331="","",VLOOKUP($A330,Table,MATCH(T$4,Curves,0)))</f>
        <v/>
      </c>
      <c r="U330" s="64" t="str">
        <f t="shared" ref="U330:U393" si="201">IF(A331="","",T330)</f>
        <v/>
      </c>
      <c r="V330" s="219" t="str">
        <f>IF($A331="","",IF(AND(MONTH(A330)&gt;3,MONTH(A330)&lt;11),(T330+R330+G330)*Summary!$T$10/(1-Summary!$T$10),(T330+R330+G330)*Summary!$U$10/(1-Summary!$U$10)))</f>
        <v/>
      </c>
      <c r="W330" s="63" t="str">
        <f t="shared" ref="W330:W393" si="202">IF($A331="","",(T330+R330+G330+V330))</f>
        <v/>
      </c>
      <c r="X330" s="63" t="str">
        <f t="shared" ref="X330:X393" si="203">IF($A331="","",(U330+S330+H330+V330))</f>
        <v/>
      </c>
      <c r="Y330" s="43"/>
      <c r="Z330" s="38" t="str">
        <f t="shared" ref="Z330:Z369" si="204">IF($A331="","",VLOOKUP($A330,Table,MATCH(Z$4,Curves,0)))</f>
        <v/>
      </c>
      <c r="AA330" s="38" t="str">
        <f t="shared" ref="AA330:AA369" si="205">IF($A331="","",VLOOKUP($A330,Table,MATCH(AA$4,Curves,0)))</f>
        <v/>
      </c>
      <c r="AB330" s="38" t="e">
        <f t="shared" ref="AB330:AB393" si="206">SQRT((AA330^2*(A330-$D$3)+Z330^2*(DAY(EOMONTH(A330,0))/2))/AK330)</f>
        <v>#VALUE!</v>
      </c>
      <c r="AC330" s="38" t="str">
        <f t="shared" ref="AC330:AD369" si="207">IF($A331="","",VLOOKUP($A330,Table,MATCH(AC$4,Curves,0)))</f>
        <v/>
      </c>
      <c r="AD330" s="38" t="str">
        <f t="shared" si="207"/>
        <v/>
      </c>
      <c r="AE330" s="38" t="e">
        <f t="shared" ref="AE330:AE393" si="208">SQRT((AD330^2*(A330-$D$3)+AC330^2*(DAY(EOMONTH(A330,0))/2))/AK330)</f>
        <v>#VALUE!</v>
      </c>
      <c r="AF330" s="237" t="e">
        <f>((Summary!$N$10*(AA330*AD330)*(A330-$D$3))+(Summary!$M$10*Z330*AC330*(AJ330-EOMONTH(EDATE(A330,-1),0))))/(AK330*AB330*AE330)</f>
        <v>#VALUE!</v>
      </c>
      <c r="AG330" s="88" t="str">
        <f>IF($A331="","",Summary!$Q$10)</f>
        <v/>
      </c>
      <c r="AH330" s="88" t="str">
        <f>IF($A331="","",IF(Summary!$R$10="Y",(VLOOKUP($A330,Summary!$AD$6:$AF$9,3)+'Escalating commodity'!F343),'Escalating commodity'!F343))</f>
        <v/>
      </c>
      <c r="AI330" s="88" t="str">
        <f t="shared" si="186"/>
        <v/>
      </c>
      <c r="AJ330" s="236" t="e">
        <f t="shared" ref="AJ330:AJ369" si="209">A330+DAY(EOMONTH(A330,0))/2-1</f>
        <v>#VALUE!</v>
      </c>
      <c r="AK330" s="58" t="str">
        <f t="shared" ref="AK330:AK369" si="210">IF($A331="","",$A330-$E$1)</f>
        <v/>
      </c>
      <c r="AL330" s="26" t="str">
        <f>IF($A331="","",_xll.SPRDOPT(P330,X330,AI330,0,AB330,AE330,AF330,AK330,$AJ$2,0))</f>
        <v/>
      </c>
      <c r="AM330" s="89" t="str">
        <f t="shared" ref="AM330:AM369" si="211">IF($A331="","",MAX(0,O330-W330-AI330))</f>
        <v/>
      </c>
      <c r="AN330" s="89" t="str">
        <f t="shared" ref="AN330:AN369" si="212">IF($A331="","",AL330-AM330)</f>
        <v/>
      </c>
      <c r="AO330" s="3" t="str">
        <f t="shared" ref="AO330:AO393" si="213">IF(A331="","",A331-A330)</f>
        <v/>
      </c>
      <c r="AP330" s="33" t="str">
        <f t="shared" ref="AP330:AP393" si="214">IF(A331="","",CHOOSE(F$3,A331+24,A330))</f>
        <v/>
      </c>
      <c r="AQ330" s="58" t="str">
        <f t="shared" ref="AQ330:AQ393" si="215">IF(A331="","",AP330-$E$1)</f>
        <v/>
      </c>
      <c r="AR330" s="38">
        <f>'ANR OK vs ML7'!AR330</f>
        <v>0.1</v>
      </c>
      <c r="AS330" s="35" t="str">
        <f t="shared" ref="AS330:AS393" si="216">IF(A331="","",1/(1+CHOOSE(F$3,(AR331+($I$3/10000))/2,(AR330+($I$3/10000))/2))^(2*AQ330/365.25))</f>
        <v/>
      </c>
      <c r="AT330" s="3" t="str">
        <f t="shared" ref="AT330:AT393" si="217">IF(A331="","",IF(AND(mthbeg&lt;=A330,mthend&gt;=A330),1,0))</f>
        <v/>
      </c>
      <c r="AU330" s="3" t="str">
        <f t="shared" ref="AU330:AU393" si="218">IF(A331="","",AO330*AT330)</f>
        <v/>
      </c>
      <c r="AW330" s="32" t="str">
        <f t="shared" ref="AW330:AW393" si="219">IF($A331="","",AL330*$E330)</f>
        <v/>
      </c>
      <c r="AX330" s="32" t="str">
        <f t="shared" ref="AX330:AX393" si="220">IF($A331="","",AM330*$E330)</f>
        <v/>
      </c>
      <c r="AY330" s="32" t="str">
        <f t="shared" ref="AY330:AY393" si="221">IF($A331="","",AN330*$E330)</f>
        <v/>
      </c>
      <c r="BA330" s="32" t="str">
        <f>IF($A331="","",F330*Summary!$Q$10)</f>
        <v/>
      </c>
    </row>
    <row r="331" spans="1:53" ht="12" customHeight="1">
      <c r="A331" s="67" t="str">
        <f t="shared" ref="A331:A394" si="222">IF(A330&lt;mthend,EDATE(A330,1),"")</f>
        <v/>
      </c>
      <c r="B331" s="69" t="str">
        <f t="shared" si="187"/>
        <v/>
      </c>
      <c r="C331" s="71"/>
      <c r="D331" s="69" t="str">
        <f t="shared" si="188"/>
        <v/>
      </c>
      <c r="E331" s="70" t="str">
        <f t="shared" si="189"/>
        <v/>
      </c>
      <c r="F331" s="70" t="str">
        <f t="shared" si="190"/>
        <v/>
      </c>
      <c r="G331" s="63" t="str">
        <f t="shared" si="191"/>
        <v/>
      </c>
      <c r="H331" s="64" t="str">
        <f t="shared" si="192"/>
        <v/>
      </c>
      <c r="I331" s="43"/>
      <c r="J331" s="63" t="str">
        <f t="shared" si="193"/>
        <v/>
      </c>
      <c r="K331" s="64" t="str">
        <f t="shared" si="194"/>
        <v/>
      </c>
      <c r="L331" s="38">
        <v>0</v>
      </c>
      <c r="M331" s="64" t="str">
        <f t="shared" si="195"/>
        <v/>
      </c>
      <c r="N331" s="65"/>
      <c r="O331" s="63" t="str">
        <f t="shared" si="196"/>
        <v/>
      </c>
      <c r="P331" s="63" t="str">
        <f t="shared" si="197"/>
        <v/>
      </c>
      <c r="Q331" s="66"/>
      <c r="R331" s="63" t="str">
        <f t="shared" si="198"/>
        <v/>
      </c>
      <c r="S331" s="64" t="str">
        <f t="shared" si="199"/>
        <v/>
      </c>
      <c r="T331" s="63" t="str">
        <f t="shared" si="200"/>
        <v/>
      </c>
      <c r="U331" s="64" t="str">
        <f t="shared" si="201"/>
        <v/>
      </c>
      <c r="V331" s="219" t="str">
        <f>IF($A332="","",IF(AND(MONTH(A331)&gt;3,MONTH(A331)&lt;11),(T331+R331+G331)*Summary!$T$10/(1-Summary!$T$10),(T331+R331+G331)*Summary!$U$10/(1-Summary!$U$10)))</f>
        <v/>
      </c>
      <c r="W331" s="63" t="str">
        <f t="shared" si="202"/>
        <v/>
      </c>
      <c r="X331" s="63" t="str">
        <f t="shared" si="203"/>
        <v/>
      </c>
      <c r="Y331" s="43"/>
      <c r="Z331" s="38" t="str">
        <f t="shared" si="204"/>
        <v/>
      </c>
      <c r="AA331" s="38" t="str">
        <f t="shared" si="205"/>
        <v/>
      </c>
      <c r="AB331" s="38" t="e">
        <f t="shared" si="206"/>
        <v>#VALUE!</v>
      </c>
      <c r="AC331" s="38" t="str">
        <f t="shared" si="207"/>
        <v/>
      </c>
      <c r="AD331" s="38" t="str">
        <f t="shared" si="207"/>
        <v/>
      </c>
      <c r="AE331" s="38" t="e">
        <f t="shared" si="208"/>
        <v>#VALUE!</v>
      </c>
      <c r="AF331" s="237" t="e">
        <f>((Summary!$N$10*(AA331*AD331)*(A331-$D$3))+(Summary!$M$10*Z331*AC331*(AJ331-EOMONTH(EDATE(A331,-1),0))))/(AK331*AB331*AE331)</f>
        <v>#VALUE!</v>
      </c>
      <c r="AG331" s="88" t="str">
        <f>IF($A332="","",Summary!$Q$10)</f>
        <v/>
      </c>
      <c r="AH331" s="88" t="str">
        <f>IF($A332="","",IF(Summary!$R$10="Y",(VLOOKUP($A331,Summary!$AD$6:$AF$9,3)+'Escalating commodity'!F344),'Escalating commodity'!F344))</f>
        <v/>
      </c>
      <c r="AI331" s="88" t="str">
        <f t="shared" ref="AI331:AI369" si="223">IF($A332="","",AH331)</f>
        <v/>
      </c>
      <c r="AJ331" s="236" t="e">
        <f t="shared" si="209"/>
        <v>#VALUE!</v>
      </c>
      <c r="AK331" s="58" t="str">
        <f t="shared" si="210"/>
        <v/>
      </c>
      <c r="AL331" s="26" t="str">
        <f>IF($A332="","",_xll.SPRDOPT(P331,X331,AI331,0,AB331,AE331,AF331,AK331,$AJ$2,0))</f>
        <v/>
      </c>
      <c r="AM331" s="89" t="str">
        <f t="shared" si="211"/>
        <v/>
      </c>
      <c r="AN331" s="89" t="str">
        <f t="shared" si="212"/>
        <v/>
      </c>
      <c r="AO331" s="3" t="str">
        <f t="shared" si="213"/>
        <v/>
      </c>
      <c r="AP331" s="33" t="str">
        <f t="shared" si="214"/>
        <v/>
      </c>
      <c r="AQ331" s="58" t="str">
        <f t="shared" si="215"/>
        <v/>
      </c>
      <c r="AR331" s="38">
        <f>'ANR OK vs ML7'!AR331</f>
        <v>0.1</v>
      </c>
      <c r="AS331" s="35" t="str">
        <f t="shared" si="216"/>
        <v/>
      </c>
      <c r="AT331" s="3" t="str">
        <f t="shared" si="217"/>
        <v/>
      </c>
      <c r="AU331" s="3" t="str">
        <f t="shared" si="218"/>
        <v/>
      </c>
      <c r="AW331" s="32" t="str">
        <f t="shared" si="219"/>
        <v/>
      </c>
      <c r="AX331" s="32" t="str">
        <f t="shared" si="220"/>
        <v/>
      </c>
      <c r="AY331" s="32" t="str">
        <f t="shared" si="221"/>
        <v/>
      </c>
      <c r="BA331" s="32" t="str">
        <f>IF($A332="","",F331*Summary!$Q$10)</f>
        <v/>
      </c>
    </row>
    <row r="332" spans="1:53" ht="12" customHeight="1">
      <c r="A332" s="67" t="str">
        <f t="shared" si="222"/>
        <v/>
      </c>
      <c r="B332" s="69" t="str">
        <f t="shared" ref="B332:B395" si="224">IF(A332&lt;mthend,B331,"")</f>
        <v/>
      </c>
      <c r="C332" s="71"/>
      <c r="D332" s="69" t="str">
        <f t="shared" si="188"/>
        <v/>
      </c>
      <c r="E332" s="70" t="str">
        <f t="shared" si="189"/>
        <v/>
      </c>
      <c r="F332" s="70" t="str">
        <f t="shared" si="190"/>
        <v/>
      </c>
      <c r="G332" s="63" t="str">
        <f t="shared" si="191"/>
        <v/>
      </c>
      <c r="H332" s="64" t="str">
        <f t="shared" si="192"/>
        <v/>
      </c>
      <c r="I332" s="43"/>
      <c r="J332" s="63" t="str">
        <f t="shared" si="193"/>
        <v/>
      </c>
      <c r="K332" s="64" t="str">
        <f t="shared" si="194"/>
        <v/>
      </c>
      <c r="L332" s="38">
        <v>0</v>
      </c>
      <c r="M332" s="64" t="str">
        <f t="shared" si="195"/>
        <v/>
      </c>
      <c r="N332" s="65"/>
      <c r="O332" s="63" t="str">
        <f t="shared" si="196"/>
        <v/>
      </c>
      <c r="P332" s="63" t="str">
        <f t="shared" si="197"/>
        <v/>
      </c>
      <c r="Q332" s="66"/>
      <c r="R332" s="63" t="str">
        <f t="shared" si="198"/>
        <v/>
      </c>
      <c r="S332" s="64" t="str">
        <f t="shared" si="199"/>
        <v/>
      </c>
      <c r="T332" s="63" t="str">
        <f t="shared" si="200"/>
        <v/>
      </c>
      <c r="U332" s="64" t="str">
        <f t="shared" si="201"/>
        <v/>
      </c>
      <c r="V332" s="219" t="str">
        <f>IF($A333="","",IF(AND(MONTH(A332)&gt;3,MONTH(A332)&lt;11),(T332+R332+G332)*Summary!$T$10/(1-Summary!$T$10),(T332+R332+G332)*Summary!$U$10/(1-Summary!$U$10)))</f>
        <v/>
      </c>
      <c r="W332" s="63" t="str">
        <f t="shared" si="202"/>
        <v/>
      </c>
      <c r="X332" s="63" t="str">
        <f t="shared" si="203"/>
        <v/>
      </c>
      <c r="Y332" s="43"/>
      <c r="Z332" s="38" t="str">
        <f t="shared" si="204"/>
        <v/>
      </c>
      <c r="AA332" s="38" t="str">
        <f t="shared" si="205"/>
        <v/>
      </c>
      <c r="AB332" s="38" t="e">
        <f t="shared" si="206"/>
        <v>#VALUE!</v>
      </c>
      <c r="AC332" s="38" t="str">
        <f t="shared" si="207"/>
        <v/>
      </c>
      <c r="AD332" s="38" t="str">
        <f t="shared" si="207"/>
        <v/>
      </c>
      <c r="AE332" s="38" t="e">
        <f t="shared" si="208"/>
        <v>#VALUE!</v>
      </c>
      <c r="AF332" s="237" t="e">
        <f>((Summary!$N$10*(AA332*AD332)*(A332-$D$3))+(Summary!$M$10*Z332*AC332*(AJ332-EOMONTH(EDATE(A332,-1),0))))/(AK332*AB332*AE332)</f>
        <v>#VALUE!</v>
      </c>
      <c r="AG332" s="88" t="str">
        <f>IF($A333="","",Summary!$Q$10)</f>
        <v/>
      </c>
      <c r="AH332" s="88" t="str">
        <f>IF($A333="","",IF(Summary!$R$10="Y",(VLOOKUP($A332,Summary!$AD$6:$AF$9,3)+'Escalating commodity'!F345),'Escalating commodity'!F345))</f>
        <v/>
      </c>
      <c r="AI332" s="88" t="str">
        <f t="shared" si="223"/>
        <v/>
      </c>
      <c r="AJ332" s="236" t="e">
        <f t="shared" si="209"/>
        <v>#VALUE!</v>
      </c>
      <c r="AK332" s="58" t="str">
        <f t="shared" si="210"/>
        <v/>
      </c>
      <c r="AL332" s="26" t="str">
        <f>IF($A333="","",_xll.SPRDOPT(P332,X332,AI332,0,AB332,AE332,AF332,AK332,$AJ$2,0))</f>
        <v/>
      </c>
      <c r="AM332" s="89" t="str">
        <f t="shared" si="211"/>
        <v/>
      </c>
      <c r="AN332" s="89" t="str">
        <f t="shared" si="212"/>
        <v/>
      </c>
      <c r="AO332" s="3" t="str">
        <f t="shared" si="213"/>
        <v/>
      </c>
      <c r="AP332" s="33" t="str">
        <f t="shared" si="214"/>
        <v/>
      </c>
      <c r="AQ332" s="58" t="str">
        <f t="shared" si="215"/>
        <v/>
      </c>
      <c r="AR332" s="38">
        <f>'ANR OK vs ML7'!AR332</f>
        <v>0.1</v>
      </c>
      <c r="AS332" s="35" t="str">
        <f t="shared" si="216"/>
        <v/>
      </c>
      <c r="AT332" s="3" t="str">
        <f t="shared" si="217"/>
        <v/>
      </c>
      <c r="AU332" s="3" t="str">
        <f t="shared" si="218"/>
        <v/>
      </c>
      <c r="AW332" s="32" t="str">
        <f t="shared" si="219"/>
        <v/>
      </c>
      <c r="AX332" s="32" t="str">
        <f t="shared" si="220"/>
        <v/>
      </c>
      <c r="AY332" s="32" t="str">
        <f t="shared" si="221"/>
        <v/>
      </c>
      <c r="BA332" s="32" t="str">
        <f>IF($A333="","",F332*Summary!$Q$10)</f>
        <v/>
      </c>
    </row>
    <row r="333" spans="1:53" ht="12" customHeight="1">
      <c r="A333" s="67" t="str">
        <f t="shared" si="222"/>
        <v/>
      </c>
      <c r="B333" s="69" t="str">
        <f t="shared" si="224"/>
        <v/>
      </c>
      <c r="C333" s="71"/>
      <c r="D333" s="69" t="str">
        <f t="shared" si="188"/>
        <v/>
      </c>
      <c r="E333" s="70" t="str">
        <f t="shared" si="189"/>
        <v/>
      </c>
      <c r="F333" s="70" t="str">
        <f t="shared" si="190"/>
        <v/>
      </c>
      <c r="G333" s="63" t="str">
        <f t="shared" si="191"/>
        <v/>
      </c>
      <c r="H333" s="64" t="str">
        <f t="shared" si="192"/>
        <v/>
      </c>
      <c r="I333" s="43"/>
      <c r="J333" s="63" t="str">
        <f t="shared" si="193"/>
        <v/>
      </c>
      <c r="K333" s="64" t="str">
        <f t="shared" si="194"/>
        <v/>
      </c>
      <c r="L333" s="38">
        <v>0</v>
      </c>
      <c r="M333" s="64" t="str">
        <f t="shared" si="195"/>
        <v/>
      </c>
      <c r="N333" s="65"/>
      <c r="O333" s="63" t="str">
        <f t="shared" si="196"/>
        <v/>
      </c>
      <c r="P333" s="63" t="str">
        <f t="shared" si="197"/>
        <v/>
      </c>
      <c r="Q333" s="66"/>
      <c r="R333" s="63" t="str">
        <f t="shared" si="198"/>
        <v/>
      </c>
      <c r="S333" s="64" t="str">
        <f t="shared" si="199"/>
        <v/>
      </c>
      <c r="T333" s="63" t="str">
        <f t="shared" si="200"/>
        <v/>
      </c>
      <c r="U333" s="64" t="str">
        <f t="shared" si="201"/>
        <v/>
      </c>
      <c r="V333" s="219" t="str">
        <f>IF($A334="","",IF(AND(MONTH(A333)&gt;3,MONTH(A333)&lt;11),(T333+R333+G333)*Summary!$T$10/(1-Summary!$T$10),(T333+R333+G333)*Summary!$U$10/(1-Summary!$U$10)))</f>
        <v/>
      </c>
      <c r="W333" s="63" t="str">
        <f t="shared" si="202"/>
        <v/>
      </c>
      <c r="X333" s="63" t="str">
        <f t="shared" si="203"/>
        <v/>
      </c>
      <c r="Y333" s="43"/>
      <c r="Z333" s="38" t="str">
        <f t="shared" si="204"/>
        <v/>
      </c>
      <c r="AA333" s="38" t="str">
        <f t="shared" si="205"/>
        <v/>
      </c>
      <c r="AB333" s="38" t="e">
        <f t="shared" si="206"/>
        <v>#VALUE!</v>
      </c>
      <c r="AC333" s="38" t="str">
        <f t="shared" si="207"/>
        <v/>
      </c>
      <c r="AD333" s="38" t="str">
        <f t="shared" si="207"/>
        <v/>
      </c>
      <c r="AE333" s="38" t="e">
        <f t="shared" si="208"/>
        <v>#VALUE!</v>
      </c>
      <c r="AF333" s="237" t="e">
        <f>((Summary!$N$10*(AA333*AD333)*(A333-$D$3))+(Summary!$M$10*Z333*AC333*(AJ333-EOMONTH(EDATE(A333,-1),0))))/(AK333*AB333*AE333)</f>
        <v>#VALUE!</v>
      </c>
      <c r="AG333" s="88" t="str">
        <f>IF($A334="","",Summary!$Q$10)</f>
        <v/>
      </c>
      <c r="AH333" s="88" t="str">
        <f>IF($A334="","",IF(Summary!$R$10="Y",(VLOOKUP($A333,Summary!$AD$6:$AF$9,3)+'Escalating commodity'!F346),'Escalating commodity'!F346))</f>
        <v/>
      </c>
      <c r="AI333" s="88" t="str">
        <f t="shared" si="223"/>
        <v/>
      </c>
      <c r="AJ333" s="236" t="e">
        <f t="shared" si="209"/>
        <v>#VALUE!</v>
      </c>
      <c r="AK333" s="58" t="str">
        <f t="shared" si="210"/>
        <v/>
      </c>
      <c r="AL333" s="26" t="str">
        <f>IF($A334="","",_xll.SPRDOPT(P333,X333,AI333,0,AB333,AE333,AF333,AK333,$AJ$2,0))</f>
        <v/>
      </c>
      <c r="AM333" s="89" t="str">
        <f t="shared" si="211"/>
        <v/>
      </c>
      <c r="AN333" s="89" t="str">
        <f t="shared" si="212"/>
        <v/>
      </c>
      <c r="AO333" s="3" t="str">
        <f t="shared" si="213"/>
        <v/>
      </c>
      <c r="AP333" s="33" t="str">
        <f t="shared" si="214"/>
        <v/>
      </c>
      <c r="AQ333" s="58" t="str">
        <f t="shared" si="215"/>
        <v/>
      </c>
      <c r="AR333" s="38">
        <f>'ANR OK vs ML7'!AR333</f>
        <v>0.1</v>
      </c>
      <c r="AS333" s="35" t="str">
        <f t="shared" si="216"/>
        <v/>
      </c>
      <c r="AT333" s="3" t="str">
        <f t="shared" si="217"/>
        <v/>
      </c>
      <c r="AU333" s="3" t="str">
        <f t="shared" si="218"/>
        <v/>
      </c>
      <c r="AW333" s="32" t="str">
        <f t="shared" si="219"/>
        <v/>
      </c>
      <c r="AX333" s="32" t="str">
        <f t="shared" si="220"/>
        <v/>
      </c>
      <c r="AY333" s="32" t="str">
        <f t="shared" si="221"/>
        <v/>
      </c>
      <c r="BA333" s="32" t="str">
        <f>IF($A334="","",F333*Summary!$Q$10)</f>
        <v/>
      </c>
    </row>
    <row r="334" spans="1:53" ht="12" customHeight="1">
      <c r="A334" s="67" t="str">
        <f t="shared" si="222"/>
        <v/>
      </c>
      <c r="B334" s="69" t="str">
        <f t="shared" si="224"/>
        <v/>
      </c>
      <c r="C334" s="71"/>
      <c r="D334" s="69" t="str">
        <f t="shared" si="188"/>
        <v/>
      </c>
      <c r="E334" s="70" t="str">
        <f t="shared" si="189"/>
        <v/>
      </c>
      <c r="F334" s="70" t="str">
        <f t="shared" si="190"/>
        <v/>
      </c>
      <c r="G334" s="63" t="str">
        <f t="shared" si="191"/>
        <v/>
      </c>
      <c r="H334" s="64" t="str">
        <f t="shared" si="192"/>
        <v/>
      </c>
      <c r="I334" s="43"/>
      <c r="J334" s="63" t="str">
        <f t="shared" si="193"/>
        <v/>
      </c>
      <c r="K334" s="64" t="str">
        <f t="shared" si="194"/>
        <v/>
      </c>
      <c r="L334" s="38">
        <v>0</v>
      </c>
      <c r="M334" s="64" t="str">
        <f t="shared" si="195"/>
        <v/>
      </c>
      <c r="N334" s="65"/>
      <c r="O334" s="63" t="str">
        <f t="shared" si="196"/>
        <v/>
      </c>
      <c r="P334" s="63" t="str">
        <f t="shared" si="197"/>
        <v/>
      </c>
      <c r="Q334" s="66"/>
      <c r="R334" s="63" t="str">
        <f t="shared" si="198"/>
        <v/>
      </c>
      <c r="S334" s="64" t="str">
        <f t="shared" si="199"/>
        <v/>
      </c>
      <c r="T334" s="63" t="str">
        <f t="shared" si="200"/>
        <v/>
      </c>
      <c r="U334" s="64" t="str">
        <f t="shared" si="201"/>
        <v/>
      </c>
      <c r="V334" s="219" t="str">
        <f>IF($A335="","",IF(AND(MONTH(A334)&gt;3,MONTH(A334)&lt;11),(T334+R334+G334)*Summary!$T$10/(1-Summary!$T$10),(T334+R334+G334)*Summary!$U$10/(1-Summary!$U$10)))</f>
        <v/>
      </c>
      <c r="W334" s="63" t="str">
        <f t="shared" si="202"/>
        <v/>
      </c>
      <c r="X334" s="63" t="str">
        <f t="shared" si="203"/>
        <v/>
      </c>
      <c r="Y334" s="43"/>
      <c r="Z334" s="38" t="str">
        <f t="shared" si="204"/>
        <v/>
      </c>
      <c r="AA334" s="38" t="str">
        <f t="shared" si="205"/>
        <v/>
      </c>
      <c r="AB334" s="38" t="e">
        <f t="shared" si="206"/>
        <v>#VALUE!</v>
      </c>
      <c r="AC334" s="38" t="str">
        <f t="shared" si="207"/>
        <v/>
      </c>
      <c r="AD334" s="38" t="str">
        <f t="shared" si="207"/>
        <v/>
      </c>
      <c r="AE334" s="38" t="e">
        <f t="shared" si="208"/>
        <v>#VALUE!</v>
      </c>
      <c r="AF334" s="237" t="e">
        <f>((Summary!$N$10*(AA334*AD334)*(A334-$D$3))+(Summary!$M$10*Z334*AC334*(AJ334-EOMONTH(EDATE(A334,-1),0))))/(AK334*AB334*AE334)</f>
        <v>#VALUE!</v>
      </c>
      <c r="AG334" s="88" t="str">
        <f>IF($A335="","",Summary!$Q$10)</f>
        <v/>
      </c>
      <c r="AH334" s="88" t="str">
        <f>IF($A335="","",IF(Summary!$R$10="Y",(VLOOKUP($A334,Summary!$AD$6:$AF$9,3)+'Escalating commodity'!F347),'Escalating commodity'!F347))</f>
        <v/>
      </c>
      <c r="AI334" s="88" t="str">
        <f t="shared" si="223"/>
        <v/>
      </c>
      <c r="AJ334" s="236" t="e">
        <f t="shared" si="209"/>
        <v>#VALUE!</v>
      </c>
      <c r="AK334" s="58" t="str">
        <f t="shared" si="210"/>
        <v/>
      </c>
      <c r="AL334" s="26" t="str">
        <f>IF($A335="","",_xll.SPRDOPT(P334,X334,AI334,0,AB334,AE334,AF334,AK334,$AJ$2,0))</f>
        <v/>
      </c>
      <c r="AM334" s="89" t="str">
        <f t="shared" si="211"/>
        <v/>
      </c>
      <c r="AN334" s="89" t="str">
        <f t="shared" si="212"/>
        <v/>
      </c>
      <c r="AO334" s="3" t="str">
        <f t="shared" si="213"/>
        <v/>
      </c>
      <c r="AP334" s="33" t="str">
        <f t="shared" si="214"/>
        <v/>
      </c>
      <c r="AQ334" s="58" t="str">
        <f t="shared" si="215"/>
        <v/>
      </c>
      <c r="AR334" s="38">
        <f>'ANR OK vs ML7'!AR334</f>
        <v>0.1</v>
      </c>
      <c r="AS334" s="35" t="str">
        <f t="shared" si="216"/>
        <v/>
      </c>
      <c r="AT334" s="3" t="str">
        <f t="shared" si="217"/>
        <v/>
      </c>
      <c r="AU334" s="3" t="str">
        <f t="shared" si="218"/>
        <v/>
      </c>
      <c r="AW334" s="32" t="str">
        <f t="shared" si="219"/>
        <v/>
      </c>
      <c r="AX334" s="32" t="str">
        <f t="shared" si="220"/>
        <v/>
      </c>
      <c r="AY334" s="32" t="str">
        <f t="shared" si="221"/>
        <v/>
      </c>
      <c r="BA334" s="32" t="str">
        <f>IF($A335="","",F334*Summary!$Q$10)</f>
        <v/>
      </c>
    </row>
    <row r="335" spans="1:53" ht="12" customHeight="1">
      <c r="A335" s="67" t="str">
        <f t="shared" si="222"/>
        <v/>
      </c>
      <c r="B335" s="69" t="str">
        <f t="shared" si="224"/>
        <v/>
      </c>
      <c r="C335" s="71"/>
      <c r="D335" s="69" t="str">
        <f t="shared" si="188"/>
        <v/>
      </c>
      <c r="E335" s="70" t="str">
        <f t="shared" si="189"/>
        <v/>
      </c>
      <c r="F335" s="70" t="str">
        <f t="shared" si="190"/>
        <v/>
      </c>
      <c r="G335" s="63" t="str">
        <f t="shared" si="191"/>
        <v/>
      </c>
      <c r="H335" s="64" t="str">
        <f t="shared" si="192"/>
        <v/>
      </c>
      <c r="I335" s="43"/>
      <c r="J335" s="63" t="str">
        <f t="shared" si="193"/>
        <v/>
      </c>
      <c r="K335" s="64" t="str">
        <f t="shared" si="194"/>
        <v/>
      </c>
      <c r="L335" s="38">
        <v>0</v>
      </c>
      <c r="M335" s="64" t="str">
        <f t="shared" si="195"/>
        <v/>
      </c>
      <c r="N335" s="65"/>
      <c r="O335" s="63" t="str">
        <f t="shared" si="196"/>
        <v/>
      </c>
      <c r="P335" s="63" t="str">
        <f t="shared" si="197"/>
        <v/>
      </c>
      <c r="Q335" s="66"/>
      <c r="R335" s="63" t="str">
        <f t="shared" si="198"/>
        <v/>
      </c>
      <c r="S335" s="64" t="str">
        <f t="shared" si="199"/>
        <v/>
      </c>
      <c r="T335" s="63" t="str">
        <f t="shared" si="200"/>
        <v/>
      </c>
      <c r="U335" s="64" t="str">
        <f t="shared" si="201"/>
        <v/>
      </c>
      <c r="V335" s="219" t="str">
        <f>IF($A336="","",IF(AND(MONTH(A335)&gt;3,MONTH(A335)&lt;11),(T335+R335+G335)*Summary!$T$10/(1-Summary!$T$10),(T335+R335+G335)*Summary!$U$10/(1-Summary!$U$10)))</f>
        <v/>
      </c>
      <c r="W335" s="63" t="str">
        <f t="shared" si="202"/>
        <v/>
      </c>
      <c r="X335" s="63" t="str">
        <f t="shared" si="203"/>
        <v/>
      </c>
      <c r="Y335" s="43"/>
      <c r="Z335" s="38" t="str">
        <f t="shared" si="204"/>
        <v/>
      </c>
      <c r="AA335" s="38" t="str">
        <f t="shared" si="205"/>
        <v/>
      </c>
      <c r="AB335" s="38" t="e">
        <f t="shared" si="206"/>
        <v>#VALUE!</v>
      </c>
      <c r="AC335" s="38" t="str">
        <f t="shared" si="207"/>
        <v/>
      </c>
      <c r="AD335" s="38" t="str">
        <f t="shared" si="207"/>
        <v/>
      </c>
      <c r="AE335" s="38" t="e">
        <f t="shared" si="208"/>
        <v>#VALUE!</v>
      </c>
      <c r="AF335" s="237" t="e">
        <f>((Summary!$N$10*(AA335*AD335)*(A335-$D$3))+(Summary!$M$10*Z335*AC335*(AJ335-EOMONTH(EDATE(A335,-1),0))))/(AK335*AB335*AE335)</f>
        <v>#VALUE!</v>
      </c>
      <c r="AG335" s="88" t="str">
        <f>IF($A336="","",Summary!$Q$10)</f>
        <v/>
      </c>
      <c r="AH335" s="88" t="str">
        <f>IF($A336="","",IF(Summary!$R$10="Y",(VLOOKUP($A335,Summary!$AD$6:$AF$9,3)+'Escalating commodity'!F348),'Escalating commodity'!F348))</f>
        <v/>
      </c>
      <c r="AI335" s="88" t="str">
        <f t="shared" si="223"/>
        <v/>
      </c>
      <c r="AJ335" s="236" t="e">
        <f t="shared" si="209"/>
        <v>#VALUE!</v>
      </c>
      <c r="AK335" s="58" t="str">
        <f t="shared" si="210"/>
        <v/>
      </c>
      <c r="AL335" s="26" t="str">
        <f>IF($A336="","",_xll.SPRDOPT(P335,X335,AI335,0,AB335,AE335,AF335,AK335,$AJ$2,0))</f>
        <v/>
      </c>
      <c r="AM335" s="89" t="str">
        <f t="shared" si="211"/>
        <v/>
      </c>
      <c r="AN335" s="89" t="str">
        <f t="shared" si="212"/>
        <v/>
      </c>
      <c r="AO335" s="3" t="str">
        <f t="shared" si="213"/>
        <v/>
      </c>
      <c r="AP335" s="33" t="str">
        <f t="shared" si="214"/>
        <v/>
      </c>
      <c r="AQ335" s="58" t="str">
        <f t="shared" si="215"/>
        <v/>
      </c>
      <c r="AR335" s="38">
        <f>'ANR OK vs ML7'!AR335</f>
        <v>0.1</v>
      </c>
      <c r="AS335" s="35" t="str">
        <f t="shared" si="216"/>
        <v/>
      </c>
      <c r="AT335" s="3" t="str">
        <f t="shared" si="217"/>
        <v/>
      </c>
      <c r="AU335" s="3" t="str">
        <f t="shared" si="218"/>
        <v/>
      </c>
      <c r="AW335" s="32" t="str">
        <f t="shared" si="219"/>
        <v/>
      </c>
      <c r="AX335" s="32" t="str">
        <f t="shared" si="220"/>
        <v/>
      </c>
      <c r="AY335" s="32" t="str">
        <f t="shared" si="221"/>
        <v/>
      </c>
      <c r="BA335" s="32" t="str">
        <f>IF($A336="","",F335*Summary!$Q$10)</f>
        <v/>
      </c>
    </row>
    <row r="336" spans="1:53" ht="12" customHeight="1">
      <c r="A336" s="67" t="str">
        <f t="shared" si="222"/>
        <v/>
      </c>
      <c r="B336" s="69" t="str">
        <f t="shared" si="224"/>
        <v/>
      </c>
      <c r="C336" s="71"/>
      <c r="D336" s="69" t="str">
        <f t="shared" si="188"/>
        <v/>
      </c>
      <c r="E336" s="70" t="str">
        <f t="shared" si="189"/>
        <v/>
      </c>
      <c r="F336" s="70" t="str">
        <f t="shared" si="190"/>
        <v/>
      </c>
      <c r="G336" s="63" t="str">
        <f t="shared" si="191"/>
        <v/>
      </c>
      <c r="H336" s="64" t="str">
        <f t="shared" si="192"/>
        <v/>
      </c>
      <c r="I336" s="43"/>
      <c r="J336" s="63" t="str">
        <f t="shared" si="193"/>
        <v/>
      </c>
      <c r="K336" s="64" t="str">
        <f t="shared" si="194"/>
        <v/>
      </c>
      <c r="L336" s="38">
        <v>0</v>
      </c>
      <c r="M336" s="64" t="str">
        <f t="shared" si="195"/>
        <v/>
      </c>
      <c r="N336" s="65"/>
      <c r="O336" s="63" t="str">
        <f t="shared" si="196"/>
        <v/>
      </c>
      <c r="P336" s="63" t="str">
        <f t="shared" si="197"/>
        <v/>
      </c>
      <c r="Q336" s="66"/>
      <c r="R336" s="63" t="str">
        <f t="shared" si="198"/>
        <v/>
      </c>
      <c r="S336" s="64" t="str">
        <f t="shared" si="199"/>
        <v/>
      </c>
      <c r="T336" s="63" t="str">
        <f t="shared" si="200"/>
        <v/>
      </c>
      <c r="U336" s="64" t="str">
        <f t="shared" si="201"/>
        <v/>
      </c>
      <c r="V336" s="219" t="str">
        <f>IF($A337="","",IF(AND(MONTH(A336)&gt;3,MONTH(A336)&lt;11),(T336+R336+G336)*Summary!$T$10/(1-Summary!$T$10),(T336+R336+G336)*Summary!$U$10/(1-Summary!$U$10)))</f>
        <v/>
      </c>
      <c r="W336" s="63" t="str">
        <f t="shared" si="202"/>
        <v/>
      </c>
      <c r="X336" s="63" t="str">
        <f t="shared" si="203"/>
        <v/>
      </c>
      <c r="Y336" s="43"/>
      <c r="Z336" s="38" t="str">
        <f t="shared" si="204"/>
        <v/>
      </c>
      <c r="AA336" s="38" t="str">
        <f t="shared" si="205"/>
        <v/>
      </c>
      <c r="AB336" s="38" t="e">
        <f t="shared" si="206"/>
        <v>#VALUE!</v>
      </c>
      <c r="AC336" s="38" t="str">
        <f t="shared" si="207"/>
        <v/>
      </c>
      <c r="AD336" s="38" t="str">
        <f t="shared" si="207"/>
        <v/>
      </c>
      <c r="AE336" s="38" t="e">
        <f t="shared" si="208"/>
        <v>#VALUE!</v>
      </c>
      <c r="AF336" s="237" t="e">
        <f>((Summary!$N$10*(AA336*AD336)*(A336-$D$3))+(Summary!$M$10*Z336*AC336*(AJ336-EOMONTH(EDATE(A336,-1),0))))/(AK336*AB336*AE336)</f>
        <v>#VALUE!</v>
      </c>
      <c r="AG336" s="88" t="str">
        <f>IF($A337="","",Summary!$Q$10)</f>
        <v/>
      </c>
      <c r="AH336" s="88" t="str">
        <f>IF($A337="","",IF(Summary!$R$10="Y",(VLOOKUP($A336,Summary!$AD$6:$AF$9,3)+'Escalating commodity'!F349),'Escalating commodity'!F349))</f>
        <v/>
      </c>
      <c r="AI336" s="88" t="str">
        <f t="shared" si="223"/>
        <v/>
      </c>
      <c r="AJ336" s="236" t="e">
        <f t="shared" si="209"/>
        <v>#VALUE!</v>
      </c>
      <c r="AK336" s="58" t="str">
        <f t="shared" si="210"/>
        <v/>
      </c>
      <c r="AL336" s="26" t="str">
        <f>IF($A337="","",_xll.SPRDOPT(P336,X336,AI336,0,AB336,AE336,AF336,AK336,$AJ$2,0))</f>
        <v/>
      </c>
      <c r="AM336" s="89" t="str">
        <f t="shared" si="211"/>
        <v/>
      </c>
      <c r="AN336" s="89" t="str">
        <f t="shared" si="212"/>
        <v/>
      </c>
      <c r="AO336" s="3" t="str">
        <f t="shared" si="213"/>
        <v/>
      </c>
      <c r="AP336" s="33" t="str">
        <f t="shared" si="214"/>
        <v/>
      </c>
      <c r="AQ336" s="58" t="str">
        <f t="shared" si="215"/>
        <v/>
      </c>
      <c r="AR336" s="38">
        <f>'ANR OK vs ML7'!AR336</f>
        <v>0.1</v>
      </c>
      <c r="AS336" s="35" t="str">
        <f t="shared" si="216"/>
        <v/>
      </c>
      <c r="AT336" s="3" t="str">
        <f t="shared" si="217"/>
        <v/>
      </c>
      <c r="AU336" s="3" t="str">
        <f t="shared" si="218"/>
        <v/>
      </c>
      <c r="AW336" s="32" t="str">
        <f t="shared" si="219"/>
        <v/>
      </c>
      <c r="AX336" s="32" t="str">
        <f t="shared" si="220"/>
        <v/>
      </c>
      <c r="AY336" s="32" t="str">
        <f t="shared" si="221"/>
        <v/>
      </c>
      <c r="BA336" s="32" t="str">
        <f>IF($A337="","",F336*Summary!$Q$10)</f>
        <v/>
      </c>
    </row>
    <row r="337" spans="1:53" ht="12" customHeight="1">
      <c r="A337" s="67" t="str">
        <f t="shared" si="222"/>
        <v/>
      </c>
      <c r="B337" s="69" t="str">
        <f t="shared" si="224"/>
        <v/>
      </c>
      <c r="C337" s="71"/>
      <c r="D337" s="69" t="str">
        <f t="shared" si="188"/>
        <v/>
      </c>
      <c r="E337" s="70" t="str">
        <f t="shared" si="189"/>
        <v/>
      </c>
      <c r="F337" s="70" t="str">
        <f t="shared" si="190"/>
        <v/>
      </c>
      <c r="G337" s="63" t="str">
        <f t="shared" si="191"/>
        <v/>
      </c>
      <c r="H337" s="64" t="str">
        <f t="shared" si="192"/>
        <v/>
      </c>
      <c r="I337" s="43"/>
      <c r="J337" s="63" t="str">
        <f t="shared" si="193"/>
        <v/>
      </c>
      <c r="K337" s="64" t="str">
        <f t="shared" si="194"/>
        <v/>
      </c>
      <c r="L337" s="38">
        <v>0</v>
      </c>
      <c r="M337" s="64" t="str">
        <f t="shared" si="195"/>
        <v/>
      </c>
      <c r="N337" s="65"/>
      <c r="O337" s="63" t="str">
        <f t="shared" si="196"/>
        <v/>
      </c>
      <c r="P337" s="63" t="str">
        <f t="shared" si="197"/>
        <v/>
      </c>
      <c r="Q337" s="66"/>
      <c r="R337" s="63" t="str">
        <f t="shared" si="198"/>
        <v/>
      </c>
      <c r="S337" s="64" t="str">
        <f t="shared" si="199"/>
        <v/>
      </c>
      <c r="T337" s="63" t="str">
        <f t="shared" si="200"/>
        <v/>
      </c>
      <c r="U337" s="64" t="str">
        <f t="shared" si="201"/>
        <v/>
      </c>
      <c r="V337" s="219" t="str">
        <f>IF($A338="","",IF(AND(MONTH(A337)&gt;3,MONTH(A337)&lt;11),(T337+R337+G337)*Summary!$T$10/(1-Summary!$T$10),(T337+R337+G337)*Summary!$U$10/(1-Summary!$U$10)))</f>
        <v/>
      </c>
      <c r="W337" s="63" t="str">
        <f t="shared" si="202"/>
        <v/>
      </c>
      <c r="X337" s="63" t="str">
        <f t="shared" si="203"/>
        <v/>
      </c>
      <c r="Y337" s="43"/>
      <c r="Z337" s="38" t="str">
        <f t="shared" si="204"/>
        <v/>
      </c>
      <c r="AA337" s="38" t="str">
        <f t="shared" si="205"/>
        <v/>
      </c>
      <c r="AB337" s="38" t="e">
        <f t="shared" si="206"/>
        <v>#VALUE!</v>
      </c>
      <c r="AC337" s="38" t="str">
        <f t="shared" si="207"/>
        <v/>
      </c>
      <c r="AD337" s="38" t="str">
        <f t="shared" si="207"/>
        <v/>
      </c>
      <c r="AE337" s="38" t="e">
        <f t="shared" si="208"/>
        <v>#VALUE!</v>
      </c>
      <c r="AF337" s="237" t="e">
        <f>((Summary!$N$10*(AA337*AD337)*(A337-$D$3))+(Summary!$M$10*Z337*AC337*(AJ337-EOMONTH(EDATE(A337,-1),0))))/(AK337*AB337*AE337)</f>
        <v>#VALUE!</v>
      </c>
      <c r="AG337" s="88" t="str">
        <f>IF($A338="","",Summary!$Q$10)</f>
        <v/>
      </c>
      <c r="AH337" s="88" t="str">
        <f>IF($A338="","",IF(Summary!$R$10="Y",(VLOOKUP($A337,Summary!$AD$6:$AF$9,3)+'Escalating commodity'!F350),'Escalating commodity'!F350))</f>
        <v/>
      </c>
      <c r="AI337" s="88" t="str">
        <f t="shared" si="223"/>
        <v/>
      </c>
      <c r="AJ337" s="236" t="e">
        <f t="shared" si="209"/>
        <v>#VALUE!</v>
      </c>
      <c r="AK337" s="58" t="str">
        <f t="shared" si="210"/>
        <v/>
      </c>
      <c r="AL337" s="26" t="str">
        <f>IF($A338="","",_xll.SPRDOPT(P337,X337,AI337,0,AB337,AE337,AF337,AK337,$AJ$2,0))</f>
        <v/>
      </c>
      <c r="AM337" s="89" t="str">
        <f t="shared" si="211"/>
        <v/>
      </c>
      <c r="AN337" s="89" t="str">
        <f t="shared" si="212"/>
        <v/>
      </c>
      <c r="AO337" s="3" t="str">
        <f t="shared" si="213"/>
        <v/>
      </c>
      <c r="AP337" s="33" t="str">
        <f t="shared" si="214"/>
        <v/>
      </c>
      <c r="AQ337" s="58" t="str">
        <f t="shared" si="215"/>
        <v/>
      </c>
      <c r="AR337" s="38">
        <f>'ANR OK vs ML7'!AR337</f>
        <v>0.1</v>
      </c>
      <c r="AS337" s="35" t="str">
        <f t="shared" si="216"/>
        <v/>
      </c>
      <c r="AT337" s="3" t="str">
        <f t="shared" si="217"/>
        <v/>
      </c>
      <c r="AU337" s="3" t="str">
        <f t="shared" si="218"/>
        <v/>
      </c>
      <c r="AW337" s="32" t="str">
        <f t="shared" si="219"/>
        <v/>
      </c>
      <c r="AX337" s="32" t="str">
        <f t="shared" si="220"/>
        <v/>
      </c>
      <c r="AY337" s="32" t="str">
        <f t="shared" si="221"/>
        <v/>
      </c>
      <c r="BA337" s="32" t="str">
        <f>IF($A338="","",F337*Summary!$Q$10)</f>
        <v/>
      </c>
    </row>
    <row r="338" spans="1:53" ht="12" customHeight="1">
      <c r="A338" s="67" t="str">
        <f t="shared" si="222"/>
        <v/>
      </c>
      <c r="B338" s="69" t="str">
        <f t="shared" si="224"/>
        <v/>
      </c>
      <c r="C338" s="71"/>
      <c r="D338" s="69" t="str">
        <f t="shared" si="188"/>
        <v/>
      </c>
      <c r="E338" s="70" t="str">
        <f t="shared" si="189"/>
        <v/>
      </c>
      <c r="F338" s="70" t="str">
        <f t="shared" si="190"/>
        <v/>
      </c>
      <c r="G338" s="63" t="str">
        <f t="shared" si="191"/>
        <v/>
      </c>
      <c r="H338" s="64" t="str">
        <f t="shared" si="192"/>
        <v/>
      </c>
      <c r="I338" s="43"/>
      <c r="J338" s="63" t="str">
        <f t="shared" si="193"/>
        <v/>
      </c>
      <c r="K338" s="64" t="str">
        <f t="shared" si="194"/>
        <v/>
      </c>
      <c r="L338" s="38">
        <v>0</v>
      </c>
      <c r="M338" s="64" t="str">
        <f t="shared" si="195"/>
        <v/>
      </c>
      <c r="N338" s="65"/>
      <c r="O338" s="63" t="str">
        <f t="shared" si="196"/>
        <v/>
      </c>
      <c r="P338" s="63" t="str">
        <f t="shared" si="197"/>
        <v/>
      </c>
      <c r="Q338" s="66"/>
      <c r="R338" s="63" t="str">
        <f t="shared" si="198"/>
        <v/>
      </c>
      <c r="S338" s="64" t="str">
        <f t="shared" si="199"/>
        <v/>
      </c>
      <c r="T338" s="63" t="str">
        <f t="shared" si="200"/>
        <v/>
      </c>
      <c r="U338" s="64" t="str">
        <f t="shared" si="201"/>
        <v/>
      </c>
      <c r="V338" s="219" t="str">
        <f>IF($A339="","",IF(AND(MONTH(A338)&gt;3,MONTH(A338)&lt;11),(T338+R338+G338)*Summary!$T$10/(1-Summary!$T$10),(T338+R338+G338)*Summary!$U$10/(1-Summary!$U$10)))</f>
        <v/>
      </c>
      <c r="W338" s="63" t="str">
        <f t="shared" si="202"/>
        <v/>
      </c>
      <c r="X338" s="63" t="str">
        <f t="shared" si="203"/>
        <v/>
      </c>
      <c r="Y338" s="43"/>
      <c r="Z338" s="38" t="str">
        <f t="shared" si="204"/>
        <v/>
      </c>
      <c r="AA338" s="38" t="str">
        <f t="shared" si="205"/>
        <v/>
      </c>
      <c r="AB338" s="38" t="e">
        <f t="shared" si="206"/>
        <v>#VALUE!</v>
      </c>
      <c r="AC338" s="38" t="str">
        <f t="shared" si="207"/>
        <v/>
      </c>
      <c r="AD338" s="38" t="str">
        <f t="shared" si="207"/>
        <v/>
      </c>
      <c r="AE338" s="38" t="e">
        <f t="shared" si="208"/>
        <v>#VALUE!</v>
      </c>
      <c r="AF338" s="237" t="e">
        <f>((Summary!$N$10*(AA338*AD338)*(A338-$D$3))+(Summary!$M$10*Z338*AC338*(AJ338-EOMONTH(EDATE(A338,-1),0))))/(AK338*AB338*AE338)</f>
        <v>#VALUE!</v>
      </c>
      <c r="AG338" s="88" t="str">
        <f>IF($A339="","",Summary!$Q$10)</f>
        <v/>
      </c>
      <c r="AH338" s="88" t="str">
        <f>IF($A339="","",IF(Summary!$R$10="Y",(VLOOKUP($A338,Summary!$AD$6:$AF$9,3)+'Escalating commodity'!F351),'Escalating commodity'!F351))</f>
        <v/>
      </c>
      <c r="AI338" s="88" t="str">
        <f t="shared" si="223"/>
        <v/>
      </c>
      <c r="AJ338" s="236" t="e">
        <f t="shared" si="209"/>
        <v>#VALUE!</v>
      </c>
      <c r="AK338" s="58" t="str">
        <f t="shared" si="210"/>
        <v/>
      </c>
      <c r="AL338" s="26" t="str">
        <f>IF($A339="","",_xll.SPRDOPT(P338,X338,AI338,0,AB338,AE338,AF338,AK338,$AJ$2,0))</f>
        <v/>
      </c>
      <c r="AM338" s="89" t="str">
        <f t="shared" si="211"/>
        <v/>
      </c>
      <c r="AN338" s="89" t="str">
        <f t="shared" si="212"/>
        <v/>
      </c>
      <c r="AO338" s="3" t="str">
        <f t="shared" si="213"/>
        <v/>
      </c>
      <c r="AP338" s="33" t="str">
        <f t="shared" si="214"/>
        <v/>
      </c>
      <c r="AQ338" s="58" t="str">
        <f t="shared" si="215"/>
        <v/>
      </c>
      <c r="AR338" s="38">
        <f>'ANR OK vs ML7'!AR338</f>
        <v>0.1</v>
      </c>
      <c r="AS338" s="35" t="str">
        <f t="shared" si="216"/>
        <v/>
      </c>
      <c r="AT338" s="3" t="str">
        <f t="shared" si="217"/>
        <v/>
      </c>
      <c r="AU338" s="3" t="str">
        <f t="shared" si="218"/>
        <v/>
      </c>
      <c r="AW338" s="32" t="str">
        <f t="shared" si="219"/>
        <v/>
      </c>
      <c r="AX338" s="32" t="str">
        <f t="shared" si="220"/>
        <v/>
      </c>
      <c r="AY338" s="32" t="str">
        <f t="shared" si="221"/>
        <v/>
      </c>
      <c r="BA338" s="32" t="str">
        <f>IF($A339="","",F338*Summary!$Q$10)</f>
        <v/>
      </c>
    </row>
    <row r="339" spans="1:53" ht="12" customHeight="1">
      <c r="A339" s="67" t="str">
        <f t="shared" si="222"/>
        <v/>
      </c>
      <c r="B339" s="69" t="str">
        <f t="shared" si="224"/>
        <v/>
      </c>
      <c r="C339" s="71"/>
      <c r="D339" s="69" t="str">
        <f t="shared" si="188"/>
        <v/>
      </c>
      <c r="E339" s="70" t="str">
        <f t="shared" si="189"/>
        <v/>
      </c>
      <c r="F339" s="70" t="str">
        <f t="shared" si="190"/>
        <v/>
      </c>
      <c r="G339" s="63" t="str">
        <f t="shared" si="191"/>
        <v/>
      </c>
      <c r="H339" s="64" t="str">
        <f t="shared" si="192"/>
        <v/>
      </c>
      <c r="I339" s="43"/>
      <c r="J339" s="63" t="str">
        <f t="shared" si="193"/>
        <v/>
      </c>
      <c r="K339" s="64" t="str">
        <f t="shared" si="194"/>
        <v/>
      </c>
      <c r="L339" s="38">
        <v>0</v>
      </c>
      <c r="M339" s="64" t="str">
        <f t="shared" si="195"/>
        <v/>
      </c>
      <c r="N339" s="65"/>
      <c r="O339" s="63" t="str">
        <f t="shared" si="196"/>
        <v/>
      </c>
      <c r="P339" s="63" t="str">
        <f t="shared" si="197"/>
        <v/>
      </c>
      <c r="Q339" s="66"/>
      <c r="R339" s="63" t="str">
        <f t="shared" si="198"/>
        <v/>
      </c>
      <c r="S339" s="64" t="str">
        <f t="shared" si="199"/>
        <v/>
      </c>
      <c r="T339" s="63" t="str">
        <f t="shared" si="200"/>
        <v/>
      </c>
      <c r="U339" s="64" t="str">
        <f t="shared" si="201"/>
        <v/>
      </c>
      <c r="V339" s="219" t="str">
        <f>IF($A340="","",IF(AND(MONTH(A339)&gt;3,MONTH(A339)&lt;11),(T339+R339+G339)*Summary!$T$10/(1-Summary!$T$10),(T339+R339+G339)*Summary!$U$10/(1-Summary!$U$10)))</f>
        <v/>
      </c>
      <c r="W339" s="63" t="str">
        <f t="shared" si="202"/>
        <v/>
      </c>
      <c r="X339" s="63" t="str">
        <f t="shared" si="203"/>
        <v/>
      </c>
      <c r="Y339" s="43"/>
      <c r="Z339" s="38" t="str">
        <f t="shared" si="204"/>
        <v/>
      </c>
      <c r="AA339" s="38" t="str">
        <f t="shared" si="205"/>
        <v/>
      </c>
      <c r="AB339" s="38" t="e">
        <f t="shared" si="206"/>
        <v>#VALUE!</v>
      </c>
      <c r="AC339" s="38" t="str">
        <f t="shared" si="207"/>
        <v/>
      </c>
      <c r="AD339" s="38" t="str">
        <f t="shared" si="207"/>
        <v/>
      </c>
      <c r="AE339" s="38" t="e">
        <f t="shared" si="208"/>
        <v>#VALUE!</v>
      </c>
      <c r="AF339" s="237" t="e">
        <f>((Summary!$N$10*(AA339*AD339)*(A339-$D$3))+(Summary!$M$10*Z339*AC339*(AJ339-EOMONTH(EDATE(A339,-1),0))))/(AK339*AB339*AE339)</f>
        <v>#VALUE!</v>
      </c>
      <c r="AG339" s="88" t="str">
        <f>IF($A340="","",Summary!$Q$10)</f>
        <v/>
      </c>
      <c r="AH339" s="88" t="str">
        <f>IF($A340="","",IF(Summary!$R$10="Y",(VLOOKUP($A339,Summary!$AD$6:$AF$9,3)+'Escalating commodity'!F352),'Escalating commodity'!F352))</f>
        <v/>
      </c>
      <c r="AI339" s="88" t="str">
        <f t="shared" si="223"/>
        <v/>
      </c>
      <c r="AJ339" s="236" t="e">
        <f t="shared" si="209"/>
        <v>#VALUE!</v>
      </c>
      <c r="AK339" s="58" t="str">
        <f t="shared" si="210"/>
        <v/>
      </c>
      <c r="AL339" s="26" t="str">
        <f>IF($A340="","",_xll.SPRDOPT(P339,X339,AI339,0,AB339,AE339,AF339,AK339,$AJ$2,0))</f>
        <v/>
      </c>
      <c r="AM339" s="89" t="str">
        <f t="shared" si="211"/>
        <v/>
      </c>
      <c r="AN339" s="89" t="str">
        <f t="shared" si="212"/>
        <v/>
      </c>
      <c r="AO339" s="3" t="str">
        <f t="shared" si="213"/>
        <v/>
      </c>
      <c r="AP339" s="33" t="str">
        <f t="shared" si="214"/>
        <v/>
      </c>
      <c r="AQ339" s="58" t="str">
        <f t="shared" si="215"/>
        <v/>
      </c>
      <c r="AR339" s="38">
        <f>'ANR OK vs ML7'!AR339</f>
        <v>0.1</v>
      </c>
      <c r="AS339" s="35" t="str">
        <f t="shared" si="216"/>
        <v/>
      </c>
      <c r="AT339" s="3" t="str">
        <f t="shared" si="217"/>
        <v/>
      </c>
      <c r="AU339" s="3" t="str">
        <f t="shared" si="218"/>
        <v/>
      </c>
      <c r="AW339" s="32" t="str">
        <f t="shared" si="219"/>
        <v/>
      </c>
      <c r="AX339" s="32" t="str">
        <f t="shared" si="220"/>
        <v/>
      </c>
      <c r="AY339" s="32" t="str">
        <f t="shared" si="221"/>
        <v/>
      </c>
      <c r="BA339" s="32" t="str">
        <f>IF($A340="","",F339*Summary!$Q$10)</f>
        <v/>
      </c>
    </row>
    <row r="340" spans="1:53" ht="12" customHeight="1">
      <c r="A340" s="67" t="str">
        <f t="shared" si="222"/>
        <v/>
      </c>
      <c r="B340" s="69" t="str">
        <f t="shared" si="224"/>
        <v/>
      </c>
      <c r="C340" s="71"/>
      <c r="D340" s="69" t="str">
        <f t="shared" si="188"/>
        <v/>
      </c>
      <c r="E340" s="70" t="str">
        <f t="shared" si="189"/>
        <v/>
      </c>
      <c r="F340" s="70" t="str">
        <f t="shared" si="190"/>
        <v/>
      </c>
      <c r="G340" s="63" t="str">
        <f t="shared" si="191"/>
        <v/>
      </c>
      <c r="H340" s="64" t="str">
        <f t="shared" si="192"/>
        <v/>
      </c>
      <c r="I340" s="43"/>
      <c r="J340" s="63" t="str">
        <f t="shared" si="193"/>
        <v/>
      </c>
      <c r="K340" s="64" t="str">
        <f t="shared" si="194"/>
        <v/>
      </c>
      <c r="L340" s="38">
        <v>0</v>
      </c>
      <c r="M340" s="64" t="str">
        <f t="shared" si="195"/>
        <v/>
      </c>
      <c r="N340" s="65"/>
      <c r="O340" s="63" t="str">
        <f t="shared" si="196"/>
        <v/>
      </c>
      <c r="P340" s="63" t="str">
        <f t="shared" si="197"/>
        <v/>
      </c>
      <c r="Q340" s="66"/>
      <c r="R340" s="63" t="str">
        <f t="shared" si="198"/>
        <v/>
      </c>
      <c r="S340" s="64" t="str">
        <f t="shared" si="199"/>
        <v/>
      </c>
      <c r="T340" s="63" t="str">
        <f t="shared" si="200"/>
        <v/>
      </c>
      <c r="U340" s="64" t="str">
        <f t="shared" si="201"/>
        <v/>
      </c>
      <c r="V340" s="219" t="str">
        <f>IF($A341="","",IF(AND(MONTH(A340)&gt;3,MONTH(A340)&lt;11),(T340+R340+G340)*Summary!$T$10/(1-Summary!$T$10),(T340+R340+G340)*Summary!$U$10/(1-Summary!$U$10)))</f>
        <v/>
      </c>
      <c r="W340" s="63" t="str">
        <f t="shared" si="202"/>
        <v/>
      </c>
      <c r="X340" s="63" t="str">
        <f t="shared" si="203"/>
        <v/>
      </c>
      <c r="Y340" s="43"/>
      <c r="Z340" s="38" t="str">
        <f t="shared" si="204"/>
        <v/>
      </c>
      <c r="AA340" s="38" t="str">
        <f t="shared" si="205"/>
        <v/>
      </c>
      <c r="AB340" s="38" t="e">
        <f t="shared" si="206"/>
        <v>#VALUE!</v>
      </c>
      <c r="AC340" s="38" t="str">
        <f t="shared" si="207"/>
        <v/>
      </c>
      <c r="AD340" s="38" t="str">
        <f t="shared" si="207"/>
        <v/>
      </c>
      <c r="AE340" s="38" t="e">
        <f t="shared" si="208"/>
        <v>#VALUE!</v>
      </c>
      <c r="AF340" s="237" t="e">
        <f>((Summary!$N$10*(AA340*AD340)*(A340-$D$3))+(Summary!$M$10*Z340*AC340*(AJ340-EOMONTH(EDATE(A340,-1),0))))/(AK340*AB340*AE340)</f>
        <v>#VALUE!</v>
      </c>
      <c r="AG340" s="88" t="str">
        <f>IF($A341="","",Summary!$Q$10)</f>
        <v/>
      </c>
      <c r="AH340" s="88" t="str">
        <f>IF($A341="","",IF(Summary!$R$10="Y",(VLOOKUP($A340,Summary!$AD$6:$AF$9,3)+'Escalating commodity'!F353),'Escalating commodity'!F353))</f>
        <v/>
      </c>
      <c r="AI340" s="88" t="str">
        <f t="shared" si="223"/>
        <v/>
      </c>
      <c r="AJ340" s="236" t="e">
        <f t="shared" si="209"/>
        <v>#VALUE!</v>
      </c>
      <c r="AK340" s="58" t="str">
        <f t="shared" si="210"/>
        <v/>
      </c>
      <c r="AL340" s="26" t="str">
        <f>IF($A341="","",_xll.SPRDOPT(P340,X340,AI340,0,AB340,AE340,AF340,AK340,$AJ$2,0))</f>
        <v/>
      </c>
      <c r="AM340" s="89" t="str">
        <f t="shared" si="211"/>
        <v/>
      </c>
      <c r="AN340" s="89" t="str">
        <f t="shared" si="212"/>
        <v/>
      </c>
      <c r="AO340" s="3" t="str">
        <f t="shared" si="213"/>
        <v/>
      </c>
      <c r="AP340" s="33" t="str">
        <f t="shared" si="214"/>
        <v/>
      </c>
      <c r="AQ340" s="58" t="str">
        <f t="shared" si="215"/>
        <v/>
      </c>
      <c r="AR340" s="38">
        <f>'ANR OK vs ML7'!AR340</f>
        <v>0.1</v>
      </c>
      <c r="AS340" s="35" t="str">
        <f t="shared" si="216"/>
        <v/>
      </c>
      <c r="AT340" s="3" t="str">
        <f t="shared" si="217"/>
        <v/>
      </c>
      <c r="AU340" s="3" t="str">
        <f t="shared" si="218"/>
        <v/>
      </c>
      <c r="AW340" s="32" t="str">
        <f t="shared" si="219"/>
        <v/>
      </c>
      <c r="AX340" s="32" t="str">
        <f t="shared" si="220"/>
        <v/>
      </c>
      <c r="AY340" s="32" t="str">
        <f t="shared" si="221"/>
        <v/>
      </c>
      <c r="BA340" s="32" t="str">
        <f>IF($A341="","",F340*Summary!$Q$10)</f>
        <v/>
      </c>
    </row>
    <row r="341" spans="1:53" ht="12" customHeight="1">
      <c r="A341" s="67" t="str">
        <f t="shared" si="222"/>
        <v/>
      </c>
      <c r="B341" s="69" t="str">
        <f t="shared" si="224"/>
        <v/>
      </c>
      <c r="C341" s="71"/>
      <c r="D341" s="69" t="str">
        <f t="shared" si="188"/>
        <v/>
      </c>
      <c r="E341" s="70" t="str">
        <f t="shared" si="189"/>
        <v/>
      </c>
      <c r="F341" s="70" t="str">
        <f t="shared" si="190"/>
        <v/>
      </c>
      <c r="G341" s="63" t="str">
        <f t="shared" si="191"/>
        <v/>
      </c>
      <c r="H341" s="64" t="str">
        <f t="shared" si="192"/>
        <v/>
      </c>
      <c r="I341" s="43"/>
      <c r="J341" s="63" t="str">
        <f t="shared" si="193"/>
        <v/>
      </c>
      <c r="K341" s="64" t="str">
        <f t="shared" si="194"/>
        <v/>
      </c>
      <c r="L341" s="38">
        <v>0</v>
      </c>
      <c r="M341" s="64" t="str">
        <f t="shared" si="195"/>
        <v/>
      </c>
      <c r="N341" s="65"/>
      <c r="O341" s="63" t="str">
        <f t="shared" si="196"/>
        <v/>
      </c>
      <c r="P341" s="63" t="str">
        <f t="shared" si="197"/>
        <v/>
      </c>
      <c r="Q341" s="66"/>
      <c r="R341" s="63" t="str">
        <f t="shared" si="198"/>
        <v/>
      </c>
      <c r="S341" s="64" t="str">
        <f t="shared" si="199"/>
        <v/>
      </c>
      <c r="T341" s="63" t="str">
        <f t="shared" si="200"/>
        <v/>
      </c>
      <c r="U341" s="64" t="str">
        <f t="shared" si="201"/>
        <v/>
      </c>
      <c r="V341" s="219" t="str">
        <f>IF($A342="","",IF(AND(MONTH(A341)&gt;3,MONTH(A341)&lt;11),(T341+R341+G341)*Summary!$T$10/(1-Summary!$T$10),(T341+R341+G341)*Summary!$U$10/(1-Summary!$U$10)))</f>
        <v/>
      </c>
      <c r="W341" s="63" t="str">
        <f t="shared" si="202"/>
        <v/>
      </c>
      <c r="X341" s="63" t="str">
        <f t="shared" si="203"/>
        <v/>
      </c>
      <c r="Y341" s="43"/>
      <c r="Z341" s="38" t="str">
        <f t="shared" si="204"/>
        <v/>
      </c>
      <c r="AA341" s="38" t="str">
        <f t="shared" si="205"/>
        <v/>
      </c>
      <c r="AB341" s="38" t="e">
        <f t="shared" si="206"/>
        <v>#VALUE!</v>
      </c>
      <c r="AC341" s="38" t="str">
        <f t="shared" si="207"/>
        <v/>
      </c>
      <c r="AD341" s="38" t="str">
        <f t="shared" si="207"/>
        <v/>
      </c>
      <c r="AE341" s="38" t="e">
        <f t="shared" si="208"/>
        <v>#VALUE!</v>
      </c>
      <c r="AF341" s="237" t="e">
        <f>((Summary!$N$10*(AA341*AD341)*(A341-$D$3))+(Summary!$M$10*Z341*AC341*(AJ341-EOMONTH(EDATE(A341,-1),0))))/(AK341*AB341*AE341)</f>
        <v>#VALUE!</v>
      </c>
      <c r="AG341" s="88" t="str">
        <f>IF($A342="","",Summary!$Q$10)</f>
        <v/>
      </c>
      <c r="AH341" s="88" t="str">
        <f>IF($A342="","",IF(Summary!$R$10="Y",(VLOOKUP($A341,Summary!$AD$6:$AF$9,3)+'Escalating commodity'!F354),'Escalating commodity'!F354))</f>
        <v/>
      </c>
      <c r="AI341" s="88" t="str">
        <f t="shared" si="223"/>
        <v/>
      </c>
      <c r="AJ341" s="236" t="e">
        <f t="shared" si="209"/>
        <v>#VALUE!</v>
      </c>
      <c r="AK341" s="58" t="str">
        <f t="shared" si="210"/>
        <v/>
      </c>
      <c r="AL341" s="26" t="str">
        <f>IF($A342="","",_xll.SPRDOPT(P341,X341,AI341,0,AB341,AE341,AF341,AK341,$AJ$2,0))</f>
        <v/>
      </c>
      <c r="AM341" s="89" t="str">
        <f t="shared" si="211"/>
        <v/>
      </c>
      <c r="AN341" s="89" t="str">
        <f t="shared" si="212"/>
        <v/>
      </c>
      <c r="AO341" s="3" t="str">
        <f t="shared" si="213"/>
        <v/>
      </c>
      <c r="AP341" s="33" t="str">
        <f t="shared" si="214"/>
        <v/>
      </c>
      <c r="AQ341" s="58" t="str">
        <f t="shared" si="215"/>
        <v/>
      </c>
      <c r="AR341" s="38">
        <f>'ANR OK vs ML7'!AR341</f>
        <v>0.1</v>
      </c>
      <c r="AS341" s="35" t="str">
        <f t="shared" si="216"/>
        <v/>
      </c>
      <c r="AT341" s="3" t="str">
        <f t="shared" si="217"/>
        <v/>
      </c>
      <c r="AU341" s="3" t="str">
        <f t="shared" si="218"/>
        <v/>
      </c>
      <c r="AW341" s="32" t="str">
        <f t="shared" si="219"/>
        <v/>
      </c>
      <c r="AX341" s="32" t="str">
        <f t="shared" si="220"/>
        <v/>
      </c>
      <c r="AY341" s="32" t="str">
        <f t="shared" si="221"/>
        <v/>
      </c>
      <c r="BA341" s="32" t="str">
        <f>IF($A342="","",F341*Summary!$Q$10)</f>
        <v/>
      </c>
    </row>
    <row r="342" spans="1:53" ht="12" customHeight="1">
      <c r="A342" s="67" t="str">
        <f t="shared" si="222"/>
        <v/>
      </c>
      <c r="B342" s="69" t="str">
        <f t="shared" si="224"/>
        <v/>
      </c>
      <c r="C342" s="71"/>
      <c r="D342" s="69" t="str">
        <f t="shared" si="188"/>
        <v/>
      </c>
      <c r="E342" s="70" t="str">
        <f t="shared" si="189"/>
        <v/>
      </c>
      <c r="F342" s="70" t="str">
        <f t="shared" si="190"/>
        <v/>
      </c>
      <c r="G342" s="63" t="str">
        <f t="shared" si="191"/>
        <v/>
      </c>
      <c r="H342" s="64" t="str">
        <f t="shared" si="192"/>
        <v/>
      </c>
      <c r="I342" s="43"/>
      <c r="J342" s="63" t="str">
        <f t="shared" si="193"/>
        <v/>
      </c>
      <c r="K342" s="64" t="str">
        <f t="shared" si="194"/>
        <v/>
      </c>
      <c r="L342" s="38">
        <v>0</v>
      </c>
      <c r="M342" s="64" t="str">
        <f t="shared" si="195"/>
        <v/>
      </c>
      <c r="N342" s="65"/>
      <c r="O342" s="63" t="str">
        <f t="shared" si="196"/>
        <v/>
      </c>
      <c r="P342" s="63" t="str">
        <f t="shared" si="197"/>
        <v/>
      </c>
      <c r="Q342" s="66"/>
      <c r="R342" s="63" t="str">
        <f t="shared" si="198"/>
        <v/>
      </c>
      <c r="S342" s="64" t="str">
        <f t="shared" si="199"/>
        <v/>
      </c>
      <c r="T342" s="63" t="str">
        <f t="shared" si="200"/>
        <v/>
      </c>
      <c r="U342" s="64" t="str">
        <f t="shared" si="201"/>
        <v/>
      </c>
      <c r="V342" s="219" t="str">
        <f>IF($A343="","",IF(AND(MONTH(A342)&gt;3,MONTH(A342)&lt;11),(T342+R342+G342)*Summary!$T$10/(1-Summary!$T$10),(T342+R342+G342)*Summary!$U$10/(1-Summary!$U$10)))</f>
        <v/>
      </c>
      <c r="W342" s="63" t="str">
        <f t="shared" si="202"/>
        <v/>
      </c>
      <c r="X342" s="63" t="str">
        <f t="shared" si="203"/>
        <v/>
      </c>
      <c r="Y342" s="43"/>
      <c r="Z342" s="38" t="str">
        <f t="shared" si="204"/>
        <v/>
      </c>
      <c r="AA342" s="38" t="str">
        <f t="shared" si="205"/>
        <v/>
      </c>
      <c r="AB342" s="38" t="e">
        <f t="shared" si="206"/>
        <v>#VALUE!</v>
      </c>
      <c r="AC342" s="38" t="str">
        <f t="shared" si="207"/>
        <v/>
      </c>
      <c r="AD342" s="38" t="str">
        <f t="shared" si="207"/>
        <v/>
      </c>
      <c r="AE342" s="38" t="e">
        <f t="shared" si="208"/>
        <v>#VALUE!</v>
      </c>
      <c r="AF342" s="237" t="e">
        <f>((Summary!$N$10*(AA342*AD342)*(A342-$D$3))+(Summary!$M$10*Z342*AC342*(AJ342-EOMONTH(EDATE(A342,-1),0))))/(AK342*AB342*AE342)</f>
        <v>#VALUE!</v>
      </c>
      <c r="AG342" s="88" t="str">
        <f>IF($A343="","",Summary!$Q$10)</f>
        <v/>
      </c>
      <c r="AH342" s="88" t="str">
        <f>IF($A343="","",IF(Summary!$R$10="Y",(VLOOKUP($A342,Summary!$AD$6:$AF$9,3)+'Escalating commodity'!F355),'Escalating commodity'!F355))</f>
        <v/>
      </c>
      <c r="AI342" s="88" t="str">
        <f t="shared" si="223"/>
        <v/>
      </c>
      <c r="AJ342" s="236" t="e">
        <f t="shared" si="209"/>
        <v>#VALUE!</v>
      </c>
      <c r="AK342" s="58" t="str">
        <f t="shared" si="210"/>
        <v/>
      </c>
      <c r="AL342" s="26" t="str">
        <f>IF($A343="","",_xll.SPRDOPT(P342,X342,AI342,0,AB342,AE342,AF342,AK342,$AJ$2,0))</f>
        <v/>
      </c>
      <c r="AM342" s="89" t="str">
        <f t="shared" si="211"/>
        <v/>
      </c>
      <c r="AN342" s="89" t="str">
        <f t="shared" si="212"/>
        <v/>
      </c>
      <c r="AO342" s="3" t="str">
        <f t="shared" si="213"/>
        <v/>
      </c>
      <c r="AP342" s="33" t="str">
        <f t="shared" si="214"/>
        <v/>
      </c>
      <c r="AQ342" s="58" t="str">
        <f t="shared" si="215"/>
        <v/>
      </c>
      <c r="AR342" s="38">
        <f>'ANR OK vs ML7'!AR342</f>
        <v>0.1</v>
      </c>
      <c r="AS342" s="35" t="str">
        <f t="shared" si="216"/>
        <v/>
      </c>
      <c r="AT342" s="3" t="str">
        <f t="shared" si="217"/>
        <v/>
      </c>
      <c r="AU342" s="3" t="str">
        <f t="shared" si="218"/>
        <v/>
      </c>
      <c r="AW342" s="32" t="str">
        <f t="shared" si="219"/>
        <v/>
      </c>
      <c r="AX342" s="32" t="str">
        <f t="shared" si="220"/>
        <v/>
      </c>
      <c r="AY342" s="32" t="str">
        <f t="shared" si="221"/>
        <v/>
      </c>
      <c r="BA342" s="32" t="str">
        <f>IF($A343="","",F342*Summary!$Q$10)</f>
        <v/>
      </c>
    </row>
    <row r="343" spans="1:53" ht="12" customHeight="1">
      <c r="A343" s="67" t="str">
        <f t="shared" si="222"/>
        <v/>
      </c>
      <c r="B343" s="69" t="str">
        <f t="shared" si="224"/>
        <v/>
      </c>
      <c r="C343" s="71"/>
      <c r="D343" s="69" t="str">
        <f t="shared" si="188"/>
        <v/>
      </c>
      <c r="E343" s="70" t="str">
        <f t="shared" si="189"/>
        <v/>
      </c>
      <c r="F343" s="70" t="str">
        <f t="shared" si="190"/>
        <v/>
      </c>
      <c r="G343" s="63" t="str">
        <f t="shared" si="191"/>
        <v/>
      </c>
      <c r="H343" s="64" t="str">
        <f t="shared" si="192"/>
        <v/>
      </c>
      <c r="I343" s="43"/>
      <c r="J343" s="63" t="str">
        <f t="shared" si="193"/>
        <v/>
      </c>
      <c r="K343" s="64" t="str">
        <f t="shared" si="194"/>
        <v/>
      </c>
      <c r="L343" s="38">
        <v>0</v>
      </c>
      <c r="M343" s="64" t="str">
        <f t="shared" si="195"/>
        <v/>
      </c>
      <c r="N343" s="65"/>
      <c r="O343" s="63" t="str">
        <f t="shared" si="196"/>
        <v/>
      </c>
      <c r="P343" s="63" t="str">
        <f t="shared" si="197"/>
        <v/>
      </c>
      <c r="Q343" s="66"/>
      <c r="R343" s="63" t="str">
        <f t="shared" si="198"/>
        <v/>
      </c>
      <c r="S343" s="64" t="str">
        <f t="shared" si="199"/>
        <v/>
      </c>
      <c r="T343" s="63" t="str">
        <f t="shared" si="200"/>
        <v/>
      </c>
      <c r="U343" s="64" t="str">
        <f t="shared" si="201"/>
        <v/>
      </c>
      <c r="V343" s="219" t="str">
        <f>IF($A344="","",IF(AND(MONTH(A343)&gt;3,MONTH(A343)&lt;11),(T343+R343+G343)*Summary!$T$10/(1-Summary!$T$10),(T343+R343+G343)*Summary!$U$10/(1-Summary!$U$10)))</f>
        <v/>
      </c>
      <c r="W343" s="63" t="str">
        <f t="shared" si="202"/>
        <v/>
      </c>
      <c r="X343" s="63" t="str">
        <f t="shared" si="203"/>
        <v/>
      </c>
      <c r="Y343" s="43"/>
      <c r="Z343" s="38" t="str">
        <f t="shared" si="204"/>
        <v/>
      </c>
      <c r="AA343" s="38" t="str">
        <f t="shared" si="205"/>
        <v/>
      </c>
      <c r="AB343" s="38" t="e">
        <f t="shared" si="206"/>
        <v>#VALUE!</v>
      </c>
      <c r="AC343" s="38" t="str">
        <f t="shared" si="207"/>
        <v/>
      </c>
      <c r="AD343" s="38" t="str">
        <f t="shared" si="207"/>
        <v/>
      </c>
      <c r="AE343" s="38" t="e">
        <f t="shared" si="208"/>
        <v>#VALUE!</v>
      </c>
      <c r="AF343" s="237" t="e">
        <f>((Summary!$N$10*(AA343*AD343)*(A343-$D$3))+(Summary!$M$10*Z343*AC343*(AJ343-EOMONTH(EDATE(A343,-1),0))))/(AK343*AB343*AE343)</f>
        <v>#VALUE!</v>
      </c>
      <c r="AG343" s="88" t="str">
        <f>IF($A344="","",Summary!$Q$10)</f>
        <v/>
      </c>
      <c r="AH343" s="88" t="str">
        <f>IF($A344="","",IF(Summary!$R$10="Y",(VLOOKUP($A343,Summary!$AD$6:$AF$9,3)+'Escalating commodity'!F356),'Escalating commodity'!F356))</f>
        <v/>
      </c>
      <c r="AI343" s="88" t="str">
        <f t="shared" si="223"/>
        <v/>
      </c>
      <c r="AJ343" s="236" t="e">
        <f t="shared" si="209"/>
        <v>#VALUE!</v>
      </c>
      <c r="AK343" s="58" t="str">
        <f t="shared" si="210"/>
        <v/>
      </c>
      <c r="AL343" s="26" t="str">
        <f>IF($A344="","",_xll.SPRDOPT(P343,X343,AI343,0,AB343,AE343,AF343,AK343,$AJ$2,0))</f>
        <v/>
      </c>
      <c r="AM343" s="89" t="str">
        <f t="shared" si="211"/>
        <v/>
      </c>
      <c r="AN343" s="89" t="str">
        <f t="shared" si="212"/>
        <v/>
      </c>
      <c r="AO343" s="3" t="str">
        <f t="shared" si="213"/>
        <v/>
      </c>
      <c r="AP343" s="33" t="str">
        <f t="shared" si="214"/>
        <v/>
      </c>
      <c r="AQ343" s="58" t="str">
        <f t="shared" si="215"/>
        <v/>
      </c>
      <c r="AR343" s="38">
        <f>'ANR OK vs ML7'!AR343</f>
        <v>0.1</v>
      </c>
      <c r="AS343" s="35" t="str">
        <f t="shared" si="216"/>
        <v/>
      </c>
      <c r="AT343" s="3" t="str">
        <f t="shared" si="217"/>
        <v/>
      </c>
      <c r="AU343" s="3" t="str">
        <f t="shared" si="218"/>
        <v/>
      </c>
      <c r="AW343" s="32" t="str">
        <f t="shared" si="219"/>
        <v/>
      </c>
      <c r="AX343" s="32" t="str">
        <f t="shared" si="220"/>
        <v/>
      </c>
      <c r="AY343" s="32" t="str">
        <f t="shared" si="221"/>
        <v/>
      </c>
      <c r="BA343" s="32" t="str">
        <f>IF($A344="","",F343*Summary!$Q$10)</f>
        <v/>
      </c>
    </row>
    <row r="344" spans="1:53" ht="12" customHeight="1">
      <c r="A344" s="67" t="str">
        <f t="shared" si="222"/>
        <v/>
      </c>
      <c r="B344" s="69" t="str">
        <f t="shared" si="224"/>
        <v/>
      </c>
      <c r="C344" s="71"/>
      <c r="D344" s="69" t="str">
        <f t="shared" si="188"/>
        <v/>
      </c>
      <c r="E344" s="70" t="str">
        <f t="shared" si="189"/>
        <v/>
      </c>
      <c r="F344" s="70" t="str">
        <f t="shared" si="190"/>
        <v/>
      </c>
      <c r="G344" s="63" t="str">
        <f t="shared" si="191"/>
        <v/>
      </c>
      <c r="H344" s="64" t="str">
        <f t="shared" si="192"/>
        <v/>
      </c>
      <c r="I344" s="43"/>
      <c r="J344" s="63" t="str">
        <f t="shared" si="193"/>
        <v/>
      </c>
      <c r="K344" s="64" t="str">
        <f t="shared" si="194"/>
        <v/>
      </c>
      <c r="L344" s="38">
        <v>0</v>
      </c>
      <c r="M344" s="64" t="str">
        <f t="shared" si="195"/>
        <v/>
      </c>
      <c r="N344" s="65"/>
      <c r="O344" s="63" t="str">
        <f t="shared" si="196"/>
        <v/>
      </c>
      <c r="P344" s="63" t="str">
        <f t="shared" si="197"/>
        <v/>
      </c>
      <c r="Q344" s="66"/>
      <c r="R344" s="63" t="str">
        <f t="shared" si="198"/>
        <v/>
      </c>
      <c r="S344" s="64" t="str">
        <f t="shared" si="199"/>
        <v/>
      </c>
      <c r="T344" s="63" t="str">
        <f t="shared" si="200"/>
        <v/>
      </c>
      <c r="U344" s="64" t="str">
        <f t="shared" si="201"/>
        <v/>
      </c>
      <c r="V344" s="219" t="str">
        <f>IF($A345="","",IF(AND(MONTH(A344)&gt;3,MONTH(A344)&lt;11),(T344+R344+G344)*Summary!$T$10/(1-Summary!$T$10),(T344+R344+G344)*Summary!$U$10/(1-Summary!$U$10)))</f>
        <v/>
      </c>
      <c r="W344" s="63" t="str">
        <f t="shared" si="202"/>
        <v/>
      </c>
      <c r="X344" s="63" t="str">
        <f t="shared" si="203"/>
        <v/>
      </c>
      <c r="Y344" s="43"/>
      <c r="Z344" s="38" t="str">
        <f t="shared" si="204"/>
        <v/>
      </c>
      <c r="AA344" s="38" t="str">
        <f t="shared" si="205"/>
        <v/>
      </c>
      <c r="AB344" s="38" t="e">
        <f t="shared" si="206"/>
        <v>#VALUE!</v>
      </c>
      <c r="AC344" s="38" t="str">
        <f t="shared" si="207"/>
        <v/>
      </c>
      <c r="AD344" s="38" t="str">
        <f t="shared" si="207"/>
        <v/>
      </c>
      <c r="AE344" s="38" t="e">
        <f t="shared" si="208"/>
        <v>#VALUE!</v>
      </c>
      <c r="AF344" s="237" t="e">
        <f>((Summary!$N$10*(AA344*AD344)*(A344-$D$3))+(Summary!$M$10*Z344*AC344*(AJ344-EOMONTH(EDATE(A344,-1),0))))/(AK344*AB344*AE344)</f>
        <v>#VALUE!</v>
      </c>
      <c r="AG344" s="88" t="str">
        <f>IF($A345="","",Summary!$Q$10)</f>
        <v/>
      </c>
      <c r="AH344" s="88" t="str">
        <f>IF($A345="","",IF(Summary!$R$10="Y",(VLOOKUP($A344,Summary!$AD$6:$AF$9,3)+'Escalating commodity'!F357),'Escalating commodity'!F357))</f>
        <v/>
      </c>
      <c r="AI344" s="88" t="str">
        <f t="shared" si="223"/>
        <v/>
      </c>
      <c r="AJ344" s="236" t="e">
        <f t="shared" si="209"/>
        <v>#VALUE!</v>
      </c>
      <c r="AK344" s="58" t="str">
        <f t="shared" si="210"/>
        <v/>
      </c>
      <c r="AL344" s="26" t="str">
        <f>IF($A345="","",_xll.SPRDOPT(P344,X344,AI344,0,AB344,AE344,AF344,AK344,$AJ$2,0))</f>
        <v/>
      </c>
      <c r="AM344" s="89" t="str">
        <f t="shared" si="211"/>
        <v/>
      </c>
      <c r="AN344" s="89" t="str">
        <f t="shared" si="212"/>
        <v/>
      </c>
      <c r="AO344" s="3" t="str">
        <f t="shared" si="213"/>
        <v/>
      </c>
      <c r="AP344" s="33" t="str">
        <f t="shared" si="214"/>
        <v/>
      </c>
      <c r="AQ344" s="58" t="str">
        <f t="shared" si="215"/>
        <v/>
      </c>
      <c r="AR344" s="38">
        <f>'ANR OK vs ML7'!AR344</f>
        <v>0.1</v>
      </c>
      <c r="AS344" s="35" t="str">
        <f t="shared" si="216"/>
        <v/>
      </c>
      <c r="AT344" s="3" t="str">
        <f t="shared" si="217"/>
        <v/>
      </c>
      <c r="AU344" s="3" t="str">
        <f t="shared" si="218"/>
        <v/>
      </c>
      <c r="AW344" s="32" t="str">
        <f t="shared" si="219"/>
        <v/>
      </c>
      <c r="AX344" s="32" t="str">
        <f t="shared" si="220"/>
        <v/>
      </c>
      <c r="AY344" s="32" t="str">
        <f t="shared" si="221"/>
        <v/>
      </c>
      <c r="BA344" s="32" t="str">
        <f>IF($A345="","",F344*Summary!$Q$10)</f>
        <v/>
      </c>
    </row>
    <row r="345" spans="1:53" ht="12" customHeight="1">
      <c r="A345" s="67" t="str">
        <f t="shared" si="222"/>
        <v/>
      </c>
      <c r="B345" s="69" t="str">
        <f t="shared" si="224"/>
        <v/>
      </c>
      <c r="C345" s="71"/>
      <c r="D345" s="69" t="str">
        <f t="shared" si="188"/>
        <v/>
      </c>
      <c r="E345" s="70" t="str">
        <f t="shared" si="189"/>
        <v/>
      </c>
      <c r="F345" s="70" t="str">
        <f t="shared" si="190"/>
        <v/>
      </c>
      <c r="G345" s="63" t="str">
        <f t="shared" si="191"/>
        <v/>
      </c>
      <c r="H345" s="64" t="str">
        <f t="shared" si="192"/>
        <v/>
      </c>
      <c r="I345" s="43"/>
      <c r="J345" s="63" t="str">
        <f t="shared" si="193"/>
        <v/>
      </c>
      <c r="K345" s="64" t="str">
        <f t="shared" si="194"/>
        <v/>
      </c>
      <c r="L345" s="38">
        <v>0</v>
      </c>
      <c r="M345" s="64" t="str">
        <f t="shared" si="195"/>
        <v/>
      </c>
      <c r="N345" s="65"/>
      <c r="O345" s="63" t="str">
        <f t="shared" si="196"/>
        <v/>
      </c>
      <c r="P345" s="63" t="str">
        <f t="shared" si="197"/>
        <v/>
      </c>
      <c r="Q345" s="66"/>
      <c r="R345" s="63" t="str">
        <f t="shared" si="198"/>
        <v/>
      </c>
      <c r="S345" s="64" t="str">
        <f t="shared" si="199"/>
        <v/>
      </c>
      <c r="T345" s="63" t="str">
        <f t="shared" si="200"/>
        <v/>
      </c>
      <c r="U345" s="64" t="str">
        <f t="shared" si="201"/>
        <v/>
      </c>
      <c r="V345" s="219" t="str">
        <f>IF($A346="","",IF(AND(MONTH(A345)&gt;3,MONTH(A345)&lt;11),(T345+R345+G345)*Summary!$T$10/(1-Summary!$T$10),(T345+R345+G345)*Summary!$U$10/(1-Summary!$U$10)))</f>
        <v/>
      </c>
      <c r="W345" s="63" t="str">
        <f t="shared" si="202"/>
        <v/>
      </c>
      <c r="X345" s="63" t="str">
        <f t="shared" si="203"/>
        <v/>
      </c>
      <c r="Y345" s="43"/>
      <c r="Z345" s="38" t="str">
        <f t="shared" si="204"/>
        <v/>
      </c>
      <c r="AA345" s="38" t="str">
        <f t="shared" si="205"/>
        <v/>
      </c>
      <c r="AB345" s="38" t="e">
        <f t="shared" si="206"/>
        <v>#VALUE!</v>
      </c>
      <c r="AC345" s="38" t="str">
        <f t="shared" si="207"/>
        <v/>
      </c>
      <c r="AD345" s="38" t="str">
        <f t="shared" si="207"/>
        <v/>
      </c>
      <c r="AE345" s="38" t="e">
        <f t="shared" si="208"/>
        <v>#VALUE!</v>
      </c>
      <c r="AF345" s="237" t="e">
        <f>((Summary!$N$10*(AA345*AD345)*(A345-$D$3))+(Summary!$M$10*Z345*AC345*(AJ345-EOMONTH(EDATE(A345,-1),0))))/(AK345*AB345*AE345)</f>
        <v>#VALUE!</v>
      </c>
      <c r="AG345" s="88" t="str">
        <f>IF($A346="","",Summary!$Q$10)</f>
        <v/>
      </c>
      <c r="AH345" s="88" t="str">
        <f>IF($A346="","",IF(Summary!$R$10="Y",(VLOOKUP($A345,Summary!$AD$6:$AF$9,3)+'Escalating commodity'!F358),'Escalating commodity'!F358))</f>
        <v/>
      </c>
      <c r="AI345" s="88" t="str">
        <f t="shared" si="223"/>
        <v/>
      </c>
      <c r="AJ345" s="236" t="e">
        <f t="shared" si="209"/>
        <v>#VALUE!</v>
      </c>
      <c r="AK345" s="58" t="str">
        <f t="shared" si="210"/>
        <v/>
      </c>
      <c r="AL345" s="26" t="str">
        <f>IF($A346="","",_xll.SPRDOPT(P345,X345,AI345,0,AB345,AE345,AF345,AK345,$AJ$2,0))</f>
        <v/>
      </c>
      <c r="AM345" s="89" t="str">
        <f t="shared" si="211"/>
        <v/>
      </c>
      <c r="AN345" s="89" t="str">
        <f t="shared" si="212"/>
        <v/>
      </c>
      <c r="AO345" s="3" t="str">
        <f t="shared" si="213"/>
        <v/>
      </c>
      <c r="AP345" s="33" t="str">
        <f t="shared" si="214"/>
        <v/>
      </c>
      <c r="AQ345" s="58" t="str">
        <f t="shared" si="215"/>
        <v/>
      </c>
      <c r="AR345" s="38">
        <f>'ANR OK vs ML7'!AR345</f>
        <v>0.1</v>
      </c>
      <c r="AS345" s="35" t="str">
        <f t="shared" si="216"/>
        <v/>
      </c>
      <c r="AT345" s="3" t="str">
        <f t="shared" si="217"/>
        <v/>
      </c>
      <c r="AU345" s="3" t="str">
        <f t="shared" si="218"/>
        <v/>
      </c>
      <c r="AW345" s="32" t="str">
        <f t="shared" si="219"/>
        <v/>
      </c>
      <c r="AX345" s="32" t="str">
        <f t="shared" si="220"/>
        <v/>
      </c>
      <c r="AY345" s="32" t="str">
        <f t="shared" si="221"/>
        <v/>
      </c>
      <c r="BA345" s="32" t="str">
        <f>IF($A346="","",F345*Summary!$Q$10)</f>
        <v/>
      </c>
    </row>
    <row r="346" spans="1:53" ht="12" customHeight="1">
      <c r="A346" s="67" t="str">
        <f t="shared" si="222"/>
        <v/>
      </c>
      <c r="B346" s="69" t="str">
        <f t="shared" si="224"/>
        <v/>
      </c>
      <c r="C346" s="71"/>
      <c r="D346" s="69" t="str">
        <f t="shared" si="188"/>
        <v/>
      </c>
      <c r="E346" s="70" t="str">
        <f t="shared" si="189"/>
        <v/>
      </c>
      <c r="F346" s="70" t="str">
        <f t="shared" si="190"/>
        <v/>
      </c>
      <c r="G346" s="63" t="str">
        <f t="shared" si="191"/>
        <v/>
      </c>
      <c r="H346" s="64" t="str">
        <f t="shared" si="192"/>
        <v/>
      </c>
      <c r="I346" s="43"/>
      <c r="J346" s="63" t="str">
        <f t="shared" si="193"/>
        <v/>
      </c>
      <c r="K346" s="64" t="str">
        <f t="shared" si="194"/>
        <v/>
      </c>
      <c r="L346" s="38">
        <v>0</v>
      </c>
      <c r="M346" s="64" t="str">
        <f t="shared" si="195"/>
        <v/>
      </c>
      <c r="N346" s="65"/>
      <c r="O346" s="63" t="str">
        <f t="shared" si="196"/>
        <v/>
      </c>
      <c r="P346" s="63" t="str">
        <f t="shared" si="197"/>
        <v/>
      </c>
      <c r="Q346" s="66"/>
      <c r="R346" s="63" t="str">
        <f t="shared" si="198"/>
        <v/>
      </c>
      <c r="S346" s="64" t="str">
        <f t="shared" si="199"/>
        <v/>
      </c>
      <c r="T346" s="63" t="str">
        <f t="shared" si="200"/>
        <v/>
      </c>
      <c r="U346" s="64" t="str">
        <f t="shared" si="201"/>
        <v/>
      </c>
      <c r="V346" s="219" t="str">
        <f>IF($A347="","",IF(AND(MONTH(A346)&gt;3,MONTH(A346)&lt;11),(T346+R346+G346)*Summary!$T$10/(1-Summary!$T$10),(T346+R346+G346)*Summary!$U$10/(1-Summary!$U$10)))</f>
        <v/>
      </c>
      <c r="W346" s="63" t="str">
        <f t="shared" si="202"/>
        <v/>
      </c>
      <c r="X346" s="63" t="str">
        <f t="shared" si="203"/>
        <v/>
      </c>
      <c r="Y346" s="43"/>
      <c r="Z346" s="38" t="str">
        <f t="shared" si="204"/>
        <v/>
      </c>
      <c r="AA346" s="38" t="str">
        <f t="shared" si="205"/>
        <v/>
      </c>
      <c r="AB346" s="38" t="e">
        <f t="shared" si="206"/>
        <v>#VALUE!</v>
      </c>
      <c r="AC346" s="38" t="str">
        <f t="shared" si="207"/>
        <v/>
      </c>
      <c r="AD346" s="38" t="str">
        <f t="shared" si="207"/>
        <v/>
      </c>
      <c r="AE346" s="38" t="e">
        <f t="shared" si="208"/>
        <v>#VALUE!</v>
      </c>
      <c r="AF346" s="237" t="e">
        <f>((Summary!$N$10*(AA346*AD346)*(A346-$D$3))+(Summary!$M$10*Z346*AC346*(AJ346-EOMONTH(EDATE(A346,-1),0))))/(AK346*AB346*AE346)</f>
        <v>#VALUE!</v>
      </c>
      <c r="AG346" s="88" t="str">
        <f>IF($A347="","",Summary!$Q$10)</f>
        <v/>
      </c>
      <c r="AH346" s="88" t="str">
        <f>IF($A347="","",IF(Summary!$R$10="Y",(VLOOKUP($A346,Summary!$AD$6:$AF$9,3)+'Escalating commodity'!F359),'Escalating commodity'!F359))</f>
        <v/>
      </c>
      <c r="AI346" s="88" t="str">
        <f t="shared" si="223"/>
        <v/>
      </c>
      <c r="AJ346" s="236" t="e">
        <f t="shared" si="209"/>
        <v>#VALUE!</v>
      </c>
      <c r="AK346" s="58" t="str">
        <f t="shared" si="210"/>
        <v/>
      </c>
      <c r="AL346" s="26" t="str">
        <f>IF($A347="","",_xll.SPRDOPT(P346,X346,AI346,0,AB346,AE346,AF346,AK346,$AJ$2,0))</f>
        <v/>
      </c>
      <c r="AM346" s="89" t="str">
        <f t="shared" si="211"/>
        <v/>
      </c>
      <c r="AN346" s="89" t="str">
        <f t="shared" si="212"/>
        <v/>
      </c>
      <c r="AO346" s="3" t="str">
        <f t="shared" si="213"/>
        <v/>
      </c>
      <c r="AP346" s="33" t="str">
        <f t="shared" si="214"/>
        <v/>
      </c>
      <c r="AQ346" s="58" t="str">
        <f t="shared" si="215"/>
        <v/>
      </c>
      <c r="AR346" s="38">
        <f>'ANR OK vs ML7'!AR346</f>
        <v>0.1</v>
      </c>
      <c r="AS346" s="35" t="str">
        <f t="shared" si="216"/>
        <v/>
      </c>
      <c r="AT346" s="3" t="str">
        <f t="shared" si="217"/>
        <v/>
      </c>
      <c r="AU346" s="3" t="str">
        <f t="shared" si="218"/>
        <v/>
      </c>
      <c r="AW346" s="32" t="str">
        <f t="shared" si="219"/>
        <v/>
      </c>
      <c r="AX346" s="32" t="str">
        <f t="shared" si="220"/>
        <v/>
      </c>
      <c r="AY346" s="32" t="str">
        <f t="shared" si="221"/>
        <v/>
      </c>
      <c r="BA346" s="32" t="str">
        <f>IF($A347="","",F346*Summary!$Q$10)</f>
        <v/>
      </c>
    </row>
    <row r="347" spans="1:53" ht="12" customHeight="1">
      <c r="A347" s="67" t="str">
        <f t="shared" si="222"/>
        <v/>
      </c>
      <c r="B347" s="69" t="str">
        <f t="shared" si="224"/>
        <v/>
      </c>
      <c r="C347" s="71"/>
      <c r="D347" s="69" t="str">
        <f t="shared" si="188"/>
        <v/>
      </c>
      <c r="E347" s="70" t="str">
        <f t="shared" si="189"/>
        <v/>
      </c>
      <c r="F347" s="70" t="str">
        <f t="shared" si="190"/>
        <v/>
      </c>
      <c r="G347" s="63" t="str">
        <f t="shared" si="191"/>
        <v/>
      </c>
      <c r="H347" s="64" t="str">
        <f t="shared" si="192"/>
        <v/>
      </c>
      <c r="I347" s="43"/>
      <c r="J347" s="63" t="str">
        <f t="shared" si="193"/>
        <v/>
      </c>
      <c r="K347" s="64" t="str">
        <f t="shared" si="194"/>
        <v/>
      </c>
      <c r="L347" s="38">
        <v>0</v>
      </c>
      <c r="M347" s="64" t="str">
        <f t="shared" si="195"/>
        <v/>
      </c>
      <c r="N347" s="65"/>
      <c r="O347" s="63" t="str">
        <f t="shared" si="196"/>
        <v/>
      </c>
      <c r="P347" s="63" t="str">
        <f t="shared" si="197"/>
        <v/>
      </c>
      <c r="Q347" s="66"/>
      <c r="R347" s="63" t="str">
        <f t="shared" si="198"/>
        <v/>
      </c>
      <c r="S347" s="64" t="str">
        <f t="shared" si="199"/>
        <v/>
      </c>
      <c r="T347" s="63" t="str">
        <f t="shared" si="200"/>
        <v/>
      </c>
      <c r="U347" s="64" t="str">
        <f t="shared" si="201"/>
        <v/>
      </c>
      <c r="V347" s="219" t="str">
        <f>IF($A348="","",IF(AND(MONTH(A347)&gt;3,MONTH(A347)&lt;11),(T347+R347+G347)*Summary!$T$10/(1-Summary!$T$10),(T347+R347+G347)*Summary!$U$10/(1-Summary!$U$10)))</f>
        <v/>
      </c>
      <c r="W347" s="63" t="str">
        <f t="shared" si="202"/>
        <v/>
      </c>
      <c r="X347" s="63" t="str">
        <f t="shared" si="203"/>
        <v/>
      </c>
      <c r="Y347" s="43"/>
      <c r="Z347" s="38" t="str">
        <f t="shared" si="204"/>
        <v/>
      </c>
      <c r="AA347" s="38" t="str">
        <f t="shared" si="205"/>
        <v/>
      </c>
      <c r="AB347" s="38" t="e">
        <f t="shared" si="206"/>
        <v>#VALUE!</v>
      </c>
      <c r="AC347" s="38" t="str">
        <f t="shared" si="207"/>
        <v/>
      </c>
      <c r="AD347" s="38" t="str">
        <f t="shared" si="207"/>
        <v/>
      </c>
      <c r="AE347" s="38" t="e">
        <f t="shared" si="208"/>
        <v>#VALUE!</v>
      </c>
      <c r="AF347" s="237" t="e">
        <f>((Summary!$N$10*(AA347*AD347)*(A347-$D$3))+(Summary!$M$10*Z347*AC347*(AJ347-EOMONTH(EDATE(A347,-1),0))))/(AK347*AB347*AE347)</f>
        <v>#VALUE!</v>
      </c>
      <c r="AG347" s="88" t="str">
        <f>IF($A348="","",Summary!$Q$10)</f>
        <v/>
      </c>
      <c r="AH347" s="88" t="str">
        <f>IF($A348="","",IF(Summary!$R$10="Y",(VLOOKUP($A347,Summary!$AD$6:$AF$9,3)+'Escalating commodity'!F360),'Escalating commodity'!F360))</f>
        <v/>
      </c>
      <c r="AI347" s="88" t="str">
        <f t="shared" si="223"/>
        <v/>
      </c>
      <c r="AJ347" s="236" t="e">
        <f t="shared" si="209"/>
        <v>#VALUE!</v>
      </c>
      <c r="AK347" s="58" t="str">
        <f t="shared" si="210"/>
        <v/>
      </c>
      <c r="AL347" s="26" t="str">
        <f>IF($A348="","",_xll.SPRDOPT(P347,X347,AI347,0,AB347,AE347,AF347,AK347,$AJ$2,0))</f>
        <v/>
      </c>
      <c r="AM347" s="89" t="str">
        <f t="shared" si="211"/>
        <v/>
      </c>
      <c r="AN347" s="89" t="str">
        <f t="shared" si="212"/>
        <v/>
      </c>
      <c r="AO347" s="3" t="str">
        <f t="shared" si="213"/>
        <v/>
      </c>
      <c r="AP347" s="33" t="str">
        <f t="shared" si="214"/>
        <v/>
      </c>
      <c r="AQ347" s="58" t="str">
        <f t="shared" si="215"/>
        <v/>
      </c>
      <c r="AR347" s="38">
        <f>'ANR OK vs ML7'!AR347</f>
        <v>0.1</v>
      </c>
      <c r="AS347" s="35" t="str">
        <f t="shared" si="216"/>
        <v/>
      </c>
      <c r="AT347" s="3" t="str">
        <f t="shared" si="217"/>
        <v/>
      </c>
      <c r="AU347" s="3" t="str">
        <f t="shared" si="218"/>
        <v/>
      </c>
      <c r="AW347" s="32" t="str">
        <f t="shared" si="219"/>
        <v/>
      </c>
      <c r="AX347" s="32" t="str">
        <f t="shared" si="220"/>
        <v/>
      </c>
      <c r="AY347" s="32" t="str">
        <f t="shared" si="221"/>
        <v/>
      </c>
      <c r="BA347" s="32" t="str">
        <f>IF($A348="","",F347*Summary!$Q$10)</f>
        <v/>
      </c>
    </row>
    <row r="348" spans="1:53" ht="12" customHeight="1">
      <c r="A348" s="67" t="str">
        <f t="shared" si="222"/>
        <v/>
      </c>
      <c r="B348" s="69" t="str">
        <f t="shared" si="224"/>
        <v/>
      </c>
      <c r="C348" s="71"/>
      <c r="D348" s="69" t="str">
        <f t="shared" si="188"/>
        <v/>
      </c>
      <c r="E348" s="70" t="str">
        <f t="shared" si="189"/>
        <v/>
      </c>
      <c r="F348" s="70" t="str">
        <f t="shared" si="190"/>
        <v/>
      </c>
      <c r="G348" s="63" t="str">
        <f t="shared" si="191"/>
        <v/>
      </c>
      <c r="H348" s="64" t="str">
        <f t="shared" si="192"/>
        <v/>
      </c>
      <c r="I348" s="43"/>
      <c r="J348" s="63" t="str">
        <f t="shared" si="193"/>
        <v/>
      </c>
      <c r="K348" s="64" t="str">
        <f t="shared" si="194"/>
        <v/>
      </c>
      <c r="L348" s="38">
        <v>0</v>
      </c>
      <c r="M348" s="64" t="str">
        <f t="shared" si="195"/>
        <v/>
      </c>
      <c r="N348" s="65"/>
      <c r="O348" s="63" t="str">
        <f t="shared" si="196"/>
        <v/>
      </c>
      <c r="P348" s="63" t="str">
        <f t="shared" si="197"/>
        <v/>
      </c>
      <c r="Q348" s="66"/>
      <c r="R348" s="63" t="str">
        <f t="shared" si="198"/>
        <v/>
      </c>
      <c r="S348" s="64" t="str">
        <f t="shared" si="199"/>
        <v/>
      </c>
      <c r="T348" s="63" t="str">
        <f t="shared" si="200"/>
        <v/>
      </c>
      <c r="U348" s="64" t="str">
        <f t="shared" si="201"/>
        <v/>
      </c>
      <c r="V348" s="219" t="str">
        <f>IF($A349="","",IF(AND(MONTH(A348)&gt;3,MONTH(A348)&lt;11),(T348+R348+G348)*Summary!$T$10/(1-Summary!$T$10),(T348+R348+G348)*Summary!$U$10/(1-Summary!$U$10)))</f>
        <v/>
      </c>
      <c r="W348" s="63" t="str">
        <f t="shared" si="202"/>
        <v/>
      </c>
      <c r="X348" s="63" t="str">
        <f t="shared" si="203"/>
        <v/>
      </c>
      <c r="Y348" s="43"/>
      <c r="Z348" s="38" t="str">
        <f t="shared" si="204"/>
        <v/>
      </c>
      <c r="AA348" s="38" t="str">
        <f t="shared" si="205"/>
        <v/>
      </c>
      <c r="AB348" s="38" t="e">
        <f t="shared" si="206"/>
        <v>#VALUE!</v>
      </c>
      <c r="AC348" s="38" t="str">
        <f t="shared" si="207"/>
        <v/>
      </c>
      <c r="AD348" s="38" t="str">
        <f t="shared" si="207"/>
        <v/>
      </c>
      <c r="AE348" s="38" t="e">
        <f t="shared" si="208"/>
        <v>#VALUE!</v>
      </c>
      <c r="AF348" s="237" t="e">
        <f>((Summary!$N$10*(AA348*AD348)*(A348-$D$3))+(Summary!$M$10*Z348*AC348*(AJ348-EOMONTH(EDATE(A348,-1),0))))/(AK348*AB348*AE348)</f>
        <v>#VALUE!</v>
      </c>
      <c r="AG348" s="88" t="str">
        <f>IF($A349="","",Summary!$Q$10)</f>
        <v/>
      </c>
      <c r="AH348" s="88" t="str">
        <f>IF($A349="","",IF(Summary!$R$10="Y",(VLOOKUP($A348,Summary!$AD$6:$AF$9,3)+'Escalating commodity'!F361),'Escalating commodity'!F361))</f>
        <v/>
      </c>
      <c r="AI348" s="88" t="str">
        <f t="shared" si="223"/>
        <v/>
      </c>
      <c r="AJ348" s="236" t="e">
        <f t="shared" si="209"/>
        <v>#VALUE!</v>
      </c>
      <c r="AK348" s="58" t="str">
        <f t="shared" si="210"/>
        <v/>
      </c>
      <c r="AL348" s="26" t="str">
        <f>IF($A349="","",_xll.SPRDOPT(P348,X348,AI348,0,AB348,AE348,AF348,AK348,$AJ$2,0))</f>
        <v/>
      </c>
      <c r="AM348" s="89" t="str">
        <f t="shared" si="211"/>
        <v/>
      </c>
      <c r="AN348" s="89" t="str">
        <f t="shared" si="212"/>
        <v/>
      </c>
      <c r="AO348" s="3" t="str">
        <f t="shared" si="213"/>
        <v/>
      </c>
      <c r="AP348" s="33" t="str">
        <f t="shared" si="214"/>
        <v/>
      </c>
      <c r="AQ348" s="58" t="str">
        <f t="shared" si="215"/>
        <v/>
      </c>
      <c r="AR348" s="38">
        <f>'ANR OK vs ML7'!AR348</f>
        <v>0.1</v>
      </c>
      <c r="AS348" s="35" t="str">
        <f t="shared" si="216"/>
        <v/>
      </c>
      <c r="AT348" s="3" t="str">
        <f t="shared" si="217"/>
        <v/>
      </c>
      <c r="AU348" s="3" t="str">
        <f t="shared" si="218"/>
        <v/>
      </c>
      <c r="AW348" s="32" t="str">
        <f t="shared" si="219"/>
        <v/>
      </c>
      <c r="AX348" s="32" t="str">
        <f t="shared" si="220"/>
        <v/>
      </c>
      <c r="AY348" s="32" t="str">
        <f t="shared" si="221"/>
        <v/>
      </c>
      <c r="BA348" s="32" t="str">
        <f>IF($A349="","",F348*Summary!$Q$10)</f>
        <v/>
      </c>
    </row>
    <row r="349" spans="1:53" ht="12" customHeight="1">
      <c r="A349" s="67" t="str">
        <f t="shared" si="222"/>
        <v/>
      </c>
      <c r="B349" s="69" t="str">
        <f t="shared" si="224"/>
        <v/>
      </c>
      <c r="C349" s="71"/>
      <c r="D349" s="69" t="str">
        <f t="shared" si="188"/>
        <v/>
      </c>
      <c r="E349" s="70" t="str">
        <f t="shared" si="189"/>
        <v/>
      </c>
      <c r="F349" s="70" t="str">
        <f t="shared" si="190"/>
        <v/>
      </c>
      <c r="G349" s="63" t="str">
        <f t="shared" si="191"/>
        <v/>
      </c>
      <c r="H349" s="64" t="str">
        <f t="shared" si="192"/>
        <v/>
      </c>
      <c r="I349" s="43"/>
      <c r="J349" s="63" t="str">
        <f t="shared" si="193"/>
        <v/>
      </c>
      <c r="K349" s="64" t="str">
        <f t="shared" si="194"/>
        <v/>
      </c>
      <c r="L349" s="38">
        <v>0</v>
      </c>
      <c r="M349" s="64" t="str">
        <f t="shared" si="195"/>
        <v/>
      </c>
      <c r="N349" s="65"/>
      <c r="O349" s="63" t="str">
        <f t="shared" si="196"/>
        <v/>
      </c>
      <c r="P349" s="63" t="str">
        <f t="shared" si="197"/>
        <v/>
      </c>
      <c r="Q349" s="66"/>
      <c r="R349" s="63" t="str">
        <f t="shared" si="198"/>
        <v/>
      </c>
      <c r="S349" s="64" t="str">
        <f t="shared" si="199"/>
        <v/>
      </c>
      <c r="T349" s="63" t="str">
        <f t="shared" si="200"/>
        <v/>
      </c>
      <c r="U349" s="64" t="str">
        <f t="shared" si="201"/>
        <v/>
      </c>
      <c r="V349" s="219" t="str">
        <f>IF($A350="","",IF(AND(MONTH(A349)&gt;3,MONTH(A349)&lt;11),(T349+R349+G349)*Summary!$T$10/(1-Summary!$T$10),(T349+R349+G349)*Summary!$U$10/(1-Summary!$U$10)))</f>
        <v/>
      </c>
      <c r="W349" s="63" t="str">
        <f t="shared" si="202"/>
        <v/>
      </c>
      <c r="X349" s="63" t="str">
        <f t="shared" si="203"/>
        <v/>
      </c>
      <c r="Y349" s="43"/>
      <c r="Z349" s="38" t="str">
        <f t="shared" si="204"/>
        <v/>
      </c>
      <c r="AA349" s="38" t="str">
        <f t="shared" si="205"/>
        <v/>
      </c>
      <c r="AB349" s="38" t="e">
        <f t="shared" si="206"/>
        <v>#VALUE!</v>
      </c>
      <c r="AC349" s="38" t="str">
        <f t="shared" si="207"/>
        <v/>
      </c>
      <c r="AD349" s="38" t="str">
        <f t="shared" si="207"/>
        <v/>
      </c>
      <c r="AE349" s="38" t="e">
        <f t="shared" si="208"/>
        <v>#VALUE!</v>
      </c>
      <c r="AF349" s="237" t="e">
        <f>((Summary!$N$10*(AA349*AD349)*(A349-$D$3))+(Summary!$M$10*Z349*AC349*(AJ349-EOMONTH(EDATE(A349,-1),0))))/(AK349*AB349*AE349)</f>
        <v>#VALUE!</v>
      </c>
      <c r="AG349" s="88" t="str">
        <f>IF($A350="","",Summary!$Q$10)</f>
        <v/>
      </c>
      <c r="AH349" s="88" t="str">
        <f>IF($A350="","",IF(Summary!$R$10="Y",(VLOOKUP($A349,Summary!$AD$6:$AF$9,3)+'Escalating commodity'!F362),'Escalating commodity'!F362))</f>
        <v/>
      </c>
      <c r="AI349" s="88" t="str">
        <f t="shared" si="223"/>
        <v/>
      </c>
      <c r="AJ349" s="236" t="e">
        <f t="shared" si="209"/>
        <v>#VALUE!</v>
      </c>
      <c r="AK349" s="58" t="str">
        <f t="shared" si="210"/>
        <v/>
      </c>
      <c r="AL349" s="26" t="str">
        <f>IF($A350="","",_xll.SPRDOPT(P349,X349,AI349,0,AB349,AE349,AF349,AK349,$AJ$2,0))</f>
        <v/>
      </c>
      <c r="AM349" s="89" t="str">
        <f t="shared" si="211"/>
        <v/>
      </c>
      <c r="AN349" s="89" t="str">
        <f t="shared" si="212"/>
        <v/>
      </c>
      <c r="AO349" s="3" t="str">
        <f t="shared" si="213"/>
        <v/>
      </c>
      <c r="AP349" s="33" t="str">
        <f t="shared" si="214"/>
        <v/>
      </c>
      <c r="AQ349" s="58" t="str">
        <f t="shared" si="215"/>
        <v/>
      </c>
      <c r="AR349" s="38">
        <f>'ANR OK vs ML7'!AR349</f>
        <v>0.1</v>
      </c>
      <c r="AS349" s="35" t="str">
        <f t="shared" si="216"/>
        <v/>
      </c>
      <c r="AT349" s="3" t="str">
        <f t="shared" si="217"/>
        <v/>
      </c>
      <c r="AU349" s="3" t="str">
        <f t="shared" si="218"/>
        <v/>
      </c>
      <c r="AW349" s="32" t="str">
        <f t="shared" si="219"/>
        <v/>
      </c>
      <c r="AX349" s="32" t="str">
        <f t="shared" si="220"/>
        <v/>
      </c>
      <c r="AY349" s="32" t="str">
        <f t="shared" si="221"/>
        <v/>
      </c>
      <c r="BA349" s="32" t="str">
        <f>IF($A350="","",F349*Summary!$Q$10)</f>
        <v/>
      </c>
    </row>
    <row r="350" spans="1:53" ht="12" customHeight="1">
      <c r="A350" s="67" t="str">
        <f t="shared" si="222"/>
        <v/>
      </c>
      <c r="B350" s="69" t="str">
        <f t="shared" si="224"/>
        <v/>
      </c>
      <c r="C350" s="71"/>
      <c r="D350" s="69" t="str">
        <f t="shared" si="188"/>
        <v/>
      </c>
      <c r="E350" s="70" t="str">
        <f t="shared" si="189"/>
        <v/>
      </c>
      <c r="F350" s="70" t="str">
        <f t="shared" si="190"/>
        <v/>
      </c>
      <c r="G350" s="63" t="str">
        <f t="shared" si="191"/>
        <v/>
      </c>
      <c r="H350" s="64" t="str">
        <f t="shared" si="192"/>
        <v/>
      </c>
      <c r="I350" s="43"/>
      <c r="J350" s="63" t="str">
        <f t="shared" si="193"/>
        <v/>
      </c>
      <c r="K350" s="64" t="str">
        <f t="shared" si="194"/>
        <v/>
      </c>
      <c r="L350" s="38">
        <v>0</v>
      </c>
      <c r="M350" s="64" t="str">
        <f t="shared" si="195"/>
        <v/>
      </c>
      <c r="N350" s="65"/>
      <c r="O350" s="63" t="str">
        <f t="shared" si="196"/>
        <v/>
      </c>
      <c r="P350" s="63" t="str">
        <f t="shared" si="197"/>
        <v/>
      </c>
      <c r="Q350" s="66"/>
      <c r="R350" s="63" t="str">
        <f t="shared" si="198"/>
        <v/>
      </c>
      <c r="S350" s="64" t="str">
        <f t="shared" si="199"/>
        <v/>
      </c>
      <c r="T350" s="63" t="str">
        <f t="shared" si="200"/>
        <v/>
      </c>
      <c r="U350" s="64" t="str">
        <f t="shared" si="201"/>
        <v/>
      </c>
      <c r="V350" s="219" t="str">
        <f>IF($A351="","",IF(AND(MONTH(A350)&gt;3,MONTH(A350)&lt;11),(T350+R350+G350)*Summary!$T$10/(1-Summary!$T$10),(T350+R350+G350)*Summary!$U$10/(1-Summary!$U$10)))</f>
        <v/>
      </c>
      <c r="W350" s="63" t="str">
        <f t="shared" si="202"/>
        <v/>
      </c>
      <c r="X350" s="63" t="str">
        <f t="shared" si="203"/>
        <v/>
      </c>
      <c r="Y350" s="43"/>
      <c r="Z350" s="38" t="str">
        <f t="shared" si="204"/>
        <v/>
      </c>
      <c r="AA350" s="38" t="str">
        <f t="shared" si="205"/>
        <v/>
      </c>
      <c r="AB350" s="38" t="e">
        <f t="shared" si="206"/>
        <v>#VALUE!</v>
      </c>
      <c r="AC350" s="38" t="str">
        <f t="shared" si="207"/>
        <v/>
      </c>
      <c r="AD350" s="38" t="str">
        <f t="shared" si="207"/>
        <v/>
      </c>
      <c r="AE350" s="38" t="e">
        <f t="shared" si="208"/>
        <v>#VALUE!</v>
      </c>
      <c r="AF350" s="237" t="e">
        <f>((Summary!$N$10*(AA350*AD350)*(A350-$D$3))+(Summary!$M$10*Z350*AC350*(AJ350-EOMONTH(EDATE(A350,-1),0))))/(AK350*AB350*AE350)</f>
        <v>#VALUE!</v>
      </c>
      <c r="AG350" s="88" t="str">
        <f>IF($A351="","",Summary!$Q$10)</f>
        <v/>
      </c>
      <c r="AH350" s="88" t="str">
        <f>IF($A351="","",IF(Summary!$R$10="Y",(VLOOKUP($A350,Summary!$AD$6:$AF$9,3)+'Escalating commodity'!F363),'Escalating commodity'!F363))</f>
        <v/>
      </c>
      <c r="AI350" s="88" t="str">
        <f t="shared" si="223"/>
        <v/>
      </c>
      <c r="AJ350" s="236" t="e">
        <f t="shared" si="209"/>
        <v>#VALUE!</v>
      </c>
      <c r="AK350" s="58" t="str">
        <f t="shared" si="210"/>
        <v/>
      </c>
      <c r="AL350" s="26" t="str">
        <f>IF($A351="","",_xll.SPRDOPT(P350,X350,AI350,0,AB350,AE350,AF350,AK350,$AJ$2,0))</f>
        <v/>
      </c>
      <c r="AM350" s="89" t="str">
        <f t="shared" si="211"/>
        <v/>
      </c>
      <c r="AN350" s="89" t="str">
        <f t="shared" si="212"/>
        <v/>
      </c>
      <c r="AO350" s="3" t="str">
        <f t="shared" si="213"/>
        <v/>
      </c>
      <c r="AP350" s="33" t="str">
        <f t="shared" si="214"/>
        <v/>
      </c>
      <c r="AQ350" s="58" t="str">
        <f t="shared" si="215"/>
        <v/>
      </c>
      <c r="AR350" s="38">
        <f>'ANR OK vs ML7'!AR350</f>
        <v>0.1</v>
      </c>
      <c r="AS350" s="35" t="str">
        <f t="shared" si="216"/>
        <v/>
      </c>
      <c r="AT350" s="3" t="str">
        <f t="shared" si="217"/>
        <v/>
      </c>
      <c r="AU350" s="3" t="str">
        <f t="shared" si="218"/>
        <v/>
      </c>
      <c r="AW350" s="32" t="str">
        <f t="shared" si="219"/>
        <v/>
      </c>
      <c r="AX350" s="32" t="str">
        <f t="shared" si="220"/>
        <v/>
      </c>
      <c r="AY350" s="32" t="str">
        <f t="shared" si="221"/>
        <v/>
      </c>
      <c r="BA350" s="32" t="str">
        <f>IF($A351="","",F350*Summary!$Q$10)</f>
        <v/>
      </c>
    </row>
    <row r="351" spans="1:53" ht="12" customHeight="1">
      <c r="A351" s="67" t="str">
        <f t="shared" si="222"/>
        <v/>
      </c>
      <c r="B351" s="69" t="str">
        <f t="shared" si="224"/>
        <v/>
      </c>
      <c r="C351" s="71"/>
      <c r="D351" s="69" t="str">
        <f t="shared" si="188"/>
        <v/>
      </c>
      <c r="E351" s="70" t="str">
        <f t="shared" si="189"/>
        <v/>
      </c>
      <c r="F351" s="70" t="str">
        <f t="shared" si="190"/>
        <v/>
      </c>
      <c r="G351" s="63" t="str">
        <f t="shared" si="191"/>
        <v/>
      </c>
      <c r="H351" s="64" t="str">
        <f t="shared" si="192"/>
        <v/>
      </c>
      <c r="I351" s="43"/>
      <c r="J351" s="63" t="str">
        <f t="shared" si="193"/>
        <v/>
      </c>
      <c r="K351" s="64" t="str">
        <f t="shared" si="194"/>
        <v/>
      </c>
      <c r="L351" s="38">
        <v>0</v>
      </c>
      <c r="M351" s="64" t="str">
        <f t="shared" si="195"/>
        <v/>
      </c>
      <c r="N351" s="65"/>
      <c r="O351" s="63" t="str">
        <f t="shared" si="196"/>
        <v/>
      </c>
      <c r="P351" s="63" t="str">
        <f t="shared" si="197"/>
        <v/>
      </c>
      <c r="Q351" s="66"/>
      <c r="R351" s="63" t="str">
        <f t="shared" si="198"/>
        <v/>
      </c>
      <c r="S351" s="64" t="str">
        <f t="shared" si="199"/>
        <v/>
      </c>
      <c r="T351" s="63" t="str">
        <f t="shared" si="200"/>
        <v/>
      </c>
      <c r="U351" s="64" t="str">
        <f t="shared" si="201"/>
        <v/>
      </c>
      <c r="V351" s="219" t="str">
        <f>IF($A352="","",IF(AND(MONTH(A351)&gt;3,MONTH(A351)&lt;11),(T351+R351+G351)*Summary!$T$10/(1-Summary!$T$10),(T351+R351+G351)*Summary!$U$10/(1-Summary!$U$10)))</f>
        <v/>
      </c>
      <c r="W351" s="63" t="str">
        <f t="shared" si="202"/>
        <v/>
      </c>
      <c r="X351" s="63" t="str">
        <f t="shared" si="203"/>
        <v/>
      </c>
      <c r="Y351" s="43"/>
      <c r="Z351" s="38" t="str">
        <f t="shared" si="204"/>
        <v/>
      </c>
      <c r="AA351" s="38" t="str">
        <f t="shared" si="205"/>
        <v/>
      </c>
      <c r="AB351" s="38" t="e">
        <f t="shared" si="206"/>
        <v>#VALUE!</v>
      </c>
      <c r="AC351" s="38" t="str">
        <f t="shared" si="207"/>
        <v/>
      </c>
      <c r="AD351" s="38" t="str">
        <f t="shared" si="207"/>
        <v/>
      </c>
      <c r="AE351" s="38" t="e">
        <f t="shared" si="208"/>
        <v>#VALUE!</v>
      </c>
      <c r="AF351" s="237" t="e">
        <f>((Summary!$N$10*(AA351*AD351)*(A351-$D$3))+(Summary!$M$10*Z351*AC351*(AJ351-EOMONTH(EDATE(A351,-1),0))))/(AK351*AB351*AE351)</f>
        <v>#VALUE!</v>
      </c>
      <c r="AG351" s="88" t="str">
        <f>IF($A352="","",Summary!$Q$10)</f>
        <v/>
      </c>
      <c r="AH351" s="88" t="str">
        <f>IF($A352="","",IF(Summary!$R$10="Y",(VLOOKUP($A351,Summary!$AD$6:$AF$9,3)+'Escalating commodity'!F364),'Escalating commodity'!F364))</f>
        <v/>
      </c>
      <c r="AI351" s="88" t="str">
        <f t="shared" si="223"/>
        <v/>
      </c>
      <c r="AJ351" s="236" t="e">
        <f t="shared" si="209"/>
        <v>#VALUE!</v>
      </c>
      <c r="AK351" s="58" t="str">
        <f t="shared" si="210"/>
        <v/>
      </c>
      <c r="AL351" s="26" t="str">
        <f>IF($A352="","",_xll.SPRDOPT(P351,X351,AI351,0,AB351,AE351,AF351,AK351,$AJ$2,0))</f>
        <v/>
      </c>
      <c r="AM351" s="89" t="str">
        <f t="shared" si="211"/>
        <v/>
      </c>
      <c r="AN351" s="89" t="str">
        <f t="shared" si="212"/>
        <v/>
      </c>
      <c r="AO351" s="3" t="str">
        <f t="shared" si="213"/>
        <v/>
      </c>
      <c r="AP351" s="33" t="str">
        <f t="shared" si="214"/>
        <v/>
      </c>
      <c r="AQ351" s="58" t="str">
        <f t="shared" si="215"/>
        <v/>
      </c>
      <c r="AR351" s="38">
        <f>'ANR OK vs ML7'!AR351</f>
        <v>0.1</v>
      </c>
      <c r="AS351" s="35" t="str">
        <f t="shared" si="216"/>
        <v/>
      </c>
      <c r="AT351" s="3" t="str">
        <f t="shared" si="217"/>
        <v/>
      </c>
      <c r="AU351" s="3" t="str">
        <f t="shared" si="218"/>
        <v/>
      </c>
      <c r="AW351" s="32" t="str">
        <f t="shared" si="219"/>
        <v/>
      </c>
      <c r="AX351" s="32" t="str">
        <f t="shared" si="220"/>
        <v/>
      </c>
      <c r="AY351" s="32" t="str">
        <f t="shared" si="221"/>
        <v/>
      </c>
      <c r="BA351" s="32" t="str">
        <f>IF($A352="","",F351*Summary!$Q$10)</f>
        <v/>
      </c>
    </row>
    <row r="352" spans="1:53" ht="12" customHeight="1">
      <c r="A352" s="67" t="str">
        <f t="shared" si="222"/>
        <v/>
      </c>
      <c r="B352" s="69" t="str">
        <f t="shared" si="224"/>
        <v/>
      </c>
      <c r="C352" s="71"/>
      <c r="D352" s="69" t="str">
        <f t="shared" si="188"/>
        <v/>
      </c>
      <c r="E352" s="70" t="str">
        <f t="shared" si="189"/>
        <v/>
      </c>
      <c r="F352" s="70" t="str">
        <f t="shared" si="190"/>
        <v/>
      </c>
      <c r="G352" s="63" t="str">
        <f t="shared" si="191"/>
        <v/>
      </c>
      <c r="H352" s="64" t="str">
        <f t="shared" si="192"/>
        <v/>
      </c>
      <c r="I352" s="43"/>
      <c r="J352" s="63" t="str">
        <f t="shared" si="193"/>
        <v/>
      </c>
      <c r="K352" s="64" t="str">
        <f t="shared" si="194"/>
        <v/>
      </c>
      <c r="L352" s="38">
        <v>0</v>
      </c>
      <c r="M352" s="64" t="str">
        <f t="shared" si="195"/>
        <v/>
      </c>
      <c r="N352" s="65"/>
      <c r="O352" s="63" t="str">
        <f t="shared" si="196"/>
        <v/>
      </c>
      <c r="P352" s="63" t="str">
        <f t="shared" si="197"/>
        <v/>
      </c>
      <c r="Q352" s="66"/>
      <c r="R352" s="63" t="str">
        <f t="shared" si="198"/>
        <v/>
      </c>
      <c r="S352" s="64" t="str">
        <f t="shared" si="199"/>
        <v/>
      </c>
      <c r="T352" s="63" t="str">
        <f t="shared" si="200"/>
        <v/>
      </c>
      <c r="U352" s="64" t="str">
        <f t="shared" si="201"/>
        <v/>
      </c>
      <c r="V352" s="219" t="str">
        <f>IF($A353="","",IF(AND(MONTH(A352)&gt;3,MONTH(A352)&lt;11),(T352+R352+G352)*Summary!$T$10/(1-Summary!$T$10),(T352+R352+G352)*Summary!$U$10/(1-Summary!$U$10)))</f>
        <v/>
      </c>
      <c r="W352" s="63" t="str">
        <f t="shared" si="202"/>
        <v/>
      </c>
      <c r="X352" s="63" t="str">
        <f t="shared" si="203"/>
        <v/>
      </c>
      <c r="Y352" s="43"/>
      <c r="Z352" s="38" t="str">
        <f t="shared" si="204"/>
        <v/>
      </c>
      <c r="AA352" s="38" t="str">
        <f t="shared" si="205"/>
        <v/>
      </c>
      <c r="AB352" s="38" t="e">
        <f t="shared" si="206"/>
        <v>#VALUE!</v>
      </c>
      <c r="AC352" s="38" t="str">
        <f t="shared" si="207"/>
        <v/>
      </c>
      <c r="AD352" s="38" t="str">
        <f t="shared" si="207"/>
        <v/>
      </c>
      <c r="AE352" s="38" t="e">
        <f t="shared" si="208"/>
        <v>#VALUE!</v>
      </c>
      <c r="AF352" s="237" t="e">
        <f>((Summary!$N$10*(AA352*AD352)*(A352-$D$3))+(Summary!$M$10*Z352*AC352*(AJ352-EOMONTH(EDATE(A352,-1),0))))/(AK352*AB352*AE352)</f>
        <v>#VALUE!</v>
      </c>
      <c r="AG352" s="88" t="str">
        <f>IF($A353="","",Summary!$Q$10)</f>
        <v/>
      </c>
      <c r="AH352" s="88" t="str">
        <f>IF($A353="","",IF(Summary!$R$10="Y",(VLOOKUP($A352,Summary!$AD$6:$AF$9,3)+'Escalating commodity'!F365),'Escalating commodity'!F365))</f>
        <v/>
      </c>
      <c r="AI352" s="88" t="str">
        <f t="shared" si="223"/>
        <v/>
      </c>
      <c r="AJ352" s="236" t="e">
        <f t="shared" si="209"/>
        <v>#VALUE!</v>
      </c>
      <c r="AK352" s="58" t="str">
        <f t="shared" si="210"/>
        <v/>
      </c>
      <c r="AL352" s="26" t="str">
        <f>IF($A353="","",_xll.SPRDOPT(P352,X352,AI352,0,AB352,AE352,AF352,AK352,$AJ$2,0))</f>
        <v/>
      </c>
      <c r="AM352" s="89" t="str">
        <f t="shared" si="211"/>
        <v/>
      </c>
      <c r="AN352" s="89" t="str">
        <f t="shared" si="212"/>
        <v/>
      </c>
      <c r="AO352" s="3" t="str">
        <f t="shared" si="213"/>
        <v/>
      </c>
      <c r="AP352" s="33" t="str">
        <f t="shared" si="214"/>
        <v/>
      </c>
      <c r="AQ352" s="58" t="str">
        <f t="shared" si="215"/>
        <v/>
      </c>
      <c r="AR352" s="38">
        <f>'ANR OK vs ML7'!AR352</f>
        <v>0.1</v>
      </c>
      <c r="AS352" s="35" t="str">
        <f t="shared" si="216"/>
        <v/>
      </c>
      <c r="AT352" s="3" t="str">
        <f t="shared" si="217"/>
        <v/>
      </c>
      <c r="AU352" s="3" t="str">
        <f t="shared" si="218"/>
        <v/>
      </c>
      <c r="AW352" s="32" t="str">
        <f t="shared" si="219"/>
        <v/>
      </c>
      <c r="AX352" s="32" t="str">
        <f t="shared" si="220"/>
        <v/>
      </c>
      <c r="AY352" s="32" t="str">
        <f t="shared" si="221"/>
        <v/>
      </c>
      <c r="BA352" s="32" t="str">
        <f>IF($A353="","",F352*Summary!$Q$10)</f>
        <v/>
      </c>
    </row>
    <row r="353" spans="1:53" ht="12" customHeight="1">
      <c r="A353" s="67" t="str">
        <f t="shared" si="222"/>
        <v/>
      </c>
      <c r="B353" s="69" t="str">
        <f t="shared" si="224"/>
        <v/>
      </c>
      <c r="C353" s="71"/>
      <c r="D353" s="69" t="str">
        <f t="shared" si="188"/>
        <v/>
      </c>
      <c r="E353" s="70" t="str">
        <f t="shared" si="189"/>
        <v/>
      </c>
      <c r="F353" s="70" t="str">
        <f t="shared" si="190"/>
        <v/>
      </c>
      <c r="G353" s="63" t="str">
        <f t="shared" si="191"/>
        <v/>
      </c>
      <c r="H353" s="64" t="str">
        <f t="shared" si="192"/>
        <v/>
      </c>
      <c r="I353" s="43"/>
      <c r="J353" s="63" t="str">
        <f t="shared" si="193"/>
        <v/>
      </c>
      <c r="K353" s="64" t="str">
        <f t="shared" si="194"/>
        <v/>
      </c>
      <c r="L353" s="38">
        <v>0</v>
      </c>
      <c r="M353" s="64" t="str">
        <f t="shared" si="195"/>
        <v/>
      </c>
      <c r="N353" s="65"/>
      <c r="O353" s="63" t="str">
        <f t="shared" si="196"/>
        <v/>
      </c>
      <c r="P353" s="63" t="str">
        <f t="shared" si="197"/>
        <v/>
      </c>
      <c r="Q353" s="66"/>
      <c r="R353" s="63" t="str">
        <f t="shared" si="198"/>
        <v/>
      </c>
      <c r="S353" s="64" t="str">
        <f t="shared" si="199"/>
        <v/>
      </c>
      <c r="T353" s="63" t="str">
        <f t="shared" si="200"/>
        <v/>
      </c>
      <c r="U353" s="64" t="str">
        <f t="shared" si="201"/>
        <v/>
      </c>
      <c r="V353" s="219" t="str">
        <f>IF($A354="","",IF(AND(MONTH(A353)&gt;3,MONTH(A353)&lt;11),(T353+R353+G353)*Summary!$T$10/(1-Summary!$T$10),(T353+R353+G353)*Summary!$U$10/(1-Summary!$U$10)))</f>
        <v/>
      </c>
      <c r="W353" s="63" t="str">
        <f t="shared" si="202"/>
        <v/>
      </c>
      <c r="X353" s="63" t="str">
        <f t="shared" si="203"/>
        <v/>
      </c>
      <c r="Y353" s="43"/>
      <c r="Z353" s="38" t="str">
        <f t="shared" si="204"/>
        <v/>
      </c>
      <c r="AA353" s="38" t="str">
        <f t="shared" si="205"/>
        <v/>
      </c>
      <c r="AB353" s="38" t="e">
        <f t="shared" si="206"/>
        <v>#VALUE!</v>
      </c>
      <c r="AC353" s="38" t="str">
        <f t="shared" si="207"/>
        <v/>
      </c>
      <c r="AD353" s="38" t="str">
        <f t="shared" si="207"/>
        <v/>
      </c>
      <c r="AE353" s="38" t="e">
        <f t="shared" si="208"/>
        <v>#VALUE!</v>
      </c>
      <c r="AF353" s="237" t="e">
        <f>((Summary!$N$10*(AA353*AD353)*(A353-$D$3))+(Summary!$M$10*Z353*AC353*(AJ353-EOMONTH(EDATE(A353,-1),0))))/(AK353*AB353*AE353)</f>
        <v>#VALUE!</v>
      </c>
      <c r="AG353" s="88" t="str">
        <f>IF($A354="","",Summary!$Q$10)</f>
        <v/>
      </c>
      <c r="AH353" s="88" t="str">
        <f>IF($A354="","",IF(Summary!$R$10="Y",(VLOOKUP($A353,Summary!$AD$6:$AF$9,3)+'Escalating commodity'!F366),'Escalating commodity'!F366))</f>
        <v/>
      </c>
      <c r="AI353" s="88" t="str">
        <f t="shared" si="223"/>
        <v/>
      </c>
      <c r="AJ353" s="236" t="e">
        <f t="shared" si="209"/>
        <v>#VALUE!</v>
      </c>
      <c r="AK353" s="58" t="str">
        <f t="shared" si="210"/>
        <v/>
      </c>
      <c r="AL353" s="26" t="str">
        <f>IF($A354="","",_xll.SPRDOPT(P353,X353,AI353,0,AB353,AE353,AF353,AK353,$AJ$2,0))</f>
        <v/>
      </c>
      <c r="AM353" s="89" t="str">
        <f t="shared" si="211"/>
        <v/>
      </c>
      <c r="AN353" s="89" t="str">
        <f t="shared" si="212"/>
        <v/>
      </c>
      <c r="AO353" s="3" t="str">
        <f t="shared" si="213"/>
        <v/>
      </c>
      <c r="AP353" s="33" t="str">
        <f t="shared" si="214"/>
        <v/>
      </c>
      <c r="AQ353" s="58" t="str">
        <f t="shared" si="215"/>
        <v/>
      </c>
      <c r="AR353" s="38">
        <f>'ANR OK vs ML7'!AR353</f>
        <v>0.1</v>
      </c>
      <c r="AS353" s="35" t="str">
        <f t="shared" si="216"/>
        <v/>
      </c>
      <c r="AT353" s="3" t="str">
        <f t="shared" si="217"/>
        <v/>
      </c>
      <c r="AU353" s="3" t="str">
        <f t="shared" si="218"/>
        <v/>
      </c>
      <c r="AW353" s="32" t="str">
        <f t="shared" si="219"/>
        <v/>
      </c>
      <c r="AX353" s="32" t="str">
        <f t="shared" si="220"/>
        <v/>
      </c>
      <c r="AY353" s="32" t="str">
        <f t="shared" si="221"/>
        <v/>
      </c>
      <c r="BA353" s="32" t="str">
        <f>IF($A354="","",F353*Summary!$Q$10)</f>
        <v/>
      </c>
    </row>
    <row r="354" spans="1:53" ht="12" customHeight="1">
      <c r="A354" s="67" t="str">
        <f t="shared" si="222"/>
        <v/>
      </c>
      <c r="B354" s="69" t="str">
        <f t="shared" si="224"/>
        <v/>
      </c>
      <c r="C354" s="71"/>
      <c r="D354" s="69" t="str">
        <f t="shared" si="188"/>
        <v/>
      </c>
      <c r="E354" s="70" t="str">
        <f t="shared" si="189"/>
        <v/>
      </c>
      <c r="F354" s="70" t="str">
        <f t="shared" si="190"/>
        <v/>
      </c>
      <c r="G354" s="63" t="str">
        <f t="shared" si="191"/>
        <v/>
      </c>
      <c r="H354" s="64" t="str">
        <f t="shared" si="192"/>
        <v/>
      </c>
      <c r="I354" s="43"/>
      <c r="J354" s="63" t="str">
        <f t="shared" si="193"/>
        <v/>
      </c>
      <c r="K354" s="64" t="str">
        <f t="shared" si="194"/>
        <v/>
      </c>
      <c r="L354" s="38">
        <v>0</v>
      </c>
      <c r="M354" s="64" t="str">
        <f t="shared" si="195"/>
        <v/>
      </c>
      <c r="N354" s="65"/>
      <c r="O354" s="63" t="str">
        <f t="shared" si="196"/>
        <v/>
      </c>
      <c r="P354" s="63" t="str">
        <f t="shared" si="197"/>
        <v/>
      </c>
      <c r="Q354" s="66"/>
      <c r="R354" s="63" t="str">
        <f t="shared" si="198"/>
        <v/>
      </c>
      <c r="S354" s="64" t="str">
        <f t="shared" si="199"/>
        <v/>
      </c>
      <c r="T354" s="63" t="str">
        <f t="shared" si="200"/>
        <v/>
      </c>
      <c r="U354" s="64" t="str">
        <f t="shared" si="201"/>
        <v/>
      </c>
      <c r="V354" s="219" t="str">
        <f>IF($A355="","",IF(AND(MONTH(A354)&gt;3,MONTH(A354)&lt;11),(T354+R354+G354)*Summary!$T$10/(1-Summary!$T$10),(T354+R354+G354)*Summary!$U$10/(1-Summary!$U$10)))</f>
        <v/>
      </c>
      <c r="W354" s="63" t="str">
        <f t="shared" si="202"/>
        <v/>
      </c>
      <c r="X354" s="63" t="str">
        <f t="shared" si="203"/>
        <v/>
      </c>
      <c r="Y354" s="43"/>
      <c r="Z354" s="38" t="str">
        <f t="shared" si="204"/>
        <v/>
      </c>
      <c r="AA354" s="38" t="str">
        <f t="shared" si="205"/>
        <v/>
      </c>
      <c r="AB354" s="38" t="e">
        <f t="shared" si="206"/>
        <v>#VALUE!</v>
      </c>
      <c r="AC354" s="38" t="str">
        <f t="shared" si="207"/>
        <v/>
      </c>
      <c r="AD354" s="38" t="str">
        <f t="shared" si="207"/>
        <v/>
      </c>
      <c r="AE354" s="38" t="e">
        <f t="shared" si="208"/>
        <v>#VALUE!</v>
      </c>
      <c r="AF354" s="237" t="e">
        <f>((Summary!$N$10*(AA354*AD354)*(A354-$D$3))+(Summary!$M$10*Z354*AC354*(AJ354-EOMONTH(EDATE(A354,-1),0))))/(AK354*AB354*AE354)</f>
        <v>#VALUE!</v>
      </c>
      <c r="AG354" s="88" t="str">
        <f>IF($A355="","",Summary!$Q$10)</f>
        <v/>
      </c>
      <c r="AH354" s="88" t="str">
        <f>IF($A355="","",IF(Summary!$R$10="Y",(VLOOKUP($A354,Summary!$AD$6:$AF$9,3)+'Escalating commodity'!F367),'Escalating commodity'!F367))</f>
        <v/>
      </c>
      <c r="AI354" s="88" t="str">
        <f t="shared" si="223"/>
        <v/>
      </c>
      <c r="AJ354" s="236" t="e">
        <f t="shared" si="209"/>
        <v>#VALUE!</v>
      </c>
      <c r="AK354" s="58" t="str">
        <f t="shared" si="210"/>
        <v/>
      </c>
      <c r="AL354" s="26" t="str">
        <f>IF($A355="","",_xll.SPRDOPT(P354,X354,AI354,0,AB354,AE354,AF354,AK354,$AJ$2,0))</f>
        <v/>
      </c>
      <c r="AM354" s="89" t="str">
        <f t="shared" si="211"/>
        <v/>
      </c>
      <c r="AN354" s="89" t="str">
        <f t="shared" si="212"/>
        <v/>
      </c>
      <c r="AO354" s="3" t="str">
        <f t="shared" si="213"/>
        <v/>
      </c>
      <c r="AP354" s="33" t="str">
        <f t="shared" si="214"/>
        <v/>
      </c>
      <c r="AQ354" s="58" t="str">
        <f t="shared" si="215"/>
        <v/>
      </c>
      <c r="AR354" s="38">
        <f>'ANR OK vs ML7'!AR354</f>
        <v>0.1</v>
      </c>
      <c r="AS354" s="35" t="str">
        <f t="shared" si="216"/>
        <v/>
      </c>
      <c r="AT354" s="3" t="str">
        <f t="shared" si="217"/>
        <v/>
      </c>
      <c r="AU354" s="3" t="str">
        <f t="shared" si="218"/>
        <v/>
      </c>
      <c r="AW354" s="32" t="str">
        <f t="shared" si="219"/>
        <v/>
      </c>
      <c r="AX354" s="32" t="str">
        <f t="shared" si="220"/>
        <v/>
      </c>
      <c r="AY354" s="32" t="str">
        <f t="shared" si="221"/>
        <v/>
      </c>
      <c r="BA354" s="32" t="str">
        <f>IF($A355="","",F354*Summary!$Q$10)</f>
        <v/>
      </c>
    </row>
    <row r="355" spans="1:53" ht="12" customHeight="1">
      <c r="A355" s="67" t="str">
        <f t="shared" si="222"/>
        <v/>
      </c>
      <c r="B355" s="69" t="str">
        <f t="shared" si="224"/>
        <v/>
      </c>
      <c r="C355" s="71"/>
      <c r="D355" s="69" t="str">
        <f t="shared" si="188"/>
        <v/>
      </c>
      <c r="E355" s="70" t="str">
        <f t="shared" si="189"/>
        <v/>
      </c>
      <c r="F355" s="70" t="str">
        <f t="shared" si="190"/>
        <v/>
      </c>
      <c r="G355" s="63" t="str">
        <f t="shared" si="191"/>
        <v/>
      </c>
      <c r="H355" s="64" t="str">
        <f t="shared" si="192"/>
        <v/>
      </c>
      <c r="I355" s="43"/>
      <c r="J355" s="63" t="str">
        <f t="shared" si="193"/>
        <v/>
      </c>
      <c r="K355" s="64" t="str">
        <f t="shared" si="194"/>
        <v/>
      </c>
      <c r="L355" s="38">
        <v>0</v>
      </c>
      <c r="M355" s="64" t="str">
        <f t="shared" si="195"/>
        <v/>
      </c>
      <c r="N355" s="65"/>
      <c r="O355" s="63" t="str">
        <f t="shared" si="196"/>
        <v/>
      </c>
      <c r="P355" s="63" t="str">
        <f t="shared" si="197"/>
        <v/>
      </c>
      <c r="Q355" s="66"/>
      <c r="R355" s="63" t="str">
        <f t="shared" si="198"/>
        <v/>
      </c>
      <c r="S355" s="64" t="str">
        <f t="shared" si="199"/>
        <v/>
      </c>
      <c r="T355" s="63" t="str">
        <f t="shared" si="200"/>
        <v/>
      </c>
      <c r="U355" s="64" t="str">
        <f t="shared" si="201"/>
        <v/>
      </c>
      <c r="V355" s="219" t="str">
        <f>IF($A356="","",IF(AND(MONTH(A355)&gt;3,MONTH(A355)&lt;11),(T355+R355+G355)*Summary!$T$10/(1-Summary!$T$10),(T355+R355+G355)*Summary!$U$10/(1-Summary!$U$10)))</f>
        <v/>
      </c>
      <c r="W355" s="63" t="str">
        <f t="shared" si="202"/>
        <v/>
      </c>
      <c r="X355" s="63" t="str">
        <f t="shared" si="203"/>
        <v/>
      </c>
      <c r="Y355" s="43"/>
      <c r="Z355" s="38" t="str">
        <f t="shared" si="204"/>
        <v/>
      </c>
      <c r="AA355" s="38" t="str">
        <f t="shared" si="205"/>
        <v/>
      </c>
      <c r="AB355" s="38" t="e">
        <f t="shared" si="206"/>
        <v>#VALUE!</v>
      </c>
      <c r="AC355" s="38" t="str">
        <f t="shared" si="207"/>
        <v/>
      </c>
      <c r="AD355" s="38" t="str">
        <f t="shared" si="207"/>
        <v/>
      </c>
      <c r="AE355" s="38" t="e">
        <f t="shared" si="208"/>
        <v>#VALUE!</v>
      </c>
      <c r="AF355" s="237" t="e">
        <f>((Summary!$N$10*(AA355*AD355)*(A355-$D$3))+(Summary!$M$10*Z355*AC355*(AJ355-EOMONTH(EDATE(A355,-1),0))))/(AK355*AB355*AE355)</f>
        <v>#VALUE!</v>
      </c>
      <c r="AG355" s="88" t="str">
        <f>IF($A356="","",Summary!$Q$10)</f>
        <v/>
      </c>
      <c r="AH355" s="88" t="str">
        <f>IF($A356="","",IF(Summary!$R$10="Y",(VLOOKUP($A355,Summary!$AD$6:$AF$9,3)+'Escalating commodity'!F368),'Escalating commodity'!F368))</f>
        <v/>
      </c>
      <c r="AI355" s="88" t="str">
        <f t="shared" si="223"/>
        <v/>
      </c>
      <c r="AJ355" s="236" t="e">
        <f t="shared" si="209"/>
        <v>#VALUE!</v>
      </c>
      <c r="AK355" s="58" t="str">
        <f t="shared" si="210"/>
        <v/>
      </c>
      <c r="AL355" s="26" t="str">
        <f>IF($A356="","",_xll.SPRDOPT(P355,X355,AI355,0,AB355,AE355,AF355,AK355,$AJ$2,0))</f>
        <v/>
      </c>
      <c r="AM355" s="89" t="str">
        <f t="shared" si="211"/>
        <v/>
      </c>
      <c r="AN355" s="89" t="str">
        <f t="shared" si="212"/>
        <v/>
      </c>
      <c r="AO355" s="3" t="str">
        <f t="shared" si="213"/>
        <v/>
      </c>
      <c r="AP355" s="33" t="str">
        <f t="shared" si="214"/>
        <v/>
      </c>
      <c r="AQ355" s="58" t="str">
        <f t="shared" si="215"/>
        <v/>
      </c>
      <c r="AR355" s="38">
        <f>'ANR OK vs ML7'!AR355</f>
        <v>0.1</v>
      </c>
      <c r="AS355" s="35" t="str">
        <f t="shared" si="216"/>
        <v/>
      </c>
      <c r="AT355" s="3" t="str">
        <f t="shared" si="217"/>
        <v/>
      </c>
      <c r="AU355" s="3" t="str">
        <f t="shared" si="218"/>
        <v/>
      </c>
      <c r="AW355" s="32" t="str">
        <f t="shared" si="219"/>
        <v/>
      </c>
      <c r="AX355" s="32" t="str">
        <f t="shared" si="220"/>
        <v/>
      </c>
      <c r="AY355" s="32" t="str">
        <f t="shared" si="221"/>
        <v/>
      </c>
      <c r="BA355" s="32" t="str">
        <f>IF($A356="","",F355*Summary!$Q$10)</f>
        <v/>
      </c>
    </row>
    <row r="356" spans="1:53" ht="12" customHeight="1">
      <c r="A356" s="67" t="str">
        <f t="shared" si="222"/>
        <v/>
      </c>
      <c r="B356" s="69" t="str">
        <f t="shared" si="224"/>
        <v/>
      </c>
      <c r="C356" s="71"/>
      <c r="D356" s="69" t="str">
        <f t="shared" si="188"/>
        <v/>
      </c>
      <c r="E356" s="70" t="str">
        <f t="shared" si="189"/>
        <v/>
      </c>
      <c r="F356" s="70" t="str">
        <f t="shared" si="190"/>
        <v/>
      </c>
      <c r="G356" s="63" t="str">
        <f t="shared" si="191"/>
        <v/>
      </c>
      <c r="H356" s="64" t="str">
        <f t="shared" si="192"/>
        <v/>
      </c>
      <c r="I356" s="43"/>
      <c r="J356" s="63" t="str">
        <f t="shared" si="193"/>
        <v/>
      </c>
      <c r="K356" s="64" t="str">
        <f t="shared" si="194"/>
        <v/>
      </c>
      <c r="L356" s="38">
        <v>0</v>
      </c>
      <c r="M356" s="64" t="str">
        <f t="shared" si="195"/>
        <v/>
      </c>
      <c r="N356" s="65"/>
      <c r="O356" s="63" t="str">
        <f t="shared" si="196"/>
        <v/>
      </c>
      <c r="P356" s="63" t="str">
        <f t="shared" si="197"/>
        <v/>
      </c>
      <c r="Q356" s="66"/>
      <c r="R356" s="63" t="str">
        <f t="shared" si="198"/>
        <v/>
      </c>
      <c r="S356" s="64" t="str">
        <f t="shared" si="199"/>
        <v/>
      </c>
      <c r="T356" s="63" t="str">
        <f t="shared" si="200"/>
        <v/>
      </c>
      <c r="U356" s="64" t="str">
        <f t="shared" si="201"/>
        <v/>
      </c>
      <c r="V356" s="219" t="str">
        <f>IF($A357="","",IF(AND(MONTH(A356)&gt;3,MONTH(A356)&lt;11),(T356+R356+G356)*Summary!$T$10/(1-Summary!$T$10),(T356+R356+G356)*Summary!$U$10/(1-Summary!$U$10)))</f>
        <v/>
      </c>
      <c r="W356" s="63" t="str">
        <f t="shared" si="202"/>
        <v/>
      </c>
      <c r="X356" s="63" t="str">
        <f t="shared" si="203"/>
        <v/>
      </c>
      <c r="Y356" s="43"/>
      <c r="Z356" s="38" t="str">
        <f t="shared" si="204"/>
        <v/>
      </c>
      <c r="AA356" s="38" t="str">
        <f t="shared" si="205"/>
        <v/>
      </c>
      <c r="AB356" s="38" t="e">
        <f t="shared" si="206"/>
        <v>#VALUE!</v>
      </c>
      <c r="AC356" s="38" t="str">
        <f t="shared" si="207"/>
        <v/>
      </c>
      <c r="AD356" s="38" t="str">
        <f t="shared" si="207"/>
        <v/>
      </c>
      <c r="AE356" s="38" t="e">
        <f t="shared" si="208"/>
        <v>#VALUE!</v>
      </c>
      <c r="AF356" s="237" t="e">
        <f>((Summary!$N$10*(AA356*AD356)*(A356-$D$3))+(Summary!$M$10*Z356*AC356*(AJ356-EOMONTH(EDATE(A356,-1),0))))/(AK356*AB356*AE356)</f>
        <v>#VALUE!</v>
      </c>
      <c r="AG356" s="88" t="str">
        <f>IF($A357="","",Summary!$Q$10)</f>
        <v/>
      </c>
      <c r="AH356" s="88" t="str">
        <f>IF($A357="","",IF(Summary!$R$10="Y",(VLOOKUP($A356,Summary!$AD$6:$AF$9,3)+'Escalating commodity'!F369),'Escalating commodity'!F369))</f>
        <v/>
      </c>
      <c r="AI356" s="88" t="str">
        <f t="shared" si="223"/>
        <v/>
      </c>
      <c r="AJ356" s="236" t="e">
        <f t="shared" si="209"/>
        <v>#VALUE!</v>
      </c>
      <c r="AK356" s="58" t="str">
        <f t="shared" si="210"/>
        <v/>
      </c>
      <c r="AL356" s="26" t="str">
        <f>IF($A357="","",_xll.SPRDOPT(P356,X356,AI356,0,AB356,AE356,AF356,AK356,$AJ$2,0))</f>
        <v/>
      </c>
      <c r="AM356" s="89" t="str">
        <f t="shared" si="211"/>
        <v/>
      </c>
      <c r="AN356" s="89" t="str">
        <f t="shared" si="212"/>
        <v/>
      </c>
      <c r="AO356" s="3" t="str">
        <f t="shared" si="213"/>
        <v/>
      </c>
      <c r="AP356" s="33" t="str">
        <f t="shared" si="214"/>
        <v/>
      </c>
      <c r="AQ356" s="58" t="str">
        <f t="shared" si="215"/>
        <v/>
      </c>
      <c r="AR356" s="38">
        <f>'ANR OK vs ML7'!AR356</f>
        <v>0.1</v>
      </c>
      <c r="AS356" s="35" t="str">
        <f t="shared" si="216"/>
        <v/>
      </c>
      <c r="AT356" s="3" t="str">
        <f t="shared" si="217"/>
        <v/>
      </c>
      <c r="AU356" s="3" t="str">
        <f t="shared" si="218"/>
        <v/>
      </c>
      <c r="AW356" s="32" t="str">
        <f t="shared" si="219"/>
        <v/>
      </c>
      <c r="AX356" s="32" t="str">
        <f t="shared" si="220"/>
        <v/>
      </c>
      <c r="AY356" s="32" t="str">
        <f t="shared" si="221"/>
        <v/>
      </c>
      <c r="BA356" s="32" t="str">
        <f>IF($A357="","",F356*Summary!$Q$10)</f>
        <v/>
      </c>
    </row>
    <row r="357" spans="1:53" ht="12" customHeight="1">
      <c r="A357" s="67" t="str">
        <f t="shared" si="222"/>
        <v/>
      </c>
      <c r="B357" s="69" t="str">
        <f t="shared" si="224"/>
        <v/>
      </c>
      <c r="C357" s="71"/>
      <c r="D357" s="69" t="str">
        <f t="shared" si="188"/>
        <v/>
      </c>
      <c r="E357" s="70" t="str">
        <f t="shared" si="189"/>
        <v/>
      </c>
      <c r="F357" s="70" t="str">
        <f t="shared" si="190"/>
        <v/>
      </c>
      <c r="G357" s="63" t="str">
        <f t="shared" si="191"/>
        <v/>
      </c>
      <c r="H357" s="64" t="str">
        <f t="shared" si="192"/>
        <v/>
      </c>
      <c r="I357" s="43"/>
      <c r="J357" s="63" t="str">
        <f t="shared" si="193"/>
        <v/>
      </c>
      <c r="K357" s="64" t="str">
        <f t="shared" si="194"/>
        <v/>
      </c>
      <c r="L357" s="38">
        <v>0</v>
      </c>
      <c r="M357" s="64" t="str">
        <f t="shared" si="195"/>
        <v/>
      </c>
      <c r="N357" s="65"/>
      <c r="O357" s="63" t="str">
        <f t="shared" si="196"/>
        <v/>
      </c>
      <c r="P357" s="63" t="str">
        <f t="shared" si="197"/>
        <v/>
      </c>
      <c r="Q357" s="66"/>
      <c r="R357" s="63" t="str">
        <f t="shared" si="198"/>
        <v/>
      </c>
      <c r="S357" s="64" t="str">
        <f t="shared" si="199"/>
        <v/>
      </c>
      <c r="T357" s="63" t="str">
        <f t="shared" si="200"/>
        <v/>
      </c>
      <c r="U357" s="64" t="str">
        <f t="shared" si="201"/>
        <v/>
      </c>
      <c r="V357" s="219" t="str">
        <f>IF($A358="","",IF(AND(MONTH(A357)&gt;3,MONTH(A357)&lt;11),(T357+R357+G357)*Summary!$T$10/(1-Summary!$T$10),(T357+R357+G357)*Summary!$U$10/(1-Summary!$U$10)))</f>
        <v/>
      </c>
      <c r="W357" s="63" t="str">
        <f t="shared" si="202"/>
        <v/>
      </c>
      <c r="X357" s="63" t="str">
        <f t="shared" si="203"/>
        <v/>
      </c>
      <c r="Y357" s="43"/>
      <c r="Z357" s="38" t="str">
        <f t="shared" si="204"/>
        <v/>
      </c>
      <c r="AA357" s="38" t="str">
        <f t="shared" si="205"/>
        <v/>
      </c>
      <c r="AB357" s="38" t="e">
        <f t="shared" si="206"/>
        <v>#VALUE!</v>
      </c>
      <c r="AC357" s="38" t="str">
        <f t="shared" si="207"/>
        <v/>
      </c>
      <c r="AD357" s="38" t="str">
        <f t="shared" si="207"/>
        <v/>
      </c>
      <c r="AE357" s="38" t="e">
        <f t="shared" si="208"/>
        <v>#VALUE!</v>
      </c>
      <c r="AF357" s="237" t="e">
        <f>((Summary!$N$10*(AA357*AD357)*(A357-$D$3))+(Summary!$M$10*Z357*AC357*(AJ357-EOMONTH(EDATE(A357,-1),0))))/(AK357*AB357*AE357)</f>
        <v>#VALUE!</v>
      </c>
      <c r="AG357" s="88" t="str">
        <f>IF($A358="","",Summary!$Q$10)</f>
        <v/>
      </c>
      <c r="AH357" s="88" t="str">
        <f>IF($A358="","",IF(Summary!$R$10="Y",(VLOOKUP($A357,Summary!$AD$6:$AF$9,3)+'Escalating commodity'!F370),'Escalating commodity'!F370))</f>
        <v/>
      </c>
      <c r="AI357" s="88" t="str">
        <f t="shared" si="223"/>
        <v/>
      </c>
      <c r="AJ357" s="236" t="e">
        <f t="shared" si="209"/>
        <v>#VALUE!</v>
      </c>
      <c r="AK357" s="58" t="str">
        <f t="shared" si="210"/>
        <v/>
      </c>
      <c r="AL357" s="26" t="str">
        <f>IF($A358="","",_xll.SPRDOPT(P357,X357,AI357,0,AB357,AE357,AF357,AK357,$AJ$2,0))</f>
        <v/>
      </c>
      <c r="AM357" s="89" t="str">
        <f t="shared" si="211"/>
        <v/>
      </c>
      <c r="AN357" s="89" t="str">
        <f t="shared" si="212"/>
        <v/>
      </c>
      <c r="AO357" s="3" t="str">
        <f t="shared" si="213"/>
        <v/>
      </c>
      <c r="AP357" s="33" t="str">
        <f t="shared" si="214"/>
        <v/>
      </c>
      <c r="AQ357" s="58" t="str">
        <f t="shared" si="215"/>
        <v/>
      </c>
      <c r="AR357" s="38">
        <f>'ANR OK vs ML7'!AR357</f>
        <v>0.1</v>
      </c>
      <c r="AS357" s="35" t="str">
        <f t="shared" si="216"/>
        <v/>
      </c>
      <c r="AT357" s="3" t="str">
        <f t="shared" si="217"/>
        <v/>
      </c>
      <c r="AU357" s="3" t="str">
        <f t="shared" si="218"/>
        <v/>
      </c>
      <c r="AW357" s="32" t="str">
        <f t="shared" si="219"/>
        <v/>
      </c>
      <c r="AX357" s="32" t="str">
        <f t="shared" si="220"/>
        <v/>
      </c>
      <c r="AY357" s="32" t="str">
        <f t="shared" si="221"/>
        <v/>
      </c>
      <c r="BA357" s="32" t="str">
        <f>IF($A358="","",F357*Summary!$Q$10)</f>
        <v/>
      </c>
    </row>
    <row r="358" spans="1:53" ht="12" customHeight="1">
      <c r="A358" s="67" t="str">
        <f t="shared" si="222"/>
        <v/>
      </c>
      <c r="B358" s="69" t="str">
        <f t="shared" si="224"/>
        <v/>
      </c>
      <c r="C358" s="71"/>
      <c r="D358" s="69" t="str">
        <f t="shared" si="188"/>
        <v/>
      </c>
      <c r="E358" s="70" t="str">
        <f t="shared" si="189"/>
        <v/>
      </c>
      <c r="F358" s="70" t="str">
        <f t="shared" si="190"/>
        <v/>
      </c>
      <c r="G358" s="63" t="str">
        <f t="shared" si="191"/>
        <v/>
      </c>
      <c r="H358" s="64" t="str">
        <f t="shared" si="192"/>
        <v/>
      </c>
      <c r="I358" s="43"/>
      <c r="J358" s="63" t="str">
        <f t="shared" si="193"/>
        <v/>
      </c>
      <c r="K358" s="64" t="str">
        <f t="shared" si="194"/>
        <v/>
      </c>
      <c r="L358" s="38">
        <v>0</v>
      </c>
      <c r="M358" s="64" t="str">
        <f t="shared" si="195"/>
        <v/>
      </c>
      <c r="N358" s="65"/>
      <c r="O358" s="63" t="str">
        <f t="shared" si="196"/>
        <v/>
      </c>
      <c r="P358" s="63" t="str">
        <f t="shared" si="197"/>
        <v/>
      </c>
      <c r="Q358" s="66"/>
      <c r="R358" s="63" t="str">
        <f t="shared" si="198"/>
        <v/>
      </c>
      <c r="S358" s="64" t="str">
        <f t="shared" si="199"/>
        <v/>
      </c>
      <c r="T358" s="63" t="str">
        <f t="shared" si="200"/>
        <v/>
      </c>
      <c r="U358" s="64" t="str">
        <f t="shared" si="201"/>
        <v/>
      </c>
      <c r="V358" s="219" t="str">
        <f>IF($A359="","",IF(AND(MONTH(A358)&gt;3,MONTH(A358)&lt;11),(T358+R358+G358)*Summary!$T$10/(1-Summary!$T$10),(T358+R358+G358)*Summary!$U$10/(1-Summary!$U$10)))</f>
        <v/>
      </c>
      <c r="W358" s="63" t="str">
        <f t="shared" si="202"/>
        <v/>
      </c>
      <c r="X358" s="63" t="str">
        <f t="shared" si="203"/>
        <v/>
      </c>
      <c r="Y358" s="43"/>
      <c r="Z358" s="38" t="str">
        <f t="shared" si="204"/>
        <v/>
      </c>
      <c r="AA358" s="38" t="str">
        <f t="shared" si="205"/>
        <v/>
      </c>
      <c r="AB358" s="38" t="e">
        <f t="shared" si="206"/>
        <v>#VALUE!</v>
      </c>
      <c r="AC358" s="38" t="str">
        <f t="shared" si="207"/>
        <v/>
      </c>
      <c r="AD358" s="38" t="str">
        <f t="shared" si="207"/>
        <v/>
      </c>
      <c r="AE358" s="38" t="e">
        <f t="shared" si="208"/>
        <v>#VALUE!</v>
      </c>
      <c r="AF358" s="237" t="e">
        <f>((Summary!$N$10*(AA358*AD358)*(A358-$D$3))+(Summary!$M$10*Z358*AC358*(AJ358-EOMONTH(EDATE(A358,-1),0))))/(AK358*AB358*AE358)</f>
        <v>#VALUE!</v>
      </c>
      <c r="AG358" s="88" t="str">
        <f>IF($A359="","",Summary!$Q$10)</f>
        <v/>
      </c>
      <c r="AH358" s="88" t="str">
        <f>IF($A359="","",IF(Summary!$R$10="Y",(VLOOKUP($A358,Summary!$AD$6:$AF$9,3)+'Escalating commodity'!F371),'Escalating commodity'!F371))</f>
        <v/>
      </c>
      <c r="AI358" s="88" t="str">
        <f t="shared" si="223"/>
        <v/>
      </c>
      <c r="AJ358" s="236" t="e">
        <f t="shared" si="209"/>
        <v>#VALUE!</v>
      </c>
      <c r="AK358" s="58" t="str">
        <f t="shared" si="210"/>
        <v/>
      </c>
      <c r="AL358" s="26" t="str">
        <f>IF($A359="","",_xll.SPRDOPT(P358,X358,AI358,0,AB358,AE358,AF358,AK358,$AJ$2,0))</f>
        <v/>
      </c>
      <c r="AM358" s="89" t="str">
        <f t="shared" si="211"/>
        <v/>
      </c>
      <c r="AN358" s="89" t="str">
        <f t="shared" si="212"/>
        <v/>
      </c>
      <c r="AO358" s="3" t="str">
        <f t="shared" si="213"/>
        <v/>
      </c>
      <c r="AP358" s="33" t="str">
        <f t="shared" si="214"/>
        <v/>
      </c>
      <c r="AQ358" s="58" t="str">
        <f t="shared" si="215"/>
        <v/>
      </c>
      <c r="AR358" s="38">
        <f>'ANR OK vs ML7'!AR358</f>
        <v>0.1</v>
      </c>
      <c r="AS358" s="35" t="str">
        <f t="shared" si="216"/>
        <v/>
      </c>
      <c r="AT358" s="3" t="str">
        <f t="shared" si="217"/>
        <v/>
      </c>
      <c r="AU358" s="3" t="str">
        <f t="shared" si="218"/>
        <v/>
      </c>
      <c r="AW358" s="32" t="str">
        <f t="shared" si="219"/>
        <v/>
      </c>
      <c r="AX358" s="32" t="str">
        <f t="shared" si="220"/>
        <v/>
      </c>
      <c r="AY358" s="32" t="str">
        <f t="shared" si="221"/>
        <v/>
      </c>
      <c r="BA358" s="32" t="str">
        <f>IF($A359="","",F358*Summary!$Q$10)</f>
        <v/>
      </c>
    </row>
    <row r="359" spans="1:53" ht="12" customHeight="1">
      <c r="A359" s="67" t="str">
        <f t="shared" si="222"/>
        <v/>
      </c>
      <c r="B359" s="69" t="str">
        <f t="shared" si="224"/>
        <v/>
      </c>
      <c r="C359" s="71"/>
      <c r="D359" s="69" t="str">
        <f t="shared" si="188"/>
        <v/>
      </c>
      <c r="E359" s="70" t="str">
        <f t="shared" si="189"/>
        <v/>
      </c>
      <c r="F359" s="70" t="str">
        <f t="shared" si="190"/>
        <v/>
      </c>
      <c r="G359" s="63" t="str">
        <f t="shared" si="191"/>
        <v/>
      </c>
      <c r="H359" s="64" t="str">
        <f t="shared" si="192"/>
        <v/>
      </c>
      <c r="I359" s="43"/>
      <c r="J359" s="63" t="str">
        <f t="shared" si="193"/>
        <v/>
      </c>
      <c r="K359" s="64" t="str">
        <f t="shared" si="194"/>
        <v/>
      </c>
      <c r="L359" s="38">
        <v>0</v>
      </c>
      <c r="M359" s="64" t="str">
        <f t="shared" si="195"/>
        <v/>
      </c>
      <c r="N359" s="65"/>
      <c r="O359" s="63" t="str">
        <f t="shared" si="196"/>
        <v/>
      </c>
      <c r="P359" s="63" t="str">
        <f t="shared" si="197"/>
        <v/>
      </c>
      <c r="Q359" s="66"/>
      <c r="R359" s="63" t="str">
        <f t="shared" si="198"/>
        <v/>
      </c>
      <c r="S359" s="64" t="str">
        <f t="shared" si="199"/>
        <v/>
      </c>
      <c r="T359" s="63" t="str">
        <f t="shared" si="200"/>
        <v/>
      </c>
      <c r="U359" s="64" t="str">
        <f t="shared" si="201"/>
        <v/>
      </c>
      <c r="V359" s="219" t="str">
        <f>IF($A360="","",IF(AND(MONTH(A359)&gt;3,MONTH(A359)&lt;11),(T359+R359+G359)*Summary!$T$10/(1-Summary!$T$10),(T359+R359+G359)*Summary!$U$10/(1-Summary!$U$10)))</f>
        <v/>
      </c>
      <c r="W359" s="63" t="str">
        <f t="shared" si="202"/>
        <v/>
      </c>
      <c r="X359" s="63" t="str">
        <f t="shared" si="203"/>
        <v/>
      </c>
      <c r="Y359" s="43"/>
      <c r="Z359" s="38" t="str">
        <f t="shared" si="204"/>
        <v/>
      </c>
      <c r="AA359" s="38" t="str">
        <f t="shared" si="205"/>
        <v/>
      </c>
      <c r="AB359" s="38" t="e">
        <f t="shared" si="206"/>
        <v>#VALUE!</v>
      </c>
      <c r="AC359" s="38" t="str">
        <f t="shared" si="207"/>
        <v/>
      </c>
      <c r="AD359" s="38" t="str">
        <f t="shared" si="207"/>
        <v/>
      </c>
      <c r="AE359" s="38" t="e">
        <f t="shared" si="208"/>
        <v>#VALUE!</v>
      </c>
      <c r="AF359" s="237" t="e">
        <f>((Summary!$N$10*(AA359*AD359)*(A359-$D$3))+(Summary!$M$10*Z359*AC359*(AJ359-EOMONTH(EDATE(A359,-1),0))))/(AK359*AB359*AE359)</f>
        <v>#VALUE!</v>
      </c>
      <c r="AG359" s="88" t="str">
        <f>IF($A360="","",Summary!$Q$10)</f>
        <v/>
      </c>
      <c r="AH359" s="88" t="str">
        <f>IF($A360="","",IF(Summary!$R$10="Y",(VLOOKUP($A359,Summary!$AD$6:$AF$9,3)+'Escalating commodity'!F372),'Escalating commodity'!F372))</f>
        <v/>
      </c>
      <c r="AI359" s="88" t="str">
        <f t="shared" si="223"/>
        <v/>
      </c>
      <c r="AJ359" s="236" t="e">
        <f t="shared" si="209"/>
        <v>#VALUE!</v>
      </c>
      <c r="AK359" s="58" t="str">
        <f t="shared" si="210"/>
        <v/>
      </c>
      <c r="AL359" s="26" t="str">
        <f>IF($A360="","",_xll.SPRDOPT(P359,X359,AI359,0,AB359,AE359,AF359,AK359,$AJ$2,0))</f>
        <v/>
      </c>
      <c r="AM359" s="89" t="str">
        <f t="shared" si="211"/>
        <v/>
      </c>
      <c r="AN359" s="89" t="str">
        <f t="shared" si="212"/>
        <v/>
      </c>
      <c r="AO359" s="3" t="str">
        <f t="shared" si="213"/>
        <v/>
      </c>
      <c r="AP359" s="33" t="str">
        <f t="shared" si="214"/>
        <v/>
      </c>
      <c r="AQ359" s="58" t="str">
        <f t="shared" si="215"/>
        <v/>
      </c>
      <c r="AR359" s="38">
        <f>'ANR OK vs ML7'!AR359</f>
        <v>0.1</v>
      </c>
      <c r="AS359" s="35" t="str">
        <f t="shared" si="216"/>
        <v/>
      </c>
      <c r="AT359" s="3" t="str">
        <f t="shared" si="217"/>
        <v/>
      </c>
      <c r="AU359" s="3" t="str">
        <f t="shared" si="218"/>
        <v/>
      </c>
      <c r="AW359" s="32" t="str">
        <f t="shared" si="219"/>
        <v/>
      </c>
      <c r="AX359" s="32" t="str">
        <f t="shared" si="220"/>
        <v/>
      </c>
      <c r="AY359" s="32" t="str">
        <f t="shared" si="221"/>
        <v/>
      </c>
      <c r="BA359" s="32" t="str">
        <f>IF($A360="","",F359*Summary!$Q$10)</f>
        <v/>
      </c>
    </row>
    <row r="360" spans="1:53" ht="12" customHeight="1">
      <c r="A360" s="67" t="str">
        <f t="shared" si="222"/>
        <v/>
      </c>
      <c r="B360" s="69" t="str">
        <f t="shared" si="224"/>
        <v/>
      </c>
      <c r="C360" s="71"/>
      <c r="D360" s="69" t="str">
        <f t="shared" si="188"/>
        <v/>
      </c>
      <c r="E360" s="70" t="str">
        <f t="shared" si="189"/>
        <v/>
      </c>
      <c r="F360" s="70" t="str">
        <f t="shared" si="190"/>
        <v/>
      </c>
      <c r="G360" s="63" t="str">
        <f t="shared" si="191"/>
        <v/>
      </c>
      <c r="H360" s="64" t="str">
        <f t="shared" si="192"/>
        <v/>
      </c>
      <c r="I360" s="43"/>
      <c r="J360" s="63" t="str">
        <f t="shared" si="193"/>
        <v/>
      </c>
      <c r="K360" s="64" t="str">
        <f t="shared" si="194"/>
        <v/>
      </c>
      <c r="L360" s="38">
        <v>0</v>
      </c>
      <c r="M360" s="64" t="str">
        <f t="shared" si="195"/>
        <v/>
      </c>
      <c r="N360" s="65"/>
      <c r="O360" s="63" t="str">
        <f t="shared" si="196"/>
        <v/>
      </c>
      <c r="P360" s="63" t="str">
        <f t="shared" si="197"/>
        <v/>
      </c>
      <c r="Q360" s="66"/>
      <c r="R360" s="63" t="str">
        <f t="shared" si="198"/>
        <v/>
      </c>
      <c r="S360" s="64" t="str">
        <f t="shared" si="199"/>
        <v/>
      </c>
      <c r="T360" s="63" t="str">
        <f t="shared" si="200"/>
        <v/>
      </c>
      <c r="U360" s="64" t="str">
        <f t="shared" si="201"/>
        <v/>
      </c>
      <c r="V360" s="219" t="str">
        <f>IF($A361="","",IF(AND(MONTH(A360)&gt;3,MONTH(A360)&lt;11),(T360+R360+G360)*Summary!$T$10/(1-Summary!$T$10),(T360+R360+G360)*Summary!$U$10/(1-Summary!$U$10)))</f>
        <v/>
      </c>
      <c r="W360" s="63" t="str">
        <f t="shared" si="202"/>
        <v/>
      </c>
      <c r="X360" s="63" t="str">
        <f t="shared" si="203"/>
        <v/>
      </c>
      <c r="Y360" s="43"/>
      <c r="Z360" s="38" t="str">
        <f t="shared" si="204"/>
        <v/>
      </c>
      <c r="AA360" s="38" t="str">
        <f t="shared" si="205"/>
        <v/>
      </c>
      <c r="AB360" s="38" t="e">
        <f t="shared" si="206"/>
        <v>#VALUE!</v>
      </c>
      <c r="AC360" s="38" t="str">
        <f t="shared" si="207"/>
        <v/>
      </c>
      <c r="AD360" s="38" t="str">
        <f t="shared" si="207"/>
        <v/>
      </c>
      <c r="AE360" s="38" t="e">
        <f t="shared" si="208"/>
        <v>#VALUE!</v>
      </c>
      <c r="AF360" s="237" t="e">
        <f>((Summary!$N$10*(AA360*AD360)*(A360-$D$3))+(Summary!$M$10*Z360*AC360*(AJ360-EOMONTH(EDATE(A360,-1),0))))/(AK360*AB360*AE360)</f>
        <v>#VALUE!</v>
      </c>
      <c r="AG360" s="88" t="str">
        <f>IF($A361="","",Summary!$Q$10)</f>
        <v/>
      </c>
      <c r="AH360" s="88" t="str">
        <f>IF($A361="","",IF(Summary!$R$10="Y",(VLOOKUP($A360,Summary!$AD$6:$AF$9,3)+'Escalating commodity'!F373),'Escalating commodity'!F373))</f>
        <v/>
      </c>
      <c r="AI360" s="88" t="str">
        <f t="shared" si="223"/>
        <v/>
      </c>
      <c r="AJ360" s="236" t="e">
        <f t="shared" si="209"/>
        <v>#VALUE!</v>
      </c>
      <c r="AK360" s="58" t="str">
        <f t="shared" si="210"/>
        <v/>
      </c>
      <c r="AL360" s="26" t="str">
        <f>IF($A361="","",_xll.SPRDOPT(P360,X360,AI360,0,AB360,AE360,AF360,AK360,$AJ$2,0))</f>
        <v/>
      </c>
      <c r="AM360" s="89" t="str">
        <f t="shared" si="211"/>
        <v/>
      </c>
      <c r="AN360" s="89" t="str">
        <f t="shared" si="212"/>
        <v/>
      </c>
      <c r="AO360" s="3" t="str">
        <f t="shared" si="213"/>
        <v/>
      </c>
      <c r="AP360" s="33" t="str">
        <f t="shared" si="214"/>
        <v/>
      </c>
      <c r="AQ360" s="58" t="str">
        <f t="shared" si="215"/>
        <v/>
      </c>
      <c r="AR360" s="38">
        <f>'ANR OK vs ML7'!AR360</f>
        <v>0.1</v>
      </c>
      <c r="AS360" s="35" t="str">
        <f t="shared" si="216"/>
        <v/>
      </c>
      <c r="AT360" s="3" t="str">
        <f t="shared" si="217"/>
        <v/>
      </c>
      <c r="AU360" s="3" t="str">
        <f t="shared" si="218"/>
        <v/>
      </c>
      <c r="AW360" s="32" t="str">
        <f t="shared" si="219"/>
        <v/>
      </c>
      <c r="AX360" s="32" t="str">
        <f t="shared" si="220"/>
        <v/>
      </c>
      <c r="AY360" s="32" t="str">
        <f t="shared" si="221"/>
        <v/>
      </c>
      <c r="BA360" s="32" t="str">
        <f>IF($A361="","",F360*Summary!$Q$10)</f>
        <v/>
      </c>
    </row>
    <row r="361" spans="1:53" ht="12" customHeight="1">
      <c r="A361" s="67" t="str">
        <f t="shared" si="222"/>
        <v/>
      </c>
      <c r="B361" s="69" t="str">
        <f t="shared" si="224"/>
        <v/>
      </c>
      <c r="C361" s="71"/>
      <c r="D361" s="69" t="str">
        <f t="shared" si="188"/>
        <v/>
      </c>
      <c r="E361" s="70" t="str">
        <f t="shared" si="189"/>
        <v/>
      </c>
      <c r="F361" s="70" t="str">
        <f t="shared" si="190"/>
        <v/>
      </c>
      <c r="G361" s="63" t="str">
        <f t="shared" si="191"/>
        <v/>
      </c>
      <c r="H361" s="64" t="str">
        <f t="shared" si="192"/>
        <v/>
      </c>
      <c r="I361" s="43"/>
      <c r="J361" s="63" t="str">
        <f t="shared" si="193"/>
        <v/>
      </c>
      <c r="K361" s="64" t="str">
        <f t="shared" si="194"/>
        <v/>
      </c>
      <c r="L361" s="38">
        <v>0</v>
      </c>
      <c r="M361" s="64" t="str">
        <f t="shared" si="195"/>
        <v/>
      </c>
      <c r="N361" s="65"/>
      <c r="O361" s="63" t="str">
        <f t="shared" si="196"/>
        <v/>
      </c>
      <c r="P361" s="63" t="str">
        <f t="shared" si="197"/>
        <v/>
      </c>
      <c r="Q361" s="66"/>
      <c r="R361" s="63" t="str">
        <f t="shared" si="198"/>
        <v/>
      </c>
      <c r="S361" s="64" t="str">
        <f t="shared" si="199"/>
        <v/>
      </c>
      <c r="T361" s="63" t="str">
        <f t="shared" si="200"/>
        <v/>
      </c>
      <c r="U361" s="64" t="str">
        <f t="shared" si="201"/>
        <v/>
      </c>
      <c r="V361" s="219" t="str">
        <f>IF($A362="","",IF(AND(MONTH(A361)&gt;3,MONTH(A361)&lt;11),(T361+R361+G361)*Summary!$T$10/(1-Summary!$T$10),(T361+R361+G361)*Summary!$U$10/(1-Summary!$U$10)))</f>
        <v/>
      </c>
      <c r="W361" s="63" t="str">
        <f t="shared" si="202"/>
        <v/>
      </c>
      <c r="X361" s="63" t="str">
        <f t="shared" si="203"/>
        <v/>
      </c>
      <c r="Y361" s="43"/>
      <c r="Z361" s="38" t="str">
        <f t="shared" si="204"/>
        <v/>
      </c>
      <c r="AA361" s="38" t="str">
        <f t="shared" si="205"/>
        <v/>
      </c>
      <c r="AB361" s="38" t="e">
        <f t="shared" si="206"/>
        <v>#VALUE!</v>
      </c>
      <c r="AC361" s="38" t="str">
        <f t="shared" si="207"/>
        <v/>
      </c>
      <c r="AD361" s="38" t="str">
        <f t="shared" si="207"/>
        <v/>
      </c>
      <c r="AE361" s="38" t="e">
        <f t="shared" si="208"/>
        <v>#VALUE!</v>
      </c>
      <c r="AF361" s="237" t="e">
        <f>((Summary!$N$10*(AA361*AD361)*(A361-$D$3))+(Summary!$M$10*Z361*AC361*(AJ361-EOMONTH(EDATE(A361,-1),0))))/(AK361*AB361*AE361)</f>
        <v>#VALUE!</v>
      </c>
      <c r="AG361" s="88" t="str">
        <f>IF($A362="","",Summary!$Q$10)</f>
        <v/>
      </c>
      <c r="AH361" s="88" t="str">
        <f>IF($A362="","",IF(Summary!$R$10="Y",(VLOOKUP($A361,Summary!$AD$6:$AF$9,3)+'Escalating commodity'!F374),'Escalating commodity'!F374))</f>
        <v/>
      </c>
      <c r="AI361" s="88" t="str">
        <f t="shared" si="223"/>
        <v/>
      </c>
      <c r="AJ361" s="236" t="e">
        <f t="shared" si="209"/>
        <v>#VALUE!</v>
      </c>
      <c r="AK361" s="58" t="str">
        <f t="shared" si="210"/>
        <v/>
      </c>
      <c r="AL361" s="26" t="str">
        <f>IF($A362="","",_xll.SPRDOPT(P361,X361,AI361,0,AB361,AE361,AF361,AK361,$AJ$2,0))</f>
        <v/>
      </c>
      <c r="AM361" s="89" t="str">
        <f t="shared" si="211"/>
        <v/>
      </c>
      <c r="AN361" s="89" t="str">
        <f t="shared" si="212"/>
        <v/>
      </c>
      <c r="AO361" s="3" t="str">
        <f t="shared" si="213"/>
        <v/>
      </c>
      <c r="AP361" s="33" t="str">
        <f t="shared" si="214"/>
        <v/>
      </c>
      <c r="AQ361" s="58" t="str">
        <f t="shared" si="215"/>
        <v/>
      </c>
      <c r="AR361" s="38">
        <f>'ANR OK vs ML7'!AR361</f>
        <v>0.1</v>
      </c>
      <c r="AS361" s="35" t="str">
        <f t="shared" si="216"/>
        <v/>
      </c>
      <c r="AT361" s="3" t="str">
        <f t="shared" si="217"/>
        <v/>
      </c>
      <c r="AU361" s="3" t="str">
        <f t="shared" si="218"/>
        <v/>
      </c>
      <c r="AW361" s="32" t="str">
        <f t="shared" si="219"/>
        <v/>
      </c>
      <c r="AX361" s="32" t="str">
        <f t="shared" si="220"/>
        <v/>
      </c>
      <c r="AY361" s="32" t="str">
        <f t="shared" si="221"/>
        <v/>
      </c>
      <c r="BA361" s="32" t="str">
        <f>IF($A362="","",F361*Summary!$Q$10)</f>
        <v/>
      </c>
    </row>
    <row r="362" spans="1:53" ht="12" customHeight="1">
      <c r="A362" s="67" t="str">
        <f t="shared" si="222"/>
        <v/>
      </c>
      <c r="B362" s="69" t="str">
        <f t="shared" si="224"/>
        <v/>
      </c>
      <c r="C362" s="71"/>
      <c r="D362" s="69" t="str">
        <f t="shared" si="188"/>
        <v/>
      </c>
      <c r="E362" s="70" t="str">
        <f t="shared" si="189"/>
        <v/>
      </c>
      <c r="F362" s="70" t="str">
        <f t="shared" si="190"/>
        <v/>
      </c>
      <c r="G362" s="63" t="str">
        <f t="shared" si="191"/>
        <v/>
      </c>
      <c r="H362" s="64" t="str">
        <f t="shared" si="192"/>
        <v/>
      </c>
      <c r="I362" s="43"/>
      <c r="J362" s="63" t="str">
        <f t="shared" si="193"/>
        <v/>
      </c>
      <c r="K362" s="64" t="str">
        <f t="shared" si="194"/>
        <v/>
      </c>
      <c r="L362" s="38">
        <v>0</v>
      </c>
      <c r="M362" s="64" t="str">
        <f t="shared" si="195"/>
        <v/>
      </c>
      <c r="N362" s="65"/>
      <c r="O362" s="63" t="str">
        <f t="shared" si="196"/>
        <v/>
      </c>
      <c r="P362" s="63" t="str">
        <f t="shared" si="197"/>
        <v/>
      </c>
      <c r="Q362" s="66"/>
      <c r="R362" s="63" t="str">
        <f t="shared" si="198"/>
        <v/>
      </c>
      <c r="S362" s="64" t="str">
        <f t="shared" si="199"/>
        <v/>
      </c>
      <c r="T362" s="63" t="str">
        <f t="shared" si="200"/>
        <v/>
      </c>
      <c r="U362" s="64" t="str">
        <f t="shared" si="201"/>
        <v/>
      </c>
      <c r="V362" s="219" t="str">
        <f>IF($A363="","",IF(AND(MONTH(A362)&gt;3,MONTH(A362)&lt;11),(T362+R362+G362)*Summary!$T$10/(1-Summary!$T$10),(T362+R362+G362)*Summary!$U$10/(1-Summary!$U$10)))</f>
        <v/>
      </c>
      <c r="W362" s="63" t="str">
        <f t="shared" si="202"/>
        <v/>
      </c>
      <c r="X362" s="63" t="str">
        <f t="shared" si="203"/>
        <v/>
      </c>
      <c r="Y362" s="43"/>
      <c r="Z362" s="38" t="str">
        <f t="shared" si="204"/>
        <v/>
      </c>
      <c r="AA362" s="38" t="str">
        <f t="shared" si="205"/>
        <v/>
      </c>
      <c r="AB362" s="38" t="e">
        <f t="shared" si="206"/>
        <v>#VALUE!</v>
      </c>
      <c r="AC362" s="38" t="str">
        <f t="shared" si="207"/>
        <v/>
      </c>
      <c r="AD362" s="38" t="str">
        <f t="shared" si="207"/>
        <v/>
      </c>
      <c r="AE362" s="38" t="e">
        <f t="shared" si="208"/>
        <v>#VALUE!</v>
      </c>
      <c r="AF362" s="237" t="e">
        <f>((Summary!$N$10*(AA362*AD362)*(A362-$D$3))+(Summary!$M$10*Z362*AC362*(AJ362-EOMONTH(EDATE(A362,-1),0))))/(AK362*AB362*AE362)</f>
        <v>#VALUE!</v>
      </c>
      <c r="AG362" s="88" t="str">
        <f>IF($A363="","",Summary!$Q$10)</f>
        <v/>
      </c>
      <c r="AH362" s="88" t="str">
        <f>IF($A363="","",IF(Summary!$R$10="Y",(VLOOKUP($A362,Summary!$AD$6:$AF$9,3)+'Escalating commodity'!F375),'Escalating commodity'!F375))</f>
        <v/>
      </c>
      <c r="AI362" s="88" t="str">
        <f t="shared" si="223"/>
        <v/>
      </c>
      <c r="AJ362" s="236" t="e">
        <f t="shared" si="209"/>
        <v>#VALUE!</v>
      </c>
      <c r="AK362" s="58" t="str">
        <f t="shared" si="210"/>
        <v/>
      </c>
      <c r="AL362" s="26" t="str">
        <f>IF($A363="","",_xll.SPRDOPT(P362,X362,AI362,0,AB362,AE362,AF362,AK362,$AJ$2,0))</f>
        <v/>
      </c>
      <c r="AM362" s="89" t="str">
        <f t="shared" si="211"/>
        <v/>
      </c>
      <c r="AN362" s="89" t="str">
        <f t="shared" si="212"/>
        <v/>
      </c>
      <c r="AO362" s="3" t="str">
        <f t="shared" si="213"/>
        <v/>
      </c>
      <c r="AP362" s="33" t="str">
        <f t="shared" si="214"/>
        <v/>
      </c>
      <c r="AQ362" s="58" t="str">
        <f t="shared" si="215"/>
        <v/>
      </c>
      <c r="AR362" s="38">
        <f>'ANR OK vs ML7'!AR362</f>
        <v>0.1</v>
      </c>
      <c r="AS362" s="35" t="str">
        <f t="shared" si="216"/>
        <v/>
      </c>
      <c r="AT362" s="3" t="str">
        <f t="shared" si="217"/>
        <v/>
      </c>
      <c r="AU362" s="3" t="str">
        <f t="shared" si="218"/>
        <v/>
      </c>
      <c r="AW362" s="32" t="str">
        <f t="shared" si="219"/>
        <v/>
      </c>
      <c r="AX362" s="32" t="str">
        <f t="shared" si="220"/>
        <v/>
      </c>
      <c r="AY362" s="32" t="str">
        <f t="shared" si="221"/>
        <v/>
      </c>
      <c r="BA362" s="32" t="str">
        <f>IF($A363="","",F362*Summary!$Q$10)</f>
        <v/>
      </c>
    </row>
    <row r="363" spans="1:53" ht="12" customHeight="1">
      <c r="A363" s="67" t="str">
        <f t="shared" si="222"/>
        <v/>
      </c>
      <c r="B363" s="69" t="str">
        <f t="shared" si="224"/>
        <v/>
      </c>
      <c r="C363" s="71"/>
      <c r="D363" s="69" t="str">
        <f t="shared" si="188"/>
        <v/>
      </c>
      <c r="E363" s="70" t="str">
        <f t="shared" si="189"/>
        <v/>
      </c>
      <c r="F363" s="70" t="str">
        <f t="shared" si="190"/>
        <v/>
      </c>
      <c r="G363" s="63" t="str">
        <f t="shared" si="191"/>
        <v/>
      </c>
      <c r="H363" s="64" t="str">
        <f t="shared" si="192"/>
        <v/>
      </c>
      <c r="I363" s="43"/>
      <c r="J363" s="63" t="str">
        <f t="shared" si="193"/>
        <v/>
      </c>
      <c r="K363" s="64" t="str">
        <f t="shared" si="194"/>
        <v/>
      </c>
      <c r="L363" s="38">
        <v>0</v>
      </c>
      <c r="M363" s="64" t="str">
        <f t="shared" si="195"/>
        <v/>
      </c>
      <c r="N363" s="65"/>
      <c r="O363" s="63" t="str">
        <f t="shared" si="196"/>
        <v/>
      </c>
      <c r="P363" s="63" t="str">
        <f t="shared" si="197"/>
        <v/>
      </c>
      <c r="Q363" s="66"/>
      <c r="R363" s="63" t="str">
        <f t="shared" si="198"/>
        <v/>
      </c>
      <c r="S363" s="64" t="str">
        <f t="shared" si="199"/>
        <v/>
      </c>
      <c r="T363" s="63" t="str">
        <f t="shared" si="200"/>
        <v/>
      </c>
      <c r="U363" s="64" t="str">
        <f t="shared" si="201"/>
        <v/>
      </c>
      <c r="V363" s="219" t="str">
        <f>IF($A364="","",IF(AND(MONTH(A363)&gt;3,MONTH(A363)&lt;11),(T363+R363+G363)*Summary!$T$10/(1-Summary!$T$10),(T363+R363+G363)*Summary!$U$10/(1-Summary!$U$10)))</f>
        <v/>
      </c>
      <c r="W363" s="63" t="str">
        <f t="shared" si="202"/>
        <v/>
      </c>
      <c r="X363" s="63" t="str">
        <f t="shared" si="203"/>
        <v/>
      </c>
      <c r="Y363" s="43"/>
      <c r="Z363" s="38" t="str">
        <f t="shared" si="204"/>
        <v/>
      </c>
      <c r="AA363" s="38" t="str">
        <f t="shared" si="205"/>
        <v/>
      </c>
      <c r="AB363" s="38" t="e">
        <f t="shared" si="206"/>
        <v>#VALUE!</v>
      </c>
      <c r="AC363" s="38" t="str">
        <f t="shared" si="207"/>
        <v/>
      </c>
      <c r="AD363" s="38" t="str">
        <f t="shared" si="207"/>
        <v/>
      </c>
      <c r="AE363" s="38" t="e">
        <f t="shared" si="208"/>
        <v>#VALUE!</v>
      </c>
      <c r="AF363" s="237" t="e">
        <f>((Summary!$N$10*(AA363*AD363)*(A363-$D$3))+(Summary!$M$10*Z363*AC363*(AJ363-EOMONTH(EDATE(A363,-1),0))))/(AK363*AB363*AE363)</f>
        <v>#VALUE!</v>
      </c>
      <c r="AG363" s="88" t="str">
        <f>IF($A364="","",Summary!$Q$10)</f>
        <v/>
      </c>
      <c r="AH363" s="88" t="str">
        <f>IF($A364="","",IF(Summary!$R$10="Y",(VLOOKUP($A363,Summary!$AD$6:$AF$9,3)+'Escalating commodity'!F376),'Escalating commodity'!F376))</f>
        <v/>
      </c>
      <c r="AI363" s="88" t="str">
        <f t="shared" si="223"/>
        <v/>
      </c>
      <c r="AJ363" s="236" t="e">
        <f t="shared" si="209"/>
        <v>#VALUE!</v>
      </c>
      <c r="AK363" s="58" t="str">
        <f t="shared" si="210"/>
        <v/>
      </c>
      <c r="AL363" s="26" t="str">
        <f>IF($A364="","",_xll.SPRDOPT(P363,X363,AI363,0,AB363,AE363,AF363,AK363,$AJ$2,0))</f>
        <v/>
      </c>
      <c r="AM363" s="89" t="str">
        <f t="shared" si="211"/>
        <v/>
      </c>
      <c r="AN363" s="89" t="str">
        <f t="shared" si="212"/>
        <v/>
      </c>
      <c r="AO363" s="3" t="str">
        <f t="shared" si="213"/>
        <v/>
      </c>
      <c r="AP363" s="33" t="str">
        <f t="shared" si="214"/>
        <v/>
      </c>
      <c r="AQ363" s="58" t="str">
        <f t="shared" si="215"/>
        <v/>
      </c>
      <c r="AR363" s="38">
        <f>'ANR OK vs ML7'!AR363</f>
        <v>0.1</v>
      </c>
      <c r="AS363" s="35" t="str">
        <f t="shared" si="216"/>
        <v/>
      </c>
      <c r="AT363" s="3" t="str">
        <f t="shared" si="217"/>
        <v/>
      </c>
      <c r="AU363" s="3" t="str">
        <f t="shared" si="218"/>
        <v/>
      </c>
      <c r="AW363" s="32" t="str">
        <f t="shared" si="219"/>
        <v/>
      </c>
      <c r="AX363" s="32" t="str">
        <f t="shared" si="220"/>
        <v/>
      </c>
      <c r="AY363" s="32" t="str">
        <f t="shared" si="221"/>
        <v/>
      </c>
      <c r="BA363" s="32" t="str">
        <f>IF($A364="","",F363*Summary!$Q$10)</f>
        <v/>
      </c>
    </row>
    <row r="364" spans="1:53" ht="12" customHeight="1">
      <c r="A364" s="67" t="str">
        <f t="shared" si="222"/>
        <v/>
      </c>
      <c r="B364" s="69" t="str">
        <f t="shared" si="224"/>
        <v/>
      </c>
      <c r="C364" s="71"/>
      <c r="D364" s="69" t="str">
        <f t="shared" si="188"/>
        <v/>
      </c>
      <c r="E364" s="70" t="str">
        <f t="shared" si="189"/>
        <v/>
      </c>
      <c r="F364" s="70" t="str">
        <f t="shared" si="190"/>
        <v/>
      </c>
      <c r="G364" s="63" t="str">
        <f t="shared" si="191"/>
        <v/>
      </c>
      <c r="H364" s="64" t="str">
        <f t="shared" si="192"/>
        <v/>
      </c>
      <c r="I364" s="43"/>
      <c r="J364" s="63" t="str">
        <f t="shared" si="193"/>
        <v/>
      </c>
      <c r="K364" s="64" t="str">
        <f t="shared" si="194"/>
        <v/>
      </c>
      <c r="L364" s="38">
        <v>0</v>
      </c>
      <c r="M364" s="64" t="str">
        <f t="shared" si="195"/>
        <v/>
      </c>
      <c r="N364" s="65"/>
      <c r="O364" s="63" t="str">
        <f t="shared" si="196"/>
        <v/>
      </c>
      <c r="P364" s="63" t="str">
        <f t="shared" si="197"/>
        <v/>
      </c>
      <c r="Q364" s="66"/>
      <c r="R364" s="63" t="str">
        <f t="shared" si="198"/>
        <v/>
      </c>
      <c r="S364" s="64" t="str">
        <f t="shared" si="199"/>
        <v/>
      </c>
      <c r="T364" s="63" t="str">
        <f t="shared" si="200"/>
        <v/>
      </c>
      <c r="U364" s="64" t="str">
        <f t="shared" si="201"/>
        <v/>
      </c>
      <c r="V364" s="219" t="str">
        <f>IF($A365="","",IF(AND(MONTH(A364)&gt;3,MONTH(A364)&lt;11),(T364+R364+G364)*Summary!$T$10/(1-Summary!$T$10),(T364+R364+G364)*Summary!$U$10/(1-Summary!$U$10)))</f>
        <v/>
      </c>
      <c r="W364" s="63" t="str">
        <f t="shared" si="202"/>
        <v/>
      </c>
      <c r="X364" s="63" t="str">
        <f t="shared" si="203"/>
        <v/>
      </c>
      <c r="Y364" s="43"/>
      <c r="Z364" s="38" t="str">
        <f t="shared" si="204"/>
        <v/>
      </c>
      <c r="AA364" s="38" t="str">
        <f t="shared" si="205"/>
        <v/>
      </c>
      <c r="AB364" s="38" t="e">
        <f t="shared" si="206"/>
        <v>#VALUE!</v>
      </c>
      <c r="AC364" s="38" t="str">
        <f t="shared" si="207"/>
        <v/>
      </c>
      <c r="AD364" s="38" t="str">
        <f t="shared" si="207"/>
        <v/>
      </c>
      <c r="AE364" s="38" t="e">
        <f t="shared" si="208"/>
        <v>#VALUE!</v>
      </c>
      <c r="AF364" s="237" t="e">
        <f>((Summary!$N$10*(AA364*AD364)*(A364-$D$3))+(Summary!$M$10*Z364*AC364*(AJ364-EOMONTH(EDATE(A364,-1),0))))/(AK364*AB364*AE364)</f>
        <v>#VALUE!</v>
      </c>
      <c r="AG364" s="88" t="str">
        <f>IF($A365="","",Summary!$Q$10)</f>
        <v/>
      </c>
      <c r="AH364" s="88" t="str">
        <f>IF($A365="","",IF(Summary!$R$10="Y",(VLOOKUP($A364,Summary!$AD$6:$AF$9,3)+'Escalating commodity'!F377),'Escalating commodity'!F377))</f>
        <v/>
      </c>
      <c r="AI364" s="88" t="str">
        <f t="shared" si="223"/>
        <v/>
      </c>
      <c r="AJ364" s="236" t="e">
        <f t="shared" si="209"/>
        <v>#VALUE!</v>
      </c>
      <c r="AK364" s="58" t="str">
        <f t="shared" si="210"/>
        <v/>
      </c>
      <c r="AL364" s="26" t="str">
        <f>IF($A365="","",_xll.SPRDOPT(P364,X364,AI364,0,AB364,AE364,AF364,AK364,$AJ$2,0))</f>
        <v/>
      </c>
      <c r="AM364" s="89" t="str">
        <f t="shared" si="211"/>
        <v/>
      </c>
      <c r="AN364" s="89" t="str">
        <f t="shared" si="212"/>
        <v/>
      </c>
      <c r="AO364" s="3" t="str">
        <f t="shared" si="213"/>
        <v/>
      </c>
      <c r="AP364" s="33" t="str">
        <f t="shared" si="214"/>
        <v/>
      </c>
      <c r="AQ364" s="58" t="str">
        <f t="shared" si="215"/>
        <v/>
      </c>
      <c r="AR364" s="38">
        <f>'ANR OK vs ML7'!AR364</f>
        <v>0.1</v>
      </c>
      <c r="AS364" s="35" t="str">
        <f t="shared" si="216"/>
        <v/>
      </c>
      <c r="AT364" s="3" t="str">
        <f t="shared" si="217"/>
        <v/>
      </c>
      <c r="AU364" s="3" t="str">
        <f t="shared" si="218"/>
        <v/>
      </c>
      <c r="AW364" s="32" t="str">
        <f t="shared" si="219"/>
        <v/>
      </c>
      <c r="AX364" s="32" t="str">
        <f t="shared" si="220"/>
        <v/>
      </c>
      <c r="AY364" s="32" t="str">
        <f t="shared" si="221"/>
        <v/>
      </c>
      <c r="BA364" s="32" t="str">
        <f>IF($A365="","",F364*Summary!$Q$10)</f>
        <v/>
      </c>
    </row>
    <row r="365" spans="1:53" ht="12" customHeight="1">
      <c r="A365" s="67" t="str">
        <f t="shared" si="222"/>
        <v/>
      </c>
      <c r="B365" s="69" t="str">
        <f t="shared" si="224"/>
        <v/>
      </c>
      <c r="C365" s="71"/>
      <c r="D365" s="69" t="str">
        <f t="shared" si="188"/>
        <v/>
      </c>
      <c r="E365" s="70" t="str">
        <f t="shared" si="189"/>
        <v/>
      </c>
      <c r="F365" s="70" t="str">
        <f t="shared" si="190"/>
        <v/>
      </c>
      <c r="G365" s="63" t="str">
        <f t="shared" si="191"/>
        <v/>
      </c>
      <c r="H365" s="64" t="str">
        <f t="shared" si="192"/>
        <v/>
      </c>
      <c r="I365" s="43"/>
      <c r="J365" s="63" t="str">
        <f t="shared" si="193"/>
        <v/>
      </c>
      <c r="K365" s="64" t="str">
        <f t="shared" si="194"/>
        <v/>
      </c>
      <c r="L365" s="38">
        <v>0</v>
      </c>
      <c r="M365" s="64" t="str">
        <f t="shared" si="195"/>
        <v/>
      </c>
      <c r="N365" s="65"/>
      <c r="O365" s="63" t="str">
        <f t="shared" si="196"/>
        <v/>
      </c>
      <c r="P365" s="63" t="str">
        <f t="shared" si="197"/>
        <v/>
      </c>
      <c r="Q365" s="66"/>
      <c r="R365" s="63" t="str">
        <f t="shared" si="198"/>
        <v/>
      </c>
      <c r="S365" s="64" t="str">
        <f t="shared" si="199"/>
        <v/>
      </c>
      <c r="T365" s="63" t="str">
        <f t="shared" si="200"/>
        <v/>
      </c>
      <c r="U365" s="64" t="str">
        <f t="shared" si="201"/>
        <v/>
      </c>
      <c r="V365" s="219" t="str">
        <f>IF($A366="","",IF(AND(MONTH(A365)&gt;3,MONTH(A365)&lt;11),(T365+R365+G365)*Summary!$T$10/(1-Summary!$T$10),(T365+R365+G365)*Summary!$U$10/(1-Summary!$U$10)))</f>
        <v/>
      </c>
      <c r="W365" s="63" t="str">
        <f t="shared" si="202"/>
        <v/>
      </c>
      <c r="X365" s="63" t="str">
        <f t="shared" si="203"/>
        <v/>
      </c>
      <c r="Y365" s="43"/>
      <c r="Z365" s="38" t="str">
        <f t="shared" si="204"/>
        <v/>
      </c>
      <c r="AA365" s="38" t="str">
        <f t="shared" si="205"/>
        <v/>
      </c>
      <c r="AB365" s="38" t="e">
        <f t="shared" si="206"/>
        <v>#VALUE!</v>
      </c>
      <c r="AC365" s="38" t="str">
        <f t="shared" si="207"/>
        <v/>
      </c>
      <c r="AD365" s="38" t="str">
        <f t="shared" si="207"/>
        <v/>
      </c>
      <c r="AE365" s="38" t="e">
        <f t="shared" si="208"/>
        <v>#VALUE!</v>
      </c>
      <c r="AF365" s="237" t="e">
        <f>((Summary!$N$10*(AA365*AD365)*(A365-$D$3))+(Summary!$M$10*Z365*AC365*(AJ365-EOMONTH(EDATE(A365,-1),0))))/(AK365*AB365*AE365)</f>
        <v>#VALUE!</v>
      </c>
      <c r="AG365" s="88" t="str">
        <f>IF($A366="","",Summary!$Q$10)</f>
        <v/>
      </c>
      <c r="AH365" s="88" t="str">
        <f>IF($A366="","",IF(Summary!$R$10="Y",(VLOOKUP($A365,Summary!$AD$6:$AF$9,3)+'Escalating commodity'!F378),'Escalating commodity'!F378))</f>
        <v/>
      </c>
      <c r="AI365" s="88" t="str">
        <f t="shared" si="223"/>
        <v/>
      </c>
      <c r="AJ365" s="236" t="e">
        <f t="shared" si="209"/>
        <v>#VALUE!</v>
      </c>
      <c r="AK365" s="58" t="str">
        <f t="shared" si="210"/>
        <v/>
      </c>
      <c r="AL365" s="26" t="str">
        <f>IF($A366="","",_xll.SPRDOPT(P365,X365,AI365,0,AB365,AE365,AF365,AK365,$AJ$2,0))</f>
        <v/>
      </c>
      <c r="AM365" s="89" t="str">
        <f t="shared" si="211"/>
        <v/>
      </c>
      <c r="AN365" s="89" t="str">
        <f t="shared" si="212"/>
        <v/>
      </c>
      <c r="AO365" s="3" t="str">
        <f t="shared" si="213"/>
        <v/>
      </c>
      <c r="AP365" s="33" t="str">
        <f t="shared" si="214"/>
        <v/>
      </c>
      <c r="AQ365" s="58" t="str">
        <f t="shared" si="215"/>
        <v/>
      </c>
      <c r="AR365" s="38">
        <f>'ANR OK vs ML7'!AR365</f>
        <v>0.1</v>
      </c>
      <c r="AS365" s="35" t="str">
        <f t="shared" si="216"/>
        <v/>
      </c>
      <c r="AT365" s="3" t="str">
        <f t="shared" si="217"/>
        <v/>
      </c>
      <c r="AU365" s="3" t="str">
        <f t="shared" si="218"/>
        <v/>
      </c>
      <c r="AW365" s="32" t="str">
        <f t="shared" si="219"/>
        <v/>
      </c>
      <c r="AX365" s="32" t="str">
        <f t="shared" si="220"/>
        <v/>
      </c>
      <c r="AY365" s="32" t="str">
        <f t="shared" si="221"/>
        <v/>
      </c>
      <c r="BA365" s="32" t="str">
        <f>IF($A366="","",F365*Summary!$Q$10)</f>
        <v/>
      </c>
    </row>
    <row r="366" spans="1:53" ht="12" customHeight="1">
      <c r="A366" s="67" t="str">
        <f t="shared" si="222"/>
        <v/>
      </c>
      <c r="B366" s="69" t="str">
        <f t="shared" si="224"/>
        <v/>
      </c>
      <c r="C366" s="71"/>
      <c r="D366" s="69" t="str">
        <f t="shared" si="188"/>
        <v/>
      </c>
      <c r="E366" s="70" t="str">
        <f t="shared" si="189"/>
        <v/>
      </c>
      <c r="F366" s="70" t="str">
        <f t="shared" si="190"/>
        <v/>
      </c>
      <c r="G366" s="63" t="str">
        <f t="shared" si="191"/>
        <v/>
      </c>
      <c r="H366" s="64" t="str">
        <f t="shared" si="192"/>
        <v/>
      </c>
      <c r="I366" s="43"/>
      <c r="J366" s="63" t="str">
        <f t="shared" si="193"/>
        <v/>
      </c>
      <c r="K366" s="64" t="str">
        <f t="shared" si="194"/>
        <v/>
      </c>
      <c r="L366" s="38">
        <v>0</v>
      </c>
      <c r="M366" s="64" t="str">
        <f t="shared" si="195"/>
        <v/>
      </c>
      <c r="N366" s="65"/>
      <c r="O366" s="63" t="str">
        <f t="shared" si="196"/>
        <v/>
      </c>
      <c r="P366" s="63" t="str">
        <f t="shared" si="197"/>
        <v/>
      </c>
      <c r="Q366" s="66"/>
      <c r="R366" s="63" t="str">
        <f t="shared" si="198"/>
        <v/>
      </c>
      <c r="S366" s="64" t="str">
        <f t="shared" si="199"/>
        <v/>
      </c>
      <c r="T366" s="63" t="str">
        <f t="shared" si="200"/>
        <v/>
      </c>
      <c r="U366" s="64" t="str">
        <f t="shared" si="201"/>
        <v/>
      </c>
      <c r="V366" s="219" t="str">
        <f>IF($A367="","",IF(AND(MONTH(A366)&gt;3,MONTH(A366)&lt;11),(T366+R366+G366)*Summary!$T$10/(1-Summary!$T$10),(T366+R366+G366)*Summary!$U$10/(1-Summary!$U$10)))</f>
        <v/>
      </c>
      <c r="W366" s="63" t="str">
        <f t="shared" si="202"/>
        <v/>
      </c>
      <c r="X366" s="63" t="str">
        <f t="shared" si="203"/>
        <v/>
      </c>
      <c r="Y366" s="43"/>
      <c r="Z366" s="38" t="str">
        <f t="shared" si="204"/>
        <v/>
      </c>
      <c r="AA366" s="38" t="str">
        <f t="shared" si="205"/>
        <v/>
      </c>
      <c r="AB366" s="38" t="e">
        <f t="shared" si="206"/>
        <v>#VALUE!</v>
      </c>
      <c r="AC366" s="38" t="str">
        <f t="shared" si="207"/>
        <v/>
      </c>
      <c r="AD366" s="38" t="str">
        <f t="shared" si="207"/>
        <v/>
      </c>
      <c r="AE366" s="38" t="e">
        <f t="shared" si="208"/>
        <v>#VALUE!</v>
      </c>
      <c r="AF366" s="237" t="e">
        <f>((Summary!$N$10*(AA366*AD366)*(A366-$D$3))+(Summary!$M$10*Z366*AC366*(AJ366-EOMONTH(EDATE(A366,-1),0))))/(AK366*AB366*AE366)</f>
        <v>#VALUE!</v>
      </c>
      <c r="AG366" s="88" t="str">
        <f>IF($A367="","",Summary!$Q$10)</f>
        <v/>
      </c>
      <c r="AH366" s="88" t="str">
        <f>IF($A367="","",IF(Summary!$R$10="Y",(VLOOKUP($A366,Summary!$AD$6:$AF$9,3)+'Escalating commodity'!F379),'Escalating commodity'!F379))</f>
        <v/>
      </c>
      <c r="AI366" s="88" t="str">
        <f t="shared" si="223"/>
        <v/>
      </c>
      <c r="AJ366" s="236" t="e">
        <f t="shared" si="209"/>
        <v>#VALUE!</v>
      </c>
      <c r="AK366" s="58" t="str">
        <f t="shared" si="210"/>
        <v/>
      </c>
      <c r="AL366" s="26" t="str">
        <f>IF($A367="","",_xll.SPRDOPT(P366,X366,AI366,0,AB366,AE366,AF366,AK366,$AJ$2,0))</f>
        <v/>
      </c>
      <c r="AM366" s="89" t="str">
        <f t="shared" si="211"/>
        <v/>
      </c>
      <c r="AN366" s="89" t="str">
        <f t="shared" si="212"/>
        <v/>
      </c>
      <c r="AO366" s="3" t="str">
        <f t="shared" si="213"/>
        <v/>
      </c>
      <c r="AP366" s="33" t="str">
        <f t="shared" si="214"/>
        <v/>
      </c>
      <c r="AQ366" s="58" t="str">
        <f t="shared" si="215"/>
        <v/>
      </c>
      <c r="AR366" s="38">
        <f>'ANR OK vs ML7'!AR366</f>
        <v>0.1</v>
      </c>
      <c r="AS366" s="35" t="str">
        <f t="shared" si="216"/>
        <v/>
      </c>
      <c r="AT366" s="3" t="str">
        <f t="shared" si="217"/>
        <v/>
      </c>
      <c r="AU366" s="3" t="str">
        <f t="shared" si="218"/>
        <v/>
      </c>
      <c r="AW366" s="32" t="str">
        <f t="shared" si="219"/>
        <v/>
      </c>
      <c r="AX366" s="32" t="str">
        <f t="shared" si="220"/>
        <v/>
      </c>
      <c r="AY366" s="32" t="str">
        <f t="shared" si="221"/>
        <v/>
      </c>
      <c r="BA366" s="32" t="str">
        <f>IF($A367="","",F366*Summary!$Q$10)</f>
        <v/>
      </c>
    </row>
    <row r="367" spans="1:53" ht="12" customHeight="1">
      <c r="A367" s="67" t="str">
        <f t="shared" si="222"/>
        <v/>
      </c>
      <c r="B367" s="69" t="str">
        <f t="shared" si="224"/>
        <v/>
      </c>
      <c r="C367" s="71"/>
      <c r="D367" s="69" t="str">
        <f t="shared" si="188"/>
        <v/>
      </c>
      <c r="E367" s="70" t="str">
        <f t="shared" si="189"/>
        <v/>
      </c>
      <c r="F367" s="70" t="str">
        <f t="shared" si="190"/>
        <v/>
      </c>
      <c r="G367" s="63" t="str">
        <f t="shared" si="191"/>
        <v/>
      </c>
      <c r="H367" s="64" t="str">
        <f t="shared" si="192"/>
        <v/>
      </c>
      <c r="I367" s="43"/>
      <c r="J367" s="63" t="str">
        <f t="shared" si="193"/>
        <v/>
      </c>
      <c r="K367" s="64" t="str">
        <f t="shared" si="194"/>
        <v/>
      </c>
      <c r="L367" s="38">
        <v>0</v>
      </c>
      <c r="M367" s="64" t="str">
        <f t="shared" si="195"/>
        <v/>
      </c>
      <c r="N367" s="65"/>
      <c r="O367" s="63" t="str">
        <f t="shared" si="196"/>
        <v/>
      </c>
      <c r="P367" s="63" t="str">
        <f t="shared" si="197"/>
        <v/>
      </c>
      <c r="Q367" s="66"/>
      <c r="R367" s="63" t="str">
        <f t="shared" si="198"/>
        <v/>
      </c>
      <c r="S367" s="64" t="str">
        <f t="shared" si="199"/>
        <v/>
      </c>
      <c r="T367" s="63" t="str">
        <f t="shared" si="200"/>
        <v/>
      </c>
      <c r="U367" s="64" t="str">
        <f t="shared" si="201"/>
        <v/>
      </c>
      <c r="V367" s="219" t="str">
        <f>IF($A368="","",IF(AND(MONTH(A367)&gt;3,MONTH(A367)&lt;11),(T367+R367+G367)*Summary!$T$10/(1-Summary!$T$10),(T367+R367+G367)*Summary!$U$10/(1-Summary!$U$10)))</f>
        <v/>
      </c>
      <c r="W367" s="63" t="str">
        <f t="shared" si="202"/>
        <v/>
      </c>
      <c r="X367" s="63" t="str">
        <f t="shared" si="203"/>
        <v/>
      </c>
      <c r="Y367" s="43"/>
      <c r="Z367" s="38" t="str">
        <f t="shared" si="204"/>
        <v/>
      </c>
      <c r="AA367" s="38" t="str">
        <f t="shared" si="205"/>
        <v/>
      </c>
      <c r="AB367" s="38" t="e">
        <f t="shared" si="206"/>
        <v>#VALUE!</v>
      </c>
      <c r="AC367" s="38" t="str">
        <f t="shared" si="207"/>
        <v/>
      </c>
      <c r="AD367" s="38" t="str">
        <f t="shared" si="207"/>
        <v/>
      </c>
      <c r="AE367" s="38" t="e">
        <f t="shared" si="208"/>
        <v>#VALUE!</v>
      </c>
      <c r="AF367" s="237" t="e">
        <f>((Summary!$N$10*(AA367*AD367)*(A367-$D$3))+(Summary!$M$10*Z367*AC367*(AJ367-EOMONTH(EDATE(A367,-1),0))))/(AK367*AB367*AE367)</f>
        <v>#VALUE!</v>
      </c>
      <c r="AG367" s="88" t="str">
        <f>IF($A368="","",Summary!$Q$10)</f>
        <v/>
      </c>
      <c r="AH367" s="88" t="str">
        <f>IF($A368="","",IF(Summary!$R$10="Y",(VLOOKUP($A367,Summary!$AD$6:$AF$9,3)+'Escalating commodity'!F380),'Escalating commodity'!F380))</f>
        <v/>
      </c>
      <c r="AI367" s="88" t="str">
        <f t="shared" si="223"/>
        <v/>
      </c>
      <c r="AJ367" s="236" t="e">
        <f t="shared" si="209"/>
        <v>#VALUE!</v>
      </c>
      <c r="AK367" s="58" t="str">
        <f t="shared" si="210"/>
        <v/>
      </c>
      <c r="AL367" s="26" t="str">
        <f>IF($A368="","",_xll.SPRDOPT(P367,X367,AI367,0,AB367,AE367,AF367,AK367,$AJ$2,0))</f>
        <v/>
      </c>
      <c r="AM367" s="89" t="str">
        <f t="shared" si="211"/>
        <v/>
      </c>
      <c r="AN367" s="89" t="str">
        <f t="shared" si="212"/>
        <v/>
      </c>
      <c r="AO367" s="3" t="str">
        <f t="shared" si="213"/>
        <v/>
      </c>
      <c r="AP367" s="33" t="str">
        <f t="shared" si="214"/>
        <v/>
      </c>
      <c r="AQ367" s="58" t="str">
        <f t="shared" si="215"/>
        <v/>
      </c>
      <c r="AR367" s="38">
        <f>'ANR OK vs ML7'!AR367</f>
        <v>0.1</v>
      </c>
      <c r="AS367" s="35" t="str">
        <f t="shared" si="216"/>
        <v/>
      </c>
      <c r="AT367" s="3" t="str">
        <f t="shared" si="217"/>
        <v/>
      </c>
      <c r="AU367" s="3" t="str">
        <f t="shared" si="218"/>
        <v/>
      </c>
      <c r="AW367" s="32" t="str">
        <f t="shared" si="219"/>
        <v/>
      </c>
      <c r="AX367" s="32" t="str">
        <f t="shared" si="220"/>
        <v/>
      </c>
      <c r="AY367" s="32" t="str">
        <f t="shared" si="221"/>
        <v/>
      </c>
      <c r="BA367" s="32" t="str">
        <f>IF($A368="","",F367*Summary!$Q$10)</f>
        <v/>
      </c>
    </row>
    <row r="368" spans="1:53" ht="12" customHeight="1">
      <c r="A368" s="67" t="str">
        <f t="shared" si="222"/>
        <v/>
      </c>
      <c r="B368" s="69" t="str">
        <f t="shared" si="224"/>
        <v/>
      </c>
      <c r="C368" s="71"/>
      <c r="D368" s="69" t="str">
        <f t="shared" si="188"/>
        <v/>
      </c>
      <c r="E368" s="70" t="str">
        <f t="shared" si="189"/>
        <v/>
      </c>
      <c r="F368" s="70" t="str">
        <f t="shared" si="190"/>
        <v/>
      </c>
      <c r="G368" s="63" t="str">
        <f t="shared" si="191"/>
        <v/>
      </c>
      <c r="H368" s="64" t="str">
        <f t="shared" si="192"/>
        <v/>
      </c>
      <c r="I368" s="43"/>
      <c r="J368" s="63" t="str">
        <f t="shared" si="193"/>
        <v/>
      </c>
      <c r="K368" s="64" t="str">
        <f t="shared" si="194"/>
        <v/>
      </c>
      <c r="L368" s="38">
        <v>0</v>
      </c>
      <c r="M368" s="64" t="str">
        <f t="shared" si="195"/>
        <v/>
      </c>
      <c r="N368" s="65"/>
      <c r="O368" s="63" t="str">
        <f t="shared" si="196"/>
        <v/>
      </c>
      <c r="P368" s="63" t="str">
        <f t="shared" si="197"/>
        <v/>
      </c>
      <c r="Q368" s="66"/>
      <c r="R368" s="63" t="str">
        <f t="shared" si="198"/>
        <v/>
      </c>
      <c r="S368" s="64" t="str">
        <f t="shared" si="199"/>
        <v/>
      </c>
      <c r="T368" s="63" t="str">
        <f t="shared" si="200"/>
        <v/>
      </c>
      <c r="U368" s="64" t="str">
        <f t="shared" si="201"/>
        <v/>
      </c>
      <c r="V368" s="219" t="str">
        <f>IF($A369="","",IF(AND(MONTH(A368)&gt;3,MONTH(A368)&lt;11),(T368+R368+G368)*Summary!$T$10/(1-Summary!$T$10),(T368+R368+G368)*Summary!$U$10/(1-Summary!$U$10)))</f>
        <v/>
      </c>
      <c r="W368" s="63" t="str">
        <f t="shared" si="202"/>
        <v/>
      </c>
      <c r="X368" s="63" t="str">
        <f t="shared" si="203"/>
        <v/>
      </c>
      <c r="Y368" s="43"/>
      <c r="Z368" s="38" t="str">
        <f t="shared" si="204"/>
        <v/>
      </c>
      <c r="AA368" s="38" t="str">
        <f t="shared" si="205"/>
        <v/>
      </c>
      <c r="AB368" s="38" t="e">
        <f t="shared" si="206"/>
        <v>#VALUE!</v>
      </c>
      <c r="AC368" s="38" t="str">
        <f t="shared" si="207"/>
        <v/>
      </c>
      <c r="AD368" s="38" t="str">
        <f t="shared" si="207"/>
        <v/>
      </c>
      <c r="AE368" s="38" t="e">
        <f t="shared" si="208"/>
        <v>#VALUE!</v>
      </c>
      <c r="AF368" s="237" t="e">
        <f>((Summary!$N$10*(AA368*AD368)*(A368-$D$3))+(Summary!$M$10*Z368*AC368*(AJ368-EOMONTH(EDATE(A368,-1),0))))/(AK368*AB368*AE368)</f>
        <v>#VALUE!</v>
      </c>
      <c r="AG368" s="88" t="str">
        <f>IF($A369="","",Summary!$Q$10)</f>
        <v/>
      </c>
      <c r="AH368" s="88" t="str">
        <f>IF($A369="","",IF(Summary!$R$10="Y",(VLOOKUP($A368,Summary!$AD$6:$AF$9,3)+'Escalating commodity'!F381),'Escalating commodity'!F381))</f>
        <v/>
      </c>
      <c r="AI368" s="88" t="str">
        <f t="shared" si="223"/>
        <v/>
      </c>
      <c r="AJ368" s="236" t="e">
        <f t="shared" si="209"/>
        <v>#VALUE!</v>
      </c>
      <c r="AK368" s="58" t="str">
        <f t="shared" si="210"/>
        <v/>
      </c>
      <c r="AL368" s="26" t="str">
        <f>IF($A369="","",_xll.SPRDOPT(P368,X368,AI368,0,AB368,AE368,AF368,AK368,$AJ$2,0))</f>
        <v/>
      </c>
      <c r="AM368" s="89" t="str">
        <f t="shared" si="211"/>
        <v/>
      </c>
      <c r="AN368" s="89" t="str">
        <f t="shared" si="212"/>
        <v/>
      </c>
      <c r="AO368" s="3" t="str">
        <f t="shared" si="213"/>
        <v/>
      </c>
      <c r="AP368" s="33" t="str">
        <f t="shared" si="214"/>
        <v/>
      </c>
      <c r="AQ368" s="58" t="str">
        <f t="shared" si="215"/>
        <v/>
      </c>
      <c r="AR368" s="38">
        <f>'ANR OK vs ML7'!AR368</f>
        <v>0.1</v>
      </c>
      <c r="AS368" s="35" t="str">
        <f t="shared" si="216"/>
        <v/>
      </c>
      <c r="AT368" s="3" t="str">
        <f t="shared" si="217"/>
        <v/>
      </c>
      <c r="AU368" s="3" t="str">
        <f t="shared" si="218"/>
        <v/>
      </c>
      <c r="AW368" s="32" t="str">
        <f t="shared" si="219"/>
        <v/>
      </c>
      <c r="AX368" s="32" t="str">
        <f t="shared" si="220"/>
        <v/>
      </c>
      <c r="AY368" s="32" t="str">
        <f t="shared" si="221"/>
        <v/>
      </c>
      <c r="BA368" s="32" t="str">
        <f>IF($A369="","",F368*Summary!$Q$10)</f>
        <v/>
      </c>
    </row>
    <row r="369" spans="1:53" ht="12" customHeight="1">
      <c r="A369" s="67" t="str">
        <f t="shared" si="222"/>
        <v/>
      </c>
      <c r="B369" s="69" t="str">
        <f t="shared" si="224"/>
        <v/>
      </c>
      <c r="C369" s="71"/>
      <c r="D369" s="69" t="str">
        <f t="shared" si="188"/>
        <v/>
      </c>
      <c r="E369" s="70" t="str">
        <f t="shared" si="189"/>
        <v/>
      </c>
      <c r="F369" s="70" t="str">
        <f t="shared" si="190"/>
        <v/>
      </c>
      <c r="G369" s="63" t="str">
        <f t="shared" si="191"/>
        <v/>
      </c>
      <c r="H369" s="64" t="str">
        <f t="shared" si="192"/>
        <v/>
      </c>
      <c r="I369" s="43"/>
      <c r="J369" s="63" t="str">
        <f t="shared" si="193"/>
        <v/>
      </c>
      <c r="K369" s="64" t="str">
        <f t="shared" si="194"/>
        <v/>
      </c>
      <c r="L369" s="38">
        <v>0</v>
      </c>
      <c r="M369" s="64" t="str">
        <f t="shared" si="195"/>
        <v/>
      </c>
      <c r="N369" s="65"/>
      <c r="O369" s="63" t="str">
        <f t="shared" si="196"/>
        <v/>
      </c>
      <c r="P369" s="63" t="str">
        <f t="shared" si="197"/>
        <v/>
      </c>
      <c r="Q369" s="66"/>
      <c r="R369" s="63" t="str">
        <f t="shared" si="198"/>
        <v/>
      </c>
      <c r="S369" s="64" t="str">
        <f t="shared" si="199"/>
        <v/>
      </c>
      <c r="T369" s="63" t="str">
        <f t="shared" si="200"/>
        <v/>
      </c>
      <c r="U369" s="64" t="str">
        <f t="shared" si="201"/>
        <v/>
      </c>
      <c r="V369" s="219" t="str">
        <f>IF($A370="","",IF(AND(MONTH(A369)&gt;3,MONTH(A369)&lt;11),(T369+R369+G369)*Summary!$T$10/(1-Summary!$T$10),(T369+R369+G369)*Summary!$U$10/(1-Summary!$U$10)))</f>
        <v/>
      </c>
      <c r="W369" s="63" t="str">
        <f t="shared" si="202"/>
        <v/>
      </c>
      <c r="X369" s="63" t="str">
        <f t="shared" si="203"/>
        <v/>
      </c>
      <c r="Y369" s="43"/>
      <c r="Z369" s="38" t="str">
        <f t="shared" si="204"/>
        <v/>
      </c>
      <c r="AA369" s="38" t="str">
        <f t="shared" si="205"/>
        <v/>
      </c>
      <c r="AB369" s="38" t="e">
        <f t="shared" si="206"/>
        <v>#VALUE!</v>
      </c>
      <c r="AC369" s="38" t="str">
        <f t="shared" si="207"/>
        <v/>
      </c>
      <c r="AD369" s="38" t="str">
        <f t="shared" si="207"/>
        <v/>
      </c>
      <c r="AE369" s="38" t="e">
        <f t="shared" si="208"/>
        <v>#VALUE!</v>
      </c>
      <c r="AF369" s="237" t="e">
        <f>((Summary!$N$10*(AA369*AD369)*(A369-$D$3))+(Summary!$M$10*Z369*AC369*(AJ369-EOMONTH(EDATE(A369,-1),0))))/(AK369*AB369*AE369)</f>
        <v>#VALUE!</v>
      </c>
      <c r="AG369" s="88" t="str">
        <f>IF($A370="","",Summary!$Q$10)</f>
        <v/>
      </c>
      <c r="AH369" s="88" t="str">
        <f>IF($A370="","",IF(Summary!$R$10="Y",(VLOOKUP($A369,Summary!$AD$6:$AF$9,3)+'Escalating commodity'!F382),'Escalating commodity'!F382))</f>
        <v/>
      </c>
      <c r="AI369" s="88" t="str">
        <f t="shared" si="223"/>
        <v/>
      </c>
      <c r="AJ369" s="236" t="e">
        <f t="shared" si="209"/>
        <v>#VALUE!</v>
      </c>
      <c r="AK369" s="58" t="str">
        <f t="shared" si="210"/>
        <v/>
      </c>
      <c r="AL369" s="26" t="str">
        <f>IF($A370="","",_xll.SPRDOPT(P369,X369,AI369,0,AB369,AE369,AF369,AK369,$AJ$2,0))</f>
        <v/>
      </c>
      <c r="AM369" s="89" t="str">
        <f t="shared" si="211"/>
        <v/>
      </c>
      <c r="AN369" s="89" t="str">
        <f t="shared" si="212"/>
        <v/>
      </c>
      <c r="AO369" s="3" t="str">
        <f t="shared" si="213"/>
        <v/>
      </c>
      <c r="AP369" s="33" t="str">
        <f t="shared" si="214"/>
        <v/>
      </c>
      <c r="AQ369" s="58" t="str">
        <f t="shared" si="215"/>
        <v/>
      </c>
      <c r="AR369" s="38">
        <f>'ANR OK vs ML7'!AR369</f>
        <v>0.1</v>
      </c>
      <c r="AS369" s="35" t="str">
        <f t="shared" si="216"/>
        <v/>
      </c>
      <c r="AT369" s="3" t="str">
        <f t="shared" si="217"/>
        <v/>
      </c>
      <c r="AU369" s="3" t="str">
        <f t="shared" si="218"/>
        <v/>
      </c>
      <c r="AW369" s="32" t="str">
        <f t="shared" si="219"/>
        <v/>
      </c>
      <c r="AX369" s="32" t="str">
        <f t="shared" si="220"/>
        <v/>
      </c>
      <c r="AY369" s="32" t="str">
        <f t="shared" si="221"/>
        <v/>
      </c>
      <c r="BA369" s="32" t="str">
        <f>IF($A370="","",F369*Summary!$Q$10)</f>
        <v/>
      </c>
    </row>
    <row r="370" spans="1:53">
      <c r="A370" s="67" t="str">
        <f t="shared" si="222"/>
        <v/>
      </c>
      <c r="B370" s="69" t="str">
        <f t="shared" si="224"/>
        <v/>
      </c>
      <c r="C370" s="72"/>
      <c r="D370" s="69" t="str">
        <f t="shared" si="188"/>
        <v/>
      </c>
      <c r="E370" s="70" t="str">
        <f t="shared" si="189"/>
        <v/>
      </c>
      <c r="F370" s="70" t="str">
        <f t="shared" si="190"/>
        <v/>
      </c>
      <c r="G370" s="63" t="str">
        <f t="shared" si="191"/>
        <v/>
      </c>
      <c r="H370" s="64" t="str">
        <f t="shared" si="192"/>
        <v/>
      </c>
      <c r="J370" s="63" t="str">
        <f t="shared" si="193"/>
        <v/>
      </c>
      <c r="K370" s="64" t="str">
        <f t="shared" si="194"/>
        <v/>
      </c>
      <c r="L370" s="38">
        <v>0</v>
      </c>
      <c r="M370" s="64" t="str">
        <f t="shared" si="195"/>
        <v/>
      </c>
      <c r="O370" s="63" t="str">
        <f t="shared" si="196"/>
        <v/>
      </c>
      <c r="P370" s="63" t="str">
        <f t="shared" si="197"/>
        <v/>
      </c>
      <c r="R370" s="63" t="str">
        <f t="shared" si="198"/>
        <v/>
      </c>
      <c r="S370" s="64" t="str">
        <f t="shared" si="199"/>
        <v/>
      </c>
      <c r="T370" s="63" t="str">
        <f t="shared" si="200"/>
        <v/>
      </c>
      <c r="U370" s="64" t="str">
        <f t="shared" si="201"/>
        <v/>
      </c>
      <c r="V370" s="219" t="str">
        <f>IF($A371="","",IF(AND(MONTH(A370)&gt;3,MONTH(A370)&lt;11),(T370+R370+G370)*Summary!$T$10/(1-Summary!$T$10),(T370+R370+G370)*Summary!$U$10/(1-Summary!$U$10)))</f>
        <v/>
      </c>
      <c r="W370" s="63" t="str">
        <f t="shared" si="202"/>
        <v/>
      </c>
      <c r="X370" s="63" t="str">
        <f t="shared" si="203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3"/>
        <v/>
      </c>
      <c r="AP370" s="33" t="str">
        <f t="shared" si="214"/>
        <v/>
      </c>
      <c r="AQ370" s="58" t="str">
        <f t="shared" si="215"/>
        <v/>
      </c>
      <c r="AR370" s="38">
        <f>'ANR OK vs ML7'!AR370</f>
        <v>0.1</v>
      </c>
      <c r="AS370" s="35" t="str">
        <f t="shared" si="216"/>
        <v/>
      </c>
      <c r="AT370" s="3" t="str">
        <f t="shared" si="217"/>
        <v/>
      </c>
      <c r="AU370" s="3" t="str">
        <f t="shared" si="218"/>
        <v/>
      </c>
      <c r="AW370" s="32" t="str">
        <f t="shared" si="219"/>
        <v/>
      </c>
      <c r="AX370" s="32" t="str">
        <f t="shared" si="220"/>
        <v/>
      </c>
      <c r="AY370" s="32" t="str">
        <f t="shared" si="221"/>
        <v/>
      </c>
      <c r="BA370" s="32" t="str">
        <f>IF($A371="","",F370*Summary!$Q$10)</f>
        <v/>
      </c>
    </row>
    <row r="371" spans="1:53">
      <c r="A371" s="67" t="str">
        <f t="shared" si="222"/>
        <v/>
      </c>
      <c r="B371" s="69" t="str">
        <f t="shared" si="224"/>
        <v/>
      </c>
      <c r="D371" s="69" t="str">
        <f t="shared" si="188"/>
        <v/>
      </c>
      <c r="E371" s="70" t="str">
        <f t="shared" si="189"/>
        <v/>
      </c>
      <c r="F371" s="70" t="str">
        <f t="shared" si="190"/>
        <v/>
      </c>
      <c r="G371" s="63" t="str">
        <f t="shared" si="191"/>
        <v/>
      </c>
      <c r="H371" s="64" t="str">
        <f t="shared" si="192"/>
        <v/>
      </c>
      <c r="J371" s="63" t="str">
        <f t="shared" si="193"/>
        <v/>
      </c>
      <c r="K371" s="64" t="str">
        <f t="shared" si="194"/>
        <v/>
      </c>
      <c r="L371" s="38">
        <v>0</v>
      </c>
      <c r="M371" s="64" t="str">
        <f t="shared" si="195"/>
        <v/>
      </c>
      <c r="O371" s="63" t="str">
        <f t="shared" si="196"/>
        <v/>
      </c>
      <c r="P371" s="63" t="str">
        <f t="shared" si="197"/>
        <v/>
      </c>
      <c r="R371" s="63" t="str">
        <f t="shared" si="198"/>
        <v/>
      </c>
      <c r="S371" s="64" t="str">
        <f t="shared" si="199"/>
        <v/>
      </c>
      <c r="T371" s="63" t="str">
        <f t="shared" si="200"/>
        <v/>
      </c>
      <c r="U371" s="64" t="str">
        <f t="shared" si="201"/>
        <v/>
      </c>
      <c r="V371" s="219" t="str">
        <f>IF($A372="","",IF(AND(MONTH(A371)&gt;3,MONTH(A371)&lt;11),(T371+R371+G371)*Summary!$T$10/(1-Summary!$T$10),(T371+R371+G371)*Summary!$U$10/(1-Summary!$U$10)))</f>
        <v/>
      </c>
      <c r="W371" s="63" t="str">
        <f t="shared" si="202"/>
        <v/>
      </c>
      <c r="X371" s="63" t="str">
        <f t="shared" si="203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3"/>
        <v/>
      </c>
      <c r="AP371" s="33" t="str">
        <f t="shared" si="214"/>
        <v/>
      </c>
      <c r="AQ371" s="58" t="str">
        <f t="shared" si="215"/>
        <v/>
      </c>
      <c r="AR371" s="38">
        <f>'ANR OK vs ML7'!AR371</f>
        <v>0.1</v>
      </c>
      <c r="AS371" s="35" t="str">
        <f t="shared" si="216"/>
        <v/>
      </c>
      <c r="AT371" s="3" t="str">
        <f t="shared" si="217"/>
        <v/>
      </c>
      <c r="AU371" s="3" t="str">
        <f t="shared" si="218"/>
        <v/>
      </c>
      <c r="AW371" s="32" t="str">
        <f t="shared" si="219"/>
        <v/>
      </c>
      <c r="AX371" s="32" t="str">
        <f t="shared" si="220"/>
        <v/>
      </c>
      <c r="AY371" s="32" t="str">
        <f t="shared" si="221"/>
        <v/>
      </c>
      <c r="BA371" s="32" t="str">
        <f>IF($A372="","",F371*Summary!$Q$10)</f>
        <v/>
      </c>
    </row>
    <row r="372" spans="1:53">
      <c r="A372" s="67" t="str">
        <f t="shared" si="222"/>
        <v/>
      </c>
      <c r="B372" s="69" t="str">
        <f t="shared" si="224"/>
        <v/>
      </c>
      <c r="D372" s="69" t="str">
        <f t="shared" si="188"/>
        <v/>
      </c>
      <c r="E372" s="70" t="str">
        <f t="shared" si="189"/>
        <v/>
      </c>
      <c r="F372" s="70" t="str">
        <f t="shared" si="190"/>
        <v/>
      </c>
      <c r="G372" s="63" t="str">
        <f t="shared" si="191"/>
        <v/>
      </c>
      <c r="H372" s="64" t="str">
        <f t="shared" si="192"/>
        <v/>
      </c>
      <c r="J372" s="63" t="str">
        <f t="shared" si="193"/>
        <v/>
      </c>
      <c r="K372" s="64" t="str">
        <f t="shared" si="194"/>
        <v/>
      </c>
      <c r="L372" s="38">
        <v>0</v>
      </c>
      <c r="M372" s="64" t="str">
        <f t="shared" si="195"/>
        <v/>
      </c>
      <c r="O372" s="63" t="str">
        <f t="shared" si="196"/>
        <v/>
      </c>
      <c r="P372" s="63" t="str">
        <f t="shared" si="197"/>
        <v/>
      </c>
      <c r="R372" s="63" t="str">
        <f t="shared" si="198"/>
        <v/>
      </c>
      <c r="S372" s="64" t="str">
        <f t="shared" si="199"/>
        <v/>
      </c>
      <c r="T372" s="63" t="str">
        <f t="shared" si="200"/>
        <v/>
      </c>
      <c r="U372" s="64" t="str">
        <f t="shared" si="201"/>
        <v/>
      </c>
      <c r="V372" s="219" t="str">
        <f>IF($A373="","",IF(AND(MONTH(A372)&gt;3,MONTH(A372)&lt;11),(T372+R372+G372)*Summary!$T$10/(1-Summary!$T$10),(T372+R372+G372)*Summary!$U$10/(1-Summary!$U$10)))</f>
        <v/>
      </c>
      <c r="W372" s="63" t="str">
        <f t="shared" si="202"/>
        <v/>
      </c>
      <c r="X372" s="63" t="str">
        <f t="shared" si="203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3"/>
        <v/>
      </c>
      <c r="AP372" s="33" t="str">
        <f t="shared" si="214"/>
        <v/>
      </c>
      <c r="AQ372" s="58" t="str">
        <f t="shared" si="215"/>
        <v/>
      </c>
      <c r="AR372" s="38">
        <f>'ANR OK vs ML7'!AR372</f>
        <v>0.1</v>
      </c>
      <c r="AS372" s="35" t="str">
        <f t="shared" si="216"/>
        <v/>
      </c>
      <c r="AT372" s="3" t="str">
        <f t="shared" si="217"/>
        <v/>
      </c>
      <c r="AU372" s="3" t="str">
        <f t="shared" si="218"/>
        <v/>
      </c>
      <c r="AW372" s="32" t="str">
        <f t="shared" si="219"/>
        <v/>
      </c>
      <c r="AX372" s="32" t="str">
        <f t="shared" si="220"/>
        <v/>
      </c>
      <c r="AY372" s="32" t="str">
        <f t="shared" si="221"/>
        <v/>
      </c>
      <c r="BA372" s="32" t="str">
        <f>IF($A373="","",F372*Summary!$Q$10)</f>
        <v/>
      </c>
    </row>
    <row r="373" spans="1:53">
      <c r="A373" s="67" t="str">
        <f t="shared" si="222"/>
        <v/>
      </c>
      <c r="B373" s="69" t="str">
        <f t="shared" si="224"/>
        <v/>
      </c>
      <c r="D373" s="69" t="str">
        <f t="shared" si="188"/>
        <v/>
      </c>
      <c r="E373" s="70" t="str">
        <f t="shared" si="189"/>
        <v/>
      </c>
      <c r="F373" s="70" t="str">
        <f t="shared" si="190"/>
        <v/>
      </c>
      <c r="G373" s="63" t="str">
        <f t="shared" si="191"/>
        <v/>
      </c>
      <c r="H373" s="64" t="str">
        <f t="shared" si="192"/>
        <v/>
      </c>
      <c r="J373" s="63" t="str">
        <f t="shared" si="193"/>
        <v/>
      </c>
      <c r="K373" s="64" t="str">
        <f t="shared" si="194"/>
        <v/>
      </c>
      <c r="L373" s="38">
        <v>0</v>
      </c>
      <c r="M373" s="64" t="str">
        <f t="shared" si="195"/>
        <v/>
      </c>
      <c r="O373" s="63" t="str">
        <f t="shared" si="196"/>
        <v/>
      </c>
      <c r="P373" s="63" t="str">
        <f t="shared" si="197"/>
        <v/>
      </c>
      <c r="R373" s="63" t="str">
        <f t="shared" si="198"/>
        <v/>
      </c>
      <c r="S373" s="64" t="str">
        <f t="shared" si="199"/>
        <v/>
      </c>
      <c r="T373" s="63" t="str">
        <f t="shared" si="200"/>
        <v/>
      </c>
      <c r="U373" s="64" t="str">
        <f t="shared" si="201"/>
        <v/>
      </c>
      <c r="V373" s="219" t="str">
        <f>IF($A374="","",IF(AND(MONTH(A373)&gt;3,MONTH(A373)&lt;11),(T373+R373+G373)*Summary!$T$10/(1-Summary!$T$10),(T373+R373+G373)*Summary!$U$10/(1-Summary!$U$10)))</f>
        <v/>
      </c>
      <c r="W373" s="63" t="str">
        <f t="shared" si="202"/>
        <v/>
      </c>
      <c r="X373" s="63" t="str">
        <f t="shared" si="203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3"/>
        <v/>
      </c>
      <c r="AP373" s="33" t="str">
        <f t="shared" si="214"/>
        <v/>
      </c>
      <c r="AQ373" s="58" t="str">
        <f t="shared" si="215"/>
        <v/>
      </c>
      <c r="AR373" s="38">
        <f>'ANR OK vs ML7'!AR373</f>
        <v>0.1</v>
      </c>
      <c r="AS373" s="35" t="str">
        <f t="shared" si="216"/>
        <v/>
      </c>
      <c r="AT373" s="3" t="str">
        <f t="shared" si="217"/>
        <v/>
      </c>
      <c r="AU373" s="3" t="str">
        <f t="shared" si="218"/>
        <v/>
      </c>
      <c r="AW373" s="32" t="str">
        <f t="shared" si="219"/>
        <v/>
      </c>
      <c r="AX373" s="32" t="str">
        <f t="shared" si="220"/>
        <v/>
      </c>
      <c r="AY373" s="32" t="str">
        <f t="shared" si="221"/>
        <v/>
      </c>
      <c r="BA373" s="32" t="str">
        <f>IF($A374="","",F373*Summary!$Q$10)</f>
        <v/>
      </c>
    </row>
    <row r="374" spans="1:53">
      <c r="A374" s="67" t="str">
        <f t="shared" si="222"/>
        <v/>
      </c>
      <c r="B374" s="69" t="str">
        <f t="shared" si="224"/>
        <v/>
      </c>
      <c r="D374" s="69" t="str">
        <f t="shared" si="188"/>
        <v/>
      </c>
      <c r="E374" s="70" t="str">
        <f t="shared" si="189"/>
        <v/>
      </c>
      <c r="F374" s="70" t="str">
        <f t="shared" si="190"/>
        <v/>
      </c>
      <c r="G374" s="63" t="str">
        <f t="shared" si="191"/>
        <v/>
      </c>
      <c r="H374" s="64" t="str">
        <f t="shared" si="192"/>
        <v/>
      </c>
      <c r="J374" s="63" t="str">
        <f t="shared" si="193"/>
        <v/>
      </c>
      <c r="K374" s="64" t="str">
        <f t="shared" si="194"/>
        <v/>
      </c>
      <c r="L374" s="38">
        <v>0</v>
      </c>
      <c r="M374" s="64" t="str">
        <f t="shared" si="195"/>
        <v/>
      </c>
      <c r="O374" s="63" t="str">
        <f t="shared" si="196"/>
        <v/>
      </c>
      <c r="P374" s="63" t="str">
        <f t="shared" si="197"/>
        <v/>
      </c>
      <c r="R374" s="63" t="str">
        <f t="shared" si="198"/>
        <v/>
      </c>
      <c r="S374" s="64" t="str">
        <f t="shared" si="199"/>
        <v/>
      </c>
      <c r="T374" s="63" t="str">
        <f t="shared" si="200"/>
        <v/>
      </c>
      <c r="U374" s="64" t="str">
        <f t="shared" si="201"/>
        <v/>
      </c>
      <c r="V374" s="219" t="str">
        <f>IF($A375="","",IF(AND(MONTH(A374)&gt;3,MONTH(A374)&lt;11),(T374+R374+G374)*Summary!$T$10/(1-Summary!$T$10),(T374+R374+G374)*Summary!$U$10/(1-Summary!$U$10)))</f>
        <v/>
      </c>
      <c r="W374" s="63" t="str">
        <f t="shared" si="202"/>
        <v/>
      </c>
      <c r="X374" s="63" t="str">
        <f t="shared" si="203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3"/>
        <v/>
      </c>
      <c r="AP374" s="33" t="str">
        <f t="shared" si="214"/>
        <v/>
      </c>
      <c r="AQ374" s="58" t="str">
        <f t="shared" si="215"/>
        <v/>
      </c>
      <c r="AR374" s="38">
        <f>'ANR OK vs ML7'!AR374</f>
        <v>0.1</v>
      </c>
      <c r="AS374" s="35" t="str">
        <f t="shared" si="216"/>
        <v/>
      </c>
      <c r="AT374" s="3" t="str">
        <f t="shared" si="217"/>
        <v/>
      </c>
      <c r="AU374" s="3" t="str">
        <f t="shared" si="218"/>
        <v/>
      </c>
      <c r="AW374" s="32" t="str">
        <f t="shared" si="219"/>
        <v/>
      </c>
      <c r="AX374" s="32" t="str">
        <f t="shared" si="220"/>
        <v/>
      </c>
      <c r="AY374" s="32" t="str">
        <f t="shared" si="221"/>
        <v/>
      </c>
      <c r="BA374" s="32" t="str">
        <f>IF($A375="","",F374*Summary!$Q$10)</f>
        <v/>
      </c>
    </row>
    <row r="375" spans="1:53">
      <c r="A375" s="67" t="str">
        <f t="shared" si="222"/>
        <v/>
      </c>
      <c r="B375" s="69" t="str">
        <f t="shared" si="224"/>
        <v/>
      </c>
      <c r="D375" s="69" t="str">
        <f t="shared" si="188"/>
        <v/>
      </c>
      <c r="E375" s="70" t="str">
        <f t="shared" si="189"/>
        <v/>
      </c>
      <c r="F375" s="70" t="str">
        <f t="shared" si="190"/>
        <v/>
      </c>
      <c r="G375" s="63" t="str">
        <f t="shared" si="191"/>
        <v/>
      </c>
      <c r="H375" s="64" t="str">
        <f t="shared" si="192"/>
        <v/>
      </c>
      <c r="J375" s="63" t="str">
        <f t="shared" si="193"/>
        <v/>
      </c>
      <c r="K375" s="64" t="str">
        <f t="shared" si="194"/>
        <v/>
      </c>
      <c r="L375" s="38">
        <v>0</v>
      </c>
      <c r="M375" s="64" t="str">
        <f t="shared" si="195"/>
        <v/>
      </c>
      <c r="O375" s="63" t="str">
        <f t="shared" si="196"/>
        <v/>
      </c>
      <c r="P375" s="63" t="str">
        <f t="shared" si="197"/>
        <v/>
      </c>
      <c r="R375" s="63" t="str">
        <f t="shared" si="198"/>
        <v/>
      </c>
      <c r="S375" s="64" t="str">
        <f t="shared" si="199"/>
        <v/>
      </c>
      <c r="T375" s="63" t="str">
        <f t="shared" si="200"/>
        <v/>
      </c>
      <c r="U375" s="64" t="str">
        <f t="shared" si="201"/>
        <v/>
      </c>
      <c r="V375" s="219" t="str">
        <f>IF($A376="","",IF(AND(MONTH(A375)&gt;3,MONTH(A375)&lt;11),(T375+R375+G375)*Summary!$T$10/(1-Summary!$T$10),(T375+R375+G375)*Summary!$U$10/(1-Summary!$U$10)))</f>
        <v/>
      </c>
      <c r="W375" s="63" t="str">
        <f t="shared" si="202"/>
        <v/>
      </c>
      <c r="X375" s="63" t="str">
        <f t="shared" si="203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3"/>
        <v/>
      </c>
      <c r="AP375" s="33" t="str">
        <f t="shared" si="214"/>
        <v/>
      </c>
      <c r="AQ375" s="58" t="str">
        <f t="shared" si="215"/>
        <v/>
      </c>
      <c r="AR375" s="38">
        <f>'ANR OK vs ML7'!AR375</f>
        <v>0.1</v>
      </c>
      <c r="AS375" s="35" t="str">
        <f t="shared" si="216"/>
        <v/>
      </c>
      <c r="AT375" s="3" t="str">
        <f t="shared" si="217"/>
        <v/>
      </c>
      <c r="AU375" s="3" t="str">
        <f t="shared" si="218"/>
        <v/>
      </c>
      <c r="AW375" s="32" t="str">
        <f t="shared" si="219"/>
        <v/>
      </c>
      <c r="AX375" s="32" t="str">
        <f t="shared" si="220"/>
        <v/>
      </c>
      <c r="AY375" s="32" t="str">
        <f t="shared" si="221"/>
        <v/>
      </c>
      <c r="BA375" s="32" t="str">
        <f>IF($A376="","",F375*Summary!$Q$10)</f>
        <v/>
      </c>
    </row>
    <row r="376" spans="1:53">
      <c r="A376" s="67" t="str">
        <f t="shared" si="222"/>
        <v/>
      </c>
      <c r="B376" s="69" t="str">
        <f t="shared" si="224"/>
        <v/>
      </c>
      <c r="D376" s="69" t="str">
        <f t="shared" si="188"/>
        <v/>
      </c>
      <c r="E376" s="70" t="str">
        <f t="shared" si="189"/>
        <v/>
      </c>
      <c r="F376" s="70" t="str">
        <f t="shared" si="190"/>
        <v/>
      </c>
      <c r="G376" s="63" t="str">
        <f t="shared" si="191"/>
        <v/>
      </c>
      <c r="H376" s="64" t="str">
        <f t="shared" si="192"/>
        <v/>
      </c>
      <c r="J376" s="63" t="str">
        <f t="shared" si="193"/>
        <v/>
      </c>
      <c r="K376" s="64" t="str">
        <f t="shared" si="194"/>
        <v/>
      </c>
      <c r="L376" s="38">
        <v>0</v>
      </c>
      <c r="M376" s="64" t="str">
        <f t="shared" si="195"/>
        <v/>
      </c>
      <c r="O376" s="63" t="str">
        <f t="shared" si="196"/>
        <v/>
      </c>
      <c r="P376" s="63" t="str">
        <f t="shared" si="197"/>
        <v/>
      </c>
      <c r="R376" s="63" t="str">
        <f t="shared" si="198"/>
        <v/>
      </c>
      <c r="S376" s="64" t="str">
        <f t="shared" si="199"/>
        <v/>
      </c>
      <c r="T376" s="63" t="str">
        <f t="shared" si="200"/>
        <v/>
      </c>
      <c r="U376" s="64" t="str">
        <f t="shared" si="201"/>
        <v/>
      </c>
      <c r="V376" s="219" t="str">
        <f>IF($A377="","",IF(AND(MONTH(A376)&gt;3,MONTH(A376)&lt;11),(T376+R376+G376)*Summary!$T$10/(1-Summary!$T$10),(T376+R376+G376)*Summary!$U$10/(1-Summary!$U$10)))</f>
        <v/>
      </c>
      <c r="W376" s="63" t="str">
        <f t="shared" si="202"/>
        <v/>
      </c>
      <c r="X376" s="63" t="str">
        <f t="shared" si="203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3"/>
        <v/>
      </c>
      <c r="AP376" s="33" t="str">
        <f t="shared" si="214"/>
        <v/>
      </c>
      <c r="AQ376" s="58" t="str">
        <f t="shared" si="215"/>
        <v/>
      </c>
      <c r="AR376" s="38">
        <f>'ANR OK vs ML7'!AR376</f>
        <v>0.1</v>
      </c>
      <c r="AS376" s="35" t="str">
        <f t="shared" si="216"/>
        <v/>
      </c>
      <c r="AT376" s="3" t="str">
        <f t="shared" si="217"/>
        <v/>
      </c>
      <c r="AU376" s="3" t="str">
        <f t="shared" si="218"/>
        <v/>
      </c>
      <c r="AW376" s="32" t="str">
        <f t="shared" si="219"/>
        <v/>
      </c>
      <c r="AX376" s="32" t="str">
        <f t="shared" si="220"/>
        <v/>
      </c>
      <c r="AY376" s="32" t="str">
        <f t="shared" si="221"/>
        <v/>
      </c>
      <c r="BA376" s="32" t="str">
        <f>IF($A377="","",F376*Summary!$Q$10)</f>
        <v/>
      </c>
    </row>
    <row r="377" spans="1:53">
      <c r="A377" s="67" t="str">
        <f t="shared" si="222"/>
        <v/>
      </c>
      <c r="B377" s="69" t="str">
        <f t="shared" si="224"/>
        <v/>
      </c>
      <c r="D377" s="69" t="str">
        <f t="shared" si="188"/>
        <v/>
      </c>
      <c r="E377" s="70" t="str">
        <f t="shared" si="189"/>
        <v/>
      </c>
      <c r="F377" s="70" t="str">
        <f t="shared" si="190"/>
        <v/>
      </c>
      <c r="G377" s="63" t="str">
        <f t="shared" si="191"/>
        <v/>
      </c>
      <c r="H377" s="64" t="str">
        <f t="shared" si="192"/>
        <v/>
      </c>
      <c r="J377" s="63" t="str">
        <f t="shared" si="193"/>
        <v/>
      </c>
      <c r="K377" s="64" t="str">
        <f t="shared" si="194"/>
        <v/>
      </c>
      <c r="L377" s="38">
        <v>0</v>
      </c>
      <c r="M377" s="64" t="str">
        <f t="shared" si="195"/>
        <v/>
      </c>
      <c r="O377" s="63" t="str">
        <f t="shared" si="196"/>
        <v/>
      </c>
      <c r="P377" s="63" t="str">
        <f t="shared" si="197"/>
        <v/>
      </c>
      <c r="R377" s="63" t="str">
        <f t="shared" si="198"/>
        <v/>
      </c>
      <c r="S377" s="64" t="str">
        <f t="shared" si="199"/>
        <v/>
      </c>
      <c r="T377" s="63" t="str">
        <f t="shared" si="200"/>
        <v/>
      </c>
      <c r="U377" s="64" t="str">
        <f t="shared" si="201"/>
        <v/>
      </c>
      <c r="V377" s="219" t="str">
        <f>IF($A378="","",IF(AND(MONTH(A377)&gt;3,MONTH(A377)&lt;11),(T377+R377+G377)*Summary!$T$10/(1-Summary!$T$10),(T377+R377+G377)*Summary!$U$10/(1-Summary!$U$10)))</f>
        <v/>
      </c>
      <c r="W377" s="63" t="str">
        <f t="shared" si="202"/>
        <v/>
      </c>
      <c r="X377" s="63" t="str">
        <f t="shared" si="203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3"/>
        <v/>
      </c>
      <c r="AP377" s="33" t="str">
        <f t="shared" si="214"/>
        <v/>
      </c>
      <c r="AQ377" s="58" t="str">
        <f t="shared" si="215"/>
        <v/>
      </c>
      <c r="AR377" s="38">
        <f>'ANR OK vs ML7'!AR377</f>
        <v>0.1</v>
      </c>
      <c r="AS377" s="35" t="str">
        <f t="shared" si="216"/>
        <v/>
      </c>
      <c r="AT377" s="3" t="str">
        <f t="shared" si="217"/>
        <v/>
      </c>
      <c r="AU377" s="3" t="str">
        <f t="shared" si="218"/>
        <v/>
      </c>
      <c r="AW377" s="32" t="str">
        <f t="shared" si="219"/>
        <v/>
      </c>
      <c r="AX377" s="32" t="str">
        <f t="shared" si="220"/>
        <v/>
      </c>
      <c r="AY377" s="32" t="str">
        <f t="shared" si="221"/>
        <v/>
      </c>
      <c r="BA377" s="32" t="str">
        <f>IF($A378="","",F377*Summary!$Q$10)</f>
        <v/>
      </c>
    </row>
    <row r="378" spans="1:53">
      <c r="A378" s="67" t="str">
        <f t="shared" si="222"/>
        <v/>
      </c>
      <c r="B378" s="69" t="str">
        <f t="shared" si="224"/>
        <v/>
      </c>
      <c r="D378" s="69" t="str">
        <f t="shared" si="188"/>
        <v/>
      </c>
      <c r="E378" s="70" t="str">
        <f t="shared" si="189"/>
        <v/>
      </c>
      <c r="F378" s="70" t="str">
        <f t="shared" si="190"/>
        <v/>
      </c>
      <c r="G378" s="63" t="str">
        <f t="shared" si="191"/>
        <v/>
      </c>
      <c r="H378" s="64" t="str">
        <f t="shared" si="192"/>
        <v/>
      </c>
      <c r="J378" s="63" t="str">
        <f t="shared" si="193"/>
        <v/>
      </c>
      <c r="K378" s="64" t="str">
        <f t="shared" si="194"/>
        <v/>
      </c>
      <c r="L378" s="38">
        <v>0</v>
      </c>
      <c r="M378" s="64" t="str">
        <f t="shared" si="195"/>
        <v/>
      </c>
      <c r="O378" s="63" t="str">
        <f t="shared" si="196"/>
        <v/>
      </c>
      <c r="P378" s="63" t="str">
        <f t="shared" si="197"/>
        <v/>
      </c>
      <c r="R378" s="63" t="str">
        <f t="shared" si="198"/>
        <v/>
      </c>
      <c r="S378" s="64" t="str">
        <f t="shared" si="199"/>
        <v/>
      </c>
      <c r="T378" s="63" t="str">
        <f t="shared" si="200"/>
        <v/>
      </c>
      <c r="U378" s="64" t="str">
        <f t="shared" si="201"/>
        <v/>
      </c>
      <c r="V378" s="219" t="str">
        <f>IF($A379="","",IF(AND(MONTH(A378)&gt;3,MONTH(A378)&lt;11),(T378+R378+G378)*Summary!$T$10/(1-Summary!$T$10),(T378+R378+G378)*Summary!$U$10/(1-Summary!$U$10)))</f>
        <v/>
      </c>
      <c r="W378" s="63" t="str">
        <f t="shared" si="202"/>
        <v/>
      </c>
      <c r="X378" s="63" t="str">
        <f t="shared" si="203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3"/>
        <v/>
      </c>
      <c r="AP378" s="33" t="str">
        <f t="shared" si="214"/>
        <v/>
      </c>
      <c r="AQ378" s="58" t="str">
        <f t="shared" si="215"/>
        <v/>
      </c>
      <c r="AR378" s="38">
        <f>'ANR OK vs ML7'!AR378</f>
        <v>0.1</v>
      </c>
      <c r="AS378" s="35" t="str">
        <f t="shared" si="216"/>
        <v/>
      </c>
      <c r="AT378" s="3" t="str">
        <f t="shared" si="217"/>
        <v/>
      </c>
      <c r="AU378" s="3" t="str">
        <f t="shared" si="218"/>
        <v/>
      </c>
      <c r="AW378" s="32" t="str">
        <f t="shared" si="219"/>
        <v/>
      </c>
      <c r="AX378" s="32" t="str">
        <f t="shared" si="220"/>
        <v/>
      </c>
      <c r="AY378" s="32" t="str">
        <f t="shared" si="221"/>
        <v/>
      </c>
      <c r="BA378" s="32" t="str">
        <f>IF($A379="","",F378*Summary!$Q$10)</f>
        <v/>
      </c>
    </row>
    <row r="379" spans="1:53">
      <c r="A379" s="67" t="str">
        <f t="shared" si="222"/>
        <v/>
      </c>
      <c r="B379" s="69" t="str">
        <f t="shared" si="224"/>
        <v/>
      </c>
      <c r="D379" s="69" t="str">
        <f t="shared" si="188"/>
        <v/>
      </c>
      <c r="E379" s="70" t="str">
        <f t="shared" si="189"/>
        <v/>
      </c>
      <c r="F379" s="70" t="str">
        <f t="shared" si="190"/>
        <v/>
      </c>
      <c r="G379" s="63" t="str">
        <f t="shared" si="191"/>
        <v/>
      </c>
      <c r="H379" s="64" t="str">
        <f t="shared" si="192"/>
        <v/>
      </c>
      <c r="J379" s="63" t="str">
        <f t="shared" si="193"/>
        <v/>
      </c>
      <c r="K379" s="64" t="str">
        <f t="shared" si="194"/>
        <v/>
      </c>
      <c r="L379" s="38">
        <v>0</v>
      </c>
      <c r="M379" s="64" t="str">
        <f t="shared" si="195"/>
        <v/>
      </c>
      <c r="O379" s="63" t="str">
        <f t="shared" si="196"/>
        <v/>
      </c>
      <c r="P379" s="63" t="str">
        <f t="shared" si="197"/>
        <v/>
      </c>
      <c r="R379" s="63" t="str">
        <f t="shared" si="198"/>
        <v/>
      </c>
      <c r="S379" s="64" t="str">
        <f t="shared" si="199"/>
        <v/>
      </c>
      <c r="T379" s="63" t="str">
        <f t="shared" si="200"/>
        <v/>
      </c>
      <c r="U379" s="64" t="str">
        <f t="shared" si="201"/>
        <v/>
      </c>
      <c r="V379" s="219" t="str">
        <f>IF($A380="","",IF(AND(MONTH(A379)&gt;3,MONTH(A379)&lt;11),(T379+R379+G379)*Summary!$T$10/(1-Summary!$T$10),(T379+R379+G379)*Summary!$U$10/(1-Summary!$U$10)))</f>
        <v/>
      </c>
      <c r="W379" s="63" t="str">
        <f t="shared" si="202"/>
        <v/>
      </c>
      <c r="X379" s="63" t="str">
        <f t="shared" si="203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3"/>
        <v/>
      </c>
      <c r="AP379" s="33" t="str">
        <f t="shared" si="214"/>
        <v/>
      </c>
      <c r="AQ379" s="58" t="str">
        <f t="shared" si="215"/>
        <v/>
      </c>
      <c r="AR379" s="38">
        <f>'ANR OK vs ML7'!AR379</f>
        <v>0.1</v>
      </c>
      <c r="AS379" s="35" t="str">
        <f t="shared" si="216"/>
        <v/>
      </c>
      <c r="AT379" s="3" t="str">
        <f t="shared" si="217"/>
        <v/>
      </c>
      <c r="AU379" s="3" t="str">
        <f t="shared" si="218"/>
        <v/>
      </c>
      <c r="AW379" s="32" t="str">
        <f t="shared" si="219"/>
        <v/>
      </c>
      <c r="AX379" s="32" t="str">
        <f t="shared" si="220"/>
        <v/>
      </c>
      <c r="AY379" s="32" t="str">
        <f t="shared" si="221"/>
        <v/>
      </c>
      <c r="BA379" s="32" t="str">
        <f>IF($A380="","",F379*Summary!$Q$10)</f>
        <v/>
      </c>
    </row>
    <row r="380" spans="1:53">
      <c r="A380" s="67" t="str">
        <f t="shared" si="222"/>
        <v/>
      </c>
      <c r="B380" s="69" t="str">
        <f t="shared" si="224"/>
        <v/>
      </c>
      <c r="D380" s="69" t="str">
        <f t="shared" si="188"/>
        <v/>
      </c>
      <c r="E380" s="70" t="str">
        <f t="shared" si="189"/>
        <v/>
      </c>
      <c r="F380" s="70" t="str">
        <f t="shared" si="190"/>
        <v/>
      </c>
      <c r="G380" s="63" t="str">
        <f t="shared" si="191"/>
        <v/>
      </c>
      <c r="H380" s="64" t="str">
        <f t="shared" si="192"/>
        <v/>
      </c>
      <c r="J380" s="63" t="str">
        <f t="shared" si="193"/>
        <v/>
      </c>
      <c r="K380" s="64" t="str">
        <f t="shared" si="194"/>
        <v/>
      </c>
      <c r="L380" s="38">
        <v>0</v>
      </c>
      <c r="M380" s="64" t="str">
        <f t="shared" si="195"/>
        <v/>
      </c>
      <c r="O380" s="63" t="str">
        <f t="shared" si="196"/>
        <v/>
      </c>
      <c r="P380" s="63" t="str">
        <f t="shared" si="197"/>
        <v/>
      </c>
      <c r="R380" s="63" t="str">
        <f t="shared" si="198"/>
        <v/>
      </c>
      <c r="S380" s="64" t="str">
        <f t="shared" si="199"/>
        <v/>
      </c>
      <c r="T380" s="63" t="str">
        <f t="shared" si="200"/>
        <v/>
      </c>
      <c r="U380" s="64" t="str">
        <f t="shared" si="201"/>
        <v/>
      </c>
      <c r="V380" s="219" t="str">
        <f>IF($A381="","",IF(AND(MONTH(A380)&gt;3,MONTH(A380)&lt;11),(T380+R380+G380)*Summary!$T$10/(1-Summary!$T$10),(T380+R380+G380)*Summary!$U$10/(1-Summary!$U$10)))</f>
        <v/>
      </c>
      <c r="W380" s="63" t="str">
        <f t="shared" si="202"/>
        <v/>
      </c>
      <c r="X380" s="63" t="str">
        <f t="shared" si="203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3"/>
        <v/>
      </c>
      <c r="AP380" s="33" t="str">
        <f t="shared" si="214"/>
        <v/>
      </c>
      <c r="AQ380" s="58" t="str">
        <f t="shared" si="215"/>
        <v/>
      </c>
      <c r="AR380" s="38">
        <f>'ANR OK vs ML7'!AR380</f>
        <v>0.1</v>
      </c>
      <c r="AS380" s="35" t="str">
        <f t="shared" si="216"/>
        <v/>
      </c>
      <c r="AT380" s="3" t="str">
        <f t="shared" si="217"/>
        <v/>
      </c>
      <c r="AU380" s="3" t="str">
        <f t="shared" si="218"/>
        <v/>
      </c>
      <c r="AW380" s="32" t="str">
        <f t="shared" si="219"/>
        <v/>
      </c>
      <c r="AX380" s="32" t="str">
        <f t="shared" si="220"/>
        <v/>
      </c>
      <c r="AY380" s="32" t="str">
        <f t="shared" si="221"/>
        <v/>
      </c>
      <c r="BA380" s="32" t="str">
        <f>IF($A381="","",F380*Summary!$Q$10)</f>
        <v/>
      </c>
    </row>
    <row r="381" spans="1:53">
      <c r="A381" s="67" t="str">
        <f t="shared" si="222"/>
        <v/>
      </c>
      <c r="B381" s="69" t="str">
        <f t="shared" si="224"/>
        <v/>
      </c>
      <c r="D381" s="69" t="str">
        <f t="shared" si="188"/>
        <v/>
      </c>
      <c r="E381" s="70" t="str">
        <f t="shared" si="189"/>
        <v/>
      </c>
      <c r="F381" s="70" t="str">
        <f t="shared" si="190"/>
        <v/>
      </c>
      <c r="G381" s="63" t="str">
        <f t="shared" si="191"/>
        <v/>
      </c>
      <c r="H381" s="64" t="str">
        <f t="shared" si="192"/>
        <v/>
      </c>
      <c r="J381" s="63" t="str">
        <f t="shared" si="193"/>
        <v/>
      </c>
      <c r="K381" s="64" t="str">
        <f t="shared" si="194"/>
        <v/>
      </c>
      <c r="L381" s="38">
        <v>0</v>
      </c>
      <c r="M381" s="64" t="str">
        <f t="shared" si="195"/>
        <v/>
      </c>
      <c r="O381" s="63" t="str">
        <f t="shared" si="196"/>
        <v/>
      </c>
      <c r="P381" s="63" t="str">
        <f t="shared" si="197"/>
        <v/>
      </c>
      <c r="R381" s="63" t="str">
        <f t="shared" si="198"/>
        <v/>
      </c>
      <c r="S381" s="64" t="str">
        <f t="shared" si="199"/>
        <v/>
      </c>
      <c r="T381" s="63" t="str">
        <f t="shared" si="200"/>
        <v/>
      </c>
      <c r="U381" s="64" t="str">
        <f t="shared" si="201"/>
        <v/>
      </c>
      <c r="V381" s="219" t="str">
        <f>IF($A382="","",IF(AND(MONTH(A381)&gt;3,MONTH(A381)&lt;11),(T381+R381+G381)*Summary!$T$10/(1-Summary!$T$10),(T381+R381+G381)*Summary!$U$10/(1-Summary!$U$10)))</f>
        <v/>
      </c>
      <c r="W381" s="63" t="str">
        <f t="shared" si="202"/>
        <v/>
      </c>
      <c r="X381" s="63" t="str">
        <f t="shared" si="203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3"/>
        <v/>
      </c>
      <c r="AP381" s="33" t="str">
        <f t="shared" si="214"/>
        <v/>
      </c>
      <c r="AQ381" s="58" t="str">
        <f t="shared" si="215"/>
        <v/>
      </c>
      <c r="AR381" s="38">
        <f>'ANR OK vs ML7'!AR381</f>
        <v>0.1</v>
      </c>
      <c r="AS381" s="35" t="str">
        <f t="shared" si="216"/>
        <v/>
      </c>
      <c r="AT381" s="3" t="str">
        <f t="shared" si="217"/>
        <v/>
      </c>
      <c r="AU381" s="3" t="str">
        <f t="shared" si="218"/>
        <v/>
      </c>
      <c r="AW381" s="32" t="str">
        <f t="shared" si="219"/>
        <v/>
      </c>
      <c r="AX381" s="32" t="str">
        <f t="shared" si="220"/>
        <v/>
      </c>
      <c r="AY381" s="32" t="str">
        <f t="shared" si="221"/>
        <v/>
      </c>
      <c r="BA381" s="32" t="str">
        <f>IF($A382="","",F381*Summary!$Q$10)</f>
        <v/>
      </c>
    </row>
    <row r="382" spans="1:53">
      <c r="A382" s="67" t="str">
        <f t="shared" si="222"/>
        <v/>
      </c>
      <c r="B382" s="69" t="str">
        <f t="shared" si="224"/>
        <v/>
      </c>
      <c r="D382" s="69" t="str">
        <f t="shared" si="188"/>
        <v/>
      </c>
      <c r="E382" s="70" t="str">
        <f t="shared" si="189"/>
        <v/>
      </c>
      <c r="F382" s="70" t="str">
        <f t="shared" si="190"/>
        <v/>
      </c>
      <c r="G382" s="63" t="str">
        <f t="shared" si="191"/>
        <v/>
      </c>
      <c r="H382" s="64" t="str">
        <f t="shared" si="192"/>
        <v/>
      </c>
      <c r="J382" s="63" t="str">
        <f t="shared" si="193"/>
        <v/>
      </c>
      <c r="K382" s="64" t="str">
        <f t="shared" si="194"/>
        <v/>
      </c>
      <c r="L382" s="38">
        <v>0</v>
      </c>
      <c r="M382" s="64" t="str">
        <f t="shared" si="195"/>
        <v/>
      </c>
      <c r="O382" s="63" t="str">
        <f t="shared" si="196"/>
        <v/>
      </c>
      <c r="P382" s="63" t="str">
        <f t="shared" si="197"/>
        <v/>
      </c>
      <c r="R382" s="63" t="str">
        <f t="shared" si="198"/>
        <v/>
      </c>
      <c r="S382" s="64" t="str">
        <f t="shared" si="199"/>
        <v/>
      </c>
      <c r="T382" s="63" t="str">
        <f t="shared" si="200"/>
        <v/>
      </c>
      <c r="U382" s="64" t="str">
        <f t="shared" si="201"/>
        <v/>
      </c>
      <c r="V382" s="219" t="str">
        <f>IF($A383="","",IF(AND(MONTH(A382)&gt;3,MONTH(A382)&lt;11),(T382+R382+G382)*Summary!$T$10/(1-Summary!$T$10),(T382+R382+G382)*Summary!$U$10/(1-Summary!$U$10)))</f>
        <v/>
      </c>
      <c r="W382" s="63" t="str">
        <f t="shared" si="202"/>
        <v/>
      </c>
      <c r="X382" s="63" t="str">
        <f t="shared" si="203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3"/>
        <v/>
      </c>
      <c r="AP382" s="33" t="str">
        <f t="shared" si="214"/>
        <v/>
      </c>
      <c r="AQ382" s="58" t="str">
        <f t="shared" si="215"/>
        <v/>
      </c>
      <c r="AR382" s="38">
        <f>'ANR OK vs ML7'!AR382</f>
        <v>0.1</v>
      </c>
      <c r="AS382" s="35" t="str">
        <f t="shared" si="216"/>
        <v/>
      </c>
      <c r="AT382" s="3" t="str">
        <f t="shared" si="217"/>
        <v/>
      </c>
      <c r="AU382" s="3" t="str">
        <f t="shared" si="218"/>
        <v/>
      </c>
      <c r="AW382" s="32" t="str">
        <f t="shared" si="219"/>
        <v/>
      </c>
      <c r="AX382" s="32" t="str">
        <f t="shared" si="220"/>
        <v/>
      </c>
      <c r="AY382" s="32" t="str">
        <f t="shared" si="221"/>
        <v/>
      </c>
      <c r="BA382" s="32" t="str">
        <f>IF($A383="","",F382*Summary!$Q$10)</f>
        <v/>
      </c>
    </row>
    <row r="383" spans="1:53">
      <c r="A383" s="67" t="str">
        <f t="shared" si="222"/>
        <v/>
      </c>
      <c r="B383" s="69" t="str">
        <f t="shared" si="224"/>
        <v/>
      </c>
      <c r="D383" s="69" t="str">
        <f t="shared" si="188"/>
        <v/>
      </c>
      <c r="E383" s="70" t="str">
        <f t="shared" si="189"/>
        <v/>
      </c>
      <c r="F383" s="70" t="str">
        <f t="shared" si="190"/>
        <v/>
      </c>
      <c r="G383" s="63" t="str">
        <f t="shared" si="191"/>
        <v/>
      </c>
      <c r="H383" s="64" t="str">
        <f t="shared" si="192"/>
        <v/>
      </c>
      <c r="J383" s="63" t="str">
        <f t="shared" si="193"/>
        <v/>
      </c>
      <c r="K383" s="64" t="str">
        <f t="shared" si="194"/>
        <v/>
      </c>
      <c r="L383" s="38">
        <v>0</v>
      </c>
      <c r="M383" s="64" t="str">
        <f t="shared" si="195"/>
        <v/>
      </c>
      <c r="O383" s="63" t="str">
        <f t="shared" si="196"/>
        <v/>
      </c>
      <c r="P383" s="63" t="str">
        <f t="shared" si="197"/>
        <v/>
      </c>
      <c r="R383" s="63" t="str">
        <f t="shared" si="198"/>
        <v/>
      </c>
      <c r="S383" s="64" t="str">
        <f t="shared" si="199"/>
        <v/>
      </c>
      <c r="T383" s="63" t="str">
        <f t="shared" si="200"/>
        <v/>
      </c>
      <c r="U383" s="64" t="str">
        <f t="shared" si="201"/>
        <v/>
      </c>
      <c r="V383" s="219" t="str">
        <f>IF($A384="","",IF(AND(MONTH(A383)&gt;3,MONTH(A383)&lt;11),(T383+R383+G383)*Summary!$T$10/(1-Summary!$T$10),(T383+R383+G383)*Summary!$U$10/(1-Summary!$U$10)))</f>
        <v/>
      </c>
      <c r="W383" s="63" t="str">
        <f t="shared" si="202"/>
        <v/>
      </c>
      <c r="X383" s="63" t="str">
        <f t="shared" si="203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3"/>
        <v/>
      </c>
      <c r="AP383" s="33" t="str">
        <f t="shared" si="214"/>
        <v/>
      </c>
      <c r="AQ383" s="58" t="str">
        <f t="shared" si="215"/>
        <v/>
      </c>
      <c r="AR383" s="38">
        <f>'ANR OK vs ML7'!AR383</f>
        <v>0.1</v>
      </c>
      <c r="AS383" s="35" t="str">
        <f t="shared" si="216"/>
        <v/>
      </c>
      <c r="AT383" s="3" t="str">
        <f t="shared" si="217"/>
        <v/>
      </c>
      <c r="AU383" s="3" t="str">
        <f t="shared" si="218"/>
        <v/>
      </c>
      <c r="AW383" s="32" t="str">
        <f t="shared" si="219"/>
        <v/>
      </c>
      <c r="AX383" s="32" t="str">
        <f t="shared" si="220"/>
        <v/>
      </c>
      <c r="AY383" s="32" t="str">
        <f t="shared" si="221"/>
        <v/>
      </c>
      <c r="BA383" s="32" t="str">
        <f>IF($A384="","",F383*Summary!$Q$10)</f>
        <v/>
      </c>
    </row>
    <row r="384" spans="1:53">
      <c r="A384" s="67" t="str">
        <f t="shared" si="222"/>
        <v/>
      </c>
      <c r="B384" s="69" t="str">
        <f t="shared" si="224"/>
        <v/>
      </c>
      <c r="D384" s="69" t="str">
        <f t="shared" si="188"/>
        <v/>
      </c>
      <c r="E384" s="70" t="str">
        <f t="shared" si="189"/>
        <v/>
      </c>
      <c r="F384" s="70" t="str">
        <f t="shared" si="190"/>
        <v/>
      </c>
      <c r="G384" s="63" t="str">
        <f t="shared" si="191"/>
        <v/>
      </c>
      <c r="H384" s="64" t="str">
        <f t="shared" si="192"/>
        <v/>
      </c>
      <c r="J384" s="63" t="str">
        <f t="shared" si="193"/>
        <v/>
      </c>
      <c r="K384" s="64" t="str">
        <f t="shared" si="194"/>
        <v/>
      </c>
      <c r="L384" s="38">
        <v>0</v>
      </c>
      <c r="M384" s="64" t="str">
        <f t="shared" si="195"/>
        <v/>
      </c>
      <c r="O384" s="63" t="str">
        <f t="shared" si="196"/>
        <v/>
      </c>
      <c r="P384" s="63" t="str">
        <f t="shared" si="197"/>
        <v/>
      </c>
      <c r="R384" s="63" t="str">
        <f t="shared" si="198"/>
        <v/>
      </c>
      <c r="S384" s="64" t="str">
        <f t="shared" si="199"/>
        <v/>
      </c>
      <c r="T384" s="63" t="str">
        <f t="shared" si="200"/>
        <v/>
      </c>
      <c r="U384" s="64" t="str">
        <f t="shared" si="201"/>
        <v/>
      </c>
      <c r="V384" s="219" t="str">
        <f>IF($A385="","",IF(AND(MONTH(A384)&gt;3,MONTH(A384)&lt;11),(T384+R384+G384)*Summary!$T$10/(1-Summary!$T$10),(T384+R384+G384)*Summary!$U$10/(1-Summary!$U$10)))</f>
        <v/>
      </c>
      <c r="W384" s="63" t="str">
        <f t="shared" si="202"/>
        <v/>
      </c>
      <c r="X384" s="63" t="str">
        <f t="shared" si="203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3"/>
        <v/>
      </c>
      <c r="AP384" s="33" t="str">
        <f t="shared" si="214"/>
        <v/>
      </c>
      <c r="AQ384" s="58" t="str">
        <f t="shared" si="215"/>
        <v/>
      </c>
      <c r="AR384" s="38">
        <f>'ANR OK vs ML7'!AR384</f>
        <v>0.1</v>
      </c>
      <c r="AS384" s="35" t="str">
        <f t="shared" si="216"/>
        <v/>
      </c>
      <c r="AT384" s="3" t="str">
        <f t="shared" si="217"/>
        <v/>
      </c>
      <c r="AU384" s="3" t="str">
        <f t="shared" si="218"/>
        <v/>
      </c>
      <c r="AW384" s="32" t="str">
        <f t="shared" si="219"/>
        <v/>
      </c>
      <c r="AX384" s="32" t="str">
        <f t="shared" si="220"/>
        <v/>
      </c>
      <c r="AY384" s="32" t="str">
        <f t="shared" si="221"/>
        <v/>
      </c>
      <c r="BA384" s="32" t="str">
        <f>IF($A385="","",F384*Summary!$Q$10)</f>
        <v/>
      </c>
    </row>
    <row r="385" spans="1:53">
      <c r="A385" s="67" t="str">
        <f t="shared" si="222"/>
        <v/>
      </c>
      <c r="B385" s="69" t="str">
        <f t="shared" si="224"/>
        <v/>
      </c>
      <c r="D385" s="69" t="str">
        <f t="shared" si="188"/>
        <v/>
      </c>
      <c r="E385" s="70" t="str">
        <f t="shared" si="189"/>
        <v/>
      </c>
      <c r="F385" s="70" t="str">
        <f t="shared" si="190"/>
        <v/>
      </c>
      <c r="G385" s="63" t="str">
        <f t="shared" si="191"/>
        <v/>
      </c>
      <c r="H385" s="64" t="str">
        <f t="shared" si="192"/>
        <v/>
      </c>
      <c r="J385" s="63" t="str">
        <f t="shared" si="193"/>
        <v/>
      </c>
      <c r="K385" s="64" t="str">
        <f t="shared" si="194"/>
        <v/>
      </c>
      <c r="L385" s="38">
        <v>0</v>
      </c>
      <c r="M385" s="64" t="str">
        <f t="shared" si="195"/>
        <v/>
      </c>
      <c r="O385" s="63" t="str">
        <f t="shared" si="196"/>
        <v/>
      </c>
      <c r="P385" s="63" t="str">
        <f t="shared" si="197"/>
        <v/>
      </c>
      <c r="R385" s="63" t="str">
        <f t="shared" si="198"/>
        <v/>
      </c>
      <c r="S385" s="64" t="str">
        <f t="shared" si="199"/>
        <v/>
      </c>
      <c r="T385" s="63" t="str">
        <f t="shared" si="200"/>
        <v/>
      </c>
      <c r="U385" s="64" t="str">
        <f t="shared" si="201"/>
        <v/>
      </c>
      <c r="V385" s="219" t="str">
        <f>IF($A386="","",IF(AND(MONTH(A385)&gt;3,MONTH(A385)&lt;11),(T385+R385+G385)*Summary!$T$10/(1-Summary!$T$10),(T385+R385+G385)*Summary!$U$10/(1-Summary!$U$10)))</f>
        <v/>
      </c>
      <c r="W385" s="63" t="str">
        <f t="shared" si="202"/>
        <v/>
      </c>
      <c r="X385" s="63" t="str">
        <f t="shared" si="203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3"/>
        <v/>
      </c>
      <c r="AP385" s="33" t="str">
        <f t="shared" si="214"/>
        <v/>
      </c>
      <c r="AQ385" s="58" t="str">
        <f t="shared" si="215"/>
        <v/>
      </c>
      <c r="AR385" s="38">
        <f>'ANR OK vs ML7'!AR385</f>
        <v>0.1</v>
      </c>
      <c r="AS385" s="35" t="str">
        <f t="shared" si="216"/>
        <v/>
      </c>
      <c r="AT385" s="3" t="str">
        <f t="shared" si="217"/>
        <v/>
      </c>
      <c r="AU385" s="3" t="str">
        <f t="shared" si="218"/>
        <v/>
      </c>
      <c r="AW385" s="32" t="str">
        <f t="shared" si="219"/>
        <v/>
      </c>
      <c r="AX385" s="32" t="str">
        <f t="shared" si="220"/>
        <v/>
      </c>
      <c r="AY385" s="32" t="str">
        <f t="shared" si="221"/>
        <v/>
      </c>
      <c r="BA385" s="32" t="str">
        <f>IF($A386="","",F385*Summary!$Q$10)</f>
        <v/>
      </c>
    </row>
    <row r="386" spans="1:53">
      <c r="A386" s="67" t="str">
        <f t="shared" si="222"/>
        <v/>
      </c>
      <c r="B386" s="69" t="str">
        <f t="shared" si="224"/>
        <v/>
      </c>
      <c r="D386" s="69" t="str">
        <f t="shared" si="188"/>
        <v/>
      </c>
      <c r="E386" s="70" t="str">
        <f t="shared" si="189"/>
        <v/>
      </c>
      <c r="F386" s="70" t="str">
        <f t="shared" si="190"/>
        <v/>
      </c>
      <c r="G386" s="63" t="str">
        <f t="shared" si="191"/>
        <v/>
      </c>
      <c r="H386" s="64" t="str">
        <f t="shared" si="192"/>
        <v/>
      </c>
      <c r="J386" s="63" t="str">
        <f t="shared" si="193"/>
        <v/>
      </c>
      <c r="K386" s="64" t="str">
        <f t="shared" si="194"/>
        <v/>
      </c>
      <c r="L386" s="38">
        <v>0</v>
      </c>
      <c r="M386" s="64" t="str">
        <f t="shared" si="195"/>
        <v/>
      </c>
      <c r="O386" s="63" t="str">
        <f t="shared" si="196"/>
        <v/>
      </c>
      <c r="P386" s="63" t="str">
        <f t="shared" si="197"/>
        <v/>
      </c>
      <c r="R386" s="63" t="str">
        <f t="shared" si="198"/>
        <v/>
      </c>
      <c r="S386" s="64" t="str">
        <f t="shared" si="199"/>
        <v/>
      </c>
      <c r="T386" s="63" t="str">
        <f t="shared" si="200"/>
        <v/>
      </c>
      <c r="U386" s="64" t="str">
        <f t="shared" si="201"/>
        <v/>
      </c>
      <c r="V386" s="219" t="str">
        <f>IF($A387="","",IF(AND(MONTH(A386)&gt;3,MONTH(A386)&lt;11),(T386+R386+G386)*Summary!$T$10/(1-Summary!$T$10),(T386+R386+G386)*Summary!$U$10/(1-Summary!$U$10)))</f>
        <v/>
      </c>
      <c r="W386" s="63" t="str">
        <f t="shared" si="202"/>
        <v/>
      </c>
      <c r="X386" s="63" t="str">
        <f t="shared" si="203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3"/>
        <v/>
      </c>
      <c r="AP386" s="33" t="str">
        <f t="shared" si="214"/>
        <v/>
      </c>
      <c r="AQ386" s="58" t="str">
        <f t="shared" si="215"/>
        <v/>
      </c>
      <c r="AR386" s="38">
        <f>'ANR OK vs ML7'!AR386</f>
        <v>0.1</v>
      </c>
      <c r="AS386" s="35" t="str">
        <f t="shared" si="216"/>
        <v/>
      </c>
      <c r="AT386" s="3" t="str">
        <f t="shared" si="217"/>
        <v/>
      </c>
      <c r="AU386" s="3" t="str">
        <f t="shared" si="218"/>
        <v/>
      </c>
      <c r="AW386" s="32" t="str">
        <f t="shared" si="219"/>
        <v/>
      </c>
      <c r="AX386" s="32" t="str">
        <f t="shared" si="220"/>
        <v/>
      </c>
      <c r="AY386" s="32" t="str">
        <f t="shared" si="221"/>
        <v/>
      </c>
      <c r="BA386" s="32" t="str">
        <f>IF($A387="","",F386*Summary!$Q$10)</f>
        <v/>
      </c>
    </row>
    <row r="387" spans="1:53">
      <c r="A387" s="67" t="str">
        <f t="shared" si="222"/>
        <v/>
      </c>
      <c r="B387" s="69" t="str">
        <f t="shared" si="224"/>
        <v/>
      </c>
      <c r="D387" s="69" t="str">
        <f t="shared" si="188"/>
        <v/>
      </c>
      <c r="E387" s="70" t="str">
        <f t="shared" si="189"/>
        <v/>
      </c>
      <c r="F387" s="70" t="str">
        <f t="shared" si="190"/>
        <v/>
      </c>
      <c r="G387" s="63" t="str">
        <f t="shared" si="191"/>
        <v/>
      </c>
      <c r="H387" s="64" t="str">
        <f t="shared" si="192"/>
        <v/>
      </c>
      <c r="J387" s="63" t="str">
        <f t="shared" si="193"/>
        <v/>
      </c>
      <c r="K387" s="64" t="str">
        <f t="shared" si="194"/>
        <v/>
      </c>
      <c r="L387" s="38">
        <v>0</v>
      </c>
      <c r="M387" s="64" t="str">
        <f t="shared" si="195"/>
        <v/>
      </c>
      <c r="O387" s="63" t="str">
        <f t="shared" si="196"/>
        <v/>
      </c>
      <c r="P387" s="63" t="str">
        <f t="shared" si="197"/>
        <v/>
      </c>
      <c r="R387" s="63" t="str">
        <f t="shared" si="198"/>
        <v/>
      </c>
      <c r="S387" s="64" t="str">
        <f t="shared" si="199"/>
        <v/>
      </c>
      <c r="T387" s="63" t="str">
        <f t="shared" si="200"/>
        <v/>
      </c>
      <c r="U387" s="64" t="str">
        <f t="shared" si="201"/>
        <v/>
      </c>
      <c r="V387" s="219" t="str">
        <f>IF($A388="","",IF(AND(MONTH(A387)&gt;3,MONTH(A387)&lt;11),(T387+R387+G387)*Summary!$T$10/(1-Summary!$T$10),(T387+R387+G387)*Summary!$U$10/(1-Summary!$U$10)))</f>
        <v/>
      </c>
      <c r="W387" s="63" t="str">
        <f t="shared" si="202"/>
        <v/>
      </c>
      <c r="X387" s="63" t="str">
        <f t="shared" si="203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3"/>
        <v/>
      </c>
      <c r="AP387" s="33" t="str">
        <f t="shared" si="214"/>
        <v/>
      </c>
      <c r="AQ387" s="58" t="str">
        <f t="shared" si="215"/>
        <v/>
      </c>
      <c r="AR387" s="38">
        <f>'ANR OK vs ML7'!AR387</f>
        <v>0.1</v>
      </c>
      <c r="AS387" s="35" t="str">
        <f t="shared" si="216"/>
        <v/>
      </c>
      <c r="AT387" s="3" t="str">
        <f t="shared" si="217"/>
        <v/>
      </c>
      <c r="AU387" s="3" t="str">
        <f t="shared" si="218"/>
        <v/>
      </c>
      <c r="AW387" s="32" t="str">
        <f t="shared" si="219"/>
        <v/>
      </c>
      <c r="AX387" s="32" t="str">
        <f t="shared" si="220"/>
        <v/>
      </c>
      <c r="AY387" s="32" t="str">
        <f t="shared" si="221"/>
        <v/>
      </c>
      <c r="BA387" s="32" t="str">
        <f>IF($A388="","",F387*Summary!$Q$10)</f>
        <v/>
      </c>
    </row>
    <row r="388" spans="1:53">
      <c r="A388" s="67" t="str">
        <f t="shared" si="222"/>
        <v/>
      </c>
      <c r="B388" s="69" t="str">
        <f t="shared" si="224"/>
        <v/>
      </c>
      <c r="D388" s="69" t="str">
        <f t="shared" si="188"/>
        <v/>
      </c>
      <c r="E388" s="70" t="str">
        <f t="shared" si="189"/>
        <v/>
      </c>
      <c r="F388" s="70" t="str">
        <f t="shared" si="190"/>
        <v/>
      </c>
      <c r="G388" s="63" t="str">
        <f t="shared" si="191"/>
        <v/>
      </c>
      <c r="H388" s="64" t="str">
        <f t="shared" si="192"/>
        <v/>
      </c>
      <c r="J388" s="63" t="str">
        <f t="shared" si="193"/>
        <v/>
      </c>
      <c r="K388" s="64" t="str">
        <f t="shared" si="194"/>
        <v/>
      </c>
      <c r="L388" s="38">
        <v>0</v>
      </c>
      <c r="M388" s="64" t="str">
        <f t="shared" si="195"/>
        <v/>
      </c>
      <c r="O388" s="63" t="str">
        <f t="shared" si="196"/>
        <v/>
      </c>
      <c r="P388" s="63" t="str">
        <f t="shared" si="197"/>
        <v/>
      </c>
      <c r="R388" s="63" t="str">
        <f t="shared" si="198"/>
        <v/>
      </c>
      <c r="S388" s="64" t="str">
        <f t="shared" si="199"/>
        <v/>
      </c>
      <c r="T388" s="63" t="str">
        <f t="shared" si="200"/>
        <v/>
      </c>
      <c r="U388" s="64" t="str">
        <f t="shared" si="201"/>
        <v/>
      </c>
      <c r="V388" s="219" t="str">
        <f>IF($A389="","",IF(AND(MONTH(A388)&gt;3,MONTH(A388)&lt;11),(T388+R388+G388)*Summary!$T$10/(1-Summary!$T$10),(T388+R388+G388)*Summary!$U$10/(1-Summary!$U$10)))</f>
        <v/>
      </c>
      <c r="W388" s="63" t="str">
        <f t="shared" si="202"/>
        <v/>
      </c>
      <c r="X388" s="63" t="str">
        <f t="shared" si="203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3"/>
        <v/>
      </c>
      <c r="AP388" s="33" t="str">
        <f t="shared" si="214"/>
        <v/>
      </c>
      <c r="AQ388" s="58" t="str">
        <f t="shared" si="215"/>
        <v/>
      </c>
      <c r="AR388" s="38">
        <f>'ANR OK vs ML7'!AR388</f>
        <v>0.1</v>
      </c>
      <c r="AS388" s="35" t="str">
        <f t="shared" si="216"/>
        <v/>
      </c>
      <c r="AT388" s="3" t="str">
        <f t="shared" si="217"/>
        <v/>
      </c>
      <c r="AU388" s="3" t="str">
        <f t="shared" si="218"/>
        <v/>
      </c>
      <c r="AW388" s="32" t="str">
        <f t="shared" si="219"/>
        <v/>
      </c>
      <c r="AX388" s="32" t="str">
        <f t="shared" si="220"/>
        <v/>
      </c>
      <c r="AY388" s="32" t="str">
        <f t="shared" si="221"/>
        <v/>
      </c>
      <c r="BA388" s="32" t="str">
        <f>IF($A389="","",F388*Summary!$Q$10)</f>
        <v/>
      </c>
    </row>
    <row r="389" spans="1:53">
      <c r="A389" s="67" t="str">
        <f t="shared" si="222"/>
        <v/>
      </c>
      <c r="B389" s="69" t="str">
        <f t="shared" si="224"/>
        <v/>
      </c>
      <c r="D389" s="69" t="str">
        <f t="shared" si="188"/>
        <v/>
      </c>
      <c r="E389" s="70" t="str">
        <f t="shared" si="189"/>
        <v/>
      </c>
      <c r="F389" s="70" t="str">
        <f t="shared" si="190"/>
        <v/>
      </c>
      <c r="G389" s="63" t="str">
        <f t="shared" si="191"/>
        <v/>
      </c>
      <c r="H389" s="64" t="str">
        <f t="shared" si="192"/>
        <v/>
      </c>
      <c r="J389" s="63" t="str">
        <f t="shared" si="193"/>
        <v/>
      </c>
      <c r="K389" s="64" t="str">
        <f t="shared" si="194"/>
        <v/>
      </c>
      <c r="L389" s="38">
        <v>0</v>
      </c>
      <c r="M389" s="64" t="str">
        <f t="shared" si="195"/>
        <v/>
      </c>
      <c r="O389" s="63" t="str">
        <f t="shared" si="196"/>
        <v/>
      </c>
      <c r="P389" s="63" t="str">
        <f t="shared" si="197"/>
        <v/>
      </c>
      <c r="R389" s="63" t="str">
        <f t="shared" si="198"/>
        <v/>
      </c>
      <c r="S389" s="64" t="str">
        <f t="shared" si="199"/>
        <v/>
      </c>
      <c r="T389" s="63" t="str">
        <f t="shared" si="200"/>
        <v/>
      </c>
      <c r="U389" s="64" t="str">
        <f t="shared" si="201"/>
        <v/>
      </c>
      <c r="V389" s="219" t="str">
        <f>IF($A390="","",IF(AND(MONTH(A389)&gt;3,MONTH(A389)&lt;11),(T389+R389+G389)*Summary!$T$10/(1-Summary!$T$10),(T389+R389+G389)*Summary!$U$10/(1-Summary!$U$10)))</f>
        <v/>
      </c>
      <c r="W389" s="63" t="str">
        <f t="shared" si="202"/>
        <v/>
      </c>
      <c r="X389" s="63" t="str">
        <f t="shared" si="203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3"/>
        <v/>
      </c>
      <c r="AP389" s="33" t="str">
        <f t="shared" si="214"/>
        <v/>
      </c>
      <c r="AQ389" s="58" t="str">
        <f t="shared" si="215"/>
        <v/>
      </c>
      <c r="AR389" s="38">
        <f>'ANR OK vs ML7'!AR389</f>
        <v>0.1</v>
      </c>
      <c r="AS389" s="35" t="str">
        <f t="shared" si="216"/>
        <v/>
      </c>
      <c r="AT389" s="3" t="str">
        <f t="shared" si="217"/>
        <v/>
      </c>
      <c r="AU389" s="3" t="str">
        <f t="shared" si="218"/>
        <v/>
      </c>
      <c r="AW389" s="32" t="str">
        <f t="shared" si="219"/>
        <v/>
      </c>
      <c r="AX389" s="32" t="str">
        <f t="shared" si="220"/>
        <v/>
      </c>
      <c r="AY389" s="32" t="str">
        <f t="shared" si="221"/>
        <v/>
      </c>
      <c r="BA389" s="32" t="str">
        <f>IF($A390="","",F389*Summary!$Q$10)</f>
        <v/>
      </c>
    </row>
    <row r="390" spans="1:53">
      <c r="A390" s="67" t="str">
        <f t="shared" si="222"/>
        <v/>
      </c>
      <c r="B390" s="69" t="str">
        <f t="shared" si="224"/>
        <v/>
      </c>
      <c r="D390" s="69" t="str">
        <f t="shared" si="188"/>
        <v/>
      </c>
      <c r="E390" s="70" t="str">
        <f t="shared" si="189"/>
        <v/>
      </c>
      <c r="F390" s="70" t="str">
        <f t="shared" si="190"/>
        <v/>
      </c>
      <c r="G390" s="63" t="str">
        <f t="shared" si="191"/>
        <v/>
      </c>
      <c r="H390" s="64" t="str">
        <f t="shared" si="192"/>
        <v/>
      </c>
      <c r="J390" s="63" t="str">
        <f t="shared" si="193"/>
        <v/>
      </c>
      <c r="K390" s="64" t="str">
        <f t="shared" si="194"/>
        <v/>
      </c>
      <c r="L390" s="38">
        <v>0</v>
      </c>
      <c r="M390" s="64" t="str">
        <f t="shared" si="195"/>
        <v/>
      </c>
      <c r="O390" s="63" t="str">
        <f t="shared" si="196"/>
        <v/>
      </c>
      <c r="P390" s="63" t="str">
        <f t="shared" si="197"/>
        <v/>
      </c>
      <c r="R390" s="63" t="str">
        <f t="shared" si="198"/>
        <v/>
      </c>
      <c r="S390" s="64" t="str">
        <f t="shared" si="199"/>
        <v/>
      </c>
      <c r="T390" s="63" t="str">
        <f t="shared" si="200"/>
        <v/>
      </c>
      <c r="U390" s="64" t="str">
        <f t="shared" si="201"/>
        <v/>
      </c>
      <c r="V390" s="219" t="str">
        <f>IF($A391="","",IF(AND(MONTH(A390)&gt;3,MONTH(A390)&lt;11),(T390+R390+G390)*Summary!$T$10/(1-Summary!$T$10),(T390+R390+G390)*Summary!$U$10/(1-Summary!$U$10)))</f>
        <v/>
      </c>
      <c r="W390" s="63" t="str">
        <f t="shared" si="202"/>
        <v/>
      </c>
      <c r="X390" s="63" t="str">
        <f t="shared" si="203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3"/>
        <v/>
      </c>
      <c r="AP390" s="33" t="str">
        <f t="shared" si="214"/>
        <v/>
      </c>
      <c r="AQ390" s="58" t="str">
        <f t="shared" si="215"/>
        <v/>
      </c>
      <c r="AR390" s="38">
        <f>'ANR OK vs ML7'!AR390</f>
        <v>0.1</v>
      </c>
      <c r="AS390" s="35" t="str">
        <f t="shared" si="216"/>
        <v/>
      </c>
      <c r="AT390" s="3" t="str">
        <f t="shared" si="217"/>
        <v/>
      </c>
      <c r="AU390" s="3" t="str">
        <f t="shared" si="218"/>
        <v/>
      </c>
      <c r="AW390" s="32" t="str">
        <f t="shared" si="219"/>
        <v/>
      </c>
      <c r="AX390" s="32" t="str">
        <f t="shared" si="220"/>
        <v/>
      </c>
      <c r="AY390" s="32" t="str">
        <f t="shared" si="221"/>
        <v/>
      </c>
      <c r="BA390" s="32" t="str">
        <f>IF($A391="","",F390*Summary!$Q$10)</f>
        <v/>
      </c>
    </row>
    <row r="391" spans="1:53">
      <c r="A391" s="67" t="str">
        <f t="shared" si="222"/>
        <v/>
      </c>
      <c r="B391" s="69" t="str">
        <f t="shared" si="224"/>
        <v/>
      </c>
      <c r="D391" s="69" t="str">
        <f t="shared" si="188"/>
        <v/>
      </c>
      <c r="E391" s="70" t="str">
        <f t="shared" si="189"/>
        <v/>
      </c>
      <c r="F391" s="70" t="str">
        <f t="shared" si="190"/>
        <v/>
      </c>
      <c r="G391" s="63" t="str">
        <f t="shared" si="191"/>
        <v/>
      </c>
      <c r="H391" s="64" t="str">
        <f t="shared" si="192"/>
        <v/>
      </c>
      <c r="J391" s="63" t="str">
        <f t="shared" si="193"/>
        <v/>
      </c>
      <c r="K391" s="64" t="str">
        <f t="shared" si="194"/>
        <v/>
      </c>
      <c r="L391" s="38">
        <v>0</v>
      </c>
      <c r="M391" s="64" t="str">
        <f t="shared" si="195"/>
        <v/>
      </c>
      <c r="O391" s="63" t="str">
        <f t="shared" si="196"/>
        <v/>
      </c>
      <c r="P391" s="63" t="str">
        <f t="shared" si="197"/>
        <v/>
      </c>
      <c r="R391" s="63" t="str">
        <f t="shared" si="198"/>
        <v/>
      </c>
      <c r="S391" s="64" t="str">
        <f t="shared" si="199"/>
        <v/>
      </c>
      <c r="T391" s="63" t="str">
        <f t="shared" si="200"/>
        <v/>
      </c>
      <c r="U391" s="64" t="str">
        <f t="shared" si="201"/>
        <v/>
      </c>
      <c r="V391" s="219" t="str">
        <f>IF($A392="","",IF(AND(MONTH(A391)&gt;3,MONTH(A391)&lt;11),(T391+R391+G391)*Summary!$T$10/(1-Summary!$T$10),(T391+R391+G391)*Summary!$U$10/(1-Summary!$U$10)))</f>
        <v/>
      </c>
      <c r="W391" s="63" t="str">
        <f t="shared" si="202"/>
        <v/>
      </c>
      <c r="X391" s="63" t="str">
        <f t="shared" si="203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3"/>
        <v/>
      </c>
      <c r="AP391" s="33" t="str">
        <f t="shared" si="214"/>
        <v/>
      </c>
      <c r="AQ391" s="58" t="str">
        <f t="shared" si="215"/>
        <v/>
      </c>
      <c r="AR391" s="38">
        <f>'ANR OK vs ML7'!AR391</f>
        <v>0.1</v>
      </c>
      <c r="AS391" s="35" t="str">
        <f t="shared" si="216"/>
        <v/>
      </c>
      <c r="AT391" s="3" t="str">
        <f t="shared" si="217"/>
        <v/>
      </c>
      <c r="AU391" s="3" t="str">
        <f t="shared" si="218"/>
        <v/>
      </c>
      <c r="AW391" s="32" t="str">
        <f t="shared" si="219"/>
        <v/>
      </c>
      <c r="AX391" s="32" t="str">
        <f t="shared" si="220"/>
        <v/>
      </c>
      <c r="AY391" s="32" t="str">
        <f t="shared" si="221"/>
        <v/>
      </c>
      <c r="BA391" s="32" t="str">
        <f>IF($A392="","",F391*Summary!$Q$10)</f>
        <v/>
      </c>
    </row>
    <row r="392" spans="1:53">
      <c r="A392" s="67" t="str">
        <f t="shared" si="222"/>
        <v/>
      </c>
      <c r="B392" s="69" t="str">
        <f t="shared" si="224"/>
        <v/>
      </c>
      <c r="D392" s="69" t="str">
        <f t="shared" si="188"/>
        <v/>
      </c>
      <c r="E392" s="70" t="str">
        <f t="shared" si="189"/>
        <v/>
      </c>
      <c r="F392" s="70" t="str">
        <f t="shared" si="190"/>
        <v/>
      </c>
      <c r="G392" s="63" t="str">
        <f t="shared" si="191"/>
        <v/>
      </c>
      <c r="H392" s="64" t="str">
        <f t="shared" si="192"/>
        <v/>
      </c>
      <c r="J392" s="63" t="str">
        <f t="shared" si="193"/>
        <v/>
      </c>
      <c r="K392" s="64" t="str">
        <f t="shared" si="194"/>
        <v/>
      </c>
      <c r="L392" s="38">
        <v>0</v>
      </c>
      <c r="M392" s="64" t="str">
        <f t="shared" si="195"/>
        <v/>
      </c>
      <c r="O392" s="63" t="str">
        <f t="shared" si="196"/>
        <v/>
      </c>
      <c r="P392" s="63" t="str">
        <f t="shared" si="197"/>
        <v/>
      </c>
      <c r="R392" s="63" t="str">
        <f t="shared" si="198"/>
        <v/>
      </c>
      <c r="S392" s="64" t="str">
        <f t="shared" si="199"/>
        <v/>
      </c>
      <c r="T392" s="63" t="str">
        <f t="shared" si="200"/>
        <v/>
      </c>
      <c r="U392" s="64" t="str">
        <f t="shared" si="201"/>
        <v/>
      </c>
      <c r="V392" s="219" t="str">
        <f>IF($A393="","",IF(AND(MONTH(A392)&gt;3,MONTH(A392)&lt;11),(T392+R392+G392)*Summary!$T$10/(1-Summary!$T$10),(T392+R392+G392)*Summary!$U$10/(1-Summary!$U$10)))</f>
        <v/>
      </c>
      <c r="W392" s="63" t="str">
        <f t="shared" si="202"/>
        <v/>
      </c>
      <c r="X392" s="63" t="str">
        <f t="shared" si="203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3"/>
        <v/>
      </c>
      <c r="AP392" s="33" t="str">
        <f t="shared" si="214"/>
        <v/>
      </c>
      <c r="AQ392" s="58" t="str">
        <f t="shared" si="215"/>
        <v/>
      </c>
      <c r="AR392" s="38">
        <f>'ANR OK vs ML7'!AR392</f>
        <v>0.1</v>
      </c>
      <c r="AS392" s="35" t="str">
        <f t="shared" si="216"/>
        <v/>
      </c>
      <c r="AT392" s="3" t="str">
        <f t="shared" si="217"/>
        <v/>
      </c>
      <c r="AU392" s="3" t="str">
        <f t="shared" si="218"/>
        <v/>
      </c>
      <c r="AW392" s="32" t="str">
        <f t="shared" si="219"/>
        <v/>
      </c>
      <c r="AX392" s="32" t="str">
        <f t="shared" si="220"/>
        <v/>
      </c>
      <c r="AY392" s="32" t="str">
        <f t="shared" si="221"/>
        <v/>
      </c>
      <c r="BA392" s="32" t="str">
        <f>IF($A393="","",F392*Summary!$Q$10)</f>
        <v/>
      </c>
    </row>
    <row r="393" spans="1:53">
      <c r="A393" s="67" t="str">
        <f t="shared" si="222"/>
        <v/>
      </c>
      <c r="B393" s="69" t="str">
        <f t="shared" si="224"/>
        <v/>
      </c>
      <c r="D393" s="69" t="str">
        <f t="shared" si="188"/>
        <v/>
      </c>
      <c r="E393" s="70" t="str">
        <f t="shared" si="189"/>
        <v/>
      </c>
      <c r="F393" s="70" t="str">
        <f t="shared" si="190"/>
        <v/>
      </c>
      <c r="G393" s="63" t="str">
        <f t="shared" si="191"/>
        <v/>
      </c>
      <c r="H393" s="64" t="str">
        <f t="shared" si="192"/>
        <v/>
      </c>
      <c r="J393" s="63" t="str">
        <f t="shared" si="193"/>
        <v/>
      </c>
      <c r="K393" s="64" t="str">
        <f t="shared" si="194"/>
        <v/>
      </c>
      <c r="L393" s="38">
        <v>0</v>
      </c>
      <c r="M393" s="64" t="str">
        <f t="shared" si="195"/>
        <v/>
      </c>
      <c r="O393" s="63" t="str">
        <f t="shared" si="196"/>
        <v/>
      </c>
      <c r="P393" s="63" t="str">
        <f t="shared" si="197"/>
        <v/>
      </c>
      <c r="R393" s="63" t="str">
        <f t="shared" si="198"/>
        <v/>
      </c>
      <c r="S393" s="64" t="str">
        <f t="shared" si="199"/>
        <v/>
      </c>
      <c r="T393" s="63" t="str">
        <f t="shared" si="200"/>
        <v/>
      </c>
      <c r="U393" s="64" t="str">
        <f t="shared" si="201"/>
        <v/>
      </c>
      <c r="V393" s="219" t="str">
        <f>IF($A394="","",IF(AND(MONTH(A393)&gt;3,MONTH(A393)&lt;11),(T393+R393+G393)*Summary!$T$10/(1-Summary!$T$10),(T393+R393+G393)*Summary!$U$10/(1-Summary!$U$10)))</f>
        <v/>
      </c>
      <c r="W393" s="63" t="str">
        <f t="shared" si="202"/>
        <v/>
      </c>
      <c r="X393" s="63" t="str">
        <f t="shared" si="203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3"/>
        <v/>
      </c>
      <c r="AP393" s="33" t="str">
        <f t="shared" si="214"/>
        <v/>
      </c>
      <c r="AQ393" s="58" t="str">
        <f t="shared" si="215"/>
        <v/>
      </c>
      <c r="AR393" s="38">
        <f>'ANR OK vs ML7'!AR393</f>
        <v>0.1</v>
      </c>
      <c r="AS393" s="35" t="str">
        <f t="shared" si="216"/>
        <v/>
      </c>
      <c r="AT393" s="3" t="str">
        <f t="shared" si="217"/>
        <v/>
      </c>
      <c r="AU393" s="3" t="str">
        <f t="shared" si="218"/>
        <v/>
      </c>
      <c r="AW393" s="32" t="str">
        <f t="shared" si="219"/>
        <v/>
      </c>
      <c r="AX393" s="32" t="str">
        <f t="shared" si="220"/>
        <v/>
      </c>
      <c r="AY393" s="32" t="str">
        <f t="shared" si="221"/>
        <v/>
      </c>
      <c r="BA393" s="32" t="str">
        <f>IF($A394="","",F393*Summary!$Q$10)</f>
        <v/>
      </c>
    </row>
    <row r="394" spans="1:53">
      <c r="A394" s="67" t="str">
        <f t="shared" si="222"/>
        <v/>
      </c>
      <c r="B394" s="69" t="str">
        <f t="shared" si="224"/>
        <v/>
      </c>
      <c r="D394" s="69" t="str">
        <f t="shared" ref="D394:D457" si="225">IF(A395&lt;&gt;"",B394+C394,"")</f>
        <v/>
      </c>
      <c r="E394" s="70" t="str">
        <f t="shared" ref="E394:E457" si="226">IF(A395="","",IF(AND(AT394=1,$H$3=1),D394*AO394,IF($H$3=2,D394,"N/A")))</f>
        <v/>
      </c>
      <c r="F394" s="70" t="str">
        <f t="shared" ref="F394:F457" si="227">IF(A395="","",E394*AS394)</f>
        <v/>
      </c>
      <c r="G394" s="63" t="str">
        <f t="shared" ref="G394:G457" si="228">IF($A395="","",VLOOKUP($A394,Table,MATCH(G$4,Curves,0)))</f>
        <v/>
      </c>
      <c r="H394" s="64" t="str">
        <f t="shared" ref="H394:H457" si="229">IF(A395="","",G394)</f>
        <v/>
      </c>
      <c r="J394" s="63" t="str">
        <f t="shared" ref="J394:J457" si="230">IF($A395="","",VLOOKUP($A394,Table,MATCH(J$4,Curves,0)))</f>
        <v/>
      </c>
      <c r="K394" s="64" t="str">
        <f t="shared" ref="K394:K457" si="231">IF(A395="","",J394)</f>
        <v/>
      </c>
      <c r="L394" s="38">
        <v>0</v>
      </c>
      <c r="M394" s="64" t="str">
        <f t="shared" ref="M394:M457" si="232">IF(A395="","",L394)</f>
        <v/>
      </c>
      <c r="O394" s="63" t="str">
        <f t="shared" ref="O394:O457" si="233">IF(A395="","",L394+J394+G394)</f>
        <v/>
      </c>
      <c r="P394" s="63" t="str">
        <f t="shared" ref="P394:P457" si="234">IF(A395="","",M394+K394+H394)</f>
        <v/>
      </c>
      <c r="R394" s="63" t="str">
        <f t="shared" ref="R394:R457" si="235">IF($A395="","",VLOOKUP($A394,Table,MATCH(R$4,Curves,0)))</f>
        <v/>
      </c>
      <c r="S394" s="64" t="str">
        <f t="shared" ref="S394:S457" si="236">IF(A395="","",R394)</f>
        <v/>
      </c>
      <c r="T394" s="63" t="str">
        <f t="shared" ref="T394:T457" si="237">IF($A395="","",VLOOKUP($A394,Table,MATCH(T$4,Curves,0)))</f>
        <v/>
      </c>
      <c r="U394" s="64" t="str">
        <f t="shared" ref="U394:U457" si="238">IF(A395="","",T394)</f>
        <v/>
      </c>
      <c r="V394" s="219" t="str">
        <f>IF($A395="","",IF(AND(MONTH(A394)&gt;3,MONTH(A394)&lt;11),(T394+R394+G394)*Summary!$T$10/(1-Summary!$T$10),(T394+R394+G394)*Summary!$U$10/(1-Summary!$U$10)))</f>
        <v/>
      </c>
      <c r="W394" s="63" t="str">
        <f t="shared" ref="W394:W457" si="239">IF($A395="","",(T394+R394+G394+V394))</f>
        <v/>
      </c>
      <c r="X394" s="63" t="str">
        <f t="shared" ref="X394:X457" si="240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1">IF(A395="","",A395-A394)</f>
        <v/>
      </c>
      <c r="AP394" s="33" t="str">
        <f t="shared" ref="AP394:AP457" si="242">IF(A395="","",CHOOSE(F$3,A395+24,A394))</f>
        <v/>
      </c>
      <c r="AQ394" s="58" t="str">
        <f t="shared" ref="AQ394:AQ457" si="243">IF(A395="","",AP394-$E$1)</f>
        <v/>
      </c>
      <c r="AR394" s="38">
        <f>'ANR OK vs ML7'!AR394</f>
        <v>0.1</v>
      </c>
      <c r="AS394" s="35" t="str">
        <f t="shared" ref="AS394:AS457" si="244">IF(A395="","",1/(1+CHOOSE(F$3,(AR395+($I$3/10000))/2,(AR394+($I$3/10000))/2))^(2*AQ394/365.25))</f>
        <v/>
      </c>
      <c r="AT394" s="3" t="str">
        <f t="shared" ref="AT394:AT457" si="245">IF(A395="","",IF(AND(mthbeg&lt;=A394,mthend&gt;=A394),1,0))</f>
        <v/>
      </c>
      <c r="AU394" s="3" t="str">
        <f t="shared" ref="AU394:AU457" si="246">IF(A395="","",AO394*AT394)</f>
        <v/>
      </c>
      <c r="AW394" s="32" t="str">
        <f t="shared" ref="AW394:AW457" si="247">IF($A395="","",AL394*$E394)</f>
        <v/>
      </c>
      <c r="AX394" s="32" t="str">
        <f t="shared" ref="AX394:AX457" si="248">IF($A395="","",AM394*$E394)</f>
        <v/>
      </c>
      <c r="AY394" s="32" t="str">
        <f t="shared" ref="AY394:AY457" si="249">IF($A395="","",AN394*$E394)</f>
        <v/>
      </c>
      <c r="BA394" s="32" t="str">
        <f>IF($A395="","",F394*Summary!$Q$10)</f>
        <v/>
      </c>
    </row>
    <row r="395" spans="1:53">
      <c r="A395" s="67" t="str">
        <f t="shared" ref="A395:A458" si="250">IF(A394&lt;mthend,EDATE(A394,1),"")</f>
        <v/>
      </c>
      <c r="B395" s="69" t="str">
        <f t="shared" si="224"/>
        <v/>
      </c>
      <c r="D395" s="69" t="str">
        <f t="shared" si="225"/>
        <v/>
      </c>
      <c r="E395" s="70" t="str">
        <f t="shared" si="226"/>
        <v/>
      </c>
      <c r="F395" s="70" t="str">
        <f t="shared" si="227"/>
        <v/>
      </c>
      <c r="G395" s="63" t="str">
        <f t="shared" si="228"/>
        <v/>
      </c>
      <c r="H395" s="64" t="str">
        <f t="shared" si="229"/>
        <v/>
      </c>
      <c r="J395" s="63" t="str">
        <f t="shared" si="230"/>
        <v/>
      </c>
      <c r="K395" s="64" t="str">
        <f t="shared" si="231"/>
        <v/>
      </c>
      <c r="L395" s="38">
        <v>0</v>
      </c>
      <c r="M395" s="64" t="str">
        <f t="shared" si="232"/>
        <v/>
      </c>
      <c r="O395" s="63" t="str">
        <f t="shared" si="233"/>
        <v/>
      </c>
      <c r="P395" s="63" t="str">
        <f t="shared" si="234"/>
        <v/>
      </c>
      <c r="R395" s="63" t="str">
        <f t="shared" si="235"/>
        <v/>
      </c>
      <c r="S395" s="64" t="str">
        <f t="shared" si="236"/>
        <v/>
      </c>
      <c r="T395" s="63" t="str">
        <f t="shared" si="237"/>
        <v/>
      </c>
      <c r="U395" s="64" t="str">
        <f t="shared" si="238"/>
        <v/>
      </c>
      <c r="V395" s="219" t="str">
        <f>IF($A396="","",IF(AND(MONTH(A395)&gt;3,MONTH(A395)&lt;11),(T395+R395+G395)*Summary!$T$10/(1-Summary!$T$10),(T395+R395+G395)*Summary!$U$10/(1-Summary!$U$10)))</f>
        <v/>
      </c>
      <c r="W395" s="63" t="str">
        <f t="shared" si="239"/>
        <v/>
      </c>
      <c r="X395" s="63" t="str">
        <f t="shared" si="240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1"/>
        <v/>
      </c>
      <c r="AP395" s="33" t="str">
        <f t="shared" si="242"/>
        <v/>
      </c>
      <c r="AQ395" s="58" t="str">
        <f t="shared" si="243"/>
        <v/>
      </c>
      <c r="AR395" s="38">
        <f>'ANR OK vs ML7'!AR395</f>
        <v>0.1</v>
      </c>
      <c r="AS395" s="35" t="str">
        <f t="shared" si="244"/>
        <v/>
      </c>
      <c r="AT395" s="3" t="str">
        <f t="shared" si="245"/>
        <v/>
      </c>
      <c r="AU395" s="3" t="str">
        <f t="shared" si="246"/>
        <v/>
      </c>
      <c r="AW395" s="32" t="str">
        <f t="shared" si="247"/>
        <v/>
      </c>
      <c r="AX395" s="32" t="str">
        <f t="shared" si="248"/>
        <v/>
      </c>
      <c r="AY395" s="32" t="str">
        <f t="shared" si="249"/>
        <v/>
      </c>
      <c r="BA395" s="32" t="str">
        <f>IF($A396="","",F395*Summary!$Q$10)</f>
        <v/>
      </c>
    </row>
    <row r="396" spans="1:53">
      <c r="A396" s="67" t="str">
        <f t="shared" si="250"/>
        <v/>
      </c>
      <c r="B396" s="69" t="str">
        <f t="shared" ref="B396:B459" si="251">IF(A396&lt;mthend,B395,"")</f>
        <v/>
      </c>
      <c r="D396" s="69" t="str">
        <f t="shared" si="225"/>
        <v/>
      </c>
      <c r="E396" s="70" t="str">
        <f t="shared" si="226"/>
        <v/>
      </c>
      <c r="F396" s="70" t="str">
        <f t="shared" si="227"/>
        <v/>
      </c>
      <c r="G396" s="63" t="str">
        <f t="shared" si="228"/>
        <v/>
      </c>
      <c r="H396" s="64" t="str">
        <f t="shared" si="229"/>
        <v/>
      </c>
      <c r="J396" s="63" t="str">
        <f t="shared" si="230"/>
        <v/>
      </c>
      <c r="K396" s="64" t="str">
        <f t="shared" si="231"/>
        <v/>
      </c>
      <c r="L396" s="38">
        <v>0</v>
      </c>
      <c r="M396" s="64" t="str">
        <f t="shared" si="232"/>
        <v/>
      </c>
      <c r="O396" s="63" t="str">
        <f t="shared" si="233"/>
        <v/>
      </c>
      <c r="P396" s="63" t="str">
        <f t="shared" si="234"/>
        <v/>
      </c>
      <c r="R396" s="63" t="str">
        <f t="shared" si="235"/>
        <v/>
      </c>
      <c r="S396" s="64" t="str">
        <f t="shared" si="236"/>
        <v/>
      </c>
      <c r="T396" s="63" t="str">
        <f t="shared" si="237"/>
        <v/>
      </c>
      <c r="U396" s="64" t="str">
        <f t="shared" si="238"/>
        <v/>
      </c>
      <c r="V396" s="219" t="str">
        <f>IF($A397="","",IF(AND(MONTH(A396)&gt;3,MONTH(A396)&lt;11),(T396+R396+G396)*Summary!$T$10/(1-Summary!$T$10),(T396+R396+G396)*Summary!$U$10/(1-Summary!$U$10)))</f>
        <v/>
      </c>
      <c r="W396" s="63" t="str">
        <f t="shared" si="239"/>
        <v/>
      </c>
      <c r="X396" s="63" t="str">
        <f t="shared" si="240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1"/>
        <v/>
      </c>
      <c r="AP396" s="33" t="str">
        <f t="shared" si="242"/>
        <v/>
      </c>
      <c r="AQ396" s="58" t="str">
        <f t="shared" si="243"/>
        <v/>
      </c>
      <c r="AR396" s="38">
        <f>'ANR OK vs ML7'!AR396</f>
        <v>0.1</v>
      </c>
      <c r="AS396" s="35" t="str">
        <f t="shared" si="244"/>
        <v/>
      </c>
      <c r="AT396" s="3" t="str">
        <f t="shared" si="245"/>
        <v/>
      </c>
      <c r="AU396" s="3" t="str">
        <f t="shared" si="246"/>
        <v/>
      </c>
      <c r="AW396" s="32" t="str">
        <f t="shared" si="247"/>
        <v/>
      </c>
      <c r="AX396" s="32" t="str">
        <f t="shared" si="248"/>
        <v/>
      </c>
      <c r="AY396" s="32" t="str">
        <f t="shared" si="249"/>
        <v/>
      </c>
      <c r="BA396" s="32" t="str">
        <f>IF($A397="","",F396*Summary!$Q$10)</f>
        <v/>
      </c>
    </row>
    <row r="397" spans="1:53">
      <c r="A397" s="67" t="str">
        <f t="shared" si="250"/>
        <v/>
      </c>
      <c r="B397" s="69" t="str">
        <f t="shared" si="251"/>
        <v/>
      </c>
      <c r="D397" s="69" t="str">
        <f t="shared" si="225"/>
        <v/>
      </c>
      <c r="E397" s="70" t="str">
        <f t="shared" si="226"/>
        <v/>
      </c>
      <c r="F397" s="70" t="str">
        <f t="shared" si="227"/>
        <v/>
      </c>
      <c r="G397" s="63" t="str">
        <f t="shared" si="228"/>
        <v/>
      </c>
      <c r="H397" s="64" t="str">
        <f t="shared" si="229"/>
        <v/>
      </c>
      <c r="J397" s="63" t="str">
        <f t="shared" si="230"/>
        <v/>
      </c>
      <c r="K397" s="64" t="str">
        <f t="shared" si="231"/>
        <v/>
      </c>
      <c r="L397" s="38">
        <v>0</v>
      </c>
      <c r="M397" s="64" t="str">
        <f t="shared" si="232"/>
        <v/>
      </c>
      <c r="O397" s="63" t="str">
        <f t="shared" si="233"/>
        <v/>
      </c>
      <c r="P397" s="63" t="str">
        <f t="shared" si="234"/>
        <v/>
      </c>
      <c r="R397" s="63" t="str">
        <f t="shared" si="235"/>
        <v/>
      </c>
      <c r="S397" s="64" t="str">
        <f t="shared" si="236"/>
        <v/>
      </c>
      <c r="T397" s="63" t="str">
        <f t="shared" si="237"/>
        <v/>
      </c>
      <c r="U397" s="64" t="str">
        <f t="shared" si="238"/>
        <v/>
      </c>
      <c r="V397" s="219" t="str">
        <f>IF($A398="","",IF(AND(MONTH(A397)&gt;3,MONTH(A397)&lt;11),(T397+R397+G397)*Summary!$T$10/(1-Summary!$T$10),(T397+R397+G397)*Summary!$U$10/(1-Summary!$U$10)))</f>
        <v/>
      </c>
      <c r="W397" s="63" t="str">
        <f t="shared" si="239"/>
        <v/>
      </c>
      <c r="X397" s="63" t="str">
        <f t="shared" si="240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1"/>
        <v/>
      </c>
      <c r="AP397" s="33" t="str">
        <f t="shared" si="242"/>
        <v/>
      </c>
      <c r="AQ397" s="58" t="str">
        <f t="shared" si="243"/>
        <v/>
      </c>
      <c r="AR397" s="38">
        <f>'ANR OK vs ML7'!AR397</f>
        <v>0.1</v>
      </c>
      <c r="AS397" s="35" t="str">
        <f t="shared" si="244"/>
        <v/>
      </c>
      <c r="AT397" s="3" t="str">
        <f t="shared" si="245"/>
        <v/>
      </c>
      <c r="AU397" s="3" t="str">
        <f t="shared" si="246"/>
        <v/>
      </c>
      <c r="AW397" s="32" t="str">
        <f t="shared" si="247"/>
        <v/>
      </c>
      <c r="AX397" s="32" t="str">
        <f t="shared" si="248"/>
        <v/>
      </c>
      <c r="AY397" s="32" t="str">
        <f t="shared" si="249"/>
        <v/>
      </c>
      <c r="BA397" s="32" t="str">
        <f>IF($A398="","",F397*Summary!$Q$10)</f>
        <v/>
      </c>
    </row>
    <row r="398" spans="1:53">
      <c r="A398" s="67" t="str">
        <f t="shared" si="250"/>
        <v/>
      </c>
      <c r="B398" s="69" t="str">
        <f t="shared" si="251"/>
        <v/>
      </c>
      <c r="D398" s="69" t="str">
        <f t="shared" si="225"/>
        <v/>
      </c>
      <c r="E398" s="70" t="str">
        <f t="shared" si="226"/>
        <v/>
      </c>
      <c r="F398" s="70" t="str">
        <f t="shared" si="227"/>
        <v/>
      </c>
      <c r="G398" s="63" t="str">
        <f t="shared" si="228"/>
        <v/>
      </c>
      <c r="H398" s="64" t="str">
        <f t="shared" si="229"/>
        <v/>
      </c>
      <c r="J398" s="63" t="str">
        <f t="shared" si="230"/>
        <v/>
      </c>
      <c r="K398" s="64" t="str">
        <f t="shared" si="231"/>
        <v/>
      </c>
      <c r="L398" s="38">
        <v>0</v>
      </c>
      <c r="M398" s="64" t="str">
        <f t="shared" si="232"/>
        <v/>
      </c>
      <c r="O398" s="63" t="str">
        <f t="shared" si="233"/>
        <v/>
      </c>
      <c r="P398" s="63" t="str">
        <f t="shared" si="234"/>
        <v/>
      </c>
      <c r="R398" s="63" t="str">
        <f t="shared" si="235"/>
        <v/>
      </c>
      <c r="S398" s="64" t="str">
        <f t="shared" si="236"/>
        <v/>
      </c>
      <c r="T398" s="63" t="str">
        <f t="shared" si="237"/>
        <v/>
      </c>
      <c r="U398" s="64" t="str">
        <f t="shared" si="238"/>
        <v/>
      </c>
      <c r="V398" s="219" t="str">
        <f>IF($A399="","",IF(AND(MONTH(A398)&gt;3,MONTH(A398)&lt;11),(T398+R398+G398)*Summary!$T$10/(1-Summary!$T$10),(T398+R398+G398)*Summary!$U$10/(1-Summary!$U$10)))</f>
        <v/>
      </c>
      <c r="W398" s="63" t="str">
        <f t="shared" si="239"/>
        <v/>
      </c>
      <c r="X398" s="63" t="str">
        <f t="shared" si="240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1"/>
        <v/>
      </c>
      <c r="AP398" s="33" t="str">
        <f t="shared" si="242"/>
        <v/>
      </c>
      <c r="AQ398" s="58" t="str">
        <f t="shared" si="243"/>
        <v/>
      </c>
      <c r="AR398" s="38">
        <f>'ANR OK vs ML7'!AR398</f>
        <v>0.1</v>
      </c>
      <c r="AS398" s="35" t="str">
        <f t="shared" si="244"/>
        <v/>
      </c>
      <c r="AT398" s="3" t="str">
        <f t="shared" si="245"/>
        <v/>
      </c>
      <c r="AU398" s="3" t="str">
        <f t="shared" si="246"/>
        <v/>
      </c>
      <c r="AW398" s="32" t="str">
        <f t="shared" si="247"/>
        <v/>
      </c>
      <c r="AX398" s="32" t="str">
        <f t="shared" si="248"/>
        <v/>
      </c>
      <c r="AY398" s="32" t="str">
        <f t="shared" si="249"/>
        <v/>
      </c>
      <c r="BA398" s="32" t="str">
        <f>IF($A399="","",F398*Summary!$Q$10)</f>
        <v/>
      </c>
    </row>
    <row r="399" spans="1:53">
      <c r="A399" s="67" t="str">
        <f t="shared" si="250"/>
        <v/>
      </c>
      <c r="B399" s="69" t="str">
        <f t="shared" si="251"/>
        <v/>
      </c>
      <c r="D399" s="69" t="str">
        <f t="shared" si="225"/>
        <v/>
      </c>
      <c r="E399" s="70" t="str">
        <f t="shared" si="226"/>
        <v/>
      </c>
      <c r="F399" s="70" t="str">
        <f t="shared" si="227"/>
        <v/>
      </c>
      <c r="G399" s="63" t="str">
        <f t="shared" si="228"/>
        <v/>
      </c>
      <c r="H399" s="64" t="str">
        <f t="shared" si="229"/>
        <v/>
      </c>
      <c r="J399" s="63" t="str">
        <f t="shared" si="230"/>
        <v/>
      </c>
      <c r="K399" s="64" t="str">
        <f t="shared" si="231"/>
        <v/>
      </c>
      <c r="L399" s="38">
        <v>0</v>
      </c>
      <c r="M399" s="64" t="str">
        <f t="shared" si="232"/>
        <v/>
      </c>
      <c r="O399" s="63" t="str">
        <f t="shared" si="233"/>
        <v/>
      </c>
      <c r="P399" s="63" t="str">
        <f t="shared" si="234"/>
        <v/>
      </c>
      <c r="R399" s="63" t="str">
        <f t="shared" si="235"/>
        <v/>
      </c>
      <c r="S399" s="64" t="str">
        <f t="shared" si="236"/>
        <v/>
      </c>
      <c r="T399" s="63" t="str">
        <f t="shared" si="237"/>
        <v/>
      </c>
      <c r="U399" s="64" t="str">
        <f t="shared" si="238"/>
        <v/>
      </c>
      <c r="V399" s="219" t="str">
        <f>IF($A400="","",IF(AND(MONTH(A399)&gt;3,MONTH(A399)&lt;11),(T399+R399+G399)*Summary!$T$10/(1-Summary!$T$10),(T399+R399+G399)*Summary!$U$10/(1-Summary!$U$10)))</f>
        <v/>
      </c>
      <c r="W399" s="63" t="str">
        <f t="shared" si="239"/>
        <v/>
      </c>
      <c r="X399" s="63" t="str">
        <f t="shared" si="240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1"/>
        <v/>
      </c>
      <c r="AP399" s="33" t="str">
        <f t="shared" si="242"/>
        <v/>
      </c>
      <c r="AQ399" s="58" t="str">
        <f t="shared" si="243"/>
        <v/>
      </c>
      <c r="AR399" s="38">
        <f>'ANR OK vs ML7'!AR399</f>
        <v>0.1</v>
      </c>
      <c r="AS399" s="35" t="str">
        <f t="shared" si="244"/>
        <v/>
      </c>
      <c r="AT399" s="3" t="str">
        <f t="shared" si="245"/>
        <v/>
      </c>
      <c r="AU399" s="3" t="str">
        <f t="shared" si="246"/>
        <v/>
      </c>
      <c r="AW399" s="32" t="str">
        <f t="shared" si="247"/>
        <v/>
      </c>
      <c r="AX399" s="32" t="str">
        <f t="shared" si="248"/>
        <v/>
      </c>
      <c r="AY399" s="32" t="str">
        <f t="shared" si="249"/>
        <v/>
      </c>
      <c r="BA399" s="32" t="str">
        <f>IF($A400="","",F399*Summary!$Q$10)</f>
        <v/>
      </c>
    </row>
    <row r="400" spans="1:53">
      <c r="A400" s="67" t="str">
        <f t="shared" si="250"/>
        <v/>
      </c>
      <c r="B400" s="69" t="str">
        <f t="shared" si="251"/>
        <v/>
      </c>
      <c r="D400" s="69" t="str">
        <f t="shared" si="225"/>
        <v/>
      </c>
      <c r="E400" s="70" t="str">
        <f t="shared" si="226"/>
        <v/>
      </c>
      <c r="F400" s="70" t="str">
        <f t="shared" si="227"/>
        <v/>
      </c>
      <c r="G400" s="63" t="str">
        <f t="shared" si="228"/>
        <v/>
      </c>
      <c r="H400" s="64" t="str">
        <f t="shared" si="229"/>
        <v/>
      </c>
      <c r="J400" s="63" t="str">
        <f t="shared" si="230"/>
        <v/>
      </c>
      <c r="K400" s="64" t="str">
        <f t="shared" si="231"/>
        <v/>
      </c>
      <c r="L400" s="38">
        <v>0</v>
      </c>
      <c r="M400" s="64" t="str">
        <f t="shared" si="232"/>
        <v/>
      </c>
      <c r="O400" s="63" t="str">
        <f t="shared" si="233"/>
        <v/>
      </c>
      <c r="P400" s="63" t="str">
        <f t="shared" si="234"/>
        <v/>
      </c>
      <c r="R400" s="63" t="str">
        <f t="shared" si="235"/>
        <v/>
      </c>
      <c r="S400" s="64" t="str">
        <f t="shared" si="236"/>
        <v/>
      </c>
      <c r="T400" s="63" t="str">
        <f t="shared" si="237"/>
        <v/>
      </c>
      <c r="U400" s="64" t="str">
        <f t="shared" si="238"/>
        <v/>
      </c>
      <c r="V400" s="219" t="str">
        <f>IF($A401="","",IF(AND(MONTH(A400)&gt;3,MONTH(A400)&lt;11),(T400+R400+G400)*Summary!$T$10/(1-Summary!$T$10),(T400+R400+G400)*Summary!$U$10/(1-Summary!$U$10)))</f>
        <v/>
      </c>
      <c r="W400" s="63" t="str">
        <f t="shared" si="239"/>
        <v/>
      </c>
      <c r="X400" s="63" t="str">
        <f t="shared" si="240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1"/>
        <v/>
      </c>
      <c r="AP400" s="33" t="str">
        <f t="shared" si="242"/>
        <v/>
      </c>
      <c r="AQ400" s="58" t="str">
        <f t="shared" si="243"/>
        <v/>
      </c>
      <c r="AR400" s="38">
        <f>'ANR OK vs ML7'!AR400</f>
        <v>0.1</v>
      </c>
      <c r="AS400" s="35" t="str">
        <f t="shared" si="244"/>
        <v/>
      </c>
      <c r="AT400" s="3" t="str">
        <f t="shared" si="245"/>
        <v/>
      </c>
      <c r="AU400" s="3" t="str">
        <f t="shared" si="246"/>
        <v/>
      </c>
      <c r="AW400" s="32" t="str">
        <f t="shared" si="247"/>
        <v/>
      </c>
      <c r="AX400" s="32" t="str">
        <f t="shared" si="248"/>
        <v/>
      </c>
      <c r="AY400" s="32" t="str">
        <f t="shared" si="249"/>
        <v/>
      </c>
      <c r="BA400" s="32" t="str">
        <f>IF($A401="","",F400*Summary!$Q$10)</f>
        <v/>
      </c>
    </row>
    <row r="401" spans="1:53">
      <c r="A401" s="67" t="str">
        <f t="shared" si="250"/>
        <v/>
      </c>
      <c r="B401" s="69" t="str">
        <f t="shared" si="251"/>
        <v/>
      </c>
      <c r="D401" s="69" t="str">
        <f t="shared" si="225"/>
        <v/>
      </c>
      <c r="E401" s="70" t="str">
        <f t="shared" si="226"/>
        <v/>
      </c>
      <c r="F401" s="70" t="str">
        <f t="shared" si="227"/>
        <v/>
      </c>
      <c r="G401" s="63" t="str">
        <f t="shared" si="228"/>
        <v/>
      </c>
      <c r="H401" s="64" t="str">
        <f t="shared" si="229"/>
        <v/>
      </c>
      <c r="J401" s="63" t="str">
        <f t="shared" si="230"/>
        <v/>
      </c>
      <c r="K401" s="64" t="str">
        <f t="shared" si="231"/>
        <v/>
      </c>
      <c r="L401" s="38">
        <v>0</v>
      </c>
      <c r="M401" s="64" t="str">
        <f t="shared" si="232"/>
        <v/>
      </c>
      <c r="O401" s="63" t="str">
        <f t="shared" si="233"/>
        <v/>
      </c>
      <c r="P401" s="63" t="str">
        <f t="shared" si="234"/>
        <v/>
      </c>
      <c r="R401" s="63" t="str">
        <f t="shared" si="235"/>
        <v/>
      </c>
      <c r="S401" s="64" t="str">
        <f t="shared" si="236"/>
        <v/>
      </c>
      <c r="T401" s="63" t="str">
        <f t="shared" si="237"/>
        <v/>
      </c>
      <c r="U401" s="64" t="str">
        <f t="shared" si="238"/>
        <v/>
      </c>
      <c r="V401" s="219" t="str">
        <f>IF($A402="","",IF(AND(MONTH(A401)&gt;3,MONTH(A401)&lt;11),(T401+R401+G401)*Summary!$T$10/(1-Summary!$T$10),(T401+R401+G401)*Summary!$U$10/(1-Summary!$U$10)))</f>
        <v/>
      </c>
      <c r="W401" s="63" t="str">
        <f t="shared" si="239"/>
        <v/>
      </c>
      <c r="X401" s="63" t="str">
        <f t="shared" si="240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1"/>
        <v/>
      </c>
      <c r="AP401" s="33" t="str">
        <f t="shared" si="242"/>
        <v/>
      </c>
      <c r="AQ401" s="58" t="str">
        <f t="shared" si="243"/>
        <v/>
      </c>
      <c r="AR401" s="38">
        <f>'ANR OK vs ML7'!AR401</f>
        <v>0.1</v>
      </c>
      <c r="AS401" s="35" t="str">
        <f t="shared" si="244"/>
        <v/>
      </c>
      <c r="AT401" s="3" t="str">
        <f t="shared" si="245"/>
        <v/>
      </c>
      <c r="AU401" s="3" t="str">
        <f t="shared" si="246"/>
        <v/>
      </c>
      <c r="AW401" s="32" t="str">
        <f t="shared" si="247"/>
        <v/>
      </c>
      <c r="AX401" s="32" t="str">
        <f t="shared" si="248"/>
        <v/>
      </c>
      <c r="AY401" s="32" t="str">
        <f t="shared" si="249"/>
        <v/>
      </c>
      <c r="BA401" s="32" t="str">
        <f>IF($A402="","",F401*Summary!$Q$10)</f>
        <v/>
      </c>
    </row>
    <row r="402" spans="1:53">
      <c r="A402" s="67" t="str">
        <f t="shared" si="250"/>
        <v/>
      </c>
      <c r="B402" s="69" t="str">
        <f t="shared" si="251"/>
        <v/>
      </c>
      <c r="D402" s="69" t="str">
        <f t="shared" si="225"/>
        <v/>
      </c>
      <c r="E402" s="70" t="str">
        <f t="shared" si="226"/>
        <v/>
      </c>
      <c r="F402" s="70" t="str">
        <f t="shared" si="227"/>
        <v/>
      </c>
      <c r="G402" s="63" t="str">
        <f t="shared" si="228"/>
        <v/>
      </c>
      <c r="H402" s="64" t="str">
        <f t="shared" si="229"/>
        <v/>
      </c>
      <c r="J402" s="63" t="str">
        <f t="shared" si="230"/>
        <v/>
      </c>
      <c r="K402" s="64" t="str">
        <f t="shared" si="231"/>
        <v/>
      </c>
      <c r="L402" s="38">
        <v>0</v>
      </c>
      <c r="M402" s="64" t="str">
        <f t="shared" si="232"/>
        <v/>
      </c>
      <c r="O402" s="63" t="str">
        <f t="shared" si="233"/>
        <v/>
      </c>
      <c r="P402" s="63" t="str">
        <f t="shared" si="234"/>
        <v/>
      </c>
      <c r="R402" s="63" t="str">
        <f t="shared" si="235"/>
        <v/>
      </c>
      <c r="S402" s="64" t="str">
        <f t="shared" si="236"/>
        <v/>
      </c>
      <c r="T402" s="63" t="str">
        <f t="shared" si="237"/>
        <v/>
      </c>
      <c r="U402" s="64" t="str">
        <f t="shared" si="238"/>
        <v/>
      </c>
      <c r="V402" s="219" t="str">
        <f>IF($A403="","",IF(AND(MONTH(A402)&gt;3,MONTH(A402)&lt;11),(T402+R402+G402)*Summary!$T$10/(1-Summary!$T$10),(T402+R402+G402)*Summary!$U$10/(1-Summary!$U$10)))</f>
        <v/>
      </c>
      <c r="W402" s="63" t="str">
        <f t="shared" si="239"/>
        <v/>
      </c>
      <c r="X402" s="63" t="str">
        <f t="shared" si="240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1"/>
        <v/>
      </c>
      <c r="AP402" s="33" t="str">
        <f t="shared" si="242"/>
        <v/>
      </c>
      <c r="AQ402" s="58" t="str">
        <f t="shared" si="243"/>
        <v/>
      </c>
      <c r="AR402" s="38">
        <f>'ANR OK vs ML7'!AR402</f>
        <v>0.1</v>
      </c>
      <c r="AS402" s="35" t="str">
        <f t="shared" si="244"/>
        <v/>
      </c>
      <c r="AT402" s="3" t="str">
        <f t="shared" si="245"/>
        <v/>
      </c>
      <c r="AU402" s="3" t="str">
        <f t="shared" si="246"/>
        <v/>
      </c>
      <c r="AW402" s="32" t="str">
        <f t="shared" si="247"/>
        <v/>
      </c>
      <c r="AX402" s="32" t="str">
        <f t="shared" si="248"/>
        <v/>
      </c>
      <c r="AY402" s="32" t="str">
        <f t="shared" si="249"/>
        <v/>
      </c>
      <c r="BA402" s="32" t="str">
        <f>IF($A403="","",F402*Summary!$Q$10)</f>
        <v/>
      </c>
    </row>
    <row r="403" spans="1:53">
      <c r="A403" s="67" t="str">
        <f t="shared" si="250"/>
        <v/>
      </c>
      <c r="B403" s="69" t="str">
        <f t="shared" si="251"/>
        <v/>
      </c>
      <c r="D403" s="69" t="str">
        <f t="shared" si="225"/>
        <v/>
      </c>
      <c r="E403" s="70" t="str">
        <f t="shared" si="226"/>
        <v/>
      </c>
      <c r="F403" s="70" t="str">
        <f t="shared" si="227"/>
        <v/>
      </c>
      <c r="G403" s="63" t="str">
        <f t="shared" si="228"/>
        <v/>
      </c>
      <c r="H403" s="64" t="str">
        <f t="shared" si="229"/>
        <v/>
      </c>
      <c r="J403" s="63" t="str">
        <f t="shared" si="230"/>
        <v/>
      </c>
      <c r="K403" s="64" t="str">
        <f t="shared" si="231"/>
        <v/>
      </c>
      <c r="L403" s="38">
        <v>0</v>
      </c>
      <c r="M403" s="64" t="str">
        <f t="shared" si="232"/>
        <v/>
      </c>
      <c r="O403" s="63" t="str">
        <f t="shared" si="233"/>
        <v/>
      </c>
      <c r="P403" s="63" t="str">
        <f t="shared" si="234"/>
        <v/>
      </c>
      <c r="R403" s="63" t="str">
        <f t="shared" si="235"/>
        <v/>
      </c>
      <c r="S403" s="64" t="str">
        <f t="shared" si="236"/>
        <v/>
      </c>
      <c r="T403" s="63" t="str">
        <f t="shared" si="237"/>
        <v/>
      </c>
      <c r="U403" s="64" t="str">
        <f t="shared" si="238"/>
        <v/>
      </c>
      <c r="V403" s="219" t="str">
        <f>IF($A404="","",IF(AND(MONTH(A403)&gt;3,MONTH(A403)&lt;11),(T403+R403+G403)*Summary!$T$10/(1-Summary!$T$10),(T403+R403+G403)*Summary!$U$10/(1-Summary!$U$10)))</f>
        <v/>
      </c>
      <c r="W403" s="63" t="str">
        <f t="shared" si="239"/>
        <v/>
      </c>
      <c r="X403" s="63" t="str">
        <f t="shared" si="240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1"/>
        <v/>
      </c>
      <c r="AP403" s="33" t="str">
        <f t="shared" si="242"/>
        <v/>
      </c>
      <c r="AQ403" s="58" t="str">
        <f t="shared" si="243"/>
        <v/>
      </c>
      <c r="AR403" s="38">
        <f>'ANR OK vs ML7'!AR403</f>
        <v>0.1</v>
      </c>
      <c r="AS403" s="35" t="str">
        <f t="shared" si="244"/>
        <v/>
      </c>
      <c r="AT403" s="3" t="str">
        <f t="shared" si="245"/>
        <v/>
      </c>
      <c r="AU403" s="3" t="str">
        <f t="shared" si="246"/>
        <v/>
      </c>
      <c r="AW403" s="32" t="str">
        <f t="shared" si="247"/>
        <v/>
      </c>
      <c r="AX403" s="32" t="str">
        <f t="shared" si="248"/>
        <v/>
      </c>
      <c r="AY403" s="32" t="str">
        <f t="shared" si="249"/>
        <v/>
      </c>
      <c r="BA403" s="32" t="str">
        <f>IF($A404="","",F403*Summary!$Q$10)</f>
        <v/>
      </c>
    </row>
    <row r="404" spans="1:53">
      <c r="A404" s="67" t="str">
        <f t="shared" si="250"/>
        <v/>
      </c>
      <c r="B404" s="69" t="str">
        <f t="shared" si="251"/>
        <v/>
      </c>
      <c r="D404" s="69" t="str">
        <f t="shared" si="225"/>
        <v/>
      </c>
      <c r="E404" s="70" t="str">
        <f t="shared" si="226"/>
        <v/>
      </c>
      <c r="F404" s="70" t="str">
        <f t="shared" si="227"/>
        <v/>
      </c>
      <c r="G404" s="63" t="str">
        <f t="shared" si="228"/>
        <v/>
      </c>
      <c r="H404" s="64" t="str">
        <f t="shared" si="229"/>
        <v/>
      </c>
      <c r="J404" s="63" t="str">
        <f t="shared" si="230"/>
        <v/>
      </c>
      <c r="K404" s="64" t="str">
        <f t="shared" si="231"/>
        <v/>
      </c>
      <c r="L404" s="38">
        <v>0</v>
      </c>
      <c r="M404" s="64" t="str">
        <f t="shared" si="232"/>
        <v/>
      </c>
      <c r="O404" s="63" t="str">
        <f t="shared" si="233"/>
        <v/>
      </c>
      <c r="P404" s="63" t="str">
        <f t="shared" si="234"/>
        <v/>
      </c>
      <c r="R404" s="63" t="str">
        <f t="shared" si="235"/>
        <v/>
      </c>
      <c r="S404" s="64" t="str">
        <f t="shared" si="236"/>
        <v/>
      </c>
      <c r="T404" s="63" t="str">
        <f t="shared" si="237"/>
        <v/>
      </c>
      <c r="U404" s="64" t="str">
        <f t="shared" si="238"/>
        <v/>
      </c>
      <c r="V404" s="219" t="str">
        <f>IF($A405="","",IF(AND(MONTH(A404)&gt;3,MONTH(A404)&lt;11),(T404+R404+G404)*Summary!$T$10/(1-Summary!$T$10),(T404+R404+G404)*Summary!$U$10/(1-Summary!$U$10)))</f>
        <v/>
      </c>
      <c r="W404" s="63" t="str">
        <f t="shared" si="239"/>
        <v/>
      </c>
      <c r="X404" s="63" t="str">
        <f t="shared" si="240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1"/>
        <v/>
      </c>
      <c r="AP404" s="33" t="str">
        <f t="shared" si="242"/>
        <v/>
      </c>
      <c r="AQ404" s="58" t="str">
        <f t="shared" si="243"/>
        <v/>
      </c>
      <c r="AR404" s="38">
        <f>'ANR OK vs ML7'!AR404</f>
        <v>0.1</v>
      </c>
      <c r="AS404" s="35" t="str">
        <f t="shared" si="244"/>
        <v/>
      </c>
      <c r="AT404" s="3" t="str">
        <f t="shared" si="245"/>
        <v/>
      </c>
      <c r="AU404" s="3" t="str">
        <f t="shared" si="246"/>
        <v/>
      </c>
      <c r="AW404" s="32" t="str">
        <f t="shared" si="247"/>
        <v/>
      </c>
      <c r="AX404" s="32" t="str">
        <f t="shared" si="248"/>
        <v/>
      </c>
      <c r="AY404" s="32" t="str">
        <f t="shared" si="249"/>
        <v/>
      </c>
      <c r="BA404" s="32" t="str">
        <f>IF($A405="","",F404*Summary!$Q$10)</f>
        <v/>
      </c>
    </row>
    <row r="405" spans="1:53">
      <c r="A405" s="67" t="str">
        <f t="shared" si="250"/>
        <v/>
      </c>
      <c r="B405" s="69" t="str">
        <f t="shared" si="251"/>
        <v/>
      </c>
      <c r="D405" s="69" t="str">
        <f t="shared" si="225"/>
        <v/>
      </c>
      <c r="E405" s="70" t="str">
        <f t="shared" si="226"/>
        <v/>
      </c>
      <c r="F405" s="70" t="str">
        <f t="shared" si="227"/>
        <v/>
      </c>
      <c r="G405" s="63" t="str">
        <f t="shared" si="228"/>
        <v/>
      </c>
      <c r="H405" s="64" t="str">
        <f t="shared" si="229"/>
        <v/>
      </c>
      <c r="J405" s="63" t="str">
        <f t="shared" si="230"/>
        <v/>
      </c>
      <c r="K405" s="64" t="str">
        <f t="shared" si="231"/>
        <v/>
      </c>
      <c r="L405" s="38">
        <v>0</v>
      </c>
      <c r="M405" s="64" t="str">
        <f t="shared" si="232"/>
        <v/>
      </c>
      <c r="O405" s="63" t="str">
        <f t="shared" si="233"/>
        <v/>
      </c>
      <c r="P405" s="63" t="str">
        <f t="shared" si="234"/>
        <v/>
      </c>
      <c r="R405" s="63" t="str">
        <f t="shared" si="235"/>
        <v/>
      </c>
      <c r="S405" s="64" t="str">
        <f t="shared" si="236"/>
        <v/>
      </c>
      <c r="T405" s="63" t="str">
        <f t="shared" si="237"/>
        <v/>
      </c>
      <c r="U405" s="64" t="str">
        <f t="shared" si="238"/>
        <v/>
      </c>
      <c r="V405" s="219" t="str">
        <f>IF($A406="","",IF(AND(MONTH(A405)&gt;3,MONTH(A405)&lt;11),(T405+R405+G405)*Summary!$T$10/(1-Summary!$T$10),(T405+R405+G405)*Summary!$U$10/(1-Summary!$U$10)))</f>
        <v/>
      </c>
      <c r="W405" s="63" t="str">
        <f t="shared" si="239"/>
        <v/>
      </c>
      <c r="X405" s="63" t="str">
        <f t="shared" si="240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1"/>
        <v/>
      </c>
      <c r="AP405" s="33" t="str">
        <f t="shared" si="242"/>
        <v/>
      </c>
      <c r="AQ405" s="58" t="str">
        <f t="shared" si="243"/>
        <v/>
      </c>
      <c r="AR405" s="38">
        <f>'ANR OK vs ML7'!AR405</f>
        <v>0.1</v>
      </c>
      <c r="AS405" s="35" t="str">
        <f t="shared" si="244"/>
        <v/>
      </c>
      <c r="AT405" s="3" t="str">
        <f t="shared" si="245"/>
        <v/>
      </c>
      <c r="AU405" s="3" t="str">
        <f t="shared" si="246"/>
        <v/>
      </c>
      <c r="AW405" s="32" t="str">
        <f t="shared" si="247"/>
        <v/>
      </c>
      <c r="AX405" s="32" t="str">
        <f t="shared" si="248"/>
        <v/>
      </c>
      <c r="AY405" s="32" t="str">
        <f t="shared" si="249"/>
        <v/>
      </c>
      <c r="BA405" s="32" t="str">
        <f>IF($A406="","",F405*Summary!$Q$10)</f>
        <v/>
      </c>
    </row>
    <row r="406" spans="1:53">
      <c r="A406" s="67" t="str">
        <f t="shared" si="250"/>
        <v/>
      </c>
      <c r="B406" s="69" t="str">
        <f t="shared" si="251"/>
        <v/>
      </c>
      <c r="D406" s="69" t="str">
        <f t="shared" si="225"/>
        <v/>
      </c>
      <c r="E406" s="70" t="str">
        <f t="shared" si="226"/>
        <v/>
      </c>
      <c r="F406" s="70" t="str">
        <f t="shared" si="227"/>
        <v/>
      </c>
      <c r="G406" s="63" t="str">
        <f t="shared" si="228"/>
        <v/>
      </c>
      <c r="H406" s="64" t="str">
        <f t="shared" si="229"/>
        <v/>
      </c>
      <c r="J406" s="63" t="str">
        <f t="shared" si="230"/>
        <v/>
      </c>
      <c r="K406" s="64" t="str">
        <f t="shared" si="231"/>
        <v/>
      </c>
      <c r="L406" s="38">
        <v>0</v>
      </c>
      <c r="M406" s="64" t="str">
        <f t="shared" si="232"/>
        <v/>
      </c>
      <c r="O406" s="63" t="str">
        <f t="shared" si="233"/>
        <v/>
      </c>
      <c r="P406" s="63" t="str">
        <f t="shared" si="234"/>
        <v/>
      </c>
      <c r="R406" s="63" t="str">
        <f t="shared" si="235"/>
        <v/>
      </c>
      <c r="S406" s="64" t="str">
        <f t="shared" si="236"/>
        <v/>
      </c>
      <c r="T406" s="63" t="str">
        <f t="shared" si="237"/>
        <v/>
      </c>
      <c r="U406" s="64" t="str">
        <f t="shared" si="238"/>
        <v/>
      </c>
      <c r="V406" s="219" t="str">
        <f>IF($A407="","",IF(AND(MONTH(A406)&gt;3,MONTH(A406)&lt;11),(T406+R406+G406)*Summary!$T$10/(1-Summary!$T$10),(T406+R406+G406)*Summary!$U$10/(1-Summary!$U$10)))</f>
        <v/>
      </c>
      <c r="W406" s="63" t="str">
        <f t="shared" si="239"/>
        <v/>
      </c>
      <c r="X406" s="63" t="str">
        <f t="shared" si="240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1"/>
        <v/>
      </c>
      <c r="AP406" s="33" t="str">
        <f t="shared" si="242"/>
        <v/>
      </c>
      <c r="AQ406" s="58" t="str">
        <f t="shared" si="243"/>
        <v/>
      </c>
      <c r="AR406" s="38">
        <f>'ANR OK vs ML7'!AR406</f>
        <v>0.1</v>
      </c>
      <c r="AS406" s="35" t="str">
        <f t="shared" si="244"/>
        <v/>
      </c>
      <c r="AT406" s="3" t="str">
        <f t="shared" si="245"/>
        <v/>
      </c>
      <c r="AU406" s="3" t="str">
        <f t="shared" si="246"/>
        <v/>
      </c>
      <c r="AW406" s="32" t="str">
        <f t="shared" si="247"/>
        <v/>
      </c>
      <c r="AX406" s="32" t="str">
        <f t="shared" si="248"/>
        <v/>
      </c>
      <c r="AY406" s="32" t="str">
        <f t="shared" si="249"/>
        <v/>
      </c>
      <c r="BA406" s="32" t="str">
        <f>IF($A407="","",F406*Summary!$Q$10)</f>
        <v/>
      </c>
    </row>
    <row r="407" spans="1:53">
      <c r="A407" s="67" t="str">
        <f t="shared" si="250"/>
        <v/>
      </c>
      <c r="B407" s="69" t="str">
        <f t="shared" si="251"/>
        <v/>
      </c>
      <c r="D407" s="69" t="str">
        <f t="shared" si="225"/>
        <v/>
      </c>
      <c r="E407" s="70" t="str">
        <f t="shared" si="226"/>
        <v/>
      </c>
      <c r="F407" s="70" t="str">
        <f t="shared" si="227"/>
        <v/>
      </c>
      <c r="G407" s="63" t="str">
        <f t="shared" si="228"/>
        <v/>
      </c>
      <c r="H407" s="64" t="str">
        <f t="shared" si="229"/>
        <v/>
      </c>
      <c r="J407" s="63" t="str">
        <f t="shared" si="230"/>
        <v/>
      </c>
      <c r="K407" s="64" t="str">
        <f t="shared" si="231"/>
        <v/>
      </c>
      <c r="L407" s="38">
        <v>0</v>
      </c>
      <c r="M407" s="64" t="str">
        <f t="shared" si="232"/>
        <v/>
      </c>
      <c r="O407" s="63" t="str">
        <f t="shared" si="233"/>
        <v/>
      </c>
      <c r="P407" s="63" t="str">
        <f t="shared" si="234"/>
        <v/>
      </c>
      <c r="R407" s="63" t="str">
        <f t="shared" si="235"/>
        <v/>
      </c>
      <c r="S407" s="64" t="str">
        <f t="shared" si="236"/>
        <v/>
      </c>
      <c r="T407" s="63" t="str">
        <f t="shared" si="237"/>
        <v/>
      </c>
      <c r="U407" s="64" t="str">
        <f t="shared" si="238"/>
        <v/>
      </c>
      <c r="V407" s="219" t="str">
        <f>IF($A408="","",IF(AND(MONTH(A407)&gt;3,MONTH(A407)&lt;11),(T407+R407+G407)*Summary!$T$10/(1-Summary!$T$10),(T407+R407+G407)*Summary!$U$10/(1-Summary!$U$10)))</f>
        <v/>
      </c>
      <c r="W407" s="63" t="str">
        <f t="shared" si="239"/>
        <v/>
      </c>
      <c r="X407" s="63" t="str">
        <f t="shared" si="240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1"/>
        <v/>
      </c>
      <c r="AP407" s="33" t="str">
        <f t="shared" si="242"/>
        <v/>
      </c>
      <c r="AQ407" s="58" t="str">
        <f t="shared" si="243"/>
        <v/>
      </c>
      <c r="AR407" s="38">
        <f>'ANR OK vs ML7'!AR407</f>
        <v>0.1</v>
      </c>
      <c r="AS407" s="35" t="str">
        <f t="shared" si="244"/>
        <v/>
      </c>
      <c r="AT407" s="3" t="str">
        <f t="shared" si="245"/>
        <v/>
      </c>
      <c r="AU407" s="3" t="str">
        <f t="shared" si="246"/>
        <v/>
      </c>
      <c r="AW407" s="32" t="str">
        <f t="shared" si="247"/>
        <v/>
      </c>
      <c r="AX407" s="32" t="str">
        <f t="shared" si="248"/>
        <v/>
      </c>
      <c r="AY407" s="32" t="str">
        <f t="shared" si="249"/>
        <v/>
      </c>
      <c r="BA407" s="32" t="str">
        <f>IF($A408="","",F407*Summary!$Q$10)</f>
        <v/>
      </c>
    </row>
    <row r="408" spans="1:53">
      <c r="A408" s="67" t="str">
        <f t="shared" si="250"/>
        <v/>
      </c>
      <c r="B408" s="69" t="str">
        <f t="shared" si="251"/>
        <v/>
      </c>
      <c r="D408" s="69" t="str">
        <f t="shared" si="225"/>
        <v/>
      </c>
      <c r="E408" s="70" t="str">
        <f t="shared" si="226"/>
        <v/>
      </c>
      <c r="F408" s="70" t="str">
        <f t="shared" si="227"/>
        <v/>
      </c>
      <c r="G408" s="63" t="str">
        <f t="shared" si="228"/>
        <v/>
      </c>
      <c r="H408" s="64" t="str">
        <f t="shared" si="229"/>
        <v/>
      </c>
      <c r="J408" s="63" t="str">
        <f t="shared" si="230"/>
        <v/>
      </c>
      <c r="K408" s="64" t="str">
        <f t="shared" si="231"/>
        <v/>
      </c>
      <c r="L408" s="38">
        <v>0</v>
      </c>
      <c r="M408" s="64" t="str">
        <f t="shared" si="232"/>
        <v/>
      </c>
      <c r="O408" s="63" t="str">
        <f t="shared" si="233"/>
        <v/>
      </c>
      <c r="P408" s="63" t="str">
        <f t="shared" si="234"/>
        <v/>
      </c>
      <c r="R408" s="63" t="str">
        <f t="shared" si="235"/>
        <v/>
      </c>
      <c r="S408" s="64" t="str">
        <f t="shared" si="236"/>
        <v/>
      </c>
      <c r="T408" s="63" t="str">
        <f t="shared" si="237"/>
        <v/>
      </c>
      <c r="U408" s="64" t="str">
        <f t="shared" si="238"/>
        <v/>
      </c>
      <c r="V408" s="219" t="str">
        <f>IF($A409="","",IF(AND(MONTH(A408)&gt;3,MONTH(A408)&lt;11),(T408+R408+G408)*Summary!$T$10/(1-Summary!$T$10),(T408+R408+G408)*Summary!$U$10/(1-Summary!$U$10)))</f>
        <v/>
      </c>
      <c r="W408" s="63" t="str">
        <f t="shared" si="239"/>
        <v/>
      </c>
      <c r="X408" s="63" t="str">
        <f t="shared" si="240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1"/>
        <v/>
      </c>
      <c r="AP408" s="33" t="str">
        <f t="shared" si="242"/>
        <v/>
      </c>
      <c r="AQ408" s="58" t="str">
        <f t="shared" si="243"/>
        <v/>
      </c>
      <c r="AR408" s="38">
        <f>'ANR OK vs ML7'!AR408</f>
        <v>0.1</v>
      </c>
      <c r="AS408" s="35" t="str">
        <f t="shared" si="244"/>
        <v/>
      </c>
      <c r="AT408" s="3" t="str">
        <f t="shared" si="245"/>
        <v/>
      </c>
      <c r="AU408" s="3" t="str">
        <f t="shared" si="246"/>
        <v/>
      </c>
      <c r="AW408" s="32" t="str">
        <f t="shared" si="247"/>
        <v/>
      </c>
      <c r="AX408" s="32" t="str">
        <f t="shared" si="248"/>
        <v/>
      </c>
      <c r="AY408" s="32" t="str">
        <f t="shared" si="249"/>
        <v/>
      </c>
      <c r="BA408" s="32" t="str">
        <f>IF($A409="","",F408*Summary!$Q$10)</f>
        <v/>
      </c>
    </row>
    <row r="409" spans="1:53">
      <c r="A409" s="67" t="str">
        <f t="shared" si="250"/>
        <v/>
      </c>
      <c r="B409" s="69" t="str">
        <f t="shared" si="251"/>
        <v/>
      </c>
      <c r="D409" s="69" t="str">
        <f t="shared" si="225"/>
        <v/>
      </c>
      <c r="E409" s="70" t="str">
        <f t="shared" si="226"/>
        <v/>
      </c>
      <c r="F409" s="70" t="str">
        <f t="shared" si="227"/>
        <v/>
      </c>
      <c r="G409" s="63" t="str">
        <f t="shared" si="228"/>
        <v/>
      </c>
      <c r="H409" s="64" t="str">
        <f t="shared" si="229"/>
        <v/>
      </c>
      <c r="J409" s="63" t="str">
        <f t="shared" si="230"/>
        <v/>
      </c>
      <c r="K409" s="64" t="str">
        <f t="shared" si="231"/>
        <v/>
      </c>
      <c r="L409" s="38">
        <v>0</v>
      </c>
      <c r="M409" s="64" t="str">
        <f t="shared" si="232"/>
        <v/>
      </c>
      <c r="O409" s="63" t="str">
        <f t="shared" si="233"/>
        <v/>
      </c>
      <c r="P409" s="63" t="str">
        <f t="shared" si="234"/>
        <v/>
      </c>
      <c r="R409" s="63" t="str">
        <f t="shared" si="235"/>
        <v/>
      </c>
      <c r="S409" s="64" t="str">
        <f t="shared" si="236"/>
        <v/>
      </c>
      <c r="T409" s="63" t="str">
        <f t="shared" si="237"/>
        <v/>
      </c>
      <c r="U409" s="64" t="str">
        <f t="shared" si="238"/>
        <v/>
      </c>
      <c r="V409" s="219" t="str">
        <f>IF($A410="","",IF(AND(MONTH(A409)&gt;3,MONTH(A409)&lt;11),(T409+R409+G409)*Summary!$T$10/(1-Summary!$T$10),(T409+R409+G409)*Summary!$U$10/(1-Summary!$U$10)))</f>
        <v/>
      </c>
      <c r="W409" s="63" t="str">
        <f t="shared" si="239"/>
        <v/>
      </c>
      <c r="X409" s="63" t="str">
        <f t="shared" si="240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1"/>
        <v/>
      </c>
      <c r="AP409" s="33" t="str">
        <f t="shared" si="242"/>
        <v/>
      </c>
      <c r="AQ409" s="58" t="str">
        <f t="shared" si="243"/>
        <v/>
      </c>
      <c r="AR409" s="38">
        <f>'ANR OK vs ML7'!AR409</f>
        <v>0.1</v>
      </c>
      <c r="AS409" s="35" t="str">
        <f t="shared" si="244"/>
        <v/>
      </c>
      <c r="AT409" s="3" t="str">
        <f t="shared" si="245"/>
        <v/>
      </c>
      <c r="AU409" s="3" t="str">
        <f t="shared" si="246"/>
        <v/>
      </c>
      <c r="AW409" s="32" t="str">
        <f t="shared" si="247"/>
        <v/>
      </c>
      <c r="AX409" s="32" t="str">
        <f t="shared" si="248"/>
        <v/>
      </c>
      <c r="AY409" s="32" t="str">
        <f t="shared" si="249"/>
        <v/>
      </c>
      <c r="BA409" s="32" t="str">
        <f>IF($A410="","",F409*Summary!$Q$10)</f>
        <v/>
      </c>
    </row>
    <row r="410" spans="1:53">
      <c r="A410" s="67" t="str">
        <f t="shared" si="250"/>
        <v/>
      </c>
      <c r="B410" s="69" t="str">
        <f t="shared" si="251"/>
        <v/>
      </c>
      <c r="D410" s="69" t="str">
        <f t="shared" si="225"/>
        <v/>
      </c>
      <c r="E410" s="70" t="str">
        <f t="shared" si="226"/>
        <v/>
      </c>
      <c r="F410" s="70" t="str">
        <f t="shared" si="227"/>
        <v/>
      </c>
      <c r="G410" s="63" t="str">
        <f t="shared" si="228"/>
        <v/>
      </c>
      <c r="H410" s="64" t="str">
        <f t="shared" si="229"/>
        <v/>
      </c>
      <c r="J410" s="63" t="str">
        <f t="shared" si="230"/>
        <v/>
      </c>
      <c r="K410" s="64" t="str">
        <f t="shared" si="231"/>
        <v/>
      </c>
      <c r="L410" s="38">
        <v>0</v>
      </c>
      <c r="M410" s="64" t="str">
        <f t="shared" si="232"/>
        <v/>
      </c>
      <c r="O410" s="63" t="str">
        <f t="shared" si="233"/>
        <v/>
      </c>
      <c r="P410" s="63" t="str">
        <f t="shared" si="234"/>
        <v/>
      </c>
      <c r="R410" s="63" t="str">
        <f t="shared" si="235"/>
        <v/>
      </c>
      <c r="S410" s="64" t="str">
        <f t="shared" si="236"/>
        <v/>
      </c>
      <c r="T410" s="63" t="str">
        <f t="shared" si="237"/>
        <v/>
      </c>
      <c r="U410" s="64" t="str">
        <f t="shared" si="238"/>
        <v/>
      </c>
      <c r="V410" s="219" t="str">
        <f>IF($A411="","",IF(AND(MONTH(A410)&gt;3,MONTH(A410)&lt;11),(T410+R410+G410)*Summary!$T$10/(1-Summary!$T$10),(T410+R410+G410)*Summary!$U$10/(1-Summary!$U$10)))</f>
        <v/>
      </c>
      <c r="W410" s="63" t="str">
        <f t="shared" si="239"/>
        <v/>
      </c>
      <c r="X410" s="63" t="str">
        <f t="shared" si="240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1"/>
        <v/>
      </c>
      <c r="AP410" s="33" t="str">
        <f t="shared" si="242"/>
        <v/>
      </c>
      <c r="AQ410" s="58" t="str">
        <f t="shared" si="243"/>
        <v/>
      </c>
      <c r="AR410" s="38">
        <f>'ANR OK vs ML7'!AR410</f>
        <v>0.1</v>
      </c>
      <c r="AS410" s="35" t="str">
        <f t="shared" si="244"/>
        <v/>
      </c>
      <c r="AT410" s="3" t="str">
        <f t="shared" si="245"/>
        <v/>
      </c>
      <c r="AU410" s="3" t="str">
        <f t="shared" si="246"/>
        <v/>
      </c>
      <c r="AW410" s="32" t="str">
        <f t="shared" si="247"/>
        <v/>
      </c>
      <c r="AX410" s="32" t="str">
        <f t="shared" si="248"/>
        <v/>
      </c>
      <c r="AY410" s="32" t="str">
        <f t="shared" si="249"/>
        <v/>
      </c>
      <c r="BA410" s="32" t="str">
        <f>IF($A411="","",F410*Summary!$Q$10)</f>
        <v/>
      </c>
    </row>
    <row r="411" spans="1:53">
      <c r="A411" s="67" t="str">
        <f t="shared" si="250"/>
        <v/>
      </c>
      <c r="B411" s="69" t="str">
        <f t="shared" si="251"/>
        <v/>
      </c>
      <c r="D411" s="69" t="str">
        <f t="shared" si="225"/>
        <v/>
      </c>
      <c r="E411" s="70" t="str">
        <f t="shared" si="226"/>
        <v/>
      </c>
      <c r="F411" s="70" t="str">
        <f t="shared" si="227"/>
        <v/>
      </c>
      <c r="G411" s="63" t="str">
        <f t="shared" si="228"/>
        <v/>
      </c>
      <c r="H411" s="64" t="str">
        <f t="shared" si="229"/>
        <v/>
      </c>
      <c r="J411" s="63" t="str">
        <f t="shared" si="230"/>
        <v/>
      </c>
      <c r="K411" s="64" t="str">
        <f t="shared" si="231"/>
        <v/>
      </c>
      <c r="L411" s="38">
        <v>0</v>
      </c>
      <c r="M411" s="64" t="str">
        <f t="shared" si="232"/>
        <v/>
      </c>
      <c r="O411" s="63" t="str">
        <f t="shared" si="233"/>
        <v/>
      </c>
      <c r="P411" s="63" t="str">
        <f t="shared" si="234"/>
        <v/>
      </c>
      <c r="R411" s="63" t="str">
        <f t="shared" si="235"/>
        <v/>
      </c>
      <c r="S411" s="64" t="str">
        <f t="shared" si="236"/>
        <v/>
      </c>
      <c r="T411" s="63" t="str">
        <f t="shared" si="237"/>
        <v/>
      </c>
      <c r="U411" s="64" t="str">
        <f t="shared" si="238"/>
        <v/>
      </c>
      <c r="V411" s="219" t="str">
        <f>IF($A412="","",IF(AND(MONTH(A411)&gt;3,MONTH(A411)&lt;11),(T411+R411+G411)*Summary!$T$10/(1-Summary!$T$10),(T411+R411+G411)*Summary!$U$10/(1-Summary!$U$10)))</f>
        <v/>
      </c>
      <c r="W411" s="63" t="str">
        <f t="shared" si="239"/>
        <v/>
      </c>
      <c r="X411" s="63" t="str">
        <f t="shared" si="240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1"/>
        <v/>
      </c>
      <c r="AP411" s="33" t="str">
        <f t="shared" si="242"/>
        <v/>
      </c>
      <c r="AQ411" s="58" t="str">
        <f t="shared" si="243"/>
        <v/>
      </c>
      <c r="AR411" s="38">
        <f>'ANR OK vs ML7'!AR411</f>
        <v>0.1</v>
      </c>
      <c r="AS411" s="35" t="str">
        <f t="shared" si="244"/>
        <v/>
      </c>
      <c r="AT411" s="3" t="str">
        <f t="shared" si="245"/>
        <v/>
      </c>
      <c r="AU411" s="3" t="str">
        <f t="shared" si="246"/>
        <v/>
      </c>
      <c r="AW411" s="32" t="str">
        <f t="shared" si="247"/>
        <v/>
      </c>
      <c r="AX411" s="32" t="str">
        <f t="shared" si="248"/>
        <v/>
      </c>
      <c r="AY411" s="32" t="str">
        <f t="shared" si="249"/>
        <v/>
      </c>
      <c r="BA411" s="32" t="str">
        <f>IF($A412="","",F411*Summary!$Q$10)</f>
        <v/>
      </c>
    </row>
    <row r="412" spans="1:53">
      <c r="A412" s="67" t="str">
        <f t="shared" si="250"/>
        <v/>
      </c>
      <c r="B412" s="69" t="str">
        <f t="shared" si="251"/>
        <v/>
      </c>
      <c r="D412" s="69" t="str">
        <f t="shared" si="225"/>
        <v/>
      </c>
      <c r="E412" s="70" t="str">
        <f t="shared" si="226"/>
        <v/>
      </c>
      <c r="F412" s="70" t="str">
        <f t="shared" si="227"/>
        <v/>
      </c>
      <c r="G412" s="63" t="str">
        <f t="shared" si="228"/>
        <v/>
      </c>
      <c r="H412" s="64" t="str">
        <f t="shared" si="229"/>
        <v/>
      </c>
      <c r="J412" s="63" t="str">
        <f t="shared" si="230"/>
        <v/>
      </c>
      <c r="K412" s="64" t="str">
        <f t="shared" si="231"/>
        <v/>
      </c>
      <c r="L412" s="38">
        <v>0</v>
      </c>
      <c r="M412" s="64" t="str">
        <f t="shared" si="232"/>
        <v/>
      </c>
      <c r="O412" s="63" t="str">
        <f t="shared" si="233"/>
        <v/>
      </c>
      <c r="P412" s="63" t="str">
        <f t="shared" si="234"/>
        <v/>
      </c>
      <c r="R412" s="63" t="str">
        <f t="shared" si="235"/>
        <v/>
      </c>
      <c r="S412" s="64" t="str">
        <f t="shared" si="236"/>
        <v/>
      </c>
      <c r="T412" s="63" t="str">
        <f t="shared" si="237"/>
        <v/>
      </c>
      <c r="U412" s="64" t="str">
        <f t="shared" si="238"/>
        <v/>
      </c>
      <c r="V412" s="219" t="str">
        <f>IF($A413="","",IF(AND(MONTH(A412)&gt;3,MONTH(A412)&lt;11),(T412+R412+G412)*Summary!$T$10/(1-Summary!$T$10),(T412+R412+G412)*Summary!$U$10/(1-Summary!$U$10)))</f>
        <v/>
      </c>
      <c r="W412" s="63" t="str">
        <f t="shared" si="239"/>
        <v/>
      </c>
      <c r="X412" s="63" t="str">
        <f t="shared" si="240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1"/>
        <v/>
      </c>
      <c r="AP412" s="33" t="str">
        <f t="shared" si="242"/>
        <v/>
      </c>
      <c r="AQ412" s="58" t="str">
        <f t="shared" si="243"/>
        <v/>
      </c>
      <c r="AR412" s="38">
        <f>'ANR OK vs ML7'!AR412</f>
        <v>0.1</v>
      </c>
      <c r="AS412" s="35" t="str">
        <f t="shared" si="244"/>
        <v/>
      </c>
      <c r="AT412" s="3" t="str">
        <f t="shared" si="245"/>
        <v/>
      </c>
      <c r="AU412" s="3" t="str">
        <f t="shared" si="246"/>
        <v/>
      </c>
      <c r="AW412" s="32" t="str">
        <f t="shared" si="247"/>
        <v/>
      </c>
      <c r="AX412" s="32" t="str">
        <f t="shared" si="248"/>
        <v/>
      </c>
      <c r="AY412" s="32" t="str">
        <f t="shared" si="249"/>
        <v/>
      </c>
      <c r="BA412" s="32" t="str">
        <f>IF($A413="","",F412*Summary!$Q$10)</f>
        <v/>
      </c>
    </row>
    <row r="413" spans="1:53">
      <c r="A413" s="67" t="str">
        <f t="shared" si="250"/>
        <v/>
      </c>
      <c r="B413" s="69" t="str">
        <f t="shared" si="251"/>
        <v/>
      </c>
      <c r="D413" s="69" t="str">
        <f t="shared" si="225"/>
        <v/>
      </c>
      <c r="E413" s="70" t="str">
        <f t="shared" si="226"/>
        <v/>
      </c>
      <c r="F413" s="70" t="str">
        <f t="shared" si="227"/>
        <v/>
      </c>
      <c r="G413" s="63" t="str">
        <f t="shared" si="228"/>
        <v/>
      </c>
      <c r="H413" s="64" t="str">
        <f t="shared" si="229"/>
        <v/>
      </c>
      <c r="J413" s="63" t="str">
        <f t="shared" si="230"/>
        <v/>
      </c>
      <c r="K413" s="64" t="str">
        <f t="shared" si="231"/>
        <v/>
      </c>
      <c r="L413" s="38">
        <v>0</v>
      </c>
      <c r="M413" s="64" t="str">
        <f t="shared" si="232"/>
        <v/>
      </c>
      <c r="O413" s="63" t="str">
        <f t="shared" si="233"/>
        <v/>
      </c>
      <c r="P413" s="63" t="str">
        <f t="shared" si="234"/>
        <v/>
      </c>
      <c r="R413" s="63" t="str">
        <f t="shared" si="235"/>
        <v/>
      </c>
      <c r="S413" s="64" t="str">
        <f t="shared" si="236"/>
        <v/>
      </c>
      <c r="T413" s="63" t="str">
        <f t="shared" si="237"/>
        <v/>
      </c>
      <c r="U413" s="64" t="str">
        <f t="shared" si="238"/>
        <v/>
      </c>
      <c r="V413" s="219" t="str">
        <f>IF($A414="","",IF(AND(MONTH(A413)&gt;3,MONTH(A413)&lt;11),(T413+R413+G413)*Summary!$T$10/(1-Summary!$T$10),(T413+R413+G413)*Summary!$U$10/(1-Summary!$U$10)))</f>
        <v/>
      </c>
      <c r="W413" s="63" t="str">
        <f t="shared" si="239"/>
        <v/>
      </c>
      <c r="X413" s="63" t="str">
        <f t="shared" si="240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1"/>
        <v/>
      </c>
      <c r="AP413" s="33" t="str">
        <f t="shared" si="242"/>
        <v/>
      </c>
      <c r="AQ413" s="58" t="str">
        <f t="shared" si="243"/>
        <v/>
      </c>
      <c r="AR413" s="38">
        <f>'ANR OK vs ML7'!AR413</f>
        <v>0.1</v>
      </c>
      <c r="AS413" s="35" t="str">
        <f t="shared" si="244"/>
        <v/>
      </c>
      <c r="AT413" s="3" t="str">
        <f t="shared" si="245"/>
        <v/>
      </c>
      <c r="AU413" s="3" t="str">
        <f t="shared" si="246"/>
        <v/>
      </c>
      <c r="AW413" s="32" t="str">
        <f t="shared" si="247"/>
        <v/>
      </c>
      <c r="AX413" s="32" t="str">
        <f t="shared" si="248"/>
        <v/>
      </c>
      <c r="AY413" s="32" t="str">
        <f t="shared" si="249"/>
        <v/>
      </c>
      <c r="BA413" s="32" t="str">
        <f>IF($A414="","",F413*Summary!$Q$10)</f>
        <v/>
      </c>
    </row>
    <row r="414" spans="1:53">
      <c r="A414" s="67" t="str">
        <f t="shared" si="250"/>
        <v/>
      </c>
      <c r="B414" s="69" t="str">
        <f t="shared" si="251"/>
        <v/>
      </c>
      <c r="D414" s="69" t="str">
        <f t="shared" si="225"/>
        <v/>
      </c>
      <c r="E414" s="70" t="str">
        <f t="shared" si="226"/>
        <v/>
      </c>
      <c r="F414" s="70" t="str">
        <f t="shared" si="227"/>
        <v/>
      </c>
      <c r="G414" s="63" t="str">
        <f t="shared" si="228"/>
        <v/>
      </c>
      <c r="H414" s="64" t="str">
        <f t="shared" si="229"/>
        <v/>
      </c>
      <c r="J414" s="63" t="str">
        <f t="shared" si="230"/>
        <v/>
      </c>
      <c r="K414" s="64" t="str">
        <f t="shared" si="231"/>
        <v/>
      </c>
      <c r="L414" s="38">
        <v>0</v>
      </c>
      <c r="M414" s="64" t="str">
        <f t="shared" si="232"/>
        <v/>
      </c>
      <c r="O414" s="63" t="str">
        <f t="shared" si="233"/>
        <v/>
      </c>
      <c r="P414" s="63" t="str">
        <f t="shared" si="234"/>
        <v/>
      </c>
      <c r="R414" s="63" t="str">
        <f t="shared" si="235"/>
        <v/>
      </c>
      <c r="S414" s="64" t="str">
        <f t="shared" si="236"/>
        <v/>
      </c>
      <c r="T414" s="63" t="str">
        <f t="shared" si="237"/>
        <v/>
      </c>
      <c r="U414" s="64" t="str">
        <f t="shared" si="238"/>
        <v/>
      </c>
      <c r="V414" s="219" t="str">
        <f>IF($A415="","",IF(AND(MONTH(A414)&gt;3,MONTH(A414)&lt;11),(T414+R414+G414)*Summary!$T$10/(1-Summary!$T$10),(T414+R414+G414)*Summary!$U$10/(1-Summary!$U$10)))</f>
        <v/>
      </c>
      <c r="W414" s="63" t="str">
        <f t="shared" si="239"/>
        <v/>
      </c>
      <c r="X414" s="63" t="str">
        <f t="shared" si="240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1"/>
        <v/>
      </c>
      <c r="AP414" s="33" t="str">
        <f t="shared" si="242"/>
        <v/>
      </c>
      <c r="AQ414" s="58" t="str">
        <f t="shared" si="243"/>
        <v/>
      </c>
      <c r="AR414" s="38">
        <f>'ANR OK vs ML7'!AR414</f>
        <v>0.1</v>
      </c>
      <c r="AS414" s="35" t="str">
        <f t="shared" si="244"/>
        <v/>
      </c>
      <c r="AT414" s="3" t="str">
        <f t="shared" si="245"/>
        <v/>
      </c>
      <c r="AU414" s="3" t="str">
        <f t="shared" si="246"/>
        <v/>
      </c>
      <c r="AW414" s="32" t="str">
        <f t="shared" si="247"/>
        <v/>
      </c>
      <c r="AX414" s="32" t="str">
        <f t="shared" si="248"/>
        <v/>
      </c>
      <c r="AY414" s="32" t="str">
        <f t="shared" si="249"/>
        <v/>
      </c>
      <c r="BA414" s="32" t="str">
        <f>IF($A415="","",F414*Summary!$Q$10)</f>
        <v/>
      </c>
    </row>
    <row r="415" spans="1:53">
      <c r="A415" s="67" t="str">
        <f t="shared" si="250"/>
        <v/>
      </c>
      <c r="B415" s="69" t="str">
        <f t="shared" si="251"/>
        <v/>
      </c>
      <c r="D415" s="69" t="str">
        <f t="shared" si="225"/>
        <v/>
      </c>
      <c r="E415" s="70" t="str">
        <f t="shared" si="226"/>
        <v/>
      </c>
      <c r="F415" s="70" t="str">
        <f t="shared" si="227"/>
        <v/>
      </c>
      <c r="G415" s="63" t="str">
        <f t="shared" si="228"/>
        <v/>
      </c>
      <c r="H415" s="64" t="str">
        <f t="shared" si="229"/>
        <v/>
      </c>
      <c r="J415" s="63" t="str">
        <f t="shared" si="230"/>
        <v/>
      </c>
      <c r="K415" s="64" t="str">
        <f t="shared" si="231"/>
        <v/>
      </c>
      <c r="L415" s="38">
        <v>0</v>
      </c>
      <c r="M415" s="64" t="str">
        <f t="shared" si="232"/>
        <v/>
      </c>
      <c r="O415" s="63" t="str">
        <f t="shared" si="233"/>
        <v/>
      </c>
      <c r="P415" s="63" t="str">
        <f t="shared" si="234"/>
        <v/>
      </c>
      <c r="R415" s="63" t="str">
        <f t="shared" si="235"/>
        <v/>
      </c>
      <c r="S415" s="64" t="str">
        <f t="shared" si="236"/>
        <v/>
      </c>
      <c r="T415" s="63" t="str">
        <f t="shared" si="237"/>
        <v/>
      </c>
      <c r="U415" s="64" t="str">
        <f t="shared" si="238"/>
        <v/>
      </c>
      <c r="V415" s="219" t="str">
        <f>IF($A416="","",IF(AND(MONTH(A415)&gt;3,MONTH(A415)&lt;11),(T415+R415+G415)*Summary!$T$10/(1-Summary!$T$10),(T415+R415+G415)*Summary!$U$10/(1-Summary!$U$10)))</f>
        <v/>
      </c>
      <c r="W415" s="63" t="str">
        <f t="shared" si="239"/>
        <v/>
      </c>
      <c r="X415" s="63" t="str">
        <f t="shared" si="240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1"/>
        <v/>
      </c>
      <c r="AP415" s="33" t="str">
        <f t="shared" si="242"/>
        <v/>
      </c>
      <c r="AQ415" s="58" t="str">
        <f t="shared" si="243"/>
        <v/>
      </c>
      <c r="AR415" s="38">
        <f>'ANR OK vs ML7'!AR415</f>
        <v>0.1</v>
      </c>
      <c r="AS415" s="35" t="str">
        <f t="shared" si="244"/>
        <v/>
      </c>
      <c r="AT415" s="3" t="str">
        <f t="shared" si="245"/>
        <v/>
      </c>
      <c r="AU415" s="3" t="str">
        <f t="shared" si="246"/>
        <v/>
      </c>
      <c r="AW415" s="32" t="str">
        <f t="shared" si="247"/>
        <v/>
      </c>
      <c r="AX415" s="32" t="str">
        <f t="shared" si="248"/>
        <v/>
      </c>
      <c r="AY415" s="32" t="str">
        <f t="shared" si="249"/>
        <v/>
      </c>
      <c r="BA415" s="32" t="str">
        <f>IF($A416="","",F415*Summary!$Q$10)</f>
        <v/>
      </c>
    </row>
    <row r="416" spans="1:53">
      <c r="A416" s="67" t="str">
        <f t="shared" si="250"/>
        <v/>
      </c>
      <c r="B416" s="69" t="str">
        <f t="shared" si="251"/>
        <v/>
      </c>
      <c r="D416" s="69" t="str">
        <f t="shared" si="225"/>
        <v/>
      </c>
      <c r="E416" s="70" t="str">
        <f t="shared" si="226"/>
        <v/>
      </c>
      <c r="F416" s="70" t="str">
        <f t="shared" si="227"/>
        <v/>
      </c>
      <c r="G416" s="63" t="str">
        <f t="shared" si="228"/>
        <v/>
      </c>
      <c r="H416" s="64" t="str">
        <f t="shared" si="229"/>
        <v/>
      </c>
      <c r="J416" s="63" t="str">
        <f t="shared" si="230"/>
        <v/>
      </c>
      <c r="K416" s="64" t="str">
        <f t="shared" si="231"/>
        <v/>
      </c>
      <c r="L416" s="38">
        <v>0</v>
      </c>
      <c r="M416" s="64" t="str">
        <f t="shared" si="232"/>
        <v/>
      </c>
      <c r="O416" s="63" t="str">
        <f t="shared" si="233"/>
        <v/>
      </c>
      <c r="P416" s="63" t="str">
        <f t="shared" si="234"/>
        <v/>
      </c>
      <c r="R416" s="63" t="str">
        <f t="shared" si="235"/>
        <v/>
      </c>
      <c r="S416" s="64" t="str">
        <f t="shared" si="236"/>
        <v/>
      </c>
      <c r="T416" s="63" t="str">
        <f t="shared" si="237"/>
        <v/>
      </c>
      <c r="U416" s="64" t="str">
        <f t="shared" si="238"/>
        <v/>
      </c>
      <c r="V416" s="219" t="str">
        <f>IF($A417="","",IF(AND(MONTH(A416)&gt;3,MONTH(A416)&lt;11),(T416+R416+G416)*Summary!$T$10/(1-Summary!$T$10),(T416+R416+G416)*Summary!$U$10/(1-Summary!$U$10)))</f>
        <v/>
      </c>
      <c r="W416" s="63" t="str">
        <f t="shared" si="239"/>
        <v/>
      </c>
      <c r="X416" s="63" t="str">
        <f t="shared" si="240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1"/>
        <v/>
      </c>
      <c r="AP416" s="33" t="str">
        <f t="shared" si="242"/>
        <v/>
      </c>
      <c r="AQ416" s="58" t="str">
        <f t="shared" si="243"/>
        <v/>
      </c>
      <c r="AR416" s="38">
        <f>'ANR OK vs ML7'!AR416</f>
        <v>0.1</v>
      </c>
      <c r="AS416" s="35" t="str">
        <f t="shared" si="244"/>
        <v/>
      </c>
      <c r="AT416" s="3" t="str">
        <f t="shared" si="245"/>
        <v/>
      </c>
      <c r="AU416" s="3" t="str">
        <f t="shared" si="246"/>
        <v/>
      </c>
      <c r="AW416" s="32" t="str">
        <f t="shared" si="247"/>
        <v/>
      </c>
      <c r="AX416" s="32" t="str">
        <f t="shared" si="248"/>
        <v/>
      </c>
      <c r="AY416" s="32" t="str">
        <f t="shared" si="249"/>
        <v/>
      </c>
      <c r="BA416" s="32" t="str">
        <f>IF($A417="","",F416*Summary!$Q$10)</f>
        <v/>
      </c>
    </row>
    <row r="417" spans="1:53">
      <c r="A417" s="67" t="str">
        <f t="shared" si="250"/>
        <v/>
      </c>
      <c r="B417" s="69" t="str">
        <f t="shared" si="251"/>
        <v/>
      </c>
      <c r="D417" s="69" t="str">
        <f t="shared" si="225"/>
        <v/>
      </c>
      <c r="E417" s="70" t="str">
        <f t="shared" si="226"/>
        <v/>
      </c>
      <c r="F417" s="70" t="str">
        <f t="shared" si="227"/>
        <v/>
      </c>
      <c r="G417" s="63" t="str">
        <f t="shared" si="228"/>
        <v/>
      </c>
      <c r="H417" s="64" t="str">
        <f t="shared" si="229"/>
        <v/>
      </c>
      <c r="J417" s="63" t="str">
        <f t="shared" si="230"/>
        <v/>
      </c>
      <c r="K417" s="64" t="str">
        <f t="shared" si="231"/>
        <v/>
      </c>
      <c r="L417" s="38">
        <v>0</v>
      </c>
      <c r="M417" s="64" t="str">
        <f t="shared" si="232"/>
        <v/>
      </c>
      <c r="O417" s="63" t="str">
        <f t="shared" si="233"/>
        <v/>
      </c>
      <c r="P417" s="63" t="str">
        <f t="shared" si="234"/>
        <v/>
      </c>
      <c r="R417" s="63" t="str">
        <f t="shared" si="235"/>
        <v/>
      </c>
      <c r="S417" s="64" t="str">
        <f t="shared" si="236"/>
        <v/>
      </c>
      <c r="T417" s="63" t="str">
        <f t="shared" si="237"/>
        <v/>
      </c>
      <c r="U417" s="64" t="str">
        <f t="shared" si="238"/>
        <v/>
      </c>
      <c r="V417" s="219" t="str">
        <f>IF($A418="","",IF(AND(MONTH(A417)&gt;3,MONTH(A417)&lt;11),(T417+R417+G417)*Summary!$T$10/(1-Summary!$T$10),(T417+R417+G417)*Summary!$U$10/(1-Summary!$U$10)))</f>
        <v/>
      </c>
      <c r="W417" s="63" t="str">
        <f t="shared" si="239"/>
        <v/>
      </c>
      <c r="X417" s="63" t="str">
        <f t="shared" si="240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1"/>
        <v/>
      </c>
      <c r="AP417" s="33" t="str">
        <f t="shared" si="242"/>
        <v/>
      </c>
      <c r="AQ417" s="58" t="str">
        <f t="shared" si="243"/>
        <v/>
      </c>
      <c r="AR417" s="38">
        <f>'ANR OK vs ML7'!AR417</f>
        <v>0.1</v>
      </c>
      <c r="AS417" s="35" t="str">
        <f t="shared" si="244"/>
        <v/>
      </c>
      <c r="AT417" s="3" t="str">
        <f t="shared" si="245"/>
        <v/>
      </c>
      <c r="AU417" s="3" t="str">
        <f t="shared" si="246"/>
        <v/>
      </c>
      <c r="AW417" s="32" t="str">
        <f t="shared" si="247"/>
        <v/>
      </c>
      <c r="AX417" s="32" t="str">
        <f t="shared" si="248"/>
        <v/>
      </c>
      <c r="AY417" s="32" t="str">
        <f t="shared" si="249"/>
        <v/>
      </c>
      <c r="BA417" s="32" t="str">
        <f>IF($A418="","",F417*Summary!$Q$10)</f>
        <v/>
      </c>
    </row>
    <row r="418" spans="1:53">
      <c r="A418" s="67" t="str">
        <f t="shared" si="250"/>
        <v/>
      </c>
      <c r="B418" s="69" t="str">
        <f t="shared" si="251"/>
        <v/>
      </c>
      <c r="D418" s="69" t="str">
        <f t="shared" si="225"/>
        <v/>
      </c>
      <c r="E418" s="70" t="str">
        <f t="shared" si="226"/>
        <v/>
      </c>
      <c r="F418" s="70" t="str">
        <f t="shared" si="227"/>
        <v/>
      </c>
      <c r="G418" s="63" t="str">
        <f t="shared" si="228"/>
        <v/>
      </c>
      <c r="H418" s="64" t="str">
        <f t="shared" si="229"/>
        <v/>
      </c>
      <c r="J418" s="63" t="str">
        <f t="shared" si="230"/>
        <v/>
      </c>
      <c r="K418" s="64" t="str">
        <f t="shared" si="231"/>
        <v/>
      </c>
      <c r="L418" s="38">
        <v>0</v>
      </c>
      <c r="M418" s="64" t="str">
        <f t="shared" si="232"/>
        <v/>
      </c>
      <c r="O418" s="63" t="str">
        <f t="shared" si="233"/>
        <v/>
      </c>
      <c r="P418" s="63" t="str">
        <f t="shared" si="234"/>
        <v/>
      </c>
      <c r="R418" s="63" t="str">
        <f t="shared" si="235"/>
        <v/>
      </c>
      <c r="S418" s="64" t="str">
        <f t="shared" si="236"/>
        <v/>
      </c>
      <c r="T418" s="63" t="str">
        <f t="shared" si="237"/>
        <v/>
      </c>
      <c r="U418" s="64" t="str">
        <f t="shared" si="238"/>
        <v/>
      </c>
      <c r="V418" s="219" t="str">
        <f>IF($A419="","",IF(AND(MONTH(A418)&gt;3,MONTH(A418)&lt;11),(T418+R418+G418)*Summary!$T$10/(1-Summary!$T$10),(T418+R418+G418)*Summary!$U$10/(1-Summary!$U$10)))</f>
        <v/>
      </c>
      <c r="W418" s="63" t="str">
        <f t="shared" si="239"/>
        <v/>
      </c>
      <c r="X418" s="63" t="str">
        <f t="shared" si="240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1"/>
        <v/>
      </c>
      <c r="AP418" s="33" t="str">
        <f t="shared" si="242"/>
        <v/>
      </c>
      <c r="AQ418" s="58" t="str">
        <f t="shared" si="243"/>
        <v/>
      </c>
      <c r="AR418" s="38">
        <f>'ANR OK vs ML7'!AR418</f>
        <v>0.1</v>
      </c>
      <c r="AS418" s="35" t="str">
        <f t="shared" si="244"/>
        <v/>
      </c>
      <c r="AT418" s="3" t="str">
        <f t="shared" si="245"/>
        <v/>
      </c>
      <c r="AU418" s="3" t="str">
        <f t="shared" si="246"/>
        <v/>
      </c>
      <c r="AW418" s="32" t="str">
        <f t="shared" si="247"/>
        <v/>
      </c>
      <c r="AX418" s="32" t="str">
        <f t="shared" si="248"/>
        <v/>
      </c>
      <c r="AY418" s="32" t="str">
        <f t="shared" si="249"/>
        <v/>
      </c>
      <c r="BA418" s="32" t="str">
        <f>IF($A419="","",F418*Summary!$Q$10)</f>
        <v/>
      </c>
    </row>
    <row r="419" spans="1:53">
      <c r="A419" s="67" t="str">
        <f t="shared" si="250"/>
        <v/>
      </c>
      <c r="B419" s="69" t="str">
        <f t="shared" si="251"/>
        <v/>
      </c>
      <c r="D419" s="69" t="str">
        <f t="shared" si="225"/>
        <v/>
      </c>
      <c r="E419" s="70" t="str">
        <f t="shared" si="226"/>
        <v/>
      </c>
      <c r="F419" s="70" t="str">
        <f t="shared" si="227"/>
        <v/>
      </c>
      <c r="G419" s="63" t="str">
        <f t="shared" si="228"/>
        <v/>
      </c>
      <c r="H419" s="64" t="str">
        <f t="shared" si="229"/>
        <v/>
      </c>
      <c r="J419" s="63" t="str">
        <f t="shared" si="230"/>
        <v/>
      </c>
      <c r="K419" s="64" t="str">
        <f t="shared" si="231"/>
        <v/>
      </c>
      <c r="L419" s="38">
        <v>0</v>
      </c>
      <c r="M419" s="64" t="str">
        <f t="shared" si="232"/>
        <v/>
      </c>
      <c r="O419" s="63" t="str">
        <f t="shared" si="233"/>
        <v/>
      </c>
      <c r="P419" s="63" t="str">
        <f t="shared" si="234"/>
        <v/>
      </c>
      <c r="R419" s="63" t="str">
        <f t="shared" si="235"/>
        <v/>
      </c>
      <c r="S419" s="64" t="str">
        <f t="shared" si="236"/>
        <v/>
      </c>
      <c r="T419" s="63" t="str">
        <f t="shared" si="237"/>
        <v/>
      </c>
      <c r="U419" s="64" t="str">
        <f t="shared" si="238"/>
        <v/>
      </c>
      <c r="V419" s="219" t="str">
        <f>IF($A420="","",IF(AND(MONTH(A419)&gt;3,MONTH(A419)&lt;11),(T419+R419+G419)*Summary!$T$10/(1-Summary!$T$10),(T419+R419+G419)*Summary!$U$10/(1-Summary!$U$10)))</f>
        <v/>
      </c>
      <c r="W419" s="63" t="str">
        <f t="shared" si="239"/>
        <v/>
      </c>
      <c r="X419" s="63" t="str">
        <f t="shared" si="240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1"/>
        <v/>
      </c>
      <c r="AP419" s="33" t="str">
        <f t="shared" si="242"/>
        <v/>
      </c>
      <c r="AQ419" s="58" t="str">
        <f t="shared" si="243"/>
        <v/>
      </c>
      <c r="AR419" s="38">
        <f>'ANR OK vs ML7'!AR419</f>
        <v>0.1</v>
      </c>
      <c r="AS419" s="35" t="str">
        <f t="shared" si="244"/>
        <v/>
      </c>
      <c r="AT419" s="3" t="str">
        <f t="shared" si="245"/>
        <v/>
      </c>
      <c r="AU419" s="3" t="str">
        <f t="shared" si="246"/>
        <v/>
      </c>
      <c r="AW419" s="32" t="str">
        <f t="shared" si="247"/>
        <v/>
      </c>
      <c r="AX419" s="32" t="str">
        <f t="shared" si="248"/>
        <v/>
      </c>
      <c r="AY419" s="32" t="str">
        <f t="shared" si="249"/>
        <v/>
      </c>
      <c r="BA419" s="32" t="str">
        <f>IF($A420="","",F419*Summary!$Q$10)</f>
        <v/>
      </c>
    </row>
    <row r="420" spans="1:53">
      <c r="A420" s="67" t="str">
        <f t="shared" si="250"/>
        <v/>
      </c>
      <c r="B420" s="69" t="str">
        <f t="shared" si="251"/>
        <v/>
      </c>
      <c r="D420" s="69" t="str">
        <f t="shared" si="225"/>
        <v/>
      </c>
      <c r="E420" s="70" t="str">
        <f t="shared" si="226"/>
        <v/>
      </c>
      <c r="F420" s="70" t="str">
        <f t="shared" si="227"/>
        <v/>
      </c>
      <c r="G420" s="63" t="str">
        <f t="shared" si="228"/>
        <v/>
      </c>
      <c r="H420" s="64" t="str">
        <f t="shared" si="229"/>
        <v/>
      </c>
      <c r="J420" s="63" t="str">
        <f t="shared" si="230"/>
        <v/>
      </c>
      <c r="K420" s="64" t="str">
        <f t="shared" si="231"/>
        <v/>
      </c>
      <c r="L420" s="38">
        <v>0</v>
      </c>
      <c r="M420" s="64" t="str">
        <f t="shared" si="232"/>
        <v/>
      </c>
      <c r="O420" s="63" t="str">
        <f t="shared" si="233"/>
        <v/>
      </c>
      <c r="P420" s="63" t="str">
        <f t="shared" si="234"/>
        <v/>
      </c>
      <c r="R420" s="63" t="str">
        <f t="shared" si="235"/>
        <v/>
      </c>
      <c r="S420" s="64" t="str">
        <f t="shared" si="236"/>
        <v/>
      </c>
      <c r="T420" s="63" t="str">
        <f t="shared" si="237"/>
        <v/>
      </c>
      <c r="U420" s="64" t="str">
        <f t="shared" si="238"/>
        <v/>
      </c>
      <c r="V420" s="219" t="str">
        <f>IF($A421="","",IF(AND(MONTH(A420)&gt;3,MONTH(A420)&lt;11),(T420+R420+G420)*Summary!$T$10/(1-Summary!$T$10),(T420+R420+G420)*Summary!$U$10/(1-Summary!$U$10)))</f>
        <v/>
      </c>
      <c r="W420" s="63" t="str">
        <f t="shared" si="239"/>
        <v/>
      </c>
      <c r="X420" s="63" t="str">
        <f t="shared" si="240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1"/>
        <v/>
      </c>
      <c r="AP420" s="33" t="str">
        <f t="shared" si="242"/>
        <v/>
      </c>
      <c r="AQ420" s="58" t="str">
        <f t="shared" si="243"/>
        <v/>
      </c>
      <c r="AR420" s="38">
        <f>'ANR OK vs ML7'!AR420</f>
        <v>0.1</v>
      </c>
      <c r="AS420" s="35" t="str">
        <f t="shared" si="244"/>
        <v/>
      </c>
      <c r="AT420" s="3" t="str">
        <f t="shared" si="245"/>
        <v/>
      </c>
      <c r="AU420" s="3" t="str">
        <f t="shared" si="246"/>
        <v/>
      </c>
      <c r="AW420" s="32" t="str">
        <f t="shared" si="247"/>
        <v/>
      </c>
      <c r="AX420" s="32" t="str">
        <f t="shared" si="248"/>
        <v/>
      </c>
      <c r="AY420" s="32" t="str">
        <f t="shared" si="249"/>
        <v/>
      </c>
      <c r="BA420" s="32" t="str">
        <f>IF($A421="","",F420*Summary!$Q$10)</f>
        <v/>
      </c>
    </row>
    <row r="421" spans="1:53">
      <c r="A421" s="67" t="str">
        <f t="shared" si="250"/>
        <v/>
      </c>
      <c r="B421" s="69" t="str">
        <f t="shared" si="251"/>
        <v/>
      </c>
      <c r="D421" s="69" t="str">
        <f t="shared" si="225"/>
        <v/>
      </c>
      <c r="E421" s="70" t="str">
        <f t="shared" si="226"/>
        <v/>
      </c>
      <c r="F421" s="70" t="str">
        <f t="shared" si="227"/>
        <v/>
      </c>
      <c r="G421" s="63" t="str">
        <f t="shared" si="228"/>
        <v/>
      </c>
      <c r="H421" s="64" t="str">
        <f t="shared" si="229"/>
        <v/>
      </c>
      <c r="J421" s="63" t="str">
        <f t="shared" si="230"/>
        <v/>
      </c>
      <c r="K421" s="64" t="str">
        <f t="shared" si="231"/>
        <v/>
      </c>
      <c r="L421" s="38">
        <v>0</v>
      </c>
      <c r="M421" s="64" t="str">
        <f t="shared" si="232"/>
        <v/>
      </c>
      <c r="O421" s="63" t="str">
        <f t="shared" si="233"/>
        <v/>
      </c>
      <c r="P421" s="63" t="str">
        <f t="shared" si="234"/>
        <v/>
      </c>
      <c r="R421" s="63" t="str">
        <f t="shared" si="235"/>
        <v/>
      </c>
      <c r="S421" s="64" t="str">
        <f t="shared" si="236"/>
        <v/>
      </c>
      <c r="T421" s="63" t="str">
        <f t="shared" si="237"/>
        <v/>
      </c>
      <c r="U421" s="64" t="str">
        <f t="shared" si="238"/>
        <v/>
      </c>
      <c r="V421" s="219" t="str">
        <f>IF($A422="","",IF(AND(MONTH(A421)&gt;3,MONTH(A421)&lt;11),(T421+R421+G421)*Summary!$T$10/(1-Summary!$T$10),(T421+R421+G421)*Summary!$U$10/(1-Summary!$U$10)))</f>
        <v/>
      </c>
      <c r="W421" s="63" t="str">
        <f t="shared" si="239"/>
        <v/>
      </c>
      <c r="X421" s="63" t="str">
        <f t="shared" si="240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1"/>
        <v/>
      </c>
      <c r="AP421" s="33" t="str">
        <f t="shared" si="242"/>
        <v/>
      </c>
      <c r="AQ421" s="58" t="str">
        <f t="shared" si="243"/>
        <v/>
      </c>
      <c r="AR421" s="38">
        <f>'ANR OK vs ML7'!AR421</f>
        <v>0.1</v>
      </c>
      <c r="AS421" s="35" t="str">
        <f t="shared" si="244"/>
        <v/>
      </c>
      <c r="AT421" s="3" t="str">
        <f t="shared" si="245"/>
        <v/>
      </c>
      <c r="AU421" s="3" t="str">
        <f t="shared" si="246"/>
        <v/>
      </c>
      <c r="AW421" s="32" t="str">
        <f t="shared" si="247"/>
        <v/>
      </c>
      <c r="AX421" s="32" t="str">
        <f t="shared" si="248"/>
        <v/>
      </c>
      <c r="AY421" s="32" t="str">
        <f t="shared" si="249"/>
        <v/>
      </c>
      <c r="BA421" s="32" t="str">
        <f>IF($A422="","",F421*Summary!$Q$10)</f>
        <v/>
      </c>
    </row>
    <row r="422" spans="1:53">
      <c r="A422" s="67" t="str">
        <f t="shared" si="250"/>
        <v/>
      </c>
      <c r="B422" s="69" t="str">
        <f t="shared" si="251"/>
        <v/>
      </c>
      <c r="D422" s="69" t="str">
        <f t="shared" si="225"/>
        <v/>
      </c>
      <c r="E422" s="70" t="str">
        <f t="shared" si="226"/>
        <v/>
      </c>
      <c r="F422" s="70" t="str">
        <f t="shared" si="227"/>
        <v/>
      </c>
      <c r="G422" s="63" t="str">
        <f t="shared" si="228"/>
        <v/>
      </c>
      <c r="H422" s="64" t="str">
        <f t="shared" si="229"/>
        <v/>
      </c>
      <c r="J422" s="63" t="str">
        <f t="shared" si="230"/>
        <v/>
      </c>
      <c r="K422" s="64" t="str">
        <f t="shared" si="231"/>
        <v/>
      </c>
      <c r="L422" s="38">
        <v>0</v>
      </c>
      <c r="M422" s="64" t="str">
        <f t="shared" si="232"/>
        <v/>
      </c>
      <c r="O422" s="63" t="str">
        <f t="shared" si="233"/>
        <v/>
      </c>
      <c r="P422" s="63" t="str">
        <f t="shared" si="234"/>
        <v/>
      </c>
      <c r="R422" s="63" t="str">
        <f t="shared" si="235"/>
        <v/>
      </c>
      <c r="S422" s="64" t="str">
        <f t="shared" si="236"/>
        <v/>
      </c>
      <c r="T422" s="63" t="str">
        <f t="shared" si="237"/>
        <v/>
      </c>
      <c r="U422" s="64" t="str">
        <f t="shared" si="238"/>
        <v/>
      </c>
      <c r="V422" s="219" t="str">
        <f>IF($A423="","",IF(AND(MONTH(A422)&gt;3,MONTH(A422)&lt;11),(T422+R422+G422)*Summary!$T$10/(1-Summary!$T$10),(T422+R422+G422)*Summary!$U$10/(1-Summary!$U$10)))</f>
        <v/>
      </c>
      <c r="W422" s="63" t="str">
        <f t="shared" si="239"/>
        <v/>
      </c>
      <c r="X422" s="63" t="str">
        <f t="shared" si="240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1"/>
        <v/>
      </c>
      <c r="AP422" s="33" t="str">
        <f t="shared" si="242"/>
        <v/>
      </c>
      <c r="AQ422" s="58" t="str">
        <f t="shared" si="243"/>
        <v/>
      </c>
      <c r="AR422" s="38">
        <f>'ANR OK vs ML7'!AR422</f>
        <v>0.1</v>
      </c>
      <c r="AS422" s="35" t="str">
        <f t="shared" si="244"/>
        <v/>
      </c>
      <c r="AT422" s="3" t="str">
        <f t="shared" si="245"/>
        <v/>
      </c>
      <c r="AU422" s="3" t="str">
        <f t="shared" si="246"/>
        <v/>
      </c>
      <c r="AW422" s="32" t="str">
        <f t="shared" si="247"/>
        <v/>
      </c>
      <c r="AX422" s="32" t="str">
        <f t="shared" si="248"/>
        <v/>
      </c>
      <c r="AY422" s="32" t="str">
        <f t="shared" si="249"/>
        <v/>
      </c>
      <c r="BA422" s="32" t="str">
        <f>IF($A423="","",F422*Summary!$Q$10)</f>
        <v/>
      </c>
    </row>
    <row r="423" spans="1:53">
      <c r="A423" s="67" t="str">
        <f t="shared" si="250"/>
        <v/>
      </c>
      <c r="B423" s="69" t="str">
        <f t="shared" si="251"/>
        <v/>
      </c>
      <c r="D423" s="69" t="str">
        <f t="shared" si="225"/>
        <v/>
      </c>
      <c r="E423" s="70" t="str">
        <f t="shared" si="226"/>
        <v/>
      </c>
      <c r="F423" s="70" t="str">
        <f t="shared" si="227"/>
        <v/>
      </c>
      <c r="G423" s="63" t="str">
        <f t="shared" si="228"/>
        <v/>
      </c>
      <c r="H423" s="64" t="str">
        <f t="shared" si="229"/>
        <v/>
      </c>
      <c r="J423" s="63" t="str">
        <f t="shared" si="230"/>
        <v/>
      </c>
      <c r="K423" s="64" t="str">
        <f t="shared" si="231"/>
        <v/>
      </c>
      <c r="L423" s="38">
        <v>0</v>
      </c>
      <c r="M423" s="64" t="str">
        <f t="shared" si="232"/>
        <v/>
      </c>
      <c r="O423" s="63" t="str">
        <f t="shared" si="233"/>
        <v/>
      </c>
      <c r="P423" s="63" t="str">
        <f t="shared" si="234"/>
        <v/>
      </c>
      <c r="R423" s="63" t="str">
        <f t="shared" si="235"/>
        <v/>
      </c>
      <c r="S423" s="64" t="str">
        <f t="shared" si="236"/>
        <v/>
      </c>
      <c r="T423" s="63" t="str">
        <f t="shared" si="237"/>
        <v/>
      </c>
      <c r="U423" s="64" t="str">
        <f t="shared" si="238"/>
        <v/>
      </c>
      <c r="V423" s="219" t="str">
        <f>IF($A424="","",IF(AND(MONTH(A423)&gt;3,MONTH(A423)&lt;11),(T423+R423+G423)*Summary!$T$10/(1-Summary!$T$10),(T423+R423+G423)*Summary!$U$10/(1-Summary!$U$10)))</f>
        <v/>
      </c>
      <c r="W423" s="63" t="str">
        <f t="shared" si="239"/>
        <v/>
      </c>
      <c r="X423" s="63" t="str">
        <f t="shared" si="240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1"/>
        <v/>
      </c>
      <c r="AP423" s="33" t="str">
        <f t="shared" si="242"/>
        <v/>
      </c>
      <c r="AQ423" s="58" t="str">
        <f t="shared" si="243"/>
        <v/>
      </c>
      <c r="AR423" s="38">
        <f>'ANR OK vs ML7'!AR423</f>
        <v>0.1</v>
      </c>
      <c r="AS423" s="35" t="str">
        <f t="shared" si="244"/>
        <v/>
      </c>
      <c r="AT423" s="3" t="str">
        <f t="shared" si="245"/>
        <v/>
      </c>
      <c r="AU423" s="3" t="str">
        <f t="shared" si="246"/>
        <v/>
      </c>
      <c r="AW423" s="32" t="str">
        <f t="shared" si="247"/>
        <v/>
      </c>
      <c r="AX423" s="32" t="str">
        <f t="shared" si="248"/>
        <v/>
      </c>
      <c r="AY423" s="32" t="str">
        <f t="shared" si="249"/>
        <v/>
      </c>
      <c r="BA423" s="32" t="str">
        <f>IF($A424="","",F423*Summary!$Q$10)</f>
        <v/>
      </c>
    </row>
    <row r="424" spans="1:53">
      <c r="A424" s="67" t="str">
        <f t="shared" si="250"/>
        <v/>
      </c>
      <c r="B424" s="69" t="str">
        <f t="shared" si="251"/>
        <v/>
      </c>
      <c r="D424" s="69" t="str">
        <f t="shared" si="225"/>
        <v/>
      </c>
      <c r="E424" s="70" t="str">
        <f t="shared" si="226"/>
        <v/>
      </c>
      <c r="F424" s="70" t="str">
        <f t="shared" si="227"/>
        <v/>
      </c>
      <c r="G424" s="63" t="str">
        <f t="shared" si="228"/>
        <v/>
      </c>
      <c r="H424" s="64" t="str">
        <f t="shared" si="229"/>
        <v/>
      </c>
      <c r="J424" s="63" t="str">
        <f t="shared" si="230"/>
        <v/>
      </c>
      <c r="K424" s="64" t="str">
        <f t="shared" si="231"/>
        <v/>
      </c>
      <c r="L424" s="38">
        <v>0</v>
      </c>
      <c r="M424" s="64" t="str">
        <f t="shared" si="232"/>
        <v/>
      </c>
      <c r="O424" s="63" t="str">
        <f t="shared" si="233"/>
        <v/>
      </c>
      <c r="P424" s="63" t="str">
        <f t="shared" si="234"/>
        <v/>
      </c>
      <c r="R424" s="63" t="str">
        <f t="shared" si="235"/>
        <v/>
      </c>
      <c r="S424" s="64" t="str">
        <f t="shared" si="236"/>
        <v/>
      </c>
      <c r="T424" s="63" t="str">
        <f t="shared" si="237"/>
        <v/>
      </c>
      <c r="U424" s="64" t="str">
        <f t="shared" si="238"/>
        <v/>
      </c>
      <c r="V424" s="219" t="str">
        <f>IF($A425="","",IF(AND(MONTH(A424)&gt;3,MONTH(A424)&lt;11),(T424+R424+G424)*Summary!$T$10/(1-Summary!$T$10),(T424+R424+G424)*Summary!$U$10/(1-Summary!$U$10)))</f>
        <v/>
      </c>
      <c r="W424" s="63" t="str">
        <f t="shared" si="239"/>
        <v/>
      </c>
      <c r="X424" s="63" t="str">
        <f t="shared" si="240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1"/>
        <v/>
      </c>
      <c r="AP424" s="33" t="str">
        <f t="shared" si="242"/>
        <v/>
      </c>
      <c r="AQ424" s="58" t="str">
        <f t="shared" si="243"/>
        <v/>
      </c>
      <c r="AR424" s="38">
        <f>'ANR OK vs ML7'!AR424</f>
        <v>0.1</v>
      </c>
      <c r="AS424" s="35" t="str">
        <f t="shared" si="244"/>
        <v/>
      </c>
      <c r="AT424" s="3" t="str">
        <f t="shared" si="245"/>
        <v/>
      </c>
      <c r="AU424" s="3" t="str">
        <f t="shared" si="246"/>
        <v/>
      </c>
      <c r="AW424" s="32" t="str">
        <f t="shared" si="247"/>
        <v/>
      </c>
      <c r="AX424" s="32" t="str">
        <f t="shared" si="248"/>
        <v/>
      </c>
      <c r="AY424" s="32" t="str">
        <f t="shared" si="249"/>
        <v/>
      </c>
      <c r="BA424" s="32" t="str">
        <f>IF($A425="","",F424*Summary!$Q$10)</f>
        <v/>
      </c>
    </row>
    <row r="425" spans="1:53">
      <c r="A425" s="67" t="str">
        <f t="shared" si="250"/>
        <v/>
      </c>
      <c r="B425" s="69" t="str">
        <f t="shared" si="251"/>
        <v/>
      </c>
      <c r="D425" s="69" t="str">
        <f t="shared" si="225"/>
        <v/>
      </c>
      <c r="E425" s="70" t="str">
        <f t="shared" si="226"/>
        <v/>
      </c>
      <c r="F425" s="70" t="str">
        <f t="shared" si="227"/>
        <v/>
      </c>
      <c r="G425" s="63" t="str">
        <f t="shared" si="228"/>
        <v/>
      </c>
      <c r="H425" s="64" t="str">
        <f t="shared" si="229"/>
        <v/>
      </c>
      <c r="J425" s="63" t="str">
        <f t="shared" si="230"/>
        <v/>
      </c>
      <c r="K425" s="64" t="str">
        <f t="shared" si="231"/>
        <v/>
      </c>
      <c r="L425" s="38">
        <v>0</v>
      </c>
      <c r="M425" s="64" t="str">
        <f t="shared" si="232"/>
        <v/>
      </c>
      <c r="O425" s="63" t="str">
        <f t="shared" si="233"/>
        <v/>
      </c>
      <c r="P425" s="63" t="str">
        <f t="shared" si="234"/>
        <v/>
      </c>
      <c r="R425" s="63" t="str">
        <f t="shared" si="235"/>
        <v/>
      </c>
      <c r="S425" s="64" t="str">
        <f t="shared" si="236"/>
        <v/>
      </c>
      <c r="T425" s="63" t="str">
        <f t="shared" si="237"/>
        <v/>
      </c>
      <c r="U425" s="64" t="str">
        <f t="shared" si="238"/>
        <v/>
      </c>
      <c r="V425" s="219" t="str">
        <f>IF($A426="","",IF(AND(MONTH(A425)&gt;3,MONTH(A425)&lt;11),(T425+R425+G425)*Summary!$T$10/(1-Summary!$T$10),(T425+R425+G425)*Summary!$U$10/(1-Summary!$U$10)))</f>
        <v/>
      </c>
      <c r="W425" s="63" t="str">
        <f t="shared" si="239"/>
        <v/>
      </c>
      <c r="X425" s="63" t="str">
        <f t="shared" si="240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1"/>
        <v/>
      </c>
      <c r="AP425" s="33" t="str">
        <f t="shared" si="242"/>
        <v/>
      </c>
      <c r="AQ425" s="58" t="str">
        <f t="shared" si="243"/>
        <v/>
      </c>
      <c r="AR425" s="38">
        <f>'ANR OK vs ML7'!AR425</f>
        <v>0.1</v>
      </c>
      <c r="AS425" s="35" t="str">
        <f t="shared" si="244"/>
        <v/>
      </c>
      <c r="AT425" s="3" t="str">
        <f t="shared" si="245"/>
        <v/>
      </c>
      <c r="AU425" s="3" t="str">
        <f t="shared" si="246"/>
        <v/>
      </c>
      <c r="AW425" s="32" t="str">
        <f t="shared" si="247"/>
        <v/>
      </c>
      <c r="AX425" s="32" t="str">
        <f t="shared" si="248"/>
        <v/>
      </c>
      <c r="AY425" s="32" t="str">
        <f t="shared" si="249"/>
        <v/>
      </c>
      <c r="BA425" s="32" t="str">
        <f>IF($A426="","",F425*Summary!$Q$10)</f>
        <v/>
      </c>
    </row>
    <row r="426" spans="1:53">
      <c r="A426" s="67" t="str">
        <f t="shared" si="250"/>
        <v/>
      </c>
      <c r="B426" s="69" t="str">
        <f t="shared" si="251"/>
        <v/>
      </c>
      <c r="D426" s="69" t="str">
        <f t="shared" si="225"/>
        <v/>
      </c>
      <c r="E426" s="70" t="str">
        <f t="shared" si="226"/>
        <v/>
      </c>
      <c r="F426" s="70" t="str">
        <f t="shared" si="227"/>
        <v/>
      </c>
      <c r="G426" s="63" t="str">
        <f t="shared" si="228"/>
        <v/>
      </c>
      <c r="H426" s="64" t="str">
        <f t="shared" si="229"/>
        <v/>
      </c>
      <c r="J426" s="63" t="str">
        <f t="shared" si="230"/>
        <v/>
      </c>
      <c r="K426" s="64" t="str">
        <f t="shared" si="231"/>
        <v/>
      </c>
      <c r="L426" s="38">
        <v>0</v>
      </c>
      <c r="M426" s="64" t="str">
        <f t="shared" si="232"/>
        <v/>
      </c>
      <c r="O426" s="63" t="str">
        <f t="shared" si="233"/>
        <v/>
      </c>
      <c r="P426" s="63" t="str">
        <f t="shared" si="234"/>
        <v/>
      </c>
      <c r="R426" s="63" t="str">
        <f t="shared" si="235"/>
        <v/>
      </c>
      <c r="S426" s="64" t="str">
        <f t="shared" si="236"/>
        <v/>
      </c>
      <c r="T426" s="63" t="str">
        <f t="shared" si="237"/>
        <v/>
      </c>
      <c r="U426" s="64" t="str">
        <f t="shared" si="238"/>
        <v/>
      </c>
      <c r="V426" s="219" t="str">
        <f>IF($A427="","",IF(AND(MONTH(A426)&gt;3,MONTH(A426)&lt;11),(T426+R426+G426)*Summary!$T$10/(1-Summary!$T$10),(T426+R426+G426)*Summary!$U$10/(1-Summary!$U$10)))</f>
        <v/>
      </c>
      <c r="W426" s="63" t="str">
        <f t="shared" si="239"/>
        <v/>
      </c>
      <c r="X426" s="63" t="str">
        <f t="shared" si="240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1"/>
        <v/>
      </c>
      <c r="AP426" s="33" t="str">
        <f t="shared" si="242"/>
        <v/>
      </c>
      <c r="AQ426" s="58" t="str">
        <f t="shared" si="243"/>
        <v/>
      </c>
      <c r="AR426" s="38">
        <f>'ANR OK vs ML7'!AR426</f>
        <v>0.1</v>
      </c>
      <c r="AS426" s="35" t="str">
        <f t="shared" si="244"/>
        <v/>
      </c>
      <c r="AT426" s="3" t="str">
        <f t="shared" si="245"/>
        <v/>
      </c>
      <c r="AU426" s="3" t="str">
        <f t="shared" si="246"/>
        <v/>
      </c>
      <c r="AW426" s="32" t="str">
        <f t="shared" si="247"/>
        <v/>
      </c>
      <c r="AX426" s="32" t="str">
        <f t="shared" si="248"/>
        <v/>
      </c>
      <c r="AY426" s="32" t="str">
        <f t="shared" si="249"/>
        <v/>
      </c>
      <c r="BA426" s="32" t="str">
        <f>IF($A427="","",F426*Summary!$Q$10)</f>
        <v/>
      </c>
    </row>
    <row r="427" spans="1:53">
      <c r="A427" s="67" t="str">
        <f t="shared" si="250"/>
        <v/>
      </c>
      <c r="B427" s="69" t="str">
        <f t="shared" si="251"/>
        <v/>
      </c>
      <c r="D427" s="69" t="str">
        <f t="shared" si="225"/>
        <v/>
      </c>
      <c r="E427" s="70" t="str">
        <f t="shared" si="226"/>
        <v/>
      </c>
      <c r="F427" s="70" t="str">
        <f t="shared" si="227"/>
        <v/>
      </c>
      <c r="G427" s="63" t="str">
        <f t="shared" si="228"/>
        <v/>
      </c>
      <c r="H427" s="64" t="str">
        <f t="shared" si="229"/>
        <v/>
      </c>
      <c r="J427" s="63" t="str">
        <f t="shared" si="230"/>
        <v/>
      </c>
      <c r="K427" s="64" t="str">
        <f t="shared" si="231"/>
        <v/>
      </c>
      <c r="L427" s="38">
        <v>0</v>
      </c>
      <c r="M427" s="64" t="str">
        <f t="shared" si="232"/>
        <v/>
      </c>
      <c r="O427" s="63" t="str">
        <f t="shared" si="233"/>
        <v/>
      </c>
      <c r="P427" s="63" t="str">
        <f t="shared" si="234"/>
        <v/>
      </c>
      <c r="R427" s="63" t="str">
        <f t="shared" si="235"/>
        <v/>
      </c>
      <c r="S427" s="64" t="str">
        <f t="shared" si="236"/>
        <v/>
      </c>
      <c r="T427" s="63" t="str">
        <f t="shared" si="237"/>
        <v/>
      </c>
      <c r="U427" s="64" t="str">
        <f t="shared" si="238"/>
        <v/>
      </c>
      <c r="V427" s="219" t="str">
        <f>IF($A428="","",IF(AND(MONTH(A427)&gt;3,MONTH(A427)&lt;11),(T427+R427+G427)*Summary!$T$10/(1-Summary!$T$10),(T427+R427+G427)*Summary!$U$10/(1-Summary!$U$10)))</f>
        <v/>
      </c>
      <c r="W427" s="63" t="str">
        <f t="shared" si="239"/>
        <v/>
      </c>
      <c r="X427" s="63" t="str">
        <f t="shared" si="240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1"/>
        <v/>
      </c>
      <c r="AP427" s="33" t="str">
        <f t="shared" si="242"/>
        <v/>
      </c>
      <c r="AQ427" s="58" t="str">
        <f t="shared" si="243"/>
        <v/>
      </c>
      <c r="AR427" s="38">
        <f>'ANR OK vs ML7'!AR427</f>
        <v>0.1</v>
      </c>
      <c r="AS427" s="35" t="str">
        <f t="shared" si="244"/>
        <v/>
      </c>
      <c r="AT427" s="3" t="str">
        <f t="shared" si="245"/>
        <v/>
      </c>
      <c r="AU427" s="3" t="str">
        <f t="shared" si="246"/>
        <v/>
      </c>
      <c r="AW427" s="32" t="str">
        <f t="shared" si="247"/>
        <v/>
      </c>
      <c r="AX427" s="32" t="str">
        <f t="shared" si="248"/>
        <v/>
      </c>
      <c r="AY427" s="32" t="str">
        <f t="shared" si="249"/>
        <v/>
      </c>
      <c r="BA427" s="32" t="str">
        <f>IF($A428="","",F427*Summary!$Q$10)</f>
        <v/>
      </c>
    </row>
    <row r="428" spans="1:53">
      <c r="A428" s="67" t="str">
        <f t="shared" si="250"/>
        <v/>
      </c>
      <c r="B428" s="69" t="str">
        <f t="shared" si="251"/>
        <v/>
      </c>
      <c r="D428" s="69" t="str">
        <f t="shared" si="225"/>
        <v/>
      </c>
      <c r="E428" s="70" t="str">
        <f t="shared" si="226"/>
        <v/>
      </c>
      <c r="F428" s="70" t="str">
        <f t="shared" si="227"/>
        <v/>
      </c>
      <c r="G428" s="63" t="str">
        <f t="shared" si="228"/>
        <v/>
      </c>
      <c r="H428" s="64" t="str">
        <f t="shared" si="229"/>
        <v/>
      </c>
      <c r="J428" s="63" t="str">
        <f t="shared" si="230"/>
        <v/>
      </c>
      <c r="K428" s="64" t="str">
        <f t="shared" si="231"/>
        <v/>
      </c>
      <c r="L428" s="38">
        <v>0</v>
      </c>
      <c r="M428" s="64" t="str">
        <f t="shared" si="232"/>
        <v/>
      </c>
      <c r="O428" s="63" t="str">
        <f t="shared" si="233"/>
        <v/>
      </c>
      <c r="P428" s="63" t="str">
        <f t="shared" si="234"/>
        <v/>
      </c>
      <c r="R428" s="63" t="str">
        <f t="shared" si="235"/>
        <v/>
      </c>
      <c r="S428" s="64" t="str">
        <f t="shared" si="236"/>
        <v/>
      </c>
      <c r="T428" s="63" t="str">
        <f t="shared" si="237"/>
        <v/>
      </c>
      <c r="U428" s="64" t="str">
        <f t="shared" si="238"/>
        <v/>
      </c>
      <c r="V428" s="219" t="str">
        <f>IF($A429="","",IF(AND(MONTH(A428)&gt;3,MONTH(A428)&lt;11),(T428+R428+G428)*Summary!$T$10/(1-Summary!$T$10),(T428+R428+G428)*Summary!$U$10/(1-Summary!$U$10)))</f>
        <v/>
      </c>
      <c r="W428" s="63" t="str">
        <f t="shared" si="239"/>
        <v/>
      </c>
      <c r="X428" s="63" t="str">
        <f t="shared" si="240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1"/>
        <v/>
      </c>
      <c r="AP428" s="33" t="str">
        <f t="shared" si="242"/>
        <v/>
      </c>
      <c r="AQ428" s="58" t="str">
        <f t="shared" si="243"/>
        <v/>
      </c>
      <c r="AR428" s="38">
        <f>'ANR OK vs ML7'!AR428</f>
        <v>0.1</v>
      </c>
      <c r="AS428" s="35" t="str">
        <f t="shared" si="244"/>
        <v/>
      </c>
      <c r="AT428" s="3" t="str">
        <f t="shared" si="245"/>
        <v/>
      </c>
      <c r="AU428" s="3" t="str">
        <f t="shared" si="246"/>
        <v/>
      </c>
      <c r="AW428" s="32" t="str">
        <f t="shared" si="247"/>
        <v/>
      </c>
      <c r="AX428" s="32" t="str">
        <f t="shared" si="248"/>
        <v/>
      </c>
      <c r="AY428" s="32" t="str">
        <f t="shared" si="249"/>
        <v/>
      </c>
      <c r="BA428" s="32" t="str">
        <f>IF($A429="","",F428*Summary!$Q$10)</f>
        <v/>
      </c>
    </row>
    <row r="429" spans="1:53">
      <c r="A429" s="67" t="str">
        <f t="shared" si="250"/>
        <v/>
      </c>
      <c r="B429" s="69" t="str">
        <f t="shared" si="251"/>
        <v/>
      </c>
      <c r="D429" s="69" t="str">
        <f t="shared" si="225"/>
        <v/>
      </c>
      <c r="E429" s="70" t="str">
        <f t="shared" si="226"/>
        <v/>
      </c>
      <c r="F429" s="70" t="str">
        <f t="shared" si="227"/>
        <v/>
      </c>
      <c r="G429" s="63" t="str">
        <f t="shared" si="228"/>
        <v/>
      </c>
      <c r="H429" s="64" t="str">
        <f t="shared" si="229"/>
        <v/>
      </c>
      <c r="J429" s="63" t="str">
        <f t="shared" si="230"/>
        <v/>
      </c>
      <c r="K429" s="64" t="str">
        <f t="shared" si="231"/>
        <v/>
      </c>
      <c r="L429" s="38">
        <v>0</v>
      </c>
      <c r="M429" s="64" t="str">
        <f t="shared" si="232"/>
        <v/>
      </c>
      <c r="O429" s="63" t="str">
        <f t="shared" si="233"/>
        <v/>
      </c>
      <c r="P429" s="63" t="str">
        <f t="shared" si="234"/>
        <v/>
      </c>
      <c r="R429" s="63" t="str">
        <f t="shared" si="235"/>
        <v/>
      </c>
      <c r="S429" s="64" t="str">
        <f t="shared" si="236"/>
        <v/>
      </c>
      <c r="T429" s="63" t="str">
        <f t="shared" si="237"/>
        <v/>
      </c>
      <c r="U429" s="64" t="str">
        <f t="shared" si="238"/>
        <v/>
      </c>
      <c r="V429" s="219" t="str">
        <f>IF($A430="","",IF(AND(MONTH(A429)&gt;3,MONTH(A429)&lt;11),(T429+R429+G429)*Summary!$T$10/(1-Summary!$T$10),(T429+R429+G429)*Summary!$U$10/(1-Summary!$U$10)))</f>
        <v/>
      </c>
      <c r="W429" s="63" t="str">
        <f t="shared" si="239"/>
        <v/>
      </c>
      <c r="X429" s="63" t="str">
        <f t="shared" si="240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1"/>
        <v/>
      </c>
      <c r="AP429" s="33" t="str">
        <f t="shared" si="242"/>
        <v/>
      </c>
      <c r="AQ429" s="58" t="str">
        <f t="shared" si="243"/>
        <v/>
      </c>
      <c r="AR429" s="38">
        <f>'ANR OK vs ML7'!AR429</f>
        <v>0.1</v>
      </c>
      <c r="AS429" s="35" t="str">
        <f t="shared" si="244"/>
        <v/>
      </c>
      <c r="AT429" s="3" t="str">
        <f t="shared" si="245"/>
        <v/>
      </c>
      <c r="AU429" s="3" t="str">
        <f t="shared" si="246"/>
        <v/>
      </c>
      <c r="AW429" s="32" t="str">
        <f t="shared" si="247"/>
        <v/>
      </c>
      <c r="AX429" s="32" t="str">
        <f t="shared" si="248"/>
        <v/>
      </c>
      <c r="AY429" s="32" t="str">
        <f t="shared" si="249"/>
        <v/>
      </c>
      <c r="BA429" s="32" t="str">
        <f>IF($A430="","",F429*Summary!$Q$10)</f>
        <v/>
      </c>
    </row>
    <row r="430" spans="1:53">
      <c r="A430" s="67" t="str">
        <f t="shared" si="250"/>
        <v/>
      </c>
      <c r="B430" s="69" t="str">
        <f t="shared" si="251"/>
        <v/>
      </c>
      <c r="D430" s="69" t="str">
        <f t="shared" si="225"/>
        <v/>
      </c>
      <c r="E430" s="70" t="str">
        <f t="shared" si="226"/>
        <v/>
      </c>
      <c r="F430" s="70" t="str">
        <f t="shared" si="227"/>
        <v/>
      </c>
      <c r="G430" s="63" t="str">
        <f t="shared" si="228"/>
        <v/>
      </c>
      <c r="H430" s="64" t="str">
        <f t="shared" si="229"/>
        <v/>
      </c>
      <c r="J430" s="63" t="str">
        <f t="shared" si="230"/>
        <v/>
      </c>
      <c r="K430" s="64" t="str">
        <f t="shared" si="231"/>
        <v/>
      </c>
      <c r="L430" s="38">
        <v>0</v>
      </c>
      <c r="M430" s="64" t="str">
        <f t="shared" si="232"/>
        <v/>
      </c>
      <c r="O430" s="63" t="str">
        <f t="shared" si="233"/>
        <v/>
      </c>
      <c r="P430" s="63" t="str">
        <f t="shared" si="234"/>
        <v/>
      </c>
      <c r="R430" s="63" t="str">
        <f t="shared" si="235"/>
        <v/>
      </c>
      <c r="S430" s="64" t="str">
        <f t="shared" si="236"/>
        <v/>
      </c>
      <c r="T430" s="63" t="str">
        <f t="shared" si="237"/>
        <v/>
      </c>
      <c r="U430" s="64" t="str">
        <f t="shared" si="238"/>
        <v/>
      </c>
      <c r="V430" s="219" t="str">
        <f>IF($A431="","",IF(AND(MONTH(A430)&gt;3,MONTH(A430)&lt;11),(T430+R430+G430)*Summary!$T$10/(1-Summary!$T$10),(T430+R430+G430)*Summary!$U$10/(1-Summary!$U$10)))</f>
        <v/>
      </c>
      <c r="W430" s="63" t="str">
        <f t="shared" si="239"/>
        <v/>
      </c>
      <c r="X430" s="63" t="str">
        <f t="shared" si="240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1"/>
        <v/>
      </c>
      <c r="AP430" s="33" t="str">
        <f t="shared" si="242"/>
        <v/>
      </c>
      <c r="AQ430" s="58" t="str">
        <f t="shared" si="243"/>
        <v/>
      </c>
      <c r="AR430" s="38">
        <f>'ANR OK vs ML7'!AR430</f>
        <v>0.1</v>
      </c>
      <c r="AS430" s="35" t="str">
        <f t="shared" si="244"/>
        <v/>
      </c>
      <c r="AT430" s="3" t="str">
        <f t="shared" si="245"/>
        <v/>
      </c>
      <c r="AU430" s="3" t="str">
        <f t="shared" si="246"/>
        <v/>
      </c>
      <c r="AW430" s="32" t="str">
        <f t="shared" si="247"/>
        <v/>
      </c>
      <c r="AX430" s="32" t="str">
        <f t="shared" si="248"/>
        <v/>
      </c>
      <c r="AY430" s="32" t="str">
        <f t="shared" si="249"/>
        <v/>
      </c>
      <c r="BA430" s="32" t="str">
        <f>IF($A431="","",F430*Summary!$Q$10)</f>
        <v/>
      </c>
    </row>
    <row r="431" spans="1:53">
      <c r="A431" s="67" t="str">
        <f t="shared" si="250"/>
        <v/>
      </c>
      <c r="B431" s="69" t="str">
        <f t="shared" si="251"/>
        <v/>
      </c>
      <c r="D431" s="69" t="str">
        <f t="shared" si="225"/>
        <v/>
      </c>
      <c r="E431" s="70" t="str">
        <f t="shared" si="226"/>
        <v/>
      </c>
      <c r="F431" s="70" t="str">
        <f t="shared" si="227"/>
        <v/>
      </c>
      <c r="G431" s="63" t="str">
        <f t="shared" si="228"/>
        <v/>
      </c>
      <c r="H431" s="64" t="str">
        <f t="shared" si="229"/>
        <v/>
      </c>
      <c r="J431" s="63" t="str">
        <f t="shared" si="230"/>
        <v/>
      </c>
      <c r="K431" s="64" t="str">
        <f t="shared" si="231"/>
        <v/>
      </c>
      <c r="L431" s="38">
        <v>0</v>
      </c>
      <c r="M431" s="64" t="str">
        <f t="shared" si="232"/>
        <v/>
      </c>
      <c r="O431" s="63" t="str">
        <f t="shared" si="233"/>
        <v/>
      </c>
      <c r="P431" s="63" t="str">
        <f t="shared" si="234"/>
        <v/>
      </c>
      <c r="R431" s="63" t="str">
        <f t="shared" si="235"/>
        <v/>
      </c>
      <c r="S431" s="64" t="str">
        <f t="shared" si="236"/>
        <v/>
      </c>
      <c r="T431" s="63" t="str">
        <f t="shared" si="237"/>
        <v/>
      </c>
      <c r="U431" s="64" t="str">
        <f t="shared" si="238"/>
        <v/>
      </c>
      <c r="V431" s="219" t="str">
        <f>IF($A432="","",IF(AND(MONTH(A431)&gt;3,MONTH(A431)&lt;11),(T431+R431+G431)*Summary!$T$10/(1-Summary!$T$10),(T431+R431+G431)*Summary!$U$10/(1-Summary!$U$10)))</f>
        <v/>
      </c>
      <c r="W431" s="63" t="str">
        <f t="shared" si="239"/>
        <v/>
      </c>
      <c r="X431" s="63" t="str">
        <f t="shared" si="240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1"/>
        <v/>
      </c>
      <c r="AP431" s="33" t="str">
        <f t="shared" si="242"/>
        <v/>
      </c>
      <c r="AQ431" s="58" t="str">
        <f t="shared" si="243"/>
        <v/>
      </c>
      <c r="AR431" s="38">
        <f>'ANR OK vs ML7'!AR431</f>
        <v>0.1</v>
      </c>
      <c r="AS431" s="35" t="str">
        <f t="shared" si="244"/>
        <v/>
      </c>
      <c r="AT431" s="3" t="str">
        <f t="shared" si="245"/>
        <v/>
      </c>
      <c r="AU431" s="3" t="str">
        <f t="shared" si="246"/>
        <v/>
      </c>
      <c r="AW431" s="32" t="str">
        <f t="shared" si="247"/>
        <v/>
      </c>
      <c r="AX431" s="32" t="str">
        <f t="shared" si="248"/>
        <v/>
      </c>
      <c r="AY431" s="32" t="str">
        <f t="shared" si="249"/>
        <v/>
      </c>
      <c r="BA431" s="32" t="str">
        <f>IF($A432="","",F431*Summary!$Q$10)</f>
        <v/>
      </c>
    </row>
    <row r="432" spans="1:53">
      <c r="A432" s="67" t="str">
        <f t="shared" si="250"/>
        <v/>
      </c>
      <c r="B432" s="69" t="str">
        <f t="shared" si="251"/>
        <v/>
      </c>
      <c r="D432" s="69" t="str">
        <f t="shared" si="225"/>
        <v/>
      </c>
      <c r="E432" s="70" t="str">
        <f t="shared" si="226"/>
        <v/>
      </c>
      <c r="F432" s="70" t="str">
        <f t="shared" si="227"/>
        <v/>
      </c>
      <c r="G432" s="63" t="str">
        <f t="shared" si="228"/>
        <v/>
      </c>
      <c r="H432" s="64" t="str">
        <f t="shared" si="229"/>
        <v/>
      </c>
      <c r="J432" s="63" t="str">
        <f t="shared" si="230"/>
        <v/>
      </c>
      <c r="K432" s="64" t="str">
        <f t="shared" si="231"/>
        <v/>
      </c>
      <c r="L432" s="38">
        <v>0</v>
      </c>
      <c r="M432" s="64" t="str">
        <f t="shared" si="232"/>
        <v/>
      </c>
      <c r="O432" s="63" t="str">
        <f t="shared" si="233"/>
        <v/>
      </c>
      <c r="P432" s="63" t="str">
        <f t="shared" si="234"/>
        <v/>
      </c>
      <c r="R432" s="63" t="str">
        <f t="shared" si="235"/>
        <v/>
      </c>
      <c r="S432" s="64" t="str">
        <f t="shared" si="236"/>
        <v/>
      </c>
      <c r="T432" s="63" t="str">
        <f t="shared" si="237"/>
        <v/>
      </c>
      <c r="U432" s="64" t="str">
        <f t="shared" si="238"/>
        <v/>
      </c>
      <c r="V432" s="219" t="str">
        <f>IF($A433="","",IF(AND(MONTH(A432)&gt;3,MONTH(A432)&lt;11),(T432+R432+G432)*Summary!$T$10/(1-Summary!$T$10),(T432+R432+G432)*Summary!$U$10/(1-Summary!$U$10)))</f>
        <v/>
      </c>
      <c r="W432" s="63" t="str">
        <f t="shared" si="239"/>
        <v/>
      </c>
      <c r="X432" s="63" t="str">
        <f t="shared" si="240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1"/>
        <v/>
      </c>
      <c r="AP432" s="33" t="str">
        <f t="shared" si="242"/>
        <v/>
      </c>
      <c r="AQ432" s="58" t="str">
        <f t="shared" si="243"/>
        <v/>
      </c>
      <c r="AR432" s="38">
        <f>'ANR OK vs ML7'!AR432</f>
        <v>0.1</v>
      </c>
      <c r="AS432" s="35" t="str">
        <f t="shared" si="244"/>
        <v/>
      </c>
      <c r="AT432" s="3" t="str">
        <f t="shared" si="245"/>
        <v/>
      </c>
      <c r="AU432" s="3" t="str">
        <f t="shared" si="246"/>
        <v/>
      </c>
      <c r="AW432" s="32" t="str">
        <f t="shared" si="247"/>
        <v/>
      </c>
      <c r="AX432" s="32" t="str">
        <f t="shared" si="248"/>
        <v/>
      </c>
      <c r="AY432" s="32" t="str">
        <f t="shared" si="249"/>
        <v/>
      </c>
      <c r="BA432" s="32" t="str">
        <f>IF($A433="","",F432*Summary!$Q$10)</f>
        <v/>
      </c>
    </row>
    <row r="433" spans="1:53">
      <c r="A433" s="67" t="str">
        <f t="shared" si="250"/>
        <v/>
      </c>
      <c r="B433" s="69" t="str">
        <f t="shared" si="251"/>
        <v/>
      </c>
      <c r="D433" s="69" t="str">
        <f t="shared" si="225"/>
        <v/>
      </c>
      <c r="E433" s="70" t="str">
        <f t="shared" si="226"/>
        <v/>
      </c>
      <c r="F433" s="70" t="str">
        <f t="shared" si="227"/>
        <v/>
      </c>
      <c r="G433" s="63" t="str">
        <f t="shared" si="228"/>
        <v/>
      </c>
      <c r="H433" s="64" t="str">
        <f t="shared" si="229"/>
        <v/>
      </c>
      <c r="J433" s="63" t="str">
        <f t="shared" si="230"/>
        <v/>
      </c>
      <c r="K433" s="64" t="str">
        <f t="shared" si="231"/>
        <v/>
      </c>
      <c r="L433" s="38">
        <v>0</v>
      </c>
      <c r="M433" s="64" t="str">
        <f t="shared" si="232"/>
        <v/>
      </c>
      <c r="O433" s="63" t="str">
        <f t="shared" si="233"/>
        <v/>
      </c>
      <c r="P433" s="63" t="str">
        <f t="shared" si="234"/>
        <v/>
      </c>
      <c r="R433" s="63" t="str">
        <f t="shared" si="235"/>
        <v/>
      </c>
      <c r="S433" s="64" t="str">
        <f t="shared" si="236"/>
        <v/>
      </c>
      <c r="T433" s="63" t="str">
        <f t="shared" si="237"/>
        <v/>
      </c>
      <c r="U433" s="64" t="str">
        <f t="shared" si="238"/>
        <v/>
      </c>
      <c r="V433" s="219" t="str">
        <f>IF($A434="","",IF(AND(MONTH(A433)&gt;3,MONTH(A433)&lt;11),(T433+R433+G433)*Summary!$T$10/(1-Summary!$T$10),(T433+R433+G433)*Summary!$U$10/(1-Summary!$U$10)))</f>
        <v/>
      </c>
      <c r="W433" s="63" t="str">
        <f t="shared" si="239"/>
        <v/>
      </c>
      <c r="X433" s="63" t="str">
        <f t="shared" si="240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1"/>
        <v/>
      </c>
      <c r="AP433" s="33" t="str">
        <f t="shared" si="242"/>
        <v/>
      </c>
      <c r="AQ433" s="58" t="str">
        <f t="shared" si="243"/>
        <v/>
      </c>
      <c r="AR433" s="38">
        <f>'ANR OK vs ML7'!AR433</f>
        <v>0.1</v>
      </c>
      <c r="AS433" s="35" t="str">
        <f t="shared" si="244"/>
        <v/>
      </c>
      <c r="AT433" s="3" t="str">
        <f t="shared" si="245"/>
        <v/>
      </c>
      <c r="AU433" s="3" t="str">
        <f t="shared" si="246"/>
        <v/>
      </c>
      <c r="AW433" s="32" t="str">
        <f t="shared" si="247"/>
        <v/>
      </c>
      <c r="AX433" s="32" t="str">
        <f t="shared" si="248"/>
        <v/>
      </c>
      <c r="AY433" s="32" t="str">
        <f t="shared" si="249"/>
        <v/>
      </c>
      <c r="BA433" s="32" t="str">
        <f>IF($A434="","",F433*Summary!$Q$10)</f>
        <v/>
      </c>
    </row>
    <row r="434" spans="1:53">
      <c r="A434" s="67" t="str">
        <f t="shared" si="250"/>
        <v/>
      </c>
      <c r="B434" s="69" t="str">
        <f t="shared" si="251"/>
        <v/>
      </c>
      <c r="D434" s="69" t="str">
        <f t="shared" si="225"/>
        <v/>
      </c>
      <c r="E434" s="70" t="str">
        <f t="shared" si="226"/>
        <v/>
      </c>
      <c r="F434" s="70" t="str">
        <f t="shared" si="227"/>
        <v/>
      </c>
      <c r="G434" s="63" t="str">
        <f t="shared" si="228"/>
        <v/>
      </c>
      <c r="H434" s="64" t="str">
        <f t="shared" si="229"/>
        <v/>
      </c>
      <c r="J434" s="63" t="str">
        <f t="shared" si="230"/>
        <v/>
      </c>
      <c r="K434" s="64" t="str">
        <f t="shared" si="231"/>
        <v/>
      </c>
      <c r="L434" s="38">
        <v>0</v>
      </c>
      <c r="M434" s="64" t="str">
        <f t="shared" si="232"/>
        <v/>
      </c>
      <c r="O434" s="63" t="str">
        <f t="shared" si="233"/>
        <v/>
      </c>
      <c r="P434" s="63" t="str">
        <f t="shared" si="234"/>
        <v/>
      </c>
      <c r="R434" s="63" t="str">
        <f t="shared" si="235"/>
        <v/>
      </c>
      <c r="S434" s="64" t="str">
        <f t="shared" si="236"/>
        <v/>
      </c>
      <c r="T434" s="63" t="str">
        <f t="shared" si="237"/>
        <v/>
      </c>
      <c r="U434" s="64" t="str">
        <f t="shared" si="238"/>
        <v/>
      </c>
      <c r="V434" s="219" t="str">
        <f>IF($A435="","",IF(AND(MONTH(A434)&gt;3,MONTH(A434)&lt;11),(T434+R434+G434)*Summary!$T$10/(1-Summary!$T$10),(T434+R434+G434)*Summary!$U$10/(1-Summary!$U$10)))</f>
        <v/>
      </c>
      <c r="W434" s="63" t="str">
        <f t="shared" si="239"/>
        <v/>
      </c>
      <c r="X434" s="63" t="str">
        <f t="shared" si="240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1"/>
        <v/>
      </c>
      <c r="AP434" s="33" t="str">
        <f t="shared" si="242"/>
        <v/>
      </c>
      <c r="AQ434" s="58" t="str">
        <f t="shared" si="243"/>
        <v/>
      </c>
      <c r="AR434" s="38">
        <f>'ANR OK vs ML7'!AR434</f>
        <v>0.1</v>
      </c>
      <c r="AS434" s="35" t="str">
        <f t="shared" si="244"/>
        <v/>
      </c>
      <c r="AT434" s="3" t="str">
        <f t="shared" si="245"/>
        <v/>
      </c>
      <c r="AU434" s="3" t="str">
        <f t="shared" si="246"/>
        <v/>
      </c>
      <c r="AW434" s="32" t="str">
        <f t="shared" si="247"/>
        <v/>
      </c>
      <c r="AX434" s="32" t="str">
        <f t="shared" si="248"/>
        <v/>
      </c>
      <c r="AY434" s="32" t="str">
        <f t="shared" si="249"/>
        <v/>
      </c>
      <c r="BA434" s="32" t="str">
        <f>IF($A435="","",F434*Summary!$Q$10)</f>
        <v/>
      </c>
    </row>
    <row r="435" spans="1:53">
      <c r="A435" s="67" t="str">
        <f t="shared" si="250"/>
        <v/>
      </c>
      <c r="B435" s="69" t="str">
        <f t="shared" si="251"/>
        <v/>
      </c>
      <c r="D435" s="69" t="str">
        <f t="shared" si="225"/>
        <v/>
      </c>
      <c r="E435" s="70" t="str">
        <f t="shared" si="226"/>
        <v/>
      </c>
      <c r="F435" s="70" t="str">
        <f t="shared" si="227"/>
        <v/>
      </c>
      <c r="G435" s="63" t="str">
        <f t="shared" si="228"/>
        <v/>
      </c>
      <c r="H435" s="64" t="str">
        <f t="shared" si="229"/>
        <v/>
      </c>
      <c r="J435" s="63" t="str">
        <f t="shared" si="230"/>
        <v/>
      </c>
      <c r="K435" s="64" t="str">
        <f t="shared" si="231"/>
        <v/>
      </c>
      <c r="L435" s="38">
        <v>0</v>
      </c>
      <c r="M435" s="64" t="str">
        <f t="shared" si="232"/>
        <v/>
      </c>
      <c r="O435" s="63" t="str">
        <f t="shared" si="233"/>
        <v/>
      </c>
      <c r="P435" s="63" t="str">
        <f t="shared" si="234"/>
        <v/>
      </c>
      <c r="R435" s="63" t="str">
        <f t="shared" si="235"/>
        <v/>
      </c>
      <c r="S435" s="64" t="str">
        <f t="shared" si="236"/>
        <v/>
      </c>
      <c r="T435" s="63" t="str">
        <f t="shared" si="237"/>
        <v/>
      </c>
      <c r="U435" s="64" t="str">
        <f t="shared" si="238"/>
        <v/>
      </c>
      <c r="V435" s="219" t="str">
        <f>IF($A436="","",IF(AND(MONTH(A435)&gt;3,MONTH(A435)&lt;11),(T435+R435+G435)*Summary!$T$10/(1-Summary!$T$10),(T435+R435+G435)*Summary!$U$10/(1-Summary!$U$10)))</f>
        <v/>
      </c>
      <c r="W435" s="63" t="str">
        <f t="shared" si="239"/>
        <v/>
      </c>
      <c r="X435" s="63" t="str">
        <f t="shared" si="240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1"/>
        <v/>
      </c>
      <c r="AP435" s="33" t="str">
        <f t="shared" si="242"/>
        <v/>
      </c>
      <c r="AQ435" s="58" t="str">
        <f t="shared" si="243"/>
        <v/>
      </c>
      <c r="AR435" s="38">
        <f>'ANR OK vs ML7'!AR435</f>
        <v>0.1</v>
      </c>
      <c r="AS435" s="35" t="str">
        <f t="shared" si="244"/>
        <v/>
      </c>
      <c r="AT435" s="3" t="str">
        <f t="shared" si="245"/>
        <v/>
      </c>
      <c r="AU435" s="3" t="str">
        <f t="shared" si="246"/>
        <v/>
      </c>
      <c r="AW435" s="32" t="str">
        <f t="shared" si="247"/>
        <v/>
      </c>
      <c r="AX435" s="32" t="str">
        <f t="shared" si="248"/>
        <v/>
      </c>
      <c r="AY435" s="32" t="str">
        <f t="shared" si="249"/>
        <v/>
      </c>
      <c r="BA435" s="32" t="str">
        <f>IF($A436="","",F435*Summary!$Q$10)</f>
        <v/>
      </c>
    </row>
    <row r="436" spans="1:53">
      <c r="A436" s="67" t="str">
        <f t="shared" si="250"/>
        <v/>
      </c>
      <c r="B436" s="69" t="str">
        <f t="shared" si="251"/>
        <v/>
      </c>
      <c r="D436" s="69" t="str">
        <f t="shared" si="225"/>
        <v/>
      </c>
      <c r="E436" s="70" t="str">
        <f t="shared" si="226"/>
        <v/>
      </c>
      <c r="F436" s="70" t="str">
        <f t="shared" si="227"/>
        <v/>
      </c>
      <c r="G436" s="63" t="str">
        <f t="shared" si="228"/>
        <v/>
      </c>
      <c r="H436" s="64" t="str">
        <f t="shared" si="229"/>
        <v/>
      </c>
      <c r="J436" s="63" t="str">
        <f t="shared" si="230"/>
        <v/>
      </c>
      <c r="K436" s="64" t="str">
        <f t="shared" si="231"/>
        <v/>
      </c>
      <c r="L436" s="38">
        <v>0</v>
      </c>
      <c r="M436" s="64" t="str">
        <f t="shared" si="232"/>
        <v/>
      </c>
      <c r="O436" s="63" t="str">
        <f t="shared" si="233"/>
        <v/>
      </c>
      <c r="P436" s="63" t="str">
        <f t="shared" si="234"/>
        <v/>
      </c>
      <c r="R436" s="63" t="str">
        <f t="shared" si="235"/>
        <v/>
      </c>
      <c r="S436" s="64" t="str">
        <f t="shared" si="236"/>
        <v/>
      </c>
      <c r="T436" s="63" t="str">
        <f t="shared" si="237"/>
        <v/>
      </c>
      <c r="U436" s="64" t="str">
        <f t="shared" si="238"/>
        <v/>
      </c>
      <c r="V436" s="219" t="str">
        <f>IF($A437="","",IF(AND(MONTH(A436)&gt;3,MONTH(A436)&lt;11),(T436+R436+G436)*Summary!$T$10/(1-Summary!$T$10),(T436+R436+G436)*Summary!$U$10/(1-Summary!$U$10)))</f>
        <v/>
      </c>
      <c r="W436" s="63" t="str">
        <f t="shared" si="239"/>
        <v/>
      </c>
      <c r="X436" s="63" t="str">
        <f t="shared" si="240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1"/>
        <v/>
      </c>
      <c r="AP436" s="33" t="str">
        <f t="shared" si="242"/>
        <v/>
      </c>
      <c r="AQ436" s="58" t="str">
        <f t="shared" si="243"/>
        <v/>
      </c>
      <c r="AR436" s="38">
        <f>'ANR OK vs ML7'!AR436</f>
        <v>0.1</v>
      </c>
      <c r="AS436" s="35" t="str">
        <f t="shared" si="244"/>
        <v/>
      </c>
      <c r="AT436" s="3" t="str">
        <f t="shared" si="245"/>
        <v/>
      </c>
      <c r="AU436" s="3" t="str">
        <f t="shared" si="246"/>
        <v/>
      </c>
      <c r="AW436" s="32" t="str">
        <f t="shared" si="247"/>
        <v/>
      </c>
      <c r="AX436" s="32" t="str">
        <f t="shared" si="248"/>
        <v/>
      </c>
      <c r="AY436" s="32" t="str">
        <f t="shared" si="249"/>
        <v/>
      </c>
      <c r="BA436" s="32" t="str">
        <f>IF($A437="","",F436*Summary!$Q$10)</f>
        <v/>
      </c>
    </row>
    <row r="437" spans="1:53">
      <c r="A437" s="67" t="str">
        <f t="shared" si="250"/>
        <v/>
      </c>
      <c r="B437" s="69" t="str">
        <f t="shared" si="251"/>
        <v/>
      </c>
      <c r="D437" s="69" t="str">
        <f t="shared" si="225"/>
        <v/>
      </c>
      <c r="E437" s="70" t="str">
        <f t="shared" si="226"/>
        <v/>
      </c>
      <c r="F437" s="70" t="str">
        <f t="shared" si="227"/>
        <v/>
      </c>
      <c r="G437" s="63" t="str">
        <f t="shared" si="228"/>
        <v/>
      </c>
      <c r="H437" s="64" t="str">
        <f t="shared" si="229"/>
        <v/>
      </c>
      <c r="J437" s="63" t="str">
        <f t="shared" si="230"/>
        <v/>
      </c>
      <c r="K437" s="64" t="str">
        <f t="shared" si="231"/>
        <v/>
      </c>
      <c r="L437" s="38">
        <v>0</v>
      </c>
      <c r="M437" s="64" t="str">
        <f t="shared" si="232"/>
        <v/>
      </c>
      <c r="O437" s="63" t="str">
        <f t="shared" si="233"/>
        <v/>
      </c>
      <c r="P437" s="63" t="str">
        <f t="shared" si="234"/>
        <v/>
      </c>
      <c r="R437" s="63" t="str">
        <f t="shared" si="235"/>
        <v/>
      </c>
      <c r="S437" s="64" t="str">
        <f t="shared" si="236"/>
        <v/>
      </c>
      <c r="T437" s="63" t="str">
        <f t="shared" si="237"/>
        <v/>
      </c>
      <c r="U437" s="64" t="str">
        <f t="shared" si="238"/>
        <v/>
      </c>
      <c r="V437" s="219" t="str">
        <f>IF($A438="","",IF(AND(MONTH(A437)&gt;3,MONTH(A437)&lt;11),(T437+R437+G437)*Summary!$T$10/(1-Summary!$T$10),(T437+R437+G437)*Summary!$U$10/(1-Summary!$U$10)))</f>
        <v/>
      </c>
      <c r="W437" s="63" t="str">
        <f t="shared" si="239"/>
        <v/>
      </c>
      <c r="X437" s="63" t="str">
        <f t="shared" si="240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1"/>
        <v/>
      </c>
      <c r="AP437" s="33" t="str">
        <f t="shared" si="242"/>
        <v/>
      </c>
      <c r="AQ437" s="58" t="str">
        <f t="shared" si="243"/>
        <v/>
      </c>
      <c r="AR437" s="38">
        <f>'ANR OK vs ML7'!AR437</f>
        <v>0.1</v>
      </c>
      <c r="AS437" s="35" t="str">
        <f t="shared" si="244"/>
        <v/>
      </c>
      <c r="AT437" s="3" t="str">
        <f t="shared" si="245"/>
        <v/>
      </c>
      <c r="AU437" s="3" t="str">
        <f t="shared" si="246"/>
        <v/>
      </c>
      <c r="AW437" s="32" t="str">
        <f t="shared" si="247"/>
        <v/>
      </c>
      <c r="AX437" s="32" t="str">
        <f t="shared" si="248"/>
        <v/>
      </c>
      <c r="AY437" s="32" t="str">
        <f t="shared" si="249"/>
        <v/>
      </c>
      <c r="BA437" s="32" t="str">
        <f>IF($A438="","",F437*Summary!$Q$10)</f>
        <v/>
      </c>
    </row>
    <row r="438" spans="1:53">
      <c r="A438" s="67" t="str">
        <f t="shared" si="250"/>
        <v/>
      </c>
      <c r="B438" s="69" t="str">
        <f t="shared" si="251"/>
        <v/>
      </c>
      <c r="D438" s="69" t="str">
        <f t="shared" si="225"/>
        <v/>
      </c>
      <c r="E438" s="70" t="str">
        <f t="shared" si="226"/>
        <v/>
      </c>
      <c r="F438" s="70" t="str">
        <f t="shared" si="227"/>
        <v/>
      </c>
      <c r="G438" s="63" t="str">
        <f t="shared" si="228"/>
        <v/>
      </c>
      <c r="H438" s="64" t="str">
        <f t="shared" si="229"/>
        <v/>
      </c>
      <c r="J438" s="63" t="str">
        <f t="shared" si="230"/>
        <v/>
      </c>
      <c r="K438" s="64" t="str">
        <f t="shared" si="231"/>
        <v/>
      </c>
      <c r="L438" s="38">
        <v>0</v>
      </c>
      <c r="M438" s="64" t="str">
        <f t="shared" si="232"/>
        <v/>
      </c>
      <c r="O438" s="63" t="str">
        <f t="shared" si="233"/>
        <v/>
      </c>
      <c r="P438" s="63" t="str">
        <f t="shared" si="234"/>
        <v/>
      </c>
      <c r="R438" s="63" t="str">
        <f t="shared" si="235"/>
        <v/>
      </c>
      <c r="S438" s="64" t="str">
        <f t="shared" si="236"/>
        <v/>
      </c>
      <c r="T438" s="63" t="str">
        <f t="shared" si="237"/>
        <v/>
      </c>
      <c r="U438" s="64" t="str">
        <f t="shared" si="238"/>
        <v/>
      </c>
      <c r="V438" s="219" t="str">
        <f>IF($A439="","",IF(AND(MONTH(A438)&gt;3,MONTH(A438)&lt;11),(T438+R438+G438)*Summary!$T$10/(1-Summary!$T$10),(T438+R438+G438)*Summary!$U$10/(1-Summary!$U$10)))</f>
        <v/>
      </c>
      <c r="W438" s="63" t="str">
        <f t="shared" si="239"/>
        <v/>
      </c>
      <c r="X438" s="63" t="str">
        <f t="shared" si="240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1"/>
        <v/>
      </c>
      <c r="AP438" s="33" t="str">
        <f t="shared" si="242"/>
        <v/>
      </c>
      <c r="AQ438" s="58" t="str">
        <f t="shared" si="243"/>
        <v/>
      </c>
      <c r="AR438" s="38">
        <f>'ANR OK vs ML7'!AR438</f>
        <v>0.1</v>
      </c>
      <c r="AS438" s="35" t="str">
        <f t="shared" si="244"/>
        <v/>
      </c>
      <c r="AT438" s="3" t="str">
        <f t="shared" si="245"/>
        <v/>
      </c>
      <c r="AU438" s="3" t="str">
        <f t="shared" si="246"/>
        <v/>
      </c>
      <c r="AW438" s="32" t="str">
        <f t="shared" si="247"/>
        <v/>
      </c>
      <c r="AX438" s="32" t="str">
        <f t="shared" si="248"/>
        <v/>
      </c>
      <c r="AY438" s="32" t="str">
        <f t="shared" si="249"/>
        <v/>
      </c>
      <c r="BA438" s="32" t="str">
        <f>IF($A439="","",F438*Summary!$Q$10)</f>
        <v/>
      </c>
    </row>
    <row r="439" spans="1:53">
      <c r="A439" s="67" t="str">
        <f t="shared" si="250"/>
        <v/>
      </c>
      <c r="B439" s="69" t="str">
        <f t="shared" si="251"/>
        <v/>
      </c>
      <c r="D439" s="69" t="str">
        <f t="shared" si="225"/>
        <v/>
      </c>
      <c r="E439" s="70" t="str">
        <f t="shared" si="226"/>
        <v/>
      </c>
      <c r="F439" s="70" t="str">
        <f t="shared" si="227"/>
        <v/>
      </c>
      <c r="G439" s="63" t="str">
        <f t="shared" si="228"/>
        <v/>
      </c>
      <c r="H439" s="64" t="str">
        <f t="shared" si="229"/>
        <v/>
      </c>
      <c r="J439" s="63" t="str">
        <f t="shared" si="230"/>
        <v/>
      </c>
      <c r="K439" s="64" t="str">
        <f t="shared" si="231"/>
        <v/>
      </c>
      <c r="L439" s="38">
        <v>0</v>
      </c>
      <c r="M439" s="64" t="str">
        <f t="shared" si="232"/>
        <v/>
      </c>
      <c r="O439" s="63" t="str">
        <f t="shared" si="233"/>
        <v/>
      </c>
      <c r="P439" s="63" t="str">
        <f t="shared" si="234"/>
        <v/>
      </c>
      <c r="R439" s="63" t="str">
        <f t="shared" si="235"/>
        <v/>
      </c>
      <c r="S439" s="64" t="str">
        <f t="shared" si="236"/>
        <v/>
      </c>
      <c r="T439" s="63" t="str">
        <f t="shared" si="237"/>
        <v/>
      </c>
      <c r="U439" s="64" t="str">
        <f t="shared" si="238"/>
        <v/>
      </c>
      <c r="V439" s="219" t="str">
        <f>IF($A440="","",IF(AND(MONTH(A439)&gt;3,MONTH(A439)&lt;11),(T439+R439+G439)*Summary!$T$10/(1-Summary!$T$10),(T439+R439+G439)*Summary!$U$10/(1-Summary!$U$10)))</f>
        <v/>
      </c>
      <c r="W439" s="63" t="str">
        <f t="shared" si="239"/>
        <v/>
      </c>
      <c r="X439" s="63" t="str">
        <f t="shared" si="240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1"/>
        <v/>
      </c>
      <c r="AP439" s="33" t="str">
        <f t="shared" si="242"/>
        <v/>
      </c>
      <c r="AQ439" s="58" t="str">
        <f t="shared" si="243"/>
        <v/>
      </c>
      <c r="AR439" s="38">
        <f>'ANR OK vs ML7'!AR439</f>
        <v>0.1</v>
      </c>
      <c r="AS439" s="35" t="str">
        <f t="shared" si="244"/>
        <v/>
      </c>
      <c r="AT439" s="3" t="str">
        <f t="shared" si="245"/>
        <v/>
      </c>
      <c r="AU439" s="3" t="str">
        <f t="shared" si="246"/>
        <v/>
      </c>
      <c r="AW439" s="32" t="str">
        <f t="shared" si="247"/>
        <v/>
      </c>
      <c r="AX439" s="32" t="str">
        <f t="shared" si="248"/>
        <v/>
      </c>
      <c r="AY439" s="32" t="str">
        <f t="shared" si="249"/>
        <v/>
      </c>
      <c r="BA439" s="32" t="str">
        <f>IF($A440="","",F439*Summary!$Q$10)</f>
        <v/>
      </c>
    </row>
    <row r="440" spans="1:53">
      <c r="A440" s="67" t="str">
        <f t="shared" si="250"/>
        <v/>
      </c>
      <c r="B440" s="69" t="str">
        <f t="shared" si="251"/>
        <v/>
      </c>
      <c r="D440" s="69" t="str">
        <f t="shared" si="225"/>
        <v/>
      </c>
      <c r="E440" s="70" t="str">
        <f t="shared" si="226"/>
        <v/>
      </c>
      <c r="F440" s="70" t="str">
        <f t="shared" si="227"/>
        <v/>
      </c>
      <c r="G440" s="63" t="str">
        <f t="shared" si="228"/>
        <v/>
      </c>
      <c r="H440" s="64" t="str">
        <f t="shared" si="229"/>
        <v/>
      </c>
      <c r="J440" s="63" t="str">
        <f t="shared" si="230"/>
        <v/>
      </c>
      <c r="K440" s="64" t="str">
        <f t="shared" si="231"/>
        <v/>
      </c>
      <c r="L440" s="38">
        <v>0</v>
      </c>
      <c r="M440" s="64" t="str">
        <f t="shared" si="232"/>
        <v/>
      </c>
      <c r="O440" s="63" t="str">
        <f t="shared" si="233"/>
        <v/>
      </c>
      <c r="P440" s="63" t="str">
        <f t="shared" si="234"/>
        <v/>
      </c>
      <c r="R440" s="63" t="str">
        <f t="shared" si="235"/>
        <v/>
      </c>
      <c r="S440" s="64" t="str">
        <f t="shared" si="236"/>
        <v/>
      </c>
      <c r="T440" s="63" t="str">
        <f t="shared" si="237"/>
        <v/>
      </c>
      <c r="U440" s="64" t="str">
        <f t="shared" si="238"/>
        <v/>
      </c>
      <c r="V440" s="219" t="str">
        <f>IF($A441="","",IF(AND(MONTH(A440)&gt;3,MONTH(A440)&lt;11),(T440+R440+G440)*Summary!$T$10/(1-Summary!$T$10),(T440+R440+G440)*Summary!$U$10/(1-Summary!$U$10)))</f>
        <v/>
      </c>
      <c r="W440" s="63" t="str">
        <f t="shared" si="239"/>
        <v/>
      </c>
      <c r="X440" s="63" t="str">
        <f t="shared" si="240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1"/>
        <v/>
      </c>
      <c r="AP440" s="33" t="str">
        <f t="shared" si="242"/>
        <v/>
      </c>
      <c r="AQ440" s="58" t="str">
        <f t="shared" si="243"/>
        <v/>
      </c>
      <c r="AR440" s="38">
        <f>'ANR OK vs ML7'!AR440</f>
        <v>0.1</v>
      </c>
      <c r="AS440" s="35" t="str">
        <f t="shared" si="244"/>
        <v/>
      </c>
      <c r="AT440" s="3" t="str">
        <f t="shared" si="245"/>
        <v/>
      </c>
      <c r="AU440" s="3" t="str">
        <f t="shared" si="246"/>
        <v/>
      </c>
      <c r="AW440" s="32" t="str">
        <f t="shared" si="247"/>
        <v/>
      </c>
      <c r="AX440" s="32" t="str">
        <f t="shared" si="248"/>
        <v/>
      </c>
      <c r="AY440" s="32" t="str">
        <f t="shared" si="249"/>
        <v/>
      </c>
      <c r="BA440" s="32" t="str">
        <f>IF($A441="","",F440*Summary!$Q$10)</f>
        <v/>
      </c>
    </row>
    <row r="441" spans="1:53">
      <c r="A441" s="67" t="str">
        <f t="shared" si="250"/>
        <v/>
      </c>
      <c r="B441" s="69" t="str">
        <f t="shared" si="251"/>
        <v/>
      </c>
      <c r="D441" s="69" t="str">
        <f t="shared" si="225"/>
        <v/>
      </c>
      <c r="E441" s="70" t="str">
        <f t="shared" si="226"/>
        <v/>
      </c>
      <c r="F441" s="70" t="str">
        <f t="shared" si="227"/>
        <v/>
      </c>
      <c r="G441" s="63" t="str">
        <f t="shared" si="228"/>
        <v/>
      </c>
      <c r="H441" s="64" t="str">
        <f t="shared" si="229"/>
        <v/>
      </c>
      <c r="J441" s="63" t="str">
        <f t="shared" si="230"/>
        <v/>
      </c>
      <c r="K441" s="64" t="str">
        <f t="shared" si="231"/>
        <v/>
      </c>
      <c r="L441" s="38">
        <v>0</v>
      </c>
      <c r="M441" s="64" t="str">
        <f t="shared" si="232"/>
        <v/>
      </c>
      <c r="O441" s="63" t="str">
        <f t="shared" si="233"/>
        <v/>
      </c>
      <c r="P441" s="63" t="str">
        <f t="shared" si="234"/>
        <v/>
      </c>
      <c r="R441" s="63" t="str">
        <f t="shared" si="235"/>
        <v/>
      </c>
      <c r="S441" s="64" t="str">
        <f t="shared" si="236"/>
        <v/>
      </c>
      <c r="T441" s="63" t="str">
        <f t="shared" si="237"/>
        <v/>
      </c>
      <c r="U441" s="64" t="str">
        <f t="shared" si="238"/>
        <v/>
      </c>
      <c r="V441" s="219" t="str">
        <f>IF($A442="","",IF(AND(MONTH(A441)&gt;3,MONTH(A441)&lt;11),(T441+R441+G441)*Summary!$T$10/(1-Summary!$T$10),(T441+R441+G441)*Summary!$U$10/(1-Summary!$U$10)))</f>
        <v/>
      </c>
      <c r="W441" s="63" t="str">
        <f t="shared" si="239"/>
        <v/>
      </c>
      <c r="X441" s="63" t="str">
        <f t="shared" si="240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1"/>
        <v/>
      </c>
      <c r="AP441" s="33" t="str">
        <f t="shared" si="242"/>
        <v/>
      </c>
      <c r="AQ441" s="58" t="str">
        <f t="shared" si="243"/>
        <v/>
      </c>
      <c r="AR441" s="38">
        <f>'ANR OK vs ML7'!AR441</f>
        <v>0.1</v>
      </c>
      <c r="AS441" s="35" t="str">
        <f t="shared" si="244"/>
        <v/>
      </c>
      <c r="AT441" s="3" t="str">
        <f t="shared" si="245"/>
        <v/>
      </c>
      <c r="AU441" s="3" t="str">
        <f t="shared" si="246"/>
        <v/>
      </c>
      <c r="AW441" s="32" t="str">
        <f t="shared" si="247"/>
        <v/>
      </c>
      <c r="AX441" s="32" t="str">
        <f t="shared" si="248"/>
        <v/>
      </c>
      <c r="AY441" s="32" t="str">
        <f t="shared" si="249"/>
        <v/>
      </c>
      <c r="BA441" s="32" t="str">
        <f>IF($A442="","",F441*Summary!$Q$10)</f>
        <v/>
      </c>
    </row>
    <row r="442" spans="1:53">
      <c r="A442" s="67" t="str">
        <f t="shared" si="250"/>
        <v/>
      </c>
      <c r="B442" s="69" t="str">
        <f t="shared" si="251"/>
        <v/>
      </c>
      <c r="D442" s="69" t="str">
        <f t="shared" si="225"/>
        <v/>
      </c>
      <c r="E442" s="70" t="str">
        <f t="shared" si="226"/>
        <v/>
      </c>
      <c r="F442" s="70" t="str">
        <f t="shared" si="227"/>
        <v/>
      </c>
      <c r="G442" s="63" t="str">
        <f t="shared" si="228"/>
        <v/>
      </c>
      <c r="H442" s="64" t="str">
        <f t="shared" si="229"/>
        <v/>
      </c>
      <c r="J442" s="63" t="str">
        <f t="shared" si="230"/>
        <v/>
      </c>
      <c r="K442" s="64" t="str">
        <f t="shared" si="231"/>
        <v/>
      </c>
      <c r="L442" s="38">
        <v>0</v>
      </c>
      <c r="M442" s="64" t="str">
        <f t="shared" si="232"/>
        <v/>
      </c>
      <c r="O442" s="63" t="str">
        <f t="shared" si="233"/>
        <v/>
      </c>
      <c r="P442" s="63" t="str">
        <f t="shared" si="234"/>
        <v/>
      </c>
      <c r="R442" s="63" t="str">
        <f t="shared" si="235"/>
        <v/>
      </c>
      <c r="S442" s="64" t="str">
        <f t="shared" si="236"/>
        <v/>
      </c>
      <c r="T442" s="63" t="str">
        <f t="shared" si="237"/>
        <v/>
      </c>
      <c r="U442" s="64" t="str">
        <f t="shared" si="238"/>
        <v/>
      </c>
      <c r="V442" s="219" t="str">
        <f>IF($A443="","",IF(AND(MONTH(A442)&gt;3,MONTH(A442)&lt;11),(T442+R442+G442)*Summary!$T$10/(1-Summary!$T$10),(T442+R442+G442)*Summary!$U$10/(1-Summary!$U$10)))</f>
        <v/>
      </c>
      <c r="W442" s="63" t="str">
        <f t="shared" si="239"/>
        <v/>
      </c>
      <c r="X442" s="63" t="str">
        <f t="shared" si="240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1"/>
        <v/>
      </c>
      <c r="AP442" s="33" t="str">
        <f t="shared" si="242"/>
        <v/>
      </c>
      <c r="AQ442" s="58" t="str">
        <f t="shared" si="243"/>
        <v/>
      </c>
      <c r="AR442" s="38">
        <f>'ANR OK vs ML7'!AR442</f>
        <v>0.1</v>
      </c>
      <c r="AS442" s="35" t="str">
        <f t="shared" si="244"/>
        <v/>
      </c>
      <c r="AT442" s="3" t="str">
        <f t="shared" si="245"/>
        <v/>
      </c>
      <c r="AU442" s="3" t="str">
        <f t="shared" si="246"/>
        <v/>
      </c>
      <c r="AW442" s="32" t="str">
        <f t="shared" si="247"/>
        <v/>
      </c>
      <c r="AX442" s="32" t="str">
        <f t="shared" si="248"/>
        <v/>
      </c>
      <c r="AY442" s="32" t="str">
        <f t="shared" si="249"/>
        <v/>
      </c>
      <c r="BA442" s="32" t="str">
        <f>IF($A443="","",F442*Summary!$Q$10)</f>
        <v/>
      </c>
    </row>
    <row r="443" spans="1:53">
      <c r="A443" s="67" t="str">
        <f t="shared" si="250"/>
        <v/>
      </c>
      <c r="B443" s="69" t="str">
        <f t="shared" si="251"/>
        <v/>
      </c>
      <c r="D443" s="69" t="str">
        <f t="shared" si="225"/>
        <v/>
      </c>
      <c r="E443" s="70" t="str">
        <f t="shared" si="226"/>
        <v/>
      </c>
      <c r="F443" s="70" t="str">
        <f t="shared" si="227"/>
        <v/>
      </c>
      <c r="G443" s="63" t="str">
        <f t="shared" si="228"/>
        <v/>
      </c>
      <c r="H443" s="64" t="str">
        <f t="shared" si="229"/>
        <v/>
      </c>
      <c r="J443" s="63" t="str">
        <f t="shared" si="230"/>
        <v/>
      </c>
      <c r="K443" s="64" t="str">
        <f t="shared" si="231"/>
        <v/>
      </c>
      <c r="L443" s="38">
        <v>0</v>
      </c>
      <c r="M443" s="64" t="str">
        <f t="shared" si="232"/>
        <v/>
      </c>
      <c r="O443" s="63" t="str">
        <f t="shared" si="233"/>
        <v/>
      </c>
      <c r="P443" s="63" t="str">
        <f t="shared" si="234"/>
        <v/>
      </c>
      <c r="R443" s="63" t="str">
        <f t="shared" si="235"/>
        <v/>
      </c>
      <c r="S443" s="64" t="str">
        <f t="shared" si="236"/>
        <v/>
      </c>
      <c r="T443" s="63" t="str">
        <f t="shared" si="237"/>
        <v/>
      </c>
      <c r="U443" s="64" t="str">
        <f t="shared" si="238"/>
        <v/>
      </c>
      <c r="V443" s="219" t="str">
        <f>IF($A444="","",IF(AND(MONTH(A443)&gt;3,MONTH(A443)&lt;11),(T443+R443+G443)*Summary!$T$10/(1-Summary!$T$10),(T443+R443+G443)*Summary!$U$10/(1-Summary!$U$10)))</f>
        <v/>
      </c>
      <c r="W443" s="63" t="str">
        <f t="shared" si="239"/>
        <v/>
      </c>
      <c r="X443" s="63" t="str">
        <f t="shared" si="240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1"/>
        <v/>
      </c>
      <c r="AP443" s="33" t="str">
        <f t="shared" si="242"/>
        <v/>
      </c>
      <c r="AQ443" s="58" t="str">
        <f t="shared" si="243"/>
        <v/>
      </c>
      <c r="AR443" s="38">
        <f>'ANR OK vs ML7'!AR443</f>
        <v>0.1</v>
      </c>
      <c r="AS443" s="35" t="str">
        <f t="shared" si="244"/>
        <v/>
      </c>
      <c r="AT443" s="3" t="str">
        <f t="shared" si="245"/>
        <v/>
      </c>
      <c r="AU443" s="3" t="str">
        <f t="shared" si="246"/>
        <v/>
      </c>
      <c r="AW443" s="32" t="str">
        <f t="shared" si="247"/>
        <v/>
      </c>
      <c r="AX443" s="32" t="str">
        <f t="shared" si="248"/>
        <v/>
      </c>
      <c r="AY443" s="32" t="str">
        <f t="shared" si="249"/>
        <v/>
      </c>
      <c r="BA443" s="32" t="str">
        <f>IF($A444="","",F443*Summary!$Q$10)</f>
        <v/>
      </c>
    </row>
    <row r="444" spans="1:53">
      <c r="A444" s="67" t="str">
        <f t="shared" si="250"/>
        <v/>
      </c>
      <c r="B444" s="69" t="str">
        <f t="shared" si="251"/>
        <v/>
      </c>
      <c r="D444" s="69" t="str">
        <f t="shared" si="225"/>
        <v/>
      </c>
      <c r="E444" s="70" t="str">
        <f t="shared" si="226"/>
        <v/>
      </c>
      <c r="F444" s="70" t="str">
        <f t="shared" si="227"/>
        <v/>
      </c>
      <c r="G444" s="63" t="str">
        <f t="shared" si="228"/>
        <v/>
      </c>
      <c r="H444" s="64" t="str">
        <f t="shared" si="229"/>
        <v/>
      </c>
      <c r="J444" s="63" t="str">
        <f t="shared" si="230"/>
        <v/>
      </c>
      <c r="K444" s="64" t="str">
        <f t="shared" si="231"/>
        <v/>
      </c>
      <c r="L444" s="38">
        <v>0</v>
      </c>
      <c r="M444" s="64" t="str">
        <f t="shared" si="232"/>
        <v/>
      </c>
      <c r="O444" s="63" t="str">
        <f t="shared" si="233"/>
        <v/>
      </c>
      <c r="P444" s="63" t="str">
        <f t="shared" si="234"/>
        <v/>
      </c>
      <c r="R444" s="63" t="str">
        <f t="shared" si="235"/>
        <v/>
      </c>
      <c r="S444" s="64" t="str">
        <f t="shared" si="236"/>
        <v/>
      </c>
      <c r="T444" s="63" t="str">
        <f t="shared" si="237"/>
        <v/>
      </c>
      <c r="U444" s="64" t="str">
        <f t="shared" si="238"/>
        <v/>
      </c>
      <c r="V444" s="219" t="str">
        <f>IF($A445="","",IF(AND(MONTH(A444)&gt;3,MONTH(A444)&lt;11),(T444+R444+G444)*Summary!$T$10/(1-Summary!$T$10),(T444+R444+G444)*Summary!$U$10/(1-Summary!$U$10)))</f>
        <v/>
      </c>
      <c r="W444" s="63" t="str">
        <f t="shared" si="239"/>
        <v/>
      </c>
      <c r="X444" s="63" t="str">
        <f t="shared" si="240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1"/>
        <v/>
      </c>
      <c r="AP444" s="33" t="str">
        <f t="shared" si="242"/>
        <v/>
      </c>
      <c r="AQ444" s="58" t="str">
        <f t="shared" si="243"/>
        <v/>
      </c>
      <c r="AR444" s="38">
        <f>'ANR OK vs ML7'!AR444</f>
        <v>0.1</v>
      </c>
      <c r="AS444" s="35" t="str">
        <f t="shared" si="244"/>
        <v/>
      </c>
      <c r="AT444" s="3" t="str">
        <f t="shared" si="245"/>
        <v/>
      </c>
      <c r="AU444" s="3" t="str">
        <f t="shared" si="246"/>
        <v/>
      </c>
      <c r="AW444" s="32" t="str">
        <f t="shared" si="247"/>
        <v/>
      </c>
      <c r="AX444" s="32" t="str">
        <f t="shared" si="248"/>
        <v/>
      </c>
      <c r="AY444" s="32" t="str">
        <f t="shared" si="249"/>
        <v/>
      </c>
      <c r="BA444" s="32" t="str">
        <f>IF($A445="","",F444*Summary!$Q$10)</f>
        <v/>
      </c>
    </row>
    <row r="445" spans="1:53">
      <c r="A445" s="67" t="str">
        <f t="shared" si="250"/>
        <v/>
      </c>
      <c r="B445" s="69" t="str">
        <f t="shared" si="251"/>
        <v/>
      </c>
      <c r="D445" s="69" t="str">
        <f t="shared" si="225"/>
        <v/>
      </c>
      <c r="E445" s="70" t="str">
        <f t="shared" si="226"/>
        <v/>
      </c>
      <c r="F445" s="70" t="str">
        <f t="shared" si="227"/>
        <v/>
      </c>
      <c r="G445" s="63" t="str">
        <f t="shared" si="228"/>
        <v/>
      </c>
      <c r="H445" s="64" t="str">
        <f t="shared" si="229"/>
        <v/>
      </c>
      <c r="J445" s="63" t="str">
        <f t="shared" si="230"/>
        <v/>
      </c>
      <c r="K445" s="64" t="str">
        <f t="shared" si="231"/>
        <v/>
      </c>
      <c r="L445" s="38">
        <v>0</v>
      </c>
      <c r="M445" s="64" t="str">
        <f t="shared" si="232"/>
        <v/>
      </c>
      <c r="O445" s="63" t="str">
        <f t="shared" si="233"/>
        <v/>
      </c>
      <c r="P445" s="63" t="str">
        <f t="shared" si="234"/>
        <v/>
      </c>
      <c r="R445" s="63" t="str">
        <f t="shared" si="235"/>
        <v/>
      </c>
      <c r="S445" s="64" t="str">
        <f t="shared" si="236"/>
        <v/>
      </c>
      <c r="T445" s="63" t="str">
        <f t="shared" si="237"/>
        <v/>
      </c>
      <c r="U445" s="64" t="str">
        <f t="shared" si="238"/>
        <v/>
      </c>
      <c r="V445" s="219" t="str">
        <f>IF($A446="","",IF(AND(MONTH(A445)&gt;3,MONTH(A445)&lt;11),(T445+R445+G445)*Summary!$T$10/(1-Summary!$T$10),(T445+R445+G445)*Summary!$U$10/(1-Summary!$U$10)))</f>
        <v/>
      </c>
      <c r="W445" s="63" t="str">
        <f t="shared" si="239"/>
        <v/>
      </c>
      <c r="X445" s="63" t="str">
        <f t="shared" si="240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1"/>
        <v/>
      </c>
      <c r="AP445" s="33" t="str">
        <f t="shared" si="242"/>
        <v/>
      </c>
      <c r="AQ445" s="58" t="str">
        <f t="shared" si="243"/>
        <v/>
      </c>
      <c r="AR445" s="38">
        <f>'ANR OK vs ML7'!AR445</f>
        <v>0.1</v>
      </c>
      <c r="AS445" s="35" t="str">
        <f t="shared" si="244"/>
        <v/>
      </c>
      <c r="AT445" s="3" t="str">
        <f t="shared" si="245"/>
        <v/>
      </c>
      <c r="AU445" s="3" t="str">
        <f t="shared" si="246"/>
        <v/>
      </c>
      <c r="AW445" s="32" t="str">
        <f t="shared" si="247"/>
        <v/>
      </c>
      <c r="AX445" s="32" t="str">
        <f t="shared" si="248"/>
        <v/>
      </c>
      <c r="AY445" s="32" t="str">
        <f t="shared" si="249"/>
        <v/>
      </c>
      <c r="BA445" s="32" t="str">
        <f>IF($A446="","",F445*Summary!$Q$10)</f>
        <v/>
      </c>
    </row>
    <row r="446" spans="1:53">
      <c r="A446" s="67" t="str">
        <f t="shared" si="250"/>
        <v/>
      </c>
      <c r="B446" s="69" t="str">
        <f t="shared" si="251"/>
        <v/>
      </c>
      <c r="D446" s="69" t="str">
        <f t="shared" si="225"/>
        <v/>
      </c>
      <c r="E446" s="70" t="str">
        <f t="shared" si="226"/>
        <v/>
      </c>
      <c r="F446" s="70" t="str">
        <f t="shared" si="227"/>
        <v/>
      </c>
      <c r="G446" s="63" t="str">
        <f t="shared" si="228"/>
        <v/>
      </c>
      <c r="H446" s="64" t="str">
        <f t="shared" si="229"/>
        <v/>
      </c>
      <c r="J446" s="63" t="str">
        <f t="shared" si="230"/>
        <v/>
      </c>
      <c r="K446" s="64" t="str">
        <f t="shared" si="231"/>
        <v/>
      </c>
      <c r="L446" s="38">
        <v>0</v>
      </c>
      <c r="M446" s="64" t="str">
        <f t="shared" si="232"/>
        <v/>
      </c>
      <c r="O446" s="63" t="str">
        <f t="shared" si="233"/>
        <v/>
      </c>
      <c r="P446" s="63" t="str">
        <f t="shared" si="234"/>
        <v/>
      </c>
      <c r="R446" s="63" t="str">
        <f t="shared" si="235"/>
        <v/>
      </c>
      <c r="S446" s="64" t="str">
        <f t="shared" si="236"/>
        <v/>
      </c>
      <c r="T446" s="63" t="str">
        <f t="shared" si="237"/>
        <v/>
      </c>
      <c r="U446" s="64" t="str">
        <f t="shared" si="238"/>
        <v/>
      </c>
      <c r="V446" s="219" t="str">
        <f>IF($A447="","",IF(AND(MONTH(A446)&gt;3,MONTH(A446)&lt;11),(T446+R446+G446)*Summary!$T$10/(1-Summary!$T$10),(T446+R446+G446)*Summary!$U$10/(1-Summary!$U$10)))</f>
        <v/>
      </c>
      <c r="W446" s="63" t="str">
        <f t="shared" si="239"/>
        <v/>
      </c>
      <c r="X446" s="63" t="str">
        <f t="shared" si="240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1"/>
        <v/>
      </c>
      <c r="AP446" s="33" t="str">
        <f t="shared" si="242"/>
        <v/>
      </c>
      <c r="AQ446" s="58" t="str">
        <f t="shared" si="243"/>
        <v/>
      </c>
      <c r="AR446" s="38">
        <f>'ANR OK vs ML7'!AR446</f>
        <v>0.1</v>
      </c>
      <c r="AS446" s="35" t="str">
        <f t="shared" si="244"/>
        <v/>
      </c>
      <c r="AT446" s="3" t="str">
        <f t="shared" si="245"/>
        <v/>
      </c>
      <c r="AU446" s="3" t="str">
        <f t="shared" si="246"/>
        <v/>
      </c>
      <c r="AW446" s="32" t="str">
        <f t="shared" si="247"/>
        <v/>
      </c>
      <c r="AX446" s="32" t="str">
        <f t="shared" si="248"/>
        <v/>
      </c>
      <c r="AY446" s="32" t="str">
        <f t="shared" si="249"/>
        <v/>
      </c>
      <c r="BA446" s="32" t="str">
        <f>IF($A447="","",F446*Summary!$Q$10)</f>
        <v/>
      </c>
    </row>
    <row r="447" spans="1:53">
      <c r="A447" s="67" t="str">
        <f t="shared" si="250"/>
        <v/>
      </c>
      <c r="B447" s="69" t="str">
        <f t="shared" si="251"/>
        <v/>
      </c>
      <c r="D447" s="69" t="str">
        <f t="shared" si="225"/>
        <v/>
      </c>
      <c r="E447" s="70" t="str">
        <f t="shared" si="226"/>
        <v/>
      </c>
      <c r="F447" s="70" t="str">
        <f t="shared" si="227"/>
        <v/>
      </c>
      <c r="G447" s="63" t="str">
        <f t="shared" si="228"/>
        <v/>
      </c>
      <c r="H447" s="64" t="str">
        <f t="shared" si="229"/>
        <v/>
      </c>
      <c r="J447" s="63" t="str">
        <f t="shared" si="230"/>
        <v/>
      </c>
      <c r="K447" s="64" t="str">
        <f t="shared" si="231"/>
        <v/>
      </c>
      <c r="L447" s="38">
        <v>0</v>
      </c>
      <c r="M447" s="64" t="str">
        <f t="shared" si="232"/>
        <v/>
      </c>
      <c r="O447" s="63" t="str">
        <f t="shared" si="233"/>
        <v/>
      </c>
      <c r="P447" s="63" t="str">
        <f t="shared" si="234"/>
        <v/>
      </c>
      <c r="R447" s="63" t="str">
        <f t="shared" si="235"/>
        <v/>
      </c>
      <c r="S447" s="64" t="str">
        <f t="shared" si="236"/>
        <v/>
      </c>
      <c r="T447" s="63" t="str">
        <f t="shared" si="237"/>
        <v/>
      </c>
      <c r="U447" s="64" t="str">
        <f t="shared" si="238"/>
        <v/>
      </c>
      <c r="V447" s="219" t="str">
        <f>IF($A448="","",IF(AND(MONTH(A447)&gt;3,MONTH(A447)&lt;11),(T447+R447+G447)*Summary!$T$10/(1-Summary!$T$10),(T447+R447+G447)*Summary!$U$10/(1-Summary!$U$10)))</f>
        <v/>
      </c>
      <c r="W447" s="63" t="str">
        <f t="shared" si="239"/>
        <v/>
      </c>
      <c r="X447" s="63" t="str">
        <f t="shared" si="240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1"/>
        <v/>
      </c>
      <c r="AP447" s="33" t="str">
        <f t="shared" si="242"/>
        <v/>
      </c>
      <c r="AQ447" s="58" t="str">
        <f t="shared" si="243"/>
        <v/>
      </c>
      <c r="AR447" s="38">
        <f>'ANR OK vs ML7'!AR447</f>
        <v>0.1</v>
      </c>
      <c r="AS447" s="35" t="str">
        <f t="shared" si="244"/>
        <v/>
      </c>
      <c r="AT447" s="3" t="str">
        <f t="shared" si="245"/>
        <v/>
      </c>
      <c r="AU447" s="3" t="str">
        <f t="shared" si="246"/>
        <v/>
      </c>
      <c r="AW447" s="32" t="str">
        <f t="shared" si="247"/>
        <v/>
      </c>
      <c r="AX447" s="32" t="str">
        <f t="shared" si="248"/>
        <v/>
      </c>
      <c r="AY447" s="32" t="str">
        <f t="shared" si="249"/>
        <v/>
      </c>
      <c r="BA447" s="32" t="str">
        <f>IF($A448="","",F447*Summary!$Q$10)</f>
        <v/>
      </c>
    </row>
    <row r="448" spans="1:53">
      <c r="A448" s="67" t="str">
        <f t="shared" si="250"/>
        <v/>
      </c>
      <c r="B448" s="69" t="str">
        <f t="shared" si="251"/>
        <v/>
      </c>
      <c r="D448" s="69" t="str">
        <f t="shared" si="225"/>
        <v/>
      </c>
      <c r="E448" s="70" t="str">
        <f t="shared" si="226"/>
        <v/>
      </c>
      <c r="F448" s="70" t="str">
        <f t="shared" si="227"/>
        <v/>
      </c>
      <c r="G448" s="63" t="str">
        <f t="shared" si="228"/>
        <v/>
      </c>
      <c r="H448" s="64" t="str">
        <f t="shared" si="229"/>
        <v/>
      </c>
      <c r="J448" s="63" t="str">
        <f t="shared" si="230"/>
        <v/>
      </c>
      <c r="K448" s="64" t="str">
        <f t="shared" si="231"/>
        <v/>
      </c>
      <c r="L448" s="38">
        <v>0</v>
      </c>
      <c r="M448" s="64" t="str">
        <f t="shared" si="232"/>
        <v/>
      </c>
      <c r="O448" s="63" t="str">
        <f t="shared" si="233"/>
        <v/>
      </c>
      <c r="P448" s="63" t="str">
        <f t="shared" si="234"/>
        <v/>
      </c>
      <c r="R448" s="63" t="str">
        <f t="shared" si="235"/>
        <v/>
      </c>
      <c r="S448" s="64" t="str">
        <f t="shared" si="236"/>
        <v/>
      </c>
      <c r="T448" s="63" t="str">
        <f t="shared" si="237"/>
        <v/>
      </c>
      <c r="U448" s="64" t="str">
        <f t="shared" si="238"/>
        <v/>
      </c>
      <c r="V448" s="219" t="str">
        <f>IF($A449="","",IF(AND(MONTH(A448)&gt;3,MONTH(A448)&lt;11),(T448+R448+G448)*Summary!$T$10/(1-Summary!$T$10),(T448+R448+G448)*Summary!$U$10/(1-Summary!$U$10)))</f>
        <v/>
      </c>
      <c r="W448" s="63" t="str">
        <f t="shared" si="239"/>
        <v/>
      </c>
      <c r="X448" s="63" t="str">
        <f t="shared" si="240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1"/>
        <v/>
      </c>
      <c r="AP448" s="33" t="str">
        <f t="shared" si="242"/>
        <v/>
      </c>
      <c r="AQ448" s="58" t="str">
        <f t="shared" si="243"/>
        <v/>
      </c>
      <c r="AR448" s="38">
        <f>'ANR OK vs ML7'!AR448</f>
        <v>0.1</v>
      </c>
      <c r="AS448" s="35" t="str">
        <f t="shared" si="244"/>
        <v/>
      </c>
      <c r="AT448" s="3" t="str">
        <f t="shared" si="245"/>
        <v/>
      </c>
      <c r="AU448" s="3" t="str">
        <f t="shared" si="246"/>
        <v/>
      </c>
      <c r="AW448" s="32" t="str">
        <f t="shared" si="247"/>
        <v/>
      </c>
      <c r="AX448" s="32" t="str">
        <f t="shared" si="248"/>
        <v/>
      </c>
      <c r="AY448" s="32" t="str">
        <f t="shared" si="249"/>
        <v/>
      </c>
      <c r="BA448" s="32" t="str">
        <f>IF($A449="","",F448*Summary!$Q$10)</f>
        <v/>
      </c>
    </row>
    <row r="449" spans="1:53">
      <c r="A449" s="67" t="str">
        <f t="shared" si="250"/>
        <v/>
      </c>
      <c r="B449" s="69" t="str">
        <f t="shared" si="251"/>
        <v/>
      </c>
      <c r="D449" s="69" t="str">
        <f t="shared" si="225"/>
        <v/>
      </c>
      <c r="E449" s="70" t="str">
        <f t="shared" si="226"/>
        <v/>
      </c>
      <c r="F449" s="70" t="str">
        <f t="shared" si="227"/>
        <v/>
      </c>
      <c r="G449" s="63" t="str">
        <f t="shared" si="228"/>
        <v/>
      </c>
      <c r="H449" s="64" t="str">
        <f t="shared" si="229"/>
        <v/>
      </c>
      <c r="J449" s="63" t="str">
        <f t="shared" si="230"/>
        <v/>
      </c>
      <c r="K449" s="64" t="str">
        <f t="shared" si="231"/>
        <v/>
      </c>
      <c r="L449" s="38">
        <v>0</v>
      </c>
      <c r="M449" s="64" t="str">
        <f t="shared" si="232"/>
        <v/>
      </c>
      <c r="O449" s="63" t="str">
        <f t="shared" si="233"/>
        <v/>
      </c>
      <c r="P449" s="63" t="str">
        <f t="shared" si="234"/>
        <v/>
      </c>
      <c r="R449" s="63" t="str">
        <f t="shared" si="235"/>
        <v/>
      </c>
      <c r="S449" s="64" t="str">
        <f t="shared" si="236"/>
        <v/>
      </c>
      <c r="T449" s="63" t="str">
        <f t="shared" si="237"/>
        <v/>
      </c>
      <c r="U449" s="64" t="str">
        <f t="shared" si="238"/>
        <v/>
      </c>
      <c r="V449" s="219" t="str">
        <f>IF($A450="","",IF(AND(MONTH(A449)&gt;3,MONTH(A449)&lt;11),(T449+R449+G449)*Summary!$T$10/(1-Summary!$T$10),(T449+R449+G449)*Summary!$U$10/(1-Summary!$U$10)))</f>
        <v/>
      </c>
      <c r="W449" s="63" t="str">
        <f t="shared" si="239"/>
        <v/>
      </c>
      <c r="X449" s="63" t="str">
        <f t="shared" si="240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1"/>
        <v/>
      </c>
      <c r="AP449" s="33" t="str">
        <f t="shared" si="242"/>
        <v/>
      </c>
      <c r="AQ449" s="58" t="str">
        <f t="shared" si="243"/>
        <v/>
      </c>
      <c r="AR449" s="38">
        <f>'ANR OK vs ML7'!AR449</f>
        <v>0.1</v>
      </c>
      <c r="AS449" s="35" t="str">
        <f t="shared" si="244"/>
        <v/>
      </c>
      <c r="AT449" s="3" t="str">
        <f t="shared" si="245"/>
        <v/>
      </c>
      <c r="AU449" s="3" t="str">
        <f t="shared" si="246"/>
        <v/>
      </c>
      <c r="AW449" s="32" t="str">
        <f t="shared" si="247"/>
        <v/>
      </c>
      <c r="AX449" s="32" t="str">
        <f t="shared" si="248"/>
        <v/>
      </c>
      <c r="AY449" s="32" t="str">
        <f t="shared" si="249"/>
        <v/>
      </c>
      <c r="BA449" s="32" t="str">
        <f>IF($A450="","",F449*Summary!$Q$10)</f>
        <v/>
      </c>
    </row>
    <row r="450" spans="1:53">
      <c r="A450" s="67" t="str">
        <f t="shared" si="250"/>
        <v/>
      </c>
      <c r="B450" s="69" t="str">
        <f t="shared" si="251"/>
        <v/>
      </c>
      <c r="D450" s="69" t="str">
        <f t="shared" si="225"/>
        <v/>
      </c>
      <c r="E450" s="70" t="str">
        <f t="shared" si="226"/>
        <v/>
      </c>
      <c r="F450" s="70" t="str">
        <f t="shared" si="227"/>
        <v/>
      </c>
      <c r="G450" s="63" t="str">
        <f t="shared" si="228"/>
        <v/>
      </c>
      <c r="H450" s="64" t="str">
        <f t="shared" si="229"/>
        <v/>
      </c>
      <c r="J450" s="63" t="str">
        <f t="shared" si="230"/>
        <v/>
      </c>
      <c r="K450" s="64" t="str">
        <f t="shared" si="231"/>
        <v/>
      </c>
      <c r="L450" s="38">
        <v>0</v>
      </c>
      <c r="M450" s="64" t="str">
        <f t="shared" si="232"/>
        <v/>
      </c>
      <c r="O450" s="63" t="str">
        <f t="shared" si="233"/>
        <v/>
      </c>
      <c r="P450" s="63" t="str">
        <f t="shared" si="234"/>
        <v/>
      </c>
      <c r="R450" s="63" t="str">
        <f t="shared" si="235"/>
        <v/>
      </c>
      <c r="S450" s="64" t="str">
        <f t="shared" si="236"/>
        <v/>
      </c>
      <c r="T450" s="63" t="str">
        <f t="shared" si="237"/>
        <v/>
      </c>
      <c r="U450" s="64" t="str">
        <f t="shared" si="238"/>
        <v/>
      </c>
      <c r="V450" s="219" t="str">
        <f>IF($A451="","",IF(AND(MONTH(A450)&gt;3,MONTH(A450)&lt;11),(T450+R450+G450)*Summary!$T$10/(1-Summary!$T$10),(T450+R450+G450)*Summary!$U$10/(1-Summary!$U$10)))</f>
        <v/>
      </c>
      <c r="W450" s="63" t="str">
        <f t="shared" si="239"/>
        <v/>
      </c>
      <c r="X450" s="63" t="str">
        <f t="shared" si="240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1"/>
        <v/>
      </c>
      <c r="AP450" s="33" t="str">
        <f t="shared" si="242"/>
        <v/>
      </c>
      <c r="AQ450" s="58" t="str">
        <f t="shared" si="243"/>
        <v/>
      </c>
      <c r="AR450" s="38">
        <f>'ANR OK vs ML7'!AR450</f>
        <v>0.1</v>
      </c>
      <c r="AS450" s="35" t="str">
        <f t="shared" si="244"/>
        <v/>
      </c>
      <c r="AT450" s="3" t="str">
        <f t="shared" si="245"/>
        <v/>
      </c>
      <c r="AU450" s="3" t="str">
        <f t="shared" si="246"/>
        <v/>
      </c>
      <c r="AW450" s="32" t="str">
        <f t="shared" si="247"/>
        <v/>
      </c>
      <c r="AX450" s="32" t="str">
        <f t="shared" si="248"/>
        <v/>
      </c>
      <c r="AY450" s="32" t="str">
        <f t="shared" si="249"/>
        <v/>
      </c>
      <c r="BA450" s="32" t="str">
        <f>IF($A451="","",F450*Summary!$Q$10)</f>
        <v/>
      </c>
    </row>
    <row r="451" spans="1:53">
      <c r="A451" s="67" t="str">
        <f t="shared" si="250"/>
        <v/>
      </c>
      <c r="B451" s="69" t="str">
        <f t="shared" si="251"/>
        <v/>
      </c>
      <c r="D451" s="69" t="str">
        <f t="shared" si="225"/>
        <v/>
      </c>
      <c r="E451" s="70" t="str">
        <f t="shared" si="226"/>
        <v/>
      </c>
      <c r="F451" s="70" t="str">
        <f t="shared" si="227"/>
        <v/>
      </c>
      <c r="G451" s="63" t="str">
        <f t="shared" si="228"/>
        <v/>
      </c>
      <c r="H451" s="64" t="str">
        <f t="shared" si="229"/>
        <v/>
      </c>
      <c r="J451" s="63" t="str">
        <f t="shared" si="230"/>
        <v/>
      </c>
      <c r="K451" s="64" t="str">
        <f t="shared" si="231"/>
        <v/>
      </c>
      <c r="L451" s="38">
        <v>0</v>
      </c>
      <c r="M451" s="64" t="str">
        <f t="shared" si="232"/>
        <v/>
      </c>
      <c r="O451" s="63" t="str">
        <f t="shared" si="233"/>
        <v/>
      </c>
      <c r="P451" s="63" t="str">
        <f t="shared" si="234"/>
        <v/>
      </c>
      <c r="R451" s="63" t="str">
        <f t="shared" si="235"/>
        <v/>
      </c>
      <c r="S451" s="64" t="str">
        <f t="shared" si="236"/>
        <v/>
      </c>
      <c r="T451" s="63" t="str">
        <f t="shared" si="237"/>
        <v/>
      </c>
      <c r="U451" s="64" t="str">
        <f t="shared" si="238"/>
        <v/>
      </c>
      <c r="V451" s="219" t="str">
        <f>IF($A452="","",IF(AND(MONTH(A451)&gt;3,MONTH(A451)&lt;11),(T451+R451+G451)*Summary!$T$10/(1-Summary!$T$10),(T451+R451+G451)*Summary!$U$10/(1-Summary!$U$10)))</f>
        <v/>
      </c>
      <c r="W451" s="63" t="str">
        <f t="shared" si="239"/>
        <v/>
      </c>
      <c r="X451" s="63" t="str">
        <f t="shared" si="240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1"/>
        <v/>
      </c>
      <c r="AP451" s="33" t="str">
        <f t="shared" si="242"/>
        <v/>
      </c>
      <c r="AQ451" s="58" t="str">
        <f t="shared" si="243"/>
        <v/>
      </c>
      <c r="AR451" s="38">
        <f>'ANR OK vs ML7'!AR451</f>
        <v>0.1</v>
      </c>
      <c r="AS451" s="35" t="str">
        <f t="shared" si="244"/>
        <v/>
      </c>
      <c r="AT451" s="3" t="str">
        <f t="shared" si="245"/>
        <v/>
      </c>
      <c r="AU451" s="3" t="str">
        <f t="shared" si="246"/>
        <v/>
      </c>
      <c r="AW451" s="32" t="str">
        <f t="shared" si="247"/>
        <v/>
      </c>
      <c r="AX451" s="32" t="str">
        <f t="shared" si="248"/>
        <v/>
      </c>
      <c r="AY451" s="32" t="str">
        <f t="shared" si="249"/>
        <v/>
      </c>
      <c r="BA451" s="32" t="str">
        <f>IF($A452="","",F451*Summary!$Q$10)</f>
        <v/>
      </c>
    </row>
    <row r="452" spans="1:53">
      <c r="A452" s="67" t="str">
        <f t="shared" si="250"/>
        <v/>
      </c>
      <c r="B452" s="69" t="str">
        <f t="shared" si="251"/>
        <v/>
      </c>
      <c r="D452" s="69" t="str">
        <f t="shared" si="225"/>
        <v/>
      </c>
      <c r="E452" s="70" t="str">
        <f t="shared" si="226"/>
        <v/>
      </c>
      <c r="F452" s="70" t="str">
        <f t="shared" si="227"/>
        <v/>
      </c>
      <c r="G452" s="63" t="str">
        <f t="shared" si="228"/>
        <v/>
      </c>
      <c r="H452" s="64" t="str">
        <f t="shared" si="229"/>
        <v/>
      </c>
      <c r="J452" s="63" t="str">
        <f t="shared" si="230"/>
        <v/>
      </c>
      <c r="K452" s="64" t="str">
        <f t="shared" si="231"/>
        <v/>
      </c>
      <c r="L452" s="38">
        <v>0</v>
      </c>
      <c r="M452" s="64" t="str">
        <f t="shared" si="232"/>
        <v/>
      </c>
      <c r="O452" s="63" t="str">
        <f t="shared" si="233"/>
        <v/>
      </c>
      <c r="P452" s="63" t="str">
        <f t="shared" si="234"/>
        <v/>
      </c>
      <c r="R452" s="63" t="str">
        <f t="shared" si="235"/>
        <v/>
      </c>
      <c r="S452" s="64" t="str">
        <f t="shared" si="236"/>
        <v/>
      </c>
      <c r="T452" s="63" t="str">
        <f t="shared" si="237"/>
        <v/>
      </c>
      <c r="U452" s="64" t="str">
        <f t="shared" si="238"/>
        <v/>
      </c>
      <c r="V452" s="219" t="str">
        <f>IF($A453="","",IF(AND(MONTH(A452)&gt;3,MONTH(A452)&lt;11),(T452+R452+G452)*Summary!$T$10/(1-Summary!$T$10),(T452+R452+G452)*Summary!$U$10/(1-Summary!$U$10)))</f>
        <v/>
      </c>
      <c r="W452" s="63" t="str">
        <f t="shared" si="239"/>
        <v/>
      </c>
      <c r="X452" s="63" t="str">
        <f t="shared" si="240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1"/>
        <v/>
      </c>
      <c r="AP452" s="33" t="str">
        <f t="shared" si="242"/>
        <v/>
      </c>
      <c r="AQ452" s="58" t="str">
        <f t="shared" si="243"/>
        <v/>
      </c>
      <c r="AR452" s="38">
        <f>'ANR OK vs ML7'!AR452</f>
        <v>0.1</v>
      </c>
      <c r="AS452" s="35" t="str">
        <f t="shared" si="244"/>
        <v/>
      </c>
      <c r="AT452" s="3" t="str">
        <f t="shared" si="245"/>
        <v/>
      </c>
      <c r="AU452" s="3" t="str">
        <f t="shared" si="246"/>
        <v/>
      </c>
      <c r="AW452" s="32" t="str">
        <f t="shared" si="247"/>
        <v/>
      </c>
      <c r="AX452" s="32" t="str">
        <f t="shared" si="248"/>
        <v/>
      </c>
      <c r="AY452" s="32" t="str">
        <f t="shared" si="249"/>
        <v/>
      </c>
      <c r="BA452" s="32" t="str">
        <f>IF($A453="","",F452*Summary!$Q$10)</f>
        <v/>
      </c>
    </row>
    <row r="453" spans="1:53">
      <c r="A453" s="67" t="str">
        <f t="shared" si="250"/>
        <v/>
      </c>
      <c r="B453" s="69" t="str">
        <f t="shared" si="251"/>
        <v/>
      </c>
      <c r="D453" s="69" t="str">
        <f t="shared" si="225"/>
        <v/>
      </c>
      <c r="E453" s="70" t="str">
        <f t="shared" si="226"/>
        <v/>
      </c>
      <c r="F453" s="70" t="str">
        <f t="shared" si="227"/>
        <v/>
      </c>
      <c r="G453" s="63" t="str">
        <f t="shared" si="228"/>
        <v/>
      </c>
      <c r="H453" s="64" t="str">
        <f t="shared" si="229"/>
        <v/>
      </c>
      <c r="J453" s="63" t="str">
        <f t="shared" si="230"/>
        <v/>
      </c>
      <c r="K453" s="64" t="str">
        <f t="shared" si="231"/>
        <v/>
      </c>
      <c r="L453" s="38">
        <v>0</v>
      </c>
      <c r="M453" s="64" t="str">
        <f t="shared" si="232"/>
        <v/>
      </c>
      <c r="O453" s="63" t="str">
        <f t="shared" si="233"/>
        <v/>
      </c>
      <c r="P453" s="63" t="str">
        <f t="shared" si="234"/>
        <v/>
      </c>
      <c r="R453" s="63" t="str">
        <f t="shared" si="235"/>
        <v/>
      </c>
      <c r="S453" s="64" t="str">
        <f t="shared" si="236"/>
        <v/>
      </c>
      <c r="T453" s="63" t="str">
        <f t="shared" si="237"/>
        <v/>
      </c>
      <c r="U453" s="64" t="str">
        <f t="shared" si="238"/>
        <v/>
      </c>
      <c r="V453" s="219" t="str">
        <f>IF($A454="","",IF(AND(MONTH(A453)&gt;3,MONTH(A453)&lt;11),(T453+R453+G453)*Summary!$T$10/(1-Summary!$T$10),(T453+R453+G453)*Summary!$U$10/(1-Summary!$U$10)))</f>
        <v/>
      </c>
      <c r="W453" s="63" t="str">
        <f t="shared" si="239"/>
        <v/>
      </c>
      <c r="X453" s="63" t="str">
        <f t="shared" si="240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1"/>
        <v/>
      </c>
      <c r="AP453" s="33" t="str">
        <f t="shared" si="242"/>
        <v/>
      </c>
      <c r="AQ453" s="58" t="str">
        <f t="shared" si="243"/>
        <v/>
      </c>
      <c r="AR453" s="38">
        <f>'ANR OK vs ML7'!AR453</f>
        <v>0.1</v>
      </c>
      <c r="AS453" s="35" t="str">
        <f t="shared" si="244"/>
        <v/>
      </c>
      <c r="AT453" s="3" t="str">
        <f t="shared" si="245"/>
        <v/>
      </c>
      <c r="AU453" s="3" t="str">
        <f t="shared" si="246"/>
        <v/>
      </c>
      <c r="AW453" s="32" t="str">
        <f t="shared" si="247"/>
        <v/>
      </c>
      <c r="AX453" s="32" t="str">
        <f t="shared" si="248"/>
        <v/>
      </c>
      <c r="AY453" s="32" t="str">
        <f t="shared" si="249"/>
        <v/>
      </c>
      <c r="BA453" s="32" t="str">
        <f>IF($A454="","",F453*Summary!$Q$10)</f>
        <v/>
      </c>
    </row>
    <row r="454" spans="1:53">
      <c r="A454" s="67" t="str">
        <f t="shared" si="250"/>
        <v/>
      </c>
      <c r="B454" s="69" t="str">
        <f t="shared" si="251"/>
        <v/>
      </c>
      <c r="D454" s="69" t="str">
        <f t="shared" si="225"/>
        <v/>
      </c>
      <c r="E454" s="70" t="str">
        <f t="shared" si="226"/>
        <v/>
      </c>
      <c r="F454" s="70" t="str">
        <f t="shared" si="227"/>
        <v/>
      </c>
      <c r="G454" s="63" t="str">
        <f t="shared" si="228"/>
        <v/>
      </c>
      <c r="H454" s="64" t="str">
        <f t="shared" si="229"/>
        <v/>
      </c>
      <c r="J454" s="63" t="str">
        <f t="shared" si="230"/>
        <v/>
      </c>
      <c r="K454" s="64" t="str">
        <f t="shared" si="231"/>
        <v/>
      </c>
      <c r="L454" s="38">
        <v>0</v>
      </c>
      <c r="M454" s="64" t="str">
        <f t="shared" si="232"/>
        <v/>
      </c>
      <c r="O454" s="63" t="str">
        <f t="shared" si="233"/>
        <v/>
      </c>
      <c r="P454" s="63" t="str">
        <f t="shared" si="234"/>
        <v/>
      </c>
      <c r="R454" s="63" t="str">
        <f t="shared" si="235"/>
        <v/>
      </c>
      <c r="S454" s="64" t="str">
        <f t="shared" si="236"/>
        <v/>
      </c>
      <c r="T454" s="63" t="str">
        <f t="shared" si="237"/>
        <v/>
      </c>
      <c r="U454" s="64" t="str">
        <f t="shared" si="238"/>
        <v/>
      </c>
      <c r="V454" s="219" t="str">
        <f>IF($A455="","",IF(AND(MONTH(A454)&gt;3,MONTH(A454)&lt;11),(T454+R454+G454)*Summary!$T$10/(1-Summary!$T$10),(T454+R454+G454)*Summary!$U$10/(1-Summary!$U$10)))</f>
        <v/>
      </c>
      <c r="W454" s="63" t="str">
        <f t="shared" si="239"/>
        <v/>
      </c>
      <c r="X454" s="63" t="str">
        <f t="shared" si="240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1"/>
        <v/>
      </c>
      <c r="AP454" s="33" t="str">
        <f t="shared" si="242"/>
        <v/>
      </c>
      <c r="AQ454" s="58" t="str">
        <f t="shared" si="243"/>
        <v/>
      </c>
      <c r="AR454" s="38">
        <f>'ANR OK vs ML7'!AR454</f>
        <v>0.1</v>
      </c>
      <c r="AS454" s="35" t="str">
        <f t="shared" si="244"/>
        <v/>
      </c>
      <c r="AT454" s="3" t="str">
        <f t="shared" si="245"/>
        <v/>
      </c>
      <c r="AU454" s="3" t="str">
        <f t="shared" si="246"/>
        <v/>
      </c>
      <c r="AW454" s="32" t="str">
        <f t="shared" si="247"/>
        <v/>
      </c>
      <c r="AX454" s="32" t="str">
        <f t="shared" si="248"/>
        <v/>
      </c>
      <c r="AY454" s="32" t="str">
        <f t="shared" si="249"/>
        <v/>
      </c>
      <c r="BA454" s="32" t="str">
        <f>IF($A455="","",F454*Summary!$Q$10)</f>
        <v/>
      </c>
    </row>
    <row r="455" spans="1:53">
      <c r="A455" s="67" t="str">
        <f t="shared" si="250"/>
        <v/>
      </c>
      <c r="B455" s="69" t="str">
        <f t="shared" si="251"/>
        <v/>
      </c>
      <c r="D455" s="69" t="str">
        <f t="shared" si="225"/>
        <v/>
      </c>
      <c r="E455" s="70" t="str">
        <f t="shared" si="226"/>
        <v/>
      </c>
      <c r="F455" s="70" t="str">
        <f t="shared" si="227"/>
        <v/>
      </c>
      <c r="G455" s="63" t="str">
        <f t="shared" si="228"/>
        <v/>
      </c>
      <c r="H455" s="64" t="str">
        <f t="shared" si="229"/>
        <v/>
      </c>
      <c r="J455" s="63" t="str">
        <f t="shared" si="230"/>
        <v/>
      </c>
      <c r="K455" s="64" t="str">
        <f t="shared" si="231"/>
        <v/>
      </c>
      <c r="L455" s="38">
        <v>0</v>
      </c>
      <c r="M455" s="64" t="str">
        <f t="shared" si="232"/>
        <v/>
      </c>
      <c r="O455" s="63" t="str">
        <f t="shared" si="233"/>
        <v/>
      </c>
      <c r="P455" s="63" t="str">
        <f t="shared" si="234"/>
        <v/>
      </c>
      <c r="R455" s="63" t="str">
        <f t="shared" si="235"/>
        <v/>
      </c>
      <c r="S455" s="64" t="str">
        <f t="shared" si="236"/>
        <v/>
      </c>
      <c r="T455" s="63" t="str">
        <f t="shared" si="237"/>
        <v/>
      </c>
      <c r="U455" s="64" t="str">
        <f t="shared" si="238"/>
        <v/>
      </c>
      <c r="V455" s="219" t="str">
        <f>IF($A456="","",IF(AND(MONTH(A455)&gt;3,MONTH(A455)&lt;11),(T455+R455+G455)*Summary!$T$10/(1-Summary!$T$10),(T455+R455+G455)*Summary!$U$10/(1-Summary!$U$10)))</f>
        <v/>
      </c>
      <c r="W455" s="63" t="str">
        <f t="shared" si="239"/>
        <v/>
      </c>
      <c r="X455" s="63" t="str">
        <f t="shared" si="240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1"/>
        <v/>
      </c>
      <c r="AP455" s="33" t="str">
        <f t="shared" si="242"/>
        <v/>
      </c>
      <c r="AQ455" s="58" t="str">
        <f t="shared" si="243"/>
        <v/>
      </c>
      <c r="AR455" s="38">
        <f>'ANR OK vs ML7'!AR455</f>
        <v>0.1</v>
      </c>
      <c r="AS455" s="35" t="str">
        <f t="shared" si="244"/>
        <v/>
      </c>
      <c r="AT455" s="3" t="str">
        <f t="shared" si="245"/>
        <v/>
      </c>
      <c r="AU455" s="3" t="str">
        <f t="shared" si="246"/>
        <v/>
      </c>
      <c r="AW455" s="32" t="str">
        <f t="shared" si="247"/>
        <v/>
      </c>
      <c r="AX455" s="32" t="str">
        <f t="shared" si="248"/>
        <v/>
      </c>
      <c r="AY455" s="32" t="str">
        <f t="shared" si="249"/>
        <v/>
      </c>
      <c r="BA455" s="32" t="str">
        <f>IF($A456="","",F455*Summary!$Q$10)</f>
        <v/>
      </c>
    </row>
    <row r="456" spans="1:53">
      <c r="A456" s="67" t="str">
        <f t="shared" si="250"/>
        <v/>
      </c>
      <c r="B456" s="69" t="str">
        <f t="shared" si="251"/>
        <v/>
      </c>
      <c r="D456" s="69" t="str">
        <f t="shared" si="225"/>
        <v/>
      </c>
      <c r="E456" s="70" t="str">
        <f t="shared" si="226"/>
        <v/>
      </c>
      <c r="F456" s="70" t="str">
        <f t="shared" si="227"/>
        <v/>
      </c>
      <c r="G456" s="63" t="str">
        <f t="shared" si="228"/>
        <v/>
      </c>
      <c r="H456" s="64" t="str">
        <f t="shared" si="229"/>
        <v/>
      </c>
      <c r="J456" s="63" t="str">
        <f t="shared" si="230"/>
        <v/>
      </c>
      <c r="K456" s="64" t="str">
        <f t="shared" si="231"/>
        <v/>
      </c>
      <c r="L456" s="38">
        <v>0</v>
      </c>
      <c r="M456" s="64" t="str">
        <f t="shared" si="232"/>
        <v/>
      </c>
      <c r="O456" s="63" t="str">
        <f t="shared" si="233"/>
        <v/>
      </c>
      <c r="P456" s="63" t="str">
        <f t="shared" si="234"/>
        <v/>
      </c>
      <c r="R456" s="63" t="str">
        <f t="shared" si="235"/>
        <v/>
      </c>
      <c r="S456" s="64" t="str">
        <f t="shared" si="236"/>
        <v/>
      </c>
      <c r="T456" s="63" t="str">
        <f t="shared" si="237"/>
        <v/>
      </c>
      <c r="U456" s="64" t="str">
        <f t="shared" si="238"/>
        <v/>
      </c>
      <c r="V456" s="219" t="str">
        <f>IF($A457="","",IF(AND(MONTH(A456)&gt;3,MONTH(A456)&lt;11),(T456+R456+G456)*Summary!$T$10/(1-Summary!$T$10),(T456+R456+G456)*Summary!$U$10/(1-Summary!$U$10)))</f>
        <v/>
      </c>
      <c r="W456" s="63" t="str">
        <f t="shared" si="239"/>
        <v/>
      </c>
      <c r="X456" s="63" t="str">
        <f t="shared" si="240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1"/>
        <v/>
      </c>
      <c r="AP456" s="33" t="str">
        <f t="shared" si="242"/>
        <v/>
      </c>
      <c r="AQ456" s="58" t="str">
        <f t="shared" si="243"/>
        <v/>
      </c>
      <c r="AR456" s="38">
        <f>'ANR OK vs ML7'!AR456</f>
        <v>0.1</v>
      </c>
      <c r="AS456" s="35" t="str">
        <f t="shared" si="244"/>
        <v/>
      </c>
      <c r="AT456" s="3" t="str">
        <f t="shared" si="245"/>
        <v/>
      </c>
      <c r="AU456" s="3" t="str">
        <f t="shared" si="246"/>
        <v/>
      </c>
      <c r="AW456" s="32" t="str">
        <f t="shared" si="247"/>
        <v/>
      </c>
      <c r="AX456" s="32" t="str">
        <f t="shared" si="248"/>
        <v/>
      </c>
      <c r="AY456" s="32" t="str">
        <f t="shared" si="249"/>
        <v/>
      </c>
      <c r="BA456" s="32" t="str">
        <f>IF($A457="","",F456*Summary!$Q$10)</f>
        <v/>
      </c>
    </row>
    <row r="457" spans="1:53">
      <c r="A457" s="67" t="str">
        <f t="shared" si="250"/>
        <v/>
      </c>
      <c r="B457" s="69" t="str">
        <f t="shared" si="251"/>
        <v/>
      </c>
      <c r="D457" s="69" t="str">
        <f t="shared" si="225"/>
        <v/>
      </c>
      <c r="E457" s="70" t="str">
        <f t="shared" si="226"/>
        <v/>
      </c>
      <c r="F457" s="70" t="str">
        <f t="shared" si="227"/>
        <v/>
      </c>
      <c r="G457" s="63" t="str">
        <f t="shared" si="228"/>
        <v/>
      </c>
      <c r="H457" s="64" t="str">
        <f t="shared" si="229"/>
        <v/>
      </c>
      <c r="J457" s="63" t="str">
        <f t="shared" si="230"/>
        <v/>
      </c>
      <c r="K457" s="64" t="str">
        <f t="shared" si="231"/>
        <v/>
      </c>
      <c r="L457" s="38">
        <v>0</v>
      </c>
      <c r="M457" s="64" t="str">
        <f t="shared" si="232"/>
        <v/>
      </c>
      <c r="O457" s="63" t="str">
        <f t="shared" si="233"/>
        <v/>
      </c>
      <c r="P457" s="63" t="str">
        <f t="shared" si="234"/>
        <v/>
      </c>
      <c r="R457" s="63" t="str">
        <f t="shared" si="235"/>
        <v/>
      </c>
      <c r="S457" s="64" t="str">
        <f t="shared" si="236"/>
        <v/>
      </c>
      <c r="T457" s="63" t="str">
        <f t="shared" si="237"/>
        <v/>
      </c>
      <c r="U457" s="64" t="str">
        <f t="shared" si="238"/>
        <v/>
      </c>
      <c r="V457" s="219" t="str">
        <f>IF($A458="","",IF(AND(MONTH(A457)&gt;3,MONTH(A457)&lt;11),(T457+R457+G457)*Summary!$T$10/(1-Summary!$T$10),(T457+R457+G457)*Summary!$U$10/(1-Summary!$U$10)))</f>
        <v/>
      </c>
      <c r="W457" s="63" t="str">
        <f t="shared" si="239"/>
        <v/>
      </c>
      <c r="X457" s="63" t="str">
        <f t="shared" si="240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1"/>
        <v/>
      </c>
      <c r="AP457" s="33" t="str">
        <f t="shared" si="242"/>
        <v/>
      </c>
      <c r="AQ457" s="58" t="str">
        <f t="shared" si="243"/>
        <v/>
      </c>
      <c r="AR457" s="38">
        <f>'ANR OK vs ML7'!AR457</f>
        <v>0.1</v>
      </c>
      <c r="AS457" s="35" t="str">
        <f t="shared" si="244"/>
        <v/>
      </c>
      <c r="AT457" s="3" t="str">
        <f t="shared" si="245"/>
        <v/>
      </c>
      <c r="AU457" s="3" t="str">
        <f t="shared" si="246"/>
        <v/>
      </c>
      <c r="AW457" s="32" t="str">
        <f t="shared" si="247"/>
        <v/>
      </c>
      <c r="AX457" s="32" t="str">
        <f t="shared" si="248"/>
        <v/>
      </c>
      <c r="AY457" s="32" t="str">
        <f t="shared" si="249"/>
        <v/>
      </c>
      <c r="BA457" s="32" t="str">
        <f>IF($A458="","",F457*Summary!$Q$10)</f>
        <v/>
      </c>
    </row>
    <row r="458" spans="1:53">
      <c r="A458" s="67" t="str">
        <f t="shared" si="250"/>
        <v/>
      </c>
      <c r="B458" s="69" t="str">
        <f t="shared" si="251"/>
        <v/>
      </c>
      <c r="D458" s="69" t="str">
        <f t="shared" ref="D458:D499" si="252">IF(A459&lt;&gt;"",B458+C458,"")</f>
        <v/>
      </c>
      <c r="E458" s="70" t="str">
        <f t="shared" ref="E458:E499" si="253">IF(A459="","",IF(AND(AT458=1,$H$3=1),D458*AO458,IF($H$3=2,D458,"N/A")))</f>
        <v/>
      </c>
      <c r="F458" s="70" t="str">
        <f t="shared" ref="F458:F499" si="254">IF(A459="","",E458*AS458)</f>
        <v/>
      </c>
      <c r="G458" s="63" t="str">
        <f t="shared" ref="G458:G499" si="255">IF($A459="","",VLOOKUP($A458,Table,MATCH(G$4,Curves,0)))</f>
        <v/>
      </c>
      <c r="H458" s="64" t="str">
        <f t="shared" ref="H458:H499" si="256">IF(A459="","",G458)</f>
        <v/>
      </c>
      <c r="J458" s="63" t="str">
        <f t="shared" ref="J458:J499" si="257">IF($A459="","",VLOOKUP($A458,Table,MATCH(J$4,Curves,0)))</f>
        <v/>
      </c>
      <c r="K458" s="64" t="str">
        <f t="shared" ref="K458:K499" si="258">IF(A459="","",J458)</f>
        <v/>
      </c>
      <c r="L458" s="38">
        <v>0</v>
      </c>
      <c r="M458" s="64" t="str">
        <f t="shared" ref="M458:M499" si="259">IF(A459="","",L458)</f>
        <v/>
      </c>
      <c r="O458" s="63" t="str">
        <f t="shared" ref="O458:O499" si="260">IF(A459="","",L458+J458+G458)</f>
        <v/>
      </c>
      <c r="P458" s="63" t="str">
        <f t="shared" ref="P458:P499" si="261">IF(A459="","",M458+K458+H458)</f>
        <v/>
      </c>
      <c r="R458" s="63" t="str">
        <f t="shared" ref="R458:R499" si="262">IF($A459="","",VLOOKUP($A458,Table,MATCH(R$4,Curves,0)))</f>
        <v/>
      </c>
      <c r="S458" s="64" t="str">
        <f t="shared" ref="S458:S499" si="263">IF(A459="","",R458)</f>
        <v/>
      </c>
      <c r="T458" s="63" t="str">
        <f t="shared" ref="T458:T499" si="264">IF($A459="","",VLOOKUP($A458,Table,MATCH(T$4,Curves,0)))</f>
        <v/>
      </c>
      <c r="U458" s="64" t="str">
        <f t="shared" ref="U458:U499" si="265">IF(A459="","",T458)</f>
        <v/>
      </c>
      <c r="V458" s="219" t="str">
        <f>IF($A459="","",IF(AND(MONTH(A458)&gt;3,MONTH(A458)&lt;11),(T458+R458+G458)*Summary!$T$10/(1-Summary!$T$10),(T458+R458+G458)*Summary!$U$10/(1-Summary!$U$10)))</f>
        <v/>
      </c>
      <c r="W458" s="63" t="str">
        <f t="shared" ref="W458:W499" si="266">IF($A459="","",(T458+R458+G458+V458))</f>
        <v/>
      </c>
      <c r="X458" s="63" t="str">
        <f t="shared" ref="X458:X499" si="267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68">IF(A459="","",A459-A458)</f>
        <v/>
      </c>
      <c r="AP458" s="33" t="str">
        <f t="shared" ref="AP458:AP499" si="269">IF(A459="","",CHOOSE(F$3,A459+24,A458))</f>
        <v/>
      </c>
      <c r="AQ458" s="58" t="str">
        <f t="shared" ref="AQ458:AQ499" si="270">IF(A459="","",AP458-$E$1)</f>
        <v/>
      </c>
      <c r="AR458" s="38">
        <f>'ANR OK vs ML7'!AR458</f>
        <v>0.1</v>
      </c>
      <c r="AS458" s="35" t="str">
        <f t="shared" ref="AS458:AS499" si="271">IF(A459="","",1/(1+CHOOSE(F$3,(AR459+($I$3/10000))/2,(AR458+($I$3/10000))/2))^(2*AQ458/365.25))</f>
        <v/>
      </c>
      <c r="AT458" s="3" t="str">
        <f t="shared" ref="AT458:AT499" si="272">IF(A459="","",IF(AND(mthbeg&lt;=A458,mthend&gt;=A458),1,0))</f>
        <v/>
      </c>
      <c r="AU458" s="3" t="str">
        <f t="shared" ref="AU458:AU499" si="273">IF(A459="","",AO458*AT458)</f>
        <v/>
      </c>
      <c r="AW458" s="32" t="str">
        <f t="shared" ref="AW458:AW501" si="274">IF($A459="","",AL458*$E458)</f>
        <v/>
      </c>
      <c r="AX458" s="32" t="str">
        <f t="shared" ref="AX458:AX501" si="275">IF($A459="","",AM458*$E458)</f>
        <v/>
      </c>
      <c r="AY458" s="32" t="str">
        <f t="shared" ref="AY458:AY501" si="276">IF($A459="","",AN458*$E458)</f>
        <v/>
      </c>
      <c r="BA458" s="32" t="str">
        <f>IF($A459="","",F458*Summary!$Q$10)</f>
        <v/>
      </c>
    </row>
    <row r="459" spans="1:53">
      <c r="A459" s="67" t="str">
        <f t="shared" ref="A459:A501" si="277">IF(A458&lt;mthend,EDATE(A458,1),"")</f>
        <v/>
      </c>
      <c r="B459" s="69" t="str">
        <f t="shared" si="251"/>
        <v/>
      </c>
      <c r="D459" s="69" t="str">
        <f t="shared" si="252"/>
        <v/>
      </c>
      <c r="E459" s="70" t="str">
        <f t="shared" si="253"/>
        <v/>
      </c>
      <c r="F459" s="70" t="str">
        <f t="shared" si="254"/>
        <v/>
      </c>
      <c r="G459" s="63" t="str">
        <f t="shared" si="255"/>
        <v/>
      </c>
      <c r="H459" s="64" t="str">
        <f t="shared" si="256"/>
        <v/>
      </c>
      <c r="J459" s="63" t="str">
        <f t="shared" si="257"/>
        <v/>
      </c>
      <c r="K459" s="64" t="str">
        <f t="shared" si="258"/>
        <v/>
      </c>
      <c r="L459" s="38">
        <v>0</v>
      </c>
      <c r="M459" s="64" t="str">
        <f t="shared" si="259"/>
        <v/>
      </c>
      <c r="O459" s="63" t="str">
        <f t="shared" si="260"/>
        <v/>
      </c>
      <c r="P459" s="63" t="str">
        <f t="shared" si="261"/>
        <v/>
      </c>
      <c r="R459" s="63" t="str">
        <f t="shared" si="262"/>
        <v/>
      </c>
      <c r="S459" s="64" t="str">
        <f t="shared" si="263"/>
        <v/>
      </c>
      <c r="T459" s="63" t="str">
        <f t="shared" si="264"/>
        <v/>
      </c>
      <c r="U459" s="64" t="str">
        <f t="shared" si="265"/>
        <v/>
      </c>
      <c r="V459" s="219" t="str">
        <f>IF($A460="","",IF(AND(MONTH(A459)&gt;3,MONTH(A459)&lt;11),(T459+R459+G459)*Summary!$T$10/(1-Summary!$T$10),(T459+R459+G459)*Summary!$U$10/(1-Summary!$U$10)))</f>
        <v/>
      </c>
      <c r="W459" s="63" t="str">
        <f t="shared" si="266"/>
        <v/>
      </c>
      <c r="X459" s="63" t="str">
        <f t="shared" si="267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68"/>
        <v/>
      </c>
      <c r="AP459" s="33" t="str">
        <f t="shared" si="269"/>
        <v/>
      </c>
      <c r="AQ459" s="58" t="str">
        <f t="shared" si="270"/>
        <v/>
      </c>
      <c r="AR459" s="38">
        <f>'ANR OK vs ML7'!AR459</f>
        <v>0.1</v>
      </c>
      <c r="AS459" s="35" t="str">
        <f t="shared" si="271"/>
        <v/>
      </c>
      <c r="AT459" s="3" t="str">
        <f t="shared" si="272"/>
        <v/>
      </c>
      <c r="AU459" s="3" t="str">
        <f t="shared" si="273"/>
        <v/>
      </c>
      <c r="AW459" s="32" t="str">
        <f t="shared" si="274"/>
        <v/>
      </c>
      <c r="AX459" s="32" t="str">
        <f t="shared" si="275"/>
        <v/>
      </c>
      <c r="AY459" s="32" t="str">
        <f t="shared" si="276"/>
        <v/>
      </c>
      <c r="BA459" s="32" t="str">
        <f>IF($A460="","",F459*Summary!$Q$10)</f>
        <v/>
      </c>
    </row>
    <row r="460" spans="1:53">
      <c r="A460" s="67" t="str">
        <f t="shared" si="277"/>
        <v/>
      </c>
      <c r="B460" s="69" t="str">
        <f t="shared" ref="B460:B501" si="278">IF(A460&lt;mthend,B459,"")</f>
        <v/>
      </c>
      <c r="D460" s="69" t="str">
        <f t="shared" si="252"/>
        <v/>
      </c>
      <c r="E460" s="70" t="str">
        <f t="shared" si="253"/>
        <v/>
      </c>
      <c r="F460" s="70" t="str">
        <f t="shared" si="254"/>
        <v/>
      </c>
      <c r="G460" s="63" t="str">
        <f t="shared" si="255"/>
        <v/>
      </c>
      <c r="H460" s="64" t="str">
        <f t="shared" si="256"/>
        <v/>
      </c>
      <c r="J460" s="63" t="str">
        <f t="shared" si="257"/>
        <v/>
      </c>
      <c r="K460" s="64" t="str">
        <f t="shared" si="258"/>
        <v/>
      </c>
      <c r="L460" s="38">
        <v>0</v>
      </c>
      <c r="M460" s="64" t="str">
        <f t="shared" si="259"/>
        <v/>
      </c>
      <c r="O460" s="63" t="str">
        <f t="shared" si="260"/>
        <v/>
      </c>
      <c r="P460" s="63" t="str">
        <f t="shared" si="261"/>
        <v/>
      </c>
      <c r="R460" s="63" t="str">
        <f t="shared" si="262"/>
        <v/>
      </c>
      <c r="S460" s="64" t="str">
        <f t="shared" si="263"/>
        <v/>
      </c>
      <c r="T460" s="63" t="str">
        <f t="shared" si="264"/>
        <v/>
      </c>
      <c r="U460" s="64" t="str">
        <f t="shared" si="265"/>
        <v/>
      </c>
      <c r="V460" s="219" t="str">
        <f>IF($A461="","",IF(AND(MONTH(A460)&gt;3,MONTH(A460)&lt;11),(T460+R460+G460)*Summary!$T$10/(1-Summary!$T$10),(T460+R460+G460)*Summary!$U$10/(1-Summary!$U$10)))</f>
        <v/>
      </c>
      <c r="W460" s="63" t="str">
        <f t="shared" si="266"/>
        <v/>
      </c>
      <c r="X460" s="63" t="str">
        <f t="shared" si="267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68"/>
        <v/>
      </c>
      <c r="AP460" s="33" t="str">
        <f t="shared" si="269"/>
        <v/>
      </c>
      <c r="AQ460" s="58" t="str">
        <f t="shared" si="270"/>
        <v/>
      </c>
      <c r="AR460" s="38">
        <f>'ANR OK vs ML7'!AR460</f>
        <v>0.1</v>
      </c>
      <c r="AS460" s="35" t="str">
        <f t="shared" si="271"/>
        <v/>
      </c>
      <c r="AT460" s="3" t="str">
        <f t="shared" si="272"/>
        <v/>
      </c>
      <c r="AU460" s="3" t="str">
        <f t="shared" si="273"/>
        <v/>
      </c>
      <c r="AW460" s="32" t="str">
        <f t="shared" si="274"/>
        <v/>
      </c>
      <c r="AX460" s="32" t="str">
        <f t="shared" si="275"/>
        <v/>
      </c>
      <c r="AY460" s="32" t="str">
        <f t="shared" si="276"/>
        <v/>
      </c>
      <c r="BA460" s="32" t="str">
        <f>IF($A461="","",F460*Summary!$Q$10)</f>
        <v/>
      </c>
    </row>
    <row r="461" spans="1:53">
      <c r="A461" s="67" t="str">
        <f t="shared" si="277"/>
        <v/>
      </c>
      <c r="B461" s="69" t="str">
        <f t="shared" si="278"/>
        <v/>
      </c>
      <c r="D461" s="69" t="str">
        <f t="shared" si="252"/>
        <v/>
      </c>
      <c r="E461" s="70" t="str">
        <f t="shared" si="253"/>
        <v/>
      </c>
      <c r="F461" s="70" t="str">
        <f t="shared" si="254"/>
        <v/>
      </c>
      <c r="G461" s="63" t="str">
        <f t="shared" si="255"/>
        <v/>
      </c>
      <c r="H461" s="64" t="str">
        <f t="shared" si="256"/>
        <v/>
      </c>
      <c r="J461" s="63" t="str">
        <f t="shared" si="257"/>
        <v/>
      </c>
      <c r="K461" s="64" t="str">
        <f t="shared" si="258"/>
        <v/>
      </c>
      <c r="L461" s="38">
        <v>0</v>
      </c>
      <c r="M461" s="64" t="str">
        <f t="shared" si="259"/>
        <v/>
      </c>
      <c r="O461" s="63" t="str">
        <f t="shared" si="260"/>
        <v/>
      </c>
      <c r="P461" s="63" t="str">
        <f t="shared" si="261"/>
        <v/>
      </c>
      <c r="R461" s="63" t="str">
        <f t="shared" si="262"/>
        <v/>
      </c>
      <c r="S461" s="64" t="str">
        <f t="shared" si="263"/>
        <v/>
      </c>
      <c r="T461" s="63" t="str">
        <f t="shared" si="264"/>
        <v/>
      </c>
      <c r="U461" s="64" t="str">
        <f t="shared" si="265"/>
        <v/>
      </c>
      <c r="V461" s="219" t="str">
        <f>IF($A462="","",IF(AND(MONTH(A461)&gt;3,MONTH(A461)&lt;11),(T461+R461+G461)*Summary!$T$10/(1-Summary!$T$10),(T461+R461+G461)*Summary!$U$10/(1-Summary!$U$10)))</f>
        <v/>
      </c>
      <c r="W461" s="63" t="str">
        <f t="shared" si="266"/>
        <v/>
      </c>
      <c r="X461" s="63" t="str">
        <f t="shared" si="267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68"/>
        <v/>
      </c>
      <c r="AP461" s="33" t="str">
        <f t="shared" si="269"/>
        <v/>
      </c>
      <c r="AQ461" s="58" t="str">
        <f t="shared" si="270"/>
        <v/>
      </c>
      <c r="AR461" s="38">
        <f>'ANR OK vs ML7'!AR461</f>
        <v>0.1</v>
      </c>
      <c r="AS461" s="35" t="str">
        <f t="shared" si="271"/>
        <v/>
      </c>
      <c r="AT461" s="3" t="str">
        <f t="shared" si="272"/>
        <v/>
      </c>
      <c r="AU461" s="3" t="str">
        <f t="shared" si="273"/>
        <v/>
      </c>
      <c r="AW461" s="32" t="str">
        <f t="shared" si="274"/>
        <v/>
      </c>
      <c r="AX461" s="32" t="str">
        <f t="shared" si="275"/>
        <v/>
      </c>
      <c r="AY461" s="32" t="str">
        <f t="shared" si="276"/>
        <v/>
      </c>
      <c r="BA461" s="32" t="str">
        <f>IF($A462="","",F461*Summary!$Q$10)</f>
        <v/>
      </c>
    </row>
    <row r="462" spans="1:53">
      <c r="A462" s="67" t="str">
        <f t="shared" si="277"/>
        <v/>
      </c>
      <c r="B462" s="69" t="str">
        <f t="shared" si="278"/>
        <v/>
      </c>
      <c r="D462" s="69" t="str">
        <f t="shared" si="252"/>
        <v/>
      </c>
      <c r="E462" s="70" t="str">
        <f t="shared" si="253"/>
        <v/>
      </c>
      <c r="F462" s="70" t="str">
        <f t="shared" si="254"/>
        <v/>
      </c>
      <c r="G462" s="63" t="str">
        <f t="shared" si="255"/>
        <v/>
      </c>
      <c r="H462" s="64" t="str">
        <f t="shared" si="256"/>
        <v/>
      </c>
      <c r="J462" s="63" t="str">
        <f t="shared" si="257"/>
        <v/>
      </c>
      <c r="K462" s="64" t="str">
        <f t="shared" si="258"/>
        <v/>
      </c>
      <c r="L462" s="38">
        <v>0</v>
      </c>
      <c r="M462" s="64" t="str">
        <f t="shared" si="259"/>
        <v/>
      </c>
      <c r="O462" s="63" t="str">
        <f t="shared" si="260"/>
        <v/>
      </c>
      <c r="P462" s="63" t="str">
        <f t="shared" si="261"/>
        <v/>
      </c>
      <c r="R462" s="63" t="str">
        <f t="shared" si="262"/>
        <v/>
      </c>
      <c r="S462" s="64" t="str">
        <f t="shared" si="263"/>
        <v/>
      </c>
      <c r="T462" s="63" t="str">
        <f t="shared" si="264"/>
        <v/>
      </c>
      <c r="U462" s="64" t="str">
        <f t="shared" si="265"/>
        <v/>
      </c>
      <c r="V462" s="219" t="str">
        <f>IF($A463="","",IF(AND(MONTH(A462)&gt;3,MONTH(A462)&lt;11),(T462+R462+G462)*Summary!$T$10/(1-Summary!$T$10),(T462+R462+G462)*Summary!$U$10/(1-Summary!$U$10)))</f>
        <v/>
      </c>
      <c r="W462" s="63" t="str">
        <f t="shared" si="266"/>
        <v/>
      </c>
      <c r="X462" s="63" t="str">
        <f t="shared" si="267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68"/>
        <v/>
      </c>
      <c r="AP462" s="33" t="str">
        <f t="shared" si="269"/>
        <v/>
      </c>
      <c r="AQ462" s="58" t="str">
        <f t="shared" si="270"/>
        <v/>
      </c>
      <c r="AR462" s="38">
        <f>'ANR OK vs ML7'!AR462</f>
        <v>0.1</v>
      </c>
      <c r="AS462" s="35" t="str">
        <f t="shared" si="271"/>
        <v/>
      </c>
      <c r="AT462" s="3" t="str">
        <f t="shared" si="272"/>
        <v/>
      </c>
      <c r="AU462" s="3" t="str">
        <f t="shared" si="273"/>
        <v/>
      </c>
      <c r="AW462" s="32" t="str">
        <f t="shared" si="274"/>
        <v/>
      </c>
      <c r="AX462" s="32" t="str">
        <f t="shared" si="275"/>
        <v/>
      </c>
      <c r="AY462" s="32" t="str">
        <f t="shared" si="276"/>
        <v/>
      </c>
      <c r="BA462" s="32" t="str">
        <f>IF($A463="","",F462*Summary!$Q$10)</f>
        <v/>
      </c>
    </row>
    <row r="463" spans="1:53">
      <c r="A463" s="67" t="str">
        <f t="shared" si="277"/>
        <v/>
      </c>
      <c r="B463" s="69" t="str">
        <f t="shared" si="278"/>
        <v/>
      </c>
      <c r="D463" s="69" t="str">
        <f t="shared" si="252"/>
        <v/>
      </c>
      <c r="E463" s="70" t="str">
        <f t="shared" si="253"/>
        <v/>
      </c>
      <c r="F463" s="70" t="str">
        <f t="shared" si="254"/>
        <v/>
      </c>
      <c r="G463" s="63" t="str">
        <f t="shared" si="255"/>
        <v/>
      </c>
      <c r="H463" s="64" t="str">
        <f t="shared" si="256"/>
        <v/>
      </c>
      <c r="J463" s="63" t="str">
        <f t="shared" si="257"/>
        <v/>
      </c>
      <c r="K463" s="64" t="str">
        <f t="shared" si="258"/>
        <v/>
      </c>
      <c r="L463" s="38">
        <v>0</v>
      </c>
      <c r="M463" s="64" t="str">
        <f t="shared" si="259"/>
        <v/>
      </c>
      <c r="O463" s="63" t="str">
        <f t="shared" si="260"/>
        <v/>
      </c>
      <c r="P463" s="63" t="str">
        <f t="shared" si="261"/>
        <v/>
      </c>
      <c r="R463" s="63" t="str">
        <f t="shared" si="262"/>
        <v/>
      </c>
      <c r="S463" s="64" t="str">
        <f t="shared" si="263"/>
        <v/>
      </c>
      <c r="T463" s="63" t="str">
        <f t="shared" si="264"/>
        <v/>
      </c>
      <c r="U463" s="64" t="str">
        <f t="shared" si="265"/>
        <v/>
      </c>
      <c r="V463" s="219" t="str">
        <f>IF($A464="","",IF(AND(MONTH(A463)&gt;3,MONTH(A463)&lt;11),(T463+R463+G463)*Summary!$T$10/(1-Summary!$T$10),(T463+R463+G463)*Summary!$U$10/(1-Summary!$U$10)))</f>
        <v/>
      </c>
      <c r="W463" s="63" t="str">
        <f t="shared" si="266"/>
        <v/>
      </c>
      <c r="X463" s="63" t="str">
        <f t="shared" si="267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68"/>
        <v/>
      </c>
      <c r="AP463" s="33" t="str">
        <f t="shared" si="269"/>
        <v/>
      </c>
      <c r="AQ463" s="58" t="str">
        <f t="shared" si="270"/>
        <v/>
      </c>
      <c r="AR463" s="38">
        <f>'ANR OK vs ML7'!AR463</f>
        <v>0.1</v>
      </c>
      <c r="AS463" s="35" t="str">
        <f t="shared" si="271"/>
        <v/>
      </c>
      <c r="AT463" s="3" t="str">
        <f t="shared" si="272"/>
        <v/>
      </c>
      <c r="AU463" s="3" t="str">
        <f t="shared" si="273"/>
        <v/>
      </c>
      <c r="AW463" s="32" t="str">
        <f t="shared" si="274"/>
        <v/>
      </c>
      <c r="AX463" s="32" t="str">
        <f t="shared" si="275"/>
        <v/>
      </c>
      <c r="AY463" s="32" t="str">
        <f t="shared" si="276"/>
        <v/>
      </c>
      <c r="BA463" s="32" t="str">
        <f>IF($A464="","",F463*Summary!$Q$10)</f>
        <v/>
      </c>
    </row>
    <row r="464" spans="1:53">
      <c r="A464" s="67" t="str">
        <f t="shared" si="277"/>
        <v/>
      </c>
      <c r="B464" s="69" t="str">
        <f t="shared" si="278"/>
        <v/>
      </c>
      <c r="D464" s="69" t="str">
        <f t="shared" si="252"/>
        <v/>
      </c>
      <c r="E464" s="70" t="str">
        <f t="shared" si="253"/>
        <v/>
      </c>
      <c r="F464" s="70" t="str">
        <f t="shared" si="254"/>
        <v/>
      </c>
      <c r="G464" s="63" t="str">
        <f t="shared" si="255"/>
        <v/>
      </c>
      <c r="H464" s="64" t="str">
        <f t="shared" si="256"/>
        <v/>
      </c>
      <c r="J464" s="63" t="str">
        <f t="shared" si="257"/>
        <v/>
      </c>
      <c r="K464" s="64" t="str">
        <f t="shared" si="258"/>
        <v/>
      </c>
      <c r="L464" s="38">
        <v>0</v>
      </c>
      <c r="M464" s="64" t="str">
        <f t="shared" si="259"/>
        <v/>
      </c>
      <c r="O464" s="63" t="str">
        <f t="shared" si="260"/>
        <v/>
      </c>
      <c r="P464" s="63" t="str">
        <f t="shared" si="261"/>
        <v/>
      </c>
      <c r="R464" s="63" t="str">
        <f t="shared" si="262"/>
        <v/>
      </c>
      <c r="S464" s="64" t="str">
        <f t="shared" si="263"/>
        <v/>
      </c>
      <c r="T464" s="63" t="str">
        <f t="shared" si="264"/>
        <v/>
      </c>
      <c r="U464" s="64" t="str">
        <f t="shared" si="265"/>
        <v/>
      </c>
      <c r="V464" s="219" t="str">
        <f>IF($A465="","",IF(AND(MONTH(A464)&gt;3,MONTH(A464)&lt;11),(T464+R464+G464)*Summary!$T$10/(1-Summary!$T$10),(T464+R464+G464)*Summary!$U$10/(1-Summary!$U$10)))</f>
        <v/>
      </c>
      <c r="W464" s="63" t="str">
        <f t="shared" si="266"/>
        <v/>
      </c>
      <c r="X464" s="63" t="str">
        <f t="shared" si="267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68"/>
        <v/>
      </c>
      <c r="AP464" s="33" t="str">
        <f t="shared" si="269"/>
        <v/>
      </c>
      <c r="AQ464" s="58" t="str">
        <f t="shared" si="270"/>
        <v/>
      </c>
      <c r="AR464" s="38">
        <f>'ANR OK vs ML7'!AR464</f>
        <v>0.1</v>
      </c>
      <c r="AS464" s="35" t="str">
        <f t="shared" si="271"/>
        <v/>
      </c>
      <c r="AT464" s="3" t="str">
        <f t="shared" si="272"/>
        <v/>
      </c>
      <c r="AU464" s="3" t="str">
        <f t="shared" si="273"/>
        <v/>
      </c>
      <c r="AW464" s="32" t="str">
        <f t="shared" si="274"/>
        <v/>
      </c>
      <c r="AX464" s="32" t="str">
        <f t="shared" si="275"/>
        <v/>
      </c>
      <c r="AY464" s="32" t="str">
        <f t="shared" si="276"/>
        <v/>
      </c>
      <c r="BA464" s="32" t="str">
        <f>IF($A465="","",F464*Summary!$Q$10)</f>
        <v/>
      </c>
    </row>
    <row r="465" spans="1:53">
      <c r="A465" s="67" t="str">
        <f t="shared" si="277"/>
        <v/>
      </c>
      <c r="B465" s="69" t="str">
        <f t="shared" si="278"/>
        <v/>
      </c>
      <c r="D465" s="69" t="str">
        <f t="shared" si="252"/>
        <v/>
      </c>
      <c r="E465" s="70" t="str">
        <f t="shared" si="253"/>
        <v/>
      </c>
      <c r="F465" s="70" t="str">
        <f t="shared" si="254"/>
        <v/>
      </c>
      <c r="G465" s="63" t="str">
        <f t="shared" si="255"/>
        <v/>
      </c>
      <c r="H465" s="64" t="str">
        <f t="shared" si="256"/>
        <v/>
      </c>
      <c r="J465" s="63" t="str">
        <f t="shared" si="257"/>
        <v/>
      </c>
      <c r="K465" s="64" t="str">
        <f t="shared" si="258"/>
        <v/>
      </c>
      <c r="L465" s="38">
        <v>0</v>
      </c>
      <c r="M465" s="64" t="str">
        <f t="shared" si="259"/>
        <v/>
      </c>
      <c r="O465" s="63" t="str">
        <f t="shared" si="260"/>
        <v/>
      </c>
      <c r="P465" s="63" t="str">
        <f t="shared" si="261"/>
        <v/>
      </c>
      <c r="R465" s="63" t="str">
        <f t="shared" si="262"/>
        <v/>
      </c>
      <c r="S465" s="64" t="str">
        <f t="shared" si="263"/>
        <v/>
      </c>
      <c r="T465" s="63" t="str">
        <f t="shared" si="264"/>
        <v/>
      </c>
      <c r="U465" s="64" t="str">
        <f t="shared" si="265"/>
        <v/>
      </c>
      <c r="V465" s="219" t="str">
        <f>IF($A466="","",IF(AND(MONTH(A465)&gt;3,MONTH(A465)&lt;11),(T465+R465+G465)*Summary!$T$10/(1-Summary!$T$10),(T465+R465+G465)*Summary!$U$10/(1-Summary!$U$10)))</f>
        <v/>
      </c>
      <c r="W465" s="63" t="str">
        <f t="shared" si="266"/>
        <v/>
      </c>
      <c r="X465" s="63" t="str">
        <f t="shared" si="267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68"/>
        <v/>
      </c>
      <c r="AP465" s="33" t="str">
        <f t="shared" si="269"/>
        <v/>
      </c>
      <c r="AQ465" s="58" t="str">
        <f t="shared" si="270"/>
        <v/>
      </c>
      <c r="AR465" s="38">
        <f>'ANR OK vs ML7'!AR465</f>
        <v>0.1</v>
      </c>
      <c r="AS465" s="35" t="str">
        <f t="shared" si="271"/>
        <v/>
      </c>
      <c r="AT465" s="3" t="str">
        <f t="shared" si="272"/>
        <v/>
      </c>
      <c r="AU465" s="3" t="str">
        <f t="shared" si="273"/>
        <v/>
      </c>
      <c r="AW465" s="32" t="str">
        <f t="shared" si="274"/>
        <v/>
      </c>
      <c r="AX465" s="32" t="str">
        <f t="shared" si="275"/>
        <v/>
      </c>
      <c r="AY465" s="32" t="str">
        <f t="shared" si="276"/>
        <v/>
      </c>
      <c r="BA465" s="32" t="str">
        <f>IF($A466="","",F465*Summary!$Q$10)</f>
        <v/>
      </c>
    </row>
    <row r="466" spans="1:53">
      <c r="A466" s="67" t="str">
        <f t="shared" si="277"/>
        <v/>
      </c>
      <c r="B466" s="69" t="str">
        <f t="shared" si="278"/>
        <v/>
      </c>
      <c r="D466" s="69" t="str">
        <f t="shared" si="252"/>
        <v/>
      </c>
      <c r="E466" s="70" t="str">
        <f t="shared" si="253"/>
        <v/>
      </c>
      <c r="F466" s="70" t="str">
        <f t="shared" si="254"/>
        <v/>
      </c>
      <c r="G466" s="63" t="str">
        <f t="shared" si="255"/>
        <v/>
      </c>
      <c r="H466" s="64" t="str">
        <f t="shared" si="256"/>
        <v/>
      </c>
      <c r="J466" s="63" t="str">
        <f t="shared" si="257"/>
        <v/>
      </c>
      <c r="K466" s="64" t="str">
        <f t="shared" si="258"/>
        <v/>
      </c>
      <c r="L466" s="38">
        <v>0</v>
      </c>
      <c r="M466" s="64" t="str">
        <f t="shared" si="259"/>
        <v/>
      </c>
      <c r="O466" s="63" t="str">
        <f t="shared" si="260"/>
        <v/>
      </c>
      <c r="P466" s="63" t="str">
        <f t="shared" si="261"/>
        <v/>
      </c>
      <c r="R466" s="63" t="str">
        <f t="shared" si="262"/>
        <v/>
      </c>
      <c r="S466" s="64" t="str">
        <f t="shared" si="263"/>
        <v/>
      </c>
      <c r="T466" s="63" t="str">
        <f t="shared" si="264"/>
        <v/>
      </c>
      <c r="U466" s="64" t="str">
        <f t="shared" si="265"/>
        <v/>
      </c>
      <c r="V466" s="219" t="str">
        <f>IF($A467="","",IF(AND(MONTH(A466)&gt;3,MONTH(A466)&lt;11),(T466+R466+G466)*Summary!$T$10/(1-Summary!$T$10),(T466+R466+G466)*Summary!$U$10/(1-Summary!$U$10)))</f>
        <v/>
      </c>
      <c r="W466" s="63" t="str">
        <f t="shared" si="266"/>
        <v/>
      </c>
      <c r="X466" s="63" t="str">
        <f t="shared" si="267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68"/>
        <v/>
      </c>
      <c r="AP466" s="33" t="str">
        <f t="shared" si="269"/>
        <v/>
      </c>
      <c r="AQ466" s="58" t="str">
        <f t="shared" si="270"/>
        <v/>
      </c>
      <c r="AR466" s="38">
        <f>'ANR OK vs ML7'!AR466</f>
        <v>0.1</v>
      </c>
      <c r="AS466" s="35" t="str">
        <f t="shared" si="271"/>
        <v/>
      </c>
      <c r="AT466" s="3" t="str">
        <f t="shared" si="272"/>
        <v/>
      </c>
      <c r="AU466" s="3" t="str">
        <f t="shared" si="273"/>
        <v/>
      </c>
      <c r="AW466" s="32" t="str">
        <f t="shared" si="274"/>
        <v/>
      </c>
      <c r="AX466" s="32" t="str">
        <f t="shared" si="275"/>
        <v/>
      </c>
      <c r="AY466" s="32" t="str">
        <f t="shared" si="276"/>
        <v/>
      </c>
      <c r="BA466" s="32" t="str">
        <f>IF($A467="","",F466*Summary!$Q$10)</f>
        <v/>
      </c>
    </row>
    <row r="467" spans="1:53">
      <c r="A467" s="67" t="str">
        <f t="shared" si="277"/>
        <v/>
      </c>
      <c r="B467" s="69" t="str">
        <f t="shared" si="278"/>
        <v/>
      </c>
      <c r="D467" s="69" t="str">
        <f t="shared" si="252"/>
        <v/>
      </c>
      <c r="E467" s="70" t="str">
        <f t="shared" si="253"/>
        <v/>
      </c>
      <c r="F467" s="70" t="str">
        <f t="shared" si="254"/>
        <v/>
      </c>
      <c r="G467" s="63" t="str">
        <f t="shared" si="255"/>
        <v/>
      </c>
      <c r="H467" s="64" t="str">
        <f t="shared" si="256"/>
        <v/>
      </c>
      <c r="J467" s="63" t="str">
        <f t="shared" si="257"/>
        <v/>
      </c>
      <c r="K467" s="64" t="str">
        <f t="shared" si="258"/>
        <v/>
      </c>
      <c r="L467" s="38">
        <v>0</v>
      </c>
      <c r="M467" s="64" t="str">
        <f t="shared" si="259"/>
        <v/>
      </c>
      <c r="O467" s="63" t="str">
        <f t="shared" si="260"/>
        <v/>
      </c>
      <c r="P467" s="63" t="str">
        <f t="shared" si="261"/>
        <v/>
      </c>
      <c r="R467" s="63" t="str">
        <f t="shared" si="262"/>
        <v/>
      </c>
      <c r="S467" s="64" t="str">
        <f t="shared" si="263"/>
        <v/>
      </c>
      <c r="T467" s="63" t="str">
        <f t="shared" si="264"/>
        <v/>
      </c>
      <c r="U467" s="64" t="str">
        <f t="shared" si="265"/>
        <v/>
      </c>
      <c r="V467" s="219" t="str">
        <f>IF($A468="","",IF(AND(MONTH(A467)&gt;3,MONTH(A467)&lt;11),(T467+R467+G467)*Summary!$T$10/(1-Summary!$T$10),(T467+R467+G467)*Summary!$U$10/(1-Summary!$U$10)))</f>
        <v/>
      </c>
      <c r="W467" s="63" t="str">
        <f t="shared" si="266"/>
        <v/>
      </c>
      <c r="X467" s="63" t="str">
        <f t="shared" si="267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68"/>
        <v/>
      </c>
      <c r="AP467" s="33" t="str">
        <f t="shared" si="269"/>
        <v/>
      </c>
      <c r="AQ467" s="58" t="str">
        <f t="shared" si="270"/>
        <v/>
      </c>
      <c r="AR467" s="38">
        <f>'ANR OK vs ML7'!AR467</f>
        <v>0.1</v>
      </c>
      <c r="AS467" s="35" t="str">
        <f t="shared" si="271"/>
        <v/>
      </c>
      <c r="AT467" s="3" t="str">
        <f t="shared" si="272"/>
        <v/>
      </c>
      <c r="AU467" s="3" t="str">
        <f t="shared" si="273"/>
        <v/>
      </c>
      <c r="AW467" s="32" t="str">
        <f t="shared" si="274"/>
        <v/>
      </c>
      <c r="AX467" s="32" t="str">
        <f t="shared" si="275"/>
        <v/>
      </c>
      <c r="AY467" s="32" t="str">
        <f t="shared" si="276"/>
        <v/>
      </c>
      <c r="BA467" s="32" t="str">
        <f>IF($A468="","",F467*Summary!$Q$10)</f>
        <v/>
      </c>
    </row>
    <row r="468" spans="1:53">
      <c r="A468" s="67" t="str">
        <f t="shared" si="277"/>
        <v/>
      </c>
      <c r="B468" s="69" t="str">
        <f t="shared" si="278"/>
        <v/>
      </c>
      <c r="D468" s="69" t="str">
        <f t="shared" si="252"/>
        <v/>
      </c>
      <c r="E468" s="70" t="str">
        <f t="shared" si="253"/>
        <v/>
      </c>
      <c r="F468" s="70" t="str">
        <f t="shared" si="254"/>
        <v/>
      </c>
      <c r="G468" s="63" t="str">
        <f t="shared" si="255"/>
        <v/>
      </c>
      <c r="H468" s="64" t="str">
        <f t="shared" si="256"/>
        <v/>
      </c>
      <c r="J468" s="63" t="str">
        <f t="shared" si="257"/>
        <v/>
      </c>
      <c r="K468" s="64" t="str">
        <f t="shared" si="258"/>
        <v/>
      </c>
      <c r="L468" s="38">
        <v>0</v>
      </c>
      <c r="M468" s="64" t="str">
        <f t="shared" si="259"/>
        <v/>
      </c>
      <c r="O468" s="63" t="str">
        <f t="shared" si="260"/>
        <v/>
      </c>
      <c r="P468" s="63" t="str">
        <f t="shared" si="261"/>
        <v/>
      </c>
      <c r="R468" s="63" t="str">
        <f t="shared" si="262"/>
        <v/>
      </c>
      <c r="S468" s="64" t="str">
        <f t="shared" si="263"/>
        <v/>
      </c>
      <c r="T468" s="63" t="str">
        <f t="shared" si="264"/>
        <v/>
      </c>
      <c r="U468" s="64" t="str">
        <f t="shared" si="265"/>
        <v/>
      </c>
      <c r="V468" s="219" t="str">
        <f>IF($A469="","",IF(AND(MONTH(A468)&gt;3,MONTH(A468)&lt;11),(T468+R468+G468)*Summary!$T$10/(1-Summary!$T$10),(T468+R468+G468)*Summary!$U$10/(1-Summary!$U$10)))</f>
        <v/>
      </c>
      <c r="W468" s="63" t="str">
        <f t="shared" si="266"/>
        <v/>
      </c>
      <c r="X468" s="63" t="str">
        <f t="shared" si="267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68"/>
        <v/>
      </c>
      <c r="AP468" s="33" t="str">
        <f t="shared" si="269"/>
        <v/>
      </c>
      <c r="AQ468" s="58" t="str">
        <f t="shared" si="270"/>
        <v/>
      </c>
      <c r="AR468" s="38">
        <f>'ANR OK vs ML7'!AR468</f>
        <v>0.1</v>
      </c>
      <c r="AS468" s="35" t="str">
        <f t="shared" si="271"/>
        <v/>
      </c>
      <c r="AT468" s="3" t="str">
        <f t="shared" si="272"/>
        <v/>
      </c>
      <c r="AU468" s="3" t="str">
        <f t="shared" si="273"/>
        <v/>
      </c>
      <c r="AW468" s="32" t="str">
        <f t="shared" si="274"/>
        <v/>
      </c>
      <c r="AX468" s="32" t="str">
        <f t="shared" si="275"/>
        <v/>
      </c>
      <c r="AY468" s="32" t="str">
        <f t="shared" si="276"/>
        <v/>
      </c>
      <c r="BA468" s="32" t="str">
        <f>IF($A469="","",F468*Summary!$Q$10)</f>
        <v/>
      </c>
    </row>
    <row r="469" spans="1:53">
      <c r="A469" s="67" t="str">
        <f t="shared" si="277"/>
        <v/>
      </c>
      <c r="B469" s="69" t="str">
        <f t="shared" si="278"/>
        <v/>
      </c>
      <c r="D469" s="69" t="str">
        <f t="shared" si="252"/>
        <v/>
      </c>
      <c r="E469" s="70" t="str">
        <f t="shared" si="253"/>
        <v/>
      </c>
      <c r="F469" s="70" t="str">
        <f t="shared" si="254"/>
        <v/>
      </c>
      <c r="G469" s="63" t="str">
        <f t="shared" si="255"/>
        <v/>
      </c>
      <c r="H469" s="64" t="str">
        <f t="shared" si="256"/>
        <v/>
      </c>
      <c r="J469" s="63" t="str">
        <f t="shared" si="257"/>
        <v/>
      </c>
      <c r="K469" s="64" t="str">
        <f t="shared" si="258"/>
        <v/>
      </c>
      <c r="L469" s="38">
        <v>0</v>
      </c>
      <c r="M469" s="64" t="str">
        <f t="shared" si="259"/>
        <v/>
      </c>
      <c r="O469" s="63" t="str">
        <f t="shared" si="260"/>
        <v/>
      </c>
      <c r="P469" s="63" t="str">
        <f t="shared" si="261"/>
        <v/>
      </c>
      <c r="R469" s="63" t="str">
        <f t="shared" si="262"/>
        <v/>
      </c>
      <c r="S469" s="64" t="str">
        <f t="shared" si="263"/>
        <v/>
      </c>
      <c r="T469" s="63" t="str">
        <f t="shared" si="264"/>
        <v/>
      </c>
      <c r="U469" s="64" t="str">
        <f t="shared" si="265"/>
        <v/>
      </c>
      <c r="V469" s="219" t="str">
        <f>IF($A470="","",IF(AND(MONTH(A469)&gt;3,MONTH(A469)&lt;11),(T469+R469+G469)*Summary!$T$10/(1-Summary!$T$10),(T469+R469+G469)*Summary!$U$10/(1-Summary!$U$10)))</f>
        <v/>
      </c>
      <c r="W469" s="63" t="str">
        <f t="shared" si="266"/>
        <v/>
      </c>
      <c r="X469" s="63" t="str">
        <f t="shared" si="267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68"/>
        <v/>
      </c>
      <c r="AP469" s="33" t="str">
        <f t="shared" si="269"/>
        <v/>
      </c>
      <c r="AQ469" s="58" t="str">
        <f t="shared" si="270"/>
        <v/>
      </c>
      <c r="AR469" s="38">
        <f>'ANR OK vs ML7'!AR469</f>
        <v>0.1</v>
      </c>
      <c r="AS469" s="35" t="str">
        <f t="shared" si="271"/>
        <v/>
      </c>
      <c r="AT469" s="3" t="str">
        <f t="shared" si="272"/>
        <v/>
      </c>
      <c r="AU469" s="3" t="str">
        <f t="shared" si="273"/>
        <v/>
      </c>
      <c r="AW469" s="32" t="str">
        <f t="shared" si="274"/>
        <v/>
      </c>
      <c r="AX469" s="32" t="str">
        <f t="shared" si="275"/>
        <v/>
      </c>
      <c r="AY469" s="32" t="str">
        <f t="shared" si="276"/>
        <v/>
      </c>
      <c r="BA469" s="32" t="str">
        <f>IF($A470="","",F469*Summary!$Q$10)</f>
        <v/>
      </c>
    </row>
    <row r="470" spans="1:53">
      <c r="A470" s="67" t="str">
        <f t="shared" si="277"/>
        <v/>
      </c>
      <c r="B470" s="69" t="str">
        <f t="shared" si="278"/>
        <v/>
      </c>
      <c r="D470" s="69" t="str">
        <f t="shared" si="252"/>
        <v/>
      </c>
      <c r="E470" s="70" t="str">
        <f t="shared" si="253"/>
        <v/>
      </c>
      <c r="F470" s="70" t="str">
        <f t="shared" si="254"/>
        <v/>
      </c>
      <c r="G470" s="63" t="str">
        <f t="shared" si="255"/>
        <v/>
      </c>
      <c r="H470" s="64" t="str">
        <f t="shared" si="256"/>
        <v/>
      </c>
      <c r="J470" s="63" t="str">
        <f t="shared" si="257"/>
        <v/>
      </c>
      <c r="K470" s="64" t="str">
        <f t="shared" si="258"/>
        <v/>
      </c>
      <c r="L470" s="38">
        <v>0</v>
      </c>
      <c r="M470" s="64" t="str">
        <f t="shared" si="259"/>
        <v/>
      </c>
      <c r="O470" s="63" t="str">
        <f t="shared" si="260"/>
        <v/>
      </c>
      <c r="P470" s="63" t="str">
        <f t="shared" si="261"/>
        <v/>
      </c>
      <c r="R470" s="63" t="str">
        <f t="shared" si="262"/>
        <v/>
      </c>
      <c r="S470" s="64" t="str">
        <f t="shared" si="263"/>
        <v/>
      </c>
      <c r="T470" s="63" t="str">
        <f t="shared" si="264"/>
        <v/>
      </c>
      <c r="U470" s="64" t="str">
        <f t="shared" si="265"/>
        <v/>
      </c>
      <c r="V470" s="219" t="str">
        <f>IF($A471="","",IF(AND(MONTH(A470)&gt;3,MONTH(A470)&lt;11),(T470+R470+G470)*Summary!$T$10/(1-Summary!$T$10),(T470+R470+G470)*Summary!$U$10/(1-Summary!$U$10)))</f>
        <v/>
      </c>
      <c r="W470" s="63" t="str">
        <f t="shared" si="266"/>
        <v/>
      </c>
      <c r="X470" s="63" t="str">
        <f t="shared" si="267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68"/>
        <v/>
      </c>
      <c r="AP470" s="33" t="str">
        <f t="shared" si="269"/>
        <v/>
      </c>
      <c r="AQ470" s="58" t="str">
        <f t="shared" si="270"/>
        <v/>
      </c>
      <c r="AR470" s="38">
        <f>'ANR OK vs ML7'!AR470</f>
        <v>0.1</v>
      </c>
      <c r="AS470" s="35" t="str">
        <f t="shared" si="271"/>
        <v/>
      </c>
      <c r="AT470" s="3" t="str">
        <f t="shared" si="272"/>
        <v/>
      </c>
      <c r="AU470" s="3" t="str">
        <f t="shared" si="273"/>
        <v/>
      </c>
      <c r="AW470" s="32" t="str">
        <f t="shared" si="274"/>
        <v/>
      </c>
      <c r="AX470" s="32" t="str">
        <f t="shared" si="275"/>
        <v/>
      </c>
      <c r="AY470" s="32" t="str">
        <f t="shared" si="276"/>
        <v/>
      </c>
      <c r="BA470" s="32" t="str">
        <f>IF($A471="","",F470*Summary!$Q$10)</f>
        <v/>
      </c>
    </row>
    <row r="471" spans="1:53">
      <c r="A471" s="67" t="str">
        <f t="shared" si="277"/>
        <v/>
      </c>
      <c r="B471" s="69" t="str">
        <f t="shared" si="278"/>
        <v/>
      </c>
      <c r="D471" s="69" t="str">
        <f t="shared" si="252"/>
        <v/>
      </c>
      <c r="E471" s="70" t="str">
        <f t="shared" si="253"/>
        <v/>
      </c>
      <c r="F471" s="70" t="str">
        <f t="shared" si="254"/>
        <v/>
      </c>
      <c r="G471" s="63" t="str">
        <f t="shared" si="255"/>
        <v/>
      </c>
      <c r="H471" s="64" t="str">
        <f t="shared" si="256"/>
        <v/>
      </c>
      <c r="J471" s="63" t="str">
        <f t="shared" si="257"/>
        <v/>
      </c>
      <c r="K471" s="64" t="str">
        <f t="shared" si="258"/>
        <v/>
      </c>
      <c r="L471" s="38">
        <v>0</v>
      </c>
      <c r="M471" s="64" t="str">
        <f t="shared" si="259"/>
        <v/>
      </c>
      <c r="O471" s="63" t="str">
        <f t="shared" si="260"/>
        <v/>
      </c>
      <c r="P471" s="63" t="str">
        <f t="shared" si="261"/>
        <v/>
      </c>
      <c r="R471" s="63" t="str">
        <f t="shared" si="262"/>
        <v/>
      </c>
      <c r="S471" s="64" t="str">
        <f t="shared" si="263"/>
        <v/>
      </c>
      <c r="T471" s="63" t="str">
        <f t="shared" si="264"/>
        <v/>
      </c>
      <c r="U471" s="64" t="str">
        <f t="shared" si="265"/>
        <v/>
      </c>
      <c r="V471" s="219" t="str">
        <f>IF($A472="","",IF(AND(MONTH(A471)&gt;3,MONTH(A471)&lt;11),(T471+R471+G471)*Summary!$T$10/(1-Summary!$T$10),(T471+R471+G471)*Summary!$U$10/(1-Summary!$U$10)))</f>
        <v/>
      </c>
      <c r="W471" s="63" t="str">
        <f t="shared" si="266"/>
        <v/>
      </c>
      <c r="X471" s="63" t="str">
        <f t="shared" si="267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68"/>
        <v/>
      </c>
      <c r="AP471" s="33" t="str">
        <f t="shared" si="269"/>
        <v/>
      </c>
      <c r="AQ471" s="58" t="str">
        <f t="shared" si="270"/>
        <v/>
      </c>
      <c r="AR471" s="38">
        <f>'ANR OK vs ML7'!AR471</f>
        <v>0.1</v>
      </c>
      <c r="AS471" s="35" t="str">
        <f t="shared" si="271"/>
        <v/>
      </c>
      <c r="AT471" s="3" t="str">
        <f t="shared" si="272"/>
        <v/>
      </c>
      <c r="AU471" s="3" t="str">
        <f t="shared" si="273"/>
        <v/>
      </c>
      <c r="AW471" s="32" t="str">
        <f t="shared" si="274"/>
        <v/>
      </c>
      <c r="AX471" s="32" t="str">
        <f t="shared" si="275"/>
        <v/>
      </c>
      <c r="AY471" s="32" t="str">
        <f t="shared" si="276"/>
        <v/>
      </c>
      <c r="BA471" s="32" t="str">
        <f>IF($A472="","",F471*Summary!$Q$10)</f>
        <v/>
      </c>
    </row>
    <row r="472" spans="1:53">
      <c r="A472" s="67" t="str">
        <f t="shared" si="277"/>
        <v/>
      </c>
      <c r="B472" s="69" t="str">
        <f t="shared" si="278"/>
        <v/>
      </c>
      <c r="D472" s="69" t="str">
        <f t="shared" si="252"/>
        <v/>
      </c>
      <c r="E472" s="70" t="str">
        <f t="shared" si="253"/>
        <v/>
      </c>
      <c r="F472" s="70" t="str">
        <f t="shared" si="254"/>
        <v/>
      </c>
      <c r="G472" s="63" t="str">
        <f t="shared" si="255"/>
        <v/>
      </c>
      <c r="H472" s="64" t="str">
        <f t="shared" si="256"/>
        <v/>
      </c>
      <c r="J472" s="63" t="str">
        <f t="shared" si="257"/>
        <v/>
      </c>
      <c r="K472" s="64" t="str">
        <f t="shared" si="258"/>
        <v/>
      </c>
      <c r="L472" s="38">
        <v>0</v>
      </c>
      <c r="M472" s="64" t="str">
        <f t="shared" si="259"/>
        <v/>
      </c>
      <c r="O472" s="63" t="str">
        <f t="shared" si="260"/>
        <v/>
      </c>
      <c r="P472" s="63" t="str">
        <f t="shared" si="261"/>
        <v/>
      </c>
      <c r="R472" s="63" t="str">
        <f t="shared" si="262"/>
        <v/>
      </c>
      <c r="S472" s="64" t="str">
        <f t="shared" si="263"/>
        <v/>
      </c>
      <c r="T472" s="63" t="str">
        <f t="shared" si="264"/>
        <v/>
      </c>
      <c r="U472" s="64" t="str">
        <f t="shared" si="265"/>
        <v/>
      </c>
      <c r="V472" s="219" t="str">
        <f>IF($A473="","",IF(AND(MONTH(A472)&gt;3,MONTH(A472)&lt;11),(T472+R472+G472)*Summary!$T$10/(1-Summary!$T$10),(T472+R472+G472)*Summary!$U$10/(1-Summary!$U$10)))</f>
        <v/>
      </c>
      <c r="W472" s="63" t="str">
        <f t="shared" si="266"/>
        <v/>
      </c>
      <c r="X472" s="63" t="str">
        <f t="shared" si="267"/>
        <v/>
      </c>
      <c r="Y472" s="43"/>
      <c r="AJ472" s="86"/>
      <c r="AK472" s="86"/>
      <c r="AL472" s="86"/>
      <c r="AM472" s="86"/>
      <c r="AN472" s="86"/>
      <c r="AO472" s="3" t="str">
        <f t="shared" si="268"/>
        <v/>
      </c>
      <c r="AP472" s="33" t="str">
        <f t="shared" si="269"/>
        <v/>
      </c>
      <c r="AQ472" s="58" t="str">
        <f t="shared" si="270"/>
        <v/>
      </c>
      <c r="AR472" s="38">
        <f>'ANR OK vs ML7'!AR472</f>
        <v>0.1</v>
      </c>
      <c r="AS472" s="35" t="str">
        <f t="shared" si="271"/>
        <v/>
      </c>
      <c r="AT472" s="3" t="str">
        <f t="shared" si="272"/>
        <v/>
      </c>
      <c r="AU472" s="3" t="str">
        <f t="shared" si="273"/>
        <v/>
      </c>
      <c r="AW472" s="32" t="str">
        <f t="shared" si="274"/>
        <v/>
      </c>
      <c r="AX472" s="32" t="str">
        <f t="shared" si="275"/>
        <v/>
      </c>
      <c r="AY472" s="32" t="str">
        <f t="shared" si="276"/>
        <v/>
      </c>
      <c r="BA472" s="32" t="str">
        <f>IF($A473="","",F472*Summary!$Q$10)</f>
        <v/>
      </c>
    </row>
    <row r="473" spans="1:53">
      <c r="A473" s="67" t="str">
        <f t="shared" si="277"/>
        <v/>
      </c>
      <c r="B473" s="69" t="str">
        <f t="shared" si="278"/>
        <v/>
      </c>
      <c r="D473" s="69" t="str">
        <f t="shared" si="252"/>
        <v/>
      </c>
      <c r="E473" s="70" t="str">
        <f t="shared" si="253"/>
        <v/>
      </c>
      <c r="F473" s="70" t="str">
        <f t="shared" si="254"/>
        <v/>
      </c>
      <c r="G473" s="63" t="str">
        <f t="shared" si="255"/>
        <v/>
      </c>
      <c r="H473" s="64" t="str">
        <f t="shared" si="256"/>
        <v/>
      </c>
      <c r="J473" s="63" t="str">
        <f t="shared" si="257"/>
        <v/>
      </c>
      <c r="K473" s="64" t="str">
        <f t="shared" si="258"/>
        <v/>
      </c>
      <c r="L473" s="38">
        <v>0</v>
      </c>
      <c r="M473" s="64" t="str">
        <f t="shared" si="259"/>
        <v/>
      </c>
      <c r="O473" s="63" t="str">
        <f t="shared" si="260"/>
        <v/>
      </c>
      <c r="P473" s="63" t="str">
        <f t="shared" si="261"/>
        <v/>
      </c>
      <c r="R473" s="63" t="str">
        <f t="shared" si="262"/>
        <v/>
      </c>
      <c r="S473" s="64" t="str">
        <f t="shared" si="263"/>
        <v/>
      </c>
      <c r="T473" s="63" t="str">
        <f t="shared" si="264"/>
        <v/>
      </c>
      <c r="U473" s="64" t="str">
        <f t="shared" si="265"/>
        <v/>
      </c>
      <c r="V473" s="219" t="str">
        <f>IF($A474="","",IF(AND(MONTH(A473)&gt;3,MONTH(A473)&lt;11),(T473+R473+G473)*Summary!$T$10/(1-Summary!$T$10),(T473+R473+G473)*Summary!$U$10/(1-Summary!$U$10)))</f>
        <v/>
      </c>
      <c r="W473" s="63" t="str">
        <f t="shared" si="266"/>
        <v/>
      </c>
      <c r="X473" s="63" t="str">
        <f t="shared" si="267"/>
        <v/>
      </c>
      <c r="Y473" s="43"/>
      <c r="AJ473" s="86"/>
      <c r="AK473" s="86"/>
      <c r="AL473" s="86"/>
      <c r="AM473" s="86"/>
      <c r="AN473" s="86"/>
      <c r="AO473" s="3" t="str">
        <f t="shared" si="268"/>
        <v/>
      </c>
      <c r="AP473" s="33" t="str">
        <f t="shared" si="269"/>
        <v/>
      </c>
      <c r="AQ473" s="58" t="str">
        <f t="shared" si="270"/>
        <v/>
      </c>
      <c r="AR473" s="38">
        <f>'ANR OK vs ML7'!AR473</f>
        <v>0.1</v>
      </c>
      <c r="AS473" s="35" t="str">
        <f t="shared" si="271"/>
        <v/>
      </c>
      <c r="AT473" s="3" t="str">
        <f t="shared" si="272"/>
        <v/>
      </c>
      <c r="AU473" s="3" t="str">
        <f t="shared" si="273"/>
        <v/>
      </c>
      <c r="AW473" s="32" t="str">
        <f t="shared" si="274"/>
        <v/>
      </c>
      <c r="AX473" s="32" t="str">
        <f t="shared" si="275"/>
        <v/>
      </c>
      <c r="AY473" s="32" t="str">
        <f t="shared" si="276"/>
        <v/>
      </c>
      <c r="BA473" s="32" t="str">
        <f>IF($A474="","",F473*Summary!$Q$10)</f>
        <v/>
      </c>
    </row>
    <row r="474" spans="1:53">
      <c r="A474" s="67" t="str">
        <f t="shared" si="277"/>
        <v/>
      </c>
      <c r="B474" s="69" t="str">
        <f t="shared" si="278"/>
        <v/>
      </c>
      <c r="D474" s="69" t="str">
        <f t="shared" si="252"/>
        <v/>
      </c>
      <c r="E474" s="70" t="str">
        <f t="shared" si="253"/>
        <v/>
      </c>
      <c r="F474" s="70" t="str">
        <f t="shared" si="254"/>
        <v/>
      </c>
      <c r="G474" s="63" t="str">
        <f t="shared" si="255"/>
        <v/>
      </c>
      <c r="H474" s="64" t="str">
        <f t="shared" si="256"/>
        <v/>
      </c>
      <c r="J474" s="63" t="str">
        <f t="shared" si="257"/>
        <v/>
      </c>
      <c r="K474" s="64" t="str">
        <f t="shared" si="258"/>
        <v/>
      </c>
      <c r="L474" s="38">
        <v>0</v>
      </c>
      <c r="M474" s="64" t="str">
        <f t="shared" si="259"/>
        <v/>
      </c>
      <c r="O474" s="63" t="str">
        <f t="shared" si="260"/>
        <v/>
      </c>
      <c r="P474" s="63" t="str">
        <f t="shared" si="261"/>
        <v/>
      </c>
      <c r="R474" s="63" t="str">
        <f t="shared" si="262"/>
        <v/>
      </c>
      <c r="S474" s="64" t="str">
        <f t="shared" si="263"/>
        <v/>
      </c>
      <c r="T474" s="63" t="str">
        <f t="shared" si="264"/>
        <v/>
      </c>
      <c r="U474" s="64" t="str">
        <f t="shared" si="265"/>
        <v/>
      </c>
      <c r="V474" s="219" t="str">
        <f>IF($A475="","",IF(AND(MONTH(A474)&gt;3,MONTH(A474)&lt;11),(T474+R474+G474)*Summary!$T$10/(1-Summary!$T$10),(T474+R474+G474)*Summary!$U$10/(1-Summary!$U$10)))</f>
        <v/>
      </c>
      <c r="W474" s="63" t="str">
        <f t="shared" si="266"/>
        <v/>
      </c>
      <c r="X474" s="63" t="str">
        <f t="shared" si="267"/>
        <v/>
      </c>
      <c r="Y474" s="43"/>
      <c r="AJ474" s="86"/>
      <c r="AK474" s="86"/>
      <c r="AL474" s="86"/>
      <c r="AM474" s="86"/>
      <c r="AN474" s="86"/>
      <c r="AO474" s="3" t="str">
        <f t="shared" si="268"/>
        <v/>
      </c>
      <c r="AP474" s="33" t="str">
        <f t="shared" si="269"/>
        <v/>
      </c>
      <c r="AQ474" s="58" t="str">
        <f t="shared" si="270"/>
        <v/>
      </c>
      <c r="AR474" s="38">
        <f>'ANR OK vs ML7'!AR474</f>
        <v>0.1</v>
      </c>
      <c r="AS474" s="35" t="str">
        <f t="shared" si="271"/>
        <v/>
      </c>
      <c r="AT474" s="3" t="str">
        <f t="shared" si="272"/>
        <v/>
      </c>
      <c r="AU474" s="3" t="str">
        <f t="shared" si="273"/>
        <v/>
      </c>
      <c r="AW474" s="32" t="str">
        <f t="shared" si="274"/>
        <v/>
      </c>
      <c r="AX474" s="32" t="str">
        <f t="shared" si="275"/>
        <v/>
      </c>
      <c r="AY474" s="32" t="str">
        <f t="shared" si="276"/>
        <v/>
      </c>
      <c r="BA474" s="32" t="str">
        <f>IF($A475="","",F474*Summary!$Q$10)</f>
        <v/>
      </c>
    </row>
    <row r="475" spans="1:53">
      <c r="A475" s="67" t="str">
        <f t="shared" si="277"/>
        <v/>
      </c>
      <c r="B475" s="69" t="str">
        <f t="shared" si="278"/>
        <v/>
      </c>
      <c r="D475" s="69" t="str">
        <f t="shared" si="252"/>
        <v/>
      </c>
      <c r="E475" s="70" t="str">
        <f t="shared" si="253"/>
        <v/>
      </c>
      <c r="F475" s="70" t="str">
        <f t="shared" si="254"/>
        <v/>
      </c>
      <c r="G475" s="63" t="str">
        <f t="shared" si="255"/>
        <v/>
      </c>
      <c r="H475" s="64" t="str">
        <f t="shared" si="256"/>
        <v/>
      </c>
      <c r="J475" s="63" t="str">
        <f t="shared" si="257"/>
        <v/>
      </c>
      <c r="K475" s="64" t="str">
        <f t="shared" si="258"/>
        <v/>
      </c>
      <c r="L475" s="38">
        <v>0</v>
      </c>
      <c r="M475" s="64" t="str">
        <f t="shared" si="259"/>
        <v/>
      </c>
      <c r="O475" s="63" t="str">
        <f t="shared" si="260"/>
        <v/>
      </c>
      <c r="P475" s="63" t="str">
        <f t="shared" si="261"/>
        <v/>
      </c>
      <c r="R475" s="63" t="str">
        <f t="shared" si="262"/>
        <v/>
      </c>
      <c r="S475" s="64" t="str">
        <f t="shared" si="263"/>
        <v/>
      </c>
      <c r="T475" s="63" t="str">
        <f t="shared" si="264"/>
        <v/>
      </c>
      <c r="U475" s="64" t="str">
        <f t="shared" si="265"/>
        <v/>
      </c>
      <c r="V475" s="219" t="str">
        <f>IF($A476="","",IF(AND(MONTH(A475)&gt;3,MONTH(A475)&lt;11),(T475+R475+G475)*Summary!$T$10/(1-Summary!$T$10),(T475+R475+G475)*Summary!$U$10/(1-Summary!$U$10)))</f>
        <v/>
      </c>
      <c r="W475" s="63" t="str">
        <f t="shared" si="266"/>
        <v/>
      </c>
      <c r="X475" s="63" t="str">
        <f t="shared" si="267"/>
        <v/>
      </c>
      <c r="Y475" s="43"/>
      <c r="AJ475" s="86"/>
      <c r="AK475" s="86"/>
      <c r="AL475" s="86"/>
      <c r="AM475" s="86"/>
      <c r="AN475" s="86"/>
      <c r="AO475" s="3" t="str">
        <f t="shared" si="268"/>
        <v/>
      </c>
      <c r="AP475" s="33" t="str">
        <f t="shared" si="269"/>
        <v/>
      </c>
      <c r="AQ475" s="58" t="str">
        <f t="shared" si="270"/>
        <v/>
      </c>
      <c r="AR475" s="38">
        <f>'ANR OK vs ML7'!AR475</f>
        <v>0.1</v>
      </c>
      <c r="AS475" s="35" t="str">
        <f t="shared" si="271"/>
        <v/>
      </c>
      <c r="AT475" s="3" t="str">
        <f t="shared" si="272"/>
        <v/>
      </c>
      <c r="AU475" s="3" t="str">
        <f t="shared" si="273"/>
        <v/>
      </c>
      <c r="AW475" s="32" t="str">
        <f t="shared" si="274"/>
        <v/>
      </c>
      <c r="AX475" s="32" t="str">
        <f t="shared" si="275"/>
        <v/>
      </c>
      <c r="AY475" s="32" t="str">
        <f t="shared" si="276"/>
        <v/>
      </c>
      <c r="BA475" s="32" t="str">
        <f>IF($A476="","",F475*Summary!$Q$10)</f>
        <v/>
      </c>
    </row>
    <row r="476" spans="1:53">
      <c r="A476" s="67" t="str">
        <f t="shared" si="277"/>
        <v/>
      </c>
      <c r="B476" s="69" t="str">
        <f t="shared" si="278"/>
        <v/>
      </c>
      <c r="D476" s="69" t="str">
        <f t="shared" si="252"/>
        <v/>
      </c>
      <c r="E476" s="70" t="str">
        <f t="shared" si="253"/>
        <v/>
      </c>
      <c r="F476" s="70" t="str">
        <f t="shared" si="254"/>
        <v/>
      </c>
      <c r="G476" s="63" t="str">
        <f t="shared" si="255"/>
        <v/>
      </c>
      <c r="H476" s="64" t="str">
        <f t="shared" si="256"/>
        <v/>
      </c>
      <c r="J476" s="63" t="str">
        <f t="shared" si="257"/>
        <v/>
      </c>
      <c r="K476" s="64" t="str">
        <f t="shared" si="258"/>
        <v/>
      </c>
      <c r="L476" s="38">
        <v>0</v>
      </c>
      <c r="M476" s="64" t="str">
        <f t="shared" si="259"/>
        <v/>
      </c>
      <c r="O476" s="63" t="str">
        <f t="shared" si="260"/>
        <v/>
      </c>
      <c r="P476" s="63" t="str">
        <f t="shared" si="261"/>
        <v/>
      </c>
      <c r="R476" s="63" t="str">
        <f t="shared" si="262"/>
        <v/>
      </c>
      <c r="S476" s="64" t="str">
        <f t="shared" si="263"/>
        <v/>
      </c>
      <c r="T476" s="63" t="str">
        <f t="shared" si="264"/>
        <v/>
      </c>
      <c r="U476" s="64" t="str">
        <f t="shared" si="265"/>
        <v/>
      </c>
      <c r="V476" s="219" t="str">
        <f>IF($A477="","",IF(AND(MONTH(A476)&gt;3,MONTH(A476)&lt;11),(T476+R476+G476)*Summary!$T$10/(1-Summary!$T$10),(T476+R476+G476)*Summary!$U$10/(1-Summary!$U$10)))</f>
        <v/>
      </c>
      <c r="W476" s="63" t="str">
        <f t="shared" si="266"/>
        <v/>
      </c>
      <c r="X476" s="63" t="str">
        <f t="shared" si="267"/>
        <v/>
      </c>
      <c r="Y476" s="43"/>
      <c r="AJ476" s="86"/>
      <c r="AK476" s="86"/>
      <c r="AL476" s="86"/>
      <c r="AM476" s="86"/>
      <c r="AN476" s="86"/>
      <c r="AO476" s="3" t="str">
        <f t="shared" si="268"/>
        <v/>
      </c>
      <c r="AP476" s="33" t="str">
        <f t="shared" si="269"/>
        <v/>
      </c>
      <c r="AQ476" s="58" t="str">
        <f t="shared" si="270"/>
        <v/>
      </c>
      <c r="AR476" s="38">
        <f>'ANR OK vs ML7'!AR476</f>
        <v>0.1</v>
      </c>
      <c r="AS476" s="35" t="str">
        <f t="shared" si="271"/>
        <v/>
      </c>
      <c r="AT476" s="3" t="str">
        <f t="shared" si="272"/>
        <v/>
      </c>
      <c r="AU476" s="3" t="str">
        <f t="shared" si="273"/>
        <v/>
      </c>
      <c r="AW476" s="32" t="str">
        <f t="shared" si="274"/>
        <v/>
      </c>
      <c r="AX476" s="32" t="str">
        <f t="shared" si="275"/>
        <v/>
      </c>
      <c r="AY476" s="32" t="str">
        <f t="shared" si="276"/>
        <v/>
      </c>
      <c r="BA476" s="32" t="str">
        <f>IF($A477="","",F476*Summary!$Q$10)</f>
        <v/>
      </c>
    </row>
    <row r="477" spans="1:53">
      <c r="A477" s="67" t="str">
        <f t="shared" si="277"/>
        <v/>
      </c>
      <c r="B477" s="69" t="str">
        <f t="shared" si="278"/>
        <v/>
      </c>
      <c r="D477" s="69" t="str">
        <f t="shared" si="252"/>
        <v/>
      </c>
      <c r="E477" s="70" t="str">
        <f t="shared" si="253"/>
        <v/>
      </c>
      <c r="F477" s="70" t="str">
        <f t="shared" si="254"/>
        <v/>
      </c>
      <c r="G477" s="63" t="str">
        <f t="shared" si="255"/>
        <v/>
      </c>
      <c r="H477" s="64" t="str">
        <f t="shared" si="256"/>
        <v/>
      </c>
      <c r="J477" s="63" t="str">
        <f t="shared" si="257"/>
        <v/>
      </c>
      <c r="K477" s="64" t="str">
        <f t="shared" si="258"/>
        <v/>
      </c>
      <c r="L477" s="38">
        <v>0</v>
      </c>
      <c r="M477" s="64" t="str">
        <f t="shared" si="259"/>
        <v/>
      </c>
      <c r="O477" s="63" t="str">
        <f t="shared" si="260"/>
        <v/>
      </c>
      <c r="P477" s="63" t="str">
        <f t="shared" si="261"/>
        <v/>
      </c>
      <c r="R477" s="63" t="str">
        <f t="shared" si="262"/>
        <v/>
      </c>
      <c r="S477" s="64" t="str">
        <f t="shared" si="263"/>
        <v/>
      </c>
      <c r="T477" s="63" t="str">
        <f t="shared" si="264"/>
        <v/>
      </c>
      <c r="U477" s="64" t="str">
        <f t="shared" si="265"/>
        <v/>
      </c>
      <c r="V477" s="219" t="str">
        <f>IF($A478="","",IF(AND(MONTH(A477)&gt;3,MONTH(A477)&lt;11),(T477+R477+G477)*Summary!$T$10/(1-Summary!$T$10),(T477+R477+G477)*Summary!$U$10/(1-Summary!$U$10)))</f>
        <v/>
      </c>
      <c r="W477" s="63" t="str">
        <f t="shared" si="266"/>
        <v/>
      </c>
      <c r="X477" s="63" t="str">
        <f t="shared" si="267"/>
        <v/>
      </c>
      <c r="Y477" s="43"/>
      <c r="AJ477" s="86"/>
      <c r="AK477" s="86"/>
      <c r="AL477" s="86"/>
      <c r="AM477" s="86"/>
      <c r="AN477" s="86"/>
      <c r="AO477" s="3" t="str">
        <f t="shared" si="268"/>
        <v/>
      </c>
      <c r="AP477" s="33" t="str">
        <f t="shared" si="269"/>
        <v/>
      </c>
      <c r="AQ477" s="58" t="str">
        <f t="shared" si="270"/>
        <v/>
      </c>
      <c r="AR477" s="38">
        <f>'ANR OK vs ML7'!AR477</f>
        <v>0.1</v>
      </c>
      <c r="AS477" s="35" t="str">
        <f t="shared" si="271"/>
        <v/>
      </c>
      <c r="AT477" s="3" t="str">
        <f t="shared" si="272"/>
        <v/>
      </c>
      <c r="AU477" s="3" t="str">
        <f t="shared" si="273"/>
        <v/>
      </c>
      <c r="AW477" s="32" t="str">
        <f t="shared" si="274"/>
        <v/>
      </c>
      <c r="AX477" s="32" t="str">
        <f t="shared" si="275"/>
        <v/>
      </c>
      <c r="AY477" s="32" t="str">
        <f t="shared" si="276"/>
        <v/>
      </c>
      <c r="BA477" s="32" t="str">
        <f>IF($A478="","",F477*Summary!$Q$10)</f>
        <v/>
      </c>
    </row>
    <row r="478" spans="1:53">
      <c r="A478" s="67" t="str">
        <f t="shared" si="277"/>
        <v/>
      </c>
      <c r="B478" s="69" t="str">
        <f t="shared" si="278"/>
        <v/>
      </c>
      <c r="D478" s="69" t="str">
        <f t="shared" si="252"/>
        <v/>
      </c>
      <c r="E478" s="70" t="str">
        <f t="shared" si="253"/>
        <v/>
      </c>
      <c r="F478" s="70" t="str">
        <f t="shared" si="254"/>
        <v/>
      </c>
      <c r="G478" s="63" t="str">
        <f t="shared" si="255"/>
        <v/>
      </c>
      <c r="H478" s="64" t="str">
        <f t="shared" si="256"/>
        <v/>
      </c>
      <c r="J478" s="63" t="str">
        <f t="shared" si="257"/>
        <v/>
      </c>
      <c r="K478" s="64" t="str">
        <f t="shared" si="258"/>
        <v/>
      </c>
      <c r="L478" s="38">
        <v>0</v>
      </c>
      <c r="M478" s="64" t="str">
        <f t="shared" si="259"/>
        <v/>
      </c>
      <c r="O478" s="63" t="str">
        <f t="shared" si="260"/>
        <v/>
      </c>
      <c r="P478" s="63" t="str">
        <f t="shared" si="261"/>
        <v/>
      </c>
      <c r="R478" s="63" t="str">
        <f t="shared" si="262"/>
        <v/>
      </c>
      <c r="S478" s="64" t="str">
        <f t="shared" si="263"/>
        <v/>
      </c>
      <c r="T478" s="63" t="str">
        <f t="shared" si="264"/>
        <v/>
      </c>
      <c r="U478" s="64" t="str">
        <f t="shared" si="265"/>
        <v/>
      </c>
      <c r="V478" s="219" t="str">
        <f>IF($A479="","",IF(AND(MONTH(A478)&gt;3,MONTH(A478)&lt;11),(T478+R478+G478)*Summary!$T$10/(1-Summary!$T$10),(T478+R478+G478)*Summary!$U$10/(1-Summary!$U$10)))</f>
        <v/>
      </c>
      <c r="W478" s="63" t="str">
        <f t="shared" si="266"/>
        <v/>
      </c>
      <c r="X478" s="63" t="str">
        <f t="shared" si="267"/>
        <v/>
      </c>
      <c r="Y478" s="43"/>
      <c r="AJ478" s="86"/>
      <c r="AK478" s="86"/>
      <c r="AL478" s="86"/>
      <c r="AM478" s="86"/>
      <c r="AN478" s="86"/>
      <c r="AO478" s="3" t="str">
        <f t="shared" si="268"/>
        <v/>
      </c>
      <c r="AP478" s="33" t="str">
        <f t="shared" si="269"/>
        <v/>
      </c>
      <c r="AQ478" s="58" t="str">
        <f t="shared" si="270"/>
        <v/>
      </c>
      <c r="AR478" s="38">
        <f>'ANR OK vs ML7'!AR478</f>
        <v>0.1</v>
      </c>
      <c r="AS478" s="35" t="str">
        <f t="shared" si="271"/>
        <v/>
      </c>
      <c r="AT478" s="3" t="str">
        <f t="shared" si="272"/>
        <v/>
      </c>
      <c r="AU478" s="3" t="str">
        <f t="shared" si="273"/>
        <v/>
      </c>
      <c r="AW478" s="32" t="str">
        <f t="shared" si="274"/>
        <v/>
      </c>
      <c r="AX478" s="32" t="str">
        <f t="shared" si="275"/>
        <v/>
      </c>
      <c r="AY478" s="32" t="str">
        <f t="shared" si="276"/>
        <v/>
      </c>
      <c r="BA478" s="32" t="str">
        <f>IF($A479="","",F478*Summary!$Q$10)</f>
        <v/>
      </c>
    </row>
    <row r="479" spans="1:53">
      <c r="A479" s="67" t="str">
        <f t="shared" si="277"/>
        <v/>
      </c>
      <c r="B479" s="69" t="str">
        <f t="shared" si="278"/>
        <v/>
      </c>
      <c r="D479" s="69" t="str">
        <f t="shared" si="252"/>
        <v/>
      </c>
      <c r="E479" s="70" t="str">
        <f t="shared" si="253"/>
        <v/>
      </c>
      <c r="F479" s="70" t="str">
        <f t="shared" si="254"/>
        <v/>
      </c>
      <c r="G479" s="63" t="str">
        <f t="shared" si="255"/>
        <v/>
      </c>
      <c r="H479" s="64" t="str">
        <f t="shared" si="256"/>
        <v/>
      </c>
      <c r="J479" s="63" t="str">
        <f t="shared" si="257"/>
        <v/>
      </c>
      <c r="K479" s="64" t="str">
        <f t="shared" si="258"/>
        <v/>
      </c>
      <c r="L479" s="38">
        <v>0</v>
      </c>
      <c r="M479" s="64" t="str">
        <f t="shared" si="259"/>
        <v/>
      </c>
      <c r="O479" s="63" t="str">
        <f t="shared" si="260"/>
        <v/>
      </c>
      <c r="P479" s="63" t="str">
        <f t="shared" si="261"/>
        <v/>
      </c>
      <c r="R479" s="63" t="str">
        <f t="shared" si="262"/>
        <v/>
      </c>
      <c r="S479" s="64" t="str">
        <f t="shared" si="263"/>
        <v/>
      </c>
      <c r="T479" s="63" t="str">
        <f t="shared" si="264"/>
        <v/>
      </c>
      <c r="U479" s="64" t="str">
        <f t="shared" si="265"/>
        <v/>
      </c>
      <c r="V479" s="219" t="str">
        <f>IF($A480="","",IF(AND(MONTH(A479)&gt;3,MONTH(A479)&lt;11),(T479+R479+G479)*Summary!$T$10/(1-Summary!$T$10),(T479+R479+G479)*Summary!$U$10/(1-Summary!$U$10)))</f>
        <v/>
      </c>
      <c r="W479" s="63" t="str">
        <f t="shared" si="266"/>
        <v/>
      </c>
      <c r="X479" s="63" t="str">
        <f t="shared" si="267"/>
        <v/>
      </c>
      <c r="Y479" s="43"/>
      <c r="AJ479" s="86"/>
      <c r="AK479" s="86"/>
      <c r="AL479" s="86"/>
      <c r="AM479" s="86"/>
      <c r="AN479" s="86"/>
      <c r="AO479" s="3" t="str">
        <f t="shared" si="268"/>
        <v/>
      </c>
      <c r="AP479" s="33" t="str">
        <f t="shared" si="269"/>
        <v/>
      </c>
      <c r="AQ479" s="58" t="str">
        <f t="shared" si="270"/>
        <v/>
      </c>
      <c r="AR479" s="38">
        <f>'ANR OK vs ML7'!AR479</f>
        <v>0.1</v>
      </c>
      <c r="AS479" s="35" t="str">
        <f t="shared" si="271"/>
        <v/>
      </c>
      <c r="AT479" s="3" t="str">
        <f t="shared" si="272"/>
        <v/>
      </c>
      <c r="AU479" s="3" t="str">
        <f t="shared" si="273"/>
        <v/>
      </c>
      <c r="AW479" s="32" t="str">
        <f t="shared" si="274"/>
        <v/>
      </c>
      <c r="AX479" s="32" t="str">
        <f t="shared" si="275"/>
        <v/>
      </c>
      <c r="AY479" s="32" t="str">
        <f t="shared" si="276"/>
        <v/>
      </c>
      <c r="BA479" s="32" t="str">
        <f>IF($A480="","",F479*Summary!$Q$10)</f>
        <v/>
      </c>
    </row>
    <row r="480" spans="1:53">
      <c r="A480" s="67" t="str">
        <f t="shared" si="277"/>
        <v/>
      </c>
      <c r="B480" s="69" t="str">
        <f t="shared" si="278"/>
        <v/>
      </c>
      <c r="D480" s="69" t="str">
        <f t="shared" si="252"/>
        <v/>
      </c>
      <c r="E480" s="70" t="str">
        <f t="shared" si="253"/>
        <v/>
      </c>
      <c r="F480" s="70" t="str">
        <f t="shared" si="254"/>
        <v/>
      </c>
      <c r="G480" s="63" t="str">
        <f t="shared" si="255"/>
        <v/>
      </c>
      <c r="H480" s="64" t="str">
        <f t="shared" si="256"/>
        <v/>
      </c>
      <c r="J480" s="63" t="str">
        <f t="shared" si="257"/>
        <v/>
      </c>
      <c r="K480" s="64" t="str">
        <f t="shared" si="258"/>
        <v/>
      </c>
      <c r="L480" s="38">
        <v>0</v>
      </c>
      <c r="M480" s="64" t="str">
        <f t="shared" si="259"/>
        <v/>
      </c>
      <c r="O480" s="63" t="str">
        <f t="shared" si="260"/>
        <v/>
      </c>
      <c r="P480" s="63" t="str">
        <f t="shared" si="261"/>
        <v/>
      </c>
      <c r="R480" s="63" t="str">
        <f t="shared" si="262"/>
        <v/>
      </c>
      <c r="S480" s="64" t="str">
        <f t="shared" si="263"/>
        <v/>
      </c>
      <c r="T480" s="63" t="str">
        <f t="shared" si="264"/>
        <v/>
      </c>
      <c r="U480" s="64" t="str">
        <f t="shared" si="265"/>
        <v/>
      </c>
      <c r="V480" s="219" t="str">
        <f>IF($A481="","",IF(AND(MONTH(A480)&gt;3,MONTH(A480)&lt;11),(T480+R480+G480)*Summary!$T$10/(1-Summary!$T$10),(T480+R480+G480)*Summary!$U$10/(1-Summary!$U$10)))</f>
        <v/>
      </c>
      <c r="W480" s="63" t="str">
        <f t="shared" si="266"/>
        <v/>
      </c>
      <c r="X480" s="63" t="str">
        <f t="shared" si="267"/>
        <v/>
      </c>
      <c r="Y480" s="43"/>
      <c r="AJ480" s="86"/>
      <c r="AK480" s="86"/>
      <c r="AL480" s="86"/>
      <c r="AM480" s="86"/>
      <c r="AN480" s="86"/>
      <c r="AO480" s="3" t="str">
        <f t="shared" si="268"/>
        <v/>
      </c>
      <c r="AP480" s="33" t="str">
        <f t="shared" si="269"/>
        <v/>
      </c>
      <c r="AQ480" s="58" t="str">
        <f t="shared" si="270"/>
        <v/>
      </c>
      <c r="AR480" s="38">
        <f>'ANR OK vs ML7'!AR480</f>
        <v>0.1</v>
      </c>
      <c r="AS480" s="35" t="str">
        <f t="shared" si="271"/>
        <v/>
      </c>
      <c r="AT480" s="3" t="str">
        <f t="shared" si="272"/>
        <v/>
      </c>
      <c r="AU480" s="3" t="str">
        <f t="shared" si="273"/>
        <v/>
      </c>
      <c r="AW480" s="32" t="str">
        <f t="shared" si="274"/>
        <v/>
      </c>
      <c r="AX480" s="32" t="str">
        <f t="shared" si="275"/>
        <v/>
      </c>
      <c r="AY480" s="32" t="str">
        <f t="shared" si="276"/>
        <v/>
      </c>
      <c r="BA480" s="32" t="str">
        <f>IF($A481="","",F480*Summary!$Q$10)</f>
        <v/>
      </c>
    </row>
    <row r="481" spans="1:53">
      <c r="A481" s="67" t="str">
        <f t="shared" si="277"/>
        <v/>
      </c>
      <c r="B481" s="69" t="str">
        <f t="shared" si="278"/>
        <v/>
      </c>
      <c r="D481" s="69" t="str">
        <f t="shared" si="252"/>
        <v/>
      </c>
      <c r="E481" s="70" t="str">
        <f t="shared" si="253"/>
        <v/>
      </c>
      <c r="F481" s="70" t="str">
        <f t="shared" si="254"/>
        <v/>
      </c>
      <c r="G481" s="63" t="str">
        <f t="shared" si="255"/>
        <v/>
      </c>
      <c r="H481" s="64" t="str">
        <f t="shared" si="256"/>
        <v/>
      </c>
      <c r="J481" s="63" t="str">
        <f t="shared" si="257"/>
        <v/>
      </c>
      <c r="K481" s="64" t="str">
        <f t="shared" si="258"/>
        <v/>
      </c>
      <c r="L481" s="38">
        <v>0</v>
      </c>
      <c r="M481" s="64" t="str">
        <f t="shared" si="259"/>
        <v/>
      </c>
      <c r="O481" s="63" t="str">
        <f t="shared" si="260"/>
        <v/>
      </c>
      <c r="P481" s="63" t="str">
        <f t="shared" si="261"/>
        <v/>
      </c>
      <c r="R481" s="63" t="str">
        <f t="shared" si="262"/>
        <v/>
      </c>
      <c r="S481" s="64" t="str">
        <f t="shared" si="263"/>
        <v/>
      </c>
      <c r="T481" s="63" t="str">
        <f t="shared" si="264"/>
        <v/>
      </c>
      <c r="U481" s="64" t="str">
        <f t="shared" si="265"/>
        <v/>
      </c>
      <c r="V481" s="219" t="str">
        <f>IF($A482="","",IF(AND(MONTH(A481)&gt;3,MONTH(A481)&lt;11),(T481+R481+G481)*Summary!$T$10/(1-Summary!$T$10),(T481+R481+G481)*Summary!$U$10/(1-Summary!$U$10)))</f>
        <v/>
      </c>
      <c r="W481" s="63" t="str">
        <f t="shared" si="266"/>
        <v/>
      </c>
      <c r="X481" s="63" t="str">
        <f t="shared" si="267"/>
        <v/>
      </c>
      <c r="Y481" s="43"/>
      <c r="AJ481" s="86"/>
      <c r="AK481" s="86"/>
      <c r="AL481" s="86"/>
      <c r="AM481" s="86"/>
      <c r="AN481" s="86"/>
      <c r="AO481" s="3" t="str">
        <f t="shared" si="268"/>
        <v/>
      </c>
      <c r="AP481" s="33" t="str">
        <f t="shared" si="269"/>
        <v/>
      </c>
      <c r="AQ481" s="58" t="str">
        <f t="shared" si="270"/>
        <v/>
      </c>
      <c r="AR481" s="38">
        <f>'ANR OK vs ML7'!AR481</f>
        <v>0.1</v>
      </c>
      <c r="AS481" s="35" t="str">
        <f t="shared" si="271"/>
        <v/>
      </c>
      <c r="AT481" s="3" t="str">
        <f t="shared" si="272"/>
        <v/>
      </c>
      <c r="AU481" s="3" t="str">
        <f t="shared" si="273"/>
        <v/>
      </c>
      <c r="AW481" s="32" t="str">
        <f t="shared" si="274"/>
        <v/>
      </c>
      <c r="AX481" s="32" t="str">
        <f t="shared" si="275"/>
        <v/>
      </c>
      <c r="AY481" s="32" t="str">
        <f t="shared" si="276"/>
        <v/>
      </c>
      <c r="BA481" s="32" t="str">
        <f>IF($A482="","",F481*Summary!$Q$10)</f>
        <v/>
      </c>
    </row>
    <row r="482" spans="1:53">
      <c r="A482" s="67" t="str">
        <f t="shared" si="277"/>
        <v/>
      </c>
      <c r="B482" s="69" t="str">
        <f t="shared" si="278"/>
        <v/>
      </c>
      <c r="D482" s="69" t="str">
        <f t="shared" si="252"/>
        <v/>
      </c>
      <c r="E482" s="70" t="str">
        <f t="shared" si="253"/>
        <v/>
      </c>
      <c r="F482" s="70" t="str">
        <f t="shared" si="254"/>
        <v/>
      </c>
      <c r="G482" s="63" t="str">
        <f t="shared" si="255"/>
        <v/>
      </c>
      <c r="H482" s="64" t="str">
        <f t="shared" si="256"/>
        <v/>
      </c>
      <c r="J482" s="63" t="str">
        <f t="shared" si="257"/>
        <v/>
      </c>
      <c r="K482" s="64" t="str">
        <f t="shared" si="258"/>
        <v/>
      </c>
      <c r="L482" s="38">
        <v>0</v>
      </c>
      <c r="M482" s="64" t="str">
        <f t="shared" si="259"/>
        <v/>
      </c>
      <c r="O482" s="63" t="str">
        <f t="shared" si="260"/>
        <v/>
      </c>
      <c r="P482" s="63" t="str">
        <f t="shared" si="261"/>
        <v/>
      </c>
      <c r="R482" s="63" t="str">
        <f t="shared" si="262"/>
        <v/>
      </c>
      <c r="S482" s="64" t="str">
        <f t="shared" si="263"/>
        <v/>
      </c>
      <c r="T482" s="63" t="str">
        <f t="shared" si="264"/>
        <v/>
      </c>
      <c r="U482" s="64" t="str">
        <f t="shared" si="265"/>
        <v/>
      </c>
      <c r="V482" s="219" t="str">
        <f>IF($A483="","",IF(AND(MONTH(A482)&gt;3,MONTH(A482)&lt;11),(T482+R482+G482)*Summary!$T$10/(1-Summary!$T$10),(T482+R482+G482)*Summary!$U$10/(1-Summary!$U$10)))</f>
        <v/>
      </c>
      <c r="W482" s="63" t="str">
        <f t="shared" si="266"/>
        <v/>
      </c>
      <c r="X482" s="63" t="str">
        <f t="shared" si="267"/>
        <v/>
      </c>
      <c r="Y482" s="43"/>
      <c r="AJ482" s="86"/>
      <c r="AK482" s="86"/>
      <c r="AL482" s="86"/>
      <c r="AM482" s="86"/>
      <c r="AN482" s="86"/>
      <c r="AO482" s="3" t="str">
        <f t="shared" si="268"/>
        <v/>
      </c>
      <c r="AP482" s="33" t="str">
        <f t="shared" si="269"/>
        <v/>
      </c>
      <c r="AQ482" s="58" t="str">
        <f t="shared" si="270"/>
        <v/>
      </c>
      <c r="AR482" s="38">
        <f>'ANR OK vs ML7'!AR482</f>
        <v>0.1</v>
      </c>
      <c r="AS482" s="35" t="str">
        <f t="shared" si="271"/>
        <v/>
      </c>
      <c r="AT482" s="3" t="str">
        <f t="shared" si="272"/>
        <v/>
      </c>
      <c r="AU482" s="3" t="str">
        <f t="shared" si="273"/>
        <v/>
      </c>
      <c r="AW482" s="32" t="str">
        <f t="shared" si="274"/>
        <v/>
      </c>
      <c r="AX482" s="32" t="str">
        <f t="shared" si="275"/>
        <v/>
      </c>
      <c r="AY482" s="32" t="str">
        <f t="shared" si="276"/>
        <v/>
      </c>
      <c r="BA482" s="32" t="str">
        <f>IF($A483="","",F482*Summary!$Q$10)</f>
        <v/>
      </c>
    </row>
    <row r="483" spans="1:53">
      <c r="A483" s="67" t="str">
        <f t="shared" si="277"/>
        <v/>
      </c>
      <c r="B483" s="69" t="str">
        <f t="shared" si="278"/>
        <v/>
      </c>
      <c r="D483" s="69" t="str">
        <f t="shared" si="252"/>
        <v/>
      </c>
      <c r="E483" s="70" t="str">
        <f t="shared" si="253"/>
        <v/>
      </c>
      <c r="F483" s="70" t="str">
        <f t="shared" si="254"/>
        <v/>
      </c>
      <c r="G483" s="63" t="str">
        <f t="shared" si="255"/>
        <v/>
      </c>
      <c r="H483" s="64" t="str">
        <f t="shared" si="256"/>
        <v/>
      </c>
      <c r="J483" s="63" t="str">
        <f t="shared" si="257"/>
        <v/>
      </c>
      <c r="K483" s="64" t="str">
        <f t="shared" si="258"/>
        <v/>
      </c>
      <c r="L483" s="38">
        <v>0</v>
      </c>
      <c r="M483" s="64" t="str">
        <f t="shared" si="259"/>
        <v/>
      </c>
      <c r="O483" s="63" t="str">
        <f t="shared" si="260"/>
        <v/>
      </c>
      <c r="P483" s="63" t="str">
        <f t="shared" si="261"/>
        <v/>
      </c>
      <c r="R483" s="63" t="str">
        <f t="shared" si="262"/>
        <v/>
      </c>
      <c r="S483" s="64" t="str">
        <f t="shared" si="263"/>
        <v/>
      </c>
      <c r="T483" s="63" t="str">
        <f t="shared" si="264"/>
        <v/>
      </c>
      <c r="U483" s="64" t="str">
        <f t="shared" si="265"/>
        <v/>
      </c>
      <c r="V483" s="219" t="str">
        <f>IF($A484="","",IF(AND(MONTH(A483)&gt;3,MONTH(A483)&lt;11),(T483+R483+G483)*Summary!$T$10/(1-Summary!$T$10),(T483+R483+G483)*Summary!$U$10/(1-Summary!$U$10)))</f>
        <v/>
      </c>
      <c r="W483" s="63" t="str">
        <f t="shared" si="266"/>
        <v/>
      </c>
      <c r="X483" s="63" t="str">
        <f t="shared" si="267"/>
        <v/>
      </c>
      <c r="Y483" s="43"/>
      <c r="AJ483" s="86"/>
      <c r="AK483" s="86"/>
      <c r="AL483" s="86"/>
      <c r="AM483" s="86"/>
      <c r="AN483" s="86"/>
      <c r="AO483" s="3" t="str">
        <f t="shared" si="268"/>
        <v/>
      </c>
      <c r="AP483" s="33" t="str">
        <f t="shared" si="269"/>
        <v/>
      </c>
      <c r="AQ483" s="58" t="str">
        <f t="shared" si="270"/>
        <v/>
      </c>
      <c r="AR483" s="38">
        <f>'ANR OK vs ML7'!AR483</f>
        <v>0.1</v>
      </c>
      <c r="AS483" s="35" t="str">
        <f t="shared" si="271"/>
        <v/>
      </c>
      <c r="AT483" s="3" t="str">
        <f t="shared" si="272"/>
        <v/>
      </c>
      <c r="AU483" s="3" t="str">
        <f t="shared" si="273"/>
        <v/>
      </c>
      <c r="AW483" s="32" t="str">
        <f t="shared" si="274"/>
        <v/>
      </c>
      <c r="AX483" s="32" t="str">
        <f t="shared" si="275"/>
        <v/>
      </c>
      <c r="AY483" s="32" t="str">
        <f t="shared" si="276"/>
        <v/>
      </c>
      <c r="BA483" s="32" t="str">
        <f>IF($A484="","",F483*Summary!$Q$10)</f>
        <v/>
      </c>
    </row>
    <row r="484" spans="1:53">
      <c r="A484" s="67" t="str">
        <f t="shared" si="277"/>
        <v/>
      </c>
      <c r="B484" s="69" t="str">
        <f t="shared" si="278"/>
        <v/>
      </c>
      <c r="D484" s="69" t="str">
        <f t="shared" si="252"/>
        <v/>
      </c>
      <c r="E484" s="70" t="str">
        <f t="shared" si="253"/>
        <v/>
      </c>
      <c r="F484" s="70" t="str">
        <f t="shared" si="254"/>
        <v/>
      </c>
      <c r="G484" s="63" t="str">
        <f t="shared" si="255"/>
        <v/>
      </c>
      <c r="H484" s="64" t="str">
        <f t="shared" si="256"/>
        <v/>
      </c>
      <c r="J484" s="63" t="str">
        <f t="shared" si="257"/>
        <v/>
      </c>
      <c r="K484" s="64" t="str">
        <f t="shared" si="258"/>
        <v/>
      </c>
      <c r="L484" s="38">
        <v>0</v>
      </c>
      <c r="M484" s="64" t="str">
        <f t="shared" si="259"/>
        <v/>
      </c>
      <c r="O484" s="63" t="str">
        <f t="shared" si="260"/>
        <v/>
      </c>
      <c r="P484" s="63" t="str">
        <f t="shared" si="261"/>
        <v/>
      </c>
      <c r="R484" s="63" t="str">
        <f t="shared" si="262"/>
        <v/>
      </c>
      <c r="S484" s="64" t="str">
        <f t="shared" si="263"/>
        <v/>
      </c>
      <c r="T484" s="63" t="str">
        <f t="shared" si="264"/>
        <v/>
      </c>
      <c r="U484" s="64" t="str">
        <f t="shared" si="265"/>
        <v/>
      </c>
      <c r="V484" s="219" t="str">
        <f>IF($A485="","",IF(AND(MONTH(A484)&gt;3,MONTH(A484)&lt;11),(T484+R484+G484)*Summary!$T$10/(1-Summary!$T$10),(T484+R484+G484)*Summary!$U$10/(1-Summary!$U$10)))</f>
        <v/>
      </c>
      <c r="W484" s="63" t="str">
        <f t="shared" si="266"/>
        <v/>
      </c>
      <c r="X484" s="63" t="str">
        <f t="shared" si="267"/>
        <v/>
      </c>
      <c r="Y484" s="43"/>
      <c r="AJ484" s="86"/>
      <c r="AK484" s="86"/>
      <c r="AL484" s="86"/>
      <c r="AM484" s="86"/>
      <c r="AN484" s="86"/>
      <c r="AO484" s="3" t="str">
        <f t="shared" si="268"/>
        <v/>
      </c>
      <c r="AP484" s="33" t="str">
        <f t="shared" si="269"/>
        <v/>
      </c>
      <c r="AQ484" s="58" t="str">
        <f t="shared" si="270"/>
        <v/>
      </c>
      <c r="AR484" s="38">
        <f>'ANR OK vs ML7'!AR484</f>
        <v>0.1</v>
      </c>
      <c r="AS484" s="35" t="str">
        <f t="shared" si="271"/>
        <v/>
      </c>
      <c r="AT484" s="3" t="str">
        <f t="shared" si="272"/>
        <v/>
      </c>
      <c r="AU484" s="3" t="str">
        <f t="shared" si="273"/>
        <v/>
      </c>
      <c r="AW484" s="32" t="str">
        <f t="shared" si="274"/>
        <v/>
      </c>
      <c r="AX484" s="32" t="str">
        <f t="shared" si="275"/>
        <v/>
      </c>
      <c r="AY484" s="32" t="str">
        <f t="shared" si="276"/>
        <v/>
      </c>
      <c r="BA484" s="32" t="str">
        <f>IF($A485="","",F484*Summary!$Q$10)</f>
        <v/>
      </c>
    </row>
    <row r="485" spans="1:53">
      <c r="A485" s="67" t="str">
        <f t="shared" si="277"/>
        <v/>
      </c>
      <c r="B485" s="69" t="str">
        <f t="shared" si="278"/>
        <v/>
      </c>
      <c r="D485" s="69" t="str">
        <f t="shared" si="252"/>
        <v/>
      </c>
      <c r="E485" s="70" t="str">
        <f t="shared" si="253"/>
        <v/>
      </c>
      <c r="F485" s="70" t="str">
        <f t="shared" si="254"/>
        <v/>
      </c>
      <c r="G485" s="63" t="str">
        <f t="shared" si="255"/>
        <v/>
      </c>
      <c r="H485" s="64" t="str">
        <f t="shared" si="256"/>
        <v/>
      </c>
      <c r="J485" s="63" t="str">
        <f t="shared" si="257"/>
        <v/>
      </c>
      <c r="K485" s="64" t="str">
        <f t="shared" si="258"/>
        <v/>
      </c>
      <c r="L485" s="38">
        <v>0</v>
      </c>
      <c r="M485" s="64" t="str">
        <f t="shared" si="259"/>
        <v/>
      </c>
      <c r="O485" s="63" t="str">
        <f t="shared" si="260"/>
        <v/>
      </c>
      <c r="P485" s="63" t="str">
        <f t="shared" si="261"/>
        <v/>
      </c>
      <c r="R485" s="63" t="str">
        <f t="shared" si="262"/>
        <v/>
      </c>
      <c r="S485" s="64" t="str">
        <f t="shared" si="263"/>
        <v/>
      </c>
      <c r="T485" s="63" t="str">
        <f t="shared" si="264"/>
        <v/>
      </c>
      <c r="U485" s="64" t="str">
        <f t="shared" si="265"/>
        <v/>
      </c>
      <c r="V485" s="219" t="str">
        <f>IF($A486="","",IF(AND(MONTH(A485)&gt;3,MONTH(A485)&lt;11),(T485+R485+G485)*Summary!$T$10/(1-Summary!$T$10),(T485+R485+G485)*Summary!$U$10/(1-Summary!$U$10)))</f>
        <v/>
      </c>
      <c r="W485" s="63" t="str">
        <f t="shared" si="266"/>
        <v/>
      </c>
      <c r="X485" s="63" t="str">
        <f t="shared" si="267"/>
        <v/>
      </c>
      <c r="Y485" s="43"/>
      <c r="AJ485" s="86"/>
      <c r="AK485" s="86"/>
      <c r="AL485" s="86"/>
      <c r="AM485" s="86"/>
      <c r="AN485" s="86"/>
      <c r="AO485" s="3" t="str">
        <f t="shared" si="268"/>
        <v/>
      </c>
      <c r="AP485" s="33" t="str">
        <f t="shared" si="269"/>
        <v/>
      </c>
      <c r="AQ485" s="58" t="str">
        <f t="shared" si="270"/>
        <v/>
      </c>
      <c r="AR485" s="38">
        <f>'ANR OK vs ML7'!AR485</f>
        <v>0.1</v>
      </c>
      <c r="AS485" s="35" t="str">
        <f t="shared" si="271"/>
        <v/>
      </c>
      <c r="AT485" s="3" t="str">
        <f t="shared" si="272"/>
        <v/>
      </c>
      <c r="AU485" s="3" t="str">
        <f t="shared" si="273"/>
        <v/>
      </c>
      <c r="AW485" s="32" t="str">
        <f t="shared" si="274"/>
        <v/>
      </c>
      <c r="AX485" s="32" t="str">
        <f t="shared" si="275"/>
        <v/>
      </c>
      <c r="AY485" s="32" t="str">
        <f t="shared" si="276"/>
        <v/>
      </c>
      <c r="BA485" s="32" t="str">
        <f>IF($A486="","",F485*Summary!$Q$10)</f>
        <v/>
      </c>
    </row>
    <row r="486" spans="1:53">
      <c r="A486" s="67" t="str">
        <f t="shared" si="277"/>
        <v/>
      </c>
      <c r="B486" s="69" t="str">
        <f t="shared" si="278"/>
        <v/>
      </c>
      <c r="D486" s="69" t="str">
        <f t="shared" si="252"/>
        <v/>
      </c>
      <c r="E486" s="70" t="str">
        <f t="shared" si="253"/>
        <v/>
      </c>
      <c r="F486" s="70" t="str">
        <f t="shared" si="254"/>
        <v/>
      </c>
      <c r="G486" s="63" t="str">
        <f t="shared" si="255"/>
        <v/>
      </c>
      <c r="H486" s="64" t="str">
        <f t="shared" si="256"/>
        <v/>
      </c>
      <c r="J486" s="63" t="str">
        <f t="shared" si="257"/>
        <v/>
      </c>
      <c r="K486" s="64" t="str">
        <f t="shared" si="258"/>
        <v/>
      </c>
      <c r="L486" s="38">
        <v>0</v>
      </c>
      <c r="M486" s="64" t="str">
        <f t="shared" si="259"/>
        <v/>
      </c>
      <c r="O486" s="63" t="str">
        <f t="shared" si="260"/>
        <v/>
      </c>
      <c r="P486" s="63" t="str">
        <f t="shared" si="261"/>
        <v/>
      </c>
      <c r="R486" s="63" t="str">
        <f t="shared" si="262"/>
        <v/>
      </c>
      <c r="S486" s="64" t="str">
        <f t="shared" si="263"/>
        <v/>
      </c>
      <c r="T486" s="63" t="str">
        <f t="shared" si="264"/>
        <v/>
      </c>
      <c r="U486" s="64" t="str">
        <f t="shared" si="265"/>
        <v/>
      </c>
      <c r="V486" s="219" t="str">
        <f>IF($A487="","",IF(AND(MONTH(A486)&gt;3,MONTH(A486)&lt;11),(T486+R486+G486)*Summary!$T$10/(1-Summary!$T$10),(T486+R486+G486)*Summary!$U$10/(1-Summary!$U$10)))</f>
        <v/>
      </c>
      <c r="W486" s="63" t="str">
        <f t="shared" si="266"/>
        <v/>
      </c>
      <c r="X486" s="63" t="str">
        <f t="shared" si="267"/>
        <v/>
      </c>
      <c r="Y486" s="43"/>
      <c r="AJ486" s="86"/>
      <c r="AK486" s="86"/>
      <c r="AL486" s="86"/>
      <c r="AM486" s="86"/>
      <c r="AN486" s="86"/>
      <c r="AO486" s="3" t="str">
        <f t="shared" si="268"/>
        <v/>
      </c>
      <c r="AP486" s="33" t="str">
        <f t="shared" si="269"/>
        <v/>
      </c>
      <c r="AQ486" s="58" t="str">
        <f t="shared" si="270"/>
        <v/>
      </c>
      <c r="AR486" s="38">
        <f>'ANR OK vs ML7'!AR486</f>
        <v>0.1</v>
      </c>
      <c r="AS486" s="35" t="str">
        <f t="shared" si="271"/>
        <v/>
      </c>
      <c r="AT486" s="3" t="str">
        <f t="shared" si="272"/>
        <v/>
      </c>
      <c r="AU486" s="3" t="str">
        <f t="shared" si="273"/>
        <v/>
      </c>
      <c r="AW486" s="32" t="str">
        <f t="shared" si="274"/>
        <v/>
      </c>
      <c r="AX486" s="32" t="str">
        <f t="shared" si="275"/>
        <v/>
      </c>
      <c r="AY486" s="32" t="str">
        <f t="shared" si="276"/>
        <v/>
      </c>
      <c r="BA486" s="32" t="str">
        <f>IF($A487="","",F486*Summary!$Q$10)</f>
        <v/>
      </c>
    </row>
    <row r="487" spans="1:53">
      <c r="A487" s="67" t="str">
        <f t="shared" si="277"/>
        <v/>
      </c>
      <c r="B487" s="69" t="str">
        <f t="shared" si="278"/>
        <v/>
      </c>
      <c r="D487" s="69" t="str">
        <f t="shared" si="252"/>
        <v/>
      </c>
      <c r="E487" s="70" t="str">
        <f t="shared" si="253"/>
        <v/>
      </c>
      <c r="F487" s="70" t="str">
        <f t="shared" si="254"/>
        <v/>
      </c>
      <c r="G487" s="63" t="str">
        <f t="shared" si="255"/>
        <v/>
      </c>
      <c r="H487" s="64" t="str">
        <f t="shared" si="256"/>
        <v/>
      </c>
      <c r="J487" s="63" t="str">
        <f t="shared" si="257"/>
        <v/>
      </c>
      <c r="K487" s="64" t="str">
        <f t="shared" si="258"/>
        <v/>
      </c>
      <c r="L487" s="38">
        <v>0</v>
      </c>
      <c r="M487" s="64" t="str">
        <f t="shared" si="259"/>
        <v/>
      </c>
      <c r="O487" s="63" t="str">
        <f t="shared" si="260"/>
        <v/>
      </c>
      <c r="P487" s="63" t="str">
        <f t="shared" si="261"/>
        <v/>
      </c>
      <c r="R487" s="63" t="str">
        <f t="shared" si="262"/>
        <v/>
      </c>
      <c r="S487" s="64" t="str">
        <f t="shared" si="263"/>
        <v/>
      </c>
      <c r="T487" s="63" t="str">
        <f t="shared" si="264"/>
        <v/>
      </c>
      <c r="U487" s="64" t="str">
        <f t="shared" si="265"/>
        <v/>
      </c>
      <c r="V487" s="219" t="str">
        <f>IF($A488="","",IF(AND(MONTH(A487)&gt;3,MONTH(A487)&lt;11),(T487+R487+G487)*Summary!$T$10/(1-Summary!$T$10),(T487+R487+G487)*Summary!$U$10/(1-Summary!$U$10)))</f>
        <v/>
      </c>
      <c r="W487" s="63" t="str">
        <f t="shared" si="266"/>
        <v/>
      </c>
      <c r="X487" s="63" t="str">
        <f t="shared" si="267"/>
        <v/>
      </c>
      <c r="Y487" s="43"/>
      <c r="AJ487" s="86"/>
      <c r="AK487" s="86"/>
      <c r="AL487" s="86"/>
      <c r="AM487" s="86"/>
      <c r="AN487" s="86"/>
      <c r="AO487" s="3" t="str">
        <f t="shared" si="268"/>
        <v/>
      </c>
      <c r="AP487" s="33" t="str">
        <f t="shared" si="269"/>
        <v/>
      </c>
      <c r="AQ487" s="58" t="str">
        <f t="shared" si="270"/>
        <v/>
      </c>
      <c r="AR487" s="38">
        <f>'ANR OK vs ML7'!AR487</f>
        <v>0.1</v>
      </c>
      <c r="AS487" s="35" t="str">
        <f t="shared" si="271"/>
        <v/>
      </c>
      <c r="AT487" s="3" t="str">
        <f t="shared" si="272"/>
        <v/>
      </c>
      <c r="AU487" s="3" t="str">
        <f t="shared" si="273"/>
        <v/>
      </c>
      <c r="AW487" s="32" t="str">
        <f t="shared" si="274"/>
        <v/>
      </c>
      <c r="AX487" s="32" t="str">
        <f t="shared" si="275"/>
        <v/>
      </c>
      <c r="AY487" s="32" t="str">
        <f t="shared" si="276"/>
        <v/>
      </c>
      <c r="BA487" s="32" t="str">
        <f>IF($A488="","",F487*Summary!$Q$10)</f>
        <v/>
      </c>
    </row>
    <row r="488" spans="1:53">
      <c r="A488" s="67" t="str">
        <f t="shared" si="277"/>
        <v/>
      </c>
      <c r="B488" s="69" t="str">
        <f t="shared" si="278"/>
        <v/>
      </c>
      <c r="D488" s="69" t="str">
        <f t="shared" si="252"/>
        <v/>
      </c>
      <c r="E488" s="70" t="str">
        <f t="shared" si="253"/>
        <v/>
      </c>
      <c r="F488" s="70" t="str">
        <f t="shared" si="254"/>
        <v/>
      </c>
      <c r="G488" s="63" t="str">
        <f t="shared" si="255"/>
        <v/>
      </c>
      <c r="H488" s="64" t="str">
        <f t="shared" si="256"/>
        <v/>
      </c>
      <c r="J488" s="63" t="str">
        <f t="shared" si="257"/>
        <v/>
      </c>
      <c r="K488" s="64" t="str">
        <f t="shared" si="258"/>
        <v/>
      </c>
      <c r="L488" s="38">
        <v>0</v>
      </c>
      <c r="M488" s="64" t="str">
        <f t="shared" si="259"/>
        <v/>
      </c>
      <c r="O488" s="63" t="str">
        <f t="shared" si="260"/>
        <v/>
      </c>
      <c r="P488" s="63" t="str">
        <f t="shared" si="261"/>
        <v/>
      </c>
      <c r="R488" s="63" t="str">
        <f t="shared" si="262"/>
        <v/>
      </c>
      <c r="S488" s="64" t="str">
        <f t="shared" si="263"/>
        <v/>
      </c>
      <c r="T488" s="63" t="str">
        <f t="shared" si="264"/>
        <v/>
      </c>
      <c r="U488" s="64" t="str">
        <f t="shared" si="265"/>
        <v/>
      </c>
      <c r="V488" s="219" t="str">
        <f>IF($A489="","",IF(AND(MONTH(A488)&gt;3,MONTH(A488)&lt;11),(T488+R488+G488)*Summary!$T$10/(1-Summary!$T$10),(T488+R488+G488)*Summary!$U$10/(1-Summary!$U$10)))</f>
        <v/>
      </c>
      <c r="W488" s="63" t="str">
        <f t="shared" si="266"/>
        <v/>
      </c>
      <c r="X488" s="63" t="str">
        <f t="shared" si="267"/>
        <v/>
      </c>
      <c r="Y488" s="43"/>
      <c r="AJ488" s="86"/>
      <c r="AK488" s="86"/>
      <c r="AL488" s="86"/>
      <c r="AM488" s="86"/>
      <c r="AN488" s="86"/>
      <c r="AO488" s="3" t="str">
        <f t="shared" si="268"/>
        <v/>
      </c>
      <c r="AP488" s="33" t="str">
        <f t="shared" si="269"/>
        <v/>
      </c>
      <c r="AQ488" s="58" t="str">
        <f t="shared" si="270"/>
        <v/>
      </c>
      <c r="AR488" s="38">
        <f>'ANR OK vs ML7'!AR488</f>
        <v>0.1</v>
      </c>
      <c r="AS488" s="35" t="str">
        <f t="shared" si="271"/>
        <v/>
      </c>
      <c r="AT488" s="3" t="str">
        <f t="shared" si="272"/>
        <v/>
      </c>
      <c r="AU488" s="3" t="str">
        <f t="shared" si="273"/>
        <v/>
      </c>
      <c r="AW488" s="32" t="str">
        <f t="shared" si="274"/>
        <v/>
      </c>
      <c r="AX488" s="32" t="str">
        <f t="shared" si="275"/>
        <v/>
      </c>
      <c r="AY488" s="32" t="str">
        <f t="shared" si="276"/>
        <v/>
      </c>
      <c r="BA488" s="32" t="str">
        <f>IF($A489="","",F488*Summary!$Q$10)</f>
        <v/>
      </c>
    </row>
    <row r="489" spans="1:53">
      <c r="A489" s="67" t="str">
        <f t="shared" si="277"/>
        <v/>
      </c>
      <c r="B489" s="69" t="str">
        <f t="shared" si="278"/>
        <v/>
      </c>
      <c r="D489" s="69" t="str">
        <f t="shared" si="252"/>
        <v/>
      </c>
      <c r="E489" s="70" t="str">
        <f t="shared" si="253"/>
        <v/>
      </c>
      <c r="F489" s="70" t="str">
        <f t="shared" si="254"/>
        <v/>
      </c>
      <c r="G489" s="63" t="str">
        <f t="shared" si="255"/>
        <v/>
      </c>
      <c r="H489" s="64" t="str">
        <f t="shared" si="256"/>
        <v/>
      </c>
      <c r="J489" s="63" t="str">
        <f t="shared" si="257"/>
        <v/>
      </c>
      <c r="K489" s="64" t="str">
        <f t="shared" si="258"/>
        <v/>
      </c>
      <c r="L489" s="38">
        <v>0</v>
      </c>
      <c r="M489" s="64" t="str">
        <f t="shared" si="259"/>
        <v/>
      </c>
      <c r="O489" s="63" t="str">
        <f t="shared" si="260"/>
        <v/>
      </c>
      <c r="P489" s="63" t="str">
        <f t="shared" si="261"/>
        <v/>
      </c>
      <c r="R489" s="63" t="str">
        <f t="shared" si="262"/>
        <v/>
      </c>
      <c r="S489" s="64" t="str">
        <f t="shared" si="263"/>
        <v/>
      </c>
      <c r="T489" s="63" t="str">
        <f t="shared" si="264"/>
        <v/>
      </c>
      <c r="U489" s="64" t="str">
        <f t="shared" si="265"/>
        <v/>
      </c>
      <c r="V489" s="219" t="str">
        <f>IF($A490="","",IF(AND(MONTH(A489)&gt;3,MONTH(A489)&lt;11),(T489+R489+G489)*Summary!$T$10/(1-Summary!$T$10),(T489+R489+G489)*Summary!$U$10/(1-Summary!$U$10)))</f>
        <v/>
      </c>
      <c r="W489" s="63" t="str">
        <f t="shared" si="266"/>
        <v/>
      </c>
      <c r="X489" s="63" t="str">
        <f t="shared" si="267"/>
        <v/>
      </c>
      <c r="Y489" s="43"/>
      <c r="AJ489" s="86"/>
      <c r="AK489" s="86"/>
      <c r="AL489" s="86"/>
      <c r="AM489" s="86"/>
      <c r="AN489" s="86"/>
      <c r="AO489" s="3" t="str">
        <f t="shared" si="268"/>
        <v/>
      </c>
      <c r="AP489" s="33" t="str">
        <f t="shared" si="269"/>
        <v/>
      </c>
      <c r="AQ489" s="58" t="str">
        <f t="shared" si="270"/>
        <v/>
      </c>
      <c r="AR489" s="38">
        <f>'ANR OK vs ML7'!AR489</f>
        <v>0.1</v>
      </c>
      <c r="AS489" s="35" t="str">
        <f t="shared" si="271"/>
        <v/>
      </c>
      <c r="AT489" s="3" t="str">
        <f t="shared" si="272"/>
        <v/>
      </c>
      <c r="AU489" s="3" t="str">
        <f t="shared" si="273"/>
        <v/>
      </c>
      <c r="AW489" s="32" t="str">
        <f t="shared" si="274"/>
        <v/>
      </c>
      <c r="AX489" s="32" t="str">
        <f t="shared" si="275"/>
        <v/>
      </c>
      <c r="AY489" s="32" t="str">
        <f t="shared" si="276"/>
        <v/>
      </c>
      <c r="BA489" s="32" t="str">
        <f>IF($A490="","",F489*Summary!$Q$10)</f>
        <v/>
      </c>
    </row>
    <row r="490" spans="1:53">
      <c r="A490" s="67" t="str">
        <f t="shared" si="277"/>
        <v/>
      </c>
      <c r="B490" s="69" t="str">
        <f t="shared" si="278"/>
        <v/>
      </c>
      <c r="D490" s="69" t="str">
        <f t="shared" si="252"/>
        <v/>
      </c>
      <c r="E490" s="70" t="str">
        <f t="shared" si="253"/>
        <v/>
      </c>
      <c r="F490" s="70" t="str">
        <f t="shared" si="254"/>
        <v/>
      </c>
      <c r="G490" s="63" t="str">
        <f t="shared" si="255"/>
        <v/>
      </c>
      <c r="H490" s="64" t="str">
        <f t="shared" si="256"/>
        <v/>
      </c>
      <c r="J490" s="63" t="str">
        <f t="shared" si="257"/>
        <v/>
      </c>
      <c r="K490" s="64" t="str">
        <f t="shared" si="258"/>
        <v/>
      </c>
      <c r="L490" s="38">
        <v>0</v>
      </c>
      <c r="M490" s="64" t="str">
        <f t="shared" si="259"/>
        <v/>
      </c>
      <c r="O490" s="63" t="str">
        <f t="shared" si="260"/>
        <v/>
      </c>
      <c r="P490" s="63" t="str">
        <f t="shared" si="261"/>
        <v/>
      </c>
      <c r="R490" s="63" t="str">
        <f t="shared" si="262"/>
        <v/>
      </c>
      <c r="S490" s="64" t="str">
        <f t="shared" si="263"/>
        <v/>
      </c>
      <c r="T490" s="63" t="str">
        <f t="shared" si="264"/>
        <v/>
      </c>
      <c r="U490" s="64" t="str">
        <f t="shared" si="265"/>
        <v/>
      </c>
      <c r="V490" s="219" t="str">
        <f>IF($A491="","",IF(AND(MONTH(A490)&gt;3,MONTH(A490)&lt;11),(T490+R490+G490)*Summary!$T$10/(1-Summary!$T$10),(T490+R490+G490)*Summary!$U$10/(1-Summary!$U$10)))</f>
        <v/>
      </c>
      <c r="W490" s="63" t="str">
        <f t="shared" si="266"/>
        <v/>
      </c>
      <c r="X490" s="63" t="str">
        <f t="shared" si="267"/>
        <v/>
      </c>
      <c r="Y490" s="43"/>
      <c r="AJ490" s="86"/>
      <c r="AK490" s="86"/>
      <c r="AL490" s="86"/>
      <c r="AM490" s="86"/>
      <c r="AN490" s="86"/>
      <c r="AO490" s="3" t="str">
        <f t="shared" si="268"/>
        <v/>
      </c>
      <c r="AP490" s="33" t="str">
        <f t="shared" si="269"/>
        <v/>
      </c>
      <c r="AQ490" s="58" t="str">
        <f t="shared" si="270"/>
        <v/>
      </c>
      <c r="AR490" s="38">
        <f>'ANR OK vs ML7'!AR490</f>
        <v>0.1</v>
      </c>
      <c r="AS490" s="35" t="str">
        <f t="shared" si="271"/>
        <v/>
      </c>
      <c r="AT490" s="3" t="str">
        <f t="shared" si="272"/>
        <v/>
      </c>
      <c r="AU490" s="3" t="str">
        <f t="shared" si="273"/>
        <v/>
      </c>
      <c r="AW490" s="32" t="str">
        <f t="shared" si="274"/>
        <v/>
      </c>
      <c r="AX490" s="32" t="str">
        <f t="shared" si="275"/>
        <v/>
      </c>
      <c r="AY490" s="32" t="str">
        <f t="shared" si="276"/>
        <v/>
      </c>
      <c r="BA490" s="32" t="str">
        <f>IF($A491="","",F490*Summary!$Q$10)</f>
        <v/>
      </c>
    </row>
    <row r="491" spans="1:53">
      <c r="A491" s="67" t="str">
        <f t="shared" si="277"/>
        <v/>
      </c>
      <c r="B491" s="69" t="str">
        <f t="shared" si="278"/>
        <v/>
      </c>
      <c r="D491" s="69" t="str">
        <f t="shared" si="252"/>
        <v/>
      </c>
      <c r="E491" s="70" t="str">
        <f t="shared" si="253"/>
        <v/>
      </c>
      <c r="F491" s="70" t="str">
        <f t="shared" si="254"/>
        <v/>
      </c>
      <c r="G491" s="63" t="str">
        <f t="shared" si="255"/>
        <v/>
      </c>
      <c r="H491" s="64" t="str">
        <f t="shared" si="256"/>
        <v/>
      </c>
      <c r="J491" s="63" t="str">
        <f t="shared" si="257"/>
        <v/>
      </c>
      <c r="K491" s="64" t="str">
        <f t="shared" si="258"/>
        <v/>
      </c>
      <c r="L491" s="38">
        <v>0</v>
      </c>
      <c r="M491" s="64" t="str">
        <f t="shared" si="259"/>
        <v/>
      </c>
      <c r="O491" s="63" t="str">
        <f t="shared" si="260"/>
        <v/>
      </c>
      <c r="P491" s="63" t="str">
        <f t="shared" si="261"/>
        <v/>
      </c>
      <c r="R491" s="63" t="str">
        <f t="shared" si="262"/>
        <v/>
      </c>
      <c r="S491" s="64" t="str">
        <f t="shared" si="263"/>
        <v/>
      </c>
      <c r="T491" s="63" t="str">
        <f t="shared" si="264"/>
        <v/>
      </c>
      <c r="U491" s="64" t="str">
        <f t="shared" si="265"/>
        <v/>
      </c>
      <c r="V491" s="219" t="str">
        <f>IF($A492="","",IF(AND(MONTH(A491)&gt;3,MONTH(A491)&lt;11),(T491+R491+G491)*Summary!$T$10/(1-Summary!$T$10),(T491+R491+G491)*Summary!$U$10/(1-Summary!$U$10)))</f>
        <v/>
      </c>
      <c r="W491" s="63" t="str">
        <f t="shared" si="266"/>
        <v/>
      </c>
      <c r="X491" s="63" t="str">
        <f t="shared" si="267"/>
        <v/>
      </c>
      <c r="Y491" s="43"/>
      <c r="AJ491" s="86"/>
      <c r="AK491" s="86"/>
      <c r="AL491" s="86"/>
      <c r="AM491" s="86"/>
      <c r="AN491" s="86"/>
      <c r="AO491" s="3" t="str">
        <f t="shared" si="268"/>
        <v/>
      </c>
      <c r="AP491" s="33" t="str">
        <f t="shared" si="269"/>
        <v/>
      </c>
      <c r="AQ491" s="58" t="str">
        <f t="shared" si="270"/>
        <v/>
      </c>
      <c r="AR491" s="38">
        <f>'ANR OK vs ML7'!AR491</f>
        <v>0.1</v>
      </c>
      <c r="AS491" s="35" t="str">
        <f t="shared" si="271"/>
        <v/>
      </c>
      <c r="AT491" s="3" t="str">
        <f t="shared" si="272"/>
        <v/>
      </c>
      <c r="AU491" s="3" t="str">
        <f t="shared" si="273"/>
        <v/>
      </c>
      <c r="AW491" s="32" t="str">
        <f t="shared" si="274"/>
        <v/>
      </c>
      <c r="AX491" s="32" t="str">
        <f t="shared" si="275"/>
        <v/>
      </c>
      <c r="AY491" s="32" t="str">
        <f t="shared" si="276"/>
        <v/>
      </c>
      <c r="BA491" s="32" t="str">
        <f>IF($A492="","",F491*Summary!$Q$10)</f>
        <v/>
      </c>
    </row>
    <row r="492" spans="1:53">
      <c r="A492" s="67" t="str">
        <f t="shared" si="277"/>
        <v/>
      </c>
      <c r="B492" s="69" t="str">
        <f t="shared" si="278"/>
        <v/>
      </c>
      <c r="D492" s="69" t="str">
        <f t="shared" si="252"/>
        <v/>
      </c>
      <c r="E492" s="70" t="str">
        <f t="shared" si="253"/>
        <v/>
      </c>
      <c r="F492" s="70" t="str">
        <f t="shared" si="254"/>
        <v/>
      </c>
      <c r="G492" s="63" t="str">
        <f t="shared" si="255"/>
        <v/>
      </c>
      <c r="H492" s="64" t="str">
        <f t="shared" si="256"/>
        <v/>
      </c>
      <c r="J492" s="63" t="str">
        <f t="shared" si="257"/>
        <v/>
      </c>
      <c r="K492" s="64" t="str">
        <f t="shared" si="258"/>
        <v/>
      </c>
      <c r="L492" s="38">
        <v>0</v>
      </c>
      <c r="M492" s="64" t="str">
        <f t="shared" si="259"/>
        <v/>
      </c>
      <c r="O492" s="63" t="str">
        <f t="shared" si="260"/>
        <v/>
      </c>
      <c r="P492" s="63" t="str">
        <f t="shared" si="261"/>
        <v/>
      </c>
      <c r="R492" s="63" t="str">
        <f t="shared" si="262"/>
        <v/>
      </c>
      <c r="S492" s="64" t="str">
        <f t="shared" si="263"/>
        <v/>
      </c>
      <c r="T492" s="63" t="str">
        <f t="shared" si="264"/>
        <v/>
      </c>
      <c r="U492" s="64" t="str">
        <f t="shared" si="265"/>
        <v/>
      </c>
      <c r="V492" s="219" t="str">
        <f>IF($A493="","",IF(AND(MONTH(A492)&gt;3,MONTH(A492)&lt;11),(T492+R492+G492)*Summary!$T$10/(1-Summary!$T$10),(T492+R492+G492)*Summary!$U$10/(1-Summary!$U$10)))</f>
        <v/>
      </c>
      <c r="W492" s="63" t="str">
        <f t="shared" si="266"/>
        <v/>
      </c>
      <c r="X492" s="63" t="str">
        <f t="shared" si="267"/>
        <v/>
      </c>
      <c r="Y492" s="43"/>
      <c r="AJ492" s="86"/>
      <c r="AK492" s="86"/>
      <c r="AL492" s="86"/>
      <c r="AM492" s="86"/>
      <c r="AN492" s="86"/>
      <c r="AO492" s="3" t="str">
        <f t="shared" si="268"/>
        <v/>
      </c>
      <c r="AP492" s="33" t="str">
        <f t="shared" si="269"/>
        <v/>
      </c>
      <c r="AQ492" s="58" t="str">
        <f t="shared" si="270"/>
        <v/>
      </c>
      <c r="AR492" s="38">
        <f>'ANR OK vs ML7'!AR492</f>
        <v>0.1</v>
      </c>
      <c r="AS492" s="35" t="str">
        <f t="shared" si="271"/>
        <v/>
      </c>
      <c r="AT492" s="3" t="str">
        <f t="shared" si="272"/>
        <v/>
      </c>
      <c r="AU492" s="3" t="str">
        <f t="shared" si="273"/>
        <v/>
      </c>
      <c r="AW492" s="32" t="str">
        <f t="shared" si="274"/>
        <v/>
      </c>
      <c r="AX492" s="32" t="str">
        <f t="shared" si="275"/>
        <v/>
      </c>
      <c r="AY492" s="32" t="str">
        <f t="shared" si="276"/>
        <v/>
      </c>
      <c r="BA492" s="32" t="str">
        <f>IF($A493="","",F492*Summary!$Q$10)</f>
        <v/>
      </c>
    </row>
    <row r="493" spans="1:53">
      <c r="A493" s="67" t="str">
        <f t="shared" si="277"/>
        <v/>
      </c>
      <c r="B493" s="69" t="str">
        <f t="shared" si="278"/>
        <v/>
      </c>
      <c r="D493" s="69" t="str">
        <f t="shared" si="252"/>
        <v/>
      </c>
      <c r="E493" s="70" t="str">
        <f t="shared" si="253"/>
        <v/>
      </c>
      <c r="F493" s="70" t="str">
        <f t="shared" si="254"/>
        <v/>
      </c>
      <c r="G493" s="63" t="str">
        <f t="shared" si="255"/>
        <v/>
      </c>
      <c r="H493" s="64" t="str">
        <f t="shared" si="256"/>
        <v/>
      </c>
      <c r="J493" s="63" t="str">
        <f t="shared" si="257"/>
        <v/>
      </c>
      <c r="K493" s="64" t="str">
        <f t="shared" si="258"/>
        <v/>
      </c>
      <c r="L493" s="38">
        <v>0</v>
      </c>
      <c r="M493" s="64" t="str">
        <f t="shared" si="259"/>
        <v/>
      </c>
      <c r="O493" s="63" t="str">
        <f t="shared" si="260"/>
        <v/>
      </c>
      <c r="P493" s="63" t="str">
        <f t="shared" si="261"/>
        <v/>
      </c>
      <c r="R493" s="63" t="str">
        <f t="shared" si="262"/>
        <v/>
      </c>
      <c r="S493" s="64" t="str">
        <f t="shared" si="263"/>
        <v/>
      </c>
      <c r="T493" s="63" t="str">
        <f t="shared" si="264"/>
        <v/>
      </c>
      <c r="U493" s="64" t="str">
        <f t="shared" si="265"/>
        <v/>
      </c>
      <c r="V493" s="219" t="str">
        <f>IF($A494="","",IF(AND(MONTH(A493)&gt;3,MONTH(A493)&lt;11),(T493+R493+G493)*Summary!$T$10/(1-Summary!$T$10),(T493+R493+G493)*Summary!$U$10/(1-Summary!$U$10)))</f>
        <v/>
      </c>
      <c r="W493" s="63" t="str">
        <f t="shared" si="266"/>
        <v/>
      </c>
      <c r="X493" s="63" t="str">
        <f t="shared" si="267"/>
        <v/>
      </c>
      <c r="Y493" s="43"/>
      <c r="AJ493" s="86"/>
      <c r="AK493" s="86"/>
      <c r="AL493" s="86"/>
      <c r="AM493" s="86"/>
      <c r="AN493" s="86"/>
      <c r="AO493" s="3" t="str">
        <f t="shared" si="268"/>
        <v/>
      </c>
      <c r="AP493" s="33" t="str">
        <f t="shared" si="269"/>
        <v/>
      </c>
      <c r="AQ493" s="58" t="str">
        <f t="shared" si="270"/>
        <v/>
      </c>
      <c r="AR493" s="38">
        <f>'ANR OK vs ML7'!AR493</f>
        <v>0.1</v>
      </c>
      <c r="AS493" s="35" t="str">
        <f t="shared" si="271"/>
        <v/>
      </c>
      <c r="AT493" s="3" t="str">
        <f t="shared" si="272"/>
        <v/>
      </c>
      <c r="AU493" s="3" t="str">
        <f t="shared" si="273"/>
        <v/>
      </c>
      <c r="AW493" s="32" t="str">
        <f t="shared" si="274"/>
        <v/>
      </c>
      <c r="AX493" s="32" t="str">
        <f t="shared" si="275"/>
        <v/>
      </c>
      <c r="AY493" s="32" t="str">
        <f t="shared" si="276"/>
        <v/>
      </c>
      <c r="BA493" s="32" t="str">
        <f>IF($A494="","",F493*Summary!$Q$10)</f>
        <v/>
      </c>
    </row>
    <row r="494" spans="1:53">
      <c r="A494" s="67" t="str">
        <f t="shared" si="277"/>
        <v/>
      </c>
      <c r="B494" s="69" t="str">
        <f t="shared" si="278"/>
        <v/>
      </c>
      <c r="D494" s="69" t="str">
        <f t="shared" si="252"/>
        <v/>
      </c>
      <c r="E494" s="70" t="str">
        <f t="shared" si="253"/>
        <v/>
      </c>
      <c r="F494" s="70" t="str">
        <f t="shared" si="254"/>
        <v/>
      </c>
      <c r="G494" s="63" t="str">
        <f t="shared" si="255"/>
        <v/>
      </c>
      <c r="H494" s="64" t="str">
        <f t="shared" si="256"/>
        <v/>
      </c>
      <c r="J494" s="63" t="str">
        <f t="shared" si="257"/>
        <v/>
      </c>
      <c r="K494" s="64" t="str">
        <f t="shared" si="258"/>
        <v/>
      </c>
      <c r="L494" s="38">
        <v>0</v>
      </c>
      <c r="M494" s="64" t="str">
        <f t="shared" si="259"/>
        <v/>
      </c>
      <c r="O494" s="63" t="str">
        <f t="shared" si="260"/>
        <v/>
      </c>
      <c r="P494" s="63" t="str">
        <f t="shared" si="261"/>
        <v/>
      </c>
      <c r="R494" s="63" t="str">
        <f t="shared" si="262"/>
        <v/>
      </c>
      <c r="S494" s="64" t="str">
        <f t="shared" si="263"/>
        <v/>
      </c>
      <c r="T494" s="63" t="str">
        <f t="shared" si="264"/>
        <v/>
      </c>
      <c r="U494" s="64" t="str">
        <f t="shared" si="265"/>
        <v/>
      </c>
      <c r="V494" s="219" t="str">
        <f>IF($A495="","",IF(AND(MONTH(A494)&gt;3,MONTH(A494)&lt;11),(T494+R494+G494)*Summary!$T$10/(1-Summary!$T$10),(T494+R494+G494)*Summary!$U$10/(1-Summary!$U$10)))</f>
        <v/>
      </c>
      <c r="W494" s="63" t="str">
        <f t="shared" si="266"/>
        <v/>
      </c>
      <c r="X494" s="63" t="str">
        <f t="shared" si="267"/>
        <v/>
      </c>
      <c r="Y494" s="43"/>
      <c r="AJ494" s="86"/>
      <c r="AK494" s="86"/>
      <c r="AL494" s="86"/>
      <c r="AM494" s="86"/>
      <c r="AN494" s="86"/>
      <c r="AO494" s="3" t="str">
        <f t="shared" si="268"/>
        <v/>
      </c>
      <c r="AP494" s="33" t="str">
        <f t="shared" si="269"/>
        <v/>
      </c>
      <c r="AQ494" s="58" t="str">
        <f t="shared" si="270"/>
        <v/>
      </c>
      <c r="AR494" s="38">
        <f>'ANR OK vs ML7'!AR494</f>
        <v>0.1</v>
      </c>
      <c r="AS494" s="35" t="str">
        <f t="shared" si="271"/>
        <v/>
      </c>
      <c r="AT494" s="3" t="str">
        <f t="shared" si="272"/>
        <v/>
      </c>
      <c r="AU494" s="3" t="str">
        <f t="shared" si="273"/>
        <v/>
      </c>
      <c r="AW494" s="32" t="str">
        <f t="shared" si="274"/>
        <v/>
      </c>
      <c r="AX494" s="32" t="str">
        <f t="shared" si="275"/>
        <v/>
      </c>
      <c r="AY494" s="32" t="str">
        <f t="shared" si="276"/>
        <v/>
      </c>
      <c r="BA494" s="32" t="str">
        <f>IF($A495="","",F494*Summary!$Q$10)</f>
        <v/>
      </c>
    </row>
    <row r="495" spans="1:53">
      <c r="A495" s="67" t="str">
        <f t="shared" si="277"/>
        <v/>
      </c>
      <c r="B495" s="69" t="str">
        <f t="shared" si="278"/>
        <v/>
      </c>
      <c r="D495" s="69" t="str">
        <f t="shared" si="252"/>
        <v/>
      </c>
      <c r="E495" s="70" t="str">
        <f t="shared" si="253"/>
        <v/>
      </c>
      <c r="F495" s="70" t="str">
        <f t="shared" si="254"/>
        <v/>
      </c>
      <c r="G495" s="63" t="str">
        <f t="shared" si="255"/>
        <v/>
      </c>
      <c r="H495" s="64" t="str">
        <f t="shared" si="256"/>
        <v/>
      </c>
      <c r="J495" s="63" t="str">
        <f t="shared" si="257"/>
        <v/>
      </c>
      <c r="K495" s="64" t="str">
        <f t="shared" si="258"/>
        <v/>
      </c>
      <c r="L495" s="38">
        <v>0</v>
      </c>
      <c r="M495" s="64" t="str">
        <f t="shared" si="259"/>
        <v/>
      </c>
      <c r="O495" s="63" t="str">
        <f t="shared" si="260"/>
        <v/>
      </c>
      <c r="P495" s="63" t="str">
        <f t="shared" si="261"/>
        <v/>
      </c>
      <c r="R495" s="63" t="str">
        <f t="shared" si="262"/>
        <v/>
      </c>
      <c r="S495" s="64" t="str">
        <f t="shared" si="263"/>
        <v/>
      </c>
      <c r="T495" s="63" t="str">
        <f t="shared" si="264"/>
        <v/>
      </c>
      <c r="U495" s="64" t="str">
        <f t="shared" si="265"/>
        <v/>
      </c>
      <c r="V495" s="219" t="str">
        <f>IF($A496="","",IF(AND(MONTH(A495)&gt;3,MONTH(A495)&lt;11),(T495+R495+G495)*Summary!$T$10/(1-Summary!$T$10),(T495+R495+G495)*Summary!$U$10/(1-Summary!$U$10)))</f>
        <v/>
      </c>
      <c r="W495" s="63" t="str">
        <f t="shared" si="266"/>
        <v/>
      </c>
      <c r="X495" s="63" t="str">
        <f t="shared" si="267"/>
        <v/>
      </c>
      <c r="Y495" s="43"/>
      <c r="AJ495" s="86"/>
      <c r="AK495" s="86"/>
      <c r="AL495" s="86"/>
      <c r="AM495" s="86"/>
      <c r="AN495" s="86"/>
      <c r="AO495" s="3" t="str">
        <f t="shared" si="268"/>
        <v/>
      </c>
      <c r="AP495" s="33" t="str">
        <f t="shared" si="269"/>
        <v/>
      </c>
      <c r="AQ495" s="58" t="str">
        <f t="shared" si="270"/>
        <v/>
      </c>
      <c r="AR495" s="38">
        <f>'ANR OK vs ML7'!AR495</f>
        <v>0.1</v>
      </c>
      <c r="AS495" s="35" t="str">
        <f t="shared" si="271"/>
        <v/>
      </c>
      <c r="AT495" s="3" t="str">
        <f t="shared" si="272"/>
        <v/>
      </c>
      <c r="AU495" s="3" t="str">
        <f t="shared" si="273"/>
        <v/>
      </c>
      <c r="AW495" s="32" t="str">
        <f t="shared" si="274"/>
        <v/>
      </c>
      <c r="AX495" s="32" t="str">
        <f t="shared" si="275"/>
        <v/>
      </c>
      <c r="AY495" s="32" t="str">
        <f t="shared" si="276"/>
        <v/>
      </c>
      <c r="BA495" s="32" t="str">
        <f>IF($A496="","",F495*Summary!$Q$10)</f>
        <v/>
      </c>
    </row>
    <row r="496" spans="1:53">
      <c r="A496" s="67" t="str">
        <f t="shared" si="277"/>
        <v/>
      </c>
      <c r="B496" s="69" t="str">
        <f t="shared" si="278"/>
        <v/>
      </c>
      <c r="D496" s="69" t="str">
        <f t="shared" si="252"/>
        <v/>
      </c>
      <c r="E496" s="70" t="str">
        <f t="shared" si="253"/>
        <v/>
      </c>
      <c r="F496" s="70" t="str">
        <f t="shared" si="254"/>
        <v/>
      </c>
      <c r="G496" s="63" t="str">
        <f t="shared" si="255"/>
        <v/>
      </c>
      <c r="H496" s="64" t="str">
        <f t="shared" si="256"/>
        <v/>
      </c>
      <c r="J496" s="63" t="str">
        <f t="shared" si="257"/>
        <v/>
      </c>
      <c r="K496" s="64" t="str">
        <f t="shared" si="258"/>
        <v/>
      </c>
      <c r="L496" s="38">
        <v>0</v>
      </c>
      <c r="M496" s="64" t="str">
        <f t="shared" si="259"/>
        <v/>
      </c>
      <c r="O496" s="63" t="str">
        <f t="shared" si="260"/>
        <v/>
      </c>
      <c r="P496" s="63" t="str">
        <f t="shared" si="261"/>
        <v/>
      </c>
      <c r="R496" s="63" t="str">
        <f t="shared" si="262"/>
        <v/>
      </c>
      <c r="S496" s="64" t="str">
        <f t="shared" si="263"/>
        <v/>
      </c>
      <c r="T496" s="63" t="str">
        <f t="shared" si="264"/>
        <v/>
      </c>
      <c r="U496" s="64" t="str">
        <f t="shared" si="265"/>
        <v/>
      </c>
      <c r="V496" s="219" t="str">
        <f>IF($A497="","",IF(AND(MONTH(A496)&gt;3,MONTH(A496)&lt;11),(T496+R496+G496)*Summary!$T$10/(1-Summary!$T$10),(T496+R496+G496)*Summary!$U$10/(1-Summary!$U$10)))</f>
        <v/>
      </c>
      <c r="W496" s="63" t="str">
        <f t="shared" si="266"/>
        <v/>
      </c>
      <c r="X496" s="63" t="str">
        <f t="shared" si="267"/>
        <v/>
      </c>
      <c r="Y496" s="43"/>
      <c r="AJ496" s="86"/>
      <c r="AK496" s="86"/>
      <c r="AL496" s="86"/>
      <c r="AM496" s="86"/>
      <c r="AN496" s="86"/>
      <c r="AO496" s="3" t="str">
        <f t="shared" si="268"/>
        <v/>
      </c>
      <c r="AP496" s="33" t="str">
        <f t="shared" si="269"/>
        <v/>
      </c>
      <c r="AQ496" s="58" t="str">
        <f t="shared" si="270"/>
        <v/>
      </c>
      <c r="AR496" s="38">
        <f>'ANR OK vs ML7'!AR496</f>
        <v>0.1</v>
      </c>
      <c r="AS496" s="35" t="str">
        <f t="shared" si="271"/>
        <v/>
      </c>
      <c r="AT496" s="3" t="str">
        <f t="shared" si="272"/>
        <v/>
      </c>
      <c r="AU496" s="3" t="str">
        <f t="shared" si="273"/>
        <v/>
      </c>
      <c r="AW496" s="32" t="str">
        <f t="shared" si="274"/>
        <v/>
      </c>
      <c r="AX496" s="32" t="str">
        <f t="shared" si="275"/>
        <v/>
      </c>
      <c r="AY496" s="32" t="str">
        <f t="shared" si="276"/>
        <v/>
      </c>
      <c r="BA496" s="32" t="str">
        <f>IF($A497="","",F496*Summary!$Q$10)</f>
        <v/>
      </c>
    </row>
    <row r="497" spans="1:242">
      <c r="A497" s="67" t="str">
        <f t="shared" si="277"/>
        <v/>
      </c>
      <c r="B497" s="69" t="str">
        <f t="shared" si="278"/>
        <v/>
      </c>
      <c r="D497" s="69" t="str">
        <f t="shared" si="252"/>
        <v/>
      </c>
      <c r="E497" s="70" t="str">
        <f t="shared" si="253"/>
        <v/>
      </c>
      <c r="F497" s="70" t="str">
        <f t="shared" si="254"/>
        <v/>
      </c>
      <c r="G497" s="63" t="str">
        <f t="shared" si="255"/>
        <v/>
      </c>
      <c r="H497" s="64" t="str">
        <f t="shared" si="256"/>
        <v/>
      </c>
      <c r="J497" s="63" t="str">
        <f t="shared" si="257"/>
        <v/>
      </c>
      <c r="K497" s="64" t="str">
        <f t="shared" si="258"/>
        <v/>
      </c>
      <c r="L497" s="38">
        <v>0</v>
      </c>
      <c r="M497" s="64" t="str">
        <f t="shared" si="259"/>
        <v/>
      </c>
      <c r="O497" s="63" t="str">
        <f t="shared" si="260"/>
        <v/>
      </c>
      <c r="P497" s="63" t="str">
        <f t="shared" si="261"/>
        <v/>
      </c>
      <c r="R497" s="63" t="str">
        <f t="shared" si="262"/>
        <v/>
      </c>
      <c r="S497" s="64" t="str">
        <f t="shared" si="263"/>
        <v/>
      </c>
      <c r="T497" s="63" t="str">
        <f t="shared" si="264"/>
        <v/>
      </c>
      <c r="U497" s="64" t="str">
        <f t="shared" si="265"/>
        <v/>
      </c>
      <c r="V497" s="219" t="str">
        <f>IF($A498="","",IF(AND(MONTH(A497)&gt;3,MONTH(A497)&lt;11),(T497+R497+G497)*Summary!$T$10/(1-Summary!$T$10),(T497+R497+G497)*Summary!$U$10/(1-Summary!$U$10)))</f>
        <v/>
      </c>
      <c r="W497" s="63" t="str">
        <f t="shared" si="266"/>
        <v/>
      </c>
      <c r="X497" s="63" t="str">
        <f t="shared" si="267"/>
        <v/>
      </c>
      <c r="Y497" s="43"/>
      <c r="AJ497" s="86"/>
      <c r="AK497" s="86"/>
      <c r="AL497" s="86"/>
      <c r="AM497" s="86"/>
      <c r="AN497" s="86"/>
      <c r="AO497" s="3" t="str">
        <f t="shared" si="268"/>
        <v/>
      </c>
      <c r="AP497" s="33" t="str">
        <f t="shared" si="269"/>
        <v/>
      </c>
      <c r="AQ497" s="58" t="str">
        <f t="shared" si="270"/>
        <v/>
      </c>
      <c r="AR497" s="38">
        <f>'ANR OK vs ML7'!AR497</f>
        <v>0.1</v>
      </c>
      <c r="AS497" s="35" t="str">
        <f t="shared" si="271"/>
        <v/>
      </c>
      <c r="AT497" s="3" t="str">
        <f t="shared" si="272"/>
        <v/>
      </c>
      <c r="AU497" s="3" t="str">
        <f t="shared" si="273"/>
        <v/>
      </c>
      <c r="AW497" s="32" t="str">
        <f t="shared" si="274"/>
        <v/>
      </c>
      <c r="AX497" s="32" t="str">
        <f t="shared" si="275"/>
        <v/>
      </c>
      <c r="AY497" s="32" t="str">
        <f t="shared" si="276"/>
        <v/>
      </c>
      <c r="BA497" s="32" t="str">
        <f>IF($A498="","",F497*Summary!$Q$10)</f>
        <v/>
      </c>
    </row>
    <row r="498" spans="1:242">
      <c r="A498" s="67" t="str">
        <f t="shared" si="277"/>
        <v/>
      </c>
      <c r="B498" s="69" t="str">
        <f t="shared" si="278"/>
        <v/>
      </c>
      <c r="D498" s="69" t="str">
        <f t="shared" si="252"/>
        <v/>
      </c>
      <c r="E498" s="70" t="str">
        <f t="shared" si="253"/>
        <v/>
      </c>
      <c r="F498" s="70" t="str">
        <f t="shared" si="254"/>
        <v/>
      </c>
      <c r="G498" s="63" t="str">
        <f t="shared" si="255"/>
        <v/>
      </c>
      <c r="H498" s="64" t="str">
        <f t="shared" si="256"/>
        <v/>
      </c>
      <c r="J498" s="63" t="str">
        <f t="shared" si="257"/>
        <v/>
      </c>
      <c r="K498" s="64" t="str">
        <f t="shared" si="258"/>
        <v/>
      </c>
      <c r="L498" s="38">
        <v>0</v>
      </c>
      <c r="M498" s="64" t="str">
        <f t="shared" si="259"/>
        <v/>
      </c>
      <c r="O498" s="63" t="str">
        <f t="shared" si="260"/>
        <v/>
      </c>
      <c r="P498" s="63" t="str">
        <f t="shared" si="261"/>
        <v/>
      </c>
      <c r="R498" s="63" t="str">
        <f t="shared" si="262"/>
        <v/>
      </c>
      <c r="S498" s="64" t="str">
        <f t="shared" si="263"/>
        <v/>
      </c>
      <c r="T498" s="63" t="str">
        <f t="shared" si="264"/>
        <v/>
      </c>
      <c r="U498" s="64" t="str">
        <f t="shared" si="265"/>
        <v/>
      </c>
      <c r="V498" s="219" t="str">
        <f>IF($A499="","",IF(AND(MONTH(A498)&gt;3,MONTH(A498)&lt;11),(T498+R498+G498)*Summary!$T$10/(1-Summary!$T$10),(T498+R498+G498)*Summary!$U$10/(1-Summary!$U$10)))</f>
        <v/>
      </c>
      <c r="W498" s="63" t="str">
        <f t="shared" si="266"/>
        <v/>
      </c>
      <c r="X498" s="63" t="str">
        <f t="shared" si="267"/>
        <v/>
      </c>
      <c r="Y498" s="43"/>
      <c r="AJ498" s="86"/>
      <c r="AK498" s="86"/>
      <c r="AL498" s="86"/>
      <c r="AM498" s="86"/>
      <c r="AN498" s="86"/>
      <c r="AO498" s="3" t="str">
        <f t="shared" si="268"/>
        <v/>
      </c>
      <c r="AP498" s="33" t="str">
        <f t="shared" si="269"/>
        <v/>
      </c>
      <c r="AQ498" s="58" t="str">
        <f t="shared" si="270"/>
        <v/>
      </c>
      <c r="AR498" s="38">
        <f>'ANR OK vs ML7'!AR498</f>
        <v>0.1</v>
      </c>
      <c r="AS498" s="35" t="str">
        <f t="shared" si="271"/>
        <v/>
      </c>
      <c r="AT498" s="3" t="str">
        <f t="shared" si="272"/>
        <v/>
      </c>
      <c r="AU498" s="3" t="str">
        <f t="shared" si="273"/>
        <v/>
      </c>
      <c r="AW498" s="32" t="str">
        <f t="shared" si="274"/>
        <v/>
      </c>
      <c r="AX498" s="32" t="str">
        <f t="shared" si="275"/>
        <v/>
      </c>
      <c r="AY498" s="32" t="str">
        <f t="shared" si="276"/>
        <v/>
      </c>
      <c r="BA498" s="32" t="str">
        <f>IF($A499="","",F498*Summary!$Q$10)</f>
        <v/>
      </c>
    </row>
    <row r="499" spans="1:242">
      <c r="A499" s="67" t="str">
        <f t="shared" si="277"/>
        <v/>
      </c>
      <c r="B499" s="69" t="str">
        <f t="shared" si="278"/>
        <v/>
      </c>
      <c r="D499" s="69" t="str">
        <f t="shared" si="252"/>
        <v/>
      </c>
      <c r="E499" s="70" t="str">
        <f t="shared" si="253"/>
        <v/>
      </c>
      <c r="F499" s="70" t="str">
        <f t="shared" si="254"/>
        <v/>
      </c>
      <c r="G499" s="63" t="str">
        <f t="shared" si="255"/>
        <v/>
      </c>
      <c r="H499" s="64" t="str">
        <f t="shared" si="256"/>
        <v/>
      </c>
      <c r="J499" s="63" t="str">
        <f t="shared" si="257"/>
        <v/>
      </c>
      <c r="K499" s="64" t="str">
        <f t="shared" si="258"/>
        <v/>
      </c>
      <c r="L499" s="38">
        <v>0</v>
      </c>
      <c r="M499" s="64" t="str">
        <f t="shared" si="259"/>
        <v/>
      </c>
      <c r="O499" s="63" t="str">
        <f t="shared" si="260"/>
        <v/>
      </c>
      <c r="P499" s="63" t="str">
        <f t="shared" si="261"/>
        <v/>
      </c>
      <c r="R499" s="63" t="str">
        <f t="shared" si="262"/>
        <v/>
      </c>
      <c r="S499" s="64" t="str">
        <f t="shared" si="263"/>
        <v/>
      </c>
      <c r="T499" s="63" t="str">
        <f t="shared" si="264"/>
        <v/>
      </c>
      <c r="U499" s="64" t="str">
        <f t="shared" si="265"/>
        <v/>
      </c>
      <c r="V499" s="219" t="str">
        <f>IF($A500="","",IF(AND(MONTH(A499)&gt;3,MONTH(A499)&lt;11),(T499+R499+G499)*Summary!$T$10/(1-Summary!$T$10),(T499+R499+G499)*Summary!$U$10/(1-Summary!$U$10)))</f>
        <v/>
      </c>
      <c r="W499" s="63" t="str">
        <f t="shared" si="266"/>
        <v/>
      </c>
      <c r="X499" s="63" t="str">
        <f t="shared" si="267"/>
        <v/>
      </c>
      <c r="Y499" s="43"/>
      <c r="AJ499" s="86"/>
      <c r="AK499" s="86"/>
      <c r="AL499" s="86"/>
      <c r="AM499" s="86"/>
      <c r="AN499" s="86"/>
      <c r="AO499" s="3" t="str">
        <f t="shared" si="268"/>
        <v/>
      </c>
      <c r="AP499" s="33" t="str">
        <f t="shared" si="269"/>
        <v/>
      </c>
      <c r="AQ499" s="58" t="str">
        <f t="shared" si="270"/>
        <v/>
      </c>
      <c r="AR499" s="38">
        <f>'ANR OK vs ML7'!AR499</f>
        <v>0.1</v>
      </c>
      <c r="AS499" s="35" t="str">
        <f t="shared" si="271"/>
        <v/>
      </c>
      <c r="AT499" s="3" t="str">
        <f t="shared" si="272"/>
        <v/>
      </c>
      <c r="AU499" s="3" t="str">
        <f t="shared" si="273"/>
        <v/>
      </c>
      <c r="AW499" s="32" t="str">
        <f t="shared" si="274"/>
        <v/>
      </c>
      <c r="AX499" s="32" t="str">
        <f t="shared" si="275"/>
        <v/>
      </c>
      <c r="AY499" s="32" t="str">
        <f t="shared" si="276"/>
        <v/>
      </c>
      <c r="BA499" s="32" t="str">
        <f>IF($A500="","",F499*Summary!$Q$10)</f>
        <v/>
      </c>
    </row>
    <row r="500" spans="1:242">
      <c r="A500" s="67" t="str">
        <f t="shared" si="277"/>
        <v/>
      </c>
      <c r="B500" s="69" t="str">
        <f t="shared" si="278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74"/>
        <v/>
      </c>
      <c r="AX500" s="32" t="str">
        <f t="shared" si="275"/>
        <v/>
      </c>
      <c r="AY500" s="32" t="str">
        <f t="shared" si="276"/>
        <v/>
      </c>
      <c r="BA500" s="32" t="str">
        <f>IF($A501="","",F500*Summary!$Q$10)</f>
        <v/>
      </c>
    </row>
    <row r="501" spans="1:242">
      <c r="A501" s="67" t="str">
        <f t="shared" si="277"/>
        <v/>
      </c>
      <c r="B501" s="69" t="str">
        <f t="shared" si="278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74"/>
        <v/>
      </c>
      <c r="AX501" s="32" t="str">
        <f t="shared" si="275"/>
        <v/>
      </c>
      <c r="AY501" s="32" t="str">
        <f t="shared" si="276"/>
        <v/>
      </c>
      <c r="AZ501" s="1">
        <v>0</v>
      </c>
      <c r="BA501" s="32" t="str">
        <f>IF($A502="","",F501*Summary!$Q$10)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IH722"/>
  <sheetViews>
    <sheetView showGridLines="0" topLeftCell="L1" zoomScale="80" workbookViewId="0">
      <selection activeCell="AH8" sqref="AH8"/>
    </sheetView>
  </sheetViews>
  <sheetFormatPr defaultRowHeight="12.75"/>
  <cols>
    <col min="1" max="1" width="14.140625" style="1" customWidth="1"/>
    <col min="2" max="2" width="14.5703125" style="1" customWidth="1"/>
    <col min="3" max="3" width="5.140625" style="1" customWidth="1"/>
    <col min="4" max="4" width="16.42578125" style="1" customWidth="1"/>
    <col min="5" max="5" width="14.85546875" style="1" bestFit="1" customWidth="1"/>
    <col min="6" max="6" width="13.85546875" style="1" bestFit="1" customWidth="1"/>
    <col min="7" max="7" width="10.7109375" style="1" customWidth="1"/>
    <col min="8" max="8" width="14.5703125" style="1" bestFit="1" customWidth="1"/>
    <col min="9" max="9" width="10" style="1" customWidth="1"/>
    <col min="10" max="10" width="20.140625" style="1" bestFit="1" customWidth="1"/>
    <col min="11" max="11" width="17.85546875" style="1" bestFit="1" customWidth="1"/>
    <col min="12" max="12" width="19.140625" style="1" bestFit="1" customWidth="1"/>
    <col min="13" max="13" width="15" style="1" bestFit="1" customWidth="1"/>
    <col min="14" max="14" width="1.42578125" style="1" customWidth="1"/>
    <col min="15" max="15" width="15" style="1" bestFit="1" customWidth="1"/>
    <col min="16" max="16" width="16.85546875" style="1" bestFit="1" customWidth="1"/>
    <col min="17" max="17" width="3" style="1" customWidth="1"/>
    <col min="18" max="18" width="20.140625" style="1" customWidth="1"/>
    <col min="19" max="19" width="17.85546875" style="1" customWidth="1"/>
    <col min="20" max="20" width="21.5703125" style="1" customWidth="1"/>
    <col min="21" max="21" width="15" style="1" customWidth="1"/>
    <col min="22" max="22" width="10.7109375" style="1" customWidth="1"/>
    <col min="23" max="23" width="15" style="1" bestFit="1" customWidth="1"/>
    <col min="24" max="24" width="16.85546875" style="1" bestFit="1" customWidth="1"/>
    <col min="25" max="25" width="2" style="1" customWidth="1"/>
    <col min="26" max="26" width="17.85546875" style="3" customWidth="1"/>
    <col min="27" max="27" width="20.28515625" style="3" customWidth="1"/>
    <col min="28" max="28" width="15.28515625" style="3" customWidth="1"/>
    <col min="29" max="29" width="20.28515625" style="3" customWidth="1"/>
    <col min="30" max="31" width="15.7109375" style="3" customWidth="1"/>
    <col min="32" max="32" width="17.5703125" style="3" bestFit="1" customWidth="1"/>
    <col min="33" max="33" width="13.85546875" style="3" customWidth="1"/>
    <col min="34" max="34" width="13.28515625" style="3" customWidth="1"/>
    <col min="35" max="35" width="14" style="3" customWidth="1"/>
    <col min="36" max="36" width="12.5703125" style="1" customWidth="1"/>
    <col min="37" max="37" width="10.7109375" style="1" customWidth="1"/>
    <col min="38" max="38" width="9.140625" style="1"/>
    <col min="39" max="39" width="10.7109375" style="1" bestFit="1" customWidth="1"/>
    <col min="40" max="40" width="9.140625" style="1"/>
    <col min="41" max="41" width="8.28515625" style="3" bestFit="1" customWidth="1"/>
    <col min="42" max="43" width="8.5703125" style="3" bestFit="1" customWidth="1"/>
    <col min="44" max="44" width="11.7109375" style="3" bestFit="1" customWidth="1"/>
    <col min="45" max="45" width="10.28515625" style="3" bestFit="1" customWidth="1"/>
    <col min="46" max="46" width="7.5703125" style="3" bestFit="1" customWidth="1"/>
    <col min="47" max="47" width="6.42578125" style="3" bestFit="1" customWidth="1"/>
    <col min="48" max="48" width="1.42578125" style="1" customWidth="1"/>
    <col min="49" max="49" width="14.28515625" style="4" customWidth="1"/>
    <col min="50" max="51" width="14.28515625" style="1" customWidth="1"/>
    <col min="52" max="52" width="9.140625" style="1"/>
    <col min="53" max="53" width="15.5703125" style="1" bestFit="1" customWidth="1"/>
    <col min="54" max="54" width="9.140625" style="1"/>
    <col min="55" max="55" width="14.28515625" style="1" customWidth="1"/>
    <col min="56" max="16384" width="9.140625" style="1"/>
  </cols>
  <sheetData>
    <row r="1" spans="1:55" ht="13.5" thickBot="1">
      <c r="A1" s="39" t="s">
        <v>62</v>
      </c>
      <c r="C1" s="40"/>
      <c r="D1" s="40" t="s">
        <v>15</v>
      </c>
      <c r="E1" s="57">
        <f ca="1">Summary!D11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Summary!J11</f>
        <v>NG_OMICRON_11</v>
      </c>
      <c r="AA1" s="24" t="str">
        <f>Summary!L11</f>
        <v>CGPR-DAWN</v>
      </c>
      <c r="AC1" s="24" t="str">
        <f>Summary!I11</f>
        <v>NG_OMICRON_11</v>
      </c>
      <c r="AD1" s="24" t="str">
        <f>Summary!K11</f>
        <v>CGPR-DAWN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5" thickBot="1">
      <c r="A3" s="61">
        <f>Summary!E11</f>
        <v>37043</v>
      </c>
      <c r="B3" s="62">
        <f>Summary!F11</f>
        <v>42094</v>
      </c>
      <c r="C3" s="12"/>
      <c r="D3" s="12">
        <f>Summary!C11</f>
        <v>37025</v>
      </c>
      <c r="E3" s="13" t="str">
        <f>CONCATENATE(INT(AT8/12)," Y - ",AT8-INT(AT8/12)*12," M")</f>
        <v>13 Y - 10 M</v>
      </c>
      <c r="F3" s="59">
        <v>2</v>
      </c>
      <c r="G3" s="59">
        <v>1</v>
      </c>
      <c r="H3" s="44">
        <v>1</v>
      </c>
      <c r="I3" s="60">
        <f>Summary!P11</f>
        <v>0</v>
      </c>
      <c r="J3" s="171" t="str">
        <f>Summary!H11</f>
        <v>CGPR-CHIPPAWA</v>
      </c>
      <c r="K3" s="60" t="str">
        <f>J3</f>
        <v>CGPR-CHIPPAWA</v>
      </c>
      <c r="R3" s="171" t="str">
        <f>Summary!G11</f>
        <v>CGPR-ST.CLAIR</v>
      </c>
      <c r="S3" s="60" t="str">
        <f>R3</f>
        <v>CGPR-ST.CLAIR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CGPR-CHIPPAWA-D</v>
      </c>
      <c r="K4" s="15" t="str">
        <f>J3</f>
        <v>CGPR-CHIPPAWA</v>
      </c>
      <c r="L4" s="41" t="str">
        <f>CONCATENATE(K3,"-","I")</f>
        <v>CGPR-CHIPPAWA-I</v>
      </c>
      <c r="M4" s="15" t="str">
        <f>K3</f>
        <v>CGPR-CHIPPAWA</v>
      </c>
      <c r="O4" s="15" t="str">
        <f>K4</f>
        <v>CGPR-CHIPPAWA</v>
      </c>
      <c r="P4" s="15" t="str">
        <f>J4</f>
        <v>CGPR-CHIPPAWA-D</v>
      </c>
      <c r="Q4" s="14"/>
      <c r="R4" s="41" t="str">
        <f>CONCATENATE(R3,"-","D")</f>
        <v>CGPR-ST.CLAIR-D</v>
      </c>
      <c r="S4" s="15" t="str">
        <f>R3</f>
        <v>CGPR-ST.CLAIR</v>
      </c>
      <c r="T4" s="41" t="str">
        <f>CONCATENATE(S3,"-","I")</f>
        <v>CGPR-ST.CLAIR-I</v>
      </c>
      <c r="U4" s="15" t="str">
        <f>S3</f>
        <v>CGPR-ST.CLAIR</v>
      </c>
      <c r="V4" s="15" t="s">
        <v>111</v>
      </c>
      <c r="W4" s="15" t="str">
        <f>S4</f>
        <v>CGPR-ST.CLAIR</v>
      </c>
      <c r="X4" s="15" t="str">
        <f>R4</f>
        <v>CGPR-ST.CLAIR-D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NG_OMICRON_11-P</v>
      </c>
      <c r="AD4" s="227" t="str">
        <f>IF(AD1="NG",CONCATENATE(AD1,"-","VO"),CONCATENATE(AD1,"-","P"))</f>
        <v>CGPR-DAWN-P</v>
      </c>
      <c r="AE4" s="228" t="s">
        <v>93</v>
      </c>
      <c r="AF4" s="15" t="str">
        <f>J3</f>
        <v>CGPR-CHIPPAWA</v>
      </c>
      <c r="AG4" s="15" t="s">
        <v>81</v>
      </c>
      <c r="AH4" s="15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CGPR-ST.CLAIR</v>
      </c>
      <c r="AG5" s="14" t="s">
        <v>125</v>
      </c>
      <c r="AH5" s="14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5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5" thickBot="1">
      <c r="A8" s="34" t="s">
        <v>31</v>
      </c>
      <c r="B8" s="25"/>
      <c r="C8" s="25"/>
      <c r="D8" s="25">
        <f>SUM(D10:D500)</f>
        <v>20607572</v>
      </c>
      <c r="E8" s="25">
        <f>SUM(E10:E500)</f>
        <v>627165384</v>
      </c>
      <c r="F8" s="25">
        <f ca="1">SUM(F10:F370)</f>
        <v>344009887.54296881</v>
      </c>
      <c r="G8" s="26">
        <f ca="1">SUMPRODUCT(G10:G499,$F$10:$F$499)/SUM($F$10:$F$499)</f>
        <v>4.3517059551323278</v>
      </c>
      <c r="H8" s="26">
        <f ca="1">SUMPRODUCT(H10:H499,$F$10:$F$499)/SUM($F$10:$F$499)</f>
        <v>4.3517059551323278</v>
      </c>
      <c r="I8" s="26"/>
      <c r="J8" s="26">
        <f ca="1">SUMPRODUCT(J10:J499,$F$10:$F$499)/SUM($F$10:$F$499)</f>
        <v>0.33489836343295726</v>
      </c>
      <c r="K8" s="26">
        <f ca="1">SUMPRODUCT(K10:K499,$F$10:$F$499)/SUM($F$10:$F$499)</f>
        <v>0.33489836343295726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4.6866043185652906</v>
      </c>
      <c r="P8" s="26">
        <f ca="1">SUMPRODUCT(P10:P499,$F$10:$F$499)/SUM($F$10:$F$499)</f>
        <v>4.6866043185652906</v>
      </c>
      <c r="Q8" s="26"/>
      <c r="R8" s="26">
        <f ca="1">SUMPRODUCT(R10:R499,$F$10:$F$499)/SUM($F$10:$F$499)</f>
        <v>0.22221039148192953</v>
      </c>
      <c r="S8" s="26">
        <f ca="1">SUMPRODUCT(S10:S499,$F$10:$F$499)/SUM($F$10:$F$499)</f>
        <v>0.22221039148192953</v>
      </c>
      <c r="T8" s="26">
        <f ca="1">SUMPRODUCT(T10:T499,$F$10:$F$499)/SUM($F$10:$F$499)</f>
        <v>0</v>
      </c>
      <c r="U8" s="26">
        <f ca="1">SUMPRODUCT(U10:U499,$F$10:$F$499)/SUM($F$10:$F$499)</f>
        <v>0</v>
      </c>
      <c r="V8" s="207">
        <f ca="1">SUMPRODUCT(V10:V499,F10:F499)/F8</f>
        <v>4.8771950237229439E-2</v>
      </c>
      <c r="W8" s="26">
        <f ca="1">SUMPRODUCT(W10:W499,$F$10:$F$499)/SUM($F$10:$F$499)</f>
        <v>4.6226882968514893</v>
      </c>
      <c r="X8" s="26">
        <f ca="1">SUMPRODUCT(X10:X499,$F$10:$F$499)/SUM($F$10:$F$499)</f>
        <v>4.6226882968514893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SUMPRODUCT(AH10:AH300,F10:F300)/F8</f>
        <v>5.1465541625867316E-3</v>
      </c>
      <c r="AI8" s="26"/>
      <c r="AJ8" s="26"/>
      <c r="AK8" s="26"/>
      <c r="AL8" s="26">
        <f ca="1">AW8/$E8</f>
        <v>5.7596044671426018E-2</v>
      </c>
      <c r="AM8" s="26">
        <f ca="1">BC8/$F8</f>
        <v>5.8338691364847733E-2</v>
      </c>
      <c r="AN8" s="26">
        <f ca="1">AY8/$E8</f>
        <v>2.8642762119090509E-3</v>
      </c>
      <c r="AR8" s="27"/>
      <c r="AS8" s="11"/>
      <c r="AT8" s="28">
        <f>SUM(AT10:AT500)</f>
        <v>166</v>
      </c>
      <c r="AU8" s="28">
        <f>SUM(AU10:AU500)</f>
        <v>5052</v>
      </c>
      <c r="AW8" s="29">
        <f ca="1">SUM(AW10:AW501)</f>
        <v>36122245.473236054</v>
      </c>
      <c r="AX8" s="29">
        <f>SUM(AX10:AX501)</f>
        <v>34325870.582912058</v>
      </c>
      <c r="AY8" s="29">
        <f ca="1">SUM(AY10:AY501)</f>
        <v>1796374.8903240054</v>
      </c>
      <c r="BA8" s="29">
        <f ca="1">SUM(BA10:BA501)</f>
        <v>0</v>
      </c>
      <c r="BC8" s="257">
        <f ca="1">SUM(BC10:BC501)</f>
        <v>20069086.655825235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Summary!O11</f>
        <v>124142</v>
      </c>
      <c r="C10" s="68"/>
      <c r="D10" s="69">
        <f t="shared" ref="D10:D73" si="0">IF(A11&lt;&gt;"",B10+C10,"")</f>
        <v>124142</v>
      </c>
      <c r="E10" s="70">
        <f t="shared" ref="E10:E73" si="1">IF(A11="","",IF(AND(AT10=1,$H$3=1),D10*AO10,IF($H$3=2,D10,"N/A")))</f>
        <v>3724260</v>
      </c>
      <c r="F10" s="70">
        <f t="shared" ref="F10:F73" ca="1" si="2">IF(A11="","",E10*AS10)</f>
        <v>3707383.7824839805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0.27</v>
      </c>
      <c r="K10" s="64">
        <f t="shared" ref="K10:K73" si="6">IF(A11="","",J10)</f>
        <v>0.27</v>
      </c>
      <c r="L10" s="63">
        <f t="shared" ref="L10:L73" si="7">IF($A11="","",VLOOKUP($A10,Table,MATCH(L$4,Curves,0)))</f>
        <v>0</v>
      </c>
      <c r="M10" s="64">
        <f t="shared" ref="M10:M73" si="8">IF(A11="","",L10)</f>
        <v>0</v>
      </c>
      <c r="N10" s="65"/>
      <c r="O10" s="63">
        <f t="shared" ref="O10:O73" si="9">IF(A11="","",L10+J10+G10)</f>
        <v>4.6639999999999997</v>
      </c>
      <c r="P10" s="63">
        <f t="shared" ref="P10:P73" si="10">IF(A11="","",M10+K10+H10)</f>
        <v>4.6639999999999997</v>
      </c>
      <c r="Q10" s="66"/>
      <c r="R10" s="63">
        <f>IF($A11="","",VLOOKUP($A10,Table,MATCH(R$4,Curves,0)))</f>
        <v>0.21</v>
      </c>
      <c r="S10" s="64">
        <f t="shared" ref="S10:S73" si="11">IF(A11="","",R10)</f>
        <v>0.21</v>
      </c>
      <c r="T10" s="38">
        <v>0</v>
      </c>
      <c r="U10" s="64">
        <f t="shared" ref="U10:U73" si="12">IF(A11="","",T10)</f>
        <v>0</v>
      </c>
      <c r="V10" s="219">
        <f>IF($A11="","",IF(AND(MONTH(A10)&gt;3,MONTH(A10)&lt;11),(T10+R10+G10)*Summary!$T$11/(1-Summary!$T$11),(T10+R10+G10)*Summary!$U$11/(1-Summary!$U$11)))</f>
        <v>4.9092734076437501E-2</v>
      </c>
      <c r="W10" s="43">
        <f t="shared" ref="W10:W73" si="13">IF($A11="","",(T10+R10+G10+V10))</f>
        <v>4.6530927340764379</v>
      </c>
      <c r="X10" s="43">
        <f t="shared" ref="X10:X73" si="14">IF($A11="","",(U10+S10+H10+V10))</f>
        <v>4.6530927340764379</v>
      </c>
      <c r="Y10" s="43"/>
      <c r="Z10" s="38">
        <f t="shared" ref="Z10:Z73" si="15">IF($A11="","",VLOOKUP($A10,Table,MATCH(Z$4,Curves,0)))</f>
        <v>0.53</v>
      </c>
      <c r="AA10" s="38">
        <f t="shared" ref="AA10:AA73" si="16">IF($A11="","",VLOOKUP($A10,Table,MATCH(AA$4,Curves,0)))</f>
        <v>0.54</v>
      </c>
      <c r="AB10" s="38">
        <f t="shared" ref="AB10:AB73" ca="1" si="17">SQRT((AA10^2*(A10-$D$3)+Z10^2*(DAY(EOMONTH(A10,0))/2))/AK10)</f>
        <v>0.74606024043165653</v>
      </c>
      <c r="AC10" s="38">
        <f t="shared" ref="AC10:AD73" si="18">IF($A11="","",VLOOKUP($A10,Table,MATCH(AC$4,Curves,0)))</f>
        <v>0.53</v>
      </c>
      <c r="AD10" s="38">
        <f>IF($A11="","",VLOOKUP($A10,Table,MATCH(AD$4,Curves,0)))</f>
        <v>0.54</v>
      </c>
      <c r="AE10" s="38">
        <f t="shared" ref="AE10:AE73" ca="1" si="19">SQRT((AD10^2*(A10-$D$3)+AC10^2*(DAY(EOMONTH(A10,0))/2))/AK10)</f>
        <v>0.74606024043165653</v>
      </c>
      <c r="AF10" s="238">
        <f ca="1">((Summary!$N$11*(AA10*AD10)*(A10-$D$3))+(Summary!$M$11*Z10*AC10*(AJ10-EOMONTH(EDATE(A10,-1),0))))/(AK10*AB10*AE10)</f>
        <v>0.99994452934276057</v>
      </c>
      <c r="AG10" s="88">
        <f>IF($A11="","",Summary!$Q$11)</f>
        <v>0</v>
      </c>
      <c r="AH10" s="88">
        <f>IF($A11="","",IF(Summary!$R$11="Y",(VLOOKUP($A10,Summary!$AD$6:$AF$9,3)+'Escalating commodity'!G23),'Escalating commodity'!G23))</f>
        <v>3.6970217296000006E-3</v>
      </c>
      <c r="AI10" s="88">
        <f>IF($A11="","",AH10)</f>
        <v>3.6970217296000006E-3</v>
      </c>
      <c r="AJ10" s="236">
        <f t="shared" ref="AJ10:AJ73" si="20">A10+DAY(EOMONTH(A10,0))/2-1</f>
        <v>37057</v>
      </c>
      <c r="AK10" s="58">
        <f t="shared" ref="AK10:AK73" ca="1" si="21">IF($A11="","",$A10-$E$1)</f>
        <v>17</v>
      </c>
      <c r="AL10" s="26">
        <f ca="1">IF($A11="","",_xll.SPRDOPT(P10,X10,AI10,0,AB10,AE10,AF10,AK10,$AJ$2,0))</f>
        <v>7.7695330355393513E-3</v>
      </c>
      <c r="AM10" s="209">
        <f t="shared" ref="AM10:AM73" si="22">IF($A11="","",MAX(0,O10-W10-AI10))</f>
        <v>7.2102441939618372E-3</v>
      </c>
      <c r="AN10" s="89">
        <f t="shared" ref="AN10:AN73" ca="1" si="23">IF($A11="","",AL10-AM10)</f>
        <v>5.5928884157751407E-4</v>
      </c>
      <c r="AO10" s="3">
        <f t="shared" ref="AO10:AO73" si="24">IF(A11="","",A11-A10)</f>
        <v>30</v>
      </c>
      <c r="AP10" s="33">
        <f t="shared" ref="AP10:AP73" si="25">IF(A11="","",CHOOSE(F$3,A11+24,A10))</f>
        <v>37043</v>
      </c>
      <c r="AQ10" s="58">
        <f t="shared" ref="AQ10:AQ73" ca="1" si="26">IF(A11="","",AP10-$E$1)</f>
        <v>17</v>
      </c>
      <c r="AR10" s="38">
        <f>'ANR OK vs ML7'!AR10</f>
        <v>0.1</v>
      </c>
      <c r="AS10" s="35">
        <f t="shared" ref="AS10:AS73" ca="1" si="27">IF(A11="","",1/(1+CHOOSE(F$3,(AR11+($I$3/10000))/2,(AR10+($I$3/10000))/2))^(2*AQ10/365.25))</f>
        <v>0.99546857160455515</v>
      </c>
      <c r="AT10" s="3">
        <f t="shared" ref="AT10:AT73" si="28">IF(A11="","",IF(AND(mthbeg&lt;=A10,mthend&gt;=A10),1,0))</f>
        <v>1</v>
      </c>
      <c r="AU10" s="3">
        <f t="shared" ref="AU10:AU73" si="29">IF(A11="","",AO10*AT10)</f>
        <v>30</v>
      </c>
      <c r="AW10" s="32">
        <f t="shared" ref="AW10:AW73" ca="1" si="30">IF($A11="","",AL10*$E10)</f>
        <v>28935.761102937784</v>
      </c>
      <c r="AX10" s="32">
        <f t="shared" ref="AX10:AX73" si="31">IF($A11="","",AM10*$E10)</f>
        <v>26852.824041804313</v>
      </c>
      <c r="AY10" s="32">
        <f t="shared" ref="AY10:AY73" ca="1" si="32">IF($A11="","",AN10*$E10)</f>
        <v>2082.9370611334725</v>
      </c>
      <c r="AZ10" s="42"/>
      <c r="BA10" s="32">
        <f ca="1">IF($A11="","",F10*Summary!$Q$11)</f>
        <v>0</v>
      </c>
      <c r="BC10" s="256">
        <f ca="1">IF(A11="","",AM10*F10)</f>
        <v>26731.142392443395</v>
      </c>
    </row>
    <row r="11" spans="1:55">
      <c r="A11" s="67">
        <f t="shared" ref="A11:A74" si="33">IF(A10&lt;mthend,EDATE(A10,1),"")</f>
        <v>37073</v>
      </c>
      <c r="B11" s="69">
        <f>IF(A11&lt;mthend,B10,"")</f>
        <v>124142</v>
      </c>
      <c r="C11" s="71"/>
      <c r="D11" s="69">
        <f t="shared" si="0"/>
        <v>124142</v>
      </c>
      <c r="E11" s="70">
        <f t="shared" si="1"/>
        <v>3848402</v>
      </c>
      <c r="F11" s="70">
        <f t="shared" ca="1" si="2"/>
        <v>3800381.5112873688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0.24</v>
      </c>
      <c r="K11" s="64">
        <f t="shared" si="6"/>
        <v>0.24</v>
      </c>
      <c r="L11" s="63">
        <f t="shared" si="7"/>
        <v>0</v>
      </c>
      <c r="M11" s="64">
        <f t="shared" si="8"/>
        <v>0</v>
      </c>
      <c r="N11" s="65"/>
      <c r="O11" s="63">
        <f t="shared" si="9"/>
        <v>4.7050000000000001</v>
      </c>
      <c r="P11" s="63">
        <f t="shared" si="10"/>
        <v>4.7050000000000001</v>
      </c>
      <c r="Q11" s="66"/>
      <c r="R11" s="63">
        <f t="shared" ref="R11:R73" si="34">IF($A12="","",VLOOKUP($A11,Table,MATCH(R$4,Curves,0)))</f>
        <v>0.18</v>
      </c>
      <c r="S11" s="64">
        <f t="shared" si="11"/>
        <v>0.18</v>
      </c>
      <c r="T11" s="38">
        <v>0</v>
      </c>
      <c r="U11" s="64">
        <f t="shared" si="12"/>
        <v>0</v>
      </c>
      <c r="V11" s="219">
        <f>IF($A12="","",IF(AND(MONTH(A11)&gt;3,MONTH(A11)&lt;11),(T11+R11+G11)*Summary!$T$11/(1-Summary!$T$11),(T11+R11+G11)*Summary!$U$11/(1-Summary!$U$11)))</f>
        <v>4.952991958841272E-2</v>
      </c>
      <c r="W11" s="43">
        <f t="shared" si="13"/>
        <v>4.6945299195884127</v>
      </c>
      <c r="X11" s="43">
        <f t="shared" si="14"/>
        <v>4.6945299195884127</v>
      </c>
      <c r="Y11" s="43"/>
      <c r="Z11" s="38">
        <f t="shared" si="15"/>
        <v>0.57999999999999996</v>
      </c>
      <c r="AA11" s="38">
        <f t="shared" si="16"/>
        <v>0.52500000000000002</v>
      </c>
      <c r="AB11" s="38">
        <f t="shared" ca="1" si="17"/>
        <v>0.62644216591321711</v>
      </c>
      <c r="AC11" s="38">
        <f t="shared" si="18"/>
        <v>0.57999999999999996</v>
      </c>
      <c r="AD11" s="38">
        <f t="shared" si="18"/>
        <v>0.52500000000000002</v>
      </c>
      <c r="AE11" s="38">
        <f t="shared" ca="1" si="19"/>
        <v>0.62644216591321711</v>
      </c>
      <c r="AF11" s="238">
        <f ca="1">((Summary!$N$11*(AA11*AD11)*(A11-$D$3))+(Summary!$M$11*Z11*AC11*(AJ11-EOMONTH(EDATE(A11,-1),0))))/(AK11*AB11*AE11)</f>
        <v>0.99992827013370045</v>
      </c>
      <c r="AG11" s="88">
        <f>IF($A12="","",Summary!$Q$11)</f>
        <v>0</v>
      </c>
      <c r="AH11" s="88">
        <f>IF($A12="","",IF(Summary!$R$11="Y",(VLOOKUP($A11,Summary!$AD$6:$AF$9,3)+'Escalating commodity'!G24),'Escalating commodity'!G24))</f>
        <v>3.6970217296000006E-3</v>
      </c>
      <c r="AI11" s="88">
        <f t="shared" ref="AI11:AI74" si="35">IF($A12="","",AH11)</f>
        <v>3.6970217296000006E-3</v>
      </c>
      <c r="AJ11" s="236">
        <f t="shared" si="20"/>
        <v>37087.5</v>
      </c>
      <c r="AK11" s="58">
        <f t="shared" ca="1" si="21"/>
        <v>47</v>
      </c>
      <c r="AL11" s="26">
        <f ca="1">IF($A12="","",_xll.SPRDOPT(P11,X11,AI11,0,AB11,AE11,AF11,AK11,$AJ$2,0))</f>
        <v>7.8957835709458392E-3</v>
      </c>
      <c r="AM11" s="209">
        <f t="shared" si="22"/>
        <v>6.7730586819873678E-3</v>
      </c>
      <c r="AN11" s="89">
        <f t="shared" ca="1" si="23"/>
        <v>1.1227248889584714E-3</v>
      </c>
      <c r="AO11" s="3">
        <f t="shared" si="24"/>
        <v>31</v>
      </c>
      <c r="AP11" s="33">
        <f t="shared" si="25"/>
        <v>37073</v>
      </c>
      <c r="AQ11" s="58">
        <f t="shared" ca="1" si="26"/>
        <v>47</v>
      </c>
      <c r="AR11" s="38">
        <f>'ANR OK vs ML7'!AR11</f>
        <v>0.1</v>
      </c>
      <c r="AS11" s="35">
        <f t="shared" ca="1" si="27"/>
        <v>0.98752196659480185</v>
      </c>
      <c r="AT11" s="3">
        <f t="shared" si="28"/>
        <v>1</v>
      </c>
      <c r="AU11" s="3">
        <f t="shared" si="29"/>
        <v>31</v>
      </c>
      <c r="AW11" s="32">
        <f t="shared" ca="1" si="30"/>
        <v>30386.14928599511</v>
      </c>
      <c r="AX11" s="32">
        <f t="shared" si="31"/>
        <v>26065.45257787755</v>
      </c>
      <c r="AY11" s="32">
        <f t="shared" ca="1" si="32"/>
        <v>4320.696708117559</v>
      </c>
      <c r="BA11" s="32">
        <f ca="1">IF($A12="","",F11*Summary!$Q$11)</f>
        <v>0</v>
      </c>
      <c r="BC11" s="256">
        <f t="shared" ref="BC11:BC74" ca="1" si="36">IF(A12="","",AM11*F11)</f>
        <v>25740.206989889186</v>
      </c>
    </row>
    <row r="12" spans="1:55">
      <c r="A12" s="67">
        <f t="shared" si="33"/>
        <v>37104</v>
      </c>
      <c r="B12" s="69">
        <f t="shared" ref="B12:B75" si="37">IF(A12&lt;mthend,B11,"")</f>
        <v>124142</v>
      </c>
      <c r="C12" s="71"/>
      <c r="D12" s="69">
        <f t="shared" si="0"/>
        <v>124142</v>
      </c>
      <c r="E12" s="70">
        <f t="shared" si="1"/>
        <v>3848402</v>
      </c>
      <c r="F12" s="70">
        <f t="shared" ca="1" si="2"/>
        <v>3769036.8360256515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0.215</v>
      </c>
      <c r="K12" s="64">
        <f t="shared" si="6"/>
        <v>0.215</v>
      </c>
      <c r="L12" s="63">
        <f t="shared" si="7"/>
        <v>0</v>
      </c>
      <c r="M12" s="64">
        <f t="shared" si="8"/>
        <v>0</v>
      </c>
      <c r="N12" s="65"/>
      <c r="O12" s="63">
        <f t="shared" si="9"/>
        <v>4.7430000000000003</v>
      </c>
      <c r="P12" s="63">
        <f t="shared" si="10"/>
        <v>4.7430000000000003</v>
      </c>
      <c r="Q12" s="66"/>
      <c r="R12" s="63">
        <f t="shared" si="34"/>
        <v>0.155</v>
      </c>
      <c r="S12" s="64">
        <f t="shared" si="11"/>
        <v>0.155</v>
      </c>
      <c r="T12" s="38">
        <v>0</v>
      </c>
      <c r="U12" s="64">
        <f t="shared" si="12"/>
        <v>0</v>
      </c>
      <c r="V12" s="219">
        <f>IF($A13="","",IF(AND(MONTH(A12)&gt;3,MONTH(A12)&lt;11),(T12+R12+G12)*Summary!$T$11/(1-Summary!$T$11),(T12+R12+G12)*Summary!$U$11/(1-Summary!$U$11)))</f>
        <v>4.9935115916584893E-2</v>
      </c>
      <c r="W12" s="43">
        <f t="shared" si="13"/>
        <v>4.732935115916586</v>
      </c>
      <c r="X12" s="43">
        <f t="shared" si="14"/>
        <v>4.732935115916586</v>
      </c>
      <c r="Y12" s="43"/>
      <c r="Z12" s="38">
        <f t="shared" si="15"/>
        <v>0.63</v>
      </c>
      <c r="AA12" s="38">
        <f t="shared" si="16"/>
        <v>0.53</v>
      </c>
      <c r="AB12" s="38">
        <f t="shared" ca="1" si="17"/>
        <v>0.60280381211256118</v>
      </c>
      <c r="AC12" s="38">
        <f t="shared" si="18"/>
        <v>0.63</v>
      </c>
      <c r="AD12" s="38">
        <f t="shared" si="18"/>
        <v>0.53</v>
      </c>
      <c r="AE12" s="38">
        <f t="shared" ca="1" si="19"/>
        <v>0.60280381211256118</v>
      </c>
      <c r="AF12" s="238">
        <f ca="1">((Summary!$N$11*(AA12*AD12)*(A12-$D$3))+(Summary!$M$11*Z12*AC12*(AJ12-EOMONTH(EDATE(A12,-1),0))))/(AK12*AB12*AE12)</f>
        <v>0.99992170532105751</v>
      </c>
      <c r="AG12" s="88">
        <f>IF($A13="","",Summary!$Q$11)</f>
        <v>0</v>
      </c>
      <c r="AH12" s="88">
        <f>IF($A13="","",IF(Summary!$R$11="Y",(VLOOKUP($A12,Summary!$AD$6:$AF$9,3)+'Escalating commodity'!G25),'Escalating commodity'!G25))</f>
        <v>3.6970217296000006E-3</v>
      </c>
      <c r="AI12" s="88">
        <f t="shared" si="35"/>
        <v>3.6970217296000006E-3</v>
      </c>
      <c r="AJ12" s="236">
        <f t="shared" si="20"/>
        <v>37118.5</v>
      </c>
      <c r="AK12" s="58">
        <f t="shared" ca="1" si="21"/>
        <v>78</v>
      </c>
      <c r="AL12" s="26">
        <f ca="1">IF($A13="","",_xll.SPRDOPT(P12,X12,AI12,0,AB12,AE12,AF12,AK12,$AJ$2,0))</f>
        <v>7.9732821210111472E-3</v>
      </c>
      <c r="AM12" s="209">
        <f t="shared" si="22"/>
        <v>6.367862353814327E-3</v>
      </c>
      <c r="AN12" s="89">
        <f t="shared" ca="1" si="23"/>
        <v>1.6054197671968203E-3</v>
      </c>
      <c r="AO12" s="3">
        <f t="shared" si="24"/>
        <v>31</v>
      </c>
      <c r="AP12" s="33">
        <f t="shared" si="25"/>
        <v>37104</v>
      </c>
      <c r="AQ12" s="58">
        <f t="shared" ca="1" si="26"/>
        <v>78</v>
      </c>
      <c r="AR12" s="38">
        <f>'ANR OK vs ML7'!AR12</f>
        <v>0.1</v>
      </c>
      <c r="AS12" s="35">
        <f t="shared" ca="1" si="27"/>
        <v>0.97937711185724663</v>
      </c>
      <c r="AT12" s="3">
        <f t="shared" si="28"/>
        <v>1</v>
      </c>
      <c r="AU12" s="3">
        <f t="shared" si="29"/>
        <v>31</v>
      </c>
      <c r="AW12" s="32">
        <f t="shared" ca="1" si="30"/>
        <v>30684.394861063542</v>
      </c>
      <c r="AX12" s="32">
        <f t="shared" si="31"/>
        <v>24506.094218143764</v>
      </c>
      <c r="AY12" s="32">
        <f t="shared" ca="1" si="32"/>
        <v>6178.3006429197776</v>
      </c>
      <c r="BA12" s="32">
        <f ca="1">IF($A13="","",F12*Summary!$Q$11)</f>
        <v>0</v>
      </c>
      <c r="BC12" s="256">
        <f t="shared" ca="1" si="36"/>
        <v>24000.70777826721</v>
      </c>
    </row>
    <row r="13" spans="1:55">
      <c r="A13" s="67">
        <f t="shared" si="33"/>
        <v>37135</v>
      </c>
      <c r="B13" s="69">
        <f t="shared" si="37"/>
        <v>124142</v>
      </c>
      <c r="C13" s="71"/>
      <c r="D13" s="69">
        <f t="shared" si="0"/>
        <v>124142</v>
      </c>
      <c r="E13" s="70">
        <f t="shared" si="1"/>
        <v>3724260</v>
      </c>
      <c r="F13" s="70">
        <f t="shared" ca="1" si="2"/>
        <v>3617371.6301206723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0.22500000000000001</v>
      </c>
      <c r="K13" s="64">
        <f t="shared" si="6"/>
        <v>0.22500000000000001</v>
      </c>
      <c r="L13" s="63">
        <f t="shared" si="7"/>
        <v>0</v>
      </c>
      <c r="M13" s="64">
        <f t="shared" si="8"/>
        <v>0</v>
      </c>
      <c r="N13" s="65"/>
      <c r="O13" s="63">
        <f t="shared" si="9"/>
        <v>4.7679999999999998</v>
      </c>
      <c r="P13" s="63">
        <f t="shared" si="10"/>
        <v>4.7679999999999998</v>
      </c>
      <c r="Q13" s="66"/>
      <c r="R13" s="63">
        <f t="shared" si="34"/>
        <v>0.16500000000000001</v>
      </c>
      <c r="S13" s="64">
        <f t="shared" si="11"/>
        <v>0.16500000000000001</v>
      </c>
      <c r="T13" s="38">
        <v>0</v>
      </c>
      <c r="U13" s="64">
        <f t="shared" si="12"/>
        <v>0</v>
      </c>
      <c r="V13" s="219">
        <f>IF($A14="","",IF(AND(MONTH(A13)&gt;3,MONTH(A13)&lt;11),(T13+R13+G13)*Summary!$T$11/(1-Summary!$T$11),(T13+R13+G13)*Summary!$U$11/(1-Summary!$U$11)))</f>
        <v>5.0201692448277095E-2</v>
      </c>
      <c r="W13" s="43">
        <f t="shared" si="13"/>
        <v>4.7582016924482771</v>
      </c>
      <c r="X13" s="43">
        <f t="shared" si="14"/>
        <v>4.7582016924482771</v>
      </c>
      <c r="Y13" s="43"/>
      <c r="Z13" s="38">
        <f t="shared" si="15"/>
        <v>0.63</v>
      </c>
      <c r="AA13" s="38">
        <f t="shared" si="16"/>
        <v>0.54</v>
      </c>
      <c r="AB13" s="38">
        <f t="shared" ca="1" si="17"/>
        <v>0.59067291745334316</v>
      </c>
      <c r="AC13" s="38">
        <f t="shared" si="18"/>
        <v>0.63</v>
      </c>
      <c r="AD13" s="38">
        <f t="shared" si="18"/>
        <v>0.54</v>
      </c>
      <c r="AE13" s="38">
        <f t="shared" ca="1" si="19"/>
        <v>0.59067291745334316</v>
      </c>
      <c r="AF13" s="238">
        <f ca="1">((Summary!$N$11*(AA13*AD13)*(A13-$D$3))+(Summary!$M$11*Z13*AC13*(AJ13-EOMONTH(EDATE(A13,-1),0))))/(AK13*AB13*AE13)</f>
        <v>0.99991565495207702</v>
      </c>
      <c r="AG13" s="88">
        <f>IF($A14="","",Summary!$Q$11)</f>
        <v>0</v>
      </c>
      <c r="AH13" s="88">
        <f>IF($A14="","",IF(Summary!$R$11="Y",(VLOOKUP($A13,Summary!$AD$6:$AF$9,3)+'Escalating commodity'!G26),'Escalating commodity'!G26))</f>
        <v>3.6970217296000006E-3</v>
      </c>
      <c r="AI13" s="88">
        <f t="shared" si="35"/>
        <v>3.6970217296000006E-3</v>
      </c>
      <c r="AJ13" s="236">
        <f t="shared" si="20"/>
        <v>37149</v>
      </c>
      <c r="AK13" s="58">
        <f t="shared" ca="1" si="21"/>
        <v>109</v>
      </c>
      <c r="AL13" s="26">
        <f ca="1">IF($A14="","",_xll.SPRDOPT(P13,X13,AI13,0,AB13,AE13,AF13,AK13,$AJ$2,0))</f>
        <v>8.1668328709617495E-3</v>
      </c>
      <c r="AM13" s="209">
        <f t="shared" si="22"/>
        <v>6.101285822122729E-3</v>
      </c>
      <c r="AN13" s="89">
        <f t="shared" ca="1" si="23"/>
        <v>2.0655470488390205E-3</v>
      </c>
      <c r="AO13" s="3">
        <f t="shared" si="24"/>
        <v>30</v>
      </c>
      <c r="AP13" s="33">
        <f t="shared" si="25"/>
        <v>37135</v>
      </c>
      <c r="AQ13" s="58">
        <f t="shared" ca="1" si="26"/>
        <v>109</v>
      </c>
      <c r="AR13" s="38">
        <f>'ANR OK vs ML7'!AR13</f>
        <v>0.1</v>
      </c>
      <c r="AS13" s="35">
        <f t="shared" ca="1" si="27"/>
        <v>0.9712994340139175</v>
      </c>
      <c r="AT13" s="3">
        <f t="shared" si="28"/>
        <v>1</v>
      </c>
      <c r="AU13" s="3">
        <f t="shared" si="29"/>
        <v>30</v>
      </c>
      <c r="AW13" s="32">
        <f t="shared" ca="1" si="30"/>
        <v>30415.408988008006</v>
      </c>
      <c r="AX13" s="32">
        <f t="shared" si="31"/>
        <v>22722.774735898794</v>
      </c>
      <c r="AY13" s="32">
        <f t="shared" ca="1" si="32"/>
        <v>7692.634252109211</v>
      </c>
      <c r="BA13" s="32">
        <f ca="1">IF($A14="","",F13*Summary!$Q$11)</f>
        <v>0</v>
      </c>
      <c r="BC13" s="256">
        <f t="shared" ca="1" si="36"/>
        <v>22070.618240204243</v>
      </c>
    </row>
    <row r="14" spans="1:55">
      <c r="A14" s="67">
        <f t="shared" si="33"/>
        <v>37165</v>
      </c>
      <c r="B14" s="69">
        <f t="shared" si="37"/>
        <v>124142</v>
      </c>
      <c r="C14" s="71"/>
      <c r="D14" s="69">
        <f t="shared" si="0"/>
        <v>124142</v>
      </c>
      <c r="E14" s="70">
        <f t="shared" si="1"/>
        <v>3848402</v>
      </c>
      <c r="F14" s="70">
        <f t="shared" ca="1" si="2"/>
        <v>3708111.4524796177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0.23</v>
      </c>
      <c r="K14" s="64">
        <f t="shared" si="6"/>
        <v>0.23</v>
      </c>
      <c r="L14" s="63">
        <f t="shared" si="7"/>
        <v>0</v>
      </c>
      <c r="M14" s="64">
        <f t="shared" si="8"/>
        <v>0</v>
      </c>
      <c r="N14" s="65"/>
      <c r="O14" s="63">
        <f t="shared" si="9"/>
        <v>4.793000000000001</v>
      </c>
      <c r="P14" s="63">
        <f t="shared" si="10"/>
        <v>4.793000000000001</v>
      </c>
      <c r="Q14" s="66"/>
      <c r="R14" s="63">
        <f t="shared" si="34"/>
        <v>0.17</v>
      </c>
      <c r="S14" s="64">
        <f t="shared" si="11"/>
        <v>0.17</v>
      </c>
      <c r="T14" s="38">
        <v>0</v>
      </c>
      <c r="U14" s="64">
        <f t="shared" si="12"/>
        <v>0</v>
      </c>
      <c r="V14" s="219">
        <f>IF($A15="","",IF(AND(MONTH(A14)&gt;3,MONTH(A14)&lt;11),(T14+R14+G14)*Summary!$T$11/(1-Summary!$T$11),(T14+R14+G14)*Summary!$U$11/(1-Summary!$U$11)))</f>
        <v>5.0468268979969311E-2</v>
      </c>
      <c r="W14" s="43">
        <f t="shared" si="13"/>
        <v>4.7834682689799699</v>
      </c>
      <c r="X14" s="43">
        <f t="shared" si="14"/>
        <v>4.7834682689799699</v>
      </c>
      <c r="Y14" s="43"/>
      <c r="Z14" s="38">
        <f t="shared" si="15"/>
        <v>0.68</v>
      </c>
      <c r="AA14" s="38">
        <f t="shared" si="16"/>
        <v>0.55000000000000004</v>
      </c>
      <c r="AB14" s="38">
        <f t="shared" ca="1" si="17"/>
        <v>0.59685747789640986</v>
      </c>
      <c r="AC14" s="38">
        <f t="shared" si="18"/>
        <v>0.68</v>
      </c>
      <c r="AD14" s="38">
        <f t="shared" si="18"/>
        <v>0.55000000000000004</v>
      </c>
      <c r="AE14" s="38">
        <f t="shared" ca="1" si="19"/>
        <v>0.59685747789640986</v>
      </c>
      <c r="AF14" s="238">
        <f ca="1">((Summary!$N$11*(AA14*AD14)*(A14-$D$3))+(Summary!$M$11*Z14*AC14*(AJ14-EOMONTH(EDATE(A14,-1),0))))/(AK14*AB14*AE14)</f>
        <v>0.99991447416251322</v>
      </c>
      <c r="AG14" s="88">
        <f>IF($A15="","",Summary!$Q$11)</f>
        <v>0</v>
      </c>
      <c r="AH14" s="88">
        <f>IF($A15="","",IF(Summary!$R$11="Y",(VLOOKUP($A14,Summary!$AD$6:$AF$9,3)+'Escalating commodity'!G27),'Escalating commodity'!G27))</f>
        <v>3.6970217296000006E-3</v>
      </c>
      <c r="AI14" s="88">
        <f t="shared" si="35"/>
        <v>3.6970217296000006E-3</v>
      </c>
      <c r="AJ14" s="236">
        <f t="shared" si="20"/>
        <v>37179.5</v>
      </c>
      <c r="AK14" s="58">
        <f t="shared" ca="1" si="21"/>
        <v>139</v>
      </c>
      <c r="AL14" s="26">
        <f ca="1">IF($A15="","",_xll.SPRDOPT(P14,X14,AI14,0,AB14,AE14,AF14,AK14,$AJ$2,0))</f>
        <v>8.2861883440473877E-3</v>
      </c>
      <c r="AM14" s="209">
        <f t="shared" si="22"/>
        <v>5.834709290431131E-3</v>
      </c>
      <c r="AN14" s="89">
        <f t="shared" ca="1" si="23"/>
        <v>2.4514790536162567E-3</v>
      </c>
      <c r="AO14" s="3">
        <f t="shared" si="24"/>
        <v>31</v>
      </c>
      <c r="AP14" s="33">
        <f t="shared" si="25"/>
        <v>37165</v>
      </c>
      <c r="AQ14" s="58">
        <f t="shared" ca="1" si="26"/>
        <v>139</v>
      </c>
      <c r="AR14" s="38">
        <f>'ANR OK vs ML7'!AR14</f>
        <v>0.1</v>
      </c>
      <c r="AS14" s="35">
        <f t="shared" ca="1" si="27"/>
        <v>0.96354576587363217</v>
      </c>
      <c r="AT14" s="3">
        <f t="shared" si="28"/>
        <v>1</v>
      </c>
      <c r="AU14" s="3">
        <f t="shared" si="29"/>
        <v>31</v>
      </c>
      <c r="AW14" s="32">
        <f t="shared" ca="1" si="30"/>
        <v>31888.583795608654</v>
      </c>
      <c r="AX14" s="32">
        <f t="shared" si="31"/>
        <v>22454.306902713746</v>
      </c>
      <c r="AY14" s="32">
        <f t="shared" ca="1" si="32"/>
        <v>9434.2768928949099</v>
      </c>
      <c r="BA14" s="32">
        <f ca="1">IF($A15="","",F14*Summary!$Q$11)</f>
        <v>0</v>
      </c>
      <c r="BC14" s="256">
        <f t="shared" ca="1" si="36"/>
        <v>21635.752341736901</v>
      </c>
    </row>
    <row r="15" spans="1:55">
      <c r="A15" s="67">
        <f t="shared" si="33"/>
        <v>37196</v>
      </c>
      <c r="B15" s="69">
        <f t="shared" si="37"/>
        <v>124142</v>
      </c>
      <c r="C15" s="71"/>
      <c r="D15" s="69">
        <f t="shared" si="0"/>
        <v>124142</v>
      </c>
      <c r="E15" s="70">
        <f t="shared" si="1"/>
        <v>3724260</v>
      </c>
      <c r="F15" s="70">
        <f t="shared" ca="1" si="2"/>
        <v>3558897.8704887447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0.435</v>
      </c>
      <c r="K15" s="64">
        <f t="shared" si="6"/>
        <v>0.435</v>
      </c>
      <c r="L15" s="63">
        <f t="shared" si="7"/>
        <v>0</v>
      </c>
      <c r="M15" s="64">
        <f t="shared" si="8"/>
        <v>0</v>
      </c>
      <c r="N15" s="65"/>
      <c r="O15" s="63">
        <f t="shared" si="9"/>
        <v>5.1630000000000003</v>
      </c>
      <c r="P15" s="63">
        <f t="shared" si="10"/>
        <v>5.1630000000000003</v>
      </c>
      <c r="Q15" s="66"/>
      <c r="R15" s="63">
        <f t="shared" si="34"/>
        <v>0.24</v>
      </c>
      <c r="S15" s="64">
        <f t="shared" si="11"/>
        <v>0.24</v>
      </c>
      <c r="T15" s="38">
        <v>0</v>
      </c>
      <c r="U15" s="64">
        <f t="shared" si="12"/>
        <v>0</v>
      </c>
      <c r="V15" s="219">
        <f>IF($A16="","",IF(AND(MONTH(A15)&gt;3,MONTH(A15)&lt;11),(T15+R15+G15)*Summary!$T$11/(1-Summary!$T$11),(T15+R15+G15)*Summary!$U$11/(1-Summary!$U$11)))</f>
        <v>5.2974088377876094E-2</v>
      </c>
      <c r="W15" s="43">
        <f t="shared" si="13"/>
        <v>5.0209740883778773</v>
      </c>
      <c r="X15" s="43">
        <f t="shared" si="14"/>
        <v>5.0209740883778773</v>
      </c>
      <c r="Y15" s="43"/>
      <c r="Z15" s="38">
        <f t="shared" si="15"/>
        <v>1.05</v>
      </c>
      <c r="AA15" s="38">
        <f t="shared" si="16"/>
        <v>0.56000000000000005</v>
      </c>
      <c r="AB15" s="38">
        <f t="shared" ca="1" si="17"/>
        <v>0.64243608059250445</v>
      </c>
      <c r="AC15" s="38">
        <f t="shared" si="18"/>
        <v>1.05</v>
      </c>
      <c r="AD15" s="38">
        <f t="shared" si="18"/>
        <v>0.56000000000000005</v>
      </c>
      <c r="AE15" s="38">
        <f t="shared" ca="1" si="19"/>
        <v>0.64243608059250445</v>
      </c>
      <c r="AF15" s="238">
        <f ca="1">((Summary!$N$11*(AA15*AD15)*(A15-$D$3))+(Summary!$M$11*Z15*AC15*(AJ15-EOMONTH(EDATE(A15,-1),0))))/(AK15*AB15*AE15)</f>
        <v>0.99992357008170973</v>
      </c>
      <c r="AG15" s="88">
        <f>IF($A16="","",Summary!$Q$11)</f>
        <v>0</v>
      </c>
      <c r="AH15" s="88">
        <f>IF($A16="","",IF(Summary!$R$11="Y",(VLOOKUP($A15,Summary!$AD$6:$AF$9,3)+'Escalating commodity'!G28),'Escalating commodity'!G28))</f>
        <v>3.6970217296000006E-3</v>
      </c>
      <c r="AI15" s="88">
        <f t="shared" si="35"/>
        <v>3.6970217296000006E-3</v>
      </c>
      <c r="AJ15" s="236">
        <f t="shared" si="20"/>
        <v>37210</v>
      </c>
      <c r="AK15" s="58">
        <f t="shared" ca="1" si="21"/>
        <v>170</v>
      </c>
      <c r="AL15" s="26">
        <f ca="1">IF($A16="","",_xll.SPRDOPT(P15,X15,AI15,0,AB15,AE15,AF15,AK15,$AJ$2,0))</f>
        <v>0.13861745901345446</v>
      </c>
      <c r="AM15" s="209">
        <f t="shared" si="22"/>
        <v>0.13832888989252295</v>
      </c>
      <c r="AN15" s="89">
        <f t="shared" ca="1" si="23"/>
        <v>2.8856912093150333E-4</v>
      </c>
      <c r="AO15" s="3">
        <f t="shared" si="24"/>
        <v>30</v>
      </c>
      <c r="AP15" s="33">
        <f t="shared" si="25"/>
        <v>37196</v>
      </c>
      <c r="AQ15" s="58">
        <f t="shared" ca="1" si="26"/>
        <v>170</v>
      </c>
      <c r="AR15" s="38">
        <f>'ANR OK vs ML7'!AR15</f>
        <v>0.1</v>
      </c>
      <c r="AS15" s="35">
        <f t="shared" ca="1" si="27"/>
        <v>0.95559866134178195</v>
      </c>
      <c r="AT15" s="3">
        <f t="shared" si="28"/>
        <v>1</v>
      </c>
      <c r="AU15" s="3">
        <f t="shared" si="29"/>
        <v>30</v>
      </c>
      <c r="AW15" s="32">
        <f t="shared" ca="1" si="30"/>
        <v>516247.45790544793</v>
      </c>
      <c r="AX15" s="32">
        <f t="shared" si="31"/>
        <v>515172.75147112756</v>
      </c>
      <c r="AY15" s="32">
        <f t="shared" ca="1" si="32"/>
        <v>1074.7064343203606</v>
      </c>
      <c r="BA15" s="32">
        <f ca="1">IF($A16="","",F15*Summary!$Q$11)</f>
        <v>0</v>
      </c>
      <c r="BC15" s="256">
        <f t="shared" ca="1" si="36"/>
        <v>492298.39166557201</v>
      </c>
    </row>
    <row r="16" spans="1:55">
      <c r="A16" s="67">
        <f t="shared" si="33"/>
        <v>37226</v>
      </c>
      <c r="B16" s="69">
        <f t="shared" si="37"/>
        <v>124142</v>
      </c>
      <c r="C16" s="71"/>
      <c r="D16" s="69">
        <f t="shared" si="0"/>
        <v>124142</v>
      </c>
      <c r="E16" s="70">
        <f t="shared" si="1"/>
        <v>3848402</v>
      </c>
      <c r="F16" s="70">
        <f t="shared" ca="1" si="2"/>
        <v>3648170.9100274025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0.435</v>
      </c>
      <c r="K16" s="64">
        <f t="shared" si="6"/>
        <v>0.435</v>
      </c>
      <c r="L16" s="63">
        <f t="shared" si="7"/>
        <v>0</v>
      </c>
      <c r="M16" s="64">
        <f t="shared" si="8"/>
        <v>0</v>
      </c>
      <c r="N16" s="65"/>
      <c r="O16" s="63">
        <f t="shared" si="9"/>
        <v>5.3199999999999994</v>
      </c>
      <c r="P16" s="63">
        <f t="shared" si="10"/>
        <v>5.3199999999999994</v>
      </c>
      <c r="Q16" s="66"/>
      <c r="R16" s="63">
        <f t="shared" si="34"/>
        <v>0.24</v>
      </c>
      <c r="S16" s="64">
        <f t="shared" si="11"/>
        <v>0.24</v>
      </c>
      <c r="T16" s="38">
        <v>0</v>
      </c>
      <c r="U16" s="64">
        <f t="shared" si="12"/>
        <v>0</v>
      </c>
      <c r="V16" s="219">
        <f>IF($A17="","",IF(AND(MONTH(A16)&gt;3,MONTH(A16)&lt;11),(T16+R16+G16)*Summary!$T$11/(1-Summary!$T$11),(T16+R16+G16)*Summary!$U$11/(1-Summary!$U$11)))</f>
        <v>5.4648188996903165E-2</v>
      </c>
      <c r="W16" s="43">
        <f t="shared" si="13"/>
        <v>5.1796481889969028</v>
      </c>
      <c r="X16" s="43">
        <f t="shared" si="14"/>
        <v>5.1796481889969028</v>
      </c>
      <c r="Y16" s="43"/>
      <c r="Z16" s="38">
        <f t="shared" si="15"/>
        <v>1.35</v>
      </c>
      <c r="AA16" s="38">
        <f t="shared" si="16"/>
        <v>0.56800000000000006</v>
      </c>
      <c r="AB16" s="38">
        <f t="shared" ca="1" si="17"/>
        <v>0.68226158473125254</v>
      </c>
      <c r="AC16" s="38">
        <f t="shared" si="18"/>
        <v>1.35</v>
      </c>
      <c r="AD16" s="38">
        <f t="shared" si="18"/>
        <v>0.56800000000000006</v>
      </c>
      <c r="AE16" s="38">
        <f t="shared" ca="1" si="19"/>
        <v>0.68226158473125254</v>
      </c>
      <c r="AF16" s="238">
        <f ca="1">((Summary!$N$11*(AA16*AD16)*(A16-$D$3))+(Summary!$M$11*Z16*AC16*(AJ16-EOMONTH(EDATE(A16,-1),0))))/(AK16*AB16*AE16)</f>
        <v>0.9999303436207807</v>
      </c>
      <c r="AG16" s="88">
        <f>IF($A17="","",Summary!$Q$11)</f>
        <v>0</v>
      </c>
      <c r="AH16" s="88">
        <f>IF($A17="","",IF(Summary!$R$11="Y",(VLOOKUP($A16,Summary!$AD$6:$AF$9,3)+'Escalating commodity'!G29),'Escalating commodity'!G29))</f>
        <v>3.6970217296000006E-3</v>
      </c>
      <c r="AI16" s="88">
        <f t="shared" si="35"/>
        <v>3.6970217296000006E-3</v>
      </c>
      <c r="AJ16" s="236">
        <f t="shared" si="20"/>
        <v>37240.5</v>
      </c>
      <c r="AK16" s="58">
        <f t="shared" ca="1" si="21"/>
        <v>200</v>
      </c>
      <c r="AL16" s="26">
        <f ca="1">IF($A17="","",_xll.SPRDOPT(P16,X16,AI16,0,AB16,AE16,AF16,AK16,$AJ$2,0))</f>
        <v>0.13716466558466037</v>
      </c>
      <c r="AM16" s="209">
        <f t="shared" si="22"/>
        <v>0.13665478927349656</v>
      </c>
      <c r="AN16" s="89">
        <f t="shared" ca="1" si="23"/>
        <v>5.0987631116380938E-4</v>
      </c>
      <c r="AO16" s="3">
        <f t="shared" si="24"/>
        <v>31</v>
      </c>
      <c r="AP16" s="33">
        <f t="shared" si="25"/>
        <v>37226</v>
      </c>
      <c r="AQ16" s="58">
        <f t="shared" ca="1" si="26"/>
        <v>200</v>
      </c>
      <c r="AR16" s="38">
        <f>'ANR OK vs ML7'!AR16</f>
        <v>0.1</v>
      </c>
      <c r="AS16" s="35">
        <f t="shared" ca="1" si="27"/>
        <v>0.94797032899042311</v>
      </c>
      <c r="AT16" s="3">
        <f t="shared" si="28"/>
        <v>1</v>
      </c>
      <c r="AU16" s="3">
        <f t="shared" si="29"/>
        <v>31</v>
      </c>
      <c r="AW16" s="32">
        <f t="shared" ca="1" si="30"/>
        <v>527864.7733653381</v>
      </c>
      <c r="AX16" s="32">
        <f t="shared" si="31"/>
        <v>525902.56434970268</v>
      </c>
      <c r="AY16" s="32">
        <f t="shared" ca="1" si="32"/>
        <v>1962.2090156354263</v>
      </c>
      <c r="BA16" s="32">
        <f ca="1">IF($A17="","",F16*Summary!$Q$11)</f>
        <v>0</v>
      </c>
      <c r="BC16" s="256">
        <f t="shared" ca="1" si="36"/>
        <v>498540.02694349486</v>
      </c>
    </row>
    <row r="17" spans="1:55">
      <c r="A17" s="67">
        <f t="shared" si="33"/>
        <v>37257</v>
      </c>
      <c r="B17" s="69">
        <f t="shared" si="37"/>
        <v>124142</v>
      </c>
      <c r="C17" s="71"/>
      <c r="D17" s="69">
        <f t="shared" si="0"/>
        <v>124142</v>
      </c>
      <c r="E17" s="70">
        <f t="shared" si="1"/>
        <v>3848402</v>
      </c>
      <c r="F17" s="70">
        <f t="shared" ca="1" si="2"/>
        <v>3618081.6329023498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0.435</v>
      </c>
      <c r="K17" s="64">
        <f t="shared" si="6"/>
        <v>0.435</v>
      </c>
      <c r="L17" s="63">
        <f t="shared" si="7"/>
        <v>0</v>
      </c>
      <c r="M17" s="64">
        <f t="shared" si="8"/>
        <v>0</v>
      </c>
      <c r="N17" s="65"/>
      <c r="O17" s="63">
        <f t="shared" si="9"/>
        <v>5.3819999999999997</v>
      </c>
      <c r="P17" s="63">
        <f t="shared" si="10"/>
        <v>5.3819999999999997</v>
      </c>
      <c r="Q17" s="66"/>
      <c r="R17" s="63">
        <f t="shared" si="34"/>
        <v>0.24</v>
      </c>
      <c r="S17" s="64">
        <f t="shared" si="11"/>
        <v>0.24</v>
      </c>
      <c r="T17" s="38">
        <v>0</v>
      </c>
      <c r="U17" s="64">
        <f t="shared" si="12"/>
        <v>0</v>
      </c>
      <c r="V17" s="219">
        <f>IF($A18="","",IF(AND(MONTH(A17)&gt;3,MONTH(A17)&lt;11),(T17+R17+G17)*Summary!$T$11/(1-Summary!$T$11),(T17+R17+G17)*Summary!$U$11/(1-Summary!$U$11)))</f>
        <v>5.5309298795499853E-2</v>
      </c>
      <c r="W17" s="43">
        <f t="shared" si="13"/>
        <v>5.2423092987955</v>
      </c>
      <c r="X17" s="43">
        <f t="shared" si="14"/>
        <v>5.2423092987955</v>
      </c>
      <c r="Y17" s="43"/>
      <c r="Z17" s="38">
        <f t="shared" si="15"/>
        <v>1.35</v>
      </c>
      <c r="AA17" s="38">
        <f t="shared" si="16"/>
        <v>0.57499999999999996</v>
      </c>
      <c r="AB17" s="38">
        <f t="shared" ca="1" si="17"/>
        <v>0.67405136161515022</v>
      </c>
      <c r="AC17" s="38">
        <f t="shared" si="18"/>
        <v>1.35</v>
      </c>
      <c r="AD17" s="38">
        <f t="shared" si="18"/>
        <v>0.57499999999999996</v>
      </c>
      <c r="AE17" s="38">
        <f t="shared" ca="1" si="19"/>
        <v>0.67405136161515022</v>
      </c>
      <c r="AF17" s="238">
        <f ca="1">((Summary!$N$11*(AA17*AD17)*(A17-$D$3))+(Summary!$M$11*Z17*AC17*(AJ17-EOMONTH(EDATE(A17,-1),0))))/(AK17*AB17*AE17)</f>
        <v>0.99992691542703327</v>
      </c>
      <c r="AG17" s="88">
        <f>IF($A18="","",Summary!$Q$11)</f>
        <v>0</v>
      </c>
      <c r="AH17" s="88">
        <f>IF($A18="","",IF(Summary!$R$11="Y",(VLOOKUP($A17,Summary!$AD$6:$AF$9,3)+'Escalating commodity'!G30),'Escalating commodity'!G30))</f>
        <v>3.8892668595392008E-3</v>
      </c>
      <c r="AI17" s="88">
        <f t="shared" si="35"/>
        <v>3.8892668595392008E-3</v>
      </c>
      <c r="AJ17" s="236">
        <f t="shared" si="20"/>
        <v>37271.5</v>
      </c>
      <c r="AK17" s="58">
        <f t="shared" ca="1" si="21"/>
        <v>231</v>
      </c>
      <c r="AL17" s="26">
        <f ca="1">IF($A18="","",_xll.SPRDOPT(P17,X17,AI17,0,AB17,AE17,AF17,AK17,$AJ$2,0))</f>
        <v>0.13648385678820998</v>
      </c>
      <c r="AM17" s="209">
        <f t="shared" si="22"/>
        <v>0.13580143434496048</v>
      </c>
      <c r="AN17" s="89">
        <f t="shared" ca="1" si="23"/>
        <v>6.8242244324950851E-4</v>
      </c>
      <c r="AO17" s="3">
        <f t="shared" si="24"/>
        <v>31</v>
      </c>
      <c r="AP17" s="33">
        <f t="shared" si="25"/>
        <v>37257</v>
      </c>
      <c r="AQ17" s="58">
        <f t="shared" ca="1" si="26"/>
        <v>231</v>
      </c>
      <c r="AR17" s="38">
        <f>'ANR OK vs ML7'!AR17</f>
        <v>0.1</v>
      </c>
      <c r="AS17" s="35">
        <f t="shared" ca="1" si="27"/>
        <v>0.94015168709047281</v>
      </c>
      <c r="AT17" s="3">
        <f t="shared" si="28"/>
        <v>1</v>
      </c>
      <c r="AU17" s="3">
        <f t="shared" si="29"/>
        <v>31</v>
      </c>
      <c r="AW17" s="32">
        <f t="shared" ca="1" si="30"/>
        <v>525244.74743146088</v>
      </c>
      <c r="AX17" s="32">
        <f t="shared" si="31"/>
        <v>522618.51153601456</v>
      </c>
      <c r="AY17" s="32">
        <f t="shared" ca="1" si="32"/>
        <v>2626.2358954462952</v>
      </c>
      <c r="BA17" s="32">
        <f ca="1">IF($A18="","",F17*Summary!$Q$11)</f>
        <v>0</v>
      </c>
      <c r="BC17" s="256">
        <f t="shared" ca="1" si="36"/>
        <v>491340.67532529583</v>
      </c>
    </row>
    <row r="18" spans="1:55">
      <c r="A18" s="67">
        <f t="shared" si="33"/>
        <v>37288</v>
      </c>
      <c r="B18" s="69">
        <f t="shared" si="37"/>
        <v>124142</v>
      </c>
      <c r="C18" s="71"/>
      <c r="D18" s="69">
        <f t="shared" si="0"/>
        <v>124142</v>
      </c>
      <c r="E18" s="70">
        <f t="shared" si="1"/>
        <v>3475976</v>
      </c>
      <c r="F18" s="70">
        <f t="shared" ca="1" si="2"/>
        <v>3240991.4421481281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0.54500000000000004</v>
      </c>
      <c r="K18" s="64">
        <f t="shared" si="6"/>
        <v>0.54500000000000004</v>
      </c>
      <c r="L18" s="63">
        <f t="shared" si="7"/>
        <v>0</v>
      </c>
      <c r="M18" s="64">
        <f t="shared" si="8"/>
        <v>0</v>
      </c>
      <c r="N18" s="65"/>
      <c r="O18" s="63">
        <f t="shared" si="9"/>
        <v>5.3620000000000001</v>
      </c>
      <c r="P18" s="63">
        <f t="shared" si="10"/>
        <v>5.3620000000000001</v>
      </c>
      <c r="Q18" s="66"/>
      <c r="R18" s="63">
        <f t="shared" si="34"/>
        <v>0.35</v>
      </c>
      <c r="S18" s="64">
        <f t="shared" si="11"/>
        <v>0.35</v>
      </c>
      <c r="T18" s="38">
        <v>0</v>
      </c>
      <c r="U18" s="64">
        <f t="shared" si="12"/>
        <v>0</v>
      </c>
      <c r="V18" s="219">
        <f>IF($A19="","",IF(AND(MONTH(A18)&gt;3,MONTH(A18)&lt;11),(T18+R18+G18)*Summary!$T$11/(1-Summary!$T$11),(T18+R18+G18)*Summary!$U$11/(1-Summary!$U$11)))</f>
        <v>5.5096037570146077E-2</v>
      </c>
      <c r="W18" s="43">
        <f t="shared" si="13"/>
        <v>5.2220960375701457</v>
      </c>
      <c r="X18" s="43">
        <f t="shared" si="14"/>
        <v>5.2220960375701457</v>
      </c>
      <c r="Y18" s="43"/>
      <c r="Z18" s="38">
        <f t="shared" si="15"/>
        <v>1.35</v>
      </c>
      <c r="AA18" s="38">
        <f t="shared" si="16"/>
        <v>0.56999999999999995</v>
      </c>
      <c r="AB18" s="38">
        <f t="shared" ca="1" si="17"/>
        <v>0.65078842377464263</v>
      </c>
      <c r="AC18" s="38">
        <f t="shared" si="18"/>
        <v>1.35</v>
      </c>
      <c r="AD18" s="38">
        <f t="shared" si="18"/>
        <v>0.56999999999999995</v>
      </c>
      <c r="AE18" s="38">
        <f t="shared" ca="1" si="19"/>
        <v>0.65078842377464263</v>
      </c>
      <c r="AF18" s="238">
        <f ca="1">((Summary!$N$11*(AA18*AD18)*(A18-$D$3))+(Summary!$M$11*Z18*AC18*(AJ18-EOMONTH(EDATE(A18,-1),0))))/(AK18*AB18*AE18)</f>
        <v>0.99992299400614826</v>
      </c>
      <c r="AG18" s="88">
        <f>IF($A19="","",Summary!$Q$11)</f>
        <v>0</v>
      </c>
      <c r="AH18" s="88">
        <f>IF($A19="","",IF(Summary!$R$11="Y",(VLOOKUP($A18,Summary!$AD$6:$AF$9,3)+'Escalating commodity'!G31),'Escalating commodity'!G31))</f>
        <v>3.8892668595392008E-3</v>
      </c>
      <c r="AI18" s="88">
        <f t="shared" si="35"/>
        <v>3.8892668595392008E-3</v>
      </c>
      <c r="AJ18" s="236">
        <f t="shared" si="20"/>
        <v>37301</v>
      </c>
      <c r="AK18" s="58">
        <f t="shared" ca="1" si="21"/>
        <v>262</v>
      </c>
      <c r="AL18" s="26">
        <f ca="1">IF($A19="","",_xll.SPRDOPT(P18,X18,AI18,0,AB18,AE18,AF18,AK18,$AJ$2,0))</f>
        <v>0.13678596493889997</v>
      </c>
      <c r="AM18" s="209">
        <f t="shared" si="22"/>
        <v>0.13601469557031517</v>
      </c>
      <c r="AN18" s="89">
        <f t="shared" ca="1" si="23"/>
        <v>7.7126936858479267E-4</v>
      </c>
      <c r="AO18" s="3">
        <f t="shared" si="24"/>
        <v>28</v>
      </c>
      <c r="AP18" s="33">
        <f t="shared" si="25"/>
        <v>37288</v>
      </c>
      <c r="AQ18" s="58">
        <f t="shared" ca="1" si="26"/>
        <v>262</v>
      </c>
      <c r="AR18" s="38">
        <f>'ANR OK vs ML7'!AR18</f>
        <v>0.1</v>
      </c>
      <c r="AS18" s="35">
        <f t="shared" ca="1" si="27"/>
        <v>0.93239753155606597</v>
      </c>
      <c r="AT18" s="3">
        <f t="shared" si="28"/>
        <v>1</v>
      </c>
      <c r="AU18" s="3">
        <f t="shared" si="29"/>
        <v>28</v>
      </c>
      <c r="AW18" s="32">
        <f t="shared" ca="1" si="30"/>
        <v>475464.73126445775</v>
      </c>
      <c r="AX18" s="32">
        <f t="shared" si="31"/>
        <v>472783.81744972186</v>
      </c>
      <c r="AY18" s="32">
        <f t="shared" ca="1" si="32"/>
        <v>2680.9138147358931</v>
      </c>
      <c r="BA18" s="32">
        <f ca="1">IF($A19="","",F18*Summary!$Q$11)</f>
        <v>0</v>
      </c>
      <c r="BC18" s="256">
        <f t="shared" ca="1" si="36"/>
        <v>440822.46434977441</v>
      </c>
    </row>
    <row r="19" spans="1:55">
      <c r="A19" s="67">
        <f t="shared" si="33"/>
        <v>37316</v>
      </c>
      <c r="B19" s="69">
        <f t="shared" si="37"/>
        <v>124142</v>
      </c>
      <c r="C19" s="71"/>
      <c r="D19" s="69">
        <f t="shared" si="0"/>
        <v>124142</v>
      </c>
      <c r="E19" s="70">
        <f t="shared" si="1"/>
        <v>3848402</v>
      </c>
      <c r="F19" s="70">
        <f t="shared" ca="1" si="2"/>
        <v>3561498.8707454894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0.54500000000000004</v>
      </c>
      <c r="K19" s="64">
        <f t="shared" si="6"/>
        <v>0.54500000000000004</v>
      </c>
      <c r="L19" s="63">
        <f t="shared" si="7"/>
        <v>0</v>
      </c>
      <c r="M19" s="64">
        <f t="shared" si="8"/>
        <v>0</v>
      </c>
      <c r="N19" s="65"/>
      <c r="O19" s="63">
        <f t="shared" si="9"/>
        <v>5.1749999999999998</v>
      </c>
      <c r="P19" s="63">
        <f t="shared" si="10"/>
        <v>5.1749999999999998</v>
      </c>
      <c r="Q19" s="66"/>
      <c r="R19" s="63">
        <f t="shared" si="34"/>
        <v>0.35</v>
      </c>
      <c r="S19" s="64">
        <f t="shared" si="11"/>
        <v>0.35</v>
      </c>
      <c r="T19" s="38">
        <v>0</v>
      </c>
      <c r="U19" s="64">
        <f t="shared" si="12"/>
        <v>0</v>
      </c>
      <c r="V19" s="219">
        <f>IF($A20="","",IF(AND(MONTH(A19)&gt;3,MONTH(A19)&lt;11),(T19+R19+G19)*Summary!$T$11/(1-Summary!$T$11),(T19+R19+G19)*Summary!$U$11/(1-Summary!$U$11)))</f>
        <v>5.3102045113088338E-2</v>
      </c>
      <c r="W19" s="43">
        <f t="shared" si="13"/>
        <v>5.0331020451130879</v>
      </c>
      <c r="X19" s="43">
        <f t="shared" si="14"/>
        <v>5.0331020451130879</v>
      </c>
      <c r="Y19" s="43"/>
      <c r="Z19" s="38">
        <f t="shared" si="15"/>
        <v>1</v>
      </c>
      <c r="AA19" s="38">
        <f t="shared" si="16"/>
        <v>0.52300000000000002</v>
      </c>
      <c r="AB19" s="38">
        <f t="shared" ca="1" si="17"/>
        <v>0.57264341374920646</v>
      </c>
      <c r="AC19" s="38">
        <f t="shared" si="18"/>
        <v>1</v>
      </c>
      <c r="AD19" s="38">
        <f t="shared" si="18"/>
        <v>0.52300000000000002</v>
      </c>
      <c r="AE19" s="38">
        <f t="shared" ca="1" si="19"/>
        <v>0.57264341374920646</v>
      </c>
      <c r="AF19" s="238">
        <f ca="1">((Summary!$N$11*(AA19*AD19)*(A19-$D$3))+(Summary!$M$11*Z19*AC19*(AJ19-EOMONTH(EDATE(A19,-1),0))))/(AK19*AB19*AE19)</f>
        <v>0.99991629915764157</v>
      </c>
      <c r="AG19" s="88">
        <f>IF($A20="","",Summary!$Q$11)</f>
        <v>0</v>
      </c>
      <c r="AH19" s="88">
        <f>IF($A20="","",IF(Summary!$R$11="Y",(VLOOKUP($A19,Summary!$AD$6:$AF$9,3)+'Escalating commodity'!G32),'Escalating commodity'!G32))</f>
        <v>3.8892668595392008E-3</v>
      </c>
      <c r="AI19" s="88">
        <f t="shared" si="35"/>
        <v>3.8892668595392008E-3</v>
      </c>
      <c r="AJ19" s="236">
        <f t="shared" si="20"/>
        <v>37330.5</v>
      </c>
      <c r="AK19" s="58">
        <f t="shared" ca="1" si="21"/>
        <v>290</v>
      </c>
      <c r="AL19" s="26">
        <f ca="1">IF($A20="","",_xll.SPRDOPT(P19,X19,AI19,0,AB19,AE19,AF19,AK19,$AJ$2,0))</f>
        <v>0.13857292273334729</v>
      </c>
      <c r="AM19" s="209">
        <f t="shared" si="22"/>
        <v>0.13800868802737273</v>
      </c>
      <c r="AN19" s="89">
        <f t="shared" ca="1" si="23"/>
        <v>5.6423470597455339E-4</v>
      </c>
      <c r="AO19" s="3">
        <f t="shared" si="24"/>
        <v>31</v>
      </c>
      <c r="AP19" s="33">
        <f t="shared" si="25"/>
        <v>37316</v>
      </c>
      <c r="AQ19" s="58">
        <f t="shared" ca="1" si="26"/>
        <v>290</v>
      </c>
      <c r="AR19" s="38">
        <f>'ANR OK vs ML7'!AR19</f>
        <v>0.1</v>
      </c>
      <c r="AS19" s="35">
        <f t="shared" ca="1" si="27"/>
        <v>0.92544876308283008</v>
      </c>
      <c r="AT19" s="3">
        <f t="shared" si="28"/>
        <v>1</v>
      </c>
      <c r="AU19" s="3">
        <f t="shared" si="29"/>
        <v>31</v>
      </c>
      <c r="AW19" s="32">
        <f t="shared" ca="1" si="30"/>
        <v>533284.31299285917</v>
      </c>
      <c r="AX19" s="32">
        <f t="shared" si="31"/>
        <v>531112.91102191724</v>
      </c>
      <c r="AY19" s="32">
        <f t="shared" ca="1" si="32"/>
        <v>2171.4019709418831</v>
      </c>
      <c r="BA19" s="32">
        <f ca="1">IF($A20="","",F19*Summary!$Q$11)</f>
        <v>0</v>
      </c>
      <c r="BC19" s="256">
        <f t="shared" ca="1" si="36"/>
        <v>491517.78656255454</v>
      </c>
    </row>
    <row r="20" spans="1:55">
      <c r="A20" s="67">
        <f t="shared" si="33"/>
        <v>37347</v>
      </c>
      <c r="B20" s="69">
        <f t="shared" si="37"/>
        <v>124142</v>
      </c>
      <c r="C20" s="71"/>
      <c r="D20" s="69">
        <f t="shared" si="0"/>
        <v>124142</v>
      </c>
      <c r="E20" s="70">
        <f t="shared" si="1"/>
        <v>3724260</v>
      </c>
      <c r="F20" s="70">
        <f t="shared" ca="1" si="2"/>
        <v>3418184.9465091992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0.245</v>
      </c>
      <c r="K20" s="64">
        <f t="shared" si="6"/>
        <v>0.245</v>
      </c>
      <c r="L20" s="63">
        <f t="shared" si="7"/>
        <v>0</v>
      </c>
      <c r="M20" s="64">
        <f t="shared" si="8"/>
        <v>0</v>
      </c>
      <c r="N20" s="65"/>
      <c r="O20" s="63">
        <f t="shared" si="9"/>
        <v>4.5369999999999999</v>
      </c>
      <c r="P20" s="63">
        <f t="shared" si="10"/>
        <v>4.5369999999999999</v>
      </c>
      <c r="Q20" s="66"/>
      <c r="R20" s="63">
        <f t="shared" si="34"/>
        <v>0.17499999999999999</v>
      </c>
      <c r="S20" s="64">
        <f t="shared" si="11"/>
        <v>0.17499999999999999</v>
      </c>
      <c r="T20" s="38">
        <v>0</v>
      </c>
      <c r="U20" s="64">
        <f t="shared" si="12"/>
        <v>0</v>
      </c>
      <c r="V20" s="219">
        <f>IF($A21="","",IF(AND(MONTH(A20)&gt;3,MONTH(A20)&lt;11),(T20+R20+G20)*Summary!$T$11/(1-Summary!$T$11),(T20+R20+G20)*Summary!$U$11/(1-Summary!$U$11)))</f>
        <v>4.7631894682764186E-2</v>
      </c>
      <c r="W20" s="43">
        <f t="shared" si="13"/>
        <v>4.5146318946827639</v>
      </c>
      <c r="X20" s="43">
        <f t="shared" si="14"/>
        <v>4.5146318946827639</v>
      </c>
      <c r="Y20" s="43"/>
      <c r="Z20" s="38">
        <f t="shared" si="15"/>
        <v>0.45</v>
      </c>
      <c r="AA20" s="38">
        <f t="shared" si="16"/>
        <v>0.4</v>
      </c>
      <c r="AB20" s="38">
        <f t="shared" ca="1" si="17"/>
        <v>0.41226333718878178</v>
      </c>
      <c r="AC20" s="38">
        <f t="shared" si="18"/>
        <v>0.45</v>
      </c>
      <c r="AD20" s="38">
        <f t="shared" si="18"/>
        <v>0.4</v>
      </c>
      <c r="AE20" s="38">
        <f t="shared" ca="1" si="19"/>
        <v>0.41226333718878178</v>
      </c>
      <c r="AF20" s="238">
        <f ca="1">((Summary!$N$11*(AA20*AD20)*(A20-$D$3))+(Summary!$M$11*Z20*AC20*(AJ20-EOMONTH(EDATE(A20,-1),0))))/(AK20*AB20*AE20)</f>
        <v>0.99990556752050597</v>
      </c>
      <c r="AG20" s="88">
        <f>IF($A21="","",Summary!$Q$11)</f>
        <v>0</v>
      </c>
      <c r="AH20" s="88">
        <f>IF($A21="","",IF(Summary!$R$11="Y",(VLOOKUP($A20,Summary!$AD$6:$AF$9,3)+'Escalating commodity'!G33),'Escalating commodity'!G33))</f>
        <v>3.8892668595392008E-3</v>
      </c>
      <c r="AI20" s="88">
        <f t="shared" si="35"/>
        <v>3.8892668595392008E-3</v>
      </c>
      <c r="AJ20" s="236">
        <f t="shared" si="20"/>
        <v>37361</v>
      </c>
      <c r="AK20" s="58">
        <f t="shared" ca="1" si="21"/>
        <v>321</v>
      </c>
      <c r="AL20" s="26">
        <f ca="1">IF($A21="","",_xll.SPRDOPT(P20,X20,AI20,0,AB20,AE20,AF20,AK20,$AJ$2,0))</f>
        <v>2.0635681581713871E-2</v>
      </c>
      <c r="AM20" s="209">
        <f t="shared" si="22"/>
        <v>1.8478838457696788E-2</v>
      </c>
      <c r="AN20" s="89">
        <f t="shared" ca="1" si="23"/>
        <v>2.1568431240170834E-3</v>
      </c>
      <c r="AO20" s="3">
        <f t="shared" si="24"/>
        <v>30</v>
      </c>
      <c r="AP20" s="33">
        <f t="shared" si="25"/>
        <v>37347</v>
      </c>
      <c r="AQ20" s="58">
        <f t="shared" ca="1" si="26"/>
        <v>321</v>
      </c>
      <c r="AR20" s="38">
        <f>'ANR OK vs ML7'!AR20</f>
        <v>0.1</v>
      </c>
      <c r="AS20" s="35">
        <f t="shared" ca="1" si="27"/>
        <v>0.91781587389419628</v>
      </c>
      <c r="AT20" s="3">
        <f t="shared" si="28"/>
        <v>1</v>
      </c>
      <c r="AU20" s="3">
        <f t="shared" si="29"/>
        <v>30</v>
      </c>
      <c r="AW20" s="32">
        <f t="shared" ca="1" si="30"/>
        <v>76852.643487513706</v>
      </c>
      <c r="AX20" s="32">
        <f t="shared" si="31"/>
        <v>68819.998914461845</v>
      </c>
      <c r="AY20" s="32">
        <f t="shared" ca="1" si="32"/>
        <v>8032.6445730518626</v>
      </c>
      <c r="BA20" s="32">
        <f ca="1">IF($A21="","",F20*Summary!$Q$11)</f>
        <v>0</v>
      </c>
      <c r="BC20" s="256">
        <f t="shared" ca="1" si="36"/>
        <v>63164.08744507443</v>
      </c>
    </row>
    <row r="21" spans="1:55">
      <c r="A21" s="67">
        <f t="shared" si="33"/>
        <v>37377</v>
      </c>
      <c r="B21" s="69">
        <f t="shared" si="37"/>
        <v>124142</v>
      </c>
      <c r="C21" s="71"/>
      <c r="D21" s="69">
        <f t="shared" si="0"/>
        <v>124142</v>
      </c>
      <c r="E21" s="70">
        <f t="shared" si="1"/>
        <v>3848402</v>
      </c>
      <c r="F21" s="70">
        <f t="shared" ca="1" si="2"/>
        <v>3503928.2780081308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0.245</v>
      </c>
      <c r="K21" s="64">
        <f t="shared" si="6"/>
        <v>0.245</v>
      </c>
      <c r="L21" s="63">
        <f t="shared" si="7"/>
        <v>0</v>
      </c>
      <c r="M21" s="64">
        <f t="shared" si="8"/>
        <v>0</v>
      </c>
      <c r="N21" s="65"/>
      <c r="O21" s="63">
        <f t="shared" si="9"/>
        <v>4.4570000000000007</v>
      </c>
      <c r="P21" s="63">
        <f t="shared" si="10"/>
        <v>4.4570000000000007</v>
      </c>
      <c r="Q21" s="66"/>
      <c r="R21" s="63">
        <f t="shared" si="34"/>
        <v>0.17499999999999999</v>
      </c>
      <c r="S21" s="64">
        <f t="shared" si="11"/>
        <v>0.17499999999999999</v>
      </c>
      <c r="T21" s="38">
        <v>0</v>
      </c>
      <c r="U21" s="64">
        <f t="shared" si="12"/>
        <v>0</v>
      </c>
      <c r="V21" s="219">
        <f>IF($A22="","",IF(AND(MONTH(A21)&gt;3,MONTH(A21)&lt;11),(T21+R21+G21)*Summary!$T$11/(1-Summary!$T$11),(T21+R21+G21)*Summary!$U$11/(1-Summary!$U$11)))</f>
        <v>4.6778849781349122E-2</v>
      </c>
      <c r="W21" s="43">
        <f t="shared" si="13"/>
        <v>4.4337788497813495</v>
      </c>
      <c r="X21" s="43">
        <f t="shared" si="14"/>
        <v>4.4337788497813495</v>
      </c>
      <c r="Y21" s="43"/>
      <c r="Z21" s="38">
        <f t="shared" si="15"/>
        <v>0.5</v>
      </c>
      <c r="AA21" s="38">
        <f t="shared" si="16"/>
        <v>0.35</v>
      </c>
      <c r="AB21" s="38">
        <f t="shared" ca="1" si="17"/>
        <v>0.36590830666833579</v>
      </c>
      <c r="AC21" s="38">
        <f t="shared" si="18"/>
        <v>0.5</v>
      </c>
      <c r="AD21" s="38">
        <f t="shared" si="18"/>
        <v>0.35</v>
      </c>
      <c r="AE21" s="38">
        <f t="shared" ca="1" si="19"/>
        <v>0.36590830666833579</v>
      </c>
      <c r="AF21" s="238">
        <f ca="1">((Summary!$N$11*(AA21*AD21)*(A21-$D$3))+(Summary!$M$11*Z21*AC21*(AJ21-EOMONTH(EDATE(A21,-1),0))))/(AK21*AB21*AE21)</f>
        <v>0.99990824555803814</v>
      </c>
      <c r="AG21" s="88">
        <f>IF($A22="","",Summary!$Q$11)</f>
        <v>0</v>
      </c>
      <c r="AH21" s="88">
        <f>IF($A22="","",IF(Summary!$R$11="Y",(VLOOKUP($A21,Summary!$AD$6:$AF$9,3)+'Escalating commodity'!G34),'Escalating commodity'!G34))</f>
        <v>3.8892668595392008E-3</v>
      </c>
      <c r="AI21" s="88">
        <f t="shared" si="35"/>
        <v>3.8892668595392008E-3</v>
      </c>
      <c r="AJ21" s="236">
        <f t="shared" si="20"/>
        <v>37391.5</v>
      </c>
      <c r="AK21" s="58">
        <f t="shared" ca="1" si="21"/>
        <v>351</v>
      </c>
      <c r="AL21" s="26">
        <f ca="1">IF($A22="","",_xll.SPRDOPT(P21,X21,AI21,0,AB21,AE21,AF21,AK21,$AJ$2,0))</f>
        <v>2.1151121826838287E-2</v>
      </c>
      <c r="AM21" s="209">
        <f t="shared" si="22"/>
        <v>1.9331883359112033E-2</v>
      </c>
      <c r="AN21" s="89">
        <f t="shared" ca="1" si="23"/>
        <v>1.8192384677262544E-3</v>
      </c>
      <c r="AO21" s="3">
        <f t="shared" si="24"/>
        <v>31</v>
      </c>
      <c r="AP21" s="33">
        <f t="shared" si="25"/>
        <v>37377</v>
      </c>
      <c r="AQ21" s="58">
        <f t="shared" ca="1" si="26"/>
        <v>351</v>
      </c>
      <c r="AR21" s="38">
        <f>'ANR OK vs ML7'!AR21</f>
        <v>0.1</v>
      </c>
      <c r="AS21" s="35">
        <f t="shared" ca="1" si="27"/>
        <v>0.91048915316230761</v>
      </c>
      <c r="AT21" s="3">
        <f t="shared" si="28"/>
        <v>1</v>
      </c>
      <c r="AU21" s="3">
        <f t="shared" si="29"/>
        <v>31</v>
      </c>
      <c r="AW21" s="32">
        <f t="shared" ca="1" si="30"/>
        <v>81398.019540648122</v>
      </c>
      <c r="AX21" s="32">
        <f t="shared" si="31"/>
        <v>74396.858582973466</v>
      </c>
      <c r="AY21" s="32">
        <f t="shared" ca="1" si="32"/>
        <v>7001.1609576746523</v>
      </c>
      <c r="BA21" s="32">
        <f ca="1">IF($A22="","",F21*Summary!$Q$11)</f>
        <v>0</v>
      </c>
      <c r="BC21" s="256">
        <f t="shared" ca="1" si="36"/>
        <v>67737.532769147467</v>
      </c>
    </row>
    <row r="22" spans="1:55">
      <c r="A22" s="67">
        <f t="shared" si="33"/>
        <v>37408</v>
      </c>
      <c r="B22" s="69">
        <f t="shared" si="37"/>
        <v>124142</v>
      </c>
      <c r="C22" s="71"/>
      <c r="D22" s="69">
        <f t="shared" si="0"/>
        <v>124142</v>
      </c>
      <c r="E22" s="70">
        <f t="shared" si="1"/>
        <v>3724260</v>
      </c>
      <c r="F22" s="70">
        <f t="shared" ca="1" si="2"/>
        <v>3362930.9816482589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0.245</v>
      </c>
      <c r="K22" s="64">
        <f t="shared" si="6"/>
        <v>0.245</v>
      </c>
      <c r="L22" s="63">
        <f t="shared" si="7"/>
        <v>0</v>
      </c>
      <c r="M22" s="64">
        <f t="shared" si="8"/>
        <v>0</v>
      </c>
      <c r="N22" s="65"/>
      <c r="O22" s="63">
        <f t="shared" si="9"/>
        <v>4.4969999999999999</v>
      </c>
      <c r="P22" s="63">
        <f t="shared" si="10"/>
        <v>4.4969999999999999</v>
      </c>
      <c r="Q22" s="66"/>
      <c r="R22" s="63">
        <f t="shared" si="34"/>
        <v>0.17499999999999999</v>
      </c>
      <c r="S22" s="64">
        <f t="shared" si="11"/>
        <v>0.17499999999999999</v>
      </c>
      <c r="T22" s="38">
        <v>0</v>
      </c>
      <c r="U22" s="64">
        <f t="shared" si="12"/>
        <v>0</v>
      </c>
      <c r="V22" s="219">
        <f>IF($A23="","",IF(AND(MONTH(A22)&gt;3,MONTH(A22)&lt;11),(T22+R22+G22)*Summary!$T$11/(1-Summary!$T$11),(T22+R22+G22)*Summary!$U$11/(1-Summary!$U$11)))</f>
        <v>4.720537223205664E-2</v>
      </c>
      <c r="W22" s="43">
        <f t="shared" si="13"/>
        <v>4.4742053722320563</v>
      </c>
      <c r="X22" s="43">
        <f t="shared" si="14"/>
        <v>4.4742053722320563</v>
      </c>
      <c r="Y22" s="43"/>
      <c r="Z22" s="38">
        <f t="shared" si="15"/>
        <v>0.5</v>
      </c>
      <c r="AA22" s="38">
        <f t="shared" si="16"/>
        <v>0.35</v>
      </c>
      <c r="AB22" s="38">
        <f t="shared" ca="1" si="17"/>
        <v>0.36419422641630911</v>
      </c>
      <c r="AC22" s="38">
        <f t="shared" si="18"/>
        <v>0.5</v>
      </c>
      <c r="AD22" s="38">
        <f t="shared" si="18"/>
        <v>0.35</v>
      </c>
      <c r="AE22" s="38">
        <f t="shared" ca="1" si="19"/>
        <v>0.36419422641630911</v>
      </c>
      <c r="AF22" s="238">
        <f ca="1">((Summary!$N$11*(AA22*AD22)*(A22-$D$3))+(Summary!$M$11*Z22*AC22*(AJ22-EOMONTH(EDATE(A22,-1),0))))/(AK22*AB22*AE22)</f>
        <v>0.99990740119405908</v>
      </c>
      <c r="AG22" s="88">
        <f>IF($A23="","",Summary!$Q$11)</f>
        <v>0</v>
      </c>
      <c r="AH22" s="88">
        <f>IF($A23="","",IF(Summary!$R$11="Y",(VLOOKUP($A22,Summary!$AD$6:$AF$9,3)+'Escalating commodity'!G35),'Escalating commodity'!G35))</f>
        <v>3.8892668595392008E-3</v>
      </c>
      <c r="AI22" s="88">
        <f t="shared" si="35"/>
        <v>3.8892668595392008E-3</v>
      </c>
      <c r="AJ22" s="236">
        <f t="shared" si="20"/>
        <v>37422</v>
      </c>
      <c r="AK22" s="58">
        <f t="shared" ca="1" si="21"/>
        <v>382</v>
      </c>
      <c r="AL22" s="26">
        <f ca="1">IF($A23="","",_xll.SPRDOPT(P22,X22,AI22,0,AB22,AE22,AF22,AK22,$AJ$2,0))</f>
        <v>2.0878523000397754E-2</v>
      </c>
      <c r="AM22" s="209">
        <f t="shared" si="22"/>
        <v>1.890536090840441E-2</v>
      </c>
      <c r="AN22" s="89">
        <f t="shared" ca="1" si="23"/>
        <v>1.973162091993344E-3</v>
      </c>
      <c r="AO22" s="3">
        <f t="shared" si="24"/>
        <v>30</v>
      </c>
      <c r="AP22" s="33">
        <f t="shared" si="25"/>
        <v>37408</v>
      </c>
      <c r="AQ22" s="58">
        <f t="shared" ca="1" si="26"/>
        <v>382</v>
      </c>
      <c r="AR22" s="38">
        <f>'ANR OK vs ML7'!AR22</f>
        <v>0.1</v>
      </c>
      <c r="AS22" s="35">
        <f t="shared" ca="1" si="27"/>
        <v>0.90297964740599712</v>
      </c>
      <c r="AT22" s="3">
        <f t="shared" si="28"/>
        <v>1</v>
      </c>
      <c r="AU22" s="3">
        <f t="shared" si="29"/>
        <v>30</v>
      </c>
      <c r="AW22" s="32">
        <f t="shared" ca="1" si="30"/>
        <v>77757.048069461336</v>
      </c>
      <c r="AX22" s="32">
        <f t="shared" si="31"/>
        <v>70408.479416734204</v>
      </c>
      <c r="AY22" s="32">
        <f t="shared" ca="1" si="32"/>
        <v>7348.5686527271318</v>
      </c>
      <c r="BA22" s="32">
        <f ca="1">IF($A23="","",F22*Summary!$Q$11)</f>
        <v>0</v>
      </c>
      <c r="BC22" s="256">
        <f t="shared" ca="1" si="36"/>
        <v>63577.423918115062</v>
      </c>
    </row>
    <row r="23" spans="1:55">
      <c r="A23" s="67">
        <f t="shared" si="33"/>
        <v>37438</v>
      </c>
      <c r="B23" s="69">
        <f t="shared" si="37"/>
        <v>124142</v>
      </c>
      <c r="C23" s="71"/>
      <c r="D23" s="69">
        <f t="shared" si="0"/>
        <v>124142</v>
      </c>
      <c r="E23" s="70">
        <f t="shared" si="1"/>
        <v>3848402</v>
      </c>
      <c r="F23" s="70">
        <f t="shared" ca="1" si="2"/>
        <v>3447288.2971475176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0.245</v>
      </c>
      <c r="K23" s="64">
        <f t="shared" si="6"/>
        <v>0.245</v>
      </c>
      <c r="L23" s="63">
        <f t="shared" si="7"/>
        <v>0</v>
      </c>
      <c r="M23" s="64">
        <f t="shared" si="8"/>
        <v>0</v>
      </c>
      <c r="N23" s="65"/>
      <c r="O23" s="63">
        <f t="shared" si="9"/>
        <v>4.5420000000000007</v>
      </c>
      <c r="P23" s="63">
        <f t="shared" si="10"/>
        <v>4.5420000000000007</v>
      </c>
      <c r="Q23" s="66"/>
      <c r="R23" s="63">
        <f t="shared" si="34"/>
        <v>0.17499999999999999</v>
      </c>
      <c r="S23" s="64">
        <f t="shared" si="11"/>
        <v>0.17499999999999999</v>
      </c>
      <c r="T23" s="38">
        <v>0</v>
      </c>
      <c r="U23" s="64">
        <f t="shared" si="12"/>
        <v>0</v>
      </c>
      <c r="V23" s="219">
        <f>IF($A24="","",IF(AND(MONTH(A23)&gt;3,MONTH(A23)&lt;11),(T23+R23+G23)*Summary!$T$11/(1-Summary!$T$11),(T23+R23+G23)*Summary!$U$11/(1-Summary!$U$11)))</f>
        <v>4.7685209989102632E-2</v>
      </c>
      <c r="W23" s="43">
        <f t="shared" si="13"/>
        <v>4.5196852099891034</v>
      </c>
      <c r="X23" s="43">
        <f t="shared" si="14"/>
        <v>4.5196852099891034</v>
      </c>
      <c r="Y23" s="43"/>
      <c r="Z23" s="38">
        <f t="shared" si="15"/>
        <v>0.55000000000000004</v>
      </c>
      <c r="AA23" s="38">
        <f t="shared" si="16"/>
        <v>0.35</v>
      </c>
      <c r="AB23" s="38">
        <f t="shared" ca="1" si="17"/>
        <v>0.36630286821445435</v>
      </c>
      <c r="AC23" s="38">
        <f t="shared" si="18"/>
        <v>0.55000000000000004</v>
      </c>
      <c r="AD23" s="38">
        <f t="shared" si="18"/>
        <v>0.35</v>
      </c>
      <c r="AE23" s="38">
        <f t="shared" ca="1" si="19"/>
        <v>0.36630286821445435</v>
      </c>
      <c r="AF23" s="238">
        <f ca="1">((Summary!$N$11*(AA23*AD23)*(A23-$D$3))+(Summary!$M$11*Z23*AC23*(AJ23-EOMONTH(EDATE(A23,-1),0))))/(AK23*AB23*AE23)</f>
        <v>0.99990848162803825</v>
      </c>
      <c r="AG23" s="88">
        <f>IF($A24="","",Summary!$Q$11)</f>
        <v>0</v>
      </c>
      <c r="AH23" s="88">
        <f>IF($A24="","",IF(Summary!$R$11="Y",(VLOOKUP($A23,Summary!$AD$6:$AF$9,3)+'Escalating commodity'!G36),'Escalating commodity'!G36))</f>
        <v>3.8892668595392008E-3</v>
      </c>
      <c r="AI23" s="88">
        <f t="shared" si="35"/>
        <v>3.8892668595392008E-3</v>
      </c>
      <c r="AJ23" s="236">
        <f t="shared" si="20"/>
        <v>37452.5</v>
      </c>
      <c r="AK23" s="58">
        <f t="shared" ca="1" si="21"/>
        <v>412</v>
      </c>
      <c r="AL23" s="26">
        <f ca="1">IF($A24="","",_xll.SPRDOPT(P23,X23,AI23,0,AB23,AE23,AF23,AK23,$AJ$2,0))</f>
        <v>2.0539271035317583E-2</v>
      </c>
      <c r="AM23" s="209">
        <f t="shared" si="22"/>
        <v>1.8425523151358113E-2</v>
      </c>
      <c r="AN23" s="89">
        <f t="shared" ca="1" si="23"/>
        <v>2.1137478839594707E-3</v>
      </c>
      <c r="AO23" s="3">
        <f t="shared" si="24"/>
        <v>31</v>
      </c>
      <c r="AP23" s="33">
        <f t="shared" si="25"/>
        <v>37438</v>
      </c>
      <c r="AQ23" s="58">
        <f t="shared" ca="1" si="26"/>
        <v>412</v>
      </c>
      <c r="AR23" s="38">
        <f>'ANR OK vs ML7'!AR23</f>
        <v>0.1</v>
      </c>
      <c r="AS23" s="35">
        <f t="shared" ca="1" si="27"/>
        <v>0.89577136098243315</v>
      </c>
      <c r="AT23" s="3">
        <f t="shared" si="28"/>
        <v>1</v>
      </c>
      <c r="AU23" s="3">
        <f t="shared" si="29"/>
        <v>31</v>
      </c>
      <c r="AW23" s="32">
        <f t="shared" ca="1" si="30"/>
        <v>79043.371730858256</v>
      </c>
      <c r="AX23" s="32">
        <f t="shared" si="31"/>
        <v>70908.820146732862</v>
      </c>
      <c r="AY23" s="32">
        <f t="shared" ca="1" si="32"/>
        <v>8134.5515841253955</v>
      </c>
      <c r="BA23" s="32">
        <f ca="1">IF($A24="","",F23*Summary!$Q$11)</f>
        <v>0</v>
      </c>
      <c r="BC23" s="256">
        <f t="shared" ca="1" si="36"/>
        <v>63518.09032849747</v>
      </c>
    </row>
    <row r="24" spans="1:55">
      <c r="A24" s="67">
        <f t="shared" si="33"/>
        <v>37469</v>
      </c>
      <c r="B24" s="69">
        <f t="shared" si="37"/>
        <v>124142</v>
      </c>
      <c r="C24" s="71"/>
      <c r="D24" s="69">
        <f t="shared" si="0"/>
        <v>124142</v>
      </c>
      <c r="E24" s="70">
        <f t="shared" si="1"/>
        <v>3848402</v>
      </c>
      <c r="F24" s="70">
        <f t="shared" ca="1" si="2"/>
        <v>3418855.8537502754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0.245</v>
      </c>
      <c r="K24" s="64">
        <f t="shared" si="6"/>
        <v>0.245</v>
      </c>
      <c r="L24" s="63">
        <f t="shared" si="7"/>
        <v>0</v>
      </c>
      <c r="M24" s="64">
        <f t="shared" si="8"/>
        <v>0</v>
      </c>
      <c r="N24" s="65"/>
      <c r="O24" s="63">
        <f t="shared" si="9"/>
        <v>4.5670000000000002</v>
      </c>
      <c r="P24" s="63">
        <f t="shared" si="10"/>
        <v>4.5670000000000002</v>
      </c>
      <c r="Q24" s="66"/>
      <c r="R24" s="63">
        <f t="shared" si="34"/>
        <v>0.17499999999999999</v>
      </c>
      <c r="S24" s="64">
        <f t="shared" si="11"/>
        <v>0.17499999999999999</v>
      </c>
      <c r="T24" s="38">
        <v>0</v>
      </c>
      <c r="U24" s="64">
        <f t="shared" si="12"/>
        <v>0</v>
      </c>
      <c r="V24" s="219">
        <f>IF($A25="","",IF(AND(MONTH(A24)&gt;3,MONTH(A24)&lt;11),(T24+R24+G24)*Summary!$T$11/(1-Summary!$T$11),(T24+R24+G24)*Summary!$U$11/(1-Summary!$U$11)))</f>
        <v>4.7951786520794834E-2</v>
      </c>
      <c r="W24" s="43">
        <f t="shared" si="13"/>
        <v>4.5449517865207945</v>
      </c>
      <c r="X24" s="43">
        <f t="shared" si="14"/>
        <v>4.5449517865207945</v>
      </c>
      <c r="Y24" s="43"/>
      <c r="Z24" s="38">
        <f t="shared" si="15"/>
        <v>0.6</v>
      </c>
      <c r="AA24" s="38">
        <f t="shared" si="16"/>
        <v>0.35</v>
      </c>
      <c r="AB24" s="38">
        <f t="shared" ca="1" si="17"/>
        <v>0.36792996683691581</v>
      </c>
      <c r="AC24" s="38">
        <f t="shared" si="18"/>
        <v>0.6</v>
      </c>
      <c r="AD24" s="38">
        <f t="shared" si="18"/>
        <v>0.35</v>
      </c>
      <c r="AE24" s="38">
        <f t="shared" ca="1" si="19"/>
        <v>0.36792996683691581</v>
      </c>
      <c r="AF24" s="238">
        <f ca="1">((Summary!$N$11*(AA24*AD24)*(A24-$D$3))+(Summary!$M$11*Z24*AC24*(AJ24-EOMONTH(EDATE(A24,-1),0))))/(AK24*AB24*AE24)</f>
        <v>0.99990930465232619</v>
      </c>
      <c r="AG24" s="88">
        <f>IF($A25="","",Summary!$Q$11)</f>
        <v>0</v>
      </c>
      <c r="AH24" s="88">
        <f>IF($A25="","",IF(Summary!$R$11="Y",(VLOOKUP($A24,Summary!$AD$6:$AF$9,3)+'Escalating commodity'!G37),'Escalating commodity'!G37))</f>
        <v>3.8892668595392008E-3</v>
      </c>
      <c r="AI24" s="88">
        <f t="shared" si="35"/>
        <v>3.8892668595392008E-3</v>
      </c>
      <c r="AJ24" s="236">
        <f t="shared" si="20"/>
        <v>37483.5</v>
      </c>
      <c r="AK24" s="58">
        <f t="shared" ca="1" si="21"/>
        <v>443</v>
      </c>
      <c r="AL24" s="26">
        <f ca="1">IF($A25="","",_xll.SPRDOPT(P24,X24,AI24,0,AB24,AE24,AF24,AK24,$AJ$2,0))</f>
        <v>2.0395178138409381E-2</v>
      </c>
      <c r="AM24" s="209">
        <f t="shared" si="22"/>
        <v>1.8158946619666515E-2</v>
      </c>
      <c r="AN24" s="89">
        <f t="shared" ca="1" si="23"/>
        <v>2.2362315187428664E-3</v>
      </c>
      <c r="AO24" s="3">
        <f t="shared" si="24"/>
        <v>31</v>
      </c>
      <c r="AP24" s="33">
        <f t="shared" si="25"/>
        <v>37469</v>
      </c>
      <c r="AQ24" s="58">
        <f t="shared" ca="1" si="26"/>
        <v>443</v>
      </c>
      <c r="AR24" s="38">
        <f>'ANR OK vs ML7'!AR24</f>
        <v>0.1</v>
      </c>
      <c r="AS24" s="35">
        <f t="shared" ca="1" si="27"/>
        <v>0.8883832442011711</v>
      </c>
      <c r="AT24" s="3">
        <f t="shared" si="28"/>
        <v>1</v>
      </c>
      <c r="AU24" s="3">
        <f t="shared" si="29"/>
        <v>31</v>
      </c>
      <c r="AW24" s="32">
        <f t="shared" ca="1" si="30"/>
        <v>78488.84433821094</v>
      </c>
      <c r="AX24" s="32">
        <f t="shared" si="31"/>
        <v>69882.92648901786</v>
      </c>
      <c r="AY24" s="32">
        <f t="shared" ca="1" si="32"/>
        <v>8605.9178491930852</v>
      </c>
      <c r="BA24" s="32">
        <f ca="1">IF($A25="","",F24*Summary!$Q$11)</f>
        <v>0</v>
      </c>
      <c r="BC24" s="256">
        <f t="shared" ca="1" si="36"/>
        <v>62082.820948585642</v>
      </c>
    </row>
    <row r="25" spans="1:55">
      <c r="A25" s="67">
        <f t="shared" si="33"/>
        <v>37500</v>
      </c>
      <c r="B25" s="69">
        <f t="shared" si="37"/>
        <v>124142</v>
      </c>
      <c r="C25" s="71"/>
      <c r="D25" s="69">
        <f t="shared" si="0"/>
        <v>124142</v>
      </c>
      <c r="E25" s="70">
        <f t="shared" si="1"/>
        <v>3724260</v>
      </c>
      <c r="F25" s="70">
        <f t="shared" ca="1" si="2"/>
        <v>3281281.8528643493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0.245</v>
      </c>
      <c r="K25" s="64">
        <f t="shared" si="6"/>
        <v>0.245</v>
      </c>
      <c r="L25" s="63">
        <f t="shared" si="7"/>
        <v>0</v>
      </c>
      <c r="M25" s="64">
        <f t="shared" si="8"/>
        <v>0</v>
      </c>
      <c r="N25" s="65"/>
      <c r="O25" s="63">
        <f t="shared" si="9"/>
        <v>4.5720000000000001</v>
      </c>
      <c r="P25" s="63">
        <f t="shared" si="10"/>
        <v>4.5720000000000001</v>
      </c>
      <c r="Q25" s="66"/>
      <c r="R25" s="63">
        <f t="shared" si="34"/>
        <v>0.17499999999999999</v>
      </c>
      <c r="S25" s="64">
        <f t="shared" si="11"/>
        <v>0.17499999999999999</v>
      </c>
      <c r="T25" s="38">
        <v>0</v>
      </c>
      <c r="U25" s="64">
        <f t="shared" si="12"/>
        <v>0</v>
      </c>
      <c r="V25" s="219">
        <f>IF($A26="","",IF(AND(MONTH(A25)&gt;3,MONTH(A25)&lt;11),(T25+R25+G25)*Summary!$T$11/(1-Summary!$T$11),(T25+R25+G25)*Summary!$U$11/(1-Summary!$U$11)))</f>
        <v>4.800510182713328E-2</v>
      </c>
      <c r="W25" s="43">
        <f t="shared" si="13"/>
        <v>4.550005101827133</v>
      </c>
      <c r="X25" s="43">
        <f t="shared" si="14"/>
        <v>4.550005101827133</v>
      </c>
      <c r="Y25" s="43"/>
      <c r="Z25" s="38">
        <f t="shared" si="15"/>
        <v>0.6</v>
      </c>
      <c r="AA25" s="38">
        <f t="shared" si="16"/>
        <v>0.35</v>
      </c>
      <c r="AB25" s="38">
        <f t="shared" ca="1" si="17"/>
        <v>0.36626608344461342</v>
      </c>
      <c r="AC25" s="38">
        <f t="shared" si="18"/>
        <v>0.6</v>
      </c>
      <c r="AD25" s="38">
        <f t="shared" si="18"/>
        <v>0.35</v>
      </c>
      <c r="AE25" s="38">
        <f t="shared" ca="1" si="19"/>
        <v>0.36626608344461342</v>
      </c>
      <c r="AF25" s="238">
        <f ca="1">((Summary!$N$11*(AA25*AD25)*(A25-$D$3))+(Summary!$M$11*Z25*AC25*(AJ25-EOMONTH(EDATE(A25,-1),0))))/(AK25*AB25*AE25)</f>
        <v>0.99990849223510903</v>
      </c>
      <c r="AG25" s="88">
        <f>IF($A26="","",Summary!$Q$11)</f>
        <v>0</v>
      </c>
      <c r="AH25" s="88">
        <f>IF($A26="","",IF(Summary!$R$11="Y",(VLOOKUP($A25,Summary!$AD$6:$AF$9,3)+'Escalating commodity'!G38),'Escalating commodity'!G38))</f>
        <v>3.8892668595392008E-3</v>
      </c>
      <c r="AI25" s="88">
        <f t="shared" si="35"/>
        <v>3.8892668595392008E-3</v>
      </c>
      <c r="AJ25" s="236">
        <f t="shared" si="20"/>
        <v>37514</v>
      </c>
      <c r="AK25" s="58">
        <f t="shared" ca="1" si="21"/>
        <v>474</v>
      </c>
      <c r="AL25" s="26">
        <f ca="1">IF($A26="","",_xll.SPRDOPT(P25,X25,AI25,0,AB25,AE25,AF25,AK25,$AJ$2,0))</f>
        <v>2.0454784787063082E-2</v>
      </c>
      <c r="AM25" s="209">
        <f t="shared" si="22"/>
        <v>1.810563131332784E-2</v>
      </c>
      <c r="AN25" s="89">
        <f t="shared" ca="1" si="23"/>
        <v>2.3491534737352417E-3</v>
      </c>
      <c r="AO25" s="3">
        <f t="shared" si="24"/>
        <v>30</v>
      </c>
      <c r="AP25" s="33">
        <f t="shared" si="25"/>
        <v>37500</v>
      </c>
      <c r="AQ25" s="58">
        <f t="shared" ca="1" si="26"/>
        <v>474</v>
      </c>
      <c r="AR25" s="38">
        <f>'ANR OK vs ML7'!AR25</f>
        <v>0.1</v>
      </c>
      <c r="AS25" s="35">
        <f t="shared" ca="1" si="27"/>
        <v>0.88105606291299465</v>
      </c>
      <c r="AT25" s="3">
        <f t="shared" si="28"/>
        <v>1</v>
      </c>
      <c r="AU25" s="3">
        <f t="shared" si="29"/>
        <v>30</v>
      </c>
      <c r="AW25" s="32">
        <f t="shared" ca="1" si="30"/>
        <v>76178.93679106755</v>
      </c>
      <c r="AX25" s="32">
        <f t="shared" si="31"/>
        <v>67430.078474974347</v>
      </c>
      <c r="AY25" s="32">
        <f t="shared" ca="1" si="32"/>
        <v>8748.8583160932103</v>
      </c>
      <c r="BA25" s="32">
        <f ca="1">IF($A26="","",F25*Summary!$Q$11)</f>
        <v>0</v>
      </c>
      <c r="BC25" s="256">
        <f t="shared" ca="1" si="36"/>
        <v>59409.679463075154</v>
      </c>
    </row>
    <row r="26" spans="1:55">
      <c r="A26" s="67">
        <f t="shared" si="33"/>
        <v>37530</v>
      </c>
      <c r="B26" s="69">
        <f t="shared" si="37"/>
        <v>124142</v>
      </c>
      <c r="C26" s="71"/>
      <c r="D26" s="69">
        <f t="shared" si="0"/>
        <v>124142</v>
      </c>
      <c r="E26" s="70">
        <f t="shared" si="1"/>
        <v>3848402</v>
      </c>
      <c r="F26" s="70">
        <f t="shared" ca="1" si="2"/>
        <v>3363591.0438690376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0.245</v>
      </c>
      <c r="K26" s="64">
        <f t="shared" si="6"/>
        <v>0.245</v>
      </c>
      <c r="L26" s="63">
        <f t="shared" si="7"/>
        <v>0</v>
      </c>
      <c r="M26" s="64">
        <f t="shared" si="8"/>
        <v>0</v>
      </c>
      <c r="N26" s="65"/>
      <c r="O26" s="63">
        <f t="shared" si="9"/>
        <v>4.5820000000000007</v>
      </c>
      <c r="P26" s="63">
        <f t="shared" si="10"/>
        <v>4.5820000000000007</v>
      </c>
      <c r="Q26" s="66"/>
      <c r="R26" s="63">
        <f t="shared" si="34"/>
        <v>0.17499999999999999</v>
      </c>
      <c r="S26" s="64">
        <f t="shared" si="11"/>
        <v>0.17499999999999999</v>
      </c>
      <c r="T26" s="38">
        <v>0</v>
      </c>
      <c r="U26" s="64">
        <f t="shared" si="12"/>
        <v>0</v>
      </c>
      <c r="V26" s="219">
        <f>IF($A27="","",IF(AND(MONTH(A26)&gt;3,MONTH(A26)&lt;11),(T26+R26+G26)*Summary!$T$11/(1-Summary!$T$11),(T26+R26+G26)*Summary!$U$11/(1-Summary!$U$11)))</f>
        <v>4.8111732439810172E-2</v>
      </c>
      <c r="W26" s="43">
        <f t="shared" si="13"/>
        <v>4.560111732439811</v>
      </c>
      <c r="X26" s="43">
        <f t="shared" si="14"/>
        <v>4.560111732439811</v>
      </c>
      <c r="Y26" s="43"/>
      <c r="Z26" s="38">
        <f t="shared" si="15"/>
        <v>0.65</v>
      </c>
      <c r="AA26" s="38">
        <f t="shared" si="16"/>
        <v>0.35300000000000004</v>
      </c>
      <c r="AB26" s="38">
        <f t="shared" ca="1" si="17"/>
        <v>0.37128128375487329</v>
      </c>
      <c r="AC26" s="38">
        <f t="shared" si="18"/>
        <v>0.65</v>
      </c>
      <c r="AD26" s="38">
        <f t="shared" si="18"/>
        <v>0.35300000000000004</v>
      </c>
      <c r="AE26" s="38">
        <f t="shared" ca="1" si="19"/>
        <v>0.37128128375487329</v>
      </c>
      <c r="AF26" s="238">
        <f ca="1">((Summary!$N$11*(AA26*AD26)*(A26-$D$3))+(Summary!$M$11*Z26*AC26*(AJ26-EOMONTH(EDATE(A26,-1),0))))/(AK26*AB26*AE26)</f>
        <v>0.99990942587684006</v>
      </c>
      <c r="AG26" s="88">
        <f>IF($A27="","",Summary!$Q$11)</f>
        <v>0</v>
      </c>
      <c r="AH26" s="88">
        <f>IF($A27="","",IF(Summary!$R$11="Y",(VLOOKUP($A26,Summary!$AD$6:$AF$9,3)+'Escalating commodity'!G39),'Escalating commodity'!G39))</f>
        <v>3.8892668595392008E-3</v>
      </c>
      <c r="AI26" s="88">
        <f t="shared" si="35"/>
        <v>3.8892668595392008E-3</v>
      </c>
      <c r="AJ26" s="236">
        <f t="shared" si="20"/>
        <v>37544.5</v>
      </c>
      <c r="AK26" s="58">
        <f t="shared" ca="1" si="21"/>
        <v>504</v>
      </c>
      <c r="AL26" s="26">
        <f ca="1">IF($A27="","",_xll.SPRDOPT(P26,X26,AI26,0,AB26,AE26,AF26,AK26,$AJ$2,0))</f>
        <v>2.0471487824358262E-2</v>
      </c>
      <c r="AM26" s="209">
        <f t="shared" si="22"/>
        <v>1.799900070065049E-2</v>
      </c>
      <c r="AN26" s="89">
        <f t="shared" ca="1" si="23"/>
        <v>2.4724871237077721E-3</v>
      </c>
      <c r="AO26" s="3">
        <f t="shared" si="24"/>
        <v>31</v>
      </c>
      <c r="AP26" s="33">
        <f t="shared" si="25"/>
        <v>37530</v>
      </c>
      <c r="AQ26" s="58">
        <f t="shared" ca="1" si="26"/>
        <v>504</v>
      </c>
      <c r="AR26" s="38">
        <f>'ANR OK vs ML7'!AR26</f>
        <v>0.1</v>
      </c>
      <c r="AS26" s="35">
        <f t="shared" ca="1" si="27"/>
        <v>0.87402278760613827</v>
      </c>
      <c r="AT26" s="3">
        <f t="shared" si="28"/>
        <v>1</v>
      </c>
      <c r="AU26" s="3">
        <f t="shared" si="29"/>
        <v>31</v>
      </c>
      <c r="AW26" s="32">
        <f t="shared" ca="1" si="30"/>
        <v>78782.514686235983</v>
      </c>
      <c r="AX26" s="32">
        <f t="shared" si="31"/>
        <v>69267.39029438475</v>
      </c>
      <c r="AY26" s="32">
        <f t="shared" ca="1" si="32"/>
        <v>9515.1243918512373</v>
      </c>
      <c r="BA26" s="32">
        <f ca="1">IF($A27="","",F26*Summary!$Q$11)</f>
        <v>0</v>
      </c>
      <c r="BC26" s="256">
        <f t="shared" ca="1" si="36"/>
        <v>60541.277555300519</v>
      </c>
    </row>
    <row r="27" spans="1:55">
      <c r="A27" s="67">
        <f t="shared" si="33"/>
        <v>37561</v>
      </c>
      <c r="B27" s="69">
        <f t="shared" si="37"/>
        <v>124142</v>
      </c>
      <c r="C27" s="71"/>
      <c r="D27" s="69">
        <f t="shared" si="0"/>
        <v>124142</v>
      </c>
      <c r="E27" s="70">
        <f t="shared" si="1"/>
        <v>3724260</v>
      </c>
      <c r="F27" s="70">
        <f t="shared" ca="1" si="2"/>
        <v>3228240.8866690695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0.45500000000000002</v>
      </c>
      <c r="K27" s="64">
        <f t="shared" si="6"/>
        <v>0.45500000000000002</v>
      </c>
      <c r="L27" s="63">
        <f t="shared" si="7"/>
        <v>0</v>
      </c>
      <c r="M27" s="64">
        <f t="shared" si="8"/>
        <v>0</v>
      </c>
      <c r="N27" s="65"/>
      <c r="O27" s="63">
        <f t="shared" si="9"/>
        <v>4.9320000000000004</v>
      </c>
      <c r="P27" s="63">
        <f t="shared" si="10"/>
        <v>4.9320000000000004</v>
      </c>
      <c r="Q27" s="66"/>
      <c r="R27" s="63">
        <f t="shared" si="34"/>
        <v>0.255</v>
      </c>
      <c r="S27" s="64">
        <f t="shared" si="11"/>
        <v>0.255</v>
      </c>
      <c r="T27" s="38">
        <v>0</v>
      </c>
      <c r="U27" s="64">
        <f t="shared" si="12"/>
        <v>0</v>
      </c>
      <c r="V27" s="219">
        <f>IF($A28="","",IF(AND(MONTH(A27)&gt;3,MONTH(A27)&lt;11),(T27+R27+G27)*Summary!$T$11/(1-Summary!$T$11),(T27+R27+G27)*Summary!$U$11/(1-Summary!$U$11)))</f>
        <v>5.0457605918701617E-2</v>
      </c>
      <c r="W27" s="43">
        <f t="shared" si="13"/>
        <v>4.7824576059187018</v>
      </c>
      <c r="X27" s="43">
        <f t="shared" si="14"/>
        <v>4.7824576059187018</v>
      </c>
      <c r="Y27" s="43"/>
      <c r="Z27" s="38">
        <f t="shared" si="15"/>
        <v>0.8</v>
      </c>
      <c r="AA27" s="38">
        <f t="shared" si="16"/>
        <v>0.35800000000000004</v>
      </c>
      <c r="AB27" s="38">
        <f t="shared" ca="1" si="17"/>
        <v>0.38255389700295767</v>
      </c>
      <c r="AC27" s="38">
        <f t="shared" si="18"/>
        <v>0.8</v>
      </c>
      <c r="AD27" s="38">
        <f t="shared" si="18"/>
        <v>0.35800000000000004</v>
      </c>
      <c r="AE27" s="38">
        <f t="shared" ca="1" si="19"/>
        <v>0.38255389700295767</v>
      </c>
      <c r="AF27" s="238">
        <f ca="1">((Summary!$N$11*(AA27*AD27)*(A27-$D$3))+(Summary!$M$11*Z27*AC27*(AJ27-EOMONTH(EDATE(A27,-1),0))))/(AK27*AB27*AE27)</f>
        <v>0.99991226117780074</v>
      </c>
      <c r="AG27" s="88">
        <f>IF($A28="","",Summary!$Q$11)</f>
        <v>0</v>
      </c>
      <c r="AH27" s="88">
        <f>IF($A28="","",IF(Summary!$R$11="Y",(VLOOKUP($A27,Summary!$AD$6:$AF$9,3)+'Escalating commodity'!G40),'Escalating commodity'!G40))</f>
        <v>3.8892668595392008E-3</v>
      </c>
      <c r="AI27" s="88">
        <f t="shared" si="35"/>
        <v>3.8892668595392008E-3</v>
      </c>
      <c r="AJ27" s="236">
        <f t="shared" si="20"/>
        <v>37575</v>
      </c>
      <c r="AK27" s="58">
        <f t="shared" ca="1" si="21"/>
        <v>535</v>
      </c>
      <c r="AL27" s="26">
        <f ca="1">IF($A28="","",_xll.SPRDOPT(P27,X27,AI27,0,AB27,AE27,AF27,AK27,$AJ$2,0))</f>
        <v>0.14594393724910393</v>
      </c>
      <c r="AM27" s="209">
        <f t="shared" si="22"/>
        <v>0.14565312722175935</v>
      </c>
      <c r="AN27" s="89">
        <f t="shared" ca="1" si="23"/>
        <v>2.9081002734457351E-4</v>
      </c>
      <c r="AO27" s="3">
        <f t="shared" si="24"/>
        <v>30</v>
      </c>
      <c r="AP27" s="33">
        <f t="shared" si="25"/>
        <v>37561</v>
      </c>
      <c r="AQ27" s="58">
        <f t="shared" ca="1" si="26"/>
        <v>535</v>
      </c>
      <c r="AR27" s="38">
        <f>'ANR OK vs ML7'!AR27</f>
        <v>0.1</v>
      </c>
      <c r="AS27" s="35">
        <f t="shared" ca="1" si="27"/>
        <v>0.8668140480710449</v>
      </c>
      <c r="AT27" s="3">
        <f t="shared" si="28"/>
        <v>1</v>
      </c>
      <c r="AU27" s="3">
        <f t="shared" si="29"/>
        <v>30</v>
      </c>
      <c r="AW27" s="32">
        <f t="shared" ca="1" si="30"/>
        <v>543533.16773934779</v>
      </c>
      <c r="AX27" s="32">
        <f t="shared" si="31"/>
        <v>542450.11558690947</v>
      </c>
      <c r="AY27" s="32">
        <f t="shared" ca="1" si="32"/>
        <v>1083.0521524383014</v>
      </c>
      <c r="BA27" s="32">
        <f ca="1">IF($A28="","",F27*Summary!$Q$11)</f>
        <v>0</v>
      </c>
      <c r="BC27" s="256">
        <f t="shared" ca="1" si="36"/>
        <v>470203.38056849519</v>
      </c>
    </row>
    <row r="28" spans="1:55">
      <c r="A28" s="67">
        <f t="shared" si="33"/>
        <v>37591</v>
      </c>
      <c r="B28" s="69">
        <f t="shared" si="37"/>
        <v>124142</v>
      </c>
      <c r="C28" s="71"/>
      <c r="D28" s="69">
        <f t="shared" si="0"/>
        <v>124142</v>
      </c>
      <c r="E28" s="70">
        <f t="shared" si="1"/>
        <v>3848402</v>
      </c>
      <c r="F28" s="70">
        <f t="shared" ca="1" si="2"/>
        <v>3309219.5735557321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0.44500000000000001</v>
      </c>
      <c r="K28" s="64">
        <f t="shared" si="6"/>
        <v>0.44500000000000001</v>
      </c>
      <c r="L28" s="63">
        <f t="shared" si="7"/>
        <v>0</v>
      </c>
      <c r="M28" s="64">
        <f t="shared" si="8"/>
        <v>0</v>
      </c>
      <c r="N28" s="65"/>
      <c r="O28" s="63">
        <f t="shared" si="9"/>
        <v>5.0520000000000005</v>
      </c>
      <c r="P28" s="63">
        <f t="shared" si="10"/>
        <v>5.0520000000000005</v>
      </c>
      <c r="Q28" s="66"/>
      <c r="R28" s="63">
        <f t="shared" si="34"/>
        <v>0.245</v>
      </c>
      <c r="S28" s="64">
        <f t="shared" si="11"/>
        <v>0.245</v>
      </c>
      <c r="T28" s="38">
        <v>0</v>
      </c>
      <c r="U28" s="64">
        <f t="shared" si="12"/>
        <v>0</v>
      </c>
      <c r="V28" s="219">
        <f>IF($A29="","",IF(AND(MONTH(A28)&gt;3,MONTH(A28)&lt;11),(T28+R28+G28)*Summary!$T$11/(1-Summary!$T$11),(T28+R28+G28)*Summary!$U$11/(1-Summary!$U$11)))</f>
        <v>5.1737173270824229E-2</v>
      </c>
      <c r="W28" s="43">
        <f t="shared" si="13"/>
        <v>4.9037371732708248</v>
      </c>
      <c r="X28" s="43">
        <f t="shared" si="14"/>
        <v>4.9037371732708248</v>
      </c>
      <c r="Y28" s="43"/>
      <c r="Z28" s="38">
        <f t="shared" si="15"/>
        <v>1.1000000000000001</v>
      </c>
      <c r="AA28" s="38">
        <f t="shared" si="16"/>
        <v>0.36300000000000004</v>
      </c>
      <c r="AB28" s="38">
        <f t="shared" ca="1" si="17"/>
        <v>0.40644422708966271</v>
      </c>
      <c r="AC28" s="38">
        <f t="shared" si="18"/>
        <v>1.1000000000000001</v>
      </c>
      <c r="AD28" s="38">
        <f t="shared" si="18"/>
        <v>0.36300000000000004</v>
      </c>
      <c r="AE28" s="38">
        <f t="shared" ca="1" si="19"/>
        <v>0.40644422708966271</v>
      </c>
      <c r="AF28" s="238">
        <f ca="1">((Summary!$N$11*(AA28*AD28)*(A28-$D$3))+(Summary!$M$11*Z28*AC28*(AJ28-EOMONTH(EDATE(A28,-1),0))))/(AK28*AB28*AE28)</f>
        <v>0.99992009401405813</v>
      </c>
      <c r="AG28" s="88">
        <f>IF($A29="","",Summary!$Q$11)</f>
        <v>0</v>
      </c>
      <c r="AH28" s="88">
        <f>IF($A29="","",IF(Summary!$R$11="Y",(VLOOKUP($A28,Summary!$AD$6:$AF$9,3)+'Escalating commodity'!G41),'Escalating commodity'!G41))</f>
        <v>3.8892668595392008E-3</v>
      </c>
      <c r="AI28" s="88">
        <f t="shared" si="35"/>
        <v>3.8892668595392008E-3</v>
      </c>
      <c r="AJ28" s="236">
        <f t="shared" si="20"/>
        <v>37605.5</v>
      </c>
      <c r="AK28" s="58">
        <f t="shared" ca="1" si="21"/>
        <v>565</v>
      </c>
      <c r="AL28" s="26">
        <f ca="1">IF($A29="","",_xll.SPRDOPT(P28,X28,AI28,0,AB28,AE28,AF28,AK28,$AJ$2,0))</f>
        <v>0.14479819693690915</v>
      </c>
      <c r="AM28" s="209">
        <f t="shared" si="22"/>
        <v>0.14437355986963649</v>
      </c>
      <c r="AN28" s="89">
        <f t="shared" ca="1" si="23"/>
        <v>4.2463706727266515E-4</v>
      </c>
      <c r="AO28" s="3">
        <f t="shared" si="24"/>
        <v>31</v>
      </c>
      <c r="AP28" s="33">
        <f t="shared" si="25"/>
        <v>37591</v>
      </c>
      <c r="AQ28" s="58">
        <f t="shared" ca="1" si="26"/>
        <v>565</v>
      </c>
      <c r="AR28" s="38">
        <f>'ANR OK vs ML7'!AR28</f>
        <v>0.1</v>
      </c>
      <c r="AS28" s="35">
        <f t="shared" ca="1" si="27"/>
        <v>0.85989446361261945</v>
      </c>
      <c r="AT28" s="3">
        <f t="shared" si="28"/>
        <v>1</v>
      </c>
      <c r="AU28" s="3">
        <f t="shared" si="29"/>
        <v>31</v>
      </c>
      <c r="AW28" s="32">
        <f t="shared" ca="1" si="30"/>
        <v>557241.67068839504</v>
      </c>
      <c r="AX28" s="32">
        <f t="shared" si="31"/>
        <v>555607.49654942879</v>
      </c>
      <c r="AY28" s="32">
        <f t="shared" ca="1" si="32"/>
        <v>1634.1741389662591</v>
      </c>
      <c r="BA28" s="32">
        <f ca="1">IF($A29="","",F28*Summary!$Q$11)</f>
        <v>0</v>
      </c>
      <c r="BC28" s="256">
        <f t="shared" ca="1" si="36"/>
        <v>477763.81022452144</v>
      </c>
    </row>
    <row r="29" spans="1:55">
      <c r="A29" s="67">
        <f t="shared" si="33"/>
        <v>37622</v>
      </c>
      <c r="B29" s="69">
        <f t="shared" si="37"/>
        <v>124142</v>
      </c>
      <c r="C29" s="71"/>
      <c r="D29" s="69">
        <f t="shared" si="0"/>
        <v>124142</v>
      </c>
      <c r="E29" s="70">
        <f t="shared" si="1"/>
        <v>3848402</v>
      </c>
      <c r="F29" s="70">
        <f t="shared" ca="1" si="2"/>
        <v>3281925.8893309385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0.46500000000000002</v>
      </c>
      <c r="K29" s="64">
        <f t="shared" si="6"/>
        <v>0.46500000000000002</v>
      </c>
      <c r="L29" s="63">
        <f t="shared" si="7"/>
        <v>0</v>
      </c>
      <c r="M29" s="64">
        <f t="shared" si="8"/>
        <v>0</v>
      </c>
      <c r="N29" s="65"/>
      <c r="O29" s="63">
        <f t="shared" si="9"/>
        <v>5.1159999999999997</v>
      </c>
      <c r="P29" s="63">
        <f t="shared" si="10"/>
        <v>5.1159999999999997</v>
      </c>
      <c r="Q29" s="66"/>
      <c r="R29" s="63">
        <f t="shared" si="34"/>
        <v>0.26500000000000001</v>
      </c>
      <c r="S29" s="64">
        <f t="shared" si="11"/>
        <v>0.26500000000000001</v>
      </c>
      <c r="T29" s="38">
        <v>0</v>
      </c>
      <c r="U29" s="64">
        <f t="shared" si="12"/>
        <v>0</v>
      </c>
      <c r="V29" s="219">
        <f>IF($A30="","",IF(AND(MONTH(A29)&gt;3,MONTH(A29)&lt;11),(T29+R29+G29)*Summary!$T$11/(1-Summary!$T$11),(T29+R29+G29)*Summary!$U$11/(1-Summary!$U$11)))</f>
        <v>5.2419609191956283E-2</v>
      </c>
      <c r="W29" s="43">
        <f t="shared" si="13"/>
        <v>4.9684196091919555</v>
      </c>
      <c r="X29" s="43">
        <f t="shared" si="14"/>
        <v>4.9684196091919555</v>
      </c>
      <c r="Y29" s="43"/>
      <c r="Z29" s="38">
        <f t="shared" si="15"/>
        <v>1.1000000000000001</v>
      </c>
      <c r="AA29" s="38">
        <f t="shared" si="16"/>
        <v>0.36799999999999999</v>
      </c>
      <c r="AB29" s="38">
        <f t="shared" ca="1" si="17"/>
        <v>0.4088023266590825</v>
      </c>
      <c r="AC29" s="38">
        <f t="shared" si="18"/>
        <v>1.1000000000000001</v>
      </c>
      <c r="AD29" s="38">
        <f t="shared" si="18"/>
        <v>0.36799999999999999</v>
      </c>
      <c r="AE29" s="38">
        <f t="shared" ca="1" si="19"/>
        <v>0.4088023266590825</v>
      </c>
      <c r="AF29" s="238">
        <f ca="1">((Summary!$N$11*(AA29*AD29)*(A29-$D$3))+(Summary!$M$11*Z29*AC29*(AJ29-EOMONTH(EDATE(A29,-1),0))))/(AK29*AB29*AE29)</f>
        <v>0.99991882972992563</v>
      </c>
      <c r="AG29" s="88">
        <f>IF($A30="","",Summary!$Q$11)</f>
        <v>0</v>
      </c>
      <c r="AH29" s="88">
        <f>IF($A30="","",IF(Summary!$R$11="Y",(VLOOKUP($A29,Summary!$AD$6:$AF$9,3)+'Escalating commodity'!G42),'Escalating commodity'!G42))</f>
        <v>5.0560469174009614E-3</v>
      </c>
      <c r="AI29" s="88">
        <f t="shared" si="35"/>
        <v>5.0560469174009614E-3</v>
      </c>
      <c r="AJ29" s="236">
        <f t="shared" si="20"/>
        <v>37636.5</v>
      </c>
      <c r="AK29" s="58">
        <f t="shared" ca="1" si="21"/>
        <v>596</v>
      </c>
      <c r="AL29" s="26">
        <f ca="1">IF($A30="","",_xll.SPRDOPT(P29,X29,AI29,0,AB29,AE29,AF29,AK29,$AJ$2,0))</f>
        <v>0.14304967509804475</v>
      </c>
      <c r="AM29" s="209">
        <f t="shared" si="22"/>
        <v>0.14252434389064322</v>
      </c>
      <c r="AN29" s="89">
        <f t="shared" ca="1" si="23"/>
        <v>5.2533120740153039E-4</v>
      </c>
      <c r="AO29" s="3">
        <f t="shared" si="24"/>
        <v>31</v>
      </c>
      <c r="AP29" s="33">
        <f t="shared" si="25"/>
        <v>37622</v>
      </c>
      <c r="AQ29" s="58">
        <f t="shared" ca="1" si="26"/>
        <v>596</v>
      </c>
      <c r="AR29" s="38">
        <f>'ANR OK vs ML7'!AR29</f>
        <v>0.1</v>
      </c>
      <c r="AS29" s="35">
        <f t="shared" ca="1" si="27"/>
        <v>0.85280225125414089</v>
      </c>
      <c r="AT29" s="3">
        <f t="shared" si="28"/>
        <v>1</v>
      </c>
      <c r="AU29" s="3">
        <f t="shared" si="29"/>
        <v>31</v>
      </c>
      <c r="AW29" s="32">
        <f t="shared" ca="1" si="30"/>
        <v>550512.65574666567</v>
      </c>
      <c r="AX29" s="32">
        <f t="shared" si="31"/>
        <v>548490.97007743921</v>
      </c>
      <c r="AY29" s="32">
        <f t="shared" ca="1" si="32"/>
        <v>2021.6856692264644</v>
      </c>
      <c r="BA29" s="32">
        <f ca="1">IF($A30="","",F29*Summary!$Q$11)</f>
        <v>0</v>
      </c>
      <c r="BC29" s="256">
        <f t="shared" ca="1" si="36"/>
        <v>467754.33407460776</v>
      </c>
    </row>
    <row r="30" spans="1:55">
      <c r="A30" s="67">
        <f t="shared" si="33"/>
        <v>37653</v>
      </c>
      <c r="B30" s="69">
        <f t="shared" si="37"/>
        <v>124142</v>
      </c>
      <c r="C30" s="71"/>
      <c r="D30" s="69">
        <f t="shared" si="0"/>
        <v>124142</v>
      </c>
      <c r="E30" s="70">
        <f t="shared" si="1"/>
        <v>3475976</v>
      </c>
      <c r="F30" s="70">
        <f t="shared" ca="1" si="2"/>
        <v>2939871.1251723254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0.52500000000000002</v>
      </c>
      <c r="K30" s="64">
        <f t="shared" si="6"/>
        <v>0.52500000000000002</v>
      </c>
      <c r="L30" s="63">
        <f t="shared" si="7"/>
        <v>0</v>
      </c>
      <c r="M30" s="64">
        <f t="shared" si="8"/>
        <v>0</v>
      </c>
      <c r="N30" s="65"/>
      <c r="O30" s="63">
        <f t="shared" si="9"/>
        <v>5.0210000000000008</v>
      </c>
      <c r="P30" s="63">
        <f t="shared" si="10"/>
        <v>5.0210000000000008</v>
      </c>
      <c r="Q30" s="66"/>
      <c r="R30" s="63">
        <f t="shared" si="34"/>
        <v>0.32500000000000001</v>
      </c>
      <c r="S30" s="64">
        <f t="shared" si="11"/>
        <v>0.32500000000000001</v>
      </c>
      <c r="T30" s="38">
        <v>0</v>
      </c>
      <c r="U30" s="64">
        <f t="shared" si="12"/>
        <v>0</v>
      </c>
      <c r="V30" s="219">
        <f>IF($A31="","",IF(AND(MONTH(A30)&gt;3,MONTH(A30)&lt;11),(T30+R30+G30)*Summary!$T$11/(1-Summary!$T$11),(T30+R30+G30)*Summary!$U$11/(1-Summary!$U$11)))</f>
        <v>5.1406618371525895E-2</v>
      </c>
      <c r="W30" s="43">
        <f t="shared" si="13"/>
        <v>4.8724066183715262</v>
      </c>
      <c r="X30" s="43">
        <f t="shared" si="14"/>
        <v>4.8724066183715262</v>
      </c>
      <c r="Y30" s="43"/>
      <c r="Z30" s="38">
        <f t="shared" si="15"/>
        <v>1.1000000000000001</v>
      </c>
      <c r="AA30" s="38">
        <f t="shared" si="16"/>
        <v>0.36</v>
      </c>
      <c r="AB30" s="38">
        <f t="shared" ca="1" si="17"/>
        <v>0.39601040696456752</v>
      </c>
      <c r="AC30" s="38">
        <f t="shared" si="18"/>
        <v>1.1000000000000001</v>
      </c>
      <c r="AD30" s="38">
        <f t="shared" si="18"/>
        <v>0.36</v>
      </c>
      <c r="AE30" s="38">
        <f t="shared" ca="1" si="19"/>
        <v>0.39601040696456752</v>
      </c>
      <c r="AF30" s="238">
        <f ca="1">((Summary!$N$11*(AA30*AD30)*(A30-$D$3))+(Summary!$M$11*Z30*AC30*(AJ30-EOMONTH(EDATE(A30,-1),0))))/(AK30*AB30*AE30)</f>
        <v>0.99991722791288018</v>
      </c>
      <c r="AG30" s="88">
        <f>IF($A31="","",Summary!$Q$11)</f>
        <v>0</v>
      </c>
      <c r="AH30" s="88">
        <f>IF($A31="","",IF(Summary!$R$11="Y",(VLOOKUP($A30,Summary!$AD$6:$AF$9,3)+'Escalating commodity'!G43),'Escalating commodity'!G43))</f>
        <v>5.0560469174009614E-3</v>
      </c>
      <c r="AI30" s="88">
        <f t="shared" si="35"/>
        <v>5.0560469174009614E-3</v>
      </c>
      <c r="AJ30" s="236">
        <f t="shared" si="20"/>
        <v>37666</v>
      </c>
      <c r="AK30" s="58">
        <f t="shared" ca="1" si="21"/>
        <v>627</v>
      </c>
      <c r="AL30" s="26">
        <f ca="1">IF($A31="","",_xll.SPRDOPT(P30,X30,AI30,0,AB30,AE30,AF30,AK30,$AJ$2,0))</f>
        <v>0.14401781012322876</v>
      </c>
      <c r="AM30" s="209">
        <f t="shared" si="22"/>
        <v>0.14353733471107361</v>
      </c>
      <c r="AN30" s="89">
        <f t="shared" ca="1" si="23"/>
        <v>4.8047541215515133E-4</v>
      </c>
      <c r="AO30" s="3">
        <f t="shared" si="24"/>
        <v>28</v>
      </c>
      <c r="AP30" s="33">
        <f t="shared" si="25"/>
        <v>37653</v>
      </c>
      <c r="AQ30" s="58">
        <f t="shared" ca="1" si="26"/>
        <v>627</v>
      </c>
      <c r="AR30" s="38">
        <f>'ANR OK vs ML7'!AR30</f>
        <v>0.1</v>
      </c>
      <c r="AS30" s="35">
        <f t="shared" ca="1" si="27"/>
        <v>0.84576853383692097</v>
      </c>
      <c r="AT30" s="3">
        <f t="shared" si="28"/>
        <v>1</v>
      </c>
      <c r="AU30" s="3">
        <f t="shared" si="29"/>
        <v>28</v>
      </c>
      <c r="AW30" s="32">
        <f t="shared" ca="1" si="30"/>
        <v>500602.4515609002</v>
      </c>
      <c r="AX30" s="32">
        <f t="shared" si="31"/>
        <v>498932.33055965876</v>
      </c>
      <c r="AY30" s="32">
        <f t="shared" ca="1" si="32"/>
        <v>1670.1210012414142</v>
      </c>
      <c r="BA30" s="32">
        <f ca="1">IF($A31="","",F30*Summary!$Q$11)</f>
        <v>0</v>
      </c>
      <c r="BC30" s="256">
        <f t="shared" ca="1" si="36"/>
        <v>421981.26570128062</v>
      </c>
    </row>
    <row r="31" spans="1:55">
      <c r="A31" s="67">
        <f t="shared" si="33"/>
        <v>37681</v>
      </c>
      <c r="B31" s="69">
        <f t="shared" si="37"/>
        <v>124142</v>
      </c>
      <c r="C31" s="71"/>
      <c r="D31" s="69">
        <f t="shared" si="0"/>
        <v>124142</v>
      </c>
      <c r="E31" s="70">
        <f t="shared" si="1"/>
        <v>3848402</v>
      </c>
      <c r="F31" s="70">
        <f t="shared" ca="1" si="2"/>
        <v>3230600.228150792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0.52500000000000002</v>
      </c>
      <c r="K31" s="64">
        <f t="shared" si="6"/>
        <v>0.52500000000000002</v>
      </c>
      <c r="L31" s="63">
        <f t="shared" si="7"/>
        <v>0</v>
      </c>
      <c r="M31" s="64">
        <f t="shared" si="8"/>
        <v>0</v>
      </c>
      <c r="N31" s="65"/>
      <c r="O31" s="63">
        <f t="shared" si="9"/>
        <v>4.8330000000000002</v>
      </c>
      <c r="P31" s="63">
        <f t="shared" si="10"/>
        <v>4.8330000000000002</v>
      </c>
      <c r="Q31" s="66"/>
      <c r="R31" s="63">
        <f t="shared" si="34"/>
        <v>0.32500000000000001</v>
      </c>
      <c r="S31" s="64">
        <f t="shared" si="11"/>
        <v>0.32500000000000001</v>
      </c>
      <c r="T31" s="38">
        <v>0</v>
      </c>
      <c r="U31" s="64">
        <f t="shared" si="12"/>
        <v>0</v>
      </c>
      <c r="V31" s="219">
        <f>IF($A32="","",IF(AND(MONTH(A31)&gt;3,MONTH(A31)&lt;11),(T31+R31+G31)*Summary!$T$11/(1-Summary!$T$11),(T31+R31+G31)*Summary!$U$11/(1-Summary!$U$11)))</f>
        <v>4.9401962853200462E-2</v>
      </c>
      <c r="W31" s="43">
        <f t="shared" si="13"/>
        <v>4.6824019628532003</v>
      </c>
      <c r="X31" s="43">
        <f t="shared" si="14"/>
        <v>4.6824019628532003</v>
      </c>
      <c r="Y31" s="43"/>
      <c r="Z31" s="38">
        <f t="shared" si="15"/>
        <v>0.75</v>
      </c>
      <c r="AA31" s="38">
        <f t="shared" si="16"/>
        <v>0.33800000000000002</v>
      </c>
      <c r="AB31" s="38">
        <f t="shared" ca="1" si="17"/>
        <v>0.35739262306726582</v>
      </c>
      <c r="AC31" s="38">
        <f t="shared" si="18"/>
        <v>0.75</v>
      </c>
      <c r="AD31" s="38">
        <f t="shared" si="18"/>
        <v>0.33800000000000002</v>
      </c>
      <c r="AE31" s="38">
        <f t="shared" ca="1" si="19"/>
        <v>0.35739262306726582</v>
      </c>
      <c r="AF31" s="238">
        <f ca="1">((Summary!$N$11*(AA31*AD31)*(A31-$D$3))+(Summary!$M$11*Z31*AC31*(AJ31-EOMONTH(EDATE(A31,-1),0))))/(AK31*AB31*AE31)</f>
        <v>0.99991042129661112</v>
      </c>
      <c r="AG31" s="88">
        <f>IF($A32="","",Summary!$Q$11)</f>
        <v>0</v>
      </c>
      <c r="AH31" s="88">
        <f>IF($A32="","",IF(Summary!$R$11="Y",(VLOOKUP($A31,Summary!$AD$6:$AF$9,3)+'Escalating commodity'!G44),'Escalating commodity'!G44))</f>
        <v>5.0560469174009614E-3</v>
      </c>
      <c r="AI31" s="88">
        <f t="shared" si="35"/>
        <v>5.0560469174009614E-3</v>
      </c>
      <c r="AJ31" s="236">
        <f t="shared" si="20"/>
        <v>37695.5</v>
      </c>
      <c r="AK31" s="58">
        <f t="shared" ca="1" si="21"/>
        <v>655</v>
      </c>
      <c r="AL31" s="26">
        <f ca="1">IF($A32="","",_xll.SPRDOPT(P31,X31,AI31,0,AB31,AE31,AF31,AK31,$AJ$2,0))</f>
        <v>0.1458558203810818</v>
      </c>
      <c r="AM31" s="209">
        <f t="shared" si="22"/>
        <v>0.1455419902293989</v>
      </c>
      <c r="AN31" s="89">
        <f t="shared" ca="1" si="23"/>
        <v>3.138301516829034E-4</v>
      </c>
      <c r="AO31" s="3">
        <f t="shared" si="24"/>
        <v>31</v>
      </c>
      <c r="AP31" s="33">
        <f t="shared" si="25"/>
        <v>37681</v>
      </c>
      <c r="AQ31" s="58">
        <f t="shared" ca="1" si="26"/>
        <v>655</v>
      </c>
      <c r="AR31" s="38">
        <f>'ANR OK vs ML7'!AR31</f>
        <v>0.1</v>
      </c>
      <c r="AS31" s="35">
        <f t="shared" ca="1" si="27"/>
        <v>0.83946537501820029</v>
      </c>
      <c r="AT31" s="3">
        <f t="shared" si="28"/>
        <v>1</v>
      </c>
      <c r="AU31" s="3">
        <f t="shared" si="29"/>
        <v>31</v>
      </c>
      <c r="AW31" s="32">
        <f t="shared" ca="1" si="30"/>
        <v>561311.83086619596</v>
      </c>
      <c r="AX31" s="32">
        <f t="shared" si="31"/>
        <v>560104.08628279914</v>
      </c>
      <c r="AY31" s="32">
        <f t="shared" ca="1" si="32"/>
        <v>1207.7445833967888</v>
      </c>
      <c r="BA31" s="32">
        <f ca="1">IF($A32="","",F31*Summary!$Q$11)</f>
        <v>0</v>
      </c>
      <c r="BC31" s="256">
        <f t="shared" ca="1" si="36"/>
        <v>470187.98684061639</v>
      </c>
    </row>
    <row r="32" spans="1:55">
      <c r="A32" s="67">
        <f t="shared" si="33"/>
        <v>37712</v>
      </c>
      <c r="B32" s="69">
        <f t="shared" si="37"/>
        <v>124142</v>
      </c>
      <c r="C32" s="71"/>
      <c r="D32" s="69">
        <f t="shared" si="0"/>
        <v>124142</v>
      </c>
      <c r="E32" s="70">
        <f t="shared" si="1"/>
        <v>3724260</v>
      </c>
      <c r="F32" s="70">
        <f t="shared" ca="1" si="2"/>
        <v>3100601.5918636969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0.26</v>
      </c>
      <c r="K32" s="64">
        <f t="shared" si="6"/>
        <v>0.26</v>
      </c>
      <c r="L32" s="63">
        <f t="shared" si="7"/>
        <v>0</v>
      </c>
      <c r="M32" s="64">
        <f t="shared" si="8"/>
        <v>0</v>
      </c>
      <c r="N32" s="65"/>
      <c r="O32" s="63">
        <f t="shared" si="9"/>
        <v>4.24</v>
      </c>
      <c r="P32" s="63">
        <f t="shared" si="10"/>
        <v>4.24</v>
      </c>
      <c r="Q32" s="66"/>
      <c r="R32" s="63">
        <f t="shared" si="34"/>
        <v>0.19500000000000001</v>
      </c>
      <c r="S32" s="64">
        <f t="shared" si="11"/>
        <v>0.19500000000000001</v>
      </c>
      <c r="T32" s="38">
        <v>0</v>
      </c>
      <c r="U32" s="64">
        <f t="shared" si="12"/>
        <v>0</v>
      </c>
      <c r="V32" s="219">
        <f>IF($A33="","",IF(AND(MONTH(A32)&gt;3,MONTH(A32)&lt;11),(T32+R32+G32)*Summary!$T$11/(1-Summary!$T$11),(T32+R32+G32)*Summary!$U$11/(1-Summary!$U$11)))</f>
        <v>4.4518280792599167E-2</v>
      </c>
      <c r="W32" s="43">
        <f t="shared" si="13"/>
        <v>4.2195182807925988</v>
      </c>
      <c r="X32" s="43">
        <f t="shared" si="14"/>
        <v>4.2195182807925988</v>
      </c>
      <c r="Y32" s="43"/>
      <c r="Z32" s="38">
        <f t="shared" si="15"/>
        <v>0.45</v>
      </c>
      <c r="AA32" s="38">
        <f t="shared" si="16"/>
        <v>0.32</v>
      </c>
      <c r="AB32" s="38">
        <f t="shared" ca="1" si="17"/>
        <v>0.32707356007880534</v>
      </c>
      <c r="AC32" s="38">
        <f t="shared" si="18"/>
        <v>0.45</v>
      </c>
      <c r="AD32" s="38">
        <f t="shared" si="18"/>
        <v>0.32</v>
      </c>
      <c r="AE32" s="38">
        <f t="shared" ca="1" si="19"/>
        <v>0.32707356007880534</v>
      </c>
      <c r="AF32" s="238">
        <f ca="1">((Summary!$N$11*(AA32*AD32)*(A32-$D$3))+(Summary!$M$11*Z32*AC32*(AJ32-EOMONTH(EDATE(A32,-1),0))))/(AK32*AB32*AE32)</f>
        <v>0.99990413905592768</v>
      </c>
      <c r="AG32" s="88">
        <f>IF($A33="","",Summary!$Q$11)</f>
        <v>0</v>
      </c>
      <c r="AH32" s="88">
        <f>IF($A33="","",IF(Summary!$R$11="Y",(VLOOKUP($A32,Summary!$AD$6:$AF$9,3)+'Escalating commodity'!G45),'Escalating commodity'!G45))</f>
        <v>5.0560469174009614E-3</v>
      </c>
      <c r="AI32" s="88">
        <f t="shared" si="35"/>
        <v>5.0560469174009614E-3</v>
      </c>
      <c r="AJ32" s="236">
        <f t="shared" si="20"/>
        <v>37726</v>
      </c>
      <c r="AK32" s="58">
        <f t="shared" ca="1" si="21"/>
        <v>686</v>
      </c>
      <c r="AL32" s="26">
        <f ca="1">IF($A33="","",_xll.SPRDOPT(P32,X32,AI32,0,AB32,AE32,AF32,AK32,$AJ$2,0))</f>
        <v>1.7984625374232947E-2</v>
      </c>
      <c r="AM32" s="209">
        <f t="shared" si="22"/>
        <v>1.5425672290000421E-2</v>
      </c>
      <c r="AN32" s="89">
        <f t="shared" ca="1" si="23"/>
        <v>2.5589530842325264E-3</v>
      </c>
      <c r="AO32" s="3">
        <f t="shared" si="24"/>
        <v>30</v>
      </c>
      <c r="AP32" s="33">
        <f t="shared" si="25"/>
        <v>37712</v>
      </c>
      <c r="AQ32" s="58">
        <f t="shared" ca="1" si="26"/>
        <v>686</v>
      </c>
      <c r="AR32" s="38">
        <f>'ANR OK vs ML7'!AR32</f>
        <v>0.1</v>
      </c>
      <c r="AS32" s="35">
        <f t="shared" ca="1" si="27"/>
        <v>0.83254165709797301</v>
      </c>
      <c r="AT32" s="3">
        <f t="shared" si="28"/>
        <v>1</v>
      </c>
      <c r="AU32" s="3">
        <f t="shared" si="29"/>
        <v>30</v>
      </c>
      <c r="AW32" s="32">
        <f t="shared" ca="1" si="30"/>
        <v>66979.420896240801</v>
      </c>
      <c r="AX32" s="32">
        <f t="shared" si="31"/>
        <v>57449.21428275697</v>
      </c>
      <c r="AY32" s="32">
        <f t="shared" ca="1" si="32"/>
        <v>9530.2066134838296</v>
      </c>
      <c r="BA32" s="32">
        <f ca="1">IF($A33="","",F32*Summary!$Q$11)</f>
        <v>0</v>
      </c>
      <c r="BC32" s="256">
        <f t="shared" ca="1" si="36"/>
        <v>47828.864057943021</v>
      </c>
    </row>
    <row r="33" spans="1:55">
      <c r="A33" s="67">
        <f t="shared" si="33"/>
        <v>37742</v>
      </c>
      <c r="B33" s="69">
        <f t="shared" si="37"/>
        <v>124142</v>
      </c>
      <c r="C33" s="71"/>
      <c r="D33" s="69">
        <f t="shared" si="0"/>
        <v>124142</v>
      </c>
      <c r="E33" s="70">
        <f t="shared" si="1"/>
        <v>3848402</v>
      </c>
      <c r="F33" s="70">
        <f t="shared" ca="1" si="2"/>
        <v>3178378.5156690595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0.26</v>
      </c>
      <c r="K33" s="64">
        <f t="shared" si="6"/>
        <v>0.26</v>
      </c>
      <c r="L33" s="63">
        <f t="shared" si="7"/>
        <v>0</v>
      </c>
      <c r="M33" s="64">
        <f t="shared" si="8"/>
        <v>0</v>
      </c>
      <c r="N33" s="65"/>
      <c r="O33" s="63">
        <f t="shared" si="9"/>
        <v>4.2</v>
      </c>
      <c r="P33" s="63">
        <f t="shared" si="10"/>
        <v>4.2</v>
      </c>
      <c r="Q33" s="66"/>
      <c r="R33" s="63">
        <f t="shared" si="34"/>
        <v>0.19500000000000001</v>
      </c>
      <c r="S33" s="64">
        <f t="shared" si="11"/>
        <v>0.19500000000000001</v>
      </c>
      <c r="T33" s="38">
        <v>0</v>
      </c>
      <c r="U33" s="64">
        <f t="shared" si="12"/>
        <v>0</v>
      </c>
      <c r="V33" s="219">
        <f>IF($A34="","",IF(AND(MONTH(A33)&gt;3,MONTH(A33)&lt;11),(T33+R33+G33)*Summary!$T$11/(1-Summary!$T$11),(T33+R33+G33)*Summary!$U$11/(1-Summary!$U$11)))</f>
        <v>4.4091758341891628E-2</v>
      </c>
      <c r="W33" s="43">
        <f t="shared" si="13"/>
        <v>4.1790917583418912</v>
      </c>
      <c r="X33" s="43">
        <f t="shared" si="14"/>
        <v>4.1790917583418912</v>
      </c>
      <c r="Y33" s="43"/>
      <c r="Z33" s="38">
        <f t="shared" si="15"/>
        <v>0.5</v>
      </c>
      <c r="AA33" s="38">
        <f t="shared" si="16"/>
        <v>0.318</v>
      </c>
      <c r="AB33" s="38">
        <f t="shared" ca="1" si="17"/>
        <v>0.32661482790904622</v>
      </c>
      <c r="AC33" s="38">
        <f t="shared" si="18"/>
        <v>0.5</v>
      </c>
      <c r="AD33" s="38">
        <f t="shared" si="18"/>
        <v>0.318</v>
      </c>
      <c r="AE33" s="38">
        <f t="shared" ca="1" si="19"/>
        <v>0.32661482790904622</v>
      </c>
      <c r="AF33" s="238">
        <f ca="1">((Summary!$N$11*(AA33*AD33)*(A33-$D$3))+(Summary!$M$11*Z33*AC33*(AJ33-EOMONTH(EDATE(A33,-1),0))))/(AK33*AB33*AE33)</f>
        <v>0.99990507325731193</v>
      </c>
      <c r="AG33" s="88">
        <f>IF($A34="","",Summary!$Q$11)</f>
        <v>0</v>
      </c>
      <c r="AH33" s="88">
        <f>IF($A34="","",IF(Summary!$R$11="Y",(VLOOKUP($A33,Summary!$AD$6:$AF$9,3)+'Escalating commodity'!G46),'Escalating commodity'!G46))</f>
        <v>5.0560469174009614E-3</v>
      </c>
      <c r="AI33" s="88">
        <f t="shared" si="35"/>
        <v>5.0560469174009614E-3</v>
      </c>
      <c r="AJ33" s="236">
        <f t="shared" si="20"/>
        <v>37756.5</v>
      </c>
      <c r="AK33" s="58">
        <f t="shared" ca="1" si="21"/>
        <v>716</v>
      </c>
      <c r="AL33" s="26">
        <f ca="1">IF($A34="","",_xll.SPRDOPT(P33,X33,AI33,0,AB33,AE33,AF33,AK33,$AJ$2,0))</f>
        <v>1.8402187182194326E-2</v>
      </c>
      <c r="AM33" s="209">
        <f t="shared" si="22"/>
        <v>1.5852194740708044E-2</v>
      </c>
      <c r="AN33" s="89">
        <f t="shared" ca="1" si="23"/>
        <v>2.5499924414862825E-3</v>
      </c>
      <c r="AO33" s="3">
        <f t="shared" si="24"/>
        <v>31</v>
      </c>
      <c r="AP33" s="33">
        <f t="shared" si="25"/>
        <v>37742</v>
      </c>
      <c r="AQ33" s="58">
        <f t="shared" ca="1" si="26"/>
        <v>716</v>
      </c>
      <c r="AR33" s="38">
        <f>'ANR OK vs ML7'!AR33</f>
        <v>0.1</v>
      </c>
      <c r="AS33" s="35">
        <f t="shared" ca="1" si="27"/>
        <v>0.825895661541871</v>
      </c>
      <c r="AT33" s="3">
        <f t="shared" si="28"/>
        <v>1</v>
      </c>
      <c r="AU33" s="3">
        <f t="shared" si="29"/>
        <v>31</v>
      </c>
      <c r="AW33" s="32">
        <f t="shared" ca="1" si="30"/>
        <v>70819.013956331008</v>
      </c>
      <c r="AX33" s="32">
        <f t="shared" si="31"/>
        <v>61005.617944530313</v>
      </c>
      <c r="AY33" s="32">
        <f t="shared" ca="1" si="32"/>
        <v>9813.3960118006926</v>
      </c>
      <c r="BA33" s="32">
        <f ca="1">IF($A34="","",F33*Summary!$Q$11)</f>
        <v>0</v>
      </c>
      <c r="BC33" s="256">
        <f t="shared" ca="1" si="36"/>
        <v>50384.275190068503</v>
      </c>
    </row>
    <row r="34" spans="1:55">
      <c r="A34" s="67">
        <f t="shared" si="33"/>
        <v>37773</v>
      </c>
      <c r="B34" s="69">
        <f t="shared" si="37"/>
        <v>124142</v>
      </c>
      <c r="C34" s="71"/>
      <c r="D34" s="69">
        <f t="shared" si="0"/>
        <v>124142</v>
      </c>
      <c r="E34" s="70">
        <f t="shared" si="1"/>
        <v>3724260</v>
      </c>
      <c r="F34" s="70">
        <f t="shared" ca="1" si="2"/>
        <v>3050481.2695038514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0.26</v>
      </c>
      <c r="K34" s="64">
        <f t="shared" si="6"/>
        <v>0.26</v>
      </c>
      <c r="L34" s="63">
        <f t="shared" si="7"/>
        <v>0</v>
      </c>
      <c r="M34" s="64">
        <f t="shared" si="8"/>
        <v>0</v>
      </c>
      <c r="N34" s="65"/>
      <c r="O34" s="63">
        <f t="shared" si="9"/>
        <v>4.2300000000000004</v>
      </c>
      <c r="P34" s="63">
        <f t="shared" si="10"/>
        <v>4.2300000000000004</v>
      </c>
      <c r="Q34" s="66"/>
      <c r="R34" s="63">
        <f t="shared" si="34"/>
        <v>0.19500000000000001</v>
      </c>
      <c r="S34" s="64">
        <f t="shared" si="11"/>
        <v>0.19500000000000001</v>
      </c>
      <c r="T34" s="38">
        <v>0</v>
      </c>
      <c r="U34" s="64">
        <f t="shared" si="12"/>
        <v>0</v>
      </c>
      <c r="V34" s="219">
        <f>IF($A35="","",IF(AND(MONTH(A34)&gt;3,MONTH(A34)&lt;11),(T34+R34+G34)*Summary!$T$11/(1-Summary!$T$11),(T34+R34+G34)*Summary!$U$11/(1-Summary!$U$11)))</f>
        <v>4.4411650179922282E-2</v>
      </c>
      <c r="W34" s="43">
        <f t="shared" si="13"/>
        <v>4.2094116501799226</v>
      </c>
      <c r="X34" s="43">
        <f t="shared" si="14"/>
        <v>4.2094116501799226</v>
      </c>
      <c r="Y34" s="43"/>
      <c r="Z34" s="38">
        <f t="shared" si="15"/>
        <v>0.5</v>
      </c>
      <c r="AA34" s="38">
        <f t="shared" si="16"/>
        <v>0.318</v>
      </c>
      <c r="AB34" s="38">
        <f t="shared" ca="1" si="17"/>
        <v>0.32600529721963267</v>
      </c>
      <c r="AC34" s="38">
        <f t="shared" si="18"/>
        <v>0.5</v>
      </c>
      <c r="AD34" s="38">
        <f t="shared" si="18"/>
        <v>0.318</v>
      </c>
      <c r="AE34" s="38">
        <f t="shared" ca="1" si="19"/>
        <v>0.32600529721963267</v>
      </c>
      <c r="AF34" s="238">
        <f ca="1">((Summary!$N$11*(AA34*AD34)*(A34-$D$3))+(Summary!$M$11*Z34*AC34*(AJ34-EOMONTH(EDATE(A34,-1),0))))/(AK34*AB34*AE34)</f>
        <v>0.99990472347207415</v>
      </c>
      <c r="AG34" s="88">
        <f>IF($A35="","",Summary!$Q$11)</f>
        <v>0</v>
      </c>
      <c r="AH34" s="88">
        <f>IF($A35="","",IF(Summary!$R$11="Y",(VLOOKUP($A34,Summary!$AD$6:$AF$9,3)+'Escalating commodity'!G47),'Escalating commodity'!G47))</f>
        <v>5.0560469174009614E-3</v>
      </c>
      <c r="AI34" s="88">
        <f t="shared" si="35"/>
        <v>5.0560469174009614E-3</v>
      </c>
      <c r="AJ34" s="236">
        <f t="shared" si="20"/>
        <v>37787</v>
      </c>
      <c r="AK34" s="58">
        <f t="shared" ca="1" si="21"/>
        <v>747</v>
      </c>
      <c r="AL34" s="26">
        <f ca="1">IF($A35="","",_xll.SPRDOPT(P34,X34,AI34,0,AB34,AE34,AF34,AK34,$AJ$2,0))</f>
        <v>1.8191303453051172E-2</v>
      </c>
      <c r="AM34" s="209">
        <f t="shared" si="22"/>
        <v>1.5532302902676882E-2</v>
      </c>
      <c r="AN34" s="89">
        <f t="shared" ca="1" si="23"/>
        <v>2.6590005503742895E-3</v>
      </c>
      <c r="AO34" s="3">
        <f t="shared" si="24"/>
        <v>30</v>
      </c>
      <c r="AP34" s="33">
        <f t="shared" si="25"/>
        <v>37773</v>
      </c>
      <c r="AQ34" s="58">
        <f t="shared" ca="1" si="26"/>
        <v>747</v>
      </c>
      <c r="AR34" s="38">
        <f>'ANR OK vs ML7'!AR34</f>
        <v>0.1</v>
      </c>
      <c r="AS34" s="35">
        <f t="shared" ca="1" si="27"/>
        <v>0.8190838635068044</v>
      </c>
      <c r="AT34" s="3">
        <f t="shared" si="28"/>
        <v>1</v>
      </c>
      <c r="AU34" s="3">
        <f t="shared" si="29"/>
        <v>30</v>
      </c>
      <c r="AW34" s="32">
        <f t="shared" ca="1" si="30"/>
        <v>67749.143798060351</v>
      </c>
      <c r="AX34" s="32">
        <f t="shared" si="31"/>
        <v>57846.334408323404</v>
      </c>
      <c r="AY34" s="32">
        <f t="shared" ca="1" si="32"/>
        <v>9902.8093897369508</v>
      </c>
      <c r="BA34" s="32">
        <f ca="1">IF($A35="","",F34*Summary!$Q$11)</f>
        <v>0</v>
      </c>
      <c r="BC34" s="256">
        <f t="shared" ca="1" si="36"/>
        <v>47380.999076876134</v>
      </c>
    </row>
    <row r="35" spans="1:55">
      <c r="A35" s="67">
        <f t="shared" si="33"/>
        <v>37803</v>
      </c>
      <c r="B35" s="69">
        <f t="shared" si="37"/>
        <v>124142</v>
      </c>
      <c r="C35" s="71"/>
      <c r="D35" s="69">
        <f t="shared" si="0"/>
        <v>124142</v>
      </c>
      <c r="E35" s="70">
        <f t="shared" si="1"/>
        <v>3848402</v>
      </c>
      <c r="F35" s="70">
        <f t="shared" ca="1" si="2"/>
        <v>3127000.9519714322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0.26</v>
      </c>
      <c r="K35" s="64">
        <f t="shared" si="6"/>
        <v>0.26</v>
      </c>
      <c r="L35" s="63">
        <f t="shared" si="7"/>
        <v>0</v>
      </c>
      <c r="M35" s="64">
        <f t="shared" si="8"/>
        <v>0</v>
      </c>
      <c r="N35" s="65"/>
      <c r="O35" s="63">
        <f t="shared" si="9"/>
        <v>4.2699999999999996</v>
      </c>
      <c r="P35" s="63">
        <f t="shared" si="10"/>
        <v>4.2699999999999996</v>
      </c>
      <c r="Q35" s="66"/>
      <c r="R35" s="63">
        <f t="shared" si="34"/>
        <v>0.19500000000000001</v>
      </c>
      <c r="S35" s="64">
        <f t="shared" si="11"/>
        <v>0.19500000000000001</v>
      </c>
      <c r="T35" s="38">
        <v>0</v>
      </c>
      <c r="U35" s="64">
        <f t="shared" si="12"/>
        <v>0</v>
      </c>
      <c r="V35" s="219">
        <f>IF($A36="","",IF(AND(MONTH(A35)&gt;3,MONTH(A35)&lt;11),(T35+R35+G35)*Summary!$T$11/(1-Summary!$T$11),(T35+R35+G35)*Summary!$U$11/(1-Summary!$U$11)))</f>
        <v>4.4838172630629822E-2</v>
      </c>
      <c r="W35" s="43">
        <f t="shared" si="13"/>
        <v>4.2498381726306302</v>
      </c>
      <c r="X35" s="43">
        <f t="shared" si="14"/>
        <v>4.2498381726306302</v>
      </c>
      <c r="Y35" s="43"/>
      <c r="Z35" s="38">
        <f t="shared" si="15"/>
        <v>0.55000000000000004</v>
      </c>
      <c r="AA35" s="38">
        <f t="shared" si="16"/>
        <v>0.318</v>
      </c>
      <c r="AB35" s="38">
        <f t="shared" ca="1" si="17"/>
        <v>0.32754934590466517</v>
      </c>
      <c r="AC35" s="38">
        <f t="shared" si="18"/>
        <v>0.55000000000000004</v>
      </c>
      <c r="AD35" s="38">
        <f t="shared" si="18"/>
        <v>0.318</v>
      </c>
      <c r="AE35" s="38">
        <f t="shared" ca="1" si="19"/>
        <v>0.32754934590466517</v>
      </c>
      <c r="AF35" s="238">
        <f ca="1">((Summary!$N$11*(AA35*AD35)*(A35-$D$3))+(Summary!$M$11*Z35*AC35*(AJ35-EOMONTH(EDATE(A35,-1),0))))/(AK35*AB35*AE35)</f>
        <v>0.99990562448270071</v>
      </c>
      <c r="AG35" s="88">
        <f>IF($A36="","",Summary!$Q$11)</f>
        <v>0</v>
      </c>
      <c r="AH35" s="88">
        <f>IF($A36="","",IF(Summary!$R$11="Y",(VLOOKUP($A35,Summary!$AD$6:$AF$9,3)+'Escalating commodity'!G48),'Escalating commodity'!G48))</f>
        <v>5.0560469174009614E-3</v>
      </c>
      <c r="AI35" s="88">
        <f t="shared" si="35"/>
        <v>5.0560469174009614E-3</v>
      </c>
      <c r="AJ35" s="236">
        <f t="shared" si="20"/>
        <v>37817.5</v>
      </c>
      <c r="AK35" s="58">
        <f t="shared" ca="1" si="21"/>
        <v>777</v>
      </c>
      <c r="AL35" s="26">
        <f ca="1">IF($A36="","",_xll.SPRDOPT(P35,X35,AI35,0,AB35,AE35,AF35,AK35,$AJ$2,0))</f>
        <v>1.7870359371690247E-2</v>
      </c>
      <c r="AM35" s="209">
        <f t="shared" si="22"/>
        <v>1.5105780451968372E-2</v>
      </c>
      <c r="AN35" s="89">
        <f t="shared" ca="1" si="23"/>
        <v>2.7645789197218752E-3</v>
      </c>
      <c r="AO35" s="3">
        <f t="shared" si="24"/>
        <v>31</v>
      </c>
      <c r="AP35" s="33">
        <f t="shared" si="25"/>
        <v>37803</v>
      </c>
      <c r="AQ35" s="58">
        <f t="shared" ca="1" si="26"/>
        <v>777</v>
      </c>
      <c r="AR35" s="38">
        <f>'ANR OK vs ML7'!AR35</f>
        <v>0.1</v>
      </c>
      <c r="AS35" s="35">
        <f t="shared" ca="1" si="27"/>
        <v>0.81254529853467294</v>
      </c>
      <c r="AT35" s="3">
        <f t="shared" si="28"/>
        <v>1</v>
      </c>
      <c r="AU35" s="3">
        <f t="shared" si="29"/>
        <v>31</v>
      </c>
      <c r="AW35" s="32">
        <f t="shared" ca="1" si="30"/>
        <v>68772.326746731487</v>
      </c>
      <c r="AX35" s="32">
        <f t="shared" si="31"/>
        <v>58133.115702915988</v>
      </c>
      <c r="AY35" s="32">
        <f t="shared" ca="1" si="32"/>
        <v>10639.211043815503</v>
      </c>
      <c r="BA35" s="32">
        <f ca="1">IF($A36="","",F35*Summary!$Q$11)</f>
        <v>0</v>
      </c>
      <c r="BC35" s="256">
        <f t="shared" ca="1" si="36"/>
        <v>47235.789853576549</v>
      </c>
    </row>
    <row r="36" spans="1:55">
      <c r="A36" s="67">
        <f t="shared" si="33"/>
        <v>37834</v>
      </c>
      <c r="B36" s="69">
        <f t="shared" si="37"/>
        <v>124142</v>
      </c>
      <c r="C36" s="71"/>
      <c r="D36" s="69">
        <f t="shared" si="0"/>
        <v>124142</v>
      </c>
      <c r="E36" s="70">
        <f t="shared" si="1"/>
        <v>3848402</v>
      </c>
      <c r="F36" s="70">
        <f t="shared" ca="1" si="2"/>
        <v>3101210.1651539737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0.26</v>
      </c>
      <c r="K36" s="64">
        <f t="shared" si="6"/>
        <v>0.26</v>
      </c>
      <c r="L36" s="63">
        <f t="shared" si="7"/>
        <v>0</v>
      </c>
      <c r="M36" s="64">
        <f t="shared" si="8"/>
        <v>0</v>
      </c>
      <c r="N36" s="65"/>
      <c r="O36" s="63">
        <f t="shared" si="9"/>
        <v>4.3159999999999998</v>
      </c>
      <c r="P36" s="63">
        <f t="shared" si="10"/>
        <v>4.3159999999999998</v>
      </c>
      <c r="Q36" s="66"/>
      <c r="R36" s="63">
        <f t="shared" si="34"/>
        <v>0.19500000000000001</v>
      </c>
      <c r="S36" s="64">
        <f t="shared" si="11"/>
        <v>0.19500000000000001</v>
      </c>
      <c r="T36" s="38">
        <v>0</v>
      </c>
      <c r="U36" s="64">
        <f t="shared" si="12"/>
        <v>0</v>
      </c>
      <c r="V36" s="219">
        <f>IF($A37="","",IF(AND(MONTH(A36)&gt;3,MONTH(A36)&lt;11),(T36+R36+G36)*Summary!$T$11/(1-Summary!$T$11),(T36+R36+G36)*Summary!$U$11/(1-Summary!$U$11)))</f>
        <v>4.5328673448943493E-2</v>
      </c>
      <c r="W36" s="43">
        <f t="shared" si="13"/>
        <v>4.2963286734489436</v>
      </c>
      <c r="X36" s="43">
        <f t="shared" si="14"/>
        <v>4.2963286734489436</v>
      </c>
      <c r="Y36" s="43"/>
      <c r="Z36" s="38">
        <f t="shared" si="15"/>
        <v>0.6</v>
      </c>
      <c r="AA36" s="38">
        <f t="shared" si="16"/>
        <v>0.318</v>
      </c>
      <c r="AB36" s="38">
        <f t="shared" ca="1" si="17"/>
        <v>0.32886941794488272</v>
      </c>
      <c r="AC36" s="38">
        <f t="shared" si="18"/>
        <v>0.6</v>
      </c>
      <c r="AD36" s="38">
        <f t="shared" si="18"/>
        <v>0.318</v>
      </c>
      <c r="AE36" s="38">
        <f t="shared" ca="1" si="19"/>
        <v>0.32886941794488272</v>
      </c>
      <c r="AF36" s="238">
        <f ca="1">((Summary!$N$11*(AA36*AD36)*(A36-$D$3))+(Summary!$M$11*Z36*AC36*(AJ36-EOMONTH(EDATE(A36,-1),0))))/(AK36*AB36*AE36)</f>
        <v>0.99990638521990483</v>
      </c>
      <c r="AG36" s="88">
        <f>IF($A37="","",Summary!$Q$11)</f>
        <v>0</v>
      </c>
      <c r="AH36" s="88">
        <f>IF($A37="","",IF(Summary!$R$11="Y",(VLOOKUP($A36,Summary!$AD$6:$AF$9,3)+'Escalating commodity'!G49),'Escalating commodity'!G49))</f>
        <v>5.0560469174009614E-3</v>
      </c>
      <c r="AI36" s="88">
        <f t="shared" si="35"/>
        <v>5.0560469174009614E-3</v>
      </c>
      <c r="AJ36" s="236">
        <f t="shared" si="20"/>
        <v>37848.5</v>
      </c>
      <c r="AK36" s="58">
        <f t="shared" ca="1" si="21"/>
        <v>808</v>
      </c>
      <c r="AL36" s="26">
        <f ca="1">IF($A37="","",_xll.SPRDOPT(P36,X36,AI36,0,AB36,AE36,AF36,AK36,$AJ$2,0))</f>
        <v>1.7496307838292691E-2</v>
      </c>
      <c r="AM36" s="209">
        <f t="shared" si="22"/>
        <v>1.4615279633655227E-2</v>
      </c>
      <c r="AN36" s="89">
        <f t="shared" ca="1" si="23"/>
        <v>2.881028204637464E-3</v>
      </c>
      <c r="AO36" s="3">
        <f t="shared" si="24"/>
        <v>31</v>
      </c>
      <c r="AP36" s="33">
        <f t="shared" si="25"/>
        <v>37834</v>
      </c>
      <c r="AQ36" s="58">
        <f t="shared" ca="1" si="26"/>
        <v>808</v>
      </c>
      <c r="AR36" s="38">
        <f>'ANR OK vs ML7'!AR36</f>
        <v>0.1</v>
      </c>
      <c r="AS36" s="35">
        <f t="shared" ca="1" si="27"/>
        <v>0.80584361123239556</v>
      </c>
      <c r="AT36" s="3">
        <f t="shared" si="28"/>
        <v>1</v>
      </c>
      <c r="AU36" s="3">
        <f t="shared" si="29"/>
        <v>31</v>
      </c>
      <c r="AW36" s="32">
        <f t="shared" ca="1" si="30"/>
        <v>67332.826077501275</v>
      </c>
      <c r="AX36" s="32">
        <f t="shared" si="31"/>
        <v>56245.471372718042</v>
      </c>
      <c r="AY36" s="32">
        <f t="shared" ca="1" si="32"/>
        <v>11087.354704783225</v>
      </c>
      <c r="BA36" s="32">
        <f ca="1">IF($A37="","",F36*Summary!$Q$11)</f>
        <v>0</v>
      </c>
      <c r="BC36" s="256">
        <f t="shared" ca="1" si="36"/>
        <v>45325.053766459438</v>
      </c>
    </row>
    <row r="37" spans="1:55">
      <c r="A37" s="67">
        <f t="shared" si="33"/>
        <v>37865</v>
      </c>
      <c r="B37" s="69">
        <f t="shared" si="37"/>
        <v>124142</v>
      </c>
      <c r="C37" s="71"/>
      <c r="D37" s="69">
        <f t="shared" si="0"/>
        <v>124142</v>
      </c>
      <c r="E37" s="70">
        <f t="shared" si="1"/>
        <v>3724260</v>
      </c>
      <c r="F37" s="70">
        <f t="shared" ca="1" si="2"/>
        <v>2976418.1562892743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0.26</v>
      </c>
      <c r="K37" s="64">
        <f t="shared" si="6"/>
        <v>0.26</v>
      </c>
      <c r="L37" s="63">
        <f t="shared" si="7"/>
        <v>0</v>
      </c>
      <c r="M37" s="64">
        <f t="shared" si="8"/>
        <v>0</v>
      </c>
      <c r="N37" s="65"/>
      <c r="O37" s="63">
        <f t="shared" si="9"/>
        <v>4.3250000000000002</v>
      </c>
      <c r="P37" s="63">
        <f t="shared" si="10"/>
        <v>4.3250000000000002</v>
      </c>
      <c r="Q37" s="66"/>
      <c r="R37" s="63">
        <f t="shared" si="34"/>
        <v>0.19500000000000001</v>
      </c>
      <c r="S37" s="64">
        <f t="shared" si="11"/>
        <v>0.19500000000000001</v>
      </c>
      <c r="T37" s="38">
        <v>0</v>
      </c>
      <c r="U37" s="64">
        <f t="shared" si="12"/>
        <v>0</v>
      </c>
      <c r="V37" s="219">
        <f>IF($A38="","",IF(AND(MONTH(A37)&gt;3,MONTH(A37)&lt;11),(T37+R37+G37)*Summary!$T$11/(1-Summary!$T$11),(T37+R37+G37)*Summary!$U$11/(1-Summary!$U$11)))</f>
        <v>4.5424641000352692E-2</v>
      </c>
      <c r="W37" s="43">
        <f t="shared" si="13"/>
        <v>4.3054246410003536</v>
      </c>
      <c r="X37" s="43">
        <f t="shared" si="14"/>
        <v>4.3054246410003536</v>
      </c>
      <c r="Y37" s="43"/>
      <c r="Z37" s="38">
        <f t="shared" si="15"/>
        <v>0.6</v>
      </c>
      <c r="AA37" s="38">
        <f t="shared" si="16"/>
        <v>0.318</v>
      </c>
      <c r="AB37" s="38">
        <f t="shared" ca="1" si="17"/>
        <v>0.32814747113587894</v>
      </c>
      <c r="AC37" s="38">
        <f t="shared" si="18"/>
        <v>0.6</v>
      </c>
      <c r="AD37" s="38">
        <f t="shared" si="18"/>
        <v>0.318</v>
      </c>
      <c r="AE37" s="38">
        <f t="shared" ca="1" si="19"/>
        <v>0.32814747113587894</v>
      </c>
      <c r="AF37" s="238">
        <f ca="1">((Summary!$N$11*(AA37*AD37)*(A37-$D$3))+(Summary!$M$11*Z37*AC37*(AJ37-EOMONTH(EDATE(A37,-1),0))))/(AK37*AB37*AE37)</f>
        <v>0.99990597714340346</v>
      </c>
      <c r="AG37" s="88">
        <f>IF($A38="","",Summary!$Q$11)</f>
        <v>0</v>
      </c>
      <c r="AH37" s="88">
        <f>IF($A38="","",IF(Summary!$R$11="Y",(VLOOKUP($A37,Summary!$AD$6:$AF$9,3)+'Escalating commodity'!G50),'Escalating commodity'!G50))</f>
        <v>5.0560469174009614E-3</v>
      </c>
      <c r="AI37" s="88">
        <f t="shared" si="35"/>
        <v>5.0560469174009614E-3</v>
      </c>
      <c r="AJ37" s="236">
        <f t="shared" si="20"/>
        <v>37879</v>
      </c>
      <c r="AK37" s="58">
        <f t="shared" ca="1" si="21"/>
        <v>839</v>
      </c>
      <c r="AL37" s="26">
        <f ca="1">IF($A38="","",_xll.SPRDOPT(P37,X37,AI37,0,AB37,AE37,AF37,AK37,$AJ$2,0))</f>
        <v>1.7483653421620216E-2</v>
      </c>
      <c r="AM37" s="209">
        <f t="shared" si="22"/>
        <v>1.4519312082245613E-2</v>
      </c>
      <c r="AN37" s="89">
        <f t="shared" ca="1" si="23"/>
        <v>2.9643413393746036E-3</v>
      </c>
      <c r="AO37" s="3">
        <f t="shared" si="24"/>
        <v>30</v>
      </c>
      <c r="AP37" s="33">
        <f t="shared" si="25"/>
        <v>37865</v>
      </c>
      <c r="AQ37" s="58">
        <f t="shared" ca="1" si="26"/>
        <v>839</v>
      </c>
      <c r="AR37" s="38">
        <f>'ANR OK vs ML7'!AR37</f>
        <v>0.1</v>
      </c>
      <c r="AS37" s="35">
        <f t="shared" ca="1" si="27"/>
        <v>0.79919719791026256</v>
      </c>
      <c r="AT37" s="3">
        <f t="shared" si="28"/>
        <v>1</v>
      </c>
      <c r="AU37" s="3">
        <f t="shared" si="29"/>
        <v>30</v>
      </c>
      <c r="AW37" s="32">
        <f t="shared" ca="1" si="30"/>
        <v>65113.671092003307</v>
      </c>
      <c r="AX37" s="32">
        <f t="shared" si="31"/>
        <v>54073.693215424042</v>
      </c>
      <c r="AY37" s="32">
        <f t="shared" ca="1" si="32"/>
        <v>11039.977876579262</v>
      </c>
      <c r="BA37" s="32">
        <f ca="1">IF($A38="","",F37*Summary!$Q$11)</f>
        <v>0</v>
      </c>
      <c r="BC37" s="256">
        <f t="shared" ca="1" si="36"/>
        <v>43215.544098426071</v>
      </c>
    </row>
    <row r="38" spans="1:55">
      <c r="A38" s="67">
        <f t="shared" si="33"/>
        <v>37895</v>
      </c>
      <c r="B38" s="69">
        <f t="shared" si="37"/>
        <v>124142</v>
      </c>
      <c r="C38" s="71"/>
      <c r="D38" s="69">
        <f t="shared" si="0"/>
        <v>124142</v>
      </c>
      <c r="E38" s="70">
        <f t="shared" si="1"/>
        <v>3848402</v>
      </c>
      <c r="F38" s="70">
        <f t="shared" ca="1" si="2"/>
        <v>3051080.0053840051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0.26</v>
      </c>
      <c r="K38" s="64">
        <f t="shared" si="6"/>
        <v>0.26</v>
      </c>
      <c r="L38" s="63">
        <f t="shared" si="7"/>
        <v>0</v>
      </c>
      <c r="M38" s="64">
        <f t="shared" si="8"/>
        <v>0</v>
      </c>
      <c r="N38" s="65"/>
      <c r="O38" s="63">
        <f t="shared" si="9"/>
        <v>4.3460000000000001</v>
      </c>
      <c r="P38" s="63">
        <f t="shared" si="10"/>
        <v>4.3460000000000001</v>
      </c>
      <c r="Q38" s="66"/>
      <c r="R38" s="63">
        <f t="shared" si="34"/>
        <v>0.19500000000000001</v>
      </c>
      <c r="S38" s="64">
        <f t="shared" si="11"/>
        <v>0.19500000000000001</v>
      </c>
      <c r="T38" s="38">
        <v>0</v>
      </c>
      <c r="U38" s="64">
        <f t="shared" si="12"/>
        <v>0</v>
      </c>
      <c r="V38" s="219">
        <f>IF($A39="","",IF(AND(MONTH(A38)&gt;3,MONTH(A38)&lt;11),(T38+R38+G38)*Summary!$T$11/(1-Summary!$T$11),(T38+R38+G38)*Summary!$U$11/(1-Summary!$U$11)))</f>
        <v>4.5648565286974148E-2</v>
      </c>
      <c r="W38" s="43">
        <f t="shared" si="13"/>
        <v>4.3266485652869751</v>
      </c>
      <c r="X38" s="43">
        <f t="shared" si="14"/>
        <v>4.3266485652869751</v>
      </c>
      <c r="Y38" s="43"/>
      <c r="Z38" s="38">
        <f t="shared" si="15"/>
        <v>0.65</v>
      </c>
      <c r="AA38" s="38">
        <f t="shared" si="16"/>
        <v>0.32</v>
      </c>
      <c r="AB38" s="38">
        <f t="shared" ca="1" si="17"/>
        <v>0.33174357185687026</v>
      </c>
      <c r="AC38" s="38">
        <f t="shared" si="18"/>
        <v>0.65</v>
      </c>
      <c r="AD38" s="38">
        <f t="shared" si="18"/>
        <v>0.32</v>
      </c>
      <c r="AE38" s="38">
        <f t="shared" ca="1" si="19"/>
        <v>0.33174357185687026</v>
      </c>
      <c r="AF38" s="238">
        <f ca="1">((Summary!$N$11*(AA38*AD38)*(A38-$D$3))+(Summary!$M$11*Z38*AC38*(AJ38-EOMONTH(EDATE(A38,-1),0))))/(AK38*AB38*AE38)</f>
        <v>0.99990684752461789</v>
      </c>
      <c r="AG38" s="88">
        <f>IF($A39="","",Summary!$Q$11)</f>
        <v>0</v>
      </c>
      <c r="AH38" s="88">
        <f>IF($A39="","",IF(Summary!$R$11="Y",(VLOOKUP($A38,Summary!$AD$6:$AF$9,3)+'Escalating commodity'!G51),'Escalating commodity'!G51))</f>
        <v>5.0560469174009614E-3</v>
      </c>
      <c r="AI38" s="88">
        <f t="shared" si="35"/>
        <v>5.0560469174009614E-3</v>
      </c>
      <c r="AJ38" s="236">
        <f t="shared" si="20"/>
        <v>37909.5</v>
      </c>
      <c r="AK38" s="58">
        <f t="shared" ca="1" si="21"/>
        <v>869</v>
      </c>
      <c r="AL38" s="26">
        <f ca="1">IF($A39="","",_xll.SPRDOPT(P38,X38,AI38,0,AB38,AE38,AF38,AK38,$AJ$2,0))</f>
        <v>1.7362684896273992E-2</v>
      </c>
      <c r="AM38" s="209">
        <f t="shared" si="22"/>
        <v>1.4295387795624066E-2</v>
      </c>
      <c r="AN38" s="89">
        <f t="shared" ca="1" si="23"/>
        <v>3.067297100649926E-3</v>
      </c>
      <c r="AO38" s="3">
        <f t="shared" si="24"/>
        <v>31</v>
      </c>
      <c r="AP38" s="33">
        <f t="shared" si="25"/>
        <v>37895</v>
      </c>
      <c r="AQ38" s="58">
        <f t="shared" ca="1" si="26"/>
        <v>869</v>
      </c>
      <c r="AR38" s="38">
        <f>'ANR OK vs ML7'!AR38</f>
        <v>0.1</v>
      </c>
      <c r="AS38" s="35">
        <f t="shared" ca="1" si="27"/>
        <v>0.79281738378267264</v>
      </c>
      <c r="AT38" s="3">
        <f t="shared" si="28"/>
        <v>1</v>
      </c>
      <c r="AU38" s="3">
        <f t="shared" si="29"/>
        <v>31</v>
      </c>
      <c r="AW38" s="32">
        <f t="shared" ca="1" si="30"/>
        <v>66818.591280190623</v>
      </c>
      <c r="AX38" s="32">
        <f t="shared" si="31"/>
        <v>55014.398983455249</v>
      </c>
      <c r="AY38" s="32">
        <f t="shared" ca="1" si="32"/>
        <v>11804.192296735377</v>
      </c>
      <c r="BA38" s="32">
        <f ca="1">IF($A39="","",F38*Summary!$Q$11)</f>
        <v>0</v>
      </c>
      <c r="BC38" s="256">
        <f t="shared" ca="1" si="36"/>
        <v>43616.371872439115</v>
      </c>
    </row>
    <row r="39" spans="1:55">
      <c r="A39" s="67">
        <f t="shared" si="33"/>
        <v>37926</v>
      </c>
      <c r="B39" s="69">
        <f t="shared" si="37"/>
        <v>124142</v>
      </c>
      <c r="C39" s="71"/>
      <c r="D39" s="69">
        <f t="shared" si="0"/>
        <v>124142</v>
      </c>
      <c r="E39" s="70">
        <f t="shared" si="1"/>
        <v>3724260</v>
      </c>
      <c r="F39" s="70">
        <f t="shared" ca="1" si="2"/>
        <v>2928305.2230242016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0.52</v>
      </c>
      <c r="K39" s="64">
        <f t="shared" si="6"/>
        <v>0.52</v>
      </c>
      <c r="L39" s="63">
        <f t="shared" si="7"/>
        <v>0</v>
      </c>
      <c r="M39" s="64">
        <f t="shared" si="8"/>
        <v>0</v>
      </c>
      <c r="N39" s="65"/>
      <c r="O39" s="63">
        <f t="shared" si="9"/>
        <v>4.7189999999999994</v>
      </c>
      <c r="P39" s="63">
        <f t="shared" si="10"/>
        <v>4.7189999999999994</v>
      </c>
      <c r="Q39" s="66"/>
      <c r="R39" s="63">
        <f t="shared" si="34"/>
        <v>0.31</v>
      </c>
      <c r="S39" s="64">
        <f t="shared" si="11"/>
        <v>0.31</v>
      </c>
      <c r="T39" s="38">
        <v>0</v>
      </c>
      <c r="U39" s="64">
        <f t="shared" si="12"/>
        <v>0</v>
      </c>
      <c r="V39" s="219">
        <f>IF($A40="","",IF(AND(MONTH(A39)&gt;3,MONTH(A39)&lt;11),(T39+R39+G39)*Summary!$T$11/(1-Summary!$T$11),(T39+R39+G39)*Summary!$U$11/(1-Summary!$U$11)))</f>
        <v>4.8079743256007099E-2</v>
      </c>
      <c r="W39" s="43">
        <f t="shared" si="13"/>
        <v>4.5570797432560068</v>
      </c>
      <c r="X39" s="43">
        <f t="shared" si="14"/>
        <v>4.5570797432560068</v>
      </c>
      <c r="Y39" s="43"/>
      <c r="Z39" s="38">
        <f t="shared" si="15"/>
        <v>0.8</v>
      </c>
      <c r="AA39" s="38">
        <f t="shared" si="16"/>
        <v>0.32</v>
      </c>
      <c r="AB39" s="38">
        <f t="shared" ca="1" si="17"/>
        <v>0.33642301414208342</v>
      </c>
      <c r="AC39" s="38">
        <f t="shared" si="18"/>
        <v>0.8</v>
      </c>
      <c r="AD39" s="38">
        <f t="shared" si="18"/>
        <v>0.32</v>
      </c>
      <c r="AE39" s="38">
        <f t="shared" ca="1" si="19"/>
        <v>0.33642301414208342</v>
      </c>
      <c r="AF39" s="238">
        <f ca="1">((Summary!$N$11*(AA39*AD39)*(A39-$D$3))+(Summary!$M$11*Z39*AC39*(AJ39-EOMONTH(EDATE(A39,-1),0))))/(AK39*AB39*AE39)</f>
        <v>0.99990942447851205</v>
      </c>
      <c r="AG39" s="88">
        <f>IF($A40="","",Summary!$Q$11)</f>
        <v>0</v>
      </c>
      <c r="AH39" s="88">
        <f>IF($A40="","",IF(Summary!$R$11="Y",(VLOOKUP($A39,Summary!$AD$6:$AF$9,3)+'Escalating commodity'!G52),'Escalating commodity'!G52))</f>
        <v>5.0560469174009614E-3</v>
      </c>
      <c r="AI39" s="88">
        <f t="shared" si="35"/>
        <v>5.0560469174009614E-3</v>
      </c>
      <c r="AJ39" s="236">
        <f t="shared" si="20"/>
        <v>37940</v>
      </c>
      <c r="AK39" s="58">
        <f t="shared" ca="1" si="21"/>
        <v>900</v>
      </c>
      <c r="AL39" s="26">
        <f ca="1">IF($A40="","",_xll.SPRDOPT(P39,X39,AI39,0,AB39,AE39,AF39,AK39,$AJ$2,0))</f>
        <v>0.15720341095203785</v>
      </c>
      <c r="AM39" s="209">
        <f t="shared" si="22"/>
        <v>0.15686420982659161</v>
      </c>
      <c r="AN39" s="89">
        <f t="shared" ca="1" si="23"/>
        <v>3.3920112544624792E-4</v>
      </c>
      <c r="AO39" s="3">
        <f t="shared" si="24"/>
        <v>30</v>
      </c>
      <c r="AP39" s="33">
        <f t="shared" si="25"/>
        <v>37926</v>
      </c>
      <c r="AQ39" s="58">
        <f t="shared" ca="1" si="26"/>
        <v>900</v>
      </c>
      <c r="AR39" s="38">
        <f>'ANR OK vs ML7'!AR39</f>
        <v>0.1</v>
      </c>
      <c r="AS39" s="35">
        <f t="shared" ca="1" si="27"/>
        <v>0.7862784077975763</v>
      </c>
      <c r="AT39" s="3">
        <f t="shared" si="28"/>
        <v>1</v>
      </c>
      <c r="AU39" s="3">
        <f t="shared" si="29"/>
        <v>30</v>
      </c>
      <c r="AW39" s="32">
        <f t="shared" ca="1" si="30"/>
        <v>585466.37527223653</v>
      </c>
      <c r="AX39" s="32">
        <f t="shared" si="31"/>
        <v>584203.10208878201</v>
      </c>
      <c r="AY39" s="32">
        <f t="shared" ca="1" si="32"/>
        <v>1263.2731834544434</v>
      </c>
      <c r="BA39" s="32">
        <f ca="1">IF($A40="","",F39*Summary!$Q$11)</f>
        <v>0</v>
      </c>
      <c r="BC39" s="256">
        <f t="shared" ca="1" si="36"/>
        <v>459346.28494077246</v>
      </c>
    </row>
    <row r="40" spans="1:55">
      <c r="A40" s="67">
        <f t="shared" si="33"/>
        <v>37956</v>
      </c>
      <c r="B40" s="69">
        <f t="shared" si="37"/>
        <v>124142</v>
      </c>
      <c r="C40" s="71"/>
      <c r="D40" s="69">
        <f t="shared" si="0"/>
        <v>124142</v>
      </c>
      <c r="E40" s="70">
        <f t="shared" si="1"/>
        <v>3848402</v>
      </c>
      <c r="F40" s="70">
        <f t="shared" ca="1" si="2"/>
        <v>3001760.1850572634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0.52</v>
      </c>
      <c r="K40" s="64">
        <f t="shared" si="6"/>
        <v>0.52</v>
      </c>
      <c r="L40" s="63">
        <f t="shared" si="7"/>
        <v>0</v>
      </c>
      <c r="M40" s="64">
        <f t="shared" si="8"/>
        <v>0</v>
      </c>
      <c r="N40" s="65"/>
      <c r="O40" s="63">
        <f t="shared" si="9"/>
        <v>4.8570000000000011</v>
      </c>
      <c r="P40" s="63">
        <f t="shared" si="10"/>
        <v>4.8570000000000011</v>
      </c>
      <c r="Q40" s="66"/>
      <c r="R40" s="63">
        <f t="shared" si="34"/>
        <v>0.31</v>
      </c>
      <c r="S40" s="64">
        <f t="shared" si="11"/>
        <v>0.31</v>
      </c>
      <c r="T40" s="38">
        <v>0</v>
      </c>
      <c r="U40" s="64">
        <f t="shared" si="12"/>
        <v>0</v>
      </c>
      <c r="V40" s="219">
        <f>IF($A41="","",IF(AND(MONTH(A40)&gt;3,MONTH(A40)&lt;11),(T40+R40+G40)*Summary!$T$11/(1-Summary!$T$11),(T40+R40+G40)*Summary!$U$11/(1-Summary!$U$11)))</f>
        <v>4.9551245710948107E-2</v>
      </c>
      <c r="W40" s="43">
        <f t="shared" si="13"/>
        <v>4.696551245710948</v>
      </c>
      <c r="X40" s="43">
        <f t="shared" si="14"/>
        <v>4.696551245710948</v>
      </c>
      <c r="Y40" s="43"/>
      <c r="Z40" s="38">
        <f t="shared" si="15"/>
        <v>1.1000000000000001</v>
      </c>
      <c r="AA40" s="38">
        <f t="shared" si="16"/>
        <v>0.32</v>
      </c>
      <c r="AB40" s="38">
        <f t="shared" ca="1" si="17"/>
        <v>0.35025244352259471</v>
      </c>
      <c r="AC40" s="38">
        <f t="shared" si="18"/>
        <v>1.1000000000000001</v>
      </c>
      <c r="AD40" s="38">
        <f t="shared" si="18"/>
        <v>0.32</v>
      </c>
      <c r="AE40" s="38">
        <f t="shared" ca="1" si="19"/>
        <v>0.35025244352259471</v>
      </c>
      <c r="AF40" s="238">
        <f ca="1">((Summary!$N$11*(AA40*AD40)*(A40-$D$3))+(Summary!$M$11*Z40*AC40*(AJ40-EOMONTH(EDATE(A40,-1),0))))/(AK40*AB40*AE40)</f>
        <v>0.99991643886285664</v>
      </c>
      <c r="AG40" s="88">
        <f>IF($A41="","",Summary!$Q$11)</f>
        <v>0</v>
      </c>
      <c r="AH40" s="88">
        <f>IF($A41="","",IF(Summary!$R$11="Y",(VLOOKUP($A40,Summary!$AD$6:$AF$9,3)+'Escalating commodity'!G53),'Escalating commodity'!G53))</f>
        <v>5.0560469174009614E-3</v>
      </c>
      <c r="AI40" s="88">
        <f t="shared" si="35"/>
        <v>5.0560469174009614E-3</v>
      </c>
      <c r="AJ40" s="236">
        <f t="shared" si="20"/>
        <v>37970.5</v>
      </c>
      <c r="AK40" s="58">
        <f t="shared" ca="1" si="21"/>
        <v>930</v>
      </c>
      <c r="AL40" s="26">
        <f ca="1">IF($A41="","",_xll.SPRDOPT(P40,X40,AI40,0,AB40,AE40,AF40,AK40,$AJ$2,0))</f>
        <v>0.15584583435782856</v>
      </c>
      <c r="AM40" s="209">
        <f t="shared" si="22"/>
        <v>0.15539270737165217</v>
      </c>
      <c r="AN40" s="89">
        <f t="shared" ca="1" si="23"/>
        <v>4.5312698617638869E-4</v>
      </c>
      <c r="AO40" s="3">
        <f t="shared" si="24"/>
        <v>31</v>
      </c>
      <c r="AP40" s="33">
        <f t="shared" si="25"/>
        <v>37956</v>
      </c>
      <c r="AQ40" s="58">
        <f t="shared" ca="1" si="26"/>
        <v>930</v>
      </c>
      <c r="AR40" s="38">
        <f>'ANR OK vs ML7'!AR40</f>
        <v>0.1</v>
      </c>
      <c r="AS40" s="35">
        <f t="shared" ca="1" si="27"/>
        <v>0.78000172150863223</v>
      </c>
      <c r="AT40" s="3">
        <f t="shared" si="28"/>
        <v>1</v>
      </c>
      <c r="AU40" s="3">
        <f t="shared" si="29"/>
        <v>31</v>
      </c>
      <c r="AW40" s="32">
        <f t="shared" ca="1" si="30"/>
        <v>599757.42063433619</v>
      </c>
      <c r="AX40" s="32">
        <f t="shared" si="31"/>
        <v>598013.60583448096</v>
      </c>
      <c r="AY40" s="32">
        <f t="shared" ca="1" si="32"/>
        <v>1743.8147998551865</v>
      </c>
      <c r="BA40" s="32">
        <f ca="1">IF($A41="","",F40*Summary!$Q$11)</f>
        <v>0</v>
      </c>
      <c r="BC40" s="256">
        <f t="shared" ca="1" si="36"/>
        <v>466451.64203647978</v>
      </c>
    </row>
    <row r="41" spans="1:55">
      <c r="A41" s="67">
        <f t="shared" si="33"/>
        <v>37987</v>
      </c>
      <c r="B41" s="69">
        <f t="shared" si="37"/>
        <v>124142</v>
      </c>
      <c r="C41" s="71"/>
      <c r="D41" s="69">
        <f t="shared" si="0"/>
        <v>124142</v>
      </c>
      <c r="E41" s="70">
        <f t="shared" si="1"/>
        <v>3848402</v>
      </c>
      <c r="F41" s="70">
        <f t="shared" ca="1" si="2"/>
        <v>2977002.3553670808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0.52</v>
      </c>
      <c r="K41" s="64">
        <f t="shared" si="6"/>
        <v>0.52</v>
      </c>
      <c r="L41" s="63">
        <f t="shared" si="7"/>
        <v>0</v>
      </c>
      <c r="M41" s="64">
        <f t="shared" si="8"/>
        <v>0</v>
      </c>
      <c r="N41" s="65"/>
      <c r="O41" s="63">
        <f t="shared" si="9"/>
        <v>4.9139999999999997</v>
      </c>
      <c r="P41" s="63">
        <f t="shared" si="10"/>
        <v>4.9139999999999997</v>
      </c>
      <c r="Q41" s="66"/>
      <c r="R41" s="63">
        <f t="shared" si="34"/>
        <v>0.31</v>
      </c>
      <c r="S41" s="64">
        <f t="shared" si="11"/>
        <v>0.31</v>
      </c>
      <c r="T41" s="38">
        <v>0</v>
      </c>
      <c r="U41" s="64">
        <f t="shared" si="12"/>
        <v>0</v>
      </c>
      <c r="V41" s="219">
        <f>IF($A42="","",IF(AND(MONTH(A41)&gt;3,MONTH(A41)&lt;11),(T41+R41+G41)*Summary!$T$11/(1-Summary!$T$11),(T41+R41+G41)*Summary!$U$11/(1-Summary!$U$11)))</f>
        <v>5.0159040203206336E-2</v>
      </c>
      <c r="W41" s="43">
        <f t="shared" si="13"/>
        <v>4.7541590402032057</v>
      </c>
      <c r="X41" s="43">
        <f t="shared" si="14"/>
        <v>4.7541590402032057</v>
      </c>
      <c r="Y41" s="43"/>
      <c r="Z41" s="38">
        <f t="shared" si="15"/>
        <v>1.1000000000000001</v>
      </c>
      <c r="AA41" s="38">
        <f t="shared" si="16"/>
        <v>0.32300000000000001</v>
      </c>
      <c r="AB41" s="38">
        <f t="shared" ca="1" si="17"/>
        <v>0.35207057813386372</v>
      </c>
      <c r="AC41" s="38">
        <f t="shared" si="18"/>
        <v>1.1000000000000001</v>
      </c>
      <c r="AD41" s="38">
        <f t="shared" si="18"/>
        <v>0.32300000000000001</v>
      </c>
      <c r="AE41" s="38">
        <f t="shared" ca="1" si="19"/>
        <v>0.35207057813386372</v>
      </c>
      <c r="AF41" s="238">
        <f ca="1">((Summary!$N$11*(AA41*AD41)*(A41-$D$3))+(Summary!$M$11*Z41*AC41*(AJ41-EOMONTH(EDATE(A41,-1),0))))/(AK41*AB41*AE41)</f>
        <v>0.99991574469361844</v>
      </c>
      <c r="AG41" s="88">
        <f>IF($A42="","",Summary!$Q$11)</f>
        <v>0</v>
      </c>
      <c r="AH41" s="88">
        <f>IF($A42="","",IF(Summary!$R$11="Y",(VLOOKUP($A41,Summary!$AD$6:$AF$9,3)+'Escalating commodity'!G54),'Escalating commodity'!G54))</f>
        <v>5.1571678557489811E-3</v>
      </c>
      <c r="AI41" s="88">
        <f t="shared" si="35"/>
        <v>5.1571678557489811E-3</v>
      </c>
      <c r="AJ41" s="236">
        <f t="shared" si="20"/>
        <v>38001.5</v>
      </c>
      <c r="AK41" s="58">
        <f t="shared" ca="1" si="21"/>
        <v>961</v>
      </c>
      <c r="AL41" s="26">
        <f ca="1">IF($A42="","",_xll.SPRDOPT(P41,X41,AI41,0,AB41,AE41,AF41,AK41,$AJ$2,0))</f>
        <v>0.1552072579296106</v>
      </c>
      <c r="AM41" s="209">
        <f t="shared" si="22"/>
        <v>0.15468379194104503</v>
      </c>
      <c r="AN41" s="89">
        <f t="shared" ca="1" si="23"/>
        <v>5.2346598856556348E-4</v>
      </c>
      <c r="AO41" s="3">
        <f t="shared" si="24"/>
        <v>31</v>
      </c>
      <c r="AP41" s="33">
        <f t="shared" si="25"/>
        <v>37987</v>
      </c>
      <c r="AQ41" s="58">
        <f t="shared" ca="1" si="26"/>
        <v>961</v>
      </c>
      <c r="AR41" s="38">
        <f>'ANR OK vs ML7'!AR41</f>
        <v>0.1</v>
      </c>
      <c r="AS41" s="35">
        <f t="shared" ca="1" si="27"/>
        <v>0.77356844616728726</v>
      </c>
      <c r="AT41" s="3">
        <f t="shared" si="28"/>
        <v>1</v>
      </c>
      <c r="AU41" s="3">
        <f t="shared" si="29"/>
        <v>31</v>
      </c>
      <c r="AW41" s="32">
        <f t="shared" ca="1" si="30"/>
        <v>597299.92183082923</v>
      </c>
      <c r="AX41" s="32">
        <f t="shared" si="31"/>
        <v>595285.41427350161</v>
      </c>
      <c r="AY41" s="32">
        <f t="shared" ca="1" si="32"/>
        <v>2014.5075573276915</v>
      </c>
      <c r="BA41" s="32">
        <f ca="1">IF($A42="","",F41*Summary!$Q$11)</f>
        <v>0</v>
      </c>
      <c r="BC41" s="256">
        <f t="shared" ca="1" si="36"/>
        <v>460494.01294560253</v>
      </c>
    </row>
    <row r="42" spans="1:55">
      <c r="A42" s="67">
        <f t="shared" si="33"/>
        <v>38018</v>
      </c>
      <c r="B42" s="69">
        <f t="shared" si="37"/>
        <v>124142</v>
      </c>
      <c r="C42" s="71"/>
      <c r="D42" s="69">
        <f t="shared" si="0"/>
        <v>124142</v>
      </c>
      <c r="E42" s="70">
        <f t="shared" si="1"/>
        <v>3600118</v>
      </c>
      <c r="F42" s="70">
        <f t="shared" ca="1" si="2"/>
        <v>2761968.1598320697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0.52</v>
      </c>
      <c r="K42" s="64">
        <f t="shared" si="6"/>
        <v>0.52</v>
      </c>
      <c r="L42" s="63">
        <f t="shared" si="7"/>
        <v>0</v>
      </c>
      <c r="M42" s="64">
        <f t="shared" si="8"/>
        <v>0</v>
      </c>
      <c r="N42" s="65"/>
      <c r="O42" s="63">
        <f t="shared" si="9"/>
        <v>4.7940000000000005</v>
      </c>
      <c r="P42" s="63">
        <f t="shared" si="10"/>
        <v>4.7940000000000005</v>
      </c>
      <c r="Q42" s="66"/>
      <c r="R42" s="63">
        <f t="shared" si="34"/>
        <v>0.31</v>
      </c>
      <c r="S42" s="64">
        <f t="shared" si="11"/>
        <v>0.31</v>
      </c>
      <c r="T42" s="38">
        <v>0</v>
      </c>
      <c r="U42" s="64">
        <f t="shared" si="12"/>
        <v>0</v>
      </c>
      <c r="V42" s="219">
        <f>IF($A43="","",IF(AND(MONTH(A42)&gt;3,MONTH(A42)&lt;11),(T42+R42+G42)*Summary!$T$11/(1-Summary!$T$11),(T42+R42+G42)*Summary!$U$11/(1-Summary!$U$11)))</f>
        <v>4.8879472851083725E-2</v>
      </c>
      <c r="W42" s="43">
        <f t="shared" si="13"/>
        <v>4.6328794728510836</v>
      </c>
      <c r="X42" s="43">
        <f t="shared" si="14"/>
        <v>4.6328794728510836</v>
      </c>
      <c r="Y42" s="43"/>
      <c r="Z42" s="38">
        <f t="shared" si="15"/>
        <v>1.1000000000000001</v>
      </c>
      <c r="AA42" s="38">
        <f t="shared" si="16"/>
        <v>0.31</v>
      </c>
      <c r="AB42" s="38">
        <f t="shared" ca="1" si="17"/>
        <v>0.3374660974608914</v>
      </c>
      <c r="AC42" s="38">
        <f t="shared" si="18"/>
        <v>1.1000000000000001</v>
      </c>
      <c r="AD42" s="38">
        <f t="shared" si="18"/>
        <v>0.31</v>
      </c>
      <c r="AE42" s="38">
        <f t="shared" ca="1" si="19"/>
        <v>0.3374660974608914</v>
      </c>
      <c r="AF42" s="238">
        <f ca="1">((Summary!$N$11*(AA42*AD42)*(A42-$D$3))+(Summary!$M$11*Z42*AC42*(AJ42-EOMONTH(EDATE(A42,-1),0))))/(AK42*AB42*AE42)</f>
        <v>0.9999155303556716</v>
      </c>
      <c r="AG42" s="88">
        <f>IF($A43="","",Summary!$Q$11)</f>
        <v>0</v>
      </c>
      <c r="AH42" s="88">
        <f>IF($A43="","",IF(Summary!$R$11="Y",(VLOOKUP($A42,Summary!$AD$6:$AF$9,3)+'Escalating commodity'!G55),'Escalating commodity'!G55))</f>
        <v>5.1571678557489811E-3</v>
      </c>
      <c r="AI42" s="88">
        <f t="shared" si="35"/>
        <v>5.1571678557489811E-3</v>
      </c>
      <c r="AJ42" s="236">
        <f t="shared" si="20"/>
        <v>38031.5</v>
      </c>
      <c r="AK42" s="58">
        <f t="shared" ca="1" si="21"/>
        <v>992</v>
      </c>
      <c r="AL42" s="26">
        <f ca="1">IF($A43="","",_xll.SPRDOPT(P42,X42,AI42,0,AB42,AE42,AF42,AK42,$AJ$2,0))</f>
        <v>0.15638624566413736</v>
      </c>
      <c r="AM42" s="209">
        <f t="shared" si="22"/>
        <v>0.1559633592931679</v>
      </c>
      <c r="AN42" s="89">
        <f t="shared" ca="1" si="23"/>
        <v>4.228863709694608E-4</v>
      </c>
      <c r="AO42" s="3">
        <f t="shared" si="24"/>
        <v>29</v>
      </c>
      <c r="AP42" s="33">
        <f t="shared" si="25"/>
        <v>38018</v>
      </c>
      <c r="AQ42" s="58">
        <f t="shared" ca="1" si="26"/>
        <v>992</v>
      </c>
      <c r="AR42" s="38">
        <f>'ANR OK vs ML7'!AR42</f>
        <v>0.1</v>
      </c>
      <c r="AS42" s="35">
        <f t="shared" ca="1" si="27"/>
        <v>0.76718823100578082</v>
      </c>
      <c r="AT42" s="3">
        <f t="shared" si="28"/>
        <v>1</v>
      </c>
      <c r="AU42" s="3">
        <f t="shared" si="29"/>
        <v>29</v>
      </c>
      <c r="AW42" s="32">
        <f t="shared" ca="1" si="30"/>
        <v>563008.93796788284</v>
      </c>
      <c r="AX42" s="32">
        <f t="shared" si="31"/>
        <v>561486.49713180109</v>
      </c>
      <c r="AY42" s="32">
        <f t="shared" ca="1" si="32"/>
        <v>1522.4408360818334</v>
      </c>
      <c r="BA42" s="32">
        <f ca="1">IF($A43="","",F42*Summary!$Q$11)</f>
        <v>0</v>
      </c>
      <c r="BC42" s="256">
        <f t="shared" ca="1" si="36"/>
        <v>430765.83246817888</v>
      </c>
    </row>
    <row r="43" spans="1:55">
      <c r="A43" s="67">
        <f t="shared" si="33"/>
        <v>38047</v>
      </c>
      <c r="B43" s="69">
        <f t="shared" si="37"/>
        <v>124142</v>
      </c>
      <c r="C43" s="71"/>
      <c r="D43" s="69">
        <f t="shared" si="0"/>
        <v>124142</v>
      </c>
      <c r="E43" s="70">
        <f t="shared" si="1"/>
        <v>3848402</v>
      </c>
      <c r="F43" s="70">
        <f t="shared" ca="1" si="2"/>
        <v>2929662.5639115875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0.52</v>
      </c>
      <c r="K43" s="64">
        <f t="shared" si="6"/>
        <v>0.52</v>
      </c>
      <c r="L43" s="63">
        <f t="shared" si="7"/>
        <v>0</v>
      </c>
      <c r="M43" s="64">
        <f t="shared" si="8"/>
        <v>0</v>
      </c>
      <c r="N43" s="65"/>
      <c r="O43" s="63">
        <f t="shared" si="9"/>
        <v>4.6549999999999994</v>
      </c>
      <c r="P43" s="63">
        <f t="shared" si="10"/>
        <v>4.6549999999999994</v>
      </c>
      <c r="Q43" s="66"/>
      <c r="R43" s="63">
        <f t="shared" si="34"/>
        <v>0.31</v>
      </c>
      <c r="S43" s="64">
        <f t="shared" si="11"/>
        <v>0.31</v>
      </c>
      <c r="T43" s="38">
        <v>0</v>
      </c>
      <c r="U43" s="64">
        <f t="shared" si="12"/>
        <v>0</v>
      </c>
      <c r="V43" s="219">
        <f>IF($A44="","",IF(AND(MONTH(A43)&gt;3,MONTH(A43)&lt;11),(T43+R43+G43)*Summary!$T$11/(1-Summary!$T$11),(T43+R43+G43)*Summary!$U$11/(1-Summary!$U$11)))</f>
        <v>4.7397307334875037E-2</v>
      </c>
      <c r="W43" s="43">
        <f t="shared" si="13"/>
        <v>4.4923973073348744</v>
      </c>
      <c r="X43" s="43">
        <f t="shared" si="14"/>
        <v>4.4923973073348744</v>
      </c>
      <c r="Y43" s="43"/>
      <c r="Z43" s="38">
        <f t="shared" si="15"/>
        <v>0.75</v>
      </c>
      <c r="AA43" s="38">
        <f t="shared" si="16"/>
        <v>0.30299999999999999</v>
      </c>
      <c r="AB43" s="38">
        <f t="shared" ca="1" si="17"/>
        <v>0.31692008898328822</v>
      </c>
      <c r="AC43" s="38">
        <f t="shared" si="18"/>
        <v>0.75</v>
      </c>
      <c r="AD43" s="38">
        <f t="shared" si="18"/>
        <v>0.30299999999999999</v>
      </c>
      <c r="AE43" s="38">
        <f t="shared" ca="1" si="19"/>
        <v>0.31692008898328822</v>
      </c>
      <c r="AF43" s="238">
        <f ca="1">((Summary!$N$11*(AA43*AD43)*(A43-$D$3))+(Summary!$M$11*Z43*AC43*(AJ43-EOMONTH(EDATE(A43,-1),0))))/(AK43*AB43*AE43)</f>
        <v>0.9999085021535572</v>
      </c>
      <c r="AG43" s="88">
        <f>IF($A44="","",Summary!$Q$11)</f>
        <v>0</v>
      </c>
      <c r="AH43" s="88">
        <f>IF($A44="","",IF(Summary!$R$11="Y",(VLOOKUP($A43,Summary!$AD$6:$AF$9,3)+'Escalating commodity'!G56),'Escalating commodity'!G56))</f>
        <v>5.1571678557489811E-3</v>
      </c>
      <c r="AI43" s="88">
        <f t="shared" si="35"/>
        <v>5.1571678557489811E-3</v>
      </c>
      <c r="AJ43" s="236">
        <f t="shared" si="20"/>
        <v>38061.5</v>
      </c>
      <c r="AK43" s="58">
        <f t="shared" ca="1" si="21"/>
        <v>1021</v>
      </c>
      <c r="AL43" s="26">
        <f ca="1">IF($A44="","",_xll.SPRDOPT(P43,X43,AI43,0,AB43,AE43,AF43,AK43,$AJ$2,0))</f>
        <v>0.15776930514311874</v>
      </c>
      <c r="AM43" s="209">
        <f t="shared" si="22"/>
        <v>0.15744552480937596</v>
      </c>
      <c r="AN43" s="89">
        <f t="shared" ca="1" si="23"/>
        <v>3.2378033374277915E-4</v>
      </c>
      <c r="AO43" s="3">
        <f t="shared" si="24"/>
        <v>31</v>
      </c>
      <c r="AP43" s="33">
        <f t="shared" si="25"/>
        <v>38047</v>
      </c>
      <c r="AQ43" s="58">
        <f t="shared" ca="1" si="26"/>
        <v>1021</v>
      </c>
      <c r="AR43" s="38">
        <f>'ANR OK vs ML7'!AR43</f>
        <v>0.1</v>
      </c>
      <c r="AS43" s="35">
        <f t="shared" ca="1" si="27"/>
        <v>0.76126729066027599</v>
      </c>
      <c r="AT43" s="3">
        <f t="shared" si="28"/>
        <v>1</v>
      </c>
      <c r="AU43" s="3">
        <f t="shared" si="29"/>
        <v>31</v>
      </c>
      <c r="AW43" s="32">
        <f t="shared" ca="1" si="30"/>
        <v>607159.70945138845</v>
      </c>
      <c r="AX43" s="32">
        <f t="shared" si="31"/>
        <v>605913.67256745207</v>
      </c>
      <c r="AY43" s="32">
        <f t="shared" ca="1" si="32"/>
        <v>1246.0368839363787</v>
      </c>
      <c r="BA43" s="32">
        <f ca="1">IF($A44="","",F43*Summary!$Q$11)</f>
        <v>0</v>
      </c>
      <c r="BC43" s="256">
        <f t="shared" ca="1" si="36"/>
        <v>461262.25988944183</v>
      </c>
    </row>
    <row r="44" spans="1:55">
      <c r="A44" s="67">
        <f t="shared" si="33"/>
        <v>38078</v>
      </c>
      <c r="B44" s="69">
        <f t="shared" si="37"/>
        <v>124142</v>
      </c>
      <c r="C44" s="71"/>
      <c r="D44" s="69">
        <f t="shared" si="0"/>
        <v>124142</v>
      </c>
      <c r="E44" s="70">
        <f t="shared" si="1"/>
        <v>3724260</v>
      </c>
      <c r="F44" s="70">
        <f t="shared" ca="1" si="2"/>
        <v>2811773.5924532204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0.25</v>
      </c>
      <c r="K44" s="64">
        <f t="shared" si="6"/>
        <v>0.25</v>
      </c>
      <c r="L44" s="63">
        <f t="shared" si="7"/>
        <v>0</v>
      </c>
      <c r="M44" s="64">
        <f t="shared" si="8"/>
        <v>0</v>
      </c>
      <c r="N44" s="65"/>
      <c r="O44" s="63">
        <f t="shared" si="9"/>
        <v>4.21</v>
      </c>
      <c r="P44" s="63">
        <f t="shared" si="10"/>
        <v>4.21</v>
      </c>
      <c r="Q44" s="66"/>
      <c r="R44" s="63">
        <f t="shared" si="34"/>
        <v>0.185</v>
      </c>
      <c r="S44" s="64">
        <f t="shared" si="11"/>
        <v>0.185</v>
      </c>
      <c r="T44" s="38">
        <v>0</v>
      </c>
      <c r="U44" s="64">
        <f t="shared" si="12"/>
        <v>0</v>
      </c>
      <c r="V44" s="219">
        <f>IF($A45="","",IF(AND(MONTH(A44)&gt;3,MONTH(A44)&lt;11),(T44+R44+G44)*Summary!$T$11/(1-Summary!$T$11),(T44+R44+G44)*Summary!$U$11/(1-Summary!$U$11)))</f>
        <v>4.4198388954568513E-2</v>
      </c>
      <c r="W44" s="43">
        <f t="shared" si="13"/>
        <v>4.1891983889545683</v>
      </c>
      <c r="X44" s="43">
        <f t="shared" si="14"/>
        <v>4.1891983889545683</v>
      </c>
      <c r="Y44" s="43"/>
      <c r="Z44" s="38">
        <f t="shared" si="15"/>
        <v>0.45</v>
      </c>
      <c r="AA44" s="38">
        <f t="shared" si="16"/>
        <v>0.28999999999999998</v>
      </c>
      <c r="AB44" s="38">
        <f t="shared" ca="1" si="17"/>
        <v>0.29507168684953172</v>
      </c>
      <c r="AC44" s="38">
        <f t="shared" si="18"/>
        <v>0.45</v>
      </c>
      <c r="AD44" s="38">
        <f t="shared" si="18"/>
        <v>0.28999999999999998</v>
      </c>
      <c r="AE44" s="38">
        <f t="shared" ca="1" si="19"/>
        <v>0.29507168684953172</v>
      </c>
      <c r="AF44" s="238">
        <f ca="1">((Summary!$N$11*(AA44*AD44)*(A44-$D$3))+(Summary!$M$11*Z44*AC44*(AJ44-EOMONTH(EDATE(A44,-1),0))))/(AK44*AB44*AE44)</f>
        <v>0.99990331623629314</v>
      </c>
      <c r="AG44" s="88">
        <f>IF($A45="","",Summary!$Q$11)</f>
        <v>0</v>
      </c>
      <c r="AH44" s="88">
        <f>IF($A45="","",IF(Summary!$R$11="Y",(VLOOKUP($A44,Summary!$AD$6:$AF$9,3)+'Escalating commodity'!G57),'Escalating commodity'!G57))</f>
        <v>5.1571678557489811E-3</v>
      </c>
      <c r="AI44" s="88">
        <f t="shared" si="35"/>
        <v>5.1571678557489811E-3</v>
      </c>
      <c r="AJ44" s="236">
        <f t="shared" si="20"/>
        <v>38092</v>
      </c>
      <c r="AK44" s="58">
        <f t="shared" ca="1" si="21"/>
        <v>1052</v>
      </c>
      <c r="AL44" s="26">
        <f ca="1">IF($A45="","",_xll.SPRDOPT(P44,X44,AI44,0,AB44,AE44,AF44,AK44,$AJ$2,0))</f>
        <v>1.8571067553115723E-2</v>
      </c>
      <c r="AM44" s="209">
        <f t="shared" si="22"/>
        <v>1.5644443189682673E-2</v>
      </c>
      <c r="AN44" s="89">
        <f t="shared" ca="1" si="23"/>
        <v>2.9266243634330502E-3</v>
      </c>
      <c r="AO44" s="3">
        <f t="shared" si="24"/>
        <v>30</v>
      </c>
      <c r="AP44" s="33">
        <f t="shared" si="25"/>
        <v>38078</v>
      </c>
      <c r="AQ44" s="58">
        <f t="shared" ca="1" si="26"/>
        <v>1052</v>
      </c>
      <c r="AR44" s="38">
        <f>'ANR OK vs ML7'!AR44</f>
        <v>0.1</v>
      </c>
      <c r="AS44" s="35">
        <f t="shared" ca="1" si="27"/>
        <v>0.75498853260868481</v>
      </c>
      <c r="AT44" s="3">
        <f t="shared" si="28"/>
        <v>1</v>
      </c>
      <c r="AU44" s="3">
        <f t="shared" si="29"/>
        <v>30</v>
      </c>
      <c r="AW44" s="32">
        <f t="shared" ca="1" si="30"/>
        <v>69163.484045366771</v>
      </c>
      <c r="AX44" s="32">
        <f t="shared" si="31"/>
        <v>58263.973993607593</v>
      </c>
      <c r="AY44" s="32">
        <f t="shared" ca="1" si="32"/>
        <v>10899.510051759171</v>
      </c>
      <c r="BA44" s="32">
        <f ca="1">IF($A45="","",F44*Summary!$Q$11)</f>
        <v>0</v>
      </c>
      <c r="BC44" s="256">
        <f t="shared" ca="1" si="36"/>
        <v>43988.63222938437</v>
      </c>
    </row>
    <row r="45" spans="1:55">
      <c r="A45" s="67">
        <f t="shared" si="33"/>
        <v>38108</v>
      </c>
      <c r="B45" s="69">
        <f t="shared" si="37"/>
        <v>124142</v>
      </c>
      <c r="C45" s="71"/>
      <c r="D45" s="69">
        <f t="shared" si="0"/>
        <v>124142</v>
      </c>
      <c r="E45" s="70">
        <f t="shared" si="1"/>
        <v>3848402</v>
      </c>
      <c r="F45" s="70">
        <f t="shared" ca="1" si="2"/>
        <v>2882305.4211899508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0.25</v>
      </c>
      <c r="K45" s="64">
        <f t="shared" si="6"/>
        <v>0.25</v>
      </c>
      <c r="L45" s="63">
        <f t="shared" si="7"/>
        <v>0</v>
      </c>
      <c r="M45" s="64">
        <f t="shared" si="8"/>
        <v>0</v>
      </c>
      <c r="N45" s="65"/>
      <c r="O45" s="63">
        <f t="shared" si="9"/>
        <v>4.18</v>
      </c>
      <c r="P45" s="63">
        <f t="shared" si="10"/>
        <v>4.18</v>
      </c>
      <c r="Q45" s="66"/>
      <c r="R45" s="63">
        <f t="shared" si="34"/>
        <v>0.185</v>
      </c>
      <c r="S45" s="64">
        <f t="shared" si="11"/>
        <v>0.185</v>
      </c>
      <c r="T45" s="38">
        <v>0</v>
      </c>
      <c r="U45" s="64">
        <f t="shared" si="12"/>
        <v>0</v>
      </c>
      <c r="V45" s="219">
        <f>IF($A46="","",IF(AND(MONTH(A45)&gt;3,MONTH(A45)&lt;11),(T45+R45+G45)*Summary!$T$11/(1-Summary!$T$11),(T45+R45+G45)*Summary!$U$11/(1-Summary!$U$11)))</f>
        <v>4.3878497116537865E-2</v>
      </c>
      <c r="W45" s="43">
        <f t="shared" si="13"/>
        <v>4.1588784971165378</v>
      </c>
      <c r="X45" s="43">
        <f t="shared" si="14"/>
        <v>4.1588784971165378</v>
      </c>
      <c r="Y45" s="43"/>
      <c r="Z45" s="38">
        <f t="shared" si="15"/>
        <v>0.5</v>
      </c>
      <c r="AA45" s="38">
        <f t="shared" si="16"/>
        <v>0.28800000000000003</v>
      </c>
      <c r="AB45" s="38">
        <f t="shared" ca="1" si="17"/>
        <v>0.29428215866652024</v>
      </c>
      <c r="AC45" s="38">
        <f t="shared" si="18"/>
        <v>0.5</v>
      </c>
      <c r="AD45" s="38">
        <f t="shared" si="18"/>
        <v>0.28800000000000003</v>
      </c>
      <c r="AE45" s="38">
        <f t="shared" ca="1" si="19"/>
        <v>0.29428215866652024</v>
      </c>
      <c r="AF45" s="238">
        <f ca="1">((Summary!$N$11*(AA45*AD45)*(A45-$D$3))+(Summary!$M$11*Z45*AC45*(AJ45-EOMONTH(EDATE(A45,-1),0))))/(AK45*AB45*AE45)</f>
        <v>0.99990413539101586</v>
      </c>
      <c r="AG45" s="88">
        <f>IF($A46="","",Summary!$Q$11)</f>
        <v>0</v>
      </c>
      <c r="AH45" s="88">
        <f>IF($A46="","",IF(Summary!$R$11="Y",(VLOOKUP($A45,Summary!$AD$6:$AF$9,3)+'Escalating commodity'!G58),'Escalating commodity'!G58))</f>
        <v>5.1571678557489811E-3</v>
      </c>
      <c r="AI45" s="88">
        <f t="shared" si="35"/>
        <v>5.1571678557489811E-3</v>
      </c>
      <c r="AJ45" s="236">
        <f t="shared" si="20"/>
        <v>38122.5</v>
      </c>
      <c r="AK45" s="58">
        <f t="shared" ca="1" si="21"/>
        <v>1082</v>
      </c>
      <c r="AL45" s="26">
        <f ca="1">IF($A46="","",_xll.SPRDOPT(P45,X45,AI45,0,AB45,AE45,AF45,AK45,$AJ$2,0))</f>
        <v>1.8867857460159686E-2</v>
      </c>
      <c r="AM45" s="209">
        <f t="shared" si="22"/>
        <v>1.5964335027712946E-2</v>
      </c>
      <c r="AN45" s="89">
        <f t="shared" ca="1" si="23"/>
        <v>2.9035224324467403E-3</v>
      </c>
      <c r="AO45" s="3">
        <f t="shared" si="24"/>
        <v>31</v>
      </c>
      <c r="AP45" s="33">
        <f t="shared" si="25"/>
        <v>38108</v>
      </c>
      <c r="AQ45" s="58">
        <f t="shared" ca="1" si="26"/>
        <v>1082</v>
      </c>
      <c r="AR45" s="38">
        <f>'ANR OK vs ML7'!AR45</f>
        <v>0.1</v>
      </c>
      <c r="AS45" s="35">
        <f t="shared" ca="1" si="27"/>
        <v>0.74896162645948916</v>
      </c>
      <c r="AT45" s="3">
        <f t="shared" si="28"/>
        <v>1</v>
      </c>
      <c r="AU45" s="3">
        <f t="shared" si="29"/>
        <v>31</v>
      </c>
      <c r="AW45" s="32">
        <f t="shared" ca="1" si="30"/>
        <v>72611.100385393453</v>
      </c>
      <c r="AX45" s="32">
        <f t="shared" si="31"/>
        <v>61437.17884932056</v>
      </c>
      <c r="AY45" s="32">
        <f t="shared" ca="1" si="32"/>
        <v>11173.921536072899</v>
      </c>
      <c r="BA45" s="32">
        <f ca="1">IF($A46="","",F45*Summary!$Q$11)</f>
        <v>0</v>
      </c>
      <c r="BC45" s="256">
        <f t="shared" ca="1" si="36"/>
        <v>46014.089396069649</v>
      </c>
    </row>
    <row r="46" spans="1:55">
      <c r="A46" s="67">
        <f t="shared" si="33"/>
        <v>38139</v>
      </c>
      <c r="B46" s="69">
        <f t="shared" si="37"/>
        <v>124142</v>
      </c>
      <c r="C46" s="71"/>
      <c r="D46" s="69">
        <f t="shared" si="0"/>
        <v>124142</v>
      </c>
      <c r="E46" s="70">
        <f t="shared" si="1"/>
        <v>3724260</v>
      </c>
      <c r="F46" s="70">
        <f t="shared" ca="1" si="2"/>
        <v>2766322.0906458092</v>
      </c>
      <c r="G46" s="63">
        <f t="shared" si="3"/>
        <v>4</v>
      </c>
      <c r="H46" s="64">
        <f t="shared" si="4"/>
        <v>4</v>
      </c>
      <c r="I46" s="43"/>
      <c r="J46" s="63">
        <f t="shared" si="5"/>
        <v>0.25</v>
      </c>
      <c r="K46" s="64">
        <f t="shared" si="6"/>
        <v>0.25</v>
      </c>
      <c r="L46" s="63">
        <f t="shared" si="7"/>
        <v>0</v>
      </c>
      <c r="M46" s="64">
        <f t="shared" si="8"/>
        <v>0</v>
      </c>
      <c r="N46" s="65"/>
      <c r="O46" s="63">
        <f t="shared" si="9"/>
        <v>4.25</v>
      </c>
      <c r="P46" s="63">
        <f t="shared" si="10"/>
        <v>4.25</v>
      </c>
      <c r="Q46" s="66"/>
      <c r="R46" s="63">
        <f t="shared" si="34"/>
        <v>0.185</v>
      </c>
      <c r="S46" s="64">
        <f t="shared" si="11"/>
        <v>0.185</v>
      </c>
      <c r="T46" s="38">
        <v>0</v>
      </c>
      <c r="U46" s="64">
        <f t="shared" si="12"/>
        <v>0</v>
      </c>
      <c r="V46" s="219">
        <f>IF($A47="","",IF(AND(MONTH(A46)&gt;3,MONTH(A46)&lt;11),(T46+R46+G46)*Summary!$T$11/(1-Summary!$T$11),(T46+R46+G46)*Summary!$U$11/(1-Summary!$U$11)))</f>
        <v>4.4624911405276045E-2</v>
      </c>
      <c r="W46" s="43">
        <f t="shared" si="13"/>
        <v>4.229624911405276</v>
      </c>
      <c r="X46" s="43">
        <f t="shared" si="14"/>
        <v>4.229624911405276</v>
      </c>
      <c r="Y46" s="43"/>
      <c r="Z46" s="38">
        <f t="shared" si="15"/>
        <v>0.5</v>
      </c>
      <c r="AA46" s="38">
        <f t="shared" si="16"/>
        <v>0.28800000000000003</v>
      </c>
      <c r="AB46" s="38">
        <f t="shared" ca="1" si="17"/>
        <v>0.2939180075263304</v>
      </c>
      <c r="AC46" s="38">
        <f t="shared" si="18"/>
        <v>0.5</v>
      </c>
      <c r="AD46" s="38">
        <f t="shared" si="18"/>
        <v>0.28800000000000003</v>
      </c>
      <c r="AE46" s="38">
        <f t="shared" ca="1" si="19"/>
        <v>0.2939180075263304</v>
      </c>
      <c r="AF46" s="238">
        <f ca="1">((Summary!$N$11*(AA46*AD46)*(A46-$D$3))+(Summary!$M$11*Z46*AC46*(AJ46-EOMONTH(EDATE(A46,-1),0))))/(AK46*AB46*AE46)</f>
        <v>0.99990390017158226</v>
      </c>
      <c r="AG46" s="88">
        <f>IF($A47="","",Summary!$Q$11)</f>
        <v>0</v>
      </c>
      <c r="AH46" s="88">
        <f>IF($A47="","",IF(Summary!$R$11="Y",(VLOOKUP($A46,Summary!$AD$6:$AF$9,3)+'Escalating commodity'!G59),'Escalating commodity'!G59))</f>
        <v>5.1571678557489811E-3</v>
      </c>
      <c r="AI46" s="88">
        <f t="shared" si="35"/>
        <v>5.1571678557489811E-3</v>
      </c>
      <c r="AJ46" s="236">
        <f t="shared" si="20"/>
        <v>38153</v>
      </c>
      <c r="AK46" s="58">
        <f t="shared" ca="1" si="21"/>
        <v>1113</v>
      </c>
      <c r="AL46" s="26">
        <f ca="1">IF($A47="","",_xll.SPRDOPT(P46,X46,AI46,0,AB46,AE46,AF46,AK46,$AJ$2,0))</f>
        <v>1.8268628993863622E-2</v>
      </c>
      <c r="AM46" s="209">
        <f t="shared" si="22"/>
        <v>1.5217920738975052E-2</v>
      </c>
      <c r="AN46" s="89">
        <f t="shared" ca="1" si="23"/>
        <v>3.0507082548885695E-3</v>
      </c>
      <c r="AO46" s="3">
        <f t="shared" si="24"/>
        <v>30</v>
      </c>
      <c r="AP46" s="33">
        <f t="shared" si="25"/>
        <v>38139</v>
      </c>
      <c r="AQ46" s="58">
        <f t="shared" ca="1" si="26"/>
        <v>1113</v>
      </c>
      <c r="AR46" s="38">
        <f>'ANR OK vs ML7'!AR46</f>
        <v>0.1</v>
      </c>
      <c r="AS46" s="35">
        <f t="shared" ca="1" si="27"/>
        <v>0.742784362704486</v>
      </c>
      <c r="AT46" s="3">
        <f t="shared" si="28"/>
        <v>1</v>
      </c>
      <c r="AU46" s="3">
        <f t="shared" si="29"/>
        <v>30</v>
      </c>
      <c r="AW46" s="32">
        <f t="shared" ca="1" si="30"/>
        <v>68037.124216686527</v>
      </c>
      <c r="AX46" s="32">
        <f t="shared" si="31"/>
        <v>56675.493491335226</v>
      </c>
      <c r="AY46" s="32">
        <f t="shared" ca="1" si="32"/>
        <v>11361.630725351304</v>
      </c>
      <c r="BA46" s="32">
        <f ca="1">IF($A47="","",F46*Summary!$Q$11)</f>
        <v>0</v>
      </c>
      <c r="BC46" s="256">
        <f t="shared" ca="1" si="36"/>
        <v>42097.670313923685</v>
      </c>
    </row>
    <row r="47" spans="1:55">
      <c r="A47" s="67">
        <f t="shared" si="33"/>
        <v>38169</v>
      </c>
      <c r="B47" s="69">
        <f t="shared" si="37"/>
        <v>124142</v>
      </c>
      <c r="C47" s="71"/>
      <c r="D47" s="69">
        <f t="shared" si="0"/>
        <v>124142</v>
      </c>
      <c r="E47" s="70">
        <f t="shared" si="1"/>
        <v>3848402</v>
      </c>
      <c r="F47" s="70">
        <f t="shared" ca="1" si="2"/>
        <v>2835713.7928979918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0.25</v>
      </c>
      <c r="K47" s="64">
        <f t="shared" si="6"/>
        <v>0.25</v>
      </c>
      <c r="L47" s="63">
        <f t="shared" si="7"/>
        <v>0</v>
      </c>
      <c r="M47" s="64">
        <f t="shared" si="8"/>
        <v>0</v>
      </c>
      <c r="N47" s="65"/>
      <c r="O47" s="63">
        <f t="shared" si="9"/>
        <v>4.3049999999999997</v>
      </c>
      <c r="P47" s="63">
        <f t="shared" si="10"/>
        <v>4.3049999999999997</v>
      </c>
      <c r="Q47" s="66"/>
      <c r="R47" s="63">
        <f t="shared" si="34"/>
        <v>0.185</v>
      </c>
      <c r="S47" s="64">
        <f t="shared" si="11"/>
        <v>0.185</v>
      </c>
      <c r="T47" s="38">
        <v>0</v>
      </c>
      <c r="U47" s="64">
        <f t="shared" si="12"/>
        <v>0</v>
      </c>
      <c r="V47" s="219">
        <f>IF($A48="","",IF(AND(MONTH(A47)&gt;3,MONTH(A47)&lt;11),(T47+R47+G47)*Summary!$T$11/(1-Summary!$T$11),(T47+R47+G47)*Summary!$U$11/(1-Summary!$U$11)))</f>
        <v>4.5211379774998901E-2</v>
      </c>
      <c r="W47" s="43">
        <f t="shared" si="13"/>
        <v>4.2852113797749984</v>
      </c>
      <c r="X47" s="43">
        <f t="shared" si="14"/>
        <v>4.2852113797749984</v>
      </c>
      <c r="Y47" s="43"/>
      <c r="Z47" s="38">
        <f t="shared" si="15"/>
        <v>0.55000000000000004</v>
      </c>
      <c r="AA47" s="38">
        <f t="shared" si="16"/>
        <v>0.28800000000000003</v>
      </c>
      <c r="AB47" s="38">
        <f t="shared" ca="1" si="17"/>
        <v>0.29515878847020399</v>
      </c>
      <c r="AC47" s="38">
        <f t="shared" si="18"/>
        <v>0.55000000000000004</v>
      </c>
      <c r="AD47" s="38">
        <f t="shared" si="18"/>
        <v>0.28800000000000003</v>
      </c>
      <c r="AE47" s="38">
        <f t="shared" ca="1" si="19"/>
        <v>0.29515878847020399</v>
      </c>
      <c r="AF47" s="238">
        <f ca="1">((Summary!$N$11*(AA47*AD47)*(A47-$D$3))+(Summary!$M$11*Z47*AC47*(AJ47-EOMONTH(EDATE(A47,-1),0))))/(AK47*AB47*AE47)</f>
        <v>0.99990470868251213</v>
      </c>
      <c r="AG47" s="88">
        <f>IF($A48="","",Summary!$Q$11)</f>
        <v>0</v>
      </c>
      <c r="AH47" s="88">
        <f>IF($A48="","",IF(Summary!$R$11="Y",(VLOOKUP($A47,Summary!$AD$6:$AF$9,3)+'Escalating commodity'!G60),'Escalating commodity'!G60))</f>
        <v>5.1571678557489811E-3</v>
      </c>
      <c r="AI47" s="88">
        <f t="shared" si="35"/>
        <v>5.1571678557489811E-3</v>
      </c>
      <c r="AJ47" s="236">
        <f t="shared" si="20"/>
        <v>38183.5</v>
      </c>
      <c r="AK47" s="58">
        <f t="shared" ca="1" si="21"/>
        <v>1143</v>
      </c>
      <c r="AL47" s="26">
        <f ca="1">IF($A48="","",_xll.SPRDOPT(P47,X47,AI47,0,AB47,AE47,AF47,AK47,$AJ$2,0))</f>
        <v>1.779644274881996E-2</v>
      </c>
      <c r="AM47" s="209">
        <f t="shared" si="22"/>
        <v>1.4631452369252293E-2</v>
      </c>
      <c r="AN47" s="89">
        <f t="shared" ca="1" si="23"/>
        <v>3.1649903795676667E-3</v>
      </c>
      <c r="AO47" s="3">
        <f t="shared" si="24"/>
        <v>31</v>
      </c>
      <c r="AP47" s="33">
        <f t="shared" si="25"/>
        <v>38169</v>
      </c>
      <c r="AQ47" s="58">
        <f t="shared" ca="1" si="26"/>
        <v>1143</v>
      </c>
      <c r="AR47" s="38">
        <f>'ANR OK vs ML7'!AR47</f>
        <v>0.1</v>
      </c>
      <c r="AS47" s="35">
        <f t="shared" ca="1" si="27"/>
        <v>0.73685487973917274</v>
      </c>
      <c r="AT47" s="3">
        <f t="shared" si="28"/>
        <v>1</v>
      </c>
      <c r="AU47" s="3">
        <f t="shared" si="29"/>
        <v>31</v>
      </c>
      <c r="AW47" s="32">
        <f t="shared" ca="1" si="30"/>
        <v>68487.865867444227</v>
      </c>
      <c r="AX47" s="32">
        <f t="shared" si="31"/>
        <v>56307.710560735264</v>
      </c>
      <c r="AY47" s="32">
        <f t="shared" ca="1" si="32"/>
        <v>12180.155306708968</v>
      </c>
      <c r="BA47" s="32">
        <f ca="1">IF($A48="","",F47*Summary!$Q$11)</f>
        <v>0</v>
      </c>
      <c r="BC47" s="256">
        <f t="shared" ca="1" si="36"/>
        <v>41490.611293618727</v>
      </c>
    </row>
    <row r="48" spans="1:55">
      <c r="A48" s="67">
        <f t="shared" si="33"/>
        <v>38200</v>
      </c>
      <c r="B48" s="69">
        <f t="shared" si="37"/>
        <v>124142</v>
      </c>
      <c r="C48" s="71"/>
      <c r="D48" s="69">
        <f t="shared" si="0"/>
        <v>124142</v>
      </c>
      <c r="E48" s="70">
        <f t="shared" si="1"/>
        <v>3848402</v>
      </c>
      <c r="F48" s="70">
        <f t="shared" ca="1" si="2"/>
        <v>2812325.4757752069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0.25</v>
      </c>
      <c r="K48" s="64">
        <f t="shared" si="6"/>
        <v>0.25</v>
      </c>
      <c r="L48" s="63">
        <f t="shared" si="7"/>
        <v>0</v>
      </c>
      <c r="M48" s="64">
        <f t="shared" si="8"/>
        <v>0</v>
      </c>
      <c r="N48" s="65"/>
      <c r="O48" s="63">
        <f t="shared" si="9"/>
        <v>4.3609999999999998</v>
      </c>
      <c r="P48" s="63">
        <f t="shared" si="10"/>
        <v>4.3609999999999998</v>
      </c>
      <c r="Q48" s="66"/>
      <c r="R48" s="63">
        <f t="shared" si="34"/>
        <v>0.185</v>
      </c>
      <c r="S48" s="64">
        <f t="shared" si="11"/>
        <v>0.185</v>
      </c>
      <c r="T48" s="38">
        <v>0</v>
      </c>
      <c r="U48" s="64">
        <f t="shared" si="12"/>
        <v>0</v>
      </c>
      <c r="V48" s="219">
        <f>IF($A49="","",IF(AND(MONTH(A48)&gt;3,MONTH(A48)&lt;11),(T48+R48+G48)*Summary!$T$11/(1-Summary!$T$11),(T48+R48+G48)*Summary!$U$11/(1-Summary!$U$11)))</f>
        <v>4.5808511205989458E-2</v>
      </c>
      <c r="W48" s="43">
        <f t="shared" si="13"/>
        <v>4.341808511205989</v>
      </c>
      <c r="X48" s="43">
        <f t="shared" si="14"/>
        <v>4.341808511205989</v>
      </c>
      <c r="Y48" s="43"/>
      <c r="Z48" s="38">
        <f t="shared" si="15"/>
        <v>0.6</v>
      </c>
      <c r="AA48" s="38">
        <f t="shared" si="16"/>
        <v>0.28800000000000003</v>
      </c>
      <c r="AB48" s="38">
        <f t="shared" ca="1" si="17"/>
        <v>0.2962560244573218</v>
      </c>
      <c r="AC48" s="38">
        <f t="shared" si="18"/>
        <v>0.6</v>
      </c>
      <c r="AD48" s="38">
        <f t="shared" si="18"/>
        <v>0.28800000000000003</v>
      </c>
      <c r="AE48" s="38">
        <f t="shared" ca="1" si="19"/>
        <v>0.2962560244573218</v>
      </c>
      <c r="AF48" s="238">
        <f ca="1">((Summary!$N$11*(AA48*AD48)*(A48-$D$3))+(Summary!$M$11*Z48*AC48*(AJ48-EOMONTH(EDATE(A48,-1),0))))/(AK48*AB48*AE48)</f>
        <v>0.99990541541471611</v>
      </c>
      <c r="AG48" s="88">
        <f>IF($A49="","",Summary!$Q$11)</f>
        <v>0</v>
      </c>
      <c r="AH48" s="88">
        <f>IF($A49="","",IF(Summary!$R$11="Y",(VLOOKUP($A48,Summary!$AD$6:$AF$9,3)+'Escalating commodity'!G61),'Escalating commodity'!G61))</f>
        <v>5.1571678557489811E-3</v>
      </c>
      <c r="AI48" s="88">
        <f t="shared" si="35"/>
        <v>5.1571678557489811E-3</v>
      </c>
      <c r="AJ48" s="236">
        <f t="shared" si="20"/>
        <v>38214.5</v>
      </c>
      <c r="AK48" s="58">
        <f t="shared" ca="1" si="21"/>
        <v>1174</v>
      </c>
      <c r="AL48" s="26">
        <f ca="1">IF($A49="","",_xll.SPRDOPT(P48,X48,AI48,0,AB48,AE48,AF48,AK48,$AJ$2,0))</f>
        <v>1.7318271689536778E-2</v>
      </c>
      <c r="AM48" s="209">
        <f t="shared" si="22"/>
        <v>1.4034320938261799E-2</v>
      </c>
      <c r="AN48" s="89">
        <f t="shared" ca="1" si="23"/>
        <v>3.2839507512749787E-3</v>
      </c>
      <c r="AO48" s="3">
        <f t="shared" si="24"/>
        <v>31</v>
      </c>
      <c r="AP48" s="33">
        <f t="shared" si="25"/>
        <v>38200</v>
      </c>
      <c r="AQ48" s="58">
        <f t="shared" ca="1" si="26"/>
        <v>1174</v>
      </c>
      <c r="AR48" s="38">
        <f>'ANR OK vs ML7'!AR48</f>
        <v>0.1</v>
      </c>
      <c r="AS48" s="35">
        <f t="shared" ca="1" si="27"/>
        <v>0.73077746965499102</v>
      </c>
      <c r="AT48" s="3">
        <f t="shared" si="28"/>
        <v>1</v>
      </c>
      <c r="AU48" s="3">
        <f t="shared" si="29"/>
        <v>31</v>
      </c>
      <c r="AW48" s="32">
        <f t="shared" ca="1" si="30"/>
        <v>66647.671406556721</v>
      </c>
      <c r="AX48" s="32">
        <f t="shared" si="31"/>
        <v>54009.708767448588</v>
      </c>
      <c r="AY48" s="32">
        <f t="shared" ca="1" si="32"/>
        <v>12637.962639108131</v>
      </c>
      <c r="BA48" s="32">
        <f ca="1">IF($A49="","",F48*Summary!$Q$11)</f>
        <v>0</v>
      </c>
      <c r="BC48" s="256">
        <f t="shared" ca="1" si="36"/>
        <v>39469.078309879063</v>
      </c>
    </row>
    <row r="49" spans="1:55">
      <c r="A49" s="67">
        <f t="shared" si="33"/>
        <v>38231</v>
      </c>
      <c r="B49" s="69">
        <f t="shared" si="37"/>
        <v>124142</v>
      </c>
      <c r="C49" s="71"/>
      <c r="D49" s="69">
        <f t="shared" si="0"/>
        <v>124142</v>
      </c>
      <c r="E49" s="70">
        <f t="shared" si="1"/>
        <v>3724260</v>
      </c>
      <c r="F49" s="70">
        <f t="shared" ca="1" si="2"/>
        <v>2699158.1227054945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0.25</v>
      </c>
      <c r="K49" s="64">
        <f t="shared" si="6"/>
        <v>0.25</v>
      </c>
      <c r="L49" s="63">
        <f t="shared" si="7"/>
        <v>0</v>
      </c>
      <c r="M49" s="64">
        <f t="shared" si="8"/>
        <v>0</v>
      </c>
      <c r="N49" s="65"/>
      <c r="O49" s="63">
        <f t="shared" si="9"/>
        <v>4.375</v>
      </c>
      <c r="P49" s="63">
        <f t="shared" si="10"/>
        <v>4.375</v>
      </c>
      <c r="Q49" s="66"/>
      <c r="R49" s="63">
        <f t="shared" si="34"/>
        <v>0.185</v>
      </c>
      <c r="S49" s="64">
        <f t="shared" si="11"/>
        <v>0.185</v>
      </c>
      <c r="T49" s="38">
        <v>0</v>
      </c>
      <c r="U49" s="64">
        <f t="shared" si="12"/>
        <v>0</v>
      </c>
      <c r="V49" s="219">
        <f>IF($A50="","",IF(AND(MONTH(A49)&gt;3,MONTH(A49)&lt;11),(T49+R49+G49)*Summary!$T$11/(1-Summary!$T$11),(T49+R49+G49)*Summary!$U$11/(1-Summary!$U$11)))</f>
        <v>4.5957794063737102E-2</v>
      </c>
      <c r="W49" s="43">
        <f t="shared" si="13"/>
        <v>4.3559577940637366</v>
      </c>
      <c r="X49" s="43">
        <f t="shared" si="14"/>
        <v>4.3559577940637366</v>
      </c>
      <c r="Y49" s="43"/>
      <c r="Z49" s="38">
        <f t="shared" si="15"/>
        <v>0.6</v>
      </c>
      <c r="AA49" s="38">
        <f t="shared" si="16"/>
        <v>0.28800000000000003</v>
      </c>
      <c r="AB49" s="38">
        <f t="shared" ca="1" si="17"/>
        <v>0.29579411927191968</v>
      </c>
      <c r="AC49" s="38">
        <f t="shared" si="18"/>
        <v>0.6</v>
      </c>
      <c r="AD49" s="38">
        <f t="shared" si="18"/>
        <v>0.28800000000000003</v>
      </c>
      <c r="AE49" s="38">
        <f t="shared" ca="1" si="19"/>
        <v>0.29579411927191968</v>
      </c>
      <c r="AF49" s="238">
        <f ca="1">((Summary!$N$11*(AA49*AD49)*(A49-$D$3))+(Summary!$M$11*Z49*AC49*(AJ49-EOMONTH(EDATE(A49,-1),0))))/(AK49*AB49*AE49)</f>
        <v>0.99990512185927605</v>
      </c>
      <c r="AG49" s="88">
        <f>IF($A50="","",Summary!$Q$11)</f>
        <v>0</v>
      </c>
      <c r="AH49" s="88">
        <f>IF($A50="","",IF(Summary!$R$11="Y",(VLOOKUP($A49,Summary!$AD$6:$AF$9,3)+'Escalating commodity'!G62),'Escalating commodity'!G62))</f>
        <v>5.1571678557489811E-3</v>
      </c>
      <c r="AI49" s="88">
        <f t="shared" si="35"/>
        <v>5.1571678557489811E-3</v>
      </c>
      <c r="AJ49" s="236">
        <f t="shared" si="20"/>
        <v>38245</v>
      </c>
      <c r="AK49" s="58">
        <f t="shared" ca="1" si="21"/>
        <v>1205</v>
      </c>
      <c r="AL49" s="26">
        <f ca="1">IF($A50="","",_xll.SPRDOPT(P49,X49,AI49,0,AB49,AE49,AF49,AK49,$AJ$2,0))</f>
        <v>1.7244105216116259E-2</v>
      </c>
      <c r="AM49" s="209">
        <f t="shared" si="22"/>
        <v>1.3885038080514398E-2</v>
      </c>
      <c r="AN49" s="89">
        <f t="shared" ca="1" si="23"/>
        <v>3.3590671356018616E-3</v>
      </c>
      <c r="AO49" s="3">
        <f t="shared" si="24"/>
        <v>30</v>
      </c>
      <c r="AP49" s="33">
        <f t="shared" si="25"/>
        <v>38231</v>
      </c>
      <c r="AQ49" s="58">
        <f t="shared" ca="1" si="26"/>
        <v>1205</v>
      </c>
      <c r="AR49" s="38">
        <f>'ANR OK vs ML7'!AR49</f>
        <v>0.1</v>
      </c>
      <c r="AS49" s="35">
        <f t="shared" ca="1" si="27"/>
        <v>0.72475018465560792</v>
      </c>
      <c r="AT49" s="3">
        <f t="shared" si="28"/>
        <v>1</v>
      </c>
      <c r="AU49" s="3">
        <f t="shared" si="29"/>
        <v>30</v>
      </c>
      <c r="AW49" s="32">
        <f t="shared" ca="1" si="30"/>
        <v>64221.531292173138</v>
      </c>
      <c r="AX49" s="32">
        <f t="shared" si="31"/>
        <v>51711.491921736553</v>
      </c>
      <c r="AY49" s="32">
        <f t="shared" ca="1" si="32"/>
        <v>12510.039370436589</v>
      </c>
      <c r="BA49" s="32">
        <f ca="1">IF($A50="","",F49*Summary!$Q$11)</f>
        <v>0</v>
      </c>
      <c r="BC49" s="256">
        <f t="shared" ca="1" si="36"/>
        <v>37477.913319095547</v>
      </c>
    </row>
    <row r="50" spans="1:55">
      <c r="A50" s="67">
        <f t="shared" si="33"/>
        <v>38261</v>
      </c>
      <c r="B50" s="69">
        <f t="shared" si="37"/>
        <v>124142</v>
      </c>
      <c r="C50" s="71"/>
      <c r="D50" s="69">
        <f t="shared" si="0"/>
        <v>124142</v>
      </c>
      <c r="E50" s="70">
        <f t="shared" si="1"/>
        <v>3848402</v>
      </c>
      <c r="F50" s="70">
        <f t="shared" ca="1" si="2"/>
        <v>2766865.0529345102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0.25</v>
      </c>
      <c r="K50" s="64">
        <f t="shared" si="6"/>
        <v>0.25</v>
      </c>
      <c r="L50" s="63">
        <f t="shared" si="7"/>
        <v>0</v>
      </c>
      <c r="M50" s="64">
        <f t="shared" si="8"/>
        <v>0</v>
      </c>
      <c r="N50" s="65"/>
      <c r="O50" s="63">
        <f t="shared" si="9"/>
        <v>4.4060000000000006</v>
      </c>
      <c r="P50" s="63">
        <f t="shared" si="10"/>
        <v>4.4060000000000006</v>
      </c>
      <c r="Q50" s="66"/>
      <c r="R50" s="63">
        <f t="shared" si="34"/>
        <v>0.185</v>
      </c>
      <c r="S50" s="64">
        <f t="shared" si="11"/>
        <v>0.185</v>
      </c>
      <c r="T50" s="38">
        <v>0</v>
      </c>
      <c r="U50" s="64">
        <f t="shared" si="12"/>
        <v>0</v>
      </c>
      <c r="V50" s="219">
        <f>IF($A51="","",IF(AND(MONTH(A50)&gt;3,MONTH(A50)&lt;11),(T50+R50+G50)*Summary!$T$11/(1-Summary!$T$11),(T50+R50+G50)*Summary!$U$11/(1-Summary!$U$11)))</f>
        <v>4.628834896303545E-2</v>
      </c>
      <c r="W50" s="43">
        <f t="shared" si="13"/>
        <v>4.3872883489630352</v>
      </c>
      <c r="X50" s="43">
        <f t="shared" si="14"/>
        <v>4.3872883489630352</v>
      </c>
      <c r="Y50" s="43"/>
      <c r="Z50" s="38">
        <f t="shared" si="15"/>
        <v>0.65</v>
      </c>
      <c r="AA50" s="38">
        <f t="shared" si="16"/>
        <v>0.28800000000000003</v>
      </c>
      <c r="AB50" s="38">
        <f t="shared" ca="1" si="17"/>
        <v>0.29717636634253175</v>
      </c>
      <c r="AC50" s="38">
        <f t="shared" si="18"/>
        <v>0.65</v>
      </c>
      <c r="AD50" s="38">
        <f t="shared" si="18"/>
        <v>0.28800000000000003</v>
      </c>
      <c r="AE50" s="38">
        <f t="shared" ca="1" si="19"/>
        <v>0.29717636634253175</v>
      </c>
      <c r="AF50" s="238">
        <f ca="1">((Summary!$N$11*(AA50*AD50)*(A50-$D$3))+(Summary!$M$11*Z50*AC50*(AJ50-EOMONTH(EDATE(A50,-1),0))))/(AK50*AB50*AE50)</f>
        <v>0.99990600430738608</v>
      </c>
      <c r="AG50" s="88">
        <f>IF($A51="","",Summary!$Q$11)</f>
        <v>0</v>
      </c>
      <c r="AH50" s="88">
        <f>IF($A51="","",IF(Summary!$R$11="Y",(VLOOKUP($A50,Summary!$AD$6:$AF$9,3)+'Escalating commodity'!G63),'Escalating commodity'!G63))</f>
        <v>5.1571678557489811E-3</v>
      </c>
      <c r="AI50" s="88">
        <f t="shared" si="35"/>
        <v>5.1571678557489811E-3</v>
      </c>
      <c r="AJ50" s="236">
        <f t="shared" si="20"/>
        <v>38275.5</v>
      </c>
      <c r="AK50" s="58">
        <f t="shared" ca="1" si="21"/>
        <v>1235</v>
      </c>
      <c r="AL50" s="26">
        <f ca="1">IF($A51="","",_xll.SPRDOPT(P50,X50,AI50,0,AB50,AE50,AF50,AK50,$AJ$2,0))</f>
        <v>1.6994655553716376E-2</v>
      </c>
      <c r="AM50" s="209">
        <f t="shared" si="22"/>
        <v>1.355448318121639E-2</v>
      </c>
      <c r="AN50" s="89">
        <f t="shared" ca="1" si="23"/>
        <v>3.4401723724999857E-3</v>
      </c>
      <c r="AO50" s="3">
        <f t="shared" si="24"/>
        <v>31</v>
      </c>
      <c r="AP50" s="33">
        <f t="shared" si="25"/>
        <v>38261</v>
      </c>
      <c r="AQ50" s="58">
        <f t="shared" ca="1" si="26"/>
        <v>1235</v>
      </c>
      <c r="AR50" s="38">
        <f>'ANR OK vs ML7'!AR50</f>
        <v>0.1</v>
      </c>
      <c r="AS50" s="35">
        <f t="shared" ca="1" si="27"/>
        <v>0.71896466453725727</v>
      </c>
      <c r="AT50" s="3">
        <f t="shared" si="28"/>
        <v>1</v>
      </c>
      <c r="AU50" s="3">
        <f t="shared" si="29"/>
        <v>31</v>
      </c>
      <c r="AW50" s="32">
        <f t="shared" ca="1" si="30"/>
        <v>65402.26642223321</v>
      </c>
      <c r="AX50" s="32">
        <f t="shared" si="31"/>
        <v>52163.100183559516</v>
      </c>
      <c r="AY50" s="32">
        <f t="shared" ca="1" si="32"/>
        <v>13239.16623867369</v>
      </c>
      <c r="BA50" s="32">
        <f ca="1">IF($A51="","",F50*Summary!$Q$11)</f>
        <v>0</v>
      </c>
      <c r="BC50" s="256">
        <f t="shared" ca="1" si="36"/>
        <v>37503.425824696213</v>
      </c>
    </row>
    <row r="51" spans="1:55">
      <c r="A51" s="67">
        <f t="shared" si="33"/>
        <v>38292</v>
      </c>
      <c r="B51" s="69">
        <f t="shared" si="37"/>
        <v>124142</v>
      </c>
      <c r="C51" s="71"/>
      <c r="D51" s="69">
        <f t="shared" si="0"/>
        <v>124142</v>
      </c>
      <c r="E51" s="70">
        <f t="shared" si="1"/>
        <v>3724260</v>
      </c>
      <c r="F51" s="70">
        <f t="shared" ca="1" si="2"/>
        <v>2655527.0171919088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0.51</v>
      </c>
      <c r="K51" s="64">
        <f t="shared" si="6"/>
        <v>0.51</v>
      </c>
      <c r="L51" s="63">
        <f t="shared" si="7"/>
        <v>0</v>
      </c>
      <c r="M51" s="64">
        <f t="shared" si="8"/>
        <v>0</v>
      </c>
      <c r="N51" s="65"/>
      <c r="O51" s="63">
        <f t="shared" si="9"/>
        <v>4.7990000000000004</v>
      </c>
      <c r="P51" s="63">
        <f t="shared" si="10"/>
        <v>4.7990000000000004</v>
      </c>
      <c r="Q51" s="66"/>
      <c r="R51" s="63">
        <f t="shared" si="34"/>
        <v>0.3</v>
      </c>
      <c r="S51" s="64">
        <f t="shared" si="11"/>
        <v>0.3</v>
      </c>
      <c r="T51" s="38">
        <v>0</v>
      </c>
      <c r="U51" s="64">
        <f t="shared" si="12"/>
        <v>0</v>
      </c>
      <c r="V51" s="219">
        <f>IF($A52="","",IF(AND(MONTH(A51)&gt;3,MONTH(A51)&lt;11),(T51+R51+G51)*Summary!$T$11/(1-Summary!$T$11),(T51+R51+G51)*Summary!$U$11/(1-Summary!$U$11)))</f>
        <v>4.8932788157422177E-2</v>
      </c>
      <c r="W51" s="43">
        <f t="shared" si="13"/>
        <v>4.6379327881574222</v>
      </c>
      <c r="X51" s="43">
        <f t="shared" si="14"/>
        <v>4.6379327881574222</v>
      </c>
      <c r="Y51" s="43"/>
      <c r="Z51" s="38">
        <f t="shared" si="15"/>
        <v>0.8</v>
      </c>
      <c r="AA51" s="38">
        <f t="shared" si="16"/>
        <v>0.28800000000000003</v>
      </c>
      <c r="AB51" s="38">
        <f t="shared" ca="1" si="17"/>
        <v>0.30098580527377589</v>
      </c>
      <c r="AC51" s="38">
        <f t="shared" si="18"/>
        <v>0.8</v>
      </c>
      <c r="AD51" s="38">
        <f t="shared" si="18"/>
        <v>0.28800000000000003</v>
      </c>
      <c r="AE51" s="38">
        <f t="shared" ca="1" si="19"/>
        <v>0.30098580527377589</v>
      </c>
      <c r="AF51" s="238">
        <f ca="1">((Summary!$N$11*(AA51*AD51)*(A51-$D$3))+(Summary!$M$11*Z51*AC51*(AJ51-EOMONTH(EDATE(A51,-1),0))))/(AK51*AB51*AE51)</f>
        <v>0.99990837038624325</v>
      </c>
      <c r="AG51" s="88">
        <f>IF($A52="","",Summary!$Q$11)</f>
        <v>0</v>
      </c>
      <c r="AH51" s="88">
        <f>IF($A52="","",IF(Summary!$R$11="Y",(VLOOKUP($A51,Summary!$AD$6:$AF$9,3)+'Escalating commodity'!G64),'Escalating commodity'!G64))</f>
        <v>5.1571678557489811E-3</v>
      </c>
      <c r="AI51" s="88">
        <f t="shared" si="35"/>
        <v>5.1571678557489811E-3</v>
      </c>
      <c r="AJ51" s="236">
        <f t="shared" si="20"/>
        <v>38306</v>
      </c>
      <c r="AK51" s="58">
        <f t="shared" ca="1" si="21"/>
        <v>1266</v>
      </c>
      <c r="AL51" s="26">
        <f ca="1">IF($A52="","",_xll.SPRDOPT(P51,X51,AI51,0,AB51,AE51,AF51,AK51,$AJ$2,0))</f>
        <v>0.15638465495039813</v>
      </c>
      <c r="AM51" s="209">
        <f t="shared" si="22"/>
        <v>0.15591004398682923</v>
      </c>
      <c r="AN51" s="89">
        <f t="shared" ca="1" si="23"/>
        <v>4.7461096356890553E-4</v>
      </c>
      <c r="AO51" s="3">
        <f t="shared" si="24"/>
        <v>30</v>
      </c>
      <c r="AP51" s="33">
        <f t="shared" si="25"/>
        <v>38292</v>
      </c>
      <c r="AQ51" s="58">
        <f t="shared" ca="1" si="26"/>
        <v>1266</v>
      </c>
      <c r="AR51" s="38">
        <f>'ANR OK vs ML7'!AR51</f>
        <v>0.1</v>
      </c>
      <c r="AS51" s="35">
        <f t="shared" ca="1" si="27"/>
        <v>0.71303480884575965</v>
      </c>
      <c r="AT51" s="3">
        <f t="shared" si="28"/>
        <v>1</v>
      </c>
      <c r="AU51" s="3">
        <f t="shared" si="29"/>
        <v>30</v>
      </c>
      <c r="AW51" s="32">
        <f t="shared" ca="1" si="30"/>
        <v>582417.11504556972</v>
      </c>
      <c r="AX51" s="32">
        <f t="shared" si="31"/>
        <v>580649.54041838867</v>
      </c>
      <c r="AY51" s="32">
        <f t="shared" ca="1" si="32"/>
        <v>1767.5746271811322</v>
      </c>
      <c r="BA51" s="32">
        <f ca="1">IF($A52="","",F51*Summary!$Q$11)</f>
        <v>0</v>
      </c>
      <c r="BC51" s="256">
        <f t="shared" ca="1" si="36"/>
        <v>414023.33405860391</v>
      </c>
    </row>
    <row r="52" spans="1:55">
      <c r="A52" s="67">
        <f t="shared" si="33"/>
        <v>38322</v>
      </c>
      <c r="B52" s="69">
        <f t="shared" si="37"/>
        <v>124142</v>
      </c>
      <c r="C52" s="71"/>
      <c r="D52" s="69">
        <f t="shared" si="0"/>
        <v>124142</v>
      </c>
      <c r="E52" s="70">
        <f t="shared" si="1"/>
        <v>3848402</v>
      </c>
      <c r="F52" s="70">
        <f t="shared" ca="1" si="2"/>
        <v>2722139.4845986199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0.51</v>
      </c>
      <c r="K52" s="64">
        <f t="shared" si="6"/>
        <v>0.51</v>
      </c>
      <c r="L52" s="63">
        <f t="shared" si="7"/>
        <v>0</v>
      </c>
      <c r="M52" s="64">
        <f t="shared" si="8"/>
        <v>0</v>
      </c>
      <c r="N52" s="65"/>
      <c r="O52" s="63">
        <f t="shared" si="9"/>
        <v>4.9370000000000003</v>
      </c>
      <c r="P52" s="63">
        <f t="shared" si="10"/>
        <v>4.9370000000000003</v>
      </c>
      <c r="Q52" s="66"/>
      <c r="R52" s="63">
        <f t="shared" si="34"/>
        <v>0.3</v>
      </c>
      <c r="S52" s="64">
        <f t="shared" si="11"/>
        <v>0.3</v>
      </c>
      <c r="T52" s="38">
        <v>0</v>
      </c>
      <c r="U52" s="64">
        <f t="shared" si="12"/>
        <v>0</v>
      </c>
      <c r="V52" s="219">
        <f>IF($A53="","",IF(AND(MONTH(A52)&gt;3,MONTH(A52)&lt;11),(T52+R52+G52)*Summary!$T$11/(1-Summary!$T$11),(T52+R52+G52)*Summary!$U$11/(1-Summary!$U$11)))</f>
        <v>5.0404290612363178E-2</v>
      </c>
      <c r="W52" s="43">
        <f t="shared" si="13"/>
        <v>4.7774042906123633</v>
      </c>
      <c r="X52" s="43">
        <f t="shared" si="14"/>
        <v>4.7774042906123633</v>
      </c>
      <c r="Y52" s="43"/>
      <c r="Z52" s="38">
        <f t="shared" si="15"/>
        <v>1.1000000000000001</v>
      </c>
      <c r="AA52" s="38">
        <f t="shared" si="16"/>
        <v>0.28999999999999998</v>
      </c>
      <c r="AB52" s="38">
        <f t="shared" ca="1" si="17"/>
        <v>0.31406423322720561</v>
      </c>
      <c r="AC52" s="38">
        <f t="shared" si="18"/>
        <v>1.1000000000000001</v>
      </c>
      <c r="AD52" s="38">
        <f t="shared" si="18"/>
        <v>0.28999999999999998</v>
      </c>
      <c r="AE52" s="38">
        <f t="shared" ca="1" si="19"/>
        <v>0.31406423322720561</v>
      </c>
      <c r="AF52" s="238">
        <f ca="1">((Summary!$N$11*(AA52*AD52)*(A52-$D$3))+(Summary!$M$11*Z52*AC52*(AJ52-EOMONTH(EDATE(A52,-1),0))))/(AK52*AB52*AE52)</f>
        <v>0.999914671519885</v>
      </c>
      <c r="AG52" s="88">
        <f>IF($A53="","",Summary!$Q$11)</f>
        <v>0</v>
      </c>
      <c r="AH52" s="88">
        <f>IF($A53="","",IF(Summary!$R$11="Y",(VLOOKUP($A52,Summary!$AD$6:$AF$9,3)+'Escalating commodity'!G65),'Escalating commodity'!G65))</f>
        <v>5.1571678557489811E-3</v>
      </c>
      <c r="AI52" s="88">
        <f t="shared" si="35"/>
        <v>5.1571678557489811E-3</v>
      </c>
      <c r="AJ52" s="236">
        <f t="shared" si="20"/>
        <v>38336.5</v>
      </c>
      <c r="AK52" s="58">
        <f t="shared" ca="1" si="21"/>
        <v>1296</v>
      </c>
      <c r="AL52" s="26">
        <f ca="1">IF($A53="","",_xll.SPRDOPT(P52,X52,AI52,0,AB52,AE52,AF52,AK52,$AJ$2,0))</f>
        <v>0.15505196312550074</v>
      </c>
      <c r="AM52" s="209">
        <f t="shared" si="22"/>
        <v>0.15443854153188802</v>
      </c>
      <c r="AN52" s="89">
        <f t="shared" ca="1" si="23"/>
        <v>6.1342159361271742E-4</v>
      </c>
      <c r="AO52" s="3">
        <f t="shared" si="24"/>
        <v>31</v>
      </c>
      <c r="AP52" s="33">
        <f t="shared" si="25"/>
        <v>38322</v>
      </c>
      <c r="AQ52" s="58">
        <f t="shared" ca="1" si="26"/>
        <v>1296</v>
      </c>
      <c r="AR52" s="38">
        <f>'ANR OK vs ML7'!AR52</f>
        <v>0.1</v>
      </c>
      <c r="AS52" s="35">
        <f t="shared" ca="1" si="27"/>
        <v>0.70734280997635379</v>
      </c>
      <c r="AT52" s="3">
        <f t="shared" si="28"/>
        <v>1</v>
      </c>
      <c r="AU52" s="3">
        <f t="shared" si="29"/>
        <v>31</v>
      </c>
      <c r="AW52" s="32">
        <f t="shared" ca="1" si="30"/>
        <v>596702.28499610326</v>
      </c>
      <c r="AX52" s="32">
        <f t="shared" si="31"/>
        <v>594341.59210840089</v>
      </c>
      <c r="AY52" s="32">
        <f t="shared" ca="1" si="32"/>
        <v>2360.6928877023688</v>
      </c>
      <c r="BA52" s="32">
        <f ca="1">IF($A53="","",F52*Summary!$Q$11)</f>
        <v>0</v>
      </c>
      <c r="BC52" s="256">
        <f t="shared" ca="1" si="36"/>
        <v>420403.25184777618</v>
      </c>
    </row>
    <row r="53" spans="1:55">
      <c r="A53" s="67">
        <f t="shared" si="33"/>
        <v>38353</v>
      </c>
      <c r="B53" s="69">
        <f t="shared" si="37"/>
        <v>124142</v>
      </c>
      <c r="C53" s="71"/>
      <c r="D53" s="69">
        <f t="shared" si="0"/>
        <v>124142</v>
      </c>
      <c r="E53" s="70">
        <f t="shared" si="1"/>
        <v>3848402</v>
      </c>
      <c r="F53" s="70">
        <f t="shared" ca="1" si="2"/>
        <v>2699687.9023276237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0.51</v>
      </c>
      <c r="K53" s="64">
        <f t="shared" si="6"/>
        <v>0.51</v>
      </c>
      <c r="L53" s="63">
        <f t="shared" si="7"/>
        <v>0</v>
      </c>
      <c r="M53" s="64">
        <f t="shared" si="8"/>
        <v>0</v>
      </c>
      <c r="N53" s="65"/>
      <c r="O53" s="63">
        <f t="shared" si="9"/>
        <v>4.9240000000000004</v>
      </c>
      <c r="P53" s="63">
        <f t="shared" si="10"/>
        <v>4.9240000000000004</v>
      </c>
      <c r="Q53" s="66"/>
      <c r="R53" s="63">
        <f t="shared" si="34"/>
        <v>0.3</v>
      </c>
      <c r="S53" s="64">
        <f t="shared" si="11"/>
        <v>0.3</v>
      </c>
      <c r="T53" s="38">
        <v>0</v>
      </c>
      <c r="U53" s="64">
        <f t="shared" si="12"/>
        <v>0</v>
      </c>
      <c r="V53" s="219">
        <f>IF($A54="","",IF(AND(MONTH(A53)&gt;3,MONTH(A53)&lt;11),(T53+R53+G53)*Summary!$T$11/(1-Summary!$T$11),(T53+R53+G53)*Summary!$U$11/(1-Summary!$U$11)))</f>
        <v>5.0265670815883227E-2</v>
      </c>
      <c r="W53" s="43">
        <f t="shared" si="13"/>
        <v>4.7642656708158837</v>
      </c>
      <c r="X53" s="43">
        <f t="shared" si="14"/>
        <v>4.7642656708158837</v>
      </c>
      <c r="Y53" s="43"/>
      <c r="Z53" s="38">
        <f t="shared" si="15"/>
        <v>1.1000000000000001</v>
      </c>
      <c r="AA53" s="38">
        <f t="shared" si="16"/>
        <v>0.29300000000000004</v>
      </c>
      <c r="AB53" s="38">
        <f t="shared" ca="1" si="17"/>
        <v>0.31630219350913263</v>
      </c>
      <c r="AC53" s="38">
        <f t="shared" si="18"/>
        <v>1.1000000000000001</v>
      </c>
      <c r="AD53" s="38">
        <f t="shared" si="18"/>
        <v>0.29300000000000004</v>
      </c>
      <c r="AE53" s="38">
        <f t="shared" ca="1" si="19"/>
        <v>0.31630219350913263</v>
      </c>
      <c r="AF53" s="238">
        <f ca="1">((Summary!$N$11*(AA53*AD53)*(A53-$D$3))+(Summary!$M$11*Z53*AC53*(AJ53-EOMONTH(EDATE(A53,-1),0))))/(AK53*AB53*AE53)</f>
        <v>0.99991412673304281</v>
      </c>
      <c r="AG53" s="88">
        <f>IF($A54="","",Summary!$Q$11)</f>
        <v>0</v>
      </c>
      <c r="AH53" s="88">
        <f>IF($A54="","",IF(Summary!$R$11="Y",(VLOOKUP($A53,Summary!$AD$6:$AF$9,3)+'Escalating commodity'!G66),'Escalating commodity'!G66))</f>
        <v>5.260311212863961E-3</v>
      </c>
      <c r="AI53" s="88">
        <f t="shared" si="35"/>
        <v>5.260311212863961E-3</v>
      </c>
      <c r="AJ53" s="236">
        <f t="shared" si="20"/>
        <v>38367.5</v>
      </c>
      <c r="AK53" s="58">
        <f t="shared" ca="1" si="21"/>
        <v>1327</v>
      </c>
      <c r="AL53" s="26">
        <f ca="1">IF($A54="","",_xll.SPRDOPT(P53,X53,AI53,0,AB53,AE53,AF53,AK53,$AJ$2,0))</f>
        <v>0.15512643889787878</v>
      </c>
      <c r="AM53" s="209">
        <f t="shared" si="22"/>
        <v>0.15447401797125271</v>
      </c>
      <c r="AN53" s="89">
        <f t="shared" ca="1" si="23"/>
        <v>6.5242092662606832E-4</v>
      </c>
      <c r="AO53" s="3">
        <f t="shared" si="24"/>
        <v>31</v>
      </c>
      <c r="AP53" s="33">
        <f t="shared" si="25"/>
        <v>38353</v>
      </c>
      <c r="AQ53" s="58">
        <f t="shared" ca="1" si="26"/>
        <v>1327</v>
      </c>
      <c r="AR53" s="38">
        <f>'ANR OK vs ML7'!AR53</f>
        <v>0.1</v>
      </c>
      <c r="AS53" s="35">
        <f t="shared" ca="1" si="27"/>
        <v>0.70150880867633469</v>
      </c>
      <c r="AT53" s="3">
        <f t="shared" si="28"/>
        <v>1</v>
      </c>
      <c r="AU53" s="3">
        <f t="shared" si="29"/>
        <v>31</v>
      </c>
      <c r="AW53" s="32">
        <f t="shared" ca="1" si="30"/>
        <v>596988.89770747453</v>
      </c>
      <c r="AX53" s="32">
        <f t="shared" si="31"/>
        <v>594478.11970860488</v>
      </c>
      <c r="AY53" s="32">
        <f t="shared" ca="1" si="32"/>
        <v>2510.7779988696147</v>
      </c>
      <c r="BA53" s="32">
        <f ca="1">IF($A54="","",F53*Summary!$Q$11)</f>
        <v>0</v>
      </c>
      <c r="BC53" s="256">
        <f t="shared" ca="1" si="36"/>
        <v>417031.63754093088</v>
      </c>
    </row>
    <row r="54" spans="1:55">
      <c r="A54" s="67">
        <f t="shared" si="33"/>
        <v>38384</v>
      </c>
      <c r="B54" s="69">
        <f t="shared" si="37"/>
        <v>124142</v>
      </c>
      <c r="C54" s="71"/>
      <c r="D54" s="69">
        <f t="shared" si="0"/>
        <v>124142</v>
      </c>
      <c r="E54" s="70">
        <f t="shared" si="1"/>
        <v>3475976</v>
      </c>
      <c r="F54" s="70">
        <f t="shared" ca="1" si="2"/>
        <v>2418316.1895371228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0.51</v>
      </c>
      <c r="K54" s="64">
        <f t="shared" si="6"/>
        <v>0.51</v>
      </c>
      <c r="L54" s="63">
        <f t="shared" si="7"/>
        <v>0</v>
      </c>
      <c r="M54" s="64">
        <f t="shared" si="8"/>
        <v>0</v>
      </c>
      <c r="N54" s="65"/>
      <c r="O54" s="63">
        <f t="shared" si="9"/>
        <v>4.8040000000000003</v>
      </c>
      <c r="P54" s="63">
        <f t="shared" si="10"/>
        <v>4.8040000000000003</v>
      </c>
      <c r="Q54" s="66"/>
      <c r="R54" s="63">
        <f t="shared" si="34"/>
        <v>0.3</v>
      </c>
      <c r="S54" s="64">
        <f t="shared" si="11"/>
        <v>0.3</v>
      </c>
      <c r="T54" s="38">
        <v>0</v>
      </c>
      <c r="U54" s="64">
        <f t="shared" si="12"/>
        <v>0</v>
      </c>
      <c r="V54" s="219">
        <f>IF($A55="","",IF(AND(MONTH(A54)&gt;3,MONTH(A54)&lt;11),(T54+R54+G54)*Summary!$T$11/(1-Summary!$T$11),(T54+R54+G54)*Summary!$U$11/(1-Summary!$U$11)))</f>
        <v>4.8986103463760616E-2</v>
      </c>
      <c r="W54" s="43">
        <f t="shared" si="13"/>
        <v>4.6429861034637607</v>
      </c>
      <c r="X54" s="43">
        <f t="shared" si="14"/>
        <v>4.6429861034637607</v>
      </c>
      <c r="Y54" s="43"/>
      <c r="Z54" s="38">
        <f t="shared" si="15"/>
        <v>1.1000000000000001</v>
      </c>
      <c r="AA54" s="38">
        <f t="shared" si="16"/>
        <v>0.28499999999999998</v>
      </c>
      <c r="AB54" s="38">
        <f t="shared" ca="1" si="17"/>
        <v>0.30620097816300706</v>
      </c>
      <c r="AC54" s="38">
        <f t="shared" si="18"/>
        <v>1.1000000000000001</v>
      </c>
      <c r="AD54" s="38">
        <f t="shared" si="18"/>
        <v>0.28499999999999998</v>
      </c>
      <c r="AE54" s="38">
        <f t="shared" ca="1" si="19"/>
        <v>0.30620097816300706</v>
      </c>
      <c r="AF54" s="238">
        <f ca="1">((Summary!$N$11*(AA54*AD54)*(A54-$D$3))+(Summary!$M$11*Z54*AC54*(AJ54-EOMONTH(EDATE(A54,-1),0))))/(AK54*AB54*AE54)</f>
        <v>0.99991330455914795</v>
      </c>
      <c r="AG54" s="88">
        <f>IF($A55="","",Summary!$Q$11)</f>
        <v>0</v>
      </c>
      <c r="AH54" s="88">
        <f>IF($A55="","",IF(Summary!$R$11="Y",(VLOOKUP($A54,Summary!$AD$6:$AF$9,3)+'Escalating commodity'!G67),'Escalating commodity'!G67))</f>
        <v>5.260311212863961E-3</v>
      </c>
      <c r="AI54" s="88">
        <f t="shared" si="35"/>
        <v>5.260311212863961E-3</v>
      </c>
      <c r="AJ54" s="236">
        <f t="shared" si="20"/>
        <v>38397</v>
      </c>
      <c r="AK54" s="58">
        <f t="shared" ca="1" si="21"/>
        <v>1358</v>
      </c>
      <c r="AL54" s="26">
        <f ca="1">IF($A55="","",_xll.SPRDOPT(P54,X54,AI54,0,AB54,AE54,AF54,AK54,$AJ$2,0))</f>
        <v>0.15630244201792448</v>
      </c>
      <c r="AM54" s="209">
        <f t="shared" si="22"/>
        <v>0.15575358532337558</v>
      </c>
      <c r="AN54" s="89">
        <f t="shared" ca="1" si="23"/>
        <v>5.4885669454890484E-4</v>
      </c>
      <c r="AO54" s="3">
        <f t="shared" si="24"/>
        <v>28</v>
      </c>
      <c r="AP54" s="33">
        <f t="shared" si="25"/>
        <v>38384</v>
      </c>
      <c r="AQ54" s="58">
        <f t="shared" ca="1" si="26"/>
        <v>1358</v>
      </c>
      <c r="AR54" s="38">
        <f>'ANR OK vs ML7'!AR54</f>
        <v>0.1</v>
      </c>
      <c r="AS54" s="35">
        <f t="shared" ca="1" si="27"/>
        <v>0.69572292488127729</v>
      </c>
      <c r="AT54" s="3">
        <f t="shared" si="28"/>
        <v>1</v>
      </c>
      <c r="AU54" s="3">
        <f t="shared" si="29"/>
        <v>28</v>
      </c>
      <c r="AW54" s="32">
        <f t="shared" ca="1" si="30"/>
        <v>543303.53719569708</v>
      </c>
      <c r="AX54" s="32">
        <f t="shared" si="31"/>
        <v>541395.7244980057</v>
      </c>
      <c r="AY54" s="32">
        <f t="shared" ca="1" si="32"/>
        <v>1907.812697691324</v>
      </c>
      <c r="BA54" s="32">
        <f ca="1">IF($A55="","",F54*Summary!$Q$11)</f>
        <v>0</v>
      </c>
      <c r="BC54" s="256">
        <f t="shared" ca="1" si="36"/>
        <v>376661.41696597077</v>
      </c>
    </row>
    <row r="55" spans="1:55">
      <c r="A55" s="67">
        <f t="shared" si="33"/>
        <v>38412</v>
      </c>
      <c r="B55" s="69">
        <f t="shared" si="37"/>
        <v>124142</v>
      </c>
      <c r="C55" s="71"/>
      <c r="D55" s="69">
        <f t="shared" si="0"/>
        <v>124142</v>
      </c>
      <c r="E55" s="70">
        <f t="shared" si="1"/>
        <v>3848402</v>
      </c>
      <c r="F55" s="70">
        <f t="shared" ca="1" si="2"/>
        <v>2657467.7940011513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0.51</v>
      </c>
      <c r="K55" s="64">
        <f t="shared" si="6"/>
        <v>0.51</v>
      </c>
      <c r="L55" s="63">
        <f t="shared" si="7"/>
        <v>0</v>
      </c>
      <c r="M55" s="64">
        <f t="shared" si="8"/>
        <v>0</v>
      </c>
      <c r="N55" s="65"/>
      <c r="O55" s="63">
        <f t="shared" si="9"/>
        <v>4.665</v>
      </c>
      <c r="P55" s="63">
        <f t="shared" si="10"/>
        <v>4.665</v>
      </c>
      <c r="Q55" s="66"/>
      <c r="R55" s="63">
        <f t="shared" si="34"/>
        <v>0.3</v>
      </c>
      <c r="S55" s="64">
        <f t="shared" si="11"/>
        <v>0.3</v>
      </c>
      <c r="T55" s="38">
        <v>0</v>
      </c>
      <c r="U55" s="64">
        <f t="shared" si="12"/>
        <v>0</v>
      </c>
      <c r="V55" s="219">
        <f>IF($A56="","",IF(AND(MONTH(A55)&gt;3,MONTH(A55)&lt;11),(T55+R55+G55)*Summary!$T$11/(1-Summary!$T$11),(T55+R55+G55)*Summary!$U$11/(1-Summary!$U$11)))</f>
        <v>4.7503937947551929E-2</v>
      </c>
      <c r="W55" s="43">
        <f t="shared" si="13"/>
        <v>4.5025039379475524</v>
      </c>
      <c r="X55" s="43">
        <f t="shared" si="14"/>
        <v>4.5025039379475524</v>
      </c>
      <c r="Y55" s="43"/>
      <c r="Z55" s="38">
        <f t="shared" si="15"/>
        <v>0.75</v>
      </c>
      <c r="AA55" s="38">
        <f t="shared" si="16"/>
        <v>0.28000000000000003</v>
      </c>
      <c r="AB55" s="38">
        <f t="shared" ca="1" si="17"/>
        <v>0.2911136377295816</v>
      </c>
      <c r="AC55" s="38">
        <f t="shared" si="18"/>
        <v>0.75</v>
      </c>
      <c r="AD55" s="38">
        <f t="shared" si="18"/>
        <v>0.28000000000000003</v>
      </c>
      <c r="AE55" s="38">
        <f t="shared" ca="1" si="19"/>
        <v>0.2911136377295816</v>
      </c>
      <c r="AF55" s="238">
        <f ca="1">((Summary!$N$11*(AA55*AD55)*(A55-$D$3))+(Summary!$M$11*Z55*AC55*(AJ55-EOMONTH(EDATE(A55,-1),0))))/(AK55*AB55*AE55)</f>
        <v>0.99990742276809363</v>
      </c>
      <c r="AG55" s="88">
        <f>IF($A56="","",Summary!$Q$11)</f>
        <v>0</v>
      </c>
      <c r="AH55" s="88">
        <f>IF($A56="","",IF(Summary!$R$11="Y",(VLOOKUP($A55,Summary!$AD$6:$AF$9,3)+'Escalating commodity'!G68),'Escalating commodity'!G68))</f>
        <v>5.260311212863961E-3</v>
      </c>
      <c r="AI55" s="88">
        <f t="shared" si="35"/>
        <v>5.260311212863961E-3</v>
      </c>
      <c r="AJ55" s="236">
        <f t="shared" si="20"/>
        <v>38426.5</v>
      </c>
      <c r="AK55" s="58">
        <f t="shared" ca="1" si="21"/>
        <v>1386</v>
      </c>
      <c r="AL55" s="26">
        <f ca="1">IF($A56="","",_xll.SPRDOPT(P55,X55,AI55,0,AB55,AE55,AF55,AK55,$AJ$2,0))</f>
        <v>0.15767390360239789</v>
      </c>
      <c r="AM55" s="209">
        <f t="shared" si="22"/>
        <v>0.15723575083958363</v>
      </c>
      <c r="AN55" s="89">
        <f t="shared" ca="1" si="23"/>
        <v>4.3815276281425342E-4</v>
      </c>
      <c r="AO55" s="3">
        <f t="shared" si="24"/>
        <v>31</v>
      </c>
      <c r="AP55" s="33">
        <f t="shared" si="25"/>
        <v>38412</v>
      </c>
      <c r="AQ55" s="58">
        <f t="shared" ca="1" si="26"/>
        <v>1386</v>
      </c>
      <c r="AR55" s="38">
        <f>'ANR OK vs ML7'!AR55</f>
        <v>0.1</v>
      </c>
      <c r="AS55" s="35">
        <f t="shared" ca="1" si="27"/>
        <v>0.69053799317253017</v>
      </c>
      <c r="AT55" s="3">
        <f t="shared" si="28"/>
        <v>1</v>
      </c>
      <c r="AU55" s="3">
        <f t="shared" si="29"/>
        <v>31</v>
      </c>
      <c r="AW55" s="32">
        <f t="shared" ca="1" si="30"/>
        <v>606792.56597127521</v>
      </c>
      <c r="AX55" s="32">
        <f t="shared" si="31"/>
        <v>605106.37800255534</v>
      </c>
      <c r="AY55" s="32">
        <f t="shared" ca="1" si="32"/>
        <v>1686.1879687198984</v>
      </c>
      <c r="BA55" s="32">
        <f ca="1">IF($A56="","",F55*Summary!$Q$11)</f>
        <v>0</v>
      </c>
      <c r="BC55" s="256">
        <f t="shared" ca="1" si="36"/>
        <v>417848.94392178301</v>
      </c>
    </row>
    <row r="56" spans="1:55">
      <c r="A56" s="67">
        <f t="shared" si="33"/>
        <v>38443</v>
      </c>
      <c r="B56" s="69">
        <f t="shared" si="37"/>
        <v>124142</v>
      </c>
      <c r="C56" s="71"/>
      <c r="D56" s="69">
        <f t="shared" si="0"/>
        <v>124142</v>
      </c>
      <c r="E56" s="70">
        <f t="shared" si="1"/>
        <v>3724260</v>
      </c>
      <c r="F56" s="70">
        <f t="shared" ca="1" si="2"/>
        <v>2550531.8796819816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0.23499999999999999</v>
      </c>
      <c r="K56" s="64">
        <f t="shared" si="6"/>
        <v>0.23499999999999999</v>
      </c>
      <c r="L56" s="63">
        <f t="shared" si="7"/>
        <v>0</v>
      </c>
      <c r="M56" s="64">
        <f t="shared" si="8"/>
        <v>0</v>
      </c>
      <c r="N56" s="65"/>
      <c r="O56" s="63">
        <f t="shared" si="9"/>
        <v>4.2149999999999999</v>
      </c>
      <c r="P56" s="63">
        <f t="shared" si="10"/>
        <v>4.2149999999999999</v>
      </c>
      <c r="Q56" s="66"/>
      <c r="R56" s="63">
        <f t="shared" si="34"/>
        <v>0.17</v>
      </c>
      <c r="S56" s="64">
        <f t="shared" si="11"/>
        <v>0.17</v>
      </c>
      <c r="T56" s="38">
        <v>0</v>
      </c>
      <c r="U56" s="64">
        <f t="shared" si="12"/>
        <v>0</v>
      </c>
      <c r="V56" s="219">
        <f>IF($A57="","",IF(AND(MONTH(A56)&gt;3,MONTH(A56)&lt;11),(T56+R56+G56)*Summary!$T$11/(1-Summary!$T$11),(T56+R56+G56)*Summary!$U$11/(1-Summary!$U$11)))</f>
        <v>4.4251704260906959E-2</v>
      </c>
      <c r="W56" s="43">
        <f t="shared" si="13"/>
        <v>4.1942517042609069</v>
      </c>
      <c r="X56" s="43">
        <f t="shared" si="14"/>
        <v>4.1942517042609069</v>
      </c>
      <c r="Y56" s="43"/>
      <c r="Z56" s="38">
        <f t="shared" si="15"/>
        <v>0.45</v>
      </c>
      <c r="AA56" s="38">
        <f t="shared" si="16"/>
        <v>0.27</v>
      </c>
      <c r="AB56" s="38">
        <f t="shared" ca="1" si="17"/>
        <v>0.27403477878890786</v>
      </c>
      <c r="AC56" s="38">
        <f t="shared" si="18"/>
        <v>0.45</v>
      </c>
      <c r="AD56" s="38">
        <f t="shared" si="18"/>
        <v>0.27</v>
      </c>
      <c r="AE56" s="38">
        <f t="shared" ca="1" si="19"/>
        <v>0.27403477878890786</v>
      </c>
      <c r="AF56" s="238">
        <f ca="1">((Summary!$N$11*(AA56*AD56)*(A56-$D$3))+(Summary!$M$11*Z56*AC56*(AJ56-EOMONTH(EDATE(A56,-1),0))))/(AK56*AB56*AE56)</f>
        <v>0.99990285453299865</v>
      </c>
      <c r="AG56" s="88">
        <f>IF($A57="","",Summary!$Q$11)</f>
        <v>0</v>
      </c>
      <c r="AH56" s="88">
        <f>IF($A57="","",IF(Summary!$R$11="Y",(VLOOKUP($A56,Summary!$AD$6:$AF$9,3)+'Escalating commodity'!G69),'Escalating commodity'!G69))</f>
        <v>5.260311212863961E-3</v>
      </c>
      <c r="AI56" s="88">
        <f t="shared" si="35"/>
        <v>5.260311212863961E-3</v>
      </c>
      <c r="AJ56" s="236">
        <f t="shared" si="20"/>
        <v>38457</v>
      </c>
      <c r="AK56" s="58">
        <f t="shared" ca="1" si="21"/>
        <v>1417</v>
      </c>
      <c r="AL56" s="26">
        <f ca="1">IF($A57="","",_xll.SPRDOPT(P56,X56,AI56,0,AB56,AE56,AF56,AK56,$AJ$2,0))</f>
        <v>1.8725338026594967E-2</v>
      </c>
      <c r="AM56" s="209">
        <f t="shared" si="22"/>
        <v>1.548798452622902E-2</v>
      </c>
      <c r="AN56" s="89">
        <f t="shared" ca="1" si="23"/>
        <v>3.2373535003659467E-3</v>
      </c>
      <c r="AO56" s="3">
        <f t="shared" si="24"/>
        <v>30</v>
      </c>
      <c r="AP56" s="33">
        <f t="shared" si="25"/>
        <v>38443</v>
      </c>
      <c r="AQ56" s="58">
        <f t="shared" ca="1" si="26"/>
        <v>1417</v>
      </c>
      <c r="AR56" s="38">
        <f>'ANR OK vs ML7'!AR56</f>
        <v>0.1</v>
      </c>
      <c r="AS56" s="35">
        <f t="shared" ca="1" si="27"/>
        <v>0.68484259414809423</v>
      </c>
      <c r="AT56" s="3">
        <f t="shared" si="28"/>
        <v>1</v>
      </c>
      <c r="AU56" s="3">
        <f t="shared" si="29"/>
        <v>30</v>
      </c>
      <c r="AW56" s="32">
        <f t="shared" ca="1" si="30"/>
        <v>69738.02739892657</v>
      </c>
      <c r="AX56" s="32">
        <f t="shared" si="31"/>
        <v>57681.281251653694</v>
      </c>
      <c r="AY56" s="32">
        <f t="shared" ca="1" si="32"/>
        <v>12056.746147272881</v>
      </c>
      <c r="BA56" s="32">
        <f ca="1">IF($A57="","",F56*Summary!$Q$11)</f>
        <v>0</v>
      </c>
      <c r="BC56" s="256">
        <f t="shared" ca="1" si="36"/>
        <v>39502.598286168351</v>
      </c>
    </row>
    <row r="57" spans="1:55">
      <c r="A57" s="67">
        <f t="shared" si="33"/>
        <v>38473</v>
      </c>
      <c r="B57" s="69">
        <f t="shared" si="37"/>
        <v>124142</v>
      </c>
      <c r="C57" s="71"/>
      <c r="D57" s="69">
        <f t="shared" si="0"/>
        <v>124142</v>
      </c>
      <c r="E57" s="70">
        <f t="shared" si="1"/>
        <v>3848402</v>
      </c>
      <c r="F57" s="70">
        <f t="shared" ca="1" si="2"/>
        <v>2614510.6005178746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0.23499999999999999</v>
      </c>
      <c r="K57" s="64">
        <f t="shared" si="6"/>
        <v>0.23499999999999999</v>
      </c>
      <c r="L57" s="63">
        <f t="shared" si="7"/>
        <v>0</v>
      </c>
      <c r="M57" s="64">
        <f t="shared" si="8"/>
        <v>0</v>
      </c>
      <c r="N57" s="65"/>
      <c r="O57" s="63">
        <f t="shared" si="9"/>
        <v>4.1850000000000005</v>
      </c>
      <c r="P57" s="63">
        <f t="shared" si="10"/>
        <v>4.1850000000000005</v>
      </c>
      <c r="Q57" s="66"/>
      <c r="R57" s="63">
        <f t="shared" si="34"/>
        <v>0.17</v>
      </c>
      <c r="S57" s="64">
        <f t="shared" si="11"/>
        <v>0.17</v>
      </c>
      <c r="T57" s="38">
        <v>0</v>
      </c>
      <c r="U57" s="64">
        <f t="shared" si="12"/>
        <v>0</v>
      </c>
      <c r="V57" s="219">
        <f>IF($A58="","",IF(AND(MONTH(A57)&gt;3,MONTH(A57)&lt;11),(T57+R57+G57)*Summary!$T$11/(1-Summary!$T$11),(T57+R57+G57)*Summary!$U$11/(1-Summary!$U$11)))</f>
        <v>4.3931812422876304E-2</v>
      </c>
      <c r="W57" s="43">
        <f t="shared" si="13"/>
        <v>4.1639318124228764</v>
      </c>
      <c r="X57" s="43">
        <f t="shared" si="14"/>
        <v>4.1639318124228764</v>
      </c>
      <c r="Y57" s="43"/>
      <c r="Z57" s="38">
        <f t="shared" si="15"/>
        <v>0.5</v>
      </c>
      <c r="AA57" s="38">
        <f t="shared" si="16"/>
        <v>0.26300000000000001</v>
      </c>
      <c r="AB57" s="38">
        <f t="shared" ca="1" si="17"/>
        <v>0.26813197505518394</v>
      </c>
      <c r="AC57" s="38">
        <f t="shared" si="18"/>
        <v>0.5</v>
      </c>
      <c r="AD57" s="38">
        <f t="shared" si="18"/>
        <v>0.26300000000000001</v>
      </c>
      <c r="AE57" s="38">
        <f t="shared" ca="1" si="19"/>
        <v>0.26813197505518394</v>
      </c>
      <c r="AF57" s="238">
        <f ca="1">((Summary!$N$11*(AA57*AD57)*(A57-$D$3))+(Summary!$M$11*Z57*AC57*(AJ57-EOMONTH(EDATE(A57,-1),0))))/(AK57*AB57*AE57)</f>
        <v>0.99990372482575318</v>
      </c>
      <c r="AG57" s="88">
        <f>IF($A58="","",Summary!$Q$11)</f>
        <v>0</v>
      </c>
      <c r="AH57" s="88">
        <f>IF($A58="","",IF(Summary!$R$11="Y",(VLOOKUP($A57,Summary!$AD$6:$AF$9,3)+'Escalating commodity'!G70),'Escalating commodity'!G70))</f>
        <v>5.260311212863961E-3</v>
      </c>
      <c r="AI57" s="88">
        <f t="shared" si="35"/>
        <v>5.260311212863961E-3</v>
      </c>
      <c r="AJ57" s="236">
        <f t="shared" si="20"/>
        <v>38487.5</v>
      </c>
      <c r="AK57" s="58">
        <f t="shared" ca="1" si="21"/>
        <v>1447</v>
      </c>
      <c r="AL57" s="26">
        <f ca="1">IF($A58="","",_xll.SPRDOPT(P57,X57,AI57,0,AB57,AE57,AF57,AK57,$AJ$2,0))</f>
        <v>1.8930565766748623E-2</v>
      </c>
      <c r="AM57" s="209">
        <f t="shared" si="22"/>
        <v>1.5807876364260183E-2</v>
      </c>
      <c r="AN57" s="89">
        <f t="shared" ca="1" si="23"/>
        <v>3.1226894024884398E-3</v>
      </c>
      <c r="AO57" s="3">
        <f t="shared" si="24"/>
        <v>31</v>
      </c>
      <c r="AP57" s="33">
        <f t="shared" si="25"/>
        <v>38473</v>
      </c>
      <c r="AQ57" s="58">
        <f t="shared" ca="1" si="26"/>
        <v>1447</v>
      </c>
      <c r="AR57" s="38">
        <f>'ANR OK vs ML7'!AR57</f>
        <v>0.1</v>
      </c>
      <c r="AS57" s="35">
        <f t="shared" ca="1" si="27"/>
        <v>0.67937564748118173</v>
      </c>
      <c r="AT57" s="3">
        <f t="shared" si="28"/>
        <v>1</v>
      </c>
      <c r="AU57" s="3">
        <f t="shared" si="29"/>
        <v>31</v>
      </c>
      <c r="AW57" s="32">
        <f t="shared" ca="1" si="30"/>
        <v>72852.427157886937</v>
      </c>
      <c r="AX57" s="32">
        <f t="shared" si="31"/>
        <v>60835.063015971617</v>
      </c>
      <c r="AY57" s="32">
        <f t="shared" ca="1" si="32"/>
        <v>12017.364141915317</v>
      </c>
      <c r="BA57" s="32">
        <f ca="1">IF($A58="","",F57*Summary!$Q$11)</f>
        <v>0</v>
      </c>
      <c r="BC57" s="256">
        <f t="shared" ca="1" si="36"/>
        <v>41329.860326034206</v>
      </c>
    </row>
    <row r="58" spans="1:55">
      <c r="A58" s="67">
        <f t="shared" si="33"/>
        <v>38504</v>
      </c>
      <c r="B58" s="69">
        <f t="shared" si="37"/>
        <v>124142</v>
      </c>
      <c r="C58" s="71"/>
      <c r="D58" s="69">
        <f t="shared" si="0"/>
        <v>124142</v>
      </c>
      <c r="E58" s="70">
        <f t="shared" si="1"/>
        <v>3724260</v>
      </c>
      <c r="F58" s="70">
        <f t="shared" ca="1" si="2"/>
        <v>2509303.2741319574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0.23499999999999999</v>
      </c>
      <c r="K58" s="64">
        <f t="shared" si="6"/>
        <v>0.23499999999999999</v>
      </c>
      <c r="L58" s="63">
        <f t="shared" si="7"/>
        <v>0</v>
      </c>
      <c r="M58" s="64">
        <f t="shared" si="8"/>
        <v>0</v>
      </c>
      <c r="N58" s="65"/>
      <c r="O58" s="63">
        <f t="shared" si="9"/>
        <v>4.2549999999999999</v>
      </c>
      <c r="P58" s="63">
        <f t="shared" si="10"/>
        <v>4.2549999999999999</v>
      </c>
      <c r="Q58" s="66"/>
      <c r="R58" s="63">
        <f t="shared" si="34"/>
        <v>0.17</v>
      </c>
      <c r="S58" s="64">
        <f t="shared" si="11"/>
        <v>0.17</v>
      </c>
      <c r="T58" s="38">
        <v>0</v>
      </c>
      <c r="U58" s="64">
        <f t="shared" si="12"/>
        <v>0</v>
      </c>
      <c r="V58" s="219">
        <f>IF($A59="","",IF(AND(MONTH(A58)&gt;3,MONTH(A58)&lt;11),(T58+R58+G58)*Summary!$T$11/(1-Summary!$T$11),(T58+R58+G58)*Summary!$U$11/(1-Summary!$U$11)))</f>
        <v>4.4678226711614491E-2</v>
      </c>
      <c r="W58" s="43">
        <f t="shared" si="13"/>
        <v>4.2346782267116136</v>
      </c>
      <c r="X58" s="43">
        <f t="shared" si="14"/>
        <v>4.2346782267116136</v>
      </c>
      <c r="Y58" s="43"/>
      <c r="Z58" s="38">
        <f t="shared" si="15"/>
        <v>0.5</v>
      </c>
      <c r="AA58" s="38">
        <f t="shared" si="16"/>
        <v>0.25800000000000001</v>
      </c>
      <c r="AB58" s="38">
        <f t="shared" ca="1" si="17"/>
        <v>0.26295674356272941</v>
      </c>
      <c r="AC58" s="38">
        <f t="shared" si="18"/>
        <v>0.5</v>
      </c>
      <c r="AD58" s="38">
        <f t="shared" si="18"/>
        <v>0.25800000000000001</v>
      </c>
      <c r="AE58" s="38">
        <f t="shared" ca="1" si="19"/>
        <v>0.26295674356272941</v>
      </c>
      <c r="AF58" s="238">
        <f ca="1">((Summary!$N$11*(AA58*AD58)*(A58-$D$3))+(Summary!$M$11*Z58*AC58*(AJ58-EOMONTH(EDATE(A58,-1),0))))/(AK58*AB58*AE58)</f>
        <v>0.99990366934213537</v>
      </c>
      <c r="AG58" s="88">
        <f>IF($A59="","",Summary!$Q$11)</f>
        <v>0</v>
      </c>
      <c r="AH58" s="88">
        <f>IF($A59="","",IF(Summary!$R$11="Y",(VLOOKUP($A58,Summary!$AD$6:$AF$9,3)+'Escalating commodity'!G71),'Escalating commodity'!G71))</f>
        <v>5.260311212863961E-3</v>
      </c>
      <c r="AI58" s="88">
        <f t="shared" si="35"/>
        <v>5.260311212863961E-3</v>
      </c>
      <c r="AJ58" s="236">
        <f t="shared" si="20"/>
        <v>38518</v>
      </c>
      <c r="AK58" s="58">
        <f t="shared" ca="1" si="21"/>
        <v>1478</v>
      </c>
      <c r="AL58" s="26">
        <f ca="1">IF($A59="","",_xll.SPRDOPT(P58,X58,AI58,0,AB58,AE58,AF58,AK58,$AJ$2,0))</f>
        <v>1.824821663242128E-2</v>
      </c>
      <c r="AM58" s="209">
        <f t="shared" si="22"/>
        <v>1.5061462075522286E-2</v>
      </c>
      <c r="AN58" s="89">
        <f t="shared" ca="1" si="23"/>
        <v>3.1867545568989939E-3</v>
      </c>
      <c r="AO58" s="3">
        <f t="shared" si="24"/>
        <v>30</v>
      </c>
      <c r="AP58" s="33">
        <f t="shared" si="25"/>
        <v>38504</v>
      </c>
      <c r="AQ58" s="58">
        <f t="shared" ca="1" si="26"/>
        <v>1478</v>
      </c>
      <c r="AR58" s="38">
        <f>'ANR OK vs ML7'!AR58</f>
        <v>0.1</v>
      </c>
      <c r="AS58" s="35">
        <f t="shared" ca="1" si="27"/>
        <v>0.67377231292443529</v>
      </c>
      <c r="AT58" s="3">
        <f t="shared" si="28"/>
        <v>1</v>
      </c>
      <c r="AU58" s="3">
        <f t="shared" si="29"/>
        <v>30</v>
      </c>
      <c r="AW58" s="32">
        <f t="shared" ca="1" si="30"/>
        <v>67961.103275461268</v>
      </c>
      <c r="AX58" s="32">
        <f t="shared" si="31"/>
        <v>56092.800749384631</v>
      </c>
      <c r="AY58" s="32">
        <f t="shared" ca="1" si="32"/>
        <v>11868.302526076646</v>
      </c>
      <c r="BA58" s="32">
        <f ca="1">IF($A59="","",F58*Summary!$Q$11)</f>
        <v>0</v>
      </c>
      <c r="BC58" s="256">
        <f t="shared" ca="1" si="36"/>
        <v>37793.776099322378</v>
      </c>
    </row>
    <row r="59" spans="1:55">
      <c r="A59" s="67">
        <f t="shared" si="33"/>
        <v>38534</v>
      </c>
      <c r="B59" s="69">
        <f t="shared" si="37"/>
        <v>124142</v>
      </c>
      <c r="C59" s="71"/>
      <c r="D59" s="69">
        <f t="shared" si="0"/>
        <v>124142</v>
      </c>
      <c r="E59" s="70">
        <f t="shared" si="1"/>
        <v>3848402</v>
      </c>
      <c r="F59" s="70">
        <f t="shared" ca="1" si="2"/>
        <v>2572247.7975653596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0.23499999999999999</v>
      </c>
      <c r="K59" s="64">
        <f t="shared" si="6"/>
        <v>0.23499999999999999</v>
      </c>
      <c r="L59" s="63">
        <f t="shared" si="7"/>
        <v>0</v>
      </c>
      <c r="M59" s="64">
        <f t="shared" si="8"/>
        <v>0</v>
      </c>
      <c r="N59" s="65"/>
      <c r="O59" s="63">
        <f t="shared" si="9"/>
        <v>4.3100000000000005</v>
      </c>
      <c r="P59" s="63">
        <f t="shared" si="10"/>
        <v>4.3100000000000005</v>
      </c>
      <c r="Q59" s="66"/>
      <c r="R59" s="63">
        <f t="shared" si="34"/>
        <v>0.17</v>
      </c>
      <c r="S59" s="64">
        <f t="shared" si="11"/>
        <v>0.17</v>
      </c>
      <c r="T59" s="38">
        <v>0</v>
      </c>
      <c r="U59" s="64">
        <f t="shared" si="12"/>
        <v>0</v>
      </c>
      <c r="V59" s="219">
        <f>IF($A60="","",IF(AND(MONTH(A59)&gt;3,MONTH(A59)&lt;11),(T59+R59+G59)*Summary!$T$11/(1-Summary!$T$11),(T59+R59+G59)*Summary!$U$11/(1-Summary!$U$11)))</f>
        <v>4.5264695081337361E-2</v>
      </c>
      <c r="W59" s="43">
        <f t="shared" si="13"/>
        <v>4.2902646950813379</v>
      </c>
      <c r="X59" s="43">
        <f t="shared" si="14"/>
        <v>4.2902646950813379</v>
      </c>
      <c r="Y59" s="43"/>
      <c r="Z59" s="38">
        <f t="shared" si="15"/>
        <v>0.55000000000000004</v>
      </c>
      <c r="AA59" s="38">
        <f t="shared" si="16"/>
        <v>0.25800000000000001</v>
      </c>
      <c r="AB59" s="38">
        <f t="shared" ca="1" si="17"/>
        <v>0.26404051061661798</v>
      </c>
      <c r="AC59" s="38">
        <f t="shared" si="18"/>
        <v>0.55000000000000004</v>
      </c>
      <c r="AD59" s="38">
        <f t="shared" si="18"/>
        <v>0.25800000000000001</v>
      </c>
      <c r="AE59" s="38">
        <f t="shared" ca="1" si="19"/>
        <v>0.26404051061661798</v>
      </c>
      <c r="AF59" s="238">
        <f ca="1">((Summary!$N$11*(AA59*AD59)*(A59-$D$3))+(Summary!$M$11*Z59*AC59*(AJ59-EOMONTH(EDATE(A59,-1),0))))/(AK59*AB59*AE59)</f>
        <v>0.99990445979203668</v>
      </c>
      <c r="AG59" s="88">
        <f>IF($A60="","",Summary!$Q$11)</f>
        <v>0</v>
      </c>
      <c r="AH59" s="88">
        <f>IF($A60="","",IF(Summary!$R$11="Y",(VLOOKUP($A59,Summary!$AD$6:$AF$9,3)+'Escalating commodity'!G72),'Escalating commodity'!G72))</f>
        <v>5.260311212863961E-3</v>
      </c>
      <c r="AI59" s="88">
        <f t="shared" si="35"/>
        <v>5.260311212863961E-3</v>
      </c>
      <c r="AJ59" s="236">
        <f t="shared" si="20"/>
        <v>38548.5</v>
      </c>
      <c r="AK59" s="58">
        <f t="shared" ca="1" si="21"/>
        <v>1508</v>
      </c>
      <c r="AL59" s="26">
        <f ca="1">IF($A60="","",_xll.SPRDOPT(P59,X59,AI59,0,AB59,AE59,AF59,AK59,$AJ$2,0))</f>
        <v>1.7766986972076265E-2</v>
      </c>
      <c r="AM59" s="209">
        <f t="shared" si="22"/>
        <v>1.4474993705798639E-2</v>
      </c>
      <c r="AN59" s="89">
        <f t="shared" ca="1" si="23"/>
        <v>3.2919932662776267E-3</v>
      </c>
      <c r="AO59" s="3">
        <f t="shared" si="24"/>
        <v>31</v>
      </c>
      <c r="AP59" s="33">
        <f t="shared" si="25"/>
        <v>38534</v>
      </c>
      <c r="AQ59" s="58">
        <f t="shared" ca="1" si="26"/>
        <v>1508</v>
      </c>
      <c r="AR59" s="38">
        <f>'ANR OK vs ML7'!AR59</f>
        <v>0.1</v>
      </c>
      <c r="AS59" s="35">
        <f t="shared" ca="1" si="27"/>
        <v>0.66839373785933998</v>
      </c>
      <c r="AT59" s="3">
        <f t="shared" si="28"/>
        <v>1</v>
      </c>
      <c r="AU59" s="3">
        <f t="shared" si="29"/>
        <v>31</v>
      </c>
      <c r="AW59" s="32">
        <f t="shared" ca="1" si="30"/>
        <v>68374.508197312243</v>
      </c>
      <c r="AX59" s="32">
        <f t="shared" si="31"/>
        <v>55705.594727382893</v>
      </c>
      <c r="AY59" s="32">
        <f t="shared" ca="1" si="32"/>
        <v>12668.913469929352</v>
      </c>
      <c r="BA59" s="32">
        <f ca="1">IF($A60="","",F59*Summary!$Q$11)</f>
        <v>0</v>
      </c>
      <c r="BC59" s="256">
        <f t="shared" ca="1" si="36"/>
        <v>37233.270679512993</v>
      </c>
    </row>
    <row r="60" spans="1:55">
      <c r="A60" s="67">
        <f t="shared" si="33"/>
        <v>38565</v>
      </c>
      <c r="B60" s="69">
        <f t="shared" si="37"/>
        <v>124142</v>
      </c>
      <c r="C60" s="71"/>
      <c r="D60" s="69">
        <f t="shared" si="0"/>
        <v>124142</v>
      </c>
      <c r="E60" s="70">
        <f t="shared" si="1"/>
        <v>3848402</v>
      </c>
      <c r="F60" s="70">
        <f t="shared" ca="1" si="2"/>
        <v>2551032.4875582228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0.23499999999999999</v>
      </c>
      <c r="K60" s="64">
        <f t="shared" si="6"/>
        <v>0.23499999999999999</v>
      </c>
      <c r="L60" s="63">
        <f t="shared" si="7"/>
        <v>0</v>
      </c>
      <c r="M60" s="64">
        <f t="shared" si="8"/>
        <v>0</v>
      </c>
      <c r="N60" s="65"/>
      <c r="O60" s="63">
        <f t="shared" si="9"/>
        <v>4.3660000000000005</v>
      </c>
      <c r="P60" s="63">
        <f t="shared" si="10"/>
        <v>4.3660000000000005</v>
      </c>
      <c r="Q60" s="66"/>
      <c r="R60" s="63">
        <f t="shared" si="34"/>
        <v>0.17</v>
      </c>
      <c r="S60" s="64">
        <f t="shared" si="11"/>
        <v>0.17</v>
      </c>
      <c r="T60" s="38">
        <v>0</v>
      </c>
      <c r="U60" s="64">
        <f t="shared" si="12"/>
        <v>0</v>
      </c>
      <c r="V60" s="219">
        <f>IF($A61="","",IF(AND(MONTH(A60)&gt;3,MONTH(A60)&lt;11),(T60+R60+G60)*Summary!$T$11/(1-Summary!$T$11),(T60+R60+G60)*Summary!$U$11/(1-Summary!$U$11)))</f>
        <v>4.5861826512327904E-2</v>
      </c>
      <c r="W60" s="43">
        <f t="shared" si="13"/>
        <v>4.3468618265123284</v>
      </c>
      <c r="X60" s="43">
        <f t="shared" si="14"/>
        <v>4.3468618265123284</v>
      </c>
      <c r="Y60" s="43"/>
      <c r="Z60" s="38">
        <f t="shared" si="15"/>
        <v>0.6</v>
      </c>
      <c r="AA60" s="38">
        <f t="shared" si="16"/>
        <v>0.25800000000000001</v>
      </c>
      <c r="AB60" s="38">
        <f t="shared" ca="1" si="17"/>
        <v>0.2650150608100233</v>
      </c>
      <c r="AC60" s="38">
        <f t="shared" si="18"/>
        <v>0.6</v>
      </c>
      <c r="AD60" s="38">
        <f t="shared" si="18"/>
        <v>0.25800000000000001</v>
      </c>
      <c r="AE60" s="38">
        <f t="shared" ca="1" si="19"/>
        <v>0.2650150608100233</v>
      </c>
      <c r="AF60" s="238">
        <f ca="1">((Summary!$N$11*(AA60*AD60)*(A60-$D$3))+(Summary!$M$11*Z60*AC60*(AJ60-EOMONTH(EDATE(A60,-1),0))))/(AK60*AB60*AE60)</f>
        <v>0.99990516243347138</v>
      </c>
      <c r="AG60" s="88">
        <f>IF($A61="","",Summary!$Q$11)</f>
        <v>0</v>
      </c>
      <c r="AH60" s="88">
        <f>IF($A61="","",IF(Summary!$R$11="Y",(VLOOKUP($A60,Summary!$AD$6:$AF$9,3)+'Escalating commodity'!G73),'Escalating commodity'!G73))</f>
        <v>5.260311212863961E-3</v>
      </c>
      <c r="AI60" s="88">
        <f t="shared" si="35"/>
        <v>5.260311212863961E-3</v>
      </c>
      <c r="AJ60" s="236">
        <f t="shared" si="20"/>
        <v>38579.5</v>
      </c>
      <c r="AK60" s="58">
        <f t="shared" ca="1" si="21"/>
        <v>1539</v>
      </c>
      <c r="AL60" s="26">
        <f ca="1">IF($A61="","",_xll.SPRDOPT(P60,X60,AI60,0,AB60,AE60,AF60,AK60,$AJ$2,0))</f>
        <v>1.7279586758910948E-2</v>
      </c>
      <c r="AM60" s="209">
        <f t="shared" si="22"/>
        <v>1.3877862274808144E-2</v>
      </c>
      <c r="AN60" s="89">
        <f t="shared" ca="1" si="23"/>
        <v>3.4017244841028031E-3</v>
      </c>
      <c r="AO60" s="3">
        <f t="shared" si="24"/>
        <v>31</v>
      </c>
      <c r="AP60" s="33">
        <f t="shared" si="25"/>
        <v>38565</v>
      </c>
      <c r="AQ60" s="58">
        <f t="shared" ca="1" si="26"/>
        <v>1539</v>
      </c>
      <c r="AR60" s="38">
        <f>'ANR OK vs ML7'!AR60</f>
        <v>0.1</v>
      </c>
      <c r="AS60" s="35">
        <f t="shared" ca="1" si="27"/>
        <v>0.66288097957495684</v>
      </c>
      <c r="AT60" s="3">
        <f t="shared" si="28"/>
        <v>1</v>
      </c>
      <c r="AU60" s="3">
        <f t="shared" si="29"/>
        <v>31</v>
      </c>
      <c r="AW60" s="32">
        <f t="shared" ca="1" si="30"/>
        <v>66498.796242166412</v>
      </c>
      <c r="AX60" s="32">
        <f t="shared" si="31"/>
        <v>53407.59293409621</v>
      </c>
      <c r="AY60" s="32">
        <f t="shared" ca="1" si="32"/>
        <v>13091.203308070195</v>
      </c>
      <c r="BA60" s="32">
        <f ca="1">IF($A61="","",F60*Summary!$Q$11)</f>
        <v>0</v>
      </c>
      <c r="BC60" s="256">
        <f t="shared" ca="1" si="36"/>
        <v>35402.877520894239</v>
      </c>
    </row>
    <row r="61" spans="1:55">
      <c r="A61" s="67">
        <f t="shared" si="33"/>
        <v>38596</v>
      </c>
      <c r="B61" s="69">
        <f t="shared" si="37"/>
        <v>124142</v>
      </c>
      <c r="C61" s="71"/>
      <c r="D61" s="69">
        <f t="shared" si="0"/>
        <v>124142</v>
      </c>
      <c r="E61" s="70">
        <f t="shared" si="1"/>
        <v>3724260</v>
      </c>
      <c r="F61" s="70">
        <f t="shared" ca="1" si="2"/>
        <v>2448379.5063515473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0.23499999999999999</v>
      </c>
      <c r="K61" s="64">
        <f t="shared" si="6"/>
        <v>0.23499999999999999</v>
      </c>
      <c r="L61" s="63">
        <f t="shared" si="7"/>
        <v>0</v>
      </c>
      <c r="M61" s="64">
        <f t="shared" si="8"/>
        <v>0</v>
      </c>
      <c r="N61" s="65"/>
      <c r="O61" s="63">
        <f t="shared" si="9"/>
        <v>4.38</v>
      </c>
      <c r="P61" s="63">
        <f t="shared" si="10"/>
        <v>4.38</v>
      </c>
      <c r="Q61" s="66"/>
      <c r="R61" s="63">
        <f t="shared" si="34"/>
        <v>0.17</v>
      </c>
      <c r="S61" s="64">
        <f t="shared" si="11"/>
        <v>0.17</v>
      </c>
      <c r="T61" s="38">
        <v>0</v>
      </c>
      <c r="U61" s="64">
        <f t="shared" si="12"/>
        <v>0</v>
      </c>
      <c r="V61" s="219">
        <f>IF($A62="","",IF(AND(MONTH(A61)&gt;3,MONTH(A61)&lt;11),(T61+R61+G61)*Summary!$T$11/(1-Summary!$T$11),(T61+R61+G61)*Summary!$U$11/(1-Summary!$U$11)))</f>
        <v>4.6011109370075541E-2</v>
      </c>
      <c r="W61" s="43">
        <f t="shared" si="13"/>
        <v>4.3610111093700752</v>
      </c>
      <c r="X61" s="43">
        <f t="shared" si="14"/>
        <v>4.3610111093700752</v>
      </c>
      <c r="Y61" s="43"/>
      <c r="Z61" s="38">
        <f t="shared" si="15"/>
        <v>0.6</v>
      </c>
      <c r="AA61" s="38">
        <f t="shared" si="16"/>
        <v>0.25800000000000001</v>
      </c>
      <c r="AB61" s="38">
        <f t="shared" ca="1" si="17"/>
        <v>0.26466183687507566</v>
      </c>
      <c r="AC61" s="38">
        <f t="shared" si="18"/>
        <v>0.6</v>
      </c>
      <c r="AD61" s="38">
        <f t="shared" si="18"/>
        <v>0.25800000000000001</v>
      </c>
      <c r="AE61" s="38">
        <f t="shared" ca="1" si="19"/>
        <v>0.26466183687507566</v>
      </c>
      <c r="AF61" s="238">
        <f ca="1">((Summary!$N$11*(AA61*AD61)*(A61-$D$3))+(Summary!$M$11*Z61*AC61*(AJ61-EOMONTH(EDATE(A61,-1),0))))/(AK61*AB61*AE61)</f>
        <v>0.99990491033884954</v>
      </c>
      <c r="AG61" s="88">
        <f>IF($A62="","",Summary!$Q$11)</f>
        <v>0</v>
      </c>
      <c r="AH61" s="88">
        <f>IF($A62="","",IF(Summary!$R$11="Y",(VLOOKUP($A61,Summary!$AD$6:$AF$9,3)+'Escalating commodity'!G74),'Escalating commodity'!G74))</f>
        <v>5.260311212863961E-3</v>
      </c>
      <c r="AI61" s="88">
        <f t="shared" si="35"/>
        <v>5.260311212863961E-3</v>
      </c>
      <c r="AJ61" s="236">
        <f t="shared" si="20"/>
        <v>38610</v>
      </c>
      <c r="AK61" s="58">
        <f t="shared" ca="1" si="21"/>
        <v>1570</v>
      </c>
      <c r="AL61" s="26">
        <f ca="1">IF($A62="","",_xll.SPRDOPT(P61,X61,AI61,0,AB61,AE61,AF61,AK61,$AJ$2,0))</f>
        <v>1.7195147491546811E-2</v>
      </c>
      <c r="AM61" s="209">
        <f t="shared" si="22"/>
        <v>1.3728579417060743E-2</v>
      </c>
      <c r="AN61" s="89">
        <f t="shared" ca="1" si="23"/>
        <v>3.4665680744860681E-3</v>
      </c>
      <c r="AO61" s="3">
        <f t="shared" si="24"/>
        <v>30</v>
      </c>
      <c r="AP61" s="33">
        <f t="shared" si="25"/>
        <v>38596</v>
      </c>
      <c r="AQ61" s="58">
        <f t="shared" ca="1" si="26"/>
        <v>1570</v>
      </c>
      <c r="AR61" s="38">
        <f>'ANR OK vs ML7'!AR61</f>
        <v>0.1</v>
      </c>
      <c r="AS61" s="35">
        <f t="shared" ca="1" si="27"/>
        <v>0.65741368925680466</v>
      </c>
      <c r="AT61" s="3">
        <f t="shared" si="28"/>
        <v>1</v>
      </c>
      <c r="AU61" s="3">
        <f t="shared" si="29"/>
        <v>30</v>
      </c>
      <c r="AW61" s="32">
        <f t="shared" ca="1" si="30"/>
        <v>64039.199996868127</v>
      </c>
      <c r="AX61" s="32">
        <f t="shared" si="31"/>
        <v>51128.79917978264</v>
      </c>
      <c r="AY61" s="32">
        <f t="shared" ca="1" si="32"/>
        <v>12910.400817085483</v>
      </c>
      <c r="BA61" s="32">
        <f ca="1">IF($A62="","",F61*Summary!$Q$11)</f>
        <v>0</v>
      </c>
      <c r="BC61" s="256">
        <f t="shared" ca="1" si="36"/>
        <v>33612.772496051199</v>
      </c>
    </row>
    <row r="62" spans="1:55">
      <c r="A62" s="67">
        <f t="shared" si="33"/>
        <v>38626</v>
      </c>
      <c r="B62" s="69">
        <f t="shared" si="37"/>
        <v>124142</v>
      </c>
      <c r="C62" s="71"/>
      <c r="D62" s="69">
        <f t="shared" si="0"/>
        <v>124142</v>
      </c>
      <c r="E62" s="70">
        <f t="shared" si="1"/>
        <v>3848402</v>
      </c>
      <c r="F62" s="70">
        <f t="shared" ca="1" si="2"/>
        <v>2509795.7898275726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0.23499999999999999</v>
      </c>
      <c r="K62" s="64">
        <f t="shared" si="6"/>
        <v>0.23499999999999999</v>
      </c>
      <c r="L62" s="63">
        <f t="shared" si="7"/>
        <v>0</v>
      </c>
      <c r="M62" s="64">
        <f t="shared" si="8"/>
        <v>0</v>
      </c>
      <c r="N62" s="65"/>
      <c r="O62" s="63">
        <f t="shared" si="9"/>
        <v>4.4110000000000005</v>
      </c>
      <c r="P62" s="63">
        <f t="shared" si="10"/>
        <v>4.4110000000000005</v>
      </c>
      <c r="Q62" s="66"/>
      <c r="R62" s="63">
        <f t="shared" si="34"/>
        <v>0.17</v>
      </c>
      <c r="S62" s="64">
        <f t="shared" si="11"/>
        <v>0.17</v>
      </c>
      <c r="T62" s="38">
        <v>0</v>
      </c>
      <c r="U62" s="64">
        <f t="shared" si="12"/>
        <v>0</v>
      </c>
      <c r="V62" s="219">
        <f>IF($A63="","",IF(AND(MONTH(A62)&gt;3,MONTH(A62)&lt;11),(T62+R62+G62)*Summary!$T$11/(1-Summary!$T$11),(T62+R62+G62)*Summary!$U$11/(1-Summary!$U$11)))</f>
        <v>4.6341664269373882E-2</v>
      </c>
      <c r="W62" s="43">
        <f t="shared" si="13"/>
        <v>4.3923416642693738</v>
      </c>
      <c r="X62" s="43">
        <f t="shared" si="14"/>
        <v>4.3923416642693738</v>
      </c>
      <c r="Y62" s="43"/>
      <c r="Z62" s="38">
        <f t="shared" si="15"/>
        <v>0.65</v>
      </c>
      <c r="AA62" s="38">
        <f t="shared" si="16"/>
        <v>0.25800000000000001</v>
      </c>
      <c r="AB62" s="38">
        <f t="shared" ca="1" si="17"/>
        <v>0.26589202930889072</v>
      </c>
      <c r="AC62" s="38">
        <f t="shared" si="18"/>
        <v>0.65</v>
      </c>
      <c r="AD62" s="38">
        <f t="shared" si="18"/>
        <v>0.25800000000000001</v>
      </c>
      <c r="AE62" s="38">
        <f t="shared" ca="1" si="19"/>
        <v>0.26589202930889072</v>
      </c>
      <c r="AF62" s="238">
        <f ca="1">((Summary!$N$11*(AA62*AD62)*(A62-$D$3))+(Summary!$M$11*Z62*AC62*(AJ62-EOMONTH(EDATE(A62,-1),0))))/(AK62*AB62*AE62)</f>
        <v>0.999905789323147</v>
      </c>
      <c r="AG62" s="88">
        <f>IF($A63="","",Summary!$Q$11)</f>
        <v>0</v>
      </c>
      <c r="AH62" s="88">
        <f>IF($A63="","",IF(Summary!$R$11="Y",(VLOOKUP($A62,Summary!$AD$6:$AF$9,3)+'Escalating commodity'!G75),'Escalating commodity'!G75))</f>
        <v>5.260311212863961E-3</v>
      </c>
      <c r="AI62" s="88">
        <f t="shared" si="35"/>
        <v>5.260311212863961E-3</v>
      </c>
      <c r="AJ62" s="236">
        <f t="shared" si="20"/>
        <v>38640.5</v>
      </c>
      <c r="AK62" s="58">
        <f t="shared" ca="1" si="21"/>
        <v>1600</v>
      </c>
      <c r="AL62" s="26">
        <f ca="1">IF($A63="","",_xll.SPRDOPT(P62,X62,AI62,0,AB62,AE62,AF62,AK62,$AJ$2,0))</f>
        <v>1.6935887164227136E-2</v>
      </c>
      <c r="AM62" s="209">
        <f t="shared" si="22"/>
        <v>1.3398024517762735E-2</v>
      </c>
      <c r="AN62" s="89">
        <f t="shared" ca="1" si="23"/>
        <v>3.5378626464644004E-3</v>
      </c>
      <c r="AO62" s="3">
        <f t="shared" si="24"/>
        <v>31</v>
      </c>
      <c r="AP62" s="33">
        <f t="shared" si="25"/>
        <v>38626</v>
      </c>
      <c r="AQ62" s="58">
        <f t="shared" ca="1" si="26"/>
        <v>1600</v>
      </c>
      <c r="AR62" s="38">
        <f>'ANR OK vs ML7'!AR62</f>
        <v>0.1</v>
      </c>
      <c r="AS62" s="35">
        <f t="shared" ca="1" si="27"/>
        <v>0.65216570145935182</v>
      </c>
      <c r="AT62" s="3">
        <f t="shared" si="28"/>
        <v>1</v>
      </c>
      <c r="AU62" s="3">
        <f t="shared" si="29"/>
        <v>31</v>
      </c>
      <c r="AW62" s="32">
        <f t="shared" ca="1" si="30"/>
        <v>65176.102034586038</v>
      </c>
      <c r="AX62" s="32">
        <f t="shared" si="31"/>
        <v>51560.984350207145</v>
      </c>
      <c r="AY62" s="32">
        <f t="shared" ca="1" si="32"/>
        <v>13615.117684378891</v>
      </c>
      <c r="BA62" s="32">
        <f ca="1">IF($A63="","",F62*Summary!$Q$11)</f>
        <v>0</v>
      </c>
      <c r="BC62" s="256">
        <f t="shared" ca="1" si="36"/>
        <v>33626.305526687509</v>
      </c>
    </row>
    <row r="63" spans="1:55">
      <c r="A63" s="67">
        <f t="shared" si="33"/>
        <v>38657</v>
      </c>
      <c r="B63" s="69">
        <f t="shared" si="37"/>
        <v>124142</v>
      </c>
      <c r="C63" s="71"/>
      <c r="D63" s="69">
        <f t="shared" si="0"/>
        <v>124142</v>
      </c>
      <c r="E63" s="70">
        <f t="shared" si="1"/>
        <v>3724260</v>
      </c>
      <c r="F63" s="70">
        <f t="shared" ca="1" si="2"/>
        <v>2408802.1641868553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0.53500000000000003</v>
      </c>
      <c r="K63" s="64">
        <f t="shared" si="6"/>
        <v>0.53500000000000003</v>
      </c>
      <c r="L63" s="63">
        <f t="shared" si="7"/>
        <v>0</v>
      </c>
      <c r="M63" s="64">
        <f t="shared" si="8"/>
        <v>0</v>
      </c>
      <c r="N63" s="65"/>
      <c r="O63" s="63">
        <f t="shared" si="9"/>
        <v>4.8440000000000003</v>
      </c>
      <c r="P63" s="63">
        <f t="shared" si="10"/>
        <v>4.8440000000000003</v>
      </c>
      <c r="Q63" s="66"/>
      <c r="R63" s="63">
        <f t="shared" si="34"/>
        <v>0.32500000000000001</v>
      </c>
      <c r="S63" s="64">
        <f t="shared" si="11"/>
        <v>0.32500000000000001</v>
      </c>
      <c r="T63" s="38">
        <v>0</v>
      </c>
      <c r="U63" s="64">
        <f t="shared" si="12"/>
        <v>0</v>
      </c>
      <c r="V63" s="219">
        <f>IF($A64="","",IF(AND(MONTH(A63)&gt;3,MONTH(A63)&lt;11),(T63+R63+G63)*Summary!$T$11/(1-Summary!$T$11),(T63+R63+G63)*Summary!$U$11/(1-Summary!$U$11)))</f>
        <v>4.9412625914468156E-2</v>
      </c>
      <c r="W63" s="43">
        <f t="shared" si="13"/>
        <v>4.6834126259144684</v>
      </c>
      <c r="X63" s="43">
        <f t="shared" si="14"/>
        <v>4.6834126259144684</v>
      </c>
      <c r="Y63" s="43"/>
      <c r="Z63" s="38">
        <f t="shared" si="15"/>
        <v>0.8</v>
      </c>
      <c r="AA63" s="38">
        <f t="shared" si="16"/>
        <v>0.25800000000000001</v>
      </c>
      <c r="AB63" s="38">
        <f t="shared" ca="1" si="17"/>
        <v>0.2692411025566997</v>
      </c>
      <c r="AC63" s="38">
        <f t="shared" si="18"/>
        <v>0.8</v>
      </c>
      <c r="AD63" s="38">
        <f t="shared" si="18"/>
        <v>0.25800000000000001</v>
      </c>
      <c r="AE63" s="38">
        <f t="shared" ca="1" si="19"/>
        <v>0.2692411025566997</v>
      </c>
      <c r="AF63" s="238">
        <f ca="1">((Summary!$N$11*(AA63*AD63)*(A63-$D$3))+(Summary!$M$11*Z63*AC63*(AJ63-EOMONTH(EDATE(A63,-1),0))))/(AK63*AB63*AE63)</f>
        <v>0.99990811959843706</v>
      </c>
      <c r="AG63" s="88">
        <f>IF($A64="","",Summary!$Q$11)</f>
        <v>0</v>
      </c>
      <c r="AH63" s="88">
        <f>IF($A64="","",IF(Summary!$R$11="Y",(VLOOKUP($A63,Summary!$AD$6:$AF$9,3)+'Escalating commodity'!G76),'Escalating commodity'!G76))</f>
        <v>5.260311212863961E-3</v>
      </c>
      <c r="AI63" s="88">
        <f t="shared" si="35"/>
        <v>5.260311212863961E-3</v>
      </c>
      <c r="AJ63" s="236">
        <f t="shared" si="20"/>
        <v>38671</v>
      </c>
      <c r="AK63" s="58">
        <f t="shared" ca="1" si="21"/>
        <v>1631</v>
      </c>
      <c r="AL63" s="26">
        <f ca="1">IF($A64="","",_xll.SPRDOPT(P63,X63,AI63,0,AB63,AE63,AF63,AK63,$AJ$2,0))</f>
        <v>0.15585488214070575</v>
      </c>
      <c r="AM63" s="209">
        <f t="shared" si="22"/>
        <v>0.15532706287266795</v>
      </c>
      <c r="AN63" s="89">
        <f t="shared" ca="1" si="23"/>
        <v>5.2781926803779911E-4</v>
      </c>
      <c r="AO63" s="3">
        <f t="shared" si="24"/>
        <v>30</v>
      </c>
      <c r="AP63" s="33">
        <f t="shared" si="25"/>
        <v>38657</v>
      </c>
      <c r="AQ63" s="58">
        <f t="shared" ca="1" si="26"/>
        <v>1631</v>
      </c>
      <c r="AR63" s="38">
        <f>'ANR OK vs ML7'!AR63</f>
        <v>0.1</v>
      </c>
      <c r="AS63" s="35">
        <f t="shared" ca="1" si="27"/>
        <v>0.64678678829803915</v>
      </c>
      <c r="AT63" s="3">
        <f t="shared" si="28"/>
        <v>1</v>
      </c>
      <c r="AU63" s="3">
        <f t="shared" si="29"/>
        <v>30</v>
      </c>
      <c r="AW63" s="32">
        <f t="shared" ca="1" si="30"/>
        <v>580444.10336134478</v>
      </c>
      <c r="AX63" s="32">
        <f t="shared" si="31"/>
        <v>578478.3671741623</v>
      </c>
      <c r="AY63" s="32">
        <f t="shared" ca="1" si="32"/>
        <v>1965.7361871824537</v>
      </c>
      <c r="BA63" s="32">
        <f ca="1">IF($A64="","",F63*Summary!$Q$11)</f>
        <v>0</v>
      </c>
      <c r="BC63" s="256">
        <f t="shared" ca="1" si="36"/>
        <v>374152.16520447034</v>
      </c>
    </row>
    <row r="64" spans="1:55">
      <c r="A64" s="67">
        <f t="shared" si="33"/>
        <v>38687</v>
      </c>
      <c r="B64" s="69">
        <f t="shared" si="37"/>
        <v>124142</v>
      </c>
      <c r="C64" s="71"/>
      <c r="D64" s="69">
        <f t="shared" si="0"/>
        <v>124142</v>
      </c>
      <c r="E64" s="70">
        <f t="shared" si="1"/>
        <v>3848402</v>
      </c>
      <c r="F64" s="70">
        <f t="shared" ca="1" si="2"/>
        <v>2469225.6713145613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0.53500000000000003</v>
      </c>
      <c r="K64" s="64">
        <f t="shared" si="6"/>
        <v>0.53500000000000003</v>
      </c>
      <c r="L64" s="63">
        <f t="shared" si="7"/>
        <v>0</v>
      </c>
      <c r="M64" s="64">
        <f t="shared" si="8"/>
        <v>0</v>
      </c>
      <c r="N64" s="65"/>
      <c r="O64" s="63">
        <f t="shared" si="9"/>
        <v>4.9820000000000002</v>
      </c>
      <c r="P64" s="63">
        <f t="shared" si="10"/>
        <v>4.9820000000000002</v>
      </c>
      <c r="Q64" s="66"/>
      <c r="R64" s="63">
        <f t="shared" si="34"/>
        <v>0.32500000000000001</v>
      </c>
      <c r="S64" s="64">
        <f t="shared" si="11"/>
        <v>0.32500000000000001</v>
      </c>
      <c r="T64" s="38">
        <v>0</v>
      </c>
      <c r="U64" s="64">
        <f t="shared" si="12"/>
        <v>0</v>
      </c>
      <c r="V64" s="219">
        <f>IF($A65="","",IF(AND(MONTH(A64)&gt;3,MONTH(A64)&lt;11),(T64+R64+G64)*Summary!$T$11/(1-Summary!$T$11),(T64+R64+G64)*Summary!$U$11/(1-Summary!$U$11)))</f>
        <v>5.0884128369409157E-2</v>
      </c>
      <c r="W64" s="43">
        <f t="shared" si="13"/>
        <v>4.8228841283694095</v>
      </c>
      <c r="X64" s="43">
        <f t="shared" si="14"/>
        <v>4.8228841283694095</v>
      </c>
      <c r="Y64" s="43"/>
      <c r="Z64" s="38">
        <f t="shared" si="15"/>
        <v>1.1000000000000001</v>
      </c>
      <c r="AA64" s="38">
        <f t="shared" si="16"/>
        <v>0.26</v>
      </c>
      <c r="AB64" s="38">
        <f t="shared" ca="1" si="17"/>
        <v>0.28094855241298189</v>
      </c>
      <c r="AC64" s="38">
        <f t="shared" si="18"/>
        <v>1.1000000000000001</v>
      </c>
      <c r="AD64" s="38">
        <f t="shared" si="18"/>
        <v>0.26</v>
      </c>
      <c r="AE64" s="38">
        <f t="shared" ca="1" si="19"/>
        <v>0.28094855241298189</v>
      </c>
      <c r="AF64" s="238">
        <f ca="1">((Summary!$N$11*(AA64*AD64)*(A64-$D$3))+(Summary!$M$11*Z64*AC64*(AJ64-EOMONTH(EDATE(A64,-1),0))))/(AK64*AB64*AE64)</f>
        <v>0.99991430519685587</v>
      </c>
      <c r="AG64" s="88">
        <f>IF($A65="","",Summary!$Q$11)</f>
        <v>0</v>
      </c>
      <c r="AH64" s="88">
        <f>IF($A65="","",IF(Summary!$R$11="Y",(VLOOKUP($A64,Summary!$AD$6:$AF$9,3)+'Escalating commodity'!G77),'Escalating commodity'!G77))</f>
        <v>5.260311212863961E-3</v>
      </c>
      <c r="AI64" s="88">
        <f t="shared" si="35"/>
        <v>5.260311212863961E-3</v>
      </c>
      <c r="AJ64" s="236">
        <f t="shared" si="20"/>
        <v>38701.5</v>
      </c>
      <c r="AK64" s="58">
        <f t="shared" ca="1" si="21"/>
        <v>1661</v>
      </c>
      <c r="AL64" s="26">
        <f ca="1">IF($A65="","",_xll.SPRDOPT(P64,X64,AI64,0,AB64,AE64,AF64,AK64,$AJ$2,0))</f>
        <v>0.15452570136373339</v>
      </c>
      <c r="AM64" s="209">
        <f t="shared" si="22"/>
        <v>0.15385556041772674</v>
      </c>
      <c r="AN64" s="89">
        <f t="shared" ca="1" si="23"/>
        <v>6.7014094600664764E-4</v>
      </c>
      <c r="AO64" s="3">
        <f t="shared" si="24"/>
        <v>31</v>
      </c>
      <c r="AP64" s="33">
        <f t="shared" si="25"/>
        <v>38687</v>
      </c>
      <c r="AQ64" s="58">
        <f t="shared" ca="1" si="26"/>
        <v>1661</v>
      </c>
      <c r="AR64" s="38">
        <f>'ANR OK vs ML7'!AR64</f>
        <v>0.1</v>
      </c>
      <c r="AS64" s="35">
        <f t="shared" ca="1" si="27"/>
        <v>0.64162363269600242</v>
      </c>
      <c r="AT64" s="3">
        <f t="shared" si="28"/>
        <v>1</v>
      </c>
      <c r="AU64" s="3">
        <f t="shared" si="29"/>
        <v>31</v>
      </c>
      <c r="AW64" s="32">
        <f t="shared" ca="1" si="30"/>
        <v>594677.01817959431</v>
      </c>
      <c r="AX64" s="32">
        <f t="shared" si="31"/>
        <v>592098.0464227004</v>
      </c>
      <c r="AY64" s="32">
        <f t="shared" ca="1" si="32"/>
        <v>2578.971756893875</v>
      </c>
      <c r="BA64" s="32">
        <f ca="1">IF($A65="","",F64*Summary!$Q$11)</f>
        <v>0</v>
      </c>
      <c r="BC64" s="256">
        <f t="shared" ca="1" si="36"/>
        <v>379904.09945793939</v>
      </c>
    </row>
    <row r="65" spans="1:55">
      <c r="A65" s="67">
        <f t="shared" si="33"/>
        <v>38718</v>
      </c>
      <c r="B65" s="69">
        <f t="shared" si="37"/>
        <v>124142</v>
      </c>
      <c r="C65" s="71"/>
      <c r="D65" s="69">
        <f t="shared" si="0"/>
        <v>124142</v>
      </c>
      <c r="E65" s="70">
        <f t="shared" si="1"/>
        <v>3848402</v>
      </c>
      <c r="F65" s="70">
        <f t="shared" ca="1" si="2"/>
        <v>2448860.0641813362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0.53500000000000003</v>
      </c>
      <c r="K65" s="64">
        <f t="shared" si="6"/>
        <v>0.53500000000000003</v>
      </c>
      <c r="L65" s="63">
        <f t="shared" si="7"/>
        <v>0</v>
      </c>
      <c r="M65" s="64">
        <f t="shared" si="8"/>
        <v>0</v>
      </c>
      <c r="N65" s="65"/>
      <c r="O65" s="63">
        <f t="shared" si="9"/>
        <v>4.9790000000000001</v>
      </c>
      <c r="P65" s="63">
        <f t="shared" si="10"/>
        <v>4.9790000000000001</v>
      </c>
      <c r="Q65" s="66"/>
      <c r="R65" s="63">
        <f t="shared" si="34"/>
        <v>0.32500000000000001</v>
      </c>
      <c r="S65" s="64">
        <f t="shared" si="11"/>
        <v>0.32500000000000001</v>
      </c>
      <c r="T65" s="38">
        <v>0</v>
      </c>
      <c r="U65" s="64">
        <f t="shared" si="12"/>
        <v>0</v>
      </c>
      <c r="V65" s="219">
        <f>IF($A66="","",IF(AND(MONTH(A65)&gt;3,MONTH(A65)&lt;11),(T65+R65+G65)*Summary!$T$11/(1-Summary!$T$11),(T65+R65+G65)*Summary!$U$11/(1-Summary!$U$11)))</f>
        <v>5.0852139185606091E-2</v>
      </c>
      <c r="W65" s="43">
        <f t="shared" si="13"/>
        <v>4.8198521391856062</v>
      </c>
      <c r="X65" s="43">
        <f t="shared" si="14"/>
        <v>4.8198521391856062</v>
      </c>
      <c r="Y65" s="43"/>
      <c r="Z65" s="38">
        <f t="shared" si="15"/>
        <v>1.1000000000000001</v>
      </c>
      <c r="AA65" s="38">
        <f t="shared" si="16"/>
        <v>0.26300000000000001</v>
      </c>
      <c r="AB65" s="38">
        <f t="shared" ca="1" si="17"/>
        <v>0.28336265701406554</v>
      </c>
      <c r="AC65" s="38">
        <f t="shared" si="18"/>
        <v>1.1000000000000001</v>
      </c>
      <c r="AD65" s="38">
        <f t="shared" si="18"/>
        <v>0.26300000000000001</v>
      </c>
      <c r="AE65" s="38">
        <f t="shared" ca="1" si="19"/>
        <v>0.28336265701406554</v>
      </c>
      <c r="AF65" s="238">
        <f ca="1">((Summary!$N$11*(AA65*AD65)*(A65-$D$3))+(Summary!$M$11*Z65*AC65*(AJ65-EOMONTH(EDATE(A65,-1),0))))/(AK65*AB65*AE65)</f>
        <v>0.99991380484318038</v>
      </c>
      <c r="AG65" s="88">
        <f>IF($A66="","",Summary!$Q$11)</f>
        <v>0</v>
      </c>
      <c r="AH65" s="88">
        <f>IF($A66="","",IF(Summary!$R$11="Y",(VLOOKUP($A65,Summary!$AD$6:$AF$9,3)+'Escalating commodity'!G78),'Escalating commodity'!G78))</f>
        <v>5.3655174371212404E-3</v>
      </c>
      <c r="AI65" s="88">
        <f t="shared" si="35"/>
        <v>5.3655174371212404E-3</v>
      </c>
      <c r="AJ65" s="236">
        <f t="shared" si="20"/>
        <v>38732.5</v>
      </c>
      <c r="AK65" s="58">
        <f t="shared" ca="1" si="21"/>
        <v>1692</v>
      </c>
      <c r="AL65" s="26">
        <f ca="1">IF($A66="","",_xll.SPRDOPT(P65,X65,AI65,0,AB65,AE65,AF65,AK65,$AJ$2,0))</f>
        <v>0.15449714175171653</v>
      </c>
      <c r="AM65" s="209">
        <f t="shared" si="22"/>
        <v>0.15378234337727267</v>
      </c>
      <c r="AN65" s="89">
        <f t="shared" ca="1" si="23"/>
        <v>7.1479837444385352E-4</v>
      </c>
      <c r="AO65" s="3">
        <f t="shared" si="24"/>
        <v>31</v>
      </c>
      <c r="AP65" s="33">
        <f t="shared" si="25"/>
        <v>38718</v>
      </c>
      <c r="AQ65" s="58">
        <f t="shared" ca="1" si="26"/>
        <v>1692</v>
      </c>
      <c r="AR65" s="38">
        <f>'ANR OK vs ML7'!AR65</f>
        <v>0.1</v>
      </c>
      <c r="AS65" s="35">
        <f t="shared" ca="1" si="27"/>
        <v>0.63633166810050934</v>
      </c>
      <c r="AT65" s="3">
        <f t="shared" si="28"/>
        <v>1</v>
      </c>
      <c r="AU65" s="3">
        <f t="shared" si="29"/>
        <v>31</v>
      </c>
      <c r="AW65" s="32">
        <f t="shared" ca="1" si="30"/>
        <v>594567.10931158939</v>
      </c>
      <c r="AX65" s="32">
        <f t="shared" si="31"/>
        <v>591816.27781778295</v>
      </c>
      <c r="AY65" s="32">
        <f t="shared" ca="1" si="32"/>
        <v>2750.831493806475</v>
      </c>
      <c r="BA65" s="32">
        <f ca="1">IF($A66="","",F65*Summary!$Q$11)</f>
        <v>0</v>
      </c>
      <c r="BC65" s="256">
        <f t="shared" ca="1" si="36"/>
        <v>376591.43927282427</v>
      </c>
    </row>
    <row r="66" spans="1:55">
      <c r="A66" s="67">
        <f t="shared" si="33"/>
        <v>38749</v>
      </c>
      <c r="B66" s="69">
        <f t="shared" si="37"/>
        <v>124142</v>
      </c>
      <c r="C66" s="71"/>
      <c r="D66" s="69">
        <f t="shared" si="0"/>
        <v>124142</v>
      </c>
      <c r="E66" s="70">
        <f t="shared" si="1"/>
        <v>3475976</v>
      </c>
      <c r="F66" s="70">
        <f t="shared" ca="1" si="2"/>
        <v>2193630.5800439729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0.53500000000000003</v>
      </c>
      <c r="K66" s="64">
        <f t="shared" si="6"/>
        <v>0.53500000000000003</v>
      </c>
      <c r="L66" s="63">
        <f t="shared" si="7"/>
        <v>0</v>
      </c>
      <c r="M66" s="64">
        <f t="shared" si="8"/>
        <v>0</v>
      </c>
      <c r="N66" s="65"/>
      <c r="O66" s="63">
        <f t="shared" si="9"/>
        <v>4.859</v>
      </c>
      <c r="P66" s="63">
        <f t="shared" si="10"/>
        <v>4.859</v>
      </c>
      <c r="Q66" s="66"/>
      <c r="R66" s="63">
        <f t="shared" si="34"/>
        <v>0.32500000000000001</v>
      </c>
      <c r="S66" s="64">
        <f t="shared" si="11"/>
        <v>0.32500000000000001</v>
      </c>
      <c r="T66" s="38">
        <v>0</v>
      </c>
      <c r="U66" s="64">
        <f t="shared" si="12"/>
        <v>0</v>
      </c>
      <c r="V66" s="219">
        <f>IF($A67="","",IF(AND(MONTH(A66)&gt;3,MONTH(A66)&lt;11),(T66+R66+G66)*Summary!$T$11/(1-Summary!$T$11),(T66+R66+G66)*Summary!$U$11/(1-Summary!$U$11)))</f>
        <v>4.9572571833483479E-2</v>
      </c>
      <c r="W66" s="43">
        <f t="shared" si="13"/>
        <v>4.6985725718334832</v>
      </c>
      <c r="X66" s="43">
        <f t="shared" si="14"/>
        <v>4.6985725718334832</v>
      </c>
      <c r="Y66" s="43"/>
      <c r="Z66" s="38">
        <f t="shared" si="15"/>
        <v>1.1000000000000001</v>
      </c>
      <c r="AA66" s="38">
        <f t="shared" si="16"/>
        <v>0.255</v>
      </c>
      <c r="AB66" s="38">
        <f t="shared" ca="1" si="17"/>
        <v>0.27366846424586994</v>
      </c>
      <c r="AC66" s="38">
        <f t="shared" si="18"/>
        <v>1.1000000000000001</v>
      </c>
      <c r="AD66" s="38">
        <f t="shared" si="18"/>
        <v>0.255</v>
      </c>
      <c r="AE66" s="38">
        <f t="shared" ca="1" si="19"/>
        <v>0.27366846424586994</v>
      </c>
      <c r="AF66" s="238">
        <f ca="1">((Summary!$N$11*(AA66*AD66)*(A66-$D$3))+(Summary!$M$11*Z66*AC66*(AJ66-EOMONTH(EDATE(A66,-1),0))))/(AK66*AB66*AE66)</f>
        <v>0.99991312739697003</v>
      </c>
      <c r="AG66" s="88">
        <f>IF($A67="","",Summary!$Q$11)</f>
        <v>0</v>
      </c>
      <c r="AH66" s="88">
        <f>IF($A67="","",IF(Summary!$R$11="Y",(VLOOKUP($A66,Summary!$AD$6:$AF$9,3)+'Escalating commodity'!G79),'Escalating commodity'!G79))</f>
        <v>5.3655174371212404E-3</v>
      </c>
      <c r="AI66" s="88">
        <f t="shared" si="35"/>
        <v>5.3655174371212404E-3</v>
      </c>
      <c r="AJ66" s="236">
        <f t="shared" si="20"/>
        <v>38762</v>
      </c>
      <c r="AK66" s="58">
        <f t="shared" ca="1" si="21"/>
        <v>1723</v>
      </c>
      <c r="AL66" s="26">
        <f ca="1">IF($A67="","",_xll.SPRDOPT(P66,X66,AI66,0,AB66,AE66,AF66,AK66,$AJ$2,0))</f>
        <v>0.15565579096131596</v>
      </c>
      <c r="AM66" s="209">
        <f t="shared" si="22"/>
        <v>0.15506191072939554</v>
      </c>
      <c r="AN66" s="89">
        <f t="shared" ca="1" si="23"/>
        <v>5.9388023192041839E-4</v>
      </c>
      <c r="AO66" s="3">
        <f t="shared" si="24"/>
        <v>28</v>
      </c>
      <c r="AP66" s="33">
        <f t="shared" si="25"/>
        <v>38749</v>
      </c>
      <c r="AQ66" s="58">
        <f t="shared" ca="1" si="26"/>
        <v>1723</v>
      </c>
      <c r="AR66" s="38">
        <f>'ANR OK vs ML7'!AR66</f>
        <v>0.1</v>
      </c>
      <c r="AS66" s="35">
        <f t="shared" ca="1" si="27"/>
        <v>0.63108335041553021</v>
      </c>
      <c r="AT66" s="3">
        <f t="shared" si="28"/>
        <v>1</v>
      </c>
      <c r="AU66" s="3">
        <f t="shared" si="29"/>
        <v>28</v>
      </c>
      <c r="AW66" s="32">
        <f t="shared" ca="1" si="30"/>
        <v>541055.79364255117</v>
      </c>
      <c r="AX66" s="32">
        <f t="shared" si="31"/>
        <v>538991.48020952137</v>
      </c>
      <c r="AY66" s="32">
        <f t="shared" ca="1" si="32"/>
        <v>2064.313433029808</v>
      </c>
      <c r="BA66" s="32">
        <f ca="1">IF($A67="","",F66*Summary!$Q$11)</f>
        <v>0</v>
      </c>
      <c r="BC66" s="256">
        <f t="shared" ca="1" si="36"/>
        <v>340148.5491760507</v>
      </c>
    </row>
    <row r="67" spans="1:55">
      <c r="A67" s="67">
        <f t="shared" si="33"/>
        <v>38777</v>
      </c>
      <c r="B67" s="69">
        <f t="shared" si="37"/>
        <v>124142</v>
      </c>
      <c r="C67" s="71"/>
      <c r="D67" s="69">
        <f t="shared" si="0"/>
        <v>124142</v>
      </c>
      <c r="E67" s="70">
        <f t="shared" si="1"/>
        <v>3848402</v>
      </c>
      <c r="F67" s="70">
        <f t="shared" ca="1" si="2"/>
        <v>2410562.6235412657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0.53500000000000003</v>
      </c>
      <c r="K67" s="64">
        <f t="shared" si="6"/>
        <v>0.53500000000000003</v>
      </c>
      <c r="L67" s="63">
        <f t="shared" si="7"/>
        <v>0</v>
      </c>
      <c r="M67" s="64">
        <f t="shared" si="8"/>
        <v>0</v>
      </c>
      <c r="N67" s="65"/>
      <c r="O67" s="63">
        <f t="shared" si="9"/>
        <v>4.72</v>
      </c>
      <c r="P67" s="63">
        <f t="shared" si="10"/>
        <v>4.72</v>
      </c>
      <c r="Q67" s="66"/>
      <c r="R67" s="63">
        <f t="shared" si="34"/>
        <v>0.32500000000000001</v>
      </c>
      <c r="S67" s="64">
        <f t="shared" si="11"/>
        <v>0.32500000000000001</v>
      </c>
      <c r="T67" s="38">
        <v>0</v>
      </c>
      <c r="U67" s="64">
        <f t="shared" si="12"/>
        <v>0</v>
      </c>
      <c r="V67" s="219">
        <f>IF($A68="","",IF(AND(MONTH(A67)&gt;3,MONTH(A67)&lt;11),(T67+R67+G67)*Summary!$T$11/(1-Summary!$T$11),(T67+R67+G67)*Summary!$U$11/(1-Summary!$U$11)))</f>
        <v>4.8090406317274785E-2</v>
      </c>
      <c r="W67" s="43">
        <f t="shared" si="13"/>
        <v>4.5580904063172749</v>
      </c>
      <c r="X67" s="43">
        <f t="shared" si="14"/>
        <v>4.5580904063172749</v>
      </c>
      <c r="Y67" s="43"/>
      <c r="Z67" s="38">
        <f t="shared" si="15"/>
        <v>0.75</v>
      </c>
      <c r="AA67" s="38">
        <f t="shared" si="16"/>
        <v>0.25</v>
      </c>
      <c r="AB67" s="38">
        <f t="shared" ca="1" si="17"/>
        <v>0.25983647056074827</v>
      </c>
      <c r="AC67" s="38">
        <f t="shared" si="18"/>
        <v>0.75</v>
      </c>
      <c r="AD67" s="38">
        <f t="shared" si="18"/>
        <v>0.25</v>
      </c>
      <c r="AE67" s="38">
        <f t="shared" ca="1" si="19"/>
        <v>0.25983647056074827</v>
      </c>
      <c r="AF67" s="238">
        <f ca="1">((Summary!$N$11*(AA67*AD67)*(A67-$D$3))+(Summary!$M$11*Z67*AC67*(AJ67-EOMONTH(EDATE(A67,-1),0))))/(AK67*AB67*AE67)</f>
        <v>0.99990737509912764</v>
      </c>
      <c r="AG67" s="88">
        <f>IF($A68="","",Summary!$Q$11)</f>
        <v>0</v>
      </c>
      <c r="AH67" s="88">
        <f>IF($A68="","",IF(Summary!$R$11="Y",(VLOOKUP($A67,Summary!$AD$6:$AF$9,3)+'Escalating commodity'!G80),'Escalating commodity'!G80))</f>
        <v>5.3655174371212404E-3</v>
      </c>
      <c r="AI67" s="88">
        <f t="shared" si="35"/>
        <v>5.3655174371212404E-3</v>
      </c>
      <c r="AJ67" s="236">
        <f t="shared" si="20"/>
        <v>38791.5</v>
      </c>
      <c r="AK67" s="58">
        <f t="shared" ca="1" si="21"/>
        <v>1751</v>
      </c>
      <c r="AL67" s="26">
        <f ca="1">IF($A68="","",_xll.SPRDOPT(P67,X67,AI67,0,AB67,AE67,AF67,AK67,$AJ$2,0))</f>
        <v>0.15701512817406535</v>
      </c>
      <c r="AM67" s="209">
        <f t="shared" si="22"/>
        <v>0.1565440762456036</v>
      </c>
      <c r="AN67" s="89">
        <f t="shared" ca="1" si="23"/>
        <v>4.7105192846175203E-4</v>
      </c>
      <c r="AO67" s="3">
        <f t="shared" si="24"/>
        <v>31</v>
      </c>
      <c r="AP67" s="33">
        <f t="shared" si="25"/>
        <v>38777</v>
      </c>
      <c r="AQ67" s="58">
        <f t="shared" ca="1" si="26"/>
        <v>1751</v>
      </c>
      <c r="AR67" s="38">
        <f>'ANR OK vs ML7'!AR67</f>
        <v>0.1</v>
      </c>
      <c r="AS67" s="35">
        <f t="shared" ca="1" si="27"/>
        <v>0.6263801503952201</v>
      </c>
      <c r="AT67" s="3">
        <f t="shared" si="28"/>
        <v>1</v>
      </c>
      <c r="AU67" s="3">
        <f t="shared" si="29"/>
        <v>31</v>
      </c>
      <c r="AW67" s="32">
        <f t="shared" ca="1" si="30"/>
        <v>604257.33329532947</v>
      </c>
      <c r="AX67" s="32">
        <f t="shared" si="31"/>
        <v>602444.53611173341</v>
      </c>
      <c r="AY67" s="32">
        <f t="shared" ca="1" si="32"/>
        <v>1812.7971835960634</v>
      </c>
      <c r="BA67" s="32">
        <f ca="1">IF($A68="","",F67*Summary!$Q$11)</f>
        <v>0</v>
      </c>
      <c r="BC67" s="256">
        <f t="shared" ca="1" si="36"/>
        <v>377359.29913444613</v>
      </c>
    </row>
    <row r="68" spans="1:55">
      <c r="A68" s="67">
        <f t="shared" si="33"/>
        <v>38808</v>
      </c>
      <c r="B68" s="69">
        <f t="shared" si="37"/>
        <v>124142</v>
      </c>
      <c r="C68" s="71"/>
      <c r="D68" s="69">
        <f t="shared" si="0"/>
        <v>124142</v>
      </c>
      <c r="E68" s="70">
        <f t="shared" si="1"/>
        <v>3724260</v>
      </c>
      <c r="F68" s="70">
        <f t="shared" ca="1" si="2"/>
        <v>2313562.1184913479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0.23499999999999999</v>
      </c>
      <c r="K68" s="64">
        <f t="shared" si="6"/>
        <v>0.23499999999999999</v>
      </c>
      <c r="L68" s="63">
        <f t="shared" si="7"/>
        <v>0</v>
      </c>
      <c r="M68" s="64">
        <f t="shared" si="8"/>
        <v>0</v>
      </c>
      <c r="N68" s="65"/>
      <c r="O68" s="63">
        <f t="shared" si="9"/>
        <v>4.2450000000000001</v>
      </c>
      <c r="P68" s="63">
        <f t="shared" si="10"/>
        <v>4.2450000000000001</v>
      </c>
      <c r="Q68" s="66"/>
      <c r="R68" s="63">
        <f t="shared" si="34"/>
        <v>0.17</v>
      </c>
      <c r="S68" s="64">
        <f t="shared" si="11"/>
        <v>0.17</v>
      </c>
      <c r="T68" s="38">
        <v>0</v>
      </c>
      <c r="U68" s="64">
        <f t="shared" si="12"/>
        <v>0</v>
      </c>
      <c r="V68" s="219">
        <f>IF($A69="","",IF(AND(MONTH(A68)&gt;3,MONTH(A68)&lt;11),(T68+R68+G68)*Summary!$T$11/(1-Summary!$T$11),(T68+R68+G68)*Summary!$U$11/(1-Summary!$U$11)))</f>
        <v>4.4571596098937606E-2</v>
      </c>
      <c r="W68" s="43">
        <f t="shared" si="13"/>
        <v>4.2245715960989374</v>
      </c>
      <c r="X68" s="43">
        <f t="shared" si="14"/>
        <v>4.2245715960989374</v>
      </c>
      <c r="Y68" s="43"/>
      <c r="Z68" s="38">
        <f t="shared" si="15"/>
        <v>0.45</v>
      </c>
      <c r="AA68" s="38">
        <f t="shared" si="16"/>
        <v>0.245</v>
      </c>
      <c r="AB68" s="38">
        <f t="shared" ca="1" si="17"/>
        <v>0.24852209060241742</v>
      </c>
      <c r="AC68" s="38">
        <f t="shared" si="18"/>
        <v>0.45</v>
      </c>
      <c r="AD68" s="38">
        <f t="shared" si="18"/>
        <v>0.245</v>
      </c>
      <c r="AE68" s="38">
        <f t="shared" ca="1" si="19"/>
        <v>0.24852209060241742</v>
      </c>
      <c r="AF68" s="238">
        <f ca="1">((Summary!$N$11*(AA68*AD68)*(A68-$D$3))+(Summary!$M$11*Z68*AC68*(AJ68-EOMONTH(EDATE(A68,-1),0))))/(AK68*AB68*AE68)</f>
        <v>0.99990275980622767</v>
      </c>
      <c r="AG68" s="88">
        <f>IF($A69="","",Summary!$Q$11)</f>
        <v>0</v>
      </c>
      <c r="AH68" s="88">
        <f>IF($A69="","",IF(Summary!$R$11="Y",(VLOOKUP($A68,Summary!$AD$6:$AF$9,3)+'Escalating commodity'!G81),'Escalating commodity'!G81))</f>
        <v>5.3655174371212404E-3</v>
      </c>
      <c r="AI68" s="88">
        <f t="shared" si="35"/>
        <v>5.3655174371212404E-3</v>
      </c>
      <c r="AJ68" s="236">
        <f t="shared" si="20"/>
        <v>38822</v>
      </c>
      <c r="AK68" s="58">
        <f t="shared" ca="1" si="21"/>
        <v>1782</v>
      </c>
      <c r="AL68" s="26">
        <f ca="1">IF($A69="","",_xll.SPRDOPT(P68,X68,AI68,0,AB68,AE68,AF68,AK68,$AJ$2,0))</f>
        <v>1.8419559488503854E-2</v>
      </c>
      <c r="AM68" s="209">
        <f t="shared" si="22"/>
        <v>1.5062886463941468E-2</v>
      </c>
      <c r="AN68" s="89">
        <f t="shared" ca="1" si="23"/>
        <v>3.3566730245623861E-3</v>
      </c>
      <c r="AO68" s="3">
        <f t="shared" si="24"/>
        <v>30</v>
      </c>
      <c r="AP68" s="33">
        <f t="shared" si="25"/>
        <v>38808</v>
      </c>
      <c r="AQ68" s="58">
        <f t="shared" ca="1" si="26"/>
        <v>1782</v>
      </c>
      <c r="AR68" s="38">
        <f>'ANR OK vs ML7'!AR68</f>
        <v>0.1</v>
      </c>
      <c r="AS68" s="35">
        <f t="shared" ca="1" si="27"/>
        <v>0.62121391054634956</v>
      </c>
      <c r="AT68" s="3">
        <f t="shared" si="28"/>
        <v>1</v>
      </c>
      <c r="AU68" s="3">
        <f t="shared" si="29"/>
        <v>30</v>
      </c>
      <c r="AW68" s="32">
        <f t="shared" ca="1" si="30"/>
        <v>68599.228620655369</v>
      </c>
      <c r="AX68" s="32">
        <f t="shared" si="31"/>
        <v>56098.105542198653</v>
      </c>
      <c r="AY68" s="32">
        <f t="shared" ca="1" si="32"/>
        <v>12501.123078456712</v>
      </c>
      <c r="BA68" s="32">
        <f ca="1">IF($A69="","",F68*Summary!$Q$11)</f>
        <v>0</v>
      </c>
      <c r="BC68" s="256">
        <f t="shared" ca="1" si="36"/>
        <v>34848.923518111071</v>
      </c>
    </row>
    <row r="69" spans="1:55">
      <c r="A69" s="67">
        <f t="shared" si="33"/>
        <v>38838</v>
      </c>
      <c r="B69" s="69">
        <f t="shared" si="37"/>
        <v>124142</v>
      </c>
      <c r="C69" s="71"/>
      <c r="D69" s="69">
        <f t="shared" si="0"/>
        <v>124142</v>
      </c>
      <c r="E69" s="70">
        <f t="shared" si="1"/>
        <v>3848402</v>
      </c>
      <c r="F69" s="70">
        <f t="shared" ca="1" si="2"/>
        <v>2371596.5802812991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0.23499999999999999</v>
      </c>
      <c r="K69" s="64">
        <f t="shared" si="6"/>
        <v>0.23499999999999999</v>
      </c>
      <c r="L69" s="63">
        <f t="shared" si="7"/>
        <v>0</v>
      </c>
      <c r="M69" s="64">
        <f t="shared" si="8"/>
        <v>0</v>
      </c>
      <c r="N69" s="65"/>
      <c r="O69" s="63">
        <f t="shared" si="9"/>
        <v>4.2149999999999999</v>
      </c>
      <c r="P69" s="63">
        <f t="shared" si="10"/>
        <v>4.2149999999999999</v>
      </c>
      <c r="Q69" s="66"/>
      <c r="R69" s="63">
        <f t="shared" si="34"/>
        <v>0.17</v>
      </c>
      <c r="S69" s="64">
        <f t="shared" si="11"/>
        <v>0.17</v>
      </c>
      <c r="T69" s="38">
        <v>0</v>
      </c>
      <c r="U69" s="64">
        <f t="shared" si="12"/>
        <v>0</v>
      </c>
      <c r="V69" s="219">
        <f>IF($A70="","",IF(AND(MONTH(A69)&gt;3,MONTH(A69)&lt;11),(T69+R69+G69)*Summary!$T$11/(1-Summary!$T$11),(T69+R69+G69)*Summary!$U$11/(1-Summary!$U$11)))</f>
        <v>4.4251704260906959E-2</v>
      </c>
      <c r="W69" s="43">
        <f t="shared" si="13"/>
        <v>4.1942517042609069</v>
      </c>
      <c r="X69" s="43">
        <f t="shared" si="14"/>
        <v>4.1942517042609069</v>
      </c>
      <c r="Y69" s="43"/>
      <c r="Z69" s="38">
        <f t="shared" si="15"/>
        <v>0.5</v>
      </c>
      <c r="AA69" s="38">
        <f t="shared" si="16"/>
        <v>0.23800000000000002</v>
      </c>
      <c r="AB69" s="38">
        <f t="shared" ca="1" si="17"/>
        <v>0.24251552828005396</v>
      </c>
      <c r="AC69" s="38">
        <f t="shared" si="18"/>
        <v>0.5</v>
      </c>
      <c r="AD69" s="38">
        <f t="shared" si="18"/>
        <v>0.23800000000000002</v>
      </c>
      <c r="AE69" s="38">
        <f t="shared" ca="1" si="19"/>
        <v>0.24251552828005396</v>
      </c>
      <c r="AF69" s="238">
        <f ca="1">((Summary!$N$11*(AA69*AD69)*(A69-$D$3))+(Summary!$M$11*Z69*AC69*(AJ69-EOMONTH(EDATE(A69,-1),0))))/(AK69*AB69*AE69)</f>
        <v>0.9999036360882062</v>
      </c>
      <c r="AG69" s="88">
        <f>IF($A70="","",Summary!$Q$11)</f>
        <v>0</v>
      </c>
      <c r="AH69" s="88">
        <f>IF($A70="","",IF(Summary!$R$11="Y",(VLOOKUP($A69,Summary!$AD$6:$AF$9,3)+'Escalating commodity'!G82),'Escalating commodity'!G82))</f>
        <v>5.3655174371212404E-3</v>
      </c>
      <c r="AI69" s="88">
        <f t="shared" si="35"/>
        <v>5.3655174371212404E-3</v>
      </c>
      <c r="AJ69" s="236">
        <f t="shared" si="20"/>
        <v>38852.5</v>
      </c>
      <c r="AK69" s="58">
        <f t="shared" ca="1" si="21"/>
        <v>1812</v>
      </c>
      <c r="AL69" s="26">
        <f ca="1">IF($A70="","",_xll.SPRDOPT(P69,X69,AI69,0,AB69,AE69,AF69,AK69,$AJ$2,0))</f>
        <v>1.8602799221664822E-2</v>
      </c>
      <c r="AM69" s="209">
        <f t="shared" si="22"/>
        <v>1.5382778301971741E-2</v>
      </c>
      <c r="AN69" s="89">
        <f t="shared" ca="1" si="23"/>
        <v>3.2200209196930809E-3</v>
      </c>
      <c r="AO69" s="3">
        <f t="shared" si="24"/>
        <v>31</v>
      </c>
      <c r="AP69" s="33">
        <f t="shared" si="25"/>
        <v>38838</v>
      </c>
      <c r="AQ69" s="58">
        <f t="shared" ca="1" si="26"/>
        <v>1812</v>
      </c>
      <c r="AR69" s="38">
        <f>'ANR OK vs ML7'!AR69</f>
        <v>0.1</v>
      </c>
      <c r="AS69" s="35">
        <f t="shared" ca="1" si="27"/>
        <v>0.61625489756041574</v>
      </c>
      <c r="AT69" s="3">
        <f t="shared" si="28"/>
        <v>1</v>
      </c>
      <c r="AU69" s="3">
        <f t="shared" si="29"/>
        <v>31</v>
      </c>
      <c r="AW69" s="32">
        <f t="shared" ca="1" si="30"/>
        <v>71591.049730253348</v>
      </c>
      <c r="AX69" s="32">
        <f t="shared" si="31"/>
        <v>59199.11478286465</v>
      </c>
      <c r="AY69" s="32">
        <f t="shared" ca="1" si="32"/>
        <v>12391.934947388692</v>
      </c>
      <c r="BA69" s="32">
        <f ca="1">IF($A70="","",F69*Summary!$Q$11)</f>
        <v>0</v>
      </c>
      <c r="BC69" s="256">
        <f t="shared" ca="1" si="36"/>
        <v>36481.744416181551</v>
      </c>
    </row>
    <row r="70" spans="1:55">
      <c r="A70" s="67">
        <f t="shared" si="33"/>
        <v>38869</v>
      </c>
      <c r="B70" s="69">
        <f t="shared" si="37"/>
        <v>124142</v>
      </c>
      <c r="C70" s="71"/>
      <c r="D70" s="69">
        <f t="shared" si="0"/>
        <v>124142</v>
      </c>
      <c r="E70" s="70">
        <f t="shared" si="1"/>
        <v>3724260</v>
      </c>
      <c r="F70" s="70">
        <f t="shared" ca="1" si="2"/>
        <v>2276164.060165314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0.23499999999999999</v>
      </c>
      <c r="K70" s="64">
        <f t="shared" si="6"/>
        <v>0.23499999999999999</v>
      </c>
      <c r="L70" s="63">
        <f t="shared" si="7"/>
        <v>0</v>
      </c>
      <c r="M70" s="64">
        <f t="shared" si="8"/>
        <v>0</v>
      </c>
      <c r="N70" s="65"/>
      <c r="O70" s="63">
        <f t="shared" si="9"/>
        <v>4.2850000000000001</v>
      </c>
      <c r="P70" s="63">
        <f t="shared" si="10"/>
        <v>4.2850000000000001</v>
      </c>
      <c r="Q70" s="66"/>
      <c r="R70" s="63">
        <f t="shared" si="34"/>
        <v>0.17</v>
      </c>
      <c r="S70" s="64">
        <f t="shared" si="11"/>
        <v>0.17</v>
      </c>
      <c r="T70" s="38">
        <v>0</v>
      </c>
      <c r="U70" s="64">
        <f t="shared" si="12"/>
        <v>0</v>
      </c>
      <c r="V70" s="219">
        <f>IF($A71="","",IF(AND(MONTH(A70)&gt;3,MONTH(A70)&lt;11),(T70+R70+G70)*Summary!$T$11/(1-Summary!$T$11),(T70+R70+G70)*Summary!$U$11/(1-Summary!$U$11)))</f>
        <v>4.4998118549645146E-2</v>
      </c>
      <c r="W70" s="43">
        <f t="shared" si="13"/>
        <v>4.2649981185496451</v>
      </c>
      <c r="X70" s="43">
        <f t="shared" si="14"/>
        <v>4.2649981185496451</v>
      </c>
      <c r="Y70" s="43"/>
      <c r="Z70" s="38">
        <f t="shared" si="15"/>
        <v>0.5</v>
      </c>
      <c r="AA70" s="38">
        <f t="shared" si="16"/>
        <v>0.23800000000000002</v>
      </c>
      <c r="AB70" s="38">
        <f t="shared" ca="1" si="17"/>
        <v>0.24230035217053275</v>
      </c>
      <c r="AC70" s="38">
        <f t="shared" si="18"/>
        <v>0.5</v>
      </c>
      <c r="AD70" s="38">
        <f t="shared" si="18"/>
        <v>0.23800000000000002</v>
      </c>
      <c r="AE70" s="38">
        <f t="shared" ca="1" si="19"/>
        <v>0.24230035217053275</v>
      </c>
      <c r="AF70" s="238">
        <f ca="1">((Summary!$N$11*(AA70*AD70)*(A70-$D$3))+(Summary!$M$11*Z70*AC70*(AJ70-EOMONTH(EDATE(A70,-1),0))))/(AK70*AB70*AE70)</f>
        <v>0.99990346575486688</v>
      </c>
      <c r="AG70" s="88">
        <f>IF($A71="","",Summary!$Q$11)</f>
        <v>0</v>
      </c>
      <c r="AH70" s="88">
        <f>IF($A71="","",IF(Summary!$R$11="Y",(VLOOKUP($A70,Summary!$AD$6:$AF$9,3)+'Escalating commodity'!G83),'Escalating commodity'!G83))</f>
        <v>5.3655174371212404E-3</v>
      </c>
      <c r="AI70" s="88">
        <f t="shared" si="35"/>
        <v>5.3655174371212404E-3</v>
      </c>
      <c r="AJ70" s="236">
        <f t="shared" si="20"/>
        <v>38883</v>
      </c>
      <c r="AK70" s="58">
        <f t="shared" ca="1" si="21"/>
        <v>1843</v>
      </c>
      <c r="AL70" s="26">
        <f ca="1">IF($A71="","",_xll.SPRDOPT(P70,X70,AI70,0,AB70,AE70,AF70,AK70,$AJ$2,0))</f>
        <v>1.7990953049580871E-2</v>
      </c>
      <c r="AM70" s="209">
        <f t="shared" si="22"/>
        <v>1.4636364013233845E-2</v>
      </c>
      <c r="AN70" s="89">
        <f t="shared" ca="1" si="23"/>
        <v>3.3545890363470259E-3</v>
      </c>
      <c r="AO70" s="3">
        <f t="shared" si="24"/>
        <v>30</v>
      </c>
      <c r="AP70" s="33">
        <f t="shared" si="25"/>
        <v>38869</v>
      </c>
      <c r="AQ70" s="58">
        <f t="shared" ca="1" si="26"/>
        <v>1843</v>
      </c>
      <c r="AR70" s="38">
        <f>'ANR OK vs ML7'!AR70</f>
        <v>0.1</v>
      </c>
      <c r="AS70" s="35">
        <f t="shared" ca="1" si="27"/>
        <v>0.61117216847516387</v>
      </c>
      <c r="AT70" s="3">
        <f t="shared" si="28"/>
        <v>1</v>
      </c>
      <c r="AU70" s="3">
        <f t="shared" si="29"/>
        <v>30</v>
      </c>
      <c r="AW70" s="32">
        <f t="shared" ca="1" si="30"/>
        <v>67002.986804432061</v>
      </c>
      <c r="AX70" s="32">
        <f t="shared" si="31"/>
        <v>54509.625039926279</v>
      </c>
      <c r="AY70" s="32">
        <f t="shared" ca="1" si="32"/>
        <v>12493.361764505775</v>
      </c>
      <c r="BA70" s="32">
        <f ca="1">IF($A71="","",F70*Summary!$Q$11)</f>
        <v>0</v>
      </c>
      <c r="BC70" s="256">
        <f t="shared" ca="1" si="36"/>
        <v>33314.765738419839</v>
      </c>
    </row>
    <row r="71" spans="1:55">
      <c r="A71" s="67">
        <f t="shared" si="33"/>
        <v>38899</v>
      </c>
      <c r="B71" s="69">
        <f t="shared" si="37"/>
        <v>124142</v>
      </c>
      <c r="C71" s="71"/>
      <c r="D71" s="69">
        <f t="shared" si="0"/>
        <v>124142</v>
      </c>
      <c r="E71" s="70">
        <f t="shared" si="1"/>
        <v>3848402</v>
      </c>
      <c r="F71" s="70">
        <f t="shared" ca="1" si="2"/>
        <v>2333260.4117702842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0.23499999999999999</v>
      </c>
      <c r="K71" s="64">
        <f t="shared" si="6"/>
        <v>0.23499999999999999</v>
      </c>
      <c r="L71" s="63">
        <f t="shared" si="7"/>
        <v>0</v>
      </c>
      <c r="M71" s="64">
        <f t="shared" si="8"/>
        <v>0</v>
      </c>
      <c r="N71" s="65"/>
      <c r="O71" s="63">
        <f t="shared" si="9"/>
        <v>4.3400000000000007</v>
      </c>
      <c r="P71" s="63">
        <f t="shared" si="10"/>
        <v>4.3400000000000007</v>
      </c>
      <c r="Q71" s="66"/>
      <c r="R71" s="63">
        <f t="shared" si="34"/>
        <v>0.17</v>
      </c>
      <c r="S71" s="64">
        <f t="shared" si="11"/>
        <v>0.17</v>
      </c>
      <c r="T71" s="38">
        <v>0</v>
      </c>
      <c r="U71" s="64">
        <f t="shared" si="12"/>
        <v>0</v>
      </c>
      <c r="V71" s="219">
        <f>IF($A72="","",IF(AND(MONTH(A71)&gt;3,MONTH(A71)&lt;11),(T71+R71+G71)*Summary!$T$11/(1-Summary!$T$11),(T71+R71+G71)*Summary!$U$11/(1-Summary!$U$11)))</f>
        <v>4.5584586919368009E-2</v>
      </c>
      <c r="W71" s="43">
        <f t="shared" si="13"/>
        <v>4.3205845869193684</v>
      </c>
      <c r="X71" s="43">
        <f t="shared" si="14"/>
        <v>4.3205845869193684</v>
      </c>
      <c r="Y71" s="43"/>
      <c r="Z71" s="38">
        <f t="shared" si="15"/>
        <v>0.55000000000000004</v>
      </c>
      <c r="AA71" s="38">
        <f t="shared" si="16"/>
        <v>0.23800000000000002</v>
      </c>
      <c r="AB71" s="38">
        <f t="shared" ca="1" si="17"/>
        <v>0.24326442256230199</v>
      </c>
      <c r="AC71" s="38">
        <f t="shared" si="18"/>
        <v>0.55000000000000004</v>
      </c>
      <c r="AD71" s="38">
        <f t="shared" si="18"/>
        <v>0.23800000000000002</v>
      </c>
      <c r="AE71" s="38">
        <f t="shared" ca="1" si="19"/>
        <v>0.24326442256230199</v>
      </c>
      <c r="AF71" s="238">
        <f ca="1">((Summary!$N$11*(AA71*AD71)*(A71-$D$3))+(Summary!$M$11*Z71*AC71*(AJ71-EOMONTH(EDATE(A71,-1),0))))/(AK71*AB71*AE71)</f>
        <v>0.9999042302117167</v>
      </c>
      <c r="AG71" s="88">
        <f>IF($A72="","",Summary!$Q$11)</f>
        <v>0</v>
      </c>
      <c r="AH71" s="88">
        <f>IF($A72="","",IF(Summary!$R$11="Y",(VLOOKUP($A71,Summary!$AD$6:$AF$9,3)+'Escalating commodity'!G84),'Escalating commodity'!G84))</f>
        <v>5.3655174371212404E-3</v>
      </c>
      <c r="AI71" s="88">
        <f t="shared" si="35"/>
        <v>5.3655174371212404E-3</v>
      </c>
      <c r="AJ71" s="236">
        <f t="shared" si="20"/>
        <v>38913.5</v>
      </c>
      <c r="AK71" s="58">
        <f t="shared" ca="1" si="21"/>
        <v>1873</v>
      </c>
      <c r="AL71" s="26">
        <f ca="1">IF($A72="","",_xll.SPRDOPT(P71,X71,AI71,0,AB71,AE71,AF71,AK71,$AJ$2,0))</f>
        <v>1.7506550086542012E-2</v>
      </c>
      <c r="AM71" s="209">
        <f t="shared" si="22"/>
        <v>1.4049895643511086E-2</v>
      </c>
      <c r="AN71" s="89">
        <f t="shared" ca="1" si="23"/>
        <v>3.4566544430309262E-3</v>
      </c>
      <c r="AO71" s="3">
        <f t="shared" si="24"/>
        <v>31</v>
      </c>
      <c r="AP71" s="33">
        <f t="shared" si="25"/>
        <v>38899</v>
      </c>
      <c r="AQ71" s="58">
        <f t="shared" ca="1" si="26"/>
        <v>1873</v>
      </c>
      <c r="AR71" s="38">
        <f>'ANR OK vs ML7'!AR71</f>
        <v>0.1</v>
      </c>
      <c r="AS71" s="35">
        <f t="shared" ca="1" si="27"/>
        <v>0.60629331649091867</v>
      </c>
      <c r="AT71" s="3">
        <f t="shared" si="28"/>
        <v>1</v>
      </c>
      <c r="AU71" s="3">
        <f t="shared" si="29"/>
        <v>31</v>
      </c>
      <c r="AW71" s="32">
        <f t="shared" ca="1" si="30"/>
        <v>67372.24236614845</v>
      </c>
      <c r="AX71" s="32">
        <f t="shared" si="31"/>
        <v>54069.646494279354</v>
      </c>
      <c r="AY71" s="32">
        <f t="shared" ca="1" si="32"/>
        <v>13302.595871869102</v>
      </c>
      <c r="BA71" s="32">
        <f ca="1">IF($A72="","",F71*Summary!$Q$11)</f>
        <v>0</v>
      </c>
      <c r="BC71" s="256">
        <f t="shared" ca="1" si="36"/>
        <v>32782.065294508197</v>
      </c>
    </row>
    <row r="72" spans="1:55">
      <c r="A72" s="67">
        <f t="shared" si="33"/>
        <v>38930</v>
      </c>
      <c r="B72" s="69">
        <f t="shared" si="37"/>
        <v>124142</v>
      </c>
      <c r="C72" s="71"/>
      <c r="D72" s="69">
        <f t="shared" si="0"/>
        <v>124142</v>
      </c>
      <c r="E72" s="70">
        <f t="shared" si="1"/>
        <v>3848402</v>
      </c>
      <c r="F72" s="70">
        <f t="shared" ca="1" si="2"/>
        <v>2314016.2149203778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0.23499999999999999</v>
      </c>
      <c r="K72" s="64">
        <f t="shared" si="6"/>
        <v>0.23499999999999999</v>
      </c>
      <c r="L72" s="63">
        <f t="shared" si="7"/>
        <v>0</v>
      </c>
      <c r="M72" s="64">
        <f t="shared" si="8"/>
        <v>0</v>
      </c>
      <c r="N72" s="65"/>
      <c r="O72" s="63">
        <f t="shared" si="9"/>
        <v>4.3960000000000008</v>
      </c>
      <c r="P72" s="63">
        <f t="shared" si="10"/>
        <v>4.3960000000000008</v>
      </c>
      <c r="Q72" s="66"/>
      <c r="R72" s="63">
        <f t="shared" si="34"/>
        <v>0.17</v>
      </c>
      <c r="S72" s="64">
        <f t="shared" si="11"/>
        <v>0.17</v>
      </c>
      <c r="T72" s="38">
        <v>0</v>
      </c>
      <c r="U72" s="64">
        <f t="shared" si="12"/>
        <v>0</v>
      </c>
      <c r="V72" s="219">
        <f>IF($A73="","",IF(AND(MONTH(A72)&gt;3,MONTH(A72)&lt;11),(T72+R72+G72)*Summary!$T$11/(1-Summary!$T$11),(T72+R72+G72)*Summary!$U$11/(1-Summary!$U$11)))</f>
        <v>4.6181718350358565E-2</v>
      </c>
      <c r="W72" s="43">
        <f t="shared" si="13"/>
        <v>4.377181718350359</v>
      </c>
      <c r="X72" s="43">
        <f t="shared" si="14"/>
        <v>4.377181718350359</v>
      </c>
      <c r="Y72" s="43"/>
      <c r="Z72" s="38">
        <f t="shared" si="15"/>
        <v>0.6</v>
      </c>
      <c r="AA72" s="38">
        <f t="shared" si="16"/>
        <v>0.23800000000000002</v>
      </c>
      <c r="AB72" s="38">
        <f t="shared" ca="1" si="17"/>
        <v>0.24414016930629742</v>
      </c>
      <c r="AC72" s="38">
        <f t="shared" si="18"/>
        <v>0.6</v>
      </c>
      <c r="AD72" s="38">
        <f t="shared" si="18"/>
        <v>0.23800000000000002</v>
      </c>
      <c r="AE72" s="38">
        <f t="shared" ca="1" si="19"/>
        <v>0.24414016930629742</v>
      </c>
      <c r="AF72" s="238">
        <f ca="1">((Summary!$N$11*(AA72*AD72)*(A72-$D$3))+(Summary!$M$11*Z72*AC72*(AJ72-EOMONTH(EDATE(A72,-1),0))))/(AK72*AB72*AE72)</f>
        <v>0.99990491687052296</v>
      </c>
      <c r="AG72" s="88">
        <f>IF($A73="","",Summary!$Q$11)</f>
        <v>0</v>
      </c>
      <c r="AH72" s="88">
        <f>IF($A73="","",IF(Summary!$R$11="Y",(VLOOKUP($A72,Summary!$AD$6:$AF$9,3)+'Escalating commodity'!G85),'Escalating commodity'!G85))</f>
        <v>5.3655174371212404E-3</v>
      </c>
      <c r="AI72" s="88">
        <f t="shared" si="35"/>
        <v>5.3655174371212404E-3</v>
      </c>
      <c r="AJ72" s="236">
        <f t="shared" si="20"/>
        <v>38944.5</v>
      </c>
      <c r="AK72" s="58">
        <f t="shared" ca="1" si="21"/>
        <v>1904</v>
      </c>
      <c r="AL72" s="26">
        <f ca="1">IF($A73="","",_xll.SPRDOPT(P72,X72,AI72,0,AB72,AE72,AF72,AK72,$AJ$2,0))</f>
        <v>1.7015053784980028E-2</v>
      </c>
      <c r="AM72" s="209">
        <f t="shared" si="22"/>
        <v>1.3452764212520592E-2</v>
      </c>
      <c r="AN72" s="89">
        <f t="shared" ca="1" si="23"/>
        <v>3.5622895724594355E-3</v>
      </c>
      <c r="AO72" s="3">
        <f t="shared" si="24"/>
        <v>31</v>
      </c>
      <c r="AP72" s="33">
        <f t="shared" si="25"/>
        <v>38930</v>
      </c>
      <c r="AQ72" s="58">
        <f t="shared" ca="1" si="26"/>
        <v>1904</v>
      </c>
      <c r="AR72" s="38">
        <f>'ANR OK vs ML7'!AR72</f>
        <v>0.1</v>
      </c>
      <c r="AS72" s="35">
        <f t="shared" ca="1" si="27"/>
        <v>0.60129274824209578</v>
      </c>
      <c r="AT72" s="3">
        <f t="shared" si="28"/>
        <v>1</v>
      </c>
      <c r="AU72" s="3">
        <f t="shared" si="29"/>
        <v>31</v>
      </c>
      <c r="AW72" s="32">
        <f t="shared" ca="1" si="30"/>
        <v>65480.767016224709</v>
      </c>
      <c r="AX72" s="32">
        <f t="shared" si="31"/>
        <v>51771.644700992671</v>
      </c>
      <c r="AY72" s="32">
        <f t="shared" ca="1" si="32"/>
        <v>13709.122315232036</v>
      </c>
      <c r="BA72" s="32">
        <f ca="1">IF($A73="","",F72*Summary!$Q$11)</f>
        <v>0</v>
      </c>
      <c r="BC72" s="256">
        <f t="shared" ca="1" si="36"/>
        <v>31129.914523273219</v>
      </c>
    </row>
    <row r="73" spans="1:55">
      <c r="A73" s="67">
        <f t="shared" si="33"/>
        <v>38961</v>
      </c>
      <c r="B73" s="69">
        <f t="shared" si="37"/>
        <v>124142</v>
      </c>
      <c r="C73" s="71"/>
      <c r="D73" s="69">
        <f t="shared" si="0"/>
        <v>124142</v>
      </c>
      <c r="E73" s="70">
        <f t="shared" si="1"/>
        <v>3724260</v>
      </c>
      <c r="F73" s="70">
        <f t="shared" ca="1" si="2"/>
        <v>2220900.7159290137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0.23499999999999999</v>
      </c>
      <c r="K73" s="64">
        <f t="shared" si="6"/>
        <v>0.23499999999999999</v>
      </c>
      <c r="L73" s="63">
        <f t="shared" si="7"/>
        <v>0</v>
      </c>
      <c r="M73" s="64">
        <f t="shared" si="8"/>
        <v>0</v>
      </c>
      <c r="N73" s="65"/>
      <c r="O73" s="63">
        <f t="shared" si="9"/>
        <v>4.41</v>
      </c>
      <c r="P73" s="63">
        <f t="shared" si="10"/>
        <v>4.41</v>
      </c>
      <c r="Q73" s="66"/>
      <c r="R73" s="63">
        <f t="shared" si="34"/>
        <v>0.17</v>
      </c>
      <c r="S73" s="64">
        <f t="shared" si="11"/>
        <v>0.17</v>
      </c>
      <c r="T73" s="38">
        <v>0</v>
      </c>
      <c r="U73" s="64">
        <f t="shared" si="12"/>
        <v>0</v>
      </c>
      <c r="V73" s="219">
        <f>IF($A74="","",IF(AND(MONTH(A73)&gt;3,MONTH(A73)&lt;11),(T73+R73+G73)*Summary!$T$11/(1-Summary!$T$11),(T73+R73+G73)*Summary!$U$11/(1-Summary!$U$11)))</f>
        <v>4.6331001208106196E-2</v>
      </c>
      <c r="W73" s="43">
        <f t="shared" si="13"/>
        <v>4.3913310012081057</v>
      </c>
      <c r="X73" s="43">
        <f t="shared" si="14"/>
        <v>4.3913310012081057</v>
      </c>
      <c r="Y73" s="43"/>
      <c r="Z73" s="38">
        <f t="shared" si="15"/>
        <v>0.6</v>
      </c>
      <c r="AA73" s="38">
        <f t="shared" si="16"/>
        <v>0.23800000000000002</v>
      </c>
      <c r="AB73" s="38">
        <f t="shared" ca="1" si="17"/>
        <v>0.24385235504179886</v>
      </c>
      <c r="AC73" s="38">
        <f t="shared" si="18"/>
        <v>0.6</v>
      </c>
      <c r="AD73" s="38">
        <f t="shared" si="18"/>
        <v>0.23800000000000002</v>
      </c>
      <c r="AE73" s="38">
        <f t="shared" ca="1" si="19"/>
        <v>0.24385235504179886</v>
      </c>
      <c r="AF73" s="238">
        <f ca="1">((Summary!$N$11*(AA73*AD73)*(A73-$D$3))+(Summary!$M$11*Z73*AC73*(AJ73-EOMONTH(EDATE(A73,-1),0))))/(AK73*AB73*AE73)</f>
        <v>0.99990469308999175</v>
      </c>
      <c r="AG73" s="88">
        <f>IF($A74="","",Summary!$Q$11)</f>
        <v>0</v>
      </c>
      <c r="AH73" s="88">
        <f>IF($A74="","",IF(Summary!$R$11="Y",(VLOOKUP($A73,Summary!$AD$6:$AF$9,3)+'Escalating commodity'!G86),'Escalating commodity'!G86))</f>
        <v>5.3655174371212404E-3</v>
      </c>
      <c r="AI73" s="88">
        <f t="shared" si="35"/>
        <v>5.3655174371212404E-3</v>
      </c>
      <c r="AJ73" s="236">
        <f t="shared" si="20"/>
        <v>38975</v>
      </c>
      <c r="AK73" s="58">
        <f t="shared" ca="1" si="21"/>
        <v>1935</v>
      </c>
      <c r="AL73" s="26">
        <f ca="1">IF($A74="","",_xll.SPRDOPT(P73,X73,AI73,0,AB73,AE73,AF73,AK73,$AJ$2,0))</f>
        <v>1.6924015750327183E-2</v>
      </c>
      <c r="AM73" s="209">
        <f t="shared" si="22"/>
        <v>1.3303481354773191E-2</v>
      </c>
      <c r="AN73" s="89">
        <f t="shared" ca="1" si="23"/>
        <v>3.6205343955539922E-3</v>
      </c>
      <c r="AO73" s="3">
        <f t="shared" si="24"/>
        <v>30</v>
      </c>
      <c r="AP73" s="33">
        <f t="shared" si="25"/>
        <v>38961</v>
      </c>
      <c r="AQ73" s="58">
        <f t="shared" ca="1" si="26"/>
        <v>1935</v>
      </c>
      <c r="AR73" s="38">
        <f>'ANR OK vs ML7'!AR73</f>
        <v>0.1</v>
      </c>
      <c r="AS73" s="35">
        <f t="shared" ca="1" si="27"/>
        <v>0.59633342353353791</v>
      </c>
      <c r="AT73" s="3">
        <f t="shared" si="28"/>
        <v>1</v>
      </c>
      <c r="AU73" s="3">
        <f t="shared" si="29"/>
        <v>30</v>
      </c>
      <c r="AW73" s="32">
        <f t="shared" ca="1" si="30"/>
        <v>63029.434898313513</v>
      </c>
      <c r="AX73" s="32">
        <f t="shared" si="31"/>
        <v>49545.623470327606</v>
      </c>
      <c r="AY73" s="32">
        <f t="shared" ca="1" si="32"/>
        <v>13483.811427985911</v>
      </c>
      <c r="BA73" s="32">
        <f ca="1">IF($A74="","",F73*Summary!$Q$11)</f>
        <v>0</v>
      </c>
      <c r="BC73" s="256">
        <f t="shared" ca="1" si="36"/>
        <v>29545.711265164064</v>
      </c>
    </row>
    <row r="74" spans="1:55">
      <c r="A74" s="67">
        <f t="shared" si="33"/>
        <v>38991</v>
      </c>
      <c r="B74" s="69">
        <f t="shared" si="37"/>
        <v>124142</v>
      </c>
      <c r="C74" s="71"/>
      <c r="D74" s="69">
        <f t="shared" ref="D74:D137" si="38">IF(A75&lt;&gt;"",B74+C74,"")</f>
        <v>124142</v>
      </c>
      <c r="E74" s="70">
        <f t="shared" ref="E74:E137" si="39">IF(A75="","",IF(AND(AT74=1,$H$3=1),D74*AO74,IF($H$3=2,D74,"N/A")))</f>
        <v>3848402</v>
      </c>
      <c r="F74" s="70">
        <f t="shared" ref="F74:F137" ca="1" si="40">IF(A75="","",E74*AS74)</f>
        <v>2276610.8162577245</v>
      </c>
      <c r="G74" s="63">
        <f t="shared" ref="G74:G137" si="41">IF($A75="","",VLOOKUP($A74,Table,MATCH(G$4,Curves,0)))</f>
        <v>4.2060000000000004</v>
      </c>
      <c r="H74" s="64">
        <f t="shared" ref="H74:H137" si="42">IF(A75="","",G74)</f>
        <v>4.2060000000000004</v>
      </c>
      <c r="I74" s="43"/>
      <c r="J74" s="63">
        <f t="shared" ref="J74:J137" si="43">IF($A75="","",VLOOKUP($A74,Table,MATCH(J$4,Curves,0)))</f>
        <v>0.23499999999999999</v>
      </c>
      <c r="K74" s="64">
        <f t="shared" ref="K74:K137" si="44">IF(A75="","",J74)</f>
        <v>0.23499999999999999</v>
      </c>
      <c r="L74" s="63">
        <f t="shared" ref="L74:L137" si="45">IF($A75="","",VLOOKUP($A74,Table,MATCH(L$4,Curves,0)))</f>
        <v>0</v>
      </c>
      <c r="M74" s="64">
        <f t="shared" ref="M74:M137" si="46">IF(A75="","",L74)</f>
        <v>0</v>
      </c>
      <c r="N74" s="65"/>
      <c r="O74" s="63">
        <f t="shared" ref="O74:O137" si="47">IF(A75="","",L74+J74+G74)</f>
        <v>4.4410000000000007</v>
      </c>
      <c r="P74" s="63">
        <f t="shared" ref="P74:P137" si="48">IF(A75="","",M74+K74+H74)</f>
        <v>4.4410000000000007</v>
      </c>
      <c r="Q74" s="66"/>
      <c r="R74" s="63">
        <f t="shared" ref="R74:R137" si="49">IF($A75="","",VLOOKUP($A74,Table,MATCH(R$4,Curves,0)))</f>
        <v>0.17</v>
      </c>
      <c r="S74" s="64">
        <f t="shared" ref="S74:S137" si="50">IF(A75="","",R74)</f>
        <v>0.17</v>
      </c>
      <c r="T74" s="38">
        <v>0</v>
      </c>
      <c r="U74" s="64">
        <f t="shared" ref="U74:U137" si="51">IF(A75="","",T74)</f>
        <v>0</v>
      </c>
      <c r="V74" s="219">
        <f>IF($A75="","",IF(AND(MONTH(A74)&gt;3,MONTH(A74)&lt;11),(T74+R74+G74)*Summary!$T$11/(1-Summary!$T$11),(T74+R74+G74)*Summary!$U$11/(1-Summary!$U$11)))</f>
        <v>4.6661556107404543E-2</v>
      </c>
      <c r="W74" s="43">
        <f t="shared" ref="W74:W137" si="52">IF($A75="","",(T74+R74+G74+V74))</f>
        <v>4.4226615561074052</v>
      </c>
      <c r="X74" s="43">
        <f t="shared" ref="X74:X137" si="53">IF($A75="","",(U74+S74+H74+V74))</f>
        <v>4.4226615561074052</v>
      </c>
      <c r="Y74" s="43"/>
      <c r="Z74" s="38">
        <f t="shared" ref="Z74:Z137" si="54">IF($A75="","",VLOOKUP($A74,Table,MATCH(Z$4,Curves,0)))</f>
        <v>0.65</v>
      </c>
      <c r="AA74" s="38">
        <f t="shared" ref="AA74:AA137" si="55">IF($A75="","",VLOOKUP($A74,Table,MATCH(AA$4,Curves,0)))</f>
        <v>0.23800000000000002</v>
      </c>
      <c r="AB74" s="38">
        <f t="shared" ref="AB74:AB137" ca="1" si="56">SQRT((AA74^2*(A74-$D$3)+Z74^2*(DAY(EOMONTH(A74,0))/2))/AK74)</f>
        <v>0.24496024915100439</v>
      </c>
      <c r="AC74" s="38">
        <f t="shared" ref="AC74:AD137" si="57">IF($A75="","",VLOOKUP($A74,Table,MATCH(AC$4,Curves,0)))</f>
        <v>0.65</v>
      </c>
      <c r="AD74" s="38">
        <f t="shared" si="57"/>
        <v>0.23800000000000002</v>
      </c>
      <c r="AE74" s="38">
        <f t="shared" ref="AE74:AE137" ca="1" si="58">SQRT((AD74^2*(A74-$D$3)+AC74^2*(DAY(EOMONTH(A74,0))/2))/AK74)</f>
        <v>0.24496024915100439</v>
      </c>
      <c r="AF74" s="238">
        <f ca="1">((Summary!$N$11*(AA74*AD74)*(A74-$D$3))+(Summary!$M$11*Z74*AC74*(AJ74-EOMONTH(EDATE(A74,-1),0))))/(AK74*AB74*AE74)</f>
        <v>0.99990555398402914</v>
      </c>
      <c r="AG74" s="88">
        <f>IF($A75="","",Summary!$Q$11)</f>
        <v>0</v>
      </c>
      <c r="AH74" s="88">
        <f>IF($A75="","",IF(Summary!$R$11="Y",(VLOOKUP($A74,Summary!$AD$6:$AF$9,3)+'Escalating commodity'!G87),'Escalating commodity'!G87))</f>
        <v>5.3655174371212404E-3</v>
      </c>
      <c r="AI74" s="88">
        <f t="shared" si="35"/>
        <v>5.3655174371212404E-3</v>
      </c>
      <c r="AJ74" s="236">
        <f t="shared" ref="AJ74:AJ137" si="59">A74+DAY(EOMONTH(A74,0))/2-1</f>
        <v>39005.5</v>
      </c>
      <c r="AK74" s="58">
        <f t="shared" ref="AK74:AK137" ca="1" si="60">IF($A75="","",$A74-$E$1)</f>
        <v>1965</v>
      </c>
      <c r="AL74" s="26">
        <f ca="1">IF($A75="","",_xll.SPRDOPT(P74,X74,AI74,0,AB74,AE74,AF74,AK74,$AJ$2,0))</f>
        <v>1.6659526600459093E-2</v>
      </c>
      <c r="AM74" s="209">
        <f t="shared" ref="AM74:AM137" si="61">IF($A75="","",MAX(0,O74-W74-AI74))</f>
        <v>1.2972926455474295E-2</v>
      </c>
      <c r="AN74" s="89">
        <f t="shared" ref="AN74:AN137" ca="1" si="62">IF($A75="","",AL74-AM74)</f>
        <v>3.6866001449847984E-3</v>
      </c>
      <c r="AO74" s="3">
        <f t="shared" ref="AO74:AO137" si="63">IF(A75="","",A75-A74)</f>
        <v>31</v>
      </c>
      <c r="AP74" s="33">
        <f t="shared" ref="AP74:AP137" si="64">IF(A75="","",CHOOSE(F$3,A75+24,A74))</f>
        <v>38991</v>
      </c>
      <c r="AQ74" s="58">
        <f t="shared" ref="AQ74:AQ137" ca="1" si="65">IF(A75="","",AP74-$E$1)</f>
        <v>1965</v>
      </c>
      <c r="AR74" s="38">
        <f>'ANR OK vs ML7'!AR74</f>
        <v>0.1</v>
      </c>
      <c r="AS74" s="35">
        <f t="shared" ref="AS74:AS137" ca="1" si="66">IF(A75="","",1/(1+CHOOSE(F$3,(AR75+($I$3/10000))/2,(AR74+($I$3/10000))/2))^(2*AQ74/365.25))</f>
        <v>0.59157302596187311</v>
      </c>
      <c r="AT74" s="3">
        <f t="shared" ref="AT74:AT137" si="67">IF(A75="","",IF(AND(mthbeg&lt;=A74,mthend&gt;=A74),1,0))</f>
        <v>1</v>
      </c>
      <c r="AU74" s="3">
        <f t="shared" ref="AU74:AU137" si="68">IF(A75="","",AO74*AT74)</f>
        <v>31</v>
      </c>
      <c r="AW74" s="32">
        <f t="shared" ref="AW74:AW137" ca="1" si="69">IF($A75="","",AL74*$E74)</f>
        <v>64112.555488259975</v>
      </c>
      <c r="AX74" s="32">
        <f t="shared" ref="AX74:AX137" si="70">IF($A75="","",AM74*$E74)</f>
        <v>49925.036117100186</v>
      </c>
      <c r="AY74" s="32">
        <f t="shared" ref="AY74:AY137" ca="1" si="71">IF($A75="","",AN74*$E74)</f>
        <v>14187.519371159788</v>
      </c>
      <c r="BA74" s="32">
        <f ca="1">IF($A75="","",F74*Summary!$Q$11)</f>
        <v>0</v>
      </c>
      <c r="BC74" s="256">
        <f t="shared" ca="1" si="36"/>
        <v>29534.304687048763</v>
      </c>
    </row>
    <row r="75" spans="1:55">
      <c r="A75" s="67">
        <f t="shared" ref="A75:A138" si="72">IF(A74&lt;mthend,EDATE(A74,1),"")</f>
        <v>39022</v>
      </c>
      <c r="B75" s="69">
        <f t="shared" si="37"/>
        <v>124142</v>
      </c>
      <c r="C75" s="71"/>
      <c r="D75" s="69">
        <f t="shared" si="38"/>
        <v>124142</v>
      </c>
      <c r="E75" s="70">
        <f t="shared" si="39"/>
        <v>3724260</v>
      </c>
      <c r="F75" s="70">
        <f t="shared" ca="1" si="40"/>
        <v>2185000.5022080159</v>
      </c>
      <c r="G75" s="63">
        <f t="shared" si="41"/>
        <v>4.3390000000000004</v>
      </c>
      <c r="H75" s="64">
        <f t="shared" si="42"/>
        <v>4.3390000000000004</v>
      </c>
      <c r="I75" s="43"/>
      <c r="J75" s="63">
        <f t="shared" si="43"/>
        <v>0.47499999999999998</v>
      </c>
      <c r="K75" s="64">
        <f t="shared" si="44"/>
        <v>0.47499999999999998</v>
      </c>
      <c r="L75" s="63">
        <f t="shared" si="45"/>
        <v>0</v>
      </c>
      <c r="M75" s="64">
        <f t="shared" si="46"/>
        <v>0</v>
      </c>
      <c r="N75" s="65"/>
      <c r="O75" s="63">
        <f t="shared" si="47"/>
        <v>4.8140000000000001</v>
      </c>
      <c r="P75" s="63">
        <f t="shared" si="48"/>
        <v>4.8140000000000001</v>
      </c>
      <c r="Q75" s="66"/>
      <c r="R75" s="63">
        <f t="shared" si="49"/>
        <v>0.26500000000000001</v>
      </c>
      <c r="S75" s="64">
        <f t="shared" si="50"/>
        <v>0.26500000000000001</v>
      </c>
      <c r="T75" s="38">
        <v>0</v>
      </c>
      <c r="U75" s="64">
        <f t="shared" si="51"/>
        <v>0</v>
      </c>
      <c r="V75" s="219">
        <f>IF($A76="","",IF(AND(MONTH(A75)&gt;3,MONTH(A75)&lt;11),(T75+R75+G75)*Summary!$T$11/(1-Summary!$T$11),(T75+R75+G75)*Summary!$U$11/(1-Summary!$U$11)))</f>
        <v>4.9092734076437501E-2</v>
      </c>
      <c r="W75" s="43">
        <f t="shared" si="52"/>
        <v>4.6530927340764379</v>
      </c>
      <c r="X75" s="43">
        <f t="shared" si="53"/>
        <v>4.6530927340764379</v>
      </c>
      <c r="Y75" s="43"/>
      <c r="Z75" s="38">
        <f t="shared" si="54"/>
        <v>0.8</v>
      </c>
      <c r="AA75" s="38">
        <f t="shared" si="55"/>
        <v>0.24</v>
      </c>
      <c r="AB75" s="38">
        <f t="shared" ca="1" si="56"/>
        <v>0.24987692361222116</v>
      </c>
      <c r="AC75" s="38">
        <f t="shared" si="57"/>
        <v>0.8</v>
      </c>
      <c r="AD75" s="38">
        <f t="shared" si="57"/>
        <v>0.24</v>
      </c>
      <c r="AE75" s="38">
        <f t="shared" ca="1" si="58"/>
        <v>0.24987692361222116</v>
      </c>
      <c r="AF75" s="238">
        <f ca="1">((Summary!$N$11*(AA75*AD75)*(A75-$D$3))+(Summary!$M$11*Z75*AC75*(AJ75-EOMONTH(EDATE(A75,-1),0))))/(AK75*AB75*AE75)</f>
        <v>0.99990770297334786</v>
      </c>
      <c r="AG75" s="88">
        <f>IF($A76="","",Summary!$Q$11)</f>
        <v>0</v>
      </c>
      <c r="AH75" s="88">
        <f>IF($A76="","",IF(Summary!$R$11="Y",(VLOOKUP($A75,Summary!$AD$6:$AF$9,3)+'Escalating commodity'!G88),'Escalating commodity'!G88))</f>
        <v>5.3655174371212404E-3</v>
      </c>
      <c r="AI75" s="88">
        <f t="shared" ref="AI75:AI138" si="73">IF($A76="","",AH75)</f>
        <v>5.3655174371212404E-3</v>
      </c>
      <c r="AJ75" s="236">
        <f t="shared" si="59"/>
        <v>39036</v>
      </c>
      <c r="AK75" s="58">
        <f t="shared" ca="1" si="60"/>
        <v>1996</v>
      </c>
      <c r="AL75" s="26">
        <f ca="1">IF($A76="","",_xll.SPRDOPT(P75,X75,AI75,0,AB75,AE75,AF75,AK75,$AJ$2,0))</f>
        <v>0.15611024808041521</v>
      </c>
      <c r="AM75" s="209">
        <f t="shared" si="61"/>
        <v>0.15554174848644095</v>
      </c>
      <c r="AN75" s="89">
        <f t="shared" ca="1" si="62"/>
        <v>5.6849959397425875E-4</v>
      </c>
      <c r="AO75" s="3">
        <f t="shared" si="63"/>
        <v>30</v>
      </c>
      <c r="AP75" s="33">
        <f t="shared" si="64"/>
        <v>39022</v>
      </c>
      <c r="AQ75" s="58">
        <f t="shared" ca="1" si="65"/>
        <v>1996</v>
      </c>
      <c r="AR75" s="38">
        <f>'ANR OK vs ML7'!AR75</f>
        <v>0.1</v>
      </c>
      <c r="AS75" s="35">
        <f t="shared" ca="1" si="66"/>
        <v>0.5866938672939096</v>
      </c>
      <c r="AT75" s="3">
        <f t="shared" si="67"/>
        <v>1</v>
      </c>
      <c r="AU75" s="3">
        <f t="shared" si="68"/>
        <v>30</v>
      </c>
      <c r="AW75" s="32">
        <f t="shared" ca="1" si="69"/>
        <v>581395.15251596714</v>
      </c>
      <c r="AX75" s="32">
        <f t="shared" si="70"/>
        <v>579277.91221811261</v>
      </c>
      <c r="AY75" s="32">
        <f t="shared" ca="1" si="71"/>
        <v>2117.2402978545729</v>
      </c>
      <c r="BA75" s="32">
        <f ca="1">IF($A76="","",F75*Summary!$Q$11)</f>
        <v>0</v>
      </c>
      <c r="BC75" s="256">
        <f t="shared" ref="BC75:BC138" ca="1" si="74">IF(A76="","",AM75*F75)</f>
        <v>339858.79855718638</v>
      </c>
    </row>
    <row r="76" spans="1:55">
      <c r="A76" s="67">
        <f t="shared" si="72"/>
        <v>39052</v>
      </c>
      <c r="B76" s="69">
        <f t="shared" ref="B76:B139" si="75">IF(A76&lt;mthend,B75,"")</f>
        <v>124142</v>
      </c>
      <c r="C76" s="71"/>
      <c r="D76" s="69">
        <f t="shared" si="38"/>
        <v>124142</v>
      </c>
      <c r="E76" s="70">
        <f t="shared" si="39"/>
        <v>3848402</v>
      </c>
      <c r="F76" s="70">
        <f t="shared" ca="1" si="40"/>
        <v>2239810.0649783053</v>
      </c>
      <c r="G76" s="63">
        <f t="shared" si="41"/>
        <v>4.4770000000000003</v>
      </c>
      <c r="H76" s="64">
        <f t="shared" si="42"/>
        <v>4.4770000000000003</v>
      </c>
      <c r="I76" s="43"/>
      <c r="J76" s="63">
        <f t="shared" si="43"/>
        <v>0.47499999999999998</v>
      </c>
      <c r="K76" s="64">
        <f t="shared" si="44"/>
        <v>0.47499999999999998</v>
      </c>
      <c r="L76" s="63">
        <f t="shared" si="45"/>
        <v>0</v>
      </c>
      <c r="M76" s="64">
        <f t="shared" si="46"/>
        <v>0</v>
      </c>
      <c r="N76" s="65"/>
      <c r="O76" s="63">
        <f t="shared" si="47"/>
        <v>4.952</v>
      </c>
      <c r="P76" s="63">
        <f t="shared" si="48"/>
        <v>4.952</v>
      </c>
      <c r="Q76" s="66"/>
      <c r="R76" s="63">
        <f t="shared" si="49"/>
        <v>0.26500000000000001</v>
      </c>
      <c r="S76" s="64">
        <f t="shared" si="50"/>
        <v>0.26500000000000001</v>
      </c>
      <c r="T76" s="38">
        <v>0</v>
      </c>
      <c r="U76" s="64">
        <f t="shared" si="51"/>
        <v>0</v>
      </c>
      <c r="V76" s="219">
        <f>IF($A77="","",IF(AND(MONTH(A76)&gt;3,MONTH(A76)&lt;11),(T76+R76+G76)*Summary!$T$11/(1-Summary!$T$11),(T76+R76+G76)*Summary!$U$11/(1-Summary!$U$11)))</f>
        <v>5.0564236531378502E-2</v>
      </c>
      <c r="W76" s="43">
        <f t="shared" si="52"/>
        <v>4.7925642365313781</v>
      </c>
      <c r="X76" s="43">
        <f t="shared" si="53"/>
        <v>4.7925642365313781</v>
      </c>
      <c r="Y76" s="43"/>
      <c r="Z76" s="38">
        <f t="shared" si="54"/>
        <v>1.1000000000000001</v>
      </c>
      <c r="AA76" s="38">
        <f t="shared" si="55"/>
        <v>0.245</v>
      </c>
      <c r="AB76" s="38">
        <f t="shared" ca="1" si="56"/>
        <v>0.26327131310503121</v>
      </c>
      <c r="AC76" s="38">
        <f t="shared" si="57"/>
        <v>1.1000000000000001</v>
      </c>
      <c r="AD76" s="38">
        <f t="shared" si="57"/>
        <v>0.245</v>
      </c>
      <c r="AE76" s="38">
        <f t="shared" ca="1" si="58"/>
        <v>0.26327131310503121</v>
      </c>
      <c r="AF76" s="238">
        <f ca="1">((Summary!$N$11*(AA76*AD76)*(A76-$D$3))+(Summary!$M$11*Z76*AC76*(AJ76-EOMONTH(EDATE(A76,-1),0))))/(AK76*AB76*AE76)</f>
        <v>0.99991335581972451</v>
      </c>
      <c r="AG76" s="88">
        <f>IF($A77="","",Summary!$Q$11)</f>
        <v>0</v>
      </c>
      <c r="AH76" s="88">
        <f>IF($A77="","",IF(Summary!$R$11="Y",(VLOOKUP($A76,Summary!$AD$6:$AF$9,3)+'Escalating commodity'!G89),'Escalating commodity'!G89))</f>
        <v>5.3655174371212404E-3</v>
      </c>
      <c r="AI76" s="88">
        <f t="shared" si="73"/>
        <v>5.3655174371212404E-3</v>
      </c>
      <c r="AJ76" s="236">
        <f t="shared" si="59"/>
        <v>39066.5</v>
      </c>
      <c r="AK76" s="58">
        <f t="shared" ca="1" si="60"/>
        <v>2026</v>
      </c>
      <c r="AL76" s="26">
        <f ca="1">IF($A77="","",_xll.SPRDOPT(P76,X76,AI76,0,AB76,AE76,AF76,AK76,$AJ$2,0))</f>
        <v>0.15481210468041581</v>
      </c>
      <c r="AM76" s="209">
        <f t="shared" si="61"/>
        <v>0.15407024603150063</v>
      </c>
      <c r="AN76" s="89">
        <f t="shared" ca="1" si="62"/>
        <v>7.4185864891518349E-4</v>
      </c>
      <c r="AO76" s="3">
        <f t="shared" si="63"/>
        <v>31</v>
      </c>
      <c r="AP76" s="33">
        <f t="shared" si="64"/>
        <v>39052</v>
      </c>
      <c r="AQ76" s="58">
        <f t="shared" ca="1" si="65"/>
        <v>2026</v>
      </c>
      <c r="AR76" s="38">
        <f>'ANR OK vs ML7'!AR76</f>
        <v>0.1</v>
      </c>
      <c r="AS76" s="35">
        <f t="shared" ca="1" si="66"/>
        <v>0.5820104201635653</v>
      </c>
      <c r="AT76" s="3">
        <f t="shared" si="67"/>
        <v>1</v>
      </c>
      <c r="AU76" s="3">
        <f t="shared" si="68"/>
        <v>31</v>
      </c>
      <c r="AW76" s="32">
        <f t="shared" ca="1" si="69"/>
        <v>595779.21327632153</v>
      </c>
      <c r="AX76" s="32">
        <f t="shared" si="70"/>
        <v>592924.2429681191</v>
      </c>
      <c r="AY76" s="32">
        <f t="shared" ca="1" si="71"/>
        <v>2854.9703082024898</v>
      </c>
      <c r="BA76" s="32">
        <f ca="1">IF($A77="","",F76*Summary!$Q$11)</f>
        <v>0</v>
      </c>
      <c r="BC76" s="256">
        <f t="shared" ca="1" si="74"/>
        <v>345088.0877750389</v>
      </c>
    </row>
    <row r="77" spans="1:55">
      <c r="A77" s="67">
        <f t="shared" si="72"/>
        <v>39083</v>
      </c>
      <c r="B77" s="69">
        <f t="shared" si="75"/>
        <v>124142</v>
      </c>
      <c r="C77" s="71"/>
      <c r="D77" s="69">
        <f t="shared" si="38"/>
        <v>124142</v>
      </c>
      <c r="E77" s="70">
        <f t="shared" si="39"/>
        <v>3848402</v>
      </c>
      <c r="F77" s="70">
        <f t="shared" ca="1" si="40"/>
        <v>2221336.6251601828</v>
      </c>
      <c r="G77" s="63">
        <f t="shared" si="41"/>
        <v>4.484</v>
      </c>
      <c r="H77" s="64">
        <f t="shared" si="42"/>
        <v>4.484</v>
      </c>
      <c r="I77" s="43"/>
      <c r="J77" s="63">
        <f t="shared" si="43"/>
        <v>0.47499999999999998</v>
      </c>
      <c r="K77" s="64">
        <f t="shared" si="44"/>
        <v>0.47499999999999998</v>
      </c>
      <c r="L77" s="63">
        <f t="shared" si="45"/>
        <v>0</v>
      </c>
      <c r="M77" s="64">
        <f t="shared" si="46"/>
        <v>0</v>
      </c>
      <c r="N77" s="65"/>
      <c r="O77" s="63">
        <f t="shared" si="47"/>
        <v>4.9589999999999996</v>
      </c>
      <c r="P77" s="63">
        <f t="shared" si="48"/>
        <v>4.9589999999999996</v>
      </c>
      <c r="Q77" s="66"/>
      <c r="R77" s="63">
        <f t="shared" si="49"/>
        <v>0.26500000000000001</v>
      </c>
      <c r="S77" s="64">
        <f t="shared" si="50"/>
        <v>0.26500000000000001</v>
      </c>
      <c r="T77" s="38">
        <v>0</v>
      </c>
      <c r="U77" s="64">
        <f t="shared" si="51"/>
        <v>0</v>
      </c>
      <c r="V77" s="219">
        <f>IF($A78="","",IF(AND(MONTH(A77)&gt;3,MONTH(A77)&lt;11),(T77+R77+G77)*Summary!$T$11/(1-Summary!$T$11),(T77+R77+G77)*Summary!$U$11/(1-Summary!$U$11)))</f>
        <v>5.0638877960252314E-2</v>
      </c>
      <c r="W77" s="43">
        <f t="shared" si="52"/>
        <v>4.7996388779602519</v>
      </c>
      <c r="X77" s="43">
        <f t="shared" si="53"/>
        <v>4.7996388779602519</v>
      </c>
      <c r="Y77" s="43"/>
      <c r="Z77" s="38">
        <f t="shared" si="54"/>
        <v>1.1000000000000001</v>
      </c>
      <c r="AA77" s="38">
        <f t="shared" si="55"/>
        <v>0.248</v>
      </c>
      <c r="AB77" s="38">
        <f t="shared" ca="1" si="56"/>
        <v>0.26580358709577279</v>
      </c>
      <c r="AC77" s="38">
        <f t="shared" si="57"/>
        <v>1.1000000000000001</v>
      </c>
      <c r="AD77" s="38">
        <f t="shared" si="57"/>
        <v>0.248</v>
      </c>
      <c r="AE77" s="38">
        <f t="shared" ca="1" si="58"/>
        <v>0.26580358709577279</v>
      </c>
      <c r="AF77" s="238">
        <f ca="1">((Summary!$N$11*(AA77*AD77)*(A77-$D$3))+(Summary!$M$11*Z77*AC77*(AJ77-EOMONTH(EDATE(A77,-1),0))))/(AK77*AB77*AE77)</f>
        <v>0.99991290509190134</v>
      </c>
      <c r="AG77" s="88">
        <f>IF($A78="","",Summary!$Q$11)</f>
        <v>0</v>
      </c>
      <c r="AH77" s="88">
        <f>IF($A78="","",IF(Summary!$R$11="Y",(VLOOKUP($A77,Summary!$AD$6:$AF$9,3)+'Escalating commodity'!G90),'Escalating commodity'!G90))</f>
        <v>5.4728277858636654E-3</v>
      </c>
      <c r="AI77" s="88">
        <f t="shared" si="73"/>
        <v>5.4728277858636654E-3</v>
      </c>
      <c r="AJ77" s="236">
        <f t="shared" si="59"/>
        <v>39097.5</v>
      </c>
      <c r="AK77" s="58">
        <f t="shared" ca="1" si="60"/>
        <v>2057</v>
      </c>
      <c r="AL77" s="26">
        <f ca="1">IF($A78="","",_xll.SPRDOPT(P77,X77,AI77,0,AB77,AE77,AF77,AK77,$AJ$2,0))</f>
        <v>0.15468274476495711</v>
      </c>
      <c r="AM77" s="209">
        <f t="shared" si="61"/>
        <v>0.15388829425388406</v>
      </c>
      <c r="AN77" s="89">
        <f t="shared" ca="1" si="62"/>
        <v>7.9445051107304709E-4</v>
      </c>
      <c r="AO77" s="3">
        <f t="shared" si="63"/>
        <v>31</v>
      </c>
      <c r="AP77" s="33">
        <f t="shared" si="64"/>
        <v>39083</v>
      </c>
      <c r="AQ77" s="58">
        <f t="shared" ca="1" si="65"/>
        <v>2057</v>
      </c>
      <c r="AR77" s="38">
        <f>'ANR OK vs ML7'!AR77</f>
        <v>0.1</v>
      </c>
      <c r="AS77" s="35">
        <f t="shared" ca="1" si="66"/>
        <v>0.57721013167548063</v>
      </c>
      <c r="AT77" s="3">
        <f t="shared" si="67"/>
        <v>1</v>
      </c>
      <c r="AU77" s="3">
        <f t="shared" si="68"/>
        <v>31</v>
      </c>
      <c r="AW77" s="32">
        <f t="shared" ca="1" si="69"/>
        <v>595281.38431895047</v>
      </c>
      <c r="AX77" s="32">
        <f t="shared" si="70"/>
        <v>592224.01938323595</v>
      </c>
      <c r="AY77" s="32">
        <f t="shared" ca="1" si="71"/>
        <v>3057.3649357145364</v>
      </c>
      <c r="BA77" s="32">
        <f ca="1">IF($A78="","",F77*Summary!$Q$11)</f>
        <v>0</v>
      </c>
      <c r="BC77" s="256">
        <f t="shared" ca="1" si="74"/>
        <v>341837.70420957997</v>
      </c>
    </row>
    <row r="78" spans="1:55">
      <c r="A78" s="67">
        <f t="shared" si="72"/>
        <v>39114</v>
      </c>
      <c r="B78" s="69">
        <f t="shared" si="75"/>
        <v>124142</v>
      </c>
      <c r="C78" s="71"/>
      <c r="D78" s="69">
        <f t="shared" si="38"/>
        <v>124142</v>
      </c>
      <c r="E78" s="70">
        <f t="shared" si="39"/>
        <v>3475976</v>
      </c>
      <c r="F78" s="70">
        <f t="shared" ca="1" si="40"/>
        <v>1989820.4968081948</v>
      </c>
      <c r="G78" s="63">
        <f t="shared" si="41"/>
        <v>4.3639999999999999</v>
      </c>
      <c r="H78" s="64">
        <f t="shared" si="42"/>
        <v>4.3639999999999999</v>
      </c>
      <c r="I78" s="43"/>
      <c r="J78" s="63">
        <f t="shared" si="43"/>
        <v>0.47499999999999998</v>
      </c>
      <c r="K78" s="64">
        <f t="shared" si="44"/>
        <v>0.47499999999999998</v>
      </c>
      <c r="L78" s="63">
        <f t="shared" si="45"/>
        <v>0</v>
      </c>
      <c r="M78" s="64">
        <f t="shared" si="46"/>
        <v>0</v>
      </c>
      <c r="N78" s="65"/>
      <c r="O78" s="63">
        <f t="shared" si="47"/>
        <v>4.8389999999999995</v>
      </c>
      <c r="P78" s="63">
        <f t="shared" si="48"/>
        <v>4.8389999999999995</v>
      </c>
      <c r="Q78" s="66"/>
      <c r="R78" s="63">
        <f t="shared" si="49"/>
        <v>0.26500000000000001</v>
      </c>
      <c r="S78" s="64">
        <f t="shared" si="50"/>
        <v>0.26500000000000001</v>
      </c>
      <c r="T78" s="38">
        <v>0</v>
      </c>
      <c r="U78" s="64">
        <f t="shared" si="51"/>
        <v>0</v>
      </c>
      <c r="V78" s="219">
        <f>IF($A79="","",IF(AND(MONTH(A78)&gt;3,MONTH(A78)&lt;11),(T78+R78+G78)*Summary!$T$11/(1-Summary!$T$11),(T78+R78+G78)*Summary!$U$11/(1-Summary!$U$11)))</f>
        <v>4.9359310608129703E-2</v>
      </c>
      <c r="W78" s="43">
        <f t="shared" si="52"/>
        <v>4.6783593106081289</v>
      </c>
      <c r="X78" s="43">
        <f t="shared" si="53"/>
        <v>4.6783593106081289</v>
      </c>
      <c r="Y78" s="43"/>
      <c r="Z78" s="38">
        <f t="shared" si="54"/>
        <v>1.1000000000000001</v>
      </c>
      <c r="AA78" s="38">
        <f t="shared" si="55"/>
        <v>0.23499999999999999</v>
      </c>
      <c r="AB78" s="38">
        <f t="shared" ca="1" si="56"/>
        <v>0.25172301359770949</v>
      </c>
      <c r="AC78" s="38">
        <f t="shared" si="57"/>
        <v>1.1000000000000001</v>
      </c>
      <c r="AD78" s="38">
        <f t="shared" si="57"/>
        <v>0.23499999999999999</v>
      </c>
      <c r="AE78" s="38">
        <f t="shared" ca="1" si="58"/>
        <v>0.25172301359770949</v>
      </c>
      <c r="AF78" s="238">
        <f ca="1">((Summary!$N$11*(AA78*AD78)*(A78-$D$3))+(Summary!$M$11*Z78*AC78*(AJ78-EOMONTH(EDATE(A78,-1),0))))/(AK78*AB78*AE78)</f>
        <v>0.99991280374649427</v>
      </c>
      <c r="AG78" s="88">
        <f>IF($A79="","",Summary!$Q$11)</f>
        <v>0</v>
      </c>
      <c r="AH78" s="88">
        <f>IF($A79="","",IF(Summary!$R$11="Y",(VLOOKUP($A78,Summary!$AD$6:$AF$9,3)+'Escalating commodity'!G91),'Escalating commodity'!G91))</f>
        <v>5.4728277858636654E-3</v>
      </c>
      <c r="AI78" s="88">
        <f t="shared" si="73"/>
        <v>5.4728277858636654E-3</v>
      </c>
      <c r="AJ78" s="236">
        <f t="shared" si="59"/>
        <v>39127</v>
      </c>
      <c r="AK78" s="58">
        <f t="shared" ca="1" si="60"/>
        <v>2088</v>
      </c>
      <c r="AL78" s="26">
        <f ca="1">IF($A79="","",_xll.SPRDOPT(P78,X78,AI78,0,AB78,AE78,AF78,AK78,$AJ$2,0))</f>
        <v>0.15578048143765894</v>
      </c>
      <c r="AM78" s="209">
        <f t="shared" si="61"/>
        <v>0.15516786160600693</v>
      </c>
      <c r="AN78" s="89">
        <f t="shared" ca="1" si="62"/>
        <v>6.1261983165200595E-4</v>
      </c>
      <c r="AO78" s="3">
        <f t="shared" si="63"/>
        <v>28</v>
      </c>
      <c r="AP78" s="33">
        <f t="shared" si="64"/>
        <v>39114</v>
      </c>
      <c r="AQ78" s="58">
        <f t="shared" ca="1" si="65"/>
        <v>2088</v>
      </c>
      <c r="AR78" s="38">
        <f>'ANR OK vs ML7'!AR78</f>
        <v>0.1</v>
      </c>
      <c r="AS78" s="35">
        <f t="shared" ca="1" si="66"/>
        <v>0.57244943486611954</v>
      </c>
      <c r="AT78" s="3">
        <f t="shared" si="67"/>
        <v>1</v>
      </c>
      <c r="AU78" s="3">
        <f t="shared" si="68"/>
        <v>28</v>
      </c>
      <c r="AW78" s="32">
        <f t="shared" ca="1" si="69"/>
        <v>541489.21474574797</v>
      </c>
      <c r="AX78" s="32">
        <f t="shared" si="70"/>
        <v>539359.76291380159</v>
      </c>
      <c r="AY78" s="32">
        <f t="shared" ca="1" si="71"/>
        <v>2129.4518319464132</v>
      </c>
      <c r="BA78" s="32">
        <f ca="1">IF($A79="","",F78*Summary!$Q$11)</f>
        <v>0</v>
      </c>
      <c r="BC78" s="256">
        <f t="shared" ca="1" si="74"/>
        <v>308756.19146952993</v>
      </c>
    </row>
    <row r="79" spans="1:55">
      <c r="A79" s="67">
        <f t="shared" si="72"/>
        <v>39142</v>
      </c>
      <c r="B79" s="69">
        <f t="shared" si="75"/>
        <v>124142</v>
      </c>
      <c r="C79" s="71"/>
      <c r="D79" s="69">
        <f t="shared" si="38"/>
        <v>124142</v>
      </c>
      <c r="E79" s="70">
        <f t="shared" si="39"/>
        <v>3848402</v>
      </c>
      <c r="F79" s="70">
        <f t="shared" ca="1" si="40"/>
        <v>2186597.3973913128</v>
      </c>
      <c r="G79" s="63">
        <f t="shared" si="41"/>
        <v>4.2249999999999996</v>
      </c>
      <c r="H79" s="64">
        <f t="shared" si="42"/>
        <v>4.2249999999999996</v>
      </c>
      <c r="I79" s="43"/>
      <c r="J79" s="63">
        <f t="shared" si="43"/>
        <v>0.47499999999999998</v>
      </c>
      <c r="K79" s="64">
        <f t="shared" si="44"/>
        <v>0.47499999999999998</v>
      </c>
      <c r="L79" s="63">
        <f t="shared" si="45"/>
        <v>0</v>
      </c>
      <c r="M79" s="64">
        <f t="shared" si="46"/>
        <v>0</v>
      </c>
      <c r="N79" s="65"/>
      <c r="O79" s="63">
        <f t="shared" si="47"/>
        <v>4.6999999999999993</v>
      </c>
      <c r="P79" s="63">
        <f t="shared" si="48"/>
        <v>4.6999999999999993</v>
      </c>
      <c r="Q79" s="66"/>
      <c r="R79" s="63">
        <f t="shared" si="49"/>
        <v>0.26500000000000001</v>
      </c>
      <c r="S79" s="64">
        <f t="shared" si="50"/>
        <v>0.26500000000000001</v>
      </c>
      <c r="T79" s="38">
        <v>0</v>
      </c>
      <c r="U79" s="64">
        <f t="shared" si="51"/>
        <v>0</v>
      </c>
      <c r="V79" s="219">
        <f>IF($A80="","",IF(AND(MONTH(A79)&gt;3,MONTH(A79)&lt;11),(T79+R79+G79)*Summary!$T$11/(1-Summary!$T$11),(T79+R79+G79)*Summary!$U$11/(1-Summary!$U$11)))</f>
        <v>4.7877145091921015E-2</v>
      </c>
      <c r="W79" s="43">
        <f t="shared" si="52"/>
        <v>4.5378771450919206</v>
      </c>
      <c r="X79" s="43">
        <f t="shared" si="53"/>
        <v>4.5378771450919206</v>
      </c>
      <c r="Y79" s="43"/>
      <c r="Z79" s="38">
        <f t="shared" si="54"/>
        <v>0.75</v>
      </c>
      <c r="AA79" s="38">
        <f t="shared" si="55"/>
        <v>0.22800000000000001</v>
      </c>
      <c r="AB79" s="38">
        <f t="shared" ca="1" si="56"/>
        <v>0.2369155110103133</v>
      </c>
      <c r="AC79" s="38">
        <f t="shared" si="57"/>
        <v>0.75</v>
      </c>
      <c r="AD79" s="38">
        <f t="shared" si="57"/>
        <v>0.22800000000000001</v>
      </c>
      <c r="AE79" s="38">
        <f t="shared" ca="1" si="58"/>
        <v>0.2369155110103133</v>
      </c>
      <c r="AF79" s="238">
        <f ca="1">((Summary!$N$11*(AA79*AD79)*(A79-$D$3))+(Summary!$M$11*Z79*AC79*(AJ79-EOMONTH(EDATE(A79,-1),0))))/(AK79*AB79*AE79)</f>
        <v>0.99990734093825506</v>
      </c>
      <c r="AG79" s="88">
        <f>IF($A80="","",Summary!$Q$11)</f>
        <v>0</v>
      </c>
      <c r="AH79" s="88">
        <f>IF($A80="","",IF(Summary!$R$11="Y",(VLOOKUP($A79,Summary!$AD$6:$AF$9,3)+'Escalating commodity'!G92),'Escalating commodity'!G92))</f>
        <v>5.4728277858636654E-3</v>
      </c>
      <c r="AI79" s="88">
        <f t="shared" si="73"/>
        <v>5.4728277858636654E-3</v>
      </c>
      <c r="AJ79" s="236">
        <f t="shared" si="59"/>
        <v>39156.5</v>
      </c>
      <c r="AK79" s="58">
        <f t="shared" ca="1" si="60"/>
        <v>2116</v>
      </c>
      <c r="AL79" s="26">
        <f ca="1">IF($A80="","",_xll.SPRDOPT(P79,X79,AI79,0,AB79,AE79,AF79,AK79,$AJ$2,0))</f>
        <v>0.15711673152979833</v>
      </c>
      <c r="AM79" s="209">
        <f t="shared" si="61"/>
        <v>0.15665002712221499</v>
      </c>
      <c r="AN79" s="89">
        <f t="shared" ca="1" si="62"/>
        <v>4.6670440758334042E-4</v>
      </c>
      <c r="AO79" s="3">
        <f t="shared" si="63"/>
        <v>31</v>
      </c>
      <c r="AP79" s="33">
        <f t="shared" si="64"/>
        <v>39142</v>
      </c>
      <c r="AQ79" s="58">
        <f t="shared" ca="1" si="65"/>
        <v>2116</v>
      </c>
      <c r="AR79" s="38">
        <f>'ANR OK vs ML7'!AR79</f>
        <v>0.1</v>
      </c>
      <c r="AS79" s="35">
        <f t="shared" ca="1" si="66"/>
        <v>0.56818320887249119</v>
      </c>
      <c r="AT79" s="3">
        <f t="shared" si="67"/>
        <v>1</v>
      </c>
      <c r="AU79" s="3">
        <f t="shared" si="68"/>
        <v>31</v>
      </c>
      <c r="AW79" s="32">
        <f t="shared" ca="1" si="69"/>
        <v>604648.34385273897</v>
      </c>
      <c r="AX79" s="32">
        <f t="shared" si="70"/>
        <v>602852.27767718642</v>
      </c>
      <c r="AY79" s="32">
        <f t="shared" ca="1" si="71"/>
        <v>1796.0661755525425</v>
      </c>
      <c r="BA79" s="32">
        <f ca="1">IF($A80="","",F79*Summary!$Q$11)</f>
        <v>0</v>
      </c>
      <c r="BC79" s="256">
        <f t="shared" ca="1" si="74"/>
        <v>342530.54160671384</v>
      </c>
    </row>
    <row r="80" spans="1:55">
      <c r="A80" s="67">
        <f t="shared" si="72"/>
        <v>39173</v>
      </c>
      <c r="B80" s="69">
        <f t="shared" si="75"/>
        <v>124142</v>
      </c>
      <c r="C80" s="71"/>
      <c r="D80" s="69">
        <f t="shared" si="38"/>
        <v>124142</v>
      </c>
      <c r="E80" s="70">
        <f t="shared" si="39"/>
        <v>3724260</v>
      </c>
      <c r="F80" s="70">
        <f t="shared" ca="1" si="40"/>
        <v>2098609.203342156</v>
      </c>
      <c r="G80" s="63">
        <f t="shared" si="41"/>
        <v>4.05</v>
      </c>
      <c r="H80" s="64">
        <f t="shared" si="42"/>
        <v>4.05</v>
      </c>
      <c r="I80" s="43"/>
      <c r="J80" s="63">
        <f t="shared" si="43"/>
        <v>0.23499999999999999</v>
      </c>
      <c r="K80" s="64">
        <f t="shared" si="44"/>
        <v>0.23499999999999999</v>
      </c>
      <c r="L80" s="63">
        <f t="shared" si="45"/>
        <v>0</v>
      </c>
      <c r="M80" s="64">
        <f t="shared" si="46"/>
        <v>0</v>
      </c>
      <c r="N80" s="65"/>
      <c r="O80" s="63">
        <f t="shared" si="47"/>
        <v>4.2850000000000001</v>
      </c>
      <c r="P80" s="63">
        <f t="shared" si="48"/>
        <v>4.2850000000000001</v>
      </c>
      <c r="Q80" s="66"/>
      <c r="R80" s="63">
        <f t="shared" si="49"/>
        <v>0.17</v>
      </c>
      <c r="S80" s="64">
        <f t="shared" si="50"/>
        <v>0.17</v>
      </c>
      <c r="T80" s="38">
        <v>0</v>
      </c>
      <c r="U80" s="64">
        <f t="shared" si="51"/>
        <v>0</v>
      </c>
      <c r="V80" s="219">
        <f>IF($A81="","",IF(AND(MONTH(A80)&gt;3,MONTH(A80)&lt;11),(T80+R80+G80)*Summary!$T$11/(1-Summary!$T$11),(T80+R80+G80)*Summary!$U$11/(1-Summary!$U$11)))</f>
        <v>4.4998118549645146E-2</v>
      </c>
      <c r="W80" s="43">
        <f t="shared" si="52"/>
        <v>4.2649981185496451</v>
      </c>
      <c r="X80" s="43">
        <f t="shared" si="53"/>
        <v>4.2649981185496451</v>
      </c>
      <c r="Y80" s="43"/>
      <c r="Z80" s="38">
        <f t="shared" si="54"/>
        <v>0.45</v>
      </c>
      <c r="AA80" s="38">
        <f t="shared" si="55"/>
        <v>0.22800000000000001</v>
      </c>
      <c r="AB80" s="38">
        <f t="shared" ca="1" si="56"/>
        <v>0.23113411080465152</v>
      </c>
      <c r="AC80" s="38">
        <f t="shared" si="57"/>
        <v>0.45</v>
      </c>
      <c r="AD80" s="38">
        <f t="shared" si="57"/>
        <v>0.22800000000000001</v>
      </c>
      <c r="AE80" s="38">
        <f t="shared" ca="1" si="58"/>
        <v>0.23113411080465152</v>
      </c>
      <c r="AF80" s="238">
        <f ca="1">((Summary!$N$11*(AA80*AD80)*(A80-$D$3))+(Summary!$M$11*Z80*AC80*(AJ80-EOMONTH(EDATE(A80,-1),0))))/(AK80*AB80*AE80)</f>
        <v>0.99990264823276942</v>
      </c>
      <c r="AG80" s="88">
        <f>IF($A81="","",Summary!$Q$11)</f>
        <v>0</v>
      </c>
      <c r="AH80" s="88">
        <f>IF($A81="","",IF(Summary!$R$11="Y",(VLOOKUP($A80,Summary!$AD$6:$AF$9,3)+'Escalating commodity'!G93),'Escalating commodity'!G93))</f>
        <v>5.4728277858636654E-3</v>
      </c>
      <c r="AI80" s="88">
        <f t="shared" si="73"/>
        <v>5.4728277858636654E-3</v>
      </c>
      <c r="AJ80" s="236">
        <f t="shared" si="59"/>
        <v>39187</v>
      </c>
      <c r="AK80" s="58">
        <f t="shared" ca="1" si="60"/>
        <v>2147</v>
      </c>
      <c r="AL80" s="26">
        <f ca="1">IF($A81="","",_xll.SPRDOPT(P80,X80,AI80,0,AB80,AE80,AF80,AK80,$AJ$2,0))</f>
        <v>1.8041241060135785E-2</v>
      </c>
      <c r="AM80" s="209">
        <f t="shared" si="61"/>
        <v>1.452905366449142E-2</v>
      </c>
      <c r="AN80" s="89">
        <f t="shared" ca="1" si="62"/>
        <v>3.5121873956443644E-3</v>
      </c>
      <c r="AO80" s="3">
        <f t="shared" si="63"/>
        <v>30</v>
      </c>
      <c r="AP80" s="33">
        <f t="shared" si="64"/>
        <v>39173</v>
      </c>
      <c r="AQ80" s="58">
        <f t="shared" ca="1" si="65"/>
        <v>2147</v>
      </c>
      <c r="AR80" s="38">
        <f>'ANR OK vs ML7'!AR80</f>
        <v>0.1</v>
      </c>
      <c r="AS80" s="35">
        <f t="shared" ca="1" si="66"/>
        <v>0.56349696405249794</v>
      </c>
      <c r="AT80" s="3">
        <f t="shared" si="67"/>
        <v>1</v>
      </c>
      <c r="AU80" s="3">
        <f t="shared" si="68"/>
        <v>30</v>
      </c>
      <c r="AW80" s="32">
        <f t="shared" ca="1" si="69"/>
        <v>67190.272430621291</v>
      </c>
      <c r="AX80" s="32">
        <f t="shared" si="70"/>
        <v>54109.973400518815</v>
      </c>
      <c r="AY80" s="32">
        <f t="shared" ca="1" si="71"/>
        <v>13080.29903010248</v>
      </c>
      <c r="BA80" s="32">
        <f ca="1">IF($A81="","",F80*Summary!$Q$11)</f>
        <v>0</v>
      </c>
      <c r="BC80" s="256">
        <f t="shared" ca="1" si="74"/>
        <v>30490.805736153772</v>
      </c>
    </row>
    <row r="81" spans="1:55">
      <c r="A81" s="67">
        <f t="shared" si="72"/>
        <v>39203</v>
      </c>
      <c r="B81" s="69">
        <f t="shared" si="75"/>
        <v>124142</v>
      </c>
      <c r="C81" s="71"/>
      <c r="D81" s="69">
        <f t="shared" si="38"/>
        <v>124142</v>
      </c>
      <c r="E81" s="70">
        <f t="shared" si="39"/>
        <v>3848402</v>
      </c>
      <c r="F81" s="70">
        <f t="shared" ca="1" si="40"/>
        <v>2151251.6868311311</v>
      </c>
      <c r="G81" s="63">
        <f t="shared" si="41"/>
        <v>4.0199999999999996</v>
      </c>
      <c r="H81" s="64">
        <f t="shared" si="42"/>
        <v>4.0199999999999996</v>
      </c>
      <c r="I81" s="43"/>
      <c r="J81" s="63">
        <f t="shared" si="43"/>
        <v>0.23499999999999999</v>
      </c>
      <c r="K81" s="64">
        <f t="shared" si="44"/>
        <v>0.23499999999999999</v>
      </c>
      <c r="L81" s="63">
        <f t="shared" si="45"/>
        <v>0</v>
      </c>
      <c r="M81" s="64">
        <f t="shared" si="46"/>
        <v>0</v>
      </c>
      <c r="N81" s="65"/>
      <c r="O81" s="63">
        <f t="shared" si="47"/>
        <v>4.2549999999999999</v>
      </c>
      <c r="P81" s="63">
        <f t="shared" si="48"/>
        <v>4.2549999999999999</v>
      </c>
      <c r="Q81" s="66"/>
      <c r="R81" s="63">
        <f t="shared" si="49"/>
        <v>0.17</v>
      </c>
      <c r="S81" s="64">
        <f t="shared" si="50"/>
        <v>0.17</v>
      </c>
      <c r="T81" s="38">
        <v>0</v>
      </c>
      <c r="U81" s="64">
        <f t="shared" si="51"/>
        <v>0</v>
      </c>
      <c r="V81" s="219">
        <f>IF($A82="","",IF(AND(MONTH(A81)&gt;3,MONTH(A81)&lt;11),(T81+R81+G81)*Summary!$T$11/(1-Summary!$T$11),(T81+R81+G81)*Summary!$U$11/(1-Summary!$U$11)))</f>
        <v>4.4678226711614491E-2</v>
      </c>
      <c r="W81" s="43">
        <f t="shared" si="52"/>
        <v>4.2346782267116136</v>
      </c>
      <c r="X81" s="43">
        <f t="shared" si="53"/>
        <v>4.2346782267116136</v>
      </c>
      <c r="Y81" s="43"/>
      <c r="Z81" s="38">
        <f t="shared" si="54"/>
        <v>0.5</v>
      </c>
      <c r="AA81" s="38">
        <f t="shared" si="55"/>
        <v>0.22800000000000001</v>
      </c>
      <c r="AB81" s="38">
        <f t="shared" ca="1" si="56"/>
        <v>0.2319220799564731</v>
      </c>
      <c r="AC81" s="38">
        <f t="shared" si="57"/>
        <v>0.5</v>
      </c>
      <c r="AD81" s="38">
        <f t="shared" si="57"/>
        <v>0.22800000000000001</v>
      </c>
      <c r="AE81" s="38">
        <f t="shared" ca="1" si="58"/>
        <v>0.2319220799564731</v>
      </c>
      <c r="AF81" s="238">
        <f ca="1">((Summary!$N$11*(AA81*AD81)*(A81-$D$3))+(Summary!$M$11*Z81*AC81*(AJ81-EOMONTH(EDATE(A81,-1),0))))/(AK81*AB81*AE81)</f>
        <v>0.99990330924623394</v>
      </c>
      <c r="AG81" s="88">
        <f>IF($A82="","",Summary!$Q$11)</f>
        <v>0</v>
      </c>
      <c r="AH81" s="88">
        <f>IF($A82="","",IF(Summary!$R$11="Y",(VLOOKUP($A81,Summary!$AD$6:$AF$9,3)+'Escalating commodity'!G94),'Escalating commodity'!G94))</f>
        <v>5.4728277858636654E-3</v>
      </c>
      <c r="AI81" s="88">
        <f t="shared" si="73"/>
        <v>5.4728277858636654E-3</v>
      </c>
      <c r="AJ81" s="236">
        <f t="shared" si="59"/>
        <v>39217.5</v>
      </c>
      <c r="AK81" s="58">
        <f t="shared" ca="1" si="60"/>
        <v>2177</v>
      </c>
      <c r="AL81" s="26">
        <f ca="1">IF($A82="","",_xll.SPRDOPT(P81,X81,AI81,0,AB81,AE81,AF81,AK81,$AJ$2,0))</f>
        <v>1.8337150450898648E-2</v>
      </c>
      <c r="AM81" s="209">
        <f t="shared" si="61"/>
        <v>1.4848945502522581E-2</v>
      </c>
      <c r="AN81" s="89">
        <f t="shared" ca="1" si="62"/>
        <v>3.4882049483760669E-3</v>
      </c>
      <c r="AO81" s="3">
        <f t="shared" si="63"/>
        <v>31</v>
      </c>
      <c r="AP81" s="33">
        <f t="shared" si="64"/>
        <v>39203</v>
      </c>
      <c r="AQ81" s="58">
        <f t="shared" ca="1" si="65"/>
        <v>2177</v>
      </c>
      <c r="AR81" s="38">
        <f>'ANR OK vs ML7'!AR81</f>
        <v>0.1</v>
      </c>
      <c r="AS81" s="35">
        <f t="shared" ca="1" si="66"/>
        <v>0.55899869266026037</v>
      </c>
      <c r="AT81" s="3">
        <f t="shared" si="67"/>
        <v>1</v>
      </c>
      <c r="AU81" s="3">
        <f t="shared" si="68"/>
        <v>31</v>
      </c>
      <c r="AW81" s="32">
        <f t="shared" ca="1" si="69"/>
        <v>70568.726469539266</v>
      </c>
      <c r="AX81" s="32">
        <f t="shared" si="70"/>
        <v>57144.711569798907</v>
      </c>
      <c r="AY81" s="32">
        <f t="shared" ca="1" si="71"/>
        <v>13424.014899740352</v>
      </c>
      <c r="BA81" s="32">
        <f ca="1">IF($A82="","",F81*Summary!$Q$11)</f>
        <v>0</v>
      </c>
      <c r="BC81" s="256">
        <f t="shared" ca="1" si="74"/>
        <v>31943.819059965241</v>
      </c>
    </row>
    <row r="82" spans="1:55">
      <c r="A82" s="67">
        <f t="shared" si="72"/>
        <v>39234</v>
      </c>
      <c r="B82" s="69">
        <f t="shared" si="75"/>
        <v>124142</v>
      </c>
      <c r="C82" s="71"/>
      <c r="D82" s="69">
        <f t="shared" si="38"/>
        <v>124142</v>
      </c>
      <c r="E82" s="70">
        <f t="shared" si="39"/>
        <v>3724260</v>
      </c>
      <c r="F82" s="70">
        <f t="shared" ca="1" si="40"/>
        <v>2064685.7963314459</v>
      </c>
      <c r="G82" s="63">
        <f t="shared" si="41"/>
        <v>4.09</v>
      </c>
      <c r="H82" s="64">
        <f t="shared" si="42"/>
        <v>4.09</v>
      </c>
      <c r="I82" s="43"/>
      <c r="J82" s="63">
        <f t="shared" si="43"/>
        <v>0.23499999999999999</v>
      </c>
      <c r="K82" s="64">
        <f t="shared" si="44"/>
        <v>0.23499999999999999</v>
      </c>
      <c r="L82" s="63">
        <f t="shared" si="45"/>
        <v>0</v>
      </c>
      <c r="M82" s="64">
        <f t="shared" si="46"/>
        <v>0</v>
      </c>
      <c r="N82" s="65"/>
      <c r="O82" s="63">
        <f t="shared" si="47"/>
        <v>4.3250000000000002</v>
      </c>
      <c r="P82" s="63">
        <f t="shared" si="48"/>
        <v>4.3250000000000002</v>
      </c>
      <c r="Q82" s="66"/>
      <c r="R82" s="63">
        <f t="shared" si="49"/>
        <v>0.17</v>
      </c>
      <c r="S82" s="64">
        <f t="shared" si="50"/>
        <v>0.17</v>
      </c>
      <c r="T82" s="38">
        <v>0</v>
      </c>
      <c r="U82" s="64">
        <f t="shared" si="51"/>
        <v>0</v>
      </c>
      <c r="V82" s="219">
        <f>IF($A83="","",IF(AND(MONTH(A82)&gt;3,MONTH(A82)&lt;11),(T82+R82+G82)*Summary!$T$11/(1-Summary!$T$11),(T82+R82+G82)*Summary!$U$11/(1-Summary!$U$11)))</f>
        <v>4.5424641000352678E-2</v>
      </c>
      <c r="W82" s="43">
        <f t="shared" si="52"/>
        <v>4.3054246410003527</v>
      </c>
      <c r="X82" s="43">
        <f t="shared" si="53"/>
        <v>4.3054246410003527</v>
      </c>
      <c r="Y82" s="43"/>
      <c r="Z82" s="38">
        <f t="shared" si="54"/>
        <v>0.5</v>
      </c>
      <c r="AA82" s="38">
        <f t="shared" si="55"/>
        <v>0.218</v>
      </c>
      <c r="AB82" s="38">
        <f t="shared" ca="1" si="56"/>
        <v>0.22190965079496211</v>
      </c>
      <c r="AC82" s="38">
        <f t="shared" si="57"/>
        <v>0.5</v>
      </c>
      <c r="AD82" s="38">
        <f t="shared" si="57"/>
        <v>0.218</v>
      </c>
      <c r="AE82" s="38">
        <f t="shared" ca="1" si="58"/>
        <v>0.22190965079496211</v>
      </c>
      <c r="AF82" s="238">
        <f ca="1">((Summary!$N$11*(AA82*AD82)*(A82-$D$3))+(Summary!$M$11*Z82*AC82*(AJ82-EOMONTH(EDATE(A82,-1),0))))/(AK82*AB82*AE82)</f>
        <v>0.9999034488937768</v>
      </c>
      <c r="AG82" s="88">
        <f>IF($A83="","",Summary!$Q$11)</f>
        <v>0</v>
      </c>
      <c r="AH82" s="88">
        <f>IF($A83="","",IF(Summary!$R$11="Y",(VLOOKUP($A82,Summary!$AD$6:$AF$9,3)+'Escalating commodity'!G95),'Escalating commodity'!G95))</f>
        <v>5.4728277858636654E-3</v>
      </c>
      <c r="AI82" s="88">
        <f t="shared" si="73"/>
        <v>5.4728277858636654E-3</v>
      </c>
      <c r="AJ82" s="236">
        <f t="shared" si="59"/>
        <v>39248</v>
      </c>
      <c r="AK82" s="58">
        <f t="shared" ca="1" si="60"/>
        <v>2208</v>
      </c>
      <c r="AL82" s="26">
        <f ca="1">IF($A83="","",_xll.SPRDOPT(P82,X82,AI82,0,AB82,AE82,AF82,AK82,$AJ$2,0))</f>
        <v>1.7532039535063021E-2</v>
      </c>
      <c r="AM82" s="209">
        <f t="shared" si="61"/>
        <v>1.4102531213783798E-2</v>
      </c>
      <c r="AN82" s="89">
        <f t="shared" ca="1" si="62"/>
        <v>3.4295083212792232E-3</v>
      </c>
      <c r="AO82" s="3">
        <f t="shared" si="63"/>
        <v>30</v>
      </c>
      <c r="AP82" s="33">
        <f t="shared" si="64"/>
        <v>39234</v>
      </c>
      <c r="AQ82" s="58">
        <f t="shared" ca="1" si="65"/>
        <v>2208</v>
      </c>
      <c r="AR82" s="38">
        <f>'ANR OK vs ML7'!AR82</f>
        <v>0.1</v>
      </c>
      <c r="AS82" s="35">
        <f t="shared" ca="1" si="66"/>
        <v>0.55438819962393759</v>
      </c>
      <c r="AT82" s="3">
        <f t="shared" si="67"/>
        <v>1</v>
      </c>
      <c r="AU82" s="3">
        <f t="shared" si="68"/>
        <v>30</v>
      </c>
      <c r="AW82" s="32">
        <f t="shared" ca="1" si="69"/>
        <v>65293.873558853804</v>
      </c>
      <c r="AX82" s="32">
        <f t="shared" si="70"/>
        <v>52521.492898246448</v>
      </c>
      <c r="AY82" s="32">
        <f t="shared" ca="1" si="71"/>
        <v>12772.380660607359</v>
      </c>
      <c r="BA82" s="32">
        <f ca="1">IF($A83="","",F82*Summary!$Q$11)</f>
        <v>0</v>
      </c>
      <c r="BC82" s="256">
        <f t="shared" ca="1" si="74"/>
        <v>29117.295889420275</v>
      </c>
    </row>
    <row r="83" spans="1:55">
      <c r="A83" s="67">
        <f t="shared" si="72"/>
        <v>39264</v>
      </c>
      <c r="B83" s="69">
        <f t="shared" si="75"/>
        <v>124142</v>
      </c>
      <c r="C83" s="71"/>
      <c r="D83" s="69">
        <f t="shared" si="38"/>
        <v>124142</v>
      </c>
      <c r="E83" s="70">
        <f t="shared" si="39"/>
        <v>3848402</v>
      </c>
      <c r="F83" s="70">
        <f t="shared" ca="1" si="40"/>
        <v>2116477.3293954413</v>
      </c>
      <c r="G83" s="63">
        <f t="shared" si="41"/>
        <v>4.1449999999999996</v>
      </c>
      <c r="H83" s="64">
        <f t="shared" si="42"/>
        <v>4.1449999999999996</v>
      </c>
      <c r="I83" s="43"/>
      <c r="J83" s="63">
        <f t="shared" si="43"/>
        <v>0.23499999999999999</v>
      </c>
      <c r="K83" s="64">
        <f t="shared" si="44"/>
        <v>0.23499999999999999</v>
      </c>
      <c r="L83" s="63">
        <f t="shared" si="45"/>
        <v>0</v>
      </c>
      <c r="M83" s="64">
        <f t="shared" si="46"/>
        <v>0</v>
      </c>
      <c r="N83" s="65"/>
      <c r="O83" s="63">
        <f t="shared" si="47"/>
        <v>4.38</v>
      </c>
      <c r="P83" s="63">
        <f t="shared" si="48"/>
        <v>4.38</v>
      </c>
      <c r="Q83" s="66"/>
      <c r="R83" s="63">
        <f t="shared" si="49"/>
        <v>0.17</v>
      </c>
      <c r="S83" s="64">
        <f t="shared" si="50"/>
        <v>0.17</v>
      </c>
      <c r="T83" s="38">
        <v>0</v>
      </c>
      <c r="U83" s="64">
        <f t="shared" si="51"/>
        <v>0</v>
      </c>
      <c r="V83" s="219">
        <f>IF($A84="","",IF(AND(MONTH(A83)&gt;3,MONTH(A83)&lt;11),(T83+R83+G83)*Summary!$T$11/(1-Summary!$T$11),(T83+R83+G83)*Summary!$U$11/(1-Summary!$U$11)))</f>
        <v>4.6011109370075541E-2</v>
      </c>
      <c r="W83" s="43">
        <f t="shared" si="52"/>
        <v>4.3610111093700752</v>
      </c>
      <c r="X83" s="43">
        <f t="shared" si="53"/>
        <v>4.3610111093700752</v>
      </c>
      <c r="Y83" s="43"/>
      <c r="Z83" s="38">
        <f t="shared" si="54"/>
        <v>0.55000000000000004</v>
      </c>
      <c r="AA83" s="38">
        <f t="shared" si="55"/>
        <v>0.218</v>
      </c>
      <c r="AB83" s="38">
        <f t="shared" ca="1" si="56"/>
        <v>0.22280102689873618</v>
      </c>
      <c r="AC83" s="38">
        <f t="shared" si="57"/>
        <v>0.55000000000000004</v>
      </c>
      <c r="AD83" s="38">
        <f t="shared" si="57"/>
        <v>0.218</v>
      </c>
      <c r="AE83" s="38">
        <f t="shared" ca="1" si="58"/>
        <v>0.22280102689873618</v>
      </c>
      <c r="AF83" s="238">
        <f ca="1">((Summary!$N$11*(AA83*AD83)*(A83-$D$3))+(Summary!$M$11*Z83*AC83*(AJ83-EOMONTH(EDATE(A83,-1),0))))/(AK83*AB83*AE83)</f>
        <v>0.99990422048750238</v>
      </c>
      <c r="AG83" s="88">
        <f>IF($A84="","",Summary!$Q$11)</f>
        <v>0</v>
      </c>
      <c r="AH83" s="88">
        <f>IF($A84="","",IF(Summary!$R$11="Y",(VLOOKUP($A83,Summary!$AD$6:$AF$9,3)+'Escalating commodity'!G96),'Escalating commodity'!G96))</f>
        <v>5.4728277858636654E-3</v>
      </c>
      <c r="AI83" s="88">
        <f t="shared" si="73"/>
        <v>5.4728277858636654E-3</v>
      </c>
      <c r="AJ83" s="236">
        <f t="shared" si="59"/>
        <v>39278.5</v>
      </c>
      <c r="AK83" s="58">
        <f t="shared" ca="1" si="60"/>
        <v>2238</v>
      </c>
      <c r="AL83" s="26">
        <f ca="1">IF($A84="","",_xll.SPRDOPT(P83,X83,AI83,0,AB83,AE83,AF83,AK83,$AJ$2,0))</f>
        <v>1.7042503260130973E-2</v>
      </c>
      <c r="AM83" s="209">
        <f t="shared" si="61"/>
        <v>1.3516062844061039E-2</v>
      </c>
      <c r="AN83" s="89">
        <f t="shared" ca="1" si="62"/>
        <v>3.5264404160699342E-3</v>
      </c>
      <c r="AO83" s="3">
        <f t="shared" si="63"/>
        <v>31</v>
      </c>
      <c r="AP83" s="33">
        <f t="shared" si="64"/>
        <v>39264</v>
      </c>
      <c r="AQ83" s="58">
        <f t="shared" ca="1" si="65"/>
        <v>2238</v>
      </c>
      <c r="AR83" s="38">
        <f>'ANR OK vs ML7'!AR83</f>
        <v>0.1</v>
      </c>
      <c r="AS83" s="35">
        <f t="shared" ca="1" si="66"/>
        <v>0.54996264147961704</v>
      </c>
      <c r="AT83" s="3">
        <f t="shared" si="67"/>
        <v>1</v>
      </c>
      <c r="AU83" s="3">
        <f t="shared" si="68"/>
        <v>31</v>
      </c>
      <c r="AW83" s="32">
        <f t="shared" ca="1" si="69"/>
        <v>65586.403631294554</v>
      </c>
      <c r="AX83" s="32">
        <f t="shared" si="70"/>
        <v>52015.243281210191</v>
      </c>
      <c r="AY83" s="32">
        <f t="shared" ca="1" si="71"/>
        <v>13571.160350084367</v>
      </c>
      <c r="BA83" s="32">
        <f ca="1">IF($A84="","",F83*Summary!$Q$11)</f>
        <v>0</v>
      </c>
      <c r="BC83" s="256">
        <f t="shared" ca="1" si="74"/>
        <v>28606.440592139261</v>
      </c>
    </row>
    <row r="84" spans="1:55">
      <c r="A84" s="67">
        <f t="shared" si="72"/>
        <v>39295</v>
      </c>
      <c r="B84" s="69">
        <f t="shared" si="75"/>
        <v>124142</v>
      </c>
      <c r="C84" s="71"/>
      <c r="D84" s="69">
        <f t="shared" si="38"/>
        <v>124142</v>
      </c>
      <c r="E84" s="70">
        <f t="shared" si="39"/>
        <v>3848402</v>
      </c>
      <c r="F84" s="70">
        <f t="shared" ca="1" si="40"/>
        <v>2099021.1096996944</v>
      </c>
      <c r="G84" s="63">
        <f t="shared" si="41"/>
        <v>4.2010000000000005</v>
      </c>
      <c r="H84" s="64">
        <f t="shared" si="42"/>
        <v>4.2010000000000005</v>
      </c>
      <c r="I84" s="43"/>
      <c r="J84" s="63">
        <f t="shared" si="43"/>
        <v>0.23499999999999999</v>
      </c>
      <c r="K84" s="64">
        <f t="shared" si="44"/>
        <v>0.23499999999999999</v>
      </c>
      <c r="L84" s="63">
        <f t="shared" si="45"/>
        <v>0</v>
      </c>
      <c r="M84" s="64">
        <f t="shared" si="46"/>
        <v>0</v>
      </c>
      <c r="N84" s="65"/>
      <c r="O84" s="63">
        <f t="shared" si="47"/>
        <v>4.4360000000000008</v>
      </c>
      <c r="P84" s="63">
        <f t="shared" si="48"/>
        <v>4.4360000000000008</v>
      </c>
      <c r="Q84" s="66"/>
      <c r="R84" s="63">
        <f t="shared" si="49"/>
        <v>0.17</v>
      </c>
      <c r="S84" s="64">
        <f t="shared" si="50"/>
        <v>0.17</v>
      </c>
      <c r="T84" s="38">
        <v>0</v>
      </c>
      <c r="U84" s="64">
        <f t="shared" si="51"/>
        <v>0</v>
      </c>
      <c r="V84" s="219">
        <f>IF($A85="","",IF(AND(MONTH(A84)&gt;3,MONTH(A84)&lt;11),(T84+R84+G84)*Summary!$T$11/(1-Summary!$T$11),(T84+R84+G84)*Summary!$U$11/(1-Summary!$U$11)))</f>
        <v>4.6608240801066105E-2</v>
      </c>
      <c r="W84" s="43">
        <f t="shared" si="52"/>
        <v>4.4176082408010666</v>
      </c>
      <c r="X84" s="43">
        <f t="shared" si="53"/>
        <v>4.4176082408010666</v>
      </c>
      <c r="Y84" s="43"/>
      <c r="Z84" s="38">
        <f t="shared" si="54"/>
        <v>0.6</v>
      </c>
      <c r="AA84" s="38">
        <f t="shared" si="55"/>
        <v>0.218</v>
      </c>
      <c r="AB84" s="38">
        <f t="shared" ca="1" si="56"/>
        <v>0.22361613996311913</v>
      </c>
      <c r="AC84" s="38">
        <f t="shared" si="57"/>
        <v>0.6</v>
      </c>
      <c r="AD84" s="38">
        <f t="shared" si="57"/>
        <v>0.218</v>
      </c>
      <c r="AE84" s="38">
        <f t="shared" ca="1" si="58"/>
        <v>0.22361613996311913</v>
      </c>
      <c r="AF84" s="238">
        <f ca="1">((Summary!$N$11*(AA84*AD84)*(A84-$D$3))+(Summary!$M$11*Z84*AC84*(AJ84-EOMONTH(EDATE(A84,-1),0))))/(AK84*AB84*AE84)</f>
        <v>0.99990491805532689</v>
      </c>
      <c r="AG84" s="88">
        <f>IF($A85="","",Summary!$Q$11)</f>
        <v>0</v>
      </c>
      <c r="AH84" s="88">
        <f>IF($A85="","",IF(Summary!$R$11="Y",(VLOOKUP($A84,Summary!$AD$6:$AF$9,3)+'Escalating commodity'!G97),'Escalating commodity'!G97))</f>
        <v>5.4728277858636654E-3</v>
      </c>
      <c r="AI84" s="88">
        <f t="shared" si="73"/>
        <v>5.4728277858636654E-3</v>
      </c>
      <c r="AJ84" s="236">
        <f t="shared" si="59"/>
        <v>39309.5</v>
      </c>
      <c r="AK84" s="58">
        <f t="shared" ca="1" si="60"/>
        <v>2269</v>
      </c>
      <c r="AL84" s="26">
        <f ca="1">IF($A85="","",_xll.SPRDOPT(P84,X84,AI84,0,AB84,AE84,AF84,AK84,$AJ$2,0))</f>
        <v>1.6545531930880299E-2</v>
      </c>
      <c r="AM84" s="209">
        <f t="shared" si="61"/>
        <v>1.2918931413070545E-2</v>
      </c>
      <c r="AN84" s="89">
        <f t="shared" ca="1" si="62"/>
        <v>3.6266005178097541E-3</v>
      </c>
      <c r="AO84" s="3">
        <f t="shared" si="63"/>
        <v>31</v>
      </c>
      <c r="AP84" s="33">
        <f t="shared" si="64"/>
        <v>39295</v>
      </c>
      <c r="AQ84" s="58">
        <f t="shared" ca="1" si="65"/>
        <v>2269</v>
      </c>
      <c r="AR84" s="38">
        <f>'ANR OK vs ML7'!AR84</f>
        <v>0.1</v>
      </c>
      <c r="AS84" s="35">
        <f t="shared" ca="1" si="66"/>
        <v>0.54542667572142789</v>
      </c>
      <c r="AT84" s="3">
        <f t="shared" si="67"/>
        <v>1</v>
      </c>
      <c r="AU84" s="3">
        <f t="shared" si="68"/>
        <v>31</v>
      </c>
      <c r="AW84" s="32">
        <f t="shared" ca="1" si="69"/>
        <v>63673.858173863606</v>
      </c>
      <c r="AX84" s="32">
        <f t="shared" si="70"/>
        <v>49717.241487923508</v>
      </c>
      <c r="AY84" s="32">
        <f t="shared" ca="1" si="71"/>
        <v>13956.616685940093</v>
      </c>
      <c r="BA84" s="32">
        <f ca="1">IF($A85="","",F84*Summary!$Q$11)</f>
        <v>0</v>
      </c>
      <c r="BC84" s="256">
        <f t="shared" ca="1" si="74"/>
        <v>27117.109750797576</v>
      </c>
    </row>
    <row r="85" spans="1:55">
      <c r="A85" s="67">
        <f t="shared" si="72"/>
        <v>39326</v>
      </c>
      <c r="B85" s="69">
        <f t="shared" si="75"/>
        <v>124142</v>
      </c>
      <c r="C85" s="71"/>
      <c r="D85" s="69">
        <f t="shared" si="38"/>
        <v>124142</v>
      </c>
      <c r="E85" s="70">
        <f t="shared" si="39"/>
        <v>3724260</v>
      </c>
      <c r="F85" s="70">
        <f t="shared" ca="1" si="40"/>
        <v>2014556.9660334329</v>
      </c>
      <c r="G85" s="63">
        <f t="shared" si="41"/>
        <v>4.2149999999999999</v>
      </c>
      <c r="H85" s="64">
        <f t="shared" si="42"/>
        <v>4.2149999999999999</v>
      </c>
      <c r="I85" s="43"/>
      <c r="J85" s="63">
        <f t="shared" si="43"/>
        <v>0.23499999999999999</v>
      </c>
      <c r="K85" s="64">
        <f t="shared" si="44"/>
        <v>0.23499999999999999</v>
      </c>
      <c r="L85" s="63">
        <f t="shared" si="45"/>
        <v>0</v>
      </c>
      <c r="M85" s="64">
        <f t="shared" si="46"/>
        <v>0</v>
      </c>
      <c r="N85" s="65"/>
      <c r="O85" s="63">
        <f t="shared" si="47"/>
        <v>4.45</v>
      </c>
      <c r="P85" s="63">
        <f t="shared" si="48"/>
        <v>4.45</v>
      </c>
      <c r="Q85" s="66"/>
      <c r="R85" s="63">
        <f t="shared" si="49"/>
        <v>0.17</v>
      </c>
      <c r="S85" s="64">
        <f t="shared" si="50"/>
        <v>0.17</v>
      </c>
      <c r="T85" s="38">
        <v>0</v>
      </c>
      <c r="U85" s="64">
        <f t="shared" si="51"/>
        <v>0</v>
      </c>
      <c r="V85" s="219">
        <f>IF($A86="","",IF(AND(MONTH(A85)&gt;3,MONTH(A85)&lt;11),(T85+R85+G85)*Summary!$T$11/(1-Summary!$T$11),(T85+R85+G85)*Summary!$U$11/(1-Summary!$U$11)))</f>
        <v>4.6757523658813728E-2</v>
      </c>
      <c r="W85" s="43">
        <f t="shared" si="52"/>
        <v>4.4317575236588134</v>
      </c>
      <c r="X85" s="43">
        <f t="shared" si="53"/>
        <v>4.4317575236588134</v>
      </c>
      <c r="Y85" s="43"/>
      <c r="Z85" s="38">
        <f t="shared" si="54"/>
        <v>0.6</v>
      </c>
      <c r="AA85" s="38">
        <f t="shared" si="55"/>
        <v>0.218</v>
      </c>
      <c r="AB85" s="38">
        <f t="shared" ca="1" si="56"/>
        <v>0.22336626579600638</v>
      </c>
      <c r="AC85" s="38">
        <f t="shared" si="57"/>
        <v>0.6</v>
      </c>
      <c r="AD85" s="38">
        <f t="shared" si="57"/>
        <v>0.218</v>
      </c>
      <c r="AE85" s="38">
        <f t="shared" ca="1" si="58"/>
        <v>0.22336626579600638</v>
      </c>
      <c r="AF85" s="238">
        <f ca="1">((Summary!$N$11*(AA85*AD85)*(A85-$D$3))+(Summary!$M$11*Z85*AC85*(AJ85-EOMONTH(EDATE(A85,-1),0))))/(AK85*AB85*AE85)</f>
        <v>0.99990470577064483</v>
      </c>
      <c r="AG85" s="88">
        <f>IF($A86="","",Summary!$Q$11)</f>
        <v>0</v>
      </c>
      <c r="AH85" s="88">
        <f>IF($A86="","",IF(Summary!$R$11="Y",(VLOOKUP($A85,Summary!$AD$6:$AF$9,3)+'Escalating commodity'!G98),'Escalating commodity'!G98))</f>
        <v>5.4728277858636654E-3</v>
      </c>
      <c r="AI85" s="88">
        <f t="shared" si="73"/>
        <v>5.4728277858636654E-3</v>
      </c>
      <c r="AJ85" s="236">
        <f t="shared" si="59"/>
        <v>39340</v>
      </c>
      <c r="AK85" s="58">
        <f t="shared" ca="1" si="60"/>
        <v>2300</v>
      </c>
      <c r="AL85" s="26">
        <f ca="1">IF($A86="","",_xll.SPRDOPT(P85,X85,AI85,0,AB85,AE85,AF85,AK85,$AJ$2,0))</f>
        <v>1.6450381325989194E-2</v>
      </c>
      <c r="AM85" s="209">
        <f t="shared" si="61"/>
        <v>1.2769648555323143E-2</v>
      </c>
      <c r="AN85" s="89">
        <f t="shared" ca="1" si="62"/>
        <v>3.6807327706660509E-3</v>
      </c>
      <c r="AO85" s="3">
        <f t="shared" si="63"/>
        <v>30</v>
      </c>
      <c r="AP85" s="33">
        <f t="shared" si="64"/>
        <v>39326</v>
      </c>
      <c r="AQ85" s="58">
        <f t="shared" ca="1" si="65"/>
        <v>2300</v>
      </c>
      <c r="AR85" s="38">
        <f>'ANR OK vs ML7'!AR85</f>
        <v>0.1</v>
      </c>
      <c r="AS85" s="35">
        <f t="shared" ca="1" si="66"/>
        <v>0.5409281215686963</v>
      </c>
      <c r="AT85" s="3">
        <f t="shared" si="67"/>
        <v>1</v>
      </c>
      <c r="AU85" s="3">
        <f t="shared" si="68"/>
        <v>30</v>
      </c>
      <c r="AW85" s="32">
        <f t="shared" ca="1" si="69"/>
        <v>61265.497157128513</v>
      </c>
      <c r="AX85" s="32">
        <f t="shared" si="70"/>
        <v>47557.491328647768</v>
      </c>
      <c r="AY85" s="32">
        <f t="shared" ca="1" si="71"/>
        <v>13708.005828480747</v>
      </c>
      <c r="BA85" s="32">
        <f ca="1">IF($A86="","",F85*Summary!$Q$11)</f>
        <v>0</v>
      </c>
      <c r="BC85" s="256">
        <f t="shared" ca="1" si="74"/>
        <v>25725.184450925</v>
      </c>
    </row>
    <row r="86" spans="1:55">
      <c r="A86" s="67">
        <f t="shared" si="72"/>
        <v>39356</v>
      </c>
      <c r="B86" s="69">
        <f t="shared" si="75"/>
        <v>124142</v>
      </c>
      <c r="C86" s="71"/>
      <c r="D86" s="69">
        <f t="shared" si="38"/>
        <v>124142</v>
      </c>
      <c r="E86" s="70">
        <f t="shared" si="39"/>
        <v>3848402</v>
      </c>
      <c r="F86" s="70">
        <f t="shared" ca="1" si="40"/>
        <v>2065091.0443425924</v>
      </c>
      <c r="G86" s="63">
        <f t="shared" si="41"/>
        <v>4.2460000000000004</v>
      </c>
      <c r="H86" s="64">
        <f t="shared" si="42"/>
        <v>4.2460000000000004</v>
      </c>
      <c r="I86" s="43"/>
      <c r="J86" s="63">
        <f t="shared" si="43"/>
        <v>0.23499999999999999</v>
      </c>
      <c r="K86" s="64">
        <f t="shared" si="44"/>
        <v>0.23499999999999999</v>
      </c>
      <c r="L86" s="63">
        <f t="shared" si="45"/>
        <v>0</v>
      </c>
      <c r="M86" s="64">
        <f t="shared" si="46"/>
        <v>0</v>
      </c>
      <c r="N86" s="65"/>
      <c r="O86" s="63">
        <f t="shared" si="47"/>
        <v>4.4810000000000008</v>
      </c>
      <c r="P86" s="63">
        <f t="shared" si="48"/>
        <v>4.4810000000000008</v>
      </c>
      <c r="Q86" s="66"/>
      <c r="R86" s="63">
        <f t="shared" si="49"/>
        <v>0.17</v>
      </c>
      <c r="S86" s="64">
        <f t="shared" si="50"/>
        <v>0.17</v>
      </c>
      <c r="T86" s="38">
        <v>0</v>
      </c>
      <c r="U86" s="64">
        <f t="shared" si="51"/>
        <v>0</v>
      </c>
      <c r="V86" s="219">
        <f>IF($A87="","",IF(AND(MONTH(A86)&gt;3,MONTH(A86)&lt;11),(T86+R86+G86)*Summary!$T$11/(1-Summary!$T$11),(T86+R86+G86)*Summary!$U$11/(1-Summary!$U$11)))</f>
        <v>4.7088078558112083E-2</v>
      </c>
      <c r="W86" s="43">
        <f t="shared" si="52"/>
        <v>4.4630880785581128</v>
      </c>
      <c r="X86" s="43">
        <f t="shared" si="53"/>
        <v>4.4630880785581128</v>
      </c>
      <c r="Y86" s="43"/>
      <c r="Z86" s="38">
        <f t="shared" si="54"/>
        <v>0.65</v>
      </c>
      <c r="AA86" s="38">
        <f t="shared" si="55"/>
        <v>0.218</v>
      </c>
      <c r="AB86" s="38">
        <f t="shared" ca="1" si="56"/>
        <v>0.22439923993659197</v>
      </c>
      <c r="AC86" s="38">
        <f t="shared" si="57"/>
        <v>0.65</v>
      </c>
      <c r="AD86" s="38">
        <f t="shared" si="57"/>
        <v>0.218</v>
      </c>
      <c r="AE86" s="38">
        <f t="shared" ca="1" si="58"/>
        <v>0.22439923993659197</v>
      </c>
      <c r="AF86" s="238">
        <f ca="1">((Summary!$N$11*(AA86*AD86)*(A86-$D$3))+(Summary!$M$11*Z86*AC86*(AJ86-EOMONTH(EDATE(A86,-1),0))))/(AK86*AB86*AE86)</f>
        <v>0.99990558161307419</v>
      </c>
      <c r="AG86" s="88">
        <f>IF($A87="","",Summary!$Q$11)</f>
        <v>0</v>
      </c>
      <c r="AH86" s="88">
        <f>IF($A87="","",IF(Summary!$R$11="Y",(VLOOKUP($A86,Summary!$AD$6:$AF$9,3)+'Escalating commodity'!G99),'Escalating commodity'!G99))</f>
        <v>5.4728277858636654E-3</v>
      </c>
      <c r="AI86" s="88">
        <f t="shared" si="73"/>
        <v>5.4728277858636654E-3</v>
      </c>
      <c r="AJ86" s="236">
        <f t="shared" si="59"/>
        <v>39370.5</v>
      </c>
      <c r="AK86" s="58">
        <f t="shared" ca="1" si="60"/>
        <v>2330</v>
      </c>
      <c r="AL86" s="26">
        <f ca="1">IF($A87="","",_xll.SPRDOPT(P86,X86,AI86,0,AB86,AE86,AF86,AK86,$AJ$2,0))</f>
        <v>1.6181959300989111E-2</v>
      </c>
      <c r="AM86" s="209">
        <f t="shared" si="61"/>
        <v>1.2439093656024247E-2</v>
      </c>
      <c r="AN86" s="89">
        <f t="shared" ca="1" si="62"/>
        <v>3.7428656449648642E-3</v>
      </c>
      <c r="AO86" s="3">
        <f t="shared" si="63"/>
        <v>31</v>
      </c>
      <c r="AP86" s="33">
        <f t="shared" si="64"/>
        <v>39356</v>
      </c>
      <c r="AQ86" s="58">
        <f t="shared" ca="1" si="65"/>
        <v>2330</v>
      </c>
      <c r="AR86" s="38">
        <f>'ANR OK vs ML7'!AR86</f>
        <v>0.1</v>
      </c>
      <c r="AS86" s="35">
        <f t="shared" ca="1" si="66"/>
        <v>0.53661001224471672</v>
      </c>
      <c r="AT86" s="3">
        <f t="shared" si="67"/>
        <v>1</v>
      </c>
      <c r="AU86" s="3">
        <f t="shared" si="68"/>
        <v>31</v>
      </c>
      <c r="AW86" s="32">
        <f t="shared" ca="1" si="69"/>
        <v>62274.684537845096</v>
      </c>
      <c r="AX86" s="32">
        <f t="shared" si="70"/>
        <v>47870.632904031023</v>
      </c>
      <c r="AY86" s="32">
        <f t="shared" ca="1" si="71"/>
        <v>14404.051633814073</v>
      </c>
      <c r="BA86" s="32">
        <f ca="1">IF($A87="","",F86*Summary!$Q$11)</f>
        <v>0</v>
      </c>
      <c r="BC86" s="256">
        <f t="shared" ca="1" si="74"/>
        <v>25687.860908794428</v>
      </c>
    </row>
    <row r="87" spans="1:55">
      <c r="A87" s="67">
        <f t="shared" si="72"/>
        <v>39387</v>
      </c>
      <c r="B87" s="69">
        <f t="shared" si="75"/>
        <v>124142</v>
      </c>
      <c r="C87" s="71"/>
      <c r="D87" s="69">
        <f t="shared" si="38"/>
        <v>124142</v>
      </c>
      <c r="E87" s="70">
        <f t="shared" si="39"/>
        <v>3724260</v>
      </c>
      <c r="F87" s="70">
        <f t="shared" ca="1" si="40"/>
        <v>1981992.2389769722</v>
      </c>
      <c r="G87" s="63">
        <f t="shared" si="41"/>
        <v>4.3790000000000004</v>
      </c>
      <c r="H87" s="64">
        <f t="shared" si="42"/>
        <v>4.3790000000000004</v>
      </c>
      <c r="I87" s="43"/>
      <c r="J87" s="63">
        <f t="shared" si="43"/>
        <v>0.45500000000000002</v>
      </c>
      <c r="K87" s="64">
        <f t="shared" si="44"/>
        <v>0.45500000000000002</v>
      </c>
      <c r="L87" s="63">
        <f t="shared" si="45"/>
        <v>0</v>
      </c>
      <c r="M87" s="64">
        <f t="shared" si="46"/>
        <v>0</v>
      </c>
      <c r="N87" s="65"/>
      <c r="O87" s="63">
        <f t="shared" si="47"/>
        <v>4.8340000000000005</v>
      </c>
      <c r="P87" s="63">
        <f t="shared" si="48"/>
        <v>4.8340000000000005</v>
      </c>
      <c r="Q87" s="66"/>
      <c r="R87" s="63">
        <f t="shared" si="49"/>
        <v>0.26500000000000001</v>
      </c>
      <c r="S87" s="64">
        <f t="shared" si="50"/>
        <v>0.26500000000000001</v>
      </c>
      <c r="T87" s="38">
        <v>0</v>
      </c>
      <c r="U87" s="64">
        <f t="shared" si="51"/>
        <v>0</v>
      </c>
      <c r="V87" s="219">
        <f>IF($A88="","",IF(AND(MONTH(A87)&gt;3,MONTH(A87)&lt;11),(T87+R87+G87)*Summary!$T$11/(1-Summary!$T$11),(T87+R87+G87)*Summary!$U$11/(1-Summary!$U$11)))</f>
        <v>4.9519256527145041E-2</v>
      </c>
      <c r="W87" s="43">
        <f t="shared" si="52"/>
        <v>4.6935192565271455</v>
      </c>
      <c r="X87" s="43">
        <f t="shared" si="53"/>
        <v>4.6935192565271455</v>
      </c>
      <c r="Y87" s="43"/>
      <c r="Z87" s="38">
        <f t="shared" si="54"/>
        <v>0.8</v>
      </c>
      <c r="AA87" s="38">
        <f t="shared" si="55"/>
        <v>0.218</v>
      </c>
      <c r="AB87" s="38">
        <f t="shared" ca="1" si="56"/>
        <v>0.22717878962743462</v>
      </c>
      <c r="AC87" s="38">
        <f t="shared" si="57"/>
        <v>0.8</v>
      </c>
      <c r="AD87" s="38">
        <f t="shared" si="57"/>
        <v>0.218</v>
      </c>
      <c r="AE87" s="38">
        <f t="shared" ca="1" si="58"/>
        <v>0.22717878962743462</v>
      </c>
      <c r="AF87" s="238">
        <f ca="1">((Summary!$N$11*(AA87*AD87)*(A87-$D$3))+(Summary!$M$11*Z87*AC87*(AJ87-EOMONTH(EDATE(A87,-1),0))))/(AK87*AB87*AE87)</f>
        <v>0.99990787843004669</v>
      </c>
      <c r="AG87" s="88">
        <f>IF($A88="","",Summary!$Q$11)</f>
        <v>0</v>
      </c>
      <c r="AH87" s="88">
        <f>IF($A88="","",IF(Summary!$R$11="Y",(VLOOKUP($A87,Summary!$AD$6:$AF$9,3)+'Escalating commodity'!G100),'Escalating commodity'!G100))</f>
        <v>5.4728277858636654E-3</v>
      </c>
      <c r="AI87" s="88">
        <f t="shared" si="73"/>
        <v>5.4728277858636654E-3</v>
      </c>
      <c r="AJ87" s="236">
        <f t="shared" si="59"/>
        <v>39401</v>
      </c>
      <c r="AK87" s="58">
        <f t="shared" ca="1" si="60"/>
        <v>2361</v>
      </c>
      <c r="AL87" s="26">
        <f ca="1">IF($A88="","",_xll.SPRDOPT(P87,X87,AI87,0,AB87,AE87,AF87,AK87,$AJ$2,0))</f>
        <v>0.13579088160993893</v>
      </c>
      <c r="AM87" s="209">
        <f t="shared" si="61"/>
        <v>0.13500791568699133</v>
      </c>
      <c r="AN87" s="89">
        <f t="shared" ca="1" si="62"/>
        <v>7.8296592294760381E-4</v>
      </c>
      <c r="AO87" s="3">
        <f t="shared" si="63"/>
        <v>30</v>
      </c>
      <c r="AP87" s="33">
        <f t="shared" si="64"/>
        <v>39387</v>
      </c>
      <c r="AQ87" s="58">
        <f t="shared" ca="1" si="65"/>
        <v>2361</v>
      </c>
      <c r="AR87" s="38">
        <f>'ANR OK vs ML7'!AR87</f>
        <v>0.1</v>
      </c>
      <c r="AS87" s="35">
        <f t="shared" ca="1" si="66"/>
        <v>0.53218417591064326</v>
      </c>
      <c r="AT87" s="3">
        <f t="shared" si="67"/>
        <v>1</v>
      </c>
      <c r="AU87" s="3">
        <f t="shared" si="68"/>
        <v>30</v>
      </c>
      <c r="AW87" s="32">
        <f t="shared" ca="1" si="69"/>
        <v>505720.54874463117</v>
      </c>
      <c r="AX87" s="32">
        <f t="shared" si="70"/>
        <v>502804.58007643436</v>
      </c>
      <c r="AY87" s="32">
        <f t="shared" ca="1" si="71"/>
        <v>2915.9686681968428</v>
      </c>
      <c r="BA87" s="32">
        <f ca="1">IF($A88="","",F87*Summary!$Q$11)</f>
        <v>0</v>
      </c>
      <c r="BC87" s="256">
        <f t="shared" ca="1" si="74"/>
        <v>267584.64109207422</v>
      </c>
    </row>
    <row r="88" spans="1:55">
      <c r="A88" s="67">
        <f t="shared" si="72"/>
        <v>39417</v>
      </c>
      <c r="B88" s="69">
        <f t="shared" si="75"/>
        <v>124142</v>
      </c>
      <c r="C88" s="71"/>
      <c r="D88" s="69">
        <f t="shared" si="38"/>
        <v>124142</v>
      </c>
      <c r="E88" s="70">
        <f t="shared" si="39"/>
        <v>3848402</v>
      </c>
      <c r="F88" s="70">
        <f t="shared" ca="1" si="40"/>
        <v>2031709.4486172716</v>
      </c>
      <c r="G88" s="63">
        <f t="shared" si="41"/>
        <v>4.5170000000000003</v>
      </c>
      <c r="H88" s="64">
        <f t="shared" si="42"/>
        <v>4.5170000000000003</v>
      </c>
      <c r="I88" s="43"/>
      <c r="J88" s="63">
        <f t="shared" si="43"/>
        <v>0.45500000000000002</v>
      </c>
      <c r="K88" s="64">
        <f t="shared" si="44"/>
        <v>0.45500000000000002</v>
      </c>
      <c r="L88" s="63">
        <f t="shared" si="45"/>
        <v>0</v>
      </c>
      <c r="M88" s="64">
        <f t="shared" si="46"/>
        <v>0</v>
      </c>
      <c r="N88" s="65"/>
      <c r="O88" s="63">
        <f t="shared" si="47"/>
        <v>4.9720000000000004</v>
      </c>
      <c r="P88" s="63">
        <f t="shared" si="48"/>
        <v>4.9720000000000004</v>
      </c>
      <c r="Q88" s="66"/>
      <c r="R88" s="63">
        <f t="shared" si="49"/>
        <v>0.26500000000000001</v>
      </c>
      <c r="S88" s="64">
        <f t="shared" si="50"/>
        <v>0.26500000000000001</v>
      </c>
      <c r="T88" s="38">
        <v>0</v>
      </c>
      <c r="U88" s="64">
        <f t="shared" si="51"/>
        <v>0</v>
      </c>
      <c r="V88" s="219">
        <f>IF($A89="","",IF(AND(MONTH(A88)&gt;3,MONTH(A88)&lt;11),(T88+R88+G88)*Summary!$T$11/(1-Summary!$T$11),(T88+R88+G88)*Summary!$U$11/(1-Summary!$U$11)))</f>
        <v>5.0990758982086042E-2</v>
      </c>
      <c r="W88" s="43">
        <f t="shared" si="52"/>
        <v>4.8329907589820857</v>
      </c>
      <c r="X88" s="43">
        <f t="shared" si="53"/>
        <v>4.8329907589820857</v>
      </c>
      <c r="Y88" s="43"/>
      <c r="Z88" s="38">
        <f t="shared" si="54"/>
        <v>1.1000000000000001</v>
      </c>
      <c r="AA88" s="38">
        <f t="shared" si="55"/>
        <v>0.218</v>
      </c>
      <c r="AB88" s="38">
        <f t="shared" ca="1" si="56"/>
        <v>0.23534628641532793</v>
      </c>
      <c r="AC88" s="38">
        <f t="shared" si="57"/>
        <v>1.1000000000000001</v>
      </c>
      <c r="AD88" s="38">
        <f t="shared" si="57"/>
        <v>0.218</v>
      </c>
      <c r="AE88" s="38">
        <f t="shared" ca="1" si="58"/>
        <v>0.23534628641532793</v>
      </c>
      <c r="AF88" s="238">
        <f ca="1">((Summary!$N$11*(AA88*AD88)*(A88-$D$3))+(Summary!$M$11*Z88*AC88*(AJ88-EOMONTH(EDATE(A88,-1),0))))/(AK88*AB88*AE88)</f>
        <v>0.99991416194138838</v>
      </c>
      <c r="AG88" s="88">
        <f>IF($A89="","",Summary!$Q$11)</f>
        <v>0</v>
      </c>
      <c r="AH88" s="88">
        <f>IF($A89="","",IF(Summary!$R$11="Y",(VLOOKUP($A88,Summary!$AD$6:$AF$9,3)+'Escalating commodity'!G101),'Escalating commodity'!G101))</f>
        <v>5.4728277858636654E-3</v>
      </c>
      <c r="AI88" s="88">
        <f t="shared" si="73"/>
        <v>5.4728277858636654E-3</v>
      </c>
      <c r="AJ88" s="236">
        <f t="shared" si="59"/>
        <v>39431.5</v>
      </c>
      <c r="AK88" s="58">
        <f t="shared" ca="1" si="60"/>
        <v>2391</v>
      </c>
      <c r="AL88" s="26">
        <f ca="1">IF($A89="","",_xll.SPRDOPT(P88,X88,AI88,0,AB88,AE88,AF88,AK88,$AJ$2,0))</f>
        <v>0.13446085393110874</v>
      </c>
      <c r="AM88" s="209">
        <f t="shared" si="61"/>
        <v>0.13353641323205101</v>
      </c>
      <c r="AN88" s="89">
        <f t="shared" ca="1" si="62"/>
        <v>9.2444069905772697E-4</v>
      </c>
      <c r="AO88" s="3">
        <f t="shared" si="63"/>
        <v>31</v>
      </c>
      <c r="AP88" s="33">
        <f t="shared" si="64"/>
        <v>39417</v>
      </c>
      <c r="AQ88" s="58">
        <f t="shared" ca="1" si="65"/>
        <v>2391</v>
      </c>
      <c r="AR88" s="38">
        <f>'ANR OK vs ML7'!AR88</f>
        <v>0.1</v>
      </c>
      <c r="AS88" s="35">
        <f t="shared" ca="1" si="66"/>
        <v>0.52793586756718025</v>
      </c>
      <c r="AT88" s="3">
        <f t="shared" si="67"/>
        <v>1</v>
      </c>
      <c r="AU88" s="3">
        <f t="shared" si="68"/>
        <v>31</v>
      </c>
      <c r="AW88" s="32">
        <f t="shared" ca="1" si="69"/>
        <v>517459.41919018672</v>
      </c>
      <c r="AX88" s="32">
        <f t="shared" si="70"/>
        <v>513901.79975505156</v>
      </c>
      <c r="AY88" s="32">
        <f t="shared" ca="1" si="71"/>
        <v>3557.6194351351546</v>
      </c>
      <c r="BA88" s="32">
        <f ca="1">IF($A89="","",F88*Summary!$Q$11)</f>
        <v>0</v>
      </c>
      <c r="BC88" s="256">
        <f t="shared" ca="1" si="74"/>
        <v>271307.1924980185</v>
      </c>
    </row>
    <row r="89" spans="1:55">
      <c r="A89" s="67">
        <f t="shared" si="72"/>
        <v>39448</v>
      </c>
      <c r="B89" s="69">
        <f t="shared" si="75"/>
        <v>124142</v>
      </c>
      <c r="C89" s="71"/>
      <c r="D89" s="69">
        <f t="shared" si="38"/>
        <v>124142</v>
      </c>
      <c r="E89" s="70">
        <f t="shared" si="39"/>
        <v>3848402</v>
      </c>
      <c r="F89" s="70">
        <f t="shared" ca="1" si="40"/>
        <v>2014952.3749645534</v>
      </c>
      <c r="G89" s="63">
        <f t="shared" si="41"/>
        <v>4.5339999999999998</v>
      </c>
      <c r="H89" s="64">
        <f t="shared" si="42"/>
        <v>4.5339999999999998</v>
      </c>
      <c r="I89" s="43"/>
      <c r="J89" s="63">
        <f t="shared" si="43"/>
        <v>0.45500000000000002</v>
      </c>
      <c r="K89" s="64">
        <f t="shared" si="44"/>
        <v>0.45500000000000002</v>
      </c>
      <c r="L89" s="63">
        <f t="shared" si="45"/>
        <v>0</v>
      </c>
      <c r="M89" s="64">
        <f t="shared" si="46"/>
        <v>0</v>
      </c>
      <c r="N89" s="65"/>
      <c r="O89" s="63">
        <f t="shared" si="47"/>
        <v>4.9889999999999999</v>
      </c>
      <c r="P89" s="63">
        <f t="shared" si="48"/>
        <v>4.9889999999999999</v>
      </c>
      <c r="Q89" s="66"/>
      <c r="R89" s="63">
        <f t="shared" si="49"/>
        <v>0.26500000000000001</v>
      </c>
      <c r="S89" s="64">
        <f t="shared" si="50"/>
        <v>0.26500000000000001</v>
      </c>
      <c r="T89" s="38">
        <v>0</v>
      </c>
      <c r="U89" s="64">
        <f t="shared" si="51"/>
        <v>0</v>
      </c>
      <c r="V89" s="219">
        <f>IF($A90="","",IF(AND(MONTH(A89)&gt;3,MONTH(A89)&lt;11),(T89+R89+G89)*Summary!$T$11/(1-Summary!$T$11),(T89+R89+G89)*Summary!$U$11/(1-Summary!$U$11)))</f>
        <v>5.1172031023636738E-2</v>
      </c>
      <c r="W89" s="43">
        <f t="shared" si="52"/>
        <v>4.8501720310236358</v>
      </c>
      <c r="X89" s="43">
        <f t="shared" si="53"/>
        <v>4.8501720310236358</v>
      </c>
      <c r="Y89" s="43"/>
      <c r="Z89" s="38">
        <f t="shared" si="54"/>
        <v>1.1000000000000001</v>
      </c>
      <c r="AA89" s="38">
        <f t="shared" si="55"/>
        <v>0.218</v>
      </c>
      <c r="AB89" s="38">
        <f t="shared" ca="1" si="56"/>
        <v>0.2351323502423065</v>
      </c>
      <c r="AC89" s="38">
        <f t="shared" si="57"/>
        <v>1.1000000000000001</v>
      </c>
      <c r="AD89" s="38">
        <f t="shared" si="57"/>
        <v>0.218</v>
      </c>
      <c r="AE89" s="38">
        <f t="shared" ca="1" si="58"/>
        <v>0.2351323502423065</v>
      </c>
      <c r="AF89" s="238">
        <f ca="1">((Summary!$N$11*(AA89*AD89)*(A89-$D$3))+(Summary!$M$11*Z89*AC89*(AJ89-EOMONTH(EDATE(A89,-1),0))))/(AK89*AB89*AE89)</f>
        <v>0.99991400613022663</v>
      </c>
      <c r="AG89" s="88">
        <f>IF($A90="","",Summary!$Q$11)</f>
        <v>0</v>
      </c>
      <c r="AH89" s="88">
        <f>IF($A90="","",IF(Summary!$R$11="Y",(VLOOKUP($A89,Summary!$AD$6:$AF$9,3)+'Escalating commodity'!G102),'Escalating commodity'!G102))</f>
        <v>5.5822843415809387E-3</v>
      </c>
      <c r="AI89" s="88">
        <f t="shared" si="73"/>
        <v>5.5822843415809387E-3</v>
      </c>
      <c r="AJ89" s="236">
        <f t="shared" si="59"/>
        <v>39462.5</v>
      </c>
      <c r="AK89" s="58">
        <f t="shared" ca="1" si="60"/>
        <v>2422</v>
      </c>
      <c r="AL89" s="26">
        <f ca="1">IF($A90="","",_xll.SPRDOPT(P89,X89,AI89,0,AB89,AE89,AF89,AK89,$AJ$2,0))</f>
        <v>0.13420051074108927</v>
      </c>
      <c r="AM89" s="209">
        <f t="shared" si="61"/>
        <v>0.13324568463478312</v>
      </c>
      <c r="AN89" s="89">
        <f t="shared" ca="1" si="62"/>
        <v>9.5482610630615028E-4</v>
      </c>
      <c r="AO89" s="3">
        <f t="shared" si="63"/>
        <v>31</v>
      </c>
      <c r="AP89" s="33">
        <f t="shared" si="64"/>
        <v>39448</v>
      </c>
      <c r="AQ89" s="58">
        <f t="shared" ca="1" si="65"/>
        <v>2422</v>
      </c>
      <c r="AR89" s="38">
        <f>'ANR OK vs ML7'!AR89</f>
        <v>0.1</v>
      </c>
      <c r="AS89" s="35">
        <f t="shared" ca="1" si="66"/>
        <v>0.52358157358938939</v>
      </c>
      <c r="AT89" s="3">
        <f t="shared" si="67"/>
        <v>1</v>
      </c>
      <c r="AU89" s="3">
        <f t="shared" si="68"/>
        <v>31</v>
      </c>
      <c r="AW89" s="32">
        <f t="shared" ca="1" si="69"/>
        <v>516457.51393702941</v>
      </c>
      <c r="AX89" s="32">
        <f t="shared" si="70"/>
        <v>512782.95923986862</v>
      </c>
      <c r="AY89" s="32">
        <f t="shared" ca="1" si="71"/>
        <v>3674.5546971608014</v>
      </c>
      <c r="BA89" s="32">
        <f ca="1">IF($A90="","",F89*Summary!$Q$11)</f>
        <v>0</v>
      </c>
      <c r="BC89" s="256">
        <f t="shared" ca="1" si="74"/>
        <v>268483.70870863413</v>
      </c>
    </row>
    <row r="90" spans="1:55">
      <c r="A90" s="67">
        <f t="shared" si="72"/>
        <v>39479</v>
      </c>
      <c r="B90" s="69">
        <f t="shared" si="75"/>
        <v>124142</v>
      </c>
      <c r="C90" s="71"/>
      <c r="D90" s="69">
        <f t="shared" si="38"/>
        <v>124142</v>
      </c>
      <c r="E90" s="70">
        <f t="shared" si="39"/>
        <v>3600118</v>
      </c>
      <c r="F90" s="70">
        <f t="shared" ca="1" si="40"/>
        <v>1869408.7672442847</v>
      </c>
      <c r="G90" s="63">
        <f t="shared" si="41"/>
        <v>4.4140000000000006</v>
      </c>
      <c r="H90" s="64">
        <f t="shared" si="42"/>
        <v>4.4140000000000006</v>
      </c>
      <c r="I90" s="43"/>
      <c r="J90" s="63">
        <f t="shared" si="43"/>
        <v>0.45500000000000002</v>
      </c>
      <c r="K90" s="64">
        <f t="shared" si="44"/>
        <v>0.45500000000000002</v>
      </c>
      <c r="L90" s="63">
        <f t="shared" si="45"/>
        <v>0</v>
      </c>
      <c r="M90" s="64">
        <f t="shared" si="46"/>
        <v>0</v>
      </c>
      <c r="N90" s="65"/>
      <c r="O90" s="63">
        <f t="shared" si="47"/>
        <v>4.8690000000000007</v>
      </c>
      <c r="P90" s="63">
        <f t="shared" si="48"/>
        <v>4.8690000000000007</v>
      </c>
      <c r="Q90" s="66"/>
      <c r="R90" s="63">
        <f t="shared" si="49"/>
        <v>0.26500000000000001</v>
      </c>
      <c r="S90" s="64">
        <f t="shared" si="50"/>
        <v>0.26500000000000001</v>
      </c>
      <c r="T90" s="38">
        <v>0</v>
      </c>
      <c r="U90" s="64">
        <f t="shared" si="51"/>
        <v>0</v>
      </c>
      <c r="V90" s="219">
        <f>IF($A91="","",IF(AND(MONTH(A90)&gt;3,MONTH(A90)&lt;11),(T90+R90+G90)*Summary!$T$11/(1-Summary!$T$11),(T90+R90+G90)*Summary!$U$11/(1-Summary!$U$11)))</f>
        <v>4.9892463671514134E-2</v>
      </c>
      <c r="W90" s="43">
        <f t="shared" si="52"/>
        <v>4.7288924636715146</v>
      </c>
      <c r="X90" s="43">
        <f t="shared" si="53"/>
        <v>4.7288924636715146</v>
      </c>
      <c r="Y90" s="43"/>
      <c r="Z90" s="38">
        <f t="shared" si="54"/>
        <v>1.1000000000000001</v>
      </c>
      <c r="AA90" s="38">
        <f t="shared" si="55"/>
        <v>0.218</v>
      </c>
      <c r="AB90" s="38">
        <f t="shared" ca="1" si="56"/>
        <v>0.23387141808198528</v>
      </c>
      <c r="AC90" s="38">
        <f t="shared" si="57"/>
        <v>1.1000000000000001</v>
      </c>
      <c r="AD90" s="38">
        <f t="shared" si="57"/>
        <v>0.218</v>
      </c>
      <c r="AE90" s="38">
        <f t="shared" ca="1" si="58"/>
        <v>0.23387141808198528</v>
      </c>
      <c r="AF90" s="238">
        <f ca="1">((Summary!$N$11*(AA90*AD90)*(A90-$D$3))+(Summary!$M$11*Z90*AC90*(AJ90-EOMONTH(EDATE(A90,-1),0))))/(AK90*AB90*AE90)</f>
        <v>0.99991307680134756</v>
      </c>
      <c r="AG90" s="88">
        <f>IF($A91="","",Summary!$Q$11)</f>
        <v>0</v>
      </c>
      <c r="AH90" s="88">
        <f>IF($A91="","",IF(Summary!$R$11="Y",(VLOOKUP($A90,Summary!$AD$6:$AF$9,3)+'Escalating commodity'!G103),'Escalating commodity'!G103))</f>
        <v>5.5822843415809387E-3</v>
      </c>
      <c r="AI90" s="88">
        <f t="shared" si="73"/>
        <v>5.5822843415809387E-3</v>
      </c>
      <c r="AJ90" s="236">
        <f t="shared" si="59"/>
        <v>39492.5</v>
      </c>
      <c r="AK90" s="58">
        <f t="shared" ca="1" si="60"/>
        <v>2453</v>
      </c>
      <c r="AL90" s="26">
        <f ca="1">IF($A91="","",_xll.SPRDOPT(P90,X90,AI90,0,AB90,AE90,AF90,AK90,$AJ$2,0))</f>
        <v>0.13540830619633665</v>
      </c>
      <c r="AM90" s="209">
        <f t="shared" si="61"/>
        <v>0.1345252519869051</v>
      </c>
      <c r="AN90" s="89">
        <f t="shared" ca="1" si="62"/>
        <v>8.8305420943154966E-4</v>
      </c>
      <c r="AO90" s="3">
        <f t="shared" si="63"/>
        <v>29</v>
      </c>
      <c r="AP90" s="33">
        <f t="shared" si="64"/>
        <v>39479</v>
      </c>
      <c r="AQ90" s="58">
        <f t="shared" ca="1" si="65"/>
        <v>2453</v>
      </c>
      <c r="AR90" s="38">
        <f>'ANR OK vs ML7'!AR90</f>
        <v>0.1</v>
      </c>
      <c r="AS90" s="35">
        <f t="shared" ca="1" si="66"/>
        <v>0.51926319282986966</v>
      </c>
      <c r="AT90" s="3">
        <f t="shared" si="67"/>
        <v>1</v>
      </c>
      <c r="AU90" s="3">
        <f t="shared" si="68"/>
        <v>29</v>
      </c>
      <c r="AW90" s="32">
        <f t="shared" ca="1" si="69"/>
        <v>487485.88048694312</v>
      </c>
      <c r="AX90" s="32">
        <f t="shared" si="70"/>
        <v>484306.78113259282</v>
      </c>
      <c r="AY90" s="32">
        <f t="shared" ca="1" si="71"/>
        <v>3179.0993543502918</v>
      </c>
      <c r="BA90" s="32">
        <f ca="1">IF($A91="","",F90*Summary!$Q$11)</f>
        <v>0</v>
      </c>
      <c r="BC90" s="256">
        <f t="shared" ca="1" si="74"/>
        <v>251482.68548006701</v>
      </c>
    </row>
    <row r="91" spans="1:55">
      <c r="A91" s="67">
        <f t="shared" si="72"/>
        <v>39508</v>
      </c>
      <c r="B91" s="69">
        <f t="shared" si="75"/>
        <v>124142</v>
      </c>
      <c r="C91" s="71"/>
      <c r="D91" s="69">
        <f t="shared" si="38"/>
        <v>124142</v>
      </c>
      <c r="E91" s="70">
        <f t="shared" si="39"/>
        <v>3848402</v>
      </c>
      <c r="F91" s="70">
        <f t="shared" ca="1" si="40"/>
        <v>1982910.9407172459</v>
      </c>
      <c r="G91" s="63">
        <f t="shared" si="41"/>
        <v>4.2750000000000004</v>
      </c>
      <c r="H91" s="64">
        <f t="shared" si="42"/>
        <v>4.2750000000000004</v>
      </c>
      <c r="I91" s="43"/>
      <c r="J91" s="63">
        <f t="shared" si="43"/>
        <v>0.45500000000000002</v>
      </c>
      <c r="K91" s="64">
        <f t="shared" si="44"/>
        <v>0.45500000000000002</v>
      </c>
      <c r="L91" s="63">
        <f t="shared" si="45"/>
        <v>0</v>
      </c>
      <c r="M91" s="64">
        <f t="shared" si="46"/>
        <v>0</v>
      </c>
      <c r="N91" s="65"/>
      <c r="O91" s="63">
        <f t="shared" si="47"/>
        <v>4.7300000000000004</v>
      </c>
      <c r="P91" s="63">
        <f t="shared" si="48"/>
        <v>4.7300000000000004</v>
      </c>
      <c r="Q91" s="66"/>
      <c r="R91" s="63">
        <f t="shared" si="49"/>
        <v>0.26500000000000001</v>
      </c>
      <c r="S91" s="64">
        <f t="shared" si="50"/>
        <v>0.26500000000000001</v>
      </c>
      <c r="T91" s="38">
        <v>0</v>
      </c>
      <c r="U91" s="64">
        <f t="shared" si="51"/>
        <v>0</v>
      </c>
      <c r="V91" s="219">
        <f>IF($A92="","",IF(AND(MONTH(A91)&gt;3,MONTH(A91)&lt;11),(T91+R91+G91)*Summary!$T$11/(1-Summary!$T$11),(T91+R91+G91)*Summary!$U$11/(1-Summary!$U$11)))</f>
        <v>4.841029815530544E-2</v>
      </c>
      <c r="W91" s="43">
        <f t="shared" si="52"/>
        <v>4.5884102981553054</v>
      </c>
      <c r="X91" s="43">
        <f t="shared" si="53"/>
        <v>4.5884102981553054</v>
      </c>
      <c r="Y91" s="43"/>
      <c r="Z91" s="38">
        <f t="shared" si="54"/>
        <v>0.75</v>
      </c>
      <c r="AA91" s="38">
        <f t="shared" si="55"/>
        <v>0.20499999999999999</v>
      </c>
      <c r="AB91" s="38">
        <f t="shared" ca="1" si="56"/>
        <v>0.21343552659501844</v>
      </c>
      <c r="AC91" s="38">
        <f t="shared" si="57"/>
        <v>0.75</v>
      </c>
      <c r="AD91" s="38">
        <f t="shared" si="57"/>
        <v>0.20499999999999999</v>
      </c>
      <c r="AE91" s="38">
        <f t="shared" ca="1" si="58"/>
        <v>0.21343552659501844</v>
      </c>
      <c r="AF91" s="238">
        <f ca="1">((Summary!$N$11*(AA91*AD91)*(A91-$D$3))+(Summary!$M$11*Z91*AC91*(AJ91-EOMONTH(EDATE(A91,-1),0))))/(AK91*AB91*AE91)</f>
        <v>0.99990771114781007</v>
      </c>
      <c r="AG91" s="88">
        <f>IF($A92="","",Summary!$Q$11)</f>
        <v>0</v>
      </c>
      <c r="AH91" s="88">
        <f>IF($A92="","",IF(Summary!$R$11="Y",(VLOOKUP($A91,Summary!$AD$6:$AF$9,3)+'Escalating commodity'!G104),'Escalating commodity'!G104))</f>
        <v>5.5822843415809387E-3</v>
      </c>
      <c r="AI91" s="88">
        <f t="shared" si="73"/>
        <v>5.5822843415809387E-3</v>
      </c>
      <c r="AJ91" s="236">
        <f t="shared" si="59"/>
        <v>39522.5</v>
      </c>
      <c r="AK91" s="58">
        <f t="shared" ca="1" si="60"/>
        <v>2482</v>
      </c>
      <c r="AL91" s="26">
        <f ca="1">IF($A92="","",_xll.SPRDOPT(P91,X91,AI91,0,AB91,AE91,AF91,AK91,$AJ$2,0))</f>
        <v>0.13664216103864346</v>
      </c>
      <c r="AM91" s="209">
        <f t="shared" si="61"/>
        <v>0.13600741750311404</v>
      </c>
      <c r="AN91" s="89">
        <f t="shared" ca="1" si="62"/>
        <v>6.3474353552941953E-4</v>
      </c>
      <c r="AO91" s="3">
        <f t="shared" si="63"/>
        <v>31</v>
      </c>
      <c r="AP91" s="33">
        <f t="shared" si="64"/>
        <v>39508</v>
      </c>
      <c r="AQ91" s="58">
        <f t="shared" ca="1" si="65"/>
        <v>2482</v>
      </c>
      <c r="AR91" s="38">
        <f>'ANR OK vs ML7'!AR91</f>
        <v>0.1</v>
      </c>
      <c r="AS91" s="35">
        <f t="shared" ca="1" si="66"/>
        <v>0.51525566734380812</v>
      </c>
      <c r="AT91" s="3">
        <f t="shared" si="67"/>
        <v>1</v>
      </c>
      <c r="AU91" s="3">
        <f t="shared" si="68"/>
        <v>31</v>
      </c>
      <c r="AW91" s="32">
        <f t="shared" ca="1" si="69"/>
        <v>525853.96582543757</v>
      </c>
      <c r="AX91" s="32">
        <f t="shared" si="70"/>
        <v>523411.21753381909</v>
      </c>
      <c r="AY91" s="32">
        <f t="shared" ca="1" si="71"/>
        <v>2442.748291618489</v>
      </c>
      <c r="BA91" s="32">
        <f ca="1">IF($A92="","",F91*Summary!$Q$11)</f>
        <v>0</v>
      </c>
      <c r="BC91" s="256">
        <f t="shared" ca="1" si="74"/>
        <v>269690.59618562309</v>
      </c>
    </row>
    <row r="92" spans="1:55">
      <c r="A92" s="67">
        <f t="shared" si="72"/>
        <v>39539</v>
      </c>
      <c r="B92" s="69">
        <f t="shared" si="75"/>
        <v>124142</v>
      </c>
      <c r="C92" s="71"/>
      <c r="D92" s="69">
        <f t="shared" si="38"/>
        <v>124142</v>
      </c>
      <c r="E92" s="70">
        <f t="shared" si="39"/>
        <v>3724260</v>
      </c>
      <c r="F92" s="70">
        <f t="shared" ca="1" si="40"/>
        <v>1903119.0444851473</v>
      </c>
      <c r="G92" s="63">
        <f t="shared" si="41"/>
        <v>4.0999999999999996</v>
      </c>
      <c r="H92" s="64">
        <f t="shared" si="42"/>
        <v>4.0999999999999996</v>
      </c>
      <c r="I92" s="43"/>
      <c r="J92" s="63">
        <f t="shared" si="43"/>
        <v>0.23499999999999999</v>
      </c>
      <c r="K92" s="64">
        <f t="shared" si="44"/>
        <v>0.23499999999999999</v>
      </c>
      <c r="L92" s="63">
        <f t="shared" si="45"/>
        <v>0</v>
      </c>
      <c r="M92" s="64">
        <f t="shared" si="46"/>
        <v>0</v>
      </c>
      <c r="N92" s="65"/>
      <c r="O92" s="63">
        <f t="shared" si="47"/>
        <v>4.335</v>
      </c>
      <c r="P92" s="63">
        <f t="shared" si="48"/>
        <v>4.335</v>
      </c>
      <c r="Q92" s="66"/>
      <c r="R92" s="63">
        <f t="shared" si="49"/>
        <v>0.17</v>
      </c>
      <c r="S92" s="64">
        <f t="shared" si="50"/>
        <v>0.17</v>
      </c>
      <c r="T92" s="38">
        <v>0</v>
      </c>
      <c r="U92" s="64">
        <f t="shared" si="51"/>
        <v>0</v>
      </c>
      <c r="V92" s="219">
        <f>IF($A93="","",IF(AND(MONTH(A92)&gt;3,MONTH(A92)&lt;11),(T92+R92+G92)*Summary!$T$11/(1-Summary!$T$11),(T92+R92+G92)*Summary!$U$11/(1-Summary!$U$11)))</f>
        <v>4.5531271613029563E-2</v>
      </c>
      <c r="W92" s="43">
        <f t="shared" si="52"/>
        <v>4.315531271613029</v>
      </c>
      <c r="X92" s="43">
        <f t="shared" si="53"/>
        <v>4.315531271613029</v>
      </c>
      <c r="Y92" s="43"/>
      <c r="Z92" s="38">
        <f t="shared" si="54"/>
        <v>0.45</v>
      </c>
      <c r="AA92" s="38">
        <f t="shared" si="55"/>
        <v>0.20499999999999999</v>
      </c>
      <c r="AB92" s="38">
        <f t="shared" ca="1" si="56"/>
        <v>0.20796739581923904</v>
      </c>
      <c r="AC92" s="38">
        <f t="shared" si="57"/>
        <v>0.45</v>
      </c>
      <c r="AD92" s="38">
        <f t="shared" si="57"/>
        <v>0.20499999999999999</v>
      </c>
      <c r="AE92" s="38">
        <f t="shared" ca="1" si="58"/>
        <v>0.20796739581923904</v>
      </c>
      <c r="AF92" s="238">
        <f ca="1">((Summary!$N$11*(AA92*AD92)*(A92-$D$3))+(Summary!$M$11*Z92*AC92*(AJ92-EOMONTH(EDATE(A92,-1),0))))/(AK92*AB92*AE92)</f>
        <v>0.99990279468774712</v>
      </c>
      <c r="AG92" s="88">
        <f>IF($A93="","",Summary!$Q$11)</f>
        <v>0</v>
      </c>
      <c r="AH92" s="88">
        <f>IF($A93="","",IF(Summary!$R$11="Y",(VLOOKUP($A92,Summary!$AD$6:$AF$9,3)+'Escalating commodity'!G105),'Escalating commodity'!G105))</f>
        <v>5.5822843415809387E-3</v>
      </c>
      <c r="AI92" s="88">
        <f t="shared" si="73"/>
        <v>5.5822843415809387E-3</v>
      </c>
      <c r="AJ92" s="236">
        <f t="shared" si="59"/>
        <v>39553</v>
      </c>
      <c r="AK92" s="58">
        <f t="shared" ca="1" si="60"/>
        <v>2513</v>
      </c>
      <c r="AL92" s="26">
        <f ca="1">IF($A93="","",_xll.SPRDOPT(P92,X92,AI92,0,AB92,AE92,AF92,AK92,$AJ$2,0))</f>
        <v>1.7359767797329013E-2</v>
      </c>
      <c r="AM92" s="209">
        <f t="shared" si="61"/>
        <v>1.3886444045390063E-2</v>
      </c>
      <c r="AN92" s="89">
        <f t="shared" ca="1" si="62"/>
        <v>3.4733237519389507E-3</v>
      </c>
      <c r="AO92" s="3">
        <f t="shared" si="63"/>
        <v>30</v>
      </c>
      <c r="AP92" s="33">
        <f t="shared" si="64"/>
        <v>39539</v>
      </c>
      <c r="AQ92" s="58">
        <f t="shared" ca="1" si="65"/>
        <v>2513</v>
      </c>
      <c r="AR92" s="38">
        <f>'ANR OK vs ML7'!AR92</f>
        <v>0.1</v>
      </c>
      <c r="AS92" s="35">
        <f t="shared" ca="1" si="66"/>
        <v>0.51100595674983684</v>
      </c>
      <c r="AT92" s="3">
        <f t="shared" si="67"/>
        <v>1</v>
      </c>
      <c r="AU92" s="3">
        <f t="shared" si="68"/>
        <v>30</v>
      </c>
      <c r="AW92" s="32">
        <f t="shared" ca="1" si="69"/>
        <v>64652.288816880551</v>
      </c>
      <c r="AX92" s="32">
        <f t="shared" si="70"/>
        <v>51716.728100484397</v>
      </c>
      <c r="AY92" s="32">
        <f t="shared" ca="1" si="71"/>
        <v>12935.560716396156</v>
      </c>
      <c r="BA92" s="32">
        <f ca="1">IF($A93="","",F92*Summary!$Q$11)</f>
        <v>0</v>
      </c>
      <c r="BC92" s="256">
        <f t="shared" ca="1" si="74"/>
        <v>26427.556122959199</v>
      </c>
    </row>
    <row r="93" spans="1:55">
      <c r="A93" s="67">
        <f t="shared" si="72"/>
        <v>39569</v>
      </c>
      <c r="B93" s="69">
        <f t="shared" si="75"/>
        <v>124142</v>
      </c>
      <c r="C93" s="71"/>
      <c r="D93" s="69">
        <f t="shared" si="38"/>
        <v>124142</v>
      </c>
      <c r="E93" s="70">
        <f t="shared" si="39"/>
        <v>3848402</v>
      </c>
      <c r="F93" s="70">
        <f t="shared" ca="1" si="40"/>
        <v>1950857.7624500324</v>
      </c>
      <c r="G93" s="63">
        <f t="shared" si="41"/>
        <v>4.07</v>
      </c>
      <c r="H93" s="64">
        <f t="shared" si="42"/>
        <v>4.07</v>
      </c>
      <c r="I93" s="43"/>
      <c r="J93" s="63">
        <f t="shared" si="43"/>
        <v>0.23499999999999999</v>
      </c>
      <c r="K93" s="64">
        <f t="shared" si="44"/>
        <v>0.23499999999999999</v>
      </c>
      <c r="L93" s="63">
        <f t="shared" si="45"/>
        <v>0</v>
      </c>
      <c r="M93" s="64">
        <f t="shared" si="46"/>
        <v>0</v>
      </c>
      <c r="N93" s="65"/>
      <c r="O93" s="63">
        <f t="shared" si="47"/>
        <v>4.3050000000000006</v>
      </c>
      <c r="P93" s="63">
        <f t="shared" si="48"/>
        <v>4.3050000000000006</v>
      </c>
      <c r="Q93" s="66"/>
      <c r="R93" s="63">
        <f t="shared" si="49"/>
        <v>0.17</v>
      </c>
      <c r="S93" s="64">
        <f t="shared" si="50"/>
        <v>0.17</v>
      </c>
      <c r="T93" s="38">
        <v>0</v>
      </c>
      <c r="U93" s="64">
        <f t="shared" si="51"/>
        <v>0</v>
      </c>
      <c r="V93" s="219">
        <f>IF($A94="","",IF(AND(MONTH(A93)&gt;3,MONTH(A93)&lt;11),(T93+R93+G93)*Summary!$T$11/(1-Summary!$T$11),(T93+R93+G93)*Summary!$U$11/(1-Summary!$U$11)))</f>
        <v>4.5211379774998915E-2</v>
      </c>
      <c r="W93" s="43">
        <f t="shared" si="52"/>
        <v>4.2852113797749993</v>
      </c>
      <c r="X93" s="43">
        <f t="shared" si="53"/>
        <v>4.2852113797749993</v>
      </c>
      <c r="Y93" s="43"/>
      <c r="Z93" s="38">
        <f t="shared" si="54"/>
        <v>0.5</v>
      </c>
      <c r="AA93" s="38">
        <f t="shared" si="55"/>
        <v>0.20499999999999999</v>
      </c>
      <c r="AB93" s="38">
        <f t="shared" ca="1" si="56"/>
        <v>0.20872306186727355</v>
      </c>
      <c r="AC93" s="38">
        <f t="shared" si="57"/>
        <v>0.5</v>
      </c>
      <c r="AD93" s="38">
        <f t="shared" si="57"/>
        <v>0.20499999999999999</v>
      </c>
      <c r="AE93" s="38">
        <f t="shared" ca="1" si="58"/>
        <v>0.20872306186727355</v>
      </c>
      <c r="AF93" s="238">
        <f ca="1">((Summary!$N$11*(AA93*AD93)*(A93-$D$3))+(Summary!$M$11*Z93*AC93*(AJ93-EOMONTH(EDATE(A93,-1),0))))/(AK93*AB93*AE93)</f>
        <v>0.99990349771542764</v>
      </c>
      <c r="AG93" s="88">
        <f>IF($A94="","",Summary!$Q$11)</f>
        <v>0</v>
      </c>
      <c r="AH93" s="88">
        <f>IF($A94="","",IF(Summary!$R$11="Y",(VLOOKUP($A93,Summary!$AD$6:$AF$9,3)+'Escalating commodity'!G106),'Escalating commodity'!G106))</f>
        <v>5.5822843415809387E-3</v>
      </c>
      <c r="AI93" s="88">
        <f t="shared" si="73"/>
        <v>5.5822843415809387E-3</v>
      </c>
      <c r="AJ93" s="236">
        <f t="shared" si="59"/>
        <v>39583.5</v>
      </c>
      <c r="AK93" s="58">
        <f t="shared" ca="1" si="60"/>
        <v>2543</v>
      </c>
      <c r="AL93" s="26">
        <f ca="1">IF($A94="","",_xll.SPRDOPT(P93,X93,AI93,0,AB93,AE93,AF93,AK93,$AJ$2,0))</f>
        <v>1.7651158308066607E-2</v>
      </c>
      <c r="AM93" s="209">
        <f t="shared" si="61"/>
        <v>1.4206335883420336E-2</v>
      </c>
      <c r="AN93" s="89">
        <f t="shared" ca="1" si="62"/>
        <v>3.4448224246462714E-3</v>
      </c>
      <c r="AO93" s="3">
        <f t="shared" si="63"/>
        <v>31</v>
      </c>
      <c r="AP93" s="33">
        <f t="shared" si="64"/>
        <v>39569</v>
      </c>
      <c r="AQ93" s="58">
        <f t="shared" ca="1" si="65"/>
        <v>2543</v>
      </c>
      <c r="AR93" s="38">
        <f>'ANR OK vs ML7'!AR93</f>
        <v>0.1</v>
      </c>
      <c r="AS93" s="35">
        <f t="shared" ca="1" si="66"/>
        <v>0.5069267094368084</v>
      </c>
      <c r="AT93" s="3">
        <f t="shared" si="67"/>
        <v>1</v>
      </c>
      <c r="AU93" s="3">
        <f t="shared" si="68"/>
        <v>31</v>
      </c>
      <c r="AW93" s="32">
        <f t="shared" ca="1" si="69"/>
        <v>67928.752935080149</v>
      </c>
      <c r="AX93" s="32">
        <f t="shared" si="70"/>
        <v>54671.691426426587</v>
      </c>
      <c r="AY93" s="32">
        <f t="shared" ca="1" si="71"/>
        <v>13257.06150865356</v>
      </c>
      <c r="BA93" s="32">
        <f ca="1">IF($A94="","",F93*Summary!$Q$11)</f>
        <v>0</v>
      </c>
      <c r="BC93" s="256">
        <f t="shared" ca="1" si="74"/>
        <v>27714.540634142999</v>
      </c>
    </row>
    <row r="94" spans="1:55">
      <c r="A94" s="67">
        <f t="shared" si="72"/>
        <v>39600</v>
      </c>
      <c r="B94" s="69">
        <f t="shared" si="75"/>
        <v>124142</v>
      </c>
      <c r="C94" s="71"/>
      <c r="D94" s="69">
        <f t="shared" si="38"/>
        <v>124142</v>
      </c>
      <c r="E94" s="70">
        <f t="shared" si="39"/>
        <v>3724260</v>
      </c>
      <c r="F94" s="70">
        <f t="shared" ca="1" si="40"/>
        <v>1872355.678998573</v>
      </c>
      <c r="G94" s="63">
        <f t="shared" si="41"/>
        <v>4.1399999999999997</v>
      </c>
      <c r="H94" s="64">
        <f t="shared" si="42"/>
        <v>4.1399999999999997</v>
      </c>
      <c r="I94" s="43"/>
      <c r="J94" s="63">
        <f t="shared" si="43"/>
        <v>0.23499999999999999</v>
      </c>
      <c r="K94" s="64">
        <f t="shared" si="44"/>
        <v>0.23499999999999999</v>
      </c>
      <c r="L94" s="63">
        <f t="shared" si="45"/>
        <v>0</v>
      </c>
      <c r="M94" s="64">
        <f t="shared" si="46"/>
        <v>0</v>
      </c>
      <c r="N94" s="65"/>
      <c r="O94" s="63">
        <f t="shared" si="47"/>
        <v>4.375</v>
      </c>
      <c r="P94" s="63">
        <f t="shared" si="48"/>
        <v>4.375</v>
      </c>
      <c r="Q94" s="66"/>
      <c r="R94" s="63">
        <f t="shared" si="49"/>
        <v>0.17</v>
      </c>
      <c r="S94" s="64">
        <f t="shared" si="50"/>
        <v>0.17</v>
      </c>
      <c r="T94" s="38">
        <v>0</v>
      </c>
      <c r="U94" s="64">
        <f t="shared" si="51"/>
        <v>0</v>
      </c>
      <c r="V94" s="219">
        <f>IF($A95="","",IF(AND(MONTH(A94)&gt;3,MONTH(A94)&lt;11),(T94+R94+G94)*Summary!$T$11/(1-Summary!$T$11),(T94+R94+G94)*Summary!$U$11/(1-Summary!$U$11)))</f>
        <v>4.5957794063737102E-2</v>
      </c>
      <c r="W94" s="43">
        <f t="shared" si="52"/>
        <v>4.3559577940637366</v>
      </c>
      <c r="X94" s="43">
        <f t="shared" si="53"/>
        <v>4.3559577940637366</v>
      </c>
      <c r="Y94" s="43"/>
      <c r="Z94" s="38">
        <f t="shared" si="54"/>
        <v>0.5</v>
      </c>
      <c r="AA94" s="38">
        <f t="shared" si="55"/>
        <v>0.20499999999999999</v>
      </c>
      <c r="AB94" s="38">
        <f t="shared" ca="1" si="56"/>
        <v>0.2085622285690848</v>
      </c>
      <c r="AC94" s="38">
        <f t="shared" si="57"/>
        <v>0.5</v>
      </c>
      <c r="AD94" s="38">
        <f t="shared" si="57"/>
        <v>0.20499999999999999</v>
      </c>
      <c r="AE94" s="38">
        <f t="shared" ca="1" si="58"/>
        <v>0.2085622285690848</v>
      </c>
      <c r="AF94" s="238">
        <f ca="1">((Summary!$N$11*(AA94*AD94)*(A94-$D$3))+(Summary!$M$11*Z94*AC94*(AJ94-EOMONTH(EDATE(A94,-1),0))))/(AK94*AB94*AE94)</f>
        <v>0.99990334927962587</v>
      </c>
      <c r="AG94" s="88">
        <f>IF($A95="","",Summary!$Q$11)</f>
        <v>0</v>
      </c>
      <c r="AH94" s="88">
        <f>IF($A95="","",IF(Summary!$R$11="Y",(VLOOKUP($A94,Summary!$AD$6:$AF$9,3)+'Escalating commodity'!G107),'Escalating commodity'!G107))</f>
        <v>5.5822843415809387E-3</v>
      </c>
      <c r="AI94" s="88">
        <f t="shared" si="73"/>
        <v>5.5822843415809387E-3</v>
      </c>
      <c r="AJ94" s="236">
        <f t="shared" si="59"/>
        <v>39614</v>
      </c>
      <c r="AK94" s="58">
        <f t="shared" ca="1" si="60"/>
        <v>2574</v>
      </c>
      <c r="AL94" s="26">
        <f ca="1">IF($A95="","",_xll.SPRDOPT(P94,X94,AI94,0,AB94,AE94,AF94,AK94,$AJ$2,0))</f>
        <v>1.7034532090784239E-2</v>
      </c>
      <c r="AM94" s="209">
        <f t="shared" si="61"/>
        <v>1.345992159468244E-2</v>
      </c>
      <c r="AN94" s="89">
        <f t="shared" ca="1" si="62"/>
        <v>3.5746104961017992E-3</v>
      </c>
      <c r="AO94" s="3">
        <f t="shared" si="63"/>
        <v>30</v>
      </c>
      <c r="AP94" s="33">
        <f t="shared" si="64"/>
        <v>39600</v>
      </c>
      <c r="AQ94" s="58">
        <f t="shared" ca="1" si="65"/>
        <v>2574</v>
      </c>
      <c r="AR94" s="38">
        <f>'ANR OK vs ML7'!AR94</f>
        <v>0.1</v>
      </c>
      <c r="AS94" s="35">
        <f t="shared" ca="1" si="66"/>
        <v>0.50274569417778914</v>
      </c>
      <c r="AT94" s="3">
        <f t="shared" si="67"/>
        <v>1</v>
      </c>
      <c r="AU94" s="3">
        <f t="shared" si="68"/>
        <v>30</v>
      </c>
      <c r="AW94" s="32">
        <f t="shared" ca="1" si="69"/>
        <v>63441.02648442411</v>
      </c>
      <c r="AX94" s="32">
        <f t="shared" si="70"/>
        <v>50128.247598212023</v>
      </c>
      <c r="AY94" s="32">
        <f t="shared" ca="1" si="71"/>
        <v>13312.778886212087</v>
      </c>
      <c r="BA94" s="32">
        <f ca="1">IF($A95="","",F94*Summary!$Q$11)</f>
        <v>0</v>
      </c>
      <c r="BC94" s="256">
        <f t="shared" ca="1" si="74"/>
        <v>25201.760636679195</v>
      </c>
    </row>
    <row r="95" spans="1:55">
      <c r="A95" s="67">
        <f t="shared" si="72"/>
        <v>39630</v>
      </c>
      <c r="B95" s="69">
        <f t="shared" si="75"/>
        <v>124142</v>
      </c>
      <c r="C95" s="71"/>
      <c r="D95" s="69">
        <f t="shared" si="38"/>
        <v>124142</v>
      </c>
      <c r="E95" s="70">
        <f t="shared" si="39"/>
        <v>3848402</v>
      </c>
      <c r="F95" s="70">
        <f t="shared" ca="1" si="40"/>
        <v>1919322.714481025</v>
      </c>
      <c r="G95" s="63">
        <f t="shared" si="41"/>
        <v>4.1950000000000003</v>
      </c>
      <c r="H95" s="64">
        <f t="shared" si="42"/>
        <v>4.1950000000000003</v>
      </c>
      <c r="I95" s="43"/>
      <c r="J95" s="63">
        <f t="shared" si="43"/>
        <v>0.23499999999999999</v>
      </c>
      <c r="K95" s="64">
        <f t="shared" si="44"/>
        <v>0.23499999999999999</v>
      </c>
      <c r="L95" s="63">
        <f t="shared" si="45"/>
        <v>0</v>
      </c>
      <c r="M95" s="64">
        <f t="shared" si="46"/>
        <v>0</v>
      </c>
      <c r="N95" s="65"/>
      <c r="O95" s="63">
        <f t="shared" si="47"/>
        <v>4.4300000000000006</v>
      </c>
      <c r="P95" s="63">
        <f t="shared" si="48"/>
        <v>4.4300000000000006</v>
      </c>
      <c r="Q95" s="66"/>
      <c r="R95" s="63">
        <f t="shared" si="49"/>
        <v>0.17</v>
      </c>
      <c r="S95" s="64">
        <f t="shared" si="50"/>
        <v>0.17</v>
      </c>
      <c r="T95" s="38">
        <v>0</v>
      </c>
      <c r="U95" s="64">
        <f t="shared" si="51"/>
        <v>0</v>
      </c>
      <c r="V95" s="219">
        <f>IF($A96="","",IF(AND(MONTH(A95)&gt;3,MONTH(A95)&lt;11),(T95+R95+G95)*Summary!$T$11/(1-Summary!$T$11),(T95+R95+G95)*Summary!$U$11/(1-Summary!$U$11)))</f>
        <v>4.6544262433459972E-2</v>
      </c>
      <c r="W95" s="43">
        <f t="shared" si="52"/>
        <v>4.41154426243346</v>
      </c>
      <c r="X95" s="43">
        <f t="shared" si="53"/>
        <v>4.41154426243346</v>
      </c>
      <c r="Y95" s="43"/>
      <c r="Z95" s="38">
        <f t="shared" si="54"/>
        <v>0.55000000000000004</v>
      </c>
      <c r="AA95" s="38">
        <f t="shared" si="55"/>
        <v>0.20300000000000001</v>
      </c>
      <c r="AB95" s="38">
        <f t="shared" ca="1" si="56"/>
        <v>0.20742569876202044</v>
      </c>
      <c r="AC95" s="38">
        <f t="shared" si="57"/>
        <v>0.55000000000000004</v>
      </c>
      <c r="AD95" s="38">
        <f t="shared" si="57"/>
        <v>0.20300000000000001</v>
      </c>
      <c r="AE95" s="38">
        <f t="shared" ca="1" si="58"/>
        <v>0.20742569876202044</v>
      </c>
      <c r="AF95" s="238">
        <f ca="1">((Summary!$N$11*(AA95*AD95)*(A95-$D$3))+(Summary!$M$11*Z95*AC95*(AJ95-EOMONTH(EDATE(A95,-1),0))))/(AK95*AB95*AE95)</f>
        <v>0.99990418495674604</v>
      </c>
      <c r="AG95" s="88">
        <f>IF($A96="","",Summary!$Q$11)</f>
        <v>0</v>
      </c>
      <c r="AH95" s="88">
        <f>IF($A96="","",IF(Summary!$R$11="Y",(VLOOKUP($A95,Summary!$AD$6:$AF$9,3)+'Escalating commodity'!G108),'Escalating commodity'!G108))</f>
        <v>5.5822843415809387E-3</v>
      </c>
      <c r="AI95" s="88">
        <f t="shared" si="73"/>
        <v>5.5822843415809387E-3</v>
      </c>
      <c r="AJ95" s="236">
        <f t="shared" si="59"/>
        <v>39644.5</v>
      </c>
      <c r="AK95" s="58">
        <f t="shared" ca="1" si="60"/>
        <v>2604</v>
      </c>
      <c r="AL95" s="26">
        <f ca="1">IF($A96="","",_xll.SPRDOPT(P95,X95,AI95,0,AB95,AE95,AF95,AK95,$AJ$2,0))</f>
        <v>1.6499471834451537E-2</v>
      </c>
      <c r="AM95" s="209">
        <f t="shared" si="61"/>
        <v>1.2873453224959681E-2</v>
      </c>
      <c r="AN95" s="89">
        <f t="shared" ca="1" si="62"/>
        <v>3.6260186094918562E-3</v>
      </c>
      <c r="AO95" s="3">
        <f t="shared" si="63"/>
        <v>31</v>
      </c>
      <c r="AP95" s="33">
        <f t="shared" si="64"/>
        <v>39630</v>
      </c>
      <c r="AQ95" s="58">
        <f t="shared" ca="1" si="65"/>
        <v>2604</v>
      </c>
      <c r="AR95" s="38">
        <f>'ANR OK vs ML7'!AR95</f>
        <v>0.1</v>
      </c>
      <c r="AS95" s="35">
        <f t="shared" ca="1" si="66"/>
        <v>0.49873238671038655</v>
      </c>
      <c r="AT95" s="3">
        <f t="shared" si="67"/>
        <v>1</v>
      </c>
      <c r="AU95" s="3">
        <f t="shared" si="68"/>
        <v>31</v>
      </c>
      <c r="AW95" s="32">
        <f t="shared" ca="1" si="69"/>
        <v>63496.600406646969</v>
      </c>
      <c r="AX95" s="32">
        <f t="shared" si="70"/>
        <v>49542.223137841283</v>
      </c>
      <c r="AY95" s="32">
        <f t="shared" ca="1" si="71"/>
        <v>13954.377268805678</v>
      </c>
      <c r="BA95" s="32">
        <f ca="1">IF($A96="","",F95*Summary!$Q$11)</f>
        <v>0</v>
      </c>
      <c r="BC95" s="256">
        <f t="shared" ca="1" si="74"/>
        <v>24708.311188474119</v>
      </c>
    </row>
    <row r="96" spans="1:55">
      <c r="A96" s="67">
        <f t="shared" si="72"/>
        <v>39661</v>
      </c>
      <c r="B96" s="69">
        <f t="shared" si="75"/>
        <v>124142</v>
      </c>
      <c r="C96" s="71"/>
      <c r="D96" s="69">
        <f t="shared" si="38"/>
        <v>124142</v>
      </c>
      <c r="E96" s="70">
        <f t="shared" si="39"/>
        <v>3848402</v>
      </c>
      <c r="F96" s="70">
        <f t="shared" ca="1" si="40"/>
        <v>1903492.5808407143</v>
      </c>
      <c r="G96" s="63">
        <f t="shared" si="41"/>
        <v>4.2510000000000003</v>
      </c>
      <c r="H96" s="64">
        <f t="shared" si="42"/>
        <v>4.2510000000000003</v>
      </c>
      <c r="I96" s="43"/>
      <c r="J96" s="63">
        <f t="shared" si="43"/>
        <v>0.23499999999999999</v>
      </c>
      <c r="K96" s="64">
        <f t="shared" si="44"/>
        <v>0.23499999999999999</v>
      </c>
      <c r="L96" s="63">
        <f t="shared" si="45"/>
        <v>0</v>
      </c>
      <c r="M96" s="64">
        <f t="shared" si="46"/>
        <v>0</v>
      </c>
      <c r="N96" s="65"/>
      <c r="O96" s="63">
        <f t="shared" si="47"/>
        <v>4.4860000000000007</v>
      </c>
      <c r="P96" s="63">
        <f t="shared" si="48"/>
        <v>4.4860000000000007</v>
      </c>
      <c r="Q96" s="66"/>
      <c r="R96" s="63">
        <f t="shared" si="49"/>
        <v>0.17</v>
      </c>
      <c r="S96" s="64">
        <f t="shared" si="50"/>
        <v>0.17</v>
      </c>
      <c r="T96" s="38">
        <v>0</v>
      </c>
      <c r="U96" s="64">
        <f t="shared" si="51"/>
        <v>0</v>
      </c>
      <c r="V96" s="219">
        <f>IF($A97="","",IF(AND(MONTH(A96)&gt;3,MONTH(A96)&lt;11),(T96+R96+G96)*Summary!$T$11/(1-Summary!$T$11),(T96+R96+G96)*Summary!$U$11/(1-Summary!$U$11)))</f>
        <v>4.7141393864450522E-2</v>
      </c>
      <c r="W96" s="43">
        <f t="shared" si="52"/>
        <v>4.4681413938644505</v>
      </c>
      <c r="X96" s="43">
        <f t="shared" si="53"/>
        <v>4.4681413938644505</v>
      </c>
      <c r="Y96" s="43"/>
      <c r="Z96" s="38">
        <f t="shared" si="54"/>
        <v>0.6</v>
      </c>
      <c r="AA96" s="38">
        <f t="shared" si="55"/>
        <v>0.20300000000000001</v>
      </c>
      <c r="AB96" s="38">
        <f t="shared" ca="1" si="56"/>
        <v>0.20818810280130706</v>
      </c>
      <c r="AC96" s="38">
        <f t="shared" si="57"/>
        <v>0.6</v>
      </c>
      <c r="AD96" s="38">
        <f t="shared" si="57"/>
        <v>0.20300000000000001</v>
      </c>
      <c r="AE96" s="38">
        <f t="shared" ca="1" si="58"/>
        <v>0.20818810280130706</v>
      </c>
      <c r="AF96" s="238">
        <f ca="1">((Summary!$N$11*(AA96*AD96)*(A96-$D$3))+(Summary!$M$11*Z96*AC96*(AJ96-EOMONTH(EDATE(A96,-1),0))))/(AK96*AB96*AE96)</f>
        <v>0.99990488586839088</v>
      </c>
      <c r="AG96" s="88">
        <f>IF($A97="","",Summary!$Q$11)</f>
        <v>0</v>
      </c>
      <c r="AH96" s="88">
        <f>IF($A97="","",IF(Summary!$R$11="Y",(VLOOKUP($A96,Summary!$AD$6:$AF$9,3)+'Escalating commodity'!G109),'Escalating commodity'!G109))</f>
        <v>5.5822843415809387E-3</v>
      </c>
      <c r="AI96" s="88">
        <f t="shared" si="73"/>
        <v>5.5822843415809387E-3</v>
      </c>
      <c r="AJ96" s="236">
        <f t="shared" si="59"/>
        <v>39675.5</v>
      </c>
      <c r="AK96" s="58">
        <f t="shared" ca="1" si="60"/>
        <v>2635</v>
      </c>
      <c r="AL96" s="26">
        <f ca="1">IF($A97="","",_xll.SPRDOPT(P96,X96,AI96,0,AB96,AE96,AF96,AK96,$AJ$2,0))</f>
        <v>1.6002139578458134E-2</v>
      </c>
      <c r="AM96" s="209">
        <f t="shared" si="61"/>
        <v>1.2276321793969187E-2</v>
      </c>
      <c r="AN96" s="89">
        <f t="shared" ca="1" si="62"/>
        <v>3.7258177844889471E-3</v>
      </c>
      <c r="AO96" s="3">
        <f t="shared" si="63"/>
        <v>31</v>
      </c>
      <c r="AP96" s="33">
        <f t="shared" si="64"/>
        <v>39661</v>
      </c>
      <c r="AQ96" s="58">
        <f t="shared" ca="1" si="65"/>
        <v>2635</v>
      </c>
      <c r="AR96" s="38">
        <f>'ANR OK vs ML7'!AR96</f>
        <v>0.1</v>
      </c>
      <c r="AS96" s="35">
        <f t="shared" ca="1" si="66"/>
        <v>0.49461895634622222</v>
      </c>
      <c r="AT96" s="3">
        <f t="shared" si="67"/>
        <v>1</v>
      </c>
      <c r="AU96" s="3">
        <f t="shared" si="68"/>
        <v>31</v>
      </c>
      <c r="AW96" s="32">
        <f t="shared" ca="1" si="69"/>
        <v>61582.665958017438</v>
      </c>
      <c r="AX96" s="32">
        <f t="shared" si="70"/>
        <v>47244.221344554608</v>
      </c>
      <c r="AY96" s="32">
        <f t="shared" ca="1" si="71"/>
        <v>14338.444613462832</v>
      </c>
      <c r="BA96" s="32">
        <f ca="1">IF($A97="","",F96*Summary!$Q$11)</f>
        <v>0</v>
      </c>
      <c r="BC96" s="256">
        <f t="shared" ca="1" si="74"/>
        <v>23367.887454833515</v>
      </c>
    </row>
    <row r="97" spans="1:55">
      <c r="A97" s="67">
        <f t="shared" si="72"/>
        <v>39692</v>
      </c>
      <c r="B97" s="69">
        <f t="shared" si="75"/>
        <v>124142</v>
      </c>
      <c r="C97" s="71"/>
      <c r="D97" s="69">
        <f t="shared" si="38"/>
        <v>124142</v>
      </c>
      <c r="E97" s="70">
        <f t="shared" si="39"/>
        <v>3724260</v>
      </c>
      <c r="F97" s="70">
        <f t="shared" ca="1" si="40"/>
        <v>1826896.4617865351</v>
      </c>
      <c r="G97" s="63">
        <f t="shared" si="41"/>
        <v>4.2649999999999997</v>
      </c>
      <c r="H97" s="64">
        <f t="shared" si="42"/>
        <v>4.2649999999999997</v>
      </c>
      <c r="I97" s="43"/>
      <c r="J97" s="63">
        <f t="shared" si="43"/>
        <v>0.23499999999999999</v>
      </c>
      <c r="K97" s="64">
        <f t="shared" si="44"/>
        <v>0.23499999999999999</v>
      </c>
      <c r="L97" s="63">
        <f t="shared" si="45"/>
        <v>0</v>
      </c>
      <c r="M97" s="64">
        <f t="shared" si="46"/>
        <v>0</v>
      </c>
      <c r="N97" s="65"/>
      <c r="O97" s="63">
        <f t="shared" si="47"/>
        <v>4.5</v>
      </c>
      <c r="P97" s="63">
        <f t="shared" si="48"/>
        <v>4.5</v>
      </c>
      <c r="Q97" s="66"/>
      <c r="R97" s="63">
        <f t="shared" si="49"/>
        <v>0.17</v>
      </c>
      <c r="S97" s="64">
        <f t="shared" si="50"/>
        <v>0.17</v>
      </c>
      <c r="T97" s="38">
        <v>0</v>
      </c>
      <c r="U97" s="64">
        <f t="shared" si="51"/>
        <v>0</v>
      </c>
      <c r="V97" s="219">
        <f>IF($A98="","",IF(AND(MONTH(A97)&gt;3,MONTH(A97)&lt;11),(T97+R97+G97)*Summary!$T$11/(1-Summary!$T$11),(T97+R97+G97)*Summary!$U$11/(1-Summary!$U$11)))</f>
        <v>4.7290676722198152E-2</v>
      </c>
      <c r="W97" s="43">
        <f t="shared" si="52"/>
        <v>4.4822906767221982</v>
      </c>
      <c r="X97" s="43">
        <f t="shared" si="53"/>
        <v>4.4822906767221982</v>
      </c>
      <c r="Y97" s="43"/>
      <c r="Z97" s="38">
        <f t="shared" si="54"/>
        <v>0.6</v>
      </c>
      <c r="AA97" s="38">
        <f t="shared" si="55"/>
        <v>0.20300000000000001</v>
      </c>
      <c r="AB97" s="38">
        <f t="shared" ca="1" si="56"/>
        <v>0.207966255954912</v>
      </c>
      <c r="AC97" s="38">
        <f t="shared" si="57"/>
        <v>0.6</v>
      </c>
      <c r="AD97" s="38">
        <f t="shared" si="57"/>
        <v>0.20300000000000001</v>
      </c>
      <c r="AE97" s="38">
        <f t="shared" ca="1" si="58"/>
        <v>0.207966255954912</v>
      </c>
      <c r="AF97" s="238">
        <f ca="1">((Summary!$N$11*(AA97*AD97)*(A97-$D$3))+(Summary!$M$11*Z97*AC97*(AJ97-EOMONTH(EDATE(A97,-1),0))))/(AK97*AB97*AE97)</f>
        <v>0.99990468325567783</v>
      </c>
      <c r="AG97" s="88">
        <f>IF($A98="","",Summary!$Q$11)</f>
        <v>0</v>
      </c>
      <c r="AH97" s="88">
        <f>IF($A98="","",IF(Summary!$R$11="Y",(VLOOKUP($A97,Summary!$AD$6:$AF$9,3)+'Escalating commodity'!G110),'Escalating commodity'!G110))</f>
        <v>5.5822843415809387E-3</v>
      </c>
      <c r="AI97" s="88">
        <f t="shared" si="73"/>
        <v>5.5822843415809387E-3</v>
      </c>
      <c r="AJ97" s="236">
        <f t="shared" si="59"/>
        <v>39706</v>
      </c>
      <c r="AK97" s="58">
        <f t="shared" ca="1" si="60"/>
        <v>2666</v>
      </c>
      <c r="AL97" s="26">
        <f ca="1">IF($A98="","",_xll.SPRDOPT(P97,X97,AI97,0,AB97,AE97,AF97,AK97,$AJ$2,0))</f>
        <v>1.5903255774594116E-2</v>
      </c>
      <c r="AM97" s="209">
        <f t="shared" si="61"/>
        <v>1.2127038936220897E-2</v>
      </c>
      <c r="AN97" s="89">
        <f t="shared" ca="1" si="62"/>
        <v>3.7762168383732187E-3</v>
      </c>
      <c r="AO97" s="3">
        <f t="shared" si="63"/>
        <v>30</v>
      </c>
      <c r="AP97" s="33">
        <f t="shared" si="64"/>
        <v>39692</v>
      </c>
      <c r="AQ97" s="58">
        <f t="shared" ca="1" si="65"/>
        <v>2666</v>
      </c>
      <c r="AR97" s="38">
        <f>'ANR OK vs ML7'!AR97</f>
        <v>0.1</v>
      </c>
      <c r="AS97" s="35">
        <f t="shared" ca="1" si="66"/>
        <v>0.49053945261247472</v>
      </c>
      <c r="AT97" s="3">
        <f t="shared" si="67"/>
        <v>1</v>
      </c>
      <c r="AU97" s="3">
        <f t="shared" si="68"/>
        <v>30</v>
      </c>
      <c r="AW97" s="32">
        <f t="shared" ca="1" si="69"/>
        <v>59227.859351089886</v>
      </c>
      <c r="AX97" s="32">
        <f t="shared" si="70"/>
        <v>45164.24602861004</v>
      </c>
      <c r="AY97" s="32">
        <f t="shared" ca="1" si="71"/>
        <v>14063.613322479843</v>
      </c>
      <c r="BA97" s="32">
        <f ca="1">IF($A98="","",F97*Summary!$Q$11)</f>
        <v>0</v>
      </c>
      <c r="BC97" s="256">
        <f t="shared" ca="1" si="74"/>
        <v>22154.844524529504</v>
      </c>
    </row>
    <row r="98" spans="1:55">
      <c r="A98" s="67">
        <f t="shared" si="72"/>
        <v>39722</v>
      </c>
      <c r="B98" s="69">
        <f t="shared" si="75"/>
        <v>124142</v>
      </c>
      <c r="C98" s="71"/>
      <c r="D98" s="69">
        <f t="shared" si="38"/>
        <v>124142</v>
      </c>
      <c r="E98" s="70">
        <f t="shared" si="39"/>
        <v>3848402</v>
      </c>
      <c r="F98" s="70">
        <f t="shared" ca="1" si="40"/>
        <v>1872723.177247663</v>
      </c>
      <c r="G98" s="63">
        <f t="shared" si="41"/>
        <v>4.2960000000000003</v>
      </c>
      <c r="H98" s="64">
        <f t="shared" si="42"/>
        <v>4.2960000000000003</v>
      </c>
      <c r="I98" s="43"/>
      <c r="J98" s="63">
        <f t="shared" si="43"/>
        <v>0.23499999999999999</v>
      </c>
      <c r="K98" s="64">
        <f t="shared" si="44"/>
        <v>0.23499999999999999</v>
      </c>
      <c r="L98" s="63">
        <f t="shared" si="45"/>
        <v>0</v>
      </c>
      <c r="M98" s="64">
        <f t="shared" si="46"/>
        <v>0</v>
      </c>
      <c r="N98" s="65"/>
      <c r="O98" s="63">
        <f t="shared" si="47"/>
        <v>4.5310000000000006</v>
      </c>
      <c r="P98" s="63">
        <f t="shared" si="48"/>
        <v>4.5310000000000006</v>
      </c>
      <c r="Q98" s="66"/>
      <c r="R98" s="63">
        <f t="shared" si="49"/>
        <v>0.17</v>
      </c>
      <c r="S98" s="64">
        <f t="shared" si="50"/>
        <v>0.17</v>
      </c>
      <c r="T98" s="38">
        <v>0</v>
      </c>
      <c r="U98" s="64">
        <f t="shared" si="51"/>
        <v>0</v>
      </c>
      <c r="V98" s="219">
        <f>IF($A99="","",IF(AND(MONTH(A98)&gt;3,MONTH(A98)&lt;11),(T98+R98+G98)*Summary!$T$11/(1-Summary!$T$11),(T98+R98+G98)*Summary!$U$11/(1-Summary!$U$11)))</f>
        <v>4.76212316214965E-2</v>
      </c>
      <c r="W98" s="43">
        <f t="shared" si="52"/>
        <v>4.5136212316214968</v>
      </c>
      <c r="X98" s="43">
        <f t="shared" si="53"/>
        <v>4.5136212316214968</v>
      </c>
      <c r="Y98" s="43"/>
      <c r="Z98" s="38">
        <f t="shared" si="54"/>
        <v>0.65</v>
      </c>
      <c r="AA98" s="38">
        <f t="shared" si="55"/>
        <v>0.20300000000000001</v>
      </c>
      <c r="AB98" s="38">
        <f t="shared" ca="1" si="56"/>
        <v>0.2089338335695993</v>
      </c>
      <c r="AC98" s="38">
        <f t="shared" si="57"/>
        <v>0.65</v>
      </c>
      <c r="AD98" s="38">
        <f t="shared" si="57"/>
        <v>0.20300000000000001</v>
      </c>
      <c r="AE98" s="38">
        <f t="shared" ca="1" si="58"/>
        <v>0.2089338335695993</v>
      </c>
      <c r="AF98" s="238">
        <f ca="1">((Summary!$N$11*(AA98*AD98)*(A98-$D$3))+(Summary!$M$11*Z98*AC98*(AJ98-EOMONTH(EDATE(A98,-1),0))))/(AK98*AB98*AE98)</f>
        <v>0.99990556443377254</v>
      </c>
      <c r="AG98" s="88">
        <f>IF($A99="","",Summary!$Q$11)</f>
        <v>0</v>
      </c>
      <c r="AH98" s="88">
        <f>IF($A99="","",IF(Summary!$R$11="Y",(VLOOKUP($A98,Summary!$AD$6:$AF$9,3)+'Escalating commodity'!G111),'Escalating commodity'!G111))</f>
        <v>5.5822843415809387E-3</v>
      </c>
      <c r="AI98" s="88">
        <f t="shared" si="73"/>
        <v>5.5822843415809387E-3</v>
      </c>
      <c r="AJ98" s="236">
        <f t="shared" si="59"/>
        <v>39736.5</v>
      </c>
      <c r="AK98" s="58">
        <f t="shared" ca="1" si="60"/>
        <v>2696</v>
      </c>
      <c r="AL98" s="26">
        <f ca="1">IF($A99="","",_xll.SPRDOPT(P98,X98,AI98,0,AB98,AE98,AF98,AK98,$AJ$2,0))</f>
        <v>1.5630749927417885E-2</v>
      </c>
      <c r="AM98" s="209">
        <f t="shared" si="61"/>
        <v>1.179648403692289E-2</v>
      </c>
      <c r="AN98" s="89">
        <f t="shared" ca="1" si="62"/>
        <v>3.8342658904949953E-3</v>
      </c>
      <c r="AO98" s="3">
        <f t="shared" si="63"/>
        <v>31</v>
      </c>
      <c r="AP98" s="33">
        <f t="shared" si="64"/>
        <v>39722</v>
      </c>
      <c r="AQ98" s="58">
        <f t="shared" ca="1" si="65"/>
        <v>2696</v>
      </c>
      <c r="AR98" s="38">
        <f>'ANR OK vs ML7'!AR98</f>
        <v>0.1</v>
      </c>
      <c r="AS98" s="35">
        <f t="shared" ca="1" si="66"/>
        <v>0.48662358486656621</v>
      </c>
      <c r="AT98" s="3">
        <f t="shared" si="67"/>
        <v>1</v>
      </c>
      <c r="AU98" s="3">
        <f t="shared" si="68"/>
        <v>31</v>
      </c>
      <c r="AW98" s="32">
        <f t="shared" ca="1" si="69"/>
        <v>60153.409282174842</v>
      </c>
      <c r="AX98" s="32">
        <f t="shared" si="70"/>
        <v>45397.612760662123</v>
      </c>
      <c r="AY98" s="32">
        <f t="shared" ca="1" si="71"/>
        <v>14755.796521512721</v>
      </c>
      <c r="BA98" s="32">
        <f ca="1">IF($A99="","",F98*Summary!$Q$11)</f>
        <v>0</v>
      </c>
      <c r="BC98" s="256">
        <f t="shared" ca="1" si="74"/>
        <v>22091.549065977571</v>
      </c>
    </row>
    <row r="99" spans="1:55">
      <c r="A99" s="67">
        <f t="shared" si="72"/>
        <v>39753</v>
      </c>
      <c r="B99" s="69">
        <f t="shared" si="75"/>
        <v>124142</v>
      </c>
      <c r="C99" s="71"/>
      <c r="D99" s="69">
        <f t="shared" si="38"/>
        <v>124142</v>
      </c>
      <c r="E99" s="70">
        <f t="shared" si="39"/>
        <v>3724260</v>
      </c>
      <c r="F99" s="70">
        <f t="shared" ca="1" si="40"/>
        <v>1797365.2121661138</v>
      </c>
      <c r="G99" s="63">
        <f t="shared" si="41"/>
        <v>4.4290000000000003</v>
      </c>
      <c r="H99" s="64">
        <f t="shared" si="42"/>
        <v>4.4290000000000003</v>
      </c>
      <c r="I99" s="43"/>
      <c r="J99" s="63">
        <f t="shared" si="43"/>
        <v>0.41499999999999998</v>
      </c>
      <c r="K99" s="64">
        <f t="shared" si="44"/>
        <v>0.41499999999999998</v>
      </c>
      <c r="L99" s="63">
        <f t="shared" si="45"/>
        <v>0</v>
      </c>
      <c r="M99" s="64">
        <f t="shared" si="46"/>
        <v>0</v>
      </c>
      <c r="N99" s="65"/>
      <c r="O99" s="63">
        <f t="shared" si="47"/>
        <v>4.8440000000000003</v>
      </c>
      <c r="P99" s="63">
        <f t="shared" si="48"/>
        <v>4.8440000000000003</v>
      </c>
      <c r="Q99" s="66"/>
      <c r="R99" s="63">
        <f t="shared" si="49"/>
        <v>0.27500000000000002</v>
      </c>
      <c r="S99" s="64">
        <f t="shared" si="50"/>
        <v>0.27500000000000002</v>
      </c>
      <c r="T99" s="38">
        <v>0</v>
      </c>
      <c r="U99" s="64">
        <f t="shared" si="51"/>
        <v>0</v>
      </c>
      <c r="V99" s="219">
        <f>IF($A100="","",IF(AND(MONTH(A99)&gt;3,MONTH(A99)&lt;11),(T99+R99+G99)*Summary!$T$11/(1-Summary!$T$11),(T99+R99+G99)*Summary!$U$11/(1-Summary!$U$11)))</f>
        <v>5.015904020320635E-2</v>
      </c>
      <c r="W99" s="43">
        <f t="shared" si="52"/>
        <v>4.7541590402032066</v>
      </c>
      <c r="X99" s="43">
        <f t="shared" si="53"/>
        <v>4.7541590402032066</v>
      </c>
      <c r="Y99" s="43"/>
      <c r="Z99" s="38">
        <f t="shared" si="54"/>
        <v>0.8</v>
      </c>
      <c r="AA99" s="38">
        <f t="shared" si="55"/>
        <v>0.20300000000000001</v>
      </c>
      <c r="AB99" s="38">
        <f t="shared" ca="1" si="56"/>
        <v>0.21152887158262337</v>
      </c>
      <c r="AC99" s="38">
        <f t="shared" si="57"/>
        <v>0.8</v>
      </c>
      <c r="AD99" s="38">
        <f t="shared" si="57"/>
        <v>0.20300000000000001</v>
      </c>
      <c r="AE99" s="38">
        <f t="shared" ca="1" si="58"/>
        <v>0.21152887158262337</v>
      </c>
      <c r="AF99" s="238">
        <f ca="1">((Summary!$N$11*(AA99*AD99)*(A99-$D$3))+(Summary!$M$11*Z99*AC99*(AJ99-EOMONTH(EDATE(A99,-1),0))))/(AK99*AB99*AE99)</f>
        <v>0.99990786768185114</v>
      </c>
      <c r="AG99" s="88">
        <f>IF($A100="","",Summary!$Q$11)</f>
        <v>0</v>
      </c>
      <c r="AH99" s="88">
        <f>IF($A100="","",IF(Summary!$R$11="Y",(VLOOKUP($A99,Summary!$AD$6:$AF$9,3)+'Escalating commodity'!G112),'Escalating commodity'!G112))</f>
        <v>5.5822843415809387E-3</v>
      </c>
      <c r="AI99" s="88">
        <f t="shared" si="73"/>
        <v>5.5822843415809387E-3</v>
      </c>
      <c r="AJ99" s="236">
        <f t="shared" si="59"/>
        <v>39767</v>
      </c>
      <c r="AK99" s="58">
        <f t="shared" ca="1" si="60"/>
        <v>2727</v>
      </c>
      <c r="AL99" s="26">
        <f ca="1">IF($A100="","",_xll.SPRDOPT(P99,X99,AI99,0,AB99,AE99,AF99,AK99,$AJ$2,0))</f>
        <v>8.5951077525351832E-2</v>
      </c>
      <c r="AM99" s="209">
        <f t="shared" si="61"/>
        <v>8.4258675455212803E-2</v>
      </c>
      <c r="AN99" s="89">
        <f t="shared" ca="1" si="62"/>
        <v>1.6924020701390291E-3</v>
      </c>
      <c r="AO99" s="3">
        <f t="shared" si="63"/>
        <v>30</v>
      </c>
      <c r="AP99" s="33">
        <f t="shared" si="64"/>
        <v>39753</v>
      </c>
      <c r="AQ99" s="58">
        <f t="shared" ca="1" si="65"/>
        <v>2727</v>
      </c>
      <c r="AR99" s="38">
        <f>'ANR OK vs ML7'!AR99</f>
        <v>0.1</v>
      </c>
      <c r="AS99" s="35">
        <f t="shared" ca="1" si="66"/>
        <v>0.48261002512341078</v>
      </c>
      <c r="AT99" s="3">
        <f t="shared" si="67"/>
        <v>1</v>
      </c>
      <c r="AU99" s="3">
        <f t="shared" si="68"/>
        <v>30</v>
      </c>
      <c r="AW99" s="32">
        <f t="shared" ca="1" si="69"/>
        <v>320104.1599845668</v>
      </c>
      <c r="AX99" s="32">
        <f t="shared" si="70"/>
        <v>313801.21465083084</v>
      </c>
      <c r="AY99" s="32">
        <f t="shared" ca="1" si="71"/>
        <v>6302.945333735981</v>
      </c>
      <c r="BA99" s="32">
        <f ca="1">IF($A100="","",F99*Summary!$Q$11)</f>
        <v>0</v>
      </c>
      <c r="BC99" s="256">
        <f t="shared" ca="1" si="74"/>
        <v>151443.61208639428</v>
      </c>
    </row>
    <row r="100" spans="1:55">
      <c r="A100" s="67">
        <f t="shared" si="72"/>
        <v>39783</v>
      </c>
      <c r="B100" s="69">
        <f t="shared" si="75"/>
        <v>124142</v>
      </c>
      <c r="C100" s="71"/>
      <c r="D100" s="69">
        <f t="shared" si="38"/>
        <v>124142</v>
      </c>
      <c r="E100" s="70">
        <f t="shared" si="39"/>
        <v>3848402</v>
      </c>
      <c r="F100" s="70">
        <f t="shared" ca="1" si="40"/>
        <v>1842451.152108829</v>
      </c>
      <c r="G100" s="63">
        <f t="shared" si="41"/>
        <v>4.5670000000000002</v>
      </c>
      <c r="H100" s="64">
        <f t="shared" si="42"/>
        <v>4.5670000000000002</v>
      </c>
      <c r="I100" s="43"/>
      <c r="J100" s="63">
        <f t="shared" si="43"/>
        <v>0.41499999999999998</v>
      </c>
      <c r="K100" s="64">
        <f t="shared" si="44"/>
        <v>0.41499999999999998</v>
      </c>
      <c r="L100" s="63">
        <f t="shared" si="45"/>
        <v>0</v>
      </c>
      <c r="M100" s="64">
        <f t="shared" si="46"/>
        <v>0</v>
      </c>
      <c r="N100" s="65"/>
      <c r="O100" s="63">
        <f t="shared" si="47"/>
        <v>4.9820000000000002</v>
      </c>
      <c r="P100" s="63">
        <f t="shared" si="48"/>
        <v>4.9820000000000002</v>
      </c>
      <c r="Q100" s="66"/>
      <c r="R100" s="63">
        <f t="shared" si="49"/>
        <v>0.27500000000000002</v>
      </c>
      <c r="S100" s="64">
        <f t="shared" si="50"/>
        <v>0.27500000000000002</v>
      </c>
      <c r="T100" s="38">
        <v>0</v>
      </c>
      <c r="U100" s="64">
        <f t="shared" si="51"/>
        <v>0</v>
      </c>
      <c r="V100" s="219">
        <f>IF($A101="","",IF(AND(MONTH(A100)&gt;3,MONTH(A100)&lt;11),(T100+R100+G100)*Summary!$T$11/(1-Summary!$T$11),(T100+R100+G100)*Summary!$U$11/(1-Summary!$U$11)))</f>
        <v>5.1630542658147351E-2</v>
      </c>
      <c r="W100" s="43">
        <f t="shared" si="52"/>
        <v>4.8936305426581477</v>
      </c>
      <c r="X100" s="43">
        <f t="shared" si="53"/>
        <v>4.8936305426581477</v>
      </c>
      <c r="Y100" s="43"/>
      <c r="Z100" s="38">
        <f t="shared" si="54"/>
        <v>1.1000000000000001</v>
      </c>
      <c r="AA100" s="38">
        <f t="shared" si="55"/>
        <v>0.20499999999999999</v>
      </c>
      <c r="AB100" s="38">
        <f t="shared" ca="1" si="56"/>
        <v>0.22100435989968187</v>
      </c>
      <c r="AC100" s="38">
        <f t="shared" si="57"/>
        <v>1.1000000000000001</v>
      </c>
      <c r="AD100" s="38">
        <f t="shared" si="57"/>
        <v>0.20499999999999999</v>
      </c>
      <c r="AE100" s="38">
        <f t="shared" ca="1" si="58"/>
        <v>0.22100435989968187</v>
      </c>
      <c r="AF100" s="238">
        <f ca="1">((Summary!$N$11*(AA100*AD100)*(A100-$D$3))+(Summary!$M$11*Z100*AC100*(AJ100-EOMONTH(EDATE(A100,-1),0))))/(AK100*AB100*AE100)</f>
        <v>0.99991392767485798</v>
      </c>
      <c r="AG100" s="88">
        <f>IF($A101="","",Summary!$Q$11)</f>
        <v>0</v>
      </c>
      <c r="AH100" s="88">
        <f>IF($A101="","",IF(Summary!$R$11="Y",(VLOOKUP($A100,Summary!$AD$6:$AF$9,3)+'Escalating commodity'!G113),'Escalating commodity'!G113))</f>
        <v>5.5822843415809387E-3</v>
      </c>
      <c r="AI100" s="88">
        <f t="shared" si="73"/>
        <v>5.5822843415809387E-3</v>
      </c>
      <c r="AJ100" s="236">
        <f t="shared" si="59"/>
        <v>39797.5</v>
      </c>
      <c r="AK100" s="58">
        <f t="shared" ca="1" si="60"/>
        <v>2757</v>
      </c>
      <c r="AL100" s="26">
        <f ca="1">IF($A101="","",_xll.SPRDOPT(P100,X100,AI100,0,AB100,AE100,AF100,AK100,$AJ$2,0))</f>
        <v>8.4680497649134906E-2</v>
      </c>
      <c r="AM100" s="209">
        <f t="shared" si="61"/>
        <v>8.2787173000271594E-2</v>
      </c>
      <c r="AN100" s="89">
        <f t="shared" ca="1" si="62"/>
        <v>1.8933246488633121E-3</v>
      </c>
      <c r="AO100" s="3">
        <f t="shared" si="63"/>
        <v>31</v>
      </c>
      <c r="AP100" s="33">
        <f t="shared" si="64"/>
        <v>39783</v>
      </c>
      <c r="AQ100" s="58">
        <f t="shared" ca="1" si="65"/>
        <v>2757</v>
      </c>
      <c r="AR100" s="38">
        <f>'ANR OK vs ML7'!AR100</f>
        <v>0.1</v>
      </c>
      <c r="AS100" s="35">
        <f t="shared" ca="1" si="66"/>
        <v>0.47875745623997412</v>
      </c>
      <c r="AT100" s="3">
        <f t="shared" si="67"/>
        <v>1</v>
      </c>
      <c r="AU100" s="3">
        <f t="shared" si="68"/>
        <v>31</v>
      </c>
      <c r="AW100" s="32">
        <f t="shared" ca="1" si="69"/>
        <v>325884.59651392605</v>
      </c>
      <c r="AX100" s="32">
        <f t="shared" si="70"/>
        <v>318598.32214859122</v>
      </c>
      <c r="AY100" s="32">
        <f t="shared" ca="1" si="71"/>
        <v>7286.274365334868</v>
      </c>
      <c r="BA100" s="32">
        <f ca="1">IF($A101="","",F100*Summary!$Q$11)</f>
        <v>0</v>
      </c>
      <c r="BC100" s="256">
        <f t="shared" ca="1" si="74"/>
        <v>152531.32227418333</v>
      </c>
    </row>
    <row r="101" spans="1:55">
      <c r="A101" s="67">
        <f t="shared" si="72"/>
        <v>39814</v>
      </c>
      <c r="B101" s="69">
        <f t="shared" si="75"/>
        <v>124142</v>
      </c>
      <c r="C101" s="71"/>
      <c r="D101" s="69">
        <f t="shared" si="38"/>
        <v>124142</v>
      </c>
      <c r="E101" s="70">
        <f t="shared" si="39"/>
        <v>3848402</v>
      </c>
      <c r="F101" s="70">
        <f t="shared" ca="1" si="40"/>
        <v>1827255.037487993</v>
      </c>
      <c r="G101" s="63">
        <f t="shared" si="41"/>
        <v>4.5890000000000004</v>
      </c>
      <c r="H101" s="64">
        <f t="shared" si="42"/>
        <v>4.5890000000000004</v>
      </c>
      <c r="I101" s="43"/>
      <c r="J101" s="63">
        <f t="shared" si="43"/>
        <v>0.41499999999999998</v>
      </c>
      <c r="K101" s="64">
        <f t="shared" si="44"/>
        <v>0.41499999999999998</v>
      </c>
      <c r="L101" s="63">
        <f t="shared" si="45"/>
        <v>0</v>
      </c>
      <c r="M101" s="64">
        <f t="shared" si="46"/>
        <v>0</v>
      </c>
      <c r="N101" s="65"/>
      <c r="O101" s="63">
        <f t="shared" si="47"/>
        <v>5.0040000000000004</v>
      </c>
      <c r="P101" s="63">
        <f t="shared" si="48"/>
        <v>5.0040000000000004</v>
      </c>
      <c r="Q101" s="66"/>
      <c r="R101" s="63">
        <f t="shared" si="49"/>
        <v>0.27500000000000002</v>
      </c>
      <c r="S101" s="64">
        <f t="shared" si="50"/>
        <v>0.27500000000000002</v>
      </c>
      <c r="T101" s="38">
        <v>0</v>
      </c>
      <c r="U101" s="64">
        <f t="shared" si="51"/>
        <v>0</v>
      </c>
      <c r="V101" s="219">
        <f>IF($A102="","",IF(AND(MONTH(A101)&gt;3,MONTH(A101)&lt;11),(T101+R101+G101)*Summary!$T$11/(1-Summary!$T$11),(T101+R101+G101)*Summary!$U$11/(1-Summary!$U$11)))</f>
        <v>5.1865130006036493E-2</v>
      </c>
      <c r="W101" s="43">
        <f t="shared" si="52"/>
        <v>4.9158651300060372</v>
      </c>
      <c r="X101" s="43">
        <f t="shared" si="53"/>
        <v>4.9158651300060372</v>
      </c>
      <c r="Y101" s="43"/>
      <c r="Z101" s="38">
        <f t="shared" si="54"/>
        <v>1.1000000000000001</v>
      </c>
      <c r="AA101" s="38">
        <f t="shared" si="55"/>
        <v>0.20499999999999999</v>
      </c>
      <c r="AB101" s="38">
        <f t="shared" ca="1" si="56"/>
        <v>0.22083278290538946</v>
      </c>
      <c r="AC101" s="38">
        <f t="shared" si="57"/>
        <v>1.1000000000000001</v>
      </c>
      <c r="AD101" s="38">
        <f t="shared" si="57"/>
        <v>0.20499999999999999</v>
      </c>
      <c r="AE101" s="38">
        <f t="shared" ca="1" si="58"/>
        <v>0.22083278290538946</v>
      </c>
      <c r="AF101" s="238">
        <f ca="1">((Summary!$N$11*(AA101*AD101)*(A101-$D$3))+(Summary!$M$11*Z101*AC101*(AJ101-EOMONTH(EDATE(A101,-1),0))))/(AK101*AB101*AE101)</f>
        <v>0.99991379422190885</v>
      </c>
      <c r="AG101" s="88">
        <f>IF($A102="","",Summary!$Q$11)</f>
        <v>0</v>
      </c>
      <c r="AH101" s="88">
        <f>IF($A102="","",IF(Summary!$R$11="Y",(VLOOKUP($A101,Summary!$AD$6:$AF$9,3)+'Escalating commodity'!G114),'Escalating commodity'!G114))</f>
        <v>5.6939300284125577E-3</v>
      </c>
      <c r="AI101" s="88">
        <f t="shared" si="73"/>
        <v>5.6939300284125577E-3</v>
      </c>
      <c r="AJ101" s="236">
        <f t="shared" si="59"/>
        <v>39828.5</v>
      </c>
      <c r="AK101" s="58">
        <f t="shared" ca="1" si="60"/>
        <v>2788</v>
      </c>
      <c r="AL101" s="26">
        <f ca="1">IF($A102="","",_xll.SPRDOPT(P101,X101,AI101,0,AB101,AE101,AF101,AK101,$AJ$2,0))</f>
        <v>8.4380959781725717E-2</v>
      </c>
      <c r="AM101" s="209">
        <f t="shared" si="61"/>
        <v>8.2440939965550686E-2</v>
      </c>
      <c r="AN101" s="89">
        <f t="shared" ca="1" si="62"/>
        <v>1.9400198161750315E-3</v>
      </c>
      <c r="AO101" s="3">
        <f t="shared" si="63"/>
        <v>31</v>
      </c>
      <c r="AP101" s="33">
        <f t="shared" si="64"/>
        <v>39814</v>
      </c>
      <c r="AQ101" s="58">
        <f t="shared" ca="1" si="65"/>
        <v>2788</v>
      </c>
      <c r="AR101" s="38">
        <f>'ANR OK vs ML7'!AR101</f>
        <v>0.1</v>
      </c>
      <c r="AS101" s="35">
        <f t="shared" ca="1" si="66"/>
        <v>0.4748087745219946</v>
      </c>
      <c r="AT101" s="3">
        <f t="shared" si="67"/>
        <v>1</v>
      </c>
      <c r="AU101" s="3">
        <f t="shared" si="68"/>
        <v>31</v>
      </c>
      <c r="AW101" s="32">
        <f t="shared" ca="1" si="69"/>
        <v>324731.85438591283</v>
      </c>
      <c r="AX101" s="32">
        <f t="shared" si="70"/>
        <v>317265.87824530521</v>
      </c>
      <c r="AY101" s="32">
        <f t="shared" ca="1" si="71"/>
        <v>7465.9761406076232</v>
      </c>
      <c r="BA101" s="32">
        <f ca="1">IF($A102="","",F101*Summary!$Q$11)</f>
        <v>0</v>
      </c>
      <c r="BC101" s="256">
        <f t="shared" ca="1" si="74"/>
        <v>150640.62284729769</v>
      </c>
    </row>
    <row r="102" spans="1:55">
      <c r="A102" s="67">
        <f t="shared" si="72"/>
        <v>39845</v>
      </c>
      <c r="B102" s="69">
        <f t="shared" si="75"/>
        <v>124142</v>
      </c>
      <c r="C102" s="71"/>
      <c r="D102" s="69">
        <f t="shared" si="38"/>
        <v>124142</v>
      </c>
      <c r="E102" s="70">
        <f t="shared" si="39"/>
        <v>3475976</v>
      </c>
      <c r="F102" s="70">
        <f t="shared" ca="1" si="40"/>
        <v>1636811.5869099514</v>
      </c>
      <c r="G102" s="63">
        <f t="shared" si="41"/>
        <v>4.4690000000000003</v>
      </c>
      <c r="H102" s="64">
        <f t="shared" si="42"/>
        <v>4.4690000000000003</v>
      </c>
      <c r="I102" s="43"/>
      <c r="J102" s="63">
        <f t="shared" si="43"/>
        <v>0.41499999999999998</v>
      </c>
      <c r="K102" s="64">
        <f t="shared" si="44"/>
        <v>0.41499999999999998</v>
      </c>
      <c r="L102" s="63">
        <f t="shared" si="45"/>
        <v>0</v>
      </c>
      <c r="M102" s="64">
        <f t="shared" si="46"/>
        <v>0</v>
      </c>
      <c r="N102" s="65"/>
      <c r="O102" s="63">
        <f t="shared" si="47"/>
        <v>4.8840000000000003</v>
      </c>
      <c r="P102" s="63">
        <f t="shared" si="48"/>
        <v>4.8840000000000003</v>
      </c>
      <c r="Q102" s="66"/>
      <c r="R102" s="63">
        <f t="shared" si="49"/>
        <v>0.27500000000000002</v>
      </c>
      <c r="S102" s="64">
        <f t="shared" si="50"/>
        <v>0.27500000000000002</v>
      </c>
      <c r="T102" s="38">
        <v>0</v>
      </c>
      <c r="U102" s="64">
        <f t="shared" si="51"/>
        <v>0</v>
      </c>
      <c r="V102" s="219">
        <f>IF($A103="","",IF(AND(MONTH(A102)&gt;3,MONTH(A102)&lt;11),(T102+R102+G102)*Summary!$T$11/(1-Summary!$T$11),(T102+R102+G102)*Summary!$U$11/(1-Summary!$U$11)))</f>
        <v>5.0585562653913889E-2</v>
      </c>
      <c r="W102" s="43">
        <f t="shared" si="52"/>
        <v>4.7945855626539142</v>
      </c>
      <c r="X102" s="43">
        <f t="shared" si="53"/>
        <v>4.7945855626539142</v>
      </c>
      <c r="Y102" s="43"/>
      <c r="Z102" s="38">
        <f t="shared" si="54"/>
        <v>1.1000000000000001</v>
      </c>
      <c r="AA102" s="38">
        <f t="shared" si="55"/>
        <v>0.20300000000000001</v>
      </c>
      <c r="AB102" s="38">
        <f t="shared" ca="1" si="56"/>
        <v>0.21733117915552824</v>
      </c>
      <c r="AC102" s="38">
        <f t="shared" si="57"/>
        <v>1.1000000000000001</v>
      </c>
      <c r="AD102" s="38">
        <f t="shared" si="57"/>
        <v>0.20300000000000001</v>
      </c>
      <c r="AE102" s="38">
        <f t="shared" ca="1" si="58"/>
        <v>0.21733117915552824</v>
      </c>
      <c r="AF102" s="238">
        <f ca="1">((Summary!$N$11*(AA102*AD102)*(A102-$D$3))+(Summary!$M$11*Z102*AC102*(AJ102-EOMONTH(EDATE(A102,-1),0))))/(AK102*AB102*AE102)</f>
        <v>0.99991272255266983</v>
      </c>
      <c r="AG102" s="88">
        <f>IF($A103="","",Summary!$Q$11)</f>
        <v>0</v>
      </c>
      <c r="AH102" s="88">
        <f>IF($A103="","",IF(Summary!$R$11="Y",(VLOOKUP($A102,Summary!$AD$6:$AF$9,3)+'Escalating commodity'!G115),'Escalating commodity'!G115))</f>
        <v>5.6939300284125577E-3</v>
      </c>
      <c r="AI102" s="88">
        <f t="shared" si="73"/>
        <v>5.6939300284125577E-3</v>
      </c>
      <c r="AJ102" s="236">
        <f t="shared" si="59"/>
        <v>39858</v>
      </c>
      <c r="AK102" s="58">
        <f t="shared" ca="1" si="60"/>
        <v>2819</v>
      </c>
      <c r="AL102" s="26">
        <f ca="1">IF($A103="","",_xll.SPRDOPT(P102,X102,AI102,0,AB102,AE102,AF102,AK102,$AJ$2,0))</f>
        <v>8.5521291993937626E-2</v>
      </c>
      <c r="AM102" s="209">
        <f t="shared" si="61"/>
        <v>8.3720507317673554E-2</v>
      </c>
      <c r="AN102" s="89">
        <f t="shared" ca="1" si="62"/>
        <v>1.8007846762640722E-3</v>
      </c>
      <c r="AO102" s="3">
        <f t="shared" si="63"/>
        <v>28</v>
      </c>
      <c r="AP102" s="33">
        <f t="shared" si="64"/>
        <v>39845</v>
      </c>
      <c r="AQ102" s="58">
        <f t="shared" ca="1" si="65"/>
        <v>2819</v>
      </c>
      <c r="AR102" s="38">
        <f>'ANR OK vs ML7'!AR102</f>
        <v>0.1</v>
      </c>
      <c r="AS102" s="35">
        <f t="shared" ca="1" si="66"/>
        <v>0.47089266062537583</v>
      </c>
      <c r="AT102" s="3">
        <f t="shared" si="67"/>
        <v>1</v>
      </c>
      <c r="AU102" s="3">
        <f t="shared" si="68"/>
        <v>28</v>
      </c>
      <c r="AW102" s="32">
        <f t="shared" ca="1" si="69"/>
        <v>297269.95845991932</v>
      </c>
      <c r="AX102" s="32">
        <f t="shared" si="70"/>
        <v>291010.47414405766</v>
      </c>
      <c r="AY102" s="32">
        <f t="shared" ca="1" si="71"/>
        <v>6259.484315861685</v>
      </c>
      <c r="BA102" s="32">
        <f ca="1">IF($A103="","",F102*Summary!$Q$11)</f>
        <v>0</v>
      </c>
      <c r="BC102" s="256">
        <f t="shared" ca="1" si="74"/>
        <v>137034.69643954744</v>
      </c>
    </row>
    <row r="103" spans="1:55">
      <c r="A103" s="67">
        <f t="shared" si="72"/>
        <v>39873</v>
      </c>
      <c r="B103" s="69">
        <f t="shared" si="75"/>
        <v>124142</v>
      </c>
      <c r="C103" s="71"/>
      <c r="D103" s="69">
        <f t="shared" si="38"/>
        <v>124142</v>
      </c>
      <c r="E103" s="70">
        <f t="shared" si="39"/>
        <v>3848402</v>
      </c>
      <c r="F103" s="70">
        <f t="shared" ca="1" si="40"/>
        <v>1798678.8063035219</v>
      </c>
      <c r="G103" s="63">
        <f t="shared" si="41"/>
        <v>4.33</v>
      </c>
      <c r="H103" s="64">
        <f t="shared" si="42"/>
        <v>4.33</v>
      </c>
      <c r="I103" s="43"/>
      <c r="J103" s="63">
        <f t="shared" si="43"/>
        <v>0.41499999999999998</v>
      </c>
      <c r="K103" s="64">
        <f t="shared" si="44"/>
        <v>0.41499999999999998</v>
      </c>
      <c r="L103" s="63">
        <f t="shared" si="45"/>
        <v>0</v>
      </c>
      <c r="M103" s="64">
        <f t="shared" si="46"/>
        <v>0</v>
      </c>
      <c r="N103" s="65"/>
      <c r="O103" s="63">
        <f t="shared" si="47"/>
        <v>4.7450000000000001</v>
      </c>
      <c r="P103" s="63">
        <f t="shared" si="48"/>
        <v>4.7450000000000001</v>
      </c>
      <c r="Q103" s="66"/>
      <c r="R103" s="63">
        <f t="shared" si="49"/>
        <v>0.27500000000000002</v>
      </c>
      <c r="S103" s="64">
        <f t="shared" si="50"/>
        <v>0.27500000000000002</v>
      </c>
      <c r="T103" s="38">
        <v>0</v>
      </c>
      <c r="U103" s="64">
        <f t="shared" si="51"/>
        <v>0</v>
      </c>
      <c r="V103" s="219">
        <f>IF($A104="","",IF(AND(MONTH(A103)&gt;3,MONTH(A103)&lt;11),(T103+R103+G103)*Summary!$T$11/(1-Summary!$T$11),(T103+R103+G103)*Summary!$U$11/(1-Summary!$U$11)))</f>
        <v>4.9103397137705194E-2</v>
      </c>
      <c r="W103" s="43">
        <f t="shared" si="52"/>
        <v>4.6541033971377059</v>
      </c>
      <c r="X103" s="43">
        <f t="shared" si="53"/>
        <v>4.6541033971377059</v>
      </c>
      <c r="Y103" s="43"/>
      <c r="Z103" s="38">
        <f t="shared" si="54"/>
        <v>0.75</v>
      </c>
      <c r="AA103" s="38">
        <f t="shared" si="55"/>
        <v>0.193</v>
      </c>
      <c r="AB103" s="38">
        <f t="shared" ca="1" si="56"/>
        <v>0.20080965548989368</v>
      </c>
      <c r="AC103" s="38">
        <f t="shared" si="57"/>
        <v>0.75</v>
      </c>
      <c r="AD103" s="38">
        <f t="shared" si="57"/>
        <v>0.193</v>
      </c>
      <c r="AE103" s="38">
        <f t="shared" ca="1" si="58"/>
        <v>0.20080965548989368</v>
      </c>
      <c r="AF103" s="238">
        <f ca="1">((Summary!$N$11*(AA103*AD103)*(A103-$D$3))+(Summary!$M$11*Z103*AC103*(AJ103-EOMONTH(EDATE(A103,-1),0))))/(AK103*AB103*AE103)</f>
        <v>0.99990759447183253</v>
      </c>
      <c r="AG103" s="88">
        <f>IF($A104="","",Summary!$Q$11)</f>
        <v>0</v>
      </c>
      <c r="AH103" s="88">
        <f>IF($A104="","",IF(Summary!$R$11="Y",(VLOOKUP($A103,Summary!$AD$6:$AF$9,3)+'Escalating commodity'!G116),'Escalating commodity'!G116))</f>
        <v>5.6939300284125577E-3</v>
      </c>
      <c r="AI103" s="88">
        <f t="shared" si="73"/>
        <v>5.6939300284125577E-3</v>
      </c>
      <c r="AJ103" s="236">
        <f t="shared" si="59"/>
        <v>39887.5</v>
      </c>
      <c r="AK103" s="58">
        <f t="shared" ca="1" si="60"/>
        <v>2847</v>
      </c>
      <c r="AL103" s="26">
        <f ca="1">IF($A104="","",_xll.SPRDOPT(P103,X103,AI103,0,AB103,AE103,AF103,AK103,$AJ$2,0))</f>
        <v>8.6699686326558889E-2</v>
      </c>
      <c r="AM103" s="209">
        <f t="shared" si="61"/>
        <v>8.520267283388161E-2</v>
      </c>
      <c r="AN103" s="89">
        <f t="shared" ca="1" si="62"/>
        <v>1.4970134926772793E-3</v>
      </c>
      <c r="AO103" s="3">
        <f t="shared" si="63"/>
        <v>31</v>
      </c>
      <c r="AP103" s="33">
        <f t="shared" si="64"/>
        <v>39873</v>
      </c>
      <c r="AQ103" s="58">
        <f t="shared" ca="1" si="65"/>
        <v>2847</v>
      </c>
      <c r="AR103" s="38">
        <f>'ANR OK vs ML7'!AR103</f>
        <v>0.1</v>
      </c>
      <c r="AS103" s="35">
        <f t="shared" ca="1" si="66"/>
        <v>0.4673832947554652</v>
      </c>
      <c r="AT103" s="3">
        <f t="shared" si="67"/>
        <v>1</v>
      </c>
      <c r="AU103" s="3">
        <f t="shared" si="68"/>
        <v>31</v>
      </c>
      <c r="AW103" s="32">
        <f t="shared" ca="1" si="69"/>
        <v>333655.24625850189</v>
      </c>
      <c r="AX103" s="32">
        <f t="shared" si="70"/>
        <v>327894.13653925568</v>
      </c>
      <c r="AY103" s="32">
        <f t="shared" ca="1" si="71"/>
        <v>5761.1097192462275</v>
      </c>
      <c r="BA103" s="32">
        <f ca="1">IF($A104="","",F103*Summary!$Q$11)</f>
        <v>0</v>
      </c>
      <c r="BC103" s="256">
        <f t="shared" ca="1" si="74"/>
        <v>153252.24186671569</v>
      </c>
    </row>
    <row r="104" spans="1:55">
      <c r="A104" s="67">
        <f t="shared" si="72"/>
        <v>39904</v>
      </c>
      <c r="B104" s="69">
        <f t="shared" si="75"/>
        <v>124142</v>
      </c>
      <c r="C104" s="71"/>
      <c r="D104" s="69">
        <f t="shared" si="38"/>
        <v>124142</v>
      </c>
      <c r="E104" s="70">
        <f t="shared" si="39"/>
        <v>3724260</v>
      </c>
      <c r="F104" s="70">
        <f t="shared" ca="1" si="40"/>
        <v>1726300.3702777801</v>
      </c>
      <c r="G104" s="63">
        <f t="shared" si="41"/>
        <v>4.1550000000000002</v>
      </c>
      <c r="H104" s="64">
        <f t="shared" si="42"/>
        <v>4.1550000000000002</v>
      </c>
      <c r="I104" s="43"/>
      <c r="J104" s="63">
        <f t="shared" si="43"/>
        <v>0.23499999999999999</v>
      </c>
      <c r="K104" s="64">
        <f t="shared" si="44"/>
        <v>0.23499999999999999</v>
      </c>
      <c r="L104" s="63">
        <f t="shared" si="45"/>
        <v>0</v>
      </c>
      <c r="M104" s="64">
        <f t="shared" si="46"/>
        <v>0</v>
      </c>
      <c r="N104" s="65"/>
      <c r="O104" s="63">
        <f t="shared" si="47"/>
        <v>4.3900000000000006</v>
      </c>
      <c r="P104" s="63">
        <f t="shared" si="48"/>
        <v>4.3900000000000006</v>
      </c>
      <c r="Q104" s="66"/>
      <c r="R104" s="63">
        <f t="shared" si="49"/>
        <v>0.18</v>
      </c>
      <c r="S104" s="64">
        <f t="shared" si="50"/>
        <v>0.18</v>
      </c>
      <c r="T104" s="38">
        <v>0</v>
      </c>
      <c r="U104" s="64">
        <f t="shared" si="51"/>
        <v>0</v>
      </c>
      <c r="V104" s="219">
        <f>IF($A105="","",IF(AND(MONTH(A104)&gt;3,MONTH(A104)&lt;11),(T104+R104+G104)*Summary!$T$11/(1-Summary!$T$11),(T104+R104+G104)*Summary!$U$11/(1-Summary!$U$11)))</f>
        <v>4.6224370595429318E-2</v>
      </c>
      <c r="W104" s="43">
        <f t="shared" si="52"/>
        <v>4.3812243705954295</v>
      </c>
      <c r="X104" s="43">
        <f t="shared" si="53"/>
        <v>4.3812243705954295</v>
      </c>
      <c r="Y104" s="43"/>
      <c r="Z104" s="38">
        <f t="shared" si="54"/>
        <v>0.45</v>
      </c>
      <c r="AA104" s="38">
        <f t="shared" si="55"/>
        <v>0.19</v>
      </c>
      <c r="AB104" s="38">
        <f t="shared" ca="1" si="56"/>
        <v>0.19278994751748416</v>
      </c>
      <c r="AC104" s="38">
        <f t="shared" si="57"/>
        <v>0.45</v>
      </c>
      <c r="AD104" s="38">
        <f t="shared" si="57"/>
        <v>0.19</v>
      </c>
      <c r="AE104" s="38">
        <f t="shared" ca="1" si="58"/>
        <v>0.19278994751748416</v>
      </c>
      <c r="AF104" s="238">
        <f ca="1">((Summary!$N$11*(AA104*AD104)*(A104-$D$3))+(Summary!$M$11*Z104*AC104*(AJ104-EOMONTH(EDATE(A104,-1),0))))/(AK104*AB104*AE104)</f>
        <v>0.99990283959711856</v>
      </c>
      <c r="AG104" s="88">
        <f>IF($A105="","",Summary!$Q$11)</f>
        <v>0</v>
      </c>
      <c r="AH104" s="88">
        <f>IF($A105="","",IF(Summary!$R$11="Y",(VLOOKUP($A104,Summary!$AD$6:$AF$9,3)+'Escalating commodity'!G117),'Escalating commodity'!G117))</f>
        <v>5.6939300284125577E-3</v>
      </c>
      <c r="AI104" s="88">
        <f t="shared" si="73"/>
        <v>5.6939300284125577E-3</v>
      </c>
      <c r="AJ104" s="236">
        <f t="shared" si="59"/>
        <v>39918</v>
      </c>
      <c r="AK104" s="58">
        <f t="shared" ca="1" si="60"/>
        <v>2878</v>
      </c>
      <c r="AL104" s="26">
        <f ca="1">IF($A105="","",_xll.SPRDOPT(P104,X104,AI104,0,AB104,AE104,AF104,AK104,$AJ$2,0))</f>
        <v>7.456687777626099E-3</v>
      </c>
      <c r="AM104" s="209">
        <f t="shared" si="61"/>
        <v>3.0816993761585481E-3</v>
      </c>
      <c r="AN104" s="89">
        <f t="shared" ca="1" si="62"/>
        <v>4.3749884014675508E-3</v>
      </c>
      <c r="AO104" s="3">
        <f t="shared" si="63"/>
        <v>30</v>
      </c>
      <c r="AP104" s="33">
        <f t="shared" si="64"/>
        <v>39904</v>
      </c>
      <c r="AQ104" s="58">
        <f t="shared" ca="1" si="65"/>
        <v>2878</v>
      </c>
      <c r="AR104" s="38">
        <f>'ANR OK vs ML7'!AR104</f>
        <v>0.1</v>
      </c>
      <c r="AS104" s="35">
        <f t="shared" ca="1" si="66"/>
        <v>0.46352842451326709</v>
      </c>
      <c r="AT104" s="3">
        <f t="shared" si="67"/>
        <v>1</v>
      </c>
      <c r="AU104" s="3">
        <f t="shared" si="68"/>
        <v>30</v>
      </c>
      <c r="AW104" s="32">
        <f t="shared" ca="1" si="69"/>
        <v>27770.644022701774</v>
      </c>
      <c r="AX104" s="32">
        <f t="shared" si="70"/>
        <v>11477.049718652235</v>
      </c>
      <c r="AY104" s="32">
        <f t="shared" ca="1" si="71"/>
        <v>16293.59430404954</v>
      </c>
      <c r="BA104" s="32">
        <f ca="1">IF($A105="","",F104*Summary!$Q$11)</f>
        <v>0</v>
      </c>
      <c r="BC104" s="256">
        <f t="shared" ca="1" si="74"/>
        <v>5319.9387741473056</v>
      </c>
    </row>
    <row r="105" spans="1:55">
      <c r="A105" s="67">
        <f t="shared" si="72"/>
        <v>39934</v>
      </c>
      <c r="B105" s="69">
        <f t="shared" si="75"/>
        <v>124142</v>
      </c>
      <c r="C105" s="71"/>
      <c r="D105" s="69">
        <f t="shared" si="38"/>
        <v>124142</v>
      </c>
      <c r="E105" s="70">
        <f t="shared" si="39"/>
        <v>3848402</v>
      </c>
      <c r="F105" s="70">
        <f t="shared" ca="1" si="40"/>
        <v>1769603.6868717575</v>
      </c>
      <c r="G105" s="63">
        <f t="shared" si="41"/>
        <v>4.125</v>
      </c>
      <c r="H105" s="64">
        <f t="shared" si="42"/>
        <v>4.125</v>
      </c>
      <c r="I105" s="43"/>
      <c r="J105" s="63">
        <f t="shared" si="43"/>
        <v>0.23499999999999999</v>
      </c>
      <c r="K105" s="64">
        <f t="shared" si="44"/>
        <v>0.23499999999999999</v>
      </c>
      <c r="L105" s="63">
        <f t="shared" si="45"/>
        <v>0</v>
      </c>
      <c r="M105" s="64">
        <f t="shared" si="46"/>
        <v>0</v>
      </c>
      <c r="N105" s="65"/>
      <c r="O105" s="63">
        <f t="shared" si="47"/>
        <v>4.3600000000000003</v>
      </c>
      <c r="P105" s="63">
        <f t="shared" si="48"/>
        <v>4.3600000000000003</v>
      </c>
      <c r="Q105" s="66"/>
      <c r="R105" s="63">
        <f t="shared" si="49"/>
        <v>0.18</v>
      </c>
      <c r="S105" s="64">
        <f t="shared" si="50"/>
        <v>0.18</v>
      </c>
      <c r="T105" s="38">
        <v>0</v>
      </c>
      <c r="U105" s="64">
        <f t="shared" si="51"/>
        <v>0</v>
      </c>
      <c r="V105" s="219">
        <f>IF($A106="","",IF(AND(MONTH(A105)&gt;3,MONTH(A105)&lt;11),(T105+R105+G105)*Summary!$T$11/(1-Summary!$T$11),(T105+R105+G105)*Summary!$U$11/(1-Summary!$U$11)))</f>
        <v>4.5904478757398656E-2</v>
      </c>
      <c r="W105" s="43">
        <f t="shared" si="52"/>
        <v>4.3509044787573981</v>
      </c>
      <c r="X105" s="43">
        <f t="shared" si="53"/>
        <v>4.3509044787573981</v>
      </c>
      <c r="Y105" s="43"/>
      <c r="Z105" s="38">
        <f t="shared" si="54"/>
        <v>0.5</v>
      </c>
      <c r="AA105" s="38">
        <f t="shared" si="55"/>
        <v>0.19</v>
      </c>
      <c r="AB105" s="38">
        <f t="shared" ca="1" si="56"/>
        <v>0.19350696364567158</v>
      </c>
      <c r="AC105" s="38">
        <f t="shared" si="57"/>
        <v>0.5</v>
      </c>
      <c r="AD105" s="38">
        <f t="shared" si="57"/>
        <v>0.19</v>
      </c>
      <c r="AE105" s="38">
        <f t="shared" ca="1" si="58"/>
        <v>0.19350696364567158</v>
      </c>
      <c r="AF105" s="238">
        <f ca="1">((Summary!$N$11*(AA105*AD105)*(A105-$D$3))+(Summary!$M$11*Z105*AC105*(AJ105-EOMONTH(EDATE(A105,-1),0))))/(AK105*AB105*AE105)</f>
        <v>0.99990355864042479</v>
      </c>
      <c r="AG105" s="88">
        <f>IF($A106="","",Summary!$Q$11)</f>
        <v>0</v>
      </c>
      <c r="AH105" s="88">
        <f>IF($A106="","",IF(Summary!$R$11="Y",(VLOOKUP($A105,Summary!$AD$6:$AF$9,3)+'Escalating commodity'!G118),'Escalating commodity'!G118))</f>
        <v>5.6939300284125577E-3</v>
      </c>
      <c r="AI105" s="88">
        <f t="shared" si="73"/>
        <v>5.6939300284125577E-3</v>
      </c>
      <c r="AJ105" s="236">
        <f t="shared" si="59"/>
        <v>39948.5</v>
      </c>
      <c r="AK105" s="58">
        <f t="shared" ca="1" si="60"/>
        <v>2908</v>
      </c>
      <c r="AL105" s="26">
        <f ca="1">IF($A106="","",_xll.SPRDOPT(P105,X105,AI105,0,AB105,AE105,AF105,AK105,$AJ$2,0))</f>
        <v>7.7120401466718516E-3</v>
      </c>
      <c r="AM105" s="209">
        <f t="shared" si="61"/>
        <v>3.4015912141897092E-3</v>
      </c>
      <c r="AN105" s="89">
        <f t="shared" ca="1" si="62"/>
        <v>4.3104489324821424E-3</v>
      </c>
      <c r="AO105" s="3">
        <f t="shared" si="63"/>
        <v>31</v>
      </c>
      <c r="AP105" s="33">
        <f t="shared" si="64"/>
        <v>39934</v>
      </c>
      <c r="AQ105" s="58">
        <f t="shared" ca="1" si="65"/>
        <v>2908</v>
      </c>
      <c r="AR105" s="38">
        <f>'ANR OK vs ML7'!AR105</f>
        <v>0.1</v>
      </c>
      <c r="AS105" s="35">
        <f t="shared" ca="1" si="66"/>
        <v>0.45982817981898916</v>
      </c>
      <c r="AT105" s="3">
        <f t="shared" si="67"/>
        <v>1</v>
      </c>
      <c r="AU105" s="3">
        <f t="shared" si="68"/>
        <v>31</v>
      </c>
      <c r="AW105" s="32">
        <f t="shared" ca="1" si="69"/>
        <v>29679.030724532247</v>
      </c>
      <c r="AX105" s="32">
        <f t="shared" si="70"/>
        <v>13090.690431870105</v>
      </c>
      <c r="AY105" s="32">
        <f t="shared" ca="1" si="71"/>
        <v>16588.340292662142</v>
      </c>
      <c r="BA105" s="32">
        <f ca="1">IF($A106="","",F105*Summary!$Q$11)</f>
        <v>0</v>
      </c>
      <c r="BC105" s="256">
        <f t="shared" ca="1" si="74"/>
        <v>6019.4683538606878</v>
      </c>
    </row>
    <row r="106" spans="1:55">
      <c r="A106" s="67">
        <f t="shared" si="72"/>
        <v>39965</v>
      </c>
      <c r="B106" s="69">
        <f t="shared" si="75"/>
        <v>124142</v>
      </c>
      <c r="C106" s="71"/>
      <c r="D106" s="69">
        <f t="shared" si="38"/>
        <v>124142</v>
      </c>
      <c r="E106" s="70">
        <f t="shared" si="39"/>
        <v>3724260</v>
      </c>
      <c r="F106" s="70">
        <f t="shared" ca="1" si="40"/>
        <v>1698395.2271999696</v>
      </c>
      <c r="G106" s="63">
        <f t="shared" si="41"/>
        <v>4.1950000000000003</v>
      </c>
      <c r="H106" s="64">
        <f t="shared" si="42"/>
        <v>4.1950000000000003</v>
      </c>
      <c r="I106" s="43"/>
      <c r="J106" s="63">
        <f t="shared" si="43"/>
        <v>0.23499999999999999</v>
      </c>
      <c r="K106" s="64">
        <f t="shared" si="44"/>
        <v>0.23499999999999999</v>
      </c>
      <c r="L106" s="63">
        <f t="shared" si="45"/>
        <v>0</v>
      </c>
      <c r="M106" s="64">
        <f t="shared" si="46"/>
        <v>0</v>
      </c>
      <c r="N106" s="65"/>
      <c r="O106" s="63">
        <f t="shared" si="47"/>
        <v>4.4300000000000006</v>
      </c>
      <c r="P106" s="63">
        <f t="shared" si="48"/>
        <v>4.4300000000000006</v>
      </c>
      <c r="Q106" s="66"/>
      <c r="R106" s="63">
        <f t="shared" si="49"/>
        <v>0.18</v>
      </c>
      <c r="S106" s="64">
        <f t="shared" si="50"/>
        <v>0.18</v>
      </c>
      <c r="T106" s="38">
        <v>0</v>
      </c>
      <c r="U106" s="64">
        <f t="shared" si="51"/>
        <v>0</v>
      </c>
      <c r="V106" s="219">
        <f>IF($A107="","",IF(AND(MONTH(A106)&gt;3,MONTH(A106)&lt;11),(T106+R106+G106)*Summary!$T$11/(1-Summary!$T$11),(T106+R106+G106)*Summary!$U$11/(1-Summary!$U$11)))</f>
        <v>4.665089304613685E-2</v>
      </c>
      <c r="W106" s="43">
        <f t="shared" si="52"/>
        <v>4.4216508930461371</v>
      </c>
      <c r="X106" s="43">
        <f t="shared" si="53"/>
        <v>4.4216508930461371</v>
      </c>
      <c r="Y106" s="43"/>
      <c r="Z106" s="38">
        <f t="shared" si="54"/>
        <v>0.5</v>
      </c>
      <c r="AA106" s="38">
        <f t="shared" si="55"/>
        <v>0.19</v>
      </c>
      <c r="AB106" s="38">
        <f t="shared" ca="1" si="56"/>
        <v>0.19336035604071808</v>
      </c>
      <c r="AC106" s="38">
        <f t="shared" si="57"/>
        <v>0.5</v>
      </c>
      <c r="AD106" s="38">
        <f t="shared" si="57"/>
        <v>0.19</v>
      </c>
      <c r="AE106" s="38">
        <f t="shared" ca="1" si="58"/>
        <v>0.19336035604071808</v>
      </c>
      <c r="AF106" s="238">
        <f ca="1">((Summary!$N$11*(AA106*AD106)*(A106-$D$3))+(Summary!$M$11*Z106*AC106*(AJ106-EOMONTH(EDATE(A106,-1),0))))/(AK106*AB106*AE106)</f>
        <v>0.9999034126897457</v>
      </c>
      <c r="AG106" s="88">
        <f>IF($A107="","",Summary!$Q$11)</f>
        <v>0</v>
      </c>
      <c r="AH106" s="88">
        <f>IF($A107="","",IF(Summary!$R$11="Y",(VLOOKUP($A106,Summary!$AD$6:$AF$9,3)+'Escalating commodity'!G119),'Escalating commodity'!G119))</f>
        <v>5.6939300284125577E-3</v>
      </c>
      <c r="AI106" s="88">
        <f t="shared" si="73"/>
        <v>5.6939300284125577E-3</v>
      </c>
      <c r="AJ106" s="236">
        <f t="shared" si="59"/>
        <v>39979</v>
      </c>
      <c r="AK106" s="58">
        <f t="shared" ca="1" si="60"/>
        <v>2939</v>
      </c>
      <c r="AL106" s="26">
        <f ca="1">IF($A107="","",_xll.SPRDOPT(P106,X106,AI106,0,AB106,AE106,AF106,AK106,$AJ$2,0))</f>
        <v>7.1932280283578398E-3</v>
      </c>
      <c r="AM106" s="209">
        <f t="shared" si="61"/>
        <v>2.6551769254509255E-3</v>
      </c>
      <c r="AN106" s="89">
        <f t="shared" ca="1" si="62"/>
        <v>4.5380511029069143E-3</v>
      </c>
      <c r="AO106" s="3">
        <f t="shared" si="63"/>
        <v>30</v>
      </c>
      <c r="AP106" s="33">
        <f t="shared" si="64"/>
        <v>39965</v>
      </c>
      <c r="AQ106" s="58">
        <f t="shared" ca="1" si="65"/>
        <v>2939</v>
      </c>
      <c r="AR106" s="38">
        <f>'ANR OK vs ML7'!AR106</f>
        <v>0.1</v>
      </c>
      <c r="AS106" s="35">
        <f t="shared" ca="1" si="66"/>
        <v>0.45603562243236767</v>
      </c>
      <c r="AT106" s="3">
        <f t="shared" si="67"/>
        <v>1</v>
      </c>
      <c r="AU106" s="3">
        <f t="shared" si="68"/>
        <v>30</v>
      </c>
      <c r="AW106" s="32">
        <f t="shared" ca="1" si="69"/>
        <v>26789.451416891967</v>
      </c>
      <c r="AX106" s="32">
        <f t="shared" si="70"/>
        <v>9888.5692163798631</v>
      </c>
      <c r="AY106" s="32">
        <f t="shared" ca="1" si="71"/>
        <v>16900.882200512104</v>
      </c>
      <c r="BA106" s="32">
        <f ca="1">IF($A107="","",F106*Summary!$Q$11)</f>
        <v>0</v>
      </c>
      <c r="BC106" s="256">
        <f t="shared" ca="1" si="74"/>
        <v>4509.5398175573409</v>
      </c>
    </row>
    <row r="107" spans="1:55">
      <c r="A107" s="67">
        <f t="shared" si="72"/>
        <v>39995</v>
      </c>
      <c r="B107" s="69">
        <f t="shared" si="75"/>
        <v>124142</v>
      </c>
      <c r="C107" s="71"/>
      <c r="D107" s="69">
        <f t="shared" si="38"/>
        <v>124142</v>
      </c>
      <c r="E107" s="70">
        <f t="shared" si="39"/>
        <v>3848402</v>
      </c>
      <c r="F107" s="70">
        <f t="shared" ca="1" si="40"/>
        <v>1740998.5582838331</v>
      </c>
      <c r="G107" s="63">
        <f t="shared" si="41"/>
        <v>4.25</v>
      </c>
      <c r="H107" s="64">
        <f t="shared" si="42"/>
        <v>4.25</v>
      </c>
      <c r="I107" s="43"/>
      <c r="J107" s="63">
        <f t="shared" si="43"/>
        <v>0.23499999999999999</v>
      </c>
      <c r="K107" s="64">
        <f t="shared" si="44"/>
        <v>0.23499999999999999</v>
      </c>
      <c r="L107" s="63">
        <f t="shared" si="45"/>
        <v>0</v>
      </c>
      <c r="M107" s="64">
        <f t="shared" si="46"/>
        <v>0</v>
      </c>
      <c r="N107" s="65"/>
      <c r="O107" s="63">
        <f t="shared" si="47"/>
        <v>4.4850000000000003</v>
      </c>
      <c r="P107" s="63">
        <f t="shared" si="48"/>
        <v>4.4850000000000003</v>
      </c>
      <c r="Q107" s="66"/>
      <c r="R107" s="63">
        <f t="shared" si="49"/>
        <v>0.18</v>
      </c>
      <c r="S107" s="64">
        <f t="shared" si="50"/>
        <v>0.18</v>
      </c>
      <c r="T107" s="38">
        <v>0</v>
      </c>
      <c r="U107" s="64">
        <f t="shared" si="51"/>
        <v>0</v>
      </c>
      <c r="V107" s="219">
        <f>IF($A108="","",IF(AND(MONTH(A107)&gt;3,MONTH(A107)&lt;11),(T107+R107+G107)*Summary!$T$11/(1-Summary!$T$11),(T107+R107+G107)*Summary!$U$11/(1-Summary!$U$11)))</f>
        <v>4.7237361415859706E-2</v>
      </c>
      <c r="W107" s="43">
        <f t="shared" si="52"/>
        <v>4.4772373614158596</v>
      </c>
      <c r="X107" s="43">
        <f t="shared" si="53"/>
        <v>4.4772373614158596</v>
      </c>
      <c r="Y107" s="43"/>
      <c r="Z107" s="38">
        <f t="shared" si="54"/>
        <v>0.55000000000000004</v>
      </c>
      <c r="AA107" s="38">
        <f t="shared" si="55"/>
        <v>0.19</v>
      </c>
      <c r="AB107" s="38">
        <f t="shared" ca="1" si="56"/>
        <v>0.19414271660016474</v>
      </c>
      <c r="AC107" s="38">
        <f t="shared" si="57"/>
        <v>0.55000000000000004</v>
      </c>
      <c r="AD107" s="38">
        <f t="shared" si="57"/>
        <v>0.19</v>
      </c>
      <c r="AE107" s="38">
        <f t="shared" ca="1" si="58"/>
        <v>0.19414271660016474</v>
      </c>
      <c r="AF107" s="238">
        <f ca="1">((Summary!$N$11*(AA107*AD107)*(A107-$D$3))+(Summary!$M$11*Z107*AC107*(AJ107-EOMONTH(EDATE(A107,-1),0))))/(AK107*AB107*AE107)</f>
        <v>0.99990418990981245</v>
      </c>
      <c r="AG107" s="88">
        <f>IF($A108="","",Summary!$Q$11)</f>
        <v>0</v>
      </c>
      <c r="AH107" s="88">
        <f>IF($A108="","",IF(Summary!$R$11="Y",(VLOOKUP($A107,Summary!$AD$6:$AF$9,3)+'Escalating commodity'!G120),'Escalating commodity'!G120))</f>
        <v>5.6939300284125577E-3</v>
      </c>
      <c r="AI107" s="88">
        <f t="shared" si="73"/>
        <v>5.6939300284125577E-3</v>
      </c>
      <c r="AJ107" s="236">
        <f t="shared" si="59"/>
        <v>40009.5</v>
      </c>
      <c r="AK107" s="58">
        <f t="shared" ca="1" si="60"/>
        <v>2969</v>
      </c>
      <c r="AL107" s="26">
        <f ca="1">IF($A108="","",_xll.SPRDOPT(P107,X107,AI107,0,AB107,AE107,AF107,AK107,$AJ$2,0))</f>
        <v>6.7984603821378831E-3</v>
      </c>
      <c r="AM107" s="209">
        <f t="shared" si="61"/>
        <v>2.0687085557281664E-3</v>
      </c>
      <c r="AN107" s="89">
        <f t="shared" ca="1" si="62"/>
        <v>4.7297518264097166E-3</v>
      </c>
      <c r="AO107" s="3">
        <f t="shared" si="63"/>
        <v>31</v>
      </c>
      <c r="AP107" s="33">
        <f t="shared" si="64"/>
        <v>39995</v>
      </c>
      <c r="AQ107" s="58">
        <f t="shared" ca="1" si="65"/>
        <v>2969</v>
      </c>
      <c r="AR107" s="38">
        <f>'ANR OK vs ML7'!AR107</f>
        <v>0.1</v>
      </c>
      <c r="AS107" s="35">
        <f t="shared" ca="1" si="66"/>
        <v>0.45239519111668508</v>
      </c>
      <c r="AT107" s="3">
        <f t="shared" si="67"/>
        <v>1</v>
      </c>
      <c r="AU107" s="3">
        <f t="shared" si="68"/>
        <v>31</v>
      </c>
      <c r="AW107" s="32">
        <f t="shared" ca="1" si="69"/>
        <v>26163.208531540193</v>
      </c>
      <c r="AX107" s="32">
        <f t="shared" si="70"/>
        <v>7961.2221432813876</v>
      </c>
      <c r="AY107" s="32">
        <f t="shared" ca="1" si="71"/>
        <v>18201.986388258807</v>
      </c>
      <c r="BA107" s="32">
        <f ca="1">IF($A108="","",F107*Summary!$Q$11)</f>
        <v>0</v>
      </c>
      <c r="BC107" s="256">
        <f t="shared" ca="1" si="74"/>
        <v>3601.6186130321685</v>
      </c>
    </row>
    <row r="108" spans="1:55">
      <c r="A108" s="67">
        <f t="shared" si="72"/>
        <v>40026</v>
      </c>
      <c r="B108" s="69">
        <f t="shared" si="75"/>
        <v>124142</v>
      </c>
      <c r="C108" s="71"/>
      <c r="D108" s="69">
        <f t="shared" si="38"/>
        <v>124142</v>
      </c>
      <c r="E108" s="70">
        <f t="shared" si="39"/>
        <v>3848402</v>
      </c>
      <c r="F108" s="70">
        <f t="shared" ca="1" si="40"/>
        <v>1726639.2013933619</v>
      </c>
      <c r="G108" s="63">
        <f t="shared" si="41"/>
        <v>4.306</v>
      </c>
      <c r="H108" s="64">
        <f t="shared" si="42"/>
        <v>4.306</v>
      </c>
      <c r="I108" s="43"/>
      <c r="J108" s="63">
        <f t="shared" si="43"/>
        <v>0.23499999999999999</v>
      </c>
      <c r="K108" s="64">
        <f t="shared" si="44"/>
        <v>0.23499999999999999</v>
      </c>
      <c r="L108" s="63">
        <f t="shared" si="45"/>
        <v>0</v>
      </c>
      <c r="M108" s="64">
        <f t="shared" si="46"/>
        <v>0</v>
      </c>
      <c r="N108" s="65"/>
      <c r="O108" s="63">
        <f t="shared" si="47"/>
        <v>4.5410000000000004</v>
      </c>
      <c r="P108" s="63">
        <f t="shared" si="48"/>
        <v>4.5410000000000004</v>
      </c>
      <c r="Q108" s="66"/>
      <c r="R108" s="63">
        <f t="shared" si="49"/>
        <v>0.18</v>
      </c>
      <c r="S108" s="64">
        <f t="shared" si="50"/>
        <v>0.18</v>
      </c>
      <c r="T108" s="38">
        <v>0</v>
      </c>
      <c r="U108" s="64">
        <f t="shared" si="51"/>
        <v>0</v>
      </c>
      <c r="V108" s="219">
        <f>IF($A109="","",IF(AND(MONTH(A108)&gt;3,MONTH(A108)&lt;11),(T108+R108+G108)*Summary!$T$11/(1-Summary!$T$11),(T108+R108+G108)*Summary!$U$11/(1-Summary!$U$11)))</f>
        <v>4.7834492846850263E-2</v>
      </c>
      <c r="W108" s="43">
        <f t="shared" si="52"/>
        <v>4.5338344928468501</v>
      </c>
      <c r="X108" s="43">
        <f t="shared" si="53"/>
        <v>4.5338344928468501</v>
      </c>
      <c r="Y108" s="43"/>
      <c r="Z108" s="38">
        <f t="shared" si="54"/>
        <v>0.6</v>
      </c>
      <c r="AA108" s="38">
        <f t="shared" si="55"/>
        <v>0.19</v>
      </c>
      <c r="AB108" s="38">
        <f t="shared" ca="1" si="56"/>
        <v>0.19486414070663011</v>
      </c>
      <c r="AC108" s="38">
        <f t="shared" si="57"/>
        <v>0.6</v>
      </c>
      <c r="AD108" s="38">
        <f t="shared" si="57"/>
        <v>0.19</v>
      </c>
      <c r="AE108" s="38">
        <f t="shared" ca="1" si="58"/>
        <v>0.19486414070663011</v>
      </c>
      <c r="AF108" s="238">
        <f ca="1">((Summary!$N$11*(AA108*AD108)*(A108-$D$3))+(Summary!$M$11*Z108*AC108*(AJ108-EOMONTH(EDATE(A108,-1),0))))/(AK108*AB108*AE108)</f>
        <v>0.9999048983418497</v>
      </c>
      <c r="AG108" s="88">
        <f>IF($A109="","",Summary!$Q$11)</f>
        <v>0</v>
      </c>
      <c r="AH108" s="88">
        <f>IF($A109="","",IF(Summary!$R$11="Y",(VLOOKUP($A108,Summary!$AD$6:$AF$9,3)+'Escalating commodity'!G121),'Escalating commodity'!G121))</f>
        <v>5.6939300284125577E-3</v>
      </c>
      <c r="AI108" s="88">
        <f t="shared" si="73"/>
        <v>5.6939300284125577E-3</v>
      </c>
      <c r="AJ108" s="236">
        <f t="shared" si="59"/>
        <v>40040.5</v>
      </c>
      <c r="AK108" s="58">
        <f t="shared" ca="1" si="60"/>
        <v>3000</v>
      </c>
      <c r="AL108" s="26">
        <f ca="1">IF($A109="","",_xll.SPRDOPT(P108,X108,AI108,0,AB108,AE108,AF108,AK108,$AJ$2,0))</f>
        <v>6.4233669611767422E-3</v>
      </c>
      <c r="AM108" s="209">
        <f t="shared" si="61"/>
        <v>1.4715771247376724E-3</v>
      </c>
      <c r="AN108" s="89">
        <f t="shared" ca="1" si="62"/>
        <v>4.9517898364390698E-3</v>
      </c>
      <c r="AO108" s="3">
        <f t="shared" si="63"/>
        <v>31</v>
      </c>
      <c r="AP108" s="33">
        <f t="shared" si="64"/>
        <v>40026</v>
      </c>
      <c r="AQ108" s="58">
        <f t="shared" ca="1" si="65"/>
        <v>3000</v>
      </c>
      <c r="AR108" s="38">
        <f>'ANR OK vs ML7'!AR108</f>
        <v>0.1</v>
      </c>
      <c r="AS108" s="35">
        <f t="shared" ca="1" si="66"/>
        <v>0.44866393931646481</v>
      </c>
      <c r="AT108" s="3">
        <f t="shared" si="67"/>
        <v>1</v>
      </c>
      <c r="AU108" s="3">
        <f t="shared" si="68"/>
        <v>31</v>
      </c>
      <c r="AW108" s="32">
        <f t="shared" ca="1" si="69"/>
        <v>24719.698260126497</v>
      </c>
      <c r="AX108" s="32">
        <f t="shared" si="70"/>
        <v>5663.2203499947082</v>
      </c>
      <c r="AY108" s="32">
        <f t="shared" ca="1" si="71"/>
        <v>19056.477910131787</v>
      </c>
      <c r="BA108" s="32">
        <f ca="1">IF($A109="","",F108*Summary!$Q$11)</f>
        <v>0</v>
      </c>
      <c r="BC108" s="256">
        <f t="shared" ca="1" si="74"/>
        <v>2540.8827514457944</v>
      </c>
    </row>
    <row r="109" spans="1:55">
      <c r="A109" s="67">
        <f t="shared" si="72"/>
        <v>40057</v>
      </c>
      <c r="B109" s="69">
        <f t="shared" si="75"/>
        <v>124142</v>
      </c>
      <c r="C109" s="71"/>
      <c r="D109" s="69">
        <f t="shared" si="38"/>
        <v>124142</v>
      </c>
      <c r="E109" s="70">
        <f t="shared" si="39"/>
        <v>3724260</v>
      </c>
      <c r="F109" s="70">
        <f t="shared" ca="1" si="40"/>
        <v>1657159.6230830927</v>
      </c>
      <c r="G109" s="63">
        <f t="shared" si="41"/>
        <v>4.32</v>
      </c>
      <c r="H109" s="64">
        <f t="shared" si="42"/>
        <v>4.32</v>
      </c>
      <c r="I109" s="43"/>
      <c r="J109" s="63">
        <f t="shared" si="43"/>
        <v>0.23499999999999999</v>
      </c>
      <c r="K109" s="64">
        <f t="shared" si="44"/>
        <v>0.23499999999999999</v>
      </c>
      <c r="L109" s="63">
        <f t="shared" si="45"/>
        <v>0</v>
      </c>
      <c r="M109" s="64">
        <f t="shared" si="46"/>
        <v>0</v>
      </c>
      <c r="N109" s="65"/>
      <c r="O109" s="63">
        <f t="shared" si="47"/>
        <v>4.5550000000000006</v>
      </c>
      <c r="P109" s="63">
        <f t="shared" si="48"/>
        <v>4.5550000000000006</v>
      </c>
      <c r="Q109" s="66"/>
      <c r="R109" s="63">
        <f t="shared" si="49"/>
        <v>0.18</v>
      </c>
      <c r="S109" s="64">
        <f t="shared" si="50"/>
        <v>0.18</v>
      </c>
      <c r="T109" s="38">
        <v>0</v>
      </c>
      <c r="U109" s="64">
        <f t="shared" si="51"/>
        <v>0</v>
      </c>
      <c r="V109" s="219">
        <f>IF($A110="","",IF(AND(MONTH(A109)&gt;3,MONTH(A109)&lt;11),(T109+R109+G109)*Summary!$T$11/(1-Summary!$T$11),(T109+R109+G109)*Summary!$U$11/(1-Summary!$U$11)))</f>
        <v>4.7983775704597907E-2</v>
      </c>
      <c r="W109" s="43">
        <f t="shared" si="52"/>
        <v>4.5479837757045978</v>
      </c>
      <c r="X109" s="43">
        <f t="shared" si="53"/>
        <v>4.5479837757045978</v>
      </c>
      <c r="Y109" s="43"/>
      <c r="Z109" s="38">
        <f t="shared" si="54"/>
        <v>0.6</v>
      </c>
      <c r="AA109" s="38">
        <f t="shared" si="55"/>
        <v>0.19</v>
      </c>
      <c r="AB109" s="38">
        <f t="shared" ca="1" si="56"/>
        <v>0.19466252976596748</v>
      </c>
      <c r="AC109" s="38">
        <f t="shared" si="57"/>
        <v>0.6</v>
      </c>
      <c r="AD109" s="38">
        <f t="shared" si="57"/>
        <v>0.19</v>
      </c>
      <c r="AE109" s="38">
        <f t="shared" ca="1" si="58"/>
        <v>0.19466252976596748</v>
      </c>
      <c r="AF109" s="238">
        <f ca="1">((Summary!$N$11*(AA109*AD109)*(A109-$D$3))+(Summary!$M$11*Z109*AC109*(AJ109-EOMONTH(EDATE(A109,-1),0))))/(AK109*AB109*AE109)</f>
        <v>0.99990470157206646</v>
      </c>
      <c r="AG109" s="88">
        <f>IF($A110="","",Summary!$Q$11)</f>
        <v>0</v>
      </c>
      <c r="AH109" s="88">
        <f>IF($A110="","",IF(Summary!$R$11="Y",(VLOOKUP($A109,Summary!$AD$6:$AF$9,3)+'Escalating commodity'!G122),'Escalating commodity'!G122))</f>
        <v>5.6939300284125577E-3</v>
      </c>
      <c r="AI109" s="88">
        <f t="shared" si="73"/>
        <v>5.6939300284125577E-3</v>
      </c>
      <c r="AJ109" s="236">
        <f t="shared" si="59"/>
        <v>40071</v>
      </c>
      <c r="AK109" s="58">
        <f t="shared" ca="1" si="60"/>
        <v>3031</v>
      </c>
      <c r="AL109" s="26">
        <f ca="1">IF($A110="","",_xll.SPRDOPT(P109,X109,AI109,0,AB109,AE109,AF109,AK109,$AJ$2,0))</f>
        <v>6.3590843315881052E-3</v>
      </c>
      <c r="AM109" s="209">
        <f t="shared" si="61"/>
        <v>1.3222942669902709E-3</v>
      </c>
      <c r="AN109" s="89">
        <f t="shared" ca="1" si="62"/>
        <v>5.0367900645978342E-3</v>
      </c>
      <c r="AO109" s="3">
        <f t="shared" si="63"/>
        <v>30</v>
      </c>
      <c r="AP109" s="33">
        <f t="shared" si="64"/>
        <v>40057</v>
      </c>
      <c r="AQ109" s="58">
        <f t="shared" ca="1" si="65"/>
        <v>3031</v>
      </c>
      <c r="AR109" s="38">
        <f>'ANR OK vs ML7'!AR109</f>
        <v>0.1</v>
      </c>
      <c r="AS109" s="35">
        <f t="shared" ca="1" si="66"/>
        <v>0.44496346202550108</v>
      </c>
      <c r="AT109" s="3">
        <f t="shared" si="67"/>
        <v>1</v>
      </c>
      <c r="AU109" s="3">
        <f t="shared" si="68"/>
        <v>30</v>
      </c>
      <c r="AW109" s="32">
        <f t="shared" ca="1" si="69"/>
        <v>23682.883412760315</v>
      </c>
      <c r="AX109" s="32">
        <f t="shared" si="70"/>
        <v>4924.5676467811863</v>
      </c>
      <c r="AY109" s="32">
        <f t="shared" ca="1" si="71"/>
        <v>18758.315765979129</v>
      </c>
      <c r="BA109" s="32">
        <f ca="1">IF($A110="","",F109*Summary!$Q$11)</f>
        <v>0</v>
      </c>
      <c r="BC109" s="256">
        <f t="shared" ca="1" si="74"/>
        <v>2191.252669090532</v>
      </c>
    </row>
    <row r="110" spans="1:55">
      <c r="A110" s="67">
        <f t="shared" si="72"/>
        <v>40087</v>
      </c>
      <c r="B110" s="69">
        <f t="shared" si="75"/>
        <v>124142</v>
      </c>
      <c r="C110" s="71"/>
      <c r="D110" s="69">
        <f t="shared" si="38"/>
        <v>124142</v>
      </c>
      <c r="E110" s="70">
        <f t="shared" si="39"/>
        <v>3848402</v>
      </c>
      <c r="F110" s="70">
        <f t="shared" ca="1" si="40"/>
        <v>1698728.5812091785</v>
      </c>
      <c r="G110" s="63">
        <f t="shared" si="41"/>
        <v>4.351</v>
      </c>
      <c r="H110" s="64">
        <f t="shared" si="42"/>
        <v>4.351</v>
      </c>
      <c r="I110" s="43"/>
      <c r="J110" s="63">
        <f t="shared" si="43"/>
        <v>0.23499999999999999</v>
      </c>
      <c r="K110" s="64">
        <f t="shared" si="44"/>
        <v>0.23499999999999999</v>
      </c>
      <c r="L110" s="63">
        <f t="shared" si="45"/>
        <v>0</v>
      </c>
      <c r="M110" s="64">
        <f t="shared" si="46"/>
        <v>0</v>
      </c>
      <c r="N110" s="65"/>
      <c r="O110" s="63">
        <f t="shared" si="47"/>
        <v>4.5860000000000003</v>
      </c>
      <c r="P110" s="63">
        <f t="shared" si="48"/>
        <v>4.5860000000000003</v>
      </c>
      <c r="Q110" s="66"/>
      <c r="R110" s="63">
        <f t="shared" si="49"/>
        <v>0.18</v>
      </c>
      <c r="S110" s="64">
        <f t="shared" si="50"/>
        <v>0.18</v>
      </c>
      <c r="T110" s="38">
        <v>0</v>
      </c>
      <c r="U110" s="64">
        <f t="shared" si="51"/>
        <v>0</v>
      </c>
      <c r="V110" s="219">
        <f>IF($A111="","",IF(AND(MONTH(A110)&gt;3,MONTH(A110)&lt;11),(T110+R110+G110)*Summary!$T$11/(1-Summary!$T$11),(T110+R110+G110)*Summary!$U$11/(1-Summary!$U$11)))</f>
        <v>4.8314330603896241E-2</v>
      </c>
      <c r="W110" s="43">
        <f t="shared" si="52"/>
        <v>4.5793143306038964</v>
      </c>
      <c r="X110" s="43">
        <f t="shared" si="53"/>
        <v>4.5793143306038964</v>
      </c>
      <c r="Y110" s="43"/>
      <c r="Z110" s="38">
        <f t="shared" si="54"/>
        <v>0.65</v>
      </c>
      <c r="AA110" s="38">
        <f t="shared" si="55"/>
        <v>0.19</v>
      </c>
      <c r="AB110" s="38">
        <f t="shared" ca="1" si="56"/>
        <v>0.19557916237500539</v>
      </c>
      <c r="AC110" s="38">
        <f t="shared" si="57"/>
        <v>0.65</v>
      </c>
      <c r="AD110" s="38">
        <f t="shared" si="57"/>
        <v>0.19</v>
      </c>
      <c r="AE110" s="38">
        <f t="shared" ca="1" si="58"/>
        <v>0.19557916237500539</v>
      </c>
      <c r="AF110" s="238">
        <f ca="1">((Summary!$N$11*(AA110*AD110)*(A110-$D$3))+(Summary!$M$11*Z110*AC110*(AJ110-EOMONTH(EDATE(A110,-1),0))))/(AK110*AB110*AE110)</f>
        <v>0.99990559306566618</v>
      </c>
      <c r="AG110" s="88">
        <f>IF($A111="","",Summary!$Q$11)</f>
        <v>0</v>
      </c>
      <c r="AH110" s="88">
        <f>IF($A111="","",IF(Summary!$R$11="Y",(VLOOKUP($A110,Summary!$AD$6:$AF$9,3)+'Escalating commodity'!G123),'Escalating commodity'!G123))</f>
        <v>5.6939300284125577E-3</v>
      </c>
      <c r="AI110" s="88">
        <f t="shared" si="73"/>
        <v>5.6939300284125577E-3</v>
      </c>
      <c r="AJ110" s="236">
        <f t="shared" si="59"/>
        <v>40101.5</v>
      </c>
      <c r="AK110" s="58">
        <f t="shared" ca="1" si="60"/>
        <v>3061</v>
      </c>
      <c r="AL110" s="26">
        <f ca="1">IF($A111="","",_xll.SPRDOPT(P110,X110,AI110,0,AB110,AE110,AF110,AK110,$AJ$2,0))</f>
        <v>6.1606365308663133E-3</v>
      </c>
      <c r="AM110" s="209">
        <f t="shared" si="61"/>
        <v>9.9173936769137491E-4</v>
      </c>
      <c r="AN110" s="89">
        <f t="shared" ca="1" si="62"/>
        <v>5.1688971631749384E-3</v>
      </c>
      <c r="AO110" s="3">
        <f t="shared" si="63"/>
        <v>31</v>
      </c>
      <c r="AP110" s="33">
        <f t="shared" si="64"/>
        <v>40087</v>
      </c>
      <c r="AQ110" s="58">
        <f t="shared" ca="1" si="65"/>
        <v>3061</v>
      </c>
      <c r="AR110" s="38">
        <f>'ANR OK vs ML7'!AR110</f>
        <v>0.1</v>
      </c>
      <c r="AS110" s="35">
        <f t="shared" ca="1" si="66"/>
        <v>0.44141141731273881</v>
      </c>
      <c r="AT110" s="3">
        <f t="shared" si="67"/>
        <v>1</v>
      </c>
      <c r="AU110" s="3">
        <f t="shared" si="68"/>
        <v>31</v>
      </c>
      <c r="AW110" s="32">
        <f t="shared" ca="1" si="69"/>
        <v>23708.605946658983</v>
      </c>
      <c r="AX110" s="32">
        <f t="shared" si="70"/>
        <v>3816.6117661022226</v>
      </c>
      <c r="AY110" s="32">
        <f t="shared" ca="1" si="71"/>
        <v>19891.994180556758</v>
      </c>
      <c r="BA110" s="32">
        <f ca="1">IF($A111="","",F110*Summary!$Q$11)</f>
        <v>0</v>
      </c>
      <c r="BC110" s="256">
        <f t="shared" ca="1" si="74"/>
        <v>1684.696009007657</v>
      </c>
    </row>
    <row r="111" spans="1:55">
      <c r="A111" s="67">
        <f t="shared" si="72"/>
        <v>40118</v>
      </c>
      <c r="B111" s="69">
        <f t="shared" si="75"/>
        <v>124142</v>
      </c>
      <c r="C111" s="71"/>
      <c r="D111" s="69">
        <f t="shared" si="38"/>
        <v>124142</v>
      </c>
      <c r="E111" s="70">
        <f t="shared" si="39"/>
        <v>3724260</v>
      </c>
      <c r="F111" s="70">
        <f t="shared" ca="1" si="40"/>
        <v>1630372.1200615515</v>
      </c>
      <c r="G111" s="63">
        <f t="shared" si="41"/>
        <v>4.484</v>
      </c>
      <c r="H111" s="64">
        <f t="shared" si="42"/>
        <v>4.484</v>
      </c>
      <c r="I111" s="43"/>
      <c r="J111" s="63">
        <f t="shared" si="43"/>
        <v>0.42499999999999999</v>
      </c>
      <c r="K111" s="64">
        <f t="shared" si="44"/>
        <v>0.42499999999999999</v>
      </c>
      <c r="L111" s="63">
        <f t="shared" si="45"/>
        <v>0</v>
      </c>
      <c r="M111" s="64">
        <f t="shared" si="46"/>
        <v>0</v>
      </c>
      <c r="N111" s="65"/>
      <c r="O111" s="63">
        <f t="shared" si="47"/>
        <v>4.9089999999999998</v>
      </c>
      <c r="P111" s="63">
        <f t="shared" si="48"/>
        <v>4.9089999999999998</v>
      </c>
      <c r="Q111" s="66"/>
      <c r="R111" s="63">
        <f t="shared" si="49"/>
        <v>0.27500000000000002</v>
      </c>
      <c r="S111" s="64">
        <f t="shared" si="50"/>
        <v>0.27500000000000002</v>
      </c>
      <c r="T111" s="38">
        <v>0</v>
      </c>
      <c r="U111" s="64">
        <f t="shared" si="51"/>
        <v>0</v>
      </c>
      <c r="V111" s="219">
        <f>IF($A112="","",IF(AND(MONTH(A111)&gt;3,MONTH(A111)&lt;11),(T111+R111+G111)*Summary!$T$11/(1-Summary!$T$11),(T111+R111+G111)*Summary!$U$11/(1-Summary!$U$11)))</f>
        <v>5.0745508572929206E-2</v>
      </c>
      <c r="W111" s="43">
        <f t="shared" si="52"/>
        <v>4.8097455085729299</v>
      </c>
      <c r="X111" s="43">
        <f t="shared" si="53"/>
        <v>4.8097455085729299</v>
      </c>
      <c r="Y111" s="43"/>
      <c r="Z111" s="38">
        <f t="shared" si="54"/>
        <v>0.8</v>
      </c>
      <c r="AA111" s="38">
        <f t="shared" si="55"/>
        <v>0.19</v>
      </c>
      <c r="AB111" s="38">
        <f t="shared" ca="1" si="56"/>
        <v>0.1980314667849499</v>
      </c>
      <c r="AC111" s="38">
        <f t="shared" si="57"/>
        <v>0.8</v>
      </c>
      <c r="AD111" s="38">
        <f t="shared" si="57"/>
        <v>0.19</v>
      </c>
      <c r="AE111" s="38">
        <f t="shared" ca="1" si="58"/>
        <v>0.1980314667849499</v>
      </c>
      <c r="AF111" s="238">
        <f ca="1">((Summary!$N$11*(AA111*AD111)*(A111-$D$3))+(Summary!$M$11*Z111*AC111*(AJ111-EOMONTH(EDATE(A111,-1),0))))/(AK111*AB111*AE111)</f>
        <v>0.99990791704911763</v>
      </c>
      <c r="AG111" s="88">
        <f>IF($A112="","",Summary!$Q$11)</f>
        <v>0</v>
      </c>
      <c r="AH111" s="88">
        <f>IF($A112="","",IF(Summary!$R$11="Y",(VLOOKUP($A111,Summary!$AD$6:$AF$9,3)+'Escalating commodity'!G124),'Escalating commodity'!G124))</f>
        <v>5.6939300284125577E-3</v>
      </c>
      <c r="AI111" s="88">
        <f t="shared" si="73"/>
        <v>5.6939300284125577E-3</v>
      </c>
      <c r="AJ111" s="236">
        <f t="shared" si="59"/>
        <v>40132</v>
      </c>
      <c r="AK111" s="58">
        <f t="shared" ca="1" si="60"/>
        <v>3092</v>
      </c>
      <c r="AL111" s="26">
        <f ca="1">IF($A112="","",_xll.SPRDOPT(P111,X111,AI111,0,AB111,AE111,AF111,AK111,$AJ$2,0))</f>
        <v>9.5081483938009928E-2</v>
      </c>
      <c r="AM111" s="209">
        <f t="shared" si="61"/>
        <v>9.3560561398657316E-2</v>
      </c>
      <c r="AN111" s="89">
        <f t="shared" ca="1" si="62"/>
        <v>1.5209225393526121E-3</v>
      </c>
      <c r="AO111" s="3">
        <f t="shared" si="63"/>
        <v>30</v>
      </c>
      <c r="AP111" s="33">
        <f t="shared" si="64"/>
        <v>40118</v>
      </c>
      <c r="AQ111" s="58">
        <f t="shared" ca="1" si="65"/>
        <v>3092</v>
      </c>
      <c r="AR111" s="38">
        <f>'ANR OK vs ML7'!AR111</f>
        <v>0.1</v>
      </c>
      <c r="AS111" s="35">
        <f t="shared" ca="1" si="66"/>
        <v>0.43777075716022817</v>
      </c>
      <c r="AT111" s="3">
        <f t="shared" si="67"/>
        <v>1</v>
      </c>
      <c r="AU111" s="3">
        <f t="shared" si="68"/>
        <v>30</v>
      </c>
      <c r="AW111" s="32">
        <f t="shared" ca="1" si="69"/>
        <v>354108.16737097286</v>
      </c>
      <c r="AX111" s="32">
        <f t="shared" si="70"/>
        <v>348443.85639456351</v>
      </c>
      <c r="AY111" s="32">
        <f t="shared" ca="1" si="71"/>
        <v>5664.3109764093597</v>
      </c>
      <c r="BA111" s="32">
        <f ca="1">IF($A112="","",F111*Summary!$Q$11)</f>
        <v>0</v>
      </c>
      <c r="BC111" s="256">
        <f t="shared" ca="1" si="74"/>
        <v>152538.53084167789</v>
      </c>
    </row>
    <row r="112" spans="1:55">
      <c r="A112" s="67">
        <f t="shared" si="72"/>
        <v>40148</v>
      </c>
      <c r="B112" s="69">
        <f t="shared" si="75"/>
        <v>124142</v>
      </c>
      <c r="C112" s="71"/>
      <c r="D112" s="69">
        <f t="shared" si="38"/>
        <v>124142</v>
      </c>
      <c r="E112" s="70">
        <f t="shared" si="39"/>
        <v>3848402</v>
      </c>
      <c r="F112" s="70">
        <f t="shared" ca="1" si="40"/>
        <v>1671269.1280774036</v>
      </c>
      <c r="G112" s="63">
        <f t="shared" si="41"/>
        <v>4.6219999999999999</v>
      </c>
      <c r="H112" s="64">
        <f t="shared" si="42"/>
        <v>4.6219999999999999</v>
      </c>
      <c r="I112" s="43"/>
      <c r="J112" s="63">
        <f t="shared" si="43"/>
        <v>0.42499999999999999</v>
      </c>
      <c r="K112" s="64">
        <f t="shared" si="44"/>
        <v>0.42499999999999999</v>
      </c>
      <c r="L112" s="63">
        <f t="shared" si="45"/>
        <v>0</v>
      </c>
      <c r="M112" s="64">
        <f t="shared" si="46"/>
        <v>0</v>
      </c>
      <c r="N112" s="65"/>
      <c r="O112" s="63">
        <f t="shared" si="47"/>
        <v>5.0469999999999997</v>
      </c>
      <c r="P112" s="63">
        <f t="shared" si="48"/>
        <v>5.0469999999999997</v>
      </c>
      <c r="Q112" s="66"/>
      <c r="R112" s="63">
        <f t="shared" si="49"/>
        <v>0.27500000000000002</v>
      </c>
      <c r="S112" s="64">
        <f t="shared" si="50"/>
        <v>0.27500000000000002</v>
      </c>
      <c r="T112" s="38">
        <v>0</v>
      </c>
      <c r="U112" s="64">
        <f t="shared" si="51"/>
        <v>0</v>
      </c>
      <c r="V112" s="219">
        <f>IF($A113="","",IF(AND(MONTH(A112)&gt;3,MONTH(A112)&lt;11),(T112+R112+G112)*Summary!$T$11/(1-Summary!$T$11),(T112+R112+G112)*Summary!$U$11/(1-Summary!$U$11)))</f>
        <v>5.2217011027870207E-2</v>
      </c>
      <c r="W112" s="43">
        <f t="shared" si="52"/>
        <v>4.9492170110278702</v>
      </c>
      <c r="X112" s="43">
        <f t="shared" si="53"/>
        <v>4.9492170110278702</v>
      </c>
      <c r="Y112" s="43"/>
      <c r="Z112" s="38">
        <f t="shared" si="54"/>
        <v>1.1000000000000001</v>
      </c>
      <c r="AA112" s="38">
        <f t="shared" si="55"/>
        <v>0.19</v>
      </c>
      <c r="AB112" s="38">
        <f t="shared" ca="1" si="56"/>
        <v>0.20522897011135161</v>
      </c>
      <c r="AC112" s="38">
        <f t="shared" si="57"/>
        <v>1.1000000000000001</v>
      </c>
      <c r="AD112" s="38">
        <f t="shared" si="57"/>
        <v>0.19</v>
      </c>
      <c r="AE112" s="38">
        <f t="shared" ca="1" si="58"/>
        <v>0.20522897011135161</v>
      </c>
      <c r="AF112" s="238">
        <f ca="1">((Summary!$N$11*(AA112*AD112)*(A112-$D$3))+(Summary!$M$11*Z112*AC112*(AJ112-EOMONTH(EDATE(A112,-1),0))))/(AK112*AB112*AE112)</f>
        <v>0.99991426286718987</v>
      </c>
      <c r="AG112" s="88">
        <f>IF($A113="","",Summary!$Q$11)</f>
        <v>0</v>
      </c>
      <c r="AH112" s="88">
        <f>IF($A113="","",IF(Summary!$R$11="Y",(VLOOKUP($A112,Summary!$AD$6:$AF$9,3)+'Escalating commodity'!G125),'Escalating commodity'!G125))</f>
        <v>5.6939300284125577E-3</v>
      </c>
      <c r="AI112" s="88">
        <f t="shared" si="73"/>
        <v>5.6939300284125577E-3</v>
      </c>
      <c r="AJ112" s="236">
        <f t="shared" si="59"/>
        <v>40162.5</v>
      </c>
      <c r="AK112" s="58">
        <f t="shared" ca="1" si="60"/>
        <v>3122</v>
      </c>
      <c r="AL112" s="26">
        <f ca="1">IF($A113="","",_xll.SPRDOPT(P112,X112,AI112,0,AB112,AE112,AF112,AK112,$AJ$2,0))</f>
        <v>9.3770716614474281E-2</v>
      </c>
      <c r="AM112" s="209">
        <f t="shared" si="61"/>
        <v>9.2089058943716995E-2</v>
      </c>
      <c r="AN112" s="89">
        <f t="shared" ca="1" si="62"/>
        <v>1.6816576707572861E-3</v>
      </c>
      <c r="AO112" s="3">
        <f t="shared" si="63"/>
        <v>31</v>
      </c>
      <c r="AP112" s="33">
        <f t="shared" si="64"/>
        <v>40148</v>
      </c>
      <c r="AQ112" s="58">
        <f t="shared" ca="1" si="65"/>
        <v>3122</v>
      </c>
      <c r="AR112" s="38">
        <f>'ANR OK vs ML7'!AR112</f>
        <v>0.1</v>
      </c>
      <c r="AS112" s="35">
        <f t="shared" ca="1" si="66"/>
        <v>0.43427613021649081</v>
      </c>
      <c r="AT112" s="3">
        <f t="shared" si="67"/>
        <v>1</v>
      </c>
      <c r="AU112" s="3">
        <f t="shared" si="68"/>
        <v>31</v>
      </c>
      <c r="AW112" s="32">
        <f t="shared" ca="1" si="69"/>
        <v>360867.41336057603</v>
      </c>
      <c r="AX112" s="32">
        <f t="shared" si="70"/>
        <v>354395.71861711837</v>
      </c>
      <c r="AY112" s="32">
        <f t="shared" ca="1" si="71"/>
        <v>6471.6947434576814</v>
      </c>
      <c r="BA112" s="32">
        <f ca="1">IF($A113="","",F112*Summary!$Q$11)</f>
        <v>0</v>
      </c>
      <c r="BC112" s="256">
        <f t="shared" ca="1" si="74"/>
        <v>153905.60124633453</v>
      </c>
    </row>
    <row r="113" spans="1:55">
      <c r="A113" s="67">
        <f t="shared" si="72"/>
        <v>40179</v>
      </c>
      <c r="B113" s="69">
        <f t="shared" si="75"/>
        <v>124142</v>
      </c>
      <c r="C113" s="71"/>
      <c r="D113" s="69">
        <f t="shared" si="38"/>
        <v>124142</v>
      </c>
      <c r="E113" s="70">
        <f t="shared" si="39"/>
        <v>3848402</v>
      </c>
      <c r="F113" s="70">
        <f t="shared" ca="1" si="40"/>
        <v>1657484.8835380247</v>
      </c>
      <c r="G113" s="63">
        <f t="shared" si="41"/>
        <v>4.649</v>
      </c>
      <c r="H113" s="64">
        <f t="shared" si="42"/>
        <v>4.649</v>
      </c>
      <c r="I113" s="43"/>
      <c r="J113" s="63">
        <f t="shared" si="43"/>
        <v>0.42499999999999999</v>
      </c>
      <c r="K113" s="64">
        <f t="shared" si="44"/>
        <v>0.42499999999999999</v>
      </c>
      <c r="L113" s="63">
        <f t="shared" si="45"/>
        <v>0</v>
      </c>
      <c r="M113" s="64">
        <f t="shared" si="46"/>
        <v>0</v>
      </c>
      <c r="N113" s="65"/>
      <c r="O113" s="63">
        <f t="shared" si="47"/>
        <v>5.0739999999999998</v>
      </c>
      <c r="P113" s="63">
        <f t="shared" si="48"/>
        <v>5.0739999999999998</v>
      </c>
      <c r="Q113" s="66"/>
      <c r="R113" s="63">
        <f t="shared" si="49"/>
        <v>0.27500000000000002</v>
      </c>
      <c r="S113" s="64">
        <f t="shared" si="50"/>
        <v>0.27500000000000002</v>
      </c>
      <c r="T113" s="38">
        <v>0</v>
      </c>
      <c r="U113" s="64">
        <f t="shared" si="51"/>
        <v>0</v>
      </c>
      <c r="V113" s="219">
        <f>IF($A114="","",IF(AND(MONTH(A113)&gt;3,MONTH(A113)&lt;11),(T113+R113+G113)*Summary!$T$11/(1-Summary!$T$11),(T113+R113+G113)*Summary!$U$11/(1-Summary!$U$11)))</f>
        <v>5.2504913682097802E-2</v>
      </c>
      <c r="W113" s="43">
        <f t="shared" si="52"/>
        <v>4.9765049136820982</v>
      </c>
      <c r="X113" s="43">
        <f t="shared" si="53"/>
        <v>4.9765049136820982</v>
      </c>
      <c r="Y113" s="43"/>
      <c r="Z113" s="38">
        <f t="shared" si="54"/>
        <v>1.1000000000000001</v>
      </c>
      <c r="AA113" s="38">
        <f t="shared" si="55"/>
        <v>0.19</v>
      </c>
      <c r="AB113" s="38">
        <f t="shared" ca="1" si="56"/>
        <v>0.20508474496304122</v>
      </c>
      <c r="AC113" s="38">
        <f t="shared" si="57"/>
        <v>1.1000000000000001</v>
      </c>
      <c r="AD113" s="38">
        <f t="shared" si="57"/>
        <v>0.19</v>
      </c>
      <c r="AE113" s="38">
        <f t="shared" ca="1" si="58"/>
        <v>0.20508474496304122</v>
      </c>
      <c r="AF113" s="238">
        <f ca="1">((Summary!$N$11*(AA113*AD113)*(A113-$D$3))+(Summary!$M$11*Z113*AC113*(AJ113-EOMONTH(EDATE(A113,-1),0))))/(AK113*AB113*AE113)</f>
        <v>0.99991414250639454</v>
      </c>
      <c r="AG113" s="88">
        <f>IF($A114="","",Summary!$Q$11)</f>
        <v>0</v>
      </c>
      <c r="AH113" s="88">
        <f>IF($A114="","",IF(Summary!$R$11="Y",(VLOOKUP($A113,Summary!$AD$6:$AF$9,3)+'Escalating commodity'!G126),'Escalating commodity'!G126))</f>
        <v>5.8078086289808087E-3</v>
      </c>
      <c r="AI113" s="88">
        <f t="shared" si="73"/>
        <v>5.8078086289808087E-3</v>
      </c>
      <c r="AJ113" s="236">
        <f t="shared" si="59"/>
        <v>40193.5</v>
      </c>
      <c r="AK113" s="58">
        <f t="shared" ca="1" si="60"/>
        <v>3153</v>
      </c>
      <c r="AL113" s="26">
        <f ca="1">IF($A114="","",_xll.SPRDOPT(P113,X113,AI113,0,AB113,AE113,AF113,AK113,$AJ$2,0))</f>
        <v>9.3415224819410086E-2</v>
      </c>
      <c r="AM113" s="209">
        <f t="shared" si="61"/>
        <v>9.1687277688920793E-2</v>
      </c>
      <c r="AN113" s="89">
        <f t="shared" ca="1" si="62"/>
        <v>1.7279471304892935E-3</v>
      </c>
      <c r="AO113" s="3">
        <f t="shared" si="63"/>
        <v>31</v>
      </c>
      <c r="AP113" s="33">
        <f t="shared" si="64"/>
        <v>40179</v>
      </c>
      <c r="AQ113" s="58">
        <f t="shared" ca="1" si="65"/>
        <v>3153</v>
      </c>
      <c r="AR113" s="38">
        <f>'ANR OK vs ML7'!AR113</f>
        <v>0.1</v>
      </c>
      <c r="AS113" s="35">
        <f t="shared" ca="1" si="66"/>
        <v>0.43069432027579885</v>
      </c>
      <c r="AT113" s="3">
        <f t="shared" si="67"/>
        <v>1</v>
      </c>
      <c r="AU113" s="3">
        <f t="shared" si="68"/>
        <v>31</v>
      </c>
      <c r="AW113" s="32">
        <f t="shared" ca="1" si="69"/>
        <v>359499.33802546741</v>
      </c>
      <c r="AX113" s="32">
        <f t="shared" si="70"/>
        <v>352849.50283259817</v>
      </c>
      <c r="AY113" s="32">
        <f t="shared" ca="1" si="71"/>
        <v>6649.8351928692582</v>
      </c>
      <c r="BA113" s="32">
        <f ca="1">IF($A114="","",F113*Summary!$Q$11)</f>
        <v>0</v>
      </c>
      <c r="BC113" s="256">
        <f t="shared" ca="1" si="74"/>
        <v>151970.27678213941</v>
      </c>
    </row>
    <row r="114" spans="1:55">
      <c r="A114" s="67">
        <f t="shared" si="72"/>
        <v>40210</v>
      </c>
      <c r="B114" s="69">
        <f t="shared" si="75"/>
        <v>124142</v>
      </c>
      <c r="C114" s="71"/>
      <c r="D114" s="69">
        <f t="shared" si="38"/>
        <v>124142</v>
      </c>
      <c r="E114" s="70">
        <f t="shared" si="39"/>
        <v>3475976</v>
      </c>
      <c r="F114" s="70">
        <f t="shared" ca="1" si="40"/>
        <v>1484735.5223235814</v>
      </c>
      <c r="G114" s="63">
        <f t="shared" si="41"/>
        <v>4.5289999999999999</v>
      </c>
      <c r="H114" s="64">
        <f t="shared" si="42"/>
        <v>4.5289999999999999</v>
      </c>
      <c r="I114" s="43"/>
      <c r="J114" s="63">
        <f t="shared" si="43"/>
        <v>0.42499999999999999</v>
      </c>
      <c r="K114" s="64">
        <f t="shared" si="44"/>
        <v>0.42499999999999999</v>
      </c>
      <c r="L114" s="63">
        <f t="shared" si="45"/>
        <v>0</v>
      </c>
      <c r="M114" s="64">
        <f t="shared" si="46"/>
        <v>0</v>
      </c>
      <c r="N114" s="65"/>
      <c r="O114" s="63">
        <f t="shared" si="47"/>
        <v>4.9539999999999997</v>
      </c>
      <c r="P114" s="63">
        <f t="shared" si="48"/>
        <v>4.9539999999999997</v>
      </c>
      <c r="Q114" s="66"/>
      <c r="R114" s="63">
        <f t="shared" si="49"/>
        <v>0.27500000000000002</v>
      </c>
      <c r="S114" s="64">
        <f t="shared" si="50"/>
        <v>0.27500000000000002</v>
      </c>
      <c r="T114" s="38">
        <v>0</v>
      </c>
      <c r="U114" s="64">
        <f t="shared" si="51"/>
        <v>0</v>
      </c>
      <c r="V114" s="219">
        <f>IF($A115="","",IF(AND(MONTH(A114)&gt;3,MONTH(A114)&lt;11),(T114+R114+G114)*Summary!$T$11/(1-Summary!$T$11),(T114+R114+G114)*Summary!$U$11/(1-Summary!$U$11)))</f>
        <v>5.1225346329975184E-2</v>
      </c>
      <c r="W114" s="43">
        <f t="shared" si="52"/>
        <v>4.8552253463299753</v>
      </c>
      <c r="X114" s="43">
        <f t="shared" si="53"/>
        <v>4.8552253463299753</v>
      </c>
      <c r="Y114" s="43"/>
      <c r="Z114" s="38">
        <f t="shared" si="54"/>
        <v>1.1000000000000001</v>
      </c>
      <c r="AA114" s="38">
        <f t="shared" si="55"/>
        <v>0.185</v>
      </c>
      <c r="AB114" s="38">
        <f t="shared" ca="1" si="56"/>
        <v>0.19888715598696391</v>
      </c>
      <c r="AC114" s="38">
        <f t="shared" si="57"/>
        <v>1.1000000000000001</v>
      </c>
      <c r="AD114" s="38">
        <f t="shared" si="57"/>
        <v>0.185</v>
      </c>
      <c r="AE114" s="38">
        <f t="shared" ca="1" si="58"/>
        <v>0.19888715598696391</v>
      </c>
      <c r="AF114" s="238">
        <f ca="1">((Summary!$N$11*(AA114*AD114)*(A114-$D$3))+(Summary!$M$11*Z114*AC114*(AJ114-EOMONTH(EDATE(A114,-1),0))))/(AK114*AB114*AE114)</f>
        <v>0.99991345014207389</v>
      </c>
      <c r="AG114" s="88">
        <f>IF($A115="","",Summary!$Q$11)</f>
        <v>0</v>
      </c>
      <c r="AH114" s="88">
        <f>IF($A115="","",IF(Summary!$R$11="Y",(VLOOKUP($A114,Summary!$AD$6:$AF$9,3)+'Escalating commodity'!G127),'Escalating commodity'!G127))</f>
        <v>5.8078086289808087E-3</v>
      </c>
      <c r="AI114" s="88">
        <f t="shared" si="73"/>
        <v>5.8078086289808087E-3</v>
      </c>
      <c r="AJ114" s="236">
        <f t="shared" si="59"/>
        <v>40223</v>
      </c>
      <c r="AK114" s="58">
        <f t="shared" ca="1" si="60"/>
        <v>3184</v>
      </c>
      <c r="AL114" s="26">
        <f ca="1">IF($A115="","",_xll.SPRDOPT(P114,X114,AI114,0,AB114,AE114,AF114,AK114,$AJ$2,0))</f>
        <v>9.4502923009954609E-2</v>
      </c>
      <c r="AM114" s="209">
        <f t="shared" si="61"/>
        <v>9.2966845041043661E-2</v>
      </c>
      <c r="AN114" s="89">
        <f t="shared" ca="1" si="62"/>
        <v>1.5360779689109483E-3</v>
      </c>
      <c r="AO114" s="3">
        <f t="shared" si="63"/>
        <v>28</v>
      </c>
      <c r="AP114" s="33">
        <f t="shared" si="64"/>
        <v>40210</v>
      </c>
      <c r="AQ114" s="58">
        <f t="shared" ca="1" si="65"/>
        <v>3184</v>
      </c>
      <c r="AR114" s="38">
        <f>'ANR OK vs ML7'!AR114</f>
        <v>0.1</v>
      </c>
      <c r="AS114" s="35">
        <f t="shared" ca="1" si="66"/>
        <v>0.42714205228217378</v>
      </c>
      <c r="AT114" s="3">
        <f t="shared" si="67"/>
        <v>1</v>
      </c>
      <c r="AU114" s="3">
        <f t="shared" si="68"/>
        <v>28</v>
      </c>
      <c r="AW114" s="32">
        <f t="shared" ca="1" si="69"/>
        <v>328489.89231244999</v>
      </c>
      <c r="AX114" s="32">
        <f t="shared" si="70"/>
        <v>323150.52215838677</v>
      </c>
      <c r="AY114" s="32">
        <f t="shared" ca="1" si="71"/>
        <v>5339.3701540632028</v>
      </c>
      <c r="BA114" s="32">
        <f ca="1">IF($A115="","",F114*Summary!$Q$11)</f>
        <v>0</v>
      </c>
      <c r="BC114" s="256">
        <f t="shared" ca="1" si="74"/>
        <v>138031.17723078941</v>
      </c>
    </row>
    <row r="115" spans="1:55">
      <c r="A115" s="67">
        <f t="shared" si="72"/>
        <v>40238</v>
      </c>
      <c r="B115" s="69">
        <f t="shared" si="75"/>
        <v>124142</v>
      </c>
      <c r="C115" s="71"/>
      <c r="D115" s="69">
        <f t="shared" si="38"/>
        <v>124142</v>
      </c>
      <c r="E115" s="70">
        <f t="shared" si="39"/>
        <v>3848402</v>
      </c>
      <c r="F115" s="70">
        <f t="shared" ca="1" si="40"/>
        <v>1631563.6682478688</v>
      </c>
      <c r="G115" s="63">
        <f t="shared" si="41"/>
        <v>4.3899999999999997</v>
      </c>
      <c r="H115" s="64">
        <f t="shared" si="42"/>
        <v>4.3899999999999997</v>
      </c>
      <c r="I115" s="43"/>
      <c r="J115" s="63">
        <f t="shared" si="43"/>
        <v>0.42499999999999999</v>
      </c>
      <c r="K115" s="64">
        <f t="shared" si="44"/>
        <v>0.42499999999999999</v>
      </c>
      <c r="L115" s="63">
        <f t="shared" si="45"/>
        <v>0</v>
      </c>
      <c r="M115" s="64">
        <f t="shared" si="46"/>
        <v>0</v>
      </c>
      <c r="N115" s="65"/>
      <c r="O115" s="63">
        <f t="shared" si="47"/>
        <v>4.8149999999999995</v>
      </c>
      <c r="P115" s="63">
        <f t="shared" si="48"/>
        <v>4.8149999999999995</v>
      </c>
      <c r="Q115" s="66"/>
      <c r="R115" s="63">
        <f t="shared" si="49"/>
        <v>0.27500000000000002</v>
      </c>
      <c r="S115" s="64">
        <f t="shared" si="50"/>
        <v>0.27500000000000002</v>
      </c>
      <c r="T115" s="38">
        <v>0</v>
      </c>
      <c r="U115" s="64">
        <f t="shared" si="51"/>
        <v>0</v>
      </c>
      <c r="V115" s="219">
        <f>IF($A116="","",IF(AND(MONTH(A115)&gt;3,MONTH(A115)&lt;11),(T115+R115+G115)*Summary!$T$11/(1-Summary!$T$11),(T115+R115+G115)*Summary!$U$11/(1-Summary!$U$11)))</f>
        <v>4.974318081376649E-2</v>
      </c>
      <c r="W115" s="43">
        <f t="shared" si="52"/>
        <v>4.7147431808137661</v>
      </c>
      <c r="X115" s="43">
        <f t="shared" si="53"/>
        <v>4.7147431808137661</v>
      </c>
      <c r="Y115" s="43"/>
      <c r="Z115" s="38">
        <f t="shared" si="54"/>
        <v>0.75</v>
      </c>
      <c r="AA115" s="38">
        <f t="shared" si="55"/>
        <v>0.183</v>
      </c>
      <c r="AB115" s="38">
        <f t="shared" ca="1" si="56"/>
        <v>0.19029938643021441</v>
      </c>
      <c r="AC115" s="38">
        <f t="shared" si="57"/>
        <v>0.75</v>
      </c>
      <c r="AD115" s="38">
        <f t="shared" si="57"/>
        <v>0.183</v>
      </c>
      <c r="AE115" s="38">
        <f t="shared" ca="1" si="58"/>
        <v>0.19029938643021441</v>
      </c>
      <c r="AF115" s="238">
        <f ca="1">((Summary!$N$11*(AA115*AD115)*(A115-$D$3))+(Summary!$M$11*Z115*AC115*(AJ115-EOMONTH(EDATE(A115,-1),0))))/(AK115*AB115*AE115)</f>
        <v>0.99990749555702041</v>
      </c>
      <c r="AG115" s="88">
        <f>IF($A116="","",Summary!$Q$11)</f>
        <v>0</v>
      </c>
      <c r="AH115" s="88">
        <f>IF($A116="","",IF(Summary!$R$11="Y",(VLOOKUP($A115,Summary!$AD$6:$AF$9,3)+'Escalating commodity'!G128),'Escalating commodity'!G128))</f>
        <v>5.8078086289808087E-3</v>
      </c>
      <c r="AI115" s="88">
        <f t="shared" si="73"/>
        <v>5.8078086289808087E-3</v>
      </c>
      <c r="AJ115" s="236">
        <f t="shared" si="59"/>
        <v>40252.5</v>
      </c>
      <c r="AK115" s="58">
        <f t="shared" ca="1" si="60"/>
        <v>3212</v>
      </c>
      <c r="AL115" s="26">
        <f ca="1">IF($A116="","",_xll.SPRDOPT(P115,X115,AI115,0,AB115,AE115,AF115,AK115,$AJ$2,0))</f>
        <v>9.5822149318580283E-2</v>
      </c>
      <c r="AM115" s="209">
        <f t="shared" si="61"/>
        <v>9.4449010557252605E-2</v>
      </c>
      <c r="AN115" s="89">
        <f t="shared" ca="1" si="62"/>
        <v>1.3731387613276774E-3</v>
      </c>
      <c r="AO115" s="3">
        <f t="shared" si="63"/>
        <v>31</v>
      </c>
      <c r="AP115" s="33">
        <f t="shared" si="64"/>
        <v>40238</v>
      </c>
      <c r="AQ115" s="58">
        <f t="shared" ca="1" si="65"/>
        <v>3212</v>
      </c>
      <c r="AR115" s="38">
        <f>'ANR OK vs ML7'!AR115</f>
        <v>0.1</v>
      </c>
      <c r="AS115" s="35">
        <f t="shared" ca="1" si="66"/>
        <v>0.42395874138093387</v>
      </c>
      <c r="AT115" s="3">
        <f t="shared" si="67"/>
        <v>1</v>
      </c>
      <c r="AU115" s="3">
        <f t="shared" si="68"/>
        <v>31</v>
      </c>
      <c r="AW115" s="32">
        <f t="shared" ca="1" si="69"/>
        <v>368762.15108192299</v>
      </c>
      <c r="AX115" s="32">
        <f t="shared" si="70"/>
        <v>363477.76112655207</v>
      </c>
      <c r="AY115" s="32">
        <f t="shared" ca="1" si="71"/>
        <v>5284.3899553709562</v>
      </c>
      <c r="BA115" s="32">
        <f ca="1">IF($A116="","",F115*Summary!$Q$11)</f>
        <v>0</v>
      </c>
      <c r="BC115" s="256">
        <f t="shared" ca="1" si="74"/>
        <v>154099.57412717273</v>
      </c>
    </row>
    <row r="116" spans="1:55">
      <c r="A116" s="67">
        <f t="shared" si="72"/>
        <v>40269</v>
      </c>
      <c r="B116" s="69">
        <f t="shared" si="75"/>
        <v>124142</v>
      </c>
      <c r="C116" s="71"/>
      <c r="D116" s="69">
        <f t="shared" si="38"/>
        <v>124142</v>
      </c>
      <c r="E116" s="70">
        <f t="shared" si="39"/>
        <v>3724260</v>
      </c>
      <c r="F116" s="70">
        <f t="shared" ca="1" si="40"/>
        <v>1565909.9082934214</v>
      </c>
      <c r="G116" s="63">
        <f t="shared" si="41"/>
        <v>4.2149999999999999</v>
      </c>
      <c r="H116" s="64">
        <f t="shared" si="42"/>
        <v>4.2149999999999999</v>
      </c>
      <c r="I116" s="43"/>
      <c r="J116" s="63">
        <f t="shared" si="43"/>
        <v>0.23499999999999999</v>
      </c>
      <c r="K116" s="64">
        <f t="shared" si="44"/>
        <v>0.23499999999999999</v>
      </c>
      <c r="L116" s="63">
        <f t="shared" si="45"/>
        <v>0</v>
      </c>
      <c r="M116" s="64">
        <f t="shared" si="46"/>
        <v>0</v>
      </c>
      <c r="N116" s="65"/>
      <c r="O116" s="63">
        <f t="shared" si="47"/>
        <v>4.45</v>
      </c>
      <c r="P116" s="63">
        <f t="shared" si="48"/>
        <v>4.45</v>
      </c>
      <c r="Q116" s="66"/>
      <c r="R116" s="63">
        <f t="shared" si="49"/>
        <v>0.18</v>
      </c>
      <c r="S116" s="64">
        <f t="shared" si="50"/>
        <v>0.18</v>
      </c>
      <c r="T116" s="38">
        <v>0</v>
      </c>
      <c r="U116" s="64">
        <f t="shared" si="51"/>
        <v>0</v>
      </c>
      <c r="V116" s="219">
        <f>IF($A117="","",IF(AND(MONTH(A116)&gt;3,MONTH(A116)&lt;11),(T116+R116+G116)*Summary!$T$11/(1-Summary!$T$11),(T116+R116+G116)*Summary!$U$11/(1-Summary!$U$11)))</f>
        <v>4.6864154271490613E-2</v>
      </c>
      <c r="W116" s="43">
        <f t="shared" si="52"/>
        <v>4.4418641542714905</v>
      </c>
      <c r="X116" s="43">
        <f t="shared" si="53"/>
        <v>4.4418641542714905</v>
      </c>
      <c r="Y116" s="43"/>
      <c r="Z116" s="38">
        <f t="shared" si="54"/>
        <v>0.45</v>
      </c>
      <c r="AA116" s="38">
        <f t="shared" si="55"/>
        <v>0.183</v>
      </c>
      <c r="AB116" s="38">
        <f t="shared" ca="1" si="56"/>
        <v>0.18556928435747999</v>
      </c>
      <c r="AC116" s="38">
        <f t="shared" si="57"/>
        <v>0.45</v>
      </c>
      <c r="AD116" s="38">
        <f t="shared" si="57"/>
        <v>0.183</v>
      </c>
      <c r="AE116" s="38">
        <f t="shared" ca="1" si="58"/>
        <v>0.18556928435747999</v>
      </c>
      <c r="AF116" s="238">
        <f ca="1">((Summary!$N$11*(AA116*AD116)*(A116-$D$3))+(Summary!$M$11*Z116*AC116*(AJ116-EOMONTH(EDATE(A116,-1),0))))/(AK116*AB116*AE116)</f>
        <v>0.99990271992639845</v>
      </c>
      <c r="AG116" s="88">
        <f>IF($A117="","",Summary!$Q$11)</f>
        <v>0</v>
      </c>
      <c r="AH116" s="88">
        <f>IF($A117="","",IF(Summary!$R$11="Y",(VLOOKUP($A116,Summary!$AD$6:$AF$9,3)+'Escalating commodity'!G129),'Escalating commodity'!G129))</f>
        <v>5.8078086289808087E-3</v>
      </c>
      <c r="AI116" s="88">
        <f t="shared" si="73"/>
        <v>5.8078086289808087E-3</v>
      </c>
      <c r="AJ116" s="236">
        <f t="shared" si="59"/>
        <v>40283</v>
      </c>
      <c r="AK116" s="58">
        <f t="shared" ca="1" si="60"/>
        <v>3243</v>
      </c>
      <c r="AL116" s="26">
        <f ca="1">IF($A117="","",_xll.SPRDOPT(P116,X116,AI116,0,AB116,AE116,AF116,AK116,$AJ$2,0))</f>
        <v>7.0448861885466993E-3</v>
      </c>
      <c r="AM116" s="209">
        <f t="shared" si="61"/>
        <v>2.3280370995288633E-3</v>
      </c>
      <c r="AN116" s="89">
        <f t="shared" ca="1" si="62"/>
        <v>4.716849089017836E-3</v>
      </c>
      <c r="AO116" s="3">
        <f t="shared" si="63"/>
        <v>30</v>
      </c>
      <c r="AP116" s="33">
        <f t="shared" si="64"/>
        <v>40269</v>
      </c>
      <c r="AQ116" s="58">
        <f t="shared" ca="1" si="65"/>
        <v>3243</v>
      </c>
      <c r="AR116" s="38">
        <f>'ANR OK vs ML7'!AR116</f>
        <v>0.1</v>
      </c>
      <c r="AS116" s="35">
        <f t="shared" ca="1" si="66"/>
        <v>0.42046202689753703</v>
      </c>
      <c r="AT116" s="3">
        <f t="shared" si="67"/>
        <v>1</v>
      </c>
      <c r="AU116" s="3">
        <f t="shared" si="68"/>
        <v>30</v>
      </c>
      <c r="AW116" s="32">
        <f t="shared" ca="1" si="69"/>
        <v>26236.987836556931</v>
      </c>
      <c r="AX116" s="32">
        <f t="shared" si="70"/>
        <v>8670.2154482913647</v>
      </c>
      <c r="AY116" s="32">
        <f t="shared" ca="1" si="71"/>
        <v>17566.772388265566</v>
      </c>
      <c r="BA116" s="32">
        <f ca="1">IF($A117="","",F116*Summary!$Q$11)</f>
        <v>0</v>
      </c>
      <c r="BC116" s="256">
        <f t="shared" ca="1" si="74"/>
        <v>3645.4963610269251</v>
      </c>
    </row>
    <row r="117" spans="1:55">
      <c r="A117" s="67">
        <f t="shared" si="72"/>
        <v>40299</v>
      </c>
      <c r="B117" s="69">
        <f t="shared" si="75"/>
        <v>124142</v>
      </c>
      <c r="C117" s="71"/>
      <c r="D117" s="69">
        <f t="shared" si="38"/>
        <v>124142</v>
      </c>
      <c r="E117" s="70">
        <f t="shared" si="39"/>
        <v>3848402</v>
      </c>
      <c r="F117" s="70">
        <f t="shared" ca="1" si="40"/>
        <v>1605189.9163870099</v>
      </c>
      <c r="G117" s="63">
        <f t="shared" si="41"/>
        <v>4.1849999999999996</v>
      </c>
      <c r="H117" s="64">
        <f t="shared" si="42"/>
        <v>4.1849999999999996</v>
      </c>
      <c r="I117" s="43"/>
      <c r="J117" s="63">
        <f t="shared" si="43"/>
        <v>0.23499999999999999</v>
      </c>
      <c r="K117" s="64">
        <f t="shared" si="44"/>
        <v>0.23499999999999999</v>
      </c>
      <c r="L117" s="63">
        <f t="shared" si="45"/>
        <v>0</v>
      </c>
      <c r="M117" s="64">
        <f t="shared" si="46"/>
        <v>0</v>
      </c>
      <c r="N117" s="65"/>
      <c r="O117" s="63">
        <f t="shared" si="47"/>
        <v>4.42</v>
      </c>
      <c r="P117" s="63">
        <f t="shared" si="48"/>
        <v>4.42</v>
      </c>
      <c r="Q117" s="66"/>
      <c r="R117" s="63">
        <f t="shared" si="49"/>
        <v>0.18</v>
      </c>
      <c r="S117" s="64">
        <f t="shared" si="50"/>
        <v>0.18</v>
      </c>
      <c r="T117" s="38">
        <v>0</v>
      </c>
      <c r="U117" s="64">
        <f t="shared" si="51"/>
        <v>0</v>
      </c>
      <c r="V117" s="219">
        <f>IF($A118="","",IF(AND(MONTH(A117)&gt;3,MONTH(A117)&lt;11),(T117+R117+G117)*Summary!$T$11/(1-Summary!$T$11),(T117+R117+G117)*Summary!$U$11/(1-Summary!$U$11)))</f>
        <v>4.6544262433459958E-2</v>
      </c>
      <c r="W117" s="43">
        <f t="shared" si="52"/>
        <v>4.4115442624334591</v>
      </c>
      <c r="X117" s="43">
        <f t="shared" si="53"/>
        <v>4.4115442624334591</v>
      </c>
      <c r="Y117" s="43"/>
      <c r="Z117" s="38">
        <f t="shared" si="54"/>
        <v>0.5</v>
      </c>
      <c r="AA117" s="38">
        <f t="shared" si="55"/>
        <v>0.183</v>
      </c>
      <c r="AB117" s="38">
        <f t="shared" ca="1" si="56"/>
        <v>0.18623415641165267</v>
      </c>
      <c r="AC117" s="38">
        <f t="shared" si="57"/>
        <v>0.5</v>
      </c>
      <c r="AD117" s="38">
        <f t="shared" si="57"/>
        <v>0.183</v>
      </c>
      <c r="AE117" s="38">
        <f t="shared" ca="1" si="58"/>
        <v>0.18623415641165267</v>
      </c>
      <c r="AF117" s="238">
        <f ca="1">((Summary!$N$11*(AA117*AD117)*(A117-$D$3))+(Summary!$M$11*Z117*AC117*(AJ117-EOMONTH(EDATE(A117,-1),0))))/(AK117*AB117*AE117)</f>
        <v>0.99990341355598056</v>
      </c>
      <c r="AG117" s="88">
        <f>IF($A118="","",Summary!$Q$11)</f>
        <v>0</v>
      </c>
      <c r="AH117" s="88">
        <f>IF($A118="","",IF(Summary!$R$11="Y",(VLOOKUP($A117,Summary!$AD$6:$AF$9,3)+'Escalating commodity'!G130),'Escalating commodity'!G130))</f>
        <v>5.8078086289808087E-3</v>
      </c>
      <c r="AI117" s="88">
        <f t="shared" si="73"/>
        <v>5.8078086289808087E-3</v>
      </c>
      <c r="AJ117" s="236">
        <f t="shared" si="59"/>
        <v>40313.5</v>
      </c>
      <c r="AK117" s="58">
        <f t="shared" ca="1" si="60"/>
        <v>3273</v>
      </c>
      <c r="AL117" s="26">
        <f ca="1">IF($A118="","",_xll.SPRDOPT(P117,X117,AI117,0,AB117,AE117,AF117,AK117,$AJ$2,0))</f>
        <v>7.2830380088695565E-3</v>
      </c>
      <c r="AM117" s="209">
        <f t="shared" si="61"/>
        <v>2.6479289375600243E-3</v>
      </c>
      <c r="AN117" s="89">
        <f t="shared" ca="1" si="62"/>
        <v>4.6351090713095322E-3</v>
      </c>
      <c r="AO117" s="3">
        <f t="shared" si="63"/>
        <v>31</v>
      </c>
      <c r="AP117" s="33">
        <f t="shared" si="64"/>
        <v>40299</v>
      </c>
      <c r="AQ117" s="58">
        <f t="shared" ca="1" si="65"/>
        <v>3273</v>
      </c>
      <c r="AR117" s="38">
        <f>'ANR OK vs ML7'!AR117</f>
        <v>0.1</v>
      </c>
      <c r="AS117" s="35">
        <f t="shared" ca="1" si="66"/>
        <v>0.41710557171184559</v>
      </c>
      <c r="AT117" s="3">
        <f t="shared" si="67"/>
        <v>1</v>
      </c>
      <c r="AU117" s="3">
        <f t="shared" si="68"/>
        <v>31</v>
      </c>
      <c r="AW117" s="32">
        <f t="shared" ca="1" si="69"/>
        <v>28028.058039409618</v>
      </c>
      <c r="AX117" s="32">
        <f t="shared" si="70"/>
        <v>10190.295019163872</v>
      </c>
      <c r="AY117" s="32">
        <f t="shared" ca="1" si="71"/>
        <v>17837.763020245748</v>
      </c>
      <c r="BA117" s="32">
        <f ca="1">IF($A118="","",F117*Summary!$Q$11)</f>
        <v>0</v>
      </c>
      <c r="BC117" s="256">
        <f t="shared" ca="1" si="74"/>
        <v>4250.4288298807196</v>
      </c>
    </row>
    <row r="118" spans="1:55">
      <c r="A118" s="67">
        <f t="shared" si="72"/>
        <v>40330</v>
      </c>
      <c r="B118" s="69">
        <f t="shared" si="75"/>
        <v>124142</v>
      </c>
      <c r="C118" s="71"/>
      <c r="D118" s="69">
        <f t="shared" si="38"/>
        <v>124142</v>
      </c>
      <c r="E118" s="70">
        <f t="shared" si="39"/>
        <v>3724260</v>
      </c>
      <c r="F118" s="70">
        <f t="shared" ca="1" si="40"/>
        <v>1540597.4303549167</v>
      </c>
      <c r="G118" s="63">
        <f t="shared" si="41"/>
        <v>4.2549999999999999</v>
      </c>
      <c r="H118" s="64">
        <f t="shared" si="42"/>
        <v>4.2549999999999999</v>
      </c>
      <c r="I118" s="43"/>
      <c r="J118" s="63">
        <f t="shared" si="43"/>
        <v>0.23499999999999999</v>
      </c>
      <c r="K118" s="64">
        <f t="shared" si="44"/>
        <v>0.23499999999999999</v>
      </c>
      <c r="L118" s="63">
        <f t="shared" si="45"/>
        <v>0</v>
      </c>
      <c r="M118" s="64">
        <f t="shared" si="46"/>
        <v>0</v>
      </c>
      <c r="N118" s="65"/>
      <c r="O118" s="63">
        <f t="shared" si="47"/>
        <v>4.49</v>
      </c>
      <c r="P118" s="63">
        <f t="shared" si="48"/>
        <v>4.49</v>
      </c>
      <c r="Q118" s="66"/>
      <c r="R118" s="63">
        <f t="shared" si="49"/>
        <v>0.18</v>
      </c>
      <c r="S118" s="64">
        <f t="shared" si="50"/>
        <v>0.18</v>
      </c>
      <c r="T118" s="38">
        <v>0</v>
      </c>
      <c r="U118" s="64">
        <f t="shared" si="51"/>
        <v>0</v>
      </c>
      <c r="V118" s="219">
        <f>IF($A119="","",IF(AND(MONTH(A118)&gt;3,MONTH(A118)&lt;11),(T118+R118+G118)*Summary!$T$11/(1-Summary!$T$11),(T118+R118+G118)*Summary!$U$11/(1-Summary!$U$11)))</f>
        <v>4.7290676722198152E-2</v>
      </c>
      <c r="W118" s="43">
        <f t="shared" si="52"/>
        <v>4.4822906767221982</v>
      </c>
      <c r="X118" s="43">
        <f t="shared" si="53"/>
        <v>4.4822906767221982</v>
      </c>
      <c r="Y118" s="43"/>
      <c r="Z118" s="38">
        <f t="shared" si="54"/>
        <v>0.5</v>
      </c>
      <c r="AA118" s="38">
        <f t="shared" si="55"/>
        <v>0.183</v>
      </c>
      <c r="AB118" s="38">
        <f t="shared" ca="1" si="56"/>
        <v>0.18610245508683179</v>
      </c>
      <c r="AC118" s="38">
        <f t="shared" si="57"/>
        <v>0.5</v>
      </c>
      <c r="AD118" s="38">
        <f t="shared" si="57"/>
        <v>0.183</v>
      </c>
      <c r="AE118" s="38">
        <f t="shared" ca="1" si="58"/>
        <v>0.18610245508683179</v>
      </c>
      <c r="AF118" s="238">
        <f ca="1">((Summary!$N$11*(AA118*AD118)*(A118-$D$3))+(Summary!$M$11*Z118*AC118*(AJ118-EOMONTH(EDATE(A118,-1),0))))/(AK118*AB118*AE118)</f>
        <v>0.99990327707985449</v>
      </c>
      <c r="AG118" s="88">
        <f>IF($A119="","",Summary!$Q$11)</f>
        <v>0</v>
      </c>
      <c r="AH118" s="88">
        <f>IF($A119="","",IF(Summary!$R$11="Y",(VLOOKUP($A118,Summary!$AD$6:$AF$9,3)+'Escalating commodity'!G131),'Escalating commodity'!G131))</f>
        <v>5.8078086289808087E-3</v>
      </c>
      <c r="AI118" s="88">
        <f t="shared" si="73"/>
        <v>5.8078086289808087E-3</v>
      </c>
      <c r="AJ118" s="236">
        <f t="shared" si="59"/>
        <v>40344</v>
      </c>
      <c r="AK118" s="58">
        <f t="shared" ca="1" si="60"/>
        <v>3304</v>
      </c>
      <c r="AL118" s="26">
        <f ca="1">IF($A119="","",_xll.SPRDOPT(P118,X118,AI118,0,AB118,AE118,AF118,AK118,$AJ$2,0))</f>
        <v>6.7912737229590403E-3</v>
      </c>
      <c r="AM118" s="209">
        <f t="shared" si="61"/>
        <v>1.9015146488212406E-3</v>
      </c>
      <c r="AN118" s="89">
        <f t="shared" ca="1" si="62"/>
        <v>4.8897590741377997E-3</v>
      </c>
      <c r="AO118" s="3">
        <f t="shared" si="63"/>
        <v>30</v>
      </c>
      <c r="AP118" s="33">
        <f t="shared" si="64"/>
        <v>40330</v>
      </c>
      <c r="AQ118" s="58">
        <f t="shared" ca="1" si="65"/>
        <v>3304</v>
      </c>
      <c r="AR118" s="38">
        <f>'ANR OK vs ML7'!AR118</f>
        <v>0.1</v>
      </c>
      <c r="AS118" s="35">
        <f t="shared" ca="1" si="66"/>
        <v>0.41366538060041907</v>
      </c>
      <c r="AT118" s="3">
        <f t="shared" si="67"/>
        <v>1</v>
      </c>
      <c r="AU118" s="3">
        <f t="shared" si="68"/>
        <v>30</v>
      </c>
      <c r="AW118" s="32">
        <f t="shared" ca="1" si="69"/>
        <v>25292.469075467434</v>
      </c>
      <c r="AX118" s="32">
        <f t="shared" si="70"/>
        <v>7081.7349460189935</v>
      </c>
      <c r="AY118" s="32">
        <f t="shared" ca="1" si="71"/>
        <v>18210.734129448443</v>
      </c>
      <c r="BA118" s="32">
        <f ca="1">IF($A119="","",F118*Summary!$Q$11)</f>
        <v>0</v>
      </c>
      <c r="BC118" s="256">
        <f t="shared" ca="1" si="74"/>
        <v>2929.4685817562354</v>
      </c>
    </row>
    <row r="119" spans="1:55">
      <c r="A119" s="67">
        <f t="shared" si="72"/>
        <v>40360</v>
      </c>
      <c r="B119" s="69">
        <f t="shared" si="75"/>
        <v>124142</v>
      </c>
      <c r="C119" s="71"/>
      <c r="D119" s="69">
        <f t="shared" si="38"/>
        <v>124142</v>
      </c>
      <c r="E119" s="70">
        <f t="shared" si="39"/>
        <v>3848402</v>
      </c>
      <c r="F119" s="70">
        <f t="shared" ca="1" si="40"/>
        <v>1579242.4885493908</v>
      </c>
      <c r="G119" s="63">
        <f t="shared" si="41"/>
        <v>4.3099999999999996</v>
      </c>
      <c r="H119" s="64">
        <f t="shared" si="42"/>
        <v>4.3099999999999996</v>
      </c>
      <c r="I119" s="43"/>
      <c r="J119" s="63">
        <f t="shared" si="43"/>
        <v>0.23499999999999999</v>
      </c>
      <c r="K119" s="64">
        <f t="shared" si="44"/>
        <v>0.23499999999999999</v>
      </c>
      <c r="L119" s="63">
        <f t="shared" si="45"/>
        <v>0</v>
      </c>
      <c r="M119" s="64">
        <f t="shared" si="46"/>
        <v>0</v>
      </c>
      <c r="N119" s="65"/>
      <c r="O119" s="63">
        <f t="shared" si="47"/>
        <v>4.5449999999999999</v>
      </c>
      <c r="P119" s="63">
        <f t="shared" si="48"/>
        <v>4.5449999999999999</v>
      </c>
      <c r="Q119" s="66"/>
      <c r="R119" s="63">
        <f t="shared" si="49"/>
        <v>0.18</v>
      </c>
      <c r="S119" s="64">
        <f t="shared" si="50"/>
        <v>0.18</v>
      </c>
      <c r="T119" s="38">
        <v>0</v>
      </c>
      <c r="U119" s="64">
        <f t="shared" si="51"/>
        <v>0</v>
      </c>
      <c r="V119" s="219">
        <f>IF($A120="","",IF(AND(MONTH(A119)&gt;3,MONTH(A119)&lt;11),(T119+R119+G119)*Summary!$T$11/(1-Summary!$T$11),(T119+R119+G119)*Summary!$U$11/(1-Summary!$U$11)))</f>
        <v>4.7877145091921015E-2</v>
      </c>
      <c r="W119" s="43">
        <f t="shared" si="52"/>
        <v>4.5378771450919206</v>
      </c>
      <c r="X119" s="43">
        <f t="shared" si="53"/>
        <v>4.5378771450919206</v>
      </c>
      <c r="Y119" s="43"/>
      <c r="Z119" s="38">
        <f t="shared" si="54"/>
        <v>0.55000000000000004</v>
      </c>
      <c r="AA119" s="38">
        <f t="shared" si="55"/>
        <v>0.183</v>
      </c>
      <c r="AB119" s="38">
        <f t="shared" ca="1" si="56"/>
        <v>0.18682983814775286</v>
      </c>
      <c r="AC119" s="38">
        <f t="shared" si="57"/>
        <v>0.55000000000000004</v>
      </c>
      <c r="AD119" s="38">
        <f t="shared" si="57"/>
        <v>0.183</v>
      </c>
      <c r="AE119" s="38">
        <f t="shared" ca="1" si="58"/>
        <v>0.18682983814775286</v>
      </c>
      <c r="AF119" s="238">
        <f ca="1">((Summary!$N$11*(AA119*AD119)*(A119-$D$3))+(Summary!$M$11*Z119*AC119*(AJ119-EOMONTH(EDATE(A119,-1),0))))/(AK119*AB119*AE119)</f>
        <v>0.99990402901613451</v>
      </c>
      <c r="AG119" s="88">
        <f>IF($A120="","",Summary!$Q$11)</f>
        <v>0</v>
      </c>
      <c r="AH119" s="88">
        <f>IF($A120="","",IF(Summary!$R$11="Y",(VLOOKUP($A119,Summary!$AD$6:$AF$9,3)+'Escalating commodity'!G132),'Escalating commodity'!G132))</f>
        <v>5.8078086289808087E-3</v>
      </c>
      <c r="AI119" s="88">
        <f t="shared" si="73"/>
        <v>5.8078086289808087E-3</v>
      </c>
      <c r="AJ119" s="236">
        <f t="shared" si="59"/>
        <v>40374.5</v>
      </c>
      <c r="AK119" s="58">
        <f t="shared" ca="1" si="60"/>
        <v>3334</v>
      </c>
      <c r="AL119" s="26">
        <f ca="1">IF($A120="","",_xll.SPRDOPT(P119,X119,AI119,0,AB119,AE119,AF119,AK119,$AJ$2,0))</f>
        <v>6.4312513685793951E-3</v>
      </c>
      <c r="AM119" s="209">
        <f t="shared" si="61"/>
        <v>1.3150462790984816E-3</v>
      </c>
      <c r="AN119" s="89">
        <f t="shared" ca="1" si="62"/>
        <v>5.1162050894809135E-3</v>
      </c>
      <c r="AO119" s="3">
        <f t="shared" si="63"/>
        <v>31</v>
      </c>
      <c r="AP119" s="33">
        <f t="shared" si="64"/>
        <v>40360</v>
      </c>
      <c r="AQ119" s="58">
        <f t="shared" ca="1" si="65"/>
        <v>3334</v>
      </c>
      <c r="AR119" s="38">
        <f>'ANR OK vs ML7'!AR119</f>
        <v>0.1</v>
      </c>
      <c r="AS119" s="35">
        <f t="shared" ca="1" si="66"/>
        <v>0.41036318153597018</v>
      </c>
      <c r="AT119" s="3">
        <f t="shared" si="67"/>
        <v>1</v>
      </c>
      <c r="AU119" s="3">
        <f t="shared" si="68"/>
        <v>31</v>
      </c>
      <c r="AW119" s="32">
        <f t="shared" ca="1" si="69"/>
        <v>24750.040629343683</v>
      </c>
      <c r="AX119" s="32">
        <f t="shared" si="70"/>
        <v>5060.8267305751551</v>
      </c>
      <c r="AY119" s="32">
        <f t="shared" ca="1" si="71"/>
        <v>19689.213898768525</v>
      </c>
      <c r="BA119" s="32">
        <f ca="1">IF($A120="","",F119*Summary!$Q$11)</f>
        <v>0</v>
      </c>
      <c r="BC119" s="256">
        <f t="shared" ca="1" si="74"/>
        <v>2076.776958361103</v>
      </c>
    </row>
    <row r="120" spans="1:55">
      <c r="A120" s="67">
        <f t="shared" si="72"/>
        <v>40391</v>
      </c>
      <c r="B120" s="69">
        <f t="shared" si="75"/>
        <v>124142</v>
      </c>
      <c r="C120" s="71"/>
      <c r="D120" s="69">
        <f t="shared" si="38"/>
        <v>124142</v>
      </c>
      <c r="E120" s="70">
        <f t="shared" si="39"/>
        <v>3848402</v>
      </c>
      <c r="F120" s="70">
        <f t="shared" ca="1" si="40"/>
        <v>1566217.2586307456</v>
      </c>
      <c r="G120" s="63">
        <f t="shared" si="41"/>
        <v>4.3660000000000005</v>
      </c>
      <c r="H120" s="64">
        <f t="shared" si="42"/>
        <v>4.3660000000000005</v>
      </c>
      <c r="I120" s="43"/>
      <c r="J120" s="63">
        <f t="shared" si="43"/>
        <v>0.23499999999999999</v>
      </c>
      <c r="K120" s="64">
        <f t="shared" si="44"/>
        <v>0.23499999999999999</v>
      </c>
      <c r="L120" s="63">
        <f t="shared" si="45"/>
        <v>0</v>
      </c>
      <c r="M120" s="64">
        <f t="shared" si="46"/>
        <v>0</v>
      </c>
      <c r="N120" s="65"/>
      <c r="O120" s="63">
        <f t="shared" si="47"/>
        <v>4.6010000000000009</v>
      </c>
      <c r="P120" s="63">
        <f t="shared" si="48"/>
        <v>4.6010000000000009</v>
      </c>
      <c r="Q120" s="66"/>
      <c r="R120" s="63">
        <f t="shared" si="49"/>
        <v>0.18</v>
      </c>
      <c r="S120" s="64">
        <f t="shared" si="50"/>
        <v>0.18</v>
      </c>
      <c r="T120" s="38">
        <v>0</v>
      </c>
      <c r="U120" s="64">
        <f t="shared" si="51"/>
        <v>0</v>
      </c>
      <c r="V120" s="219">
        <f>IF($A121="","",IF(AND(MONTH(A120)&gt;3,MONTH(A120)&lt;11),(T120+R120+G120)*Summary!$T$11/(1-Summary!$T$11),(T120+R120+G120)*Summary!$U$11/(1-Summary!$U$11)))</f>
        <v>4.8474276522911572E-2</v>
      </c>
      <c r="W120" s="43">
        <f t="shared" si="52"/>
        <v>4.5944742765229121</v>
      </c>
      <c r="X120" s="43">
        <f t="shared" si="53"/>
        <v>4.5944742765229121</v>
      </c>
      <c r="Y120" s="43"/>
      <c r="Z120" s="38">
        <f t="shared" si="54"/>
        <v>0.6</v>
      </c>
      <c r="AA120" s="38">
        <f t="shared" si="55"/>
        <v>0.183</v>
      </c>
      <c r="AB120" s="38">
        <f t="shared" ca="1" si="56"/>
        <v>0.18750253014637622</v>
      </c>
      <c r="AC120" s="38">
        <f t="shared" si="57"/>
        <v>0.6</v>
      </c>
      <c r="AD120" s="38">
        <f t="shared" si="57"/>
        <v>0.183</v>
      </c>
      <c r="AE120" s="38">
        <f t="shared" ca="1" si="58"/>
        <v>0.18750253014637622</v>
      </c>
      <c r="AF120" s="238">
        <f ca="1">((Summary!$N$11*(AA120*AD120)*(A120-$D$3))+(Summary!$M$11*Z120*AC120*(AJ120-EOMONTH(EDATE(A120,-1),0))))/(AK120*AB120*AE120)</f>
        <v>0.99990471666319491</v>
      </c>
      <c r="AG120" s="88">
        <f>IF($A121="","",Summary!$Q$11)</f>
        <v>0</v>
      </c>
      <c r="AH120" s="88">
        <f>IF($A121="","",IF(Summary!$R$11="Y",(VLOOKUP($A120,Summary!$AD$6:$AF$9,3)+'Escalating commodity'!G133),'Escalating commodity'!G133))</f>
        <v>5.8078086289808087E-3</v>
      </c>
      <c r="AI120" s="88">
        <f t="shared" si="73"/>
        <v>5.8078086289808087E-3</v>
      </c>
      <c r="AJ120" s="236">
        <f t="shared" si="59"/>
        <v>40405.5</v>
      </c>
      <c r="AK120" s="58">
        <f t="shared" ca="1" si="60"/>
        <v>3365</v>
      </c>
      <c r="AL120" s="26">
        <f ca="1">IF($A121="","",_xll.SPRDOPT(P120,X120,AI120,0,AB120,AE120,AF120,AK120,$AJ$2,0))</f>
        <v>6.0864656809538065E-3</v>
      </c>
      <c r="AM120" s="209">
        <f t="shared" si="61"/>
        <v>7.1791484810798754E-4</v>
      </c>
      <c r="AN120" s="89">
        <f t="shared" ca="1" si="62"/>
        <v>5.3685508328458189E-3</v>
      </c>
      <c r="AO120" s="3">
        <f t="shared" si="63"/>
        <v>31</v>
      </c>
      <c r="AP120" s="33">
        <f t="shared" si="64"/>
        <v>40391</v>
      </c>
      <c r="AQ120" s="58">
        <f t="shared" ca="1" si="65"/>
        <v>3365</v>
      </c>
      <c r="AR120" s="38">
        <f>'ANR OK vs ML7'!AR120</f>
        <v>0.1</v>
      </c>
      <c r="AS120" s="35">
        <f t="shared" ca="1" si="66"/>
        <v>0.40697860011265602</v>
      </c>
      <c r="AT120" s="3">
        <f t="shared" si="67"/>
        <v>1</v>
      </c>
      <c r="AU120" s="3">
        <f t="shared" si="68"/>
        <v>31</v>
      </c>
      <c r="AW120" s="32">
        <f t="shared" ca="1" si="69"/>
        <v>23423.166699513989</v>
      </c>
      <c r="AX120" s="32">
        <f t="shared" si="70"/>
        <v>2762.8249372884757</v>
      </c>
      <c r="AY120" s="32">
        <f t="shared" ca="1" si="71"/>
        <v>20660.341762225515</v>
      </c>
      <c r="BA120" s="32">
        <f ca="1">IF($A121="","",F120*Summary!$Q$11)</f>
        <v>0</v>
      </c>
      <c r="BC120" s="256">
        <f t="shared" ca="1" si="74"/>
        <v>1124.4106253340003</v>
      </c>
    </row>
    <row r="121" spans="1:55">
      <c r="A121" s="67">
        <f t="shared" si="72"/>
        <v>40422</v>
      </c>
      <c r="B121" s="69">
        <f t="shared" si="75"/>
        <v>124142</v>
      </c>
      <c r="C121" s="71"/>
      <c r="D121" s="69">
        <f t="shared" si="38"/>
        <v>124142</v>
      </c>
      <c r="E121" s="70">
        <f t="shared" si="39"/>
        <v>3724260</v>
      </c>
      <c r="F121" s="70">
        <f t="shared" ca="1" si="40"/>
        <v>1503193.0236984482</v>
      </c>
      <c r="G121" s="63">
        <f t="shared" si="41"/>
        <v>4.38</v>
      </c>
      <c r="H121" s="64">
        <f t="shared" si="42"/>
        <v>4.38</v>
      </c>
      <c r="I121" s="43"/>
      <c r="J121" s="63">
        <f t="shared" si="43"/>
        <v>0.23499999999999999</v>
      </c>
      <c r="K121" s="64">
        <f t="shared" si="44"/>
        <v>0.23499999999999999</v>
      </c>
      <c r="L121" s="63">
        <f t="shared" si="45"/>
        <v>0</v>
      </c>
      <c r="M121" s="64">
        <f t="shared" si="46"/>
        <v>0</v>
      </c>
      <c r="N121" s="65"/>
      <c r="O121" s="63">
        <f t="shared" si="47"/>
        <v>4.6150000000000002</v>
      </c>
      <c r="P121" s="63">
        <f t="shared" si="48"/>
        <v>4.6150000000000002</v>
      </c>
      <c r="Q121" s="66"/>
      <c r="R121" s="63">
        <f t="shared" si="49"/>
        <v>0.18</v>
      </c>
      <c r="S121" s="64">
        <f t="shared" si="50"/>
        <v>0.18</v>
      </c>
      <c r="T121" s="38">
        <v>0</v>
      </c>
      <c r="U121" s="64">
        <f t="shared" si="51"/>
        <v>0</v>
      </c>
      <c r="V121" s="219">
        <f>IF($A122="","",IF(AND(MONTH(A121)&gt;3,MONTH(A121)&lt;11),(T121+R121+G121)*Summary!$T$11/(1-Summary!$T$11),(T121+R121+G121)*Summary!$U$11/(1-Summary!$U$11)))</f>
        <v>4.8623559380659209E-2</v>
      </c>
      <c r="W121" s="43">
        <f t="shared" si="52"/>
        <v>4.6086235593806588</v>
      </c>
      <c r="X121" s="43">
        <f t="shared" si="53"/>
        <v>4.6086235593806588</v>
      </c>
      <c r="Y121" s="43"/>
      <c r="Z121" s="38">
        <f t="shared" si="54"/>
        <v>0.6</v>
      </c>
      <c r="AA121" s="38">
        <f t="shared" si="55"/>
        <v>0.183</v>
      </c>
      <c r="AB121" s="38">
        <f t="shared" ca="1" si="56"/>
        <v>0.18732049357848604</v>
      </c>
      <c r="AC121" s="38">
        <f t="shared" si="57"/>
        <v>0.6</v>
      </c>
      <c r="AD121" s="38">
        <f t="shared" si="57"/>
        <v>0.183</v>
      </c>
      <c r="AE121" s="38">
        <f t="shared" ca="1" si="58"/>
        <v>0.18732049357848604</v>
      </c>
      <c r="AF121" s="238">
        <f ca="1">((Summary!$N$11*(AA121*AD121)*(A121-$D$3))+(Summary!$M$11*Z121*AC121*(AJ121-EOMONTH(EDATE(A121,-1),0))))/(AK121*AB121*AE121)</f>
        <v>0.99990453164093673</v>
      </c>
      <c r="AG121" s="88">
        <f>IF($A122="","",Summary!$Q$11)</f>
        <v>0</v>
      </c>
      <c r="AH121" s="88">
        <f>IF($A122="","",IF(Summary!$R$11="Y",(VLOOKUP($A121,Summary!$AD$6:$AF$9,3)+'Escalating commodity'!G134),'Escalating commodity'!G134))</f>
        <v>5.8078086289808087E-3</v>
      </c>
      <c r="AI121" s="88">
        <f t="shared" si="73"/>
        <v>5.8078086289808087E-3</v>
      </c>
      <c r="AJ121" s="236">
        <f t="shared" si="59"/>
        <v>40436</v>
      </c>
      <c r="AK121" s="58">
        <f t="shared" ca="1" si="60"/>
        <v>3396</v>
      </c>
      <c r="AL121" s="26">
        <f ca="1">IF($A122="","",_xll.SPRDOPT(P121,X121,AI121,0,AB121,AE121,AF121,AK121,$AJ$2,0))</f>
        <v>6.0307681307985306E-3</v>
      </c>
      <c r="AM121" s="209">
        <f t="shared" si="61"/>
        <v>5.6863199036058607E-4</v>
      </c>
      <c r="AN121" s="89">
        <f t="shared" ca="1" si="62"/>
        <v>5.4621361404379445E-3</v>
      </c>
      <c r="AO121" s="3">
        <f t="shared" si="63"/>
        <v>30</v>
      </c>
      <c r="AP121" s="33">
        <f t="shared" si="64"/>
        <v>40422</v>
      </c>
      <c r="AQ121" s="58">
        <f t="shared" ca="1" si="65"/>
        <v>3396</v>
      </c>
      <c r="AR121" s="38">
        <f>'ANR OK vs ML7'!AR121</f>
        <v>0.1</v>
      </c>
      <c r="AS121" s="35">
        <f t="shared" ca="1" si="66"/>
        <v>0.40362193394082263</v>
      </c>
      <c r="AT121" s="3">
        <f t="shared" si="67"/>
        <v>1</v>
      </c>
      <c r="AU121" s="3">
        <f t="shared" si="68"/>
        <v>30</v>
      </c>
      <c r="AW121" s="32">
        <f t="shared" ca="1" si="69"/>
        <v>22460.148518807735</v>
      </c>
      <c r="AX121" s="32">
        <f t="shared" si="70"/>
        <v>2117.7333764203163</v>
      </c>
      <c r="AY121" s="32">
        <f t="shared" ca="1" si="71"/>
        <v>20342.415142387421</v>
      </c>
      <c r="BA121" s="32">
        <f ca="1">IF($A122="","",F121*Summary!$Q$11)</f>
        <v>0</v>
      </c>
      <c r="BC121" s="256">
        <f t="shared" ca="1" si="74"/>
        <v>854.76364096179623</v>
      </c>
    </row>
    <row r="122" spans="1:55">
      <c r="A122" s="67">
        <f t="shared" si="72"/>
        <v>40452</v>
      </c>
      <c r="B122" s="69">
        <f t="shared" si="75"/>
        <v>124142</v>
      </c>
      <c r="C122" s="71"/>
      <c r="D122" s="69">
        <f t="shared" si="38"/>
        <v>124142</v>
      </c>
      <c r="E122" s="70">
        <f t="shared" si="39"/>
        <v>3848402</v>
      </c>
      <c r="F122" s="70">
        <f t="shared" ca="1" si="40"/>
        <v>1540899.8124634866</v>
      </c>
      <c r="G122" s="63">
        <f t="shared" si="41"/>
        <v>4.4110000000000005</v>
      </c>
      <c r="H122" s="64">
        <f t="shared" si="42"/>
        <v>4.4110000000000005</v>
      </c>
      <c r="I122" s="43"/>
      <c r="J122" s="63">
        <f t="shared" si="43"/>
        <v>0.23499999999999999</v>
      </c>
      <c r="K122" s="64">
        <f t="shared" si="44"/>
        <v>0.23499999999999999</v>
      </c>
      <c r="L122" s="63">
        <f t="shared" si="45"/>
        <v>0</v>
      </c>
      <c r="M122" s="64">
        <f t="shared" si="46"/>
        <v>0</v>
      </c>
      <c r="N122" s="65"/>
      <c r="O122" s="63">
        <f t="shared" si="47"/>
        <v>4.6460000000000008</v>
      </c>
      <c r="P122" s="63">
        <f t="shared" si="48"/>
        <v>4.6460000000000008</v>
      </c>
      <c r="Q122" s="66"/>
      <c r="R122" s="63">
        <f t="shared" si="49"/>
        <v>0.18</v>
      </c>
      <c r="S122" s="64">
        <f t="shared" si="50"/>
        <v>0.18</v>
      </c>
      <c r="T122" s="38">
        <v>0</v>
      </c>
      <c r="U122" s="64">
        <f t="shared" si="51"/>
        <v>0</v>
      </c>
      <c r="V122" s="219">
        <f>IF($A123="","",IF(AND(MONTH(A122)&gt;3,MONTH(A122)&lt;11),(T122+R122+G122)*Summary!$T$11/(1-Summary!$T$11),(T122+R122+G122)*Summary!$U$11/(1-Summary!$U$11)))</f>
        <v>4.895411427995755E-2</v>
      </c>
      <c r="W122" s="43">
        <f t="shared" si="52"/>
        <v>4.6399541142799574</v>
      </c>
      <c r="X122" s="43">
        <f t="shared" si="53"/>
        <v>4.6399541142799574</v>
      </c>
      <c r="Y122" s="43"/>
      <c r="Z122" s="38">
        <f t="shared" si="54"/>
        <v>0.65</v>
      </c>
      <c r="AA122" s="38">
        <f t="shared" si="55"/>
        <v>0.183</v>
      </c>
      <c r="AB122" s="38">
        <f t="shared" ca="1" si="56"/>
        <v>0.18817614262659255</v>
      </c>
      <c r="AC122" s="38">
        <f t="shared" si="57"/>
        <v>0.65</v>
      </c>
      <c r="AD122" s="38">
        <f t="shared" si="57"/>
        <v>0.183</v>
      </c>
      <c r="AE122" s="38">
        <f t="shared" ca="1" si="58"/>
        <v>0.18817614262659255</v>
      </c>
      <c r="AF122" s="238">
        <f ca="1">((Summary!$N$11*(AA122*AD122)*(A122-$D$3))+(Summary!$M$11*Z122*AC122*(AJ122-EOMONTH(EDATE(A122,-1),0))))/(AK122*AB122*AE122)</f>
        <v>0.99990539811247459</v>
      </c>
      <c r="AG122" s="88">
        <f>IF($A123="","",Summary!$Q$11)</f>
        <v>0</v>
      </c>
      <c r="AH122" s="88">
        <f>IF($A123="","",IF(Summary!$R$11="Y",(VLOOKUP($A122,Summary!$AD$6:$AF$9,3)+'Escalating commodity'!G135),'Escalating commodity'!G135))</f>
        <v>5.8078086289808087E-3</v>
      </c>
      <c r="AI122" s="88">
        <f t="shared" si="73"/>
        <v>5.8078086289808087E-3</v>
      </c>
      <c r="AJ122" s="236">
        <f t="shared" si="59"/>
        <v>40466.5</v>
      </c>
      <c r="AK122" s="58">
        <f t="shared" ca="1" si="60"/>
        <v>3426</v>
      </c>
      <c r="AL122" s="26">
        <f ca="1">IF($A123="","",_xll.SPRDOPT(P122,X122,AI122,0,AB122,AE122,AF122,AK122,$AJ$2,0))</f>
        <v>5.8539975493652197E-3</v>
      </c>
      <c r="AM122" s="209">
        <f t="shared" si="61"/>
        <v>2.3807709106257822E-4</v>
      </c>
      <c r="AN122" s="89">
        <f t="shared" ca="1" si="62"/>
        <v>5.6159204583026414E-3</v>
      </c>
      <c r="AO122" s="3">
        <f t="shared" si="63"/>
        <v>31</v>
      </c>
      <c r="AP122" s="33">
        <f t="shared" si="64"/>
        <v>40452</v>
      </c>
      <c r="AQ122" s="58">
        <f t="shared" ca="1" si="65"/>
        <v>3426</v>
      </c>
      <c r="AR122" s="38">
        <f>'ANR OK vs ML7'!AR122</f>
        <v>0.1</v>
      </c>
      <c r="AS122" s="35">
        <f t="shared" ca="1" si="66"/>
        <v>0.4003999094854141</v>
      </c>
      <c r="AT122" s="3">
        <f t="shared" si="67"/>
        <v>1</v>
      </c>
      <c r="AU122" s="3">
        <f t="shared" si="68"/>
        <v>31</v>
      </c>
      <c r="AW122" s="32">
        <f t="shared" ca="1" si="69"/>
        <v>22528.535876972212</v>
      </c>
      <c r="AX122" s="32">
        <f t="shared" si="70"/>
        <v>916.21635339940815</v>
      </c>
      <c r="AY122" s="32">
        <f t="shared" ca="1" si="71"/>
        <v>21612.319523572802</v>
      </c>
      <c r="BA122" s="32">
        <f ca="1">IF($A123="","",F122*Summary!$Q$11)</f>
        <v>0</v>
      </c>
      <c r="BC122" s="256">
        <f t="shared" ca="1" si="74"/>
        <v>366.85294497017918</v>
      </c>
    </row>
    <row r="123" spans="1:55">
      <c r="A123" s="67">
        <f t="shared" si="72"/>
        <v>40483</v>
      </c>
      <c r="B123" s="69">
        <f t="shared" si="75"/>
        <v>124142</v>
      </c>
      <c r="C123" s="71"/>
      <c r="D123" s="69">
        <f t="shared" si="38"/>
        <v>124142</v>
      </c>
      <c r="E123" s="70">
        <f t="shared" si="39"/>
        <v>3724260</v>
      </c>
      <c r="F123" s="70">
        <f t="shared" ca="1" si="40"/>
        <v>1478894.345946834</v>
      </c>
      <c r="G123" s="63">
        <f t="shared" si="41"/>
        <v>4.5440000000000005</v>
      </c>
      <c r="H123" s="64">
        <f t="shared" si="42"/>
        <v>4.5440000000000005</v>
      </c>
      <c r="I123" s="43"/>
      <c r="J123" s="63">
        <f t="shared" si="43"/>
        <v>0.42499999999999999</v>
      </c>
      <c r="K123" s="64">
        <f t="shared" si="44"/>
        <v>0.42499999999999999</v>
      </c>
      <c r="L123" s="63">
        <f t="shared" si="45"/>
        <v>0</v>
      </c>
      <c r="M123" s="64">
        <f t="shared" si="46"/>
        <v>0</v>
      </c>
      <c r="N123" s="65"/>
      <c r="O123" s="63">
        <f t="shared" si="47"/>
        <v>4.9690000000000003</v>
      </c>
      <c r="P123" s="63">
        <f t="shared" si="48"/>
        <v>4.9690000000000003</v>
      </c>
      <c r="Q123" s="66"/>
      <c r="R123" s="63">
        <f t="shared" si="49"/>
        <v>0.27500000000000002</v>
      </c>
      <c r="S123" s="64">
        <f t="shared" si="50"/>
        <v>0.27500000000000002</v>
      </c>
      <c r="T123" s="38">
        <v>0</v>
      </c>
      <c r="U123" s="64">
        <f t="shared" si="51"/>
        <v>0</v>
      </c>
      <c r="V123" s="219">
        <f>IF($A124="","",IF(AND(MONTH(A123)&gt;3,MONTH(A123)&lt;11),(T123+R123+G123)*Summary!$T$11/(1-Summary!$T$11),(T123+R123+G123)*Summary!$U$11/(1-Summary!$U$11)))</f>
        <v>5.1385292248990515E-2</v>
      </c>
      <c r="W123" s="43">
        <f t="shared" si="52"/>
        <v>4.870385292248991</v>
      </c>
      <c r="X123" s="43">
        <f t="shared" si="53"/>
        <v>4.870385292248991</v>
      </c>
      <c r="Y123" s="43"/>
      <c r="Z123" s="38">
        <f t="shared" si="54"/>
        <v>0.8</v>
      </c>
      <c r="AA123" s="38">
        <f t="shared" si="55"/>
        <v>0.183</v>
      </c>
      <c r="AB123" s="38">
        <f t="shared" ca="1" si="56"/>
        <v>0.19046170627258027</v>
      </c>
      <c r="AC123" s="38">
        <f t="shared" si="57"/>
        <v>0.8</v>
      </c>
      <c r="AD123" s="38">
        <f t="shared" si="57"/>
        <v>0.183</v>
      </c>
      <c r="AE123" s="38">
        <f t="shared" ca="1" si="58"/>
        <v>0.19046170627258027</v>
      </c>
      <c r="AF123" s="238">
        <f ca="1">((Summary!$N$11*(AA123*AD123)*(A123-$D$3))+(Summary!$M$11*Z123*AC123*(AJ123-EOMONTH(EDATE(A123,-1),0))))/(AK123*AB123*AE123)</f>
        <v>0.9999076551994811</v>
      </c>
      <c r="AG123" s="88">
        <f>IF($A124="","",Summary!$Q$11)</f>
        <v>0</v>
      </c>
      <c r="AH123" s="88">
        <f>IF($A124="","",IF(Summary!$R$11="Y",(VLOOKUP($A123,Summary!$AD$6:$AF$9,3)+'Escalating commodity'!G136),'Escalating commodity'!G136))</f>
        <v>5.8078086289808087E-3</v>
      </c>
      <c r="AI123" s="88">
        <f t="shared" si="73"/>
        <v>5.8078086289808087E-3</v>
      </c>
      <c r="AJ123" s="236">
        <f t="shared" si="59"/>
        <v>40497</v>
      </c>
      <c r="AK123" s="58">
        <f t="shared" ca="1" si="60"/>
        <v>3457</v>
      </c>
      <c r="AL123" s="26">
        <f ca="1">IF($A124="","",_xll.SPRDOPT(P123,X123,AI123,0,AB123,AE123,AF123,AK123,$AJ$2,0))</f>
        <v>9.4452646203193394E-2</v>
      </c>
      <c r="AM123" s="209">
        <f t="shared" si="61"/>
        <v>9.2806899122028524E-2</v>
      </c>
      <c r="AN123" s="89">
        <f t="shared" ca="1" si="62"/>
        <v>1.6457470811648695E-3</v>
      </c>
      <c r="AO123" s="3">
        <f t="shared" si="63"/>
        <v>30</v>
      </c>
      <c r="AP123" s="33">
        <f t="shared" si="64"/>
        <v>40483</v>
      </c>
      <c r="AQ123" s="58">
        <f t="shared" ca="1" si="65"/>
        <v>3457</v>
      </c>
      <c r="AR123" s="38">
        <f>'ANR OK vs ML7'!AR123</f>
        <v>0.1</v>
      </c>
      <c r="AS123" s="35">
        <f t="shared" ca="1" si="66"/>
        <v>0.39709750284535289</v>
      </c>
      <c r="AT123" s="3">
        <f t="shared" si="67"/>
        <v>1</v>
      </c>
      <c r="AU123" s="3">
        <f t="shared" si="68"/>
        <v>30</v>
      </c>
      <c r="AW123" s="32">
        <f t="shared" ca="1" si="69"/>
        <v>351766.21214870503</v>
      </c>
      <c r="AX123" s="32">
        <f t="shared" si="70"/>
        <v>345637.02212420595</v>
      </c>
      <c r="AY123" s="32">
        <f t="shared" ca="1" si="71"/>
        <v>6129.1900244990766</v>
      </c>
      <c r="BA123" s="32">
        <f ca="1">IF($A124="","",F123*Summary!$Q$11)</f>
        <v>0</v>
      </c>
      <c r="BC123" s="256">
        <f t="shared" ca="1" si="74"/>
        <v>137251.59837642618</v>
      </c>
    </row>
    <row r="124" spans="1:55">
      <c r="A124" s="67">
        <f t="shared" si="72"/>
        <v>40513</v>
      </c>
      <c r="B124" s="69">
        <f t="shared" si="75"/>
        <v>124142</v>
      </c>
      <c r="C124" s="71"/>
      <c r="D124" s="69">
        <f t="shared" si="38"/>
        <v>124142</v>
      </c>
      <c r="E124" s="70">
        <f t="shared" si="39"/>
        <v>3848402</v>
      </c>
      <c r="F124" s="70">
        <f t="shared" ca="1" si="40"/>
        <v>1515991.6154453477</v>
      </c>
      <c r="G124" s="63">
        <f t="shared" si="41"/>
        <v>4.6820000000000004</v>
      </c>
      <c r="H124" s="64">
        <f t="shared" si="42"/>
        <v>4.6820000000000004</v>
      </c>
      <c r="I124" s="43"/>
      <c r="J124" s="63">
        <f t="shared" si="43"/>
        <v>0.42499999999999999</v>
      </c>
      <c r="K124" s="64">
        <f t="shared" si="44"/>
        <v>0.42499999999999999</v>
      </c>
      <c r="L124" s="63">
        <f t="shared" si="45"/>
        <v>0</v>
      </c>
      <c r="M124" s="64">
        <f t="shared" si="46"/>
        <v>0</v>
      </c>
      <c r="N124" s="65"/>
      <c r="O124" s="63">
        <f t="shared" si="47"/>
        <v>5.1070000000000002</v>
      </c>
      <c r="P124" s="63">
        <f t="shared" si="48"/>
        <v>5.1070000000000002</v>
      </c>
      <c r="Q124" s="66"/>
      <c r="R124" s="63">
        <f t="shared" si="49"/>
        <v>0.27500000000000002</v>
      </c>
      <c r="S124" s="64">
        <f t="shared" si="50"/>
        <v>0.27500000000000002</v>
      </c>
      <c r="T124" s="38">
        <v>0</v>
      </c>
      <c r="U124" s="64">
        <f t="shared" si="51"/>
        <v>0</v>
      </c>
      <c r="V124" s="219">
        <f>IF($A125="","",IF(AND(MONTH(A124)&gt;3,MONTH(A124)&lt;11),(T124+R124+G124)*Summary!$T$11/(1-Summary!$T$11),(T124+R124+G124)*Summary!$U$11/(1-Summary!$U$11)))</f>
        <v>5.2856794703931523E-2</v>
      </c>
      <c r="W124" s="43">
        <f t="shared" si="52"/>
        <v>5.0098567947039321</v>
      </c>
      <c r="X124" s="43">
        <f t="shared" si="53"/>
        <v>5.0098567947039321</v>
      </c>
      <c r="Y124" s="43"/>
      <c r="Z124" s="38">
        <f t="shared" si="54"/>
        <v>1.1000000000000001</v>
      </c>
      <c r="AA124" s="38">
        <f t="shared" si="55"/>
        <v>0.183</v>
      </c>
      <c r="AB124" s="38">
        <f t="shared" ca="1" si="56"/>
        <v>0.19717290091048437</v>
      </c>
      <c r="AC124" s="38">
        <f t="shared" si="57"/>
        <v>1.1000000000000001</v>
      </c>
      <c r="AD124" s="38">
        <f t="shared" si="57"/>
        <v>0.183</v>
      </c>
      <c r="AE124" s="38">
        <f t="shared" ca="1" si="58"/>
        <v>0.19717290091048437</v>
      </c>
      <c r="AF124" s="238">
        <f ca="1">((Summary!$N$11*(AA124*AD124)*(A124-$D$3))+(Summary!$M$11*Z124*AC124*(AJ124-EOMONTH(EDATE(A124,-1),0))))/(AK124*AB124*AE124)</f>
        <v>0.99991383472940087</v>
      </c>
      <c r="AG124" s="88">
        <f>IF($A125="","",Summary!$Q$11)</f>
        <v>0</v>
      </c>
      <c r="AH124" s="88">
        <f>IF($A125="","",IF(Summary!$R$11="Y",(VLOOKUP($A124,Summary!$AD$6:$AF$9,3)+'Escalating commodity'!G137),'Escalating commodity'!G137))</f>
        <v>5.8078086289808087E-3</v>
      </c>
      <c r="AI124" s="88">
        <f t="shared" si="73"/>
        <v>5.8078086289808087E-3</v>
      </c>
      <c r="AJ124" s="236">
        <f t="shared" si="59"/>
        <v>40527.5</v>
      </c>
      <c r="AK124" s="58">
        <f t="shared" ca="1" si="60"/>
        <v>3487</v>
      </c>
      <c r="AL124" s="26">
        <f ca="1">IF($A125="","",_xll.SPRDOPT(P124,X124,AI124,0,AB124,AE124,AF124,AK124,$AJ$2,0))</f>
        <v>9.314315726867374E-2</v>
      </c>
      <c r="AM124" s="209">
        <f t="shared" si="61"/>
        <v>9.1335396667087315E-2</v>
      </c>
      <c r="AN124" s="89">
        <f t="shared" ca="1" si="62"/>
        <v>1.807760601586425E-3</v>
      </c>
      <c r="AO124" s="3">
        <f t="shared" si="63"/>
        <v>31</v>
      </c>
      <c r="AP124" s="33">
        <f t="shared" si="64"/>
        <v>40513</v>
      </c>
      <c r="AQ124" s="58">
        <f t="shared" ca="1" si="65"/>
        <v>3487</v>
      </c>
      <c r="AR124" s="38">
        <f>'ANR OK vs ML7'!AR124</f>
        <v>0.1</v>
      </c>
      <c r="AS124" s="35">
        <f t="shared" ca="1" si="66"/>
        <v>0.39392756147755553</v>
      </c>
      <c r="AT124" s="3">
        <f t="shared" si="67"/>
        <v>1</v>
      </c>
      <c r="AU124" s="3">
        <f t="shared" si="68"/>
        <v>31</v>
      </c>
      <c r="AW124" s="32">
        <f t="shared" ca="1" si="69"/>
        <v>358452.31271907856</v>
      </c>
      <c r="AX124" s="32">
        <f t="shared" si="70"/>
        <v>351495.32320441218</v>
      </c>
      <c r="AY124" s="32">
        <f t="shared" ca="1" si="71"/>
        <v>6956.9895146664012</v>
      </c>
      <c r="BA124" s="32">
        <f ca="1">IF($A125="","",F124*Summary!$Q$11)</f>
        <v>0</v>
      </c>
      <c r="BC124" s="256">
        <f t="shared" ca="1" si="74"/>
        <v>138463.69554067933</v>
      </c>
    </row>
    <row r="125" spans="1:55">
      <c r="A125" s="67">
        <f t="shared" si="72"/>
        <v>40544</v>
      </c>
      <c r="B125" s="69">
        <f t="shared" si="75"/>
        <v>124142</v>
      </c>
      <c r="C125" s="71"/>
      <c r="D125" s="69">
        <f t="shared" si="38"/>
        <v>124142</v>
      </c>
      <c r="E125" s="70">
        <f t="shared" si="39"/>
        <v>3848402</v>
      </c>
      <c r="F125" s="70">
        <f t="shared" ca="1" si="40"/>
        <v>1503488.0642243752</v>
      </c>
      <c r="G125" s="63">
        <f t="shared" si="41"/>
        <v>4.7140000000000004</v>
      </c>
      <c r="H125" s="64">
        <f t="shared" si="42"/>
        <v>4.7140000000000004</v>
      </c>
      <c r="I125" s="43"/>
      <c r="J125" s="63">
        <f t="shared" si="43"/>
        <v>0.42499999999999999</v>
      </c>
      <c r="K125" s="64">
        <f t="shared" si="44"/>
        <v>0.42499999999999999</v>
      </c>
      <c r="L125" s="63">
        <f t="shared" si="45"/>
        <v>0</v>
      </c>
      <c r="M125" s="64">
        <f t="shared" si="46"/>
        <v>0</v>
      </c>
      <c r="N125" s="65"/>
      <c r="O125" s="63">
        <f t="shared" si="47"/>
        <v>5.1390000000000002</v>
      </c>
      <c r="P125" s="63">
        <f t="shared" si="48"/>
        <v>5.1390000000000002</v>
      </c>
      <c r="Q125" s="66"/>
      <c r="R125" s="63">
        <f t="shared" si="49"/>
        <v>0.27500000000000002</v>
      </c>
      <c r="S125" s="64">
        <f t="shared" si="50"/>
        <v>0.27500000000000002</v>
      </c>
      <c r="T125" s="38">
        <v>0</v>
      </c>
      <c r="U125" s="64">
        <f t="shared" si="51"/>
        <v>0</v>
      </c>
      <c r="V125" s="219">
        <f>IF($A126="","",IF(AND(MONTH(A125)&gt;3,MONTH(A125)&lt;11),(T125+R125+G125)*Summary!$T$11/(1-Summary!$T$11),(T125+R125+G125)*Summary!$U$11/(1-Summary!$U$11)))</f>
        <v>5.3198012664497557E-2</v>
      </c>
      <c r="W125" s="43">
        <f t="shared" si="52"/>
        <v>5.0421980126644987</v>
      </c>
      <c r="X125" s="43">
        <f t="shared" si="53"/>
        <v>5.0421980126644987</v>
      </c>
      <c r="Y125" s="43"/>
      <c r="Z125" s="38">
        <f t="shared" si="54"/>
        <v>1.1000000000000001</v>
      </c>
      <c r="AA125" s="38">
        <f t="shared" si="55"/>
        <v>0.183</v>
      </c>
      <c r="AB125" s="38">
        <f t="shared" ca="1" si="56"/>
        <v>0.19705246355723099</v>
      </c>
      <c r="AC125" s="38">
        <f t="shared" si="57"/>
        <v>1.1000000000000001</v>
      </c>
      <c r="AD125" s="38">
        <f t="shared" si="57"/>
        <v>0.183</v>
      </c>
      <c r="AE125" s="38">
        <f t="shared" ca="1" si="58"/>
        <v>0.19705246355723099</v>
      </c>
      <c r="AF125" s="238">
        <f ca="1">((Summary!$N$11*(AA125*AD125)*(A125-$D$3))+(Summary!$M$11*Z125*AC125*(AJ125-EOMONTH(EDATE(A125,-1),0))))/(AK125*AB125*AE125)</f>
        <v>0.99991372958770663</v>
      </c>
      <c r="AG125" s="88">
        <f>IF($A126="","",Summary!$Q$11)</f>
        <v>0</v>
      </c>
      <c r="AH125" s="88">
        <f>IF($A126="","",IF(Summary!$R$11="Y",(VLOOKUP($A125,Summary!$AD$6:$AF$9,3)+'Escalating commodity'!G138),'Escalating commodity'!G138))</f>
        <v>5.9239648015604251E-3</v>
      </c>
      <c r="AI125" s="88">
        <f t="shared" si="73"/>
        <v>5.9239648015604251E-3</v>
      </c>
      <c r="AJ125" s="236">
        <f t="shared" si="59"/>
        <v>40558.5</v>
      </c>
      <c r="AK125" s="58">
        <f t="shared" ca="1" si="60"/>
        <v>3518</v>
      </c>
      <c r="AL125" s="26">
        <f ca="1">IF($A126="","",_xll.SPRDOPT(P125,X125,AI125,0,AB125,AE125,AF125,AK125,$AJ$2,0))</f>
        <v>9.2737129270505897E-2</v>
      </c>
      <c r="AM125" s="209">
        <f t="shared" si="61"/>
        <v>9.0878022533941075E-2</v>
      </c>
      <c r="AN125" s="89">
        <f t="shared" ca="1" si="62"/>
        <v>1.8591067365648223E-3</v>
      </c>
      <c r="AO125" s="3">
        <f t="shared" si="63"/>
        <v>31</v>
      </c>
      <c r="AP125" s="33">
        <f t="shared" si="64"/>
        <v>40544</v>
      </c>
      <c r="AQ125" s="58">
        <f t="shared" ca="1" si="65"/>
        <v>3518</v>
      </c>
      <c r="AR125" s="38">
        <f>'ANR OK vs ML7'!AR125</f>
        <v>0.1</v>
      </c>
      <c r="AS125" s="35">
        <f t="shared" ca="1" si="66"/>
        <v>0.39067853727972679</v>
      </c>
      <c r="AT125" s="3">
        <f t="shared" si="67"/>
        <v>1</v>
      </c>
      <c r="AU125" s="3">
        <f t="shared" si="68"/>
        <v>31</v>
      </c>
      <c r="AW125" s="32">
        <f t="shared" ca="1" si="69"/>
        <v>356889.75375887344</v>
      </c>
      <c r="AX125" s="32">
        <f t="shared" si="70"/>
        <v>349735.16367566388</v>
      </c>
      <c r="AY125" s="32">
        <f t="shared" ca="1" si="71"/>
        <v>7154.5900832095349</v>
      </c>
      <c r="BA125" s="32">
        <f ca="1">IF($A126="","",F125*Summary!$Q$11)</f>
        <v>0</v>
      </c>
      <c r="BC125" s="256">
        <f t="shared" ca="1" si="74"/>
        <v>136634.02218009421</v>
      </c>
    </row>
    <row r="126" spans="1:55">
      <c r="A126" s="67">
        <f t="shared" si="72"/>
        <v>40575</v>
      </c>
      <c r="B126" s="69">
        <f t="shared" si="75"/>
        <v>124142</v>
      </c>
      <c r="C126" s="71"/>
      <c r="D126" s="69">
        <f t="shared" si="38"/>
        <v>124142</v>
      </c>
      <c r="E126" s="70">
        <f t="shared" si="39"/>
        <v>3475976</v>
      </c>
      <c r="F126" s="70">
        <f t="shared" ca="1" si="40"/>
        <v>1346788.8356112635</v>
      </c>
      <c r="G126" s="63">
        <f t="shared" si="41"/>
        <v>4.5940000000000003</v>
      </c>
      <c r="H126" s="64">
        <f t="shared" si="42"/>
        <v>4.5940000000000003</v>
      </c>
      <c r="I126" s="43"/>
      <c r="J126" s="63">
        <f t="shared" si="43"/>
        <v>0.42499999999999999</v>
      </c>
      <c r="K126" s="64">
        <f t="shared" si="44"/>
        <v>0.42499999999999999</v>
      </c>
      <c r="L126" s="63">
        <f t="shared" si="45"/>
        <v>0</v>
      </c>
      <c r="M126" s="64">
        <f t="shared" si="46"/>
        <v>0</v>
      </c>
      <c r="N126" s="65"/>
      <c r="O126" s="63">
        <f t="shared" si="47"/>
        <v>5.0190000000000001</v>
      </c>
      <c r="P126" s="63">
        <f t="shared" si="48"/>
        <v>5.0190000000000001</v>
      </c>
      <c r="Q126" s="66"/>
      <c r="R126" s="63">
        <f t="shared" si="49"/>
        <v>0.27500000000000002</v>
      </c>
      <c r="S126" s="64">
        <f t="shared" si="50"/>
        <v>0.27500000000000002</v>
      </c>
      <c r="T126" s="38">
        <v>0</v>
      </c>
      <c r="U126" s="64">
        <f t="shared" si="51"/>
        <v>0</v>
      </c>
      <c r="V126" s="219">
        <f>IF($A127="","",IF(AND(MONTH(A126)&gt;3,MONTH(A126)&lt;11),(T126+R126+G126)*Summary!$T$11/(1-Summary!$T$11),(T126+R126+G126)*Summary!$U$11/(1-Summary!$U$11)))</f>
        <v>5.1918445312374939E-2</v>
      </c>
      <c r="W126" s="43">
        <f t="shared" si="52"/>
        <v>4.9209184453123758</v>
      </c>
      <c r="X126" s="43">
        <f t="shared" si="53"/>
        <v>4.9209184453123758</v>
      </c>
      <c r="Y126" s="43"/>
      <c r="Z126" s="38">
        <f t="shared" si="54"/>
        <v>1.1000000000000001</v>
      </c>
      <c r="AA126" s="38">
        <f t="shared" si="55"/>
        <v>0.183</v>
      </c>
      <c r="AB126" s="38">
        <f t="shared" ca="1" si="56"/>
        <v>0.19563131579992946</v>
      </c>
      <c r="AC126" s="38">
        <f t="shared" si="57"/>
        <v>1.1000000000000001</v>
      </c>
      <c r="AD126" s="38">
        <f t="shared" si="57"/>
        <v>0.183</v>
      </c>
      <c r="AE126" s="38">
        <f t="shared" ca="1" si="58"/>
        <v>0.19563131579992946</v>
      </c>
      <c r="AF126" s="238">
        <f ca="1">((Summary!$N$11*(AA126*AD126)*(A126-$D$3))+(Summary!$M$11*Z126*AC126*(AJ126-EOMONTH(EDATE(A126,-1),0))))/(AK126*AB126*AE126)</f>
        <v>0.99991247184356147</v>
      </c>
      <c r="AG126" s="88">
        <f>IF($A127="","",Summary!$Q$11)</f>
        <v>0</v>
      </c>
      <c r="AH126" s="88">
        <f>IF($A127="","",IF(Summary!$R$11="Y",(VLOOKUP($A126,Summary!$AD$6:$AF$9,3)+'Escalating commodity'!G139),'Escalating commodity'!G139))</f>
        <v>5.9239648015604251E-3</v>
      </c>
      <c r="AI126" s="88">
        <f t="shared" si="73"/>
        <v>5.9239648015604251E-3</v>
      </c>
      <c r="AJ126" s="236">
        <f t="shared" si="59"/>
        <v>40588</v>
      </c>
      <c r="AK126" s="58">
        <f t="shared" ca="1" si="60"/>
        <v>3549</v>
      </c>
      <c r="AL126" s="26">
        <f ca="1">IF($A127="","",_xll.SPRDOPT(P126,X126,AI126,0,AB126,AE126,AF126,AK126,$AJ$2,0))</f>
        <v>9.3912403892619317E-2</v>
      </c>
      <c r="AM126" s="209">
        <f t="shared" si="61"/>
        <v>9.2157589886063943E-2</v>
      </c>
      <c r="AN126" s="89">
        <f t="shared" ca="1" si="62"/>
        <v>1.7548140065553747E-3</v>
      </c>
      <c r="AO126" s="3">
        <f t="shared" si="63"/>
        <v>28</v>
      </c>
      <c r="AP126" s="33">
        <f t="shared" si="64"/>
        <v>40575</v>
      </c>
      <c r="AQ126" s="58">
        <f t="shared" ca="1" si="65"/>
        <v>3549</v>
      </c>
      <c r="AR126" s="38">
        <f>'ANR OK vs ML7'!AR126</f>
        <v>0.1</v>
      </c>
      <c r="AS126" s="35">
        <f t="shared" ca="1" si="66"/>
        <v>0.38745631028846678</v>
      </c>
      <c r="AT126" s="3">
        <f t="shared" si="67"/>
        <v>1</v>
      </c>
      <c r="AU126" s="3">
        <f t="shared" si="68"/>
        <v>28</v>
      </c>
      <c r="AW126" s="32">
        <f t="shared" ca="1" si="69"/>
        <v>326437.26203305135</v>
      </c>
      <c r="AX126" s="32">
        <f t="shared" si="70"/>
        <v>320337.57066180097</v>
      </c>
      <c r="AY126" s="32">
        <f t="shared" ca="1" si="71"/>
        <v>6099.6913712503247</v>
      </c>
      <c r="BA126" s="32">
        <f ca="1">IF($A127="","",F126*Summary!$Q$11)</f>
        <v>0</v>
      </c>
      <c r="BC126" s="256">
        <f t="shared" ca="1" si="74"/>
        <v>124116.81317539241</v>
      </c>
    </row>
    <row r="127" spans="1:55">
      <c r="A127" s="67">
        <f t="shared" si="72"/>
        <v>40603</v>
      </c>
      <c r="B127" s="69">
        <f t="shared" si="75"/>
        <v>124142</v>
      </c>
      <c r="C127" s="71"/>
      <c r="D127" s="69">
        <f t="shared" si="38"/>
        <v>124142</v>
      </c>
      <c r="E127" s="70">
        <f t="shared" si="39"/>
        <v>3848402</v>
      </c>
      <c r="F127" s="70">
        <f t="shared" ca="1" si="40"/>
        <v>1479975.1874639236</v>
      </c>
      <c r="G127" s="63">
        <f t="shared" si="41"/>
        <v>4.4550000000000001</v>
      </c>
      <c r="H127" s="64">
        <f t="shared" si="42"/>
        <v>4.4550000000000001</v>
      </c>
      <c r="I127" s="43"/>
      <c r="J127" s="63">
        <f t="shared" si="43"/>
        <v>0.42499999999999999</v>
      </c>
      <c r="K127" s="64">
        <f t="shared" si="44"/>
        <v>0.42499999999999999</v>
      </c>
      <c r="L127" s="63">
        <f t="shared" si="45"/>
        <v>0</v>
      </c>
      <c r="M127" s="64">
        <f t="shared" si="46"/>
        <v>0</v>
      </c>
      <c r="N127" s="65"/>
      <c r="O127" s="63">
        <f t="shared" si="47"/>
        <v>4.88</v>
      </c>
      <c r="P127" s="63">
        <f t="shared" si="48"/>
        <v>4.88</v>
      </c>
      <c r="Q127" s="66"/>
      <c r="R127" s="63">
        <f t="shared" si="49"/>
        <v>0.27500000000000002</v>
      </c>
      <c r="S127" s="64">
        <f t="shared" si="50"/>
        <v>0.27500000000000002</v>
      </c>
      <c r="T127" s="38">
        <v>0</v>
      </c>
      <c r="U127" s="64">
        <f t="shared" si="51"/>
        <v>0</v>
      </c>
      <c r="V127" s="219">
        <f>IF($A128="","",IF(AND(MONTH(A127)&gt;3,MONTH(A127)&lt;11),(T127+R127+G127)*Summary!$T$11/(1-Summary!$T$11),(T127+R127+G127)*Summary!$U$11/(1-Summary!$U$11)))</f>
        <v>5.0436279796166245E-2</v>
      </c>
      <c r="W127" s="43">
        <f t="shared" si="52"/>
        <v>4.7804362797961666</v>
      </c>
      <c r="X127" s="43">
        <f t="shared" si="53"/>
        <v>4.7804362797961666</v>
      </c>
      <c r="Y127" s="43"/>
      <c r="Z127" s="38">
        <f t="shared" si="54"/>
        <v>0.75</v>
      </c>
      <c r="AA127" s="38">
        <f t="shared" si="55"/>
        <v>0.18</v>
      </c>
      <c r="AB127" s="38">
        <f t="shared" ca="1" si="56"/>
        <v>0.18667218713963701</v>
      </c>
      <c r="AC127" s="38">
        <f t="shared" si="57"/>
        <v>0.75</v>
      </c>
      <c r="AD127" s="38">
        <f t="shared" si="57"/>
        <v>0.18</v>
      </c>
      <c r="AE127" s="38">
        <f t="shared" ca="1" si="58"/>
        <v>0.18667218713963701</v>
      </c>
      <c r="AF127" s="238">
        <f ca="1">((Summary!$N$11*(AA127*AD127)*(A127-$D$3))+(Summary!$M$11*Z127*AC127*(AJ127-EOMONTH(EDATE(A127,-1),0))))/(AK127*AB127*AE127)</f>
        <v>0.99990699481210599</v>
      </c>
      <c r="AG127" s="88">
        <f>IF($A128="","",Summary!$Q$11)</f>
        <v>0</v>
      </c>
      <c r="AH127" s="88">
        <f>IF($A128="","",IF(Summary!$R$11="Y",(VLOOKUP($A127,Summary!$AD$6:$AF$9,3)+'Escalating commodity'!G140),'Escalating commodity'!G140))</f>
        <v>5.9239648015604251E-3</v>
      </c>
      <c r="AI127" s="88">
        <f t="shared" si="73"/>
        <v>5.9239648015604251E-3</v>
      </c>
      <c r="AJ127" s="236">
        <f t="shared" si="59"/>
        <v>40617.5</v>
      </c>
      <c r="AK127" s="58">
        <f t="shared" ca="1" si="60"/>
        <v>3577</v>
      </c>
      <c r="AL127" s="26">
        <f ca="1">IF($A128="","",_xll.SPRDOPT(P127,X127,AI127,0,AB127,AE127,AF127,AK127,$AJ$2,0))</f>
        <v>9.5201831207966423E-2</v>
      </c>
      <c r="AM127" s="209">
        <f t="shared" si="61"/>
        <v>9.3639755402272887E-2</v>
      </c>
      <c r="AN127" s="89">
        <f t="shared" ca="1" si="62"/>
        <v>1.5620758056935358E-3</v>
      </c>
      <c r="AO127" s="3">
        <f t="shared" si="63"/>
        <v>31</v>
      </c>
      <c r="AP127" s="33">
        <f t="shared" si="64"/>
        <v>40603</v>
      </c>
      <c r="AQ127" s="58">
        <f t="shared" ca="1" si="65"/>
        <v>3577</v>
      </c>
      <c r="AR127" s="38">
        <f>'ANR OK vs ML7'!AR127</f>
        <v>0.1</v>
      </c>
      <c r="AS127" s="35">
        <f t="shared" ca="1" si="66"/>
        <v>0.38456876060866912</v>
      </c>
      <c r="AT127" s="3">
        <f t="shared" si="67"/>
        <v>1</v>
      </c>
      <c r="AU127" s="3">
        <f t="shared" si="68"/>
        <v>31</v>
      </c>
      <c r="AW127" s="32">
        <f t="shared" ca="1" si="69"/>
        <v>366374.9176244004</v>
      </c>
      <c r="AX127" s="32">
        <f t="shared" si="70"/>
        <v>360363.42196961778</v>
      </c>
      <c r="AY127" s="32">
        <f t="shared" ca="1" si="71"/>
        <v>6011.4956547826141</v>
      </c>
      <c r="BA127" s="32">
        <f ca="1">IF($A128="","",F127*Summary!$Q$11)</f>
        <v>0</v>
      </c>
      <c r="BC127" s="256">
        <f t="shared" ca="1" si="74"/>
        <v>138584.51455555478</v>
      </c>
    </row>
    <row r="128" spans="1:55">
      <c r="A128" s="67">
        <f t="shared" si="72"/>
        <v>40634</v>
      </c>
      <c r="B128" s="69">
        <f t="shared" si="75"/>
        <v>124142</v>
      </c>
      <c r="C128" s="71"/>
      <c r="D128" s="69">
        <f t="shared" si="38"/>
        <v>124142</v>
      </c>
      <c r="E128" s="70">
        <f t="shared" si="39"/>
        <v>3724260</v>
      </c>
      <c r="F128" s="70">
        <f t="shared" ca="1" si="40"/>
        <v>1420421.3143376356</v>
      </c>
      <c r="G128" s="63">
        <f t="shared" si="41"/>
        <v>4.28</v>
      </c>
      <c r="H128" s="64">
        <f t="shared" si="42"/>
        <v>4.28</v>
      </c>
      <c r="I128" s="43"/>
      <c r="J128" s="63">
        <f t="shared" si="43"/>
        <v>0.23499999999999999</v>
      </c>
      <c r="K128" s="64">
        <f t="shared" si="44"/>
        <v>0.23499999999999999</v>
      </c>
      <c r="L128" s="63">
        <f t="shared" si="45"/>
        <v>0</v>
      </c>
      <c r="M128" s="64">
        <f t="shared" si="46"/>
        <v>0</v>
      </c>
      <c r="N128" s="65"/>
      <c r="O128" s="63">
        <f t="shared" si="47"/>
        <v>4.5150000000000006</v>
      </c>
      <c r="P128" s="63">
        <f t="shared" si="48"/>
        <v>4.5150000000000006</v>
      </c>
      <c r="Q128" s="66"/>
      <c r="R128" s="63">
        <f t="shared" si="49"/>
        <v>0.18</v>
      </c>
      <c r="S128" s="64">
        <f t="shared" si="50"/>
        <v>0.18</v>
      </c>
      <c r="T128" s="38">
        <v>0</v>
      </c>
      <c r="U128" s="64">
        <f t="shared" si="51"/>
        <v>0</v>
      </c>
      <c r="V128" s="219">
        <f>IF($A129="","",IF(AND(MONTH(A128)&gt;3,MONTH(A128)&lt;11),(T128+R128+G128)*Summary!$T$11/(1-Summary!$T$11),(T128+R128+G128)*Summary!$U$11/(1-Summary!$U$11)))</f>
        <v>4.7557253253890368E-2</v>
      </c>
      <c r="W128" s="43">
        <f t="shared" si="52"/>
        <v>4.5075572532538901</v>
      </c>
      <c r="X128" s="43">
        <f t="shared" si="53"/>
        <v>4.5075572532538901</v>
      </c>
      <c r="Y128" s="43"/>
      <c r="Z128" s="38">
        <f t="shared" si="54"/>
        <v>0.45</v>
      </c>
      <c r="AA128" s="38">
        <f t="shared" si="55"/>
        <v>0.18</v>
      </c>
      <c r="AB128" s="38">
        <f t="shared" ca="1" si="56"/>
        <v>0.18234818124065244</v>
      </c>
      <c r="AC128" s="38">
        <f t="shared" si="57"/>
        <v>0.45</v>
      </c>
      <c r="AD128" s="38">
        <f t="shared" si="57"/>
        <v>0.18</v>
      </c>
      <c r="AE128" s="38">
        <f t="shared" ca="1" si="58"/>
        <v>0.18234818124065244</v>
      </c>
      <c r="AF128" s="238">
        <f ca="1">((Summary!$N$11*(AA128*AD128)*(A128-$D$3))+(Summary!$M$11*Z128*AC128*(AJ128-EOMONTH(EDATE(A128,-1),0))))/(AK128*AB128*AE128)</f>
        <v>0.99990253190196476</v>
      </c>
      <c r="AG128" s="88">
        <f>IF($A129="","",Summary!$Q$11)</f>
        <v>0</v>
      </c>
      <c r="AH128" s="88">
        <f>IF($A129="","",IF(Summary!$R$11="Y",(VLOOKUP($A128,Summary!$AD$6:$AF$9,3)+'Escalating commodity'!G141),'Escalating commodity'!G141))</f>
        <v>5.9239648015604251E-3</v>
      </c>
      <c r="AI128" s="88">
        <f t="shared" si="73"/>
        <v>5.9239648015604251E-3</v>
      </c>
      <c r="AJ128" s="236">
        <f t="shared" si="59"/>
        <v>40648</v>
      </c>
      <c r="AK128" s="58">
        <f t="shared" ca="1" si="60"/>
        <v>3608</v>
      </c>
      <c r="AL128" s="26">
        <f ca="1">IF($A129="","",_xll.SPRDOPT(P128,X128,AI128,0,AB128,AE128,AF128,AK128,$AJ$2,0))</f>
        <v>6.724312718745809E-3</v>
      </c>
      <c r="AM128" s="209">
        <f t="shared" si="61"/>
        <v>1.5187819445500262E-3</v>
      </c>
      <c r="AN128" s="89">
        <f t="shared" ca="1" si="62"/>
        <v>5.2055307741957829E-3</v>
      </c>
      <c r="AO128" s="3">
        <f t="shared" si="63"/>
        <v>30</v>
      </c>
      <c r="AP128" s="33">
        <f t="shared" si="64"/>
        <v>40634</v>
      </c>
      <c r="AQ128" s="58">
        <f t="shared" ca="1" si="65"/>
        <v>3608</v>
      </c>
      <c r="AR128" s="38">
        <f>'ANR OK vs ML7'!AR128</f>
        <v>0.1</v>
      </c>
      <c r="AS128" s="35">
        <f t="shared" ca="1" si="66"/>
        <v>0.38139692565439459</v>
      </c>
      <c r="AT128" s="3">
        <f t="shared" si="67"/>
        <v>1</v>
      </c>
      <c r="AU128" s="3">
        <f t="shared" si="68"/>
        <v>30</v>
      </c>
      <c r="AW128" s="32">
        <f t="shared" ca="1" si="69"/>
        <v>25043.088885916266</v>
      </c>
      <c r="AX128" s="32">
        <f t="shared" si="70"/>
        <v>5656.3388448098804</v>
      </c>
      <c r="AY128" s="32">
        <f t="shared" ca="1" si="71"/>
        <v>19386.750041106385</v>
      </c>
      <c r="BA128" s="32">
        <f ca="1">IF($A129="","",F128*Summary!$Q$11)</f>
        <v>0</v>
      </c>
      <c r="BC128" s="256">
        <f t="shared" ca="1" si="74"/>
        <v>2157.3102458700182</v>
      </c>
    </row>
    <row r="129" spans="1:55">
      <c r="A129" s="67">
        <f t="shared" si="72"/>
        <v>40664</v>
      </c>
      <c r="B129" s="69">
        <f t="shared" si="75"/>
        <v>124142</v>
      </c>
      <c r="C129" s="71"/>
      <c r="D129" s="69">
        <f t="shared" si="38"/>
        <v>124142</v>
      </c>
      <c r="E129" s="70">
        <f t="shared" si="39"/>
        <v>3848402</v>
      </c>
      <c r="F129" s="70">
        <f t="shared" ca="1" si="40"/>
        <v>1456051.8192779196</v>
      </c>
      <c r="G129" s="63">
        <f t="shared" si="41"/>
        <v>4.25</v>
      </c>
      <c r="H129" s="64">
        <f t="shared" si="42"/>
        <v>4.25</v>
      </c>
      <c r="I129" s="43"/>
      <c r="J129" s="63">
        <f t="shared" si="43"/>
        <v>0.23499999999999999</v>
      </c>
      <c r="K129" s="64">
        <f t="shared" si="44"/>
        <v>0.23499999999999999</v>
      </c>
      <c r="L129" s="63">
        <f t="shared" si="45"/>
        <v>0</v>
      </c>
      <c r="M129" s="64">
        <f t="shared" si="46"/>
        <v>0</v>
      </c>
      <c r="N129" s="65"/>
      <c r="O129" s="63">
        <f t="shared" si="47"/>
        <v>4.4850000000000003</v>
      </c>
      <c r="P129" s="63">
        <f t="shared" si="48"/>
        <v>4.4850000000000003</v>
      </c>
      <c r="Q129" s="66"/>
      <c r="R129" s="63">
        <f t="shared" si="49"/>
        <v>0.18</v>
      </c>
      <c r="S129" s="64">
        <f t="shared" si="50"/>
        <v>0.18</v>
      </c>
      <c r="T129" s="38">
        <v>0</v>
      </c>
      <c r="U129" s="64">
        <f t="shared" si="51"/>
        <v>0</v>
      </c>
      <c r="V129" s="219">
        <f>IF($A130="","",IF(AND(MONTH(A129)&gt;3,MONTH(A129)&lt;11),(T129+R129+G129)*Summary!$T$11/(1-Summary!$T$11),(T129+R129+G129)*Summary!$U$11/(1-Summary!$U$11)))</f>
        <v>4.7237361415859706E-2</v>
      </c>
      <c r="W129" s="43">
        <f t="shared" si="52"/>
        <v>4.4772373614158596</v>
      </c>
      <c r="X129" s="43">
        <f t="shared" si="53"/>
        <v>4.4772373614158596</v>
      </c>
      <c r="Y129" s="43"/>
      <c r="Z129" s="38">
        <f t="shared" si="54"/>
        <v>0.5</v>
      </c>
      <c r="AA129" s="38">
        <f t="shared" si="55"/>
        <v>0.18</v>
      </c>
      <c r="AB129" s="38">
        <f t="shared" ca="1" si="56"/>
        <v>0.18295915302806107</v>
      </c>
      <c r="AC129" s="38">
        <f t="shared" si="57"/>
        <v>0.5</v>
      </c>
      <c r="AD129" s="38">
        <f t="shared" si="57"/>
        <v>0.18</v>
      </c>
      <c r="AE129" s="38">
        <f t="shared" ca="1" si="58"/>
        <v>0.18295915302806107</v>
      </c>
      <c r="AF129" s="238">
        <f ca="1">((Summary!$N$11*(AA129*AD129)*(A129-$D$3))+(Summary!$M$11*Z129*AC129*(AJ129-EOMONTH(EDATE(A129,-1),0))))/(AK129*AB129*AE129)</f>
        <v>0.99990318200406292</v>
      </c>
      <c r="AG129" s="88">
        <f>IF($A130="","",Summary!$Q$11)</f>
        <v>0</v>
      </c>
      <c r="AH129" s="88">
        <f>IF($A130="","",IF(Summary!$R$11="Y",(VLOOKUP($A129,Summary!$AD$6:$AF$9,3)+'Escalating commodity'!G142),'Escalating commodity'!G142))</f>
        <v>5.9239648015604251E-3</v>
      </c>
      <c r="AI129" s="88">
        <f t="shared" si="73"/>
        <v>5.9239648015604251E-3</v>
      </c>
      <c r="AJ129" s="236">
        <f t="shared" si="59"/>
        <v>40678.5</v>
      </c>
      <c r="AK129" s="58">
        <f t="shared" ca="1" si="60"/>
        <v>3638</v>
      </c>
      <c r="AL129" s="26">
        <f ca="1">IF($A130="","",_xll.SPRDOPT(P129,X129,AI129,0,AB129,AE129,AF129,AK129,$AJ$2,0))</f>
        <v>6.942423048869148E-3</v>
      </c>
      <c r="AM129" s="209">
        <f t="shared" si="61"/>
        <v>1.838673782580299E-3</v>
      </c>
      <c r="AN129" s="89">
        <f t="shared" ca="1" si="62"/>
        <v>5.1037492662888489E-3</v>
      </c>
      <c r="AO129" s="3">
        <f t="shared" si="63"/>
        <v>31</v>
      </c>
      <c r="AP129" s="33">
        <f t="shared" si="64"/>
        <v>40664</v>
      </c>
      <c r="AQ129" s="58">
        <f t="shared" ca="1" si="65"/>
        <v>3638</v>
      </c>
      <c r="AR129" s="38">
        <f>'ANR OK vs ML7'!AR129</f>
        <v>0.1</v>
      </c>
      <c r="AS129" s="35">
        <f t="shared" ca="1" si="66"/>
        <v>0.3783523185150407</v>
      </c>
      <c r="AT129" s="3">
        <f t="shared" si="67"/>
        <v>1</v>
      </c>
      <c r="AU129" s="3">
        <f t="shared" si="68"/>
        <v>31</v>
      </c>
      <c r="AW129" s="32">
        <f t="shared" ca="1" si="69"/>
        <v>26717.234746114125</v>
      </c>
      <c r="AX129" s="32">
        <f t="shared" si="70"/>
        <v>7075.9558622295881</v>
      </c>
      <c r="AY129" s="32">
        <f t="shared" ca="1" si="71"/>
        <v>19641.278883884537</v>
      </c>
      <c r="BA129" s="32">
        <f ca="1">IF($A130="","",F129*Summary!$Q$11)</f>
        <v>0</v>
      </c>
      <c r="BC129" s="256">
        <f t="shared" ca="1" si="74"/>
        <v>2677.2043061846584</v>
      </c>
    </row>
    <row r="130" spans="1:55">
      <c r="A130" s="67">
        <f t="shared" si="72"/>
        <v>40695</v>
      </c>
      <c r="B130" s="69">
        <f t="shared" si="75"/>
        <v>124142</v>
      </c>
      <c r="C130" s="71"/>
      <c r="D130" s="69">
        <f t="shared" si="38"/>
        <v>124142</v>
      </c>
      <c r="E130" s="70">
        <f t="shared" si="39"/>
        <v>3724260</v>
      </c>
      <c r="F130" s="70">
        <f t="shared" ca="1" si="40"/>
        <v>1397460.6171786673</v>
      </c>
      <c r="G130" s="63">
        <f t="shared" si="41"/>
        <v>4.32</v>
      </c>
      <c r="H130" s="64">
        <f t="shared" si="42"/>
        <v>4.32</v>
      </c>
      <c r="I130" s="43"/>
      <c r="J130" s="63">
        <f t="shared" si="43"/>
        <v>0.23499999999999999</v>
      </c>
      <c r="K130" s="64">
        <f t="shared" si="44"/>
        <v>0.23499999999999999</v>
      </c>
      <c r="L130" s="63">
        <f t="shared" si="45"/>
        <v>0</v>
      </c>
      <c r="M130" s="64">
        <f t="shared" si="46"/>
        <v>0</v>
      </c>
      <c r="N130" s="65"/>
      <c r="O130" s="63">
        <f t="shared" si="47"/>
        <v>4.5550000000000006</v>
      </c>
      <c r="P130" s="63">
        <f t="shared" si="48"/>
        <v>4.5550000000000006</v>
      </c>
      <c r="Q130" s="66"/>
      <c r="R130" s="63">
        <f t="shared" si="49"/>
        <v>0.18</v>
      </c>
      <c r="S130" s="64">
        <f t="shared" si="50"/>
        <v>0.18</v>
      </c>
      <c r="T130" s="38">
        <v>0</v>
      </c>
      <c r="U130" s="64">
        <f t="shared" si="51"/>
        <v>0</v>
      </c>
      <c r="V130" s="219">
        <f>IF($A131="","",IF(AND(MONTH(A130)&gt;3,MONTH(A130)&lt;11),(T130+R130+G130)*Summary!$T$11/(1-Summary!$T$11),(T130+R130+G130)*Summary!$U$11/(1-Summary!$U$11)))</f>
        <v>4.7983775704597907E-2</v>
      </c>
      <c r="W130" s="43">
        <f t="shared" si="52"/>
        <v>4.5479837757045978</v>
      </c>
      <c r="X130" s="43">
        <f t="shared" si="53"/>
        <v>4.5479837757045978</v>
      </c>
      <c r="Y130" s="43"/>
      <c r="Z130" s="38">
        <f t="shared" si="54"/>
        <v>0.5</v>
      </c>
      <c r="AA130" s="38">
        <f t="shared" si="55"/>
        <v>0.18</v>
      </c>
      <c r="AB130" s="38">
        <f t="shared" ca="1" si="56"/>
        <v>0.18284120871469822</v>
      </c>
      <c r="AC130" s="38">
        <f t="shared" si="57"/>
        <v>0.5</v>
      </c>
      <c r="AD130" s="38">
        <f t="shared" si="57"/>
        <v>0.18</v>
      </c>
      <c r="AE130" s="38">
        <f t="shared" ca="1" si="58"/>
        <v>0.18284120871469822</v>
      </c>
      <c r="AF130" s="238">
        <f ca="1">((Summary!$N$11*(AA130*AD130)*(A130-$D$3))+(Summary!$M$11*Z130*AC130*(AJ130-EOMONTH(EDATE(A130,-1),0))))/(AK130*AB130*AE130)</f>
        <v>0.99990305728122097</v>
      </c>
      <c r="AG130" s="88">
        <f>IF($A131="","",Summary!$Q$11)</f>
        <v>0</v>
      </c>
      <c r="AH130" s="88">
        <f>IF($A131="","",IF(Summary!$R$11="Y",(VLOOKUP($A130,Summary!$AD$6:$AF$9,3)+'Escalating commodity'!G143),'Escalating commodity'!G143))</f>
        <v>5.9239648015604251E-3</v>
      </c>
      <c r="AI130" s="88">
        <f t="shared" si="73"/>
        <v>5.9239648015604251E-3</v>
      </c>
      <c r="AJ130" s="236">
        <f t="shared" si="59"/>
        <v>40709</v>
      </c>
      <c r="AK130" s="58">
        <f t="shared" ca="1" si="60"/>
        <v>3669</v>
      </c>
      <c r="AL130" s="26">
        <f ca="1">IF($A131="","",_xll.SPRDOPT(P130,X130,AI130,0,AB130,AE130,AF130,AK130,$AJ$2,0))</f>
        <v>6.4917325733823833E-3</v>
      </c>
      <c r="AM130" s="209">
        <f t="shared" si="61"/>
        <v>1.0922594938424035E-3</v>
      </c>
      <c r="AN130" s="89">
        <f t="shared" ca="1" si="62"/>
        <v>5.3994730795399798E-3</v>
      </c>
      <c r="AO130" s="3">
        <f t="shared" si="63"/>
        <v>30</v>
      </c>
      <c r="AP130" s="33">
        <f t="shared" si="64"/>
        <v>40695</v>
      </c>
      <c r="AQ130" s="58">
        <f t="shared" ca="1" si="65"/>
        <v>3669</v>
      </c>
      <c r="AR130" s="38">
        <f>'ANR OK vs ML7'!AR130</f>
        <v>0.1</v>
      </c>
      <c r="AS130" s="35">
        <f t="shared" ca="1" si="66"/>
        <v>0.37523175534969827</v>
      </c>
      <c r="AT130" s="3">
        <f t="shared" si="67"/>
        <v>1</v>
      </c>
      <c r="AU130" s="3">
        <f t="shared" si="68"/>
        <v>30</v>
      </c>
      <c r="AW130" s="32">
        <f t="shared" ca="1" si="69"/>
        <v>24176.899953745076</v>
      </c>
      <c r="AX130" s="32">
        <f t="shared" si="70"/>
        <v>4067.85834253751</v>
      </c>
      <c r="AY130" s="32">
        <f t="shared" ca="1" si="71"/>
        <v>20109.041611207565</v>
      </c>
      <c r="BA130" s="32">
        <f ca="1">IF($A131="","",F130*Summary!$Q$11)</f>
        <v>0</v>
      </c>
      <c r="BC130" s="256">
        <f t="shared" ca="1" si="74"/>
        <v>1526.3896263842641</v>
      </c>
    </row>
    <row r="131" spans="1:55">
      <c r="A131" s="67">
        <f t="shared" si="72"/>
        <v>40725</v>
      </c>
      <c r="B131" s="69">
        <f t="shared" si="75"/>
        <v>124142</v>
      </c>
      <c r="C131" s="71"/>
      <c r="D131" s="69">
        <f t="shared" si="38"/>
        <v>124142</v>
      </c>
      <c r="E131" s="70">
        <f t="shared" si="39"/>
        <v>3848402</v>
      </c>
      <c r="F131" s="70">
        <f t="shared" ca="1" si="40"/>
        <v>1432515.1653761896</v>
      </c>
      <c r="G131" s="63">
        <f t="shared" si="41"/>
        <v>4.375</v>
      </c>
      <c r="H131" s="64">
        <f t="shared" si="42"/>
        <v>4.375</v>
      </c>
      <c r="I131" s="43"/>
      <c r="J131" s="63">
        <f t="shared" si="43"/>
        <v>0.23499999999999999</v>
      </c>
      <c r="K131" s="64">
        <f t="shared" si="44"/>
        <v>0.23499999999999999</v>
      </c>
      <c r="L131" s="63">
        <f t="shared" si="45"/>
        <v>0</v>
      </c>
      <c r="M131" s="64">
        <f t="shared" si="46"/>
        <v>0</v>
      </c>
      <c r="N131" s="65"/>
      <c r="O131" s="63">
        <f t="shared" si="47"/>
        <v>4.6100000000000003</v>
      </c>
      <c r="P131" s="63">
        <f t="shared" si="48"/>
        <v>4.6100000000000003</v>
      </c>
      <c r="Q131" s="66"/>
      <c r="R131" s="63">
        <f t="shared" si="49"/>
        <v>0.18</v>
      </c>
      <c r="S131" s="64">
        <f t="shared" si="50"/>
        <v>0.18</v>
      </c>
      <c r="T131" s="38">
        <v>0</v>
      </c>
      <c r="U131" s="64">
        <f t="shared" si="51"/>
        <v>0</v>
      </c>
      <c r="V131" s="219">
        <f>IF($A132="","",IF(AND(MONTH(A131)&gt;3,MONTH(A131)&lt;11),(T131+R131+G131)*Summary!$T$11/(1-Summary!$T$11),(T131+R131+G131)*Summary!$U$11/(1-Summary!$U$11)))</f>
        <v>4.8570244074320763E-2</v>
      </c>
      <c r="W131" s="43">
        <f t="shared" si="52"/>
        <v>4.6035702440743203</v>
      </c>
      <c r="X131" s="43">
        <f t="shared" si="53"/>
        <v>4.6035702440743203</v>
      </c>
      <c r="Y131" s="43"/>
      <c r="Z131" s="38">
        <f t="shared" si="54"/>
        <v>0.55000000000000004</v>
      </c>
      <c r="AA131" s="38">
        <f t="shared" si="55"/>
        <v>0.18</v>
      </c>
      <c r="AB131" s="38">
        <f t="shared" ca="1" si="56"/>
        <v>0.18351112075547349</v>
      </c>
      <c r="AC131" s="38">
        <f t="shared" si="57"/>
        <v>0.55000000000000004</v>
      </c>
      <c r="AD131" s="38">
        <f t="shared" si="57"/>
        <v>0.18</v>
      </c>
      <c r="AE131" s="38">
        <f t="shared" ca="1" si="58"/>
        <v>0.18351112075547349</v>
      </c>
      <c r="AF131" s="238">
        <f ca="1">((Summary!$N$11*(AA131*AD131)*(A131-$D$3))+(Summary!$M$11*Z131*AC131*(AJ131-EOMONTH(EDATE(A131,-1),0))))/(AK131*AB131*AE131)</f>
        <v>0.99990376398575109</v>
      </c>
      <c r="AG131" s="88">
        <f>IF($A132="","",Summary!$Q$11)</f>
        <v>0</v>
      </c>
      <c r="AH131" s="88">
        <f>IF($A132="","",IF(Summary!$R$11="Y",(VLOOKUP($A131,Summary!$AD$6:$AF$9,3)+'Escalating commodity'!G144),'Escalating commodity'!G144))</f>
        <v>5.9239648015604251E-3</v>
      </c>
      <c r="AI131" s="88">
        <f t="shared" si="73"/>
        <v>5.9239648015604251E-3</v>
      </c>
      <c r="AJ131" s="236">
        <f t="shared" si="59"/>
        <v>40739.5</v>
      </c>
      <c r="AK131" s="58">
        <f t="shared" ca="1" si="60"/>
        <v>3699</v>
      </c>
      <c r="AL131" s="26">
        <f ca="1">IF($A132="","",_xll.SPRDOPT(P131,X131,AI131,0,AB131,AE131,AF131,AK131,$AJ$2,0))</f>
        <v>6.171117349689309E-3</v>
      </c>
      <c r="AM131" s="209">
        <f t="shared" si="61"/>
        <v>5.0579112411964448E-4</v>
      </c>
      <c r="AN131" s="89">
        <f t="shared" ca="1" si="62"/>
        <v>5.6653262255696646E-3</v>
      </c>
      <c r="AO131" s="3">
        <f t="shared" si="63"/>
        <v>31</v>
      </c>
      <c r="AP131" s="33">
        <f t="shared" si="64"/>
        <v>40725</v>
      </c>
      <c r="AQ131" s="58">
        <f t="shared" ca="1" si="65"/>
        <v>3699</v>
      </c>
      <c r="AR131" s="38">
        <f>'ANR OK vs ML7'!AR131</f>
        <v>0.1</v>
      </c>
      <c r="AS131" s="35">
        <f t="shared" ca="1" si="66"/>
        <v>0.3722363633986755</v>
      </c>
      <c r="AT131" s="3">
        <f t="shared" si="67"/>
        <v>1</v>
      </c>
      <c r="AU131" s="3">
        <f t="shared" si="68"/>
        <v>31</v>
      </c>
      <c r="AW131" s="32">
        <f t="shared" ca="1" si="69"/>
        <v>23748.940350779038</v>
      </c>
      <c r="AX131" s="32">
        <f t="shared" si="70"/>
        <v>1946.487573644288</v>
      </c>
      <c r="AY131" s="32">
        <f t="shared" ca="1" si="71"/>
        <v>21802.452777134749</v>
      </c>
      <c r="BA131" s="32">
        <f ca="1">IF($A132="","",F131*Summary!$Q$11)</f>
        <v>0</v>
      </c>
      <c r="BC131" s="256">
        <f t="shared" ca="1" si="74"/>
        <v>724.55345581406141</v>
      </c>
    </row>
    <row r="132" spans="1:55">
      <c r="A132" s="67">
        <f t="shared" si="72"/>
        <v>40756</v>
      </c>
      <c r="B132" s="69">
        <f t="shared" si="75"/>
        <v>124142</v>
      </c>
      <c r="C132" s="71"/>
      <c r="D132" s="69">
        <f t="shared" si="38"/>
        <v>124142</v>
      </c>
      <c r="E132" s="70">
        <f t="shared" si="39"/>
        <v>3848402</v>
      </c>
      <c r="F132" s="70">
        <f t="shared" ca="1" si="40"/>
        <v>1420700.1087738879</v>
      </c>
      <c r="G132" s="63">
        <f t="shared" si="41"/>
        <v>4.431</v>
      </c>
      <c r="H132" s="64">
        <f t="shared" si="42"/>
        <v>4.431</v>
      </c>
      <c r="I132" s="43"/>
      <c r="J132" s="63">
        <f t="shared" si="43"/>
        <v>0.23499999999999999</v>
      </c>
      <c r="K132" s="64">
        <f t="shared" si="44"/>
        <v>0.23499999999999999</v>
      </c>
      <c r="L132" s="63">
        <f t="shared" si="45"/>
        <v>0</v>
      </c>
      <c r="M132" s="64">
        <f t="shared" si="46"/>
        <v>0</v>
      </c>
      <c r="N132" s="65"/>
      <c r="O132" s="63">
        <f t="shared" si="47"/>
        <v>4.6660000000000004</v>
      </c>
      <c r="P132" s="63">
        <f t="shared" si="48"/>
        <v>4.6660000000000004</v>
      </c>
      <c r="Q132" s="66"/>
      <c r="R132" s="63">
        <f t="shared" si="49"/>
        <v>0.18</v>
      </c>
      <c r="S132" s="64">
        <f t="shared" si="50"/>
        <v>0.18</v>
      </c>
      <c r="T132" s="38">
        <v>0</v>
      </c>
      <c r="U132" s="64">
        <f t="shared" si="51"/>
        <v>0</v>
      </c>
      <c r="V132" s="219">
        <f>IF($A133="","",IF(AND(MONTH(A132)&gt;3,MONTH(A132)&lt;11),(T132+R132+G132)*Summary!$T$11/(1-Summary!$T$11),(T132+R132+G132)*Summary!$U$11/(1-Summary!$U$11)))</f>
        <v>4.9167375505311313E-2</v>
      </c>
      <c r="W132" s="43">
        <f t="shared" si="52"/>
        <v>4.6601673755053108</v>
      </c>
      <c r="X132" s="43">
        <f t="shared" si="53"/>
        <v>4.6601673755053108</v>
      </c>
      <c r="Y132" s="43"/>
      <c r="Z132" s="38">
        <f t="shared" si="54"/>
        <v>0.6</v>
      </c>
      <c r="AA132" s="38">
        <f t="shared" si="55"/>
        <v>0.18</v>
      </c>
      <c r="AB132" s="38">
        <f t="shared" ca="1" si="56"/>
        <v>0.18413219403286479</v>
      </c>
      <c r="AC132" s="38">
        <f t="shared" si="57"/>
        <v>0.6</v>
      </c>
      <c r="AD132" s="38">
        <f t="shared" si="57"/>
        <v>0.18</v>
      </c>
      <c r="AE132" s="38">
        <f t="shared" ca="1" si="58"/>
        <v>0.18413219403286479</v>
      </c>
      <c r="AF132" s="238">
        <f ca="1">((Summary!$N$11*(AA132*AD132)*(A132-$D$3))+(Summary!$M$11*Z132*AC132*(AJ132-EOMONTH(EDATE(A132,-1),0))))/(AK132*AB132*AE132)</f>
        <v>0.99990441230891836</v>
      </c>
      <c r="AG132" s="88">
        <f>IF($A133="","",Summary!$Q$11)</f>
        <v>0</v>
      </c>
      <c r="AH132" s="88">
        <f>IF($A133="","",IF(Summary!$R$11="Y",(VLOOKUP($A132,Summary!$AD$6:$AF$9,3)+'Escalating commodity'!G145),'Escalating commodity'!G145))</f>
        <v>5.9239648015604251E-3</v>
      </c>
      <c r="AI132" s="88">
        <f t="shared" si="73"/>
        <v>5.9239648015604251E-3</v>
      </c>
      <c r="AJ132" s="236">
        <f t="shared" si="59"/>
        <v>40770.5</v>
      </c>
      <c r="AK132" s="58">
        <f t="shared" ca="1" si="60"/>
        <v>3730</v>
      </c>
      <c r="AL132" s="26">
        <f ca="1">IF($A133="","",_xll.SPRDOPT(P132,X132,AI132,0,AB132,AE132,AF132,AK132,$AJ$2,0))</f>
        <v>5.868581705691267E-3</v>
      </c>
      <c r="AM132" s="209">
        <f t="shared" si="61"/>
        <v>0</v>
      </c>
      <c r="AN132" s="89">
        <f t="shared" ca="1" si="62"/>
        <v>5.868581705691267E-3</v>
      </c>
      <c r="AO132" s="3">
        <f t="shared" si="63"/>
        <v>31</v>
      </c>
      <c r="AP132" s="33">
        <f t="shared" si="64"/>
        <v>40756</v>
      </c>
      <c r="AQ132" s="58">
        <f t="shared" ca="1" si="65"/>
        <v>3730</v>
      </c>
      <c r="AR132" s="38">
        <f>'ANR OK vs ML7'!AR132</f>
        <v>0.1</v>
      </c>
      <c r="AS132" s="35">
        <f t="shared" ca="1" si="66"/>
        <v>0.36916624322871877</v>
      </c>
      <c r="AT132" s="3">
        <f t="shared" si="67"/>
        <v>1</v>
      </c>
      <c r="AU132" s="3">
        <f t="shared" si="68"/>
        <v>31</v>
      </c>
      <c r="AW132" s="32">
        <f t="shared" ca="1" si="69"/>
        <v>22584.661573345682</v>
      </c>
      <c r="AX132" s="32">
        <f t="shared" si="70"/>
        <v>0</v>
      </c>
      <c r="AY132" s="32">
        <f t="shared" ca="1" si="71"/>
        <v>22584.661573345682</v>
      </c>
      <c r="BA132" s="32">
        <f ca="1">IF($A133="","",F132*Summary!$Q$11)</f>
        <v>0</v>
      </c>
      <c r="BC132" s="256">
        <f t="shared" ca="1" si="74"/>
        <v>0</v>
      </c>
    </row>
    <row r="133" spans="1:55">
      <c r="A133" s="67">
        <f t="shared" si="72"/>
        <v>40787</v>
      </c>
      <c r="B133" s="69">
        <f t="shared" si="75"/>
        <v>124142</v>
      </c>
      <c r="C133" s="71"/>
      <c r="D133" s="69">
        <f t="shared" si="38"/>
        <v>124142</v>
      </c>
      <c r="E133" s="70">
        <f t="shared" si="39"/>
        <v>3724260</v>
      </c>
      <c r="F133" s="70">
        <f t="shared" ca="1" si="40"/>
        <v>1363531.4516605162</v>
      </c>
      <c r="G133" s="63">
        <f t="shared" si="41"/>
        <v>4.4450000000000003</v>
      </c>
      <c r="H133" s="64">
        <f t="shared" si="42"/>
        <v>4.4450000000000003</v>
      </c>
      <c r="I133" s="43"/>
      <c r="J133" s="63">
        <f t="shared" si="43"/>
        <v>0.23499999999999999</v>
      </c>
      <c r="K133" s="64">
        <f t="shared" si="44"/>
        <v>0.23499999999999999</v>
      </c>
      <c r="L133" s="63">
        <f t="shared" si="45"/>
        <v>0</v>
      </c>
      <c r="M133" s="64">
        <f t="shared" si="46"/>
        <v>0</v>
      </c>
      <c r="N133" s="65"/>
      <c r="O133" s="63">
        <f t="shared" si="47"/>
        <v>4.6800000000000006</v>
      </c>
      <c r="P133" s="63">
        <f t="shared" si="48"/>
        <v>4.6800000000000006</v>
      </c>
      <c r="Q133" s="66"/>
      <c r="R133" s="63">
        <f t="shared" si="49"/>
        <v>0.18</v>
      </c>
      <c r="S133" s="64">
        <f t="shared" si="50"/>
        <v>0.18</v>
      </c>
      <c r="T133" s="38">
        <v>0</v>
      </c>
      <c r="U133" s="64">
        <f t="shared" si="51"/>
        <v>0</v>
      </c>
      <c r="V133" s="219">
        <f>IF($A134="","",IF(AND(MONTH(A133)&gt;3,MONTH(A133)&lt;11),(T133+R133+G133)*Summary!$T$11/(1-Summary!$T$11),(T133+R133+G133)*Summary!$U$11/(1-Summary!$U$11)))</f>
        <v>4.9316658363058957E-2</v>
      </c>
      <c r="W133" s="43">
        <f t="shared" si="52"/>
        <v>4.6743166583630593</v>
      </c>
      <c r="X133" s="43">
        <f t="shared" si="53"/>
        <v>4.6743166583630593</v>
      </c>
      <c r="Y133" s="43"/>
      <c r="Z133" s="38">
        <f t="shared" si="54"/>
        <v>0.6</v>
      </c>
      <c r="AA133" s="38">
        <f t="shared" si="55"/>
        <v>0.18</v>
      </c>
      <c r="AB133" s="38">
        <f t="shared" ca="1" si="56"/>
        <v>0.18396848394300067</v>
      </c>
      <c r="AC133" s="38">
        <f t="shared" si="57"/>
        <v>0.6</v>
      </c>
      <c r="AD133" s="38">
        <f t="shared" si="57"/>
        <v>0.18</v>
      </c>
      <c r="AE133" s="38">
        <f t="shared" ca="1" si="58"/>
        <v>0.18396848394300067</v>
      </c>
      <c r="AF133" s="238">
        <f ca="1">((Summary!$N$11*(AA133*AD133)*(A133-$D$3))+(Summary!$M$11*Z133*AC133*(AJ133-EOMONTH(EDATE(A133,-1),0))))/(AK133*AB133*AE133)</f>
        <v>0.99990424232139818</v>
      </c>
      <c r="AG133" s="88">
        <f>IF($A134="","",Summary!$Q$11)</f>
        <v>0</v>
      </c>
      <c r="AH133" s="88">
        <f>IF($A134="","",IF(Summary!$R$11="Y",(VLOOKUP($A133,Summary!$AD$6:$AF$9,3)+'Escalating commodity'!G146),'Escalating commodity'!G146))</f>
        <v>5.9239648015604251E-3</v>
      </c>
      <c r="AI133" s="88">
        <f t="shared" si="73"/>
        <v>5.9239648015604251E-3</v>
      </c>
      <c r="AJ133" s="236">
        <f t="shared" si="59"/>
        <v>40801</v>
      </c>
      <c r="AK133" s="58">
        <f t="shared" ca="1" si="60"/>
        <v>3761</v>
      </c>
      <c r="AL133" s="26">
        <f ca="1">IF($A134="","",_xll.SPRDOPT(P133,X133,AI133,0,AB133,AE133,AF133,AK133,$AJ$2,0))</f>
        <v>5.8228732757347051E-3</v>
      </c>
      <c r="AM133" s="209">
        <f t="shared" si="61"/>
        <v>0</v>
      </c>
      <c r="AN133" s="89">
        <f t="shared" ca="1" si="62"/>
        <v>5.8228732757347051E-3</v>
      </c>
      <c r="AO133" s="3">
        <f t="shared" si="63"/>
        <v>30</v>
      </c>
      <c r="AP133" s="33">
        <f t="shared" si="64"/>
        <v>40787</v>
      </c>
      <c r="AQ133" s="58">
        <f t="shared" ca="1" si="65"/>
        <v>3761</v>
      </c>
      <c r="AR133" s="38">
        <f>'ANR OK vs ML7'!AR133</f>
        <v>0.1</v>
      </c>
      <c r="AS133" s="35">
        <f t="shared" ca="1" si="66"/>
        <v>0.3661214447059325</v>
      </c>
      <c r="AT133" s="3">
        <f t="shared" si="67"/>
        <v>1</v>
      </c>
      <c r="AU133" s="3">
        <f t="shared" si="68"/>
        <v>30</v>
      </c>
      <c r="AW133" s="32">
        <f t="shared" ca="1" si="69"/>
        <v>21685.894025887734</v>
      </c>
      <c r="AX133" s="32">
        <f t="shared" si="70"/>
        <v>0</v>
      </c>
      <c r="AY133" s="32">
        <f t="shared" ca="1" si="71"/>
        <v>21685.894025887734</v>
      </c>
      <c r="BA133" s="32">
        <f ca="1">IF($A134="","",F133*Summary!$Q$11)</f>
        <v>0</v>
      </c>
      <c r="BC133" s="256">
        <f t="shared" ca="1" si="74"/>
        <v>0</v>
      </c>
    </row>
    <row r="134" spans="1:55">
      <c r="A134" s="67">
        <f t="shared" si="72"/>
        <v>40817</v>
      </c>
      <c r="B134" s="69">
        <f t="shared" si="75"/>
        <v>124142</v>
      </c>
      <c r="C134" s="71"/>
      <c r="D134" s="69">
        <f t="shared" si="38"/>
        <v>124142</v>
      </c>
      <c r="E134" s="70">
        <f t="shared" si="39"/>
        <v>3848402</v>
      </c>
      <c r="F134" s="70">
        <f t="shared" ca="1" si="40"/>
        <v>1397734.904983995</v>
      </c>
      <c r="G134" s="63">
        <f t="shared" si="41"/>
        <v>4.476</v>
      </c>
      <c r="H134" s="64">
        <f t="shared" si="42"/>
        <v>4.476</v>
      </c>
      <c r="I134" s="43"/>
      <c r="J134" s="63">
        <f t="shared" si="43"/>
        <v>0.23499999999999999</v>
      </c>
      <c r="K134" s="64">
        <f t="shared" si="44"/>
        <v>0.23499999999999999</v>
      </c>
      <c r="L134" s="63">
        <f t="shared" si="45"/>
        <v>0</v>
      </c>
      <c r="M134" s="64">
        <f t="shared" si="46"/>
        <v>0</v>
      </c>
      <c r="N134" s="65"/>
      <c r="O134" s="63">
        <f t="shared" si="47"/>
        <v>4.7110000000000003</v>
      </c>
      <c r="P134" s="63">
        <f t="shared" si="48"/>
        <v>4.7110000000000003</v>
      </c>
      <c r="Q134" s="66"/>
      <c r="R134" s="63">
        <f t="shared" si="49"/>
        <v>0.18</v>
      </c>
      <c r="S134" s="64">
        <f t="shared" si="50"/>
        <v>0.18</v>
      </c>
      <c r="T134" s="38">
        <v>0</v>
      </c>
      <c r="U134" s="64">
        <f t="shared" si="51"/>
        <v>0</v>
      </c>
      <c r="V134" s="219">
        <f>IF($A135="","",IF(AND(MONTH(A134)&gt;3,MONTH(A134)&lt;11),(T134+R134+G134)*Summary!$T$11/(1-Summary!$T$11),(T134+R134+G134)*Summary!$U$11/(1-Summary!$U$11)))</f>
        <v>4.9647213262357291E-2</v>
      </c>
      <c r="W134" s="43">
        <f t="shared" si="52"/>
        <v>4.705647213262357</v>
      </c>
      <c r="X134" s="43">
        <f t="shared" si="53"/>
        <v>4.705647213262357</v>
      </c>
      <c r="Y134" s="43"/>
      <c r="Z134" s="38">
        <f t="shared" si="54"/>
        <v>0.65</v>
      </c>
      <c r="AA134" s="38">
        <f t="shared" si="55"/>
        <v>0.18</v>
      </c>
      <c r="AB134" s="38">
        <f t="shared" ca="1" si="56"/>
        <v>0.18475928431786934</v>
      </c>
      <c r="AC134" s="38">
        <f t="shared" si="57"/>
        <v>0.65</v>
      </c>
      <c r="AD134" s="38">
        <f t="shared" si="57"/>
        <v>0.18</v>
      </c>
      <c r="AE134" s="38">
        <f t="shared" ca="1" si="58"/>
        <v>0.18475928431786934</v>
      </c>
      <c r="AF134" s="238">
        <f ca="1">((Summary!$N$11*(AA134*AD134)*(A134-$D$3))+(Summary!$M$11*Z134*AC134*(AJ134-EOMONTH(EDATE(A134,-1),0))))/(AK134*AB134*AE134)</f>
        <v>0.99990506048433059</v>
      </c>
      <c r="AG134" s="88">
        <f>IF($A135="","",Summary!$Q$11)</f>
        <v>0</v>
      </c>
      <c r="AH134" s="88">
        <f>IF($A135="","",IF(Summary!$R$11="Y",(VLOOKUP($A134,Summary!$AD$6:$AF$9,3)+'Escalating commodity'!G147),'Escalating commodity'!G147))</f>
        <v>5.9239648015604251E-3</v>
      </c>
      <c r="AI134" s="88">
        <f t="shared" si="73"/>
        <v>5.9239648015604251E-3</v>
      </c>
      <c r="AJ134" s="236">
        <f t="shared" si="59"/>
        <v>40831.5</v>
      </c>
      <c r="AK134" s="58">
        <f t="shared" ca="1" si="60"/>
        <v>3791</v>
      </c>
      <c r="AL134" s="26">
        <f ca="1">IF($A135="","",_xll.SPRDOPT(P134,X134,AI134,0,AB134,AE134,AF134,AK134,$AJ$2,0))</f>
        <v>5.6700614168926008E-3</v>
      </c>
      <c r="AM134" s="209">
        <f t="shared" si="61"/>
        <v>0</v>
      </c>
      <c r="AN134" s="89">
        <f t="shared" ca="1" si="62"/>
        <v>5.6700614168926008E-3</v>
      </c>
      <c r="AO134" s="3">
        <f t="shared" si="63"/>
        <v>31</v>
      </c>
      <c r="AP134" s="33">
        <f t="shared" si="64"/>
        <v>40817</v>
      </c>
      <c r="AQ134" s="58">
        <f t="shared" ca="1" si="65"/>
        <v>3791</v>
      </c>
      <c r="AR134" s="38">
        <f>'ANR OK vs ML7'!AR134</f>
        <v>0.1</v>
      </c>
      <c r="AS134" s="35">
        <f t="shared" ca="1" si="66"/>
        <v>0.36319877834591996</v>
      </c>
      <c r="AT134" s="3">
        <f t="shared" si="67"/>
        <v>1</v>
      </c>
      <c r="AU134" s="3">
        <f t="shared" si="68"/>
        <v>31</v>
      </c>
      <c r="AW134" s="32">
        <f t="shared" ca="1" si="69"/>
        <v>21820.675696892318</v>
      </c>
      <c r="AX134" s="32">
        <f t="shared" si="70"/>
        <v>0</v>
      </c>
      <c r="AY134" s="32">
        <f t="shared" ca="1" si="71"/>
        <v>21820.675696892318</v>
      </c>
      <c r="BA134" s="32">
        <f ca="1">IF($A135="","",F134*Summary!$Q$11)</f>
        <v>0</v>
      </c>
      <c r="BC134" s="256">
        <f t="shared" ca="1" si="74"/>
        <v>0</v>
      </c>
    </row>
    <row r="135" spans="1:55">
      <c r="A135" s="67">
        <f t="shared" si="72"/>
        <v>40848</v>
      </c>
      <c r="B135" s="69">
        <f t="shared" si="75"/>
        <v>124142</v>
      </c>
      <c r="C135" s="71"/>
      <c r="D135" s="69">
        <f t="shared" si="38"/>
        <v>124142</v>
      </c>
      <c r="E135" s="70">
        <f t="shared" si="39"/>
        <v>3724260</v>
      </c>
      <c r="F135" s="70">
        <f t="shared" ca="1" si="40"/>
        <v>1341490.3625749827</v>
      </c>
      <c r="G135" s="63">
        <f t="shared" si="41"/>
        <v>4.609</v>
      </c>
      <c r="H135" s="64">
        <f t="shared" si="42"/>
        <v>4.609</v>
      </c>
      <c r="I135" s="43"/>
      <c r="J135" s="63">
        <f t="shared" si="43"/>
        <v>0.42499999999999999</v>
      </c>
      <c r="K135" s="64">
        <f t="shared" si="44"/>
        <v>0.42499999999999999</v>
      </c>
      <c r="L135" s="63">
        <f t="shared" si="45"/>
        <v>0</v>
      </c>
      <c r="M135" s="64">
        <f t="shared" si="46"/>
        <v>0</v>
      </c>
      <c r="N135" s="65"/>
      <c r="O135" s="63">
        <f t="shared" si="47"/>
        <v>5.0339999999999998</v>
      </c>
      <c r="P135" s="63">
        <f t="shared" si="48"/>
        <v>5.0339999999999998</v>
      </c>
      <c r="Q135" s="66"/>
      <c r="R135" s="63">
        <f t="shared" si="49"/>
        <v>0.27500000000000002</v>
      </c>
      <c r="S135" s="64">
        <f t="shared" si="50"/>
        <v>0.27500000000000002</v>
      </c>
      <c r="T135" s="38">
        <v>0</v>
      </c>
      <c r="U135" s="64">
        <f t="shared" si="51"/>
        <v>0</v>
      </c>
      <c r="V135" s="219">
        <f>IF($A136="","",IF(AND(MONTH(A135)&gt;3,MONTH(A135)&lt;11),(T135+R135+G135)*Summary!$T$11/(1-Summary!$T$11),(T135+R135+G135)*Summary!$U$11/(1-Summary!$U$11)))</f>
        <v>5.2078391231390263E-2</v>
      </c>
      <c r="W135" s="43">
        <f t="shared" si="52"/>
        <v>4.9360783912313906</v>
      </c>
      <c r="X135" s="43">
        <f t="shared" si="53"/>
        <v>4.9360783912313906</v>
      </c>
      <c r="Y135" s="43"/>
      <c r="Z135" s="38">
        <f t="shared" si="54"/>
        <v>0.8</v>
      </c>
      <c r="AA135" s="38">
        <f t="shared" si="55"/>
        <v>0.18</v>
      </c>
      <c r="AB135" s="38">
        <f t="shared" ca="1" si="56"/>
        <v>0.18686961009590092</v>
      </c>
      <c r="AC135" s="38">
        <f t="shared" si="57"/>
        <v>0.8</v>
      </c>
      <c r="AD135" s="38">
        <f t="shared" si="57"/>
        <v>0.18</v>
      </c>
      <c r="AE135" s="38">
        <f t="shared" ca="1" si="58"/>
        <v>0.18686961009590092</v>
      </c>
      <c r="AF135" s="238">
        <f ca="1">((Summary!$N$11*(AA135*AD135)*(A135-$D$3))+(Summary!$M$11*Z135*AC135*(AJ135-EOMONTH(EDATE(A135,-1),0))))/(AK135*AB135*AE135)</f>
        <v>0.99990719288623542</v>
      </c>
      <c r="AG135" s="88">
        <f>IF($A136="","",Summary!$Q$11)</f>
        <v>0</v>
      </c>
      <c r="AH135" s="88">
        <f>IF($A136="","",IF(Summary!$R$11="Y",(VLOOKUP($A135,Summary!$AD$6:$AF$9,3)+'Escalating commodity'!G148),'Escalating commodity'!G148))</f>
        <v>5.9239648015604251E-3</v>
      </c>
      <c r="AI135" s="88">
        <f t="shared" si="73"/>
        <v>5.9239648015604251E-3</v>
      </c>
      <c r="AJ135" s="236">
        <f t="shared" si="59"/>
        <v>40862</v>
      </c>
      <c r="AK135" s="58">
        <f t="shared" ca="1" si="60"/>
        <v>3822</v>
      </c>
      <c r="AL135" s="26">
        <f ca="1">IF($A136="","",_xll.SPRDOPT(P135,X135,AI135,0,AB135,AE135,AF135,AK135,$AJ$2,0))</f>
        <v>9.3839184293110334E-2</v>
      </c>
      <c r="AM135" s="209">
        <f t="shared" si="61"/>
        <v>9.1997643967048806E-2</v>
      </c>
      <c r="AN135" s="89">
        <f t="shared" ca="1" si="62"/>
        <v>1.8415403260615276E-3</v>
      </c>
      <c r="AO135" s="3">
        <f t="shared" si="63"/>
        <v>30</v>
      </c>
      <c r="AP135" s="33">
        <f t="shared" si="64"/>
        <v>40848</v>
      </c>
      <c r="AQ135" s="58">
        <f t="shared" ca="1" si="65"/>
        <v>3822</v>
      </c>
      <c r="AR135" s="38">
        <f>'ANR OK vs ML7'!AR135</f>
        <v>0.1</v>
      </c>
      <c r="AS135" s="35">
        <f t="shared" ca="1" si="66"/>
        <v>0.3602031981051223</v>
      </c>
      <c r="AT135" s="3">
        <f t="shared" si="67"/>
        <v>1</v>
      </c>
      <c r="AU135" s="3">
        <f t="shared" si="68"/>
        <v>30</v>
      </c>
      <c r="AW135" s="32">
        <f t="shared" ca="1" si="69"/>
        <v>349481.52049545909</v>
      </c>
      <c r="AX135" s="32">
        <f t="shared" si="70"/>
        <v>342623.14552072121</v>
      </c>
      <c r="AY135" s="32">
        <f t="shared" ca="1" si="71"/>
        <v>6858.3749747379052</v>
      </c>
      <c r="BA135" s="32">
        <f ca="1">IF($A136="","",F135*Summary!$Q$11)</f>
        <v>0</v>
      </c>
      <c r="BC135" s="256">
        <f t="shared" ca="1" si="74"/>
        <v>123413.95276140048</v>
      </c>
    </row>
    <row r="136" spans="1:55">
      <c r="A136" s="67">
        <f t="shared" si="72"/>
        <v>40878</v>
      </c>
      <c r="B136" s="69">
        <f t="shared" si="75"/>
        <v>124142</v>
      </c>
      <c r="C136" s="71"/>
      <c r="D136" s="69">
        <f t="shared" si="38"/>
        <v>124142</v>
      </c>
      <c r="E136" s="70">
        <f t="shared" si="39"/>
        <v>3848402</v>
      </c>
      <c r="F136" s="70">
        <f t="shared" ca="1" si="40"/>
        <v>1375140.9270297689</v>
      </c>
      <c r="G136" s="63">
        <f t="shared" si="41"/>
        <v>4.7469999999999999</v>
      </c>
      <c r="H136" s="64">
        <f t="shared" si="42"/>
        <v>4.7469999999999999</v>
      </c>
      <c r="I136" s="43"/>
      <c r="J136" s="63">
        <f t="shared" si="43"/>
        <v>0.42499999999999999</v>
      </c>
      <c r="K136" s="64">
        <f t="shared" si="44"/>
        <v>0.42499999999999999</v>
      </c>
      <c r="L136" s="63">
        <f t="shared" si="45"/>
        <v>0</v>
      </c>
      <c r="M136" s="64">
        <f t="shared" si="46"/>
        <v>0</v>
      </c>
      <c r="N136" s="65"/>
      <c r="O136" s="63">
        <f t="shared" si="47"/>
        <v>5.1719999999999997</v>
      </c>
      <c r="P136" s="63">
        <f t="shared" si="48"/>
        <v>5.1719999999999997</v>
      </c>
      <c r="Q136" s="66"/>
      <c r="R136" s="63">
        <f t="shared" si="49"/>
        <v>0.27500000000000002</v>
      </c>
      <c r="S136" s="64">
        <f t="shared" si="50"/>
        <v>0.27500000000000002</v>
      </c>
      <c r="T136" s="38">
        <v>0</v>
      </c>
      <c r="U136" s="64">
        <f t="shared" si="51"/>
        <v>0</v>
      </c>
      <c r="V136" s="219">
        <f>IF($A137="","",IF(AND(MONTH(A136)&gt;3,MONTH(A136)&lt;11),(T136+R136+G136)*Summary!$T$11/(1-Summary!$T$11),(T136+R136+G136)*Summary!$U$11/(1-Summary!$U$11)))</f>
        <v>5.3549893686331264E-2</v>
      </c>
      <c r="W136" s="43">
        <f t="shared" si="52"/>
        <v>5.0755498936863317</v>
      </c>
      <c r="X136" s="43">
        <f t="shared" si="53"/>
        <v>5.0755498936863317</v>
      </c>
      <c r="Y136" s="43"/>
      <c r="Z136" s="38">
        <f t="shared" si="54"/>
        <v>1.1000000000000001</v>
      </c>
      <c r="AA136" s="38">
        <f t="shared" si="55"/>
        <v>0.18</v>
      </c>
      <c r="AB136" s="38">
        <f t="shared" ca="1" si="56"/>
        <v>0.19307332930277593</v>
      </c>
      <c r="AC136" s="38">
        <f t="shared" si="57"/>
        <v>1.1000000000000001</v>
      </c>
      <c r="AD136" s="38">
        <f t="shared" si="57"/>
        <v>0.18</v>
      </c>
      <c r="AE136" s="38">
        <f t="shared" ca="1" si="58"/>
        <v>0.19307332930277593</v>
      </c>
      <c r="AF136" s="238">
        <f ca="1">((Summary!$N$11*(AA136*AD136)*(A136-$D$3))+(Summary!$M$11*Z136*AC136*(AJ136-EOMONTH(EDATE(A136,-1),0))))/(AK136*AB136*AE136)</f>
        <v>0.99991306129441548</v>
      </c>
      <c r="AG136" s="88">
        <f>IF($A137="","",Summary!$Q$11)</f>
        <v>0</v>
      </c>
      <c r="AH136" s="88">
        <f>IF($A137="","",IF(Summary!$R$11="Y",(VLOOKUP($A136,Summary!$AD$6:$AF$9,3)+'Escalating commodity'!G149),'Escalating commodity'!G149))</f>
        <v>5.9239648015604251E-3</v>
      </c>
      <c r="AI136" s="88">
        <f t="shared" si="73"/>
        <v>5.9239648015604251E-3</v>
      </c>
      <c r="AJ136" s="236">
        <f t="shared" si="59"/>
        <v>40892.5</v>
      </c>
      <c r="AK136" s="58">
        <f t="shared" ca="1" si="60"/>
        <v>3852</v>
      </c>
      <c r="AL136" s="26">
        <f ca="1">IF($A137="","",_xll.SPRDOPT(P136,X136,AI136,0,AB136,AE136,AF136,AK136,$AJ$2,0))</f>
        <v>9.2533273629921489E-2</v>
      </c>
      <c r="AM136" s="209">
        <f t="shared" si="61"/>
        <v>9.0526141512107597E-2</v>
      </c>
      <c r="AN136" s="89">
        <f t="shared" ca="1" si="62"/>
        <v>2.0071321178138923E-3</v>
      </c>
      <c r="AO136" s="3">
        <f t="shared" si="63"/>
        <v>31</v>
      </c>
      <c r="AP136" s="33">
        <f t="shared" si="64"/>
        <v>40878</v>
      </c>
      <c r="AQ136" s="58">
        <f t="shared" ca="1" si="65"/>
        <v>3852</v>
      </c>
      <c r="AR136" s="38">
        <f>'ANR OK vs ML7'!AR136</f>
        <v>0.1</v>
      </c>
      <c r="AS136" s="35">
        <f t="shared" ca="1" si="66"/>
        <v>0.35732777579623154</v>
      </c>
      <c r="AT136" s="3">
        <f t="shared" si="67"/>
        <v>1</v>
      </c>
      <c r="AU136" s="3">
        <f t="shared" si="68"/>
        <v>31</v>
      </c>
      <c r="AW136" s="32">
        <f t="shared" ca="1" si="69"/>
        <v>356105.23530393711</v>
      </c>
      <c r="AX136" s="32">
        <f t="shared" si="70"/>
        <v>348380.98404747789</v>
      </c>
      <c r="AY136" s="32">
        <f t="shared" ca="1" si="71"/>
        <v>7724.2512564592189</v>
      </c>
      <c r="BA136" s="32">
        <f ca="1">IF($A137="","",F136*Summary!$Q$11)</f>
        <v>0</v>
      </c>
      <c r="BC136" s="256">
        <f t="shared" ca="1" si="74"/>
        <v>124486.20215938769</v>
      </c>
    </row>
    <row r="137" spans="1:55">
      <c r="A137" s="67">
        <f t="shared" si="72"/>
        <v>40909</v>
      </c>
      <c r="B137" s="69">
        <f t="shared" si="75"/>
        <v>124142</v>
      </c>
      <c r="C137" s="71"/>
      <c r="D137" s="69">
        <f t="shared" si="38"/>
        <v>124142</v>
      </c>
      <c r="E137" s="70">
        <f t="shared" si="39"/>
        <v>3848402</v>
      </c>
      <c r="F137" s="70">
        <f t="shared" ca="1" si="40"/>
        <v>1363799.0799891958</v>
      </c>
      <c r="G137" s="63">
        <f t="shared" si="41"/>
        <v>4.7890000000000006</v>
      </c>
      <c r="H137" s="64">
        <f t="shared" si="42"/>
        <v>4.7890000000000006</v>
      </c>
      <c r="I137" s="43"/>
      <c r="J137" s="63">
        <f t="shared" si="43"/>
        <v>0.42499999999999999</v>
      </c>
      <c r="K137" s="64">
        <f t="shared" si="44"/>
        <v>0.42499999999999999</v>
      </c>
      <c r="L137" s="63">
        <f t="shared" si="45"/>
        <v>0</v>
      </c>
      <c r="M137" s="64">
        <f t="shared" si="46"/>
        <v>0</v>
      </c>
      <c r="N137" s="65"/>
      <c r="O137" s="63">
        <f t="shared" si="47"/>
        <v>5.2140000000000004</v>
      </c>
      <c r="P137" s="63">
        <f t="shared" si="48"/>
        <v>5.2140000000000004</v>
      </c>
      <c r="Q137" s="66"/>
      <c r="R137" s="63">
        <f t="shared" si="49"/>
        <v>0.27500000000000002</v>
      </c>
      <c r="S137" s="64">
        <f t="shared" si="50"/>
        <v>0.27500000000000002</v>
      </c>
      <c r="T137" s="38">
        <v>0</v>
      </c>
      <c r="U137" s="64">
        <f t="shared" si="51"/>
        <v>0</v>
      </c>
      <c r="V137" s="219">
        <f>IF($A138="","",IF(AND(MONTH(A137)&gt;3,MONTH(A137)&lt;11),(T137+R137+G137)*Summary!$T$11/(1-Summary!$T$11),(T137+R137+G137)*Summary!$U$11/(1-Summary!$U$11)))</f>
        <v>5.3997742259574183E-2</v>
      </c>
      <c r="W137" s="43">
        <f t="shared" si="52"/>
        <v>5.1179977422595755</v>
      </c>
      <c r="X137" s="43">
        <f t="shared" si="53"/>
        <v>5.1179977422595755</v>
      </c>
      <c r="Y137" s="43"/>
      <c r="Z137" s="38">
        <f t="shared" si="54"/>
        <v>1.1000000000000001</v>
      </c>
      <c r="AA137" s="38">
        <f t="shared" si="55"/>
        <v>0.18</v>
      </c>
      <c r="AB137" s="38">
        <f t="shared" ca="1" si="56"/>
        <v>0.19297246537389742</v>
      </c>
      <c r="AC137" s="38">
        <f t="shared" si="57"/>
        <v>1.1000000000000001</v>
      </c>
      <c r="AD137" s="38">
        <f t="shared" si="57"/>
        <v>0.18</v>
      </c>
      <c r="AE137" s="38">
        <f t="shared" ca="1" si="58"/>
        <v>0.19297246537389742</v>
      </c>
      <c r="AF137" s="238">
        <f ca="1">((Summary!$N$11*(AA137*AD137)*(A137-$D$3))+(Summary!$M$11*Z137*AC137*(AJ137-EOMONTH(EDATE(A137,-1),0))))/(AK137*AB137*AE137)</f>
        <v>0.99991297056777262</v>
      </c>
      <c r="AG137" s="88">
        <f>IF($A138="","",Summary!$Q$11)</f>
        <v>0</v>
      </c>
      <c r="AH137" s="88">
        <f>IF($A138="","",IF(Summary!$R$11="Y",(VLOOKUP($A137,Summary!$AD$6:$AF$9,3)+'Escalating commodity'!G150),'Escalating commodity'!G150))</f>
        <v>6.0424440975916337E-3</v>
      </c>
      <c r="AI137" s="88">
        <f t="shared" si="73"/>
        <v>6.0424440975916337E-3</v>
      </c>
      <c r="AJ137" s="236">
        <f t="shared" si="59"/>
        <v>40923.5</v>
      </c>
      <c r="AK137" s="58">
        <f t="shared" ca="1" si="60"/>
        <v>3883</v>
      </c>
      <c r="AL137" s="26">
        <f ca="1">IF($A138="","",_xll.SPRDOPT(P137,X137,AI137,0,AB137,AE137,AF137,AK137,$AJ$2,0))</f>
        <v>9.2030508642286291E-2</v>
      </c>
      <c r="AM137" s="209">
        <f t="shared" si="61"/>
        <v>8.9959813642833286E-2</v>
      </c>
      <c r="AN137" s="89">
        <f t="shared" ca="1" si="62"/>
        <v>2.0706949994530044E-3</v>
      </c>
      <c r="AO137" s="3">
        <f t="shared" si="63"/>
        <v>31</v>
      </c>
      <c r="AP137" s="33">
        <f t="shared" si="64"/>
        <v>40909</v>
      </c>
      <c r="AQ137" s="58">
        <f t="shared" ca="1" si="65"/>
        <v>3883</v>
      </c>
      <c r="AR137" s="38">
        <f>'ANR OK vs ML7'!AR137</f>
        <v>0.1</v>
      </c>
      <c r="AS137" s="35">
        <f t="shared" ca="1" si="66"/>
        <v>0.35438061823821831</v>
      </c>
      <c r="AT137" s="3">
        <f t="shared" si="67"/>
        <v>1</v>
      </c>
      <c r="AU137" s="3">
        <f t="shared" si="68"/>
        <v>31</v>
      </c>
      <c r="AW137" s="32">
        <f t="shared" ca="1" si="69"/>
        <v>354170.39351999183</v>
      </c>
      <c r="AX137" s="32">
        <f t="shared" si="70"/>
        <v>346201.52674270689</v>
      </c>
      <c r="AY137" s="32">
        <f t="shared" ca="1" si="71"/>
        <v>7968.8667772849412</v>
      </c>
      <c r="BA137" s="32">
        <f ca="1">IF($A138="","",F137*Summary!$Q$11)</f>
        <v>0</v>
      </c>
      <c r="BC137" s="256">
        <f t="shared" ca="1" si="74"/>
        <v>122687.11108209554</v>
      </c>
    </row>
    <row r="138" spans="1:55">
      <c r="A138" s="67">
        <f t="shared" si="72"/>
        <v>40940</v>
      </c>
      <c r="B138" s="69">
        <f t="shared" si="75"/>
        <v>124142</v>
      </c>
      <c r="C138" s="71"/>
      <c r="D138" s="69">
        <f t="shared" ref="D138:D201" si="76">IF(A139&lt;&gt;"",B138+C138,"")</f>
        <v>124142</v>
      </c>
      <c r="E138" s="70">
        <f t="shared" ref="E138:E201" si="77">IF(A139="","",IF(AND(AT138=1,$H$3=1),D138*AO138,IF($H$3=2,D138,"N/A")))</f>
        <v>3600118</v>
      </c>
      <c r="F138" s="70">
        <f t="shared" ref="F138:F201" ca="1" si="78">IF(A139="","",E138*AS138)</f>
        <v>1265289.4373924558</v>
      </c>
      <c r="G138" s="63">
        <f t="shared" ref="G138:G201" si="79">IF($A139="","",VLOOKUP($A138,Table,MATCH(G$4,Curves,0)))</f>
        <v>4.6690000000000005</v>
      </c>
      <c r="H138" s="64">
        <f t="shared" ref="H138:H201" si="80">IF(A139="","",G138)</f>
        <v>4.6690000000000005</v>
      </c>
      <c r="I138" s="43"/>
      <c r="J138" s="63">
        <f t="shared" ref="J138:J201" si="81">IF($A139="","",VLOOKUP($A138,Table,MATCH(J$4,Curves,0)))</f>
        <v>0.42499999999999999</v>
      </c>
      <c r="K138" s="64">
        <f t="shared" ref="K138:K201" si="82">IF(A139="","",J138)</f>
        <v>0.42499999999999999</v>
      </c>
      <c r="L138" s="63">
        <f t="shared" ref="L138:L201" si="83">IF($A139="","",VLOOKUP($A138,Table,MATCH(L$4,Curves,0)))</f>
        <v>0</v>
      </c>
      <c r="M138" s="64">
        <f t="shared" ref="M138:M201" si="84">IF(A139="","",L138)</f>
        <v>0</v>
      </c>
      <c r="N138" s="65"/>
      <c r="O138" s="63">
        <f t="shared" ref="O138:O201" si="85">IF(A139="","",L138+J138+G138)</f>
        <v>5.0940000000000003</v>
      </c>
      <c r="P138" s="63">
        <f t="shared" ref="P138:P201" si="86">IF(A139="","",M138+K138+H138)</f>
        <v>5.0940000000000003</v>
      </c>
      <c r="Q138" s="66"/>
      <c r="R138" s="63">
        <f t="shared" ref="R138:R201" si="87">IF($A139="","",VLOOKUP($A138,Table,MATCH(R$4,Curves,0)))</f>
        <v>0.27500000000000002</v>
      </c>
      <c r="S138" s="64">
        <f t="shared" ref="S138:S201" si="88">IF(A139="","",R138)</f>
        <v>0.27500000000000002</v>
      </c>
      <c r="T138" s="38">
        <v>0</v>
      </c>
      <c r="U138" s="64">
        <f t="shared" ref="U138:U201" si="89">IF(A139="","",T138)</f>
        <v>0</v>
      </c>
      <c r="V138" s="219">
        <f>IF($A139="","",IF(AND(MONTH(A138)&gt;3,MONTH(A138)&lt;11),(T138+R138+G138)*Summary!$T$11/(1-Summary!$T$11),(T138+R138+G138)*Summary!$U$11/(1-Summary!$U$11)))</f>
        <v>5.2718174907451579E-2</v>
      </c>
      <c r="W138" s="43">
        <f t="shared" ref="W138:W201" si="90">IF($A139="","",(T138+R138+G138+V138))</f>
        <v>4.9967181749074525</v>
      </c>
      <c r="X138" s="43">
        <f t="shared" ref="X138:X201" si="91">IF($A139="","",(U138+S138+H138+V138))</f>
        <v>4.9967181749074525</v>
      </c>
      <c r="Y138" s="43"/>
      <c r="Z138" s="38">
        <f t="shared" ref="Z138:Z201" si="92">IF($A139="","",VLOOKUP($A138,Table,MATCH(Z$4,Curves,0)))</f>
        <v>1.1000000000000001</v>
      </c>
      <c r="AA138" s="38">
        <f t="shared" ref="AA138:AA201" si="93">IF($A139="","",VLOOKUP($A138,Table,MATCH(AA$4,Curves,0)))</f>
        <v>0.17499999999999999</v>
      </c>
      <c r="AB138" s="38">
        <f t="shared" ref="AB138:AB201" ca="1" si="94">SQRT((AA138^2*(A138-$D$3)+Z138^2*(DAY(EOMONTH(A138,0))/2))/AK138)</f>
        <v>0.18739117093749233</v>
      </c>
      <c r="AC138" s="38">
        <f t="shared" ref="AC138:AD201" si="95">IF($A139="","",VLOOKUP($A138,Table,MATCH(AC$4,Curves,0)))</f>
        <v>1.1000000000000001</v>
      </c>
      <c r="AD138" s="38">
        <f t="shared" si="95"/>
        <v>0.17499999999999999</v>
      </c>
      <c r="AE138" s="38">
        <f t="shared" ref="AE138:AE201" ca="1" si="96">SQRT((AD138^2*(A138-$D$3)+AC138^2*(DAY(EOMONTH(A138,0))/2))/AK138)</f>
        <v>0.18739117093749233</v>
      </c>
      <c r="AF138" s="238">
        <f ca="1">((Summary!$N$11*(AA138*AD138)*(A138-$D$3))+(Summary!$M$11*Z138*AC138*(AJ138-EOMONTH(EDATE(A138,-1),0))))/(AK138*AB138*AE138)</f>
        <v>0.99991276539628138</v>
      </c>
      <c r="AG138" s="88">
        <f>IF($A139="","",Summary!$Q$11)</f>
        <v>0</v>
      </c>
      <c r="AH138" s="88">
        <f>IF($A139="","",IF(Summary!$R$11="Y",(VLOOKUP($A138,Summary!$AD$6:$AF$9,3)+'Escalating commodity'!G151),'Escalating commodity'!G151))</f>
        <v>6.0424440975916337E-3</v>
      </c>
      <c r="AI138" s="88">
        <f t="shared" si="73"/>
        <v>6.0424440975916337E-3</v>
      </c>
      <c r="AJ138" s="236">
        <f t="shared" ref="AJ138:AJ201" si="97">A138+DAY(EOMONTH(A138,0))/2-1</f>
        <v>40953.5</v>
      </c>
      <c r="AK138" s="58">
        <f t="shared" ref="AK138:AK201" ca="1" si="98">IF($A139="","",$A138-$E$1)</f>
        <v>3914</v>
      </c>
      <c r="AL138" s="26">
        <f ca="1">IF($A139="","",_xll.SPRDOPT(P138,X138,AI138,0,AB138,AE138,AF138,AK138,$AJ$2,0))</f>
        <v>9.3088431616655087E-2</v>
      </c>
      <c r="AM138" s="209">
        <f t="shared" ref="AM138:AM201" si="99">IF($A139="","",MAX(0,O138-W138-AI138))</f>
        <v>9.1239380994956154E-2</v>
      </c>
      <c r="AN138" s="89">
        <f t="shared" ref="AN138:AN201" ca="1" si="100">IF($A139="","",AL138-AM138)</f>
        <v>1.8490506216989333E-3</v>
      </c>
      <c r="AO138" s="3">
        <f t="shared" ref="AO138:AO201" si="101">IF(A139="","",A139-A138)</f>
        <v>29</v>
      </c>
      <c r="AP138" s="33">
        <f t="shared" ref="AP138:AP201" si="102">IF(A139="","",CHOOSE(F$3,A139+24,A138))</f>
        <v>40940</v>
      </c>
      <c r="AQ138" s="58">
        <f t="shared" ref="AQ138:AQ201" ca="1" si="103">IF(A139="","",AP138-$E$1)</f>
        <v>3914</v>
      </c>
      <c r="AR138" s="38">
        <f>'ANR OK vs ML7'!AR138</f>
        <v>0.1</v>
      </c>
      <c r="AS138" s="35">
        <f t="shared" ref="AS138:AS201" ca="1" si="104">IF(A139="","",1/(1+CHOOSE(F$3,(AR139+($I$3/10000))/2,(AR138+($I$3/10000))/2))^(2*AQ138/365.25))</f>
        <v>0.351457768159948</v>
      </c>
      <c r="AT138" s="3">
        <f t="shared" ref="AT138:AT201" si="105">IF(A139="","",IF(AND(mthbeg&lt;=A138,mthend&gt;=A138),1,0))</f>
        <v>1</v>
      </c>
      <c r="AU138" s="3">
        <f t="shared" ref="AU138:AU201" si="106">IF(A139="","",AO138*AT138)</f>
        <v>29</v>
      </c>
      <c r="AW138" s="32">
        <f t="shared" ref="AW138:AW201" ca="1" si="107">IF($A139="","",AL138*$E138)</f>
        <v>335129.33825488907</v>
      </c>
      <c r="AX138" s="32">
        <f t="shared" ref="AX138:AX201" si="108">IF($A139="","",AM138*$E138)</f>
        <v>328472.53782879957</v>
      </c>
      <c r="AY138" s="32">
        <f t="shared" ref="AY138:AY201" ca="1" si="109">IF($A139="","",AN138*$E138)</f>
        <v>6656.8004260895204</v>
      </c>
      <c r="BA138" s="32">
        <f ca="1">IF($A139="","",F138*Summary!$Q$11)</f>
        <v>0</v>
      </c>
      <c r="BC138" s="256">
        <f t="shared" ca="1" si="74"/>
        <v>115444.22504714399</v>
      </c>
    </row>
    <row r="139" spans="1:55">
      <c r="A139" s="67">
        <f t="shared" ref="A139:A202" si="110">IF(A138&lt;mthend,EDATE(A138,1),"")</f>
        <v>40969</v>
      </c>
      <c r="B139" s="69">
        <f t="shared" si="75"/>
        <v>124142</v>
      </c>
      <c r="C139" s="71"/>
      <c r="D139" s="69">
        <f t="shared" si="76"/>
        <v>124142</v>
      </c>
      <c r="E139" s="70">
        <f t="shared" si="77"/>
        <v>3848402</v>
      </c>
      <c r="F139" s="70">
        <f t="shared" ca="1" si="78"/>
        <v>1342112.1760747642</v>
      </c>
      <c r="G139" s="63">
        <f t="shared" si="79"/>
        <v>4.53</v>
      </c>
      <c r="H139" s="64">
        <f t="shared" si="80"/>
        <v>4.53</v>
      </c>
      <c r="I139" s="43"/>
      <c r="J139" s="63">
        <f t="shared" si="81"/>
        <v>0.42499999999999999</v>
      </c>
      <c r="K139" s="64">
        <f t="shared" si="82"/>
        <v>0.42499999999999999</v>
      </c>
      <c r="L139" s="63">
        <f t="shared" si="83"/>
        <v>0</v>
      </c>
      <c r="M139" s="64">
        <f t="shared" si="84"/>
        <v>0</v>
      </c>
      <c r="N139" s="65"/>
      <c r="O139" s="63">
        <f t="shared" si="85"/>
        <v>4.9550000000000001</v>
      </c>
      <c r="P139" s="63">
        <f t="shared" si="86"/>
        <v>4.9550000000000001</v>
      </c>
      <c r="Q139" s="66"/>
      <c r="R139" s="63">
        <f t="shared" si="87"/>
        <v>0.27500000000000002</v>
      </c>
      <c r="S139" s="64">
        <f t="shared" si="88"/>
        <v>0.27500000000000002</v>
      </c>
      <c r="T139" s="38">
        <v>0</v>
      </c>
      <c r="U139" s="64">
        <f t="shared" si="89"/>
        <v>0</v>
      </c>
      <c r="V139" s="219">
        <f>IF($A140="","",IF(AND(MONTH(A139)&gt;3,MONTH(A139)&lt;11),(T139+R139+G139)*Summary!$T$11/(1-Summary!$T$11),(T139+R139+G139)*Summary!$U$11/(1-Summary!$U$11)))</f>
        <v>5.1236009391242884E-2</v>
      </c>
      <c r="W139" s="43">
        <f t="shared" si="90"/>
        <v>4.8562360093912433</v>
      </c>
      <c r="X139" s="43">
        <f t="shared" si="91"/>
        <v>4.8562360093912433</v>
      </c>
      <c r="Y139" s="43"/>
      <c r="Z139" s="38">
        <f t="shared" si="92"/>
        <v>0.75</v>
      </c>
      <c r="AA139" s="38">
        <f t="shared" si="93"/>
        <v>0.17</v>
      </c>
      <c r="AB139" s="38">
        <f t="shared" ca="1" si="94"/>
        <v>0.17640444014441065</v>
      </c>
      <c r="AC139" s="38">
        <f t="shared" si="95"/>
        <v>0.75</v>
      </c>
      <c r="AD139" s="38">
        <f t="shared" si="95"/>
        <v>0.17</v>
      </c>
      <c r="AE139" s="38">
        <f t="shared" ca="1" si="96"/>
        <v>0.17640444014441065</v>
      </c>
      <c r="AF139" s="238">
        <f ca="1">((Summary!$N$11*(AA139*AD139)*(A139-$D$3))+(Summary!$M$11*Z139*AC139*(AJ139-EOMONTH(EDATE(A139,-1),0))))/(AK139*AB139*AE139)</f>
        <v>0.99990710572545216</v>
      </c>
      <c r="AG139" s="88">
        <f>IF($A140="","",Summary!$Q$11)</f>
        <v>0</v>
      </c>
      <c r="AH139" s="88">
        <f>IF($A140="","",IF(Summary!$R$11="Y",(VLOOKUP($A139,Summary!$AD$6:$AF$9,3)+'Escalating commodity'!G152),'Escalating commodity'!G152))</f>
        <v>6.0424440975916337E-3</v>
      </c>
      <c r="AI139" s="88">
        <f t="shared" ref="AI139:AI202" si="111">IF($A140="","",AH139)</f>
        <v>6.0424440975916337E-3</v>
      </c>
      <c r="AJ139" s="236">
        <f t="shared" si="97"/>
        <v>40983.5</v>
      </c>
      <c r="AK139" s="58">
        <f t="shared" ca="1" si="98"/>
        <v>3943</v>
      </c>
      <c r="AL139" s="26">
        <f ca="1">IF($A140="","",_xll.SPRDOPT(P139,X139,AI139,0,AB139,AE139,AF139,AK139,$AJ$2,0))</f>
        <v>9.432880647232017E-2</v>
      </c>
      <c r="AM139" s="209">
        <f t="shared" si="99"/>
        <v>9.2721546511165098E-2</v>
      </c>
      <c r="AN139" s="89">
        <f t="shared" ca="1" si="100"/>
        <v>1.607259961155072E-3</v>
      </c>
      <c r="AO139" s="3">
        <f t="shared" si="101"/>
        <v>31</v>
      </c>
      <c r="AP139" s="33">
        <f t="shared" si="102"/>
        <v>40969</v>
      </c>
      <c r="AQ139" s="58">
        <f t="shared" ca="1" si="103"/>
        <v>3943</v>
      </c>
      <c r="AR139" s="38">
        <f>'ANR OK vs ML7'!AR139</f>
        <v>0.1</v>
      </c>
      <c r="AS139" s="35">
        <f t="shared" ca="1" si="104"/>
        <v>0.34874531716664847</v>
      </c>
      <c r="AT139" s="3">
        <f t="shared" si="105"/>
        <v>1</v>
      </c>
      <c r="AU139" s="3">
        <f t="shared" si="106"/>
        <v>31</v>
      </c>
      <c r="AW139" s="32">
        <f t="shared" ca="1" si="107"/>
        <v>363015.16748568986</v>
      </c>
      <c r="AX139" s="32">
        <f t="shared" si="108"/>
        <v>356829.78503666079</v>
      </c>
      <c r="AY139" s="32">
        <f t="shared" ca="1" si="109"/>
        <v>6185.3824490291008</v>
      </c>
      <c r="BA139" s="32">
        <f ca="1">IF($A140="","",F139*Summary!$Q$11)</f>
        <v>0</v>
      </c>
      <c r="BC139" s="256">
        <f t="shared" ref="BC139:BC173" ca="1" si="112">IF(A140="","",AM139*F139)</f>
        <v>124442.71655711725</v>
      </c>
    </row>
    <row r="140" spans="1:55">
      <c r="A140" s="67">
        <f t="shared" si="110"/>
        <v>41000</v>
      </c>
      <c r="B140" s="69">
        <f t="shared" ref="B140:B203" si="113">IF(A140&lt;mthend,B139,"")</f>
        <v>124142</v>
      </c>
      <c r="C140" s="71"/>
      <c r="D140" s="69">
        <f t="shared" si="76"/>
        <v>124142</v>
      </c>
      <c r="E140" s="70">
        <f t="shared" si="77"/>
        <v>3724260</v>
      </c>
      <c r="F140" s="70">
        <f t="shared" ca="1" si="78"/>
        <v>1288105.8799339712</v>
      </c>
      <c r="G140" s="63">
        <f t="shared" si="79"/>
        <v>4.3550000000000004</v>
      </c>
      <c r="H140" s="64">
        <f t="shared" si="80"/>
        <v>4.3550000000000004</v>
      </c>
      <c r="I140" s="43"/>
      <c r="J140" s="63">
        <f t="shared" si="81"/>
        <v>0.23499999999999999</v>
      </c>
      <c r="K140" s="64">
        <f t="shared" si="82"/>
        <v>0.23499999999999999</v>
      </c>
      <c r="L140" s="63">
        <f t="shared" si="83"/>
        <v>0</v>
      </c>
      <c r="M140" s="64">
        <f t="shared" si="84"/>
        <v>0</v>
      </c>
      <c r="N140" s="65"/>
      <c r="O140" s="63">
        <f t="shared" si="85"/>
        <v>4.5900000000000007</v>
      </c>
      <c r="P140" s="63">
        <f t="shared" si="86"/>
        <v>4.5900000000000007</v>
      </c>
      <c r="Q140" s="66"/>
      <c r="R140" s="63">
        <f t="shared" si="87"/>
        <v>0.18</v>
      </c>
      <c r="S140" s="64">
        <f t="shared" si="88"/>
        <v>0.18</v>
      </c>
      <c r="T140" s="38">
        <v>0</v>
      </c>
      <c r="U140" s="64">
        <f t="shared" si="89"/>
        <v>0</v>
      </c>
      <c r="V140" s="219">
        <f>IF($A141="","",IF(AND(MONTH(A140)&gt;3,MONTH(A140)&lt;11),(T140+R140+G140)*Summary!$T$11/(1-Summary!$T$11),(T140+R140+G140)*Summary!$U$11/(1-Summary!$U$11)))</f>
        <v>4.8356982848967001E-2</v>
      </c>
      <c r="W140" s="43">
        <f t="shared" si="90"/>
        <v>4.5833569828489669</v>
      </c>
      <c r="X140" s="43">
        <f t="shared" si="91"/>
        <v>4.5833569828489669</v>
      </c>
      <c r="Y140" s="43"/>
      <c r="Z140" s="38">
        <f t="shared" si="92"/>
        <v>0.45</v>
      </c>
      <c r="AA140" s="38">
        <f t="shared" si="93"/>
        <v>0.17</v>
      </c>
      <c r="AB140" s="38">
        <f t="shared" ca="1" si="94"/>
        <v>0.1722545079257867</v>
      </c>
      <c r="AC140" s="38">
        <f t="shared" si="95"/>
        <v>0.45</v>
      </c>
      <c r="AD140" s="38">
        <f t="shared" si="95"/>
        <v>0.17</v>
      </c>
      <c r="AE140" s="38">
        <f t="shared" ca="1" si="96"/>
        <v>0.1722545079257867</v>
      </c>
      <c r="AF140" s="238">
        <f ca="1">((Summary!$N$11*(AA140*AD140)*(A140-$D$3))+(Summary!$M$11*Z140*AC140*(AJ140-EOMONTH(EDATE(A140,-1),0))))/(AK140*AB140*AE140)</f>
        <v>0.99990257600814147</v>
      </c>
      <c r="AG140" s="88">
        <f>IF($A141="","",Summary!$Q$11)</f>
        <v>0</v>
      </c>
      <c r="AH140" s="88">
        <f>IF($A141="","",IF(Summary!$R$11="Y",(VLOOKUP($A140,Summary!$AD$6:$AF$9,3)+'Escalating commodity'!G153),'Escalating commodity'!G153))</f>
        <v>6.0424440975916337E-3</v>
      </c>
      <c r="AI140" s="88">
        <f t="shared" si="111"/>
        <v>6.0424440975916337E-3</v>
      </c>
      <c r="AJ140" s="236">
        <f t="shared" si="97"/>
        <v>41014</v>
      </c>
      <c r="AK140" s="58">
        <f t="shared" ca="1" si="98"/>
        <v>3974</v>
      </c>
      <c r="AL140" s="26">
        <f ca="1">IF($A141="","",_xll.SPRDOPT(P140,X140,AI140,0,AB140,AE140,AF140,AK140,$AJ$2,0))</f>
        <v>6.132937066622178E-3</v>
      </c>
      <c r="AM140" s="209">
        <f t="shared" si="99"/>
        <v>6.0057305344224723E-4</v>
      </c>
      <c r="AN140" s="89">
        <f t="shared" ca="1" si="100"/>
        <v>5.5323640131799308E-3</v>
      </c>
      <c r="AO140" s="3">
        <f t="shared" si="101"/>
        <v>30</v>
      </c>
      <c r="AP140" s="33">
        <f t="shared" si="102"/>
        <v>41000</v>
      </c>
      <c r="AQ140" s="58">
        <f t="shared" ca="1" si="103"/>
        <v>3974</v>
      </c>
      <c r="AR140" s="38">
        <f>'ANR OK vs ML7'!AR140</f>
        <v>0.1</v>
      </c>
      <c r="AS140" s="35">
        <f t="shared" ca="1" si="104"/>
        <v>0.34586894575941829</v>
      </c>
      <c r="AT140" s="3">
        <f t="shared" si="105"/>
        <v>1</v>
      </c>
      <c r="AU140" s="3">
        <f t="shared" si="106"/>
        <v>30</v>
      </c>
      <c r="AW140" s="32">
        <f t="shared" ca="1" si="107"/>
        <v>22840.652199738313</v>
      </c>
      <c r="AX140" s="32">
        <f t="shared" si="108"/>
        <v>2236.6902000128239</v>
      </c>
      <c r="AY140" s="32">
        <f t="shared" ca="1" si="109"/>
        <v>20603.961999725489</v>
      </c>
      <c r="BA140" s="32">
        <f ca="1">IF($A141="","",F140*Summary!$Q$11)</f>
        <v>0</v>
      </c>
      <c r="BC140" s="256">
        <f t="shared" ca="1" si="112"/>
        <v>773.60168146885781</v>
      </c>
    </row>
    <row r="141" spans="1:55">
      <c r="A141" s="67">
        <f t="shared" si="110"/>
        <v>41030</v>
      </c>
      <c r="B141" s="69">
        <f t="shared" si="113"/>
        <v>124142</v>
      </c>
      <c r="C141" s="71"/>
      <c r="D141" s="69">
        <f t="shared" si="76"/>
        <v>124142</v>
      </c>
      <c r="E141" s="70">
        <f t="shared" si="77"/>
        <v>3848402</v>
      </c>
      <c r="F141" s="70">
        <f t="shared" ca="1" si="78"/>
        <v>1320417.3233453915</v>
      </c>
      <c r="G141" s="63">
        <f t="shared" si="79"/>
        <v>4.3250000000000002</v>
      </c>
      <c r="H141" s="64">
        <f t="shared" si="80"/>
        <v>4.3250000000000002</v>
      </c>
      <c r="I141" s="43"/>
      <c r="J141" s="63">
        <f t="shared" si="81"/>
        <v>0.23499999999999999</v>
      </c>
      <c r="K141" s="64">
        <f t="shared" si="82"/>
        <v>0.23499999999999999</v>
      </c>
      <c r="L141" s="63">
        <f t="shared" si="83"/>
        <v>0</v>
      </c>
      <c r="M141" s="64">
        <f t="shared" si="84"/>
        <v>0</v>
      </c>
      <c r="N141" s="65"/>
      <c r="O141" s="63">
        <f t="shared" si="85"/>
        <v>4.5600000000000005</v>
      </c>
      <c r="P141" s="63">
        <f t="shared" si="86"/>
        <v>4.5600000000000005</v>
      </c>
      <c r="Q141" s="66"/>
      <c r="R141" s="63">
        <f t="shared" si="87"/>
        <v>0.18</v>
      </c>
      <c r="S141" s="64">
        <f t="shared" si="88"/>
        <v>0.18</v>
      </c>
      <c r="T141" s="38">
        <v>0</v>
      </c>
      <c r="U141" s="64">
        <f t="shared" si="89"/>
        <v>0</v>
      </c>
      <c r="V141" s="219">
        <f>IF($A142="","",IF(AND(MONTH(A141)&gt;3,MONTH(A141)&lt;11),(T141+R141+G141)*Summary!$T$11/(1-Summary!$T$11),(T141+R141+G141)*Summary!$U$11/(1-Summary!$U$11)))</f>
        <v>4.8037091010936346E-2</v>
      </c>
      <c r="W141" s="43">
        <f t="shared" si="90"/>
        <v>4.5530370910109363</v>
      </c>
      <c r="X141" s="43">
        <f t="shared" si="91"/>
        <v>4.5530370910109363</v>
      </c>
      <c r="Y141" s="43"/>
      <c r="Z141" s="38">
        <f t="shared" si="92"/>
        <v>0.5</v>
      </c>
      <c r="AA141" s="38">
        <f t="shared" si="93"/>
        <v>0.17</v>
      </c>
      <c r="AB141" s="38">
        <f t="shared" ca="1" si="94"/>
        <v>0.17284386017443606</v>
      </c>
      <c r="AC141" s="38">
        <f t="shared" si="95"/>
        <v>0.5</v>
      </c>
      <c r="AD141" s="38">
        <f t="shared" si="95"/>
        <v>0.17</v>
      </c>
      <c r="AE141" s="38">
        <f t="shared" ca="1" si="96"/>
        <v>0.17284386017443606</v>
      </c>
      <c r="AF141" s="238">
        <f ca="1">((Summary!$N$11*(AA141*AD141)*(A141-$D$3))+(Summary!$M$11*Z141*AC141*(AJ141-EOMONTH(EDATE(A141,-1),0))))/(AK141*AB141*AE141)</f>
        <v>0.99990323943838588</v>
      </c>
      <c r="AG141" s="88">
        <f>IF($A142="","",Summary!$Q$11)</f>
        <v>0</v>
      </c>
      <c r="AH141" s="88">
        <f>IF($A142="","",IF(Summary!$R$11="Y",(VLOOKUP($A141,Summary!$AD$6:$AF$9,3)+'Escalating commodity'!G154),'Escalating commodity'!G154))</f>
        <v>6.0424440975916337E-3</v>
      </c>
      <c r="AI141" s="88">
        <f t="shared" si="111"/>
        <v>6.0424440975916337E-3</v>
      </c>
      <c r="AJ141" s="236">
        <f t="shared" si="97"/>
        <v>41044.5</v>
      </c>
      <c r="AK141" s="58">
        <f t="shared" ca="1" si="98"/>
        <v>4004</v>
      </c>
      <c r="AL141" s="26">
        <f ca="1">IF($A142="","",_xll.SPRDOPT(P141,X141,AI141,0,AB141,AE141,AF141,AK141,$AJ$2,0))</f>
        <v>6.325227250010966E-3</v>
      </c>
      <c r="AM141" s="209">
        <f t="shared" si="99"/>
        <v>9.2046489147252011E-4</v>
      </c>
      <c r="AN141" s="89">
        <f t="shared" ca="1" si="100"/>
        <v>5.4047623585384459E-3</v>
      </c>
      <c r="AO141" s="3">
        <f t="shared" si="101"/>
        <v>31</v>
      </c>
      <c r="AP141" s="33">
        <f t="shared" si="102"/>
        <v>41030</v>
      </c>
      <c r="AQ141" s="58">
        <f t="shared" ca="1" si="103"/>
        <v>4004</v>
      </c>
      <c r="AR141" s="38">
        <f>'ANR OK vs ML7'!AR141</f>
        <v>0.1</v>
      </c>
      <c r="AS141" s="35">
        <f t="shared" ca="1" si="104"/>
        <v>0.34310795061051097</v>
      </c>
      <c r="AT141" s="3">
        <f t="shared" si="105"/>
        <v>1</v>
      </c>
      <c r="AU141" s="3">
        <f t="shared" si="106"/>
        <v>31</v>
      </c>
      <c r="AW141" s="32">
        <f t="shared" ca="1" si="107"/>
        <v>24342.017199396701</v>
      </c>
      <c r="AX141" s="32">
        <f t="shared" si="108"/>
        <v>3542.3189292726292</v>
      </c>
      <c r="AY141" s="32">
        <f t="shared" ca="1" si="109"/>
        <v>20799.698270124074</v>
      </c>
      <c r="BA141" s="32">
        <f ca="1">IF($A142="","",F141*Summary!$Q$11)</f>
        <v>0</v>
      </c>
      <c r="BC141" s="256">
        <f t="shared" ca="1" si="112"/>
        <v>1215.3977882315514</v>
      </c>
    </row>
    <row r="142" spans="1:55">
      <c r="A142" s="67">
        <f t="shared" si="110"/>
        <v>41061</v>
      </c>
      <c r="B142" s="69">
        <f t="shared" si="113"/>
        <v>124142</v>
      </c>
      <c r="C142" s="71"/>
      <c r="D142" s="69">
        <f t="shared" si="76"/>
        <v>124142</v>
      </c>
      <c r="E142" s="70">
        <f t="shared" si="77"/>
        <v>3724260</v>
      </c>
      <c r="F142" s="70">
        <f t="shared" ca="1" si="78"/>
        <v>1267284.0232641832</v>
      </c>
      <c r="G142" s="63">
        <f t="shared" si="79"/>
        <v>4.3949999999999996</v>
      </c>
      <c r="H142" s="64">
        <f t="shared" si="80"/>
        <v>4.3949999999999996</v>
      </c>
      <c r="I142" s="43"/>
      <c r="J142" s="63">
        <f t="shared" si="81"/>
        <v>0.23499999999999999</v>
      </c>
      <c r="K142" s="64">
        <f t="shared" si="82"/>
        <v>0.23499999999999999</v>
      </c>
      <c r="L142" s="63">
        <f t="shared" si="83"/>
        <v>0</v>
      </c>
      <c r="M142" s="64">
        <f t="shared" si="84"/>
        <v>0</v>
      </c>
      <c r="N142" s="65"/>
      <c r="O142" s="63">
        <f t="shared" si="85"/>
        <v>4.63</v>
      </c>
      <c r="P142" s="63">
        <f t="shared" si="86"/>
        <v>4.63</v>
      </c>
      <c r="Q142" s="66"/>
      <c r="R142" s="63">
        <f t="shared" si="87"/>
        <v>0.18</v>
      </c>
      <c r="S142" s="64">
        <f t="shared" si="88"/>
        <v>0.18</v>
      </c>
      <c r="T142" s="38">
        <v>0</v>
      </c>
      <c r="U142" s="64">
        <f t="shared" si="89"/>
        <v>0</v>
      </c>
      <c r="V142" s="219">
        <f>IF($A143="","",IF(AND(MONTH(A142)&gt;3,MONTH(A142)&lt;11),(T142+R142+G142)*Summary!$T$11/(1-Summary!$T$11),(T142+R142+G142)*Summary!$U$11/(1-Summary!$U$11)))</f>
        <v>4.8783505299674526E-2</v>
      </c>
      <c r="W142" s="43">
        <f t="shared" si="90"/>
        <v>4.6237835052996736</v>
      </c>
      <c r="X142" s="43">
        <f t="shared" si="91"/>
        <v>4.6237835052996736</v>
      </c>
      <c r="Y142" s="43"/>
      <c r="Z142" s="38">
        <f t="shared" si="92"/>
        <v>0.5</v>
      </c>
      <c r="AA142" s="38">
        <f t="shared" si="93"/>
        <v>0.17</v>
      </c>
      <c r="AB142" s="38">
        <f t="shared" ca="1" si="94"/>
        <v>0.17273253995514465</v>
      </c>
      <c r="AC142" s="38">
        <f t="shared" si="95"/>
        <v>0.5</v>
      </c>
      <c r="AD142" s="38">
        <f t="shared" si="95"/>
        <v>0.17</v>
      </c>
      <c r="AE142" s="38">
        <f t="shared" ca="1" si="96"/>
        <v>0.17273253995514465</v>
      </c>
      <c r="AF142" s="238">
        <f ca="1">((Summary!$N$11*(AA142*AD142)*(A142-$D$3))+(Summary!$M$11*Z142*AC142*(AJ142-EOMONTH(EDATE(A142,-1),0))))/(AK142*AB142*AE142)</f>
        <v>0.99990311486630168</v>
      </c>
      <c r="AG142" s="88">
        <f>IF($A143="","",Summary!$Q$11)</f>
        <v>0</v>
      </c>
      <c r="AH142" s="88">
        <f>IF($A143="","",IF(Summary!$R$11="Y",(VLOOKUP($A142,Summary!$AD$6:$AF$9,3)+'Escalating commodity'!G155),'Escalating commodity'!G155))</f>
        <v>6.0424440975916337E-3</v>
      </c>
      <c r="AI142" s="88">
        <f t="shared" si="111"/>
        <v>6.0424440975916337E-3</v>
      </c>
      <c r="AJ142" s="236">
        <f t="shared" si="97"/>
        <v>41075</v>
      </c>
      <c r="AK142" s="58">
        <f t="shared" ca="1" si="98"/>
        <v>4035</v>
      </c>
      <c r="AL142" s="26">
        <f ca="1">IF($A143="","",_xll.SPRDOPT(P142,X142,AI142,0,AB142,AE142,AF142,AK142,$AJ$2,0))</f>
        <v>5.9274503928934338E-3</v>
      </c>
      <c r="AM142" s="209">
        <f t="shared" si="99"/>
        <v>1.7405060273462461E-4</v>
      </c>
      <c r="AN142" s="89">
        <f t="shared" ca="1" si="100"/>
        <v>5.7533997901588092E-3</v>
      </c>
      <c r="AO142" s="3">
        <f t="shared" si="101"/>
        <v>30</v>
      </c>
      <c r="AP142" s="33">
        <f t="shared" si="102"/>
        <v>41061</v>
      </c>
      <c r="AQ142" s="58">
        <f t="shared" ca="1" si="103"/>
        <v>4035</v>
      </c>
      <c r="AR142" s="38">
        <f>'ANR OK vs ML7'!AR142</f>
        <v>0.1</v>
      </c>
      <c r="AS142" s="35">
        <f t="shared" ca="1" si="104"/>
        <v>0.3402780749099642</v>
      </c>
      <c r="AT142" s="3">
        <f t="shared" si="105"/>
        <v>1</v>
      </c>
      <c r="AU142" s="3">
        <f t="shared" si="106"/>
        <v>30</v>
      </c>
      <c r="AW142" s="32">
        <f t="shared" ca="1" si="107"/>
        <v>22075.366400237301</v>
      </c>
      <c r="AX142" s="32">
        <f t="shared" si="108"/>
        <v>648.20969774045307</v>
      </c>
      <c r="AY142" s="32">
        <f t="shared" ca="1" si="109"/>
        <v>21427.156702496846</v>
      </c>
      <c r="BA142" s="32">
        <f ca="1">IF($A143="","",F142*Summary!$Q$11)</f>
        <v>0</v>
      </c>
      <c r="BC142" s="256">
        <f t="shared" ca="1" si="112"/>
        <v>220.57154808509111</v>
      </c>
    </row>
    <row r="143" spans="1:55">
      <c r="A143" s="67">
        <f t="shared" si="110"/>
        <v>41091</v>
      </c>
      <c r="B143" s="69">
        <f t="shared" si="113"/>
        <v>124142</v>
      </c>
      <c r="C143" s="71"/>
      <c r="D143" s="69">
        <f t="shared" si="76"/>
        <v>124142</v>
      </c>
      <c r="E143" s="70">
        <f t="shared" si="77"/>
        <v>3848402</v>
      </c>
      <c r="F143" s="70">
        <f t="shared" ca="1" si="78"/>
        <v>1299073.1615965047</v>
      </c>
      <c r="G143" s="63">
        <f t="shared" si="79"/>
        <v>4.45</v>
      </c>
      <c r="H143" s="64">
        <f t="shared" si="80"/>
        <v>4.45</v>
      </c>
      <c r="I143" s="43"/>
      <c r="J143" s="63">
        <f t="shared" si="81"/>
        <v>0.23499999999999999</v>
      </c>
      <c r="K143" s="64">
        <f t="shared" si="82"/>
        <v>0.23499999999999999</v>
      </c>
      <c r="L143" s="63">
        <f t="shared" si="83"/>
        <v>0</v>
      </c>
      <c r="M143" s="64">
        <f t="shared" si="84"/>
        <v>0</v>
      </c>
      <c r="N143" s="65"/>
      <c r="O143" s="63">
        <f t="shared" si="85"/>
        <v>4.6850000000000005</v>
      </c>
      <c r="P143" s="63">
        <f t="shared" si="86"/>
        <v>4.6850000000000005</v>
      </c>
      <c r="Q143" s="66"/>
      <c r="R143" s="63">
        <f t="shared" si="87"/>
        <v>0.18</v>
      </c>
      <c r="S143" s="64">
        <f t="shared" si="88"/>
        <v>0.18</v>
      </c>
      <c r="T143" s="38">
        <v>0</v>
      </c>
      <c r="U143" s="64">
        <f t="shared" si="89"/>
        <v>0</v>
      </c>
      <c r="V143" s="219">
        <f>IF($A144="","",IF(AND(MONTH(A143)&gt;3,MONTH(A143)&lt;11),(T143+R143+G143)*Summary!$T$11/(1-Summary!$T$11),(T143+R143+G143)*Summary!$U$11/(1-Summary!$U$11)))</f>
        <v>4.9369973669397396E-2</v>
      </c>
      <c r="W143" s="43">
        <f t="shared" si="90"/>
        <v>4.679369973669397</v>
      </c>
      <c r="X143" s="43">
        <f t="shared" si="91"/>
        <v>4.679369973669397</v>
      </c>
      <c r="Y143" s="43"/>
      <c r="Z143" s="38">
        <f t="shared" si="92"/>
        <v>0.55000000000000004</v>
      </c>
      <c r="AA143" s="38">
        <f t="shared" si="93"/>
        <v>0.17</v>
      </c>
      <c r="AB143" s="38">
        <f t="shared" ca="1" si="94"/>
        <v>0.17337979555165894</v>
      </c>
      <c r="AC143" s="38">
        <f t="shared" si="95"/>
        <v>0.55000000000000004</v>
      </c>
      <c r="AD143" s="38">
        <f t="shared" si="95"/>
        <v>0.17</v>
      </c>
      <c r="AE143" s="38">
        <f t="shared" ca="1" si="96"/>
        <v>0.17337979555165894</v>
      </c>
      <c r="AF143" s="238">
        <f ca="1">((Summary!$N$11*(AA143*AD143)*(A143-$D$3))+(Summary!$M$11*Z143*AC143*(AJ143-EOMONTH(EDATE(A143,-1),0))))/(AK143*AB143*AE143)</f>
        <v>0.99990383706851682</v>
      </c>
      <c r="AG143" s="88">
        <f>IF($A144="","",Summary!$Q$11)</f>
        <v>0</v>
      </c>
      <c r="AH143" s="88">
        <f>IF($A144="","",IF(Summary!$R$11="Y",(VLOOKUP($A143,Summary!$AD$6:$AF$9,3)+'Escalating commodity'!G156),'Escalating commodity'!G156))</f>
        <v>6.0424440975916337E-3</v>
      </c>
      <c r="AI143" s="88">
        <f t="shared" si="111"/>
        <v>6.0424440975916337E-3</v>
      </c>
      <c r="AJ143" s="236">
        <f t="shared" si="97"/>
        <v>41105.5</v>
      </c>
      <c r="AK143" s="58">
        <f t="shared" ca="1" si="98"/>
        <v>4065</v>
      </c>
      <c r="AL143" s="26">
        <f ca="1">IF($A144="","",_xll.SPRDOPT(P143,X143,AI143,0,AB143,AE143,AF143,AK143,$AJ$2,0))</f>
        <v>5.6524983760981654E-3</v>
      </c>
      <c r="AM143" s="209">
        <f t="shared" si="99"/>
        <v>0</v>
      </c>
      <c r="AN143" s="89">
        <f t="shared" ca="1" si="100"/>
        <v>5.6524983760981654E-3</v>
      </c>
      <c r="AO143" s="3">
        <f t="shared" si="101"/>
        <v>31</v>
      </c>
      <c r="AP143" s="33">
        <f t="shared" si="102"/>
        <v>41091</v>
      </c>
      <c r="AQ143" s="58">
        <f t="shared" ca="1" si="103"/>
        <v>4065</v>
      </c>
      <c r="AR143" s="38">
        <f>'ANR OK vs ML7'!AR143</f>
        <v>0.1</v>
      </c>
      <c r="AS143" s="35">
        <f t="shared" ca="1" si="104"/>
        <v>0.33756171044410244</v>
      </c>
      <c r="AT143" s="3">
        <f t="shared" si="105"/>
        <v>1</v>
      </c>
      <c r="AU143" s="3">
        <f t="shared" si="106"/>
        <v>31</v>
      </c>
      <c r="AW143" s="32">
        <f t="shared" ca="1" si="107"/>
        <v>21753.08605557293</v>
      </c>
      <c r="AX143" s="32">
        <f t="shared" si="108"/>
        <v>0</v>
      </c>
      <c r="AY143" s="32">
        <f t="shared" ca="1" si="109"/>
        <v>21753.08605557293</v>
      </c>
      <c r="BA143" s="32">
        <f ca="1">IF($A144="","",F143*Summary!$Q$11)</f>
        <v>0</v>
      </c>
      <c r="BC143" s="256">
        <f t="shared" ca="1" si="112"/>
        <v>0</v>
      </c>
    </row>
    <row r="144" spans="1:55">
      <c r="A144" s="67">
        <f t="shared" si="110"/>
        <v>41122</v>
      </c>
      <c r="B144" s="69">
        <f t="shared" si="113"/>
        <v>124142</v>
      </c>
      <c r="C144" s="71"/>
      <c r="D144" s="69">
        <f t="shared" si="76"/>
        <v>124142</v>
      </c>
      <c r="E144" s="70">
        <f t="shared" si="77"/>
        <v>3848402</v>
      </c>
      <c r="F144" s="70">
        <f t="shared" ca="1" si="78"/>
        <v>1288358.7040425679</v>
      </c>
      <c r="G144" s="63">
        <f t="shared" si="79"/>
        <v>4.5060000000000002</v>
      </c>
      <c r="H144" s="64">
        <f t="shared" si="80"/>
        <v>4.5060000000000002</v>
      </c>
      <c r="I144" s="43"/>
      <c r="J144" s="63">
        <f t="shared" si="81"/>
        <v>0.23499999999999999</v>
      </c>
      <c r="K144" s="64">
        <f t="shared" si="82"/>
        <v>0.23499999999999999</v>
      </c>
      <c r="L144" s="63">
        <f t="shared" si="83"/>
        <v>0</v>
      </c>
      <c r="M144" s="64">
        <f t="shared" si="84"/>
        <v>0</v>
      </c>
      <c r="N144" s="65"/>
      <c r="O144" s="63">
        <f t="shared" si="85"/>
        <v>4.7410000000000005</v>
      </c>
      <c r="P144" s="63">
        <f t="shared" si="86"/>
        <v>4.7410000000000005</v>
      </c>
      <c r="Q144" s="66"/>
      <c r="R144" s="63">
        <f t="shared" si="87"/>
        <v>0.18</v>
      </c>
      <c r="S144" s="64">
        <f t="shared" si="88"/>
        <v>0.18</v>
      </c>
      <c r="T144" s="38">
        <v>0</v>
      </c>
      <c r="U144" s="64">
        <f t="shared" si="89"/>
        <v>0</v>
      </c>
      <c r="V144" s="219">
        <f>IF($A145="","",IF(AND(MONTH(A144)&gt;3,MONTH(A144)&lt;11),(T144+R144+G144)*Summary!$T$11/(1-Summary!$T$11),(T144+R144+G144)*Summary!$U$11/(1-Summary!$U$11)))</f>
        <v>4.9967105100387953E-2</v>
      </c>
      <c r="W144" s="43">
        <f t="shared" si="90"/>
        <v>4.7359671051003875</v>
      </c>
      <c r="X144" s="43">
        <f t="shared" si="91"/>
        <v>4.7359671051003875</v>
      </c>
      <c r="Y144" s="43"/>
      <c r="Z144" s="38">
        <f t="shared" si="92"/>
        <v>0.6</v>
      </c>
      <c r="AA144" s="38">
        <f t="shared" si="93"/>
        <v>0.17</v>
      </c>
      <c r="AB144" s="38">
        <f t="shared" ca="1" si="94"/>
        <v>0.17398091950430225</v>
      </c>
      <c r="AC144" s="38">
        <f t="shared" si="95"/>
        <v>0.6</v>
      </c>
      <c r="AD144" s="38">
        <f t="shared" si="95"/>
        <v>0.17</v>
      </c>
      <c r="AE144" s="38">
        <f t="shared" ca="1" si="96"/>
        <v>0.17398091950430225</v>
      </c>
      <c r="AF144" s="238">
        <f ca="1">((Summary!$N$11*(AA144*AD144)*(A144-$D$3))+(Summary!$M$11*Z144*AC144*(AJ144-EOMONTH(EDATE(A144,-1),0))))/(AK144*AB144*AE144)</f>
        <v>0.99990450060613023</v>
      </c>
      <c r="AG144" s="88">
        <f>IF($A145="","",Summary!$Q$11)</f>
        <v>0</v>
      </c>
      <c r="AH144" s="88">
        <f>IF($A145="","",IF(Summary!$R$11="Y",(VLOOKUP($A144,Summary!$AD$6:$AF$9,3)+'Escalating commodity'!G157),'Escalating commodity'!G157))</f>
        <v>6.0424440975916337E-3</v>
      </c>
      <c r="AI144" s="88">
        <f t="shared" si="111"/>
        <v>6.0424440975916337E-3</v>
      </c>
      <c r="AJ144" s="236">
        <f t="shared" si="97"/>
        <v>41136.5</v>
      </c>
      <c r="AK144" s="58">
        <f t="shared" ca="1" si="98"/>
        <v>4096</v>
      </c>
      <c r="AL144" s="26">
        <f ca="1">IF($A145="","",_xll.SPRDOPT(P144,X144,AI144,0,AB144,AE144,AF144,AK144,$AJ$2,0))</f>
        <v>5.4060568234673076E-3</v>
      </c>
      <c r="AM144" s="209">
        <f t="shared" si="99"/>
        <v>0</v>
      </c>
      <c r="AN144" s="89">
        <f t="shared" ca="1" si="100"/>
        <v>5.4060568234673076E-3</v>
      </c>
      <c r="AO144" s="3">
        <f t="shared" si="101"/>
        <v>31</v>
      </c>
      <c r="AP144" s="33">
        <f t="shared" si="102"/>
        <v>41122</v>
      </c>
      <c r="AQ144" s="58">
        <f t="shared" ca="1" si="103"/>
        <v>4096</v>
      </c>
      <c r="AR144" s="38">
        <f>'ANR OK vs ML7'!AR144</f>
        <v>0.1</v>
      </c>
      <c r="AS144" s="35">
        <f t="shared" ca="1" si="104"/>
        <v>0.334777578860672</v>
      </c>
      <c r="AT144" s="3">
        <f t="shared" si="105"/>
        <v>1</v>
      </c>
      <c r="AU144" s="3">
        <f t="shared" si="106"/>
        <v>31</v>
      </c>
      <c r="AW144" s="32">
        <f t="shared" ca="1" si="107"/>
        <v>20804.679891545235</v>
      </c>
      <c r="AX144" s="32">
        <f t="shared" si="108"/>
        <v>0</v>
      </c>
      <c r="AY144" s="32">
        <f t="shared" ca="1" si="109"/>
        <v>20804.679891545235</v>
      </c>
      <c r="BA144" s="32">
        <f ca="1">IF($A145="","",F144*Summary!$Q$11)</f>
        <v>0</v>
      </c>
      <c r="BC144" s="256">
        <f t="shared" ca="1" si="112"/>
        <v>0</v>
      </c>
    </row>
    <row r="145" spans="1:55">
      <c r="A145" s="67">
        <f t="shared" si="110"/>
        <v>41153</v>
      </c>
      <c r="B145" s="69">
        <f t="shared" si="113"/>
        <v>124142</v>
      </c>
      <c r="C145" s="71"/>
      <c r="D145" s="69">
        <f t="shared" si="76"/>
        <v>124142</v>
      </c>
      <c r="E145" s="70">
        <f t="shared" si="77"/>
        <v>3724260</v>
      </c>
      <c r="F145" s="70">
        <f t="shared" ca="1" si="78"/>
        <v>1236515.4356880642</v>
      </c>
      <c r="G145" s="63">
        <f t="shared" si="79"/>
        <v>4.5199999999999996</v>
      </c>
      <c r="H145" s="64">
        <f t="shared" si="80"/>
        <v>4.5199999999999996</v>
      </c>
      <c r="I145" s="43"/>
      <c r="J145" s="63">
        <f t="shared" si="81"/>
        <v>0.23499999999999999</v>
      </c>
      <c r="K145" s="64">
        <f t="shared" si="82"/>
        <v>0.23499999999999999</v>
      </c>
      <c r="L145" s="63">
        <f t="shared" si="83"/>
        <v>0</v>
      </c>
      <c r="M145" s="64">
        <f t="shared" si="84"/>
        <v>0</v>
      </c>
      <c r="N145" s="65"/>
      <c r="O145" s="63">
        <f t="shared" si="85"/>
        <v>4.7549999999999999</v>
      </c>
      <c r="P145" s="63">
        <f t="shared" si="86"/>
        <v>4.7549999999999999</v>
      </c>
      <c r="Q145" s="66"/>
      <c r="R145" s="63">
        <f t="shared" si="87"/>
        <v>0.18</v>
      </c>
      <c r="S145" s="64">
        <f t="shared" si="88"/>
        <v>0.18</v>
      </c>
      <c r="T145" s="38">
        <v>0</v>
      </c>
      <c r="U145" s="64">
        <f t="shared" si="89"/>
        <v>0</v>
      </c>
      <c r="V145" s="219">
        <f>IF($A146="","",IF(AND(MONTH(A145)&gt;3,MONTH(A145)&lt;11),(T145+R145+G145)*Summary!$T$11/(1-Summary!$T$11),(T145+R145+G145)*Summary!$U$11/(1-Summary!$U$11)))</f>
        <v>5.0116387958135576E-2</v>
      </c>
      <c r="W145" s="43">
        <f t="shared" si="90"/>
        <v>4.7501163879581352</v>
      </c>
      <c r="X145" s="43">
        <f t="shared" si="91"/>
        <v>4.7501163879581352</v>
      </c>
      <c r="Y145" s="43"/>
      <c r="Z145" s="38">
        <f t="shared" si="92"/>
        <v>0.6</v>
      </c>
      <c r="AA145" s="38">
        <f t="shared" si="93"/>
        <v>0.17</v>
      </c>
      <c r="AB145" s="38">
        <f t="shared" ca="1" si="94"/>
        <v>0.17382594504650589</v>
      </c>
      <c r="AC145" s="38">
        <f t="shared" si="95"/>
        <v>0.6</v>
      </c>
      <c r="AD145" s="38">
        <f t="shared" si="95"/>
        <v>0.17</v>
      </c>
      <c r="AE145" s="38">
        <f t="shared" ca="1" si="96"/>
        <v>0.17382594504650589</v>
      </c>
      <c r="AF145" s="238">
        <f ca="1">((Summary!$N$11*(AA145*AD145)*(A145-$D$3))+(Summary!$M$11*Z145*AC145*(AJ145-EOMONTH(EDATE(A145,-1),0))))/(AK145*AB145*AE145)</f>
        <v>0.99990433042072446</v>
      </c>
      <c r="AG145" s="88">
        <f>IF($A146="","",Summary!$Q$11)</f>
        <v>0</v>
      </c>
      <c r="AH145" s="88">
        <f>IF($A146="","",IF(Summary!$R$11="Y",(VLOOKUP($A145,Summary!$AD$6:$AF$9,3)+'Escalating commodity'!G158),'Escalating commodity'!G158))</f>
        <v>6.0424440975916337E-3</v>
      </c>
      <c r="AI145" s="88">
        <f t="shared" si="111"/>
        <v>6.0424440975916337E-3</v>
      </c>
      <c r="AJ145" s="236">
        <f t="shared" si="97"/>
        <v>41167</v>
      </c>
      <c r="AK145" s="58">
        <f t="shared" ca="1" si="98"/>
        <v>4127</v>
      </c>
      <c r="AL145" s="26">
        <f ca="1">IF($A146="","",_xll.SPRDOPT(P145,X145,AI145,0,AB145,AE145,AF145,AK145,$AJ$2,0))</f>
        <v>5.3707678119639668E-3</v>
      </c>
      <c r="AM145" s="209">
        <f t="shared" si="99"/>
        <v>0</v>
      </c>
      <c r="AN145" s="89">
        <f t="shared" ca="1" si="100"/>
        <v>5.3707678119639668E-3</v>
      </c>
      <c r="AO145" s="3">
        <f t="shared" si="101"/>
        <v>30</v>
      </c>
      <c r="AP145" s="33">
        <f t="shared" si="102"/>
        <v>41153</v>
      </c>
      <c r="AQ145" s="58">
        <f t="shared" ca="1" si="103"/>
        <v>4127</v>
      </c>
      <c r="AR145" s="38">
        <f>'ANR OK vs ML7'!AR145</f>
        <v>0.1</v>
      </c>
      <c r="AS145" s="35">
        <f t="shared" ca="1" si="104"/>
        <v>0.33201641015612876</v>
      </c>
      <c r="AT145" s="3">
        <f t="shared" si="105"/>
        <v>1</v>
      </c>
      <c r="AU145" s="3">
        <f t="shared" si="106"/>
        <v>30</v>
      </c>
      <c r="AW145" s="32">
        <f t="shared" ca="1" si="107"/>
        <v>20002.135731384922</v>
      </c>
      <c r="AX145" s="32">
        <f t="shared" si="108"/>
        <v>0</v>
      </c>
      <c r="AY145" s="32">
        <f t="shared" ca="1" si="109"/>
        <v>20002.135731384922</v>
      </c>
      <c r="BA145" s="32">
        <f ca="1">IF($A146="","",F145*Summary!$Q$11)</f>
        <v>0</v>
      </c>
      <c r="BC145" s="256">
        <f t="shared" ca="1" si="112"/>
        <v>0</v>
      </c>
    </row>
    <row r="146" spans="1:55">
      <c r="A146" s="67">
        <f t="shared" si="110"/>
        <v>41183</v>
      </c>
      <c r="B146" s="69">
        <f t="shared" si="113"/>
        <v>124142</v>
      </c>
      <c r="C146" s="71"/>
      <c r="D146" s="69">
        <f t="shared" si="76"/>
        <v>124142</v>
      </c>
      <c r="E146" s="70">
        <f t="shared" si="77"/>
        <v>3848402</v>
      </c>
      <c r="F146" s="70">
        <f t="shared" ca="1" si="78"/>
        <v>1267532.760544644</v>
      </c>
      <c r="G146" s="63">
        <f t="shared" si="79"/>
        <v>4.5510000000000002</v>
      </c>
      <c r="H146" s="64">
        <f t="shared" si="80"/>
        <v>4.5510000000000002</v>
      </c>
      <c r="I146" s="43"/>
      <c r="J146" s="63">
        <f t="shared" si="81"/>
        <v>0.23499999999999999</v>
      </c>
      <c r="K146" s="64">
        <f t="shared" si="82"/>
        <v>0.23499999999999999</v>
      </c>
      <c r="L146" s="63">
        <f t="shared" si="83"/>
        <v>0</v>
      </c>
      <c r="M146" s="64">
        <f t="shared" si="84"/>
        <v>0</v>
      </c>
      <c r="N146" s="65"/>
      <c r="O146" s="63">
        <f t="shared" si="85"/>
        <v>4.7860000000000005</v>
      </c>
      <c r="P146" s="63">
        <f t="shared" si="86"/>
        <v>4.7860000000000005</v>
      </c>
      <c r="Q146" s="66"/>
      <c r="R146" s="63">
        <f t="shared" si="87"/>
        <v>0.18</v>
      </c>
      <c r="S146" s="64">
        <f t="shared" si="88"/>
        <v>0.18</v>
      </c>
      <c r="T146" s="38">
        <v>0</v>
      </c>
      <c r="U146" s="64">
        <f t="shared" si="89"/>
        <v>0</v>
      </c>
      <c r="V146" s="219">
        <f>IF($A147="","",IF(AND(MONTH(A146)&gt;3,MONTH(A146)&lt;11),(T146+R146+G146)*Summary!$T$11/(1-Summary!$T$11),(T146+R146+G146)*Summary!$U$11/(1-Summary!$U$11)))</f>
        <v>5.0446942857433931E-2</v>
      </c>
      <c r="W146" s="43">
        <f t="shared" si="90"/>
        <v>4.7814469428574338</v>
      </c>
      <c r="X146" s="43">
        <f t="shared" si="91"/>
        <v>4.7814469428574338</v>
      </c>
      <c r="Y146" s="43"/>
      <c r="Z146" s="38">
        <f t="shared" si="92"/>
        <v>0.65</v>
      </c>
      <c r="AA146" s="38">
        <f t="shared" si="93"/>
        <v>0.17</v>
      </c>
      <c r="AB146" s="38">
        <f t="shared" ca="1" si="94"/>
        <v>0.17459182956865119</v>
      </c>
      <c r="AC146" s="38">
        <f t="shared" si="95"/>
        <v>0.65</v>
      </c>
      <c r="AD146" s="38">
        <f t="shared" si="95"/>
        <v>0.17</v>
      </c>
      <c r="AE146" s="38">
        <f t="shared" ca="1" si="96"/>
        <v>0.17459182956865119</v>
      </c>
      <c r="AF146" s="238">
        <f ca="1">((Summary!$N$11*(AA146*AD146)*(A146-$D$3))+(Summary!$M$11*Z146*AC146*(AJ146-EOMONTH(EDATE(A146,-1),0))))/(AK146*AB146*AE146)</f>
        <v>0.99990516809579311</v>
      </c>
      <c r="AG146" s="88">
        <f>IF($A147="","",Summary!$Q$11)</f>
        <v>0</v>
      </c>
      <c r="AH146" s="88">
        <f>IF($A147="","",IF(Summary!$R$11="Y",(VLOOKUP($A146,Summary!$AD$6:$AF$9,3)+'Escalating commodity'!G159),'Escalating commodity'!G159))</f>
        <v>6.0424440975916337E-3</v>
      </c>
      <c r="AI146" s="88">
        <f t="shared" si="111"/>
        <v>6.0424440975916337E-3</v>
      </c>
      <c r="AJ146" s="236">
        <f t="shared" si="97"/>
        <v>41197.5</v>
      </c>
      <c r="AK146" s="58">
        <f t="shared" ca="1" si="98"/>
        <v>4157</v>
      </c>
      <c r="AL146" s="26">
        <f ca="1">IF($A147="","",_xll.SPRDOPT(P146,X146,AI146,0,AB146,AE146,AF146,AK146,$AJ$2,0))</f>
        <v>5.2576286093794292E-3</v>
      </c>
      <c r="AM146" s="209">
        <f t="shared" si="99"/>
        <v>0</v>
      </c>
      <c r="AN146" s="89">
        <f t="shared" ca="1" si="100"/>
        <v>5.2576286093794292E-3</v>
      </c>
      <c r="AO146" s="3">
        <f t="shared" si="101"/>
        <v>31</v>
      </c>
      <c r="AP146" s="33">
        <f t="shared" si="102"/>
        <v>41183</v>
      </c>
      <c r="AQ146" s="58">
        <f t="shared" ca="1" si="103"/>
        <v>4157</v>
      </c>
      <c r="AR146" s="38">
        <f>'ANR OK vs ML7'!AR146</f>
        <v>0.1</v>
      </c>
      <c r="AS146" s="35">
        <f t="shared" ca="1" si="104"/>
        <v>0.32936599672919925</v>
      </c>
      <c r="AT146" s="3">
        <f t="shared" si="105"/>
        <v>1</v>
      </c>
      <c r="AU146" s="3">
        <f t="shared" si="106"/>
        <v>31</v>
      </c>
      <c r="AW146" s="32">
        <f t="shared" ca="1" si="107"/>
        <v>20233.468455593014</v>
      </c>
      <c r="AX146" s="32">
        <f t="shared" si="108"/>
        <v>0</v>
      </c>
      <c r="AY146" s="32">
        <f t="shared" ca="1" si="109"/>
        <v>20233.468455593014</v>
      </c>
      <c r="BA146" s="32">
        <f ca="1">IF($A147="","",F146*Summary!$Q$11)</f>
        <v>0</v>
      </c>
      <c r="BC146" s="256">
        <f t="shared" ca="1" si="112"/>
        <v>0</v>
      </c>
    </row>
    <row r="147" spans="1:55">
      <c r="A147" s="67">
        <f t="shared" si="110"/>
        <v>41214</v>
      </c>
      <c r="B147" s="69">
        <f t="shared" si="113"/>
        <v>124142</v>
      </c>
      <c r="C147" s="71"/>
      <c r="D147" s="69">
        <f t="shared" si="76"/>
        <v>124142</v>
      </c>
      <c r="E147" s="70">
        <f t="shared" si="77"/>
        <v>3724260</v>
      </c>
      <c r="F147" s="70">
        <f t="shared" ca="1" si="78"/>
        <v>1216527.5235350679</v>
      </c>
      <c r="G147" s="63">
        <f t="shared" si="79"/>
        <v>4.6840000000000002</v>
      </c>
      <c r="H147" s="64">
        <f t="shared" si="80"/>
        <v>4.6840000000000002</v>
      </c>
      <c r="I147" s="43"/>
      <c r="J147" s="63">
        <f t="shared" si="81"/>
        <v>0.42499999999999999</v>
      </c>
      <c r="K147" s="64">
        <f t="shared" si="82"/>
        <v>0.42499999999999999</v>
      </c>
      <c r="L147" s="63">
        <f t="shared" si="83"/>
        <v>0</v>
      </c>
      <c r="M147" s="64">
        <f t="shared" si="84"/>
        <v>0</v>
      </c>
      <c r="N147" s="65"/>
      <c r="O147" s="63">
        <f t="shared" si="85"/>
        <v>5.109</v>
      </c>
      <c r="P147" s="63">
        <f t="shared" si="86"/>
        <v>5.109</v>
      </c>
      <c r="Q147" s="66"/>
      <c r="R147" s="63">
        <f t="shared" si="87"/>
        <v>0.27500000000000002</v>
      </c>
      <c r="S147" s="64">
        <f t="shared" si="88"/>
        <v>0.27500000000000002</v>
      </c>
      <c r="T147" s="38">
        <v>0</v>
      </c>
      <c r="U147" s="64">
        <f t="shared" si="89"/>
        <v>0</v>
      </c>
      <c r="V147" s="219">
        <f>IF($A148="","",IF(AND(MONTH(A147)&gt;3,MONTH(A147)&lt;11),(T147+R147+G147)*Summary!$T$11/(1-Summary!$T$11),(T147+R147+G147)*Summary!$U$11/(1-Summary!$U$11)))</f>
        <v>5.2878120826466896E-2</v>
      </c>
      <c r="W147" s="43">
        <f t="shared" si="90"/>
        <v>5.0118781208264673</v>
      </c>
      <c r="X147" s="43">
        <f t="shared" si="91"/>
        <v>5.0118781208264673</v>
      </c>
      <c r="Y147" s="43"/>
      <c r="Z147" s="38">
        <f t="shared" si="92"/>
        <v>0.8</v>
      </c>
      <c r="AA147" s="38">
        <f t="shared" si="93"/>
        <v>0.17</v>
      </c>
      <c r="AB147" s="38">
        <f t="shared" ca="1" si="94"/>
        <v>0.17663285164117143</v>
      </c>
      <c r="AC147" s="38">
        <f t="shared" si="95"/>
        <v>0.8</v>
      </c>
      <c r="AD147" s="38">
        <f t="shared" si="95"/>
        <v>0.17</v>
      </c>
      <c r="AE147" s="38">
        <f t="shared" ca="1" si="96"/>
        <v>0.17663285164117143</v>
      </c>
      <c r="AF147" s="238">
        <f ca="1">((Summary!$N$11*(AA147*AD147)*(A147-$D$3))+(Summary!$M$11*Z147*AC147*(AJ147-EOMONTH(EDATE(A147,-1),0))))/(AK147*AB147*AE147)</f>
        <v>0.99990734719555263</v>
      </c>
      <c r="AG147" s="88">
        <f>IF($A148="","",Summary!$Q$11)</f>
        <v>0</v>
      </c>
      <c r="AH147" s="88">
        <f>IF($A148="","",IF(Summary!$R$11="Y",(VLOOKUP($A147,Summary!$AD$6:$AF$9,3)+'Escalating commodity'!G160),'Escalating commodity'!G160))</f>
        <v>6.0424440975916337E-3</v>
      </c>
      <c r="AI147" s="88">
        <f t="shared" si="111"/>
        <v>6.0424440975916337E-3</v>
      </c>
      <c r="AJ147" s="236">
        <f t="shared" si="97"/>
        <v>41228</v>
      </c>
      <c r="AK147" s="58">
        <f t="shared" ca="1" si="98"/>
        <v>4188</v>
      </c>
      <c r="AL147" s="26">
        <f ca="1">IF($A148="","",_xll.SPRDOPT(P147,X147,AI147,0,AB147,AE147,AF147,AK147,$AJ$2,0))</f>
        <v>9.2956581367127422E-2</v>
      </c>
      <c r="AM147" s="209">
        <f t="shared" si="99"/>
        <v>9.1079435075941018E-2</v>
      </c>
      <c r="AN147" s="89">
        <f t="shared" ca="1" si="100"/>
        <v>1.8771462911864045E-3</v>
      </c>
      <c r="AO147" s="3">
        <f t="shared" si="101"/>
        <v>30</v>
      </c>
      <c r="AP147" s="33">
        <f t="shared" si="102"/>
        <v>41214</v>
      </c>
      <c r="AQ147" s="58">
        <f t="shared" ca="1" si="103"/>
        <v>4188</v>
      </c>
      <c r="AR147" s="38">
        <f>'ANR OK vs ML7'!AR147</f>
        <v>0.1</v>
      </c>
      <c r="AS147" s="35">
        <f t="shared" ca="1" si="104"/>
        <v>0.32664946151317792</v>
      </c>
      <c r="AT147" s="3">
        <f t="shared" si="105"/>
        <v>1</v>
      </c>
      <c r="AU147" s="3">
        <f t="shared" si="106"/>
        <v>30</v>
      </c>
      <c r="AW147" s="32">
        <f t="shared" ca="1" si="107"/>
        <v>346194.47772233799</v>
      </c>
      <c r="AX147" s="32">
        <f t="shared" si="108"/>
        <v>339203.49687592412</v>
      </c>
      <c r="AY147" s="32">
        <f t="shared" ca="1" si="109"/>
        <v>6990.9808464138787</v>
      </c>
      <c r="BA147" s="32">
        <f ca="1">IF($A148="","",F147*Summary!$Q$11)</f>
        <v>0</v>
      </c>
      <c r="BC147" s="256">
        <f t="shared" ca="1" si="112"/>
        <v>110800.63959790753</v>
      </c>
    </row>
    <row r="148" spans="1:55">
      <c r="A148" s="67">
        <f t="shared" si="110"/>
        <v>41244</v>
      </c>
      <c r="B148" s="69">
        <f t="shared" si="113"/>
        <v>124142</v>
      </c>
      <c r="C148" s="71"/>
      <c r="D148" s="69">
        <f t="shared" si="76"/>
        <v>124142</v>
      </c>
      <c r="E148" s="70">
        <f t="shared" si="77"/>
        <v>3848402</v>
      </c>
      <c r="F148" s="70">
        <f t="shared" ca="1" si="78"/>
        <v>1247043.462362359</v>
      </c>
      <c r="G148" s="63">
        <f t="shared" si="79"/>
        <v>4.8220000000000001</v>
      </c>
      <c r="H148" s="64">
        <f t="shared" si="80"/>
        <v>4.8220000000000001</v>
      </c>
      <c r="I148" s="43"/>
      <c r="J148" s="63">
        <f t="shared" si="81"/>
        <v>0.42499999999999999</v>
      </c>
      <c r="K148" s="64">
        <f t="shared" si="82"/>
        <v>0.42499999999999999</v>
      </c>
      <c r="L148" s="63">
        <f t="shared" si="83"/>
        <v>0</v>
      </c>
      <c r="M148" s="64">
        <f t="shared" si="84"/>
        <v>0</v>
      </c>
      <c r="N148" s="65"/>
      <c r="O148" s="63">
        <f t="shared" si="85"/>
        <v>5.2469999999999999</v>
      </c>
      <c r="P148" s="63">
        <f t="shared" si="86"/>
        <v>5.2469999999999999</v>
      </c>
      <c r="Q148" s="66"/>
      <c r="R148" s="63">
        <f t="shared" si="87"/>
        <v>0.27500000000000002</v>
      </c>
      <c r="S148" s="64">
        <f t="shared" si="88"/>
        <v>0.27500000000000002</v>
      </c>
      <c r="T148" s="38">
        <v>0</v>
      </c>
      <c r="U148" s="64">
        <f t="shared" si="89"/>
        <v>0</v>
      </c>
      <c r="V148" s="219">
        <f>IF($A149="","",IF(AND(MONTH(A148)&gt;3,MONTH(A148)&lt;11),(T148+R148+G148)*Summary!$T$11/(1-Summary!$T$11),(T148+R148+G148)*Summary!$U$11/(1-Summary!$U$11)))</f>
        <v>5.4349623281407897E-2</v>
      </c>
      <c r="W148" s="43">
        <f t="shared" si="90"/>
        <v>5.1513496232814084</v>
      </c>
      <c r="X148" s="43">
        <f t="shared" si="91"/>
        <v>5.1513496232814084</v>
      </c>
      <c r="Y148" s="43"/>
      <c r="Z148" s="38">
        <f t="shared" si="92"/>
        <v>1.1000000000000001</v>
      </c>
      <c r="AA148" s="38">
        <f t="shared" si="93"/>
        <v>0.17</v>
      </c>
      <c r="AB148" s="38">
        <f t="shared" ca="1" si="94"/>
        <v>0.18262878111827113</v>
      </c>
      <c r="AC148" s="38">
        <f t="shared" si="95"/>
        <v>1.1000000000000001</v>
      </c>
      <c r="AD148" s="38">
        <f t="shared" si="95"/>
        <v>0.17</v>
      </c>
      <c r="AE148" s="38">
        <f t="shared" ca="1" si="96"/>
        <v>0.18262878111827113</v>
      </c>
      <c r="AF148" s="238">
        <f ca="1">((Summary!$N$11*(AA148*AD148)*(A148-$D$3))+(Summary!$M$11*Z148*AC148*(AJ148-EOMONTH(EDATE(A148,-1),0))))/(AK148*AB148*AE148)</f>
        <v>0.99991333128619342</v>
      </c>
      <c r="AG148" s="88">
        <f>IF($A149="","",Summary!$Q$11)</f>
        <v>0</v>
      </c>
      <c r="AH148" s="88">
        <f>IF($A149="","",IF(Summary!$R$11="Y",(VLOOKUP($A148,Summary!$AD$6:$AF$9,3)+'Escalating commodity'!G161),'Escalating commodity'!G161))</f>
        <v>6.0424440975916337E-3</v>
      </c>
      <c r="AI148" s="88">
        <f t="shared" si="111"/>
        <v>6.0424440975916337E-3</v>
      </c>
      <c r="AJ148" s="236">
        <f t="shared" si="97"/>
        <v>41258.5</v>
      </c>
      <c r="AK148" s="58">
        <f t="shared" ca="1" si="98"/>
        <v>4218</v>
      </c>
      <c r="AL148" s="26">
        <f ca="1">IF($A149="","",_xll.SPRDOPT(P148,X148,AI148,0,AB148,AE148,AF148,AK148,$AJ$2,0))</f>
        <v>9.16479420950361E-2</v>
      </c>
      <c r="AM148" s="209">
        <f t="shared" si="99"/>
        <v>8.9607932620999808E-2</v>
      </c>
      <c r="AN148" s="89">
        <f t="shared" ca="1" si="100"/>
        <v>2.0400094740362917E-3</v>
      </c>
      <c r="AO148" s="3">
        <f t="shared" si="101"/>
        <v>31</v>
      </c>
      <c r="AP148" s="33">
        <f t="shared" si="102"/>
        <v>41244</v>
      </c>
      <c r="AQ148" s="58">
        <f t="shared" ca="1" si="103"/>
        <v>4218</v>
      </c>
      <c r="AR148" s="38">
        <f>'ANR OK vs ML7'!AR148</f>
        <v>0.1</v>
      </c>
      <c r="AS148" s="35">
        <f t="shared" ca="1" si="104"/>
        <v>0.32404189124794108</v>
      </c>
      <c r="AT148" s="3">
        <f t="shared" si="105"/>
        <v>1</v>
      </c>
      <c r="AU148" s="3">
        <f t="shared" si="106"/>
        <v>31</v>
      </c>
      <c r="AW148" s="32">
        <f t="shared" ca="1" si="107"/>
        <v>352698.12365442113</v>
      </c>
      <c r="AX148" s="32">
        <f t="shared" si="108"/>
        <v>344847.3471145209</v>
      </c>
      <c r="AY148" s="32">
        <f t="shared" ca="1" si="109"/>
        <v>7850.7765399002128</v>
      </c>
      <c r="BA148" s="32">
        <f ca="1">IF($A149="","",F148*Summary!$Q$11)</f>
        <v>0</v>
      </c>
      <c r="BC148" s="256">
        <f t="shared" ca="1" si="112"/>
        <v>111744.98655082459</v>
      </c>
    </row>
    <row r="149" spans="1:55">
      <c r="A149" s="67">
        <f t="shared" si="110"/>
        <v>41275</v>
      </c>
      <c r="B149" s="69">
        <f t="shared" si="113"/>
        <v>124142</v>
      </c>
      <c r="C149" s="71"/>
      <c r="D149" s="69">
        <f t="shared" si="76"/>
        <v>124142</v>
      </c>
      <c r="E149" s="70">
        <f t="shared" si="77"/>
        <v>3848402</v>
      </c>
      <c r="F149" s="70">
        <f t="shared" ca="1" si="78"/>
        <v>1236758.133837078</v>
      </c>
      <c r="G149" s="63">
        <f t="shared" si="79"/>
        <v>4.8690000000000007</v>
      </c>
      <c r="H149" s="64">
        <f t="shared" si="80"/>
        <v>4.8690000000000007</v>
      </c>
      <c r="I149" s="43"/>
      <c r="J149" s="63">
        <f t="shared" si="81"/>
        <v>0.42499999999999999</v>
      </c>
      <c r="K149" s="64">
        <f t="shared" si="82"/>
        <v>0.42499999999999999</v>
      </c>
      <c r="L149" s="63">
        <f t="shared" si="83"/>
        <v>0</v>
      </c>
      <c r="M149" s="64">
        <f t="shared" si="84"/>
        <v>0</v>
      </c>
      <c r="N149" s="65"/>
      <c r="O149" s="63">
        <f t="shared" si="85"/>
        <v>5.2940000000000005</v>
      </c>
      <c r="P149" s="63">
        <f t="shared" si="86"/>
        <v>5.2940000000000005</v>
      </c>
      <c r="Q149" s="66"/>
      <c r="R149" s="63">
        <f t="shared" si="87"/>
        <v>0.27500000000000002</v>
      </c>
      <c r="S149" s="64">
        <f t="shared" si="88"/>
        <v>0.27500000000000002</v>
      </c>
      <c r="T149" s="38">
        <v>0</v>
      </c>
      <c r="U149" s="64">
        <f t="shared" si="89"/>
        <v>0</v>
      </c>
      <c r="V149" s="219">
        <f>IF($A150="","",IF(AND(MONTH(A149)&gt;3,MONTH(A149)&lt;11),(T149+R149+G149)*Summary!$T$11/(1-Summary!$T$11),(T149+R149+G149)*Summary!$U$11/(1-Summary!$U$11)))</f>
        <v>5.4850787160989255E-2</v>
      </c>
      <c r="W149" s="43">
        <f t="shared" si="90"/>
        <v>5.1988507871609899</v>
      </c>
      <c r="X149" s="43">
        <f t="shared" si="91"/>
        <v>5.1988507871609899</v>
      </c>
      <c r="Y149" s="43"/>
      <c r="Z149" s="38">
        <f t="shared" si="92"/>
        <v>1.1000000000000001</v>
      </c>
      <c r="AA149" s="38">
        <f t="shared" si="93"/>
        <v>0.17</v>
      </c>
      <c r="AB149" s="38">
        <f t="shared" ca="1" si="94"/>
        <v>0.18253980760458821</v>
      </c>
      <c r="AC149" s="38">
        <f t="shared" si="95"/>
        <v>1.1000000000000001</v>
      </c>
      <c r="AD149" s="38">
        <f t="shared" si="95"/>
        <v>0.17</v>
      </c>
      <c r="AE149" s="38">
        <f t="shared" ca="1" si="96"/>
        <v>0.18253980760458821</v>
      </c>
      <c r="AF149" s="238">
        <f ca="1">((Summary!$N$11*(AA149*AD149)*(A149-$D$3))+(Summary!$M$11*Z149*AC149*(AJ149-EOMONTH(EDATE(A149,-1),0))))/(AK149*AB149*AE149)</f>
        <v>0.99991324692753236</v>
      </c>
      <c r="AG149" s="88">
        <f>IF($A150="","",Summary!$Q$11)</f>
        <v>0</v>
      </c>
      <c r="AH149" s="88">
        <f>IF($A150="","",IF(Summary!$R$11="Y",(VLOOKUP($A149,Summary!$AD$6:$AF$9,3)+'Escalating commodity'!G162),'Escalating commodity'!G162))</f>
        <v>6.1632929795434662E-3</v>
      </c>
      <c r="AI149" s="88">
        <f t="shared" si="111"/>
        <v>6.1632929795434662E-3</v>
      </c>
      <c r="AJ149" s="236">
        <f t="shared" si="97"/>
        <v>41289.5</v>
      </c>
      <c r="AK149" s="58">
        <f t="shared" ca="1" si="98"/>
        <v>4249</v>
      </c>
      <c r="AL149" s="26">
        <f ca="1">IF($A150="","",_xll.SPRDOPT(P149,X149,AI149,0,AB149,AE149,AF149,AK149,$AJ$2,0))</f>
        <v>9.1093346384588852E-2</v>
      </c>
      <c r="AM149" s="209">
        <f t="shared" si="99"/>
        <v>8.8985919859467105E-2</v>
      </c>
      <c r="AN149" s="89">
        <f t="shared" ca="1" si="100"/>
        <v>2.1074265251217472E-3</v>
      </c>
      <c r="AO149" s="3">
        <f t="shared" si="101"/>
        <v>31</v>
      </c>
      <c r="AP149" s="33">
        <f t="shared" si="102"/>
        <v>41275</v>
      </c>
      <c r="AQ149" s="58">
        <f t="shared" ca="1" si="103"/>
        <v>4249</v>
      </c>
      <c r="AR149" s="38">
        <f>'ANR OK vs ML7'!AR149</f>
        <v>0.1</v>
      </c>
      <c r="AS149" s="35">
        <f t="shared" ca="1" si="104"/>
        <v>0.32136926803308957</v>
      </c>
      <c r="AT149" s="3">
        <f t="shared" si="105"/>
        <v>1</v>
      </c>
      <c r="AU149" s="3">
        <f t="shared" si="106"/>
        <v>31</v>
      </c>
      <c r="AW149" s="32">
        <f t="shared" ca="1" si="107"/>
        <v>350563.81641314452</v>
      </c>
      <c r="AX149" s="32">
        <f t="shared" si="108"/>
        <v>342453.59195901291</v>
      </c>
      <c r="AY149" s="32">
        <f t="shared" ca="1" si="109"/>
        <v>8110.2244541315822</v>
      </c>
      <c r="BA149" s="32">
        <f ca="1">IF($A150="","",F149*Summary!$Q$11)</f>
        <v>0</v>
      </c>
      <c r="BC149" s="256">
        <f t="shared" ca="1" si="112"/>
        <v>110054.06018317031</v>
      </c>
    </row>
    <row r="150" spans="1:55">
      <c r="A150" s="67">
        <f t="shared" si="110"/>
        <v>41306</v>
      </c>
      <c r="B150" s="69">
        <f t="shared" si="113"/>
        <v>124142</v>
      </c>
      <c r="C150" s="71"/>
      <c r="D150" s="69">
        <f t="shared" si="76"/>
        <v>124142</v>
      </c>
      <c r="E150" s="70">
        <f t="shared" si="77"/>
        <v>3475976</v>
      </c>
      <c r="F150" s="70">
        <f t="shared" ca="1" si="78"/>
        <v>1107858.5102452938</v>
      </c>
      <c r="G150" s="63">
        <f t="shared" si="79"/>
        <v>4.7490000000000006</v>
      </c>
      <c r="H150" s="64">
        <f t="shared" si="80"/>
        <v>4.7490000000000006</v>
      </c>
      <c r="I150" s="43"/>
      <c r="J150" s="63">
        <f t="shared" si="81"/>
        <v>0.42499999999999999</v>
      </c>
      <c r="K150" s="64">
        <f t="shared" si="82"/>
        <v>0.42499999999999999</v>
      </c>
      <c r="L150" s="63">
        <f t="shared" si="83"/>
        <v>0</v>
      </c>
      <c r="M150" s="64">
        <f t="shared" si="84"/>
        <v>0</v>
      </c>
      <c r="N150" s="65"/>
      <c r="O150" s="63">
        <f t="shared" si="85"/>
        <v>5.1740000000000004</v>
      </c>
      <c r="P150" s="63">
        <f t="shared" si="86"/>
        <v>5.1740000000000004</v>
      </c>
      <c r="Q150" s="66"/>
      <c r="R150" s="63">
        <f t="shared" si="87"/>
        <v>0.27500000000000002</v>
      </c>
      <c r="S150" s="64">
        <f t="shared" si="88"/>
        <v>0.27500000000000002</v>
      </c>
      <c r="T150" s="38">
        <v>0</v>
      </c>
      <c r="U150" s="64">
        <f t="shared" si="89"/>
        <v>0</v>
      </c>
      <c r="V150" s="219">
        <f>IF($A151="","",IF(AND(MONTH(A150)&gt;3,MONTH(A150)&lt;11),(T150+R150+G150)*Summary!$T$11/(1-Summary!$T$11),(T150+R150+G150)*Summary!$U$11/(1-Summary!$U$11)))</f>
        <v>5.3571219808866651E-2</v>
      </c>
      <c r="W150" s="43">
        <f t="shared" si="90"/>
        <v>5.0775712198088678</v>
      </c>
      <c r="X150" s="43">
        <f t="shared" si="91"/>
        <v>5.0775712198088678</v>
      </c>
      <c r="Y150" s="43"/>
      <c r="Z150" s="38">
        <f t="shared" si="92"/>
        <v>1.1000000000000001</v>
      </c>
      <c r="AA150" s="38">
        <f t="shared" si="93"/>
        <v>0.17</v>
      </c>
      <c r="AB150" s="38">
        <f t="shared" ca="1" si="94"/>
        <v>0.181286227446219</v>
      </c>
      <c r="AC150" s="38">
        <f t="shared" si="95"/>
        <v>1.1000000000000001</v>
      </c>
      <c r="AD150" s="38">
        <f t="shared" si="95"/>
        <v>0.17</v>
      </c>
      <c r="AE150" s="38">
        <f t="shared" ca="1" si="96"/>
        <v>0.181286227446219</v>
      </c>
      <c r="AF150" s="238">
        <f ca="1">((Summary!$N$11*(AA150*AD150)*(A150-$D$3))+(Summary!$M$11*Z150*AC150*(AJ150-EOMONTH(EDATE(A150,-1),0))))/(AK150*AB150*AE150)</f>
        <v>0.99991204314774074</v>
      </c>
      <c r="AG150" s="88">
        <f>IF($A151="","",Summary!$Q$11)</f>
        <v>0</v>
      </c>
      <c r="AH150" s="88">
        <f>IF($A151="","",IF(Summary!$R$11="Y",(VLOOKUP($A150,Summary!$AD$6:$AF$9,3)+'Escalating commodity'!G163),'Escalating commodity'!G163))</f>
        <v>6.1632929795434662E-3</v>
      </c>
      <c r="AI150" s="88">
        <f t="shared" si="111"/>
        <v>6.1632929795434662E-3</v>
      </c>
      <c r="AJ150" s="236">
        <f t="shared" si="97"/>
        <v>41319</v>
      </c>
      <c r="AK150" s="58">
        <f t="shared" ca="1" si="98"/>
        <v>4280</v>
      </c>
      <c r="AL150" s="26">
        <f ca="1">IF($A151="","",_xll.SPRDOPT(P150,X150,AI150,0,AB150,AE150,AF150,AK150,$AJ$2,0))</f>
        <v>9.2261536027555546E-2</v>
      </c>
      <c r="AM150" s="209">
        <f t="shared" si="99"/>
        <v>9.0265487211589085E-2</v>
      </c>
      <c r="AN150" s="89">
        <f t="shared" ca="1" si="100"/>
        <v>1.9960488159664613E-3</v>
      </c>
      <c r="AO150" s="3">
        <f t="shared" si="101"/>
        <v>28</v>
      </c>
      <c r="AP150" s="33">
        <f t="shared" si="102"/>
        <v>41306</v>
      </c>
      <c r="AQ150" s="58">
        <f t="shared" ca="1" si="103"/>
        <v>4280</v>
      </c>
      <c r="AR150" s="38">
        <f>'ANR OK vs ML7'!AR150</f>
        <v>0.1</v>
      </c>
      <c r="AS150" s="35">
        <f t="shared" ca="1" si="104"/>
        <v>0.3187186880016703</v>
      </c>
      <c r="AT150" s="3">
        <f t="shared" si="105"/>
        <v>1</v>
      </c>
      <c r="AU150" s="3">
        <f t="shared" si="106"/>
        <v>28</v>
      </c>
      <c r="AW150" s="32">
        <f t="shared" ca="1" si="107"/>
        <v>320698.88495491841</v>
      </c>
      <c r="AX150" s="32">
        <f t="shared" si="108"/>
        <v>313760.66717579059</v>
      </c>
      <c r="AY150" s="32">
        <f t="shared" ca="1" si="109"/>
        <v>6938.2177791278364</v>
      </c>
      <c r="BA150" s="32">
        <f ca="1">IF($A151="","",F150*Summary!$Q$11)</f>
        <v>0</v>
      </c>
      <c r="BC150" s="256">
        <f t="shared" ca="1" si="112"/>
        <v>100001.3881887967</v>
      </c>
    </row>
    <row r="151" spans="1:55">
      <c r="A151" s="67">
        <f t="shared" si="110"/>
        <v>41334</v>
      </c>
      <c r="B151" s="69">
        <f t="shared" si="113"/>
        <v>124142</v>
      </c>
      <c r="C151" s="71"/>
      <c r="D151" s="69">
        <f t="shared" si="76"/>
        <v>124142</v>
      </c>
      <c r="E151" s="70">
        <f t="shared" si="77"/>
        <v>3848402</v>
      </c>
      <c r="F151" s="70">
        <f t="shared" ca="1" si="78"/>
        <v>1217416.6157529957</v>
      </c>
      <c r="G151" s="63">
        <f t="shared" si="79"/>
        <v>4.6100000000000003</v>
      </c>
      <c r="H151" s="64">
        <f t="shared" si="80"/>
        <v>4.6100000000000003</v>
      </c>
      <c r="I151" s="43"/>
      <c r="J151" s="63">
        <f t="shared" si="81"/>
        <v>0.42499999999999999</v>
      </c>
      <c r="K151" s="64">
        <f t="shared" si="82"/>
        <v>0.42499999999999999</v>
      </c>
      <c r="L151" s="63">
        <f t="shared" si="83"/>
        <v>0</v>
      </c>
      <c r="M151" s="64">
        <f t="shared" si="84"/>
        <v>0</v>
      </c>
      <c r="N151" s="65"/>
      <c r="O151" s="63">
        <f t="shared" si="85"/>
        <v>5.0350000000000001</v>
      </c>
      <c r="P151" s="63">
        <f t="shared" si="86"/>
        <v>5.0350000000000001</v>
      </c>
      <c r="Q151" s="66"/>
      <c r="R151" s="63">
        <f t="shared" si="87"/>
        <v>0.27500000000000002</v>
      </c>
      <c r="S151" s="64">
        <f t="shared" si="88"/>
        <v>0.27500000000000002</v>
      </c>
      <c r="T151" s="38">
        <v>0</v>
      </c>
      <c r="U151" s="64">
        <f t="shared" si="89"/>
        <v>0</v>
      </c>
      <c r="V151" s="219">
        <f>IF($A152="","",IF(AND(MONTH(A151)&gt;3,MONTH(A151)&lt;11),(T151+R151+G151)*Summary!$T$11/(1-Summary!$T$11),(T151+R151+G151)*Summary!$U$11/(1-Summary!$U$11)))</f>
        <v>5.2089054292657956E-2</v>
      </c>
      <c r="W151" s="43">
        <f t="shared" si="90"/>
        <v>4.9370890542926587</v>
      </c>
      <c r="X151" s="43">
        <f t="shared" si="91"/>
        <v>4.9370890542926587</v>
      </c>
      <c r="Y151" s="43"/>
      <c r="Z151" s="38">
        <f t="shared" si="92"/>
        <v>0.75</v>
      </c>
      <c r="AA151" s="38">
        <f t="shared" si="93"/>
        <v>0.17</v>
      </c>
      <c r="AB151" s="38">
        <f t="shared" ca="1" si="94"/>
        <v>0.17587086007729316</v>
      </c>
      <c r="AC151" s="38">
        <f t="shared" si="95"/>
        <v>0.75</v>
      </c>
      <c r="AD151" s="38">
        <f t="shared" si="95"/>
        <v>0.17</v>
      </c>
      <c r="AE151" s="38">
        <f t="shared" ca="1" si="96"/>
        <v>0.17587086007729316</v>
      </c>
      <c r="AF151" s="238">
        <f ca="1">((Summary!$N$11*(AA151*AD151)*(A151-$D$3))+(Summary!$M$11*Z151*AC151*(AJ151-EOMONTH(EDATE(A151,-1),0))))/(AK151*AB151*AE151)</f>
        <v>0.99990654320844086</v>
      </c>
      <c r="AG151" s="88">
        <f>IF($A152="","",Summary!$Q$11)</f>
        <v>0</v>
      </c>
      <c r="AH151" s="88">
        <f>IF($A152="","",IF(Summary!$R$11="Y",(VLOOKUP($A151,Summary!$AD$6:$AF$9,3)+'Escalating commodity'!G164),'Escalating commodity'!G164))</f>
        <v>6.1632929795434662E-3</v>
      </c>
      <c r="AI151" s="88">
        <f t="shared" si="111"/>
        <v>6.1632929795434662E-3</v>
      </c>
      <c r="AJ151" s="236">
        <f t="shared" si="97"/>
        <v>41348.5</v>
      </c>
      <c r="AK151" s="58">
        <f t="shared" ca="1" si="98"/>
        <v>4308</v>
      </c>
      <c r="AL151" s="26">
        <f ca="1">IF($A152="","",_xll.SPRDOPT(P151,X151,AI151,0,AB151,AE151,AF151,AK151,$AJ$2,0))</f>
        <v>9.360558739814473E-2</v>
      </c>
      <c r="AM151" s="209">
        <f t="shared" si="99"/>
        <v>9.1747652727798029E-2</v>
      </c>
      <c r="AN151" s="89">
        <f t="shared" ca="1" si="100"/>
        <v>1.8579346703467003E-3</v>
      </c>
      <c r="AO151" s="3">
        <f t="shared" si="101"/>
        <v>31</v>
      </c>
      <c r="AP151" s="33">
        <f t="shared" si="102"/>
        <v>41334</v>
      </c>
      <c r="AQ151" s="58">
        <f t="shared" ca="1" si="103"/>
        <v>4308</v>
      </c>
      <c r="AR151" s="38">
        <f>'ANR OK vs ML7'!AR151</f>
        <v>0.1</v>
      </c>
      <c r="AS151" s="35">
        <f t="shared" ca="1" si="104"/>
        <v>0.31634341104515479</v>
      </c>
      <c r="AT151" s="3">
        <f t="shared" si="105"/>
        <v>1</v>
      </c>
      <c r="AU151" s="3">
        <f t="shared" si="106"/>
        <v>31</v>
      </c>
      <c r="AW151" s="32">
        <f t="shared" ca="1" si="107"/>
        <v>360231.92975419498</v>
      </c>
      <c r="AX151" s="32">
        <f t="shared" si="108"/>
        <v>353081.85025296337</v>
      </c>
      <c r="AY151" s="32">
        <f t="shared" ca="1" si="109"/>
        <v>7150.0795012315821</v>
      </c>
      <c r="BA151" s="32">
        <f ca="1">IF($A152="","",F151*Summary!$Q$11)</f>
        <v>0</v>
      </c>
      <c r="BC151" s="256">
        <f t="shared" ca="1" si="112"/>
        <v>111695.11688715698</v>
      </c>
    </row>
    <row r="152" spans="1:55">
      <c r="A152" s="67">
        <f t="shared" si="110"/>
        <v>41365</v>
      </c>
      <c r="B152" s="69">
        <f t="shared" si="113"/>
        <v>124142</v>
      </c>
      <c r="C152" s="71"/>
      <c r="D152" s="69">
        <f t="shared" si="76"/>
        <v>124142</v>
      </c>
      <c r="E152" s="70">
        <f t="shared" si="77"/>
        <v>3724260</v>
      </c>
      <c r="F152" s="70">
        <f t="shared" ca="1" si="78"/>
        <v>1168428.041288699</v>
      </c>
      <c r="G152" s="63">
        <f t="shared" si="79"/>
        <v>4.4349999999999996</v>
      </c>
      <c r="H152" s="64">
        <f t="shared" si="80"/>
        <v>4.4349999999999996</v>
      </c>
      <c r="I152" s="43"/>
      <c r="J152" s="63">
        <f t="shared" si="81"/>
        <v>0.23499999999999999</v>
      </c>
      <c r="K152" s="64">
        <f t="shared" si="82"/>
        <v>0.23499999999999999</v>
      </c>
      <c r="L152" s="63">
        <f t="shared" si="83"/>
        <v>0</v>
      </c>
      <c r="M152" s="64">
        <f t="shared" si="84"/>
        <v>0</v>
      </c>
      <c r="N152" s="65"/>
      <c r="O152" s="63">
        <f t="shared" si="85"/>
        <v>4.67</v>
      </c>
      <c r="P152" s="63">
        <f t="shared" si="86"/>
        <v>4.67</v>
      </c>
      <c r="Q152" s="66"/>
      <c r="R152" s="63">
        <f t="shared" si="87"/>
        <v>0.18</v>
      </c>
      <c r="S152" s="64">
        <f t="shared" si="88"/>
        <v>0.18</v>
      </c>
      <c r="T152" s="38">
        <v>0</v>
      </c>
      <c r="U152" s="64">
        <f t="shared" si="89"/>
        <v>0</v>
      </c>
      <c r="V152" s="219">
        <f>IF($A153="","",IF(AND(MONTH(A152)&gt;3,MONTH(A152)&lt;11),(T152+R152+G152)*Summary!$T$11/(1-Summary!$T$11),(T152+R152+G152)*Summary!$U$11/(1-Summary!$U$11)))</f>
        <v>4.9210027750382065E-2</v>
      </c>
      <c r="W152" s="43">
        <f t="shared" si="90"/>
        <v>4.6642100277503813</v>
      </c>
      <c r="X152" s="43">
        <f t="shared" si="91"/>
        <v>4.6642100277503813</v>
      </c>
      <c r="Y152" s="43"/>
      <c r="Z152" s="38">
        <f t="shared" si="92"/>
        <v>0.45</v>
      </c>
      <c r="AA152" s="38">
        <f t="shared" si="93"/>
        <v>0.17</v>
      </c>
      <c r="AB152" s="38">
        <f t="shared" ca="1" si="94"/>
        <v>0.1720659949392305</v>
      </c>
      <c r="AC152" s="38">
        <f t="shared" si="95"/>
        <v>0.45</v>
      </c>
      <c r="AD152" s="38">
        <f t="shared" si="95"/>
        <v>0.17</v>
      </c>
      <c r="AE152" s="38">
        <f t="shared" ca="1" si="96"/>
        <v>0.1720659949392305</v>
      </c>
      <c r="AF152" s="238">
        <f ca="1">((Summary!$N$11*(AA152*AD152)*(A152-$D$3))+(Summary!$M$11*Z152*AC152*(AJ152-EOMONTH(EDATE(A152,-1),0))))/(AK152*AB152*AE152)</f>
        <v>0.99990236448485359</v>
      </c>
      <c r="AG152" s="88">
        <f>IF($A153="","",Summary!$Q$11)</f>
        <v>0</v>
      </c>
      <c r="AH152" s="88">
        <f>IF($A153="","",IF(Summary!$R$11="Y",(VLOOKUP($A152,Summary!$AD$6:$AF$9,3)+'Escalating commodity'!G165),'Escalating commodity'!G165))</f>
        <v>6.1632929795434662E-3</v>
      </c>
      <c r="AI152" s="88">
        <f t="shared" si="111"/>
        <v>6.1632929795434662E-3</v>
      </c>
      <c r="AJ152" s="236">
        <f t="shared" si="97"/>
        <v>41379</v>
      </c>
      <c r="AK152" s="58">
        <f t="shared" ca="1" si="98"/>
        <v>4339</v>
      </c>
      <c r="AL152" s="26">
        <f ca="1">IF($A153="","",_xll.SPRDOPT(P152,X152,AI152,0,AB152,AE152,AF152,AK152,$AJ$2,0))</f>
        <v>5.9030557417566534E-3</v>
      </c>
      <c r="AM152" s="209">
        <f t="shared" si="99"/>
        <v>0</v>
      </c>
      <c r="AN152" s="89">
        <f t="shared" ca="1" si="100"/>
        <v>5.9030557417566534E-3</v>
      </c>
      <c r="AO152" s="3">
        <f t="shared" si="101"/>
        <v>30</v>
      </c>
      <c r="AP152" s="33">
        <f t="shared" si="102"/>
        <v>41365</v>
      </c>
      <c r="AQ152" s="58">
        <f t="shared" ca="1" si="103"/>
        <v>4339</v>
      </c>
      <c r="AR152" s="38">
        <f>'ANR OK vs ML7'!AR152</f>
        <v>0.1</v>
      </c>
      <c r="AS152" s="35">
        <f t="shared" ca="1" si="104"/>
        <v>0.31373428312972212</v>
      </c>
      <c r="AT152" s="3">
        <f t="shared" si="105"/>
        <v>1</v>
      </c>
      <c r="AU152" s="3">
        <f t="shared" si="106"/>
        <v>30</v>
      </c>
      <c r="AW152" s="32">
        <f t="shared" ca="1" si="107"/>
        <v>21984.514376794636</v>
      </c>
      <c r="AX152" s="32">
        <f t="shared" si="108"/>
        <v>0</v>
      </c>
      <c r="AY152" s="32">
        <f t="shared" ca="1" si="109"/>
        <v>21984.514376794636</v>
      </c>
      <c r="BA152" s="32">
        <f ca="1">IF($A153="","",F152*Summary!$Q$11)</f>
        <v>0</v>
      </c>
      <c r="BC152" s="256">
        <f t="shared" ca="1" si="112"/>
        <v>0</v>
      </c>
    </row>
    <row r="153" spans="1:55">
      <c r="A153" s="67">
        <f t="shared" si="110"/>
        <v>41395</v>
      </c>
      <c r="B153" s="69">
        <f t="shared" si="113"/>
        <v>124142</v>
      </c>
      <c r="C153" s="71"/>
      <c r="D153" s="69">
        <f t="shared" si="76"/>
        <v>124142</v>
      </c>
      <c r="E153" s="70">
        <f t="shared" si="77"/>
        <v>3848402</v>
      </c>
      <c r="F153" s="70">
        <f t="shared" ca="1" si="78"/>
        <v>1197737.4304658927</v>
      </c>
      <c r="G153" s="63">
        <f t="shared" si="79"/>
        <v>4.4050000000000002</v>
      </c>
      <c r="H153" s="64">
        <f t="shared" si="80"/>
        <v>4.4050000000000002</v>
      </c>
      <c r="I153" s="43"/>
      <c r="J153" s="63">
        <f t="shared" si="81"/>
        <v>0.23499999999999999</v>
      </c>
      <c r="K153" s="64">
        <f t="shared" si="82"/>
        <v>0.23499999999999999</v>
      </c>
      <c r="L153" s="63">
        <f t="shared" si="83"/>
        <v>0</v>
      </c>
      <c r="M153" s="64">
        <f t="shared" si="84"/>
        <v>0</v>
      </c>
      <c r="N153" s="65"/>
      <c r="O153" s="63">
        <f t="shared" si="85"/>
        <v>4.6400000000000006</v>
      </c>
      <c r="P153" s="63">
        <f t="shared" si="86"/>
        <v>4.6400000000000006</v>
      </c>
      <c r="Q153" s="66"/>
      <c r="R153" s="63">
        <f t="shared" si="87"/>
        <v>0.18</v>
      </c>
      <c r="S153" s="64">
        <f t="shared" si="88"/>
        <v>0.18</v>
      </c>
      <c r="T153" s="38">
        <v>0</v>
      </c>
      <c r="U153" s="64">
        <f t="shared" si="89"/>
        <v>0</v>
      </c>
      <c r="V153" s="219">
        <f>IF($A154="","",IF(AND(MONTH(A153)&gt;3,MONTH(A153)&lt;11),(T153+R153+G153)*Summary!$T$11/(1-Summary!$T$11),(T153+R153+G153)*Summary!$U$11/(1-Summary!$U$11)))</f>
        <v>4.8890135912351418E-2</v>
      </c>
      <c r="W153" s="43">
        <f t="shared" si="90"/>
        <v>4.6338901359123517</v>
      </c>
      <c r="X153" s="43">
        <f t="shared" si="91"/>
        <v>4.6338901359123517</v>
      </c>
      <c r="Y153" s="43"/>
      <c r="Z153" s="38">
        <f t="shared" si="92"/>
        <v>0.5</v>
      </c>
      <c r="AA153" s="38">
        <f t="shared" si="93"/>
        <v>0.17</v>
      </c>
      <c r="AB153" s="38">
        <f t="shared" ca="1" si="94"/>
        <v>0.17260806885466767</v>
      </c>
      <c r="AC153" s="38">
        <f t="shared" si="95"/>
        <v>0.5</v>
      </c>
      <c r="AD153" s="38">
        <f t="shared" si="95"/>
        <v>0.17</v>
      </c>
      <c r="AE153" s="38">
        <f t="shared" ca="1" si="96"/>
        <v>0.17260806885466767</v>
      </c>
      <c r="AF153" s="238">
        <f ca="1">((Summary!$N$11*(AA153*AD153)*(A153-$D$3))+(Summary!$M$11*Z153*AC153*(AJ153-EOMONTH(EDATE(A153,-1),0))))/(AK153*AB153*AE153)</f>
        <v>0.9999029769221317</v>
      </c>
      <c r="AG153" s="88">
        <f>IF($A154="","",Summary!$Q$11)</f>
        <v>0</v>
      </c>
      <c r="AH153" s="88">
        <f>IF($A154="","",IF(Summary!$R$11="Y",(VLOOKUP($A153,Summary!$AD$6:$AF$9,3)+'Escalating commodity'!G166),'Escalating commodity'!G166))</f>
        <v>6.1632929795434662E-3</v>
      </c>
      <c r="AI153" s="88">
        <f t="shared" si="111"/>
        <v>6.1632929795434662E-3</v>
      </c>
      <c r="AJ153" s="236">
        <f t="shared" si="97"/>
        <v>41409.5</v>
      </c>
      <c r="AK153" s="58">
        <f t="shared" ca="1" si="98"/>
        <v>4369</v>
      </c>
      <c r="AL153" s="26">
        <f ca="1">IF($A154="","",_xll.SPRDOPT(P153,X153,AI153,0,AB153,AE153,AF153,AK153,$AJ$2,0))</f>
        <v>6.0696957911286001E-3</v>
      </c>
      <c r="AM153" s="209">
        <f t="shared" si="99"/>
        <v>0</v>
      </c>
      <c r="AN153" s="89">
        <f t="shared" ca="1" si="100"/>
        <v>6.0696957911286001E-3</v>
      </c>
      <c r="AO153" s="3">
        <f t="shared" si="101"/>
        <v>31</v>
      </c>
      <c r="AP153" s="33">
        <f t="shared" si="102"/>
        <v>41395</v>
      </c>
      <c r="AQ153" s="58">
        <f t="shared" ca="1" si="103"/>
        <v>4369</v>
      </c>
      <c r="AR153" s="38">
        <f>'ANR OK vs ML7'!AR153</f>
        <v>0.1</v>
      </c>
      <c r="AS153" s="35">
        <f t="shared" ca="1" si="104"/>
        <v>0.31122981187149695</v>
      </c>
      <c r="AT153" s="3">
        <f t="shared" si="105"/>
        <v>1</v>
      </c>
      <c r="AU153" s="3">
        <f t="shared" si="106"/>
        <v>31</v>
      </c>
      <c r="AW153" s="32">
        <f t="shared" ca="1" si="107"/>
        <v>23358.629421970887</v>
      </c>
      <c r="AX153" s="32">
        <f t="shared" si="108"/>
        <v>0</v>
      </c>
      <c r="AY153" s="32">
        <f t="shared" ca="1" si="109"/>
        <v>23358.629421970887</v>
      </c>
      <c r="BA153" s="32">
        <f ca="1">IF($A154="","",F153*Summary!$Q$11)</f>
        <v>0</v>
      </c>
      <c r="BC153" s="256">
        <f t="shared" ca="1" si="112"/>
        <v>0</v>
      </c>
    </row>
    <row r="154" spans="1:55">
      <c r="A154" s="67">
        <f t="shared" si="110"/>
        <v>41426</v>
      </c>
      <c r="B154" s="69">
        <f t="shared" si="113"/>
        <v>124142</v>
      </c>
      <c r="C154" s="71"/>
      <c r="D154" s="69">
        <f t="shared" si="76"/>
        <v>124142</v>
      </c>
      <c r="E154" s="70">
        <f t="shared" si="77"/>
        <v>3724260</v>
      </c>
      <c r="F154" s="70">
        <f t="shared" ca="1" si="78"/>
        <v>1149540.7420505942</v>
      </c>
      <c r="G154" s="63">
        <f t="shared" si="79"/>
        <v>4.4749999999999996</v>
      </c>
      <c r="H154" s="64">
        <f t="shared" si="80"/>
        <v>4.4749999999999996</v>
      </c>
      <c r="I154" s="43"/>
      <c r="J154" s="63">
        <f t="shared" si="81"/>
        <v>0.23499999999999999</v>
      </c>
      <c r="K154" s="64">
        <f t="shared" si="82"/>
        <v>0.23499999999999999</v>
      </c>
      <c r="L154" s="63">
        <f t="shared" si="83"/>
        <v>0</v>
      </c>
      <c r="M154" s="64">
        <f t="shared" si="84"/>
        <v>0</v>
      </c>
      <c r="N154" s="65"/>
      <c r="O154" s="63">
        <f t="shared" si="85"/>
        <v>4.71</v>
      </c>
      <c r="P154" s="63">
        <f t="shared" si="86"/>
        <v>4.71</v>
      </c>
      <c r="Q154" s="66"/>
      <c r="R154" s="63">
        <f t="shared" si="87"/>
        <v>0.18</v>
      </c>
      <c r="S154" s="64">
        <f t="shared" si="88"/>
        <v>0.18</v>
      </c>
      <c r="T154" s="38">
        <v>0</v>
      </c>
      <c r="U154" s="64">
        <f t="shared" si="89"/>
        <v>0</v>
      </c>
      <c r="V154" s="219">
        <f>IF($A155="","",IF(AND(MONTH(A154)&gt;3,MONTH(A154)&lt;11),(T154+R154+G154)*Summary!$T$11/(1-Summary!$T$11),(T154+R154+G154)*Summary!$U$11/(1-Summary!$U$11)))</f>
        <v>4.9636550201089598E-2</v>
      </c>
      <c r="W154" s="43">
        <f t="shared" si="90"/>
        <v>4.704636550201089</v>
      </c>
      <c r="X154" s="43">
        <f t="shared" si="91"/>
        <v>4.704636550201089</v>
      </c>
      <c r="Y154" s="43"/>
      <c r="Z154" s="38">
        <f t="shared" si="92"/>
        <v>0.5</v>
      </c>
      <c r="AA154" s="38">
        <f t="shared" si="93"/>
        <v>0.17</v>
      </c>
      <c r="AB154" s="38">
        <f t="shared" ca="1" si="94"/>
        <v>0.17250750971795667</v>
      </c>
      <c r="AC154" s="38">
        <f t="shared" si="95"/>
        <v>0.5</v>
      </c>
      <c r="AD154" s="38">
        <f t="shared" si="95"/>
        <v>0.17</v>
      </c>
      <c r="AE154" s="38">
        <f t="shared" ca="1" si="96"/>
        <v>0.17250750971795667</v>
      </c>
      <c r="AF154" s="238">
        <f ca="1">((Summary!$N$11*(AA154*AD154)*(A154-$D$3))+(Summary!$M$11*Z154*AC154*(AJ154-EOMONTH(EDATE(A154,-1),0))))/(AK154*AB154*AE154)</f>
        <v>0.9999028639311921</v>
      </c>
      <c r="AG154" s="88">
        <f>IF($A155="","",Summary!$Q$11)</f>
        <v>0</v>
      </c>
      <c r="AH154" s="88">
        <f>IF($A155="","",IF(Summary!$R$11="Y",(VLOOKUP($A154,Summary!$AD$6:$AF$9,3)+'Escalating commodity'!G167),'Escalating commodity'!G167))</f>
        <v>6.1632929795434662E-3</v>
      </c>
      <c r="AI154" s="88">
        <f t="shared" si="111"/>
        <v>6.1632929795434662E-3</v>
      </c>
      <c r="AJ154" s="236">
        <f t="shared" si="97"/>
        <v>41440</v>
      </c>
      <c r="AK154" s="58">
        <f t="shared" ca="1" si="98"/>
        <v>4400</v>
      </c>
      <c r="AL154" s="26">
        <f ca="1">IF($A155="","",_xll.SPRDOPT(P154,X154,AI154,0,AB154,AE154,AF154,AK154,$AJ$2,0))</f>
        <v>5.7439616792325648E-3</v>
      </c>
      <c r="AM154" s="209">
        <f t="shared" si="99"/>
        <v>0</v>
      </c>
      <c r="AN154" s="89">
        <f t="shared" ca="1" si="100"/>
        <v>5.7439616792325648E-3</v>
      </c>
      <c r="AO154" s="3">
        <f t="shared" si="101"/>
        <v>30</v>
      </c>
      <c r="AP154" s="33">
        <f t="shared" si="102"/>
        <v>41426</v>
      </c>
      <c r="AQ154" s="58">
        <f t="shared" ca="1" si="103"/>
        <v>4400</v>
      </c>
      <c r="AR154" s="38">
        <f>'ANR OK vs ML7'!AR154</f>
        <v>0.1</v>
      </c>
      <c r="AS154" s="35">
        <f t="shared" ca="1" si="104"/>
        <v>0.30866285974947888</v>
      </c>
      <c r="AT154" s="3">
        <f t="shared" si="105"/>
        <v>1</v>
      </c>
      <c r="AU154" s="3">
        <f t="shared" si="106"/>
        <v>30</v>
      </c>
      <c r="AW154" s="32">
        <f t="shared" ca="1" si="107"/>
        <v>21392.006723498671</v>
      </c>
      <c r="AX154" s="32">
        <f t="shared" si="108"/>
        <v>0</v>
      </c>
      <c r="AY154" s="32">
        <f t="shared" ca="1" si="109"/>
        <v>21392.006723498671</v>
      </c>
      <c r="BA154" s="32">
        <f ca="1">IF($A155="","",F154*Summary!$Q$11)</f>
        <v>0</v>
      </c>
      <c r="BC154" s="256">
        <f t="shared" ca="1" si="112"/>
        <v>0</v>
      </c>
    </row>
    <row r="155" spans="1:55">
      <c r="A155" s="67">
        <f t="shared" si="110"/>
        <v>41456</v>
      </c>
      <c r="B155" s="69">
        <f t="shared" si="113"/>
        <v>124142</v>
      </c>
      <c r="C155" s="71"/>
      <c r="D155" s="69">
        <f t="shared" si="76"/>
        <v>124142</v>
      </c>
      <c r="E155" s="70">
        <f t="shared" si="77"/>
        <v>3848402</v>
      </c>
      <c r="F155" s="70">
        <f t="shared" ca="1" si="78"/>
        <v>1178376.3534816934</v>
      </c>
      <c r="G155" s="63">
        <f t="shared" si="79"/>
        <v>4.53</v>
      </c>
      <c r="H155" s="64">
        <f t="shared" si="80"/>
        <v>4.53</v>
      </c>
      <c r="I155" s="43"/>
      <c r="J155" s="63">
        <f t="shared" si="81"/>
        <v>0.23499999999999999</v>
      </c>
      <c r="K155" s="64">
        <f t="shared" si="82"/>
        <v>0.23499999999999999</v>
      </c>
      <c r="L155" s="63">
        <f t="shared" si="83"/>
        <v>0</v>
      </c>
      <c r="M155" s="64">
        <f t="shared" si="84"/>
        <v>0</v>
      </c>
      <c r="N155" s="65"/>
      <c r="O155" s="63">
        <f t="shared" si="85"/>
        <v>4.7650000000000006</v>
      </c>
      <c r="P155" s="63">
        <f t="shared" si="86"/>
        <v>4.7650000000000006</v>
      </c>
      <c r="Q155" s="66"/>
      <c r="R155" s="63">
        <f t="shared" si="87"/>
        <v>0.18</v>
      </c>
      <c r="S155" s="64">
        <f t="shared" si="88"/>
        <v>0.18</v>
      </c>
      <c r="T155" s="38">
        <v>0</v>
      </c>
      <c r="U155" s="64">
        <f t="shared" si="89"/>
        <v>0</v>
      </c>
      <c r="V155" s="219">
        <f>IF($A156="","",IF(AND(MONTH(A155)&gt;3,MONTH(A155)&lt;11),(T155+R155+G155)*Summary!$T$11/(1-Summary!$T$11),(T155+R155+G155)*Summary!$U$11/(1-Summary!$U$11)))</f>
        <v>5.0223018570812468E-2</v>
      </c>
      <c r="W155" s="43">
        <f t="shared" si="90"/>
        <v>4.7602230185708123</v>
      </c>
      <c r="X155" s="43">
        <f t="shared" si="91"/>
        <v>4.7602230185708123</v>
      </c>
      <c r="Y155" s="43"/>
      <c r="Z155" s="38">
        <f t="shared" si="92"/>
        <v>0.55000000000000004</v>
      </c>
      <c r="AA155" s="38">
        <f t="shared" si="93"/>
        <v>0.17</v>
      </c>
      <c r="AB155" s="38">
        <f t="shared" ca="1" si="94"/>
        <v>0.17310381936834818</v>
      </c>
      <c r="AC155" s="38">
        <f t="shared" si="95"/>
        <v>0.55000000000000004</v>
      </c>
      <c r="AD155" s="38">
        <f t="shared" si="95"/>
        <v>0.17</v>
      </c>
      <c r="AE155" s="38">
        <f t="shared" ca="1" si="96"/>
        <v>0.17310381936834818</v>
      </c>
      <c r="AF155" s="238">
        <f ca="1">((Summary!$N$11*(AA155*AD155)*(A155-$D$3))+(Summary!$M$11*Z155*AC155*(AJ155-EOMONTH(EDATE(A155,-1),0))))/(AK155*AB155*AE155)</f>
        <v>0.99990353215741656</v>
      </c>
      <c r="AG155" s="88">
        <f>IF($A156="","",Summary!$Q$11)</f>
        <v>0</v>
      </c>
      <c r="AH155" s="88">
        <f>IF($A156="","",IF(Summary!$R$11="Y",(VLOOKUP($A155,Summary!$AD$6:$AF$9,3)+'Escalating commodity'!G168),'Escalating commodity'!G168))</f>
        <v>6.1632929795434662E-3</v>
      </c>
      <c r="AI155" s="88">
        <f t="shared" si="111"/>
        <v>6.1632929795434662E-3</v>
      </c>
      <c r="AJ155" s="236">
        <f t="shared" si="97"/>
        <v>41470.5</v>
      </c>
      <c r="AK155" s="58">
        <f t="shared" ca="1" si="98"/>
        <v>4430</v>
      </c>
      <c r="AL155" s="26">
        <f ca="1">IF($A156="","",_xll.SPRDOPT(P155,X155,AI155,0,AB155,AE155,AF155,AK155,$AJ$2,0))</f>
        <v>5.5178772158403361E-3</v>
      </c>
      <c r="AM155" s="209">
        <f t="shared" si="99"/>
        <v>0</v>
      </c>
      <c r="AN155" s="89">
        <f t="shared" ca="1" si="100"/>
        <v>5.5178772158403361E-3</v>
      </c>
      <c r="AO155" s="3">
        <f t="shared" si="101"/>
        <v>31</v>
      </c>
      <c r="AP155" s="33">
        <f t="shared" si="102"/>
        <v>41456</v>
      </c>
      <c r="AQ155" s="58">
        <f t="shared" ca="1" si="103"/>
        <v>4430</v>
      </c>
      <c r="AR155" s="38">
        <f>'ANR OK vs ML7'!AR155</f>
        <v>0.1</v>
      </c>
      <c r="AS155" s="35">
        <f t="shared" ca="1" si="104"/>
        <v>0.30619887254026307</v>
      </c>
      <c r="AT155" s="3">
        <f t="shared" si="105"/>
        <v>1</v>
      </c>
      <c r="AU155" s="3">
        <f t="shared" si="106"/>
        <v>31</v>
      </c>
      <c r="AW155" s="32">
        <f t="shared" ca="1" si="107"/>
        <v>21235.00971319438</v>
      </c>
      <c r="AX155" s="32">
        <f t="shared" si="108"/>
        <v>0</v>
      </c>
      <c r="AY155" s="32">
        <f t="shared" ca="1" si="109"/>
        <v>21235.00971319438</v>
      </c>
      <c r="BA155" s="32">
        <f ca="1">IF($A156="","",F155*Summary!$Q$11)</f>
        <v>0</v>
      </c>
      <c r="BC155" s="256">
        <f t="shared" ca="1" si="112"/>
        <v>0</v>
      </c>
    </row>
    <row r="156" spans="1:55">
      <c r="A156" s="67">
        <f t="shared" si="110"/>
        <v>41487</v>
      </c>
      <c r="B156" s="69">
        <f t="shared" si="113"/>
        <v>124142</v>
      </c>
      <c r="C156" s="71"/>
      <c r="D156" s="69">
        <f t="shared" si="76"/>
        <v>124142</v>
      </c>
      <c r="E156" s="70">
        <f t="shared" si="77"/>
        <v>3848402</v>
      </c>
      <c r="F156" s="70">
        <f t="shared" ca="1" si="78"/>
        <v>1168657.3755248047</v>
      </c>
      <c r="G156" s="63">
        <f t="shared" si="79"/>
        <v>4.5860000000000003</v>
      </c>
      <c r="H156" s="64">
        <f t="shared" si="80"/>
        <v>4.5860000000000003</v>
      </c>
      <c r="I156" s="43"/>
      <c r="J156" s="63">
        <f t="shared" si="81"/>
        <v>0.23499999999999999</v>
      </c>
      <c r="K156" s="64">
        <f t="shared" si="82"/>
        <v>0.23499999999999999</v>
      </c>
      <c r="L156" s="63">
        <f t="shared" si="83"/>
        <v>0</v>
      </c>
      <c r="M156" s="64">
        <f t="shared" si="84"/>
        <v>0</v>
      </c>
      <c r="N156" s="65"/>
      <c r="O156" s="63">
        <f t="shared" si="85"/>
        <v>4.8210000000000006</v>
      </c>
      <c r="P156" s="63">
        <f t="shared" si="86"/>
        <v>4.8210000000000006</v>
      </c>
      <c r="Q156" s="66"/>
      <c r="R156" s="63">
        <f t="shared" si="87"/>
        <v>0.18</v>
      </c>
      <c r="S156" s="64">
        <f t="shared" si="88"/>
        <v>0.18</v>
      </c>
      <c r="T156" s="38">
        <v>0</v>
      </c>
      <c r="U156" s="64">
        <f t="shared" si="89"/>
        <v>0</v>
      </c>
      <c r="V156" s="219">
        <f>IF($A157="","",IF(AND(MONTH(A156)&gt;3,MONTH(A156)&lt;11),(T156+R156+G156)*Summary!$T$11/(1-Summary!$T$11),(T156+R156+G156)*Summary!$U$11/(1-Summary!$U$11)))</f>
        <v>5.0820150001803024E-2</v>
      </c>
      <c r="W156" s="43">
        <f t="shared" si="90"/>
        <v>4.8168201500018029</v>
      </c>
      <c r="X156" s="43">
        <f t="shared" si="91"/>
        <v>4.8168201500018029</v>
      </c>
      <c r="Y156" s="43"/>
      <c r="Z156" s="38">
        <f t="shared" si="92"/>
        <v>0.6</v>
      </c>
      <c r="AA156" s="38">
        <f t="shared" si="93"/>
        <v>0.17</v>
      </c>
      <c r="AB156" s="38">
        <f t="shared" ca="1" si="94"/>
        <v>0.17365862773491639</v>
      </c>
      <c r="AC156" s="38">
        <f t="shared" si="95"/>
        <v>0.6</v>
      </c>
      <c r="AD156" s="38">
        <f t="shared" si="95"/>
        <v>0.17</v>
      </c>
      <c r="AE156" s="38">
        <f t="shared" ca="1" si="96"/>
        <v>0.17365862773491639</v>
      </c>
      <c r="AF156" s="238">
        <f ca="1">((Summary!$N$11*(AA156*AD156)*(A156-$D$3))+(Summary!$M$11*Z156*AC156*(AJ156-EOMONTH(EDATE(A156,-1),0))))/(AK156*AB156*AE156)</f>
        <v>0.99990414771823477</v>
      </c>
      <c r="AG156" s="88">
        <f>IF($A157="","",Summary!$Q$11)</f>
        <v>0</v>
      </c>
      <c r="AH156" s="88">
        <f>IF($A157="","",IF(Summary!$R$11="Y",(VLOOKUP($A156,Summary!$AD$6:$AF$9,3)+'Escalating commodity'!G169),'Escalating commodity'!G169))</f>
        <v>6.1632929795434662E-3</v>
      </c>
      <c r="AI156" s="88">
        <f t="shared" si="111"/>
        <v>6.1632929795434662E-3</v>
      </c>
      <c r="AJ156" s="236">
        <f t="shared" si="97"/>
        <v>41501.5</v>
      </c>
      <c r="AK156" s="58">
        <f t="shared" ca="1" si="98"/>
        <v>4461</v>
      </c>
      <c r="AL156" s="26">
        <f ca="1">IF($A157="","",_xll.SPRDOPT(P156,X156,AI156,0,AB156,AE156,AF156,AK156,$AJ$2,0))</f>
        <v>5.3348797077615653E-3</v>
      </c>
      <c r="AM156" s="209">
        <f t="shared" si="99"/>
        <v>0</v>
      </c>
      <c r="AN156" s="89">
        <f t="shared" ca="1" si="100"/>
        <v>5.3348797077615653E-3</v>
      </c>
      <c r="AO156" s="3">
        <f t="shared" si="101"/>
        <v>31</v>
      </c>
      <c r="AP156" s="33">
        <f t="shared" si="102"/>
        <v>41487</v>
      </c>
      <c r="AQ156" s="58">
        <f t="shared" ca="1" si="103"/>
        <v>4461</v>
      </c>
      <c r="AR156" s="38">
        <f>'ANR OK vs ML7'!AR156</f>
        <v>0.1</v>
      </c>
      <c r="AS156" s="35">
        <f t="shared" ca="1" si="104"/>
        <v>0.30367341445223361</v>
      </c>
      <c r="AT156" s="3">
        <f t="shared" si="105"/>
        <v>1</v>
      </c>
      <c r="AU156" s="3">
        <f t="shared" si="106"/>
        <v>31</v>
      </c>
      <c r="AW156" s="32">
        <f t="shared" ca="1" si="107"/>
        <v>20530.761737109024</v>
      </c>
      <c r="AX156" s="32">
        <f t="shared" si="108"/>
        <v>0</v>
      </c>
      <c r="AY156" s="32">
        <f t="shared" ca="1" si="109"/>
        <v>20530.761737109024</v>
      </c>
      <c r="BA156" s="32">
        <f ca="1">IF($A157="","",F156*Summary!$Q$11)</f>
        <v>0</v>
      </c>
      <c r="BC156" s="256">
        <f t="shared" ca="1" si="112"/>
        <v>0</v>
      </c>
    </row>
    <row r="157" spans="1:55">
      <c r="A157" s="67">
        <f t="shared" si="110"/>
        <v>41518</v>
      </c>
      <c r="B157" s="69">
        <f t="shared" si="113"/>
        <v>124142</v>
      </c>
      <c r="C157" s="71"/>
      <c r="D157" s="69">
        <f t="shared" si="76"/>
        <v>124142</v>
      </c>
      <c r="E157" s="70">
        <f t="shared" si="77"/>
        <v>3724260</v>
      </c>
      <c r="F157" s="70">
        <f t="shared" ca="1" si="78"/>
        <v>1121630.8620672596</v>
      </c>
      <c r="G157" s="63">
        <f t="shared" si="79"/>
        <v>4.5999999999999996</v>
      </c>
      <c r="H157" s="64">
        <f t="shared" si="80"/>
        <v>4.5999999999999996</v>
      </c>
      <c r="I157" s="43"/>
      <c r="J157" s="63">
        <f t="shared" si="81"/>
        <v>0.23499999999999999</v>
      </c>
      <c r="K157" s="64">
        <f t="shared" si="82"/>
        <v>0.23499999999999999</v>
      </c>
      <c r="L157" s="63">
        <f t="shared" si="83"/>
        <v>0</v>
      </c>
      <c r="M157" s="64">
        <f t="shared" si="84"/>
        <v>0</v>
      </c>
      <c r="N157" s="65"/>
      <c r="O157" s="63">
        <f t="shared" si="85"/>
        <v>4.835</v>
      </c>
      <c r="P157" s="63">
        <f t="shared" si="86"/>
        <v>4.835</v>
      </c>
      <c r="Q157" s="66"/>
      <c r="R157" s="63">
        <f t="shared" si="87"/>
        <v>0.18</v>
      </c>
      <c r="S157" s="64">
        <f t="shared" si="88"/>
        <v>0.18</v>
      </c>
      <c r="T157" s="38">
        <v>0</v>
      </c>
      <c r="U157" s="64">
        <f t="shared" si="89"/>
        <v>0</v>
      </c>
      <c r="V157" s="219">
        <f>IF($A158="","",IF(AND(MONTH(A157)&gt;3,MONTH(A157)&lt;11),(T157+R157+G157)*Summary!$T$11/(1-Summary!$T$11),(T157+R157+G157)*Summary!$U$11/(1-Summary!$U$11)))</f>
        <v>5.0969432859550662E-2</v>
      </c>
      <c r="W157" s="43">
        <f t="shared" si="90"/>
        <v>4.8309694328595496</v>
      </c>
      <c r="X157" s="43">
        <f t="shared" si="91"/>
        <v>4.8309694328595496</v>
      </c>
      <c r="Y157" s="43"/>
      <c r="Z157" s="38">
        <f t="shared" si="92"/>
        <v>0.6</v>
      </c>
      <c r="AA157" s="38">
        <f t="shared" si="93"/>
        <v>0.17</v>
      </c>
      <c r="AB157" s="38">
        <f t="shared" ca="1" si="94"/>
        <v>0.17351821458429095</v>
      </c>
      <c r="AC157" s="38">
        <f t="shared" si="95"/>
        <v>0.6</v>
      </c>
      <c r="AD157" s="38">
        <f t="shared" si="95"/>
        <v>0.17</v>
      </c>
      <c r="AE157" s="38">
        <f t="shared" ca="1" si="96"/>
        <v>0.17351821458429095</v>
      </c>
      <c r="AF157" s="238">
        <f ca="1">((Summary!$N$11*(AA157*AD157)*(A157-$D$3))+(Summary!$M$11*Z157*AC157*(AJ157-EOMONTH(EDATE(A157,-1),0))))/(AK157*AB157*AE157)</f>
        <v>0.9999039926741824</v>
      </c>
      <c r="AG157" s="88">
        <f>IF($A158="","",Summary!$Q$11)</f>
        <v>0</v>
      </c>
      <c r="AH157" s="88">
        <f>IF($A158="","",IF(Summary!$R$11="Y",(VLOOKUP($A157,Summary!$AD$6:$AF$9,3)+'Escalating commodity'!G170),'Escalating commodity'!G170))</f>
        <v>6.1632929795434662E-3</v>
      </c>
      <c r="AI157" s="88">
        <f t="shared" si="111"/>
        <v>6.1632929795434662E-3</v>
      </c>
      <c r="AJ157" s="236">
        <f t="shared" si="97"/>
        <v>41532</v>
      </c>
      <c r="AK157" s="58">
        <f t="shared" ca="1" si="98"/>
        <v>4492</v>
      </c>
      <c r="AL157" s="26">
        <f ca="1">IF($A158="","",_xll.SPRDOPT(P157,X157,AI157,0,AB157,AE157,AF157,AK157,$AJ$2,0))</f>
        <v>5.3211680549731313E-3</v>
      </c>
      <c r="AM157" s="209">
        <f t="shared" si="99"/>
        <v>0</v>
      </c>
      <c r="AN157" s="89">
        <f t="shared" ca="1" si="100"/>
        <v>5.3211680549731313E-3</v>
      </c>
      <c r="AO157" s="3">
        <f t="shared" si="101"/>
        <v>30</v>
      </c>
      <c r="AP157" s="33">
        <f t="shared" si="102"/>
        <v>41518</v>
      </c>
      <c r="AQ157" s="58">
        <f t="shared" ca="1" si="103"/>
        <v>4492</v>
      </c>
      <c r="AR157" s="38">
        <f>'ANR OK vs ML7'!AR157</f>
        <v>0.1</v>
      </c>
      <c r="AS157" s="35">
        <f t="shared" ca="1" si="104"/>
        <v>0.30116878576341599</v>
      </c>
      <c r="AT157" s="3">
        <f t="shared" si="105"/>
        <v>1</v>
      </c>
      <c r="AU157" s="3">
        <f t="shared" si="106"/>
        <v>30</v>
      </c>
      <c r="AW157" s="32">
        <f t="shared" ca="1" si="107"/>
        <v>19817.413340414234</v>
      </c>
      <c r="AX157" s="32">
        <f t="shared" si="108"/>
        <v>0</v>
      </c>
      <c r="AY157" s="32">
        <f t="shared" ca="1" si="109"/>
        <v>19817.413340414234</v>
      </c>
      <c r="BA157" s="32">
        <f ca="1">IF($A158="","",F157*Summary!$Q$11)</f>
        <v>0</v>
      </c>
      <c r="BC157" s="256">
        <f t="shared" ca="1" si="112"/>
        <v>0</v>
      </c>
    </row>
    <row r="158" spans="1:55">
      <c r="A158" s="67">
        <f t="shared" si="110"/>
        <v>41548</v>
      </c>
      <c r="B158" s="69">
        <f t="shared" si="113"/>
        <v>124142</v>
      </c>
      <c r="C158" s="71"/>
      <c r="D158" s="69">
        <f t="shared" si="76"/>
        <v>124142</v>
      </c>
      <c r="E158" s="70">
        <f t="shared" si="77"/>
        <v>3848402</v>
      </c>
      <c r="F158" s="70">
        <f t="shared" ca="1" si="78"/>
        <v>1149766.3691655169</v>
      </c>
      <c r="G158" s="63">
        <f t="shared" si="79"/>
        <v>4.6310000000000002</v>
      </c>
      <c r="H158" s="64">
        <f t="shared" si="80"/>
        <v>4.6310000000000002</v>
      </c>
      <c r="I158" s="43"/>
      <c r="J158" s="63">
        <f t="shared" si="81"/>
        <v>0.23499999999999999</v>
      </c>
      <c r="K158" s="64">
        <f t="shared" si="82"/>
        <v>0.23499999999999999</v>
      </c>
      <c r="L158" s="63">
        <f t="shared" si="83"/>
        <v>0</v>
      </c>
      <c r="M158" s="64">
        <f t="shared" si="84"/>
        <v>0</v>
      </c>
      <c r="N158" s="65"/>
      <c r="O158" s="63">
        <f t="shared" si="85"/>
        <v>4.8660000000000005</v>
      </c>
      <c r="P158" s="63">
        <f t="shared" si="86"/>
        <v>4.8660000000000005</v>
      </c>
      <c r="Q158" s="66"/>
      <c r="R158" s="63">
        <f t="shared" si="87"/>
        <v>0.18</v>
      </c>
      <c r="S158" s="64">
        <f t="shared" si="88"/>
        <v>0.18</v>
      </c>
      <c r="T158" s="38">
        <v>0</v>
      </c>
      <c r="U158" s="64">
        <f t="shared" si="89"/>
        <v>0</v>
      </c>
      <c r="V158" s="219">
        <f>IF($A159="","",IF(AND(MONTH(A158)&gt;3,MONTH(A158)&lt;11),(T158+R158+G158)*Summary!$T$11/(1-Summary!$T$11),(T158+R158+G158)*Summary!$U$11/(1-Summary!$U$11)))</f>
        <v>5.1299987758849003E-2</v>
      </c>
      <c r="W158" s="43">
        <f t="shared" si="90"/>
        <v>4.8622999877588491</v>
      </c>
      <c r="X158" s="43">
        <f t="shared" si="91"/>
        <v>4.8622999877588491</v>
      </c>
      <c r="Y158" s="43"/>
      <c r="Z158" s="38">
        <f t="shared" si="92"/>
        <v>0.65</v>
      </c>
      <c r="AA158" s="38">
        <f t="shared" si="93"/>
        <v>0.17</v>
      </c>
      <c r="AB158" s="38">
        <f t="shared" ca="1" si="94"/>
        <v>0.17422568317437101</v>
      </c>
      <c r="AC158" s="38">
        <f t="shared" si="95"/>
        <v>0.65</v>
      </c>
      <c r="AD158" s="38">
        <f t="shared" si="95"/>
        <v>0.17</v>
      </c>
      <c r="AE158" s="38">
        <f t="shared" ca="1" si="96"/>
        <v>0.17422568317437101</v>
      </c>
      <c r="AF158" s="238">
        <f ca="1">((Summary!$N$11*(AA158*AD158)*(A158-$D$3))+(Summary!$M$11*Z158*AC158*(AJ158-EOMONTH(EDATE(A158,-1),0))))/(AK158*AB158*AE158)</f>
        <v>0.99990477093501562</v>
      </c>
      <c r="AG158" s="88">
        <f>IF($A159="","",Summary!$Q$11)</f>
        <v>0</v>
      </c>
      <c r="AH158" s="88">
        <f>IF($A159="","",IF(Summary!$R$11="Y",(VLOOKUP($A158,Summary!$AD$6:$AF$9,3)+'Escalating commodity'!G171),'Escalating commodity'!G171))</f>
        <v>6.1632929795434662E-3</v>
      </c>
      <c r="AI158" s="88">
        <f t="shared" si="111"/>
        <v>6.1632929795434662E-3</v>
      </c>
      <c r="AJ158" s="236">
        <f t="shared" si="97"/>
        <v>41562.5</v>
      </c>
      <c r="AK158" s="58">
        <f t="shared" ca="1" si="98"/>
        <v>4522</v>
      </c>
      <c r="AL158" s="26">
        <f ca="1">IF($A159="","",_xll.SPRDOPT(P158,X158,AI158,0,AB158,AE158,AF158,AK158,$AJ$2,0))</f>
        <v>5.2444148512361816E-3</v>
      </c>
      <c r="AM158" s="209">
        <f t="shared" si="99"/>
        <v>0</v>
      </c>
      <c r="AN158" s="89">
        <f t="shared" ca="1" si="100"/>
        <v>5.2444148512361816E-3</v>
      </c>
      <c r="AO158" s="3">
        <f t="shared" si="101"/>
        <v>31</v>
      </c>
      <c r="AP158" s="33">
        <f t="shared" si="102"/>
        <v>41548</v>
      </c>
      <c r="AQ158" s="58">
        <f t="shared" ca="1" si="103"/>
        <v>4522</v>
      </c>
      <c r="AR158" s="38">
        <f>'ANR OK vs ML7'!AR158</f>
        <v>0.1</v>
      </c>
      <c r="AS158" s="35">
        <f t="shared" ca="1" si="104"/>
        <v>0.29876462208613264</v>
      </c>
      <c r="AT158" s="3">
        <f t="shared" si="105"/>
        <v>1</v>
      </c>
      <c r="AU158" s="3">
        <f t="shared" si="106"/>
        <v>31</v>
      </c>
      <c r="AW158" s="32">
        <f t="shared" ca="1" si="107"/>
        <v>20182.616602327023</v>
      </c>
      <c r="AX158" s="32">
        <f t="shared" si="108"/>
        <v>0</v>
      </c>
      <c r="AY158" s="32">
        <f t="shared" ca="1" si="109"/>
        <v>20182.616602327023</v>
      </c>
      <c r="BA158" s="32">
        <f ca="1">IF($A159="","",F158*Summary!$Q$11)</f>
        <v>0</v>
      </c>
      <c r="BC158" s="256">
        <f t="shared" ca="1" si="112"/>
        <v>0</v>
      </c>
    </row>
    <row r="159" spans="1:55">
      <c r="A159" s="67">
        <f t="shared" si="110"/>
        <v>41579</v>
      </c>
      <c r="B159" s="69">
        <f t="shared" si="113"/>
        <v>124142</v>
      </c>
      <c r="C159" s="71"/>
      <c r="D159" s="69">
        <f t="shared" si="76"/>
        <v>124142</v>
      </c>
      <c r="E159" s="70">
        <f t="shared" si="77"/>
        <v>3724260</v>
      </c>
      <c r="F159" s="70">
        <f t="shared" ca="1" si="78"/>
        <v>1103500.0256118183</v>
      </c>
      <c r="G159" s="63">
        <f t="shared" si="79"/>
        <v>4.7640000000000002</v>
      </c>
      <c r="H159" s="64">
        <f t="shared" si="80"/>
        <v>4.7640000000000002</v>
      </c>
      <c r="I159" s="43"/>
      <c r="J159" s="63">
        <f t="shared" si="81"/>
        <v>0.42499999999999999</v>
      </c>
      <c r="K159" s="64">
        <f t="shared" si="82"/>
        <v>0.42499999999999999</v>
      </c>
      <c r="L159" s="63">
        <f t="shared" si="83"/>
        <v>0</v>
      </c>
      <c r="M159" s="64">
        <f t="shared" si="84"/>
        <v>0</v>
      </c>
      <c r="N159" s="65"/>
      <c r="O159" s="63">
        <f t="shared" si="85"/>
        <v>5.1890000000000001</v>
      </c>
      <c r="P159" s="63">
        <f t="shared" si="86"/>
        <v>5.1890000000000001</v>
      </c>
      <c r="Q159" s="66"/>
      <c r="R159" s="63">
        <f t="shared" si="87"/>
        <v>0.27500000000000002</v>
      </c>
      <c r="S159" s="64">
        <f t="shared" si="88"/>
        <v>0.27500000000000002</v>
      </c>
      <c r="T159" s="38">
        <v>0</v>
      </c>
      <c r="U159" s="64">
        <f t="shared" si="89"/>
        <v>0</v>
      </c>
      <c r="V159" s="219">
        <f>IF($A160="","",IF(AND(MONTH(A159)&gt;3,MONTH(A159)&lt;11),(T159+R159+G159)*Summary!$T$11/(1-Summary!$T$11),(T159+R159+G159)*Summary!$U$11/(1-Summary!$U$11)))</f>
        <v>5.3731165727881967E-2</v>
      </c>
      <c r="W159" s="43">
        <f t="shared" si="90"/>
        <v>5.0927311657278826</v>
      </c>
      <c r="X159" s="43">
        <f t="shared" si="91"/>
        <v>5.0927311657278826</v>
      </c>
      <c r="Y159" s="43"/>
      <c r="Z159" s="38">
        <f t="shared" si="92"/>
        <v>0.8</v>
      </c>
      <c r="AA159" s="38">
        <f t="shared" si="93"/>
        <v>0.17</v>
      </c>
      <c r="AB159" s="38">
        <f t="shared" ca="1" si="94"/>
        <v>0.17611032721959655</v>
      </c>
      <c r="AC159" s="38">
        <f t="shared" si="95"/>
        <v>0.8</v>
      </c>
      <c r="AD159" s="38">
        <f t="shared" si="95"/>
        <v>0.17</v>
      </c>
      <c r="AE159" s="38">
        <f t="shared" ca="1" si="96"/>
        <v>0.17611032721959655</v>
      </c>
      <c r="AF159" s="238">
        <f ca="1">((Summary!$N$11*(AA159*AD159)*(A159-$D$3))+(Summary!$M$11*Z159*AC159*(AJ159-EOMONTH(EDATE(A159,-1),0))))/(AK159*AB159*AE159)</f>
        <v>0.99990679835649765</v>
      </c>
      <c r="AG159" s="88">
        <f>IF($A160="","",Summary!$Q$11)</f>
        <v>0</v>
      </c>
      <c r="AH159" s="88">
        <f>IF($A160="","",IF(Summary!$R$11="Y",(VLOOKUP($A159,Summary!$AD$6:$AF$9,3)+'Escalating commodity'!G172),'Escalating commodity'!G172))</f>
        <v>6.1632929795434662E-3</v>
      </c>
      <c r="AI159" s="88">
        <f t="shared" si="111"/>
        <v>6.1632929795434662E-3</v>
      </c>
      <c r="AJ159" s="236">
        <f t="shared" si="97"/>
        <v>41593</v>
      </c>
      <c r="AK159" s="58">
        <f t="shared" ca="1" si="98"/>
        <v>4553</v>
      </c>
      <c r="AL159" s="26">
        <f ca="1">IF($A160="","",_xll.SPRDOPT(P159,X159,AI159,0,AB159,AE159,AF159,AK159,$AJ$2,0))</f>
        <v>9.2245763454125329E-2</v>
      </c>
      <c r="AM159" s="209">
        <f t="shared" si="99"/>
        <v>9.0105541292573949E-2</v>
      </c>
      <c r="AN159" s="89">
        <f t="shared" ca="1" si="100"/>
        <v>2.1402221615513806E-3</v>
      </c>
      <c r="AO159" s="3">
        <f t="shared" si="101"/>
        <v>30</v>
      </c>
      <c r="AP159" s="33">
        <f t="shared" si="102"/>
        <v>41579</v>
      </c>
      <c r="AQ159" s="58">
        <f t="shared" ca="1" si="103"/>
        <v>4553</v>
      </c>
      <c r="AR159" s="38">
        <f>'ANR OK vs ML7'!AR159</f>
        <v>0.1</v>
      </c>
      <c r="AS159" s="35">
        <f t="shared" ca="1" si="104"/>
        <v>0.29630047999114412</v>
      </c>
      <c r="AT159" s="3">
        <f t="shared" si="105"/>
        <v>1</v>
      </c>
      <c r="AU159" s="3">
        <f t="shared" si="106"/>
        <v>30</v>
      </c>
      <c r="AW159" s="32">
        <f t="shared" ca="1" si="107"/>
        <v>343547.20700166078</v>
      </c>
      <c r="AX159" s="32">
        <f t="shared" si="108"/>
        <v>335576.46321428148</v>
      </c>
      <c r="AY159" s="32">
        <f t="shared" ca="1" si="109"/>
        <v>7970.7437873793442</v>
      </c>
      <c r="BA159" s="32">
        <f ca="1">IF($A160="","",F159*Summary!$Q$11)</f>
        <v>0</v>
      </c>
      <c r="BC159" s="256">
        <f t="shared" ca="1" si="112"/>
        <v>99431.467124122108</v>
      </c>
    </row>
    <row r="160" spans="1:55">
      <c r="A160" s="67">
        <f t="shared" si="110"/>
        <v>41609</v>
      </c>
      <c r="B160" s="69">
        <f t="shared" si="113"/>
        <v>124142</v>
      </c>
      <c r="C160" s="71"/>
      <c r="D160" s="69">
        <f t="shared" si="76"/>
        <v>124142</v>
      </c>
      <c r="E160" s="70">
        <f t="shared" si="77"/>
        <v>3848402</v>
      </c>
      <c r="F160" s="70">
        <f t="shared" ca="1" si="78"/>
        <v>1131180.7304261501</v>
      </c>
      <c r="G160" s="63">
        <f t="shared" si="79"/>
        <v>4.9020000000000001</v>
      </c>
      <c r="H160" s="64">
        <f t="shared" si="80"/>
        <v>4.9020000000000001</v>
      </c>
      <c r="I160" s="43"/>
      <c r="J160" s="63">
        <f t="shared" si="81"/>
        <v>0.42499999999999999</v>
      </c>
      <c r="K160" s="64">
        <f t="shared" si="82"/>
        <v>0.42499999999999999</v>
      </c>
      <c r="L160" s="63">
        <f t="shared" si="83"/>
        <v>0</v>
      </c>
      <c r="M160" s="64">
        <f t="shared" si="84"/>
        <v>0</v>
      </c>
      <c r="N160" s="65"/>
      <c r="O160" s="63">
        <f t="shared" si="85"/>
        <v>5.327</v>
      </c>
      <c r="P160" s="63">
        <f t="shared" si="86"/>
        <v>5.327</v>
      </c>
      <c r="Q160" s="66"/>
      <c r="R160" s="63">
        <f t="shared" si="87"/>
        <v>0.27500000000000002</v>
      </c>
      <c r="S160" s="64">
        <f t="shared" si="88"/>
        <v>0.27500000000000002</v>
      </c>
      <c r="T160" s="38">
        <v>0</v>
      </c>
      <c r="U160" s="64">
        <f t="shared" si="89"/>
        <v>0</v>
      </c>
      <c r="V160" s="219">
        <f>IF($A161="","",IF(AND(MONTH(A160)&gt;3,MONTH(A160)&lt;11),(T160+R160+G160)*Summary!$T$11/(1-Summary!$T$11),(T160+R160+G160)*Summary!$U$11/(1-Summary!$U$11)))</f>
        <v>5.5202668182822968E-2</v>
      </c>
      <c r="W160" s="43">
        <f t="shared" si="90"/>
        <v>5.2322026681828238</v>
      </c>
      <c r="X160" s="43">
        <f t="shared" si="91"/>
        <v>5.2322026681828238</v>
      </c>
      <c r="Y160" s="43"/>
      <c r="Z160" s="38">
        <f t="shared" si="92"/>
        <v>1.1000000000000001</v>
      </c>
      <c r="AA160" s="38">
        <f t="shared" si="93"/>
        <v>0.17</v>
      </c>
      <c r="AB160" s="38">
        <f t="shared" ca="1" si="94"/>
        <v>0.18165517756123148</v>
      </c>
      <c r="AC160" s="38">
        <f t="shared" si="95"/>
        <v>1.1000000000000001</v>
      </c>
      <c r="AD160" s="38">
        <f t="shared" si="95"/>
        <v>0.17</v>
      </c>
      <c r="AE160" s="38">
        <f t="shared" ca="1" si="96"/>
        <v>0.18165517756123148</v>
      </c>
      <c r="AF160" s="238">
        <f ca="1">((Summary!$N$11*(AA160*AD160)*(A160-$D$3))+(Summary!$M$11*Z160*AC160*(AJ160-EOMONTH(EDATE(A160,-1),0))))/(AK160*AB160*AE160)</f>
        <v>0.99991240142667659</v>
      </c>
      <c r="AG160" s="88">
        <f>IF($A161="","",Summary!$Q$11)</f>
        <v>0</v>
      </c>
      <c r="AH160" s="88">
        <f>IF($A161="","",IF(Summary!$R$11="Y",(VLOOKUP($A160,Summary!$AD$6:$AF$9,3)+'Escalating commodity'!G173),'Escalating commodity'!G173))</f>
        <v>6.1632929795434662E-3</v>
      </c>
      <c r="AI160" s="88">
        <f t="shared" si="111"/>
        <v>6.1632929795434662E-3</v>
      </c>
      <c r="AJ160" s="236">
        <f t="shared" si="97"/>
        <v>41623.5</v>
      </c>
      <c r="AK160" s="58">
        <f t="shared" ca="1" si="98"/>
        <v>4583</v>
      </c>
      <c r="AL160" s="26">
        <f ca="1">IF($A161="","",_xll.SPRDOPT(P160,X160,AI160,0,AB160,AE160,AF160,AK160,$AJ$2,0))</f>
        <v>9.0941821528798969E-2</v>
      </c>
      <c r="AM160" s="209">
        <f t="shared" si="99"/>
        <v>8.8634038837632739E-2</v>
      </c>
      <c r="AN160" s="89">
        <f t="shared" ca="1" si="100"/>
        <v>2.3077826911662297E-3</v>
      </c>
      <c r="AO160" s="3">
        <f t="shared" si="101"/>
        <v>31</v>
      </c>
      <c r="AP160" s="33">
        <f t="shared" si="102"/>
        <v>41609</v>
      </c>
      <c r="AQ160" s="58">
        <f t="shared" ca="1" si="103"/>
        <v>4583</v>
      </c>
      <c r="AR160" s="38">
        <f>'ANR OK vs ML7'!AR160</f>
        <v>0.1</v>
      </c>
      <c r="AS160" s="35">
        <f t="shared" ca="1" si="104"/>
        <v>0.29393517892001669</v>
      </c>
      <c r="AT160" s="3">
        <f t="shared" si="105"/>
        <v>1</v>
      </c>
      <c r="AU160" s="3">
        <f t="shared" si="106"/>
        <v>31</v>
      </c>
      <c r="AW160" s="32">
        <f t="shared" ca="1" si="107"/>
        <v>349980.68785507302</v>
      </c>
      <c r="AX160" s="32">
        <f t="shared" si="108"/>
        <v>341099.41233082348</v>
      </c>
      <c r="AY160" s="32">
        <f t="shared" ca="1" si="109"/>
        <v>8881.2755242495004</v>
      </c>
      <c r="BA160" s="32">
        <f ca="1">IF($A161="","",F160*Summary!$Q$11)</f>
        <v>0</v>
      </c>
      <c r="BC160" s="256">
        <f t="shared" ca="1" si="112"/>
        <v>100261.11679297316</v>
      </c>
    </row>
    <row r="161" spans="1:55">
      <c r="A161" s="67">
        <f t="shared" si="110"/>
        <v>41640</v>
      </c>
      <c r="B161" s="69">
        <f t="shared" si="113"/>
        <v>124142</v>
      </c>
      <c r="C161" s="71"/>
      <c r="D161" s="69">
        <f t="shared" si="76"/>
        <v>124142</v>
      </c>
      <c r="E161" s="70">
        <f t="shared" si="77"/>
        <v>3848402</v>
      </c>
      <c r="F161" s="70">
        <f t="shared" ca="1" si="78"/>
        <v>1121851.0111460693</v>
      </c>
      <c r="G161" s="63">
        <f t="shared" si="79"/>
        <v>4.9540000000000006</v>
      </c>
      <c r="H161" s="64">
        <f t="shared" si="80"/>
        <v>4.9540000000000006</v>
      </c>
      <c r="I161" s="43"/>
      <c r="J161" s="63">
        <f t="shared" si="81"/>
        <v>0.42499999999999999</v>
      </c>
      <c r="K161" s="64">
        <f t="shared" si="82"/>
        <v>0.42499999999999999</v>
      </c>
      <c r="L161" s="63">
        <f t="shared" si="83"/>
        <v>0</v>
      </c>
      <c r="M161" s="64">
        <f t="shared" si="84"/>
        <v>0</v>
      </c>
      <c r="N161" s="65"/>
      <c r="O161" s="63">
        <f t="shared" si="85"/>
        <v>5.3790000000000004</v>
      </c>
      <c r="P161" s="63">
        <f t="shared" si="86"/>
        <v>5.3790000000000004</v>
      </c>
      <c r="Q161" s="66"/>
      <c r="R161" s="63">
        <f t="shared" si="87"/>
        <v>0.27500000000000002</v>
      </c>
      <c r="S161" s="64">
        <f t="shared" si="88"/>
        <v>0.27500000000000002</v>
      </c>
      <c r="T161" s="38">
        <v>0</v>
      </c>
      <c r="U161" s="64">
        <f t="shared" si="89"/>
        <v>0</v>
      </c>
      <c r="V161" s="219">
        <f>IF($A162="","",IF(AND(MONTH(A161)&gt;3,MONTH(A161)&lt;11),(T161+R161+G161)*Summary!$T$11/(1-Summary!$T$11),(T161+R161+G161)*Summary!$U$11/(1-Summary!$U$11)))</f>
        <v>5.5757147368742772E-2</v>
      </c>
      <c r="W161" s="43">
        <f t="shared" si="90"/>
        <v>5.2847571473687438</v>
      </c>
      <c r="X161" s="43">
        <f t="shared" si="91"/>
        <v>5.2847571473687438</v>
      </c>
      <c r="Y161" s="43"/>
      <c r="Z161" s="38">
        <f t="shared" si="92"/>
        <v>1.1000000000000001</v>
      </c>
      <c r="AA161" s="38">
        <f t="shared" si="93"/>
        <v>0.17</v>
      </c>
      <c r="AB161" s="38">
        <f t="shared" ca="1" si="94"/>
        <v>0.18157936644865785</v>
      </c>
      <c r="AC161" s="38">
        <f t="shared" si="95"/>
        <v>1.1000000000000001</v>
      </c>
      <c r="AD161" s="38">
        <f t="shared" si="95"/>
        <v>0.17</v>
      </c>
      <c r="AE161" s="38">
        <f t="shared" ca="1" si="96"/>
        <v>0.18157936644865785</v>
      </c>
      <c r="AF161" s="238">
        <f ca="1">((Summary!$N$11*(AA161*AD161)*(A161-$D$3))+(Summary!$M$11*Z161*AC161*(AJ161-EOMONTH(EDATE(A161,-1),0))))/(AK161*AB161*AE161)</f>
        <v>0.99991232839343069</v>
      </c>
      <c r="AG161" s="88">
        <f>IF($A162="","",Summary!$Q$11)</f>
        <v>0</v>
      </c>
      <c r="AH161" s="88">
        <f>IF($A162="","",IF(Summary!$R$11="Y",(VLOOKUP($A161,Summary!$AD$6:$AF$9,3)+'Escalating commodity'!G174),'Escalating commodity'!G174))</f>
        <v>6.2865588391343361E-3</v>
      </c>
      <c r="AI161" s="88">
        <f t="shared" si="111"/>
        <v>6.2865588391343361E-3</v>
      </c>
      <c r="AJ161" s="236">
        <f t="shared" si="97"/>
        <v>41654.5</v>
      </c>
      <c r="AK161" s="58">
        <f t="shared" ca="1" si="98"/>
        <v>4614</v>
      </c>
      <c r="AL161" s="26">
        <f ca="1">IF($A162="","",_xll.SPRDOPT(P161,X161,AI161,0,AB161,AE161,AF161,AK161,$AJ$2,0))</f>
        <v>9.0340802104063228E-2</v>
      </c>
      <c r="AM161" s="209">
        <f t="shared" si="99"/>
        <v>8.7956293792122303E-2</v>
      </c>
      <c r="AN161" s="89">
        <f t="shared" ca="1" si="100"/>
        <v>2.3845083119409249E-3</v>
      </c>
      <c r="AO161" s="3">
        <f t="shared" si="101"/>
        <v>31</v>
      </c>
      <c r="AP161" s="33">
        <f t="shared" si="102"/>
        <v>41640</v>
      </c>
      <c r="AQ161" s="58">
        <f t="shared" ca="1" si="103"/>
        <v>4614</v>
      </c>
      <c r="AR161" s="38">
        <f>'ANR OK vs ML7'!AR161</f>
        <v>0.1</v>
      </c>
      <c r="AS161" s="35">
        <f t="shared" ca="1" si="104"/>
        <v>0.29151086896485068</v>
      </c>
      <c r="AT161" s="3">
        <f t="shared" si="105"/>
        <v>1</v>
      </c>
      <c r="AU161" s="3">
        <f t="shared" si="106"/>
        <v>31</v>
      </c>
      <c r="AW161" s="32">
        <f t="shared" ca="1" si="107"/>
        <v>347667.72349888115</v>
      </c>
      <c r="AX161" s="32">
        <f t="shared" si="108"/>
        <v>338491.17694219103</v>
      </c>
      <c r="AY161" s="32">
        <f t="shared" ca="1" si="109"/>
        <v>9176.5465566900803</v>
      </c>
      <c r="BA161" s="32">
        <f ca="1">IF($A162="","",F161*Summary!$Q$11)</f>
        <v>0</v>
      </c>
      <c r="BC161" s="256">
        <f t="shared" ca="1" si="112"/>
        <v>98673.857127353142</v>
      </c>
    </row>
    <row r="162" spans="1:55">
      <c r="A162" s="67">
        <f t="shared" si="110"/>
        <v>41671</v>
      </c>
      <c r="B162" s="69">
        <f t="shared" si="113"/>
        <v>124142</v>
      </c>
      <c r="C162" s="71"/>
      <c r="D162" s="69">
        <f t="shared" si="76"/>
        <v>124142</v>
      </c>
      <c r="E162" s="70">
        <f t="shared" si="77"/>
        <v>3475976</v>
      </c>
      <c r="F162" s="70">
        <f t="shared" ca="1" si="78"/>
        <v>1004927.443710822</v>
      </c>
      <c r="G162" s="63">
        <f t="shared" si="79"/>
        <v>4.8340000000000005</v>
      </c>
      <c r="H162" s="64">
        <f t="shared" si="80"/>
        <v>4.8340000000000005</v>
      </c>
      <c r="I162" s="43"/>
      <c r="J162" s="63">
        <f t="shared" si="81"/>
        <v>0.42499999999999999</v>
      </c>
      <c r="K162" s="64">
        <f t="shared" si="82"/>
        <v>0.42499999999999999</v>
      </c>
      <c r="L162" s="63">
        <f t="shared" si="83"/>
        <v>0</v>
      </c>
      <c r="M162" s="64">
        <f t="shared" si="84"/>
        <v>0</v>
      </c>
      <c r="N162" s="65"/>
      <c r="O162" s="63">
        <f t="shared" si="85"/>
        <v>5.2590000000000003</v>
      </c>
      <c r="P162" s="63">
        <f t="shared" si="86"/>
        <v>5.2590000000000003</v>
      </c>
      <c r="Q162" s="66"/>
      <c r="R162" s="63">
        <f t="shared" si="87"/>
        <v>0.27500000000000002</v>
      </c>
      <c r="S162" s="64">
        <f t="shared" si="88"/>
        <v>0.27500000000000002</v>
      </c>
      <c r="T162" s="38">
        <v>0</v>
      </c>
      <c r="U162" s="64">
        <f t="shared" si="89"/>
        <v>0</v>
      </c>
      <c r="V162" s="219">
        <f>IF($A163="","",IF(AND(MONTH(A162)&gt;3,MONTH(A162)&lt;11),(T162+R162+G162)*Summary!$T$11/(1-Summary!$T$11),(T162+R162+G162)*Summary!$U$11/(1-Summary!$U$11)))</f>
        <v>5.4477580016620161E-2</v>
      </c>
      <c r="W162" s="43">
        <f t="shared" si="90"/>
        <v>5.1634775800166208</v>
      </c>
      <c r="X162" s="43">
        <f t="shared" si="91"/>
        <v>5.1634775800166208</v>
      </c>
      <c r="Y162" s="43"/>
      <c r="Z162" s="38">
        <f t="shared" si="92"/>
        <v>1.1000000000000001</v>
      </c>
      <c r="AA162" s="38">
        <f t="shared" si="93"/>
        <v>0.17</v>
      </c>
      <c r="AB162" s="38">
        <f t="shared" ca="1" si="94"/>
        <v>0.18042492601898405</v>
      </c>
      <c r="AC162" s="38">
        <f t="shared" si="95"/>
        <v>1.1000000000000001</v>
      </c>
      <c r="AD162" s="38">
        <f t="shared" si="95"/>
        <v>0.17</v>
      </c>
      <c r="AE162" s="38">
        <f t="shared" ca="1" si="96"/>
        <v>0.18042492601898405</v>
      </c>
      <c r="AF162" s="238">
        <f ca="1">((Summary!$N$11*(AA162*AD162)*(A162-$D$3))+(Summary!$M$11*Z162*AC162*(AJ162-EOMONTH(EDATE(A162,-1),0))))/(AK162*AB162*AE162)</f>
        <v>0.99991120300722069</v>
      </c>
      <c r="AG162" s="88">
        <f>IF($A163="","",Summary!$Q$11)</f>
        <v>0</v>
      </c>
      <c r="AH162" s="88">
        <f>IF($A163="","",IF(Summary!$R$11="Y",(VLOOKUP($A162,Summary!$AD$6:$AF$9,3)+'Escalating commodity'!G175),'Escalating commodity'!G175))</f>
        <v>6.2865588391343361E-3</v>
      </c>
      <c r="AI162" s="88">
        <f t="shared" si="111"/>
        <v>6.2865588391343361E-3</v>
      </c>
      <c r="AJ162" s="236">
        <f t="shared" si="97"/>
        <v>41684</v>
      </c>
      <c r="AK162" s="58">
        <f t="shared" ca="1" si="98"/>
        <v>4645</v>
      </c>
      <c r="AL162" s="26">
        <f ca="1">IF($A163="","",_xll.SPRDOPT(P162,X162,AI162,0,AB162,AE162,AF162,AK162,$AJ$2,0))</f>
        <v>9.1501535632059844E-2</v>
      </c>
      <c r="AM162" s="209">
        <f t="shared" si="99"/>
        <v>8.9235861144245171E-2</v>
      </c>
      <c r="AN162" s="89">
        <f t="shared" ca="1" si="100"/>
        <v>2.2656744878146728E-3</v>
      </c>
      <c r="AO162" s="3">
        <f t="shared" si="101"/>
        <v>28</v>
      </c>
      <c r="AP162" s="33">
        <f t="shared" si="102"/>
        <v>41671</v>
      </c>
      <c r="AQ162" s="58">
        <f t="shared" ca="1" si="103"/>
        <v>4645</v>
      </c>
      <c r="AR162" s="38">
        <f>'ANR OK vs ML7'!AR162</f>
        <v>0.1</v>
      </c>
      <c r="AS162" s="35">
        <f t="shared" ca="1" si="104"/>
        <v>0.28910655416229053</v>
      </c>
      <c r="AT162" s="3">
        <f t="shared" si="105"/>
        <v>1</v>
      </c>
      <c r="AU162" s="3">
        <f t="shared" si="106"/>
        <v>28</v>
      </c>
      <c r="AW162" s="32">
        <f t="shared" ca="1" si="107"/>
        <v>318057.14182018483</v>
      </c>
      <c r="AX162" s="32">
        <f t="shared" si="108"/>
        <v>310181.71167672874</v>
      </c>
      <c r="AY162" s="32">
        <f t="shared" ca="1" si="109"/>
        <v>7875.4301434560948</v>
      </c>
      <c r="BA162" s="32">
        <f ca="1">IF($A163="","",F162*Summary!$Q$11)</f>
        <v>0</v>
      </c>
      <c r="BC162" s="256">
        <f t="shared" ca="1" si="112"/>
        <v>89675.565827020167</v>
      </c>
    </row>
    <row r="163" spans="1:55">
      <c r="A163" s="67">
        <f t="shared" si="110"/>
        <v>41699</v>
      </c>
      <c r="B163" s="69">
        <f t="shared" si="113"/>
        <v>124142</v>
      </c>
      <c r="C163" s="71"/>
      <c r="D163" s="69">
        <f t="shared" si="76"/>
        <v>124142</v>
      </c>
      <c r="E163" s="70">
        <f t="shared" si="77"/>
        <v>3848402</v>
      </c>
      <c r="F163" s="70">
        <f t="shared" ca="1" si="78"/>
        <v>1104306.5123260715</v>
      </c>
      <c r="G163" s="63">
        <f t="shared" si="79"/>
        <v>4.6950000000000003</v>
      </c>
      <c r="H163" s="64">
        <f t="shared" si="80"/>
        <v>4.6950000000000003</v>
      </c>
      <c r="I163" s="43"/>
      <c r="J163" s="63">
        <f t="shared" si="81"/>
        <v>0.42499999999999999</v>
      </c>
      <c r="K163" s="64">
        <f t="shared" si="82"/>
        <v>0.42499999999999999</v>
      </c>
      <c r="L163" s="63">
        <f t="shared" si="83"/>
        <v>0</v>
      </c>
      <c r="M163" s="64">
        <f t="shared" si="84"/>
        <v>0</v>
      </c>
      <c r="N163" s="65"/>
      <c r="O163" s="63">
        <f t="shared" si="85"/>
        <v>5.12</v>
      </c>
      <c r="P163" s="63">
        <f t="shared" si="86"/>
        <v>5.12</v>
      </c>
      <c r="Q163" s="66"/>
      <c r="R163" s="63">
        <f t="shared" si="87"/>
        <v>0.27500000000000002</v>
      </c>
      <c r="S163" s="64">
        <f t="shared" si="88"/>
        <v>0.27500000000000002</v>
      </c>
      <c r="T163" s="38">
        <v>0</v>
      </c>
      <c r="U163" s="64">
        <f t="shared" si="89"/>
        <v>0</v>
      </c>
      <c r="V163" s="219">
        <f>IF($A164="","",IF(AND(MONTH(A163)&gt;3,MONTH(A163)&lt;11),(T163+R163+G163)*Summary!$T$11/(1-Summary!$T$11),(T163+R163+G163)*Summary!$U$11/(1-Summary!$U$11)))</f>
        <v>5.2995414500411474E-2</v>
      </c>
      <c r="W163" s="43">
        <f t="shared" si="90"/>
        <v>5.0229954145004125</v>
      </c>
      <c r="X163" s="43">
        <f t="shared" si="91"/>
        <v>5.0229954145004125</v>
      </c>
      <c r="Y163" s="43"/>
      <c r="Z163" s="38">
        <f t="shared" si="92"/>
        <v>0.75</v>
      </c>
      <c r="AA163" s="38">
        <f t="shared" si="93"/>
        <v>0.17</v>
      </c>
      <c r="AB163" s="38">
        <f t="shared" ca="1" si="94"/>
        <v>0.17541937155562332</v>
      </c>
      <c r="AC163" s="38">
        <f t="shared" si="95"/>
        <v>0.75</v>
      </c>
      <c r="AD163" s="38">
        <f t="shared" si="95"/>
        <v>0.17</v>
      </c>
      <c r="AE163" s="38">
        <f t="shared" ca="1" si="96"/>
        <v>0.17541937155562332</v>
      </c>
      <c r="AF163" s="238">
        <f ca="1">((Summary!$N$11*(AA163*AD163)*(A163-$D$3))+(Summary!$M$11*Z163*AC163*(AJ163-EOMONTH(EDATE(A163,-1),0))))/(AK163*AB163*AE163)</f>
        <v>0.99990606322021969</v>
      </c>
      <c r="AG163" s="88">
        <f>IF($A164="","",Summary!$Q$11)</f>
        <v>0</v>
      </c>
      <c r="AH163" s="88">
        <f>IF($A164="","",IF(Summary!$R$11="Y",(VLOOKUP($A163,Summary!$AD$6:$AF$9,3)+'Escalating commodity'!G176),'Escalating commodity'!G176))</f>
        <v>6.2865588391343361E-3</v>
      </c>
      <c r="AI163" s="88">
        <f t="shared" si="111"/>
        <v>6.2865588391343361E-3</v>
      </c>
      <c r="AJ163" s="236">
        <f t="shared" si="97"/>
        <v>41713.5</v>
      </c>
      <c r="AK163" s="58">
        <f t="shared" ca="1" si="98"/>
        <v>4673</v>
      </c>
      <c r="AL163" s="26">
        <f ca="1">IF($A164="","",_xll.SPRDOPT(P163,X163,AI163,0,AB163,AE163,AF163,AK163,$AJ$2,0))</f>
        <v>9.2840402489887786E-2</v>
      </c>
      <c r="AM163" s="209">
        <f t="shared" si="99"/>
        <v>9.0718026660453227E-2</v>
      </c>
      <c r="AN163" s="89">
        <f t="shared" ca="1" si="100"/>
        <v>2.1223758294345585E-3</v>
      </c>
      <c r="AO163" s="3">
        <f t="shared" si="101"/>
        <v>31</v>
      </c>
      <c r="AP163" s="33">
        <f t="shared" si="102"/>
        <v>41699</v>
      </c>
      <c r="AQ163" s="58">
        <f t="shared" ca="1" si="103"/>
        <v>4673</v>
      </c>
      <c r="AR163" s="38">
        <f>'ANR OK vs ML7'!AR163</f>
        <v>0.1</v>
      </c>
      <c r="AS163" s="35">
        <f t="shared" ca="1" si="104"/>
        <v>0.2869519640427563</v>
      </c>
      <c r="AT163" s="3">
        <f t="shared" si="105"/>
        <v>1</v>
      </c>
      <c r="AU163" s="3">
        <f t="shared" si="106"/>
        <v>31</v>
      </c>
      <c r="AW163" s="32">
        <f t="shared" ca="1" si="107"/>
        <v>357287.19062288915</v>
      </c>
      <c r="AX163" s="32">
        <f t="shared" si="108"/>
        <v>349119.43523614149</v>
      </c>
      <c r="AY163" s="32">
        <f t="shared" ca="1" si="109"/>
        <v>8167.7553867476136</v>
      </c>
      <c r="BA163" s="32">
        <f ca="1">IF($A164="","",F163*Summary!$Q$11)</f>
        <v>0</v>
      </c>
      <c r="BC163" s="256">
        <f t="shared" ca="1" si="112"/>
        <v>100180.50762650867</v>
      </c>
    </row>
    <row r="164" spans="1:55">
      <c r="A164" s="67">
        <f t="shared" si="110"/>
        <v>41730</v>
      </c>
      <c r="B164" s="69">
        <f t="shared" si="113"/>
        <v>124142</v>
      </c>
      <c r="C164" s="71"/>
      <c r="D164" s="69">
        <f t="shared" si="76"/>
        <v>124142</v>
      </c>
      <c r="E164" s="70">
        <f t="shared" si="77"/>
        <v>3724260</v>
      </c>
      <c r="F164" s="70">
        <f t="shared" ca="1" si="78"/>
        <v>1059869.4633237189</v>
      </c>
      <c r="G164" s="63">
        <f t="shared" si="79"/>
        <v>4.5199999999999996</v>
      </c>
      <c r="H164" s="64">
        <f t="shared" si="80"/>
        <v>4.5199999999999996</v>
      </c>
      <c r="I164" s="43"/>
      <c r="J164" s="63">
        <f t="shared" si="81"/>
        <v>0.23499999999999999</v>
      </c>
      <c r="K164" s="64">
        <f t="shared" si="82"/>
        <v>0.23499999999999999</v>
      </c>
      <c r="L164" s="63">
        <f t="shared" si="83"/>
        <v>0</v>
      </c>
      <c r="M164" s="64">
        <f t="shared" si="84"/>
        <v>0</v>
      </c>
      <c r="N164" s="65"/>
      <c r="O164" s="63">
        <f t="shared" si="85"/>
        <v>4.7549999999999999</v>
      </c>
      <c r="P164" s="63">
        <f t="shared" si="86"/>
        <v>4.7549999999999999</v>
      </c>
      <c r="Q164" s="66"/>
      <c r="R164" s="63">
        <f t="shared" si="87"/>
        <v>0.18</v>
      </c>
      <c r="S164" s="64">
        <f t="shared" si="88"/>
        <v>0.18</v>
      </c>
      <c r="T164" s="38">
        <v>0</v>
      </c>
      <c r="U164" s="64">
        <f t="shared" si="89"/>
        <v>0</v>
      </c>
      <c r="V164" s="219">
        <f>IF($A165="","",IF(AND(MONTH(A164)&gt;3,MONTH(A164)&lt;11),(T164+R164+G164)*Summary!$T$11/(1-Summary!$T$11),(T164+R164+G164)*Summary!$U$11/(1-Summary!$U$11)))</f>
        <v>5.0116387958135576E-2</v>
      </c>
      <c r="W164" s="43">
        <f t="shared" si="90"/>
        <v>4.7501163879581352</v>
      </c>
      <c r="X164" s="43">
        <f t="shared" si="91"/>
        <v>4.7501163879581352</v>
      </c>
      <c r="Y164" s="43"/>
      <c r="Z164" s="38">
        <f t="shared" si="92"/>
        <v>0.45</v>
      </c>
      <c r="AA164" s="38">
        <f t="shared" si="93"/>
        <v>0.17</v>
      </c>
      <c r="AB164" s="38">
        <f t="shared" ca="1" si="94"/>
        <v>0.17190657564008227</v>
      </c>
      <c r="AC164" s="38">
        <f t="shared" si="95"/>
        <v>0.45</v>
      </c>
      <c r="AD164" s="38">
        <f t="shared" si="95"/>
        <v>0.17</v>
      </c>
      <c r="AE164" s="38">
        <f t="shared" ca="1" si="96"/>
        <v>0.17190657564008227</v>
      </c>
      <c r="AF164" s="238">
        <f ca="1">((Summary!$N$11*(AA164*AD164)*(A164-$D$3))+(Summary!$M$11*Z164*AC164*(AJ164-EOMONTH(EDATE(A164,-1),0))))/(AK164*AB164*AE164)</f>
        <v>0.99990218506316009</v>
      </c>
      <c r="AG164" s="88">
        <f>IF($A165="","",Summary!$Q$11)</f>
        <v>0</v>
      </c>
      <c r="AH164" s="88">
        <f>IF($A165="","",IF(Summary!$R$11="Y",(VLOOKUP($A164,Summary!$AD$6:$AF$9,3)+'Escalating commodity'!G177),'Escalating commodity'!G177))</f>
        <v>6.2865588391343361E-3</v>
      </c>
      <c r="AI164" s="88">
        <f t="shared" si="111"/>
        <v>6.2865588391343361E-3</v>
      </c>
      <c r="AJ164" s="236">
        <f t="shared" si="97"/>
        <v>41744</v>
      </c>
      <c r="AK164" s="58">
        <f t="shared" ca="1" si="98"/>
        <v>4704</v>
      </c>
      <c r="AL164" s="26">
        <f ca="1">IF($A165="","",_xll.SPRDOPT(P164,X164,AI164,0,AB164,AE164,AF164,AK164,$AJ$2,0))</f>
        <v>5.731577645382388E-3</v>
      </c>
      <c r="AM164" s="209">
        <f t="shared" si="99"/>
        <v>0</v>
      </c>
      <c r="AN164" s="89">
        <f t="shared" ca="1" si="100"/>
        <v>5.731577645382388E-3</v>
      </c>
      <c r="AO164" s="3">
        <f t="shared" si="101"/>
        <v>30</v>
      </c>
      <c r="AP164" s="33">
        <f t="shared" si="102"/>
        <v>41730</v>
      </c>
      <c r="AQ164" s="58">
        <f t="shared" ca="1" si="103"/>
        <v>4704</v>
      </c>
      <c r="AR164" s="38">
        <f>'ANR OK vs ML7'!AR164</f>
        <v>0.1</v>
      </c>
      <c r="AS164" s="35">
        <f t="shared" ca="1" si="104"/>
        <v>0.28458525004261759</v>
      </c>
      <c r="AT164" s="3">
        <f t="shared" si="105"/>
        <v>1</v>
      </c>
      <c r="AU164" s="3">
        <f t="shared" si="106"/>
        <v>30</v>
      </c>
      <c r="AW164" s="32">
        <f t="shared" ca="1" si="107"/>
        <v>21345.885361591812</v>
      </c>
      <c r="AX164" s="32">
        <f t="shared" si="108"/>
        <v>0</v>
      </c>
      <c r="AY164" s="32">
        <f t="shared" ca="1" si="109"/>
        <v>21345.885361591812</v>
      </c>
      <c r="BA164" s="32">
        <f ca="1">IF($A165="","",F164*Summary!$Q$11)</f>
        <v>0</v>
      </c>
      <c r="BC164" s="256">
        <f t="shared" ca="1" si="112"/>
        <v>0</v>
      </c>
    </row>
    <row r="165" spans="1:55">
      <c r="A165" s="67">
        <f t="shared" si="110"/>
        <v>41760</v>
      </c>
      <c r="B165" s="69">
        <f t="shared" si="113"/>
        <v>124142</v>
      </c>
      <c r="C165" s="71"/>
      <c r="D165" s="69">
        <f t="shared" si="76"/>
        <v>124142</v>
      </c>
      <c r="E165" s="70">
        <f t="shared" si="77"/>
        <v>3848402</v>
      </c>
      <c r="F165" s="70">
        <f t="shared" ca="1" si="78"/>
        <v>1086455.7189422653</v>
      </c>
      <c r="G165" s="63">
        <f t="shared" si="79"/>
        <v>4.49</v>
      </c>
      <c r="H165" s="64">
        <f t="shared" si="80"/>
        <v>4.49</v>
      </c>
      <c r="I165" s="43"/>
      <c r="J165" s="63">
        <f t="shared" si="81"/>
        <v>0.23499999999999999</v>
      </c>
      <c r="K165" s="64">
        <f t="shared" si="82"/>
        <v>0.23499999999999999</v>
      </c>
      <c r="L165" s="63">
        <f t="shared" si="83"/>
        <v>0</v>
      </c>
      <c r="M165" s="64">
        <f t="shared" si="84"/>
        <v>0</v>
      </c>
      <c r="N165" s="65"/>
      <c r="O165" s="63">
        <f t="shared" si="85"/>
        <v>4.7250000000000005</v>
      </c>
      <c r="P165" s="63">
        <f t="shared" si="86"/>
        <v>4.7250000000000005</v>
      </c>
      <c r="Q165" s="66"/>
      <c r="R165" s="63">
        <f t="shared" si="87"/>
        <v>0.18</v>
      </c>
      <c r="S165" s="64">
        <f t="shared" si="88"/>
        <v>0.18</v>
      </c>
      <c r="T165" s="38">
        <v>0</v>
      </c>
      <c r="U165" s="64">
        <f t="shared" si="89"/>
        <v>0</v>
      </c>
      <c r="V165" s="219">
        <f>IF($A166="","",IF(AND(MONTH(A165)&gt;3,MONTH(A165)&lt;11),(T165+R165+G165)*Summary!$T$11/(1-Summary!$T$11),(T165+R165+G165)*Summary!$U$11/(1-Summary!$U$11)))</f>
        <v>4.9796496120104936E-2</v>
      </c>
      <c r="W165" s="43">
        <f t="shared" si="90"/>
        <v>4.7197964961201047</v>
      </c>
      <c r="X165" s="43">
        <f t="shared" si="91"/>
        <v>4.7197964961201047</v>
      </c>
      <c r="Y165" s="43"/>
      <c r="Z165" s="38">
        <f t="shared" si="92"/>
        <v>0.5</v>
      </c>
      <c r="AA165" s="38">
        <f t="shared" si="93"/>
        <v>0.17</v>
      </c>
      <c r="AB165" s="38">
        <f t="shared" ca="1" si="94"/>
        <v>0.17240838569379738</v>
      </c>
      <c r="AC165" s="38">
        <f t="shared" si="95"/>
        <v>0.5</v>
      </c>
      <c r="AD165" s="38">
        <f t="shared" si="95"/>
        <v>0.17</v>
      </c>
      <c r="AE165" s="38">
        <f t="shared" ca="1" si="96"/>
        <v>0.17240838569379738</v>
      </c>
      <c r="AF165" s="238">
        <f ca="1">((Summary!$N$11*(AA165*AD165)*(A165-$D$3))+(Summary!$M$11*Z165*AC165*(AJ165-EOMONTH(EDATE(A165,-1),0))))/(AK165*AB165*AE165)</f>
        <v>0.99990275376377336</v>
      </c>
      <c r="AG165" s="88">
        <f>IF($A166="","",Summary!$Q$11)</f>
        <v>0</v>
      </c>
      <c r="AH165" s="88">
        <f>IF($A166="","",IF(Summary!$R$11="Y",(VLOOKUP($A165,Summary!$AD$6:$AF$9,3)+'Escalating commodity'!G178),'Escalating commodity'!G178))</f>
        <v>6.2865588391343361E-3</v>
      </c>
      <c r="AI165" s="88">
        <f t="shared" si="111"/>
        <v>6.2865588391343361E-3</v>
      </c>
      <c r="AJ165" s="236">
        <f t="shared" si="97"/>
        <v>41774.5</v>
      </c>
      <c r="AK165" s="58">
        <f t="shared" ca="1" si="98"/>
        <v>4734</v>
      </c>
      <c r="AL165" s="26">
        <f ca="1">IF($A166="","",_xll.SPRDOPT(P165,X165,AI165,0,AB165,AE165,AF165,AK165,$AJ$2,0))</f>
        <v>5.8693614183427528E-3</v>
      </c>
      <c r="AM165" s="209">
        <f t="shared" si="99"/>
        <v>0</v>
      </c>
      <c r="AN165" s="89">
        <f t="shared" ca="1" si="100"/>
        <v>5.8693614183427528E-3</v>
      </c>
      <c r="AO165" s="3">
        <f t="shared" si="101"/>
        <v>31</v>
      </c>
      <c r="AP165" s="33">
        <f t="shared" si="102"/>
        <v>41760</v>
      </c>
      <c r="AQ165" s="58">
        <f t="shared" ca="1" si="103"/>
        <v>4734</v>
      </c>
      <c r="AR165" s="38">
        <f>'ANR OK vs ML7'!AR165</f>
        <v>0.1</v>
      </c>
      <c r="AS165" s="35">
        <f t="shared" ca="1" si="104"/>
        <v>0.28231346905605631</v>
      </c>
      <c r="AT165" s="3">
        <f t="shared" si="105"/>
        <v>1</v>
      </c>
      <c r="AU165" s="3">
        <f t="shared" si="106"/>
        <v>31</v>
      </c>
      <c r="AW165" s="32">
        <f t="shared" ca="1" si="107"/>
        <v>22587.662221073086</v>
      </c>
      <c r="AX165" s="32">
        <f t="shared" si="108"/>
        <v>0</v>
      </c>
      <c r="AY165" s="32">
        <f t="shared" ca="1" si="109"/>
        <v>22587.662221073086</v>
      </c>
      <c r="BA165" s="32">
        <f ca="1">IF($A166="","",F165*Summary!$Q$11)</f>
        <v>0</v>
      </c>
      <c r="BC165" s="256">
        <f t="shared" ca="1" si="112"/>
        <v>0</v>
      </c>
    </row>
    <row r="166" spans="1:55">
      <c r="A166" s="67">
        <f t="shared" si="110"/>
        <v>41791</v>
      </c>
      <c r="B166" s="69">
        <f t="shared" si="113"/>
        <v>124142</v>
      </c>
      <c r="C166" s="71"/>
      <c r="D166" s="69">
        <f t="shared" si="76"/>
        <v>124142</v>
      </c>
      <c r="E166" s="70">
        <f t="shared" si="77"/>
        <v>3724260</v>
      </c>
      <c r="F166" s="70">
        <f t="shared" ca="1" si="78"/>
        <v>1042736.9819044564</v>
      </c>
      <c r="G166" s="63">
        <f t="shared" si="79"/>
        <v>4.5599999999999996</v>
      </c>
      <c r="H166" s="64">
        <f t="shared" si="80"/>
        <v>4.5599999999999996</v>
      </c>
      <c r="I166" s="43"/>
      <c r="J166" s="63">
        <f t="shared" si="81"/>
        <v>0.23499999999999999</v>
      </c>
      <c r="K166" s="64">
        <f t="shared" si="82"/>
        <v>0.23499999999999999</v>
      </c>
      <c r="L166" s="63">
        <f t="shared" si="83"/>
        <v>0</v>
      </c>
      <c r="M166" s="64">
        <f t="shared" si="84"/>
        <v>0</v>
      </c>
      <c r="N166" s="65"/>
      <c r="O166" s="63">
        <f t="shared" si="85"/>
        <v>4.7949999999999999</v>
      </c>
      <c r="P166" s="63">
        <f t="shared" si="86"/>
        <v>4.7949999999999999</v>
      </c>
      <c r="Q166" s="66"/>
      <c r="R166" s="63">
        <f t="shared" si="87"/>
        <v>0.18</v>
      </c>
      <c r="S166" s="64">
        <f t="shared" si="88"/>
        <v>0.18</v>
      </c>
      <c r="T166" s="38">
        <v>0</v>
      </c>
      <c r="U166" s="64">
        <f t="shared" si="89"/>
        <v>0</v>
      </c>
      <c r="V166" s="219">
        <f>IF($A167="","",IF(AND(MONTH(A166)&gt;3,MONTH(A166)&lt;11),(T166+R166+G166)*Summary!$T$11/(1-Summary!$T$11),(T166+R166+G166)*Summary!$U$11/(1-Summary!$U$11)))</f>
        <v>5.0542910408843116E-2</v>
      </c>
      <c r="W166" s="43">
        <f t="shared" si="90"/>
        <v>4.7905429104088428</v>
      </c>
      <c r="X166" s="43">
        <f t="shared" si="91"/>
        <v>4.7905429104088428</v>
      </c>
      <c r="Y166" s="43"/>
      <c r="Z166" s="38">
        <f t="shared" si="92"/>
        <v>0.5</v>
      </c>
      <c r="AA166" s="38">
        <f t="shared" si="93"/>
        <v>0.17</v>
      </c>
      <c r="AB166" s="38">
        <f t="shared" ca="1" si="94"/>
        <v>0.17231672442109361</v>
      </c>
      <c r="AC166" s="38">
        <f t="shared" si="95"/>
        <v>0.5</v>
      </c>
      <c r="AD166" s="38">
        <f t="shared" si="95"/>
        <v>0.17</v>
      </c>
      <c r="AE166" s="38">
        <f t="shared" ca="1" si="96"/>
        <v>0.17231672442109361</v>
      </c>
      <c r="AF166" s="238">
        <f ca="1">((Summary!$N$11*(AA166*AD166)*(A166-$D$3))+(Summary!$M$11*Z166*AC166*(AJ166-EOMONTH(EDATE(A166,-1),0))))/(AK166*AB166*AE166)</f>
        <v>0.99990265041268689</v>
      </c>
      <c r="AG166" s="88">
        <f>IF($A167="","",Summary!$Q$11)</f>
        <v>0</v>
      </c>
      <c r="AH166" s="88">
        <f>IF($A167="","",IF(Summary!$R$11="Y",(VLOOKUP($A166,Summary!$AD$6:$AF$9,3)+'Escalating commodity'!G179),'Escalating commodity'!G179))</f>
        <v>6.2865588391343361E-3</v>
      </c>
      <c r="AI166" s="88">
        <f t="shared" si="111"/>
        <v>6.2865588391343361E-3</v>
      </c>
      <c r="AJ166" s="236">
        <f t="shared" si="97"/>
        <v>41805</v>
      </c>
      <c r="AK166" s="58">
        <f t="shared" ca="1" si="98"/>
        <v>4765</v>
      </c>
      <c r="AL166" s="26">
        <f ca="1">IF($A167="","",_xll.SPRDOPT(P166,X166,AI166,0,AB166,AE166,AF166,AK166,$AJ$2,0))</f>
        <v>5.6246287511315871E-3</v>
      </c>
      <c r="AM166" s="209">
        <f t="shared" si="99"/>
        <v>0</v>
      </c>
      <c r="AN166" s="89">
        <f t="shared" ca="1" si="100"/>
        <v>5.6246287511315871E-3</v>
      </c>
      <c r="AO166" s="3">
        <f t="shared" si="101"/>
        <v>30</v>
      </c>
      <c r="AP166" s="33">
        <f t="shared" si="102"/>
        <v>41791</v>
      </c>
      <c r="AQ166" s="58">
        <f t="shared" ca="1" si="103"/>
        <v>4765</v>
      </c>
      <c r="AR166" s="38">
        <f>'ANR OK vs ML7'!AR166</f>
        <v>0.1</v>
      </c>
      <c r="AS166" s="35">
        <f t="shared" ca="1" si="104"/>
        <v>0.27998501229894163</v>
      </c>
      <c r="AT166" s="3">
        <f t="shared" si="105"/>
        <v>1</v>
      </c>
      <c r="AU166" s="3">
        <f t="shared" si="106"/>
        <v>30</v>
      </c>
      <c r="AW166" s="32">
        <f t="shared" ca="1" si="107"/>
        <v>20947.579872689323</v>
      </c>
      <c r="AX166" s="32">
        <f t="shared" si="108"/>
        <v>0</v>
      </c>
      <c r="AY166" s="32">
        <f t="shared" ca="1" si="109"/>
        <v>20947.579872689323</v>
      </c>
      <c r="BA166" s="32">
        <f ca="1">IF($A167="","",F166*Summary!$Q$11)</f>
        <v>0</v>
      </c>
      <c r="BC166" s="256">
        <f t="shared" ca="1" si="112"/>
        <v>0</v>
      </c>
    </row>
    <row r="167" spans="1:55">
      <c r="A167" s="67">
        <f t="shared" si="110"/>
        <v>41821</v>
      </c>
      <c r="B167" s="69">
        <f t="shared" si="113"/>
        <v>124142</v>
      </c>
      <c r="C167" s="71"/>
      <c r="D167" s="69">
        <f t="shared" si="76"/>
        <v>124142</v>
      </c>
      <c r="E167" s="70">
        <f t="shared" si="77"/>
        <v>3848402</v>
      </c>
      <c r="F167" s="70">
        <f t="shared" ca="1" si="78"/>
        <v>1068893.4784383657</v>
      </c>
      <c r="G167" s="63">
        <f t="shared" si="79"/>
        <v>4.6150000000000002</v>
      </c>
      <c r="H167" s="64">
        <f t="shared" si="80"/>
        <v>4.6150000000000002</v>
      </c>
      <c r="I167" s="43"/>
      <c r="J167" s="63">
        <f t="shared" si="81"/>
        <v>0.23499999999999999</v>
      </c>
      <c r="K167" s="64">
        <f t="shared" si="82"/>
        <v>0.23499999999999999</v>
      </c>
      <c r="L167" s="63">
        <f t="shared" si="83"/>
        <v>0</v>
      </c>
      <c r="M167" s="64">
        <f t="shared" si="84"/>
        <v>0</v>
      </c>
      <c r="N167" s="65"/>
      <c r="O167" s="63">
        <f t="shared" si="85"/>
        <v>4.8500000000000005</v>
      </c>
      <c r="P167" s="63">
        <f t="shared" si="86"/>
        <v>4.8500000000000005</v>
      </c>
      <c r="Q167" s="66"/>
      <c r="R167" s="63">
        <f t="shared" si="87"/>
        <v>0.18</v>
      </c>
      <c r="S167" s="64">
        <f t="shared" si="88"/>
        <v>0.18</v>
      </c>
      <c r="T167" s="38">
        <v>0</v>
      </c>
      <c r="U167" s="64">
        <f t="shared" si="89"/>
        <v>0</v>
      </c>
      <c r="V167" s="219">
        <f>IF($A168="","",IF(AND(MONTH(A167)&gt;3,MONTH(A167)&lt;11),(T167+R167+G167)*Summary!$T$11/(1-Summary!$T$11),(T167+R167+G167)*Summary!$U$11/(1-Summary!$U$11)))</f>
        <v>5.1129378778565986E-2</v>
      </c>
      <c r="W167" s="43">
        <f t="shared" si="90"/>
        <v>4.8461293787785662</v>
      </c>
      <c r="X167" s="43">
        <f t="shared" si="91"/>
        <v>4.8461293787785662</v>
      </c>
      <c r="Y167" s="43"/>
      <c r="Z167" s="38">
        <f t="shared" si="92"/>
        <v>0.55000000000000004</v>
      </c>
      <c r="AA167" s="38">
        <f t="shared" si="93"/>
        <v>0.17</v>
      </c>
      <c r="AB167" s="38">
        <f t="shared" ca="1" si="94"/>
        <v>0.1728695132553415</v>
      </c>
      <c r="AC167" s="38">
        <f t="shared" si="95"/>
        <v>0.55000000000000004</v>
      </c>
      <c r="AD167" s="38">
        <f t="shared" si="95"/>
        <v>0.17</v>
      </c>
      <c r="AE167" s="38">
        <f t="shared" ca="1" si="96"/>
        <v>0.1728695132553415</v>
      </c>
      <c r="AF167" s="238">
        <f ca="1">((Summary!$N$11*(AA167*AD167)*(A167-$D$3))+(Summary!$M$11*Z167*AC167*(AJ167-EOMONTH(EDATE(A167,-1),0))))/(AK167*AB167*AE167)</f>
        <v>0.99990327213827035</v>
      </c>
      <c r="AG167" s="88">
        <f>IF($A168="","",Summary!$Q$11)</f>
        <v>0</v>
      </c>
      <c r="AH167" s="88">
        <f>IF($A168="","",IF(Summary!$R$11="Y",(VLOOKUP($A167,Summary!$AD$6:$AF$9,3)+'Escalating commodity'!G180),'Escalating commodity'!G180))</f>
        <v>6.2865588391343361E-3</v>
      </c>
      <c r="AI167" s="88">
        <f t="shared" si="111"/>
        <v>6.2865588391343361E-3</v>
      </c>
      <c r="AJ167" s="236">
        <f t="shared" si="97"/>
        <v>41835.5</v>
      </c>
      <c r="AK167" s="58">
        <f t="shared" ca="1" si="98"/>
        <v>4795</v>
      </c>
      <c r="AL167" s="26">
        <f ca="1">IF($A168="","",_xll.SPRDOPT(P167,X167,AI167,0,AB167,AE167,AF167,AK167,$AJ$2,0))</f>
        <v>5.4696981313285681E-3</v>
      </c>
      <c r="AM167" s="209">
        <f t="shared" si="99"/>
        <v>0</v>
      </c>
      <c r="AN167" s="89">
        <f t="shared" ca="1" si="100"/>
        <v>5.4696981313285681E-3</v>
      </c>
      <c r="AO167" s="3">
        <f t="shared" si="101"/>
        <v>31</v>
      </c>
      <c r="AP167" s="33">
        <f t="shared" si="102"/>
        <v>41821</v>
      </c>
      <c r="AQ167" s="58">
        <f t="shared" ca="1" si="103"/>
        <v>4795</v>
      </c>
      <c r="AR167" s="38">
        <f>'ANR OK vs ML7'!AR167</f>
        <v>0.1</v>
      </c>
      <c r="AS167" s="35">
        <f t="shared" ca="1" si="104"/>
        <v>0.27774995399086833</v>
      </c>
      <c r="AT167" s="3">
        <f t="shared" si="105"/>
        <v>1</v>
      </c>
      <c r="AU167" s="3">
        <f t="shared" si="106"/>
        <v>31</v>
      </c>
      <c r="AW167" s="32">
        <f t="shared" ca="1" si="107"/>
        <v>21049.597228001123</v>
      </c>
      <c r="AX167" s="32">
        <f t="shared" si="108"/>
        <v>0</v>
      </c>
      <c r="AY167" s="32">
        <f t="shared" ca="1" si="109"/>
        <v>21049.597228001123</v>
      </c>
      <c r="BA167" s="32">
        <f ca="1">IF($A168="","",F167*Summary!$Q$11)</f>
        <v>0</v>
      </c>
      <c r="BC167" s="256">
        <f t="shared" ca="1" si="112"/>
        <v>0</v>
      </c>
    </row>
    <row r="168" spans="1:55">
      <c r="A168" s="67">
        <f t="shared" si="110"/>
        <v>41852</v>
      </c>
      <c r="B168" s="69">
        <f t="shared" si="113"/>
        <v>124142</v>
      </c>
      <c r="C168" s="71"/>
      <c r="D168" s="69">
        <f t="shared" si="76"/>
        <v>124142</v>
      </c>
      <c r="E168" s="70">
        <f t="shared" si="77"/>
        <v>3848402</v>
      </c>
      <c r="F168" s="70">
        <f t="shared" ca="1" si="78"/>
        <v>1060077.4901299528</v>
      </c>
      <c r="G168" s="63">
        <f t="shared" si="79"/>
        <v>4.6710000000000003</v>
      </c>
      <c r="H168" s="64">
        <f t="shared" si="80"/>
        <v>4.6710000000000003</v>
      </c>
      <c r="I168" s="43"/>
      <c r="J168" s="63">
        <f t="shared" si="81"/>
        <v>0.23499999999999999</v>
      </c>
      <c r="K168" s="64">
        <f t="shared" si="82"/>
        <v>0.23499999999999999</v>
      </c>
      <c r="L168" s="63">
        <f t="shared" si="83"/>
        <v>0</v>
      </c>
      <c r="M168" s="64">
        <f t="shared" si="84"/>
        <v>0</v>
      </c>
      <c r="N168" s="65"/>
      <c r="O168" s="63">
        <f t="shared" si="85"/>
        <v>4.9060000000000006</v>
      </c>
      <c r="P168" s="63">
        <f t="shared" si="86"/>
        <v>4.9060000000000006</v>
      </c>
      <c r="Q168" s="66"/>
      <c r="R168" s="63">
        <f t="shared" si="87"/>
        <v>0.18</v>
      </c>
      <c r="S168" s="64">
        <f t="shared" si="88"/>
        <v>0.18</v>
      </c>
      <c r="T168" s="38">
        <v>0</v>
      </c>
      <c r="U168" s="64">
        <f t="shared" si="89"/>
        <v>0</v>
      </c>
      <c r="V168" s="219">
        <f>IF($A169="","",IF(AND(MONTH(A168)&gt;3,MONTH(A168)&lt;11),(T168+R168+G168)*Summary!$T$11/(1-Summary!$T$11),(T168+R168+G168)*Summary!$U$11/(1-Summary!$U$11)))</f>
        <v>5.1726510209556535E-2</v>
      </c>
      <c r="W168" s="43">
        <f t="shared" si="90"/>
        <v>4.9027265102095567</v>
      </c>
      <c r="X168" s="43">
        <f t="shared" si="91"/>
        <v>4.9027265102095567</v>
      </c>
      <c r="Y168" s="43"/>
      <c r="Z168" s="38">
        <f t="shared" si="92"/>
        <v>0.6</v>
      </c>
      <c r="AA168" s="38">
        <f t="shared" si="93"/>
        <v>0.17</v>
      </c>
      <c r="AB168" s="38">
        <f t="shared" ca="1" si="94"/>
        <v>0.17338461709593367</v>
      </c>
      <c r="AC168" s="38">
        <f t="shared" si="95"/>
        <v>0.6</v>
      </c>
      <c r="AD168" s="38">
        <f t="shared" si="95"/>
        <v>0.17</v>
      </c>
      <c r="AE168" s="38">
        <f t="shared" ca="1" si="96"/>
        <v>0.17338461709593367</v>
      </c>
      <c r="AF168" s="238">
        <f ca="1">((Summary!$N$11*(AA168*AD168)*(A168-$D$3))+(Summary!$M$11*Z168*AC168*(AJ168-EOMONTH(EDATE(A168,-1),0))))/(AK168*AB168*AE168)</f>
        <v>0.99990384614589289</v>
      </c>
      <c r="AG168" s="88">
        <f>IF($A169="","",Summary!$Q$11)</f>
        <v>0</v>
      </c>
      <c r="AH168" s="88">
        <f>IF($A169="","",IF(Summary!$R$11="Y",(VLOOKUP($A168,Summary!$AD$6:$AF$9,3)+'Escalating commodity'!G181),'Escalating commodity'!G181))</f>
        <v>6.2865588391343361E-3</v>
      </c>
      <c r="AI168" s="88">
        <f t="shared" si="111"/>
        <v>6.2865588391343361E-3</v>
      </c>
      <c r="AJ168" s="236">
        <f t="shared" si="97"/>
        <v>41866.5</v>
      </c>
      <c r="AK168" s="58">
        <f t="shared" ca="1" si="98"/>
        <v>4826</v>
      </c>
      <c r="AL168" s="26">
        <f ca="1">IF($A169="","",_xll.SPRDOPT(P168,X168,AI168,0,AB168,AE168,AF168,AK168,$AJ$2,0))</f>
        <v>5.3571762740697929E-3</v>
      </c>
      <c r="AM168" s="209">
        <f t="shared" si="99"/>
        <v>0</v>
      </c>
      <c r="AN168" s="89">
        <f t="shared" ca="1" si="100"/>
        <v>5.3571762740697929E-3</v>
      </c>
      <c r="AO168" s="3">
        <f t="shared" si="101"/>
        <v>31</v>
      </c>
      <c r="AP168" s="33">
        <f t="shared" si="102"/>
        <v>41852</v>
      </c>
      <c r="AQ168" s="58">
        <f t="shared" ca="1" si="103"/>
        <v>4826</v>
      </c>
      <c r="AR168" s="38">
        <f>'ANR OK vs ML7'!AR168</f>
        <v>0.1</v>
      </c>
      <c r="AS168" s="35">
        <f t="shared" ca="1" si="104"/>
        <v>0.27545913605957817</v>
      </c>
      <c r="AT168" s="3">
        <f t="shared" si="105"/>
        <v>1</v>
      </c>
      <c r="AU168" s="3">
        <f t="shared" si="106"/>
        <v>31</v>
      </c>
      <c r="AW168" s="32">
        <f t="shared" ca="1" si="107"/>
        <v>20616.567887482739</v>
      </c>
      <c r="AX168" s="32">
        <f t="shared" si="108"/>
        <v>0</v>
      </c>
      <c r="AY168" s="32">
        <f t="shared" ca="1" si="109"/>
        <v>20616.567887482739</v>
      </c>
      <c r="BA168" s="32">
        <f ca="1">IF($A169="","",F168*Summary!$Q$11)</f>
        <v>0</v>
      </c>
      <c r="BC168" s="256">
        <f t="shared" ca="1" si="112"/>
        <v>0</v>
      </c>
    </row>
    <row r="169" spans="1:55">
      <c r="A169" s="67">
        <f t="shared" si="110"/>
        <v>41883</v>
      </c>
      <c r="B169" s="69">
        <f t="shared" si="113"/>
        <v>124142</v>
      </c>
      <c r="C169" s="71"/>
      <c r="D169" s="69">
        <f t="shared" si="76"/>
        <v>124142</v>
      </c>
      <c r="E169" s="70">
        <f t="shared" si="77"/>
        <v>3724260</v>
      </c>
      <c r="F169" s="70">
        <f t="shared" ca="1" si="78"/>
        <v>1017420.2071660305</v>
      </c>
      <c r="G169" s="63">
        <f t="shared" si="79"/>
        <v>4.6849999999999996</v>
      </c>
      <c r="H169" s="64">
        <f t="shared" si="80"/>
        <v>4.6849999999999996</v>
      </c>
      <c r="I169" s="43"/>
      <c r="J169" s="63">
        <f t="shared" si="81"/>
        <v>0.23499999999999999</v>
      </c>
      <c r="K169" s="64">
        <f t="shared" si="82"/>
        <v>0.23499999999999999</v>
      </c>
      <c r="L169" s="63">
        <f t="shared" si="83"/>
        <v>0</v>
      </c>
      <c r="M169" s="64">
        <f t="shared" si="84"/>
        <v>0</v>
      </c>
      <c r="N169" s="65"/>
      <c r="O169" s="63">
        <f t="shared" si="85"/>
        <v>4.92</v>
      </c>
      <c r="P169" s="63">
        <f t="shared" si="86"/>
        <v>4.92</v>
      </c>
      <c r="Q169" s="66"/>
      <c r="R169" s="63">
        <f t="shared" si="87"/>
        <v>0.18</v>
      </c>
      <c r="S169" s="64">
        <f t="shared" si="88"/>
        <v>0.18</v>
      </c>
      <c r="T169" s="38">
        <v>0</v>
      </c>
      <c r="U169" s="64">
        <f t="shared" si="89"/>
        <v>0</v>
      </c>
      <c r="V169" s="219">
        <f>IF($A170="","",IF(AND(MONTH(A169)&gt;3,MONTH(A169)&lt;11),(T169+R169+G169)*Summary!$T$11/(1-Summary!$T$11),(T169+R169+G169)*Summary!$U$11/(1-Summary!$U$11)))</f>
        <v>5.1875793067304173E-2</v>
      </c>
      <c r="W169" s="43">
        <f t="shared" si="90"/>
        <v>4.9168757930673035</v>
      </c>
      <c r="X169" s="43">
        <f t="shared" si="91"/>
        <v>4.9168757930673035</v>
      </c>
      <c r="Y169" s="43"/>
      <c r="Z169" s="38">
        <f t="shared" si="92"/>
        <v>0.6</v>
      </c>
      <c r="AA169" s="38">
        <f t="shared" si="93"/>
        <v>0.17</v>
      </c>
      <c r="AB169" s="38">
        <f t="shared" ca="1" si="94"/>
        <v>0.17325630603476228</v>
      </c>
      <c r="AC169" s="38">
        <f t="shared" si="95"/>
        <v>0.6</v>
      </c>
      <c r="AD169" s="38">
        <f t="shared" si="95"/>
        <v>0.17</v>
      </c>
      <c r="AE169" s="38">
        <f t="shared" ca="1" si="96"/>
        <v>0.17325630603476228</v>
      </c>
      <c r="AF169" s="238">
        <f ca="1">((Summary!$N$11*(AA169*AD169)*(A169-$D$3))+(Summary!$M$11*Z169*AC169*(AJ169-EOMONTH(EDATE(A169,-1),0))))/(AK169*AB169*AE169)</f>
        <v>0.99990370380023641</v>
      </c>
      <c r="AG169" s="88">
        <f>IF($A170="","",Summary!$Q$11)</f>
        <v>0</v>
      </c>
      <c r="AH169" s="88">
        <f>IF($A170="","",IF(Summary!$R$11="Y",(VLOOKUP($A169,Summary!$AD$6:$AF$9,3)+'Escalating commodity'!G182),'Escalating commodity'!G182))</f>
        <v>6.2865588391343361E-3</v>
      </c>
      <c r="AI169" s="88">
        <f t="shared" si="111"/>
        <v>6.2865588391343361E-3</v>
      </c>
      <c r="AJ169" s="236">
        <f t="shared" si="97"/>
        <v>41897</v>
      </c>
      <c r="AK169" s="58">
        <f t="shared" ca="1" si="98"/>
        <v>4857</v>
      </c>
      <c r="AL169" s="26">
        <f ca="1">IF($A170="","",_xll.SPRDOPT(P169,X169,AI169,0,AB169,AE169,AF169,AK169,$AJ$2,0))</f>
        <v>5.3538223938833715E-3</v>
      </c>
      <c r="AM169" s="209">
        <f t="shared" si="99"/>
        <v>0</v>
      </c>
      <c r="AN169" s="89">
        <f t="shared" ca="1" si="100"/>
        <v>5.3538223938833715E-3</v>
      </c>
      <c r="AO169" s="3">
        <f t="shared" si="101"/>
        <v>30</v>
      </c>
      <c r="AP169" s="33">
        <f t="shared" si="102"/>
        <v>41883</v>
      </c>
      <c r="AQ169" s="58">
        <f t="shared" ca="1" si="103"/>
        <v>4857</v>
      </c>
      <c r="AR169" s="38">
        <f>'ANR OK vs ML7'!AR169</f>
        <v>0.1</v>
      </c>
      <c r="AS169" s="35">
        <f t="shared" ca="1" si="104"/>
        <v>0.27318721226929121</v>
      </c>
      <c r="AT169" s="3">
        <f t="shared" si="105"/>
        <v>1</v>
      </c>
      <c r="AU169" s="3">
        <f t="shared" si="106"/>
        <v>30</v>
      </c>
      <c r="AW169" s="32">
        <f t="shared" ca="1" si="107"/>
        <v>19939.026588644087</v>
      </c>
      <c r="AX169" s="32">
        <f t="shared" si="108"/>
        <v>0</v>
      </c>
      <c r="AY169" s="32">
        <f t="shared" ca="1" si="109"/>
        <v>19939.026588644087</v>
      </c>
      <c r="BA169" s="32">
        <f ca="1">IF($A170="","",F169*Summary!$Q$11)</f>
        <v>0</v>
      </c>
      <c r="BC169" s="256">
        <f t="shared" ca="1" si="112"/>
        <v>0</v>
      </c>
    </row>
    <row r="170" spans="1:55" ht="12" customHeight="1">
      <c r="A170" s="67">
        <f t="shared" si="110"/>
        <v>41913</v>
      </c>
      <c r="B170" s="69">
        <f t="shared" si="113"/>
        <v>124142</v>
      </c>
      <c r="C170" s="71"/>
      <c r="D170" s="69">
        <f t="shared" si="76"/>
        <v>124142</v>
      </c>
      <c r="E170" s="70">
        <f t="shared" si="77"/>
        <v>3848402</v>
      </c>
      <c r="F170" s="70">
        <f t="shared" ca="1" si="78"/>
        <v>1042941.6460179096</v>
      </c>
      <c r="G170" s="63">
        <f t="shared" si="79"/>
        <v>4.7160000000000002</v>
      </c>
      <c r="H170" s="64">
        <f t="shared" si="80"/>
        <v>4.7160000000000002</v>
      </c>
      <c r="I170" s="43"/>
      <c r="J170" s="63">
        <f t="shared" si="81"/>
        <v>0.23499999999999999</v>
      </c>
      <c r="K170" s="64">
        <f t="shared" si="82"/>
        <v>0.23499999999999999</v>
      </c>
      <c r="L170" s="63">
        <f t="shared" si="83"/>
        <v>0</v>
      </c>
      <c r="M170" s="64">
        <f t="shared" si="84"/>
        <v>0</v>
      </c>
      <c r="N170" s="65"/>
      <c r="O170" s="63">
        <f t="shared" si="85"/>
        <v>4.9510000000000005</v>
      </c>
      <c r="P170" s="63">
        <f t="shared" si="86"/>
        <v>4.9510000000000005</v>
      </c>
      <c r="Q170" s="66"/>
      <c r="R170" s="63">
        <f t="shared" si="87"/>
        <v>0.18</v>
      </c>
      <c r="S170" s="64">
        <f t="shared" si="88"/>
        <v>0.18</v>
      </c>
      <c r="T170" s="38">
        <v>0</v>
      </c>
      <c r="U170" s="64">
        <f t="shared" si="89"/>
        <v>0</v>
      </c>
      <c r="V170" s="219">
        <f>IF($A171="","",IF(AND(MONTH(A170)&gt;3,MONTH(A170)&lt;11),(T170+R170+G170)*Summary!$T$11/(1-Summary!$T$11),(T170+R170+G170)*Summary!$U$11/(1-Summary!$U$11)))</f>
        <v>5.2206347966602513E-2</v>
      </c>
      <c r="W170" s="43">
        <f t="shared" si="90"/>
        <v>4.9482063479666021</v>
      </c>
      <c r="X170" s="43">
        <f t="shared" si="91"/>
        <v>4.9482063479666021</v>
      </c>
      <c r="Y170" s="43"/>
      <c r="Z170" s="38">
        <f t="shared" si="92"/>
        <v>0.65</v>
      </c>
      <c r="AA170" s="38">
        <f t="shared" si="93"/>
        <v>0.17</v>
      </c>
      <c r="AB170" s="38">
        <f t="shared" ca="1" si="94"/>
        <v>0.17391362348770287</v>
      </c>
      <c r="AC170" s="38">
        <f t="shared" si="95"/>
        <v>0.65</v>
      </c>
      <c r="AD170" s="38">
        <f t="shared" si="95"/>
        <v>0.17</v>
      </c>
      <c r="AE170" s="38">
        <f t="shared" ca="1" si="96"/>
        <v>0.17391362348770287</v>
      </c>
      <c r="AF170" s="238">
        <f ca="1">((Summary!$N$11*(AA170*AD170)*(A170-$D$3))+(Summary!$M$11*Z170*AC170*(AJ170-EOMONTH(EDATE(A170,-1),0))))/(AK170*AB170*AE170)</f>
        <v>0.99990443046046029</v>
      </c>
      <c r="AG170" s="88">
        <f>IF($A171="","",Summary!$Q$11)</f>
        <v>0</v>
      </c>
      <c r="AH170" s="88">
        <f>IF($A171="","",IF(Summary!$R$11="Y",(VLOOKUP($A170,Summary!$AD$6:$AF$9,3)+'Escalating commodity'!G183),'Escalating commodity'!G183))</f>
        <v>6.2865588391343361E-3</v>
      </c>
      <c r="AI170" s="88">
        <f t="shared" si="111"/>
        <v>6.2865588391343361E-3</v>
      </c>
      <c r="AJ170" s="236">
        <f t="shared" si="97"/>
        <v>41927.5</v>
      </c>
      <c r="AK170" s="58">
        <f t="shared" ca="1" si="98"/>
        <v>4887</v>
      </c>
      <c r="AL170" s="26">
        <f ca="1">IF($A171="","",_xll.SPRDOPT(P170,X170,AI170,0,AB170,AE170,AF170,AK170,$AJ$2,0))</f>
        <v>5.3183472707996546E-3</v>
      </c>
      <c r="AM170" s="209">
        <f t="shared" si="99"/>
        <v>0</v>
      </c>
      <c r="AN170" s="89">
        <f t="shared" ca="1" si="100"/>
        <v>5.3183472707996546E-3</v>
      </c>
      <c r="AO170" s="3">
        <f t="shared" si="101"/>
        <v>31</v>
      </c>
      <c r="AP170" s="33">
        <f t="shared" si="102"/>
        <v>41913</v>
      </c>
      <c r="AQ170" s="58">
        <f t="shared" ca="1" si="103"/>
        <v>4887</v>
      </c>
      <c r="AR170" s="38">
        <f>'ANR OK vs ML7'!AR170</f>
        <v>0.1</v>
      </c>
      <c r="AS170" s="35">
        <f t="shared" ca="1" si="104"/>
        <v>0.27100641929245167</v>
      </c>
      <c r="AT170" s="3">
        <f t="shared" si="105"/>
        <v>1</v>
      </c>
      <c r="AU170" s="3">
        <f t="shared" si="106"/>
        <v>31</v>
      </c>
      <c r="AW170" s="32">
        <f t="shared" ca="1" si="107"/>
        <v>20467.138273639932</v>
      </c>
      <c r="AX170" s="32">
        <f t="shared" si="108"/>
        <v>0</v>
      </c>
      <c r="AY170" s="32">
        <f t="shared" ca="1" si="109"/>
        <v>20467.138273639932</v>
      </c>
      <c r="BA170" s="32">
        <f ca="1">IF($A171="","",F170*Summary!$Q$11)</f>
        <v>0</v>
      </c>
      <c r="BC170" s="256">
        <f t="shared" ca="1" si="112"/>
        <v>0</v>
      </c>
    </row>
    <row r="171" spans="1:55" ht="12" customHeight="1">
      <c r="A171" s="67">
        <f t="shared" si="110"/>
        <v>41944</v>
      </c>
      <c r="B171" s="69">
        <f t="shared" si="113"/>
        <v>124142</v>
      </c>
      <c r="C171" s="71"/>
      <c r="D171" s="69">
        <f t="shared" si="76"/>
        <v>124142</v>
      </c>
      <c r="E171" s="70">
        <f t="shared" si="77"/>
        <v>3724260</v>
      </c>
      <c r="F171" s="70">
        <f t="shared" ca="1" si="78"/>
        <v>1000973.9056184873</v>
      </c>
      <c r="G171" s="63">
        <f t="shared" si="79"/>
        <v>4.8490000000000002</v>
      </c>
      <c r="H171" s="64">
        <f t="shared" si="80"/>
        <v>4.8490000000000002</v>
      </c>
      <c r="I171" s="43"/>
      <c r="J171" s="328">
        <f>J159</f>
        <v>0.42499999999999999</v>
      </c>
      <c r="K171" s="64">
        <f t="shared" si="82"/>
        <v>0.42499999999999999</v>
      </c>
      <c r="L171" s="63">
        <f t="shared" si="83"/>
        <v>0</v>
      </c>
      <c r="M171" s="64">
        <f t="shared" si="84"/>
        <v>0</v>
      </c>
      <c r="N171" s="65"/>
      <c r="O171" s="63">
        <f t="shared" si="85"/>
        <v>5.274</v>
      </c>
      <c r="P171" s="63">
        <f t="shared" si="86"/>
        <v>5.274</v>
      </c>
      <c r="Q171" s="66"/>
      <c r="R171" s="328">
        <f>R159</f>
        <v>0.27500000000000002</v>
      </c>
      <c r="S171" s="64">
        <f t="shared" si="88"/>
        <v>0.27500000000000002</v>
      </c>
      <c r="T171" s="38">
        <v>0</v>
      </c>
      <c r="U171" s="64">
        <f t="shared" si="89"/>
        <v>0</v>
      </c>
      <c r="V171" s="219">
        <f>IF($A172="","",IF(AND(MONTH(A171)&gt;3,MONTH(A171)&lt;11),(T171+R171+G171)*Summary!$T$11/(1-Summary!$T$11),(T171+R171+G171)*Summary!$U$11/(1-Summary!$U$11)))</f>
        <v>5.4637525935635485E-2</v>
      </c>
      <c r="W171" s="43">
        <f t="shared" si="90"/>
        <v>5.1786375259356356</v>
      </c>
      <c r="X171" s="43">
        <f t="shared" si="91"/>
        <v>5.1786375259356356</v>
      </c>
      <c r="Y171" s="43"/>
      <c r="Z171" s="38">
        <f t="shared" si="92"/>
        <v>0.8</v>
      </c>
      <c r="AA171" s="38">
        <f t="shared" si="93"/>
        <v>0.17</v>
      </c>
      <c r="AB171" s="38">
        <f t="shared" ca="1" si="94"/>
        <v>0.17566413801891734</v>
      </c>
      <c r="AC171" s="38">
        <f t="shared" si="95"/>
        <v>0.8</v>
      </c>
      <c r="AD171" s="38">
        <f t="shared" si="95"/>
        <v>0.17</v>
      </c>
      <c r="AE171" s="38">
        <f t="shared" ca="1" si="96"/>
        <v>0.17566413801891734</v>
      </c>
      <c r="AF171" s="238">
        <f ca="1">((Summary!$N$11*(AA171*AD171)*(A171-$D$3))+(Summary!$M$11*Z171*AC171*(AJ171-EOMONTH(EDATE(A171,-1),0))))/(AK171*AB171*AE171)</f>
        <v>0.99990632581505845</v>
      </c>
      <c r="AG171" s="88">
        <f>IF($A172="","",Summary!$Q$11)</f>
        <v>0</v>
      </c>
      <c r="AH171" s="88">
        <f>IF($A172="","",IF(Summary!$R$11="Y",(VLOOKUP($A171,Summary!$AD$6:$AF$9,3)+'Escalating commodity'!G184),'Escalating commodity'!G184))</f>
        <v>6.2865588391343361E-3</v>
      </c>
      <c r="AI171" s="88">
        <f t="shared" si="111"/>
        <v>6.2865588391343361E-3</v>
      </c>
      <c r="AJ171" s="236">
        <f t="shared" si="97"/>
        <v>41958</v>
      </c>
      <c r="AK171" s="58">
        <f t="shared" ca="1" si="98"/>
        <v>4918</v>
      </c>
      <c r="AL171" s="26">
        <f ca="1">IF($A172="","",_xll.SPRDOPT(P171,X171,AI171,0,AB171,AE171,AF171,AK171,$AJ$2,0))</f>
        <v>9.1492336800163318E-2</v>
      </c>
      <c r="AM171" s="209">
        <f t="shared" si="99"/>
        <v>8.9075915225230035E-2</v>
      </c>
      <c r="AN171" s="89">
        <f t="shared" ca="1" si="100"/>
        <v>2.4164215749332835E-3</v>
      </c>
      <c r="AO171" s="3">
        <f t="shared" si="101"/>
        <v>30</v>
      </c>
      <c r="AP171" s="33">
        <f t="shared" si="102"/>
        <v>41944</v>
      </c>
      <c r="AQ171" s="58">
        <f t="shared" ca="1" si="103"/>
        <v>4918</v>
      </c>
      <c r="AR171" s="38">
        <f>'ANR OK vs ML7'!AR171</f>
        <v>0.1</v>
      </c>
      <c r="AS171" s="35">
        <f t="shared" ca="1" si="104"/>
        <v>0.26877122048903335</v>
      </c>
      <c r="AT171" s="3">
        <f t="shared" si="105"/>
        <v>1</v>
      </c>
      <c r="AU171" s="3">
        <f t="shared" si="106"/>
        <v>30</v>
      </c>
      <c r="AW171" s="32">
        <f t="shared" ca="1" si="107"/>
        <v>340741.25025137624</v>
      </c>
      <c r="AX171" s="32">
        <f t="shared" si="108"/>
        <v>331741.8680367152</v>
      </c>
      <c r="AY171" s="32">
        <f t="shared" ca="1" si="109"/>
        <v>8999.382214661031</v>
      </c>
      <c r="BA171" s="32">
        <f ca="1">IF($A172="","",F171*Summary!$Q$11)</f>
        <v>0</v>
      </c>
      <c r="BC171" s="256">
        <f t="shared" ca="1" si="112"/>
        <v>89162.666759539788</v>
      </c>
    </row>
    <row r="172" spans="1:55" ht="12" customHeight="1">
      <c r="A172" s="67">
        <f t="shared" si="110"/>
        <v>41974</v>
      </c>
      <c r="B172" s="69">
        <f t="shared" si="113"/>
        <v>124142</v>
      </c>
      <c r="C172" s="71"/>
      <c r="D172" s="69">
        <f t="shared" si="76"/>
        <v>124142</v>
      </c>
      <c r="E172" s="70">
        <f t="shared" si="77"/>
        <v>3848402</v>
      </c>
      <c r="F172" s="70">
        <f t="shared" ca="1" si="78"/>
        <v>1026082.7978388678</v>
      </c>
      <c r="G172" s="63">
        <f t="shared" si="79"/>
        <v>4.9870000000000001</v>
      </c>
      <c r="H172" s="64">
        <f t="shared" si="80"/>
        <v>4.9870000000000001</v>
      </c>
      <c r="I172" s="43"/>
      <c r="J172" s="328">
        <f>J160</f>
        <v>0.42499999999999999</v>
      </c>
      <c r="K172" s="64">
        <f t="shared" si="82"/>
        <v>0.42499999999999999</v>
      </c>
      <c r="L172" s="63">
        <f t="shared" si="83"/>
        <v>0</v>
      </c>
      <c r="M172" s="64">
        <f t="shared" si="84"/>
        <v>0</v>
      </c>
      <c r="N172" s="65"/>
      <c r="O172" s="63">
        <f t="shared" si="85"/>
        <v>5.4119999999999999</v>
      </c>
      <c r="P172" s="63">
        <f t="shared" si="86"/>
        <v>5.4119999999999999</v>
      </c>
      <c r="Q172" s="66"/>
      <c r="R172" s="328">
        <f>R160</f>
        <v>0.27500000000000002</v>
      </c>
      <c r="S172" s="64">
        <f t="shared" si="88"/>
        <v>0.27500000000000002</v>
      </c>
      <c r="T172" s="38">
        <v>0</v>
      </c>
      <c r="U172" s="64">
        <f t="shared" si="89"/>
        <v>0</v>
      </c>
      <c r="V172" s="219">
        <f>IF($A173="","",IF(AND(MONTH(A172)&gt;3,MONTH(A172)&lt;11),(T172+R172+G172)*Summary!$T$11/(1-Summary!$T$11),(T172+R172+G172)*Summary!$U$11/(1-Summary!$U$11)))</f>
        <v>5.6109028390576486E-2</v>
      </c>
      <c r="W172" s="43">
        <f t="shared" si="90"/>
        <v>5.3181090283905768</v>
      </c>
      <c r="X172" s="43">
        <f t="shared" si="91"/>
        <v>5.3181090283905768</v>
      </c>
      <c r="Y172" s="43"/>
      <c r="Z172" s="38">
        <f t="shared" si="92"/>
        <v>1.1000000000000001</v>
      </c>
      <c r="AA172" s="38">
        <f t="shared" si="93"/>
        <v>0.17</v>
      </c>
      <c r="AB172" s="38">
        <f t="shared" ca="1" si="94"/>
        <v>0.18082107486574198</v>
      </c>
      <c r="AC172" s="38">
        <f t="shared" si="95"/>
        <v>1.1000000000000001</v>
      </c>
      <c r="AD172" s="38">
        <f t="shared" si="95"/>
        <v>0.17</v>
      </c>
      <c r="AE172" s="38">
        <f t="shared" ca="1" si="96"/>
        <v>0.18082107486574198</v>
      </c>
      <c r="AF172" s="238">
        <f ca="1">((Summary!$N$11*(AA172*AD172)*(A172-$D$3))+(Summary!$M$11*Z172*AC172*(AJ172-EOMONTH(EDATE(A172,-1),0))))/(AK172*AB172*AE172)</f>
        <v>0.99991159282511999</v>
      </c>
      <c r="AG172" s="88">
        <f>IF($A173="","",Summary!$Q$11)</f>
        <v>0</v>
      </c>
      <c r="AH172" s="88">
        <f>IF($A173="","",IF(Summary!$R$11="Y",(VLOOKUP($A172,Summary!$AD$6:$AF$9,3)+'Escalating commodity'!G185),'Escalating commodity'!G185))</f>
        <v>6.2865588391343361E-3</v>
      </c>
      <c r="AI172" s="88">
        <f t="shared" si="111"/>
        <v>6.2865588391343361E-3</v>
      </c>
      <c r="AJ172" s="236">
        <f t="shared" si="97"/>
        <v>41988.5</v>
      </c>
      <c r="AK172" s="58">
        <f t="shared" ca="1" si="98"/>
        <v>4948</v>
      </c>
      <c r="AL172" s="26">
        <f ca="1">IF($A173="","",_xll.SPRDOPT(P172,X172,AI172,0,AB172,AE172,AF172,AK172,$AJ$2,0))</f>
        <v>9.0192713266747659E-2</v>
      </c>
      <c r="AM172" s="209">
        <f t="shared" si="99"/>
        <v>8.7604412770288825E-2</v>
      </c>
      <c r="AN172" s="89">
        <f t="shared" ca="1" si="100"/>
        <v>2.5883004964588341E-3</v>
      </c>
      <c r="AO172" s="3">
        <f t="shared" si="101"/>
        <v>31</v>
      </c>
      <c r="AP172" s="33">
        <f t="shared" si="102"/>
        <v>41974</v>
      </c>
      <c r="AQ172" s="58">
        <f t="shared" ca="1" si="103"/>
        <v>4948</v>
      </c>
      <c r="AR172" s="38">
        <f>'ANR OK vs ML7'!AR172</f>
        <v>0.1</v>
      </c>
      <c r="AS172" s="35">
        <f t="shared" ca="1" si="104"/>
        <v>0.26662567939598508</v>
      </c>
      <c r="AT172" s="3">
        <f t="shared" si="105"/>
        <v>1</v>
      </c>
      <c r="AU172" s="3">
        <f t="shared" si="106"/>
        <v>31</v>
      </c>
      <c r="AW172" s="32">
        <f t="shared" ca="1" si="107"/>
        <v>347097.81812117825</v>
      </c>
      <c r="AX172" s="32">
        <f t="shared" si="108"/>
        <v>337136.99731400504</v>
      </c>
      <c r="AY172" s="32">
        <f t="shared" ca="1" si="109"/>
        <v>9960.8208071731697</v>
      </c>
      <c r="BA172" s="32">
        <f ca="1">IF($A173="","",F172*Summary!$Q$11)</f>
        <v>0</v>
      </c>
      <c r="BC172" s="256">
        <f t="shared" ca="1" si="112"/>
        <v>89889.380958368987</v>
      </c>
    </row>
    <row r="173" spans="1:55" ht="12" customHeight="1">
      <c r="A173" s="67">
        <f t="shared" si="110"/>
        <v>42005</v>
      </c>
      <c r="B173" s="69">
        <f t="shared" si="113"/>
        <v>124142</v>
      </c>
      <c r="C173" s="71"/>
      <c r="D173" s="69">
        <f t="shared" si="76"/>
        <v>124142</v>
      </c>
      <c r="E173" s="70">
        <f t="shared" si="77"/>
        <v>3848402</v>
      </c>
      <c r="F173" s="70">
        <f t="shared" ca="1" si="78"/>
        <v>1017619.9022073714</v>
      </c>
      <c r="G173" s="63">
        <f t="shared" si="79"/>
        <v>5.0440000000000005</v>
      </c>
      <c r="H173" s="64">
        <f t="shared" si="80"/>
        <v>5.0440000000000005</v>
      </c>
      <c r="I173" s="43"/>
      <c r="J173" s="328">
        <f>J161</f>
        <v>0.42499999999999999</v>
      </c>
      <c r="K173" s="64">
        <f t="shared" si="82"/>
        <v>0.42499999999999999</v>
      </c>
      <c r="L173" s="63">
        <f t="shared" si="83"/>
        <v>0</v>
      </c>
      <c r="M173" s="64">
        <f t="shared" si="84"/>
        <v>0</v>
      </c>
      <c r="N173" s="65"/>
      <c r="O173" s="63">
        <f t="shared" si="85"/>
        <v>5.4690000000000003</v>
      </c>
      <c r="P173" s="63">
        <f t="shared" si="86"/>
        <v>5.4690000000000003</v>
      </c>
      <c r="Q173" s="66"/>
      <c r="R173" s="328">
        <f>R161</f>
        <v>0.27500000000000002</v>
      </c>
      <c r="S173" s="64">
        <f t="shared" si="88"/>
        <v>0.27500000000000002</v>
      </c>
      <c r="T173" s="38">
        <v>0</v>
      </c>
      <c r="U173" s="64">
        <f t="shared" si="89"/>
        <v>0</v>
      </c>
      <c r="V173" s="219">
        <f>IF($A174="","",IF(AND(MONTH(A173)&gt;3,MONTH(A173)&lt;11),(T173+R173+G173)*Summary!$T$11/(1-Summary!$T$11),(T173+R173+G173)*Summary!$U$11/(1-Summary!$U$11)))</f>
        <v>5.6716822882834729E-2</v>
      </c>
      <c r="W173" s="43">
        <f t="shared" si="90"/>
        <v>5.3757168228828354</v>
      </c>
      <c r="X173" s="43">
        <f t="shared" si="91"/>
        <v>5.3757168228828354</v>
      </c>
      <c r="Y173" s="43"/>
      <c r="Z173" s="38">
        <f t="shared" si="92"/>
        <v>1.1000000000000001</v>
      </c>
      <c r="AA173" s="38">
        <f t="shared" si="93"/>
        <v>0.17</v>
      </c>
      <c r="AB173" s="38">
        <f t="shared" ca="1" si="94"/>
        <v>0.18075570537359381</v>
      </c>
      <c r="AC173" s="38">
        <f t="shared" si="95"/>
        <v>1.1000000000000001</v>
      </c>
      <c r="AD173" s="38">
        <f t="shared" si="95"/>
        <v>0.17</v>
      </c>
      <c r="AE173" s="38">
        <f t="shared" ca="1" si="96"/>
        <v>0.18075570537359381</v>
      </c>
      <c r="AF173" s="238">
        <f ca="1">((Summary!$N$11*(AA173*AD173)*(A173-$D$3))+(Summary!$M$11*Z173*AC173*(AJ173-EOMONTH(EDATE(A173,-1),0))))/(AK173*AB173*AE173)</f>
        <v>0.99991152898074076</v>
      </c>
      <c r="AG173" s="88">
        <f>IF($A174="","",Summary!$Q$11)</f>
        <v>0</v>
      </c>
      <c r="AH173" s="88">
        <f>IF($A174="","",IF(Summary!$R$11="Y",(VLOOKUP($A173,Summary!$AD$6:$AF$9,3)+'Escalating commodity'!G186),'Escalating commodity'!G186))</f>
        <v>0</v>
      </c>
      <c r="AI173" s="88">
        <f t="shared" si="111"/>
        <v>0</v>
      </c>
      <c r="AJ173" s="236">
        <f t="shared" si="97"/>
        <v>42019.5</v>
      </c>
      <c r="AK173" s="58">
        <f t="shared" ca="1" si="98"/>
        <v>4979</v>
      </c>
      <c r="AL173" s="26">
        <f ca="1">IF($A174="","",_xll.SPRDOPT(P173,X173,AI173,0,AB173,AE173,AF173,AK173,$AJ$2,0))</f>
        <v>9.579185296127643E-2</v>
      </c>
      <c r="AM173" s="209">
        <f t="shared" si="99"/>
        <v>9.3283177117164939E-2</v>
      </c>
      <c r="AN173" s="89">
        <f t="shared" ca="1" si="100"/>
        <v>2.5086758441114909E-3</v>
      </c>
      <c r="AO173" s="3">
        <f t="shared" si="101"/>
        <v>31</v>
      </c>
      <c r="AP173" s="33">
        <f t="shared" si="102"/>
        <v>42005</v>
      </c>
      <c r="AQ173" s="58">
        <f t="shared" ca="1" si="103"/>
        <v>4979</v>
      </c>
      <c r="AR173" s="38">
        <f>'ANR OK vs ML7'!AR173</f>
        <v>0.1</v>
      </c>
      <c r="AS173" s="35">
        <f t="shared" ca="1" si="104"/>
        <v>0.26442661193071082</v>
      </c>
      <c r="AT173" s="3">
        <f t="shared" si="105"/>
        <v>1</v>
      </c>
      <c r="AU173" s="3">
        <f t="shared" si="106"/>
        <v>31</v>
      </c>
      <c r="AW173" s="32">
        <f t="shared" ca="1" si="107"/>
        <v>368645.55851988215</v>
      </c>
      <c r="AX173" s="32">
        <f t="shared" si="108"/>
        <v>358991.1653840518</v>
      </c>
      <c r="AY173" s="32">
        <f t="shared" ca="1" si="109"/>
        <v>9654.3931358303507</v>
      </c>
      <c r="BA173" s="32">
        <f ca="1">IF($A174="","",F173*Summary!$Q$11)</f>
        <v>0</v>
      </c>
      <c r="BC173" s="256">
        <f t="shared" ca="1" si="112"/>
        <v>94926.817575562294</v>
      </c>
    </row>
    <row r="174" spans="1:55" ht="12" customHeight="1">
      <c r="A174" s="67">
        <f t="shared" si="110"/>
        <v>42036</v>
      </c>
      <c r="B174" s="69">
        <f t="shared" si="113"/>
        <v>124142</v>
      </c>
      <c r="C174" s="71"/>
      <c r="D174" s="69">
        <f t="shared" si="76"/>
        <v>124142</v>
      </c>
      <c r="E174" s="70">
        <f t="shared" si="77"/>
        <v>3475976</v>
      </c>
      <c r="F174" s="70">
        <f t="shared" ca="1" si="78"/>
        <v>911559.69628248573</v>
      </c>
      <c r="G174" s="63">
        <f t="shared" si="79"/>
        <v>4.9240000000000004</v>
      </c>
      <c r="H174" s="64">
        <f t="shared" si="80"/>
        <v>4.9240000000000004</v>
      </c>
      <c r="I174" s="43"/>
      <c r="J174" s="328">
        <f>J162</f>
        <v>0.42499999999999999</v>
      </c>
      <c r="K174" s="64">
        <f t="shared" si="82"/>
        <v>0.42499999999999999</v>
      </c>
      <c r="L174" s="63">
        <f t="shared" si="83"/>
        <v>0</v>
      </c>
      <c r="M174" s="64">
        <f t="shared" si="84"/>
        <v>0</v>
      </c>
      <c r="N174" s="65"/>
      <c r="O174" s="63">
        <f t="shared" si="85"/>
        <v>5.3490000000000002</v>
      </c>
      <c r="P174" s="63">
        <f t="shared" si="86"/>
        <v>5.3490000000000002</v>
      </c>
      <c r="Q174" s="66"/>
      <c r="R174" s="328">
        <f>R162</f>
        <v>0.27500000000000002</v>
      </c>
      <c r="S174" s="64">
        <f t="shared" si="88"/>
        <v>0.27500000000000002</v>
      </c>
      <c r="T174" s="38">
        <v>0</v>
      </c>
      <c r="U174" s="64">
        <f t="shared" si="89"/>
        <v>0</v>
      </c>
      <c r="V174" s="219">
        <f>IF($A175="","",IF(AND(MONTH(A174)&gt;3,MONTH(A174)&lt;11),(T174+R174+G174)*Summary!$T$11/(1-Summary!$T$11),(T174+R174+G174)*Summary!$U$11/(1-Summary!$U$11)))</f>
        <v>5.5437255530712118E-2</v>
      </c>
      <c r="W174" s="43">
        <f t="shared" si="90"/>
        <v>5.2544372555307133</v>
      </c>
      <c r="X174" s="43">
        <f t="shared" si="91"/>
        <v>5.2544372555307133</v>
      </c>
      <c r="Y174" s="43"/>
      <c r="Z174" s="38">
        <f t="shared" si="92"/>
        <v>1.1000000000000001</v>
      </c>
      <c r="AA174" s="38">
        <f t="shared" si="93"/>
        <v>0.17</v>
      </c>
      <c r="AB174" s="38">
        <f t="shared" ca="1" si="94"/>
        <v>0.17968585361130676</v>
      </c>
      <c r="AC174" s="38">
        <f t="shared" si="95"/>
        <v>1.1000000000000001</v>
      </c>
      <c r="AD174" s="38">
        <f t="shared" si="95"/>
        <v>0.17</v>
      </c>
      <c r="AE174" s="38">
        <f t="shared" ca="1" si="96"/>
        <v>0.17968585361130676</v>
      </c>
      <c r="AF174" s="238">
        <f ca="1">((Summary!$N$11*(AA174*AD174)*(A174-$D$3))+(Summary!$M$11*Z174*AC174*(AJ174-EOMONTH(EDATE(A174,-1),0))))/(AK174*AB174*AE174)</f>
        <v>0.99991047244060405</v>
      </c>
      <c r="AG174" s="88">
        <f>IF($A175="","",Summary!$Q$11)</f>
        <v>0</v>
      </c>
      <c r="AH174" s="88">
        <f>IF($A175="","",IF(Summary!$R$11="Y",(VLOOKUP($A174,Summary!$AD$6:$AF$9,3)+'Escalating commodity'!G187),'Escalating commodity'!G187))</f>
        <v>0</v>
      </c>
      <c r="AI174" s="88">
        <f t="shared" si="111"/>
        <v>0</v>
      </c>
      <c r="AJ174" s="236">
        <f t="shared" si="97"/>
        <v>42049</v>
      </c>
      <c r="AK174" s="58">
        <f t="shared" ca="1" si="98"/>
        <v>5010</v>
      </c>
      <c r="AL174" s="26">
        <f ca="1">IF($A175="","",_xll.SPRDOPT(P174,X174,AI174,0,AB174,AE174,AF174,AK174,$AJ$2,0))</f>
        <v>9.6947846784648573E-2</v>
      </c>
      <c r="AM174" s="209">
        <f t="shared" si="99"/>
        <v>9.4562744469286919E-2</v>
      </c>
      <c r="AN174" s="89">
        <f t="shared" ca="1" si="100"/>
        <v>2.3851023153616535E-3</v>
      </c>
      <c r="AO174" s="3">
        <f t="shared" si="101"/>
        <v>28</v>
      </c>
      <c r="AP174" s="33">
        <f t="shared" si="102"/>
        <v>42036</v>
      </c>
      <c r="AQ174" s="58">
        <f t="shared" ca="1" si="103"/>
        <v>5010</v>
      </c>
      <c r="AR174" s="38">
        <f>'ANR OK vs ML7'!AR174</f>
        <v>0.1</v>
      </c>
      <c r="AS174" s="35">
        <f t="shared" ca="1" si="104"/>
        <v>0.26224568186963482</v>
      </c>
      <c r="AT174" s="3">
        <f t="shared" si="105"/>
        <v>1</v>
      </c>
      <c r="AU174" s="3">
        <f t="shared" si="106"/>
        <v>28</v>
      </c>
      <c r="AW174" s="32">
        <f t="shared" ca="1" si="107"/>
        <v>336988.3886751156</v>
      </c>
      <c r="AX174" s="32">
        <f t="shared" si="108"/>
        <v>328697.83026937407</v>
      </c>
      <c r="AY174" s="32">
        <f t="shared" ca="1" si="109"/>
        <v>8290.5584057415381</v>
      </c>
      <c r="BA174" s="32">
        <f ca="1">IF($A175="","",F174*Summary!$Q$11)</f>
        <v>0</v>
      </c>
    </row>
    <row r="175" spans="1:55" ht="12" customHeight="1">
      <c r="A175" s="67">
        <f t="shared" si="110"/>
        <v>42064</v>
      </c>
      <c r="B175" s="69">
        <f t="shared" si="113"/>
        <v>124142</v>
      </c>
      <c r="C175" s="71"/>
      <c r="D175" s="69">
        <f t="shared" si="76"/>
        <v>124142</v>
      </c>
      <c r="E175" s="70">
        <f t="shared" si="77"/>
        <v>3848402</v>
      </c>
      <c r="F175" s="70">
        <f t="shared" ca="1" si="78"/>
        <v>1001705.4617013683</v>
      </c>
      <c r="G175" s="63">
        <f t="shared" si="79"/>
        <v>4.7850000000000001</v>
      </c>
      <c r="H175" s="64">
        <f t="shared" si="80"/>
        <v>4.7850000000000001</v>
      </c>
      <c r="I175" s="43"/>
      <c r="J175" s="328">
        <f>J163</f>
        <v>0.42499999999999999</v>
      </c>
      <c r="K175" s="64">
        <f t="shared" si="82"/>
        <v>0.42499999999999999</v>
      </c>
      <c r="L175" s="63">
        <f t="shared" si="83"/>
        <v>0</v>
      </c>
      <c r="M175" s="64">
        <f t="shared" si="84"/>
        <v>0</v>
      </c>
      <c r="N175" s="65"/>
      <c r="O175" s="63">
        <f t="shared" si="85"/>
        <v>5.21</v>
      </c>
      <c r="P175" s="63">
        <f t="shared" si="86"/>
        <v>5.21</v>
      </c>
      <c r="Q175" s="66"/>
      <c r="R175" s="328">
        <f>R163</f>
        <v>0.27500000000000002</v>
      </c>
      <c r="S175" s="64">
        <f t="shared" si="88"/>
        <v>0.27500000000000002</v>
      </c>
      <c r="T175" s="38">
        <v>0</v>
      </c>
      <c r="U175" s="64">
        <f t="shared" si="89"/>
        <v>0</v>
      </c>
      <c r="V175" s="219">
        <f>IF($A176="","",IF(AND(MONTH(A175)&gt;3,MONTH(A175)&lt;11),(T175+R175+G175)*Summary!$T$11/(1-Summary!$T$11),(T175+R175+G175)*Summary!$U$11/(1-Summary!$U$11)))</f>
        <v>5.395509001450343E-2</v>
      </c>
      <c r="W175" s="43">
        <f t="shared" si="90"/>
        <v>5.1139550900145041</v>
      </c>
      <c r="X175" s="43">
        <f t="shared" si="91"/>
        <v>5.1139550900145041</v>
      </c>
      <c r="Y175" s="43"/>
      <c r="Z175" s="38">
        <f t="shared" si="92"/>
        <v>0.75</v>
      </c>
      <c r="AA175" s="38">
        <f t="shared" si="93"/>
        <v>0.17</v>
      </c>
      <c r="AB175" s="38">
        <f t="shared" ca="1" si="94"/>
        <v>0.17503237946918254</v>
      </c>
      <c r="AC175" s="38">
        <f t="shared" si="95"/>
        <v>0.75</v>
      </c>
      <c r="AD175" s="38">
        <f t="shared" si="95"/>
        <v>0.17</v>
      </c>
      <c r="AE175" s="38">
        <f t="shared" ca="1" si="96"/>
        <v>0.17503237946918254</v>
      </c>
      <c r="AF175" s="238">
        <f ca="1">((Summary!$N$11*(AA175*AD175)*(A175-$D$3))+(Summary!$M$11*Z175*AC175*(AJ175-EOMONTH(EDATE(A175,-1),0))))/(AK175*AB175*AE175)</f>
        <v>0.99990564883992661</v>
      </c>
      <c r="AG175" s="88">
        <f>IF($A176="","",Summary!$Q$11)</f>
        <v>0</v>
      </c>
      <c r="AH175" s="88">
        <f>IF($A176="","",IF(Summary!$R$11="Y",(VLOOKUP($A175,Summary!$AD$6:$AF$9,3)+'Escalating commodity'!G188),'Escalating commodity'!G188))</f>
        <v>0</v>
      </c>
      <c r="AI175" s="88">
        <f t="shared" si="111"/>
        <v>0</v>
      </c>
      <c r="AJ175" s="236">
        <f t="shared" si="97"/>
        <v>42078.5</v>
      </c>
      <c r="AK175" s="58">
        <f t="shared" ca="1" si="98"/>
        <v>5038</v>
      </c>
      <c r="AL175" s="26">
        <f ca="1">IF($A176="","",_xll.SPRDOPT(P175,X175,AI175,0,AB175,AE175,AF175,AK175,$AJ$2,0))</f>
        <v>9.8281214090145869E-2</v>
      </c>
      <c r="AM175" s="209">
        <f t="shared" si="99"/>
        <v>9.6044909985495863E-2</v>
      </c>
      <c r="AN175" s="89">
        <f t="shared" ca="1" si="100"/>
        <v>2.2363041046500054E-3</v>
      </c>
      <c r="AO175" s="3">
        <f t="shared" si="101"/>
        <v>31</v>
      </c>
      <c r="AP175" s="33">
        <f t="shared" si="102"/>
        <v>42064</v>
      </c>
      <c r="AQ175" s="58">
        <f t="shared" ca="1" si="103"/>
        <v>5038</v>
      </c>
      <c r="AR175" s="38">
        <f>'ANR OK vs ML7'!AR175</f>
        <v>0.1</v>
      </c>
      <c r="AS175" s="35">
        <f t="shared" ca="1" si="104"/>
        <v>0.26029127458653445</v>
      </c>
      <c r="AT175" s="3">
        <f t="shared" si="105"/>
        <v>1</v>
      </c>
      <c r="AU175" s="3">
        <f t="shared" si="106"/>
        <v>31</v>
      </c>
      <c r="AW175" s="32">
        <f t="shared" ca="1" si="107"/>
        <v>378225.62086694554</v>
      </c>
      <c r="AX175" s="32">
        <f t="shared" si="108"/>
        <v>369619.42367800226</v>
      </c>
      <c r="AY175" s="32">
        <f t="shared" ca="1" si="109"/>
        <v>8606.1971889432898</v>
      </c>
      <c r="BA175" s="32">
        <f ca="1">IF($A176="","",F175*Summary!$Q$11)</f>
        <v>0</v>
      </c>
    </row>
    <row r="176" spans="1:55" ht="12" customHeight="1">
      <c r="A176" s="67">
        <f t="shared" si="110"/>
        <v>42095</v>
      </c>
      <c r="B176" s="69" t="str">
        <f t="shared" si="113"/>
        <v/>
      </c>
      <c r="C176" s="71"/>
      <c r="D176" s="69" t="str">
        <f t="shared" si="76"/>
        <v/>
      </c>
      <c r="E176" s="70" t="str">
        <f t="shared" si="77"/>
        <v/>
      </c>
      <c r="F176" s="70" t="str">
        <f t="shared" si="78"/>
        <v/>
      </c>
      <c r="G176" s="63" t="str">
        <f t="shared" si="79"/>
        <v/>
      </c>
      <c r="H176" s="64" t="str">
        <f t="shared" si="80"/>
        <v/>
      </c>
      <c r="I176" s="43"/>
      <c r="J176" s="63" t="str">
        <f t="shared" si="81"/>
        <v/>
      </c>
      <c r="K176" s="64" t="str">
        <f t="shared" si="82"/>
        <v/>
      </c>
      <c r="L176" s="63" t="str">
        <f t="shared" si="83"/>
        <v/>
      </c>
      <c r="M176" s="64" t="str">
        <f t="shared" si="84"/>
        <v/>
      </c>
      <c r="N176" s="65"/>
      <c r="O176" s="63" t="str">
        <f t="shared" si="85"/>
        <v/>
      </c>
      <c r="P176" s="63" t="str">
        <f t="shared" si="86"/>
        <v/>
      </c>
      <c r="Q176" s="66"/>
      <c r="R176" s="63" t="str">
        <f t="shared" si="87"/>
        <v/>
      </c>
      <c r="S176" s="64" t="str">
        <f t="shared" si="88"/>
        <v/>
      </c>
      <c r="T176" s="38">
        <v>0</v>
      </c>
      <c r="U176" s="64" t="str">
        <f t="shared" si="89"/>
        <v/>
      </c>
      <c r="V176" s="219" t="str">
        <f>IF($A177="","",IF(AND(MONTH(A176)&gt;3,MONTH(A176)&lt;11),(T176+R176+G176)*Summary!$T$11/(1-Summary!$T$11),(T176+R176+G176)*Summary!$U$11/(1-Summary!$U$11)))</f>
        <v/>
      </c>
      <c r="W176" s="43" t="str">
        <f t="shared" si="90"/>
        <v/>
      </c>
      <c r="X176" s="43" t="str">
        <f t="shared" si="91"/>
        <v/>
      </c>
      <c r="Y176" s="43"/>
      <c r="Z176" s="38" t="str">
        <f t="shared" si="92"/>
        <v/>
      </c>
      <c r="AA176" s="38" t="str">
        <f t="shared" si="93"/>
        <v/>
      </c>
      <c r="AB176" s="38" t="e">
        <f t="shared" si="94"/>
        <v>#VALUE!</v>
      </c>
      <c r="AC176" s="38" t="str">
        <f t="shared" si="95"/>
        <v/>
      </c>
      <c r="AD176" s="38" t="str">
        <f t="shared" si="95"/>
        <v/>
      </c>
      <c r="AE176" s="38" t="e">
        <f t="shared" si="96"/>
        <v>#VALUE!</v>
      </c>
      <c r="AF176" s="238" t="e">
        <f>((Summary!$N$11*(AA176*AD176)*(A176-$D$3))+(Summary!$M$11*Z176*AC176*(AJ176-EOMONTH(EDATE(A176,-1),0))))/(AK176*AB176*AE176)</f>
        <v>#VALUE!</v>
      </c>
      <c r="AG176" s="88" t="str">
        <f>IF($A177="","",Summary!$Q$11)</f>
        <v/>
      </c>
      <c r="AH176" s="88" t="str">
        <f>IF($A177="","",IF(Summary!$R$11="Y",(VLOOKUP($A176,Summary!$AD$6:$AF$9,3)+'Escalating commodity'!G189),'Escalating commodity'!G189))</f>
        <v/>
      </c>
      <c r="AI176" s="88" t="str">
        <f t="shared" si="111"/>
        <v/>
      </c>
      <c r="AJ176" s="236">
        <f t="shared" si="97"/>
        <v>42109</v>
      </c>
      <c r="AK176" s="58" t="str">
        <f t="shared" si="98"/>
        <v/>
      </c>
      <c r="AL176" s="26" t="str">
        <f>IF($A177="","",_xll.SPRDOPT(P176,X176,AI176,0,AB176,AE176,AF176,AK176,$AJ$2,0))</f>
        <v/>
      </c>
      <c r="AM176" s="209" t="str">
        <f t="shared" si="99"/>
        <v/>
      </c>
      <c r="AN176" s="89" t="str">
        <f t="shared" si="100"/>
        <v/>
      </c>
      <c r="AO176" s="3" t="str">
        <f t="shared" si="101"/>
        <v/>
      </c>
      <c r="AP176" s="33" t="str">
        <f t="shared" si="102"/>
        <v/>
      </c>
      <c r="AQ176" s="58" t="str">
        <f t="shared" si="103"/>
        <v/>
      </c>
      <c r="AR176" s="38">
        <f>'ANR OK vs ML7'!AR176</f>
        <v>0.1</v>
      </c>
      <c r="AS176" s="35" t="str">
        <f t="shared" si="104"/>
        <v/>
      </c>
      <c r="AT176" s="3" t="str">
        <f t="shared" si="105"/>
        <v/>
      </c>
      <c r="AU176" s="3" t="str">
        <f t="shared" si="106"/>
        <v/>
      </c>
      <c r="AW176" s="32" t="str">
        <f t="shared" si="107"/>
        <v/>
      </c>
      <c r="AX176" s="32" t="str">
        <f t="shared" si="108"/>
        <v/>
      </c>
      <c r="AY176" s="32" t="str">
        <f t="shared" si="109"/>
        <v/>
      </c>
      <c r="BA176" s="32" t="str">
        <f>IF($A177="","",F176*Summary!$Q$11)</f>
        <v/>
      </c>
    </row>
    <row r="177" spans="1:53" ht="12" customHeight="1">
      <c r="A177" s="67" t="str">
        <f t="shared" si="110"/>
        <v/>
      </c>
      <c r="B177" s="69" t="str">
        <f t="shared" si="113"/>
        <v/>
      </c>
      <c r="C177" s="71"/>
      <c r="D177" s="69" t="str">
        <f t="shared" si="76"/>
        <v/>
      </c>
      <c r="E177" s="70" t="str">
        <f t="shared" si="77"/>
        <v/>
      </c>
      <c r="F177" s="70" t="str">
        <f t="shared" si="78"/>
        <v/>
      </c>
      <c r="G177" s="63" t="str">
        <f t="shared" si="79"/>
        <v/>
      </c>
      <c r="H177" s="64" t="str">
        <f t="shared" si="80"/>
        <v/>
      </c>
      <c r="I177" s="43"/>
      <c r="J177" s="63" t="str">
        <f t="shared" si="81"/>
        <v/>
      </c>
      <c r="K177" s="64" t="str">
        <f t="shared" si="82"/>
        <v/>
      </c>
      <c r="L177" s="63" t="str">
        <f t="shared" si="83"/>
        <v/>
      </c>
      <c r="M177" s="64" t="str">
        <f t="shared" si="84"/>
        <v/>
      </c>
      <c r="N177" s="65"/>
      <c r="O177" s="63" t="str">
        <f t="shared" si="85"/>
        <v/>
      </c>
      <c r="P177" s="63" t="str">
        <f t="shared" si="86"/>
        <v/>
      </c>
      <c r="Q177" s="66"/>
      <c r="R177" s="63" t="str">
        <f t="shared" si="87"/>
        <v/>
      </c>
      <c r="S177" s="64" t="str">
        <f t="shared" si="88"/>
        <v/>
      </c>
      <c r="T177" s="38">
        <v>0</v>
      </c>
      <c r="U177" s="64" t="str">
        <f t="shared" si="89"/>
        <v/>
      </c>
      <c r="V177" s="219" t="str">
        <f>IF($A178="","",IF(AND(MONTH(A177)&gt;3,MONTH(A177)&lt;11),(T177+R177+G177)*Summary!$T$11/(1-Summary!$T$11),(T177+R177+G177)*Summary!$U$11/(1-Summary!$U$11)))</f>
        <v/>
      </c>
      <c r="W177" s="43" t="str">
        <f t="shared" si="90"/>
        <v/>
      </c>
      <c r="X177" s="43" t="str">
        <f t="shared" si="91"/>
        <v/>
      </c>
      <c r="Y177" s="43"/>
      <c r="Z177" s="38" t="str">
        <f t="shared" si="92"/>
        <v/>
      </c>
      <c r="AA177" s="38" t="str">
        <f t="shared" si="93"/>
        <v/>
      </c>
      <c r="AB177" s="38" t="e">
        <f t="shared" si="94"/>
        <v>#VALUE!</v>
      </c>
      <c r="AC177" s="38" t="str">
        <f t="shared" si="95"/>
        <v/>
      </c>
      <c r="AD177" s="38" t="str">
        <f t="shared" si="95"/>
        <v/>
      </c>
      <c r="AE177" s="38" t="e">
        <f t="shared" si="96"/>
        <v>#VALUE!</v>
      </c>
      <c r="AF177" s="238" t="e">
        <f>((Summary!$N$11*(AA177*AD177)*(A177-$D$3))+(Summary!$M$11*Z177*AC177*(AJ177-EOMONTH(EDATE(A177,-1),0))))/(AK177*AB177*AE177)</f>
        <v>#VALUE!</v>
      </c>
      <c r="AG177" s="88" t="str">
        <f>IF($A178="","",Summary!$Q$11)</f>
        <v/>
      </c>
      <c r="AH177" s="88" t="str">
        <f>IF($A178="","",IF(Summary!$R$11="Y",(VLOOKUP($A177,Summary!$AD$6:$AF$9,3)+'Escalating commodity'!G190),'Escalating commodity'!G190))</f>
        <v/>
      </c>
      <c r="AI177" s="88" t="str">
        <f t="shared" si="111"/>
        <v/>
      </c>
      <c r="AJ177" s="236" t="e">
        <f t="shared" si="97"/>
        <v>#VALUE!</v>
      </c>
      <c r="AK177" s="58" t="str">
        <f t="shared" si="98"/>
        <v/>
      </c>
      <c r="AL177" s="26" t="str">
        <f>IF($A178="","",_xll.SPRDOPT(P177,X177,AI177,0,AB177,AE177,AF177,AK177,$AJ$2,0))</f>
        <v/>
      </c>
      <c r="AM177" s="209" t="str">
        <f t="shared" si="99"/>
        <v/>
      </c>
      <c r="AN177" s="89" t="str">
        <f t="shared" si="100"/>
        <v/>
      </c>
      <c r="AO177" s="3" t="str">
        <f t="shared" si="101"/>
        <v/>
      </c>
      <c r="AP177" s="33" t="str">
        <f t="shared" si="102"/>
        <v/>
      </c>
      <c r="AQ177" s="58" t="str">
        <f t="shared" si="103"/>
        <v/>
      </c>
      <c r="AR177" s="38">
        <f>'ANR OK vs ML7'!AR177</f>
        <v>0.1</v>
      </c>
      <c r="AS177" s="35" t="str">
        <f t="shared" si="104"/>
        <v/>
      </c>
      <c r="AT177" s="3" t="str">
        <f t="shared" si="105"/>
        <v/>
      </c>
      <c r="AU177" s="3" t="str">
        <f t="shared" si="106"/>
        <v/>
      </c>
      <c r="AW177" s="32" t="str">
        <f t="shared" si="107"/>
        <v/>
      </c>
      <c r="AX177" s="32" t="str">
        <f t="shared" si="108"/>
        <v/>
      </c>
      <c r="AY177" s="32" t="str">
        <f t="shared" si="109"/>
        <v/>
      </c>
      <c r="BA177" s="32" t="str">
        <f>IF($A178="","",F177*Summary!$Q$11)</f>
        <v/>
      </c>
    </row>
    <row r="178" spans="1:53" ht="12" customHeight="1">
      <c r="A178" s="67" t="str">
        <f t="shared" si="110"/>
        <v/>
      </c>
      <c r="B178" s="69" t="str">
        <f t="shared" si="113"/>
        <v/>
      </c>
      <c r="C178" s="71"/>
      <c r="D178" s="69" t="str">
        <f t="shared" si="76"/>
        <v/>
      </c>
      <c r="E178" s="70" t="str">
        <f t="shared" si="77"/>
        <v/>
      </c>
      <c r="F178" s="70" t="str">
        <f t="shared" si="78"/>
        <v/>
      </c>
      <c r="G178" s="63" t="str">
        <f t="shared" si="79"/>
        <v/>
      </c>
      <c r="H178" s="64" t="str">
        <f t="shared" si="80"/>
        <v/>
      </c>
      <c r="I178" s="43"/>
      <c r="J178" s="63" t="str">
        <f t="shared" si="81"/>
        <v/>
      </c>
      <c r="K178" s="64" t="str">
        <f t="shared" si="82"/>
        <v/>
      </c>
      <c r="L178" s="63" t="str">
        <f t="shared" si="83"/>
        <v/>
      </c>
      <c r="M178" s="64" t="str">
        <f t="shared" si="84"/>
        <v/>
      </c>
      <c r="N178" s="65"/>
      <c r="O178" s="63" t="str">
        <f t="shared" si="85"/>
        <v/>
      </c>
      <c r="P178" s="63" t="str">
        <f t="shared" si="86"/>
        <v/>
      </c>
      <c r="Q178" s="66"/>
      <c r="R178" s="63" t="str">
        <f t="shared" si="87"/>
        <v/>
      </c>
      <c r="S178" s="64" t="str">
        <f t="shared" si="88"/>
        <v/>
      </c>
      <c r="T178" s="38">
        <v>0</v>
      </c>
      <c r="U178" s="64" t="str">
        <f t="shared" si="89"/>
        <v/>
      </c>
      <c r="V178" s="219" t="str">
        <f>IF($A179="","",IF(AND(MONTH(A178)&gt;3,MONTH(A178)&lt;11),(T178+R178+G178)*Summary!$T$11/(1-Summary!$T$11),(T178+R178+G178)*Summary!$U$11/(1-Summary!$U$11)))</f>
        <v/>
      </c>
      <c r="W178" s="43" t="str">
        <f t="shared" si="90"/>
        <v/>
      </c>
      <c r="X178" s="43" t="str">
        <f t="shared" si="91"/>
        <v/>
      </c>
      <c r="Y178" s="43"/>
      <c r="Z178" s="38" t="str">
        <f t="shared" si="92"/>
        <v/>
      </c>
      <c r="AA178" s="38" t="str">
        <f t="shared" si="93"/>
        <v/>
      </c>
      <c r="AB178" s="38" t="e">
        <f t="shared" si="94"/>
        <v>#VALUE!</v>
      </c>
      <c r="AC178" s="38" t="str">
        <f t="shared" si="95"/>
        <v/>
      </c>
      <c r="AD178" s="38" t="str">
        <f t="shared" si="95"/>
        <v/>
      </c>
      <c r="AE178" s="38" t="e">
        <f t="shared" si="96"/>
        <v>#VALUE!</v>
      </c>
      <c r="AF178" s="238" t="e">
        <f>((Summary!$N$11*(AA178*AD178)*(A178-$D$3))+(Summary!$M$11*Z178*AC178*(AJ178-EOMONTH(EDATE(A178,-1),0))))/(AK178*AB178*AE178)</f>
        <v>#VALUE!</v>
      </c>
      <c r="AG178" s="88" t="str">
        <f>IF($A179="","",Summary!$Q$11)</f>
        <v/>
      </c>
      <c r="AH178" s="88" t="str">
        <f>IF($A179="","",IF(Summary!$R$11="Y",(VLOOKUP($A178,Summary!$AD$6:$AF$9,3)+'Escalating commodity'!G191),'Escalating commodity'!G191))</f>
        <v/>
      </c>
      <c r="AI178" s="88" t="str">
        <f t="shared" si="111"/>
        <v/>
      </c>
      <c r="AJ178" s="236" t="e">
        <f t="shared" si="97"/>
        <v>#VALUE!</v>
      </c>
      <c r="AK178" s="58" t="str">
        <f t="shared" si="98"/>
        <v/>
      </c>
      <c r="AL178" s="26" t="str">
        <f>IF($A179="","",_xll.SPRDOPT(P178,X178,AI178,0,AB178,AE178,AF178,AK178,$AJ$2,0))</f>
        <v/>
      </c>
      <c r="AM178" s="209" t="str">
        <f t="shared" si="99"/>
        <v/>
      </c>
      <c r="AN178" s="89" t="str">
        <f t="shared" si="100"/>
        <v/>
      </c>
      <c r="AO178" s="3" t="str">
        <f t="shared" si="101"/>
        <v/>
      </c>
      <c r="AP178" s="33" t="str">
        <f t="shared" si="102"/>
        <v/>
      </c>
      <c r="AQ178" s="58" t="str">
        <f t="shared" si="103"/>
        <v/>
      </c>
      <c r="AR178" s="38">
        <f>'ANR OK vs ML7'!AR178</f>
        <v>0.1</v>
      </c>
      <c r="AS178" s="35" t="str">
        <f t="shared" si="104"/>
        <v/>
      </c>
      <c r="AT178" s="3" t="str">
        <f t="shared" si="105"/>
        <v/>
      </c>
      <c r="AU178" s="3" t="str">
        <f t="shared" si="106"/>
        <v/>
      </c>
      <c r="AW178" s="32" t="str">
        <f t="shared" si="107"/>
        <v/>
      </c>
      <c r="AX178" s="32" t="str">
        <f t="shared" si="108"/>
        <v/>
      </c>
      <c r="AY178" s="32" t="str">
        <f t="shared" si="109"/>
        <v/>
      </c>
      <c r="BA178" s="32" t="str">
        <f>IF($A179="","",F178*Summary!$Q$11)</f>
        <v/>
      </c>
    </row>
    <row r="179" spans="1:53" ht="12" customHeight="1">
      <c r="A179" s="67" t="str">
        <f t="shared" si="110"/>
        <v/>
      </c>
      <c r="B179" s="69" t="str">
        <f t="shared" si="113"/>
        <v/>
      </c>
      <c r="C179" s="71"/>
      <c r="D179" s="69" t="str">
        <f t="shared" si="76"/>
        <v/>
      </c>
      <c r="E179" s="70" t="str">
        <f t="shared" si="77"/>
        <v/>
      </c>
      <c r="F179" s="70" t="str">
        <f t="shared" si="78"/>
        <v/>
      </c>
      <c r="G179" s="63" t="str">
        <f t="shared" si="79"/>
        <v/>
      </c>
      <c r="H179" s="64" t="str">
        <f t="shared" si="80"/>
        <v/>
      </c>
      <c r="I179" s="43"/>
      <c r="J179" s="63" t="str">
        <f t="shared" si="81"/>
        <v/>
      </c>
      <c r="K179" s="64" t="str">
        <f t="shared" si="82"/>
        <v/>
      </c>
      <c r="L179" s="63" t="str">
        <f t="shared" si="83"/>
        <v/>
      </c>
      <c r="M179" s="64" t="str">
        <f t="shared" si="84"/>
        <v/>
      </c>
      <c r="N179" s="65"/>
      <c r="O179" s="63" t="str">
        <f t="shared" si="85"/>
        <v/>
      </c>
      <c r="P179" s="63" t="str">
        <f t="shared" si="86"/>
        <v/>
      </c>
      <c r="Q179" s="66"/>
      <c r="R179" s="63" t="str">
        <f t="shared" si="87"/>
        <v/>
      </c>
      <c r="S179" s="64" t="str">
        <f t="shared" si="88"/>
        <v/>
      </c>
      <c r="T179" s="38">
        <v>0</v>
      </c>
      <c r="U179" s="64" t="str">
        <f t="shared" si="89"/>
        <v/>
      </c>
      <c r="V179" s="219" t="str">
        <f>IF($A180="","",IF(AND(MONTH(A179)&gt;3,MONTH(A179)&lt;11),(T179+R179+G179)*Summary!$T$11/(1-Summary!$T$11),(T179+R179+G179)*Summary!$U$11/(1-Summary!$U$11)))</f>
        <v/>
      </c>
      <c r="W179" s="43" t="str">
        <f t="shared" si="90"/>
        <v/>
      </c>
      <c r="X179" s="43" t="str">
        <f t="shared" si="91"/>
        <v/>
      </c>
      <c r="Y179" s="43"/>
      <c r="Z179" s="38" t="str">
        <f t="shared" si="92"/>
        <v/>
      </c>
      <c r="AA179" s="38" t="str">
        <f t="shared" si="93"/>
        <v/>
      </c>
      <c r="AB179" s="38" t="e">
        <f t="shared" si="94"/>
        <v>#VALUE!</v>
      </c>
      <c r="AC179" s="38" t="str">
        <f t="shared" si="95"/>
        <v/>
      </c>
      <c r="AD179" s="38" t="str">
        <f t="shared" si="95"/>
        <v/>
      </c>
      <c r="AE179" s="38" t="e">
        <f t="shared" si="96"/>
        <v>#VALUE!</v>
      </c>
      <c r="AF179" s="238" t="e">
        <f>((Summary!$N$11*(AA179*AD179)*(A179-$D$3))+(Summary!$M$11*Z179*AC179*(AJ179-EOMONTH(EDATE(A179,-1),0))))/(AK179*AB179*AE179)</f>
        <v>#VALUE!</v>
      </c>
      <c r="AG179" s="88" t="str">
        <f>IF($A180="","",Summary!$Q$11)</f>
        <v/>
      </c>
      <c r="AH179" s="88" t="str">
        <f>IF($A180="","",IF(Summary!$R$11="Y",(VLOOKUP($A179,Summary!$AD$6:$AF$9,3)+'Escalating commodity'!G192),'Escalating commodity'!G192))</f>
        <v/>
      </c>
      <c r="AI179" s="88" t="str">
        <f t="shared" si="111"/>
        <v/>
      </c>
      <c r="AJ179" s="236" t="e">
        <f t="shared" si="97"/>
        <v>#VALUE!</v>
      </c>
      <c r="AK179" s="58" t="str">
        <f t="shared" si="98"/>
        <v/>
      </c>
      <c r="AL179" s="26" t="str">
        <f>IF($A180="","",_xll.SPRDOPT(P179,X179,AI179,0,AB179,AE179,AF179,AK179,$AJ$2,0))</f>
        <v/>
      </c>
      <c r="AM179" s="209" t="str">
        <f t="shared" si="99"/>
        <v/>
      </c>
      <c r="AN179" s="89" t="str">
        <f t="shared" si="100"/>
        <v/>
      </c>
      <c r="AO179" s="3" t="str">
        <f t="shared" si="101"/>
        <v/>
      </c>
      <c r="AP179" s="33" t="str">
        <f t="shared" si="102"/>
        <v/>
      </c>
      <c r="AQ179" s="58" t="str">
        <f t="shared" si="103"/>
        <v/>
      </c>
      <c r="AR179" s="38">
        <f>'ANR OK vs ML7'!AR179</f>
        <v>0.1</v>
      </c>
      <c r="AS179" s="35" t="str">
        <f t="shared" si="104"/>
        <v/>
      </c>
      <c r="AT179" s="3" t="str">
        <f t="shared" si="105"/>
        <v/>
      </c>
      <c r="AU179" s="3" t="str">
        <f t="shared" si="106"/>
        <v/>
      </c>
      <c r="AW179" s="32" t="str">
        <f t="shared" si="107"/>
        <v/>
      </c>
      <c r="AX179" s="32" t="str">
        <f t="shared" si="108"/>
        <v/>
      </c>
      <c r="AY179" s="32" t="str">
        <f t="shared" si="109"/>
        <v/>
      </c>
      <c r="BA179" s="32" t="str">
        <f>IF($A180="","",F179*Summary!$Q$11)</f>
        <v/>
      </c>
    </row>
    <row r="180" spans="1:53" ht="12" customHeight="1">
      <c r="A180" s="67" t="str">
        <f t="shared" si="110"/>
        <v/>
      </c>
      <c r="B180" s="69" t="str">
        <f t="shared" si="113"/>
        <v/>
      </c>
      <c r="C180" s="71"/>
      <c r="D180" s="69" t="str">
        <f t="shared" si="76"/>
        <v/>
      </c>
      <c r="E180" s="70" t="str">
        <f t="shared" si="77"/>
        <v/>
      </c>
      <c r="F180" s="70" t="str">
        <f t="shared" si="78"/>
        <v/>
      </c>
      <c r="G180" s="63" t="str">
        <f t="shared" si="79"/>
        <v/>
      </c>
      <c r="H180" s="64" t="str">
        <f t="shared" si="80"/>
        <v/>
      </c>
      <c r="I180" s="43"/>
      <c r="J180" s="63" t="str">
        <f t="shared" si="81"/>
        <v/>
      </c>
      <c r="K180" s="64" t="str">
        <f t="shared" si="82"/>
        <v/>
      </c>
      <c r="L180" s="63" t="str">
        <f t="shared" si="83"/>
        <v/>
      </c>
      <c r="M180" s="64" t="str">
        <f t="shared" si="84"/>
        <v/>
      </c>
      <c r="N180" s="65"/>
      <c r="O180" s="63" t="str">
        <f t="shared" si="85"/>
        <v/>
      </c>
      <c r="P180" s="63" t="str">
        <f t="shared" si="86"/>
        <v/>
      </c>
      <c r="Q180" s="66"/>
      <c r="R180" s="63" t="str">
        <f t="shared" si="87"/>
        <v/>
      </c>
      <c r="S180" s="64" t="str">
        <f t="shared" si="88"/>
        <v/>
      </c>
      <c r="T180" s="38">
        <v>0</v>
      </c>
      <c r="U180" s="64" t="str">
        <f t="shared" si="89"/>
        <v/>
      </c>
      <c r="V180" s="219" t="str">
        <f>IF($A181="","",IF(AND(MONTH(A180)&gt;3,MONTH(A180)&lt;11),(T180+R180+G180)*Summary!$T$11/(1-Summary!$T$11),(T180+R180+G180)*Summary!$U$11/(1-Summary!$U$11)))</f>
        <v/>
      </c>
      <c r="W180" s="43" t="str">
        <f t="shared" si="90"/>
        <v/>
      </c>
      <c r="X180" s="43" t="str">
        <f t="shared" si="91"/>
        <v/>
      </c>
      <c r="Y180" s="43"/>
      <c r="Z180" s="38" t="str">
        <f t="shared" si="92"/>
        <v/>
      </c>
      <c r="AA180" s="38" t="str">
        <f t="shared" si="93"/>
        <v/>
      </c>
      <c r="AB180" s="38" t="e">
        <f t="shared" si="94"/>
        <v>#VALUE!</v>
      </c>
      <c r="AC180" s="38" t="str">
        <f t="shared" si="95"/>
        <v/>
      </c>
      <c r="AD180" s="38" t="str">
        <f t="shared" si="95"/>
        <v/>
      </c>
      <c r="AE180" s="38" t="e">
        <f t="shared" si="96"/>
        <v>#VALUE!</v>
      </c>
      <c r="AF180" s="238" t="e">
        <f>((Summary!$N$11*(AA180*AD180)*(A180-$D$3))+(Summary!$M$11*Z180*AC180*(AJ180-EOMONTH(EDATE(A180,-1),0))))/(AK180*AB180*AE180)</f>
        <v>#VALUE!</v>
      </c>
      <c r="AG180" s="88" t="str">
        <f>IF($A181="","",Summary!$Q$11)</f>
        <v/>
      </c>
      <c r="AH180" s="88" t="str">
        <f>IF($A181="","",IF(Summary!$R$11="Y",(VLOOKUP($A180,Summary!$AD$6:$AF$9,3)+'Escalating commodity'!G193),'Escalating commodity'!G193))</f>
        <v/>
      </c>
      <c r="AI180" s="88" t="str">
        <f t="shared" si="111"/>
        <v/>
      </c>
      <c r="AJ180" s="236" t="e">
        <f t="shared" si="97"/>
        <v>#VALUE!</v>
      </c>
      <c r="AK180" s="58" t="str">
        <f t="shared" si="98"/>
        <v/>
      </c>
      <c r="AL180" s="26" t="str">
        <f>IF($A181="","",_xll.SPRDOPT(P180,X180,AI180,0,AB180,AE180,AF180,AK180,$AJ$2,0))</f>
        <v/>
      </c>
      <c r="AM180" s="209" t="str">
        <f t="shared" si="99"/>
        <v/>
      </c>
      <c r="AN180" s="89" t="str">
        <f t="shared" si="100"/>
        <v/>
      </c>
      <c r="AO180" s="3" t="str">
        <f t="shared" si="101"/>
        <v/>
      </c>
      <c r="AP180" s="33" t="str">
        <f t="shared" si="102"/>
        <v/>
      </c>
      <c r="AQ180" s="58" t="str">
        <f t="shared" si="103"/>
        <v/>
      </c>
      <c r="AR180" s="38">
        <f>'ANR OK vs ML7'!AR180</f>
        <v>0.1</v>
      </c>
      <c r="AS180" s="35" t="str">
        <f t="shared" si="104"/>
        <v/>
      </c>
      <c r="AT180" s="3" t="str">
        <f t="shared" si="105"/>
        <v/>
      </c>
      <c r="AU180" s="3" t="str">
        <f t="shared" si="106"/>
        <v/>
      </c>
      <c r="AW180" s="32" t="str">
        <f t="shared" si="107"/>
        <v/>
      </c>
      <c r="AX180" s="32" t="str">
        <f t="shared" si="108"/>
        <v/>
      </c>
      <c r="AY180" s="32" t="str">
        <f t="shared" si="109"/>
        <v/>
      </c>
      <c r="BA180" s="32" t="str">
        <f>IF($A181="","",F180*Summary!$Q$11)</f>
        <v/>
      </c>
    </row>
    <row r="181" spans="1:53" ht="12" customHeight="1">
      <c r="A181" s="67" t="str">
        <f t="shared" si="110"/>
        <v/>
      </c>
      <c r="B181" s="69" t="str">
        <f t="shared" si="113"/>
        <v/>
      </c>
      <c r="C181" s="71"/>
      <c r="D181" s="69" t="str">
        <f t="shared" si="76"/>
        <v/>
      </c>
      <c r="E181" s="70" t="str">
        <f t="shared" si="77"/>
        <v/>
      </c>
      <c r="F181" s="70" t="str">
        <f t="shared" si="78"/>
        <v/>
      </c>
      <c r="G181" s="63" t="str">
        <f t="shared" si="79"/>
        <v/>
      </c>
      <c r="H181" s="64" t="str">
        <f t="shared" si="80"/>
        <v/>
      </c>
      <c r="I181" s="43"/>
      <c r="J181" s="63" t="str">
        <f t="shared" si="81"/>
        <v/>
      </c>
      <c r="K181" s="64" t="str">
        <f t="shared" si="82"/>
        <v/>
      </c>
      <c r="L181" s="63" t="str">
        <f t="shared" si="83"/>
        <v/>
      </c>
      <c r="M181" s="64" t="str">
        <f t="shared" si="84"/>
        <v/>
      </c>
      <c r="N181" s="65"/>
      <c r="O181" s="63" t="str">
        <f t="shared" si="85"/>
        <v/>
      </c>
      <c r="P181" s="63" t="str">
        <f t="shared" si="86"/>
        <v/>
      </c>
      <c r="Q181" s="66"/>
      <c r="R181" s="63" t="str">
        <f t="shared" si="87"/>
        <v/>
      </c>
      <c r="S181" s="64" t="str">
        <f t="shared" si="88"/>
        <v/>
      </c>
      <c r="T181" s="38">
        <v>0</v>
      </c>
      <c r="U181" s="64" t="str">
        <f t="shared" si="89"/>
        <v/>
      </c>
      <c r="V181" s="219" t="str">
        <f>IF($A182="","",IF(AND(MONTH(A181)&gt;3,MONTH(A181)&lt;11),(T181+R181+G181)*Summary!$T$11/(1-Summary!$T$11),(T181+R181+G181)*Summary!$U$11/(1-Summary!$U$11)))</f>
        <v/>
      </c>
      <c r="W181" s="43" t="str">
        <f t="shared" si="90"/>
        <v/>
      </c>
      <c r="X181" s="43" t="str">
        <f t="shared" si="91"/>
        <v/>
      </c>
      <c r="Y181" s="43"/>
      <c r="Z181" s="38" t="str">
        <f t="shared" si="92"/>
        <v/>
      </c>
      <c r="AA181" s="38" t="str">
        <f t="shared" si="93"/>
        <v/>
      </c>
      <c r="AB181" s="38" t="e">
        <f t="shared" si="94"/>
        <v>#VALUE!</v>
      </c>
      <c r="AC181" s="38" t="str">
        <f t="shared" si="95"/>
        <v/>
      </c>
      <c r="AD181" s="38" t="str">
        <f t="shared" si="95"/>
        <v/>
      </c>
      <c r="AE181" s="38" t="e">
        <f t="shared" si="96"/>
        <v>#VALUE!</v>
      </c>
      <c r="AF181" s="238" t="e">
        <f>((Summary!$N$11*(AA181*AD181)*(A181-$D$3))+(Summary!$M$11*Z181*AC181*(AJ181-EOMONTH(EDATE(A181,-1),0))))/(AK181*AB181*AE181)</f>
        <v>#VALUE!</v>
      </c>
      <c r="AG181" s="88" t="str">
        <f>IF($A182="","",Summary!$Q$11)</f>
        <v/>
      </c>
      <c r="AH181" s="88" t="str">
        <f>IF($A182="","",IF(Summary!$R$11="Y",(VLOOKUP($A181,Summary!$AD$6:$AF$9,3)+'Escalating commodity'!G194),'Escalating commodity'!G194))</f>
        <v/>
      </c>
      <c r="AI181" s="88" t="str">
        <f t="shared" si="111"/>
        <v/>
      </c>
      <c r="AJ181" s="236" t="e">
        <f t="shared" si="97"/>
        <v>#VALUE!</v>
      </c>
      <c r="AK181" s="58" t="str">
        <f t="shared" si="98"/>
        <v/>
      </c>
      <c r="AL181" s="26" t="str">
        <f>IF($A182="","",_xll.SPRDOPT(P181,X181,AI181,0,AB181,AE181,AF181,AK181,$AJ$2,0))</f>
        <v/>
      </c>
      <c r="AM181" s="209" t="str">
        <f t="shared" si="99"/>
        <v/>
      </c>
      <c r="AN181" s="89" t="str">
        <f t="shared" si="100"/>
        <v/>
      </c>
      <c r="AO181" s="3" t="str">
        <f t="shared" si="101"/>
        <v/>
      </c>
      <c r="AP181" s="33" t="str">
        <f t="shared" si="102"/>
        <v/>
      </c>
      <c r="AQ181" s="58" t="str">
        <f t="shared" si="103"/>
        <v/>
      </c>
      <c r="AR181" s="38">
        <f>'ANR OK vs ML7'!AR181</f>
        <v>0.1</v>
      </c>
      <c r="AS181" s="35" t="str">
        <f t="shared" si="104"/>
        <v/>
      </c>
      <c r="AT181" s="3" t="str">
        <f t="shared" si="105"/>
        <v/>
      </c>
      <c r="AU181" s="3" t="str">
        <f t="shared" si="106"/>
        <v/>
      </c>
      <c r="AW181" s="32" t="str">
        <f t="shared" si="107"/>
        <v/>
      </c>
      <c r="AX181" s="32" t="str">
        <f t="shared" si="108"/>
        <v/>
      </c>
      <c r="AY181" s="32" t="str">
        <f t="shared" si="109"/>
        <v/>
      </c>
      <c r="BA181" s="32" t="str">
        <f>IF($A182="","",F181*Summary!$Q$11)</f>
        <v/>
      </c>
    </row>
    <row r="182" spans="1:53" ht="12" customHeight="1">
      <c r="A182" s="67" t="str">
        <f t="shared" si="110"/>
        <v/>
      </c>
      <c r="B182" s="69" t="str">
        <f t="shared" si="113"/>
        <v/>
      </c>
      <c r="C182" s="71"/>
      <c r="D182" s="69" t="str">
        <f t="shared" si="76"/>
        <v/>
      </c>
      <c r="E182" s="70" t="str">
        <f t="shared" si="77"/>
        <v/>
      </c>
      <c r="F182" s="70" t="str">
        <f t="shared" si="78"/>
        <v/>
      </c>
      <c r="G182" s="63" t="str">
        <f t="shared" si="79"/>
        <v/>
      </c>
      <c r="H182" s="64" t="str">
        <f t="shared" si="80"/>
        <v/>
      </c>
      <c r="I182" s="43"/>
      <c r="J182" s="63" t="str">
        <f t="shared" si="81"/>
        <v/>
      </c>
      <c r="K182" s="64" t="str">
        <f t="shared" si="82"/>
        <v/>
      </c>
      <c r="L182" s="63" t="str">
        <f t="shared" si="83"/>
        <v/>
      </c>
      <c r="M182" s="64" t="str">
        <f t="shared" si="84"/>
        <v/>
      </c>
      <c r="N182" s="65"/>
      <c r="O182" s="63" t="str">
        <f t="shared" si="85"/>
        <v/>
      </c>
      <c r="P182" s="63" t="str">
        <f t="shared" si="86"/>
        <v/>
      </c>
      <c r="Q182" s="66"/>
      <c r="R182" s="63" t="str">
        <f t="shared" si="87"/>
        <v/>
      </c>
      <c r="S182" s="64" t="str">
        <f t="shared" si="88"/>
        <v/>
      </c>
      <c r="T182" s="38">
        <v>0</v>
      </c>
      <c r="U182" s="64" t="str">
        <f t="shared" si="89"/>
        <v/>
      </c>
      <c r="V182" s="219" t="str">
        <f>IF($A183="","",IF(AND(MONTH(A182)&gt;3,MONTH(A182)&lt;11),(T182+R182+G182)*Summary!$T$11/(1-Summary!$T$11),(T182+R182+G182)*Summary!$U$11/(1-Summary!$U$11)))</f>
        <v/>
      </c>
      <c r="W182" s="43" t="str">
        <f t="shared" si="90"/>
        <v/>
      </c>
      <c r="X182" s="43" t="str">
        <f t="shared" si="91"/>
        <v/>
      </c>
      <c r="Y182" s="43"/>
      <c r="Z182" s="38" t="str">
        <f t="shared" si="92"/>
        <v/>
      </c>
      <c r="AA182" s="38" t="str">
        <f t="shared" si="93"/>
        <v/>
      </c>
      <c r="AB182" s="38" t="e">
        <f t="shared" si="94"/>
        <v>#VALUE!</v>
      </c>
      <c r="AC182" s="38" t="str">
        <f t="shared" si="95"/>
        <v/>
      </c>
      <c r="AD182" s="38" t="str">
        <f t="shared" si="95"/>
        <v/>
      </c>
      <c r="AE182" s="38" t="e">
        <f t="shared" si="96"/>
        <v>#VALUE!</v>
      </c>
      <c r="AF182" s="238" t="e">
        <f>((Summary!$N$11*(AA182*AD182)*(A182-$D$3))+(Summary!$M$11*Z182*AC182*(AJ182-EOMONTH(EDATE(A182,-1),0))))/(AK182*AB182*AE182)</f>
        <v>#VALUE!</v>
      </c>
      <c r="AG182" s="88" t="str">
        <f>IF($A183="","",Summary!$Q$11)</f>
        <v/>
      </c>
      <c r="AH182" s="88" t="str">
        <f>IF($A183="","",IF(Summary!$R$11="Y",(VLOOKUP($A182,Summary!$AD$6:$AF$9,3)+'Escalating commodity'!G195),'Escalating commodity'!G195))</f>
        <v/>
      </c>
      <c r="AI182" s="88" t="str">
        <f t="shared" si="111"/>
        <v/>
      </c>
      <c r="AJ182" s="236" t="e">
        <f t="shared" si="97"/>
        <v>#VALUE!</v>
      </c>
      <c r="AK182" s="58" t="str">
        <f t="shared" si="98"/>
        <v/>
      </c>
      <c r="AL182" s="26" t="str">
        <f>IF($A183="","",_xll.SPRDOPT(P182,X182,AI182,0,AB182,AE182,AF182,AK182,$AJ$2,0))</f>
        <v/>
      </c>
      <c r="AM182" s="209" t="str">
        <f t="shared" si="99"/>
        <v/>
      </c>
      <c r="AN182" s="89" t="str">
        <f t="shared" si="100"/>
        <v/>
      </c>
      <c r="AO182" s="3" t="str">
        <f t="shared" si="101"/>
        <v/>
      </c>
      <c r="AP182" s="33" t="str">
        <f t="shared" si="102"/>
        <v/>
      </c>
      <c r="AQ182" s="58" t="str">
        <f t="shared" si="103"/>
        <v/>
      </c>
      <c r="AR182" s="38">
        <f>'ANR OK vs ML7'!AR182</f>
        <v>0.1</v>
      </c>
      <c r="AS182" s="35" t="str">
        <f t="shared" si="104"/>
        <v/>
      </c>
      <c r="AT182" s="3" t="str">
        <f t="shared" si="105"/>
        <v/>
      </c>
      <c r="AU182" s="3" t="str">
        <f t="shared" si="106"/>
        <v/>
      </c>
      <c r="AW182" s="32" t="str">
        <f t="shared" si="107"/>
        <v/>
      </c>
      <c r="AX182" s="32" t="str">
        <f t="shared" si="108"/>
        <v/>
      </c>
      <c r="AY182" s="32" t="str">
        <f t="shared" si="109"/>
        <v/>
      </c>
      <c r="BA182" s="32" t="str">
        <f>IF($A183="","",F182*Summary!$Q$11)</f>
        <v/>
      </c>
    </row>
    <row r="183" spans="1:53" ht="12" customHeight="1">
      <c r="A183" s="67" t="str">
        <f t="shared" si="110"/>
        <v/>
      </c>
      <c r="B183" s="69" t="str">
        <f t="shared" si="113"/>
        <v/>
      </c>
      <c r="C183" s="71"/>
      <c r="D183" s="69" t="str">
        <f t="shared" si="76"/>
        <v/>
      </c>
      <c r="E183" s="70" t="str">
        <f t="shared" si="77"/>
        <v/>
      </c>
      <c r="F183" s="70" t="str">
        <f t="shared" si="78"/>
        <v/>
      </c>
      <c r="G183" s="63" t="str">
        <f t="shared" si="79"/>
        <v/>
      </c>
      <c r="H183" s="64" t="str">
        <f t="shared" si="80"/>
        <v/>
      </c>
      <c r="I183" s="43"/>
      <c r="J183" s="63" t="str">
        <f t="shared" si="81"/>
        <v/>
      </c>
      <c r="K183" s="64" t="str">
        <f t="shared" si="82"/>
        <v/>
      </c>
      <c r="L183" s="63" t="str">
        <f t="shared" si="83"/>
        <v/>
      </c>
      <c r="M183" s="64" t="str">
        <f t="shared" si="84"/>
        <v/>
      </c>
      <c r="N183" s="65"/>
      <c r="O183" s="63" t="str">
        <f t="shared" si="85"/>
        <v/>
      </c>
      <c r="P183" s="63" t="str">
        <f t="shared" si="86"/>
        <v/>
      </c>
      <c r="Q183" s="66"/>
      <c r="R183" s="63" t="str">
        <f t="shared" si="87"/>
        <v/>
      </c>
      <c r="S183" s="64" t="str">
        <f t="shared" si="88"/>
        <v/>
      </c>
      <c r="T183" s="38">
        <v>0</v>
      </c>
      <c r="U183" s="64" t="str">
        <f t="shared" si="89"/>
        <v/>
      </c>
      <c r="V183" s="219" t="str">
        <f>IF($A184="","",IF(AND(MONTH(A183)&gt;3,MONTH(A183)&lt;11),(T183+R183+G183)*Summary!$T$11/(1-Summary!$T$11),(T183+R183+G183)*Summary!$U$11/(1-Summary!$U$11)))</f>
        <v/>
      </c>
      <c r="W183" s="43" t="str">
        <f t="shared" si="90"/>
        <v/>
      </c>
      <c r="X183" s="43" t="str">
        <f t="shared" si="91"/>
        <v/>
      </c>
      <c r="Y183" s="43"/>
      <c r="Z183" s="38" t="str">
        <f t="shared" si="92"/>
        <v/>
      </c>
      <c r="AA183" s="38" t="str">
        <f t="shared" si="93"/>
        <v/>
      </c>
      <c r="AB183" s="38" t="e">
        <f t="shared" si="94"/>
        <v>#VALUE!</v>
      </c>
      <c r="AC183" s="38" t="str">
        <f t="shared" si="95"/>
        <v/>
      </c>
      <c r="AD183" s="38" t="str">
        <f t="shared" si="95"/>
        <v/>
      </c>
      <c r="AE183" s="38" t="e">
        <f t="shared" si="96"/>
        <v>#VALUE!</v>
      </c>
      <c r="AF183" s="238" t="e">
        <f>((Summary!$N$11*(AA183*AD183)*(A183-$D$3))+(Summary!$M$11*Z183*AC183*(AJ183-EOMONTH(EDATE(A183,-1),0))))/(AK183*AB183*AE183)</f>
        <v>#VALUE!</v>
      </c>
      <c r="AG183" s="88" t="str">
        <f>IF($A184="","",Summary!$Q$11)</f>
        <v/>
      </c>
      <c r="AH183" s="88" t="str">
        <f>IF($A184="","",IF(Summary!$R$11="Y",(VLOOKUP($A183,Summary!$AD$6:$AF$9,3)+'Escalating commodity'!G196),'Escalating commodity'!G196))</f>
        <v/>
      </c>
      <c r="AI183" s="88" t="str">
        <f t="shared" si="111"/>
        <v/>
      </c>
      <c r="AJ183" s="236" t="e">
        <f t="shared" si="97"/>
        <v>#VALUE!</v>
      </c>
      <c r="AK183" s="58" t="str">
        <f t="shared" si="98"/>
        <v/>
      </c>
      <c r="AL183" s="26" t="str">
        <f>IF($A184="","",_xll.SPRDOPT(P183,X183,AI183,0,AB183,AE183,AF183,AK183,$AJ$2,0))</f>
        <v/>
      </c>
      <c r="AM183" s="209" t="str">
        <f t="shared" si="99"/>
        <v/>
      </c>
      <c r="AN183" s="89" t="str">
        <f t="shared" si="100"/>
        <v/>
      </c>
      <c r="AO183" s="3" t="str">
        <f t="shared" si="101"/>
        <v/>
      </c>
      <c r="AP183" s="33" t="str">
        <f t="shared" si="102"/>
        <v/>
      </c>
      <c r="AQ183" s="58" t="str">
        <f t="shared" si="103"/>
        <v/>
      </c>
      <c r="AR183" s="38">
        <f>'ANR OK vs ML7'!AR183</f>
        <v>0.1</v>
      </c>
      <c r="AS183" s="35" t="str">
        <f t="shared" si="104"/>
        <v/>
      </c>
      <c r="AT183" s="3" t="str">
        <f t="shared" si="105"/>
        <v/>
      </c>
      <c r="AU183" s="3" t="str">
        <f t="shared" si="106"/>
        <v/>
      </c>
      <c r="AW183" s="32" t="str">
        <f t="shared" si="107"/>
        <v/>
      </c>
      <c r="AX183" s="32" t="str">
        <f t="shared" si="108"/>
        <v/>
      </c>
      <c r="AY183" s="32" t="str">
        <f t="shared" si="109"/>
        <v/>
      </c>
      <c r="BA183" s="32" t="str">
        <f>IF($A184="","",F183*Summary!$Q$11)</f>
        <v/>
      </c>
    </row>
    <row r="184" spans="1:53" ht="12" customHeight="1">
      <c r="A184" s="67" t="str">
        <f t="shared" si="110"/>
        <v/>
      </c>
      <c r="B184" s="69" t="str">
        <f t="shared" si="113"/>
        <v/>
      </c>
      <c r="C184" s="71"/>
      <c r="D184" s="69" t="str">
        <f t="shared" si="76"/>
        <v/>
      </c>
      <c r="E184" s="70" t="str">
        <f t="shared" si="77"/>
        <v/>
      </c>
      <c r="F184" s="70" t="str">
        <f t="shared" si="78"/>
        <v/>
      </c>
      <c r="G184" s="63" t="str">
        <f t="shared" si="79"/>
        <v/>
      </c>
      <c r="H184" s="64" t="str">
        <f t="shared" si="80"/>
        <v/>
      </c>
      <c r="I184" s="43"/>
      <c r="J184" s="63" t="str">
        <f t="shared" si="81"/>
        <v/>
      </c>
      <c r="K184" s="64" t="str">
        <f t="shared" si="82"/>
        <v/>
      </c>
      <c r="L184" s="63" t="str">
        <f t="shared" si="83"/>
        <v/>
      </c>
      <c r="M184" s="64" t="str">
        <f t="shared" si="84"/>
        <v/>
      </c>
      <c r="N184" s="65"/>
      <c r="O184" s="63" t="str">
        <f t="shared" si="85"/>
        <v/>
      </c>
      <c r="P184" s="63" t="str">
        <f t="shared" si="86"/>
        <v/>
      </c>
      <c r="Q184" s="66"/>
      <c r="R184" s="63" t="str">
        <f t="shared" si="87"/>
        <v/>
      </c>
      <c r="S184" s="64" t="str">
        <f t="shared" si="88"/>
        <v/>
      </c>
      <c r="T184" s="38">
        <v>0</v>
      </c>
      <c r="U184" s="64" t="str">
        <f t="shared" si="89"/>
        <v/>
      </c>
      <c r="V184" s="219" t="str">
        <f>IF($A185="","",IF(AND(MONTH(A184)&gt;3,MONTH(A184)&lt;11),(T184+R184+G184)*Summary!$T$11/(1-Summary!$T$11),(T184+R184+G184)*Summary!$U$11/(1-Summary!$U$11)))</f>
        <v/>
      </c>
      <c r="W184" s="43" t="str">
        <f t="shared" si="90"/>
        <v/>
      </c>
      <c r="X184" s="43" t="str">
        <f t="shared" si="91"/>
        <v/>
      </c>
      <c r="Y184" s="43"/>
      <c r="Z184" s="38" t="str">
        <f t="shared" si="92"/>
        <v/>
      </c>
      <c r="AA184" s="38" t="str">
        <f t="shared" si="93"/>
        <v/>
      </c>
      <c r="AB184" s="38" t="e">
        <f t="shared" si="94"/>
        <v>#VALUE!</v>
      </c>
      <c r="AC184" s="38" t="str">
        <f t="shared" si="95"/>
        <v/>
      </c>
      <c r="AD184" s="38" t="str">
        <f t="shared" si="95"/>
        <v/>
      </c>
      <c r="AE184" s="38" t="e">
        <f t="shared" si="96"/>
        <v>#VALUE!</v>
      </c>
      <c r="AF184" s="238" t="e">
        <f>((Summary!$N$11*(AA184*AD184)*(A184-$D$3))+(Summary!$M$11*Z184*AC184*(AJ184-EOMONTH(EDATE(A184,-1),0))))/(AK184*AB184*AE184)</f>
        <v>#VALUE!</v>
      </c>
      <c r="AG184" s="88" t="str">
        <f>IF($A185="","",Summary!$Q$11)</f>
        <v/>
      </c>
      <c r="AH184" s="88" t="str">
        <f>IF($A185="","",IF(Summary!$R$11="Y",(VLOOKUP($A184,Summary!$AD$6:$AF$9,3)+'Escalating commodity'!G197),'Escalating commodity'!G197))</f>
        <v/>
      </c>
      <c r="AI184" s="88" t="str">
        <f t="shared" si="111"/>
        <v/>
      </c>
      <c r="AJ184" s="236" t="e">
        <f t="shared" si="97"/>
        <v>#VALUE!</v>
      </c>
      <c r="AK184" s="58" t="str">
        <f t="shared" si="98"/>
        <v/>
      </c>
      <c r="AL184" s="26" t="str">
        <f>IF($A185="","",_xll.SPRDOPT(P184,X184,AI184,0,AB184,AE184,AF184,AK184,$AJ$2,0))</f>
        <v/>
      </c>
      <c r="AM184" s="209" t="str">
        <f t="shared" si="99"/>
        <v/>
      </c>
      <c r="AN184" s="89" t="str">
        <f t="shared" si="100"/>
        <v/>
      </c>
      <c r="AO184" s="3" t="str">
        <f t="shared" si="101"/>
        <v/>
      </c>
      <c r="AP184" s="33" t="str">
        <f t="shared" si="102"/>
        <v/>
      </c>
      <c r="AQ184" s="58" t="str">
        <f t="shared" si="103"/>
        <v/>
      </c>
      <c r="AR184" s="38">
        <f>'ANR OK vs ML7'!AR184</f>
        <v>0.1</v>
      </c>
      <c r="AS184" s="35" t="str">
        <f t="shared" si="104"/>
        <v/>
      </c>
      <c r="AT184" s="3" t="str">
        <f t="shared" si="105"/>
        <v/>
      </c>
      <c r="AU184" s="3" t="str">
        <f t="shared" si="106"/>
        <v/>
      </c>
      <c r="AW184" s="32" t="str">
        <f t="shared" si="107"/>
        <v/>
      </c>
      <c r="AX184" s="32" t="str">
        <f t="shared" si="108"/>
        <v/>
      </c>
      <c r="AY184" s="32" t="str">
        <f t="shared" si="109"/>
        <v/>
      </c>
      <c r="BA184" s="32" t="str">
        <f>IF($A185="","",F184*Summary!$Q$11)</f>
        <v/>
      </c>
    </row>
    <row r="185" spans="1:53" ht="12" customHeight="1">
      <c r="A185" s="67" t="str">
        <f t="shared" si="110"/>
        <v/>
      </c>
      <c r="B185" s="69" t="str">
        <f t="shared" si="113"/>
        <v/>
      </c>
      <c r="C185" s="71"/>
      <c r="D185" s="69" t="str">
        <f t="shared" si="76"/>
        <v/>
      </c>
      <c r="E185" s="70" t="str">
        <f t="shared" si="77"/>
        <v/>
      </c>
      <c r="F185" s="70" t="str">
        <f t="shared" si="78"/>
        <v/>
      </c>
      <c r="G185" s="63" t="str">
        <f t="shared" si="79"/>
        <v/>
      </c>
      <c r="H185" s="64" t="str">
        <f t="shared" si="80"/>
        <v/>
      </c>
      <c r="I185" s="43"/>
      <c r="J185" s="63" t="str">
        <f t="shared" si="81"/>
        <v/>
      </c>
      <c r="K185" s="64" t="str">
        <f t="shared" si="82"/>
        <v/>
      </c>
      <c r="L185" s="63" t="str">
        <f t="shared" si="83"/>
        <v/>
      </c>
      <c r="M185" s="64" t="str">
        <f t="shared" si="84"/>
        <v/>
      </c>
      <c r="N185" s="65"/>
      <c r="O185" s="63" t="str">
        <f t="shared" si="85"/>
        <v/>
      </c>
      <c r="P185" s="63" t="str">
        <f t="shared" si="86"/>
        <v/>
      </c>
      <c r="Q185" s="66"/>
      <c r="R185" s="63" t="str">
        <f t="shared" si="87"/>
        <v/>
      </c>
      <c r="S185" s="64" t="str">
        <f t="shared" si="88"/>
        <v/>
      </c>
      <c r="T185" s="38">
        <v>0</v>
      </c>
      <c r="U185" s="64" t="str">
        <f t="shared" si="89"/>
        <v/>
      </c>
      <c r="V185" s="219" t="str">
        <f>IF($A186="","",IF(AND(MONTH(A185)&gt;3,MONTH(A185)&lt;11),(T185+R185+G185)*Summary!$T$11/(1-Summary!$T$11),(T185+R185+G185)*Summary!$U$11/(1-Summary!$U$11)))</f>
        <v/>
      </c>
      <c r="W185" s="43" t="str">
        <f t="shared" si="90"/>
        <v/>
      </c>
      <c r="X185" s="43" t="str">
        <f t="shared" si="91"/>
        <v/>
      </c>
      <c r="Y185" s="43"/>
      <c r="Z185" s="38" t="str">
        <f t="shared" si="92"/>
        <v/>
      </c>
      <c r="AA185" s="38" t="str">
        <f t="shared" si="93"/>
        <v/>
      </c>
      <c r="AB185" s="38" t="e">
        <f t="shared" si="94"/>
        <v>#VALUE!</v>
      </c>
      <c r="AC185" s="38" t="str">
        <f t="shared" si="95"/>
        <v/>
      </c>
      <c r="AD185" s="38" t="str">
        <f t="shared" si="95"/>
        <v/>
      </c>
      <c r="AE185" s="38" t="e">
        <f t="shared" si="96"/>
        <v>#VALUE!</v>
      </c>
      <c r="AF185" s="238" t="e">
        <f>((Summary!$N$11*(AA185*AD185)*(A185-$D$3))+(Summary!$M$11*Z185*AC185*(AJ185-EOMONTH(EDATE(A185,-1),0))))/(AK185*AB185*AE185)</f>
        <v>#VALUE!</v>
      </c>
      <c r="AG185" s="88" t="str">
        <f>IF($A186="","",Summary!$Q$11)</f>
        <v/>
      </c>
      <c r="AH185" s="88" t="str">
        <f>IF($A186="","",IF(Summary!$R$11="Y",(VLOOKUP($A185,Summary!$AD$6:$AF$9,3)+'Escalating commodity'!G198),'Escalating commodity'!G198))</f>
        <v/>
      </c>
      <c r="AI185" s="88" t="str">
        <f t="shared" si="111"/>
        <v/>
      </c>
      <c r="AJ185" s="236" t="e">
        <f t="shared" si="97"/>
        <v>#VALUE!</v>
      </c>
      <c r="AK185" s="58" t="str">
        <f t="shared" si="98"/>
        <v/>
      </c>
      <c r="AL185" s="26" t="str">
        <f>IF($A186="","",_xll.SPRDOPT(P185,X185,AI185,0,AB185,AE185,AF185,AK185,$AJ$2,0))</f>
        <v/>
      </c>
      <c r="AM185" s="209" t="str">
        <f t="shared" si="99"/>
        <v/>
      </c>
      <c r="AN185" s="89" t="str">
        <f t="shared" si="100"/>
        <v/>
      </c>
      <c r="AO185" s="3" t="str">
        <f t="shared" si="101"/>
        <v/>
      </c>
      <c r="AP185" s="33" t="str">
        <f t="shared" si="102"/>
        <v/>
      </c>
      <c r="AQ185" s="58" t="str">
        <f t="shared" si="103"/>
        <v/>
      </c>
      <c r="AR185" s="38">
        <f>'ANR OK vs ML7'!AR185</f>
        <v>0.1</v>
      </c>
      <c r="AS185" s="35" t="str">
        <f t="shared" si="104"/>
        <v/>
      </c>
      <c r="AT185" s="3" t="str">
        <f t="shared" si="105"/>
        <v/>
      </c>
      <c r="AU185" s="3" t="str">
        <f t="shared" si="106"/>
        <v/>
      </c>
      <c r="AW185" s="32" t="str">
        <f t="shared" si="107"/>
        <v/>
      </c>
      <c r="AX185" s="32" t="str">
        <f t="shared" si="108"/>
        <v/>
      </c>
      <c r="AY185" s="32" t="str">
        <f t="shared" si="109"/>
        <v/>
      </c>
      <c r="BA185" s="32" t="str">
        <f>IF($A186="","",F185*Summary!$Q$11)</f>
        <v/>
      </c>
    </row>
    <row r="186" spans="1:53" ht="12" customHeight="1">
      <c r="A186" s="67" t="str">
        <f t="shared" si="110"/>
        <v/>
      </c>
      <c r="B186" s="69" t="str">
        <f t="shared" si="113"/>
        <v/>
      </c>
      <c r="C186" s="71"/>
      <c r="D186" s="69" t="str">
        <f t="shared" si="76"/>
        <v/>
      </c>
      <c r="E186" s="70" t="str">
        <f t="shared" si="77"/>
        <v/>
      </c>
      <c r="F186" s="70" t="str">
        <f t="shared" si="78"/>
        <v/>
      </c>
      <c r="G186" s="63" t="str">
        <f t="shared" si="79"/>
        <v/>
      </c>
      <c r="H186" s="64" t="str">
        <f t="shared" si="80"/>
        <v/>
      </c>
      <c r="I186" s="43"/>
      <c r="J186" s="63" t="str">
        <f t="shared" si="81"/>
        <v/>
      </c>
      <c r="K186" s="64" t="str">
        <f t="shared" si="82"/>
        <v/>
      </c>
      <c r="L186" s="63" t="str">
        <f t="shared" si="83"/>
        <v/>
      </c>
      <c r="M186" s="64" t="str">
        <f t="shared" si="84"/>
        <v/>
      </c>
      <c r="N186" s="65"/>
      <c r="O186" s="63" t="str">
        <f t="shared" si="85"/>
        <v/>
      </c>
      <c r="P186" s="63" t="str">
        <f t="shared" si="86"/>
        <v/>
      </c>
      <c r="Q186" s="66"/>
      <c r="R186" s="63" t="str">
        <f t="shared" si="87"/>
        <v/>
      </c>
      <c r="S186" s="64" t="str">
        <f t="shared" si="88"/>
        <v/>
      </c>
      <c r="T186" s="38">
        <v>0</v>
      </c>
      <c r="U186" s="64" t="str">
        <f t="shared" si="89"/>
        <v/>
      </c>
      <c r="V186" s="219" t="str">
        <f>IF($A187="","",IF(AND(MONTH(A186)&gt;3,MONTH(A186)&lt;11),(T186+R186+G186)*Summary!$T$11/(1-Summary!$T$11),(T186+R186+G186)*Summary!$U$11/(1-Summary!$U$11)))</f>
        <v/>
      </c>
      <c r="W186" s="43" t="str">
        <f t="shared" si="90"/>
        <v/>
      </c>
      <c r="X186" s="43" t="str">
        <f t="shared" si="91"/>
        <v/>
      </c>
      <c r="Y186" s="43"/>
      <c r="Z186" s="38" t="str">
        <f t="shared" si="92"/>
        <v/>
      </c>
      <c r="AA186" s="38" t="str">
        <f t="shared" si="93"/>
        <v/>
      </c>
      <c r="AB186" s="38" t="e">
        <f t="shared" si="94"/>
        <v>#VALUE!</v>
      </c>
      <c r="AC186" s="38" t="str">
        <f t="shared" si="95"/>
        <v/>
      </c>
      <c r="AD186" s="38" t="str">
        <f t="shared" si="95"/>
        <v/>
      </c>
      <c r="AE186" s="38" t="e">
        <f t="shared" si="96"/>
        <v>#VALUE!</v>
      </c>
      <c r="AF186" s="238" t="e">
        <f>((Summary!$N$11*(AA186*AD186)*(A186-$D$3))+(Summary!$M$11*Z186*AC186*(AJ186-EOMONTH(EDATE(A186,-1),0))))/(AK186*AB186*AE186)</f>
        <v>#VALUE!</v>
      </c>
      <c r="AG186" s="88" t="str">
        <f>IF($A187="","",Summary!$Q$11)</f>
        <v/>
      </c>
      <c r="AH186" s="88" t="str">
        <f>IF($A187="","",IF(Summary!$R$11="Y",(VLOOKUP($A186,Summary!$AD$6:$AF$9,3)+'Escalating commodity'!G199),'Escalating commodity'!G199))</f>
        <v/>
      </c>
      <c r="AI186" s="88" t="str">
        <f t="shared" si="111"/>
        <v/>
      </c>
      <c r="AJ186" s="236" t="e">
        <f t="shared" si="97"/>
        <v>#VALUE!</v>
      </c>
      <c r="AK186" s="58" t="str">
        <f t="shared" si="98"/>
        <v/>
      </c>
      <c r="AL186" s="26" t="str">
        <f>IF($A187="","",_xll.SPRDOPT(P186,X186,AI186,0,AB186,AE186,AF186,AK186,$AJ$2,0))</f>
        <v/>
      </c>
      <c r="AM186" s="209" t="str">
        <f t="shared" si="99"/>
        <v/>
      </c>
      <c r="AN186" s="89" t="str">
        <f t="shared" si="100"/>
        <v/>
      </c>
      <c r="AO186" s="3" t="str">
        <f t="shared" si="101"/>
        <v/>
      </c>
      <c r="AP186" s="33" t="str">
        <f t="shared" si="102"/>
        <v/>
      </c>
      <c r="AQ186" s="58" t="str">
        <f t="shared" si="103"/>
        <v/>
      </c>
      <c r="AR186" s="38">
        <f>'ANR OK vs ML7'!AR186</f>
        <v>0.1</v>
      </c>
      <c r="AS186" s="35" t="str">
        <f t="shared" si="104"/>
        <v/>
      </c>
      <c r="AT186" s="3" t="str">
        <f t="shared" si="105"/>
        <v/>
      </c>
      <c r="AU186" s="3" t="str">
        <f t="shared" si="106"/>
        <v/>
      </c>
      <c r="AW186" s="32" t="str">
        <f t="shared" si="107"/>
        <v/>
      </c>
      <c r="AX186" s="32" t="str">
        <f t="shared" si="108"/>
        <v/>
      </c>
      <c r="AY186" s="32" t="str">
        <f t="shared" si="109"/>
        <v/>
      </c>
      <c r="BA186" s="32" t="str">
        <f>IF($A187="","",F186*Summary!$Q$11)</f>
        <v/>
      </c>
    </row>
    <row r="187" spans="1:53" ht="12" customHeight="1">
      <c r="A187" s="67" t="str">
        <f t="shared" si="110"/>
        <v/>
      </c>
      <c r="B187" s="69" t="str">
        <f t="shared" si="113"/>
        <v/>
      </c>
      <c r="C187" s="71"/>
      <c r="D187" s="69" t="str">
        <f t="shared" si="76"/>
        <v/>
      </c>
      <c r="E187" s="70" t="str">
        <f t="shared" si="77"/>
        <v/>
      </c>
      <c r="F187" s="70" t="str">
        <f t="shared" si="78"/>
        <v/>
      </c>
      <c r="G187" s="63" t="str">
        <f t="shared" si="79"/>
        <v/>
      </c>
      <c r="H187" s="64" t="str">
        <f t="shared" si="80"/>
        <v/>
      </c>
      <c r="I187" s="43"/>
      <c r="J187" s="63" t="str">
        <f t="shared" si="81"/>
        <v/>
      </c>
      <c r="K187" s="64" t="str">
        <f t="shared" si="82"/>
        <v/>
      </c>
      <c r="L187" s="63" t="str">
        <f t="shared" si="83"/>
        <v/>
      </c>
      <c r="M187" s="64" t="str">
        <f t="shared" si="84"/>
        <v/>
      </c>
      <c r="N187" s="65"/>
      <c r="O187" s="63" t="str">
        <f t="shared" si="85"/>
        <v/>
      </c>
      <c r="P187" s="63" t="str">
        <f t="shared" si="86"/>
        <v/>
      </c>
      <c r="Q187" s="66"/>
      <c r="R187" s="63" t="str">
        <f t="shared" si="87"/>
        <v/>
      </c>
      <c r="S187" s="64" t="str">
        <f t="shared" si="88"/>
        <v/>
      </c>
      <c r="T187" s="38">
        <v>0</v>
      </c>
      <c r="U187" s="64" t="str">
        <f t="shared" si="89"/>
        <v/>
      </c>
      <c r="V187" s="219" t="str">
        <f>IF($A188="","",IF(AND(MONTH(A187)&gt;3,MONTH(A187)&lt;11),(T187+R187+G187)*Summary!$T$11/(1-Summary!$T$11),(T187+R187+G187)*Summary!$U$11/(1-Summary!$U$11)))</f>
        <v/>
      </c>
      <c r="W187" s="43" t="str">
        <f t="shared" si="90"/>
        <v/>
      </c>
      <c r="X187" s="43" t="str">
        <f t="shared" si="91"/>
        <v/>
      </c>
      <c r="Y187" s="43"/>
      <c r="Z187" s="38" t="str">
        <f t="shared" si="92"/>
        <v/>
      </c>
      <c r="AA187" s="38" t="str">
        <f t="shared" si="93"/>
        <v/>
      </c>
      <c r="AB187" s="38" t="e">
        <f t="shared" si="94"/>
        <v>#VALUE!</v>
      </c>
      <c r="AC187" s="38" t="str">
        <f t="shared" si="95"/>
        <v/>
      </c>
      <c r="AD187" s="38" t="str">
        <f t="shared" si="95"/>
        <v/>
      </c>
      <c r="AE187" s="38" t="e">
        <f t="shared" si="96"/>
        <v>#VALUE!</v>
      </c>
      <c r="AF187" s="238" t="e">
        <f>((Summary!$N$11*(AA187*AD187)*(A187-$D$3))+(Summary!$M$11*Z187*AC187*(AJ187-EOMONTH(EDATE(A187,-1),0))))/(AK187*AB187*AE187)</f>
        <v>#VALUE!</v>
      </c>
      <c r="AG187" s="88" t="str">
        <f>IF($A188="","",Summary!$Q$11)</f>
        <v/>
      </c>
      <c r="AH187" s="88" t="str">
        <f>IF($A188="","",IF(Summary!$R$11="Y",(VLOOKUP($A187,Summary!$AD$6:$AF$9,3)+'Escalating commodity'!G200),'Escalating commodity'!G200))</f>
        <v/>
      </c>
      <c r="AI187" s="88" t="str">
        <f t="shared" si="111"/>
        <v/>
      </c>
      <c r="AJ187" s="236" t="e">
        <f t="shared" si="97"/>
        <v>#VALUE!</v>
      </c>
      <c r="AK187" s="58" t="str">
        <f t="shared" si="98"/>
        <v/>
      </c>
      <c r="AL187" s="26" t="str">
        <f>IF($A188="","",_xll.SPRDOPT(P187,X187,AI187,0,AB187,AE187,AF187,AK187,$AJ$2,0))</f>
        <v/>
      </c>
      <c r="AM187" s="209" t="str">
        <f t="shared" si="99"/>
        <v/>
      </c>
      <c r="AN187" s="89" t="str">
        <f t="shared" si="100"/>
        <v/>
      </c>
      <c r="AO187" s="3" t="str">
        <f t="shared" si="101"/>
        <v/>
      </c>
      <c r="AP187" s="33" t="str">
        <f t="shared" si="102"/>
        <v/>
      </c>
      <c r="AQ187" s="58" t="str">
        <f t="shared" si="103"/>
        <v/>
      </c>
      <c r="AR187" s="38">
        <f>'ANR OK vs ML7'!AR187</f>
        <v>0.1</v>
      </c>
      <c r="AS187" s="35" t="str">
        <f t="shared" si="104"/>
        <v/>
      </c>
      <c r="AT187" s="3" t="str">
        <f t="shared" si="105"/>
        <v/>
      </c>
      <c r="AU187" s="3" t="str">
        <f t="shared" si="106"/>
        <v/>
      </c>
      <c r="AW187" s="32" t="str">
        <f t="shared" si="107"/>
        <v/>
      </c>
      <c r="AX187" s="32" t="str">
        <f t="shared" si="108"/>
        <v/>
      </c>
      <c r="AY187" s="32" t="str">
        <f t="shared" si="109"/>
        <v/>
      </c>
      <c r="BA187" s="32" t="str">
        <f>IF($A188="","",F187*Summary!$Q$11)</f>
        <v/>
      </c>
    </row>
    <row r="188" spans="1:53" ht="12" customHeight="1">
      <c r="A188" s="67" t="str">
        <f t="shared" si="110"/>
        <v/>
      </c>
      <c r="B188" s="69" t="str">
        <f t="shared" si="113"/>
        <v/>
      </c>
      <c r="C188" s="71"/>
      <c r="D188" s="69" t="str">
        <f t="shared" si="76"/>
        <v/>
      </c>
      <c r="E188" s="70" t="str">
        <f t="shared" si="77"/>
        <v/>
      </c>
      <c r="F188" s="70" t="str">
        <f t="shared" si="78"/>
        <v/>
      </c>
      <c r="G188" s="63" t="str">
        <f t="shared" si="79"/>
        <v/>
      </c>
      <c r="H188" s="64" t="str">
        <f t="shared" si="80"/>
        <v/>
      </c>
      <c r="I188" s="43"/>
      <c r="J188" s="63" t="str">
        <f t="shared" si="81"/>
        <v/>
      </c>
      <c r="K188" s="64" t="str">
        <f t="shared" si="82"/>
        <v/>
      </c>
      <c r="L188" s="63" t="str">
        <f t="shared" si="83"/>
        <v/>
      </c>
      <c r="M188" s="64" t="str">
        <f t="shared" si="84"/>
        <v/>
      </c>
      <c r="N188" s="65"/>
      <c r="O188" s="63" t="str">
        <f t="shared" si="85"/>
        <v/>
      </c>
      <c r="P188" s="63" t="str">
        <f t="shared" si="86"/>
        <v/>
      </c>
      <c r="Q188" s="66"/>
      <c r="R188" s="63" t="str">
        <f t="shared" si="87"/>
        <v/>
      </c>
      <c r="S188" s="64" t="str">
        <f t="shared" si="88"/>
        <v/>
      </c>
      <c r="T188" s="38">
        <v>0</v>
      </c>
      <c r="U188" s="64" t="str">
        <f t="shared" si="89"/>
        <v/>
      </c>
      <c r="V188" s="219" t="str">
        <f>IF($A189="","",IF(AND(MONTH(A188)&gt;3,MONTH(A188)&lt;11),(T188+R188+G188)*Summary!$T$11/(1-Summary!$T$11),(T188+R188+G188)*Summary!$U$11/(1-Summary!$U$11)))</f>
        <v/>
      </c>
      <c r="W188" s="43" t="str">
        <f t="shared" si="90"/>
        <v/>
      </c>
      <c r="X188" s="43" t="str">
        <f t="shared" si="91"/>
        <v/>
      </c>
      <c r="Y188" s="43"/>
      <c r="Z188" s="38" t="str">
        <f t="shared" si="92"/>
        <v/>
      </c>
      <c r="AA188" s="38" t="str">
        <f t="shared" si="93"/>
        <v/>
      </c>
      <c r="AB188" s="38" t="e">
        <f t="shared" si="94"/>
        <v>#VALUE!</v>
      </c>
      <c r="AC188" s="38" t="str">
        <f t="shared" si="95"/>
        <v/>
      </c>
      <c r="AD188" s="38" t="str">
        <f t="shared" si="95"/>
        <v/>
      </c>
      <c r="AE188" s="38" t="e">
        <f t="shared" si="96"/>
        <v>#VALUE!</v>
      </c>
      <c r="AF188" s="238" t="e">
        <f>((Summary!$N$11*(AA188*AD188)*(A188-$D$3))+(Summary!$M$11*Z188*AC188*(AJ188-EOMONTH(EDATE(A188,-1),0))))/(AK188*AB188*AE188)</f>
        <v>#VALUE!</v>
      </c>
      <c r="AG188" s="88" t="str">
        <f>IF($A189="","",Summary!$Q$11)</f>
        <v/>
      </c>
      <c r="AH188" s="88" t="str">
        <f>IF($A189="","",IF(Summary!$R$11="Y",(VLOOKUP($A188,Summary!$AD$6:$AF$9,3)+'Escalating commodity'!G201),'Escalating commodity'!G201))</f>
        <v/>
      </c>
      <c r="AI188" s="88" t="str">
        <f t="shared" si="111"/>
        <v/>
      </c>
      <c r="AJ188" s="236" t="e">
        <f t="shared" si="97"/>
        <v>#VALUE!</v>
      </c>
      <c r="AK188" s="58" t="str">
        <f t="shared" si="98"/>
        <v/>
      </c>
      <c r="AL188" s="26" t="str">
        <f>IF($A189="","",_xll.SPRDOPT(P188,X188,AI188,0,AB188,AE188,AF188,AK188,$AJ$2,0))</f>
        <v/>
      </c>
      <c r="AM188" s="209" t="str">
        <f t="shared" si="99"/>
        <v/>
      </c>
      <c r="AN188" s="89" t="str">
        <f t="shared" si="100"/>
        <v/>
      </c>
      <c r="AO188" s="3" t="str">
        <f t="shared" si="101"/>
        <v/>
      </c>
      <c r="AP188" s="33" t="str">
        <f t="shared" si="102"/>
        <v/>
      </c>
      <c r="AQ188" s="58" t="str">
        <f t="shared" si="103"/>
        <v/>
      </c>
      <c r="AR188" s="38">
        <f>'ANR OK vs ML7'!AR188</f>
        <v>0.1</v>
      </c>
      <c r="AS188" s="35" t="str">
        <f t="shared" si="104"/>
        <v/>
      </c>
      <c r="AT188" s="3" t="str">
        <f t="shared" si="105"/>
        <v/>
      </c>
      <c r="AU188" s="3" t="str">
        <f t="shared" si="106"/>
        <v/>
      </c>
      <c r="AW188" s="32" t="str">
        <f t="shared" si="107"/>
        <v/>
      </c>
      <c r="AX188" s="32" t="str">
        <f t="shared" si="108"/>
        <v/>
      </c>
      <c r="AY188" s="32" t="str">
        <f t="shared" si="109"/>
        <v/>
      </c>
      <c r="BA188" s="32" t="str">
        <f>IF($A189="","",F188*Summary!$Q$11)</f>
        <v/>
      </c>
    </row>
    <row r="189" spans="1:53" ht="12" customHeight="1">
      <c r="A189" s="67" t="str">
        <f t="shared" si="110"/>
        <v/>
      </c>
      <c r="B189" s="69" t="str">
        <f t="shared" si="113"/>
        <v/>
      </c>
      <c r="C189" s="71"/>
      <c r="D189" s="69" t="str">
        <f t="shared" si="76"/>
        <v/>
      </c>
      <c r="E189" s="70" t="str">
        <f t="shared" si="77"/>
        <v/>
      </c>
      <c r="F189" s="70" t="str">
        <f t="shared" si="78"/>
        <v/>
      </c>
      <c r="G189" s="63" t="str">
        <f t="shared" si="79"/>
        <v/>
      </c>
      <c r="H189" s="64" t="str">
        <f t="shared" si="80"/>
        <v/>
      </c>
      <c r="I189" s="43"/>
      <c r="J189" s="63" t="str">
        <f t="shared" si="81"/>
        <v/>
      </c>
      <c r="K189" s="64" t="str">
        <f t="shared" si="82"/>
        <v/>
      </c>
      <c r="L189" s="63" t="str">
        <f t="shared" si="83"/>
        <v/>
      </c>
      <c r="M189" s="64" t="str">
        <f t="shared" si="84"/>
        <v/>
      </c>
      <c r="N189" s="65"/>
      <c r="O189" s="63" t="str">
        <f t="shared" si="85"/>
        <v/>
      </c>
      <c r="P189" s="63" t="str">
        <f t="shared" si="86"/>
        <v/>
      </c>
      <c r="Q189" s="66"/>
      <c r="R189" s="63" t="str">
        <f t="shared" si="87"/>
        <v/>
      </c>
      <c r="S189" s="64" t="str">
        <f t="shared" si="88"/>
        <v/>
      </c>
      <c r="T189" s="38">
        <v>0</v>
      </c>
      <c r="U189" s="64" t="str">
        <f t="shared" si="89"/>
        <v/>
      </c>
      <c r="V189" s="219" t="str">
        <f>IF($A190="","",IF(AND(MONTH(A189)&gt;3,MONTH(A189)&lt;11),(T189+R189+G189)*Summary!$T$11/(1-Summary!$T$11),(T189+R189+G189)*Summary!$U$11/(1-Summary!$U$11)))</f>
        <v/>
      </c>
      <c r="W189" s="43" t="str">
        <f t="shared" si="90"/>
        <v/>
      </c>
      <c r="X189" s="43" t="str">
        <f t="shared" si="91"/>
        <v/>
      </c>
      <c r="Y189" s="43"/>
      <c r="Z189" s="38" t="str">
        <f t="shared" si="92"/>
        <v/>
      </c>
      <c r="AA189" s="38" t="str">
        <f t="shared" si="93"/>
        <v/>
      </c>
      <c r="AB189" s="38" t="e">
        <f t="shared" si="94"/>
        <v>#VALUE!</v>
      </c>
      <c r="AC189" s="38" t="str">
        <f t="shared" si="95"/>
        <v/>
      </c>
      <c r="AD189" s="38" t="str">
        <f t="shared" si="95"/>
        <v/>
      </c>
      <c r="AE189" s="38" t="e">
        <f t="shared" si="96"/>
        <v>#VALUE!</v>
      </c>
      <c r="AF189" s="238" t="e">
        <f>((Summary!$N$11*(AA189*AD189)*(A189-$D$3))+(Summary!$M$11*Z189*AC189*(AJ189-EOMONTH(EDATE(A189,-1),0))))/(AK189*AB189*AE189)</f>
        <v>#VALUE!</v>
      </c>
      <c r="AG189" s="88" t="str">
        <f>IF($A190="","",Summary!$Q$11)</f>
        <v/>
      </c>
      <c r="AH189" s="88" t="str">
        <f>IF($A190="","",IF(Summary!$R$11="Y",(VLOOKUP($A189,Summary!$AD$6:$AF$9,3)+'Escalating commodity'!G202),'Escalating commodity'!G202))</f>
        <v/>
      </c>
      <c r="AI189" s="88" t="str">
        <f t="shared" si="111"/>
        <v/>
      </c>
      <c r="AJ189" s="236" t="e">
        <f t="shared" si="97"/>
        <v>#VALUE!</v>
      </c>
      <c r="AK189" s="58" t="str">
        <f t="shared" si="98"/>
        <v/>
      </c>
      <c r="AL189" s="26" t="str">
        <f>IF($A190="","",_xll.SPRDOPT(P189,X189,AI189,0,AB189,AE189,AF189,AK189,$AJ$2,0))</f>
        <v/>
      </c>
      <c r="AM189" s="209" t="str">
        <f t="shared" si="99"/>
        <v/>
      </c>
      <c r="AN189" s="89" t="str">
        <f t="shared" si="100"/>
        <v/>
      </c>
      <c r="AO189" s="3" t="str">
        <f t="shared" si="101"/>
        <v/>
      </c>
      <c r="AP189" s="33" t="str">
        <f t="shared" si="102"/>
        <v/>
      </c>
      <c r="AQ189" s="58" t="str">
        <f t="shared" si="103"/>
        <v/>
      </c>
      <c r="AR189" s="38">
        <f>'ANR OK vs ML7'!AR189</f>
        <v>0.1</v>
      </c>
      <c r="AS189" s="35" t="str">
        <f t="shared" si="104"/>
        <v/>
      </c>
      <c r="AT189" s="3" t="str">
        <f t="shared" si="105"/>
        <v/>
      </c>
      <c r="AU189" s="3" t="str">
        <f t="shared" si="106"/>
        <v/>
      </c>
      <c r="AW189" s="32" t="str">
        <f t="shared" si="107"/>
        <v/>
      </c>
      <c r="AX189" s="32" t="str">
        <f t="shared" si="108"/>
        <v/>
      </c>
      <c r="AY189" s="32" t="str">
        <f t="shared" si="109"/>
        <v/>
      </c>
      <c r="BA189" s="32" t="str">
        <f>IF($A190="","",F189*Summary!$Q$11)</f>
        <v/>
      </c>
    </row>
    <row r="190" spans="1:53" ht="12" customHeight="1">
      <c r="A190" s="67" t="str">
        <f t="shared" si="110"/>
        <v/>
      </c>
      <c r="B190" s="69" t="str">
        <f t="shared" si="113"/>
        <v/>
      </c>
      <c r="C190" s="71"/>
      <c r="D190" s="69" t="str">
        <f t="shared" si="76"/>
        <v/>
      </c>
      <c r="E190" s="70" t="str">
        <f t="shared" si="77"/>
        <v/>
      </c>
      <c r="F190" s="70" t="str">
        <f t="shared" si="78"/>
        <v/>
      </c>
      <c r="G190" s="63" t="str">
        <f t="shared" si="79"/>
        <v/>
      </c>
      <c r="H190" s="64" t="str">
        <f t="shared" si="80"/>
        <v/>
      </c>
      <c r="I190" s="43"/>
      <c r="J190" s="63" t="str">
        <f t="shared" si="81"/>
        <v/>
      </c>
      <c r="K190" s="64" t="str">
        <f t="shared" si="82"/>
        <v/>
      </c>
      <c r="L190" s="63" t="str">
        <f t="shared" si="83"/>
        <v/>
      </c>
      <c r="M190" s="64" t="str">
        <f t="shared" si="84"/>
        <v/>
      </c>
      <c r="N190" s="65"/>
      <c r="O190" s="63" t="str">
        <f t="shared" si="85"/>
        <v/>
      </c>
      <c r="P190" s="63" t="str">
        <f t="shared" si="86"/>
        <v/>
      </c>
      <c r="Q190" s="66"/>
      <c r="R190" s="63" t="str">
        <f t="shared" si="87"/>
        <v/>
      </c>
      <c r="S190" s="64" t="str">
        <f t="shared" si="88"/>
        <v/>
      </c>
      <c r="T190" s="38">
        <v>0</v>
      </c>
      <c r="U190" s="64" t="str">
        <f t="shared" si="89"/>
        <v/>
      </c>
      <c r="V190" s="219" t="str">
        <f>IF($A191="","",IF(AND(MONTH(A190)&gt;3,MONTH(A190)&lt;11),(T190+R190+G190)*Summary!$T$11/(1-Summary!$T$11),(T190+R190+G190)*Summary!$U$11/(1-Summary!$U$11)))</f>
        <v/>
      </c>
      <c r="W190" s="43" t="str">
        <f t="shared" si="90"/>
        <v/>
      </c>
      <c r="X190" s="43" t="str">
        <f t="shared" si="91"/>
        <v/>
      </c>
      <c r="Y190" s="43"/>
      <c r="Z190" s="38" t="str">
        <f t="shared" si="92"/>
        <v/>
      </c>
      <c r="AA190" s="38" t="str">
        <f t="shared" si="93"/>
        <v/>
      </c>
      <c r="AB190" s="38" t="e">
        <f t="shared" si="94"/>
        <v>#VALUE!</v>
      </c>
      <c r="AC190" s="38" t="str">
        <f t="shared" si="95"/>
        <v/>
      </c>
      <c r="AD190" s="38" t="str">
        <f t="shared" si="95"/>
        <v/>
      </c>
      <c r="AE190" s="38" t="e">
        <f t="shared" si="96"/>
        <v>#VALUE!</v>
      </c>
      <c r="AF190" s="238" t="e">
        <f>((Summary!$N$11*(AA190*AD190)*(A190-$D$3))+(Summary!$M$11*Z190*AC190*(AJ190-EOMONTH(EDATE(A190,-1),0))))/(AK190*AB190*AE190)</f>
        <v>#VALUE!</v>
      </c>
      <c r="AG190" s="88" t="str">
        <f>IF($A191="","",Summary!$Q$11)</f>
        <v/>
      </c>
      <c r="AH190" s="88" t="str">
        <f>IF($A191="","",IF(Summary!$R$11="Y",(VLOOKUP($A190,Summary!$AD$6:$AF$9,3)+'Escalating commodity'!G203),'Escalating commodity'!G203))</f>
        <v/>
      </c>
      <c r="AI190" s="88" t="str">
        <f t="shared" si="111"/>
        <v/>
      </c>
      <c r="AJ190" s="236" t="e">
        <f t="shared" si="97"/>
        <v>#VALUE!</v>
      </c>
      <c r="AK190" s="58" t="str">
        <f t="shared" si="98"/>
        <v/>
      </c>
      <c r="AL190" s="26" t="str">
        <f>IF($A191="","",_xll.SPRDOPT(P190,X190,AI190,0,AB190,AE190,AF190,AK190,$AJ$2,0))</f>
        <v/>
      </c>
      <c r="AM190" s="209" t="str">
        <f t="shared" si="99"/>
        <v/>
      </c>
      <c r="AN190" s="89" t="str">
        <f t="shared" si="100"/>
        <v/>
      </c>
      <c r="AO190" s="3" t="str">
        <f t="shared" si="101"/>
        <v/>
      </c>
      <c r="AP190" s="33" t="str">
        <f t="shared" si="102"/>
        <v/>
      </c>
      <c r="AQ190" s="58" t="str">
        <f t="shared" si="103"/>
        <v/>
      </c>
      <c r="AR190" s="38">
        <f>'ANR OK vs ML7'!AR190</f>
        <v>0.1</v>
      </c>
      <c r="AS190" s="35" t="str">
        <f t="shared" si="104"/>
        <v/>
      </c>
      <c r="AT190" s="3" t="str">
        <f t="shared" si="105"/>
        <v/>
      </c>
      <c r="AU190" s="3" t="str">
        <f t="shared" si="106"/>
        <v/>
      </c>
      <c r="AW190" s="32" t="str">
        <f t="shared" si="107"/>
        <v/>
      </c>
      <c r="AX190" s="32" t="str">
        <f t="shared" si="108"/>
        <v/>
      </c>
      <c r="AY190" s="32" t="str">
        <f t="shared" si="109"/>
        <v/>
      </c>
      <c r="BA190" s="32" t="str">
        <f>IF($A191="","",F190*Summary!$Q$11)</f>
        <v/>
      </c>
    </row>
    <row r="191" spans="1:53" ht="12" customHeight="1">
      <c r="A191" s="67" t="str">
        <f t="shared" si="110"/>
        <v/>
      </c>
      <c r="B191" s="69" t="str">
        <f t="shared" si="113"/>
        <v/>
      </c>
      <c r="C191" s="71"/>
      <c r="D191" s="69" t="str">
        <f t="shared" si="76"/>
        <v/>
      </c>
      <c r="E191" s="70" t="str">
        <f t="shared" si="77"/>
        <v/>
      </c>
      <c r="F191" s="70" t="str">
        <f t="shared" si="78"/>
        <v/>
      </c>
      <c r="G191" s="63" t="str">
        <f t="shared" si="79"/>
        <v/>
      </c>
      <c r="H191" s="64" t="str">
        <f t="shared" si="80"/>
        <v/>
      </c>
      <c r="I191" s="43"/>
      <c r="J191" s="63" t="str">
        <f t="shared" si="81"/>
        <v/>
      </c>
      <c r="K191" s="64" t="str">
        <f t="shared" si="82"/>
        <v/>
      </c>
      <c r="L191" s="63" t="str">
        <f t="shared" si="83"/>
        <v/>
      </c>
      <c r="M191" s="64" t="str">
        <f t="shared" si="84"/>
        <v/>
      </c>
      <c r="N191" s="65"/>
      <c r="O191" s="63" t="str">
        <f t="shared" si="85"/>
        <v/>
      </c>
      <c r="P191" s="63" t="str">
        <f t="shared" si="86"/>
        <v/>
      </c>
      <c r="Q191" s="66"/>
      <c r="R191" s="63" t="str">
        <f t="shared" si="87"/>
        <v/>
      </c>
      <c r="S191" s="64" t="str">
        <f t="shared" si="88"/>
        <v/>
      </c>
      <c r="T191" s="38">
        <v>0</v>
      </c>
      <c r="U191" s="64" t="str">
        <f t="shared" si="89"/>
        <v/>
      </c>
      <c r="V191" s="219" t="str">
        <f>IF($A192="","",IF(AND(MONTH(A191)&gt;3,MONTH(A191)&lt;11),(T191+R191+G191)*Summary!$T$11/(1-Summary!$T$11),(T191+R191+G191)*Summary!$U$11/(1-Summary!$U$11)))</f>
        <v/>
      </c>
      <c r="W191" s="43" t="str">
        <f t="shared" si="90"/>
        <v/>
      </c>
      <c r="X191" s="43" t="str">
        <f t="shared" si="91"/>
        <v/>
      </c>
      <c r="Y191" s="43"/>
      <c r="Z191" s="38" t="str">
        <f t="shared" si="92"/>
        <v/>
      </c>
      <c r="AA191" s="38" t="str">
        <f t="shared" si="93"/>
        <v/>
      </c>
      <c r="AB191" s="38" t="e">
        <f t="shared" si="94"/>
        <v>#VALUE!</v>
      </c>
      <c r="AC191" s="38" t="str">
        <f t="shared" si="95"/>
        <v/>
      </c>
      <c r="AD191" s="38" t="str">
        <f t="shared" si="95"/>
        <v/>
      </c>
      <c r="AE191" s="38" t="e">
        <f t="shared" si="96"/>
        <v>#VALUE!</v>
      </c>
      <c r="AF191" s="238" t="e">
        <f>((Summary!$N$11*(AA191*AD191)*(A191-$D$3))+(Summary!$M$11*Z191*AC191*(AJ191-EOMONTH(EDATE(A191,-1),0))))/(AK191*AB191*AE191)</f>
        <v>#VALUE!</v>
      </c>
      <c r="AG191" s="88" t="str">
        <f>IF($A192="","",Summary!$Q$11)</f>
        <v/>
      </c>
      <c r="AH191" s="88" t="str">
        <f>IF($A192="","",IF(Summary!$R$11="Y",(VLOOKUP($A191,Summary!$AD$6:$AF$9,3)+'Escalating commodity'!G204),'Escalating commodity'!G204))</f>
        <v/>
      </c>
      <c r="AI191" s="88" t="str">
        <f t="shared" si="111"/>
        <v/>
      </c>
      <c r="AJ191" s="236" t="e">
        <f t="shared" si="97"/>
        <v>#VALUE!</v>
      </c>
      <c r="AK191" s="58" t="str">
        <f t="shared" si="98"/>
        <v/>
      </c>
      <c r="AL191" s="26" t="str">
        <f>IF($A192="","",_xll.SPRDOPT(P191,X191,AI191,0,AB191,AE191,AF191,AK191,$AJ$2,0))</f>
        <v/>
      </c>
      <c r="AM191" s="209" t="str">
        <f t="shared" si="99"/>
        <v/>
      </c>
      <c r="AN191" s="89" t="str">
        <f t="shared" si="100"/>
        <v/>
      </c>
      <c r="AO191" s="3" t="str">
        <f t="shared" si="101"/>
        <v/>
      </c>
      <c r="AP191" s="33" t="str">
        <f t="shared" si="102"/>
        <v/>
      </c>
      <c r="AQ191" s="58" t="str">
        <f t="shared" si="103"/>
        <v/>
      </c>
      <c r="AR191" s="38">
        <f>'ANR OK vs ML7'!AR191</f>
        <v>0.1</v>
      </c>
      <c r="AS191" s="35" t="str">
        <f t="shared" si="104"/>
        <v/>
      </c>
      <c r="AT191" s="3" t="str">
        <f t="shared" si="105"/>
        <v/>
      </c>
      <c r="AU191" s="3" t="str">
        <f t="shared" si="106"/>
        <v/>
      </c>
      <c r="AW191" s="32" t="str">
        <f t="shared" si="107"/>
        <v/>
      </c>
      <c r="AX191" s="32" t="str">
        <f t="shared" si="108"/>
        <v/>
      </c>
      <c r="AY191" s="32" t="str">
        <f t="shared" si="109"/>
        <v/>
      </c>
      <c r="BA191" s="32" t="str">
        <f>IF($A192="","",F191*Summary!$Q$11)</f>
        <v/>
      </c>
    </row>
    <row r="192" spans="1:53" ht="12" customHeight="1">
      <c r="A192" s="67" t="str">
        <f t="shared" si="110"/>
        <v/>
      </c>
      <c r="B192" s="69" t="str">
        <f t="shared" si="113"/>
        <v/>
      </c>
      <c r="C192" s="71"/>
      <c r="D192" s="69" t="str">
        <f t="shared" si="76"/>
        <v/>
      </c>
      <c r="E192" s="70" t="str">
        <f t="shared" si="77"/>
        <v/>
      </c>
      <c r="F192" s="70" t="str">
        <f t="shared" si="78"/>
        <v/>
      </c>
      <c r="G192" s="63" t="str">
        <f t="shared" si="79"/>
        <v/>
      </c>
      <c r="H192" s="64" t="str">
        <f t="shared" si="80"/>
        <v/>
      </c>
      <c r="I192" s="43"/>
      <c r="J192" s="63" t="str">
        <f t="shared" si="81"/>
        <v/>
      </c>
      <c r="K192" s="64" t="str">
        <f t="shared" si="82"/>
        <v/>
      </c>
      <c r="L192" s="63" t="str">
        <f t="shared" si="83"/>
        <v/>
      </c>
      <c r="M192" s="64" t="str">
        <f t="shared" si="84"/>
        <v/>
      </c>
      <c r="N192" s="65"/>
      <c r="O192" s="63" t="str">
        <f t="shared" si="85"/>
        <v/>
      </c>
      <c r="P192" s="63" t="str">
        <f t="shared" si="86"/>
        <v/>
      </c>
      <c r="Q192" s="66"/>
      <c r="R192" s="63" t="str">
        <f t="shared" si="87"/>
        <v/>
      </c>
      <c r="S192" s="64" t="str">
        <f t="shared" si="88"/>
        <v/>
      </c>
      <c r="T192" s="38">
        <v>0</v>
      </c>
      <c r="U192" s="64" t="str">
        <f t="shared" si="89"/>
        <v/>
      </c>
      <c r="V192" s="219" t="str">
        <f>IF($A193="","",IF(AND(MONTH(A192)&gt;3,MONTH(A192)&lt;11),(T192+R192+G192)*Summary!$T$11/(1-Summary!$T$11),(T192+R192+G192)*Summary!$U$11/(1-Summary!$U$11)))</f>
        <v/>
      </c>
      <c r="W192" s="43" t="str">
        <f t="shared" si="90"/>
        <v/>
      </c>
      <c r="X192" s="43" t="str">
        <f t="shared" si="91"/>
        <v/>
      </c>
      <c r="Y192" s="43"/>
      <c r="Z192" s="38" t="str">
        <f t="shared" si="92"/>
        <v/>
      </c>
      <c r="AA192" s="38" t="str">
        <f t="shared" si="93"/>
        <v/>
      </c>
      <c r="AB192" s="38" t="e">
        <f t="shared" si="94"/>
        <v>#VALUE!</v>
      </c>
      <c r="AC192" s="38" t="str">
        <f t="shared" si="95"/>
        <v/>
      </c>
      <c r="AD192" s="38" t="str">
        <f t="shared" si="95"/>
        <v/>
      </c>
      <c r="AE192" s="38" t="e">
        <f t="shared" si="96"/>
        <v>#VALUE!</v>
      </c>
      <c r="AF192" s="238" t="e">
        <f>((Summary!$N$11*(AA192*AD192)*(A192-$D$3))+(Summary!$M$11*Z192*AC192*(AJ192-EOMONTH(EDATE(A192,-1),0))))/(AK192*AB192*AE192)</f>
        <v>#VALUE!</v>
      </c>
      <c r="AG192" s="88" t="str">
        <f>IF($A193="","",Summary!$Q$11)</f>
        <v/>
      </c>
      <c r="AH192" s="88" t="str">
        <f>IF($A193="","",IF(Summary!$R$11="Y",(VLOOKUP($A192,Summary!$AD$6:$AF$9,3)+'Escalating commodity'!G205),'Escalating commodity'!G205))</f>
        <v/>
      </c>
      <c r="AI192" s="88" t="str">
        <f t="shared" si="111"/>
        <v/>
      </c>
      <c r="AJ192" s="236" t="e">
        <f t="shared" si="97"/>
        <v>#VALUE!</v>
      </c>
      <c r="AK192" s="58" t="str">
        <f t="shared" si="98"/>
        <v/>
      </c>
      <c r="AL192" s="26" t="str">
        <f>IF($A193="","",_xll.SPRDOPT(P192,X192,AI192,0,AB192,AE192,AF192,AK192,$AJ$2,0))</f>
        <v/>
      </c>
      <c r="AM192" s="209" t="str">
        <f t="shared" si="99"/>
        <v/>
      </c>
      <c r="AN192" s="89" t="str">
        <f t="shared" si="100"/>
        <v/>
      </c>
      <c r="AO192" s="3" t="str">
        <f t="shared" si="101"/>
        <v/>
      </c>
      <c r="AP192" s="33" t="str">
        <f t="shared" si="102"/>
        <v/>
      </c>
      <c r="AQ192" s="58" t="str">
        <f t="shared" si="103"/>
        <v/>
      </c>
      <c r="AR192" s="38">
        <f>'ANR OK vs ML7'!AR192</f>
        <v>0.1</v>
      </c>
      <c r="AS192" s="35" t="str">
        <f t="shared" si="104"/>
        <v/>
      </c>
      <c r="AT192" s="3" t="str">
        <f t="shared" si="105"/>
        <v/>
      </c>
      <c r="AU192" s="3" t="str">
        <f t="shared" si="106"/>
        <v/>
      </c>
      <c r="AW192" s="32" t="str">
        <f t="shared" si="107"/>
        <v/>
      </c>
      <c r="AX192" s="32" t="str">
        <f t="shared" si="108"/>
        <v/>
      </c>
      <c r="AY192" s="32" t="str">
        <f t="shared" si="109"/>
        <v/>
      </c>
      <c r="BA192" s="32" t="str">
        <f>IF($A193="","",F192*Summary!$Q$11)</f>
        <v/>
      </c>
    </row>
    <row r="193" spans="1:53" ht="12" customHeight="1">
      <c r="A193" s="67" t="str">
        <f t="shared" si="110"/>
        <v/>
      </c>
      <c r="B193" s="69" t="str">
        <f t="shared" si="113"/>
        <v/>
      </c>
      <c r="C193" s="71"/>
      <c r="D193" s="69" t="str">
        <f t="shared" si="76"/>
        <v/>
      </c>
      <c r="E193" s="70" t="str">
        <f t="shared" si="77"/>
        <v/>
      </c>
      <c r="F193" s="70" t="str">
        <f t="shared" si="78"/>
        <v/>
      </c>
      <c r="G193" s="63" t="str">
        <f t="shared" si="79"/>
        <v/>
      </c>
      <c r="H193" s="64" t="str">
        <f t="shared" si="80"/>
        <v/>
      </c>
      <c r="I193" s="43"/>
      <c r="J193" s="63" t="str">
        <f t="shared" si="81"/>
        <v/>
      </c>
      <c r="K193" s="64" t="str">
        <f t="shared" si="82"/>
        <v/>
      </c>
      <c r="L193" s="63" t="str">
        <f t="shared" si="83"/>
        <v/>
      </c>
      <c r="M193" s="64" t="str">
        <f t="shared" si="84"/>
        <v/>
      </c>
      <c r="N193" s="65"/>
      <c r="O193" s="63" t="str">
        <f t="shared" si="85"/>
        <v/>
      </c>
      <c r="P193" s="63" t="str">
        <f t="shared" si="86"/>
        <v/>
      </c>
      <c r="Q193" s="66"/>
      <c r="R193" s="63" t="str">
        <f t="shared" si="87"/>
        <v/>
      </c>
      <c r="S193" s="64" t="str">
        <f t="shared" si="88"/>
        <v/>
      </c>
      <c r="T193" s="38">
        <v>0</v>
      </c>
      <c r="U193" s="64" t="str">
        <f t="shared" si="89"/>
        <v/>
      </c>
      <c r="V193" s="219" t="str">
        <f>IF($A194="","",IF(AND(MONTH(A193)&gt;3,MONTH(A193)&lt;11),(T193+R193+G193)*Summary!$T$11/(1-Summary!$T$11),(T193+R193+G193)*Summary!$U$11/(1-Summary!$U$11)))</f>
        <v/>
      </c>
      <c r="W193" s="43" t="str">
        <f t="shared" si="90"/>
        <v/>
      </c>
      <c r="X193" s="43" t="str">
        <f t="shared" si="91"/>
        <v/>
      </c>
      <c r="Y193" s="43"/>
      <c r="Z193" s="38" t="str">
        <f t="shared" si="92"/>
        <v/>
      </c>
      <c r="AA193" s="38" t="str">
        <f t="shared" si="93"/>
        <v/>
      </c>
      <c r="AB193" s="38" t="e">
        <f t="shared" si="94"/>
        <v>#VALUE!</v>
      </c>
      <c r="AC193" s="38" t="str">
        <f t="shared" si="95"/>
        <v/>
      </c>
      <c r="AD193" s="38" t="str">
        <f t="shared" si="95"/>
        <v/>
      </c>
      <c r="AE193" s="38" t="e">
        <f t="shared" si="96"/>
        <v>#VALUE!</v>
      </c>
      <c r="AF193" s="238" t="e">
        <f>((Summary!$N$11*(AA193*AD193)*(A193-$D$3))+(Summary!$M$11*Z193*AC193*(AJ193-EOMONTH(EDATE(A193,-1),0))))/(AK193*AB193*AE193)</f>
        <v>#VALUE!</v>
      </c>
      <c r="AG193" s="88" t="str">
        <f>IF($A194="","",Summary!$Q$11)</f>
        <v/>
      </c>
      <c r="AH193" s="88" t="str">
        <f>IF($A194="","",IF(Summary!$R$11="Y",(VLOOKUP($A193,Summary!$AD$6:$AF$9,3)+'Escalating commodity'!G206),'Escalating commodity'!G206))</f>
        <v/>
      </c>
      <c r="AI193" s="88" t="str">
        <f t="shared" si="111"/>
        <v/>
      </c>
      <c r="AJ193" s="236" t="e">
        <f t="shared" si="97"/>
        <v>#VALUE!</v>
      </c>
      <c r="AK193" s="58" t="str">
        <f t="shared" si="98"/>
        <v/>
      </c>
      <c r="AL193" s="26" t="str">
        <f>IF($A194="","",_xll.SPRDOPT(P193,X193,AI193,0,AB193,AE193,AF193,AK193,$AJ$2,0))</f>
        <v/>
      </c>
      <c r="AM193" s="209" t="str">
        <f t="shared" si="99"/>
        <v/>
      </c>
      <c r="AN193" s="89" t="str">
        <f t="shared" si="100"/>
        <v/>
      </c>
      <c r="AO193" s="3" t="str">
        <f t="shared" si="101"/>
        <v/>
      </c>
      <c r="AP193" s="33" t="str">
        <f t="shared" si="102"/>
        <v/>
      </c>
      <c r="AQ193" s="58" t="str">
        <f t="shared" si="103"/>
        <v/>
      </c>
      <c r="AR193" s="38">
        <f>'ANR OK vs ML7'!AR193</f>
        <v>0.1</v>
      </c>
      <c r="AS193" s="35" t="str">
        <f t="shared" si="104"/>
        <v/>
      </c>
      <c r="AT193" s="3" t="str">
        <f t="shared" si="105"/>
        <v/>
      </c>
      <c r="AU193" s="3" t="str">
        <f t="shared" si="106"/>
        <v/>
      </c>
      <c r="AW193" s="32" t="str">
        <f t="shared" si="107"/>
        <v/>
      </c>
      <c r="AX193" s="32" t="str">
        <f t="shared" si="108"/>
        <v/>
      </c>
      <c r="AY193" s="32" t="str">
        <f t="shared" si="109"/>
        <v/>
      </c>
      <c r="BA193" s="32" t="str">
        <f>IF($A194="","",F193*Summary!$Q$11)</f>
        <v/>
      </c>
    </row>
    <row r="194" spans="1:53" ht="12" customHeight="1">
      <c r="A194" s="67" t="str">
        <f t="shared" si="110"/>
        <v/>
      </c>
      <c r="B194" s="69" t="str">
        <f t="shared" si="113"/>
        <v/>
      </c>
      <c r="C194" s="71"/>
      <c r="D194" s="69" t="str">
        <f t="shared" si="76"/>
        <v/>
      </c>
      <c r="E194" s="70" t="str">
        <f t="shared" si="77"/>
        <v/>
      </c>
      <c r="F194" s="70" t="str">
        <f t="shared" si="78"/>
        <v/>
      </c>
      <c r="G194" s="63" t="str">
        <f t="shared" si="79"/>
        <v/>
      </c>
      <c r="H194" s="64" t="str">
        <f t="shared" si="80"/>
        <v/>
      </c>
      <c r="I194" s="43"/>
      <c r="J194" s="63" t="str">
        <f t="shared" si="81"/>
        <v/>
      </c>
      <c r="K194" s="64" t="str">
        <f t="shared" si="82"/>
        <v/>
      </c>
      <c r="L194" s="63" t="str">
        <f t="shared" si="83"/>
        <v/>
      </c>
      <c r="M194" s="64" t="str">
        <f t="shared" si="84"/>
        <v/>
      </c>
      <c r="N194" s="65"/>
      <c r="O194" s="63" t="str">
        <f t="shared" si="85"/>
        <v/>
      </c>
      <c r="P194" s="63" t="str">
        <f t="shared" si="86"/>
        <v/>
      </c>
      <c r="Q194" s="66"/>
      <c r="R194" s="63" t="str">
        <f t="shared" si="87"/>
        <v/>
      </c>
      <c r="S194" s="64" t="str">
        <f t="shared" si="88"/>
        <v/>
      </c>
      <c r="T194" s="38">
        <v>0</v>
      </c>
      <c r="U194" s="64" t="str">
        <f t="shared" si="89"/>
        <v/>
      </c>
      <c r="V194" s="219" t="str">
        <f>IF($A195="","",IF(AND(MONTH(A194)&gt;3,MONTH(A194)&lt;11),(T194+R194+G194)*Summary!$T$11/(1-Summary!$T$11),(T194+R194+G194)*Summary!$U$11/(1-Summary!$U$11)))</f>
        <v/>
      </c>
      <c r="W194" s="43" t="str">
        <f t="shared" si="90"/>
        <v/>
      </c>
      <c r="X194" s="43" t="str">
        <f t="shared" si="91"/>
        <v/>
      </c>
      <c r="Y194" s="43"/>
      <c r="Z194" s="38" t="str">
        <f t="shared" si="92"/>
        <v/>
      </c>
      <c r="AA194" s="38" t="str">
        <f t="shared" si="93"/>
        <v/>
      </c>
      <c r="AB194" s="38" t="e">
        <f t="shared" si="94"/>
        <v>#VALUE!</v>
      </c>
      <c r="AC194" s="38" t="str">
        <f t="shared" si="95"/>
        <v/>
      </c>
      <c r="AD194" s="38" t="str">
        <f t="shared" si="95"/>
        <v/>
      </c>
      <c r="AE194" s="38" t="e">
        <f t="shared" si="96"/>
        <v>#VALUE!</v>
      </c>
      <c r="AF194" s="238" t="e">
        <f>((Summary!$N$11*(AA194*AD194)*(A194-$D$3))+(Summary!$M$11*Z194*AC194*(AJ194-EOMONTH(EDATE(A194,-1),0))))/(AK194*AB194*AE194)</f>
        <v>#VALUE!</v>
      </c>
      <c r="AG194" s="88" t="str">
        <f>IF($A195="","",Summary!$Q$11)</f>
        <v/>
      </c>
      <c r="AH194" s="88" t="str">
        <f>IF($A195="","",IF(Summary!$R$11="Y",(VLOOKUP($A194,Summary!$AD$6:$AF$9,3)+'Escalating commodity'!G207),'Escalating commodity'!G207))</f>
        <v/>
      </c>
      <c r="AI194" s="88" t="str">
        <f t="shared" si="111"/>
        <v/>
      </c>
      <c r="AJ194" s="236" t="e">
        <f t="shared" si="97"/>
        <v>#VALUE!</v>
      </c>
      <c r="AK194" s="58" t="str">
        <f t="shared" si="98"/>
        <v/>
      </c>
      <c r="AL194" s="26" t="str">
        <f>IF($A195="","",_xll.SPRDOPT(P194,X194,AI194,0,AB194,AE194,AF194,AK194,$AJ$2,0))</f>
        <v/>
      </c>
      <c r="AM194" s="209" t="str">
        <f t="shared" si="99"/>
        <v/>
      </c>
      <c r="AN194" s="89" t="str">
        <f t="shared" si="100"/>
        <v/>
      </c>
      <c r="AO194" s="3" t="str">
        <f t="shared" si="101"/>
        <v/>
      </c>
      <c r="AP194" s="33" t="str">
        <f t="shared" si="102"/>
        <v/>
      </c>
      <c r="AQ194" s="58" t="str">
        <f t="shared" si="103"/>
        <v/>
      </c>
      <c r="AR194" s="38">
        <f>'ANR OK vs ML7'!AR194</f>
        <v>0.1</v>
      </c>
      <c r="AS194" s="35" t="str">
        <f t="shared" si="104"/>
        <v/>
      </c>
      <c r="AT194" s="3" t="str">
        <f t="shared" si="105"/>
        <v/>
      </c>
      <c r="AU194" s="3" t="str">
        <f t="shared" si="106"/>
        <v/>
      </c>
      <c r="AW194" s="32" t="str">
        <f t="shared" si="107"/>
        <v/>
      </c>
      <c r="AX194" s="32" t="str">
        <f t="shared" si="108"/>
        <v/>
      </c>
      <c r="AY194" s="32" t="str">
        <f t="shared" si="109"/>
        <v/>
      </c>
      <c r="BA194" s="32" t="str">
        <f>IF($A195="","",F194*Summary!$Q$11)</f>
        <v/>
      </c>
    </row>
    <row r="195" spans="1:53" ht="12" customHeight="1">
      <c r="A195" s="67" t="str">
        <f t="shared" si="110"/>
        <v/>
      </c>
      <c r="B195" s="69" t="str">
        <f t="shared" si="113"/>
        <v/>
      </c>
      <c r="C195" s="71"/>
      <c r="D195" s="69" t="str">
        <f t="shared" si="76"/>
        <v/>
      </c>
      <c r="E195" s="70" t="str">
        <f t="shared" si="77"/>
        <v/>
      </c>
      <c r="F195" s="70" t="str">
        <f t="shared" si="78"/>
        <v/>
      </c>
      <c r="G195" s="63" t="str">
        <f t="shared" si="79"/>
        <v/>
      </c>
      <c r="H195" s="64" t="str">
        <f t="shared" si="80"/>
        <v/>
      </c>
      <c r="I195" s="43"/>
      <c r="J195" s="63" t="str">
        <f t="shared" si="81"/>
        <v/>
      </c>
      <c r="K195" s="64" t="str">
        <f t="shared" si="82"/>
        <v/>
      </c>
      <c r="L195" s="63" t="str">
        <f t="shared" si="83"/>
        <v/>
      </c>
      <c r="M195" s="64" t="str">
        <f t="shared" si="84"/>
        <v/>
      </c>
      <c r="N195" s="65"/>
      <c r="O195" s="63" t="str">
        <f t="shared" si="85"/>
        <v/>
      </c>
      <c r="P195" s="63" t="str">
        <f t="shared" si="86"/>
        <v/>
      </c>
      <c r="Q195" s="66"/>
      <c r="R195" s="63" t="str">
        <f t="shared" si="87"/>
        <v/>
      </c>
      <c r="S195" s="64" t="str">
        <f t="shared" si="88"/>
        <v/>
      </c>
      <c r="T195" s="38">
        <v>0</v>
      </c>
      <c r="U195" s="64" t="str">
        <f t="shared" si="89"/>
        <v/>
      </c>
      <c r="V195" s="219" t="str">
        <f>IF($A196="","",IF(AND(MONTH(A195)&gt;3,MONTH(A195)&lt;11),(T195+R195+G195)*Summary!$T$11/(1-Summary!$T$11),(T195+R195+G195)*Summary!$U$11/(1-Summary!$U$11)))</f>
        <v/>
      </c>
      <c r="W195" s="43" t="str">
        <f t="shared" si="90"/>
        <v/>
      </c>
      <c r="X195" s="43" t="str">
        <f t="shared" si="91"/>
        <v/>
      </c>
      <c r="Y195" s="43"/>
      <c r="Z195" s="38" t="str">
        <f t="shared" si="92"/>
        <v/>
      </c>
      <c r="AA195" s="38" t="str">
        <f t="shared" si="93"/>
        <v/>
      </c>
      <c r="AB195" s="38" t="e">
        <f t="shared" si="94"/>
        <v>#VALUE!</v>
      </c>
      <c r="AC195" s="38" t="str">
        <f t="shared" si="95"/>
        <v/>
      </c>
      <c r="AD195" s="38" t="str">
        <f t="shared" si="95"/>
        <v/>
      </c>
      <c r="AE195" s="38" t="e">
        <f t="shared" si="96"/>
        <v>#VALUE!</v>
      </c>
      <c r="AF195" s="238" t="e">
        <f>((Summary!$N$11*(AA195*AD195)*(A195-$D$3))+(Summary!$M$11*Z195*AC195*(AJ195-EOMONTH(EDATE(A195,-1),0))))/(AK195*AB195*AE195)</f>
        <v>#VALUE!</v>
      </c>
      <c r="AG195" s="88" t="str">
        <f>IF($A196="","",Summary!$Q$11)</f>
        <v/>
      </c>
      <c r="AH195" s="88" t="str">
        <f>IF($A196="","",IF(Summary!$R$11="Y",(VLOOKUP($A195,Summary!$AD$6:$AF$9,3)+'Escalating commodity'!G208),'Escalating commodity'!G208))</f>
        <v/>
      </c>
      <c r="AI195" s="88" t="str">
        <f t="shared" si="111"/>
        <v/>
      </c>
      <c r="AJ195" s="236" t="e">
        <f t="shared" si="97"/>
        <v>#VALUE!</v>
      </c>
      <c r="AK195" s="58" t="str">
        <f t="shared" si="98"/>
        <v/>
      </c>
      <c r="AL195" s="26" t="str">
        <f>IF($A196="","",_xll.SPRDOPT(P195,X195,AI195,0,AB195,AE195,AF195,AK195,$AJ$2,0))</f>
        <v/>
      </c>
      <c r="AM195" s="209" t="str">
        <f t="shared" si="99"/>
        <v/>
      </c>
      <c r="AN195" s="89" t="str">
        <f t="shared" si="100"/>
        <v/>
      </c>
      <c r="AO195" s="3" t="str">
        <f t="shared" si="101"/>
        <v/>
      </c>
      <c r="AP195" s="33" t="str">
        <f t="shared" si="102"/>
        <v/>
      </c>
      <c r="AQ195" s="58" t="str">
        <f t="shared" si="103"/>
        <v/>
      </c>
      <c r="AR195" s="38">
        <f>'ANR OK vs ML7'!AR195</f>
        <v>0.1</v>
      </c>
      <c r="AS195" s="35" t="str">
        <f t="shared" si="104"/>
        <v/>
      </c>
      <c r="AT195" s="3" t="str">
        <f t="shared" si="105"/>
        <v/>
      </c>
      <c r="AU195" s="3" t="str">
        <f t="shared" si="106"/>
        <v/>
      </c>
      <c r="AW195" s="32" t="str">
        <f t="shared" si="107"/>
        <v/>
      </c>
      <c r="AX195" s="32" t="str">
        <f t="shared" si="108"/>
        <v/>
      </c>
      <c r="AY195" s="32" t="str">
        <f t="shared" si="109"/>
        <v/>
      </c>
      <c r="BA195" s="32" t="str">
        <f>IF($A196="","",F195*Summary!$Q$11)</f>
        <v/>
      </c>
    </row>
    <row r="196" spans="1:53" ht="12" customHeight="1">
      <c r="A196" s="67" t="str">
        <f t="shared" si="110"/>
        <v/>
      </c>
      <c r="B196" s="69" t="str">
        <f t="shared" si="113"/>
        <v/>
      </c>
      <c r="C196" s="71"/>
      <c r="D196" s="69" t="str">
        <f t="shared" si="76"/>
        <v/>
      </c>
      <c r="E196" s="70" t="str">
        <f t="shared" si="77"/>
        <v/>
      </c>
      <c r="F196" s="70" t="str">
        <f t="shared" si="78"/>
        <v/>
      </c>
      <c r="G196" s="63" t="str">
        <f t="shared" si="79"/>
        <v/>
      </c>
      <c r="H196" s="64" t="str">
        <f t="shared" si="80"/>
        <v/>
      </c>
      <c r="I196" s="43"/>
      <c r="J196" s="63" t="str">
        <f t="shared" si="81"/>
        <v/>
      </c>
      <c r="K196" s="64" t="str">
        <f t="shared" si="82"/>
        <v/>
      </c>
      <c r="L196" s="63" t="str">
        <f t="shared" si="83"/>
        <v/>
      </c>
      <c r="M196" s="64" t="str">
        <f t="shared" si="84"/>
        <v/>
      </c>
      <c r="N196" s="65"/>
      <c r="O196" s="63" t="str">
        <f t="shared" si="85"/>
        <v/>
      </c>
      <c r="P196" s="63" t="str">
        <f t="shared" si="86"/>
        <v/>
      </c>
      <c r="Q196" s="66"/>
      <c r="R196" s="63" t="str">
        <f t="shared" si="87"/>
        <v/>
      </c>
      <c r="S196" s="64" t="str">
        <f t="shared" si="88"/>
        <v/>
      </c>
      <c r="T196" s="38">
        <v>0</v>
      </c>
      <c r="U196" s="64" t="str">
        <f t="shared" si="89"/>
        <v/>
      </c>
      <c r="V196" s="219" t="str">
        <f>IF($A197="","",IF(AND(MONTH(A196)&gt;3,MONTH(A196)&lt;11),(T196+R196+G196)*Summary!$T$11/(1-Summary!$T$11),(T196+R196+G196)*Summary!$U$11/(1-Summary!$U$11)))</f>
        <v/>
      </c>
      <c r="W196" s="43" t="str">
        <f t="shared" si="90"/>
        <v/>
      </c>
      <c r="X196" s="43" t="str">
        <f t="shared" si="91"/>
        <v/>
      </c>
      <c r="Y196" s="43"/>
      <c r="Z196" s="38" t="str">
        <f t="shared" si="92"/>
        <v/>
      </c>
      <c r="AA196" s="38" t="str">
        <f t="shared" si="93"/>
        <v/>
      </c>
      <c r="AB196" s="38" t="e">
        <f t="shared" si="94"/>
        <v>#VALUE!</v>
      </c>
      <c r="AC196" s="38" t="str">
        <f t="shared" si="95"/>
        <v/>
      </c>
      <c r="AD196" s="38" t="str">
        <f t="shared" si="95"/>
        <v/>
      </c>
      <c r="AE196" s="38" t="e">
        <f t="shared" si="96"/>
        <v>#VALUE!</v>
      </c>
      <c r="AF196" s="238" t="e">
        <f>((Summary!$N$11*(AA196*AD196)*(A196-$D$3))+(Summary!$M$11*Z196*AC196*(AJ196-EOMONTH(EDATE(A196,-1),0))))/(AK196*AB196*AE196)</f>
        <v>#VALUE!</v>
      </c>
      <c r="AG196" s="88" t="str">
        <f>IF($A197="","",Summary!$Q$11)</f>
        <v/>
      </c>
      <c r="AH196" s="88" t="str">
        <f>IF($A197="","",IF(Summary!$R$11="Y",(VLOOKUP($A196,Summary!$AD$6:$AF$9,3)+'Escalating commodity'!G209),'Escalating commodity'!G209))</f>
        <v/>
      </c>
      <c r="AI196" s="88" t="str">
        <f t="shared" si="111"/>
        <v/>
      </c>
      <c r="AJ196" s="236" t="e">
        <f t="shared" si="97"/>
        <v>#VALUE!</v>
      </c>
      <c r="AK196" s="58" t="str">
        <f t="shared" si="98"/>
        <v/>
      </c>
      <c r="AL196" s="26" t="str">
        <f>IF($A197="","",_xll.SPRDOPT(P196,X196,AI196,0,AB196,AE196,AF196,AK196,$AJ$2,0))</f>
        <v/>
      </c>
      <c r="AM196" s="209" t="str">
        <f t="shared" si="99"/>
        <v/>
      </c>
      <c r="AN196" s="89" t="str">
        <f t="shared" si="100"/>
        <v/>
      </c>
      <c r="AO196" s="3" t="str">
        <f t="shared" si="101"/>
        <v/>
      </c>
      <c r="AP196" s="33" t="str">
        <f t="shared" si="102"/>
        <v/>
      </c>
      <c r="AQ196" s="58" t="str">
        <f t="shared" si="103"/>
        <v/>
      </c>
      <c r="AR196" s="38">
        <f>'ANR OK vs ML7'!AR196</f>
        <v>0.1</v>
      </c>
      <c r="AS196" s="35" t="str">
        <f t="shared" si="104"/>
        <v/>
      </c>
      <c r="AT196" s="3" t="str">
        <f t="shared" si="105"/>
        <v/>
      </c>
      <c r="AU196" s="3" t="str">
        <f t="shared" si="106"/>
        <v/>
      </c>
      <c r="AW196" s="32" t="str">
        <f t="shared" si="107"/>
        <v/>
      </c>
      <c r="AX196" s="32" t="str">
        <f t="shared" si="108"/>
        <v/>
      </c>
      <c r="AY196" s="32" t="str">
        <f t="shared" si="109"/>
        <v/>
      </c>
      <c r="BA196" s="32" t="str">
        <f>IF($A197="","",F196*Summary!$Q$11)</f>
        <v/>
      </c>
    </row>
    <row r="197" spans="1:53" ht="12" customHeight="1">
      <c r="A197" s="67" t="str">
        <f t="shared" si="110"/>
        <v/>
      </c>
      <c r="B197" s="69" t="str">
        <f t="shared" si="113"/>
        <v/>
      </c>
      <c r="C197" s="71"/>
      <c r="D197" s="69" t="str">
        <f t="shared" si="76"/>
        <v/>
      </c>
      <c r="E197" s="70" t="str">
        <f t="shared" si="77"/>
        <v/>
      </c>
      <c r="F197" s="70" t="str">
        <f t="shared" si="78"/>
        <v/>
      </c>
      <c r="G197" s="63" t="str">
        <f t="shared" si="79"/>
        <v/>
      </c>
      <c r="H197" s="64" t="str">
        <f t="shared" si="80"/>
        <v/>
      </c>
      <c r="I197" s="43"/>
      <c r="J197" s="63" t="str">
        <f t="shared" si="81"/>
        <v/>
      </c>
      <c r="K197" s="64" t="str">
        <f t="shared" si="82"/>
        <v/>
      </c>
      <c r="L197" s="63" t="str">
        <f t="shared" si="83"/>
        <v/>
      </c>
      <c r="M197" s="64" t="str">
        <f t="shared" si="84"/>
        <v/>
      </c>
      <c r="N197" s="65"/>
      <c r="O197" s="63" t="str">
        <f t="shared" si="85"/>
        <v/>
      </c>
      <c r="P197" s="63" t="str">
        <f t="shared" si="86"/>
        <v/>
      </c>
      <c r="Q197" s="66"/>
      <c r="R197" s="63" t="str">
        <f t="shared" si="87"/>
        <v/>
      </c>
      <c r="S197" s="64" t="str">
        <f t="shared" si="88"/>
        <v/>
      </c>
      <c r="T197" s="38">
        <v>0</v>
      </c>
      <c r="U197" s="64" t="str">
        <f t="shared" si="89"/>
        <v/>
      </c>
      <c r="V197" s="219" t="str">
        <f>IF($A198="","",IF(AND(MONTH(A197)&gt;3,MONTH(A197)&lt;11),(T197+R197+G197)*Summary!$T$11/(1-Summary!$T$11),(T197+R197+G197)*Summary!$U$11/(1-Summary!$U$11)))</f>
        <v/>
      </c>
      <c r="W197" s="43" t="str">
        <f t="shared" si="90"/>
        <v/>
      </c>
      <c r="X197" s="43" t="str">
        <f t="shared" si="91"/>
        <v/>
      </c>
      <c r="Y197" s="43"/>
      <c r="Z197" s="38" t="str">
        <f t="shared" si="92"/>
        <v/>
      </c>
      <c r="AA197" s="38" t="str">
        <f t="shared" si="93"/>
        <v/>
      </c>
      <c r="AB197" s="38" t="e">
        <f t="shared" si="94"/>
        <v>#VALUE!</v>
      </c>
      <c r="AC197" s="38" t="str">
        <f t="shared" si="95"/>
        <v/>
      </c>
      <c r="AD197" s="38" t="str">
        <f t="shared" si="95"/>
        <v/>
      </c>
      <c r="AE197" s="38" t="e">
        <f t="shared" si="96"/>
        <v>#VALUE!</v>
      </c>
      <c r="AF197" s="238" t="e">
        <f>((Summary!$N$11*(AA197*AD197)*(A197-$D$3))+(Summary!$M$11*Z197*AC197*(AJ197-EOMONTH(EDATE(A197,-1),0))))/(AK197*AB197*AE197)</f>
        <v>#VALUE!</v>
      </c>
      <c r="AG197" s="88" t="str">
        <f>IF($A198="","",Summary!$Q$11)</f>
        <v/>
      </c>
      <c r="AH197" s="88" t="str">
        <f>IF($A198="","",IF(Summary!$R$11="Y",(VLOOKUP($A197,Summary!$AD$6:$AF$9,3)+'Escalating commodity'!G210),'Escalating commodity'!G210))</f>
        <v/>
      </c>
      <c r="AI197" s="88" t="str">
        <f t="shared" si="111"/>
        <v/>
      </c>
      <c r="AJ197" s="236" t="e">
        <f t="shared" si="97"/>
        <v>#VALUE!</v>
      </c>
      <c r="AK197" s="58" t="str">
        <f t="shared" si="98"/>
        <v/>
      </c>
      <c r="AL197" s="26" t="str">
        <f>IF($A198="","",_xll.SPRDOPT(P197,X197,AI197,0,AB197,AE197,AF197,AK197,$AJ$2,0))</f>
        <v/>
      </c>
      <c r="AM197" s="209" t="str">
        <f t="shared" si="99"/>
        <v/>
      </c>
      <c r="AN197" s="89" t="str">
        <f t="shared" si="100"/>
        <v/>
      </c>
      <c r="AO197" s="3" t="str">
        <f t="shared" si="101"/>
        <v/>
      </c>
      <c r="AP197" s="33" t="str">
        <f t="shared" si="102"/>
        <v/>
      </c>
      <c r="AQ197" s="58" t="str">
        <f t="shared" si="103"/>
        <v/>
      </c>
      <c r="AR197" s="38">
        <f>'ANR OK vs ML7'!AR197</f>
        <v>0.1</v>
      </c>
      <c r="AS197" s="35" t="str">
        <f t="shared" si="104"/>
        <v/>
      </c>
      <c r="AT197" s="3" t="str">
        <f t="shared" si="105"/>
        <v/>
      </c>
      <c r="AU197" s="3" t="str">
        <f t="shared" si="106"/>
        <v/>
      </c>
      <c r="AW197" s="32" t="str">
        <f t="shared" si="107"/>
        <v/>
      </c>
      <c r="AX197" s="32" t="str">
        <f t="shared" si="108"/>
        <v/>
      </c>
      <c r="AY197" s="32" t="str">
        <f t="shared" si="109"/>
        <v/>
      </c>
      <c r="BA197" s="32" t="str">
        <f>IF($A198="","",F197*Summary!$Q$11)</f>
        <v/>
      </c>
    </row>
    <row r="198" spans="1:53" ht="12" customHeight="1">
      <c r="A198" s="67" t="str">
        <f t="shared" si="110"/>
        <v/>
      </c>
      <c r="B198" s="69" t="str">
        <f t="shared" si="113"/>
        <v/>
      </c>
      <c r="C198" s="71"/>
      <c r="D198" s="69" t="str">
        <f t="shared" si="76"/>
        <v/>
      </c>
      <c r="E198" s="70" t="str">
        <f t="shared" si="77"/>
        <v/>
      </c>
      <c r="F198" s="70" t="str">
        <f t="shared" si="78"/>
        <v/>
      </c>
      <c r="G198" s="63" t="str">
        <f t="shared" si="79"/>
        <v/>
      </c>
      <c r="H198" s="64" t="str">
        <f t="shared" si="80"/>
        <v/>
      </c>
      <c r="I198" s="43"/>
      <c r="J198" s="63" t="str">
        <f t="shared" si="81"/>
        <v/>
      </c>
      <c r="K198" s="64" t="str">
        <f t="shared" si="82"/>
        <v/>
      </c>
      <c r="L198" s="63" t="str">
        <f t="shared" si="83"/>
        <v/>
      </c>
      <c r="M198" s="64" t="str">
        <f t="shared" si="84"/>
        <v/>
      </c>
      <c r="N198" s="65"/>
      <c r="O198" s="63" t="str">
        <f t="shared" si="85"/>
        <v/>
      </c>
      <c r="P198" s="63" t="str">
        <f t="shared" si="86"/>
        <v/>
      </c>
      <c r="Q198" s="66"/>
      <c r="R198" s="63" t="str">
        <f t="shared" si="87"/>
        <v/>
      </c>
      <c r="S198" s="64" t="str">
        <f t="shared" si="88"/>
        <v/>
      </c>
      <c r="T198" s="38">
        <v>0</v>
      </c>
      <c r="U198" s="64" t="str">
        <f t="shared" si="89"/>
        <v/>
      </c>
      <c r="V198" s="219" t="str">
        <f>IF($A199="","",IF(AND(MONTH(A198)&gt;3,MONTH(A198)&lt;11),(T198+R198+G198)*Summary!$T$11/(1-Summary!$T$11),(T198+R198+G198)*Summary!$U$11/(1-Summary!$U$11)))</f>
        <v/>
      </c>
      <c r="W198" s="43" t="str">
        <f t="shared" si="90"/>
        <v/>
      </c>
      <c r="X198" s="43" t="str">
        <f t="shared" si="91"/>
        <v/>
      </c>
      <c r="Y198" s="43"/>
      <c r="Z198" s="38" t="str">
        <f t="shared" si="92"/>
        <v/>
      </c>
      <c r="AA198" s="38" t="str">
        <f t="shared" si="93"/>
        <v/>
      </c>
      <c r="AB198" s="38" t="e">
        <f t="shared" si="94"/>
        <v>#VALUE!</v>
      </c>
      <c r="AC198" s="38" t="str">
        <f t="shared" si="95"/>
        <v/>
      </c>
      <c r="AD198" s="38" t="str">
        <f t="shared" si="95"/>
        <v/>
      </c>
      <c r="AE198" s="38" t="e">
        <f t="shared" si="96"/>
        <v>#VALUE!</v>
      </c>
      <c r="AF198" s="238" t="e">
        <f>((Summary!$N$11*(AA198*AD198)*(A198-$D$3))+(Summary!$M$11*Z198*AC198*(AJ198-EOMONTH(EDATE(A198,-1),0))))/(AK198*AB198*AE198)</f>
        <v>#VALUE!</v>
      </c>
      <c r="AG198" s="88" t="str">
        <f>IF($A199="","",Summary!$Q$11)</f>
        <v/>
      </c>
      <c r="AH198" s="88" t="str">
        <f>IF($A199="","",IF(Summary!$R$11="Y",(VLOOKUP($A198,Summary!$AD$6:$AF$9,3)+'Escalating commodity'!G211),'Escalating commodity'!G211))</f>
        <v/>
      </c>
      <c r="AI198" s="88" t="str">
        <f t="shared" si="111"/>
        <v/>
      </c>
      <c r="AJ198" s="236" t="e">
        <f t="shared" si="97"/>
        <v>#VALUE!</v>
      </c>
      <c r="AK198" s="58" t="str">
        <f t="shared" si="98"/>
        <v/>
      </c>
      <c r="AL198" s="26" t="str">
        <f>IF($A199="","",_xll.SPRDOPT(P198,X198,AI198,0,AB198,AE198,AF198,AK198,$AJ$2,0))</f>
        <v/>
      </c>
      <c r="AM198" s="209" t="str">
        <f t="shared" si="99"/>
        <v/>
      </c>
      <c r="AN198" s="89" t="str">
        <f t="shared" si="100"/>
        <v/>
      </c>
      <c r="AO198" s="3" t="str">
        <f t="shared" si="101"/>
        <v/>
      </c>
      <c r="AP198" s="33" t="str">
        <f t="shared" si="102"/>
        <v/>
      </c>
      <c r="AQ198" s="58" t="str">
        <f t="shared" si="103"/>
        <v/>
      </c>
      <c r="AR198" s="38">
        <f>'ANR OK vs ML7'!AR198</f>
        <v>0.1</v>
      </c>
      <c r="AS198" s="35" t="str">
        <f t="shared" si="104"/>
        <v/>
      </c>
      <c r="AT198" s="3" t="str">
        <f t="shared" si="105"/>
        <v/>
      </c>
      <c r="AU198" s="3" t="str">
        <f t="shared" si="106"/>
        <v/>
      </c>
      <c r="AW198" s="32" t="str">
        <f t="shared" si="107"/>
        <v/>
      </c>
      <c r="AX198" s="32" t="str">
        <f t="shared" si="108"/>
        <v/>
      </c>
      <c r="AY198" s="32" t="str">
        <f t="shared" si="109"/>
        <v/>
      </c>
      <c r="BA198" s="32" t="str">
        <f>IF($A199="","",F198*Summary!$Q$11)</f>
        <v/>
      </c>
    </row>
    <row r="199" spans="1:53" ht="12" customHeight="1">
      <c r="A199" s="67" t="str">
        <f t="shared" si="110"/>
        <v/>
      </c>
      <c r="B199" s="69" t="str">
        <f t="shared" si="113"/>
        <v/>
      </c>
      <c r="C199" s="71"/>
      <c r="D199" s="69" t="str">
        <f t="shared" si="76"/>
        <v/>
      </c>
      <c r="E199" s="70" t="str">
        <f t="shared" si="77"/>
        <v/>
      </c>
      <c r="F199" s="70" t="str">
        <f t="shared" si="78"/>
        <v/>
      </c>
      <c r="G199" s="63" t="str">
        <f t="shared" si="79"/>
        <v/>
      </c>
      <c r="H199" s="64" t="str">
        <f t="shared" si="80"/>
        <v/>
      </c>
      <c r="I199" s="43"/>
      <c r="J199" s="63" t="str">
        <f t="shared" si="81"/>
        <v/>
      </c>
      <c r="K199" s="64" t="str">
        <f t="shared" si="82"/>
        <v/>
      </c>
      <c r="L199" s="63" t="str">
        <f t="shared" si="83"/>
        <v/>
      </c>
      <c r="M199" s="64" t="str">
        <f t="shared" si="84"/>
        <v/>
      </c>
      <c r="N199" s="65"/>
      <c r="O199" s="63" t="str">
        <f t="shared" si="85"/>
        <v/>
      </c>
      <c r="P199" s="63" t="str">
        <f t="shared" si="86"/>
        <v/>
      </c>
      <c r="Q199" s="66"/>
      <c r="R199" s="63" t="str">
        <f t="shared" si="87"/>
        <v/>
      </c>
      <c r="S199" s="64" t="str">
        <f t="shared" si="88"/>
        <v/>
      </c>
      <c r="T199" s="38">
        <v>0</v>
      </c>
      <c r="U199" s="64" t="str">
        <f t="shared" si="89"/>
        <v/>
      </c>
      <c r="V199" s="219" t="str">
        <f>IF($A200="","",IF(AND(MONTH(A199)&gt;3,MONTH(A199)&lt;11),(T199+R199+G199)*Summary!$T$11/(1-Summary!$T$11),(T199+R199+G199)*Summary!$U$11/(1-Summary!$U$11)))</f>
        <v/>
      </c>
      <c r="W199" s="43" t="str">
        <f t="shared" si="90"/>
        <v/>
      </c>
      <c r="X199" s="43" t="str">
        <f t="shared" si="91"/>
        <v/>
      </c>
      <c r="Y199" s="43"/>
      <c r="Z199" s="38" t="str">
        <f t="shared" si="92"/>
        <v/>
      </c>
      <c r="AA199" s="38" t="str">
        <f t="shared" si="93"/>
        <v/>
      </c>
      <c r="AB199" s="38" t="e">
        <f t="shared" si="94"/>
        <v>#VALUE!</v>
      </c>
      <c r="AC199" s="38" t="str">
        <f t="shared" si="95"/>
        <v/>
      </c>
      <c r="AD199" s="38" t="str">
        <f t="shared" si="95"/>
        <v/>
      </c>
      <c r="AE199" s="38" t="e">
        <f t="shared" si="96"/>
        <v>#VALUE!</v>
      </c>
      <c r="AF199" s="238" t="e">
        <f>((Summary!$N$11*(AA199*AD199)*(A199-$D$3))+(Summary!$M$11*Z199*AC199*(AJ199-EOMONTH(EDATE(A199,-1),0))))/(AK199*AB199*AE199)</f>
        <v>#VALUE!</v>
      </c>
      <c r="AG199" s="88" t="str">
        <f>IF($A200="","",Summary!$Q$11)</f>
        <v/>
      </c>
      <c r="AH199" s="88" t="str">
        <f>IF($A200="","",IF(Summary!$R$11="Y",(VLOOKUP($A199,Summary!$AD$6:$AF$9,3)+'Escalating commodity'!G212),'Escalating commodity'!G212))</f>
        <v/>
      </c>
      <c r="AI199" s="88" t="str">
        <f t="shared" si="111"/>
        <v/>
      </c>
      <c r="AJ199" s="236" t="e">
        <f t="shared" si="97"/>
        <v>#VALUE!</v>
      </c>
      <c r="AK199" s="58" t="str">
        <f t="shared" si="98"/>
        <v/>
      </c>
      <c r="AL199" s="26" t="str">
        <f>IF($A200="","",_xll.SPRDOPT(P199,X199,AI199,0,AB199,AE199,AF199,AK199,$AJ$2,0))</f>
        <v/>
      </c>
      <c r="AM199" s="209" t="str">
        <f t="shared" si="99"/>
        <v/>
      </c>
      <c r="AN199" s="89" t="str">
        <f t="shared" si="100"/>
        <v/>
      </c>
      <c r="AO199" s="3" t="str">
        <f t="shared" si="101"/>
        <v/>
      </c>
      <c r="AP199" s="33" t="str">
        <f t="shared" si="102"/>
        <v/>
      </c>
      <c r="AQ199" s="58" t="str">
        <f t="shared" si="103"/>
        <v/>
      </c>
      <c r="AR199" s="38">
        <f>'ANR OK vs ML7'!AR199</f>
        <v>0.1</v>
      </c>
      <c r="AS199" s="35" t="str">
        <f t="shared" si="104"/>
        <v/>
      </c>
      <c r="AT199" s="3" t="str">
        <f t="shared" si="105"/>
        <v/>
      </c>
      <c r="AU199" s="3" t="str">
        <f t="shared" si="106"/>
        <v/>
      </c>
      <c r="AW199" s="32" t="str">
        <f t="shared" si="107"/>
        <v/>
      </c>
      <c r="AX199" s="32" t="str">
        <f t="shared" si="108"/>
        <v/>
      </c>
      <c r="AY199" s="32" t="str">
        <f t="shared" si="109"/>
        <v/>
      </c>
      <c r="BA199" s="32" t="str">
        <f>IF($A200="","",F199*Summary!$Q$11)</f>
        <v/>
      </c>
    </row>
    <row r="200" spans="1:53" ht="12" customHeight="1">
      <c r="A200" s="67" t="str">
        <f t="shared" si="110"/>
        <v/>
      </c>
      <c r="B200" s="69" t="str">
        <f t="shared" si="113"/>
        <v/>
      </c>
      <c r="C200" s="71"/>
      <c r="D200" s="69" t="str">
        <f t="shared" si="76"/>
        <v/>
      </c>
      <c r="E200" s="70" t="str">
        <f t="shared" si="77"/>
        <v/>
      </c>
      <c r="F200" s="70" t="str">
        <f t="shared" si="78"/>
        <v/>
      </c>
      <c r="G200" s="63" t="str">
        <f t="shared" si="79"/>
        <v/>
      </c>
      <c r="H200" s="64" t="str">
        <f t="shared" si="80"/>
        <v/>
      </c>
      <c r="I200" s="43"/>
      <c r="J200" s="63" t="str">
        <f t="shared" si="81"/>
        <v/>
      </c>
      <c r="K200" s="64" t="str">
        <f t="shared" si="82"/>
        <v/>
      </c>
      <c r="L200" s="63" t="str">
        <f t="shared" si="83"/>
        <v/>
      </c>
      <c r="M200" s="64" t="str">
        <f t="shared" si="84"/>
        <v/>
      </c>
      <c r="N200" s="65"/>
      <c r="O200" s="63" t="str">
        <f t="shared" si="85"/>
        <v/>
      </c>
      <c r="P200" s="63" t="str">
        <f t="shared" si="86"/>
        <v/>
      </c>
      <c r="Q200" s="66"/>
      <c r="R200" s="63" t="str">
        <f t="shared" si="87"/>
        <v/>
      </c>
      <c r="S200" s="64" t="str">
        <f t="shared" si="88"/>
        <v/>
      </c>
      <c r="T200" s="38">
        <v>0</v>
      </c>
      <c r="U200" s="64" t="str">
        <f t="shared" si="89"/>
        <v/>
      </c>
      <c r="V200" s="219" t="str">
        <f>IF($A201="","",IF(AND(MONTH(A200)&gt;3,MONTH(A200)&lt;11),(T200+R200+G200)*Summary!$T$11/(1-Summary!$T$11),(T200+R200+G200)*Summary!$U$11/(1-Summary!$U$11)))</f>
        <v/>
      </c>
      <c r="W200" s="43" t="str">
        <f t="shared" si="90"/>
        <v/>
      </c>
      <c r="X200" s="43" t="str">
        <f t="shared" si="91"/>
        <v/>
      </c>
      <c r="Y200" s="43"/>
      <c r="Z200" s="38" t="str">
        <f t="shared" si="92"/>
        <v/>
      </c>
      <c r="AA200" s="38" t="str">
        <f t="shared" si="93"/>
        <v/>
      </c>
      <c r="AB200" s="38" t="e">
        <f t="shared" si="94"/>
        <v>#VALUE!</v>
      </c>
      <c r="AC200" s="38" t="str">
        <f t="shared" si="95"/>
        <v/>
      </c>
      <c r="AD200" s="38" t="str">
        <f t="shared" si="95"/>
        <v/>
      </c>
      <c r="AE200" s="38" t="e">
        <f t="shared" si="96"/>
        <v>#VALUE!</v>
      </c>
      <c r="AF200" s="238" t="e">
        <f>((Summary!$N$11*(AA200*AD200)*(A200-$D$3))+(Summary!$M$11*Z200*AC200*(AJ200-EOMONTH(EDATE(A200,-1),0))))/(AK200*AB200*AE200)</f>
        <v>#VALUE!</v>
      </c>
      <c r="AG200" s="88" t="str">
        <f>IF($A201="","",Summary!$Q$11)</f>
        <v/>
      </c>
      <c r="AH200" s="88" t="str">
        <f>IF($A201="","",IF(Summary!$R$11="Y",(VLOOKUP($A200,Summary!$AD$6:$AF$9,3)+'Escalating commodity'!G213),'Escalating commodity'!G213))</f>
        <v/>
      </c>
      <c r="AI200" s="88" t="str">
        <f t="shared" si="111"/>
        <v/>
      </c>
      <c r="AJ200" s="236" t="e">
        <f t="shared" si="97"/>
        <v>#VALUE!</v>
      </c>
      <c r="AK200" s="58" t="str">
        <f t="shared" si="98"/>
        <v/>
      </c>
      <c r="AL200" s="26" t="str">
        <f>IF($A201="","",_xll.SPRDOPT(P200,X200,AI200,0,AB200,AE200,AF200,AK200,$AJ$2,0))</f>
        <v/>
      </c>
      <c r="AM200" s="209" t="str">
        <f t="shared" si="99"/>
        <v/>
      </c>
      <c r="AN200" s="89" t="str">
        <f t="shared" si="100"/>
        <v/>
      </c>
      <c r="AO200" s="3" t="str">
        <f t="shared" si="101"/>
        <v/>
      </c>
      <c r="AP200" s="33" t="str">
        <f t="shared" si="102"/>
        <v/>
      </c>
      <c r="AQ200" s="58" t="str">
        <f t="shared" si="103"/>
        <v/>
      </c>
      <c r="AR200" s="38">
        <f>'ANR OK vs ML7'!AR200</f>
        <v>0.1</v>
      </c>
      <c r="AS200" s="35" t="str">
        <f t="shared" si="104"/>
        <v/>
      </c>
      <c r="AT200" s="3" t="str">
        <f t="shared" si="105"/>
        <v/>
      </c>
      <c r="AU200" s="3" t="str">
        <f t="shared" si="106"/>
        <v/>
      </c>
      <c r="AW200" s="32" t="str">
        <f t="shared" si="107"/>
        <v/>
      </c>
      <c r="AX200" s="32" t="str">
        <f t="shared" si="108"/>
        <v/>
      </c>
      <c r="AY200" s="32" t="str">
        <f t="shared" si="109"/>
        <v/>
      </c>
      <c r="BA200" s="32" t="str">
        <f>IF($A201="","",F200*Summary!$Q$11)</f>
        <v/>
      </c>
    </row>
    <row r="201" spans="1:53" ht="12" customHeight="1">
      <c r="A201" s="67" t="str">
        <f t="shared" si="110"/>
        <v/>
      </c>
      <c r="B201" s="69" t="str">
        <f t="shared" si="113"/>
        <v/>
      </c>
      <c r="C201" s="71"/>
      <c r="D201" s="69" t="str">
        <f t="shared" si="76"/>
        <v/>
      </c>
      <c r="E201" s="70" t="str">
        <f t="shared" si="77"/>
        <v/>
      </c>
      <c r="F201" s="70" t="str">
        <f t="shared" si="78"/>
        <v/>
      </c>
      <c r="G201" s="63" t="str">
        <f t="shared" si="79"/>
        <v/>
      </c>
      <c r="H201" s="64" t="str">
        <f t="shared" si="80"/>
        <v/>
      </c>
      <c r="I201" s="43"/>
      <c r="J201" s="63" t="str">
        <f t="shared" si="81"/>
        <v/>
      </c>
      <c r="K201" s="64" t="str">
        <f t="shared" si="82"/>
        <v/>
      </c>
      <c r="L201" s="63" t="str">
        <f t="shared" si="83"/>
        <v/>
      </c>
      <c r="M201" s="64" t="str">
        <f t="shared" si="84"/>
        <v/>
      </c>
      <c r="N201" s="65"/>
      <c r="O201" s="63" t="str">
        <f t="shared" si="85"/>
        <v/>
      </c>
      <c r="P201" s="63" t="str">
        <f t="shared" si="86"/>
        <v/>
      </c>
      <c r="Q201" s="66"/>
      <c r="R201" s="63" t="str">
        <f t="shared" si="87"/>
        <v/>
      </c>
      <c r="S201" s="64" t="str">
        <f t="shared" si="88"/>
        <v/>
      </c>
      <c r="T201" s="38">
        <v>0</v>
      </c>
      <c r="U201" s="64" t="str">
        <f t="shared" si="89"/>
        <v/>
      </c>
      <c r="V201" s="219" t="str">
        <f>IF($A202="","",IF(AND(MONTH(A201)&gt;3,MONTH(A201)&lt;11),(T201+R201+G201)*Summary!$T$11/(1-Summary!$T$11),(T201+R201+G201)*Summary!$U$11/(1-Summary!$U$11)))</f>
        <v/>
      </c>
      <c r="W201" s="43" t="str">
        <f t="shared" si="90"/>
        <v/>
      </c>
      <c r="X201" s="43" t="str">
        <f t="shared" si="91"/>
        <v/>
      </c>
      <c r="Y201" s="43"/>
      <c r="Z201" s="38" t="str">
        <f t="shared" si="92"/>
        <v/>
      </c>
      <c r="AA201" s="38" t="str">
        <f t="shared" si="93"/>
        <v/>
      </c>
      <c r="AB201" s="38" t="e">
        <f t="shared" si="94"/>
        <v>#VALUE!</v>
      </c>
      <c r="AC201" s="38" t="str">
        <f t="shared" si="95"/>
        <v/>
      </c>
      <c r="AD201" s="38" t="str">
        <f t="shared" si="95"/>
        <v/>
      </c>
      <c r="AE201" s="38" t="e">
        <f t="shared" si="96"/>
        <v>#VALUE!</v>
      </c>
      <c r="AF201" s="238" t="e">
        <f>((Summary!$N$11*(AA201*AD201)*(A201-$D$3))+(Summary!$M$11*Z201*AC201*(AJ201-EOMONTH(EDATE(A201,-1),0))))/(AK201*AB201*AE201)</f>
        <v>#VALUE!</v>
      </c>
      <c r="AG201" s="88" t="str">
        <f>IF($A202="","",Summary!$Q$11)</f>
        <v/>
      </c>
      <c r="AH201" s="88" t="str">
        <f>IF($A202="","",IF(Summary!$R$11="Y",(VLOOKUP($A201,Summary!$AD$6:$AF$9,3)+'Escalating commodity'!G214),'Escalating commodity'!G214))</f>
        <v/>
      </c>
      <c r="AI201" s="88" t="str">
        <f t="shared" si="111"/>
        <v/>
      </c>
      <c r="AJ201" s="236" t="e">
        <f t="shared" si="97"/>
        <v>#VALUE!</v>
      </c>
      <c r="AK201" s="58" t="str">
        <f t="shared" si="98"/>
        <v/>
      </c>
      <c r="AL201" s="26" t="str">
        <f>IF($A202="","",_xll.SPRDOPT(P201,X201,AI201,0,AB201,AE201,AF201,AK201,$AJ$2,0))</f>
        <v/>
      </c>
      <c r="AM201" s="209" t="str">
        <f t="shared" si="99"/>
        <v/>
      </c>
      <c r="AN201" s="89" t="str">
        <f t="shared" si="100"/>
        <v/>
      </c>
      <c r="AO201" s="3" t="str">
        <f t="shared" si="101"/>
        <v/>
      </c>
      <c r="AP201" s="33" t="str">
        <f t="shared" si="102"/>
        <v/>
      </c>
      <c r="AQ201" s="58" t="str">
        <f t="shared" si="103"/>
        <v/>
      </c>
      <c r="AR201" s="38">
        <f>'ANR OK vs ML7'!AR201</f>
        <v>0.1</v>
      </c>
      <c r="AS201" s="35" t="str">
        <f t="shared" si="104"/>
        <v/>
      </c>
      <c r="AT201" s="3" t="str">
        <f t="shared" si="105"/>
        <v/>
      </c>
      <c r="AU201" s="3" t="str">
        <f t="shared" si="106"/>
        <v/>
      </c>
      <c r="AW201" s="32" t="str">
        <f t="shared" si="107"/>
        <v/>
      </c>
      <c r="AX201" s="32" t="str">
        <f t="shared" si="108"/>
        <v/>
      </c>
      <c r="AY201" s="32" t="str">
        <f t="shared" si="109"/>
        <v/>
      </c>
      <c r="BA201" s="32" t="str">
        <f>IF($A202="","",F201*Summary!$Q$11)</f>
        <v/>
      </c>
    </row>
    <row r="202" spans="1:53" ht="12" customHeight="1">
      <c r="A202" s="67" t="str">
        <f t="shared" si="110"/>
        <v/>
      </c>
      <c r="B202" s="69" t="str">
        <f t="shared" si="113"/>
        <v/>
      </c>
      <c r="C202" s="71"/>
      <c r="D202" s="69" t="str">
        <f t="shared" ref="D202:D265" si="114">IF(A203&lt;&gt;"",B202+C202,"")</f>
        <v/>
      </c>
      <c r="E202" s="70" t="str">
        <f t="shared" ref="E202:E265" si="115">IF(A203="","",IF(AND(AT202=1,$H$3=1),D202*AO202,IF($H$3=2,D202,"N/A")))</f>
        <v/>
      </c>
      <c r="F202" s="70" t="str">
        <f t="shared" ref="F202:F265" si="116">IF(A203="","",E202*AS202)</f>
        <v/>
      </c>
      <c r="G202" s="63" t="str">
        <f t="shared" ref="G202:G265" si="117">IF($A203="","",VLOOKUP($A202,Table,MATCH(G$4,Curves,0)))</f>
        <v/>
      </c>
      <c r="H202" s="64" t="str">
        <f t="shared" ref="H202:H265" si="118">IF(A203="","",G202)</f>
        <v/>
      </c>
      <c r="I202" s="43"/>
      <c r="J202" s="63" t="str">
        <f t="shared" ref="J202:J265" si="119">IF($A203="","",VLOOKUP($A202,Table,MATCH(J$4,Curves,0)))</f>
        <v/>
      </c>
      <c r="K202" s="64" t="str">
        <f t="shared" ref="K202:K265" si="120">IF(A203="","",J202)</f>
        <v/>
      </c>
      <c r="L202" s="63" t="str">
        <f t="shared" ref="L202:L265" si="121">IF($A203="","",VLOOKUP($A202,Table,MATCH(L$4,Curves,0)))</f>
        <v/>
      </c>
      <c r="M202" s="64" t="str">
        <f t="shared" ref="M202:M265" si="122">IF(A203="","",L202)</f>
        <v/>
      </c>
      <c r="N202" s="65"/>
      <c r="O202" s="63" t="str">
        <f t="shared" ref="O202:O265" si="123">IF(A203="","",L202+J202+G202)</f>
        <v/>
      </c>
      <c r="P202" s="63" t="str">
        <f t="shared" ref="P202:P265" si="124">IF(A203="","",M202+K202+H202)</f>
        <v/>
      </c>
      <c r="Q202" s="66"/>
      <c r="R202" s="63" t="str">
        <f t="shared" ref="R202:R265" si="125">IF($A203="","",VLOOKUP($A202,Table,MATCH(R$4,Curves,0)))</f>
        <v/>
      </c>
      <c r="S202" s="64" t="str">
        <f t="shared" ref="S202:S265" si="126">IF(A203="","",R202)</f>
        <v/>
      </c>
      <c r="T202" s="38">
        <v>0</v>
      </c>
      <c r="U202" s="64" t="str">
        <f t="shared" ref="U202:U265" si="127">IF(A203="","",T202)</f>
        <v/>
      </c>
      <c r="V202" s="219" t="str">
        <f>IF($A203="","",IF(AND(MONTH(A202)&gt;3,MONTH(A202)&lt;11),(T202+R202+G202)*Summary!$T$11/(1-Summary!$T$11),(T202+R202+G202)*Summary!$U$11/(1-Summary!$U$11)))</f>
        <v/>
      </c>
      <c r="W202" s="43" t="str">
        <f t="shared" ref="W202:W265" si="128">IF($A203="","",(T202+R202+G202+V202))</f>
        <v/>
      </c>
      <c r="X202" s="43" t="str">
        <f t="shared" ref="X202:X265" si="129">IF($A203="","",(U202+S202+H202+V202))</f>
        <v/>
      </c>
      <c r="Y202" s="43"/>
      <c r="Z202" s="38" t="str">
        <f t="shared" ref="Z202:Z265" si="130">IF($A203="","",VLOOKUP($A202,Table,MATCH(Z$4,Curves,0)))</f>
        <v/>
      </c>
      <c r="AA202" s="38" t="str">
        <f t="shared" ref="AA202:AA265" si="131">IF($A203="","",VLOOKUP($A202,Table,MATCH(AA$4,Curves,0)))</f>
        <v/>
      </c>
      <c r="AB202" s="38" t="e">
        <f t="shared" ref="AB202:AB265" si="132">SQRT((AA202^2*(A202-$D$3)+Z202^2*(DAY(EOMONTH(A202,0))/2))/AK202)</f>
        <v>#VALUE!</v>
      </c>
      <c r="AC202" s="38" t="str">
        <f t="shared" ref="AC202:AD265" si="133">IF($A203="","",VLOOKUP($A202,Table,MATCH(AC$4,Curves,0)))</f>
        <v/>
      </c>
      <c r="AD202" s="38" t="str">
        <f t="shared" si="133"/>
        <v/>
      </c>
      <c r="AE202" s="38" t="e">
        <f t="shared" ref="AE202:AE265" si="134">SQRT((AD202^2*(A202-$D$3)+AC202^2*(DAY(EOMONTH(A202,0))/2))/AK202)</f>
        <v>#VALUE!</v>
      </c>
      <c r="AF202" s="238" t="e">
        <f>((Summary!$N$11*(AA202*AD202)*(A202-$D$3))+(Summary!$M$11*Z202*AC202*(AJ202-EOMONTH(EDATE(A202,-1),0))))/(AK202*AB202*AE202)</f>
        <v>#VALUE!</v>
      </c>
      <c r="AG202" s="88" t="str">
        <f>IF($A203="","",Summary!$Q$11)</f>
        <v/>
      </c>
      <c r="AH202" s="88" t="str">
        <f>IF($A203="","",IF(Summary!$R$11="Y",(VLOOKUP($A202,Summary!$AD$6:$AF$9,3)+'Escalating commodity'!G215),'Escalating commodity'!G215))</f>
        <v/>
      </c>
      <c r="AI202" s="88" t="str">
        <f t="shared" si="111"/>
        <v/>
      </c>
      <c r="AJ202" s="236" t="e">
        <f t="shared" ref="AJ202:AJ265" si="135">A202+DAY(EOMONTH(A202,0))/2-1</f>
        <v>#VALUE!</v>
      </c>
      <c r="AK202" s="58" t="str">
        <f t="shared" ref="AK202:AK265" si="136">IF($A203="","",$A202-$E$1)</f>
        <v/>
      </c>
      <c r="AL202" s="26" t="str">
        <f>IF($A203="","",_xll.SPRDOPT(P202,X202,AI202,0,AB202,AE202,AF202,AK202,$AJ$2,0))</f>
        <v/>
      </c>
      <c r="AM202" s="209" t="str">
        <f t="shared" ref="AM202:AM265" si="137">IF($A203="","",MAX(0,O202-W202-AI202))</f>
        <v/>
      </c>
      <c r="AN202" s="89" t="str">
        <f t="shared" ref="AN202:AN265" si="138">IF($A203="","",AL202-AM202)</f>
        <v/>
      </c>
      <c r="AO202" s="3" t="str">
        <f t="shared" ref="AO202:AO265" si="139">IF(A203="","",A203-A202)</f>
        <v/>
      </c>
      <c r="AP202" s="33" t="str">
        <f t="shared" ref="AP202:AP265" si="140">IF(A203="","",CHOOSE(F$3,A203+24,A202))</f>
        <v/>
      </c>
      <c r="AQ202" s="58" t="str">
        <f t="shared" ref="AQ202:AQ265" si="141">IF(A203="","",AP202-$E$1)</f>
        <v/>
      </c>
      <c r="AR202" s="38">
        <f>'ANR OK vs ML7'!AR202</f>
        <v>0.1</v>
      </c>
      <c r="AS202" s="35" t="str">
        <f t="shared" ref="AS202:AS265" si="142">IF(A203="","",1/(1+CHOOSE(F$3,(AR203+($I$3/10000))/2,(AR202+($I$3/10000))/2))^(2*AQ202/365.25))</f>
        <v/>
      </c>
      <c r="AT202" s="3" t="str">
        <f t="shared" ref="AT202:AT265" si="143">IF(A203="","",IF(AND(mthbeg&lt;=A202,mthend&gt;=A202),1,0))</f>
        <v/>
      </c>
      <c r="AU202" s="3" t="str">
        <f t="shared" ref="AU202:AU265" si="144">IF(A203="","",AO202*AT202)</f>
        <v/>
      </c>
      <c r="AW202" s="32" t="str">
        <f t="shared" ref="AW202:AW265" si="145">IF($A203="","",AL202*$E202)</f>
        <v/>
      </c>
      <c r="AX202" s="32" t="str">
        <f t="shared" ref="AX202:AX265" si="146">IF($A203="","",AM202*$E202)</f>
        <v/>
      </c>
      <c r="AY202" s="32" t="str">
        <f t="shared" ref="AY202:AY265" si="147">IF($A203="","",AN202*$E202)</f>
        <v/>
      </c>
      <c r="BA202" s="32" t="str">
        <f>IF($A203="","",F202*Summary!$Q$11)</f>
        <v/>
      </c>
    </row>
    <row r="203" spans="1:53" ht="12" customHeight="1">
      <c r="A203" s="67" t="str">
        <f t="shared" ref="A203:A266" si="148">IF(A202&lt;mthend,EDATE(A202,1),"")</f>
        <v/>
      </c>
      <c r="B203" s="69" t="str">
        <f t="shared" si="113"/>
        <v/>
      </c>
      <c r="C203" s="71"/>
      <c r="D203" s="69" t="str">
        <f t="shared" si="114"/>
        <v/>
      </c>
      <c r="E203" s="70" t="str">
        <f t="shared" si="115"/>
        <v/>
      </c>
      <c r="F203" s="70" t="str">
        <f t="shared" si="116"/>
        <v/>
      </c>
      <c r="G203" s="63" t="str">
        <f t="shared" si="117"/>
        <v/>
      </c>
      <c r="H203" s="64" t="str">
        <f t="shared" si="118"/>
        <v/>
      </c>
      <c r="I203" s="43"/>
      <c r="J203" s="63" t="str">
        <f t="shared" si="119"/>
        <v/>
      </c>
      <c r="K203" s="64" t="str">
        <f t="shared" si="120"/>
        <v/>
      </c>
      <c r="L203" s="63" t="str">
        <f t="shared" si="121"/>
        <v/>
      </c>
      <c r="M203" s="64" t="str">
        <f t="shared" si="122"/>
        <v/>
      </c>
      <c r="N203" s="65"/>
      <c r="O203" s="63" t="str">
        <f t="shared" si="123"/>
        <v/>
      </c>
      <c r="P203" s="63" t="str">
        <f t="shared" si="124"/>
        <v/>
      </c>
      <c r="Q203" s="66"/>
      <c r="R203" s="63" t="str">
        <f t="shared" si="125"/>
        <v/>
      </c>
      <c r="S203" s="64" t="str">
        <f t="shared" si="126"/>
        <v/>
      </c>
      <c r="T203" s="38">
        <v>0</v>
      </c>
      <c r="U203" s="64" t="str">
        <f t="shared" si="127"/>
        <v/>
      </c>
      <c r="V203" s="219" t="str">
        <f>IF($A204="","",IF(AND(MONTH(A203)&gt;3,MONTH(A203)&lt;11),(T203+R203+G203)*Summary!$T$11/(1-Summary!$T$11),(T203+R203+G203)*Summary!$U$11/(1-Summary!$U$11)))</f>
        <v/>
      </c>
      <c r="W203" s="43" t="str">
        <f t="shared" si="128"/>
        <v/>
      </c>
      <c r="X203" s="43" t="str">
        <f t="shared" si="129"/>
        <v/>
      </c>
      <c r="Y203" s="43"/>
      <c r="Z203" s="38" t="str">
        <f t="shared" si="130"/>
        <v/>
      </c>
      <c r="AA203" s="38" t="str">
        <f t="shared" si="131"/>
        <v/>
      </c>
      <c r="AB203" s="38" t="e">
        <f t="shared" si="132"/>
        <v>#VALUE!</v>
      </c>
      <c r="AC203" s="38" t="str">
        <f t="shared" si="133"/>
        <v/>
      </c>
      <c r="AD203" s="38" t="str">
        <f t="shared" si="133"/>
        <v/>
      </c>
      <c r="AE203" s="38" t="e">
        <f t="shared" si="134"/>
        <v>#VALUE!</v>
      </c>
      <c r="AF203" s="238" t="e">
        <f>((Summary!$N$11*(AA203*AD203)*(A203-$D$3))+(Summary!$M$11*Z203*AC203*(AJ203-EOMONTH(EDATE(A203,-1),0))))/(AK203*AB203*AE203)</f>
        <v>#VALUE!</v>
      </c>
      <c r="AG203" s="88" t="str">
        <f>IF($A204="","",Summary!$Q$11)</f>
        <v/>
      </c>
      <c r="AH203" s="88" t="str">
        <f>IF($A204="","",IF(Summary!$R$11="Y",(VLOOKUP($A203,Summary!$AD$6:$AF$9,3)+'Escalating commodity'!G216),'Escalating commodity'!G216))</f>
        <v/>
      </c>
      <c r="AI203" s="88" t="str">
        <f t="shared" ref="AI203:AI266" si="149">IF($A204="","",AH203)</f>
        <v/>
      </c>
      <c r="AJ203" s="236" t="e">
        <f t="shared" si="135"/>
        <v>#VALUE!</v>
      </c>
      <c r="AK203" s="58" t="str">
        <f t="shared" si="136"/>
        <v/>
      </c>
      <c r="AL203" s="26" t="str">
        <f>IF($A204="","",_xll.SPRDOPT(P203,X203,AI203,0,AB203,AE203,AF203,AK203,$AJ$2,0))</f>
        <v/>
      </c>
      <c r="AM203" s="209" t="str">
        <f t="shared" si="137"/>
        <v/>
      </c>
      <c r="AN203" s="89" t="str">
        <f t="shared" si="138"/>
        <v/>
      </c>
      <c r="AO203" s="3" t="str">
        <f t="shared" si="139"/>
        <v/>
      </c>
      <c r="AP203" s="33" t="str">
        <f t="shared" si="140"/>
        <v/>
      </c>
      <c r="AQ203" s="58" t="str">
        <f t="shared" si="141"/>
        <v/>
      </c>
      <c r="AR203" s="38">
        <f>'ANR OK vs ML7'!AR203</f>
        <v>0.1</v>
      </c>
      <c r="AS203" s="35" t="str">
        <f t="shared" si="142"/>
        <v/>
      </c>
      <c r="AT203" s="3" t="str">
        <f t="shared" si="143"/>
        <v/>
      </c>
      <c r="AU203" s="3" t="str">
        <f t="shared" si="144"/>
        <v/>
      </c>
      <c r="AW203" s="32" t="str">
        <f t="shared" si="145"/>
        <v/>
      </c>
      <c r="AX203" s="32" t="str">
        <f t="shared" si="146"/>
        <v/>
      </c>
      <c r="AY203" s="32" t="str">
        <f t="shared" si="147"/>
        <v/>
      </c>
      <c r="BA203" s="32" t="str">
        <f>IF($A204="","",F203*Summary!$Q$11)</f>
        <v/>
      </c>
    </row>
    <row r="204" spans="1:53" ht="12" customHeight="1">
      <c r="A204" s="67" t="str">
        <f t="shared" si="148"/>
        <v/>
      </c>
      <c r="B204" s="69" t="str">
        <f t="shared" ref="B204:B267" si="150">IF(A204&lt;mthend,B203,"")</f>
        <v/>
      </c>
      <c r="C204" s="71"/>
      <c r="D204" s="69" t="str">
        <f t="shared" si="114"/>
        <v/>
      </c>
      <c r="E204" s="70" t="str">
        <f t="shared" si="115"/>
        <v/>
      </c>
      <c r="F204" s="70" t="str">
        <f t="shared" si="116"/>
        <v/>
      </c>
      <c r="G204" s="63" t="str">
        <f t="shared" si="117"/>
        <v/>
      </c>
      <c r="H204" s="64" t="str">
        <f t="shared" si="118"/>
        <v/>
      </c>
      <c r="I204" s="43"/>
      <c r="J204" s="63" t="str">
        <f t="shared" si="119"/>
        <v/>
      </c>
      <c r="K204" s="64" t="str">
        <f t="shared" si="120"/>
        <v/>
      </c>
      <c r="L204" s="63" t="str">
        <f t="shared" si="121"/>
        <v/>
      </c>
      <c r="M204" s="64" t="str">
        <f t="shared" si="122"/>
        <v/>
      </c>
      <c r="N204" s="65"/>
      <c r="O204" s="63" t="str">
        <f t="shared" si="123"/>
        <v/>
      </c>
      <c r="P204" s="63" t="str">
        <f t="shared" si="124"/>
        <v/>
      </c>
      <c r="Q204" s="66"/>
      <c r="R204" s="63" t="str">
        <f t="shared" si="125"/>
        <v/>
      </c>
      <c r="S204" s="64" t="str">
        <f t="shared" si="126"/>
        <v/>
      </c>
      <c r="T204" s="38">
        <v>0</v>
      </c>
      <c r="U204" s="64" t="str">
        <f t="shared" si="127"/>
        <v/>
      </c>
      <c r="V204" s="219" t="str">
        <f>IF($A205="","",IF(AND(MONTH(A204)&gt;3,MONTH(A204)&lt;11),(T204+R204+G204)*Summary!$T$11/(1-Summary!$T$11),(T204+R204+G204)*Summary!$U$11/(1-Summary!$U$11)))</f>
        <v/>
      </c>
      <c r="W204" s="43" t="str">
        <f t="shared" si="128"/>
        <v/>
      </c>
      <c r="X204" s="43" t="str">
        <f t="shared" si="129"/>
        <v/>
      </c>
      <c r="Y204" s="43"/>
      <c r="Z204" s="38" t="str">
        <f t="shared" si="130"/>
        <v/>
      </c>
      <c r="AA204" s="38" t="str">
        <f t="shared" si="131"/>
        <v/>
      </c>
      <c r="AB204" s="38" t="e">
        <f t="shared" si="132"/>
        <v>#VALUE!</v>
      </c>
      <c r="AC204" s="38" t="str">
        <f t="shared" si="133"/>
        <v/>
      </c>
      <c r="AD204" s="38" t="str">
        <f t="shared" si="133"/>
        <v/>
      </c>
      <c r="AE204" s="38" t="e">
        <f t="shared" si="134"/>
        <v>#VALUE!</v>
      </c>
      <c r="AF204" s="238" t="e">
        <f>((Summary!$N$11*(AA204*AD204)*(A204-$D$3))+(Summary!$M$11*Z204*AC204*(AJ204-EOMONTH(EDATE(A204,-1),0))))/(AK204*AB204*AE204)</f>
        <v>#VALUE!</v>
      </c>
      <c r="AG204" s="88" t="str">
        <f>IF($A205="","",Summary!$Q$11)</f>
        <v/>
      </c>
      <c r="AH204" s="88" t="str">
        <f>IF($A205="","",IF(Summary!$R$11="Y",(VLOOKUP($A204,Summary!$AD$6:$AF$9,3)+'Escalating commodity'!G217),'Escalating commodity'!G217))</f>
        <v/>
      </c>
      <c r="AI204" s="88" t="str">
        <f t="shared" si="149"/>
        <v/>
      </c>
      <c r="AJ204" s="236" t="e">
        <f t="shared" si="135"/>
        <v>#VALUE!</v>
      </c>
      <c r="AK204" s="58" t="str">
        <f t="shared" si="136"/>
        <v/>
      </c>
      <c r="AL204" s="26" t="str">
        <f>IF($A205="","",_xll.SPRDOPT(P204,X204,AI204,0,AB204,AE204,AF204,AK204,$AJ$2,0))</f>
        <v/>
      </c>
      <c r="AM204" s="209" t="str">
        <f t="shared" si="137"/>
        <v/>
      </c>
      <c r="AN204" s="89" t="str">
        <f t="shared" si="138"/>
        <v/>
      </c>
      <c r="AO204" s="3" t="str">
        <f t="shared" si="139"/>
        <v/>
      </c>
      <c r="AP204" s="33" t="str">
        <f t="shared" si="140"/>
        <v/>
      </c>
      <c r="AQ204" s="58" t="str">
        <f t="shared" si="141"/>
        <v/>
      </c>
      <c r="AR204" s="38">
        <f>'ANR OK vs ML7'!AR204</f>
        <v>0.1</v>
      </c>
      <c r="AS204" s="35" t="str">
        <f t="shared" si="142"/>
        <v/>
      </c>
      <c r="AT204" s="3" t="str">
        <f t="shared" si="143"/>
        <v/>
      </c>
      <c r="AU204" s="3" t="str">
        <f t="shared" si="144"/>
        <v/>
      </c>
      <c r="AW204" s="32" t="str">
        <f t="shared" si="145"/>
        <v/>
      </c>
      <c r="AX204" s="32" t="str">
        <f t="shared" si="146"/>
        <v/>
      </c>
      <c r="AY204" s="32" t="str">
        <f t="shared" si="147"/>
        <v/>
      </c>
      <c r="BA204" s="32" t="str">
        <f>IF($A205="","",F204*Summary!$Q$11)</f>
        <v/>
      </c>
    </row>
    <row r="205" spans="1:53" ht="12" customHeight="1">
      <c r="A205" s="67" t="str">
        <f t="shared" si="148"/>
        <v/>
      </c>
      <c r="B205" s="69" t="str">
        <f t="shared" si="150"/>
        <v/>
      </c>
      <c r="C205" s="71"/>
      <c r="D205" s="69" t="str">
        <f t="shared" si="114"/>
        <v/>
      </c>
      <c r="E205" s="70" t="str">
        <f t="shared" si="115"/>
        <v/>
      </c>
      <c r="F205" s="70" t="str">
        <f t="shared" si="116"/>
        <v/>
      </c>
      <c r="G205" s="63" t="str">
        <f t="shared" si="117"/>
        <v/>
      </c>
      <c r="H205" s="64" t="str">
        <f t="shared" si="118"/>
        <v/>
      </c>
      <c r="I205" s="43"/>
      <c r="J205" s="63" t="str">
        <f t="shared" si="119"/>
        <v/>
      </c>
      <c r="K205" s="64" t="str">
        <f t="shared" si="120"/>
        <v/>
      </c>
      <c r="L205" s="63" t="str">
        <f t="shared" si="121"/>
        <v/>
      </c>
      <c r="M205" s="64" t="str">
        <f t="shared" si="122"/>
        <v/>
      </c>
      <c r="N205" s="65"/>
      <c r="O205" s="63" t="str">
        <f t="shared" si="123"/>
        <v/>
      </c>
      <c r="P205" s="63" t="str">
        <f t="shared" si="124"/>
        <v/>
      </c>
      <c r="Q205" s="66"/>
      <c r="R205" s="63" t="str">
        <f t="shared" si="125"/>
        <v/>
      </c>
      <c r="S205" s="64" t="str">
        <f t="shared" si="126"/>
        <v/>
      </c>
      <c r="T205" s="38">
        <v>0</v>
      </c>
      <c r="U205" s="64" t="str">
        <f t="shared" si="127"/>
        <v/>
      </c>
      <c r="V205" s="219" t="str">
        <f>IF($A206="","",IF(AND(MONTH(A205)&gt;3,MONTH(A205)&lt;11),(T205+R205+G205)*Summary!$T$11/(1-Summary!$T$11),(T205+R205+G205)*Summary!$U$11/(1-Summary!$U$11)))</f>
        <v/>
      </c>
      <c r="W205" s="43" t="str">
        <f t="shared" si="128"/>
        <v/>
      </c>
      <c r="X205" s="43" t="str">
        <f t="shared" si="129"/>
        <v/>
      </c>
      <c r="Y205" s="43"/>
      <c r="Z205" s="38" t="str">
        <f t="shared" si="130"/>
        <v/>
      </c>
      <c r="AA205" s="38" t="str">
        <f t="shared" si="131"/>
        <v/>
      </c>
      <c r="AB205" s="38" t="e">
        <f t="shared" si="132"/>
        <v>#VALUE!</v>
      </c>
      <c r="AC205" s="38" t="str">
        <f t="shared" si="133"/>
        <v/>
      </c>
      <c r="AD205" s="38" t="str">
        <f t="shared" si="133"/>
        <v/>
      </c>
      <c r="AE205" s="38" t="e">
        <f t="shared" si="134"/>
        <v>#VALUE!</v>
      </c>
      <c r="AF205" s="238" t="e">
        <f>((Summary!$N$11*(AA205*AD205)*(A205-$D$3))+(Summary!$M$11*Z205*AC205*(AJ205-EOMONTH(EDATE(A205,-1),0))))/(AK205*AB205*AE205)</f>
        <v>#VALUE!</v>
      </c>
      <c r="AG205" s="88" t="str">
        <f>IF($A206="","",Summary!$Q$11)</f>
        <v/>
      </c>
      <c r="AH205" s="88" t="str">
        <f>IF($A206="","",IF(Summary!$R$11="Y",(VLOOKUP($A205,Summary!$AD$6:$AF$9,3)+'Escalating commodity'!G218),'Escalating commodity'!G218))</f>
        <v/>
      </c>
      <c r="AI205" s="88" t="str">
        <f t="shared" si="149"/>
        <v/>
      </c>
      <c r="AJ205" s="236" t="e">
        <f t="shared" si="135"/>
        <v>#VALUE!</v>
      </c>
      <c r="AK205" s="58" t="str">
        <f t="shared" si="136"/>
        <v/>
      </c>
      <c r="AL205" s="26" t="str">
        <f>IF($A206="","",_xll.SPRDOPT(P205,X205,AI205,0,AB205,AE205,AF205,AK205,$AJ$2,0))</f>
        <v/>
      </c>
      <c r="AM205" s="209" t="str">
        <f t="shared" si="137"/>
        <v/>
      </c>
      <c r="AN205" s="89" t="str">
        <f t="shared" si="138"/>
        <v/>
      </c>
      <c r="AO205" s="3" t="str">
        <f t="shared" si="139"/>
        <v/>
      </c>
      <c r="AP205" s="33" t="str">
        <f t="shared" si="140"/>
        <v/>
      </c>
      <c r="AQ205" s="58" t="str">
        <f t="shared" si="141"/>
        <v/>
      </c>
      <c r="AR205" s="38">
        <f>'ANR OK vs ML7'!AR205</f>
        <v>0.1</v>
      </c>
      <c r="AS205" s="35" t="str">
        <f t="shared" si="142"/>
        <v/>
      </c>
      <c r="AT205" s="3" t="str">
        <f t="shared" si="143"/>
        <v/>
      </c>
      <c r="AU205" s="3" t="str">
        <f t="shared" si="144"/>
        <v/>
      </c>
      <c r="AW205" s="32" t="str">
        <f t="shared" si="145"/>
        <v/>
      </c>
      <c r="AX205" s="32" t="str">
        <f t="shared" si="146"/>
        <v/>
      </c>
      <c r="AY205" s="32" t="str">
        <f t="shared" si="147"/>
        <v/>
      </c>
      <c r="BA205" s="32" t="str">
        <f>IF($A206="","",F205*Summary!$Q$11)</f>
        <v/>
      </c>
    </row>
    <row r="206" spans="1:53" ht="12" customHeight="1">
      <c r="A206" s="67" t="str">
        <f t="shared" si="148"/>
        <v/>
      </c>
      <c r="B206" s="69" t="str">
        <f t="shared" si="150"/>
        <v/>
      </c>
      <c r="C206" s="71"/>
      <c r="D206" s="69" t="str">
        <f t="shared" si="114"/>
        <v/>
      </c>
      <c r="E206" s="70" t="str">
        <f t="shared" si="115"/>
        <v/>
      </c>
      <c r="F206" s="70" t="str">
        <f t="shared" si="116"/>
        <v/>
      </c>
      <c r="G206" s="63" t="str">
        <f t="shared" si="117"/>
        <v/>
      </c>
      <c r="H206" s="64" t="str">
        <f t="shared" si="118"/>
        <v/>
      </c>
      <c r="I206" s="43"/>
      <c r="J206" s="63" t="str">
        <f t="shared" si="119"/>
        <v/>
      </c>
      <c r="K206" s="64" t="str">
        <f t="shared" si="120"/>
        <v/>
      </c>
      <c r="L206" s="63" t="str">
        <f t="shared" si="121"/>
        <v/>
      </c>
      <c r="M206" s="64" t="str">
        <f t="shared" si="122"/>
        <v/>
      </c>
      <c r="N206" s="65"/>
      <c r="O206" s="63" t="str">
        <f t="shared" si="123"/>
        <v/>
      </c>
      <c r="P206" s="63" t="str">
        <f t="shared" si="124"/>
        <v/>
      </c>
      <c r="Q206" s="66"/>
      <c r="R206" s="63" t="str">
        <f t="shared" si="125"/>
        <v/>
      </c>
      <c r="S206" s="64" t="str">
        <f t="shared" si="126"/>
        <v/>
      </c>
      <c r="T206" s="38">
        <v>0</v>
      </c>
      <c r="U206" s="64" t="str">
        <f t="shared" si="127"/>
        <v/>
      </c>
      <c r="V206" s="219" t="str">
        <f>IF($A207="","",IF(AND(MONTH(A206)&gt;3,MONTH(A206)&lt;11),(T206+R206+G206)*Summary!$T$11/(1-Summary!$T$11),(T206+R206+G206)*Summary!$U$11/(1-Summary!$U$11)))</f>
        <v/>
      </c>
      <c r="W206" s="43" t="str">
        <f t="shared" si="128"/>
        <v/>
      </c>
      <c r="X206" s="43" t="str">
        <f t="shared" si="129"/>
        <v/>
      </c>
      <c r="Y206" s="43"/>
      <c r="Z206" s="38" t="str">
        <f t="shared" si="130"/>
        <v/>
      </c>
      <c r="AA206" s="38" t="str">
        <f t="shared" si="131"/>
        <v/>
      </c>
      <c r="AB206" s="38" t="e">
        <f t="shared" si="132"/>
        <v>#VALUE!</v>
      </c>
      <c r="AC206" s="38" t="str">
        <f t="shared" si="133"/>
        <v/>
      </c>
      <c r="AD206" s="38" t="str">
        <f t="shared" si="133"/>
        <v/>
      </c>
      <c r="AE206" s="38" t="e">
        <f t="shared" si="134"/>
        <v>#VALUE!</v>
      </c>
      <c r="AF206" s="238" t="e">
        <f>((Summary!$N$11*(AA206*AD206)*(A206-$D$3))+(Summary!$M$11*Z206*AC206*(AJ206-EOMONTH(EDATE(A206,-1),0))))/(AK206*AB206*AE206)</f>
        <v>#VALUE!</v>
      </c>
      <c r="AG206" s="88" t="str">
        <f>IF($A207="","",Summary!$Q$11)</f>
        <v/>
      </c>
      <c r="AH206" s="88" t="str">
        <f>IF($A207="","",IF(Summary!$R$11="Y",(VLOOKUP($A206,Summary!$AD$6:$AF$9,3)+'Escalating commodity'!G219),'Escalating commodity'!G219))</f>
        <v/>
      </c>
      <c r="AI206" s="88" t="str">
        <f t="shared" si="149"/>
        <v/>
      </c>
      <c r="AJ206" s="236" t="e">
        <f t="shared" si="135"/>
        <v>#VALUE!</v>
      </c>
      <c r="AK206" s="58" t="str">
        <f t="shared" si="136"/>
        <v/>
      </c>
      <c r="AL206" s="26" t="str">
        <f>IF($A207="","",_xll.SPRDOPT(P206,X206,AI206,0,AB206,AE206,AF206,AK206,$AJ$2,0))</f>
        <v/>
      </c>
      <c r="AM206" s="209" t="str">
        <f t="shared" si="137"/>
        <v/>
      </c>
      <c r="AN206" s="89" t="str">
        <f t="shared" si="138"/>
        <v/>
      </c>
      <c r="AO206" s="3" t="str">
        <f t="shared" si="139"/>
        <v/>
      </c>
      <c r="AP206" s="33" t="str">
        <f t="shared" si="140"/>
        <v/>
      </c>
      <c r="AQ206" s="58" t="str">
        <f t="shared" si="141"/>
        <v/>
      </c>
      <c r="AR206" s="38">
        <f>'ANR OK vs ML7'!AR206</f>
        <v>0.1</v>
      </c>
      <c r="AS206" s="35" t="str">
        <f t="shared" si="142"/>
        <v/>
      </c>
      <c r="AT206" s="3" t="str">
        <f t="shared" si="143"/>
        <v/>
      </c>
      <c r="AU206" s="3" t="str">
        <f t="shared" si="144"/>
        <v/>
      </c>
      <c r="AW206" s="32" t="str">
        <f t="shared" si="145"/>
        <v/>
      </c>
      <c r="AX206" s="32" t="str">
        <f t="shared" si="146"/>
        <v/>
      </c>
      <c r="AY206" s="32" t="str">
        <f t="shared" si="147"/>
        <v/>
      </c>
      <c r="BA206" s="32" t="str">
        <f>IF($A207="","",F206*Summary!$Q$11)</f>
        <v/>
      </c>
    </row>
    <row r="207" spans="1:53" ht="12" customHeight="1">
      <c r="A207" s="67" t="str">
        <f t="shared" si="148"/>
        <v/>
      </c>
      <c r="B207" s="69" t="str">
        <f t="shared" si="150"/>
        <v/>
      </c>
      <c r="C207" s="71"/>
      <c r="D207" s="69" t="str">
        <f t="shared" si="114"/>
        <v/>
      </c>
      <c r="E207" s="70" t="str">
        <f t="shared" si="115"/>
        <v/>
      </c>
      <c r="F207" s="70" t="str">
        <f t="shared" si="116"/>
        <v/>
      </c>
      <c r="G207" s="63" t="str">
        <f t="shared" si="117"/>
        <v/>
      </c>
      <c r="H207" s="64" t="str">
        <f t="shared" si="118"/>
        <v/>
      </c>
      <c r="I207" s="43"/>
      <c r="J207" s="63" t="str">
        <f t="shared" si="119"/>
        <v/>
      </c>
      <c r="K207" s="64" t="str">
        <f t="shared" si="120"/>
        <v/>
      </c>
      <c r="L207" s="63" t="str">
        <f t="shared" si="121"/>
        <v/>
      </c>
      <c r="M207" s="64" t="str">
        <f t="shared" si="122"/>
        <v/>
      </c>
      <c r="N207" s="65"/>
      <c r="O207" s="63" t="str">
        <f t="shared" si="123"/>
        <v/>
      </c>
      <c r="P207" s="63" t="str">
        <f t="shared" si="124"/>
        <v/>
      </c>
      <c r="Q207" s="66"/>
      <c r="R207" s="63" t="str">
        <f t="shared" si="125"/>
        <v/>
      </c>
      <c r="S207" s="64" t="str">
        <f t="shared" si="126"/>
        <v/>
      </c>
      <c r="T207" s="38">
        <v>0</v>
      </c>
      <c r="U207" s="64" t="str">
        <f t="shared" si="127"/>
        <v/>
      </c>
      <c r="V207" s="219" t="str">
        <f>IF($A208="","",IF(AND(MONTH(A207)&gt;3,MONTH(A207)&lt;11),(T207+R207+G207)*Summary!$T$11/(1-Summary!$T$11),(T207+R207+G207)*Summary!$U$11/(1-Summary!$U$11)))</f>
        <v/>
      </c>
      <c r="W207" s="43" t="str">
        <f t="shared" si="128"/>
        <v/>
      </c>
      <c r="X207" s="43" t="str">
        <f t="shared" si="129"/>
        <v/>
      </c>
      <c r="Y207" s="43"/>
      <c r="Z207" s="38" t="str">
        <f t="shared" si="130"/>
        <v/>
      </c>
      <c r="AA207" s="38" t="str">
        <f t="shared" si="131"/>
        <v/>
      </c>
      <c r="AB207" s="38" t="e">
        <f t="shared" si="132"/>
        <v>#VALUE!</v>
      </c>
      <c r="AC207" s="38" t="str">
        <f t="shared" si="133"/>
        <v/>
      </c>
      <c r="AD207" s="38" t="str">
        <f t="shared" si="133"/>
        <v/>
      </c>
      <c r="AE207" s="38" t="e">
        <f t="shared" si="134"/>
        <v>#VALUE!</v>
      </c>
      <c r="AF207" s="238" t="e">
        <f>((Summary!$N$11*(AA207*AD207)*(A207-$D$3))+(Summary!$M$11*Z207*AC207*(AJ207-EOMONTH(EDATE(A207,-1),0))))/(AK207*AB207*AE207)</f>
        <v>#VALUE!</v>
      </c>
      <c r="AG207" s="88" t="str">
        <f>IF($A208="","",Summary!$Q$11)</f>
        <v/>
      </c>
      <c r="AH207" s="88" t="str">
        <f>IF($A208="","",IF(Summary!$R$11="Y",(VLOOKUP($A207,Summary!$AD$6:$AF$9,3)+'Escalating commodity'!G220),'Escalating commodity'!G220))</f>
        <v/>
      </c>
      <c r="AI207" s="88" t="str">
        <f t="shared" si="149"/>
        <v/>
      </c>
      <c r="AJ207" s="236" t="e">
        <f t="shared" si="135"/>
        <v>#VALUE!</v>
      </c>
      <c r="AK207" s="58" t="str">
        <f t="shared" si="136"/>
        <v/>
      </c>
      <c r="AL207" s="26" t="str">
        <f>IF($A208="","",_xll.SPRDOPT(P207,X207,AI207,0,AB207,AE207,AF207,AK207,$AJ$2,0))</f>
        <v/>
      </c>
      <c r="AM207" s="209" t="str">
        <f t="shared" si="137"/>
        <v/>
      </c>
      <c r="AN207" s="89" t="str">
        <f t="shared" si="138"/>
        <v/>
      </c>
      <c r="AO207" s="3" t="str">
        <f t="shared" si="139"/>
        <v/>
      </c>
      <c r="AP207" s="33" t="str">
        <f t="shared" si="140"/>
        <v/>
      </c>
      <c r="AQ207" s="58" t="str">
        <f t="shared" si="141"/>
        <v/>
      </c>
      <c r="AR207" s="38">
        <f>'ANR OK vs ML7'!AR207</f>
        <v>0.1</v>
      </c>
      <c r="AS207" s="35" t="str">
        <f t="shared" si="142"/>
        <v/>
      </c>
      <c r="AT207" s="3" t="str">
        <f t="shared" si="143"/>
        <v/>
      </c>
      <c r="AU207" s="3" t="str">
        <f t="shared" si="144"/>
        <v/>
      </c>
      <c r="AW207" s="32" t="str">
        <f t="shared" si="145"/>
        <v/>
      </c>
      <c r="AX207" s="32" t="str">
        <f t="shared" si="146"/>
        <v/>
      </c>
      <c r="AY207" s="32" t="str">
        <f t="shared" si="147"/>
        <v/>
      </c>
      <c r="BA207" s="32" t="str">
        <f>IF($A208="","",F207*Summary!$Q$11)</f>
        <v/>
      </c>
    </row>
    <row r="208" spans="1:53" ht="12" customHeight="1">
      <c r="A208" s="67" t="str">
        <f t="shared" si="148"/>
        <v/>
      </c>
      <c r="B208" s="69" t="str">
        <f t="shared" si="150"/>
        <v/>
      </c>
      <c r="C208" s="71"/>
      <c r="D208" s="69" t="str">
        <f t="shared" si="114"/>
        <v/>
      </c>
      <c r="E208" s="70" t="str">
        <f t="shared" si="115"/>
        <v/>
      </c>
      <c r="F208" s="70" t="str">
        <f t="shared" si="116"/>
        <v/>
      </c>
      <c r="G208" s="63" t="str">
        <f t="shared" si="117"/>
        <v/>
      </c>
      <c r="H208" s="64" t="str">
        <f t="shared" si="118"/>
        <v/>
      </c>
      <c r="I208" s="43"/>
      <c r="J208" s="63" t="str">
        <f t="shared" si="119"/>
        <v/>
      </c>
      <c r="K208" s="64" t="str">
        <f t="shared" si="120"/>
        <v/>
      </c>
      <c r="L208" s="63" t="str">
        <f t="shared" si="121"/>
        <v/>
      </c>
      <c r="M208" s="64" t="str">
        <f t="shared" si="122"/>
        <v/>
      </c>
      <c r="N208" s="65"/>
      <c r="O208" s="63" t="str">
        <f t="shared" si="123"/>
        <v/>
      </c>
      <c r="P208" s="63" t="str">
        <f t="shared" si="124"/>
        <v/>
      </c>
      <c r="Q208" s="66"/>
      <c r="R208" s="63" t="str">
        <f t="shared" si="125"/>
        <v/>
      </c>
      <c r="S208" s="64" t="str">
        <f t="shared" si="126"/>
        <v/>
      </c>
      <c r="T208" s="38">
        <v>0</v>
      </c>
      <c r="U208" s="64" t="str">
        <f t="shared" si="127"/>
        <v/>
      </c>
      <c r="V208" s="219" t="str">
        <f>IF($A209="","",IF(AND(MONTH(A208)&gt;3,MONTH(A208)&lt;11),(T208+R208+G208)*Summary!$T$11/(1-Summary!$T$11),(T208+R208+G208)*Summary!$U$11/(1-Summary!$U$11)))</f>
        <v/>
      </c>
      <c r="W208" s="43" t="str">
        <f t="shared" si="128"/>
        <v/>
      </c>
      <c r="X208" s="43" t="str">
        <f t="shared" si="129"/>
        <v/>
      </c>
      <c r="Y208" s="43"/>
      <c r="Z208" s="38" t="str">
        <f t="shared" si="130"/>
        <v/>
      </c>
      <c r="AA208" s="38" t="str">
        <f t="shared" si="131"/>
        <v/>
      </c>
      <c r="AB208" s="38" t="e">
        <f t="shared" si="132"/>
        <v>#VALUE!</v>
      </c>
      <c r="AC208" s="38" t="str">
        <f t="shared" si="133"/>
        <v/>
      </c>
      <c r="AD208" s="38" t="str">
        <f t="shared" si="133"/>
        <v/>
      </c>
      <c r="AE208" s="38" t="e">
        <f t="shared" si="134"/>
        <v>#VALUE!</v>
      </c>
      <c r="AF208" s="238" t="e">
        <f>((Summary!$N$11*(AA208*AD208)*(A208-$D$3))+(Summary!$M$11*Z208*AC208*(AJ208-EOMONTH(EDATE(A208,-1),0))))/(AK208*AB208*AE208)</f>
        <v>#VALUE!</v>
      </c>
      <c r="AG208" s="88" t="str">
        <f>IF($A209="","",Summary!$Q$11)</f>
        <v/>
      </c>
      <c r="AH208" s="88" t="str">
        <f>IF($A209="","",IF(Summary!$R$11="Y",(VLOOKUP($A208,Summary!$AD$6:$AF$9,3)+'Escalating commodity'!G221),'Escalating commodity'!G221))</f>
        <v/>
      </c>
      <c r="AI208" s="88" t="str">
        <f t="shared" si="149"/>
        <v/>
      </c>
      <c r="AJ208" s="236" t="e">
        <f t="shared" si="135"/>
        <v>#VALUE!</v>
      </c>
      <c r="AK208" s="58" t="str">
        <f t="shared" si="136"/>
        <v/>
      </c>
      <c r="AL208" s="26" t="str">
        <f>IF($A209="","",_xll.SPRDOPT(P208,X208,AI208,0,AB208,AE208,AF208,AK208,$AJ$2,0))</f>
        <v/>
      </c>
      <c r="AM208" s="209" t="str">
        <f t="shared" si="137"/>
        <v/>
      </c>
      <c r="AN208" s="89" t="str">
        <f t="shared" si="138"/>
        <v/>
      </c>
      <c r="AO208" s="3" t="str">
        <f t="shared" si="139"/>
        <v/>
      </c>
      <c r="AP208" s="33" t="str">
        <f t="shared" si="140"/>
        <v/>
      </c>
      <c r="AQ208" s="58" t="str">
        <f t="shared" si="141"/>
        <v/>
      </c>
      <c r="AR208" s="38">
        <f>'ANR OK vs ML7'!AR208</f>
        <v>0.1</v>
      </c>
      <c r="AS208" s="35" t="str">
        <f t="shared" si="142"/>
        <v/>
      </c>
      <c r="AT208" s="3" t="str">
        <f t="shared" si="143"/>
        <v/>
      </c>
      <c r="AU208" s="3" t="str">
        <f t="shared" si="144"/>
        <v/>
      </c>
      <c r="AW208" s="32" t="str">
        <f t="shared" si="145"/>
        <v/>
      </c>
      <c r="AX208" s="32" t="str">
        <f t="shared" si="146"/>
        <v/>
      </c>
      <c r="AY208" s="32" t="str">
        <f t="shared" si="147"/>
        <v/>
      </c>
      <c r="BA208" s="32" t="str">
        <f>IF($A209="","",F208*Summary!$Q$11)</f>
        <v/>
      </c>
    </row>
    <row r="209" spans="1:53" ht="12" customHeight="1">
      <c r="A209" s="67" t="str">
        <f t="shared" si="148"/>
        <v/>
      </c>
      <c r="B209" s="69" t="str">
        <f t="shared" si="150"/>
        <v/>
      </c>
      <c r="C209" s="71"/>
      <c r="D209" s="69" t="str">
        <f t="shared" si="114"/>
        <v/>
      </c>
      <c r="E209" s="70" t="str">
        <f t="shared" si="115"/>
        <v/>
      </c>
      <c r="F209" s="70" t="str">
        <f t="shared" si="116"/>
        <v/>
      </c>
      <c r="G209" s="63" t="str">
        <f t="shared" si="117"/>
        <v/>
      </c>
      <c r="H209" s="64" t="str">
        <f t="shared" si="118"/>
        <v/>
      </c>
      <c r="I209" s="43"/>
      <c r="J209" s="63" t="str">
        <f t="shared" si="119"/>
        <v/>
      </c>
      <c r="K209" s="64" t="str">
        <f t="shared" si="120"/>
        <v/>
      </c>
      <c r="L209" s="63" t="str">
        <f t="shared" si="121"/>
        <v/>
      </c>
      <c r="M209" s="64" t="str">
        <f t="shared" si="122"/>
        <v/>
      </c>
      <c r="N209" s="65"/>
      <c r="O209" s="63" t="str">
        <f t="shared" si="123"/>
        <v/>
      </c>
      <c r="P209" s="63" t="str">
        <f t="shared" si="124"/>
        <v/>
      </c>
      <c r="Q209" s="66"/>
      <c r="R209" s="63" t="str">
        <f t="shared" si="125"/>
        <v/>
      </c>
      <c r="S209" s="64" t="str">
        <f t="shared" si="126"/>
        <v/>
      </c>
      <c r="T209" s="38">
        <v>0</v>
      </c>
      <c r="U209" s="64" t="str">
        <f t="shared" si="127"/>
        <v/>
      </c>
      <c r="V209" s="219" t="str">
        <f>IF($A210="","",IF(AND(MONTH(A209)&gt;3,MONTH(A209)&lt;11),(T209+R209+G209)*Summary!$T$11/(1-Summary!$T$11),(T209+R209+G209)*Summary!$U$11/(1-Summary!$U$11)))</f>
        <v/>
      </c>
      <c r="W209" s="43" t="str">
        <f t="shared" si="128"/>
        <v/>
      </c>
      <c r="X209" s="43" t="str">
        <f t="shared" si="129"/>
        <v/>
      </c>
      <c r="Y209" s="43"/>
      <c r="Z209" s="38" t="str">
        <f t="shared" si="130"/>
        <v/>
      </c>
      <c r="AA209" s="38" t="str">
        <f t="shared" si="131"/>
        <v/>
      </c>
      <c r="AB209" s="38" t="e">
        <f t="shared" si="132"/>
        <v>#VALUE!</v>
      </c>
      <c r="AC209" s="38" t="str">
        <f t="shared" si="133"/>
        <v/>
      </c>
      <c r="AD209" s="38" t="str">
        <f t="shared" si="133"/>
        <v/>
      </c>
      <c r="AE209" s="38" t="e">
        <f t="shared" si="134"/>
        <v>#VALUE!</v>
      </c>
      <c r="AF209" s="238" t="e">
        <f>((Summary!$N$11*(AA209*AD209)*(A209-$D$3))+(Summary!$M$11*Z209*AC209*(AJ209-EOMONTH(EDATE(A209,-1),0))))/(AK209*AB209*AE209)</f>
        <v>#VALUE!</v>
      </c>
      <c r="AG209" s="88" t="str">
        <f>IF($A210="","",Summary!$Q$11)</f>
        <v/>
      </c>
      <c r="AH209" s="88" t="str">
        <f>IF($A210="","",IF(Summary!$R$11="Y",(VLOOKUP($A209,Summary!$AD$6:$AF$9,3)+'Escalating commodity'!G222),'Escalating commodity'!G222))</f>
        <v/>
      </c>
      <c r="AI209" s="88" t="str">
        <f t="shared" si="149"/>
        <v/>
      </c>
      <c r="AJ209" s="236" t="e">
        <f t="shared" si="135"/>
        <v>#VALUE!</v>
      </c>
      <c r="AK209" s="58" t="str">
        <f t="shared" si="136"/>
        <v/>
      </c>
      <c r="AL209" s="26" t="str">
        <f>IF($A210="","",_xll.SPRDOPT(P209,X209,AI209,0,AB209,AE209,AF209,AK209,$AJ$2,0))</f>
        <v/>
      </c>
      <c r="AM209" s="209" t="str">
        <f t="shared" si="137"/>
        <v/>
      </c>
      <c r="AN209" s="89" t="str">
        <f t="shared" si="138"/>
        <v/>
      </c>
      <c r="AO209" s="3" t="str">
        <f t="shared" si="139"/>
        <v/>
      </c>
      <c r="AP209" s="33" t="str">
        <f t="shared" si="140"/>
        <v/>
      </c>
      <c r="AQ209" s="58" t="str">
        <f t="shared" si="141"/>
        <v/>
      </c>
      <c r="AR209" s="38">
        <f>'ANR OK vs ML7'!AR209</f>
        <v>0.1</v>
      </c>
      <c r="AS209" s="35" t="str">
        <f t="shared" si="142"/>
        <v/>
      </c>
      <c r="AT209" s="3" t="str">
        <f t="shared" si="143"/>
        <v/>
      </c>
      <c r="AU209" s="3" t="str">
        <f t="shared" si="144"/>
        <v/>
      </c>
      <c r="AW209" s="32" t="str">
        <f t="shared" si="145"/>
        <v/>
      </c>
      <c r="AX209" s="32" t="str">
        <f t="shared" si="146"/>
        <v/>
      </c>
      <c r="AY209" s="32" t="str">
        <f t="shared" si="147"/>
        <v/>
      </c>
      <c r="BA209" s="32" t="str">
        <f>IF($A210="","",F209*Summary!$Q$11)</f>
        <v/>
      </c>
    </row>
    <row r="210" spans="1:53" ht="12" customHeight="1">
      <c r="A210" s="67" t="str">
        <f t="shared" si="148"/>
        <v/>
      </c>
      <c r="B210" s="69" t="str">
        <f t="shared" si="150"/>
        <v/>
      </c>
      <c r="C210" s="71"/>
      <c r="D210" s="69" t="str">
        <f t="shared" si="114"/>
        <v/>
      </c>
      <c r="E210" s="70" t="str">
        <f t="shared" si="115"/>
        <v/>
      </c>
      <c r="F210" s="70" t="str">
        <f t="shared" si="116"/>
        <v/>
      </c>
      <c r="G210" s="63" t="str">
        <f t="shared" si="117"/>
        <v/>
      </c>
      <c r="H210" s="64" t="str">
        <f t="shared" si="118"/>
        <v/>
      </c>
      <c r="I210" s="43"/>
      <c r="J210" s="63" t="str">
        <f t="shared" si="119"/>
        <v/>
      </c>
      <c r="K210" s="64" t="str">
        <f t="shared" si="120"/>
        <v/>
      </c>
      <c r="L210" s="63" t="str">
        <f t="shared" si="121"/>
        <v/>
      </c>
      <c r="M210" s="64" t="str">
        <f t="shared" si="122"/>
        <v/>
      </c>
      <c r="N210" s="65"/>
      <c r="O210" s="63" t="str">
        <f t="shared" si="123"/>
        <v/>
      </c>
      <c r="P210" s="63" t="str">
        <f t="shared" si="124"/>
        <v/>
      </c>
      <c r="Q210" s="66"/>
      <c r="R210" s="63" t="str">
        <f t="shared" si="125"/>
        <v/>
      </c>
      <c r="S210" s="64" t="str">
        <f t="shared" si="126"/>
        <v/>
      </c>
      <c r="T210" s="38">
        <v>0</v>
      </c>
      <c r="U210" s="64" t="str">
        <f t="shared" si="127"/>
        <v/>
      </c>
      <c r="V210" s="219" t="str">
        <f>IF($A211="","",IF(AND(MONTH(A210)&gt;3,MONTH(A210)&lt;11),(T210+R210+G210)*Summary!$T$11/(1-Summary!$T$11),(T210+R210+G210)*Summary!$U$11/(1-Summary!$U$11)))</f>
        <v/>
      </c>
      <c r="W210" s="43" t="str">
        <f t="shared" si="128"/>
        <v/>
      </c>
      <c r="X210" s="43" t="str">
        <f t="shared" si="129"/>
        <v/>
      </c>
      <c r="Y210" s="43"/>
      <c r="Z210" s="38" t="str">
        <f t="shared" si="130"/>
        <v/>
      </c>
      <c r="AA210" s="38" t="str">
        <f t="shared" si="131"/>
        <v/>
      </c>
      <c r="AB210" s="38" t="e">
        <f t="shared" si="132"/>
        <v>#VALUE!</v>
      </c>
      <c r="AC210" s="38" t="str">
        <f t="shared" si="133"/>
        <v/>
      </c>
      <c r="AD210" s="38" t="str">
        <f t="shared" si="133"/>
        <v/>
      </c>
      <c r="AE210" s="38" t="e">
        <f t="shared" si="134"/>
        <v>#VALUE!</v>
      </c>
      <c r="AF210" s="238" t="e">
        <f>((Summary!$N$11*(AA210*AD210)*(A210-$D$3))+(Summary!$M$11*Z210*AC210*(AJ210-EOMONTH(EDATE(A210,-1),0))))/(AK210*AB210*AE210)</f>
        <v>#VALUE!</v>
      </c>
      <c r="AG210" s="88" t="str">
        <f>IF($A211="","",Summary!$Q$11)</f>
        <v/>
      </c>
      <c r="AH210" s="88" t="str">
        <f>IF($A211="","",IF(Summary!$R$11="Y",(VLOOKUP($A210,Summary!$AD$6:$AF$9,3)+'Escalating commodity'!G223),'Escalating commodity'!G223))</f>
        <v/>
      </c>
      <c r="AI210" s="88" t="str">
        <f t="shared" si="149"/>
        <v/>
      </c>
      <c r="AJ210" s="236" t="e">
        <f t="shared" si="135"/>
        <v>#VALUE!</v>
      </c>
      <c r="AK210" s="58" t="str">
        <f t="shared" si="136"/>
        <v/>
      </c>
      <c r="AL210" s="26" t="str">
        <f>IF($A211="","",_xll.SPRDOPT(P210,X210,AI210,0,AB210,AE210,AF210,AK210,$AJ$2,0))</f>
        <v/>
      </c>
      <c r="AM210" s="209" t="str">
        <f t="shared" si="137"/>
        <v/>
      </c>
      <c r="AN210" s="89" t="str">
        <f t="shared" si="138"/>
        <v/>
      </c>
      <c r="AO210" s="3" t="str">
        <f t="shared" si="139"/>
        <v/>
      </c>
      <c r="AP210" s="33" t="str">
        <f t="shared" si="140"/>
        <v/>
      </c>
      <c r="AQ210" s="58" t="str">
        <f t="shared" si="141"/>
        <v/>
      </c>
      <c r="AR210" s="38">
        <f>'ANR OK vs ML7'!AR210</f>
        <v>0.1</v>
      </c>
      <c r="AS210" s="35" t="str">
        <f t="shared" si="142"/>
        <v/>
      </c>
      <c r="AT210" s="3" t="str">
        <f t="shared" si="143"/>
        <v/>
      </c>
      <c r="AU210" s="3" t="str">
        <f t="shared" si="144"/>
        <v/>
      </c>
      <c r="AW210" s="32" t="str">
        <f t="shared" si="145"/>
        <v/>
      </c>
      <c r="AX210" s="32" t="str">
        <f t="shared" si="146"/>
        <v/>
      </c>
      <c r="AY210" s="32" t="str">
        <f t="shared" si="147"/>
        <v/>
      </c>
      <c r="BA210" s="32" t="str">
        <f>IF($A211="","",F210*Summary!$Q$11)</f>
        <v/>
      </c>
    </row>
    <row r="211" spans="1:53" ht="12" customHeight="1">
      <c r="A211" s="67" t="str">
        <f t="shared" si="148"/>
        <v/>
      </c>
      <c r="B211" s="69" t="str">
        <f t="shared" si="150"/>
        <v/>
      </c>
      <c r="C211" s="71"/>
      <c r="D211" s="69" t="str">
        <f t="shared" si="114"/>
        <v/>
      </c>
      <c r="E211" s="70" t="str">
        <f t="shared" si="115"/>
        <v/>
      </c>
      <c r="F211" s="70" t="str">
        <f t="shared" si="116"/>
        <v/>
      </c>
      <c r="G211" s="63" t="str">
        <f t="shared" si="117"/>
        <v/>
      </c>
      <c r="H211" s="64" t="str">
        <f t="shared" si="118"/>
        <v/>
      </c>
      <c r="I211" s="43"/>
      <c r="J211" s="63" t="str">
        <f t="shared" si="119"/>
        <v/>
      </c>
      <c r="K211" s="64" t="str">
        <f t="shared" si="120"/>
        <v/>
      </c>
      <c r="L211" s="63" t="str">
        <f t="shared" si="121"/>
        <v/>
      </c>
      <c r="M211" s="64" t="str">
        <f t="shared" si="122"/>
        <v/>
      </c>
      <c r="N211" s="65"/>
      <c r="O211" s="63" t="str">
        <f t="shared" si="123"/>
        <v/>
      </c>
      <c r="P211" s="63" t="str">
        <f t="shared" si="124"/>
        <v/>
      </c>
      <c r="Q211" s="66"/>
      <c r="R211" s="63" t="str">
        <f t="shared" si="125"/>
        <v/>
      </c>
      <c r="S211" s="64" t="str">
        <f t="shared" si="126"/>
        <v/>
      </c>
      <c r="T211" s="38">
        <v>0</v>
      </c>
      <c r="U211" s="64" t="str">
        <f t="shared" si="127"/>
        <v/>
      </c>
      <c r="V211" s="219" t="str">
        <f>IF($A212="","",IF(AND(MONTH(A211)&gt;3,MONTH(A211)&lt;11),(T211+R211+G211)*Summary!$T$11/(1-Summary!$T$11),(T211+R211+G211)*Summary!$U$11/(1-Summary!$U$11)))</f>
        <v/>
      </c>
      <c r="W211" s="43" t="str">
        <f t="shared" si="128"/>
        <v/>
      </c>
      <c r="X211" s="43" t="str">
        <f t="shared" si="129"/>
        <v/>
      </c>
      <c r="Y211" s="43"/>
      <c r="Z211" s="38" t="str">
        <f t="shared" si="130"/>
        <v/>
      </c>
      <c r="AA211" s="38" t="str">
        <f t="shared" si="131"/>
        <v/>
      </c>
      <c r="AB211" s="38" t="e">
        <f t="shared" si="132"/>
        <v>#VALUE!</v>
      </c>
      <c r="AC211" s="38" t="str">
        <f t="shared" si="133"/>
        <v/>
      </c>
      <c r="AD211" s="38" t="str">
        <f t="shared" si="133"/>
        <v/>
      </c>
      <c r="AE211" s="38" t="e">
        <f t="shared" si="134"/>
        <v>#VALUE!</v>
      </c>
      <c r="AF211" s="238" t="e">
        <f>((Summary!$N$11*(AA211*AD211)*(A211-$D$3))+(Summary!$M$11*Z211*AC211*(AJ211-EOMONTH(EDATE(A211,-1),0))))/(AK211*AB211*AE211)</f>
        <v>#VALUE!</v>
      </c>
      <c r="AG211" s="88" t="str">
        <f>IF($A212="","",Summary!$Q$11)</f>
        <v/>
      </c>
      <c r="AH211" s="88" t="str">
        <f>IF($A212="","",IF(Summary!$R$11="Y",(VLOOKUP($A211,Summary!$AD$6:$AF$9,3)+'Escalating commodity'!G224),'Escalating commodity'!G224))</f>
        <v/>
      </c>
      <c r="AI211" s="88" t="str">
        <f t="shared" si="149"/>
        <v/>
      </c>
      <c r="AJ211" s="236" t="e">
        <f t="shared" si="135"/>
        <v>#VALUE!</v>
      </c>
      <c r="AK211" s="58" t="str">
        <f t="shared" si="136"/>
        <v/>
      </c>
      <c r="AL211" s="26" t="str">
        <f>IF($A212="","",_xll.SPRDOPT(P211,X211,AI211,0,AB211,AE211,AF211,AK211,$AJ$2,0))</f>
        <v/>
      </c>
      <c r="AM211" s="209" t="str">
        <f t="shared" si="137"/>
        <v/>
      </c>
      <c r="AN211" s="89" t="str">
        <f t="shared" si="138"/>
        <v/>
      </c>
      <c r="AO211" s="3" t="str">
        <f t="shared" si="139"/>
        <v/>
      </c>
      <c r="AP211" s="33" t="str">
        <f t="shared" si="140"/>
        <v/>
      </c>
      <c r="AQ211" s="58" t="str">
        <f t="shared" si="141"/>
        <v/>
      </c>
      <c r="AR211" s="38">
        <f>'ANR OK vs ML7'!AR211</f>
        <v>0.1</v>
      </c>
      <c r="AS211" s="35" t="str">
        <f t="shared" si="142"/>
        <v/>
      </c>
      <c r="AT211" s="3" t="str">
        <f t="shared" si="143"/>
        <v/>
      </c>
      <c r="AU211" s="3" t="str">
        <f t="shared" si="144"/>
        <v/>
      </c>
      <c r="AW211" s="32" t="str">
        <f t="shared" si="145"/>
        <v/>
      </c>
      <c r="AX211" s="32" t="str">
        <f t="shared" si="146"/>
        <v/>
      </c>
      <c r="AY211" s="32" t="str">
        <f t="shared" si="147"/>
        <v/>
      </c>
      <c r="BA211" s="32" t="str">
        <f>IF($A212="","",F211*Summary!$Q$11)</f>
        <v/>
      </c>
    </row>
    <row r="212" spans="1:53" ht="12" customHeight="1">
      <c r="A212" s="67" t="str">
        <f t="shared" si="148"/>
        <v/>
      </c>
      <c r="B212" s="69" t="str">
        <f t="shared" si="150"/>
        <v/>
      </c>
      <c r="C212" s="71"/>
      <c r="D212" s="69" t="str">
        <f t="shared" si="114"/>
        <v/>
      </c>
      <c r="E212" s="70" t="str">
        <f t="shared" si="115"/>
        <v/>
      </c>
      <c r="F212" s="70" t="str">
        <f t="shared" si="116"/>
        <v/>
      </c>
      <c r="G212" s="63" t="str">
        <f t="shared" si="117"/>
        <v/>
      </c>
      <c r="H212" s="64" t="str">
        <f t="shared" si="118"/>
        <v/>
      </c>
      <c r="I212" s="43"/>
      <c r="J212" s="63" t="str">
        <f t="shared" si="119"/>
        <v/>
      </c>
      <c r="K212" s="64" t="str">
        <f t="shared" si="120"/>
        <v/>
      </c>
      <c r="L212" s="63" t="str">
        <f t="shared" si="121"/>
        <v/>
      </c>
      <c r="M212" s="64" t="str">
        <f t="shared" si="122"/>
        <v/>
      </c>
      <c r="N212" s="65"/>
      <c r="O212" s="63" t="str">
        <f t="shared" si="123"/>
        <v/>
      </c>
      <c r="P212" s="63" t="str">
        <f t="shared" si="124"/>
        <v/>
      </c>
      <c r="Q212" s="66"/>
      <c r="R212" s="63" t="str">
        <f t="shared" si="125"/>
        <v/>
      </c>
      <c r="S212" s="64" t="str">
        <f t="shared" si="126"/>
        <v/>
      </c>
      <c r="T212" s="38">
        <v>0</v>
      </c>
      <c r="U212" s="64" t="str">
        <f t="shared" si="127"/>
        <v/>
      </c>
      <c r="V212" s="219" t="str">
        <f>IF($A213="","",IF(AND(MONTH(A212)&gt;3,MONTH(A212)&lt;11),(T212+R212+G212)*Summary!$T$11/(1-Summary!$T$11),(T212+R212+G212)*Summary!$U$11/(1-Summary!$U$11)))</f>
        <v/>
      </c>
      <c r="W212" s="43" t="str">
        <f t="shared" si="128"/>
        <v/>
      </c>
      <c r="X212" s="43" t="str">
        <f t="shared" si="129"/>
        <v/>
      </c>
      <c r="Y212" s="43"/>
      <c r="Z212" s="38" t="str">
        <f t="shared" si="130"/>
        <v/>
      </c>
      <c r="AA212" s="38" t="str">
        <f t="shared" si="131"/>
        <v/>
      </c>
      <c r="AB212" s="38" t="e">
        <f t="shared" si="132"/>
        <v>#VALUE!</v>
      </c>
      <c r="AC212" s="38" t="str">
        <f t="shared" si="133"/>
        <v/>
      </c>
      <c r="AD212" s="38" t="str">
        <f t="shared" si="133"/>
        <v/>
      </c>
      <c r="AE212" s="38" t="e">
        <f t="shared" si="134"/>
        <v>#VALUE!</v>
      </c>
      <c r="AF212" s="238" t="e">
        <f>((Summary!$N$11*(AA212*AD212)*(A212-$D$3))+(Summary!$M$11*Z212*AC212*(AJ212-EOMONTH(EDATE(A212,-1),0))))/(AK212*AB212*AE212)</f>
        <v>#VALUE!</v>
      </c>
      <c r="AG212" s="88" t="str">
        <f>IF($A213="","",Summary!$Q$11)</f>
        <v/>
      </c>
      <c r="AH212" s="88" t="str">
        <f>IF($A213="","",IF(Summary!$R$11="Y",(VLOOKUP($A212,Summary!$AD$6:$AF$9,3)+'Escalating commodity'!G225),'Escalating commodity'!G225))</f>
        <v/>
      </c>
      <c r="AI212" s="88" t="str">
        <f t="shared" si="149"/>
        <v/>
      </c>
      <c r="AJ212" s="236" t="e">
        <f t="shared" si="135"/>
        <v>#VALUE!</v>
      </c>
      <c r="AK212" s="58" t="str">
        <f t="shared" si="136"/>
        <v/>
      </c>
      <c r="AL212" s="26" t="str">
        <f>IF($A213="","",_xll.SPRDOPT(P212,X212,AI212,0,AB212,AE212,AF212,AK212,$AJ$2,0))</f>
        <v/>
      </c>
      <c r="AM212" s="209" t="str">
        <f t="shared" si="137"/>
        <v/>
      </c>
      <c r="AN212" s="89" t="str">
        <f t="shared" si="138"/>
        <v/>
      </c>
      <c r="AO212" s="3" t="str">
        <f t="shared" si="139"/>
        <v/>
      </c>
      <c r="AP212" s="33" t="str">
        <f t="shared" si="140"/>
        <v/>
      </c>
      <c r="AQ212" s="58" t="str">
        <f t="shared" si="141"/>
        <v/>
      </c>
      <c r="AR212" s="38">
        <f>'ANR OK vs ML7'!AR212</f>
        <v>0.1</v>
      </c>
      <c r="AS212" s="35" t="str">
        <f t="shared" si="142"/>
        <v/>
      </c>
      <c r="AT212" s="3" t="str">
        <f t="shared" si="143"/>
        <v/>
      </c>
      <c r="AU212" s="3" t="str">
        <f t="shared" si="144"/>
        <v/>
      </c>
      <c r="AW212" s="32" t="str">
        <f t="shared" si="145"/>
        <v/>
      </c>
      <c r="AX212" s="32" t="str">
        <f t="shared" si="146"/>
        <v/>
      </c>
      <c r="AY212" s="32" t="str">
        <f t="shared" si="147"/>
        <v/>
      </c>
      <c r="BA212" s="32" t="str">
        <f>IF($A213="","",F212*Summary!$Q$11)</f>
        <v/>
      </c>
    </row>
    <row r="213" spans="1:53" ht="12" customHeight="1">
      <c r="A213" s="67" t="str">
        <f t="shared" si="148"/>
        <v/>
      </c>
      <c r="B213" s="69" t="str">
        <f t="shared" si="150"/>
        <v/>
      </c>
      <c r="C213" s="71"/>
      <c r="D213" s="69" t="str">
        <f t="shared" si="114"/>
        <v/>
      </c>
      <c r="E213" s="70" t="str">
        <f t="shared" si="115"/>
        <v/>
      </c>
      <c r="F213" s="70" t="str">
        <f t="shared" si="116"/>
        <v/>
      </c>
      <c r="G213" s="63" t="str">
        <f t="shared" si="117"/>
        <v/>
      </c>
      <c r="H213" s="64" t="str">
        <f t="shared" si="118"/>
        <v/>
      </c>
      <c r="I213" s="43"/>
      <c r="J213" s="63" t="str">
        <f t="shared" si="119"/>
        <v/>
      </c>
      <c r="K213" s="64" t="str">
        <f t="shared" si="120"/>
        <v/>
      </c>
      <c r="L213" s="63" t="str">
        <f t="shared" si="121"/>
        <v/>
      </c>
      <c r="M213" s="64" t="str">
        <f t="shared" si="122"/>
        <v/>
      </c>
      <c r="N213" s="65"/>
      <c r="O213" s="63" t="str">
        <f t="shared" si="123"/>
        <v/>
      </c>
      <c r="P213" s="63" t="str">
        <f t="shared" si="124"/>
        <v/>
      </c>
      <c r="Q213" s="66"/>
      <c r="R213" s="63" t="str">
        <f t="shared" si="125"/>
        <v/>
      </c>
      <c r="S213" s="64" t="str">
        <f t="shared" si="126"/>
        <v/>
      </c>
      <c r="T213" s="38">
        <v>0</v>
      </c>
      <c r="U213" s="64" t="str">
        <f t="shared" si="127"/>
        <v/>
      </c>
      <c r="V213" s="219" t="str">
        <f>IF($A214="","",IF(AND(MONTH(A213)&gt;3,MONTH(A213)&lt;11),(T213+R213+G213)*Summary!$T$11/(1-Summary!$T$11),(T213+R213+G213)*Summary!$U$11/(1-Summary!$U$11)))</f>
        <v/>
      </c>
      <c r="W213" s="43" t="str">
        <f t="shared" si="128"/>
        <v/>
      </c>
      <c r="X213" s="43" t="str">
        <f t="shared" si="129"/>
        <v/>
      </c>
      <c r="Y213" s="43"/>
      <c r="Z213" s="38" t="str">
        <f t="shared" si="130"/>
        <v/>
      </c>
      <c r="AA213" s="38" t="str">
        <f t="shared" si="131"/>
        <v/>
      </c>
      <c r="AB213" s="38" t="e">
        <f t="shared" si="132"/>
        <v>#VALUE!</v>
      </c>
      <c r="AC213" s="38" t="str">
        <f t="shared" si="133"/>
        <v/>
      </c>
      <c r="AD213" s="38" t="str">
        <f t="shared" si="133"/>
        <v/>
      </c>
      <c r="AE213" s="38" t="e">
        <f t="shared" si="134"/>
        <v>#VALUE!</v>
      </c>
      <c r="AF213" s="238" t="e">
        <f>((Summary!$N$11*(AA213*AD213)*(A213-$D$3))+(Summary!$M$11*Z213*AC213*(AJ213-EOMONTH(EDATE(A213,-1),0))))/(AK213*AB213*AE213)</f>
        <v>#VALUE!</v>
      </c>
      <c r="AG213" s="88" t="str">
        <f>IF($A214="","",Summary!$Q$11)</f>
        <v/>
      </c>
      <c r="AH213" s="88" t="str">
        <f>IF($A214="","",IF(Summary!$R$11="Y",(VLOOKUP($A213,Summary!$AD$6:$AF$9,3)+'Escalating commodity'!G226),'Escalating commodity'!G226))</f>
        <v/>
      </c>
      <c r="AI213" s="88" t="str">
        <f t="shared" si="149"/>
        <v/>
      </c>
      <c r="AJ213" s="236" t="e">
        <f t="shared" si="135"/>
        <v>#VALUE!</v>
      </c>
      <c r="AK213" s="58" t="str">
        <f t="shared" si="136"/>
        <v/>
      </c>
      <c r="AL213" s="26" t="str">
        <f>IF($A214="","",_xll.SPRDOPT(P213,X213,AI213,0,AB213,AE213,AF213,AK213,$AJ$2,0))</f>
        <v/>
      </c>
      <c r="AM213" s="209" t="str">
        <f t="shared" si="137"/>
        <v/>
      </c>
      <c r="AN213" s="89" t="str">
        <f t="shared" si="138"/>
        <v/>
      </c>
      <c r="AO213" s="3" t="str">
        <f t="shared" si="139"/>
        <v/>
      </c>
      <c r="AP213" s="33" t="str">
        <f t="shared" si="140"/>
        <v/>
      </c>
      <c r="AQ213" s="58" t="str">
        <f t="shared" si="141"/>
        <v/>
      </c>
      <c r="AR213" s="38">
        <f>'ANR OK vs ML7'!AR213</f>
        <v>0.1</v>
      </c>
      <c r="AS213" s="35" t="str">
        <f t="shared" si="142"/>
        <v/>
      </c>
      <c r="AT213" s="3" t="str">
        <f t="shared" si="143"/>
        <v/>
      </c>
      <c r="AU213" s="3" t="str">
        <f t="shared" si="144"/>
        <v/>
      </c>
      <c r="AW213" s="32" t="str">
        <f t="shared" si="145"/>
        <v/>
      </c>
      <c r="AX213" s="32" t="str">
        <f t="shared" si="146"/>
        <v/>
      </c>
      <c r="AY213" s="32" t="str">
        <f t="shared" si="147"/>
        <v/>
      </c>
      <c r="BA213" s="32" t="str">
        <f>IF($A214="","",F213*Summary!$Q$11)</f>
        <v/>
      </c>
    </row>
    <row r="214" spans="1:53" ht="12" customHeight="1">
      <c r="A214" s="67" t="str">
        <f t="shared" si="148"/>
        <v/>
      </c>
      <c r="B214" s="69" t="str">
        <f t="shared" si="150"/>
        <v/>
      </c>
      <c r="C214" s="71"/>
      <c r="D214" s="69" t="str">
        <f t="shared" si="114"/>
        <v/>
      </c>
      <c r="E214" s="70" t="str">
        <f t="shared" si="115"/>
        <v/>
      </c>
      <c r="F214" s="70" t="str">
        <f t="shared" si="116"/>
        <v/>
      </c>
      <c r="G214" s="63" t="str">
        <f t="shared" si="117"/>
        <v/>
      </c>
      <c r="H214" s="64" t="str">
        <f t="shared" si="118"/>
        <v/>
      </c>
      <c r="I214" s="43"/>
      <c r="J214" s="63" t="str">
        <f t="shared" si="119"/>
        <v/>
      </c>
      <c r="K214" s="64" t="str">
        <f t="shared" si="120"/>
        <v/>
      </c>
      <c r="L214" s="63" t="str">
        <f t="shared" si="121"/>
        <v/>
      </c>
      <c r="M214" s="64" t="str">
        <f t="shared" si="122"/>
        <v/>
      </c>
      <c r="N214" s="65"/>
      <c r="O214" s="63" t="str">
        <f t="shared" si="123"/>
        <v/>
      </c>
      <c r="P214" s="63" t="str">
        <f t="shared" si="124"/>
        <v/>
      </c>
      <c r="Q214" s="66"/>
      <c r="R214" s="63" t="str">
        <f t="shared" si="125"/>
        <v/>
      </c>
      <c r="S214" s="64" t="str">
        <f t="shared" si="126"/>
        <v/>
      </c>
      <c r="T214" s="38">
        <v>0</v>
      </c>
      <c r="U214" s="64" t="str">
        <f t="shared" si="127"/>
        <v/>
      </c>
      <c r="V214" s="219" t="str">
        <f>IF($A215="","",IF(AND(MONTH(A214)&gt;3,MONTH(A214)&lt;11),(T214+R214+G214)*Summary!$T$11/(1-Summary!$T$11),(T214+R214+G214)*Summary!$U$11/(1-Summary!$U$11)))</f>
        <v/>
      </c>
      <c r="W214" s="43" t="str">
        <f t="shared" si="128"/>
        <v/>
      </c>
      <c r="X214" s="43" t="str">
        <f t="shared" si="129"/>
        <v/>
      </c>
      <c r="Y214" s="43"/>
      <c r="Z214" s="38" t="str">
        <f t="shared" si="130"/>
        <v/>
      </c>
      <c r="AA214" s="38" t="str">
        <f t="shared" si="131"/>
        <v/>
      </c>
      <c r="AB214" s="38" t="e">
        <f t="shared" si="132"/>
        <v>#VALUE!</v>
      </c>
      <c r="AC214" s="38" t="str">
        <f t="shared" si="133"/>
        <v/>
      </c>
      <c r="AD214" s="38" t="str">
        <f t="shared" si="133"/>
        <v/>
      </c>
      <c r="AE214" s="38" t="e">
        <f t="shared" si="134"/>
        <v>#VALUE!</v>
      </c>
      <c r="AF214" s="238" t="e">
        <f>((Summary!$N$11*(AA214*AD214)*(A214-$D$3))+(Summary!$M$11*Z214*AC214*(AJ214-EOMONTH(EDATE(A214,-1),0))))/(AK214*AB214*AE214)</f>
        <v>#VALUE!</v>
      </c>
      <c r="AG214" s="88" t="str">
        <f>IF($A215="","",Summary!$Q$11)</f>
        <v/>
      </c>
      <c r="AH214" s="88" t="str">
        <f>IF($A215="","",IF(Summary!$R$11="Y",(VLOOKUP($A214,Summary!$AD$6:$AF$9,3)+'Escalating commodity'!G227),'Escalating commodity'!G227))</f>
        <v/>
      </c>
      <c r="AI214" s="88" t="str">
        <f t="shared" si="149"/>
        <v/>
      </c>
      <c r="AJ214" s="236" t="e">
        <f t="shared" si="135"/>
        <v>#VALUE!</v>
      </c>
      <c r="AK214" s="58" t="str">
        <f t="shared" si="136"/>
        <v/>
      </c>
      <c r="AL214" s="26" t="str">
        <f>IF($A215="","",_xll.SPRDOPT(P214,X214,AI214,0,AB214,AE214,AF214,AK214,$AJ$2,0))</f>
        <v/>
      </c>
      <c r="AM214" s="209" t="str">
        <f t="shared" si="137"/>
        <v/>
      </c>
      <c r="AN214" s="89" t="str">
        <f t="shared" si="138"/>
        <v/>
      </c>
      <c r="AO214" s="3" t="str">
        <f t="shared" si="139"/>
        <v/>
      </c>
      <c r="AP214" s="33" t="str">
        <f t="shared" si="140"/>
        <v/>
      </c>
      <c r="AQ214" s="58" t="str">
        <f t="shared" si="141"/>
        <v/>
      </c>
      <c r="AR214" s="38">
        <f>'ANR OK vs ML7'!AR214</f>
        <v>0.1</v>
      </c>
      <c r="AS214" s="35" t="str">
        <f t="shared" si="142"/>
        <v/>
      </c>
      <c r="AT214" s="3" t="str">
        <f t="shared" si="143"/>
        <v/>
      </c>
      <c r="AU214" s="3" t="str">
        <f t="shared" si="144"/>
        <v/>
      </c>
      <c r="AW214" s="32" t="str">
        <f t="shared" si="145"/>
        <v/>
      </c>
      <c r="AX214" s="32" t="str">
        <f t="shared" si="146"/>
        <v/>
      </c>
      <c r="AY214" s="32" t="str">
        <f t="shared" si="147"/>
        <v/>
      </c>
      <c r="BA214" s="32" t="str">
        <f>IF($A215="","",F214*Summary!$Q$11)</f>
        <v/>
      </c>
    </row>
    <row r="215" spans="1:53" ht="12" customHeight="1">
      <c r="A215" s="67" t="str">
        <f t="shared" si="148"/>
        <v/>
      </c>
      <c r="B215" s="69" t="str">
        <f t="shared" si="150"/>
        <v/>
      </c>
      <c r="C215" s="71"/>
      <c r="D215" s="69" t="str">
        <f t="shared" si="114"/>
        <v/>
      </c>
      <c r="E215" s="70" t="str">
        <f t="shared" si="115"/>
        <v/>
      </c>
      <c r="F215" s="70" t="str">
        <f t="shared" si="116"/>
        <v/>
      </c>
      <c r="G215" s="63" t="str">
        <f t="shared" si="117"/>
        <v/>
      </c>
      <c r="H215" s="64" t="str">
        <f t="shared" si="118"/>
        <v/>
      </c>
      <c r="I215" s="43"/>
      <c r="J215" s="63" t="str">
        <f t="shared" si="119"/>
        <v/>
      </c>
      <c r="K215" s="64" t="str">
        <f t="shared" si="120"/>
        <v/>
      </c>
      <c r="L215" s="63" t="str">
        <f t="shared" si="121"/>
        <v/>
      </c>
      <c r="M215" s="64" t="str">
        <f t="shared" si="122"/>
        <v/>
      </c>
      <c r="N215" s="65"/>
      <c r="O215" s="63" t="str">
        <f t="shared" si="123"/>
        <v/>
      </c>
      <c r="P215" s="63" t="str">
        <f t="shared" si="124"/>
        <v/>
      </c>
      <c r="Q215" s="66"/>
      <c r="R215" s="63" t="str">
        <f t="shared" si="125"/>
        <v/>
      </c>
      <c r="S215" s="64" t="str">
        <f t="shared" si="126"/>
        <v/>
      </c>
      <c r="T215" s="38">
        <v>0</v>
      </c>
      <c r="U215" s="64" t="str">
        <f t="shared" si="127"/>
        <v/>
      </c>
      <c r="V215" s="219" t="str">
        <f>IF($A216="","",IF(AND(MONTH(A215)&gt;3,MONTH(A215)&lt;11),(T215+R215+G215)*Summary!$T$11/(1-Summary!$T$11),(T215+R215+G215)*Summary!$U$11/(1-Summary!$U$11)))</f>
        <v/>
      </c>
      <c r="W215" s="43" t="str">
        <f t="shared" si="128"/>
        <v/>
      </c>
      <c r="X215" s="43" t="str">
        <f t="shared" si="129"/>
        <v/>
      </c>
      <c r="Y215" s="43"/>
      <c r="Z215" s="38" t="str">
        <f t="shared" si="130"/>
        <v/>
      </c>
      <c r="AA215" s="38" t="str">
        <f t="shared" si="131"/>
        <v/>
      </c>
      <c r="AB215" s="38" t="e">
        <f t="shared" si="132"/>
        <v>#VALUE!</v>
      </c>
      <c r="AC215" s="38" t="str">
        <f t="shared" si="133"/>
        <v/>
      </c>
      <c r="AD215" s="38" t="str">
        <f t="shared" si="133"/>
        <v/>
      </c>
      <c r="AE215" s="38" t="e">
        <f t="shared" si="134"/>
        <v>#VALUE!</v>
      </c>
      <c r="AF215" s="238" t="e">
        <f>((Summary!$N$11*(AA215*AD215)*(A215-$D$3))+(Summary!$M$11*Z215*AC215*(AJ215-EOMONTH(EDATE(A215,-1),0))))/(AK215*AB215*AE215)</f>
        <v>#VALUE!</v>
      </c>
      <c r="AG215" s="88" t="str">
        <f>IF($A216="","",Summary!$Q$11)</f>
        <v/>
      </c>
      <c r="AH215" s="88" t="str">
        <f>IF($A216="","",IF(Summary!$R$11="Y",(VLOOKUP($A215,Summary!$AD$6:$AF$9,3)+'Escalating commodity'!G228),'Escalating commodity'!G228))</f>
        <v/>
      </c>
      <c r="AI215" s="88" t="str">
        <f t="shared" si="149"/>
        <v/>
      </c>
      <c r="AJ215" s="236" t="e">
        <f t="shared" si="135"/>
        <v>#VALUE!</v>
      </c>
      <c r="AK215" s="58" t="str">
        <f t="shared" si="136"/>
        <v/>
      </c>
      <c r="AL215" s="26" t="str">
        <f>IF($A216="","",_xll.SPRDOPT(P215,X215,AI215,0,AB215,AE215,AF215,AK215,$AJ$2,0))</f>
        <v/>
      </c>
      <c r="AM215" s="209" t="str">
        <f t="shared" si="137"/>
        <v/>
      </c>
      <c r="AN215" s="89" t="str">
        <f t="shared" si="138"/>
        <v/>
      </c>
      <c r="AO215" s="3" t="str">
        <f t="shared" si="139"/>
        <v/>
      </c>
      <c r="AP215" s="33" t="str">
        <f t="shared" si="140"/>
        <v/>
      </c>
      <c r="AQ215" s="58" t="str">
        <f t="shared" si="141"/>
        <v/>
      </c>
      <c r="AR215" s="38">
        <f>'ANR OK vs ML7'!AR215</f>
        <v>0.1</v>
      </c>
      <c r="AS215" s="35" t="str">
        <f t="shared" si="142"/>
        <v/>
      </c>
      <c r="AT215" s="3" t="str">
        <f t="shared" si="143"/>
        <v/>
      </c>
      <c r="AU215" s="3" t="str">
        <f t="shared" si="144"/>
        <v/>
      </c>
      <c r="AW215" s="32" t="str">
        <f t="shared" si="145"/>
        <v/>
      </c>
      <c r="AX215" s="32" t="str">
        <f t="shared" si="146"/>
        <v/>
      </c>
      <c r="AY215" s="32" t="str">
        <f t="shared" si="147"/>
        <v/>
      </c>
      <c r="BA215" s="32" t="str">
        <f>IF($A216="","",F215*Summary!$Q$11)</f>
        <v/>
      </c>
    </row>
    <row r="216" spans="1:53" ht="12" customHeight="1">
      <c r="A216" s="67" t="str">
        <f t="shared" si="148"/>
        <v/>
      </c>
      <c r="B216" s="69" t="str">
        <f t="shared" si="150"/>
        <v/>
      </c>
      <c r="C216" s="71"/>
      <c r="D216" s="69" t="str">
        <f t="shared" si="114"/>
        <v/>
      </c>
      <c r="E216" s="70" t="str">
        <f t="shared" si="115"/>
        <v/>
      </c>
      <c r="F216" s="70" t="str">
        <f t="shared" si="116"/>
        <v/>
      </c>
      <c r="G216" s="63" t="str">
        <f t="shared" si="117"/>
        <v/>
      </c>
      <c r="H216" s="64" t="str">
        <f t="shared" si="118"/>
        <v/>
      </c>
      <c r="I216" s="43"/>
      <c r="J216" s="63" t="str">
        <f t="shared" si="119"/>
        <v/>
      </c>
      <c r="K216" s="64" t="str">
        <f t="shared" si="120"/>
        <v/>
      </c>
      <c r="L216" s="63" t="str">
        <f t="shared" si="121"/>
        <v/>
      </c>
      <c r="M216" s="64" t="str">
        <f t="shared" si="122"/>
        <v/>
      </c>
      <c r="N216" s="65"/>
      <c r="O216" s="63" t="str">
        <f t="shared" si="123"/>
        <v/>
      </c>
      <c r="P216" s="63" t="str">
        <f t="shared" si="124"/>
        <v/>
      </c>
      <c r="Q216" s="66"/>
      <c r="R216" s="63" t="str">
        <f t="shared" si="125"/>
        <v/>
      </c>
      <c r="S216" s="64" t="str">
        <f t="shared" si="126"/>
        <v/>
      </c>
      <c r="T216" s="38">
        <v>0</v>
      </c>
      <c r="U216" s="64" t="str">
        <f t="shared" si="127"/>
        <v/>
      </c>
      <c r="V216" s="219" t="str">
        <f>IF($A217="","",IF(AND(MONTH(A216)&gt;3,MONTH(A216)&lt;11),(T216+R216+G216)*Summary!$T$11/(1-Summary!$T$11),(T216+R216+G216)*Summary!$U$11/(1-Summary!$U$11)))</f>
        <v/>
      </c>
      <c r="W216" s="43" t="str">
        <f t="shared" si="128"/>
        <v/>
      </c>
      <c r="X216" s="43" t="str">
        <f t="shared" si="129"/>
        <v/>
      </c>
      <c r="Y216" s="43"/>
      <c r="Z216" s="38" t="str">
        <f t="shared" si="130"/>
        <v/>
      </c>
      <c r="AA216" s="38" t="str">
        <f t="shared" si="131"/>
        <v/>
      </c>
      <c r="AB216" s="38" t="e">
        <f t="shared" si="132"/>
        <v>#VALUE!</v>
      </c>
      <c r="AC216" s="38" t="str">
        <f t="shared" si="133"/>
        <v/>
      </c>
      <c r="AD216" s="38" t="str">
        <f t="shared" si="133"/>
        <v/>
      </c>
      <c r="AE216" s="38" t="e">
        <f t="shared" si="134"/>
        <v>#VALUE!</v>
      </c>
      <c r="AF216" s="238" t="e">
        <f>((Summary!$N$11*(AA216*AD216)*(A216-$D$3))+(Summary!$M$11*Z216*AC216*(AJ216-EOMONTH(EDATE(A216,-1),0))))/(AK216*AB216*AE216)</f>
        <v>#VALUE!</v>
      </c>
      <c r="AG216" s="88" t="str">
        <f>IF($A217="","",Summary!$Q$11)</f>
        <v/>
      </c>
      <c r="AH216" s="88" t="str">
        <f>IF($A217="","",IF(Summary!$R$11="Y",(VLOOKUP($A216,Summary!$AD$6:$AF$9,3)+'Escalating commodity'!G229),'Escalating commodity'!G229))</f>
        <v/>
      </c>
      <c r="AI216" s="88" t="str">
        <f t="shared" si="149"/>
        <v/>
      </c>
      <c r="AJ216" s="236" t="e">
        <f t="shared" si="135"/>
        <v>#VALUE!</v>
      </c>
      <c r="AK216" s="58" t="str">
        <f t="shared" si="136"/>
        <v/>
      </c>
      <c r="AL216" s="26" t="str">
        <f>IF($A217="","",_xll.SPRDOPT(P216,X216,AI216,0,AB216,AE216,AF216,AK216,$AJ$2,0))</f>
        <v/>
      </c>
      <c r="AM216" s="209" t="str">
        <f t="shared" si="137"/>
        <v/>
      </c>
      <c r="AN216" s="89" t="str">
        <f t="shared" si="138"/>
        <v/>
      </c>
      <c r="AO216" s="3" t="str">
        <f t="shared" si="139"/>
        <v/>
      </c>
      <c r="AP216" s="33" t="str">
        <f t="shared" si="140"/>
        <v/>
      </c>
      <c r="AQ216" s="58" t="str">
        <f t="shared" si="141"/>
        <v/>
      </c>
      <c r="AR216" s="38">
        <f>'ANR OK vs ML7'!AR216</f>
        <v>0.1</v>
      </c>
      <c r="AS216" s="35" t="str">
        <f t="shared" si="142"/>
        <v/>
      </c>
      <c r="AT216" s="3" t="str">
        <f t="shared" si="143"/>
        <v/>
      </c>
      <c r="AU216" s="3" t="str">
        <f t="shared" si="144"/>
        <v/>
      </c>
      <c r="AW216" s="32" t="str">
        <f t="shared" si="145"/>
        <v/>
      </c>
      <c r="AX216" s="32" t="str">
        <f t="shared" si="146"/>
        <v/>
      </c>
      <c r="AY216" s="32" t="str">
        <f t="shared" si="147"/>
        <v/>
      </c>
      <c r="BA216" s="32" t="str">
        <f>IF($A217="","",F216*Summary!$Q$11)</f>
        <v/>
      </c>
    </row>
    <row r="217" spans="1:53" ht="12" customHeight="1">
      <c r="A217" s="67" t="str">
        <f t="shared" si="148"/>
        <v/>
      </c>
      <c r="B217" s="69" t="str">
        <f t="shared" si="150"/>
        <v/>
      </c>
      <c r="C217" s="71"/>
      <c r="D217" s="69" t="str">
        <f t="shared" si="114"/>
        <v/>
      </c>
      <c r="E217" s="70" t="str">
        <f t="shared" si="115"/>
        <v/>
      </c>
      <c r="F217" s="70" t="str">
        <f t="shared" si="116"/>
        <v/>
      </c>
      <c r="G217" s="63" t="str">
        <f t="shared" si="117"/>
        <v/>
      </c>
      <c r="H217" s="64" t="str">
        <f t="shared" si="118"/>
        <v/>
      </c>
      <c r="I217" s="43"/>
      <c r="J217" s="63" t="str">
        <f t="shared" si="119"/>
        <v/>
      </c>
      <c r="K217" s="64" t="str">
        <f t="shared" si="120"/>
        <v/>
      </c>
      <c r="L217" s="63" t="str">
        <f t="shared" si="121"/>
        <v/>
      </c>
      <c r="M217" s="64" t="str">
        <f t="shared" si="122"/>
        <v/>
      </c>
      <c r="N217" s="65"/>
      <c r="O217" s="63" t="str">
        <f t="shared" si="123"/>
        <v/>
      </c>
      <c r="P217" s="63" t="str">
        <f t="shared" si="124"/>
        <v/>
      </c>
      <c r="Q217" s="66"/>
      <c r="R217" s="63" t="str">
        <f t="shared" si="125"/>
        <v/>
      </c>
      <c r="S217" s="64" t="str">
        <f t="shared" si="126"/>
        <v/>
      </c>
      <c r="T217" s="38">
        <v>0</v>
      </c>
      <c r="U217" s="64" t="str">
        <f t="shared" si="127"/>
        <v/>
      </c>
      <c r="V217" s="219" t="str">
        <f>IF($A218="","",IF(AND(MONTH(A217)&gt;3,MONTH(A217)&lt;11),(T217+R217+G217)*Summary!$T$11/(1-Summary!$T$11),(T217+R217+G217)*Summary!$U$11/(1-Summary!$U$11)))</f>
        <v/>
      </c>
      <c r="W217" s="43" t="str">
        <f t="shared" si="128"/>
        <v/>
      </c>
      <c r="X217" s="43" t="str">
        <f t="shared" si="129"/>
        <v/>
      </c>
      <c r="Y217" s="43"/>
      <c r="Z217" s="38" t="str">
        <f t="shared" si="130"/>
        <v/>
      </c>
      <c r="AA217" s="38" t="str">
        <f t="shared" si="131"/>
        <v/>
      </c>
      <c r="AB217" s="38" t="e">
        <f t="shared" si="132"/>
        <v>#VALUE!</v>
      </c>
      <c r="AC217" s="38" t="str">
        <f t="shared" si="133"/>
        <v/>
      </c>
      <c r="AD217" s="38" t="str">
        <f t="shared" si="133"/>
        <v/>
      </c>
      <c r="AE217" s="38" t="e">
        <f t="shared" si="134"/>
        <v>#VALUE!</v>
      </c>
      <c r="AF217" s="238" t="e">
        <f>((Summary!$N$11*(AA217*AD217)*(A217-$D$3))+(Summary!$M$11*Z217*AC217*(AJ217-EOMONTH(EDATE(A217,-1),0))))/(AK217*AB217*AE217)</f>
        <v>#VALUE!</v>
      </c>
      <c r="AG217" s="88" t="str">
        <f>IF($A218="","",Summary!$Q$11)</f>
        <v/>
      </c>
      <c r="AH217" s="88" t="str">
        <f>IF($A218="","",IF(Summary!$R$11="Y",(VLOOKUP($A217,Summary!$AD$6:$AF$9,3)+'Escalating commodity'!G230),'Escalating commodity'!G230))</f>
        <v/>
      </c>
      <c r="AI217" s="88" t="str">
        <f t="shared" si="149"/>
        <v/>
      </c>
      <c r="AJ217" s="236" t="e">
        <f t="shared" si="135"/>
        <v>#VALUE!</v>
      </c>
      <c r="AK217" s="58" t="str">
        <f t="shared" si="136"/>
        <v/>
      </c>
      <c r="AL217" s="26" t="str">
        <f>IF($A218="","",_xll.SPRDOPT(P217,X217,AI217,0,AB217,AE217,AF217,AK217,$AJ$2,0))</f>
        <v/>
      </c>
      <c r="AM217" s="209" t="str">
        <f t="shared" si="137"/>
        <v/>
      </c>
      <c r="AN217" s="89" t="str">
        <f t="shared" si="138"/>
        <v/>
      </c>
      <c r="AO217" s="3" t="str">
        <f t="shared" si="139"/>
        <v/>
      </c>
      <c r="AP217" s="33" t="str">
        <f t="shared" si="140"/>
        <v/>
      </c>
      <c r="AQ217" s="58" t="str">
        <f t="shared" si="141"/>
        <v/>
      </c>
      <c r="AR217" s="38">
        <f>'ANR OK vs ML7'!AR217</f>
        <v>0.1</v>
      </c>
      <c r="AS217" s="35" t="str">
        <f t="shared" si="142"/>
        <v/>
      </c>
      <c r="AT217" s="3" t="str">
        <f t="shared" si="143"/>
        <v/>
      </c>
      <c r="AU217" s="3" t="str">
        <f t="shared" si="144"/>
        <v/>
      </c>
      <c r="AW217" s="32" t="str">
        <f t="shared" si="145"/>
        <v/>
      </c>
      <c r="AX217" s="32" t="str">
        <f t="shared" si="146"/>
        <v/>
      </c>
      <c r="AY217" s="32" t="str">
        <f t="shared" si="147"/>
        <v/>
      </c>
      <c r="BA217" s="32" t="str">
        <f>IF($A218="","",F217*Summary!$Q$11)</f>
        <v/>
      </c>
    </row>
    <row r="218" spans="1:53" ht="12" customHeight="1">
      <c r="A218" s="67" t="str">
        <f t="shared" si="148"/>
        <v/>
      </c>
      <c r="B218" s="69" t="str">
        <f t="shared" si="150"/>
        <v/>
      </c>
      <c r="C218" s="71"/>
      <c r="D218" s="69" t="str">
        <f t="shared" si="114"/>
        <v/>
      </c>
      <c r="E218" s="70" t="str">
        <f t="shared" si="115"/>
        <v/>
      </c>
      <c r="F218" s="70" t="str">
        <f t="shared" si="116"/>
        <v/>
      </c>
      <c r="G218" s="63" t="str">
        <f t="shared" si="117"/>
        <v/>
      </c>
      <c r="H218" s="64" t="str">
        <f t="shared" si="118"/>
        <v/>
      </c>
      <c r="I218" s="43"/>
      <c r="J218" s="63" t="str">
        <f t="shared" si="119"/>
        <v/>
      </c>
      <c r="K218" s="64" t="str">
        <f t="shared" si="120"/>
        <v/>
      </c>
      <c r="L218" s="63" t="str">
        <f t="shared" si="121"/>
        <v/>
      </c>
      <c r="M218" s="64" t="str">
        <f t="shared" si="122"/>
        <v/>
      </c>
      <c r="N218" s="65"/>
      <c r="O218" s="63" t="str">
        <f t="shared" si="123"/>
        <v/>
      </c>
      <c r="P218" s="63" t="str">
        <f t="shared" si="124"/>
        <v/>
      </c>
      <c r="Q218" s="66"/>
      <c r="R218" s="63" t="str">
        <f t="shared" si="125"/>
        <v/>
      </c>
      <c r="S218" s="64" t="str">
        <f t="shared" si="126"/>
        <v/>
      </c>
      <c r="T218" s="38">
        <v>0</v>
      </c>
      <c r="U218" s="64" t="str">
        <f t="shared" si="127"/>
        <v/>
      </c>
      <c r="V218" s="219" t="str">
        <f>IF($A219="","",IF(AND(MONTH(A218)&gt;3,MONTH(A218)&lt;11),(T218+R218+G218)*Summary!$T$11/(1-Summary!$T$11),(T218+R218+G218)*Summary!$U$11/(1-Summary!$U$11)))</f>
        <v/>
      </c>
      <c r="W218" s="43" t="str">
        <f t="shared" si="128"/>
        <v/>
      </c>
      <c r="X218" s="43" t="str">
        <f t="shared" si="129"/>
        <v/>
      </c>
      <c r="Y218" s="43"/>
      <c r="Z218" s="38" t="str">
        <f t="shared" si="130"/>
        <v/>
      </c>
      <c r="AA218" s="38" t="str">
        <f t="shared" si="131"/>
        <v/>
      </c>
      <c r="AB218" s="38" t="e">
        <f t="shared" si="132"/>
        <v>#VALUE!</v>
      </c>
      <c r="AC218" s="38" t="str">
        <f t="shared" si="133"/>
        <v/>
      </c>
      <c r="AD218" s="38" t="str">
        <f t="shared" si="133"/>
        <v/>
      </c>
      <c r="AE218" s="38" t="e">
        <f t="shared" si="134"/>
        <v>#VALUE!</v>
      </c>
      <c r="AF218" s="238" t="e">
        <f>((Summary!$N$11*(AA218*AD218)*(A218-$D$3))+(Summary!$M$11*Z218*AC218*(AJ218-EOMONTH(EDATE(A218,-1),0))))/(AK218*AB218*AE218)</f>
        <v>#VALUE!</v>
      </c>
      <c r="AG218" s="88" t="str">
        <f>IF($A219="","",Summary!$Q$11)</f>
        <v/>
      </c>
      <c r="AH218" s="88" t="str">
        <f>IF($A219="","",IF(Summary!$R$11="Y",(VLOOKUP($A218,Summary!$AD$6:$AF$9,3)+'Escalating commodity'!G231),'Escalating commodity'!G231))</f>
        <v/>
      </c>
      <c r="AI218" s="88" t="str">
        <f t="shared" si="149"/>
        <v/>
      </c>
      <c r="AJ218" s="236" t="e">
        <f t="shared" si="135"/>
        <v>#VALUE!</v>
      </c>
      <c r="AK218" s="58" t="str">
        <f t="shared" si="136"/>
        <v/>
      </c>
      <c r="AL218" s="26" t="str">
        <f>IF($A219="","",_xll.SPRDOPT(P218,X218,AI218,0,AB218,AE218,AF218,AK218,$AJ$2,0))</f>
        <v/>
      </c>
      <c r="AM218" s="209" t="str">
        <f t="shared" si="137"/>
        <v/>
      </c>
      <c r="AN218" s="89" t="str">
        <f t="shared" si="138"/>
        <v/>
      </c>
      <c r="AO218" s="3" t="str">
        <f t="shared" si="139"/>
        <v/>
      </c>
      <c r="AP218" s="33" t="str">
        <f t="shared" si="140"/>
        <v/>
      </c>
      <c r="AQ218" s="58" t="str">
        <f t="shared" si="141"/>
        <v/>
      </c>
      <c r="AR218" s="38">
        <f>'ANR OK vs ML7'!AR218</f>
        <v>0.1</v>
      </c>
      <c r="AS218" s="35" t="str">
        <f t="shared" si="142"/>
        <v/>
      </c>
      <c r="AT218" s="3" t="str">
        <f t="shared" si="143"/>
        <v/>
      </c>
      <c r="AU218" s="3" t="str">
        <f t="shared" si="144"/>
        <v/>
      </c>
      <c r="AW218" s="32" t="str">
        <f t="shared" si="145"/>
        <v/>
      </c>
      <c r="AX218" s="32" t="str">
        <f t="shared" si="146"/>
        <v/>
      </c>
      <c r="AY218" s="32" t="str">
        <f t="shared" si="147"/>
        <v/>
      </c>
      <c r="BA218" s="32" t="str">
        <f>IF($A219="","",F218*Summary!$Q$11)</f>
        <v/>
      </c>
    </row>
    <row r="219" spans="1:53" ht="12" customHeight="1">
      <c r="A219" s="67" t="str">
        <f t="shared" si="148"/>
        <v/>
      </c>
      <c r="B219" s="69" t="str">
        <f t="shared" si="150"/>
        <v/>
      </c>
      <c r="C219" s="71"/>
      <c r="D219" s="69" t="str">
        <f t="shared" si="114"/>
        <v/>
      </c>
      <c r="E219" s="70" t="str">
        <f t="shared" si="115"/>
        <v/>
      </c>
      <c r="F219" s="70" t="str">
        <f t="shared" si="116"/>
        <v/>
      </c>
      <c r="G219" s="63" t="str">
        <f t="shared" si="117"/>
        <v/>
      </c>
      <c r="H219" s="64" t="str">
        <f t="shared" si="118"/>
        <v/>
      </c>
      <c r="I219" s="43"/>
      <c r="J219" s="63" t="str">
        <f t="shared" si="119"/>
        <v/>
      </c>
      <c r="K219" s="64" t="str">
        <f t="shared" si="120"/>
        <v/>
      </c>
      <c r="L219" s="63" t="str">
        <f t="shared" si="121"/>
        <v/>
      </c>
      <c r="M219" s="64" t="str">
        <f t="shared" si="122"/>
        <v/>
      </c>
      <c r="N219" s="65"/>
      <c r="O219" s="63" t="str">
        <f t="shared" si="123"/>
        <v/>
      </c>
      <c r="P219" s="63" t="str">
        <f t="shared" si="124"/>
        <v/>
      </c>
      <c r="Q219" s="66"/>
      <c r="R219" s="63" t="str">
        <f t="shared" si="125"/>
        <v/>
      </c>
      <c r="S219" s="64" t="str">
        <f t="shared" si="126"/>
        <v/>
      </c>
      <c r="T219" s="38">
        <v>0</v>
      </c>
      <c r="U219" s="64" t="str">
        <f t="shared" si="127"/>
        <v/>
      </c>
      <c r="V219" s="219" t="str">
        <f>IF($A220="","",IF(AND(MONTH(A219)&gt;3,MONTH(A219)&lt;11),(T219+R219+G219)*Summary!$T$11/(1-Summary!$T$11),(T219+R219+G219)*Summary!$U$11/(1-Summary!$U$11)))</f>
        <v/>
      </c>
      <c r="W219" s="43" t="str">
        <f t="shared" si="128"/>
        <v/>
      </c>
      <c r="X219" s="43" t="str">
        <f t="shared" si="129"/>
        <v/>
      </c>
      <c r="Y219" s="43"/>
      <c r="Z219" s="38" t="str">
        <f t="shared" si="130"/>
        <v/>
      </c>
      <c r="AA219" s="38" t="str">
        <f t="shared" si="131"/>
        <v/>
      </c>
      <c r="AB219" s="38" t="e">
        <f t="shared" si="132"/>
        <v>#VALUE!</v>
      </c>
      <c r="AC219" s="38" t="str">
        <f t="shared" si="133"/>
        <v/>
      </c>
      <c r="AD219" s="38" t="str">
        <f t="shared" si="133"/>
        <v/>
      </c>
      <c r="AE219" s="38" t="e">
        <f t="shared" si="134"/>
        <v>#VALUE!</v>
      </c>
      <c r="AF219" s="238" t="e">
        <f>((Summary!$N$11*(AA219*AD219)*(A219-$D$3))+(Summary!$M$11*Z219*AC219*(AJ219-EOMONTH(EDATE(A219,-1),0))))/(AK219*AB219*AE219)</f>
        <v>#VALUE!</v>
      </c>
      <c r="AG219" s="88" t="str">
        <f>IF($A220="","",Summary!$Q$11)</f>
        <v/>
      </c>
      <c r="AH219" s="88" t="str">
        <f>IF($A220="","",IF(Summary!$R$11="Y",(VLOOKUP($A219,Summary!$AD$6:$AF$9,3)+'Escalating commodity'!G232),'Escalating commodity'!G232))</f>
        <v/>
      </c>
      <c r="AI219" s="88" t="str">
        <f t="shared" si="149"/>
        <v/>
      </c>
      <c r="AJ219" s="236" t="e">
        <f t="shared" si="135"/>
        <v>#VALUE!</v>
      </c>
      <c r="AK219" s="58" t="str">
        <f t="shared" si="136"/>
        <v/>
      </c>
      <c r="AL219" s="26" t="str">
        <f>IF($A220="","",_xll.SPRDOPT(P219,X219,AI219,0,AB219,AE219,AF219,AK219,$AJ$2,0))</f>
        <v/>
      </c>
      <c r="AM219" s="209" t="str">
        <f t="shared" si="137"/>
        <v/>
      </c>
      <c r="AN219" s="89" t="str">
        <f t="shared" si="138"/>
        <v/>
      </c>
      <c r="AO219" s="3" t="str">
        <f t="shared" si="139"/>
        <v/>
      </c>
      <c r="AP219" s="33" t="str">
        <f t="shared" si="140"/>
        <v/>
      </c>
      <c r="AQ219" s="58" t="str">
        <f t="shared" si="141"/>
        <v/>
      </c>
      <c r="AR219" s="38">
        <f>'ANR OK vs ML7'!AR219</f>
        <v>0.1</v>
      </c>
      <c r="AS219" s="35" t="str">
        <f t="shared" si="142"/>
        <v/>
      </c>
      <c r="AT219" s="3" t="str">
        <f t="shared" si="143"/>
        <v/>
      </c>
      <c r="AU219" s="3" t="str">
        <f t="shared" si="144"/>
        <v/>
      </c>
      <c r="AW219" s="32" t="str">
        <f t="shared" si="145"/>
        <v/>
      </c>
      <c r="AX219" s="32" t="str">
        <f t="shared" si="146"/>
        <v/>
      </c>
      <c r="AY219" s="32" t="str">
        <f t="shared" si="147"/>
        <v/>
      </c>
      <c r="BA219" s="32" t="str">
        <f>IF($A220="","",F219*Summary!$Q$11)</f>
        <v/>
      </c>
    </row>
    <row r="220" spans="1:53" ht="12" customHeight="1">
      <c r="A220" s="67" t="str">
        <f t="shared" si="148"/>
        <v/>
      </c>
      <c r="B220" s="69" t="str">
        <f t="shared" si="150"/>
        <v/>
      </c>
      <c r="C220" s="71"/>
      <c r="D220" s="69" t="str">
        <f t="shared" si="114"/>
        <v/>
      </c>
      <c r="E220" s="70" t="str">
        <f t="shared" si="115"/>
        <v/>
      </c>
      <c r="F220" s="70" t="str">
        <f t="shared" si="116"/>
        <v/>
      </c>
      <c r="G220" s="63" t="str">
        <f t="shared" si="117"/>
        <v/>
      </c>
      <c r="H220" s="64" t="str">
        <f t="shared" si="118"/>
        <v/>
      </c>
      <c r="I220" s="43"/>
      <c r="J220" s="63" t="str">
        <f t="shared" si="119"/>
        <v/>
      </c>
      <c r="K220" s="64" t="str">
        <f t="shared" si="120"/>
        <v/>
      </c>
      <c r="L220" s="63" t="str">
        <f t="shared" si="121"/>
        <v/>
      </c>
      <c r="M220" s="64" t="str">
        <f t="shared" si="122"/>
        <v/>
      </c>
      <c r="N220" s="65"/>
      <c r="O220" s="63" t="str">
        <f t="shared" si="123"/>
        <v/>
      </c>
      <c r="P220" s="63" t="str">
        <f t="shared" si="124"/>
        <v/>
      </c>
      <c r="Q220" s="66"/>
      <c r="R220" s="63" t="str">
        <f t="shared" si="125"/>
        <v/>
      </c>
      <c r="S220" s="64" t="str">
        <f t="shared" si="126"/>
        <v/>
      </c>
      <c r="T220" s="38">
        <v>0</v>
      </c>
      <c r="U220" s="64" t="str">
        <f t="shared" si="127"/>
        <v/>
      </c>
      <c r="V220" s="219" t="str">
        <f>IF($A221="","",IF(AND(MONTH(A220)&gt;3,MONTH(A220)&lt;11),(T220+R220+G220)*Summary!$T$11/(1-Summary!$T$11),(T220+R220+G220)*Summary!$U$11/(1-Summary!$U$11)))</f>
        <v/>
      </c>
      <c r="W220" s="43" t="str">
        <f t="shared" si="128"/>
        <v/>
      </c>
      <c r="X220" s="43" t="str">
        <f t="shared" si="129"/>
        <v/>
      </c>
      <c r="Y220" s="43"/>
      <c r="Z220" s="38" t="str">
        <f t="shared" si="130"/>
        <v/>
      </c>
      <c r="AA220" s="38" t="str">
        <f t="shared" si="131"/>
        <v/>
      </c>
      <c r="AB220" s="38" t="e">
        <f t="shared" si="132"/>
        <v>#VALUE!</v>
      </c>
      <c r="AC220" s="38" t="str">
        <f t="shared" si="133"/>
        <v/>
      </c>
      <c r="AD220" s="38" t="str">
        <f t="shared" si="133"/>
        <v/>
      </c>
      <c r="AE220" s="38" t="e">
        <f t="shared" si="134"/>
        <v>#VALUE!</v>
      </c>
      <c r="AF220" s="238" t="e">
        <f>((Summary!$N$11*(AA220*AD220)*(A220-$D$3))+(Summary!$M$11*Z220*AC220*(AJ220-EOMONTH(EDATE(A220,-1),0))))/(AK220*AB220*AE220)</f>
        <v>#VALUE!</v>
      </c>
      <c r="AG220" s="88" t="str">
        <f>IF($A221="","",Summary!$Q$11)</f>
        <v/>
      </c>
      <c r="AH220" s="88" t="str">
        <f>IF($A221="","",IF(Summary!$R$11="Y",(VLOOKUP($A220,Summary!$AD$6:$AF$9,3)+'Escalating commodity'!G233),'Escalating commodity'!G233))</f>
        <v/>
      </c>
      <c r="AI220" s="88" t="str">
        <f t="shared" si="149"/>
        <v/>
      </c>
      <c r="AJ220" s="236" t="e">
        <f t="shared" si="135"/>
        <v>#VALUE!</v>
      </c>
      <c r="AK220" s="58" t="str">
        <f t="shared" si="136"/>
        <v/>
      </c>
      <c r="AL220" s="26" t="str">
        <f>IF($A221="","",_xll.SPRDOPT(P220,X220,AI220,0,AB220,AE220,AF220,AK220,$AJ$2,0))</f>
        <v/>
      </c>
      <c r="AM220" s="209" t="str">
        <f t="shared" si="137"/>
        <v/>
      </c>
      <c r="AN220" s="89" t="str">
        <f t="shared" si="138"/>
        <v/>
      </c>
      <c r="AO220" s="3" t="str">
        <f t="shared" si="139"/>
        <v/>
      </c>
      <c r="AP220" s="33" t="str">
        <f t="shared" si="140"/>
        <v/>
      </c>
      <c r="AQ220" s="58" t="str">
        <f t="shared" si="141"/>
        <v/>
      </c>
      <c r="AR220" s="38">
        <f>'ANR OK vs ML7'!AR220</f>
        <v>0.1</v>
      </c>
      <c r="AS220" s="35" t="str">
        <f t="shared" si="142"/>
        <v/>
      </c>
      <c r="AT220" s="3" t="str">
        <f t="shared" si="143"/>
        <v/>
      </c>
      <c r="AU220" s="3" t="str">
        <f t="shared" si="144"/>
        <v/>
      </c>
      <c r="AW220" s="32" t="str">
        <f t="shared" si="145"/>
        <v/>
      </c>
      <c r="AX220" s="32" t="str">
        <f t="shared" si="146"/>
        <v/>
      </c>
      <c r="AY220" s="32" t="str">
        <f t="shared" si="147"/>
        <v/>
      </c>
      <c r="BA220" s="32" t="str">
        <f>IF($A221="","",F220*Summary!$Q$11)</f>
        <v/>
      </c>
    </row>
    <row r="221" spans="1:53" ht="12" customHeight="1">
      <c r="A221" s="67" t="str">
        <f t="shared" si="148"/>
        <v/>
      </c>
      <c r="B221" s="69" t="str">
        <f t="shared" si="150"/>
        <v/>
      </c>
      <c r="C221" s="71"/>
      <c r="D221" s="69" t="str">
        <f t="shared" si="114"/>
        <v/>
      </c>
      <c r="E221" s="70" t="str">
        <f t="shared" si="115"/>
        <v/>
      </c>
      <c r="F221" s="70" t="str">
        <f t="shared" si="116"/>
        <v/>
      </c>
      <c r="G221" s="63" t="str">
        <f t="shared" si="117"/>
        <v/>
      </c>
      <c r="H221" s="64" t="str">
        <f t="shared" si="118"/>
        <v/>
      </c>
      <c r="I221" s="43"/>
      <c r="J221" s="63" t="str">
        <f t="shared" si="119"/>
        <v/>
      </c>
      <c r="K221" s="64" t="str">
        <f t="shared" si="120"/>
        <v/>
      </c>
      <c r="L221" s="63" t="str">
        <f t="shared" si="121"/>
        <v/>
      </c>
      <c r="M221" s="64" t="str">
        <f t="shared" si="122"/>
        <v/>
      </c>
      <c r="N221" s="65"/>
      <c r="O221" s="63" t="str">
        <f t="shared" si="123"/>
        <v/>
      </c>
      <c r="P221" s="63" t="str">
        <f t="shared" si="124"/>
        <v/>
      </c>
      <c r="Q221" s="66"/>
      <c r="R221" s="63" t="str">
        <f t="shared" si="125"/>
        <v/>
      </c>
      <c r="S221" s="64" t="str">
        <f t="shared" si="126"/>
        <v/>
      </c>
      <c r="T221" s="38">
        <v>0</v>
      </c>
      <c r="U221" s="64" t="str">
        <f t="shared" si="127"/>
        <v/>
      </c>
      <c r="V221" s="219" t="str">
        <f>IF($A222="","",IF(AND(MONTH(A221)&gt;3,MONTH(A221)&lt;11),(T221+R221+G221)*Summary!$T$11/(1-Summary!$T$11),(T221+R221+G221)*Summary!$U$11/(1-Summary!$U$11)))</f>
        <v/>
      </c>
      <c r="W221" s="43" t="str">
        <f t="shared" si="128"/>
        <v/>
      </c>
      <c r="X221" s="43" t="str">
        <f t="shared" si="129"/>
        <v/>
      </c>
      <c r="Y221" s="43"/>
      <c r="Z221" s="38" t="str">
        <f t="shared" si="130"/>
        <v/>
      </c>
      <c r="AA221" s="38" t="str">
        <f t="shared" si="131"/>
        <v/>
      </c>
      <c r="AB221" s="38" t="e">
        <f t="shared" si="132"/>
        <v>#VALUE!</v>
      </c>
      <c r="AC221" s="38" t="str">
        <f t="shared" si="133"/>
        <v/>
      </c>
      <c r="AD221" s="38" t="str">
        <f t="shared" si="133"/>
        <v/>
      </c>
      <c r="AE221" s="38" t="e">
        <f t="shared" si="134"/>
        <v>#VALUE!</v>
      </c>
      <c r="AF221" s="238" t="e">
        <f>((Summary!$N$11*(AA221*AD221)*(A221-$D$3))+(Summary!$M$11*Z221*AC221*(AJ221-EOMONTH(EDATE(A221,-1),0))))/(AK221*AB221*AE221)</f>
        <v>#VALUE!</v>
      </c>
      <c r="AG221" s="88" t="str">
        <f>IF($A222="","",Summary!$Q$11)</f>
        <v/>
      </c>
      <c r="AH221" s="88" t="str">
        <f>IF($A222="","",IF(Summary!$R$11="Y",(VLOOKUP($A221,Summary!$AD$6:$AF$9,3)+'Escalating commodity'!G234),'Escalating commodity'!G234))</f>
        <v/>
      </c>
      <c r="AI221" s="88" t="str">
        <f t="shared" si="149"/>
        <v/>
      </c>
      <c r="AJ221" s="236" t="e">
        <f t="shared" si="135"/>
        <v>#VALUE!</v>
      </c>
      <c r="AK221" s="58" t="str">
        <f t="shared" si="136"/>
        <v/>
      </c>
      <c r="AL221" s="26" t="str">
        <f>IF($A222="","",_xll.SPRDOPT(P221,X221,AI221,0,AB221,AE221,AF221,AK221,$AJ$2,0))</f>
        <v/>
      </c>
      <c r="AM221" s="209" t="str">
        <f t="shared" si="137"/>
        <v/>
      </c>
      <c r="AN221" s="89" t="str">
        <f t="shared" si="138"/>
        <v/>
      </c>
      <c r="AO221" s="3" t="str">
        <f t="shared" si="139"/>
        <v/>
      </c>
      <c r="AP221" s="33" t="str">
        <f t="shared" si="140"/>
        <v/>
      </c>
      <c r="AQ221" s="58" t="str">
        <f t="shared" si="141"/>
        <v/>
      </c>
      <c r="AR221" s="38">
        <f>'ANR OK vs ML7'!AR221</f>
        <v>0.1</v>
      </c>
      <c r="AS221" s="35" t="str">
        <f t="shared" si="142"/>
        <v/>
      </c>
      <c r="AT221" s="3" t="str">
        <f t="shared" si="143"/>
        <v/>
      </c>
      <c r="AU221" s="3" t="str">
        <f t="shared" si="144"/>
        <v/>
      </c>
      <c r="AW221" s="32" t="str">
        <f t="shared" si="145"/>
        <v/>
      </c>
      <c r="AX221" s="32" t="str">
        <f t="shared" si="146"/>
        <v/>
      </c>
      <c r="AY221" s="32" t="str">
        <f t="shared" si="147"/>
        <v/>
      </c>
      <c r="BA221" s="32" t="str">
        <f>IF($A222="","",F221*Summary!$Q$11)</f>
        <v/>
      </c>
    </row>
    <row r="222" spans="1:53" ht="12" customHeight="1">
      <c r="A222" s="67" t="str">
        <f t="shared" si="148"/>
        <v/>
      </c>
      <c r="B222" s="69" t="str">
        <f t="shared" si="150"/>
        <v/>
      </c>
      <c r="C222" s="71"/>
      <c r="D222" s="69" t="str">
        <f t="shared" si="114"/>
        <v/>
      </c>
      <c r="E222" s="70" t="str">
        <f t="shared" si="115"/>
        <v/>
      </c>
      <c r="F222" s="70" t="str">
        <f t="shared" si="116"/>
        <v/>
      </c>
      <c r="G222" s="63" t="str">
        <f t="shared" si="117"/>
        <v/>
      </c>
      <c r="H222" s="64" t="str">
        <f t="shared" si="118"/>
        <v/>
      </c>
      <c r="I222" s="43"/>
      <c r="J222" s="63" t="str">
        <f t="shared" si="119"/>
        <v/>
      </c>
      <c r="K222" s="64" t="str">
        <f t="shared" si="120"/>
        <v/>
      </c>
      <c r="L222" s="63" t="str">
        <f t="shared" si="121"/>
        <v/>
      </c>
      <c r="M222" s="64" t="str">
        <f t="shared" si="122"/>
        <v/>
      </c>
      <c r="N222" s="65"/>
      <c r="O222" s="63" t="str">
        <f t="shared" si="123"/>
        <v/>
      </c>
      <c r="P222" s="63" t="str">
        <f t="shared" si="124"/>
        <v/>
      </c>
      <c r="Q222" s="66"/>
      <c r="R222" s="63" t="str">
        <f t="shared" si="125"/>
        <v/>
      </c>
      <c r="S222" s="64" t="str">
        <f t="shared" si="126"/>
        <v/>
      </c>
      <c r="T222" s="38">
        <v>0</v>
      </c>
      <c r="U222" s="64" t="str">
        <f t="shared" si="127"/>
        <v/>
      </c>
      <c r="V222" s="219" t="str">
        <f>IF($A223="","",IF(AND(MONTH(A222)&gt;3,MONTH(A222)&lt;11),(T222+R222+G222)*Summary!$T$11/(1-Summary!$T$11),(T222+R222+G222)*Summary!$U$11/(1-Summary!$U$11)))</f>
        <v/>
      </c>
      <c r="W222" s="43" t="str">
        <f t="shared" si="128"/>
        <v/>
      </c>
      <c r="X222" s="43" t="str">
        <f t="shared" si="129"/>
        <v/>
      </c>
      <c r="Y222" s="43"/>
      <c r="Z222" s="38" t="str">
        <f t="shared" si="130"/>
        <v/>
      </c>
      <c r="AA222" s="38" t="str">
        <f t="shared" si="131"/>
        <v/>
      </c>
      <c r="AB222" s="38" t="e">
        <f t="shared" si="132"/>
        <v>#VALUE!</v>
      </c>
      <c r="AC222" s="38" t="str">
        <f t="shared" si="133"/>
        <v/>
      </c>
      <c r="AD222" s="38" t="str">
        <f t="shared" si="133"/>
        <v/>
      </c>
      <c r="AE222" s="38" t="e">
        <f t="shared" si="134"/>
        <v>#VALUE!</v>
      </c>
      <c r="AF222" s="238" t="e">
        <f>((Summary!$N$11*(AA222*AD222)*(A222-$D$3))+(Summary!$M$11*Z222*AC222*(AJ222-EOMONTH(EDATE(A222,-1),0))))/(AK222*AB222*AE222)</f>
        <v>#VALUE!</v>
      </c>
      <c r="AG222" s="88" t="str">
        <f>IF($A223="","",Summary!$Q$11)</f>
        <v/>
      </c>
      <c r="AH222" s="88" t="str">
        <f>IF($A223="","",IF(Summary!$R$11="Y",(VLOOKUP($A222,Summary!$AD$6:$AF$9,3)+'Escalating commodity'!G235),'Escalating commodity'!G235))</f>
        <v/>
      </c>
      <c r="AI222" s="88" t="str">
        <f t="shared" si="149"/>
        <v/>
      </c>
      <c r="AJ222" s="236" t="e">
        <f t="shared" si="135"/>
        <v>#VALUE!</v>
      </c>
      <c r="AK222" s="58" t="str">
        <f t="shared" si="136"/>
        <v/>
      </c>
      <c r="AL222" s="26" t="str">
        <f>IF($A223="","",_xll.SPRDOPT(P222,X222,AI222,0,AB222,AE222,AF222,AK222,$AJ$2,0))</f>
        <v/>
      </c>
      <c r="AM222" s="209" t="str">
        <f t="shared" si="137"/>
        <v/>
      </c>
      <c r="AN222" s="89" t="str">
        <f t="shared" si="138"/>
        <v/>
      </c>
      <c r="AO222" s="3" t="str">
        <f t="shared" si="139"/>
        <v/>
      </c>
      <c r="AP222" s="33" t="str">
        <f t="shared" si="140"/>
        <v/>
      </c>
      <c r="AQ222" s="58" t="str">
        <f t="shared" si="141"/>
        <v/>
      </c>
      <c r="AR222" s="38">
        <f>'ANR OK vs ML7'!AR222</f>
        <v>0.1</v>
      </c>
      <c r="AS222" s="35" t="str">
        <f t="shared" si="142"/>
        <v/>
      </c>
      <c r="AT222" s="3" t="str">
        <f t="shared" si="143"/>
        <v/>
      </c>
      <c r="AU222" s="3" t="str">
        <f t="shared" si="144"/>
        <v/>
      </c>
      <c r="AW222" s="32" t="str">
        <f t="shared" si="145"/>
        <v/>
      </c>
      <c r="AX222" s="32" t="str">
        <f t="shared" si="146"/>
        <v/>
      </c>
      <c r="AY222" s="32" t="str">
        <f t="shared" si="147"/>
        <v/>
      </c>
      <c r="BA222" s="32" t="str">
        <f>IF($A223="","",F222*Summary!$Q$11)</f>
        <v/>
      </c>
    </row>
    <row r="223" spans="1:53" ht="12" customHeight="1">
      <c r="A223" s="67" t="str">
        <f t="shared" si="148"/>
        <v/>
      </c>
      <c r="B223" s="69" t="str">
        <f t="shared" si="150"/>
        <v/>
      </c>
      <c r="C223" s="71"/>
      <c r="D223" s="69" t="str">
        <f t="shared" si="114"/>
        <v/>
      </c>
      <c r="E223" s="70" t="str">
        <f t="shared" si="115"/>
        <v/>
      </c>
      <c r="F223" s="70" t="str">
        <f t="shared" si="116"/>
        <v/>
      </c>
      <c r="G223" s="63" t="str">
        <f t="shared" si="117"/>
        <v/>
      </c>
      <c r="H223" s="64" t="str">
        <f t="shared" si="118"/>
        <v/>
      </c>
      <c r="I223" s="43"/>
      <c r="J223" s="63" t="str">
        <f t="shared" si="119"/>
        <v/>
      </c>
      <c r="K223" s="64" t="str">
        <f t="shared" si="120"/>
        <v/>
      </c>
      <c r="L223" s="63" t="str">
        <f t="shared" si="121"/>
        <v/>
      </c>
      <c r="M223" s="64" t="str">
        <f t="shared" si="122"/>
        <v/>
      </c>
      <c r="N223" s="65"/>
      <c r="O223" s="63" t="str">
        <f t="shared" si="123"/>
        <v/>
      </c>
      <c r="P223" s="63" t="str">
        <f t="shared" si="124"/>
        <v/>
      </c>
      <c r="Q223" s="66"/>
      <c r="R223" s="63" t="str">
        <f t="shared" si="125"/>
        <v/>
      </c>
      <c r="S223" s="64" t="str">
        <f t="shared" si="126"/>
        <v/>
      </c>
      <c r="T223" s="38">
        <v>0</v>
      </c>
      <c r="U223" s="64" t="str">
        <f t="shared" si="127"/>
        <v/>
      </c>
      <c r="V223" s="219" t="str">
        <f>IF($A224="","",IF(AND(MONTH(A223)&gt;3,MONTH(A223)&lt;11),(T223+R223+G223)*Summary!$T$11/(1-Summary!$T$11),(T223+R223+G223)*Summary!$U$11/(1-Summary!$U$11)))</f>
        <v/>
      </c>
      <c r="W223" s="43" t="str">
        <f t="shared" si="128"/>
        <v/>
      </c>
      <c r="X223" s="43" t="str">
        <f t="shared" si="129"/>
        <v/>
      </c>
      <c r="Y223" s="43"/>
      <c r="Z223" s="38" t="str">
        <f t="shared" si="130"/>
        <v/>
      </c>
      <c r="AA223" s="38" t="str">
        <f t="shared" si="131"/>
        <v/>
      </c>
      <c r="AB223" s="38" t="e">
        <f t="shared" si="132"/>
        <v>#VALUE!</v>
      </c>
      <c r="AC223" s="38" t="str">
        <f t="shared" si="133"/>
        <v/>
      </c>
      <c r="AD223" s="38" t="str">
        <f t="shared" si="133"/>
        <v/>
      </c>
      <c r="AE223" s="38" t="e">
        <f t="shared" si="134"/>
        <v>#VALUE!</v>
      </c>
      <c r="AF223" s="238" t="e">
        <f>((Summary!$N$11*(AA223*AD223)*(A223-$D$3))+(Summary!$M$11*Z223*AC223*(AJ223-EOMONTH(EDATE(A223,-1),0))))/(AK223*AB223*AE223)</f>
        <v>#VALUE!</v>
      </c>
      <c r="AG223" s="88" t="str">
        <f>IF($A224="","",Summary!$Q$11)</f>
        <v/>
      </c>
      <c r="AH223" s="88" t="str">
        <f>IF($A224="","",IF(Summary!$R$11="Y",(VLOOKUP($A223,Summary!$AD$6:$AF$9,3)+'Escalating commodity'!G236),'Escalating commodity'!G236))</f>
        <v/>
      </c>
      <c r="AI223" s="88" t="str">
        <f t="shared" si="149"/>
        <v/>
      </c>
      <c r="AJ223" s="236" t="e">
        <f t="shared" si="135"/>
        <v>#VALUE!</v>
      </c>
      <c r="AK223" s="58" t="str">
        <f t="shared" si="136"/>
        <v/>
      </c>
      <c r="AL223" s="26" t="str">
        <f>IF($A224="","",_xll.SPRDOPT(P223,X223,AI223,0,AB223,AE223,AF223,AK223,$AJ$2,0))</f>
        <v/>
      </c>
      <c r="AM223" s="209" t="str">
        <f t="shared" si="137"/>
        <v/>
      </c>
      <c r="AN223" s="89" t="str">
        <f t="shared" si="138"/>
        <v/>
      </c>
      <c r="AO223" s="3" t="str">
        <f t="shared" si="139"/>
        <v/>
      </c>
      <c r="AP223" s="33" t="str">
        <f t="shared" si="140"/>
        <v/>
      </c>
      <c r="AQ223" s="58" t="str">
        <f t="shared" si="141"/>
        <v/>
      </c>
      <c r="AR223" s="38">
        <f>'ANR OK vs ML7'!AR223</f>
        <v>0.1</v>
      </c>
      <c r="AS223" s="35" t="str">
        <f t="shared" si="142"/>
        <v/>
      </c>
      <c r="AT223" s="3" t="str">
        <f t="shared" si="143"/>
        <v/>
      </c>
      <c r="AU223" s="3" t="str">
        <f t="shared" si="144"/>
        <v/>
      </c>
      <c r="AW223" s="32" t="str">
        <f t="shared" si="145"/>
        <v/>
      </c>
      <c r="AX223" s="32" t="str">
        <f t="shared" si="146"/>
        <v/>
      </c>
      <c r="AY223" s="32" t="str">
        <f t="shared" si="147"/>
        <v/>
      </c>
      <c r="BA223" s="32" t="str">
        <f>IF($A224="","",F223*Summary!$Q$11)</f>
        <v/>
      </c>
    </row>
    <row r="224" spans="1:53" ht="12" customHeight="1">
      <c r="A224" s="67" t="str">
        <f t="shared" si="148"/>
        <v/>
      </c>
      <c r="B224" s="69" t="str">
        <f t="shared" si="150"/>
        <v/>
      </c>
      <c r="C224" s="71"/>
      <c r="D224" s="69" t="str">
        <f t="shared" si="114"/>
        <v/>
      </c>
      <c r="E224" s="70" t="str">
        <f t="shared" si="115"/>
        <v/>
      </c>
      <c r="F224" s="70" t="str">
        <f t="shared" si="116"/>
        <v/>
      </c>
      <c r="G224" s="63" t="str">
        <f t="shared" si="117"/>
        <v/>
      </c>
      <c r="H224" s="64" t="str">
        <f t="shared" si="118"/>
        <v/>
      </c>
      <c r="I224" s="43"/>
      <c r="J224" s="63" t="str">
        <f t="shared" si="119"/>
        <v/>
      </c>
      <c r="K224" s="64" t="str">
        <f t="shared" si="120"/>
        <v/>
      </c>
      <c r="L224" s="63" t="str">
        <f t="shared" si="121"/>
        <v/>
      </c>
      <c r="M224" s="64" t="str">
        <f t="shared" si="122"/>
        <v/>
      </c>
      <c r="N224" s="65"/>
      <c r="O224" s="63" t="str">
        <f t="shared" si="123"/>
        <v/>
      </c>
      <c r="P224" s="63" t="str">
        <f t="shared" si="124"/>
        <v/>
      </c>
      <c r="Q224" s="66"/>
      <c r="R224" s="63" t="str">
        <f t="shared" si="125"/>
        <v/>
      </c>
      <c r="S224" s="64" t="str">
        <f t="shared" si="126"/>
        <v/>
      </c>
      <c r="T224" s="38">
        <v>0</v>
      </c>
      <c r="U224" s="64" t="str">
        <f t="shared" si="127"/>
        <v/>
      </c>
      <c r="V224" s="219" t="str">
        <f>IF($A225="","",IF(AND(MONTH(A224)&gt;3,MONTH(A224)&lt;11),(T224+R224+G224)*Summary!$T$11/(1-Summary!$T$11),(T224+R224+G224)*Summary!$U$11/(1-Summary!$U$11)))</f>
        <v/>
      </c>
      <c r="W224" s="43" t="str">
        <f t="shared" si="128"/>
        <v/>
      </c>
      <c r="X224" s="43" t="str">
        <f t="shared" si="129"/>
        <v/>
      </c>
      <c r="Y224" s="43"/>
      <c r="Z224" s="38" t="str">
        <f t="shared" si="130"/>
        <v/>
      </c>
      <c r="AA224" s="38" t="str">
        <f t="shared" si="131"/>
        <v/>
      </c>
      <c r="AB224" s="38" t="e">
        <f t="shared" si="132"/>
        <v>#VALUE!</v>
      </c>
      <c r="AC224" s="38" t="str">
        <f t="shared" si="133"/>
        <v/>
      </c>
      <c r="AD224" s="38" t="str">
        <f t="shared" si="133"/>
        <v/>
      </c>
      <c r="AE224" s="38" t="e">
        <f t="shared" si="134"/>
        <v>#VALUE!</v>
      </c>
      <c r="AF224" s="238" t="e">
        <f>((Summary!$N$11*(AA224*AD224)*(A224-$D$3))+(Summary!$M$11*Z224*AC224*(AJ224-EOMONTH(EDATE(A224,-1),0))))/(AK224*AB224*AE224)</f>
        <v>#VALUE!</v>
      </c>
      <c r="AG224" s="88" t="str">
        <f>IF($A225="","",Summary!$Q$11)</f>
        <v/>
      </c>
      <c r="AH224" s="88" t="str">
        <f>IF($A225="","",IF(Summary!$R$11="Y",(VLOOKUP($A224,Summary!$AD$6:$AF$9,3)+'Escalating commodity'!G237),'Escalating commodity'!G237))</f>
        <v/>
      </c>
      <c r="AI224" s="88" t="str">
        <f t="shared" si="149"/>
        <v/>
      </c>
      <c r="AJ224" s="236" t="e">
        <f t="shared" si="135"/>
        <v>#VALUE!</v>
      </c>
      <c r="AK224" s="58" t="str">
        <f t="shared" si="136"/>
        <v/>
      </c>
      <c r="AL224" s="26" t="str">
        <f>IF($A225="","",_xll.SPRDOPT(P224,X224,AI224,0,AB224,AE224,AF224,AK224,$AJ$2,0))</f>
        <v/>
      </c>
      <c r="AM224" s="209" t="str">
        <f t="shared" si="137"/>
        <v/>
      </c>
      <c r="AN224" s="89" t="str">
        <f t="shared" si="138"/>
        <v/>
      </c>
      <c r="AO224" s="3" t="str">
        <f t="shared" si="139"/>
        <v/>
      </c>
      <c r="AP224" s="33" t="str">
        <f t="shared" si="140"/>
        <v/>
      </c>
      <c r="AQ224" s="58" t="str">
        <f t="shared" si="141"/>
        <v/>
      </c>
      <c r="AR224" s="38">
        <f>'ANR OK vs ML7'!AR224</f>
        <v>0.1</v>
      </c>
      <c r="AS224" s="35" t="str">
        <f t="shared" si="142"/>
        <v/>
      </c>
      <c r="AT224" s="3" t="str">
        <f t="shared" si="143"/>
        <v/>
      </c>
      <c r="AU224" s="3" t="str">
        <f t="shared" si="144"/>
        <v/>
      </c>
      <c r="AW224" s="32" t="str">
        <f t="shared" si="145"/>
        <v/>
      </c>
      <c r="AX224" s="32" t="str">
        <f t="shared" si="146"/>
        <v/>
      </c>
      <c r="AY224" s="32" t="str">
        <f t="shared" si="147"/>
        <v/>
      </c>
      <c r="BA224" s="32" t="str">
        <f>IF($A225="","",F224*Summary!$Q$11)</f>
        <v/>
      </c>
    </row>
    <row r="225" spans="1:53" ht="12" customHeight="1">
      <c r="A225" s="67" t="str">
        <f t="shared" si="148"/>
        <v/>
      </c>
      <c r="B225" s="69" t="str">
        <f t="shared" si="150"/>
        <v/>
      </c>
      <c r="C225" s="71"/>
      <c r="D225" s="69" t="str">
        <f t="shared" si="114"/>
        <v/>
      </c>
      <c r="E225" s="70" t="str">
        <f t="shared" si="115"/>
        <v/>
      </c>
      <c r="F225" s="70" t="str">
        <f t="shared" si="116"/>
        <v/>
      </c>
      <c r="G225" s="63" t="str">
        <f t="shared" si="117"/>
        <v/>
      </c>
      <c r="H225" s="64" t="str">
        <f t="shared" si="118"/>
        <v/>
      </c>
      <c r="I225" s="43"/>
      <c r="J225" s="63" t="str">
        <f t="shared" si="119"/>
        <v/>
      </c>
      <c r="K225" s="64" t="str">
        <f t="shared" si="120"/>
        <v/>
      </c>
      <c r="L225" s="63" t="str">
        <f t="shared" si="121"/>
        <v/>
      </c>
      <c r="M225" s="64" t="str">
        <f t="shared" si="122"/>
        <v/>
      </c>
      <c r="N225" s="65"/>
      <c r="O225" s="63" t="str">
        <f t="shared" si="123"/>
        <v/>
      </c>
      <c r="P225" s="63" t="str">
        <f t="shared" si="124"/>
        <v/>
      </c>
      <c r="Q225" s="66"/>
      <c r="R225" s="63" t="str">
        <f t="shared" si="125"/>
        <v/>
      </c>
      <c r="S225" s="64" t="str">
        <f t="shared" si="126"/>
        <v/>
      </c>
      <c r="T225" s="38">
        <v>0</v>
      </c>
      <c r="U225" s="64" t="str">
        <f t="shared" si="127"/>
        <v/>
      </c>
      <c r="V225" s="219" t="str">
        <f>IF($A226="","",IF(AND(MONTH(A225)&gt;3,MONTH(A225)&lt;11),(T225+R225+G225)*Summary!$T$11/(1-Summary!$T$11),(T225+R225+G225)*Summary!$U$11/(1-Summary!$U$11)))</f>
        <v/>
      </c>
      <c r="W225" s="43" t="str">
        <f t="shared" si="128"/>
        <v/>
      </c>
      <c r="X225" s="43" t="str">
        <f t="shared" si="129"/>
        <v/>
      </c>
      <c r="Y225" s="43"/>
      <c r="Z225" s="38" t="str">
        <f t="shared" si="130"/>
        <v/>
      </c>
      <c r="AA225" s="38" t="str">
        <f t="shared" si="131"/>
        <v/>
      </c>
      <c r="AB225" s="38" t="e">
        <f t="shared" si="132"/>
        <v>#VALUE!</v>
      </c>
      <c r="AC225" s="38" t="str">
        <f t="shared" si="133"/>
        <v/>
      </c>
      <c r="AD225" s="38" t="str">
        <f t="shared" si="133"/>
        <v/>
      </c>
      <c r="AE225" s="38" t="e">
        <f t="shared" si="134"/>
        <v>#VALUE!</v>
      </c>
      <c r="AF225" s="238" t="e">
        <f>((Summary!$N$11*(AA225*AD225)*(A225-$D$3))+(Summary!$M$11*Z225*AC225*(AJ225-EOMONTH(EDATE(A225,-1),0))))/(AK225*AB225*AE225)</f>
        <v>#VALUE!</v>
      </c>
      <c r="AG225" s="88" t="str">
        <f>IF($A226="","",Summary!$Q$11)</f>
        <v/>
      </c>
      <c r="AH225" s="88" t="str">
        <f>IF($A226="","",IF(Summary!$R$11="Y",(VLOOKUP($A225,Summary!$AD$6:$AF$9,3)+'Escalating commodity'!G238),'Escalating commodity'!G238))</f>
        <v/>
      </c>
      <c r="AI225" s="88" t="str">
        <f t="shared" si="149"/>
        <v/>
      </c>
      <c r="AJ225" s="236" t="e">
        <f t="shared" si="135"/>
        <v>#VALUE!</v>
      </c>
      <c r="AK225" s="58" t="str">
        <f t="shared" si="136"/>
        <v/>
      </c>
      <c r="AL225" s="26" t="str">
        <f>IF($A226="","",_xll.SPRDOPT(P225,X225,AI225,0,AB225,AE225,AF225,AK225,$AJ$2,0))</f>
        <v/>
      </c>
      <c r="AM225" s="209" t="str">
        <f t="shared" si="137"/>
        <v/>
      </c>
      <c r="AN225" s="89" t="str">
        <f t="shared" si="138"/>
        <v/>
      </c>
      <c r="AO225" s="3" t="str">
        <f t="shared" si="139"/>
        <v/>
      </c>
      <c r="AP225" s="33" t="str">
        <f t="shared" si="140"/>
        <v/>
      </c>
      <c r="AQ225" s="58" t="str">
        <f t="shared" si="141"/>
        <v/>
      </c>
      <c r="AR225" s="38">
        <f>'ANR OK vs ML7'!AR225</f>
        <v>0.1</v>
      </c>
      <c r="AS225" s="35" t="str">
        <f t="shared" si="142"/>
        <v/>
      </c>
      <c r="AT225" s="3" t="str">
        <f t="shared" si="143"/>
        <v/>
      </c>
      <c r="AU225" s="3" t="str">
        <f t="shared" si="144"/>
        <v/>
      </c>
      <c r="AW225" s="32" t="str">
        <f t="shared" si="145"/>
        <v/>
      </c>
      <c r="AX225" s="32" t="str">
        <f t="shared" si="146"/>
        <v/>
      </c>
      <c r="AY225" s="32" t="str">
        <f t="shared" si="147"/>
        <v/>
      </c>
      <c r="BA225" s="32" t="str">
        <f>IF($A226="","",F225*Summary!$Q$11)</f>
        <v/>
      </c>
    </row>
    <row r="226" spans="1:53" ht="12" customHeight="1">
      <c r="A226" s="67" t="str">
        <f t="shared" si="148"/>
        <v/>
      </c>
      <c r="B226" s="69" t="str">
        <f t="shared" si="150"/>
        <v/>
      </c>
      <c r="C226" s="71"/>
      <c r="D226" s="69" t="str">
        <f t="shared" si="114"/>
        <v/>
      </c>
      <c r="E226" s="70" t="str">
        <f t="shared" si="115"/>
        <v/>
      </c>
      <c r="F226" s="70" t="str">
        <f t="shared" si="116"/>
        <v/>
      </c>
      <c r="G226" s="63" t="str">
        <f t="shared" si="117"/>
        <v/>
      </c>
      <c r="H226" s="64" t="str">
        <f t="shared" si="118"/>
        <v/>
      </c>
      <c r="I226" s="43"/>
      <c r="J226" s="63" t="str">
        <f t="shared" si="119"/>
        <v/>
      </c>
      <c r="K226" s="64" t="str">
        <f t="shared" si="120"/>
        <v/>
      </c>
      <c r="L226" s="63" t="str">
        <f t="shared" si="121"/>
        <v/>
      </c>
      <c r="M226" s="64" t="str">
        <f t="shared" si="122"/>
        <v/>
      </c>
      <c r="N226" s="65"/>
      <c r="O226" s="63" t="str">
        <f t="shared" si="123"/>
        <v/>
      </c>
      <c r="P226" s="63" t="str">
        <f t="shared" si="124"/>
        <v/>
      </c>
      <c r="Q226" s="66"/>
      <c r="R226" s="63" t="str">
        <f t="shared" si="125"/>
        <v/>
      </c>
      <c r="S226" s="64" t="str">
        <f t="shared" si="126"/>
        <v/>
      </c>
      <c r="T226" s="38">
        <v>0</v>
      </c>
      <c r="U226" s="64" t="str">
        <f t="shared" si="127"/>
        <v/>
      </c>
      <c r="V226" s="219" t="str">
        <f>IF($A227="","",IF(AND(MONTH(A226)&gt;3,MONTH(A226)&lt;11),(T226+R226+G226)*Summary!$T$11/(1-Summary!$T$11),(T226+R226+G226)*Summary!$U$11/(1-Summary!$U$11)))</f>
        <v/>
      </c>
      <c r="W226" s="43" t="str">
        <f t="shared" si="128"/>
        <v/>
      </c>
      <c r="X226" s="43" t="str">
        <f t="shared" si="129"/>
        <v/>
      </c>
      <c r="Y226" s="43"/>
      <c r="Z226" s="38" t="str">
        <f t="shared" si="130"/>
        <v/>
      </c>
      <c r="AA226" s="38" t="str">
        <f t="shared" si="131"/>
        <v/>
      </c>
      <c r="AB226" s="38" t="e">
        <f t="shared" si="132"/>
        <v>#VALUE!</v>
      </c>
      <c r="AC226" s="38" t="str">
        <f t="shared" si="133"/>
        <v/>
      </c>
      <c r="AD226" s="38" t="str">
        <f t="shared" si="133"/>
        <v/>
      </c>
      <c r="AE226" s="38" t="e">
        <f t="shared" si="134"/>
        <v>#VALUE!</v>
      </c>
      <c r="AF226" s="238" t="e">
        <f>((Summary!$N$11*(AA226*AD226)*(A226-$D$3))+(Summary!$M$11*Z226*AC226*(AJ226-EOMONTH(EDATE(A226,-1),0))))/(AK226*AB226*AE226)</f>
        <v>#VALUE!</v>
      </c>
      <c r="AG226" s="88" t="str">
        <f>IF($A227="","",Summary!$Q$11)</f>
        <v/>
      </c>
      <c r="AH226" s="88" t="str">
        <f>IF($A227="","",IF(Summary!$R$11="Y",(VLOOKUP($A226,Summary!$AD$6:$AF$9,3)+'Escalating commodity'!G239),'Escalating commodity'!G239))</f>
        <v/>
      </c>
      <c r="AI226" s="88" t="str">
        <f t="shared" si="149"/>
        <v/>
      </c>
      <c r="AJ226" s="236" t="e">
        <f t="shared" si="135"/>
        <v>#VALUE!</v>
      </c>
      <c r="AK226" s="58" t="str">
        <f t="shared" si="136"/>
        <v/>
      </c>
      <c r="AL226" s="26" t="str">
        <f>IF($A227="","",_xll.SPRDOPT(P226,X226,AI226,0,AB226,AE226,AF226,AK226,$AJ$2,0))</f>
        <v/>
      </c>
      <c r="AM226" s="209" t="str">
        <f t="shared" si="137"/>
        <v/>
      </c>
      <c r="AN226" s="89" t="str">
        <f t="shared" si="138"/>
        <v/>
      </c>
      <c r="AO226" s="3" t="str">
        <f t="shared" si="139"/>
        <v/>
      </c>
      <c r="AP226" s="33" t="str">
        <f t="shared" si="140"/>
        <v/>
      </c>
      <c r="AQ226" s="58" t="str">
        <f t="shared" si="141"/>
        <v/>
      </c>
      <c r="AR226" s="38">
        <f>'ANR OK vs ML7'!AR226</f>
        <v>0.1</v>
      </c>
      <c r="AS226" s="35" t="str">
        <f t="shared" si="142"/>
        <v/>
      </c>
      <c r="AT226" s="3" t="str">
        <f t="shared" si="143"/>
        <v/>
      </c>
      <c r="AU226" s="3" t="str">
        <f t="shared" si="144"/>
        <v/>
      </c>
      <c r="AW226" s="32" t="str">
        <f t="shared" si="145"/>
        <v/>
      </c>
      <c r="AX226" s="32" t="str">
        <f t="shared" si="146"/>
        <v/>
      </c>
      <c r="AY226" s="32" t="str">
        <f t="shared" si="147"/>
        <v/>
      </c>
      <c r="BA226" s="32" t="str">
        <f>IF($A227="","",F226*Summary!$Q$11)</f>
        <v/>
      </c>
    </row>
    <row r="227" spans="1:53" ht="12" customHeight="1">
      <c r="A227" s="67" t="str">
        <f t="shared" si="148"/>
        <v/>
      </c>
      <c r="B227" s="69" t="str">
        <f t="shared" si="150"/>
        <v/>
      </c>
      <c r="C227" s="71"/>
      <c r="D227" s="69" t="str">
        <f t="shared" si="114"/>
        <v/>
      </c>
      <c r="E227" s="70" t="str">
        <f t="shared" si="115"/>
        <v/>
      </c>
      <c r="F227" s="70" t="str">
        <f t="shared" si="116"/>
        <v/>
      </c>
      <c r="G227" s="63" t="str">
        <f t="shared" si="117"/>
        <v/>
      </c>
      <c r="H227" s="64" t="str">
        <f t="shared" si="118"/>
        <v/>
      </c>
      <c r="I227" s="43"/>
      <c r="J227" s="63" t="str">
        <f t="shared" si="119"/>
        <v/>
      </c>
      <c r="K227" s="64" t="str">
        <f t="shared" si="120"/>
        <v/>
      </c>
      <c r="L227" s="63" t="str">
        <f t="shared" si="121"/>
        <v/>
      </c>
      <c r="M227" s="64" t="str">
        <f t="shared" si="122"/>
        <v/>
      </c>
      <c r="N227" s="65"/>
      <c r="O227" s="63" t="str">
        <f t="shared" si="123"/>
        <v/>
      </c>
      <c r="P227" s="63" t="str">
        <f t="shared" si="124"/>
        <v/>
      </c>
      <c r="Q227" s="66"/>
      <c r="R227" s="63" t="str">
        <f t="shared" si="125"/>
        <v/>
      </c>
      <c r="S227" s="64" t="str">
        <f t="shared" si="126"/>
        <v/>
      </c>
      <c r="T227" s="38">
        <v>0</v>
      </c>
      <c r="U227" s="64" t="str">
        <f t="shared" si="127"/>
        <v/>
      </c>
      <c r="V227" s="219" t="str">
        <f>IF($A228="","",IF(AND(MONTH(A227)&gt;3,MONTH(A227)&lt;11),(T227+R227+G227)*Summary!$T$11/(1-Summary!$T$11),(T227+R227+G227)*Summary!$U$11/(1-Summary!$U$11)))</f>
        <v/>
      </c>
      <c r="W227" s="43" t="str">
        <f t="shared" si="128"/>
        <v/>
      </c>
      <c r="X227" s="43" t="str">
        <f t="shared" si="129"/>
        <v/>
      </c>
      <c r="Y227" s="43"/>
      <c r="Z227" s="38" t="str">
        <f t="shared" si="130"/>
        <v/>
      </c>
      <c r="AA227" s="38" t="str">
        <f t="shared" si="131"/>
        <v/>
      </c>
      <c r="AB227" s="38" t="e">
        <f t="shared" si="132"/>
        <v>#VALUE!</v>
      </c>
      <c r="AC227" s="38" t="str">
        <f t="shared" si="133"/>
        <v/>
      </c>
      <c r="AD227" s="38" t="str">
        <f t="shared" si="133"/>
        <v/>
      </c>
      <c r="AE227" s="38" t="e">
        <f t="shared" si="134"/>
        <v>#VALUE!</v>
      </c>
      <c r="AF227" s="238" t="e">
        <f>((Summary!$N$11*(AA227*AD227)*(A227-$D$3))+(Summary!$M$11*Z227*AC227*(AJ227-EOMONTH(EDATE(A227,-1),0))))/(AK227*AB227*AE227)</f>
        <v>#VALUE!</v>
      </c>
      <c r="AG227" s="88" t="str">
        <f>IF($A228="","",Summary!$Q$11)</f>
        <v/>
      </c>
      <c r="AH227" s="88" t="str">
        <f>IF($A228="","",IF(Summary!$R$11="Y",(VLOOKUP($A227,Summary!$AD$6:$AF$9,3)+'Escalating commodity'!G240),'Escalating commodity'!G240))</f>
        <v/>
      </c>
      <c r="AI227" s="88" t="str">
        <f t="shared" si="149"/>
        <v/>
      </c>
      <c r="AJ227" s="236" t="e">
        <f t="shared" si="135"/>
        <v>#VALUE!</v>
      </c>
      <c r="AK227" s="58" t="str">
        <f t="shared" si="136"/>
        <v/>
      </c>
      <c r="AL227" s="26" t="str">
        <f>IF($A228="","",_xll.SPRDOPT(P227,X227,AI227,0,AB227,AE227,AF227,AK227,$AJ$2,0))</f>
        <v/>
      </c>
      <c r="AM227" s="209" t="str">
        <f t="shared" si="137"/>
        <v/>
      </c>
      <c r="AN227" s="89" t="str">
        <f t="shared" si="138"/>
        <v/>
      </c>
      <c r="AO227" s="3" t="str">
        <f t="shared" si="139"/>
        <v/>
      </c>
      <c r="AP227" s="33" t="str">
        <f t="shared" si="140"/>
        <v/>
      </c>
      <c r="AQ227" s="58" t="str">
        <f t="shared" si="141"/>
        <v/>
      </c>
      <c r="AR227" s="38">
        <f>'ANR OK vs ML7'!AR227</f>
        <v>0.1</v>
      </c>
      <c r="AS227" s="35" t="str">
        <f t="shared" si="142"/>
        <v/>
      </c>
      <c r="AT227" s="3" t="str">
        <f t="shared" si="143"/>
        <v/>
      </c>
      <c r="AU227" s="3" t="str">
        <f t="shared" si="144"/>
        <v/>
      </c>
      <c r="AW227" s="32" t="str">
        <f t="shared" si="145"/>
        <v/>
      </c>
      <c r="AX227" s="32" t="str">
        <f t="shared" si="146"/>
        <v/>
      </c>
      <c r="AY227" s="32" t="str">
        <f t="shared" si="147"/>
        <v/>
      </c>
      <c r="BA227" s="32" t="str">
        <f>IF($A228="","",F227*Summary!$Q$11)</f>
        <v/>
      </c>
    </row>
    <row r="228" spans="1:53" ht="12" customHeight="1">
      <c r="A228" s="67" t="str">
        <f t="shared" si="148"/>
        <v/>
      </c>
      <c r="B228" s="69" t="str">
        <f t="shared" si="150"/>
        <v/>
      </c>
      <c r="C228" s="71"/>
      <c r="D228" s="69" t="str">
        <f t="shared" si="114"/>
        <v/>
      </c>
      <c r="E228" s="70" t="str">
        <f t="shared" si="115"/>
        <v/>
      </c>
      <c r="F228" s="70" t="str">
        <f t="shared" si="116"/>
        <v/>
      </c>
      <c r="G228" s="63" t="str">
        <f t="shared" si="117"/>
        <v/>
      </c>
      <c r="H228" s="64" t="str">
        <f t="shared" si="118"/>
        <v/>
      </c>
      <c r="I228" s="43"/>
      <c r="J228" s="63" t="str">
        <f t="shared" si="119"/>
        <v/>
      </c>
      <c r="K228" s="64" t="str">
        <f t="shared" si="120"/>
        <v/>
      </c>
      <c r="L228" s="63" t="str">
        <f t="shared" si="121"/>
        <v/>
      </c>
      <c r="M228" s="64" t="str">
        <f t="shared" si="122"/>
        <v/>
      </c>
      <c r="N228" s="65"/>
      <c r="O228" s="63" t="str">
        <f t="shared" si="123"/>
        <v/>
      </c>
      <c r="P228" s="63" t="str">
        <f t="shared" si="124"/>
        <v/>
      </c>
      <c r="Q228" s="66"/>
      <c r="R228" s="63" t="str">
        <f t="shared" si="125"/>
        <v/>
      </c>
      <c r="S228" s="64" t="str">
        <f t="shared" si="126"/>
        <v/>
      </c>
      <c r="T228" s="38">
        <v>0</v>
      </c>
      <c r="U228" s="64" t="str">
        <f t="shared" si="127"/>
        <v/>
      </c>
      <c r="V228" s="219" t="str">
        <f>IF($A229="","",IF(AND(MONTH(A228)&gt;3,MONTH(A228)&lt;11),(T228+R228+G228)*Summary!$T$11/(1-Summary!$T$11),(T228+R228+G228)*Summary!$U$11/(1-Summary!$U$11)))</f>
        <v/>
      </c>
      <c r="W228" s="43" t="str">
        <f t="shared" si="128"/>
        <v/>
      </c>
      <c r="X228" s="43" t="str">
        <f t="shared" si="129"/>
        <v/>
      </c>
      <c r="Y228" s="43"/>
      <c r="Z228" s="38" t="str">
        <f t="shared" si="130"/>
        <v/>
      </c>
      <c r="AA228" s="38" t="str">
        <f t="shared" si="131"/>
        <v/>
      </c>
      <c r="AB228" s="38" t="e">
        <f t="shared" si="132"/>
        <v>#VALUE!</v>
      </c>
      <c r="AC228" s="38" t="str">
        <f t="shared" si="133"/>
        <v/>
      </c>
      <c r="AD228" s="38" t="str">
        <f t="shared" si="133"/>
        <v/>
      </c>
      <c r="AE228" s="38" t="e">
        <f t="shared" si="134"/>
        <v>#VALUE!</v>
      </c>
      <c r="AF228" s="238" t="e">
        <f>((Summary!$N$11*(AA228*AD228)*(A228-$D$3))+(Summary!$M$11*Z228*AC228*(AJ228-EOMONTH(EDATE(A228,-1),0))))/(AK228*AB228*AE228)</f>
        <v>#VALUE!</v>
      </c>
      <c r="AG228" s="88" t="str">
        <f>IF($A229="","",Summary!$Q$11)</f>
        <v/>
      </c>
      <c r="AH228" s="88" t="str">
        <f>IF($A229="","",IF(Summary!$R$11="Y",(VLOOKUP($A228,Summary!$AD$6:$AF$9,3)+'Escalating commodity'!G241),'Escalating commodity'!G241))</f>
        <v/>
      </c>
      <c r="AI228" s="88" t="str">
        <f t="shared" si="149"/>
        <v/>
      </c>
      <c r="AJ228" s="236" t="e">
        <f t="shared" si="135"/>
        <v>#VALUE!</v>
      </c>
      <c r="AK228" s="58" t="str">
        <f t="shared" si="136"/>
        <v/>
      </c>
      <c r="AL228" s="26" t="str">
        <f>IF($A229="","",_xll.SPRDOPT(P228,X228,AI228,0,AB228,AE228,AF228,AK228,$AJ$2,0))</f>
        <v/>
      </c>
      <c r="AM228" s="209" t="str">
        <f t="shared" si="137"/>
        <v/>
      </c>
      <c r="AN228" s="89" t="str">
        <f t="shared" si="138"/>
        <v/>
      </c>
      <c r="AO228" s="3" t="str">
        <f t="shared" si="139"/>
        <v/>
      </c>
      <c r="AP228" s="33" t="str">
        <f t="shared" si="140"/>
        <v/>
      </c>
      <c r="AQ228" s="58" t="str">
        <f t="shared" si="141"/>
        <v/>
      </c>
      <c r="AR228" s="38">
        <f>'ANR OK vs ML7'!AR228</f>
        <v>0.1</v>
      </c>
      <c r="AS228" s="35" t="str">
        <f t="shared" si="142"/>
        <v/>
      </c>
      <c r="AT228" s="3" t="str">
        <f t="shared" si="143"/>
        <v/>
      </c>
      <c r="AU228" s="3" t="str">
        <f t="shared" si="144"/>
        <v/>
      </c>
      <c r="AW228" s="32" t="str">
        <f t="shared" si="145"/>
        <v/>
      </c>
      <c r="AX228" s="32" t="str">
        <f t="shared" si="146"/>
        <v/>
      </c>
      <c r="AY228" s="32" t="str">
        <f t="shared" si="147"/>
        <v/>
      </c>
      <c r="BA228" s="32" t="str">
        <f>IF($A229="","",F228*Summary!$Q$11)</f>
        <v/>
      </c>
    </row>
    <row r="229" spans="1:53" ht="12" customHeight="1">
      <c r="A229" s="67" t="str">
        <f t="shared" si="148"/>
        <v/>
      </c>
      <c r="B229" s="69" t="str">
        <f t="shared" si="150"/>
        <v/>
      </c>
      <c r="C229" s="71"/>
      <c r="D229" s="69" t="str">
        <f t="shared" si="114"/>
        <v/>
      </c>
      <c r="E229" s="70" t="str">
        <f t="shared" si="115"/>
        <v/>
      </c>
      <c r="F229" s="70" t="str">
        <f t="shared" si="116"/>
        <v/>
      </c>
      <c r="G229" s="63" t="str">
        <f t="shared" si="117"/>
        <v/>
      </c>
      <c r="H229" s="64" t="str">
        <f t="shared" si="118"/>
        <v/>
      </c>
      <c r="I229" s="43"/>
      <c r="J229" s="63" t="str">
        <f t="shared" si="119"/>
        <v/>
      </c>
      <c r="K229" s="64" t="str">
        <f t="shared" si="120"/>
        <v/>
      </c>
      <c r="L229" s="63" t="str">
        <f t="shared" si="121"/>
        <v/>
      </c>
      <c r="M229" s="64" t="str">
        <f t="shared" si="122"/>
        <v/>
      </c>
      <c r="N229" s="65"/>
      <c r="O229" s="63" t="str">
        <f t="shared" si="123"/>
        <v/>
      </c>
      <c r="P229" s="63" t="str">
        <f t="shared" si="124"/>
        <v/>
      </c>
      <c r="Q229" s="66"/>
      <c r="R229" s="63" t="str">
        <f t="shared" si="125"/>
        <v/>
      </c>
      <c r="S229" s="64" t="str">
        <f t="shared" si="126"/>
        <v/>
      </c>
      <c r="T229" s="38">
        <v>0</v>
      </c>
      <c r="U229" s="64" t="str">
        <f t="shared" si="127"/>
        <v/>
      </c>
      <c r="V229" s="219" t="str">
        <f>IF($A230="","",IF(AND(MONTH(A229)&gt;3,MONTH(A229)&lt;11),(T229+R229+G229)*Summary!$T$11/(1-Summary!$T$11),(T229+R229+G229)*Summary!$U$11/(1-Summary!$U$11)))</f>
        <v/>
      </c>
      <c r="W229" s="43" t="str">
        <f t="shared" si="128"/>
        <v/>
      </c>
      <c r="X229" s="43" t="str">
        <f t="shared" si="129"/>
        <v/>
      </c>
      <c r="Y229" s="43"/>
      <c r="Z229" s="38" t="str">
        <f t="shared" si="130"/>
        <v/>
      </c>
      <c r="AA229" s="38" t="str">
        <f t="shared" si="131"/>
        <v/>
      </c>
      <c r="AB229" s="38" t="e">
        <f t="shared" si="132"/>
        <v>#VALUE!</v>
      </c>
      <c r="AC229" s="38" t="str">
        <f t="shared" si="133"/>
        <v/>
      </c>
      <c r="AD229" s="38" t="str">
        <f t="shared" si="133"/>
        <v/>
      </c>
      <c r="AE229" s="38" t="e">
        <f t="shared" si="134"/>
        <v>#VALUE!</v>
      </c>
      <c r="AF229" s="238" t="e">
        <f>((Summary!$N$11*(AA229*AD229)*(A229-$D$3))+(Summary!$M$11*Z229*AC229*(AJ229-EOMONTH(EDATE(A229,-1),0))))/(AK229*AB229*AE229)</f>
        <v>#VALUE!</v>
      </c>
      <c r="AG229" s="88" t="str">
        <f>IF($A230="","",Summary!$Q$11)</f>
        <v/>
      </c>
      <c r="AH229" s="88" t="str">
        <f>IF($A230="","",IF(Summary!$R$11="Y",(VLOOKUP($A229,Summary!$AD$6:$AF$9,3)+'Escalating commodity'!G242),'Escalating commodity'!G242))</f>
        <v/>
      </c>
      <c r="AI229" s="88" t="str">
        <f t="shared" si="149"/>
        <v/>
      </c>
      <c r="AJ229" s="236" t="e">
        <f t="shared" si="135"/>
        <v>#VALUE!</v>
      </c>
      <c r="AK229" s="58" t="str">
        <f t="shared" si="136"/>
        <v/>
      </c>
      <c r="AL229" s="26" t="str">
        <f>IF($A230="","",_xll.SPRDOPT(P229,X229,AI229,0,AB229,AE229,AF229,AK229,$AJ$2,0))</f>
        <v/>
      </c>
      <c r="AM229" s="209" t="str">
        <f t="shared" si="137"/>
        <v/>
      </c>
      <c r="AN229" s="89" t="str">
        <f t="shared" si="138"/>
        <v/>
      </c>
      <c r="AO229" s="3" t="str">
        <f t="shared" si="139"/>
        <v/>
      </c>
      <c r="AP229" s="33" t="str">
        <f t="shared" si="140"/>
        <v/>
      </c>
      <c r="AQ229" s="58" t="str">
        <f t="shared" si="141"/>
        <v/>
      </c>
      <c r="AR229" s="38">
        <f>'ANR OK vs ML7'!AR229</f>
        <v>0.1</v>
      </c>
      <c r="AS229" s="35" t="str">
        <f t="shared" si="142"/>
        <v/>
      </c>
      <c r="AT229" s="3" t="str">
        <f t="shared" si="143"/>
        <v/>
      </c>
      <c r="AU229" s="3" t="str">
        <f t="shared" si="144"/>
        <v/>
      </c>
      <c r="AW229" s="32" t="str">
        <f t="shared" si="145"/>
        <v/>
      </c>
      <c r="AX229" s="32" t="str">
        <f t="shared" si="146"/>
        <v/>
      </c>
      <c r="AY229" s="32" t="str">
        <f t="shared" si="147"/>
        <v/>
      </c>
      <c r="BA229" s="32" t="str">
        <f>IF($A230="","",F229*Summary!$Q$11)</f>
        <v/>
      </c>
    </row>
    <row r="230" spans="1:53" ht="12" customHeight="1">
      <c r="A230" s="67" t="str">
        <f t="shared" si="148"/>
        <v/>
      </c>
      <c r="B230" s="69" t="str">
        <f t="shared" si="150"/>
        <v/>
      </c>
      <c r="C230" s="71"/>
      <c r="D230" s="69" t="str">
        <f t="shared" si="114"/>
        <v/>
      </c>
      <c r="E230" s="70" t="str">
        <f t="shared" si="115"/>
        <v/>
      </c>
      <c r="F230" s="70" t="str">
        <f t="shared" si="116"/>
        <v/>
      </c>
      <c r="G230" s="63" t="str">
        <f t="shared" si="117"/>
        <v/>
      </c>
      <c r="H230" s="64" t="str">
        <f t="shared" si="118"/>
        <v/>
      </c>
      <c r="I230" s="43"/>
      <c r="J230" s="63" t="str">
        <f t="shared" si="119"/>
        <v/>
      </c>
      <c r="K230" s="64" t="str">
        <f t="shared" si="120"/>
        <v/>
      </c>
      <c r="L230" s="63" t="str">
        <f t="shared" si="121"/>
        <v/>
      </c>
      <c r="M230" s="64" t="str">
        <f t="shared" si="122"/>
        <v/>
      </c>
      <c r="N230" s="65"/>
      <c r="O230" s="63" t="str">
        <f t="shared" si="123"/>
        <v/>
      </c>
      <c r="P230" s="63" t="str">
        <f t="shared" si="124"/>
        <v/>
      </c>
      <c r="Q230" s="66"/>
      <c r="R230" s="63" t="str">
        <f t="shared" si="125"/>
        <v/>
      </c>
      <c r="S230" s="64" t="str">
        <f t="shared" si="126"/>
        <v/>
      </c>
      <c r="T230" s="38">
        <v>0</v>
      </c>
      <c r="U230" s="64" t="str">
        <f t="shared" si="127"/>
        <v/>
      </c>
      <c r="V230" s="219" t="str">
        <f>IF($A231="","",IF(AND(MONTH(A230)&gt;3,MONTH(A230)&lt;11),(T230+R230+G230)*Summary!$T$11/(1-Summary!$T$11),(T230+R230+G230)*Summary!$U$11/(1-Summary!$U$11)))</f>
        <v/>
      </c>
      <c r="W230" s="43" t="str">
        <f t="shared" si="128"/>
        <v/>
      </c>
      <c r="X230" s="43" t="str">
        <f t="shared" si="129"/>
        <v/>
      </c>
      <c r="Y230" s="43"/>
      <c r="Z230" s="38" t="str">
        <f t="shared" si="130"/>
        <v/>
      </c>
      <c r="AA230" s="38" t="str">
        <f t="shared" si="131"/>
        <v/>
      </c>
      <c r="AB230" s="38" t="e">
        <f t="shared" si="132"/>
        <v>#VALUE!</v>
      </c>
      <c r="AC230" s="38" t="str">
        <f t="shared" si="133"/>
        <v/>
      </c>
      <c r="AD230" s="38" t="str">
        <f t="shared" si="133"/>
        <v/>
      </c>
      <c r="AE230" s="38" t="e">
        <f t="shared" si="134"/>
        <v>#VALUE!</v>
      </c>
      <c r="AF230" s="238" t="e">
        <f>((Summary!$N$11*(AA230*AD230)*(A230-$D$3))+(Summary!$M$11*Z230*AC230*(AJ230-EOMONTH(EDATE(A230,-1),0))))/(AK230*AB230*AE230)</f>
        <v>#VALUE!</v>
      </c>
      <c r="AG230" s="88" t="str">
        <f>IF($A231="","",Summary!$Q$11)</f>
        <v/>
      </c>
      <c r="AH230" s="88" t="str">
        <f>IF($A231="","",IF(Summary!$R$11="Y",(VLOOKUP($A230,Summary!$AD$6:$AF$9,3)+'Escalating commodity'!G243),'Escalating commodity'!G243))</f>
        <v/>
      </c>
      <c r="AI230" s="88" t="str">
        <f t="shared" si="149"/>
        <v/>
      </c>
      <c r="AJ230" s="236" t="e">
        <f t="shared" si="135"/>
        <v>#VALUE!</v>
      </c>
      <c r="AK230" s="58" t="str">
        <f t="shared" si="136"/>
        <v/>
      </c>
      <c r="AL230" s="26" t="str">
        <f>IF($A231="","",_xll.SPRDOPT(P230,X230,AI230,0,AB230,AE230,AF230,AK230,$AJ$2,0))</f>
        <v/>
      </c>
      <c r="AM230" s="209" t="str">
        <f t="shared" si="137"/>
        <v/>
      </c>
      <c r="AN230" s="89" t="str">
        <f t="shared" si="138"/>
        <v/>
      </c>
      <c r="AO230" s="3" t="str">
        <f t="shared" si="139"/>
        <v/>
      </c>
      <c r="AP230" s="33" t="str">
        <f t="shared" si="140"/>
        <v/>
      </c>
      <c r="AQ230" s="58" t="str">
        <f t="shared" si="141"/>
        <v/>
      </c>
      <c r="AR230" s="38">
        <f>'ANR OK vs ML7'!AR230</f>
        <v>0.1</v>
      </c>
      <c r="AS230" s="35" t="str">
        <f t="shared" si="142"/>
        <v/>
      </c>
      <c r="AT230" s="3" t="str">
        <f t="shared" si="143"/>
        <v/>
      </c>
      <c r="AU230" s="3" t="str">
        <f t="shared" si="144"/>
        <v/>
      </c>
      <c r="AW230" s="32" t="str">
        <f t="shared" si="145"/>
        <v/>
      </c>
      <c r="AX230" s="32" t="str">
        <f t="shared" si="146"/>
        <v/>
      </c>
      <c r="AY230" s="32" t="str">
        <f t="shared" si="147"/>
        <v/>
      </c>
      <c r="BA230" s="32" t="str">
        <f>IF($A231="","",F230*Summary!$Q$11)</f>
        <v/>
      </c>
    </row>
    <row r="231" spans="1:53" ht="12" customHeight="1">
      <c r="A231" s="67" t="str">
        <f t="shared" si="148"/>
        <v/>
      </c>
      <c r="B231" s="69" t="str">
        <f t="shared" si="150"/>
        <v/>
      </c>
      <c r="C231" s="71"/>
      <c r="D231" s="69" t="str">
        <f t="shared" si="114"/>
        <v/>
      </c>
      <c r="E231" s="70" t="str">
        <f t="shared" si="115"/>
        <v/>
      </c>
      <c r="F231" s="70" t="str">
        <f t="shared" si="116"/>
        <v/>
      </c>
      <c r="G231" s="63" t="str">
        <f t="shared" si="117"/>
        <v/>
      </c>
      <c r="H231" s="64" t="str">
        <f t="shared" si="118"/>
        <v/>
      </c>
      <c r="I231" s="43"/>
      <c r="J231" s="63" t="str">
        <f t="shared" si="119"/>
        <v/>
      </c>
      <c r="K231" s="64" t="str">
        <f t="shared" si="120"/>
        <v/>
      </c>
      <c r="L231" s="63" t="str">
        <f t="shared" si="121"/>
        <v/>
      </c>
      <c r="M231" s="64" t="str">
        <f t="shared" si="122"/>
        <v/>
      </c>
      <c r="N231" s="65"/>
      <c r="O231" s="63" t="str">
        <f t="shared" si="123"/>
        <v/>
      </c>
      <c r="P231" s="63" t="str">
        <f t="shared" si="124"/>
        <v/>
      </c>
      <c r="Q231" s="66"/>
      <c r="R231" s="63" t="str">
        <f t="shared" si="125"/>
        <v/>
      </c>
      <c r="S231" s="64" t="str">
        <f t="shared" si="126"/>
        <v/>
      </c>
      <c r="T231" s="38">
        <v>0</v>
      </c>
      <c r="U231" s="64" t="str">
        <f t="shared" si="127"/>
        <v/>
      </c>
      <c r="V231" s="219" t="str">
        <f>IF($A232="","",IF(AND(MONTH(A231)&gt;3,MONTH(A231)&lt;11),(T231+R231+G231)*Summary!$T$11/(1-Summary!$T$11),(T231+R231+G231)*Summary!$U$11/(1-Summary!$U$11)))</f>
        <v/>
      </c>
      <c r="W231" s="43" t="str">
        <f t="shared" si="128"/>
        <v/>
      </c>
      <c r="X231" s="43" t="str">
        <f t="shared" si="129"/>
        <v/>
      </c>
      <c r="Y231" s="43"/>
      <c r="Z231" s="38" t="str">
        <f t="shared" si="130"/>
        <v/>
      </c>
      <c r="AA231" s="38" t="str">
        <f t="shared" si="131"/>
        <v/>
      </c>
      <c r="AB231" s="38" t="e">
        <f t="shared" si="132"/>
        <v>#VALUE!</v>
      </c>
      <c r="AC231" s="38" t="str">
        <f t="shared" si="133"/>
        <v/>
      </c>
      <c r="AD231" s="38" t="str">
        <f t="shared" si="133"/>
        <v/>
      </c>
      <c r="AE231" s="38" t="e">
        <f t="shared" si="134"/>
        <v>#VALUE!</v>
      </c>
      <c r="AF231" s="238" t="e">
        <f>((Summary!$N$11*(AA231*AD231)*(A231-$D$3))+(Summary!$M$11*Z231*AC231*(AJ231-EOMONTH(EDATE(A231,-1),0))))/(AK231*AB231*AE231)</f>
        <v>#VALUE!</v>
      </c>
      <c r="AG231" s="88" t="str">
        <f>IF($A232="","",Summary!$Q$11)</f>
        <v/>
      </c>
      <c r="AH231" s="88" t="str">
        <f>IF($A232="","",IF(Summary!$R$11="Y",(VLOOKUP($A231,Summary!$AD$6:$AF$9,3)+'Escalating commodity'!G244),'Escalating commodity'!G244))</f>
        <v/>
      </c>
      <c r="AI231" s="88" t="str">
        <f t="shared" si="149"/>
        <v/>
      </c>
      <c r="AJ231" s="236" t="e">
        <f t="shared" si="135"/>
        <v>#VALUE!</v>
      </c>
      <c r="AK231" s="58" t="str">
        <f t="shared" si="136"/>
        <v/>
      </c>
      <c r="AL231" s="26" t="str">
        <f>IF($A232="","",_xll.SPRDOPT(P231,X231,AI231,0,AB231,AE231,AF231,AK231,$AJ$2,0))</f>
        <v/>
      </c>
      <c r="AM231" s="209" t="str">
        <f t="shared" si="137"/>
        <v/>
      </c>
      <c r="AN231" s="89" t="str">
        <f t="shared" si="138"/>
        <v/>
      </c>
      <c r="AO231" s="3" t="str">
        <f t="shared" si="139"/>
        <v/>
      </c>
      <c r="AP231" s="33" t="str">
        <f t="shared" si="140"/>
        <v/>
      </c>
      <c r="AQ231" s="58" t="str">
        <f t="shared" si="141"/>
        <v/>
      </c>
      <c r="AR231" s="38">
        <f>'ANR OK vs ML7'!AR231</f>
        <v>0.1</v>
      </c>
      <c r="AS231" s="35" t="str">
        <f t="shared" si="142"/>
        <v/>
      </c>
      <c r="AT231" s="3" t="str">
        <f t="shared" si="143"/>
        <v/>
      </c>
      <c r="AU231" s="3" t="str">
        <f t="shared" si="144"/>
        <v/>
      </c>
      <c r="AW231" s="32" t="str">
        <f t="shared" si="145"/>
        <v/>
      </c>
      <c r="AX231" s="32" t="str">
        <f t="shared" si="146"/>
        <v/>
      </c>
      <c r="AY231" s="32" t="str">
        <f t="shared" si="147"/>
        <v/>
      </c>
      <c r="BA231" s="32" t="str">
        <f>IF($A232="","",F231*Summary!$Q$11)</f>
        <v/>
      </c>
    </row>
    <row r="232" spans="1:53" ht="12" customHeight="1">
      <c r="A232" s="67" t="str">
        <f t="shared" si="148"/>
        <v/>
      </c>
      <c r="B232" s="69" t="str">
        <f t="shared" si="150"/>
        <v/>
      </c>
      <c r="C232" s="71"/>
      <c r="D232" s="69" t="str">
        <f t="shared" si="114"/>
        <v/>
      </c>
      <c r="E232" s="70" t="str">
        <f t="shared" si="115"/>
        <v/>
      </c>
      <c r="F232" s="70" t="str">
        <f t="shared" si="116"/>
        <v/>
      </c>
      <c r="G232" s="63" t="str">
        <f t="shared" si="117"/>
        <v/>
      </c>
      <c r="H232" s="64" t="str">
        <f t="shared" si="118"/>
        <v/>
      </c>
      <c r="I232" s="43"/>
      <c r="J232" s="63" t="str">
        <f t="shared" si="119"/>
        <v/>
      </c>
      <c r="K232" s="64" t="str">
        <f t="shared" si="120"/>
        <v/>
      </c>
      <c r="L232" s="63" t="str">
        <f t="shared" si="121"/>
        <v/>
      </c>
      <c r="M232" s="64" t="str">
        <f t="shared" si="122"/>
        <v/>
      </c>
      <c r="N232" s="65"/>
      <c r="O232" s="63" t="str">
        <f t="shared" si="123"/>
        <v/>
      </c>
      <c r="P232" s="63" t="str">
        <f t="shared" si="124"/>
        <v/>
      </c>
      <c r="Q232" s="66"/>
      <c r="R232" s="63" t="str">
        <f t="shared" si="125"/>
        <v/>
      </c>
      <c r="S232" s="64" t="str">
        <f t="shared" si="126"/>
        <v/>
      </c>
      <c r="T232" s="38">
        <v>0</v>
      </c>
      <c r="U232" s="64" t="str">
        <f t="shared" si="127"/>
        <v/>
      </c>
      <c r="V232" s="219" t="str">
        <f>IF($A233="","",IF(AND(MONTH(A232)&gt;3,MONTH(A232)&lt;11),(T232+R232+G232)*Summary!$T$11/(1-Summary!$T$11),(T232+R232+G232)*Summary!$U$11/(1-Summary!$U$11)))</f>
        <v/>
      </c>
      <c r="W232" s="43" t="str">
        <f t="shared" si="128"/>
        <v/>
      </c>
      <c r="X232" s="43" t="str">
        <f t="shared" si="129"/>
        <v/>
      </c>
      <c r="Y232" s="43"/>
      <c r="Z232" s="38" t="str">
        <f t="shared" si="130"/>
        <v/>
      </c>
      <c r="AA232" s="38" t="str">
        <f t="shared" si="131"/>
        <v/>
      </c>
      <c r="AB232" s="38" t="e">
        <f t="shared" si="132"/>
        <v>#VALUE!</v>
      </c>
      <c r="AC232" s="38" t="str">
        <f t="shared" si="133"/>
        <v/>
      </c>
      <c r="AD232" s="38" t="str">
        <f t="shared" si="133"/>
        <v/>
      </c>
      <c r="AE232" s="38" t="e">
        <f t="shared" si="134"/>
        <v>#VALUE!</v>
      </c>
      <c r="AF232" s="238" t="e">
        <f>((Summary!$N$11*(AA232*AD232)*(A232-$D$3))+(Summary!$M$11*Z232*AC232*(AJ232-EOMONTH(EDATE(A232,-1),0))))/(AK232*AB232*AE232)</f>
        <v>#VALUE!</v>
      </c>
      <c r="AG232" s="88" t="str">
        <f>IF($A233="","",Summary!$Q$11)</f>
        <v/>
      </c>
      <c r="AH232" s="88" t="str">
        <f>IF($A233="","",IF(Summary!$R$11="Y",(VLOOKUP($A232,Summary!$AD$6:$AF$9,3)+'Escalating commodity'!G245),'Escalating commodity'!G245))</f>
        <v/>
      </c>
      <c r="AI232" s="88" t="str">
        <f t="shared" si="149"/>
        <v/>
      </c>
      <c r="AJ232" s="236" t="e">
        <f t="shared" si="135"/>
        <v>#VALUE!</v>
      </c>
      <c r="AK232" s="58" t="str">
        <f t="shared" si="136"/>
        <v/>
      </c>
      <c r="AL232" s="26" t="str">
        <f>IF($A233="","",_xll.SPRDOPT(P232,X232,AI232,0,AB232,AE232,AF232,AK232,$AJ$2,0))</f>
        <v/>
      </c>
      <c r="AM232" s="209" t="str">
        <f t="shared" si="137"/>
        <v/>
      </c>
      <c r="AN232" s="89" t="str">
        <f t="shared" si="138"/>
        <v/>
      </c>
      <c r="AO232" s="3" t="str">
        <f t="shared" si="139"/>
        <v/>
      </c>
      <c r="AP232" s="33" t="str">
        <f t="shared" si="140"/>
        <v/>
      </c>
      <c r="AQ232" s="58" t="str">
        <f t="shared" si="141"/>
        <v/>
      </c>
      <c r="AR232" s="38">
        <f>'ANR OK vs ML7'!AR232</f>
        <v>0.1</v>
      </c>
      <c r="AS232" s="35" t="str">
        <f t="shared" si="142"/>
        <v/>
      </c>
      <c r="AT232" s="3" t="str">
        <f t="shared" si="143"/>
        <v/>
      </c>
      <c r="AU232" s="3" t="str">
        <f t="shared" si="144"/>
        <v/>
      </c>
      <c r="AW232" s="32" t="str">
        <f t="shared" si="145"/>
        <v/>
      </c>
      <c r="AX232" s="32" t="str">
        <f t="shared" si="146"/>
        <v/>
      </c>
      <c r="AY232" s="32" t="str">
        <f t="shared" si="147"/>
        <v/>
      </c>
      <c r="BA232" s="32" t="str">
        <f>IF($A233="","",F232*Summary!$Q$11)</f>
        <v/>
      </c>
    </row>
    <row r="233" spans="1:53" ht="12" customHeight="1">
      <c r="A233" s="67" t="str">
        <f t="shared" si="148"/>
        <v/>
      </c>
      <c r="B233" s="69" t="str">
        <f t="shared" si="150"/>
        <v/>
      </c>
      <c r="C233" s="71"/>
      <c r="D233" s="69" t="str">
        <f t="shared" si="114"/>
        <v/>
      </c>
      <c r="E233" s="70" t="str">
        <f t="shared" si="115"/>
        <v/>
      </c>
      <c r="F233" s="70" t="str">
        <f t="shared" si="116"/>
        <v/>
      </c>
      <c r="G233" s="63" t="str">
        <f t="shared" si="117"/>
        <v/>
      </c>
      <c r="H233" s="64" t="str">
        <f t="shared" si="118"/>
        <v/>
      </c>
      <c r="I233" s="43"/>
      <c r="J233" s="63" t="str">
        <f t="shared" si="119"/>
        <v/>
      </c>
      <c r="K233" s="64" t="str">
        <f t="shared" si="120"/>
        <v/>
      </c>
      <c r="L233" s="63" t="str">
        <f t="shared" si="121"/>
        <v/>
      </c>
      <c r="M233" s="64" t="str">
        <f t="shared" si="122"/>
        <v/>
      </c>
      <c r="N233" s="65"/>
      <c r="O233" s="63" t="str">
        <f t="shared" si="123"/>
        <v/>
      </c>
      <c r="P233" s="63" t="str">
        <f t="shared" si="124"/>
        <v/>
      </c>
      <c r="Q233" s="66"/>
      <c r="R233" s="63" t="str">
        <f t="shared" si="125"/>
        <v/>
      </c>
      <c r="S233" s="64" t="str">
        <f t="shared" si="126"/>
        <v/>
      </c>
      <c r="T233" s="38">
        <v>0</v>
      </c>
      <c r="U233" s="64" t="str">
        <f t="shared" si="127"/>
        <v/>
      </c>
      <c r="V233" s="219" t="str">
        <f>IF($A234="","",IF(AND(MONTH(A233)&gt;3,MONTH(A233)&lt;11),(T233+R233+G233)*Summary!$T$11/(1-Summary!$T$11),(T233+R233+G233)*Summary!$U$11/(1-Summary!$U$11)))</f>
        <v/>
      </c>
      <c r="W233" s="43" t="str">
        <f t="shared" si="128"/>
        <v/>
      </c>
      <c r="X233" s="43" t="str">
        <f t="shared" si="129"/>
        <v/>
      </c>
      <c r="Y233" s="43"/>
      <c r="Z233" s="38" t="str">
        <f t="shared" si="130"/>
        <v/>
      </c>
      <c r="AA233" s="38" t="str">
        <f t="shared" si="131"/>
        <v/>
      </c>
      <c r="AB233" s="38" t="e">
        <f t="shared" si="132"/>
        <v>#VALUE!</v>
      </c>
      <c r="AC233" s="38" t="str">
        <f t="shared" si="133"/>
        <v/>
      </c>
      <c r="AD233" s="38" t="str">
        <f t="shared" si="133"/>
        <v/>
      </c>
      <c r="AE233" s="38" t="e">
        <f t="shared" si="134"/>
        <v>#VALUE!</v>
      </c>
      <c r="AF233" s="238" t="e">
        <f>((Summary!$N$11*(AA233*AD233)*(A233-$D$3))+(Summary!$M$11*Z233*AC233*(AJ233-EOMONTH(EDATE(A233,-1),0))))/(AK233*AB233*AE233)</f>
        <v>#VALUE!</v>
      </c>
      <c r="AG233" s="88" t="str">
        <f>IF($A234="","",Summary!$Q$11)</f>
        <v/>
      </c>
      <c r="AH233" s="88" t="str">
        <f>IF($A234="","",IF(Summary!$R$11="Y",(VLOOKUP($A233,Summary!$AD$6:$AF$9,3)+'Escalating commodity'!G246),'Escalating commodity'!G246))</f>
        <v/>
      </c>
      <c r="AI233" s="88" t="str">
        <f t="shared" si="149"/>
        <v/>
      </c>
      <c r="AJ233" s="236" t="e">
        <f t="shared" si="135"/>
        <v>#VALUE!</v>
      </c>
      <c r="AK233" s="58" t="str">
        <f t="shared" si="136"/>
        <v/>
      </c>
      <c r="AL233" s="26" t="str">
        <f>IF($A234="","",_xll.SPRDOPT(P233,X233,AI233,0,AB233,AE233,AF233,AK233,$AJ$2,0))</f>
        <v/>
      </c>
      <c r="AM233" s="209" t="str">
        <f t="shared" si="137"/>
        <v/>
      </c>
      <c r="AN233" s="89" t="str">
        <f t="shared" si="138"/>
        <v/>
      </c>
      <c r="AO233" s="3" t="str">
        <f t="shared" si="139"/>
        <v/>
      </c>
      <c r="AP233" s="33" t="str">
        <f t="shared" si="140"/>
        <v/>
      </c>
      <c r="AQ233" s="58" t="str">
        <f t="shared" si="141"/>
        <v/>
      </c>
      <c r="AR233" s="38">
        <f>'ANR OK vs ML7'!AR233</f>
        <v>0.1</v>
      </c>
      <c r="AS233" s="35" t="str">
        <f t="shared" si="142"/>
        <v/>
      </c>
      <c r="AT233" s="3" t="str">
        <f t="shared" si="143"/>
        <v/>
      </c>
      <c r="AU233" s="3" t="str">
        <f t="shared" si="144"/>
        <v/>
      </c>
      <c r="AW233" s="32" t="str">
        <f t="shared" si="145"/>
        <v/>
      </c>
      <c r="AX233" s="32" t="str">
        <f t="shared" si="146"/>
        <v/>
      </c>
      <c r="AY233" s="32" t="str">
        <f t="shared" si="147"/>
        <v/>
      </c>
      <c r="BA233" s="32" t="str">
        <f>IF($A234="","",F233*Summary!$Q$11)</f>
        <v/>
      </c>
    </row>
    <row r="234" spans="1:53" ht="12" customHeight="1">
      <c r="A234" s="67" t="str">
        <f t="shared" si="148"/>
        <v/>
      </c>
      <c r="B234" s="69" t="str">
        <f t="shared" si="150"/>
        <v/>
      </c>
      <c r="C234" s="71"/>
      <c r="D234" s="69" t="str">
        <f t="shared" si="114"/>
        <v/>
      </c>
      <c r="E234" s="70" t="str">
        <f t="shared" si="115"/>
        <v/>
      </c>
      <c r="F234" s="70" t="str">
        <f t="shared" si="116"/>
        <v/>
      </c>
      <c r="G234" s="63" t="str">
        <f t="shared" si="117"/>
        <v/>
      </c>
      <c r="H234" s="64" t="str">
        <f t="shared" si="118"/>
        <v/>
      </c>
      <c r="I234" s="43"/>
      <c r="J234" s="63" t="str">
        <f t="shared" si="119"/>
        <v/>
      </c>
      <c r="K234" s="64" t="str">
        <f t="shared" si="120"/>
        <v/>
      </c>
      <c r="L234" s="63" t="str">
        <f t="shared" si="121"/>
        <v/>
      </c>
      <c r="M234" s="64" t="str">
        <f t="shared" si="122"/>
        <v/>
      </c>
      <c r="N234" s="65"/>
      <c r="O234" s="63" t="str">
        <f t="shared" si="123"/>
        <v/>
      </c>
      <c r="P234" s="63" t="str">
        <f t="shared" si="124"/>
        <v/>
      </c>
      <c r="Q234" s="66"/>
      <c r="R234" s="63" t="str">
        <f t="shared" si="125"/>
        <v/>
      </c>
      <c r="S234" s="64" t="str">
        <f t="shared" si="126"/>
        <v/>
      </c>
      <c r="T234" s="38">
        <v>0</v>
      </c>
      <c r="U234" s="64" t="str">
        <f t="shared" si="127"/>
        <v/>
      </c>
      <c r="V234" s="219" t="str">
        <f>IF($A235="","",IF(AND(MONTH(A234)&gt;3,MONTH(A234)&lt;11),(T234+R234+G234)*Summary!$T$11/(1-Summary!$T$11),(T234+R234+G234)*Summary!$U$11/(1-Summary!$U$11)))</f>
        <v/>
      </c>
      <c r="W234" s="43" t="str">
        <f t="shared" si="128"/>
        <v/>
      </c>
      <c r="X234" s="43" t="str">
        <f t="shared" si="129"/>
        <v/>
      </c>
      <c r="Y234" s="43"/>
      <c r="Z234" s="38" t="str">
        <f t="shared" si="130"/>
        <v/>
      </c>
      <c r="AA234" s="38" t="str">
        <f t="shared" si="131"/>
        <v/>
      </c>
      <c r="AB234" s="38" t="e">
        <f t="shared" si="132"/>
        <v>#VALUE!</v>
      </c>
      <c r="AC234" s="38" t="str">
        <f t="shared" si="133"/>
        <v/>
      </c>
      <c r="AD234" s="38" t="str">
        <f t="shared" si="133"/>
        <v/>
      </c>
      <c r="AE234" s="38" t="e">
        <f t="shared" si="134"/>
        <v>#VALUE!</v>
      </c>
      <c r="AF234" s="238" t="e">
        <f>((Summary!$N$11*(AA234*AD234)*(A234-$D$3))+(Summary!$M$11*Z234*AC234*(AJ234-EOMONTH(EDATE(A234,-1),0))))/(AK234*AB234*AE234)</f>
        <v>#VALUE!</v>
      </c>
      <c r="AG234" s="88" t="str">
        <f>IF($A235="","",Summary!$Q$11)</f>
        <v/>
      </c>
      <c r="AH234" s="88" t="str">
        <f>IF($A235="","",IF(Summary!$R$11="Y",(VLOOKUP($A234,Summary!$AD$6:$AF$9,3)+'Escalating commodity'!G247),'Escalating commodity'!G247))</f>
        <v/>
      </c>
      <c r="AI234" s="88" t="str">
        <f t="shared" si="149"/>
        <v/>
      </c>
      <c r="AJ234" s="236" t="e">
        <f t="shared" si="135"/>
        <v>#VALUE!</v>
      </c>
      <c r="AK234" s="58" t="str">
        <f t="shared" si="136"/>
        <v/>
      </c>
      <c r="AL234" s="26" t="str">
        <f>IF($A235="","",_xll.SPRDOPT(P234,X234,AI234,0,AB234,AE234,AF234,AK234,$AJ$2,0))</f>
        <v/>
      </c>
      <c r="AM234" s="209" t="str">
        <f t="shared" si="137"/>
        <v/>
      </c>
      <c r="AN234" s="89" t="str">
        <f t="shared" si="138"/>
        <v/>
      </c>
      <c r="AO234" s="3" t="str">
        <f t="shared" si="139"/>
        <v/>
      </c>
      <c r="AP234" s="33" t="str">
        <f t="shared" si="140"/>
        <v/>
      </c>
      <c r="AQ234" s="58" t="str">
        <f t="shared" si="141"/>
        <v/>
      </c>
      <c r="AR234" s="38">
        <f>'ANR OK vs ML7'!AR234</f>
        <v>0.1</v>
      </c>
      <c r="AS234" s="35" t="str">
        <f t="shared" si="142"/>
        <v/>
      </c>
      <c r="AT234" s="3" t="str">
        <f t="shared" si="143"/>
        <v/>
      </c>
      <c r="AU234" s="3" t="str">
        <f t="shared" si="144"/>
        <v/>
      </c>
      <c r="AW234" s="32" t="str">
        <f t="shared" si="145"/>
        <v/>
      </c>
      <c r="AX234" s="32" t="str">
        <f t="shared" si="146"/>
        <v/>
      </c>
      <c r="AY234" s="32" t="str">
        <f t="shared" si="147"/>
        <v/>
      </c>
      <c r="BA234" s="32" t="str">
        <f>IF($A235="","",F234*Summary!$Q$11)</f>
        <v/>
      </c>
    </row>
    <row r="235" spans="1:53" ht="12" customHeight="1">
      <c r="A235" s="67" t="str">
        <f t="shared" si="148"/>
        <v/>
      </c>
      <c r="B235" s="69" t="str">
        <f t="shared" si="150"/>
        <v/>
      </c>
      <c r="C235" s="71"/>
      <c r="D235" s="69" t="str">
        <f t="shared" si="114"/>
        <v/>
      </c>
      <c r="E235" s="70" t="str">
        <f t="shared" si="115"/>
        <v/>
      </c>
      <c r="F235" s="70" t="str">
        <f t="shared" si="116"/>
        <v/>
      </c>
      <c r="G235" s="63" t="str">
        <f t="shared" si="117"/>
        <v/>
      </c>
      <c r="H235" s="64" t="str">
        <f t="shared" si="118"/>
        <v/>
      </c>
      <c r="I235" s="43"/>
      <c r="J235" s="63" t="str">
        <f t="shared" si="119"/>
        <v/>
      </c>
      <c r="K235" s="64" t="str">
        <f t="shared" si="120"/>
        <v/>
      </c>
      <c r="L235" s="63" t="str">
        <f t="shared" si="121"/>
        <v/>
      </c>
      <c r="M235" s="64" t="str">
        <f t="shared" si="122"/>
        <v/>
      </c>
      <c r="N235" s="65"/>
      <c r="O235" s="63" t="str">
        <f t="shared" si="123"/>
        <v/>
      </c>
      <c r="P235" s="63" t="str">
        <f t="shared" si="124"/>
        <v/>
      </c>
      <c r="Q235" s="66"/>
      <c r="R235" s="63" t="str">
        <f t="shared" si="125"/>
        <v/>
      </c>
      <c r="S235" s="64" t="str">
        <f t="shared" si="126"/>
        <v/>
      </c>
      <c r="T235" s="38">
        <v>0</v>
      </c>
      <c r="U235" s="64" t="str">
        <f t="shared" si="127"/>
        <v/>
      </c>
      <c r="V235" s="219" t="str">
        <f>IF($A236="","",IF(AND(MONTH(A235)&gt;3,MONTH(A235)&lt;11),(T235+R235+G235)*Summary!$T$11/(1-Summary!$T$11),(T235+R235+G235)*Summary!$U$11/(1-Summary!$U$11)))</f>
        <v/>
      </c>
      <c r="W235" s="43" t="str">
        <f t="shared" si="128"/>
        <v/>
      </c>
      <c r="X235" s="43" t="str">
        <f t="shared" si="129"/>
        <v/>
      </c>
      <c r="Y235" s="43"/>
      <c r="Z235" s="38" t="str">
        <f t="shared" si="130"/>
        <v/>
      </c>
      <c r="AA235" s="38" t="str">
        <f t="shared" si="131"/>
        <v/>
      </c>
      <c r="AB235" s="38" t="e">
        <f t="shared" si="132"/>
        <v>#VALUE!</v>
      </c>
      <c r="AC235" s="38" t="str">
        <f t="shared" si="133"/>
        <v/>
      </c>
      <c r="AD235" s="38" t="str">
        <f t="shared" si="133"/>
        <v/>
      </c>
      <c r="AE235" s="38" t="e">
        <f t="shared" si="134"/>
        <v>#VALUE!</v>
      </c>
      <c r="AF235" s="238" t="e">
        <f>((Summary!$N$11*(AA235*AD235)*(A235-$D$3))+(Summary!$M$11*Z235*AC235*(AJ235-EOMONTH(EDATE(A235,-1),0))))/(AK235*AB235*AE235)</f>
        <v>#VALUE!</v>
      </c>
      <c r="AG235" s="88" t="str">
        <f>IF($A236="","",Summary!$Q$11)</f>
        <v/>
      </c>
      <c r="AH235" s="88" t="str">
        <f>IF($A236="","",IF(Summary!$R$11="Y",(VLOOKUP($A235,Summary!$AD$6:$AF$9,3)+'Escalating commodity'!G248),'Escalating commodity'!G248))</f>
        <v/>
      </c>
      <c r="AI235" s="88" t="str">
        <f t="shared" si="149"/>
        <v/>
      </c>
      <c r="AJ235" s="236" t="e">
        <f t="shared" si="135"/>
        <v>#VALUE!</v>
      </c>
      <c r="AK235" s="58" t="str">
        <f t="shared" si="136"/>
        <v/>
      </c>
      <c r="AL235" s="26" t="str">
        <f>IF($A236="","",_xll.SPRDOPT(P235,X235,AI235,0,AB235,AE235,AF235,AK235,$AJ$2,0))</f>
        <v/>
      </c>
      <c r="AM235" s="209" t="str">
        <f t="shared" si="137"/>
        <v/>
      </c>
      <c r="AN235" s="89" t="str">
        <f t="shared" si="138"/>
        <v/>
      </c>
      <c r="AO235" s="3" t="str">
        <f t="shared" si="139"/>
        <v/>
      </c>
      <c r="AP235" s="33" t="str">
        <f t="shared" si="140"/>
        <v/>
      </c>
      <c r="AQ235" s="58" t="str">
        <f t="shared" si="141"/>
        <v/>
      </c>
      <c r="AR235" s="38">
        <f>'ANR OK vs ML7'!AR235</f>
        <v>0.1</v>
      </c>
      <c r="AS235" s="35" t="str">
        <f t="shared" si="142"/>
        <v/>
      </c>
      <c r="AT235" s="3" t="str">
        <f t="shared" si="143"/>
        <v/>
      </c>
      <c r="AU235" s="3" t="str">
        <f t="shared" si="144"/>
        <v/>
      </c>
      <c r="AW235" s="32" t="str">
        <f t="shared" si="145"/>
        <v/>
      </c>
      <c r="AX235" s="32" t="str">
        <f t="shared" si="146"/>
        <v/>
      </c>
      <c r="AY235" s="32" t="str">
        <f t="shared" si="147"/>
        <v/>
      </c>
      <c r="BA235" s="32" t="str">
        <f>IF($A236="","",F235*Summary!$Q$11)</f>
        <v/>
      </c>
    </row>
    <row r="236" spans="1:53" ht="12" customHeight="1">
      <c r="A236" s="67" t="str">
        <f t="shared" si="148"/>
        <v/>
      </c>
      <c r="B236" s="69" t="str">
        <f t="shared" si="150"/>
        <v/>
      </c>
      <c r="C236" s="71"/>
      <c r="D236" s="69" t="str">
        <f t="shared" si="114"/>
        <v/>
      </c>
      <c r="E236" s="70" t="str">
        <f t="shared" si="115"/>
        <v/>
      </c>
      <c r="F236" s="70" t="str">
        <f t="shared" si="116"/>
        <v/>
      </c>
      <c r="G236" s="63" t="str">
        <f t="shared" si="117"/>
        <v/>
      </c>
      <c r="H236" s="64" t="str">
        <f t="shared" si="118"/>
        <v/>
      </c>
      <c r="I236" s="43"/>
      <c r="J236" s="63" t="str">
        <f t="shared" si="119"/>
        <v/>
      </c>
      <c r="K236" s="64" t="str">
        <f t="shared" si="120"/>
        <v/>
      </c>
      <c r="L236" s="63" t="str">
        <f t="shared" si="121"/>
        <v/>
      </c>
      <c r="M236" s="64" t="str">
        <f t="shared" si="122"/>
        <v/>
      </c>
      <c r="N236" s="65"/>
      <c r="O236" s="63" t="str">
        <f t="shared" si="123"/>
        <v/>
      </c>
      <c r="P236" s="63" t="str">
        <f t="shared" si="124"/>
        <v/>
      </c>
      <c r="Q236" s="66"/>
      <c r="R236" s="63" t="str">
        <f t="shared" si="125"/>
        <v/>
      </c>
      <c r="S236" s="64" t="str">
        <f t="shared" si="126"/>
        <v/>
      </c>
      <c r="T236" s="38">
        <v>0</v>
      </c>
      <c r="U236" s="64" t="str">
        <f t="shared" si="127"/>
        <v/>
      </c>
      <c r="V236" s="219" t="str">
        <f>IF($A237="","",IF(AND(MONTH(A236)&gt;3,MONTH(A236)&lt;11),(T236+R236+G236)*Summary!$T$11/(1-Summary!$T$11),(T236+R236+G236)*Summary!$U$11/(1-Summary!$U$11)))</f>
        <v/>
      </c>
      <c r="W236" s="43" t="str">
        <f t="shared" si="128"/>
        <v/>
      </c>
      <c r="X236" s="43" t="str">
        <f t="shared" si="129"/>
        <v/>
      </c>
      <c r="Y236" s="43"/>
      <c r="Z236" s="38" t="str">
        <f t="shared" si="130"/>
        <v/>
      </c>
      <c r="AA236" s="38" t="str">
        <f t="shared" si="131"/>
        <v/>
      </c>
      <c r="AB236" s="38" t="e">
        <f t="shared" si="132"/>
        <v>#VALUE!</v>
      </c>
      <c r="AC236" s="38" t="str">
        <f t="shared" si="133"/>
        <v/>
      </c>
      <c r="AD236" s="38" t="str">
        <f t="shared" si="133"/>
        <v/>
      </c>
      <c r="AE236" s="38" t="e">
        <f t="shared" si="134"/>
        <v>#VALUE!</v>
      </c>
      <c r="AF236" s="238" t="e">
        <f>((Summary!$N$11*(AA236*AD236)*(A236-$D$3))+(Summary!$M$11*Z236*AC236*(AJ236-EOMONTH(EDATE(A236,-1),0))))/(AK236*AB236*AE236)</f>
        <v>#VALUE!</v>
      </c>
      <c r="AG236" s="88" t="str">
        <f>IF($A237="","",Summary!$Q$11)</f>
        <v/>
      </c>
      <c r="AH236" s="88" t="str">
        <f>IF($A237="","",IF(Summary!$R$11="Y",(VLOOKUP($A236,Summary!$AD$6:$AF$9,3)+'Escalating commodity'!G249),'Escalating commodity'!G249))</f>
        <v/>
      </c>
      <c r="AI236" s="88" t="str">
        <f t="shared" si="149"/>
        <v/>
      </c>
      <c r="AJ236" s="236" t="e">
        <f t="shared" si="135"/>
        <v>#VALUE!</v>
      </c>
      <c r="AK236" s="58" t="str">
        <f t="shared" si="136"/>
        <v/>
      </c>
      <c r="AL236" s="26" t="str">
        <f>IF($A237="","",_xll.SPRDOPT(P236,X236,AI236,0,AB236,AE236,AF236,AK236,$AJ$2,0))</f>
        <v/>
      </c>
      <c r="AM236" s="209" t="str">
        <f t="shared" si="137"/>
        <v/>
      </c>
      <c r="AN236" s="89" t="str">
        <f t="shared" si="138"/>
        <v/>
      </c>
      <c r="AO236" s="3" t="str">
        <f t="shared" si="139"/>
        <v/>
      </c>
      <c r="AP236" s="33" t="str">
        <f t="shared" si="140"/>
        <v/>
      </c>
      <c r="AQ236" s="58" t="str">
        <f t="shared" si="141"/>
        <v/>
      </c>
      <c r="AR236" s="38">
        <f>'ANR OK vs ML7'!AR236</f>
        <v>0.1</v>
      </c>
      <c r="AS236" s="35" t="str">
        <f t="shared" si="142"/>
        <v/>
      </c>
      <c r="AT236" s="3" t="str">
        <f t="shared" si="143"/>
        <v/>
      </c>
      <c r="AU236" s="3" t="str">
        <f t="shared" si="144"/>
        <v/>
      </c>
      <c r="AW236" s="32" t="str">
        <f t="shared" si="145"/>
        <v/>
      </c>
      <c r="AX236" s="32" t="str">
        <f t="shared" si="146"/>
        <v/>
      </c>
      <c r="AY236" s="32" t="str">
        <f t="shared" si="147"/>
        <v/>
      </c>
      <c r="BA236" s="32" t="str">
        <f>IF($A237="","",F236*Summary!$Q$11)</f>
        <v/>
      </c>
    </row>
    <row r="237" spans="1:53" ht="12" customHeight="1">
      <c r="A237" s="67" t="str">
        <f t="shared" si="148"/>
        <v/>
      </c>
      <c r="B237" s="69" t="str">
        <f t="shared" si="150"/>
        <v/>
      </c>
      <c r="C237" s="71"/>
      <c r="D237" s="69" t="str">
        <f t="shared" si="114"/>
        <v/>
      </c>
      <c r="E237" s="70" t="str">
        <f t="shared" si="115"/>
        <v/>
      </c>
      <c r="F237" s="70" t="str">
        <f t="shared" si="116"/>
        <v/>
      </c>
      <c r="G237" s="63" t="str">
        <f t="shared" si="117"/>
        <v/>
      </c>
      <c r="H237" s="64" t="str">
        <f t="shared" si="118"/>
        <v/>
      </c>
      <c r="I237" s="43"/>
      <c r="J237" s="63" t="str">
        <f t="shared" si="119"/>
        <v/>
      </c>
      <c r="K237" s="64" t="str">
        <f t="shared" si="120"/>
        <v/>
      </c>
      <c r="L237" s="63" t="str">
        <f t="shared" si="121"/>
        <v/>
      </c>
      <c r="M237" s="64" t="str">
        <f t="shared" si="122"/>
        <v/>
      </c>
      <c r="N237" s="65"/>
      <c r="O237" s="63" t="str">
        <f t="shared" si="123"/>
        <v/>
      </c>
      <c r="P237" s="63" t="str">
        <f t="shared" si="124"/>
        <v/>
      </c>
      <c r="Q237" s="66"/>
      <c r="R237" s="63" t="str">
        <f t="shared" si="125"/>
        <v/>
      </c>
      <c r="S237" s="64" t="str">
        <f t="shared" si="126"/>
        <v/>
      </c>
      <c r="T237" s="38">
        <v>0</v>
      </c>
      <c r="U237" s="64" t="str">
        <f t="shared" si="127"/>
        <v/>
      </c>
      <c r="V237" s="219" t="str">
        <f>IF($A238="","",IF(AND(MONTH(A237)&gt;3,MONTH(A237)&lt;11),(T237+R237+G237)*Summary!$T$11/(1-Summary!$T$11),(T237+R237+G237)*Summary!$U$11/(1-Summary!$U$11)))</f>
        <v/>
      </c>
      <c r="W237" s="43" t="str">
        <f t="shared" si="128"/>
        <v/>
      </c>
      <c r="X237" s="43" t="str">
        <f t="shared" si="129"/>
        <v/>
      </c>
      <c r="Y237" s="43"/>
      <c r="Z237" s="38" t="str">
        <f t="shared" si="130"/>
        <v/>
      </c>
      <c r="AA237" s="38" t="str">
        <f t="shared" si="131"/>
        <v/>
      </c>
      <c r="AB237" s="38" t="e">
        <f t="shared" si="132"/>
        <v>#VALUE!</v>
      </c>
      <c r="AC237" s="38" t="str">
        <f t="shared" si="133"/>
        <v/>
      </c>
      <c r="AD237" s="38" t="str">
        <f t="shared" si="133"/>
        <v/>
      </c>
      <c r="AE237" s="38" t="e">
        <f t="shared" si="134"/>
        <v>#VALUE!</v>
      </c>
      <c r="AF237" s="238" t="e">
        <f>((Summary!$N$11*(AA237*AD237)*(A237-$D$3))+(Summary!$M$11*Z237*AC237*(AJ237-EOMONTH(EDATE(A237,-1),0))))/(AK237*AB237*AE237)</f>
        <v>#VALUE!</v>
      </c>
      <c r="AG237" s="88" t="str">
        <f>IF($A238="","",Summary!$Q$11)</f>
        <v/>
      </c>
      <c r="AH237" s="88" t="str">
        <f>IF($A238="","",IF(Summary!$R$11="Y",(VLOOKUP($A237,Summary!$AD$6:$AF$9,3)+'Escalating commodity'!G250),'Escalating commodity'!G250))</f>
        <v/>
      </c>
      <c r="AI237" s="88" t="str">
        <f t="shared" si="149"/>
        <v/>
      </c>
      <c r="AJ237" s="236" t="e">
        <f t="shared" si="135"/>
        <v>#VALUE!</v>
      </c>
      <c r="AK237" s="58" t="str">
        <f t="shared" si="136"/>
        <v/>
      </c>
      <c r="AL237" s="26" t="str">
        <f>IF($A238="","",_xll.SPRDOPT(P237,X237,AI237,0,AB237,AE237,AF237,AK237,$AJ$2,0))</f>
        <v/>
      </c>
      <c r="AM237" s="209" t="str">
        <f t="shared" si="137"/>
        <v/>
      </c>
      <c r="AN237" s="89" t="str">
        <f t="shared" si="138"/>
        <v/>
      </c>
      <c r="AO237" s="3" t="str">
        <f t="shared" si="139"/>
        <v/>
      </c>
      <c r="AP237" s="33" t="str">
        <f t="shared" si="140"/>
        <v/>
      </c>
      <c r="AQ237" s="58" t="str">
        <f t="shared" si="141"/>
        <v/>
      </c>
      <c r="AR237" s="38">
        <f>'ANR OK vs ML7'!AR237</f>
        <v>0.1</v>
      </c>
      <c r="AS237" s="35" t="str">
        <f t="shared" si="142"/>
        <v/>
      </c>
      <c r="AT237" s="3" t="str">
        <f t="shared" si="143"/>
        <v/>
      </c>
      <c r="AU237" s="3" t="str">
        <f t="shared" si="144"/>
        <v/>
      </c>
      <c r="AW237" s="32" t="str">
        <f t="shared" si="145"/>
        <v/>
      </c>
      <c r="AX237" s="32" t="str">
        <f t="shared" si="146"/>
        <v/>
      </c>
      <c r="AY237" s="32" t="str">
        <f t="shared" si="147"/>
        <v/>
      </c>
      <c r="BA237" s="32" t="str">
        <f>IF($A238="","",F237*Summary!$Q$11)</f>
        <v/>
      </c>
    </row>
    <row r="238" spans="1:53" ht="12" customHeight="1">
      <c r="A238" s="67" t="str">
        <f t="shared" si="148"/>
        <v/>
      </c>
      <c r="B238" s="69" t="str">
        <f t="shared" si="150"/>
        <v/>
      </c>
      <c r="C238" s="71"/>
      <c r="D238" s="69" t="str">
        <f t="shared" si="114"/>
        <v/>
      </c>
      <c r="E238" s="70" t="str">
        <f t="shared" si="115"/>
        <v/>
      </c>
      <c r="F238" s="70" t="str">
        <f t="shared" si="116"/>
        <v/>
      </c>
      <c r="G238" s="63" t="str">
        <f t="shared" si="117"/>
        <v/>
      </c>
      <c r="H238" s="64" t="str">
        <f t="shared" si="118"/>
        <v/>
      </c>
      <c r="I238" s="43"/>
      <c r="J238" s="63" t="str">
        <f t="shared" si="119"/>
        <v/>
      </c>
      <c r="K238" s="64" t="str">
        <f t="shared" si="120"/>
        <v/>
      </c>
      <c r="L238" s="63" t="str">
        <f t="shared" si="121"/>
        <v/>
      </c>
      <c r="M238" s="64" t="str">
        <f t="shared" si="122"/>
        <v/>
      </c>
      <c r="N238" s="65"/>
      <c r="O238" s="63" t="str">
        <f t="shared" si="123"/>
        <v/>
      </c>
      <c r="P238" s="63" t="str">
        <f t="shared" si="124"/>
        <v/>
      </c>
      <c r="Q238" s="66"/>
      <c r="R238" s="63" t="str">
        <f t="shared" si="125"/>
        <v/>
      </c>
      <c r="S238" s="64" t="str">
        <f t="shared" si="126"/>
        <v/>
      </c>
      <c r="T238" s="38">
        <v>0</v>
      </c>
      <c r="U238" s="64" t="str">
        <f t="shared" si="127"/>
        <v/>
      </c>
      <c r="V238" s="219" t="str">
        <f>IF($A239="","",IF(AND(MONTH(A238)&gt;3,MONTH(A238)&lt;11),(T238+R238+G238)*Summary!$T$11/(1-Summary!$T$11),(T238+R238+G238)*Summary!$U$11/(1-Summary!$U$11)))</f>
        <v/>
      </c>
      <c r="W238" s="43" t="str">
        <f t="shared" si="128"/>
        <v/>
      </c>
      <c r="X238" s="43" t="str">
        <f t="shared" si="129"/>
        <v/>
      </c>
      <c r="Y238" s="43"/>
      <c r="Z238" s="38" t="str">
        <f t="shared" si="130"/>
        <v/>
      </c>
      <c r="AA238" s="38" t="str">
        <f t="shared" si="131"/>
        <v/>
      </c>
      <c r="AB238" s="38" t="e">
        <f t="shared" si="132"/>
        <v>#VALUE!</v>
      </c>
      <c r="AC238" s="38" t="str">
        <f t="shared" si="133"/>
        <v/>
      </c>
      <c r="AD238" s="38" t="str">
        <f t="shared" si="133"/>
        <v/>
      </c>
      <c r="AE238" s="38" t="e">
        <f t="shared" si="134"/>
        <v>#VALUE!</v>
      </c>
      <c r="AF238" s="238" t="e">
        <f>((Summary!$N$11*(AA238*AD238)*(A238-$D$3))+(Summary!$M$11*Z238*AC238*(AJ238-EOMONTH(EDATE(A238,-1),0))))/(AK238*AB238*AE238)</f>
        <v>#VALUE!</v>
      </c>
      <c r="AG238" s="88" t="str">
        <f>IF($A239="","",Summary!$Q$11)</f>
        <v/>
      </c>
      <c r="AH238" s="88" t="str">
        <f>IF($A239="","",IF(Summary!$R$11="Y",(VLOOKUP($A238,Summary!$AD$6:$AF$9,3)+'Escalating commodity'!G251),'Escalating commodity'!G251))</f>
        <v/>
      </c>
      <c r="AI238" s="88" t="str">
        <f t="shared" si="149"/>
        <v/>
      </c>
      <c r="AJ238" s="236" t="e">
        <f t="shared" si="135"/>
        <v>#VALUE!</v>
      </c>
      <c r="AK238" s="58" t="str">
        <f t="shared" si="136"/>
        <v/>
      </c>
      <c r="AL238" s="26" t="str">
        <f>IF($A239="","",_xll.SPRDOPT(P238,X238,AI238,0,AB238,AE238,AF238,AK238,$AJ$2,0))</f>
        <v/>
      </c>
      <c r="AM238" s="209" t="str">
        <f t="shared" si="137"/>
        <v/>
      </c>
      <c r="AN238" s="89" t="str">
        <f t="shared" si="138"/>
        <v/>
      </c>
      <c r="AO238" s="3" t="str">
        <f t="shared" si="139"/>
        <v/>
      </c>
      <c r="AP238" s="33" t="str">
        <f t="shared" si="140"/>
        <v/>
      </c>
      <c r="AQ238" s="58" t="str">
        <f t="shared" si="141"/>
        <v/>
      </c>
      <c r="AR238" s="38">
        <f>'ANR OK vs ML7'!AR238</f>
        <v>0.1</v>
      </c>
      <c r="AS238" s="35" t="str">
        <f t="shared" si="142"/>
        <v/>
      </c>
      <c r="AT238" s="3" t="str">
        <f t="shared" si="143"/>
        <v/>
      </c>
      <c r="AU238" s="3" t="str">
        <f t="shared" si="144"/>
        <v/>
      </c>
      <c r="AW238" s="32" t="str">
        <f t="shared" si="145"/>
        <v/>
      </c>
      <c r="AX238" s="32" t="str">
        <f t="shared" si="146"/>
        <v/>
      </c>
      <c r="AY238" s="32" t="str">
        <f t="shared" si="147"/>
        <v/>
      </c>
      <c r="BA238" s="32" t="str">
        <f>IF($A239="","",F238*Summary!$Q$11)</f>
        <v/>
      </c>
    </row>
    <row r="239" spans="1:53" ht="12" customHeight="1">
      <c r="A239" s="67" t="str">
        <f t="shared" si="148"/>
        <v/>
      </c>
      <c r="B239" s="69" t="str">
        <f t="shared" si="150"/>
        <v/>
      </c>
      <c r="C239" s="71"/>
      <c r="D239" s="69" t="str">
        <f t="shared" si="114"/>
        <v/>
      </c>
      <c r="E239" s="70" t="str">
        <f t="shared" si="115"/>
        <v/>
      </c>
      <c r="F239" s="70" t="str">
        <f t="shared" si="116"/>
        <v/>
      </c>
      <c r="G239" s="63" t="str">
        <f t="shared" si="117"/>
        <v/>
      </c>
      <c r="H239" s="64" t="str">
        <f t="shared" si="118"/>
        <v/>
      </c>
      <c r="I239" s="43"/>
      <c r="J239" s="63" t="str">
        <f t="shared" si="119"/>
        <v/>
      </c>
      <c r="K239" s="64" t="str">
        <f t="shared" si="120"/>
        <v/>
      </c>
      <c r="L239" s="63" t="str">
        <f t="shared" si="121"/>
        <v/>
      </c>
      <c r="M239" s="64" t="str">
        <f t="shared" si="122"/>
        <v/>
      </c>
      <c r="N239" s="65"/>
      <c r="O239" s="63" t="str">
        <f t="shared" si="123"/>
        <v/>
      </c>
      <c r="P239" s="63" t="str">
        <f t="shared" si="124"/>
        <v/>
      </c>
      <c r="Q239" s="66"/>
      <c r="R239" s="63" t="str">
        <f t="shared" si="125"/>
        <v/>
      </c>
      <c r="S239" s="64" t="str">
        <f t="shared" si="126"/>
        <v/>
      </c>
      <c r="T239" s="38">
        <v>0</v>
      </c>
      <c r="U239" s="64" t="str">
        <f t="shared" si="127"/>
        <v/>
      </c>
      <c r="V239" s="219" t="str">
        <f>IF($A240="","",IF(AND(MONTH(A239)&gt;3,MONTH(A239)&lt;11),(T239+R239+G239)*Summary!$T$11/(1-Summary!$T$11),(T239+R239+G239)*Summary!$U$11/(1-Summary!$U$11)))</f>
        <v/>
      </c>
      <c r="W239" s="43" t="str">
        <f t="shared" si="128"/>
        <v/>
      </c>
      <c r="X239" s="43" t="str">
        <f t="shared" si="129"/>
        <v/>
      </c>
      <c r="Y239" s="43"/>
      <c r="Z239" s="38" t="str">
        <f t="shared" si="130"/>
        <v/>
      </c>
      <c r="AA239" s="38" t="str">
        <f t="shared" si="131"/>
        <v/>
      </c>
      <c r="AB239" s="38" t="e">
        <f t="shared" si="132"/>
        <v>#VALUE!</v>
      </c>
      <c r="AC239" s="38" t="str">
        <f t="shared" si="133"/>
        <v/>
      </c>
      <c r="AD239" s="38" t="str">
        <f t="shared" si="133"/>
        <v/>
      </c>
      <c r="AE239" s="38" t="e">
        <f t="shared" si="134"/>
        <v>#VALUE!</v>
      </c>
      <c r="AF239" s="238" t="e">
        <f>((Summary!$N$11*(AA239*AD239)*(A239-$D$3))+(Summary!$M$11*Z239*AC239*(AJ239-EOMONTH(EDATE(A239,-1),0))))/(AK239*AB239*AE239)</f>
        <v>#VALUE!</v>
      </c>
      <c r="AG239" s="88" t="str">
        <f>IF($A240="","",Summary!$Q$11)</f>
        <v/>
      </c>
      <c r="AH239" s="88" t="str">
        <f>IF($A240="","",IF(Summary!$R$11="Y",(VLOOKUP($A239,Summary!$AD$6:$AF$9,3)+'Escalating commodity'!G252),'Escalating commodity'!G252))</f>
        <v/>
      </c>
      <c r="AI239" s="88" t="str">
        <f t="shared" si="149"/>
        <v/>
      </c>
      <c r="AJ239" s="236" t="e">
        <f t="shared" si="135"/>
        <v>#VALUE!</v>
      </c>
      <c r="AK239" s="58" t="str">
        <f t="shared" si="136"/>
        <v/>
      </c>
      <c r="AL239" s="26" t="str">
        <f>IF($A240="","",_xll.SPRDOPT(P239,X239,AI239,0,AB239,AE239,AF239,AK239,$AJ$2,0))</f>
        <v/>
      </c>
      <c r="AM239" s="209" t="str">
        <f t="shared" si="137"/>
        <v/>
      </c>
      <c r="AN239" s="89" t="str">
        <f t="shared" si="138"/>
        <v/>
      </c>
      <c r="AO239" s="3" t="str">
        <f t="shared" si="139"/>
        <v/>
      </c>
      <c r="AP239" s="33" t="str">
        <f t="shared" si="140"/>
        <v/>
      </c>
      <c r="AQ239" s="58" t="str">
        <f t="shared" si="141"/>
        <v/>
      </c>
      <c r="AR239" s="38">
        <f>'ANR OK vs ML7'!AR239</f>
        <v>0.1</v>
      </c>
      <c r="AS239" s="35" t="str">
        <f t="shared" si="142"/>
        <v/>
      </c>
      <c r="AT239" s="3" t="str">
        <f t="shared" si="143"/>
        <v/>
      </c>
      <c r="AU239" s="3" t="str">
        <f t="shared" si="144"/>
        <v/>
      </c>
      <c r="AW239" s="32" t="str">
        <f t="shared" si="145"/>
        <v/>
      </c>
      <c r="AX239" s="32" t="str">
        <f t="shared" si="146"/>
        <v/>
      </c>
      <c r="AY239" s="32" t="str">
        <f t="shared" si="147"/>
        <v/>
      </c>
      <c r="BA239" s="32" t="str">
        <f>IF($A240="","",F239*Summary!$Q$11)</f>
        <v/>
      </c>
    </row>
    <row r="240" spans="1:53" ht="12" customHeight="1">
      <c r="A240" s="67" t="str">
        <f t="shared" si="148"/>
        <v/>
      </c>
      <c r="B240" s="69" t="str">
        <f t="shared" si="150"/>
        <v/>
      </c>
      <c r="C240" s="71"/>
      <c r="D240" s="69" t="str">
        <f t="shared" si="114"/>
        <v/>
      </c>
      <c r="E240" s="70" t="str">
        <f t="shared" si="115"/>
        <v/>
      </c>
      <c r="F240" s="70" t="str">
        <f t="shared" si="116"/>
        <v/>
      </c>
      <c r="G240" s="63" t="str">
        <f t="shared" si="117"/>
        <v/>
      </c>
      <c r="H240" s="64" t="str">
        <f t="shared" si="118"/>
        <v/>
      </c>
      <c r="I240" s="43"/>
      <c r="J240" s="63" t="str">
        <f t="shared" si="119"/>
        <v/>
      </c>
      <c r="K240" s="64" t="str">
        <f t="shared" si="120"/>
        <v/>
      </c>
      <c r="L240" s="63" t="str">
        <f t="shared" si="121"/>
        <v/>
      </c>
      <c r="M240" s="64" t="str">
        <f t="shared" si="122"/>
        <v/>
      </c>
      <c r="N240" s="65"/>
      <c r="O240" s="63" t="str">
        <f t="shared" si="123"/>
        <v/>
      </c>
      <c r="P240" s="63" t="str">
        <f t="shared" si="124"/>
        <v/>
      </c>
      <c r="Q240" s="66"/>
      <c r="R240" s="63" t="str">
        <f t="shared" si="125"/>
        <v/>
      </c>
      <c r="S240" s="64" t="str">
        <f t="shared" si="126"/>
        <v/>
      </c>
      <c r="T240" s="38">
        <v>0</v>
      </c>
      <c r="U240" s="64" t="str">
        <f t="shared" si="127"/>
        <v/>
      </c>
      <c r="V240" s="219" t="str">
        <f>IF($A241="","",IF(AND(MONTH(A240)&gt;3,MONTH(A240)&lt;11),(T240+R240+G240)*Summary!$T$11/(1-Summary!$T$11),(T240+R240+G240)*Summary!$U$11/(1-Summary!$U$11)))</f>
        <v/>
      </c>
      <c r="W240" s="43" t="str">
        <f t="shared" si="128"/>
        <v/>
      </c>
      <c r="X240" s="43" t="str">
        <f t="shared" si="129"/>
        <v/>
      </c>
      <c r="Y240" s="43"/>
      <c r="Z240" s="38" t="str">
        <f t="shared" si="130"/>
        <v/>
      </c>
      <c r="AA240" s="38" t="str">
        <f t="shared" si="131"/>
        <v/>
      </c>
      <c r="AB240" s="38" t="e">
        <f t="shared" si="132"/>
        <v>#VALUE!</v>
      </c>
      <c r="AC240" s="38" t="str">
        <f t="shared" si="133"/>
        <v/>
      </c>
      <c r="AD240" s="38" t="str">
        <f t="shared" si="133"/>
        <v/>
      </c>
      <c r="AE240" s="38" t="e">
        <f t="shared" si="134"/>
        <v>#VALUE!</v>
      </c>
      <c r="AF240" s="238" t="e">
        <f>((Summary!$N$11*(AA240*AD240)*(A240-$D$3))+(Summary!$M$11*Z240*AC240*(AJ240-EOMONTH(EDATE(A240,-1),0))))/(AK240*AB240*AE240)</f>
        <v>#VALUE!</v>
      </c>
      <c r="AG240" s="88" t="str">
        <f>IF($A241="","",Summary!$Q$11)</f>
        <v/>
      </c>
      <c r="AH240" s="88" t="str">
        <f>IF($A241="","",IF(Summary!$R$11="Y",(VLOOKUP($A240,Summary!$AD$6:$AF$9,3)+'Escalating commodity'!G253),'Escalating commodity'!G253))</f>
        <v/>
      </c>
      <c r="AI240" s="88" t="str">
        <f t="shared" si="149"/>
        <v/>
      </c>
      <c r="AJ240" s="236" t="e">
        <f t="shared" si="135"/>
        <v>#VALUE!</v>
      </c>
      <c r="AK240" s="58" t="str">
        <f t="shared" si="136"/>
        <v/>
      </c>
      <c r="AL240" s="26" t="str">
        <f>IF($A241="","",_xll.SPRDOPT(P240,X240,AI240,0,AB240,AE240,AF240,AK240,$AJ$2,0))</f>
        <v/>
      </c>
      <c r="AM240" s="209" t="str">
        <f t="shared" si="137"/>
        <v/>
      </c>
      <c r="AN240" s="89" t="str">
        <f t="shared" si="138"/>
        <v/>
      </c>
      <c r="AO240" s="3" t="str">
        <f t="shared" si="139"/>
        <v/>
      </c>
      <c r="AP240" s="33" t="str">
        <f t="shared" si="140"/>
        <v/>
      </c>
      <c r="AQ240" s="58" t="str">
        <f t="shared" si="141"/>
        <v/>
      </c>
      <c r="AR240" s="38">
        <f>'ANR OK vs ML7'!AR240</f>
        <v>0.1</v>
      </c>
      <c r="AS240" s="35" t="str">
        <f t="shared" si="142"/>
        <v/>
      </c>
      <c r="AT240" s="3" t="str">
        <f t="shared" si="143"/>
        <v/>
      </c>
      <c r="AU240" s="3" t="str">
        <f t="shared" si="144"/>
        <v/>
      </c>
      <c r="AW240" s="32" t="str">
        <f t="shared" si="145"/>
        <v/>
      </c>
      <c r="AX240" s="32" t="str">
        <f t="shared" si="146"/>
        <v/>
      </c>
      <c r="AY240" s="32" t="str">
        <f t="shared" si="147"/>
        <v/>
      </c>
      <c r="BA240" s="32" t="str">
        <f>IF($A241="","",F240*Summary!$Q$11)</f>
        <v/>
      </c>
    </row>
    <row r="241" spans="1:53" ht="12" customHeight="1">
      <c r="A241" s="67" t="str">
        <f t="shared" si="148"/>
        <v/>
      </c>
      <c r="B241" s="69" t="str">
        <f t="shared" si="150"/>
        <v/>
      </c>
      <c r="C241" s="71"/>
      <c r="D241" s="69" t="str">
        <f t="shared" si="114"/>
        <v/>
      </c>
      <c r="E241" s="70" t="str">
        <f t="shared" si="115"/>
        <v/>
      </c>
      <c r="F241" s="70" t="str">
        <f t="shared" si="116"/>
        <v/>
      </c>
      <c r="G241" s="63" t="str">
        <f t="shared" si="117"/>
        <v/>
      </c>
      <c r="H241" s="64" t="str">
        <f t="shared" si="118"/>
        <v/>
      </c>
      <c r="I241" s="43"/>
      <c r="J241" s="63" t="str">
        <f t="shared" si="119"/>
        <v/>
      </c>
      <c r="K241" s="64" t="str">
        <f t="shared" si="120"/>
        <v/>
      </c>
      <c r="L241" s="63" t="str">
        <f t="shared" si="121"/>
        <v/>
      </c>
      <c r="M241" s="64" t="str">
        <f t="shared" si="122"/>
        <v/>
      </c>
      <c r="N241" s="65"/>
      <c r="O241" s="63" t="str">
        <f t="shared" si="123"/>
        <v/>
      </c>
      <c r="P241" s="63" t="str">
        <f t="shared" si="124"/>
        <v/>
      </c>
      <c r="Q241" s="66"/>
      <c r="R241" s="63" t="str">
        <f t="shared" si="125"/>
        <v/>
      </c>
      <c r="S241" s="64" t="str">
        <f t="shared" si="126"/>
        <v/>
      </c>
      <c r="T241" s="38">
        <v>0</v>
      </c>
      <c r="U241" s="64" t="str">
        <f t="shared" si="127"/>
        <v/>
      </c>
      <c r="V241" s="219" t="str">
        <f>IF($A242="","",IF(AND(MONTH(A241)&gt;3,MONTH(A241)&lt;11),(T241+R241+G241)*Summary!$T$11/(1-Summary!$T$11),(T241+R241+G241)*Summary!$U$11/(1-Summary!$U$11)))</f>
        <v/>
      </c>
      <c r="W241" s="43" t="str">
        <f t="shared" si="128"/>
        <v/>
      </c>
      <c r="X241" s="43" t="str">
        <f t="shared" si="129"/>
        <v/>
      </c>
      <c r="Y241" s="43"/>
      <c r="Z241" s="38" t="str">
        <f t="shared" si="130"/>
        <v/>
      </c>
      <c r="AA241" s="38" t="str">
        <f t="shared" si="131"/>
        <v/>
      </c>
      <c r="AB241" s="38" t="e">
        <f t="shared" si="132"/>
        <v>#VALUE!</v>
      </c>
      <c r="AC241" s="38" t="str">
        <f t="shared" si="133"/>
        <v/>
      </c>
      <c r="AD241" s="38" t="str">
        <f t="shared" si="133"/>
        <v/>
      </c>
      <c r="AE241" s="38" t="e">
        <f t="shared" si="134"/>
        <v>#VALUE!</v>
      </c>
      <c r="AF241" s="238" t="e">
        <f>((Summary!$N$11*(AA241*AD241)*(A241-$D$3))+(Summary!$M$11*Z241*AC241*(AJ241-EOMONTH(EDATE(A241,-1),0))))/(AK241*AB241*AE241)</f>
        <v>#VALUE!</v>
      </c>
      <c r="AG241" s="88" t="str">
        <f>IF($A242="","",Summary!$Q$11)</f>
        <v/>
      </c>
      <c r="AH241" s="88" t="str">
        <f>IF($A242="","",IF(Summary!$R$11="Y",(VLOOKUP($A241,Summary!$AD$6:$AF$9,3)+'Escalating commodity'!G254),'Escalating commodity'!G254))</f>
        <v/>
      </c>
      <c r="AI241" s="88" t="str">
        <f t="shared" si="149"/>
        <v/>
      </c>
      <c r="AJ241" s="236" t="e">
        <f t="shared" si="135"/>
        <v>#VALUE!</v>
      </c>
      <c r="AK241" s="58" t="str">
        <f t="shared" si="136"/>
        <v/>
      </c>
      <c r="AL241" s="26" t="str">
        <f>IF($A242="","",_xll.SPRDOPT(P241,X241,AI241,0,AB241,AE241,AF241,AK241,$AJ$2,0))</f>
        <v/>
      </c>
      <c r="AM241" s="209" t="str">
        <f t="shared" si="137"/>
        <v/>
      </c>
      <c r="AN241" s="89" t="str">
        <f t="shared" si="138"/>
        <v/>
      </c>
      <c r="AO241" s="3" t="str">
        <f t="shared" si="139"/>
        <v/>
      </c>
      <c r="AP241" s="33" t="str">
        <f t="shared" si="140"/>
        <v/>
      </c>
      <c r="AQ241" s="58" t="str">
        <f t="shared" si="141"/>
        <v/>
      </c>
      <c r="AR241" s="38">
        <f>'ANR OK vs ML7'!AR241</f>
        <v>0.1</v>
      </c>
      <c r="AS241" s="35" t="str">
        <f t="shared" si="142"/>
        <v/>
      </c>
      <c r="AT241" s="3" t="str">
        <f t="shared" si="143"/>
        <v/>
      </c>
      <c r="AU241" s="3" t="str">
        <f t="shared" si="144"/>
        <v/>
      </c>
      <c r="AW241" s="32" t="str">
        <f t="shared" si="145"/>
        <v/>
      </c>
      <c r="AX241" s="32" t="str">
        <f t="shared" si="146"/>
        <v/>
      </c>
      <c r="AY241" s="32" t="str">
        <f t="shared" si="147"/>
        <v/>
      </c>
      <c r="BA241" s="32" t="str">
        <f>IF($A242="","",F241*Summary!$Q$11)</f>
        <v/>
      </c>
    </row>
    <row r="242" spans="1:53" ht="12" customHeight="1">
      <c r="A242" s="67" t="str">
        <f t="shared" si="148"/>
        <v/>
      </c>
      <c r="B242" s="69" t="str">
        <f t="shared" si="150"/>
        <v/>
      </c>
      <c r="C242" s="71"/>
      <c r="D242" s="69" t="str">
        <f t="shared" si="114"/>
        <v/>
      </c>
      <c r="E242" s="70" t="str">
        <f t="shared" si="115"/>
        <v/>
      </c>
      <c r="F242" s="70" t="str">
        <f t="shared" si="116"/>
        <v/>
      </c>
      <c r="G242" s="63" t="str">
        <f t="shared" si="117"/>
        <v/>
      </c>
      <c r="H242" s="64" t="str">
        <f t="shared" si="118"/>
        <v/>
      </c>
      <c r="I242" s="43"/>
      <c r="J242" s="63" t="str">
        <f t="shared" si="119"/>
        <v/>
      </c>
      <c r="K242" s="64" t="str">
        <f t="shared" si="120"/>
        <v/>
      </c>
      <c r="L242" s="63" t="str">
        <f t="shared" si="121"/>
        <v/>
      </c>
      <c r="M242" s="64" t="str">
        <f t="shared" si="122"/>
        <v/>
      </c>
      <c r="N242" s="65"/>
      <c r="O242" s="63" t="str">
        <f t="shared" si="123"/>
        <v/>
      </c>
      <c r="P242" s="63" t="str">
        <f t="shared" si="124"/>
        <v/>
      </c>
      <c r="Q242" s="66"/>
      <c r="R242" s="63" t="str">
        <f t="shared" si="125"/>
        <v/>
      </c>
      <c r="S242" s="64" t="str">
        <f t="shared" si="126"/>
        <v/>
      </c>
      <c r="T242" s="38">
        <v>0</v>
      </c>
      <c r="U242" s="64" t="str">
        <f t="shared" si="127"/>
        <v/>
      </c>
      <c r="V242" s="219" t="str">
        <f>IF($A243="","",IF(AND(MONTH(A242)&gt;3,MONTH(A242)&lt;11),(T242+R242+G242)*Summary!$T$11/(1-Summary!$T$11),(T242+R242+G242)*Summary!$U$11/(1-Summary!$U$11)))</f>
        <v/>
      </c>
      <c r="W242" s="43" t="str">
        <f t="shared" si="128"/>
        <v/>
      </c>
      <c r="X242" s="43" t="str">
        <f t="shared" si="129"/>
        <v/>
      </c>
      <c r="Y242" s="43"/>
      <c r="Z242" s="38" t="str">
        <f t="shared" si="130"/>
        <v/>
      </c>
      <c r="AA242" s="38" t="str">
        <f t="shared" si="131"/>
        <v/>
      </c>
      <c r="AB242" s="38" t="e">
        <f t="shared" si="132"/>
        <v>#VALUE!</v>
      </c>
      <c r="AC242" s="38" t="str">
        <f t="shared" si="133"/>
        <v/>
      </c>
      <c r="AD242" s="38" t="str">
        <f t="shared" si="133"/>
        <v/>
      </c>
      <c r="AE242" s="38" t="e">
        <f t="shared" si="134"/>
        <v>#VALUE!</v>
      </c>
      <c r="AF242" s="238" t="e">
        <f>((Summary!$N$11*(AA242*AD242)*(A242-$D$3))+(Summary!$M$11*Z242*AC242*(AJ242-EOMONTH(EDATE(A242,-1),0))))/(AK242*AB242*AE242)</f>
        <v>#VALUE!</v>
      </c>
      <c r="AG242" s="88" t="str">
        <f>IF($A243="","",Summary!$Q$11)</f>
        <v/>
      </c>
      <c r="AH242" s="88" t="str">
        <f>IF($A243="","",IF(Summary!$R$11="Y",(VLOOKUP($A242,Summary!$AD$6:$AF$9,3)+'Escalating commodity'!G255),'Escalating commodity'!G255))</f>
        <v/>
      </c>
      <c r="AI242" s="88" t="str">
        <f t="shared" si="149"/>
        <v/>
      </c>
      <c r="AJ242" s="236" t="e">
        <f t="shared" si="135"/>
        <v>#VALUE!</v>
      </c>
      <c r="AK242" s="58" t="str">
        <f t="shared" si="136"/>
        <v/>
      </c>
      <c r="AL242" s="26" t="str">
        <f>IF($A243="","",_xll.SPRDOPT(P242,X242,AI242,0,AB242,AE242,AF242,AK242,$AJ$2,0))</f>
        <v/>
      </c>
      <c r="AM242" s="209" t="str">
        <f t="shared" si="137"/>
        <v/>
      </c>
      <c r="AN242" s="89" t="str">
        <f t="shared" si="138"/>
        <v/>
      </c>
      <c r="AO242" s="3" t="str">
        <f t="shared" si="139"/>
        <v/>
      </c>
      <c r="AP242" s="33" t="str">
        <f t="shared" si="140"/>
        <v/>
      </c>
      <c r="AQ242" s="58" t="str">
        <f t="shared" si="141"/>
        <v/>
      </c>
      <c r="AR242" s="38">
        <f>'ANR OK vs ML7'!AR242</f>
        <v>0.1</v>
      </c>
      <c r="AS242" s="35" t="str">
        <f t="shared" si="142"/>
        <v/>
      </c>
      <c r="AT242" s="3" t="str">
        <f t="shared" si="143"/>
        <v/>
      </c>
      <c r="AU242" s="3" t="str">
        <f t="shared" si="144"/>
        <v/>
      </c>
      <c r="AW242" s="32" t="str">
        <f t="shared" si="145"/>
        <v/>
      </c>
      <c r="AX242" s="32" t="str">
        <f t="shared" si="146"/>
        <v/>
      </c>
      <c r="AY242" s="32" t="str">
        <f t="shared" si="147"/>
        <v/>
      </c>
      <c r="BA242" s="32" t="str">
        <f>IF($A243="","",F242*Summary!$Q$11)</f>
        <v/>
      </c>
    </row>
    <row r="243" spans="1:53" ht="12" customHeight="1">
      <c r="A243" s="67" t="str">
        <f t="shared" si="148"/>
        <v/>
      </c>
      <c r="B243" s="69" t="str">
        <f t="shared" si="150"/>
        <v/>
      </c>
      <c r="C243" s="71"/>
      <c r="D243" s="69" t="str">
        <f t="shared" si="114"/>
        <v/>
      </c>
      <c r="E243" s="70" t="str">
        <f t="shared" si="115"/>
        <v/>
      </c>
      <c r="F243" s="70" t="str">
        <f t="shared" si="116"/>
        <v/>
      </c>
      <c r="G243" s="63" t="str">
        <f t="shared" si="117"/>
        <v/>
      </c>
      <c r="H243" s="64" t="str">
        <f t="shared" si="118"/>
        <v/>
      </c>
      <c r="I243" s="43"/>
      <c r="J243" s="63" t="str">
        <f t="shared" si="119"/>
        <v/>
      </c>
      <c r="K243" s="64" t="str">
        <f t="shared" si="120"/>
        <v/>
      </c>
      <c r="L243" s="63" t="str">
        <f t="shared" si="121"/>
        <v/>
      </c>
      <c r="M243" s="64" t="str">
        <f t="shared" si="122"/>
        <v/>
      </c>
      <c r="N243" s="65"/>
      <c r="O243" s="63" t="str">
        <f t="shared" si="123"/>
        <v/>
      </c>
      <c r="P243" s="63" t="str">
        <f t="shared" si="124"/>
        <v/>
      </c>
      <c r="Q243" s="66"/>
      <c r="R243" s="63" t="str">
        <f t="shared" si="125"/>
        <v/>
      </c>
      <c r="S243" s="64" t="str">
        <f t="shared" si="126"/>
        <v/>
      </c>
      <c r="T243" s="38">
        <v>0</v>
      </c>
      <c r="U243" s="64" t="str">
        <f t="shared" si="127"/>
        <v/>
      </c>
      <c r="V243" s="219" t="str">
        <f>IF($A244="","",IF(AND(MONTH(A243)&gt;3,MONTH(A243)&lt;11),(T243+R243+G243)*Summary!$T$11/(1-Summary!$T$11),(T243+R243+G243)*Summary!$U$11/(1-Summary!$U$11)))</f>
        <v/>
      </c>
      <c r="W243" s="43" t="str">
        <f t="shared" si="128"/>
        <v/>
      </c>
      <c r="X243" s="43" t="str">
        <f t="shared" si="129"/>
        <v/>
      </c>
      <c r="Y243" s="43"/>
      <c r="Z243" s="38" t="str">
        <f t="shared" si="130"/>
        <v/>
      </c>
      <c r="AA243" s="38" t="str">
        <f t="shared" si="131"/>
        <v/>
      </c>
      <c r="AB243" s="38" t="e">
        <f t="shared" si="132"/>
        <v>#VALUE!</v>
      </c>
      <c r="AC243" s="38" t="str">
        <f t="shared" si="133"/>
        <v/>
      </c>
      <c r="AD243" s="38" t="str">
        <f t="shared" si="133"/>
        <v/>
      </c>
      <c r="AE243" s="38" t="e">
        <f t="shared" si="134"/>
        <v>#VALUE!</v>
      </c>
      <c r="AF243" s="238" t="e">
        <f>((Summary!$N$11*(AA243*AD243)*(A243-$D$3))+(Summary!$M$11*Z243*AC243*(AJ243-EOMONTH(EDATE(A243,-1),0))))/(AK243*AB243*AE243)</f>
        <v>#VALUE!</v>
      </c>
      <c r="AG243" s="88" t="str">
        <f>IF($A244="","",Summary!$Q$11)</f>
        <v/>
      </c>
      <c r="AH243" s="88" t="str">
        <f>IF($A244="","",IF(Summary!$R$11="Y",(VLOOKUP($A243,Summary!$AD$6:$AF$9,3)+'Escalating commodity'!G256),'Escalating commodity'!G256))</f>
        <v/>
      </c>
      <c r="AI243" s="88" t="str">
        <f t="shared" si="149"/>
        <v/>
      </c>
      <c r="AJ243" s="236" t="e">
        <f t="shared" si="135"/>
        <v>#VALUE!</v>
      </c>
      <c r="AK243" s="58" t="str">
        <f t="shared" si="136"/>
        <v/>
      </c>
      <c r="AL243" s="26" t="str">
        <f>IF($A244="","",_xll.SPRDOPT(P243,X243,AI243,0,AB243,AE243,AF243,AK243,$AJ$2,0))</f>
        <v/>
      </c>
      <c r="AM243" s="209" t="str">
        <f t="shared" si="137"/>
        <v/>
      </c>
      <c r="AN243" s="89" t="str">
        <f t="shared" si="138"/>
        <v/>
      </c>
      <c r="AO243" s="3" t="str">
        <f t="shared" si="139"/>
        <v/>
      </c>
      <c r="AP243" s="33" t="str">
        <f t="shared" si="140"/>
        <v/>
      </c>
      <c r="AQ243" s="58" t="str">
        <f t="shared" si="141"/>
        <v/>
      </c>
      <c r="AR243" s="38">
        <f>'ANR OK vs ML7'!AR243</f>
        <v>0.1</v>
      </c>
      <c r="AS243" s="35" t="str">
        <f t="shared" si="142"/>
        <v/>
      </c>
      <c r="AT243" s="3" t="str">
        <f t="shared" si="143"/>
        <v/>
      </c>
      <c r="AU243" s="3" t="str">
        <f t="shared" si="144"/>
        <v/>
      </c>
      <c r="AW243" s="32" t="str">
        <f t="shared" si="145"/>
        <v/>
      </c>
      <c r="AX243" s="32" t="str">
        <f t="shared" si="146"/>
        <v/>
      </c>
      <c r="AY243" s="32" t="str">
        <f t="shared" si="147"/>
        <v/>
      </c>
      <c r="BA243" s="32" t="str">
        <f>IF($A244="","",F243*Summary!$Q$11)</f>
        <v/>
      </c>
    </row>
    <row r="244" spans="1:53" ht="12" customHeight="1">
      <c r="A244" s="67" t="str">
        <f t="shared" si="148"/>
        <v/>
      </c>
      <c r="B244" s="69" t="str">
        <f t="shared" si="150"/>
        <v/>
      </c>
      <c r="C244" s="71"/>
      <c r="D244" s="69" t="str">
        <f t="shared" si="114"/>
        <v/>
      </c>
      <c r="E244" s="70" t="str">
        <f t="shared" si="115"/>
        <v/>
      </c>
      <c r="F244" s="70" t="str">
        <f t="shared" si="116"/>
        <v/>
      </c>
      <c r="G244" s="63" t="str">
        <f t="shared" si="117"/>
        <v/>
      </c>
      <c r="H244" s="64" t="str">
        <f t="shared" si="118"/>
        <v/>
      </c>
      <c r="I244" s="43"/>
      <c r="J244" s="63" t="str">
        <f t="shared" si="119"/>
        <v/>
      </c>
      <c r="K244" s="64" t="str">
        <f t="shared" si="120"/>
        <v/>
      </c>
      <c r="L244" s="63" t="str">
        <f t="shared" si="121"/>
        <v/>
      </c>
      <c r="M244" s="64" t="str">
        <f t="shared" si="122"/>
        <v/>
      </c>
      <c r="N244" s="65"/>
      <c r="O244" s="63" t="str">
        <f t="shared" si="123"/>
        <v/>
      </c>
      <c r="P244" s="63" t="str">
        <f t="shared" si="124"/>
        <v/>
      </c>
      <c r="Q244" s="66"/>
      <c r="R244" s="63" t="str">
        <f t="shared" si="125"/>
        <v/>
      </c>
      <c r="S244" s="64" t="str">
        <f t="shared" si="126"/>
        <v/>
      </c>
      <c r="T244" s="38">
        <v>0</v>
      </c>
      <c r="U244" s="64" t="str">
        <f t="shared" si="127"/>
        <v/>
      </c>
      <c r="V244" s="219" t="str">
        <f>IF($A245="","",IF(AND(MONTH(A244)&gt;3,MONTH(A244)&lt;11),(T244+R244+G244)*Summary!$T$11/(1-Summary!$T$11),(T244+R244+G244)*Summary!$U$11/(1-Summary!$U$11)))</f>
        <v/>
      </c>
      <c r="W244" s="43" t="str">
        <f t="shared" si="128"/>
        <v/>
      </c>
      <c r="X244" s="43" t="str">
        <f t="shared" si="129"/>
        <v/>
      </c>
      <c r="Y244" s="43"/>
      <c r="Z244" s="38" t="str">
        <f t="shared" si="130"/>
        <v/>
      </c>
      <c r="AA244" s="38" t="str">
        <f t="shared" si="131"/>
        <v/>
      </c>
      <c r="AB244" s="38" t="e">
        <f t="shared" si="132"/>
        <v>#VALUE!</v>
      </c>
      <c r="AC244" s="38" t="str">
        <f t="shared" si="133"/>
        <v/>
      </c>
      <c r="AD244" s="38" t="str">
        <f t="shared" si="133"/>
        <v/>
      </c>
      <c r="AE244" s="38" t="e">
        <f t="shared" si="134"/>
        <v>#VALUE!</v>
      </c>
      <c r="AF244" s="238" t="e">
        <f>((Summary!$N$11*(AA244*AD244)*(A244-$D$3))+(Summary!$M$11*Z244*AC244*(AJ244-EOMONTH(EDATE(A244,-1),0))))/(AK244*AB244*AE244)</f>
        <v>#VALUE!</v>
      </c>
      <c r="AG244" s="88" t="str">
        <f>IF($A245="","",Summary!$Q$11)</f>
        <v/>
      </c>
      <c r="AH244" s="88" t="str">
        <f>IF($A245="","",IF(Summary!$R$11="Y",(VLOOKUP($A244,Summary!$AD$6:$AF$9,3)+'Escalating commodity'!G257),'Escalating commodity'!G257))</f>
        <v/>
      </c>
      <c r="AI244" s="88" t="str">
        <f t="shared" si="149"/>
        <v/>
      </c>
      <c r="AJ244" s="236" t="e">
        <f t="shared" si="135"/>
        <v>#VALUE!</v>
      </c>
      <c r="AK244" s="58" t="str">
        <f t="shared" si="136"/>
        <v/>
      </c>
      <c r="AL244" s="26" t="str">
        <f>IF($A245="","",_xll.SPRDOPT(P244,X244,AI244,0,AB244,AE244,AF244,AK244,$AJ$2,0))</f>
        <v/>
      </c>
      <c r="AM244" s="209" t="str">
        <f t="shared" si="137"/>
        <v/>
      </c>
      <c r="AN244" s="89" t="str">
        <f t="shared" si="138"/>
        <v/>
      </c>
      <c r="AO244" s="3" t="str">
        <f t="shared" si="139"/>
        <v/>
      </c>
      <c r="AP244" s="33" t="str">
        <f t="shared" si="140"/>
        <v/>
      </c>
      <c r="AQ244" s="58" t="str">
        <f t="shared" si="141"/>
        <v/>
      </c>
      <c r="AR244" s="38">
        <f>'ANR OK vs ML7'!AR244</f>
        <v>0.1</v>
      </c>
      <c r="AS244" s="35" t="str">
        <f t="shared" si="142"/>
        <v/>
      </c>
      <c r="AT244" s="3" t="str">
        <f t="shared" si="143"/>
        <v/>
      </c>
      <c r="AU244" s="3" t="str">
        <f t="shared" si="144"/>
        <v/>
      </c>
      <c r="AW244" s="32" t="str">
        <f t="shared" si="145"/>
        <v/>
      </c>
      <c r="AX244" s="32" t="str">
        <f t="shared" si="146"/>
        <v/>
      </c>
      <c r="AY244" s="32" t="str">
        <f t="shared" si="147"/>
        <v/>
      </c>
      <c r="BA244" s="32" t="str">
        <f>IF($A245="","",F244*Summary!$Q$11)</f>
        <v/>
      </c>
    </row>
    <row r="245" spans="1:53" ht="12" customHeight="1">
      <c r="A245" s="67" t="str">
        <f t="shared" si="148"/>
        <v/>
      </c>
      <c r="B245" s="69" t="str">
        <f t="shared" si="150"/>
        <v/>
      </c>
      <c r="C245" s="71"/>
      <c r="D245" s="69" t="str">
        <f t="shared" si="114"/>
        <v/>
      </c>
      <c r="E245" s="70" t="str">
        <f t="shared" si="115"/>
        <v/>
      </c>
      <c r="F245" s="70" t="str">
        <f t="shared" si="116"/>
        <v/>
      </c>
      <c r="G245" s="63" t="str">
        <f t="shared" si="117"/>
        <v/>
      </c>
      <c r="H245" s="64" t="str">
        <f t="shared" si="118"/>
        <v/>
      </c>
      <c r="I245" s="43"/>
      <c r="J245" s="63" t="str">
        <f t="shared" si="119"/>
        <v/>
      </c>
      <c r="K245" s="64" t="str">
        <f t="shared" si="120"/>
        <v/>
      </c>
      <c r="L245" s="63" t="str">
        <f t="shared" si="121"/>
        <v/>
      </c>
      <c r="M245" s="64" t="str">
        <f t="shared" si="122"/>
        <v/>
      </c>
      <c r="N245" s="65"/>
      <c r="O245" s="63" t="str">
        <f t="shared" si="123"/>
        <v/>
      </c>
      <c r="P245" s="63" t="str">
        <f t="shared" si="124"/>
        <v/>
      </c>
      <c r="Q245" s="66"/>
      <c r="R245" s="63" t="str">
        <f t="shared" si="125"/>
        <v/>
      </c>
      <c r="S245" s="64" t="str">
        <f t="shared" si="126"/>
        <v/>
      </c>
      <c r="T245" s="38">
        <v>0</v>
      </c>
      <c r="U245" s="64" t="str">
        <f t="shared" si="127"/>
        <v/>
      </c>
      <c r="V245" s="219" t="str">
        <f>IF($A246="","",IF(AND(MONTH(A245)&gt;3,MONTH(A245)&lt;11),(T245+R245+G245)*Summary!$T$11/(1-Summary!$T$11),(T245+R245+G245)*Summary!$U$11/(1-Summary!$U$11)))</f>
        <v/>
      </c>
      <c r="W245" s="43" t="str">
        <f t="shared" si="128"/>
        <v/>
      </c>
      <c r="X245" s="43" t="str">
        <f t="shared" si="129"/>
        <v/>
      </c>
      <c r="Y245" s="43"/>
      <c r="Z245" s="38" t="str">
        <f t="shared" si="130"/>
        <v/>
      </c>
      <c r="AA245" s="38" t="str">
        <f t="shared" si="131"/>
        <v/>
      </c>
      <c r="AB245" s="38" t="e">
        <f t="shared" si="132"/>
        <v>#VALUE!</v>
      </c>
      <c r="AC245" s="38" t="str">
        <f t="shared" si="133"/>
        <v/>
      </c>
      <c r="AD245" s="38" t="str">
        <f t="shared" si="133"/>
        <v/>
      </c>
      <c r="AE245" s="38" t="e">
        <f t="shared" si="134"/>
        <v>#VALUE!</v>
      </c>
      <c r="AF245" s="238" t="e">
        <f>((Summary!$N$11*(AA245*AD245)*(A245-$D$3))+(Summary!$M$11*Z245*AC245*(AJ245-EOMONTH(EDATE(A245,-1),0))))/(AK245*AB245*AE245)</f>
        <v>#VALUE!</v>
      </c>
      <c r="AG245" s="88" t="str">
        <f>IF($A246="","",Summary!$Q$11)</f>
        <v/>
      </c>
      <c r="AH245" s="88" t="str">
        <f>IF($A246="","",IF(Summary!$R$11="Y",(VLOOKUP($A245,Summary!$AD$6:$AF$9,3)+'Escalating commodity'!G258),'Escalating commodity'!G258))</f>
        <v/>
      </c>
      <c r="AI245" s="88" t="str">
        <f t="shared" si="149"/>
        <v/>
      </c>
      <c r="AJ245" s="236" t="e">
        <f t="shared" si="135"/>
        <v>#VALUE!</v>
      </c>
      <c r="AK245" s="58" t="str">
        <f t="shared" si="136"/>
        <v/>
      </c>
      <c r="AL245" s="26" t="str">
        <f>IF($A246="","",_xll.SPRDOPT(P245,X245,AI245,0,AB245,AE245,AF245,AK245,$AJ$2,0))</f>
        <v/>
      </c>
      <c r="AM245" s="209" t="str">
        <f t="shared" si="137"/>
        <v/>
      </c>
      <c r="AN245" s="89" t="str">
        <f t="shared" si="138"/>
        <v/>
      </c>
      <c r="AO245" s="3" t="str">
        <f t="shared" si="139"/>
        <v/>
      </c>
      <c r="AP245" s="33" t="str">
        <f t="shared" si="140"/>
        <v/>
      </c>
      <c r="AQ245" s="58" t="str">
        <f t="shared" si="141"/>
        <v/>
      </c>
      <c r="AR245" s="38">
        <f>'ANR OK vs ML7'!AR245</f>
        <v>0.1</v>
      </c>
      <c r="AS245" s="35" t="str">
        <f t="shared" si="142"/>
        <v/>
      </c>
      <c r="AT245" s="3" t="str">
        <f t="shared" si="143"/>
        <v/>
      </c>
      <c r="AU245" s="3" t="str">
        <f t="shared" si="144"/>
        <v/>
      </c>
      <c r="AW245" s="32" t="str">
        <f t="shared" si="145"/>
        <v/>
      </c>
      <c r="AX245" s="32" t="str">
        <f t="shared" si="146"/>
        <v/>
      </c>
      <c r="AY245" s="32" t="str">
        <f t="shared" si="147"/>
        <v/>
      </c>
      <c r="BA245" s="32" t="str">
        <f>IF($A246="","",F245*Summary!$Q$11)</f>
        <v/>
      </c>
    </row>
    <row r="246" spans="1:53" ht="12" customHeight="1">
      <c r="A246" s="67" t="str">
        <f t="shared" si="148"/>
        <v/>
      </c>
      <c r="B246" s="69" t="str">
        <f t="shared" si="150"/>
        <v/>
      </c>
      <c r="C246" s="71"/>
      <c r="D246" s="69" t="str">
        <f t="shared" si="114"/>
        <v/>
      </c>
      <c r="E246" s="70" t="str">
        <f t="shared" si="115"/>
        <v/>
      </c>
      <c r="F246" s="70" t="str">
        <f t="shared" si="116"/>
        <v/>
      </c>
      <c r="G246" s="63" t="str">
        <f t="shared" si="117"/>
        <v/>
      </c>
      <c r="H246" s="64" t="str">
        <f t="shared" si="118"/>
        <v/>
      </c>
      <c r="I246" s="43"/>
      <c r="J246" s="63" t="str">
        <f t="shared" si="119"/>
        <v/>
      </c>
      <c r="K246" s="64" t="str">
        <f t="shared" si="120"/>
        <v/>
      </c>
      <c r="L246" s="63" t="str">
        <f t="shared" si="121"/>
        <v/>
      </c>
      <c r="M246" s="64" t="str">
        <f t="shared" si="122"/>
        <v/>
      </c>
      <c r="N246" s="65"/>
      <c r="O246" s="63" t="str">
        <f t="shared" si="123"/>
        <v/>
      </c>
      <c r="P246" s="63" t="str">
        <f t="shared" si="124"/>
        <v/>
      </c>
      <c r="Q246" s="66"/>
      <c r="R246" s="63" t="str">
        <f t="shared" si="125"/>
        <v/>
      </c>
      <c r="S246" s="64" t="str">
        <f t="shared" si="126"/>
        <v/>
      </c>
      <c r="T246" s="38">
        <v>0</v>
      </c>
      <c r="U246" s="64" t="str">
        <f t="shared" si="127"/>
        <v/>
      </c>
      <c r="V246" s="219" t="str">
        <f>IF($A247="","",IF(AND(MONTH(A246)&gt;3,MONTH(A246)&lt;11),(T246+R246+G246)*Summary!$T$11/(1-Summary!$T$11),(T246+R246+G246)*Summary!$U$11/(1-Summary!$U$11)))</f>
        <v/>
      </c>
      <c r="W246" s="43" t="str">
        <f t="shared" si="128"/>
        <v/>
      </c>
      <c r="X246" s="43" t="str">
        <f t="shared" si="129"/>
        <v/>
      </c>
      <c r="Y246" s="43"/>
      <c r="Z246" s="38" t="str">
        <f t="shared" si="130"/>
        <v/>
      </c>
      <c r="AA246" s="38" t="str">
        <f t="shared" si="131"/>
        <v/>
      </c>
      <c r="AB246" s="38" t="e">
        <f t="shared" si="132"/>
        <v>#VALUE!</v>
      </c>
      <c r="AC246" s="38" t="str">
        <f t="shared" si="133"/>
        <v/>
      </c>
      <c r="AD246" s="38" t="str">
        <f t="shared" si="133"/>
        <v/>
      </c>
      <c r="AE246" s="38" t="e">
        <f t="shared" si="134"/>
        <v>#VALUE!</v>
      </c>
      <c r="AF246" s="238" t="e">
        <f>((Summary!$N$11*(AA246*AD246)*(A246-$D$3))+(Summary!$M$11*Z246*AC246*(AJ246-EOMONTH(EDATE(A246,-1),0))))/(AK246*AB246*AE246)</f>
        <v>#VALUE!</v>
      </c>
      <c r="AG246" s="88" t="str">
        <f>IF($A247="","",Summary!$Q$11)</f>
        <v/>
      </c>
      <c r="AH246" s="88" t="str">
        <f>IF($A247="","",IF(Summary!$R$11="Y",(VLOOKUP($A246,Summary!$AD$6:$AF$9,3)+'Escalating commodity'!G259),'Escalating commodity'!G259))</f>
        <v/>
      </c>
      <c r="AI246" s="88" t="str">
        <f t="shared" si="149"/>
        <v/>
      </c>
      <c r="AJ246" s="236" t="e">
        <f t="shared" si="135"/>
        <v>#VALUE!</v>
      </c>
      <c r="AK246" s="58" t="str">
        <f t="shared" si="136"/>
        <v/>
      </c>
      <c r="AL246" s="26" t="str">
        <f>IF($A247="","",_xll.SPRDOPT(P246,X246,AI246,0,AB246,AE246,AF246,AK246,$AJ$2,0))</f>
        <v/>
      </c>
      <c r="AM246" s="209" t="str">
        <f t="shared" si="137"/>
        <v/>
      </c>
      <c r="AN246" s="89" t="str">
        <f t="shared" si="138"/>
        <v/>
      </c>
      <c r="AO246" s="3" t="str">
        <f t="shared" si="139"/>
        <v/>
      </c>
      <c r="AP246" s="33" t="str">
        <f t="shared" si="140"/>
        <v/>
      </c>
      <c r="AQ246" s="58" t="str">
        <f t="shared" si="141"/>
        <v/>
      </c>
      <c r="AR246" s="38">
        <f>'ANR OK vs ML7'!AR246</f>
        <v>0.1</v>
      </c>
      <c r="AS246" s="35" t="str">
        <f t="shared" si="142"/>
        <v/>
      </c>
      <c r="AT246" s="3" t="str">
        <f t="shared" si="143"/>
        <v/>
      </c>
      <c r="AU246" s="3" t="str">
        <f t="shared" si="144"/>
        <v/>
      </c>
      <c r="AW246" s="32" t="str">
        <f t="shared" si="145"/>
        <v/>
      </c>
      <c r="AX246" s="32" t="str">
        <f t="shared" si="146"/>
        <v/>
      </c>
      <c r="AY246" s="32" t="str">
        <f t="shared" si="147"/>
        <v/>
      </c>
      <c r="BA246" s="32" t="str">
        <f>IF($A247="","",F246*Summary!$Q$11)</f>
        <v/>
      </c>
    </row>
    <row r="247" spans="1:53" ht="12" customHeight="1">
      <c r="A247" s="67" t="str">
        <f t="shared" si="148"/>
        <v/>
      </c>
      <c r="B247" s="69" t="str">
        <f t="shared" si="150"/>
        <v/>
      </c>
      <c r="C247" s="71"/>
      <c r="D247" s="69" t="str">
        <f t="shared" si="114"/>
        <v/>
      </c>
      <c r="E247" s="70" t="str">
        <f t="shared" si="115"/>
        <v/>
      </c>
      <c r="F247" s="70" t="str">
        <f t="shared" si="116"/>
        <v/>
      </c>
      <c r="G247" s="63" t="str">
        <f t="shared" si="117"/>
        <v/>
      </c>
      <c r="H247" s="64" t="str">
        <f t="shared" si="118"/>
        <v/>
      </c>
      <c r="I247" s="43"/>
      <c r="J247" s="63" t="str">
        <f t="shared" si="119"/>
        <v/>
      </c>
      <c r="K247" s="64" t="str">
        <f t="shared" si="120"/>
        <v/>
      </c>
      <c r="L247" s="63" t="str">
        <f t="shared" si="121"/>
        <v/>
      </c>
      <c r="M247" s="64" t="str">
        <f t="shared" si="122"/>
        <v/>
      </c>
      <c r="N247" s="65"/>
      <c r="O247" s="63" t="str">
        <f t="shared" si="123"/>
        <v/>
      </c>
      <c r="P247" s="63" t="str">
        <f t="shared" si="124"/>
        <v/>
      </c>
      <c r="Q247" s="66"/>
      <c r="R247" s="63" t="str">
        <f t="shared" si="125"/>
        <v/>
      </c>
      <c r="S247" s="64" t="str">
        <f t="shared" si="126"/>
        <v/>
      </c>
      <c r="T247" s="38">
        <v>0</v>
      </c>
      <c r="U247" s="64" t="str">
        <f t="shared" si="127"/>
        <v/>
      </c>
      <c r="V247" s="219" t="str">
        <f>IF($A248="","",IF(AND(MONTH(A247)&gt;3,MONTH(A247)&lt;11),(T247+R247+G247)*Summary!$T$11/(1-Summary!$T$11),(T247+R247+G247)*Summary!$U$11/(1-Summary!$U$11)))</f>
        <v/>
      </c>
      <c r="W247" s="43" t="str">
        <f t="shared" si="128"/>
        <v/>
      </c>
      <c r="X247" s="43" t="str">
        <f t="shared" si="129"/>
        <v/>
      </c>
      <c r="Y247" s="43"/>
      <c r="Z247" s="38" t="str">
        <f t="shared" si="130"/>
        <v/>
      </c>
      <c r="AA247" s="38" t="str">
        <f t="shared" si="131"/>
        <v/>
      </c>
      <c r="AB247" s="38" t="e">
        <f t="shared" si="132"/>
        <v>#VALUE!</v>
      </c>
      <c r="AC247" s="38" t="str">
        <f t="shared" si="133"/>
        <v/>
      </c>
      <c r="AD247" s="38" t="str">
        <f t="shared" si="133"/>
        <v/>
      </c>
      <c r="AE247" s="38" t="e">
        <f t="shared" si="134"/>
        <v>#VALUE!</v>
      </c>
      <c r="AF247" s="238" t="e">
        <f>((Summary!$N$11*(AA247*AD247)*(A247-$D$3))+(Summary!$M$11*Z247*AC247*(AJ247-EOMONTH(EDATE(A247,-1),0))))/(AK247*AB247*AE247)</f>
        <v>#VALUE!</v>
      </c>
      <c r="AG247" s="88" t="str">
        <f>IF($A248="","",Summary!$Q$11)</f>
        <v/>
      </c>
      <c r="AH247" s="88" t="str">
        <f>IF($A248="","",IF(Summary!$R$11="Y",(VLOOKUP($A247,Summary!$AD$6:$AF$9,3)+'Escalating commodity'!G260),'Escalating commodity'!G260))</f>
        <v/>
      </c>
      <c r="AI247" s="88" t="str">
        <f t="shared" si="149"/>
        <v/>
      </c>
      <c r="AJ247" s="236" t="e">
        <f t="shared" si="135"/>
        <v>#VALUE!</v>
      </c>
      <c r="AK247" s="58" t="str">
        <f t="shared" si="136"/>
        <v/>
      </c>
      <c r="AL247" s="26" t="str">
        <f>IF($A248="","",_xll.SPRDOPT(P247,X247,AI247,0,AB247,AE247,AF247,AK247,$AJ$2,0))</f>
        <v/>
      </c>
      <c r="AM247" s="209" t="str">
        <f t="shared" si="137"/>
        <v/>
      </c>
      <c r="AN247" s="89" t="str">
        <f t="shared" si="138"/>
        <v/>
      </c>
      <c r="AO247" s="3" t="str">
        <f t="shared" si="139"/>
        <v/>
      </c>
      <c r="AP247" s="33" t="str">
        <f t="shared" si="140"/>
        <v/>
      </c>
      <c r="AQ247" s="58" t="str">
        <f t="shared" si="141"/>
        <v/>
      </c>
      <c r="AR247" s="38">
        <f>'ANR OK vs ML7'!AR247</f>
        <v>0.1</v>
      </c>
      <c r="AS247" s="35" t="str">
        <f t="shared" si="142"/>
        <v/>
      </c>
      <c r="AT247" s="3" t="str">
        <f t="shared" si="143"/>
        <v/>
      </c>
      <c r="AU247" s="3" t="str">
        <f t="shared" si="144"/>
        <v/>
      </c>
      <c r="AW247" s="32" t="str">
        <f t="shared" si="145"/>
        <v/>
      </c>
      <c r="AX247" s="32" t="str">
        <f t="shared" si="146"/>
        <v/>
      </c>
      <c r="AY247" s="32" t="str">
        <f t="shared" si="147"/>
        <v/>
      </c>
      <c r="BA247" s="32" t="str">
        <f>IF($A248="","",F247*Summary!$Q$11)</f>
        <v/>
      </c>
    </row>
    <row r="248" spans="1:53" ht="12" customHeight="1">
      <c r="A248" s="67" t="str">
        <f t="shared" si="148"/>
        <v/>
      </c>
      <c r="B248" s="69" t="str">
        <f t="shared" si="150"/>
        <v/>
      </c>
      <c r="C248" s="71"/>
      <c r="D248" s="69" t="str">
        <f t="shared" si="114"/>
        <v/>
      </c>
      <c r="E248" s="70" t="str">
        <f t="shared" si="115"/>
        <v/>
      </c>
      <c r="F248" s="70" t="str">
        <f t="shared" si="116"/>
        <v/>
      </c>
      <c r="G248" s="63" t="str">
        <f t="shared" si="117"/>
        <v/>
      </c>
      <c r="H248" s="64" t="str">
        <f t="shared" si="118"/>
        <v/>
      </c>
      <c r="I248" s="43"/>
      <c r="J248" s="63" t="str">
        <f t="shared" si="119"/>
        <v/>
      </c>
      <c r="K248" s="64" t="str">
        <f t="shared" si="120"/>
        <v/>
      </c>
      <c r="L248" s="63" t="str">
        <f t="shared" si="121"/>
        <v/>
      </c>
      <c r="M248" s="64" t="str">
        <f t="shared" si="122"/>
        <v/>
      </c>
      <c r="N248" s="65"/>
      <c r="O248" s="63" t="str">
        <f t="shared" si="123"/>
        <v/>
      </c>
      <c r="P248" s="63" t="str">
        <f t="shared" si="124"/>
        <v/>
      </c>
      <c r="Q248" s="66"/>
      <c r="R248" s="63" t="str">
        <f t="shared" si="125"/>
        <v/>
      </c>
      <c r="S248" s="64" t="str">
        <f t="shared" si="126"/>
        <v/>
      </c>
      <c r="T248" s="38">
        <v>0</v>
      </c>
      <c r="U248" s="64" t="str">
        <f t="shared" si="127"/>
        <v/>
      </c>
      <c r="V248" s="219" t="str">
        <f>IF($A249="","",IF(AND(MONTH(A248)&gt;3,MONTH(A248)&lt;11),(T248+R248+G248)*Summary!$T$11/(1-Summary!$T$11),(T248+R248+G248)*Summary!$U$11/(1-Summary!$U$11)))</f>
        <v/>
      </c>
      <c r="W248" s="43" t="str">
        <f t="shared" si="128"/>
        <v/>
      </c>
      <c r="X248" s="43" t="str">
        <f t="shared" si="129"/>
        <v/>
      </c>
      <c r="Y248" s="43"/>
      <c r="Z248" s="38" t="str">
        <f t="shared" si="130"/>
        <v/>
      </c>
      <c r="AA248" s="38" t="str">
        <f t="shared" si="131"/>
        <v/>
      </c>
      <c r="AB248" s="38" t="e">
        <f t="shared" si="132"/>
        <v>#VALUE!</v>
      </c>
      <c r="AC248" s="38" t="str">
        <f t="shared" si="133"/>
        <v/>
      </c>
      <c r="AD248" s="38" t="str">
        <f t="shared" si="133"/>
        <v/>
      </c>
      <c r="AE248" s="38" t="e">
        <f t="shared" si="134"/>
        <v>#VALUE!</v>
      </c>
      <c r="AF248" s="238" t="e">
        <f>((Summary!$N$11*(AA248*AD248)*(A248-$D$3))+(Summary!$M$11*Z248*AC248*(AJ248-EOMONTH(EDATE(A248,-1),0))))/(AK248*AB248*AE248)</f>
        <v>#VALUE!</v>
      </c>
      <c r="AG248" s="88" t="str">
        <f>IF($A249="","",Summary!$Q$11)</f>
        <v/>
      </c>
      <c r="AH248" s="88" t="str">
        <f>IF($A249="","",IF(Summary!$R$11="Y",(VLOOKUP($A248,Summary!$AD$6:$AF$9,3)+'Escalating commodity'!G261),'Escalating commodity'!G261))</f>
        <v/>
      </c>
      <c r="AI248" s="88" t="str">
        <f t="shared" si="149"/>
        <v/>
      </c>
      <c r="AJ248" s="236" t="e">
        <f t="shared" si="135"/>
        <v>#VALUE!</v>
      </c>
      <c r="AK248" s="58" t="str">
        <f t="shared" si="136"/>
        <v/>
      </c>
      <c r="AL248" s="26" t="str">
        <f>IF($A249="","",_xll.SPRDOPT(P248,X248,AI248,0,AB248,AE248,AF248,AK248,$AJ$2,0))</f>
        <v/>
      </c>
      <c r="AM248" s="209" t="str">
        <f t="shared" si="137"/>
        <v/>
      </c>
      <c r="AN248" s="89" t="str">
        <f t="shared" si="138"/>
        <v/>
      </c>
      <c r="AO248" s="3" t="str">
        <f t="shared" si="139"/>
        <v/>
      </c>
      <c r="AP248" s="33" t="str">
        <f t="shared" si="140"/>
        <v/>
      </c>
      <c r="AQ248" s="58" t="str">
        <f t="shared" si="141"/>
        <v/>
      </c>
      <c r="AR248" s="38">
        <f>'ANR OK vs ML7'!AR248</f>
        <v>0.1</v>
      </c>
      <c r="AS248" s="35" t="str">
        <f t="shared" si="142"/>
        <v/>
      </c>
      <c r="AT248" s="3" t="str">
        <f t="shared" si="143"/>
        <v/>
      </c>
      <c r="AU248" s="3" t="str">
        <f t="shared" si="144"/>
        <v/>
      </c>
      <c r="AW248" s="32" t="str">
        <f t="shared" si="145"/>
        <v/>
      </c>
      <c r="AX248" s="32" t="str">
        <f t="shared" si="146"/>
        <v/>
      </c>
      <c r="AY248" s="32" t="str">
        <f t="shared" si="147"/>
        <v/>
      </c>
      <c r="BA248" s="32" t="str">
        <f>IF($A249="","",F248*Summary!$Q$11)</f>
        <v/>
      </c>
    </row>
    <row r="249" spans="1:53" ht="12" customHeight="1">
      <c r="A249" s="67" t="str">
        <f t="shared" si="148"/>
        <v/>
      </c>
      <c r="B249" s="69" t="str">
        <f t="shared" si="150"/>
        <v/>
      </c>
      <c r="C249" s="71"/>
      <c r="D249" s="69" t="str">
        <f t="shared" si="114"/>
        <v/>
      </c>
      <c r="E249" s="70" t="str">
        <f t="shared" si="115"/>
        <v/>
      </c>
      <c r="F249" s="70" t="str">
        <f t="shared" si="116"/>
        <v/>
      </c>
      <c r="G249" s="63" t="str">
        <f t="shared" si="117"/>
        <v/>
      </c>
      <c r="H249" s="64" t="str">
        <f t="shared" si="118"/>
        <v/>
      </c>
      <c r="I249" s="43"/>
      <c r="J249" s="63" t="str">
        <f t="shared" si="119"/>
        <v/>
      </c>
      <c r="K249" s="64" t="str">
        <f t="shared" si="120"/>
        <v/>
      </c>
      <c r="L249" s="63" t="str">
        <f t="shared" si="121"/>
        <v/>
      </c>
      <c r="M249" s="64" t="str">
        <f t="shared" si="122"/>
        <v/>
      </c>
      <c r="N249" s="65"/>
      <c r="O249" s="63" t="str">
        <f t="shared" si="123"/>
        <v/>
      </c>
      <c r="P249" s="63" t="str">
        <f t="shared" si="124"/>
        <v/>
      </c>
      <c r="Q249" s="66"/>
      <c r="R249" s="63" t="str">
        <f t="shared" si="125"/>
        <v/>
      </c>
      <c r="S249" s="64" t="str">
        <f t="shared" si="126"/>
        <v/>
      </c>
      <c r="T249" s="38">
        <v>0</v>
      </c>
      <c r="U249" s="64" t="str">
        <f t="shared" si="127"/>
        <v/>
      </c>
      <c r="V249" s="219" t="str">
        <f>IF($A250="","",IF(AND(MONTH(A249)&gt;3,MONTH(A249)&lt;11),(T249+R249+G249)*Summary!$T$11/(1-Summary!$T$11),(T249+R249+G249)*Summary!$U$11/(1-Summary!$U$11)))</f>
        <v/>
      </c>
      <c r="W249" s="43" t="str">
        <f t="shared" si="128"/>
        <v/>
      </c>
      <c r="X249" s="43" t="str">
        <f t="shared" si="129"/>
        <v/>
      </c>
      <c r="Y249" s="43"/>
      <c r="Z249" s="38" t="str">
        <f t="shared" si="130"/>
        <v/>
      </c>
      <c r="AA249" s="38" t="str">
        <f t="shared" si="131"/>
        <v/>
      </c>
      <c r="AB249" s="38" t="e">
        <f t="shared" si="132"/>
        <v>#VALUE!</v>
      </c>
      <c r="AC249" s="38" t="str">
        <f t="shared" si="133"/>
        <v/>
      </c>
      <c r="AD249" s="38" t="str">
        <f t="shared" si="133"/>
        <v/>
      </c>
      <c r="AE249" s="38" t="e">
        <f t="shared" si="134"/>
        <v>#VALUE!</v>
      </c>
      <c r="AF249" s="238" t="e">
        <f>((Summary!$N$11*(AA249*AD249)*(A249-$D$3))+(Summary!$M$11*Z249*AC249*(AJ249-EOMONTH(EDATE(A249,-1),0))))/(AK249*AB249*AE249)</f>
        <v>#VALUE!</v>
      </c>
      <c r="AG249" s="88" t="str">
        <f>IF($A250="","",Summary!$Q$11)</f>
        <v/>
      </c>
      <c r="AH249" s="88" t="str">
        <f>IF($A250="","",IF(Summary!$R$11="Y",(VLOOKUP($A249,Summary!$AD$6:$AF$9,3)+'Escalating commodity'!G262),'Escalating commodity'!G262))</f>
        <v/>
      </c>
      <c r="AI249" s="88" t="str">
        <f t="shared" si="149"/>
        <v/>
      </c>
      <c r="AJ249" s="236" t="e">
        <f t="shared" si="135"/>
        <v>#VALUE!</v>
      </c>
      <c r="AK249" s="58" t="str">
        <f t="shared" si="136"/>
        <v/>
      </c>
      <c r="AL249" s="26" t="str">
        <f>IF($A250="","",_xll.SPRDOPT(P249,X249,AI249,0,AB249,AE249,AF249,AK249,$AJ$2,0))</f>
        <v/>
      </c>
      <c r="AM249" s="209" t="str">
        <f t="shared" si="137"/>
        <v/>
      </c>
      <c r="AN249" s="89" t="str">
        <f t="shared" si="138"/>
        <v/>
      </c>
      <c r="AO249" s="3" t="str">
        <f t="shared" si="139"/>
        <v/>
      </c>
      <c r="AP249" s="33" t="str">
        <f t="shared" si="140"/>
        <v/>
      </c>
      <c r="AQ249" s="58" t="str">
        <f t="shared" si="141"/>
        <v/>
      </c>
      <c r="AR249" s="38">
        <f>'ANR OK vs ML7'!AR249</f>
        <v>0.1</v>
      </c>
      <c r="AS249" s="35" t="str">
        <f t="shared" si="142"/>
        <v/>
      </c>
      <c r="AT249" s="3" t="str">
        <f t="shared" si="143"/>
        <v/>
      </c>
      <c r="AU249" s="3" t="str">
        <f t="shared" si="144"/>
        <v/>
      </c>
      <c r="AW249" s="32" t="str">
        <f t="shared" si="145"/>
        <v/>
      </c>
      <c r="AX249" s="32" t="str">
        <f t="shared" si="146"/>
        <v/>
      </c>
      <c r="AY249" s="32" t="str">
        <f t="shared" si="147"/>
        <v/>
      </c>
      <c r="BA249" s="32" t="str">
        <f>IF($A250="","",F249*Summary!$Q$11)</f>
        <v/>
      </c>
    </row>
    <row r="250" spans="1:53" ht="12" customHeight="1">
      <c r="A250" s="67" t="str">
        <f t="shared" si="148"/>
        <v/>
      </c>
      <c r="B250" s="69" t="str">
        <f t="shared" si="150"/>
        <v/>
      </c>
      <c r="C250" s="71"/>
      <c r="D250" s="69" t="str">
        <f t="shared" si="114"/>
        <v/>
      </c>
      <c r="E250" s="70" t="str">
        <f t="shared" si="115"/>
        <v/>
      </c>
      <c r="F250" s="70" t="str">
        <f t="shared" si="116"/>
        <v/>
      </c>
      <c r="G250" s="63" t="str">
        <f t="shared" si="117"/>
        <v/>
      </c>
      <c r="H250" s="64" t="str">
        <f t="shared" si="118"/>
        <v/>
      </c>
      <c r="I250" s="43"/>
      <c r="J250" s="63" t="str">
        <f t="shared" si="119"/>
        <v/>
      </c>
      <c r="K250" s="64" t="str">
        <f t="shared" si="120"/>
        <v/>
      </c>
      <c r="L250" s="63" t="str">
        <f t="shared" si="121"/>
        <v/>
      </c>
      <c r="M250" s="64" t="str">
        <f t="shared" si="122"/>
        <v/>
      </c>
      <c r="N250" s="65"/>
      <c r="O250" s="63" t="str">
        <f t="shared" si="123"/>
        <v/>
      </c>
      <c r="P250" s="63" t="str">
        <f t="shared" si="124"/>
        <v/>
      </c>
      <c r="Q250" s="66"/>
      <c r="R250" s="63" t="str">
        <f t="shared" si="125"/>
        <v/>
      </c>
      <c r="S250" s="64" t="str">
        <f t="shared" si="126"/>
        <v/>
      </c>
      <c r="T250" s="38">
        <v>0</v>
      </c>
      <c r="U250" s="64" t="str">
        <f t="shared" si="127"/>
        <v/>
      </c>
      <c r="V250" s="219" t="str">
        <f>IF($A251="","",IF(AND(MONTH(A250)&gt;3,MONTH(A250)&lt;11),(T250+R250+G250)*Summary!$T$11/(1-Summary!$T$11),(T250+R250+G250)*Summary!$U$11/(1-Summary!$U$11)))</f>
        <v/>
      </c>
      <c r="W250" s="43" t="str">
        <f t="shared" si="128"/>
        <v/>
      </c>
      <c r="X250" s="43" t="str">
        <f t="shared" si="129"/>
        <v/>
      </c>
      <c r="Y250" s="43"/>
      <c r="Z250" s="38" t="str">
        <f t="shared" si="130"/>
        <v/>
      </c>
      <c r="AA250" s="38" t="str">
        <f t="shared" si="131"/>
        <v/>
      </c>
      <c r="AB250" s="38" t="e">
        <f t="shared" si="132"/>
        <v>#VALUE!</v>
      </c>
      <c r="AC250" s="38" t="str">
        <f t="shared" si="133"/>
        <v/>
      </c>
      <c r="AD250" s="38" t="str">
        <f t="shared" si="133"/>
        <v/>
      </c>
      <c r="AE250" s="38" t="e">
        <f t="shared" si="134"/>
        <v>#VALUE!</v>
      </c>
      <c r="AF250" s="238" t="e">
        <f>((Summary!$N$11*(AA250*AD250)*(A250-$D$3))+(Summary!$M$11*Z250*AC250*(AJ250-EOMONTH(EDATE(A250,-1),0))))/(AK250*AB250*AE250)</f>
        <v>#VALUE!</v>
      </c>
      <c r="AG250" s="88" t="str">
        <f>IF($A251="","",Summary!$Q$11)</f>
        <v/>
      </c>
      <c r="AH250" s="88" t="str">
        <f>IF($A251="","",IF(Summary!$R$11="Y",(VLOOKUP($A250,Summary!$AD$6:$AF$9,3)+'Escalating commodity'!G263),'Escalating commodity'!G263))</f>
        <v/>
      </c>
      <c r="AI250" s="88" t="str">
        <f t="shared" si="149"/>
        <v/>
      </c>
      <c r="AJ250" s="236" t="e">
        <f t="shared" si="135"/>
        <v>#VALUE!</v>
      </c>
      <c r="AK250" s="58" t="str">
        <f t="shared" si="136"/>
        <v/>
      </c>
      <c r="AL250" s="26" t="str">
        <f>IF($A251="","",_xll.SPRDOPT(P250,X250,AI250,0,AB250,AE250,AF250,AK250,$AJ$2,0))</f>
        <v/>
      </c>
      <c r="AM250" s="209" t="str">
        <f t="shared" si="137"/>
        <v/>
      </c>
      <c r="AN250" s="89" t="str">
        <f t="shared" si="138"/>
        <v/>
      </c>
      <c r="AO250" s="3" t="str">
        <f t="shared" si="139"/>
        <v/>
      </c>
      <c r="AP250" s="33" t="str">
        <f t="shared" si="140"/>
        <v/>
      </c>
      <c r="AQ250" s="58" t="str">
        <f t="shared" si="141"/>
        <v/>
      </c>
      <c r="AR250" s="38">
        <f>'ANR OK vs ML7'!AR250</f>
        <v>0.1</v>
      </c>
      <c r="AS250" s="35" t="str">
        <f t="shared" si="142"/>
        <v/>
      </c>
      <c r="AT250" s="3" t="str">
        <f t="shared" si="143"/>
        <v/>
      </c>
      <c r="AU250" s="3" t="str">
        <f t="shared" si="144"/>
        <v/>
      </c>
      <c r="AW250" s="32" t="str">
        <f t="shared" si="145"/>
        <v/>
      </c>
      <c r="AX250" s="32" t="str">
        <f t="shared" si="146"/>
        <v/>
      </c>
      <c r="AY250" s="32" t="str">
        <f t="shared" si="147"/>
        <v/>
      </c>
      <c r="BA250" s="32" t="str">
        <f>IF($A251="","",F250*Summary!$Q$11)</f>
        <v/>
      </c>
    </row>
    <row r="251" spans="1:53" ht="12" customHeight="1">
      <c r="A251" s="67" t="str">
        <f t="shared" si="148"/>
        <v/>
      </c>
      <c r="B251" s="69" t="str">
        <f t="shared" si="150"/>
        <v/>
      </c>
      <c r="C251" s="71"/>
      <c r="D251" s="69" t="str">
        <f t="shared" si="114"/>
        <v/>
      </c>
      <c r="E251" s="70" t="str">
        <f t="shared" si="115"/>
        <v/>
      </c>
      <c r="F251" s="70" t="str">
        <f t="shared" si="116"/>
        <v/>
      </c>
      <c r="G251" s="63" t="str">
        <f t="shared" si="117"/>
        <v/>
      </c>
      <c r="H251" s="64" t="str">
        <f t="shared" si="118"/>
        <v/>
      </c>
      <c r="I251" s="43"/>
      <c r="J251" s="63" t="str">
        <f t="shared" si="119"/>
        <v/>
      </c>
      <c r="K251" s="64" t="str">
        <f t="shared" si="120"/>
        <v/>
      </c>
      <c r="L251" s="63" t="str">
        <f t="shared" si="121"/>
        <v/>
      </c>
      <c r="M251" s="64" t="str">
        <f t="shared" si="122"/>
        <v/>
      </c>
      <c r="N251" s="65"/>
      <c r="O251" s="63" t="str">
        <f t="shared" si="123"/>
        <v/>
      </c>
      <c r="P251" s="63" t="str">
        <f t="shared" si="124"/>
        <v/>
      </c>
      <c r="Q251" s="66"/>
      <c r="R251" s="63" t="str">
        <f t="shared" si="125"/>
        <v/>
      </c>
      <c r="S251" s="64" t="str">
        <f t="shared" si="126"/>
        <v/>
      </c>
      <c r="T251" s="38">
        <v>0</v>
      </c>
      <c r="U251" s="64" t="str">
        <f t="shared" si="127"/>
        <v/>
      </c>
      <c r="V251" s="219" t="str">
        <f>IF($A252="","",IF(AND(MONTH(A251)&gt;3,MONTH(A251)&lt;11),(T251+R251+G251)*Summary!$T$11/(1-Summary!$T$11),(T251+R251+G251)*Summary!$U$11/(1-Summary!$U$11)))</f>
        <v/>
      </c>
      <c r="W251" s="43" t="str">
        <f t="shared" si="128"/>
        <v/>
      </c>
      <c r="X251" s="43" t="str">
        <f t="shared" si="129"/>
        <v/>
      </c>
      <c r="Y251" s="43"/>
      <c r="Z251" s="38" t="str">
        <f t="shared" si="130"/>
        <v/>
      </c>
      <c r="AA251" s="38" t="str">
        <f t="shared" si="131"/>
        <v/>
      </c>
      <c r="AB251" s="38" t="e">
        <f t="shared" si="132"/>
        <v>#VALUE!</v>
      </c>
      <c r="AC251" s="38" t="str">
        <f t="shared" si="133"/>
        <v/>
      </c>
      <c r="AD251" s="38" t="str">
        <f t="shared" si="133"/>
        <v/>
      </c>
      <c r="AE251" s="38" t="e">
        <f t="shared" si="134"/>
        <v>#VALUE!</v>
      </c>
      <c r="AF251" s="238" t="e">
        <f>((Summary!$N$11*(AA251*AD251)*(A251-$D$3))+(Summary!$M$11*Z251*AC251*(AJ251-EOMONTH(EDATE(A251,-1),0))))/(AK251*AB251*AE251)</f>
        <v>#VALUE!</v>
      </c>
      <c r="AG251" s="88" t="str">
        <f>IF($A252="","",Summary!$Q$11)</f>
        <v/>
      </c>
      <c r="AH251" s="88" t="str">
        <f>IF($A252="","",IF(Summary!$R$11="Y",(VLOOKUP($A251,Summary!$AD$6:$AF$9,3)+'Escalating commodity'!G264),'Escalating commodity'!G264))</f>
        <v/>
      </c>
      <c r="AI251" s="88" t="str">
        <f t="shared" si="149"/>
        <v/>
      </c>
      <c r="AJ251" s="236" t="e">
        <f t="shared" si="135"/>
        <v>#VALUE!</v>
      </c>
      <c r="AK251" s="58" t="str">
        <f t="shared" si="136"/>
        <v/>
      </c>
      <c r="AL251" s="26" t="str">
        <f>IF($A252="","",_xll.SPRDOPT(P251,X251,AI251,0,AB251,AE251,AF251,AK251,$AJ$2,0))</f>
        <v/>
      </c>
      <c r="AM251" s="209" t="str">
        <f t="shared" si="137"/>
        <v/>
      </c>
      <c r="AN251" s="89" t="str">
        <f t="shared" si="138"/>
        <v/>
      </c>
      <c r="AO251" s="3" t="str">
        <f t="shared" si="139"/>
        <v/>
      </c>
      <c r="AP251" s="33" t="str">
        <f t="shared" si="140"/>
        <v/>
      </c>
      <c r="AQ251" s="58" t="str">
        <f t="shared" si="141"/>
        <v/>
      </c>
      <c r="AR251" s="38">
        <f>'ANR OK vs ML7'!AR251</f>
        <v>0.1</v>
      </c>
      <c r="AS251" s="35" t="str">
        <f t="shared" si="142"/>
        <v/>
      </c>
      <c r="AT251" s="3" t="str">
        <f t="shared" si="143"/>
        <v/>
      </c>
      <c r="AU251" s="3" t="str">
        <f t="shared" si="144"/>
        <v/>
      </c>
      <c r="AW251" s="32" t="str">
        <f t="shared" si="145"/>
        <v/>
      </c>
      <c r="AX251" s="32" t="str">
        <f t="shared" si="146"/>
        <v/>
      </c>
      <c r="AY251" s="32" t="str">
        <f t="shared" si="147"/>
        <v/>
      </c>
      <c r="BA251" s="32" t="str">
        <f>IF($A252="","",F251*Summary!$Q$11)</f>
        <v/>
      </c>
    </row>
    <row r="252" spans="1:53" ht="12" customHeight="1">
      <c r="A252" s="67" t="str">
        <f t="shared" si="148"/>
        <v/>
      </c>
      <c r="B252" s="69" t="str">
        <f t="shared" si="150"/>
        <v/>
      </c>
      <c r="C252" s="71"/>
      <c r="D252" s="69" t="str">
        <f t="shared" si="114"/>
        <v/>
      </c>
      <c r="E252" s="70" t="str">
        <f t="shared" si="115"/>
        <v/>
      </c>
      <c r="F252" s="70" t="str">
        <f t="shared" si="116"/>
        <v/>
      </c>
      <c r="G252" s="63" t="str">
        <f t="shared" si="117"/>
        <v/>
      </c>
      <c r="H252" s="64" t="str">
        <f t="shared" si="118"/>
        <v/>
      </c>
      <c r="I252" s="43"/>
      <c r="J252" s="63" t="str">
        <f t="shared" si="119"/>
        <v/>
      </c>
      <c r="K252" s="64" t="str">
        <f t="shared" si="120"/>
        <v/>
      </c>
      <c r="L252" s="63" t="str">
        <f t="shared" si="121"/>
        <v/>
      </c>
      <c r="M252" s="64" t="str">
        <f t="shared" si="122"/>
        <v/>
      </c>
      <c r="N252" s="65"/>
      <c r="O252" s="63" t="str">
        <f t="shared" si="123"/>
        <v/>
      </c>
      <c r="P252" s="63" t="str">
        <f t="shared" si="124"/>
        <v/>
      </c>
      <c r="Q252" s="66"/>
      <c r="R252" s="63" t="str">
        <f t="shared" si="125"/>
        <v/>
      </c>
      <c r="S252" s="64" t="str">
        <f t="shared" si="126"/>
        <v/>
      </c>
      <c r="T252" s="38">
        <v>0</v>
      </c>
      <c r="U252" s="64" t="str">
        <f t="shared" si="127"/>
        <v/>
      </c>
      <c r="V252" s="219" t="str">
        <f>IF($A253="","",IF(AND(MONTH(A252)&gt;3,MONTH(A252)&lt;11),(T252+R252+G252)*Summary!$T$11/(1-Summary!$T$11),(T252+R252+G252)*Summary!$U$11/(1-Summary!$U$11)))</f>
        <v/>
      </c>
      <c r="W252" s="43" t="str">
        <f t="shared" si="128"/>
        <v/>
      </c>
      <c r="X252" s="43" t="str">
        <f t="shared" si="129"/>
        <v/>
      </c>
      <c r="Y252" s="43"/>
      <c r="Z252" s="38" t="str">
        <f t="shared" si="130"/>
        <v/>
      </c>
      <c r="AA252" s="38" t="str">
        <f t="shared" si="131"/>
        <v/>
      </c>
      <c r="AB252" s="38" t="e">
        <f t="shared" si="132"/>
        <v>#VALUE!</v>
      </c>
      <c r="AC252" s="38" t="str">
        <f t="shared" si="133"/>
        <v/>
      </c>
      <c r="AD252" s="38" t="str">
        <f t="shared" si="133"/>
        <v/>
      </c>
      <c r="AE252" s="38" t="e">
        <f t="shared" si="134"/>
        <v>#VALUE!</v>
      </c>
      <c r="AF252" s="238" t="e">
        <f>((Summary!$N$11*(AA252*AD252)*(A252-$D$3))+(Summary!$M$11*Z252*AC252*(AJ252-EOMONTH(EDATE(A252,-1),0))))/(AK252*AB252*AE252)</f>
        <v>#VALUE!</v>
      </c>
      <c r="AG252" s="88" t="str">
        <f>IF($A253="","",Summary!$Q$11)</f>
        <v/>
      </c>
      <c r="AH252" s="88" t="str">
        <f>IF($A253="","",IF(Summary!$R$11="Y",(VLOOKUP($A252,Summary!$AD$6:$AF$9,3)+'Escalating commodity'!G265),'Escalating commodity'!G265))</f>
        <v/>
      </c>
      <c r="AI252" s="88" t="str">
        <f t="shared" si="149"/>
        <v/>
      </c>
      <c r="AJ252" s="236" t="e">
        <f t="shared" si="135"/>
        <v>#VALUE!</v>
      </c>
      <c r="AK252" s="58" t="str">
        <f t="shared" si="136"/>
        <v/>
      </c>
      <c r="AL252" s="26" t="str">
        <f>IF($A253="","",_xll.SPRDOPT(P252,X252,AI252,0,AB252,AE252,AF252,AK252,$AJ$2,0))</f>
        <v/>
      </c>
      <c r="AM252" s="209" t="str">
        <f t="shared" si="137"/>
        <v/>
      </c>
      <c r="AN252" s="89" t="str">
        <f t="shared" si="138"/>
        <v/>
      </c>
      <c r="AO252" s="3" t="str">
        <f t="shared" si="139"/>
        <v/>
      </c>
      <c r="AP252" s="33" t="str">
        <f t="shared" si="140"/>
        <v/>
      </c>
      <c r="AQ252" s="58" t="str">
        <f t="shared" si="141"/>
        <v/>
      </c>
      <c r="AR252" s="38">
        <f>'ANR OK vs ML7'!AR252</f>
        <v>0.1</v>
      </c>
      <c r="AS252" s="35" t="str">
        <f t="shared" si="142"/>
        <v/>
      </c>
      <c r="AT252" s="3" t="str">
        <f t="shared" si="143"/>
        <v/>
      </c>
      <c r="AU252" s="3" t="str">
        <f t="shared" si="144"/>
        <v/>
      </c>
      <c r="AW252" s="32" t="str">
        <f t="shared" si="145"/>
        <v/>
      </c>
      <c r="AX252" s="32" t="str">
        <f t="shared" si="146"/>
        <v/>
      </c>
      <c r="AY252" s="32" t="str">
        <f t="shared" si="147"/>
        <v/>
      </c>
      <c r="BA252" s="32" t="str">
        <f>IF($A253="","",F252*Summary!$Q$11)</f>
        <v/>
      </c>
    </row>
    <row r="253" spans="1:53" ht="12" customHeight="1">
      <c r="A253" s="67" t="str">
        <f t="shared" si="148"/>
        <v/>
      </c>
      <c r="B253" s="69" t="str">
        <f t="shared" si="150"/>
        <v/>
      </c>
      <c r="C253" s="71"/>
      <c r="D253" s="69" t="str">
        <f t="shared" si="114"/>
        <v/>
      </c>
      <c r="E253" s="70" t="str">
        <f t="shared" si="115"/>
        <v/>
      </c>
      <c r="F253" s="70" t="str">
        <f t="shared" si="116"/>
        <v/>
      </c>
      <c r="G253" s="63" t="str">
        <f t="shared" si="117"/>
        <v/>
      </c>
      <c r="H253" s="64" t="str">
        <f t="shared" si="118"/>
        <v/>
      </c>
      <c r="I253" s="43"/>
      <c r="J253" s="63" t="str">
        <f t="shared" si="119"/>
        <v/>
      </c>
      <c r="K253" s="64" t="str">
        <f t="shared" si="120"/>
        <v/>
      </c>
      <c r="L253" s="63" t="str">
        <f t="shared" si="121"/>
        <v/>
      </c>
      <c r="M253" s="64" t="str">
        <f t="shared" si="122"/>
        <v/>
      </c>
      <c r="N253" s="65"/>
      <c r="O253" s="63" t="str">
        <f t="shared" si="123"/>
        <v/>
      </c>
      <c r="P253" s="63" t="str">
        <f t="shared" si="124"/>
        <v/>
      </c>
      <c r="Q253" s="66"/>
      <c r="R253" s="63" t="str">
        <f t="shared" si="125"/>
        <v/>
      </c>
      <c r="S253" s="64" t="str">
        <f t="shared" si="126"/>
        <v/>
      </c>
      <c r="T253" s="38">
        <v>0</v>
      </c>
      <c r="U253" s="64" t="str">
        <f t="shared" si="127"/>
        <v/>
      </c>
      <c r="V253" s="219" t="str">
        <f>IF($A254="","",IF(AND(MONTH(A253)&gt;3,MONTH(A253)&lt;11),(T253+R253+G253)*Summary!$T$11/(1-Summary!$T$11),(T253+R253+G253)*Summary!$U$11/(1-Summary!$U$11)))</f>
        <v/>
      </c>
      <c r="W253" s="43" t="str">
        <f t="shared" si="128"/>
        <v/>
      </c>
      <c r="X253" s="43" t="str">
        <f t="shared" si="129"/>
        <v/>
      </c>
      <c r="Y253" s="43"/>
      <c r="Z253" s="38" t="str">
        <f t="shared" si="130"/>
        <v/>
      </c>
      <c r="AA253" s="38" t="str">
        <f t="shared" si="131"/>
        <v/>
      </c>
      <c r="AB253" s="38" t="e">
        <f t="shared" si="132"/>
        <v>#VALUE!</v>
      </c>
      <c r="AC253" s="38" t="str">
        <f t="shared" si="133"/>
        <v/>
      </c>
      <c r="AD253" s="38" t="str">
        <f t="shared" si="133"/>
        <v/>
      </c>
      <c r="AE253" s="38" t="e">
        <f t="shared" si="134"/>
        <v>#VALUE!</v>
      </c>
      <c r="AF253" s="238" t="e">
        <f>((Summary!$N$11*(AA253*AD253)*(A253-$D$3))+(Summary!$M$11*Z253*AC253*(AJ253-EOMONTH(EDATE(A253,-1),0))))/(AK253*AB253*AE253)</f>
        <v>#VALUE!</v>
      </c>
      <c r="AG253" s="88" t="str">
        <f>IF($A254="","",Summary!$Q$11)</f>
        <v/>
      </c>
      <c r="AH253" s="88" t="str">
        <f>IF($A254="","",IF(Summary!$R$11="Y",(VLOOKUP($A253,Summary!$AD$6:$AF$9,3)+'Escalating commodity'!G266),'Escalating commodity'!G266))</f>
        <v/>
      </c>
      <c r="AI253" s="88" t="str">
        <f t="shared" si="149"/>
        <v/>
      </c>
      <c r="AJ253" s="236" t="e">
        <f t="shared" si="135"/>
        <v>#VALUE!</v>
      </c>
      <c r="AK253" s="58" t="str">
        <f t="shared" si="136"/>
        <v/>
      </c>
      <c r="AL253" s="26" t="str">
        <f>IF($A254="","",_xll.SPRDOPT(P253,X253,AI253,0,AB253,AE253,AF253,AK253,$AJ$2,0))</f>
        <v/>
      </c>
      <c r="AM253" s="209" t="str">
        <f t="shared" si="137"/>
        <v/>
      </c>
      <c r="AN253" s="89" t="str">
        <f t="shared" si="138"/>
        <v/>
      </c>
      <c r="AO253" s="3" t="str">
        <f t="shared" si="139"/>
        <v/>
      </c>
      <c r="AP253" s="33" t="str">
        <f t="shared" si="140"/>
        <v/>
      </c>
      <c r="AQ253" s="58" t="str">
        <f t="shared" si="141"/>
        <v/>
      </c>
      <c r="AR253" s="38">
        <f>'ANR OK vs ML7'!AR253</f>
        <v>0.1</v>
      </c>
      <c r="AS253" s="35" t="str">
        <f t="shared" si="142"/>
        <v/>
      </c>
      <c r="AT253" s="3" t="str">
        <f t="shared" si="143"/>
        <v/>
      </c>
      <c r="AU253" s="3" t="str">
        <f t="shared" si="144"/>
        <v/>
      </c>
      <c r="AW253" s="32" t="str">
        <f t="shared" si="145"/>
        <v/>
      </c>
      <c r="AX253" s="32" t="str">
        <f t="shared" si="146"/>
        <v/>
      </c>
      <c r="AY253" s="32" t="str">
        <f t="shared" si="147"/>
        <v/>
      </c>
      <c r="BA253" s="32" t="str">
        <f>IF($A254="","",F253*Summary!$Q$11)</f>
        <v/>
      </c>
    </row>
    <row r="254" spans="1:53" ht="12" customHeight="1">
      <c r="A254" s="67" t="str">
        <f t="shared" si="148"/>
        <v/>
      </c>
      <c r="B254" s="69" t="str">
        <f t="shared" si="150"/>
        <v/>
      </c>
      <c r="C254" s="71"/>
      <c r="D254" s="69" t="str">
        <f t="shared" si="114"/>
        <v/>
      </c>
      <c r="E254" s="70" t="str">
        <f t="shared" si="115"/>
        <v/>
      </c>
      <c r="F254" s="70" t="str">
        <f t="shared" si="116"/>
        <v/>
      </c>
      <c r="G254" s="63" t="str">
        <f t="shared" si="117"/>
        <v/>
      </c>
      <c r="H254" s="64" t="str">
        <f t="shared" si="118"/>
        <v/>
      </c>
      <c r="I254" s="43"/>
      <c r="J254" s="63" t="str">
        <f t="shared" si="119"/>
        <v/>
      </c>
      <c r="K254" s="64" t="str">
        <f t="shared" si="120"/>
        <v/>
      </c>
      <c r="L254" s="63" t="str">
        <f t="shared" si="121"/>
        <v/>
      </c>
      <c r="M254" s="64" t="str">
        <f t="shared" si="122"/>
        <v/>
      </c>
      <c r="N254" s="65"/>
      <c r="O254" s="63" t="str">
        <f t="shared" si="123"/>
        <v/>
      </c>
      <c r="P254" s="63" t="str">
        <f t="shared" si="124"/>
        <v/>
      </c>
      <c r="Q254" s="66"/>
      <c r="R254" s="63" t="str">
        <f t="shared" si="125"/>
        <v/>
      </c>
      <c r="S254" s="64" t="str">
        <f t="shared" si="126"/>
        <v/>
      </c>
      <c r="T254" s="38">
        <v>0</v>
      </c>
      <c r="U254" s="64" t="str">
        <f t="shared" si="127"/>
        <v/>
      </c>
      <c r="V254" s="219" t="str">
        <f>IF($A255="","",IF(AND(MONTH(A254)&gt;3,MONTH(A254)&lt;11),(T254+R254+G254)*Summary!$T$11/(1-Summary!$T$11),(T254+R254+G254)*Summary!$U$11/(1-Summary!$U$11)))</f>
        <v/>
      </c>
      <c r="W254" s="43" t="str">
        <f t="shared" si="128"/>
        <v/>
      </c>
      <c r="X254" s="43" t="str">
        <f t="shared" si="129"/>
        <v/>
      </c>
      <c r="Y254" s="43"/>
      <c r="Z254" s="38" t="str">
        <f t="shared" si="130"/>
        <v/>
      </c>
      <c r="AA254" s="38" t="str">
        <f t="shared" si="131"/>
        <v/>
      </c>
      <c r="AB254" s="38" t="e">
        <f t="shared" si="132"/>
        <v>#VALUE!</v>
      </c>
      <c r="AC254" s="38" t="str">
        <f t="shared" si="133"/>
        <v/>
      </c>
      <c r="AD254" s="38" t="str">
        <f t="shared" si="133"/>
        <v/>
      </c>
      <c r="AE254" s="38" t="e">
        <f t="shared" si="134"/>
        <v>#VALUE!</v>
      </c>
      <c r="AF254" s="238" t="e">
        <f>((Summary!$N$11*(AA254*AD254)*(A254-$D$3))+(Summary!$M$11*Z254*AC254*(AJ254-EOMONTH(EDATE(A254,-1),0))))/(AK254*AB254*AE254)</f>
        <v>#VALUE!</v>
      </c>
      <c r="AG254" s="88" t="str">
        <f>IF($A255="","",Summary!$Q$11)</f>
        <v/>
      </c>
      <c r="AH254" s="88" t="str">
        <f>IF($A255="","",IF(Summary!$R$11="Y",(VLOOKUP($A254,Summary!$AD$6:$AF$9,3)+'Escalating commodity'!G267),'Escalating commodity'!G267))</f>
        <v/>
      </c>
      <c r="AI254" s="88" t="str">
        <f t="shared" si="149"/>
        <v/>
      </c>
      <c r="AJ254" s="236" t="e">
        <f t="shared" si="135"/>
        <v>#VALUE!</v>
      </c>
      <c r="AK254" s="58" t="str">
        <f t="shared" si="136"/>
        <v/>
      </c>
      <c r="AL254" s="26" t="str">
        <f>IF($A255="","",_xll.SPRDOPT(P254,X254,AI254,0,AB254,AE254,AF254,AK254,$AJ$2,0))</f>
        <v/>
      </c>
      <c r="AM254" s="209" t="str">
        <f t="shared" si="137"/>
        <v/>
      </c>
      <c r="AN254" s="89" t="str">
        <f t="shared" si="138"/>
        <v/>
      </c>
      <c r="AO254" s="3" t="str">
        <f t="shared" si="139"/>
        <v/>
      </c>
      <c r="AP254" s="33" t="str">
        <f t="shared" si="140"/>
        <v/>
      </c>
      <c r="AQ254" s="58" t="str">
        <f t="shared" si="141"/>
        <v/>
      </c>
      <c r="AR254" s="38">
        <f>'ANR OK vs ML7'!AR254</f>
        <v>0.1</v>
      </c>
      <c r="AS254" s="35" t="str">
        <f t="shared" si="142"/>
        <v/>
      </c>
      <c r="AT254" s="3" t="str">
        <f t="shared" si="143"/>
        <v/>
      </c>
      <c r="AU254" s="3" t="str">
        <f t="shared" si="144"/>
        <v/>
      </c>
      <c r="AW254" s="32" t="str">
        <f t="shared" si="145"/>
        <v/>
      </c>
      <c r="AX254" s="32" t="str">
        <f t="shared" si="146"/>
        <v/>
      </c>
      <c r="AY254" s="32" t="str">
        <f t="shared" si="147"/>
        <v/>
      </c>
      <c r="BA254" s="32" t="str">
        <f>IF($A255="","",F254*Summary!$Q$11)</f>
        <v/>
      </c>
    </row>
    <row r="255" spans="1:53" ht="12" customHeight="1">
      <c r="A255" s="67" t="str">
        <f t="shared" si="148"/>
        <v/>
      </c>
      <c r="B255" s="69" t="str">
        <f t="shared" si="150"/>
        <v/>
      </c>
      <c r="C255" s="71"/>
      <c r="D255" s="69" t="str">
        <f t="shared" si="114"/>
        <v/>
      </c>
      <c r="E255" s="70" t="str">
        <f t="shared" si="115"/>
        <v/>
      </c>
      <c r="F255" s="70" t="str">
        <f t="shared" si="116"/>
        <v/>
      </c>
      <c r="G255" s="63" t="str">
        <f t="shared" si="117"/>
        <v/>
      </c>
      <c r="H255" s="64" t="str">
        <f t="shared" si="118"/>
        <v/>
      </c>
      <c r="I255" s="43"/>
      <c r="J255" s="63" t="str">
        <f t="shared" si="119"/>
        <v/>
      </c>
      <c r="K255" s="64" t="str">
        <f t="shared" si="120"/>
        <v/>
      </c>
      <c r="L255" s="63" t="str">
        <f t="shared" si="121"/>
        <v/>
      </c>
      <c r="M255" s="64" t="str">
        <f t="shared" si="122"/>
        <v/>
      </c>
      <c r="N255" s="65"/>
      <c r="O255" s="63" t="str">
        <f t="shared" si="123"/>
        <v/>
      </c>
      <c r="P255" s="63" t="str">
        <f t="shared" si="124"/>
        <v/>
      </c>
      <c r="Q255" s="66"/>
      <c r="R255" s="63" t="str">
        <f t="shared" si="125"/>
        <v/>
      </c>
      <c r="S255" s="64" t="str">
        <f t="shared" si="126"/>
        <v/>
      </c>
      <c r="T255" s="38">
        <v>0</v>
      </c>
      <c r="U255" s="64" t="str">
        <f t="shared" si="127"/>
        <v/>
      </c>
      <c r="V255" s="219" t="str">
        <f>IF($A256="","",IF(AND(MONTH(A255)&gt;3,MONTH(A255)&lt;11),(T255+R255+G255)*Summary!$T$11/(1-Summary!$T$11),(T255+R255+G255)*Summary!$U$11/(1-Summary!$U$11)))</f>
        <v/>
      </c>
      <c r="W255" s="43" t="str">
        <f t="shared" si="128"/>
        <v/>
      </c>
      <c r="X255" s="43" t="str">
        <f t="shared" si="129"/>
        <v/>
      </c>
      <c r="Y255" s="43"/>
      <c r="Z255" s="38" t="str">
        <f t="shared" si="130"/>
        <v/>
      </c>
      <c r="AA255" s="38" t="str">
        <f t="shared" si="131"/>
        <v/>
      </c>
      <c r="AB255" s="38" t="e">
        <f t="shared" si="132"/>
        <v>#VALUE!</v>
      </c>
      <c r="AC255" s="38" t="str">
        <f t="shared" si="133"/>
        <v/>
      </c>
      <c r="AD255" s="38" t="str">
        <f t="shared" si="133"/>
        <v/>
      </c>
      <c r="AE255" s="38" t="e">
        <f t="shared" si="134"/>
        <v>#VALUE!</v>
      </c>
      <c r="AF255" s="238" t="e">
        <f>((Summary!$N$11*(AA255*AD255)*(A255-$D$3))+(Summary!$M$11*Z255*AC255*(AJ255-EOMONTH(EDATE(A255,-1),0))))/(AK255*AB255*AE255)</f>
        <v>#VALUE!</v>
      </c>
      <c r="AG255" s="88" t="str">
        <f>IF($A256="","",Summary!$Q$11)</f>
        <v/>
      </c>
      <c r="AH255" s="88" t="str">
        <f>IF($A256="","",IF(Summary!$R$11="Y",(VLOOKUP($A255,Summary!$AD$6:$AF$9,3)+'Escalating commodity'!G268),'Escalating commodity'!G268))</f>
        <v/>
      </c>
      <c r="AI255" s="88" t="str">
        <f t="shared" si="149"/>
        <v/>
      </c>
      <c r="AJ255" s="236" t="e">
        <f t="shared" si="135"/>
        <v>#VALUE!</v>
      </c>
      <c r="AK255" s="58" t="str">
        <f t="shared" si="136"/>
        <v/>
      </c>
      <c r="AL255" s="26" t="str">
        <f>IF($A256="","",_xll.SPRDOPT(P255,X255,AI255,0,AB255,AE255,AF255,AK255,$AJ$2,0))</f>
        <v/>
      </c>
      <c r="AM255" s="209" t="str">
        <f t="shared" si="137"/>
        <v/>
      </c>
      <c r="AN255" s="89" t="str">
        <f t="shared" si="138"/>
        <v/>
      </c>
      <c r="AO255" s="3" t="str">
        <f t="shared" si="139"/>
        <v/>
      </c>
      <c r="AP255" s="33" t="str">
        <f t="shared" si="140"/>
        <v/>
      </c>
      <c r="AQ255" s="58" t="str">
        <f t="shared" si="141"/>
        <v/>
      </c>
      <c r="AR255" s="38">
        <f>'ANR OK vs ML7'!AR255</f>
        <v>0.1</v>
      </c>
      <c r="AS255" s="35" t="str">
        <f t="shared" si="142"/>
        <v/>
      </c>
      <c r="AT255" s="3" t="str">
        <f t="shared" si="143"/>
        <v/>
      </c>
      <c r="AU255" s="3" t="str">
        <f t="shared" si="144"/>
        <v/>
      </c>
      <c r="AW255" s="32" t="str">
        <f t="shared" si="145"/>
        <v/>
      </c>
      <c r="AX255" s="32" t="str">
        <f t="shared" si="146"/>
        <v/>
      </c>
      <c r="AY255" s="32" t="str">
        <f t="shared" si="147"/>
        <v/>
      </c>
      <c r="BA255" s="32" t="str">
        <f>IF($A256="","",F255*Summary!$Q$11)</f>
        <v/>
      </c>
    </row>
    <row r="256" spans="1:53" ht="12" customHeight="1">
      <c r="A256" s="67" t="str">
        <f t="shared" si="148"/>
        <v/>
      </c>
      <c r="B256" s="69" t="str">
        <f t="shared" si="150"/>
        <v/>
      </c>
      <c r="C256" s="71"/>
      <c r="D256" s="69" t="str">
        <f t="shared" si="114"/>
        <v/>
      </c>
      <c r="E256" s="70" t="str">
        <f t="shared" si="115"/>
        <v/>
      </c>
      <c r="F256" s="70" t="str">
        <f t="shared" si="116"/>
        <v/>
      </c>
      <c r="G256" s="63" t="str">
        <f t="shared" si="117"/>
        <v/>
      </c>
      <c r="H256" s="64" t="str">
        <f t="shared" si="118"/>
        <v/>
      </c>
      <c r="I256" s="43"/>
      <c r="J256" s="63" t="str">
        <f t="shared" si="119"/>
        <v/>
      </c>
      <c r="K256" s="64" t="str">
        <f t="shared" si="120"/>
        <v/>
      </c>
      <c r="L256" s="63" t="str">
        <f t="shared" si="121"/>
        <v/>
      </c>
      <c r="M256" s="64" t="str">
        <f t="shared" si="122"/>
        <v/>
      </c>
      <c r="N256" s="65"/>
      <c r="O256" s="63" t="str">
        <f t="shared" si="123"/>
        <v/>
      </c>
      <c r="P256" s="63" t="str">
        <f t="shared" si="124"/>
        <v/>
      </c>
      <c r="Q256" s="66"/>
      <c r="R256" s="63" t="str">
        <f t="shared" si="125"/>
        <v/>
      </c>
      <c r="S256" s="64" t="str">
        <f t="shared" si="126"/>
        <v/>
      </c>
      <c r="T256" s="38">
        <v>0</v>
      </c>
      <c r="U256" s="64" t="str">
        <f t="shared" si="127"/>
        <v/>
      </c>
      <c r="V256" s="219" t="str">
        <f>IF($A257="","",IF(AND(MONTH(A256)&gt;3,MONTH(A256)&lt;11),(T256+R256+G256)*Summary!$T$11/(1-Summary!$T$11),(T256+R256+G256)*Summary!$U$11/(1-Summary!$U$11)))</f>
        <v/>
      </c>
      <c r="W256" s="43" t="str">
        <f t="shared" si="128"/>
        <v/>
      </c>
      <c r="X256" s="43" t="str">
        <f t="shared" si="129"/>
        <v/>
      </c>
      <c r="Y256" s="43"/>
      <c r="Z256" s="38" t="str">
        <f t="shared" si="130"/>
        <v/>
      </c>
      <c r="AA256" s="38" t="str">
        <f t="shared" si="131"/>
        <v/>
      </c>
      <c r="AB256" s="38" t="e">
        <f t="shared" si="132"/>
        <v>#VALUE!</v>
      </c>
      <c r="AC256" s="38" t="str">
        <f t="shared" si="133"/>
        <v/>
      </c>
      <c r="AD256" s="38" t="str">
        <f t="shared" si="133"/>
        <v/>
      </c>
      <c r="AE256" s="38" t="e">
        <f t="shared" si="134"/>
        <v>#VALUE!</v>
      </c>
      <c r="AF256" s="238" t="e">
        <f>((Summary!$N$11*(AA256*AD256)*(A256-$D$3))+(Summary!$M$11*Z256*AC256*(AJ256-EOMONTH(EDATE(A256,-1),0))))/(AK256*AB256*AE256)</f>
        <v>#VALUE!</v>
      </c>
      <c r="AG256" s="88" t="str">
        <f>IF($A257="","",Summary!$Q$11)</f>
        <v/>
      </c>
      <c r="AH256" s="88" t="str">
        <f>IF($A257="","",IF(Summary!$R$11="Y",(VLOOKUP($A256,Summary!$AD$6:$AF$9,3)+'Escalating commodity'!G269),'Escalating commodity'!G269))</f>
        <v/>
      </c>
      <c r="AI256" s="88" t="str">
        <f t="shared" si="149"/>
        <v/>
      </c>
      <c r="AJ256" s="236" t="e">
        <f t="shared" si="135"/>
        <v>#VALUE!</v>
      </c>
      <c r="AK256" s="58" t="str">
        <f t="shared" si="136"/>
        <v/>
      </c>
      <c r="AL256" s="26" t="str">
        <f>IF($A257="","",_xll.SPRDOPT(P256,X256,AI256,0,AB256,AE256,AF256,AK256,$AJ$2,0))</f>
        <v/>
      </c>
      <c r="AM256" s="209" t="str">
        <f t="shared" si="137"/>
        <v/>
      </c>
      <c r="AN256" s="89" t="str">
        <f t="shared" si="138"/>
        <v/>
      </c>
      <c r="AO256" s="3" t="str">
        <f t="shared" si="139"/>
        <v/>
      </c>
      <c r="AP256" s="33" t="str">
        <f t="shared" si="140"/>
        <v/>
      </c>
      <c r="AQ256" s="58" t="str">
        <f t="shared" si="141"/>
        <v/>
      </c>
      <c r="AR256" s="38">
        <f>'ANR OK vs ML7'!AR256</f>
        <v>0.1</v>
      </c>
      <c r="AS256" s="35" t="str">
        <f t="shared" si="142"/>
        <v/>
      </c>
      <c r="AT256" s="3" t="str">
        <f t="shared" si="143"/>
        <v/>
      </c>
      <c r="AU256" s="3" t="str">
        <f t="shared" si="144"/>
        <v/>
      </c>
      <c r="AW256" s="32" t="str">
        <f t="shared" si="145"/>
        <v/>
      </c>
      <c r="AX256" s="32" t="str">
        <f t="shared" si="146"/>
        <v/>
      </c>
      <c r="AY256" s="32" t="str">
        <f t="shared" si="147"/>
        <v/>
      </c>
      <c r="BA256" s="32" t="str">
        <f>IF($A257="","",F256*Summary!$Q$11)</f>
        <v/>
      </c>
    </row>
    <row r="257" spans="1:53" ht="12" customHeight="1">
      <c r="A257" s="67" t="str">
        <f t="shared" si="148"/>
        <v/>
      </c>
      <c r="B257" s="69" t="str">
        <f t="shared" si="150"/>
        <v/>
      </c>
      <c r="C257" s="71"/>
      <c r="D257" s="69" t="str">
        <f t="shared" si="114"/>
        <v/>
      </c>
      <c r="E257" s="70" t="str">
        <f t="shared" si="115"/>
        <v/>
      </c>
      <c r="F257" s="70" t="str">
        <f t="shared" si="116"/>
        <v/>
      </c>
      <c r="G257" s="63" t="str">
        <f t="shared" si="117"/>
        <v/>
      </c>
      <c r="H257" s="64" t="str">
        <f t="shared" si="118"/>
        <v/>
      </c>
      <c r="I257" s="43"/>
      <c r="J257" s="63" t="str">
        <f t="shared" si="119"/>
        <v/>
      </c>
      <c r="K257" s="64" t="str">
        <f t="shared" si="120"/>
        <v/>
      </c>
      <c r="L257" s="63" t="str">
        <f t="shared" si="121"/>
        <v/>
      </c>
      <c r="M257" s="64" t="str">
        <f t="shared" si="122"/>
        <v/>
      </c>
      <c r="N257" s="65"/>
      <c r="O257" s="63" t="str">
        <f t="shared" si="123"/>
        <v/>
      </c>
      <c r="P257" s="63" t="str">
        <f t="shared" si="124"/>
        <v/>
      </c>
      <c r="Q257" s="66"/>
      <c r="R257" s="63" t="str">
        <f t="shared" si="125"/>
        <v/>
      </c>
      <c r="S257" s="64" t="str">
        <f t="shared" si="126"/>
        <v/>
      </c>
      <c r="T257" s="38">
        <v>0</v>
      </c>
      <c r="U257" s="64" t="str">
        <f t="shared" si="127"/>
        <v/>
      </c>
      <c r="V257" s="219" t="str">
        <f>IF($A258="","",IF(AND(MONTH(A257)&gt;3,MONTH(A257)&lt;11),(T257+R257+G257)*Summary!$T$11/(1-Summary!$T$11),(T257+R257+G257)*Summary!$U$11/(1-Summary!$U$11)))</f>
        <v/>
      </c>
      <c r="W257" s="43" t="str">
        <f t="shared" si="128"/>
        <v/>
      </c>
      <c r="X257" s="43" t="str">
        <f t="shared" si="129"/>
        <v/>
      </c>
      <c r="Y257" s="43"/>
      <c r="Z257" s="38" t="str">
        <f t="shared" si="130"/>
        <v/>
      </c>
      <c r="AA257" s="38" t="str">
        <f t="shared" si="131"/>
        <v/>
      </c>
      <c r="AB257" s="38" t="e">
        <f t="shared" si="132"/>
        <v>#VALUE!</v>
      </c>
      <c r="AC257" s="38" t="str">
        <f t="shared" si="133"/>
        <v/>
      </c>
      <c r="AD257" s="38" t="str">
        <f t="shared" si="133"/>
        <v/>
      </c>
      <c r="AE257" s="38" t="e">
        <f t="shared" si="134"/>
        <v>#VALUE!</v>
      </c>
      <c r="AF257" s="238" t="e">
        <f>((Summary!$N$11*(AA257*AD257)*(A257-$D$3))+(Summary!$M$11*Z257*AC257*(AJ257-EOMONTH(EDATE(A257,-1),0))))/(AK257*AB257*AE257)</f>
        <v>#VALUE!</v>
      </c>
      <c r="AG257" s="88" t="str">
        <f>IF($A258="","",Summary!$Q$11)</f>
        <v/>
      </c>
      <c r="AH257" s="88" t="str">
        <f>IF($A258="","",IF(Summary!$R$11="Y",(VLOOKUP($A257,Summary!$AD$6:$AF$9,3)+'Escalating commodity'!G270),'Escalating commodity'!G270))</f>
        <v/>
      </c>
      <c r="AI257" s="88" t="str">
        <f t="shared" si="149"/>
        <v/>
      </c>
      <c r="AJ257" s="236" t="e">
        <f t="shared" si="135"/>
        <v>#VALUE!</v>
      </c>
      <c r="AK257" s="58" t="str">
        <f t="shared" si="136"/>
        <v/>
      </c>
      <c r="AL257" s="26" t="str">
        <f>IF($A258="","",_xll.SPRDOPT(P257,X257,AI257,0,AB257,AE257,AF257,AK257,$AJ$2,0))</f>
        <v/>
      </c>
      <c r="AM257" s="209" t="str">
        <f t="shared" si="137"/>
        <v/>
      </c>
      <c r="AN257" s="89" t="str">
        <f t="shared" si="138"/>
        <v/>
      </c>
      <c r="AO257" s="3" t="str">
        <f t="shared" si="139"/>
        <v/>
      </c>
      <c r="AP257" s="33" t="str">
        <f t="shared" si="140"/>
        <v/>
      </c>
      <c r="AQ257" s="58" t="str">
        <f t="shared" si="141"/>
        <v/>
      </c>
      <c r="AR257" s="38">
        <f>'ANR OK vs ML7'!AR257</f>
        <v>0.1</v>
      </c>
      <c r="AS257" s="35" t="str">
        <f t="shared" si="142"/>
        <v/>
      </c>
      <c r="AT257" s="3" t="str">
        <f t="shared" si="143"/>
        <v/>
      </c>
      <c r="AU257" s="3" t="str">
        <f t="shared" si="144"/>
        <v/>
      </c>
      <c r="AW257" s="32" t="str">
        <f t="shared" si="145"/>
        <v/>
      </c>
      <c r="AX257" s="32" t="str">
        <f t="shared" si="146"/>
        <v/>
      </c>
      <c r="AY257" s="32" t="str">
        <f t="shared" si="147"/>
        <v/>
      </c>
      <c r="BA257" s="32" t="str">
        <f>IF($A258="","",F257*Summary!$Q$11)</f>
        <v/>
      </c>
    </row>
    <row r="258" spans="1:53" ht="12" customHeight="1">
      <c r="A258" s="67" t="str">
        <f t="shared" si="148"/>
        <v/>
      </c>
      <c r="B258" s="69" t="str">
        <f t="shared" si="150"/>
        <v/>
      </c>
      <c r="C258" s="71"/>
      <c r="D258" s="69" t="str">
        <f t="shared" si="114"/>
        <v/>
      </c>
      <c r="E258" s="70" t="str">
        <f t="shared" si="115"/>
        <v/>
      </c>
      <c r="F258" s="70" t="str">
        <f t="shared" si="116"/>
        <v/>
      </c>
      <c r="G258" s="63" t="str">
        <f t="shared" si="117"/>
        <v/>
      </c>
      <c r="H258" s="64" t="str">
        <f t="shared" si="118"/>
        <v/>
      </c>
      <c r="I258" s="43"/>
      <c r="J258" s="63" t="str">
        <f t="shared" si="119"/>
        <v/>
      </c>
      <c r="K258" s="64" t="str">
        <f t="shared" si="120"/>
        <v/>
      </c>
      <c r="L258" s="63" t="str">
        <f t="shared" si="121"/>
        <v/>
      </c>
      <c r="M258" s="64" t="str">
        <f t="shared" si="122"/>
        <v/>
      </c>
      <c r="N258" s="65"/>
      <c r="O258" s="63" t="str">
        <f t="shared" si="123"/>
        <v/>
      </c>
      <c r="P258" s="63" t="str">
        <f t="shared" si="124"/>
        <v/>
      </c>
      <c r="Q258" s="66"/>
      <c r="R258" s="63" t="str">
        <f t="shared" si="125"/>
        <v/>
      </c>
      <c r="S258" s="64" t="str">
        <f t="shared" si="126"/>
        <v/>
      </c>
      <c r="T258" s="38">
        <v>0</v>
      </c>
      <c r="U258" s="64" t="str">
        <f t="shared" si="127"/>
        <v/>
      </c>
      <c r="V258" s="219" t="str">
        <f>IF($A259="","",IF(AND(MONTH(A258)&gt;3,MONTH(A258)&lt;11),(T258+R258+G258)*Summary!$T$11/(1-Summary!$T$11),(T258+R258+G258)*Summary!$U$11/(1-Summary!$U$11)))</f>
        <v/>
      </c>
      <c r="W258" s="43" t="str">
        <f t="shared" si="128"/>
        <v/>
      </c>
      <c r="X258" s="43" t="str">
        <f t="shared" si="129"/>
        <v/>
      </c>
      <c r="Y258" s="43"/>
      <c r="Z258" s="38" t="str">
        <f t="shared" si="130"/>
        <v/>
      </c>
      <c r="AA258" s="38" t="str">
        <f t="shared" si="131"/>
        <v/>
      </c>
      <c r="AB258" s="38" t="e">
        <f t="shared" si="132"/>
        <v>#VALUE!</v>
      </c>
      <c r="AC258" s="38" t="str">
        <f t="shared" si="133"/>
        <v/>
      </c>
      <c r="AD258" s="38" t="str">
        <f t="shared" si="133"/>
        <v/>
      </c>
      <c r="AE258" s="38" t="e">
        <f t="shared" si="134"/>
        <v>#VALUE!</v>
      </c>
      <c r="AF258" s="238" t="e">
        <f>((Summary!$N$11*(AA258*AD258)*(A258-$D$3))+(Summary!$M$11*Z258*AC258*(AJ258-EOMONTH(EDATE(A258,-1),0))))/(AK258*AB258*AE258)</f>
        <v>#VALUE!</v>
      </c>
      <c r="AG258" s="88" t="str">
        <f>IF($A259="","",Summary!$Q$11)</f>
        <v/>
      </c>
      <c r="AH258" s="88" t="str">
        <f>IF($A259="","",IF(Summary!$R$11="Y",(VLOOKUP($A258,Summary!$AD$6:$AF$9,3)+'Escalating commodity'!G271),'Escalating commodity'!G271))</f>
        <v/>
      </c>
      <c r="AI258" s="88" t="str">
        <f t="shared" si="149"/>
        <v/>
      </c>
      <c r="AJ258" s="236" t="e">
        <f t="shared" si="135"/>
        <v>#VALUE!</v>
      </c>
      <c r="AK258" s="58" t="str">
        <f t="shared" si="136"/>
        <v/>
      </c>
      <c r="AL258" s="26" t="str">
        <f>IF($A259="","",_xll.SPRDOPT(P258,X258,AI258,0,AB258,AE258,AF258,AK258,$AJ$2,0))</f>
        <v/>
      </c>
      <c r="AM258" s="209" t="str">
        <f t="shared" si="137"/>
        <v/>
      </c>
      <c r="AN258" s="89" t="str">
        <f t="shared" si="138"/>
        <v/>
      </c>
      <c r="AO258" s="3" t="str">
        <f t="shared" si="139"/>
        <v/>
      </c>
      <c r="AP258" s="33" t="str">
        <f t="shared" si="140"/>
        <v/>
      </c>
      <c r="AQ258" s="58" t="str">
        <f t="shared" si="141"/>
        <v/>
      </c>
      <c r="AR258" s="38">
        <f>'ANR OK vs ML7'!AR258</f>
        <v>0.1</v>
      </c>
      <c r="AS258" s="35" t="str">
        <f t="shared" si="142"/>
        <v/>
      </c>
      <c r="AT258" s="3" t="str">
        <f t="shared" si="143"/>
        <v/>
      </c>
      <c r="AU258" s="3" t="str">
        <f t="shared" si="144"/>
        <v/>
      </c>
      <c r="AW258" s="32" t="str">
        <f t="shared" si="145"/>
        <v/>
      </c>
      <c r="AX258" s="32" t="str">
        <f t="shared" si="146"/>
        <v/>
      </c>
      <c r="AY258" s="32" t="str">
        <f t="shared" si="147"/>
        <v/>
      </c>
      <c r="BA258" s="32" t="str">
        <f>IF($A259="","",F258*Summary!$Q$11)</f>
        <v/>
      </c>
    </row>
    <row r="259" spans="1:53" ht="12" customHeight="1">
      <c r="A259" s="67" t="str">
        <f t="shared" si="148"/>
        <v/>
      </c>
      <c r="B259" s="69" t="str">
        <f t="shared" si="150"/>
        <v/>
      </c>
      <c r="C259" s="71"/>
      <c r="D259" s="69" t="str">
        <f t="shared" si="114"/>
        <v/>
      </c>
      <c r="E259" s="70" t="str">
        <f t="shared" si="115"/>
        <v/>
      </c>
      <c r="F259" s="70" t="str">
        <f t="shared" si="116"/>
        <v/>
      </c>
      <c r="G259" s="63" t="str">
        <f t="shared" si="117"/>
        <v/>
      </c>
      <c r="H259" s="64" t="str">
        <f t="shared" si="118"/>
        <v/>
      </c>
      <c r="I259" s="43"/>
      <c r="J259" s="63" t="str">
        <f t="shared" si="119"/>
        <v/>
      </c>
      <c r="K259" s="64" t="str">
        <f t="shared" si="120"/>
        <v/>
      </c>
      <c r="L259" s="63" t="str">
        <f t="shared" si="121"/>
        <v/>
      </c>
      <c r="M259" s="64" t="str">
        <f t="shared" si="122"/>
        <v/>
      </c>
      <c r="N259" s="65"/>
      <c r="O259" s="63" t="str">
        <f t="shared" si="123"/>
        <v/>
      </c>
      <c r="P259" s="63" t="str">
        <f t="shared" si="124"/>
        <v/>
      </c>
      <c r="Q259" s="66"/>
      <c r="R259" s="63" t="str">
        <f t="shared" si="125"/>
        <v/>
      </c>
      <c r="S259" s="64" t="str">
        <f t="shared" si="126"/>
        <v/>
      </c>
      <c r="T259" s="38">
        <v>0</v>
      </c>
      <c r="U259" s="64" t="str">
        <f t="shared" si="127"/>
        <v/>
      </c>
      <c r="V259" s="219" t="str">
        <f>IF($A260="","",IF(AND(MONTH(A259)&gt;3,MONTH(A259)&lt;11),(T259+R259+G259)*Summary!$T$11/(1-Summary!$T$11),(T259+R259+G259)*Summary!$U$11/(1-Summary!$U$11)))</f>
        <v/>
      </c>
      <c r="W259" s="43" t="str">
        <f t="shared" si="128"/>
        <v/>
      </c>
      <c r="X259" s="43" t="str">
        <f t="shared" si="129"/>
        <v/>
      </c>
      <c r="Y259" s="43"/>
      <c r="Z259" s="38" t="str">
        <f t="shared" si="130"/>
        <v/>
      </c>
      <c r="AA259" s="38" t="str">
        <f t="shared" si="131"/>
        <v/>
      </c>
      <c r="AB259" s="38" t="e">
        <f t="shared" si="132"/>
        <v>#VALUE!</v>
      </c>
      <c r="AC259" s="38" t="str">
        <f t="shared" si="133"/>
        <v/>
      </c>
      <c r="AD259" s="38" t="str">
        <f t="shared" si="133"/>
        <v/>
      </c>
      <c r="AE259" s="38" t="e">
        <f t="shared" si="134"/>
        <v>#VALUE!</v>
      </c>
      <c r="AF259" s="238" t="e">
        <f>((Summary!$N$11*(AA259*AD259)*(A259-$D$3))+(Summary!$M$11*Z259*AC259*(AJ259-EOMONTH(EDATE(A259,-1),0))))/(AK259*AB259*AE259)</f>
        <v>#VALUE!</v>
      </c>
      <c r="AG259" s="88" t="str">
        <f>IF($A260="","",Summary!$Q$11)</f>
        <v/>
      </c>
      <c r="AH259" s="88" t="str">
        <f>IF($A260="","",IF(Summary!$R$11="Y",(VLOOKUP($A259,Summary!$AD$6:$AF$9,3)+'Escalating commodity'!G272),'Escalating commodity'!G272))</f>
        <v/>
      </c>
      <c r="AI259" s="88" t="str">
        <f t="shared" si="149"/>
        <v/>
      </c>
      <c r="AJ259" s="236" t="e">
        <f t="shared" si="135"/>
        <v>#VALUE!</v>
      </c>
      <c r="AK259" s="58" t="str">
        <f t="shared" si="136"/>
        <v/>
      </c>
      <c r="AL259" s="26" t="str">
        <f>IF($A260="","",_xll.SPRDOPT(P259,X259,AI259,0,AB259,AE259,AF259,AK259,$AJ$2,0))</f>
        <v/>
      </c>
      <c r="AM259" s="209" t="str">
        <f t="shared" si="137"/>
        <v/>
      </c>
      <c r="AN259" s="89" t="str">
        <f t="shared" si="138"/>
        <v/>
      </c>
      <c r="AO259" s="3" t="str">
        <f t="shared" si="139"/>
        <v/>
      </c>
      <c r="AP259" s="33" t="str">
        <f t="shared" si="140"/>
        <v/>
      </c>
      <c r="AQ259" s="58" t="str">
        <f t="shared" si="141"/>
        <v/>
      </c>
      <c r="AR259" s="38">
        <f>'ANR OK vs ML7'!AR259</f>
        <v>0.1</v>
      </c>
      <c r="AS259" s="35" t="str">
        <f t="shared" si="142"/>
        <v/>
      </c>
      <c r="AT259" s="3" t="str">
        <f t="shared" si="143"/>
        <v/>
      </c>
      <c r="AU259" s="3" t="str">
        <f t="shared" si="144"/>
        <v/>
      </c>
      <c r="AW259" s="32" t="str">
        <f t="shared" si="145"/>
        <v/>
      </c>
      <c r="AX259" s="32" t="str">
        <f t="shared" si="146"/>
        <v/>
      </c>
      <c r="AY259" s="32" t="str">
        <f t="shared" si="147"/>
        <v/>
      </c>
      <c r="BA259" s="32" t="str">
        <f>IF($A260="","",F259*Summary!$Q$11)</f>
        <v/>
      </c>
    </row>
    <row r="260" spans="1:53" ht="12" customHeight="1">
      <c r="A260" s="67" t="str">
        <f t="shared" si="148"/>
        <v/>
      </c>
      <c r="B260" s="69" t="str">
        <f t="shared" si="150"/>
        <v/>
      </c>
      <c r="C260" s="71"/>
      <c r="D260" s="69" t="str">
        <f t="shared" si="114"/>
        <v/>
      </c>
      <c r="E260" s="70" t="str">
        <f t="shared" si="115"/>
        <v/>
      </c>
      <c r="F260" s="70" t="str">
        <f t="shared" si="116"/>
        <v/>
      </c>
      <c r="G260" s="63" t="str">
        <f t="shared" si="117"/>
        <v/>
      </c>
      <c r="H260" s="64" t="str">
        <f t="shared" si="118"/>
        <v/>
      </c>
      <c r="I260" s="43"/>
      <c r="J260" s="63" t="str">
        <f t="shared" si="119"/>
        <v/>
      </c>
      <c r="K260" s="64" t="str">
        <f t="shared" si="120"/>
        <v/>
      </c>
      <c r="L260" s="63" t="str">
        <f t="shared" si="121"/>
        <v/>
      </c>
      <c r="M260" s="64" t="str">
        <f t="shared" si="122"/>
        <v/>
      </c>
      <c r="N260" s="65"/>
      <c r="O260" s="63" t="str">
        <f t="shared" si="123"/>
        <v/>
      </c>
      <c r="P260" s="63" t="str">
        <f t="shared" si="124"/>
        <v/>
      </c>
      <c r="Q260" s="66"/>
      <c r="R260" s="63" t="str">
        <f t="shared" si="125"/>
        <v/>
      </c>
      <c r="S260" s="64" t="str">
        <f t="shared" si="126"/>
        <v/>
      </c>
      <c r="T260" s="38">
        <v>0</v>
      </c>
      <c r="U260" s="64" t="str">
        <f t="shared" si="127"/>
        <v/>
      </c>
      <c r="V260" s="219" t="str">
        <f>IF($A261="","",IF(AND(MONTH(A260)&gt;3,MONTH(A260)&lt;11),(T260+R260+G260)*Summary!$T$11/(1-Summary!$T$11),(T260+R260+G260)*Summary!$U$11/(1-Summary!$U$11)))</f>
        <v/>
      </c>
      <c r="W260" s="43" t="str">
        <f t="shared" si="128"/>
        <v/>
      </c>
      <c r="X260" s="43" t="str">
        <f t="shared" si="129"/>
        <v/>
      </c>
      <c r="Y260" s="43"/>
      <c r="Z260" s="38" t="str">
        <f t="shared" si="130"/>
        <v/>
      </c>
      <c r="AA260" s="38" t="str">
        <f t="shared" si="131"/>
        <v/>
      </c>
      <c r="AB260" s="38" t="e">
        <f t="shared" si="132"/>
        <v>#VALUE!</v>
      </c>
      <c r="AC260" s="38" t="str">
        <f t="shared" si="133"/>
        <v/>
      </c>
      <c r="AD260" s="38" t="str">
        <f t="shared" si="133"/>
        <v/>
      </c>
      <c r="AE260" s="38" t="e">
        <f t="shared" si="134"/>
        <v>#VALUE!</v>
      </c>
      <c r="AF260" s="238" t="e">
        <f>((Summary!$N$11*(AA260*AD260)*(A260-$D$3))+(Summary!$M$11*Z260*AC260*(AJ260-EOMONTH(EDATE(A260,-1),0))))/(AK260*AB260*AE260)</f>
        <v>#VALUE!</v>
      </c>
      <c r="AG260" s="88" t="str">
        <f>IF($A261="","",Summary!$Q$11)</f>
        <v/>
      </c>
      <c r="AH260" s="88" t="str">
        <f>IF($A261="","",IF(Summary!$R$11="Y",(VLOOKUP($A260,Summary!$AD$6:$AF$9,3)+'Escalating commodity'!G273),'Escalating commodity'!G273))</f>
        <v/>
      </c>
      <c r="AI260" s="88" t="str">
        <f t="shared" si="149"/>
        <v/>
      </c>
      <c r="AJ260" s="236" t="e">
        <f t="shared" si="135"/>
        <v>#VALUE!</v>
      </c>
      <c r="AK260" s="58" t="str">
        <f t="shared" si="136"/>
        <v/>
      </c>
      <c r="AL260" s="26" t="str">
        <f>IF($A261="","",_xll.SPRDOPT(P260,X260,AI260,0,AB260,AE260,AF260,AK260,$AJ$2,0))</f>
        <v/>
      </c>
      <c r="AM260" s="209" t="str">
        <f t="shared" si="137"/>
        <v/>
      </c>
      <c r="AN260" s="89" t="str">
        <f t="shared" si="138"/>
        <v/>
      </c>
      <c r="AO260" s="3" t="str">
        <f t="shared" si="139"/>
        <v/>
      </c>
      <c r="AP260" s="33" t="str">
        <f t="shared" si="140"/>
        <v/>
      </c>
      <c r="AQ260" s="58" t="str">
        <f t="shared" si="141"/>
        <v/>
      </c>
      <c r="AR260" s="38">
        <f>'ANR OK vs ML7'!AR260</f>
        <v>0.1</v>
      </c>
      <c r="AS260" s="35" t="str">
        <f t="shared" si="142"/>
        <v/>
      </c>
      <c r="AT260" s="3" t="str">
        <f t="shared" si="143"/>
        <v/>
      </c>
      <c r="AU260" s="3" t="str">
        <f t="shared" si="144"/>
        <v/>
      </c>
      <c r="AW260" s="32" t="str">
        <f t="shared" si="145"/>
        <v/>
      </c>
      <c r="AX260" s="32" t="str">
        <f t="shared" si="146"/>
        <v/>
      </c>
      <c r="AY260" s="32" t="str">
        <f t="shared" si="147"/>
        <v/>
      </c>
      <c r="BA260" s="32" t="str">
        <f>IF($A261="","",F260*Summary!$Q$11)</f>
        <v/>
      </c>
    </row>
    <row r="261" spans="1:53" ht="12" customHeight="1">
      <c r="A261" s="67" t="str">
        <f t="shared" si="148"/>
        <v/>
      </c>
      <c r="B261" s="69" t="str">
        <f t="shared" si="150"/>
        <v/>
      </c>
      <c r="C261" s="71"/>
      <c r="D261" s="69" t="str">
        <f t="shared" si="114"/>
        <v/>
      </c>
      <c r="E261" s="70" t="str">
        <f t="shared" si="115"/>
        <v/>
      </c>
      <c r="F261" s="70" t="str">
        <f t="shared" si="116"/>
        <v/>
      </c>
      <c r="G261" s="63" t="str">
        <f t="shared" si="117"/>
        <v/>
      </c>
      <c r="H261" s="64" t="str">
        <f t="shared" si="118"/>
        <v/>
      </c>
      <c r="I261" s="43"/>
      <c r="J261" s="63" t="str">
        <f t="shared" si="119"/>
        <v/>
      </c>
      <c r="K261" s="64" t="str">
        <f t="shared" si="120"/>
        <v/>
      </c>
      <c r="L261" s="63" t="str">
        <f t="shared" si="121"/>
        <v/>
      </c>
      <c r="M261" s="64" t="str">
        <f t="shared" si="122"/>
        <v/>
      </c>
      <c r="N261" s="65"/>
      <c r="O261" s="63" t="str">
        <f t="shared" si="123"/>
        <v/>
      </c>
      <c r="P261" s="63" t="str">
        <f t="shared" si="124"/>
        <v/>
      </c>
      <c r="Q261" s="66"/>
      <c r="R261" s="63" t="str">
        <f t="shared" si="125"/>
        <v/>
      </c>
      <c r="S261" s="64" t="str">
        <f t="shared" si="126"/>
        <v/>
      </c>
      <c r="T261" s="38">
        <v>0</v>
      </c>
      <c r="U261" s="64" t="str">
        <f t="shared" si="127"/>
        <v/>
      </c>
      <c r="V261" s="219" t="str">
        <f>IF($A262="","",IF(AND(MONTH(A261)&gt;3,MONTH(A261)&lt;11),(T261+R261+G261)*Summary!$T$11/(1-Summary!$T$11),(T261+R261+G261)*Summary!$U$11/(1-Summary!$U$11)))</f>
        <v/>
      </c>
      <c r="W261" s="43" t="str">
        <f t="shared" si="128"/>
        <v/>
      </c>
      <c r="X261" s="43" t="str">
        <f t="shared" si="129"/>
        <v/>
      </c>
      <c r="Y261" s="43"/>
      <c r="Z261" s="38" t="str">
        <f t="shared" si="130"/>
        <v/>
      </c>
      <c r="AA261" s="38" t="str">
        <f t="shared" si="131"/>
        <v/>
      </c>
      <c r="AB261" s="38" t="e">
        <f t="shared" si="132"/>
        <v>#VALUE!</v>
      </c>
      <c r="AC261" s="38" t="str">
        <f t="shared" si="133"/>
        <v/>
      </c>
      <c r="AD261" s="38" t="str">
        <f t="shared" si="133"/>
        <v/>
      </c>
      <c r="AE261" s="38" t="e">
        <f t="shared" si="134"/>
        <v>#VALUE!</v>
      </c>
      <c r="AF261" s="238" t="e">
        <f>((Summary!$N$11*(AA261*AD261)*(A261-$D$3))+(Summary!$M$11*Z261*AC261*(AJ261-EOMONTH(EDATE(A261,-1),0))))/(AK261*AB261*AE261)</f>
        <v>#VALUE!</v>
      </c>
      <c r="AG261" s="88" t="str">
        <f>IF($A262="","",Summary!$Q$11)</f>
        <v/>
      </c>
      <c r="AH261" s="88" t="str">
        <f>IF($A262="","",IF(Summary!$R$11="Y",(VLOOKUP($A261,Summary!$AD$6:$AF$9,3)+'Escalating commodity'!G274),'Escalating commodity'!G274))</f>
        <v/>
      </c>
      <c r="AI261" s="88" t="str">
        <f t="shared" si="149"/>
        <v/>
      </c>
      <c r="AJ261" s="236" t="e">
        <f t="shared" si="135"/>
        <v>#VALUE!</v>
      </c>
      <c r="AK261" s="58" t="str">
        <f t="shared" si="136"/>
        <v/>
      </c>
      <c r="AL261" s="26" t="str">
        <f>IF($A262="","",_xll.SPRDOPT(P261,X261,AI261,0,AB261,AE261,AF261,AK261,$AJ$2,0))</f>
        <v/>
      </c>
      <c r="AM261" s="209" t="str">
        <f t="shared" si="137"/>
        <v/>
      </c>
      <c r="AN261" s="89" t="str">
        <f t="shared" si="138"/>
        <v/>
      </c>
      <c r="AO261" s="3" t="str">
        <f t="shared" si="139"/>
        <v/>
      </c>
      <c r="AP261" s="33" t="str">
        <f t="shared" si="140"/>
        <v/>
      </c>
      <c r="AQ261" s="58" t="str">
        <f t="shared" si="141"/>
        <v/>
      </c>
      <c r="AR261" s="38">
        <f>'ANR OK vs ML7'!AR261</f>
        <v>0.1</v>
      </c>
      <c r="AS261" s="35" t="str">
        <f t="shared" si="142"/>
        <v/>
      </c>
      <c r="AT261" s="3" t="str">
        <f t="shared" si="143"/>
        <v/>
      </c>
      <c r="AU261" s="3" t="str">
        <f t="shared" si="144"/>
        <v/>
      </c>
      <c r="AW261" s="32" t="str">
        <f t="shared" si="145"/>
        <v/>
      </c>
      <c r="AX261" s="32" t="str">
        <f t="shared" si="146"/>
        <v/>
      </c>
      <c r="AY261" s="32" t="str">
        <f t="shared" si="147"/>
        <v/>
      </c>
      <c r="BA261" s="32" t="str">
        <f>IF($A262="","",F261*Summary!$Q$11)</f>
        <v/>
      </c>
    </row>
    <row r="262" spans="1:53" ht="12" customHeight="1">
      <c r="A262" s="67" t="str">
        <f t="shared" si="148"/>
        <v/>
      </c>
      <c r="B262" s="69" t="str">
        <f t="shared" si="150"/>
        <v/>
      </c>
      <c r="C262" s="71"/>
      <c r="D262" s="69" t="str">
        <f t="shared" si="114"/>
        <v/>
      </c>
      <c r="E262" s="70" t="str">
        <f t="shared" si="115"/>
        <v/>
      </c>
      <c r="F262" s="70" t="str">
        <f t="shared" si="116"/>
        <v/>
      </c>
      <c r="G262" s="63" t="str">
        <f t="shared" si="117"/>
        <v/>
      </c>
      <c r="H262" s="64" t="str">
        <f t="shared" si="118"/>
        <v/>
      </c>
      <c r="I262" s="43"/>
      <c r="J262" s="63" t="str">
        <f t="shared" si="119"/>
        <v/>
      </c>
      <c r="K262" s="64" t="str">
        <f t="shared" si="120"/>
        <v/>
      </c>
      <c r="L262" s="63" t="str">
        <f t="shared" si="121"/>
        <v/>
      </c>
      <c r="M262" s="64" t="str">
        <f t="shared" si="122"/>
        <v/>
      </c>
      <c r="N262" s="65"/>
      <c r="O262" s="63" t="str">
        <f t="shared" si="123"/>
        <v/>
      </c>
      <c r="P262" s="63" t="str">
        <f t="shared" si="124"/>
        <v/>
      </c>
      <c r="Q262" s="66"/>
      <c r="R262" s="63" t="str">
        <f t="shared" si="125"/>
        <v/>
      </c>
      <c r="S262" s="64" t="str">
        <f t="shared" si="126"/>
        <v/>
      </c>
      <c r="T262" s="38">
        <v>0</v>
      </c>
      <c r="U262" s="64" t="str">
        <f t="shared" si="127"/>
        <v/>
      </c>
      <c r="V262" s="219" t="str">
        <f>IF($A263="","",IF(AND(MONTH(A262)&gt;3,MONTH(A262)&lt;11),(T262+R262+G262)*Summary!$T$11/(1-Summary!$T$11),(T262+R262+G262)*Summary!$U$11/(1-Summary!$U$11)))</f>
        <v/>
      </c>
      <c r="W262" s="43" t="str">
        <f t="shared" si="128"/>
        <v/>
      </c>
      <c r="X262" s="43" t="str">
        <f t="shared" si="129"/>
        <v/>
      </c>
      <c r="Y262" s="43"/>
      <c r="Z262" s="38" t="str">
        <f t="shared" si="130"/>
        <v/>
      </c>
      <c r="AA262" s="38" t="str">
        <f t="shared" si="131"/>
        <v/>
      </c>
      <c r="AB262" s="38" t="e">
        <f t="shared" si="132"/>
        <v>#VALUE!</v>
      </c>
      <c r="AC262" s="38" t="str">
        <f t="shared" si="133"/>
        <v/>
      </c>
      <c r="AD262" s="38" t="str">
        <f t="shared" si="133"/>
        <v/>
      </c>
      <c r="AE262" s="38" t="e">
        <f t="shared" si="134"/>
        <v>#VALUE!</v>
      </c>
      <c r="AF262" s="238" t="e">
        <f>((Summary!$N$11*(AA262*AD262)*(A262-$D$3))+(Summary!$M$11*Z262*AC262*(AJ262-EOMONTH(EDATE(A262,-1),0))))/(AK262*AB262*AE262)</f>
        <v>#VALUE!</v>
      </c>
      <c r="AG262" s="88" t="str">
        <f>IF($A263="","",Summary!$Q$11)</f>
        <v/>
      </c>
      <c r="AH262" s="88" t="str">
        <f>IF($A263="","",IF(Summary!$R$11="Y",(VLOOKUP($A262,Summary!$AD$6:$AF$9,3)+'Escalating commodity'!G275),'Escalating commodity'!G275))</f>
        <v/>
      </c>
      <c r="AI262" s="88" t="str">
        <f t="shared" si="149"/>
        <v/>
      </c>
      <c r="AJ262" s="236" t="e">
        <f t="shared" si="135"/>
        <v>#VALUE!</v>
      </c>
      <c r="AK262" s="58" t="str">
        <f t="shared" si="136"/>
        <v/>
      </c>
      <c r="AL262" s="26" t="str">
        <f>IF($A263="","",_xll.SPRDOPT(P262,X262,AI262,0,AB262,AE262,AF262,AK262,$AJ$2,0))</f>
        <v/>
      </c>
      <c r="AM262" s="209" t="str">
        <f t="shared" si="137"/>
        <v/>
      </c>
      <c r="AN262" s="89" t="str">
        <f t="shared" si="138"/>
        <v/>
      </c>
      <c r="AO262" s="3" t="str">
        <f t="shared" si="139"/>
        <v/>
      </c>
      <c r="AP262" s="33" t="str">
        <f t="shared" si="140"/>
        <v/>
      </c>
      <c r="AQ262" s="58" t="str">
        <f t="shared" si="141"/>
        <v/>
      </c>
      <c r="AR262" s="38">
        <f>'ANR OK vs ML7'!AR262</f>
        <v>0.1</v>
      </c>
      <c r="AS262" s="35" t="str">
        <f t="shared" si="142"/>
        <v/>
      </c>
      <c r="AT262" s="3" t="str">
        <f t="shared" si="143"/>
        <v/>
      </c>
      <c r="AU262" s="3" t="str">
        <f t="shared" si="144"/>
        <v/>
      </c>
      <c r="AW262" s="32" t="str">
        <f t="shared" si="145"/>
        <v/>
      </c>
      <c r="AX262" s="32" t="str">
        <f t="shared" si="146"/>
        <v/>
      </c>
      <c r="AY262" s="32" t="str">
        <f t="shared" si="147"/>
        <v/>
      </c>
      <c r="BA262" s="32" t="str">
        <f>IF($A263="","",F262*Summary!$Q$11)</f>
        <v/>
      </c>
    </row>
    <row r="263" spans="1:53" ht="12" customHeight="1">
      <c r="A263" s="67" t="str">
        <f t="shared" si="148"/>
        <v/>
      </c>
      <c r="B263" s="69" t="str">
        <f t="shared" si="150"/>
        <v/>
      </c>
      <c r="C263" s="71"/>
      <c r="D263" s="69" t="str">
        <f t="shared" si="114"/>
        <v/>
      </c>
      <c r="E263" s="70" t="str">
        <f t="shared" si="115"/>
        <v/>
      </c>
      <c r="F263" s="70" t="str">
        <f t="shared" si="116"/>
        <v/>
      </c>
      <c r="G263" s="63" t="str">
        <f t="shared" si="117"/>
        <v/>
      </c>
      <c r="H263" s="64" t="str">
        <f t="shared" si="118"/>
        <v/>
      </c>
      <c r="I263" s="43"/>
      <c r="J263" s="63" t="str">
        <f t="shared" si="119"/>
        <v/>
      </c>
      <c r="K263" s="64" t="str">
        <f t="shared" si="120"/>
        <v/>
      </c>
      <c r="L263" s="63" t="str">
        <f t="shared" si="121"/>
        <v/>
      </c>
      <c r="M263" s="64" t="str">
        <f t="shared" si="122"/>
        <v/>
      </c>
      <c r="N263" s="65"/>
      <c r="O263" s="63" t="str">
        <f t="shared" si="123"/>
        <v/>
      </c>
      <c r="P263" s="63" t="str">
        <f t="shared" si="124"/>
        <v/>
      </c>
      <c r="Q263" s="66"/>
      <c r="R263" s="63" t="str">
        <f t="shared" si="125"/>
        <v/>
      </c>
      <c r="S263" s="64" t="str">
        <f t="shared" si="126"/>
        <v/>
      </c>
      <c r="T263" s="38">
        <v>0</v>
      </c>
      <c r="U263" s="64" t="str">
        <f t="shared" si="127"/>
        <v/>
      </c>
      <c r="V263" s="219" t="str">
        <f>IF($A264="","",IF(AND(MONTH(A263)&gt;3,MONTH(A263)&lt;11),(T263+R263+G263)*Summary!$T$11/(1-Summary!$T$11),(T263+R263+G263)*Summary!$U$11/(1-Summary!$U$11)))</f>
        <v/>
      </c>
      <c r="W263" s="43" t="str">
        <f t="shared" si="128"/>
        <v/>
      </c>
      <c r="X263" s="43" t="str">
        <f t="shared" si="129"/>
        <v/>
      </c>
      <c r="Y263" s="43"/>
      <c r="Z263" s="38" t="str">
        <f t="shared" si="130"/>
        <v/>
      </c>
      <c r="AA263" s="38" t="str">
        <f t="shared" si="131"/>
        <v/>
      </c>
      <c r="AB263" s="38" t="e">
        <f t="shared" si="132"/>
        <v>#VALUE!</v>
      </c>
      <c r="AC263" s="38" t="str">
        <f t="shared" si="133"/>
        <v/>
      </c>
      <c r="AD263" s="38" t="str">
        <f t="shared" si="133"/>
        <v/>
      </c>
      <c r="AE263" s="38" t="e">
        <f t="shared" si="134"/>
        <v>#VALUE!</v>
      </c>
      <c r="AF263" s="238" t="e">
        <f>((Summary!$N$11*(AA263*AD263)*(A263-$D$3))+(Summary!$M$11*Z263*AC263*(AJ263-EOMONTH(EDATE(A263,-1),0))))/(AK263*AB263*AE263)</f>
        <v>#VALUE!</v>
      </c>
      <c r="AG263" s="88" t="str">
        <f>IF($A264="","",Summary!$Q$11)</f>
        <v/>
      </c>
      <c r="AH263" s="88" t="str">
        <f>IF($A264="","",IF(Summary!$R$11="Y",(VLOOKUP($A263,Summary!$AD$6:$AF$9,3)+'Escalating commodity'!G276),'Escalating commodity'!G276))</f>
        <v/>
      </c>
      <c r="AI263" s="88" t="str">
        <f t="shared" si="149"/>
        <v/>
      </c>
      <c r="AJ263" s="236" t="e">
        <f t="shared" si="135"/>
        <v>#VALUE!</v>
      </c>
      <c r="AK263" s="58" t="str">
        <f t="shared" si="136"/>
        <v/>
      </c>
      <c r="AL263" s="26" t="str">
        <f>IF($A264="","",_xll.SPRDOPT(P263,X263,AI263,0,AB263,AE263,AF263,AK263,$AJ$2,0))</f>
        <v/>
      </c>
      <c r="AM263" s="209" t="str">
        <f t="shared" si="137"/>
        <v/>
      </c>
      <c r="AN263" s="89" t="str">
        <f t="shared" si="138"/>
        <v/>
      </c>
      <c r="AO263" s="3" t="str">
        <f t="shared" si="139"/>
        <v/>
      </c>
      <c r="AP263" s="33" t="str">
        <f t="shared" si="140"/>
        <v/>
      </c>
      <c r="AQ263" s="58" t="str">
        <f t="shared" si="141"/>
        <v/>
      </c>
      <c r="AR263" s="38">
        <f>'ANR OK vs ML7'!AR263</f>
        <v>0.1</v>
      </c>
      <c r="AS263" s="35" t="str">
        <f t="shared" si="142"/>
        <v/>
      </c>
      <c r="AT263" s="3" t="str">
        <f t="shared" si="143"/>
        <v/>
      </c>
      <c r="AU263" s="3" t="str">
        <f t="shared" si="144"/>
        <v/>
      </c>
      <c r="AW263" s="32" t="str">
        <f t="shared" si="145"/>
        <v/>
      </c>
      <c r="AX263" s="32" t="str">
        <f t="shared" si="146"/>
        <v/>
      </c>
      <c r="AY263" s="32" t="str">
        <f t="shared" si="147"/>
        <v/>
      </c>
      <c r="BA263" s="32" t="str">
        <f>IF($A264="","",F263*Summary!$Q$11)</f>
        <v/>
      </c>
    </row>
    <row r="264" spans="1:53" ht="12" customHeight="1">
      <c r="A264" s="67" t="str">
        <f t="shared" si="148"/>
        <v/>
      </c>
      <c r="B264" s="69" t="str">
        <f t="shared" si="150"/>
        <v/>
      </c>
      <c r="C264" s="71"/>
      <c r="D264" s="69" t="str">
        <f t="shared" si="114"/>
        <v/>
      </c>
      <c r="E264" s="70" t="str">
        <f t="shared" si="115"/>
        <v/>
      </c>
      <c r="F264" s="70" t="str">
        <f t="shared" si="116"/>
        <v/>
      </c>
      <c r="G264" s="63" t="str">
        <f t="shared" si="117"/>
        <v/>
      </c>
      <c r="H264" s="64" t="str">
        <f t="shared" si="118"/>
        <v/>
      </c>
      <c r="I264" s="43"/>
      <c r="J264" s="63" t="str">
        <f t="shared" si="119"/>
        <v/>
      </c>
      <c r="K264" s="64" t="str">
        <f t="shared" si="120"/>
        <v/>
      </c>
      <c r="L264" s="63" t="str">
        <f t="shared" si="121"/>
        <v/>
      </c>
      <c r="M264" s="64" t="str">
        <f t="shared" si="122"/>
        <v/>
      </c>
      <c r="N264" s="65"/>
      <c r="O264" s="63" t="str">
        <f t="shared" si="123"/>
        <v/>
      </c>
      <c r="P264" s="63" t="str">
        <f t="shared" si="124"/>
        <v/>
      </c>
      <c r="Q264" s="66"/>
      <c r="R264" s="63" t="str">
        <f t="shared" si="125"/>
        <v/>
      </c>
      <c r="S264" s="64" t="str">
        <f t="shared" si="126"/>
        <v/>
      </c>
      <c r="T264" s="38">
        <v>0</v>
      </c>
      <c r="U264" s="64" t="str">
        <f t="shared" si="127"/>
        <v/>
      </c>
      <c r="V264" s="219" t="str">
        <f>IF($A265="","",IF(AND(MONTH(A264)&gt;3,MONTH(A264)&lt;11),(T264+R264+G264)*Summary!$T$11/(1-Summary!$T$11),(T264+R264+G264)*Summary!$U$11/(1-Summary!$U$11)))</f>
        <v/>
      </c>
      <c r="W264" s="43" t="str">
        <f t="shared" si="128"/>
        <v/>
      </c>
      <c r="X264" s="43" t="str">
        <f t="shared" si="129"/>
        <v/>
      </c>
      <c r="Y264" s="43"/>
      <c r="Z264" s="38" t="str">
        <f t="shared" si="130"/>
        <v/>
      </c>
      <c r="AA264" s="38" t="str">
        <f t="shared" si="131"/>
        <v/>
      </c>
      <c r="AB264" s="38" t="e">
        <f t="shared" si="132"/>
        <v>#VALUE!</v>
      </c>
      <c r="AC264" s="38" t="str">
        <f t="shared" si="133"/>
        <v/>
      </c>
      <c r="AD264" s="38" t="str">
        <f t="shared" si="133"/>
        <v/>
      </c>
      <c r="AE264" s="38" t="e">
        <f t="shared" si="134"/>
        <v>#VALUE!</v>
      </c>
      <c r="AF264" s="238" t="e">
        <f>((Summary!$N$11*(AA264*AD264)*(A264-$D$3))+(Summary!$M$11*Z264*AC264*(AJ264-EOMONTH(EDATE(A264,-1),0))))/(AK264*AB264*AE264)</f>
        <v>#VALUE!</v>
      </c>
      <c r="AG264" s="88" t="str">
        <f>IF($A265="","",Summary!$Q$11)</f>
        <v/>
      </c>
      <c r="AH264" s="88" t="str">
        <f>IF($A265="","",IF(Summary!$R$11="Y",(VLOOKUP($A264,Summary!$AD$6:$AF$9,3)+'Escalating commodity'!G277),'Escalating commodity'!G277))</f>
        <v/>
      </c>
      <c r="AI264" s="88" t="str">
        <f t="shared" si="149"/>
        <v/>
      </c>
      <c r="AJ264" s="236" t="e">
        <f t="shared" si="135"/>
        <v>#VALUE!</v>
      </c>
      <c r="AK264" s="58" t="str">
        <f t="shared" si="136"/>
        <v/>
      </c>
      <c r="AL264" s="26" t="str">
        <f>IF($A265="","",_xll.SPRDOPT(P264,X264,AI264,0,AB264,AE264,AF264,AK264,$AJ$2,0))</f>
        <v/>
      </c>
      <c r="AM264" s="209" t="str">
        <f t="shared" si="137"/>
        <v/>
      </c>
      <c r="AN264" s="89" t="str">
        <f t="shared" si="138"/>
        <v/>
      </c>
      <c r="AO264" s="3" t="str">
        <f t="shared" si="139"/>
        <v/>
      </c>
      <c r="AP264" s="33" t="str">
        <f t="shared" si="140"/>
        <v/>
      </c>
      <c r="AQ264" s="58" t="str">
        <f t="shared" si="141"/>
        <v/>
      </c>
      <c r="AR264" s="38">
        <f>'ANR OK vs ML7'!AR264</f>
        <v>0.1</v>
      </c>
      <c r="AS264" s="35" t="str">
        <f t="shared" si="142"/>
        <v/>
      </c>
      <c r="AT264" s="3" t="str">
        <f t="shared" si="143"/>
        <v/>
      </c>
      <c r="AU264" s="3" t="str">
        <f t="shared" si="144"/>
        <v/>
      </c>
      <c r="AW264" s="32" t="str">
        <f t="shared" si="145"/>
        <v/>
      </c>
      <c r="AX264" s="32" t="str">
        <f t="shared" si="146"/>
        <v/>
      </c>
      <c r="AY264" s="32" t="str">
        <f t="shared" si="147"/>
        <v/>
      </c>
      <c r="BA264" s="32" t="str">
        <f>IF($A265="","",F264*Summary!$Q$11)</f>
        <v/>
      </c>
    </row>
    <row r="265" spans="1:53" ht="12" customHeight="1">
      <c r="A265" s="67" t="str">
        <f t="shared" si="148"/>
        <v/>
      </c>
      <c r="B265" s="69" t="str">
        <f t="shared" si="150"/>
        <v/>
      </c>
      <c r="C265" s="71"/>
      <c r="D265" s="69" t="str">
        <f t="shared" si="114"/>
        <v/>
      </c>
      <c r="E265" s="70" t="str">
        <f t="shared" si="115"/>
        <v/>
      </c>
      <c r="F265" s="70" t="str">
        <f t="shared" si="116"/>
        <v/>
      </c>
      <c r="G265" s="63" t="str">
        <f t="shared" si="117"/>
        <v/>
      </c>
      <c r="H265" s="64" t="str">
        <f t="shared" si="118"/>
        <v/>
      </c>
      <c r="I265" s="43"/>
      <c r="J265" s="63" t="str">
        <f t="shared" si="119"/>
        <v/>
      </c>
      <c r="K265" s="64" t="str">
        <f t="shared" si="120"/>
        <v/>
      </c>
      <c r="L265" s="63" t="str">
        <f t="shared" si="121"/>
        <v/>
      </c>
      <c r="M265" s="64" t="str">
        <f t="shared" si="122"/>
        <v/>
      </c>
      <c r="N265" s="65"/>
      <c r="O265" s="63" t="str">
        <f t="shared" si="123"/>
        <v/>
      </c>
      <c r="P265" s="63" t="str">
        <f t="shared" si="124"/>
        <v/>
      </c>
      <c r="Q265" s="66"/>
      <c r="R265" s="63" t="str">
        <f t="shared" si="125"/>
        <v/>
      </c>
      <c r="S265" s="64" t="str">
        <f t="shared" si="126"/>
        <v/>
      </c>
      <c r="T265" s="38">
        <v>0</v>
      </c>
      <c r="U265" s="64" t="str">
        <f t="shared" si="127"/>
        <v/>
      </c>
      <c r="V265" s="219" t="str">
        <f>IF($A266="","",IF(AND(MONTH(A265)&gt;3,MONTH(A265)&lt;11),(T265+R265+G265)*Summary!$T$11/(1-Summary!$T$11),(T265+R265+G265)*Summary!$U$11/(1-Summary!$U$11)))</f>
        <v/>
      </c>
      <c r="W265" s="43" t="str">
        <f t="shared" si="128"/>
        <v/>
      </c>
      <c r="X265" s="43" t="str">
        <f t="shared" si="129"/>
        <v/>
      </c>
      <c r="Y265" s="43"/>
      <c r="Z265" s="38" t="str">
        <f t="shared" si="130"/>
        <v/>
      </c>
      <c r="AA265" s="38" t="str">
        <f t="shared" si="131"/>
        <v/>
      </c>
      <c r="AB265" s="38" t="e">
        <f t="shared" si="132"/>
        <v>#VALUE!</v>
      </c>
      <c r="AC265" s="38" t="str">
        <f t="shared" si="133"/>
        <v/>
      </c>
      <c r="AD265" s="38" t="str">
        <f t="shared" si="133"/>
        <v/>
      </c>
      <c r="AE265" s="38" t="e">
        <f t="shared" si="134"/>
        <v>#VALUE!</v>
      </c>
      <c r="AF265" s="238" t="e">
        <f>((Summary!$N$11*(AA265*AD265)*(A265-$D$3))+(Summary!$M$11*Z265*AC265*(AJ265-EOMONTH(EDATE(A265,-1),0))))/(AK265*AB265*AE265)</f>
        <v>#VALUE!</v>
      </c>
      <c r="AG265" s="88" t="str">
        <f>IF($A266="","",Summary!$Q$11)</f>
        <v/>
      </c>
      <c r="AH265" s="88" t="str">
        <f>IF($A266="","",IF(Summary!$R$11="Y",(VLOOKUP($A265,Summary!$AD$6:$AF$9,3)+'Escalating commodity'!G278),'Escalating commodity'!G278))</f>
        <v/>
      </c>
      <c r="AI265" s="88" t="str">
        <f t="shared" si="149"/>
        <v/>
      </c>
      <c r="AJ265" s="236" t="e">
        <f t="shared" si="135"/>
        <v>#VALUE!</v>
      </c>
      <c r="AK265" s="58" t="str">
        <f t="shared" si="136"/>
        <v/>
      </c>
      <c r="AL265" s="26" t="str">
        <f>IF($A266="","",_xll.SPRDOPT(P265,X265,AI265,0,AB265,AE265,AF265,AK265,$AJ$2,0))</f>
        <v/>
      </c>
      <c r="AM265" s="209" t="str">
        <f t="shared" si="137"/>
        <v/>
      </c>
      <c r="AN265" s="89" t="str">
        <f t="shared" si="138"/>
        <v/>
      </c>
      <c r="AO265" s="3" t="str">
        <f t="shared" si="139"/>
        <v/>
      </c>
      <c r="AP265" s="33" t="str">
        <f t="shared" si="140"/>
        <v/>
      </c>
      <c r="AQ265" s="58" t="str">
        <f t="shared" si="141"/>
        <v/>
      </c>
      <c r="AR265" s="38">
        <f>'ANR OK vs ML7'!AR265</f>
        <v>0.1</v>
      </c>
      <c r="AS265" s="35" t="str">
        <f t="shared" si="142"/>
        <v/>
      </c>
      <c r="AT265" s="3" t="str">
        <f t="shared" si="143"/>
        <v/>
      </c>
      <c r="AU265" s="3" t="str">
        <f t="shared" si="144"/>
        <v/>
      </c>
      <c r="AW265" s="32" t="str">
        <f t="shared" si="145"/>
        <v/>
      </c>
      <c r="AX265" s="32" t="str">
        <f t="shared" si="146"/>
        <v/>
      </c>
      <c r="AY265" s="32" t="str">
        <f t="shared" si="147"/>
        <v/>
      </c>
      <c r="BA265" s="32" t="str">
        <f>IF($A266="","",F265*Summary!$Q$11)</f>
        <v/>
      </c>
    </row>
    <row r="266" spans="1:53" ht="12" customHeight="1">
      <c r="A266" s="67" t="str">
        <f t="shared" si="148"/>
        <v/>
      </c>
      <c r="B266" s="69" t="str">
        <f t="shared" si="150"/>
        <v/>
      </c>
      <c r="C266" s="71"/>
      <c r="D266" s="69" t="str">
        <f t="shared" ref="D266:D329" si="151">IF(A267&lt;&gt;"",B266+C266,"")</f>
        <v/>
      </c>
      <c r="E266" s="70" t="str">
        <f t="shared" ref="E266:E329" si="152">IF(A267="","",IF(AND(AT266=1,$H$3=1),D266*AO266,IF($H$3=2,D266,"N/A")))</f>
        <v/>
      </c>
      <c r="F266" s="70" t="str">
        <f t="shared" ref="F266:F329" si="153">IF(A267="","",E266*AS266)</f>
        <v/>
      </c>
      <c r="G266" s="63" t="str">
        <f t="shared" ref="G266:G329" si="154">IF($A267="","",VLOOKUP($A266,Table,MATCH(G$4,Curves,0)))</f>
        <v/>
      </c>
      <c r="H266" s="64" t="str">
        <f t="shared" ref="H266:H329" si="155">IF(A267="","",G266)</f>
        <v/>
      </c>
      <c r="I266" s="43"/>
      <c r="J266" s="63" t="str">
        <f t="shared" ref="J266:J329" si="156">IF($A267="","",VLOOKUP($A266,Table,MATCH(J$4,Curves,0)))</f>
        <v/>
      </c>
      <c r="K266" s="64" t="str">
        <f t="shared" ref="K266:K329" si="157">IF(A267="","",J266)</f>
        <v/>
      </c>
      <c r="L266" s="63" t="str">
        <f t="shared" ref="L266:L329" si="158">IF($A267="","",VLOOKUP($A266,Table,MATCH(L$4,Curves,0)))</f>
        <v/>
      </c>
      <c r="M266" s="64" t="str">
        <f t="shared" ref="M266:M329" si="159">IF(A267="","",L266)</f>
        <v/>
      </c>
      <c r="N266" s="65"/>
      <c r="O266" s="63" t="str">
        <f t="shared" ref="O266:O329" si="160">IF(A267="","",L266+J266+G266)</f>
        <v/>
      </c>
      <c r="P266" s="63" t="str">
        <f t="shared" ref="P266:P329" si="161">IF(A267="","",M266+K266+H266)</f>
        <v/>
      </c>
      <c r="Q266" s="66"/>
      <c r="R266" s="63" t="str">
        <f t="shared" ref="R266:R329" si="162">IF($A267="","",VLOOKUP($A266,Table,MATCH(R$4,Curves,0)))</f>
        <v/>
      </c>
      <c r="S266" s="64" t="str">
        <f t="shared" ref="S266:S329" si="163">IF(A267="","",R266)</f>
        <v/>
      </c>
      <c r="T266" s="38">
        <v>0</v>
      </c>
      <c r="U266" s="64" t="str">
        <f t="shared" ref="U266:U329" si="164">IF(A267="","",T266)</f>
        <v/>
      </c>
      <c r="V266" s="219" t="str">
        <f>IF($A267="","",IF(AND(MONTH(A266)&gt;3,MONTH(A266)&lt;11),(T266+R266+G266)*Summary!$T$11/(1-Summary!$T$11),(T266+R266+G266)*Summary!$U$11/(1-Summary!$U$11)))</f>
        <v/>
      </c>
      <c r="W266" s="43" t="str">
        <f t="shared" ref="W266:W329" si="165">IF($A267="","",(T266+R266+G266+V266))</f>
        <v/>
      </c>
      <c r="X266" s="43" t="str">
        <f t="shared" ref="X266:X329" si="166">IF($A267="","",(U266+S266+H266+V266))</f>
        <v/>
      </c>
      <c r="Y266" s="43"/>
      <c r="Z266" s="38" t="str">
        <f t="shared" ref="Z266:Z329" si="167">IF($A267="","",VLOOKUP($A266,Table,MATCH(Z$4,Curves,0)))</f>
        <v/>
      </c>
      <c r="AA266" s="38" t="str">
        <f t="shared" ref="AA266:AA329" si="168">IF($A267="","",VLOOKUP($A266,Table,MATCH(AA$4,Curves,0)))</f>
        <v/>
      </c>
      <c r="AB266" s="38" t="e">
        <f t="shared" ref="AB266:AB329" si="169">SQRT((AA266^2*(A266-$D$3)+Z266^2*(DAY(EOMONTH(A266,0))/2))/AK266)</f>
        <v>#VALUE!</v>
      </c>
      <c r="AC266" s="38" t="str">
        <f t="shared" ref="AC266:AD329" si="170">IF($A267="","",VLOOKUP($A266,Table,MATCH(AC$4,Curves,0)))</f>
        <v/>
      </c>
      <c r="AD266" s="38" t="str">
        <f t="shared" si="170"/>
        <v/>
      </c>
      <c r="AE266" s="38" t="e">
        <f t="shared" ref="AE266:AE329" si="171">SQRT((AD266^2*(A266-$D$3)+AC266^2*(DAY(EOMONTH(A266,0))/2))/AK266)</f>
        <v>#VALUE!</v>
      </c>
      <c r="AF266" s="238" t="e">
        <f>((Summary!$N$11*(AA266*AD266)*(A266-$D$3))+(Summary!$M$11*Z266*AC266*(AJ266-EOMONTH(EDATE(A266,-1),0))))/(AK266*AB266*AE266)</f>
        <v>#VALUE!</v>
      </c>
      <c r="AG266" s="88" t="str">
        <f>IF($A267="","",Summary!$Q$11)</f>
        <v/>
      </c>
      <c r="AH266" s="88" t="str">
        <f>IF($A267="","",IF(Summary!$R$11="Y",(VLOOKUP($A266,Summary!$AD$6:$AF$9,3)+'Escalating commodity'!G279),'Escalating commodity'!G279))</f>
        <v/>
      </c>
      <c r="AI266" s="88" t="str">
        <f t="shared" si="149"/>
        <v/>
      </c>
      <c r="AJ266" s="236" t="e">
        <f t="shared" ref="AJ266:AJ329" si="172">A266+DAY(EOMONTH(A266,0))/2-1</f>
        <v>#VALUE!</v>
      </c>
      <c r="AK266" s="58" t="str">
        <f t="shared" ref="AK266:AK329" si="173">IF($A267="","",$A266-$E$1)</f>
        <v/>
      </c>
      <c r="AL266" s="26" t="str">
        <f>IF($A267="","",_xll.SPRDOPT(P266,X266,AI266,0,AB266,AE266,AF266,AK266,$AJ$2,0))</f>
        <v/>
      </c>
      <c r="AM266" s="209" t="str">
        <f t="shared" ref="AM266:AM329" si="174">IF($A267="","",MAX(0,O266-W266-AI266))</f>
        <v/>
      </c>
      <c r="AN266" s="89" t="str">
        <f t="shared" ref="AN266:AN329" si="175">IF($A267="","",AL266-AM266)</f>
        <v/>
      </c>
      <c r="AO266" s="3" t="str">
        <f t="shared" ref="AO266:AO329" si="176">IF(A267="","",A267-A266)</f>
        <v/>
      </c>
      <c r="AP266" s="33" t="str">
        <f t="shared" ref="AP266:AP329" si="177">IF(A267="","",CHOOSE(F$3,A267+24,A266))</f>
        <v/>
      </c>
      <c r="AQ266" s="58" t="str">
        <f t="shared" ref="AQ266:AQ329" si="178">IF(A267="","",AP266-$E$1)</f>
        <v/>
      </c>
      <c r="AR266" s="38">
        <f>'ANR OK vs ML7'!AR266</f>
        <v>0.1</v>
      </c>
      <c r="AS266" s="35" t="str">
        <f t="shared" ref="AS266:AS329" si="179">IF(A267="","",1/(1+CHOOSE(F$3,(AR267+($I$3/10000))/2,(AR266+($I$3/10000))/2))^(2*AQ266/365.25))</f>
        <v/>
      </c>
      <c r="AT266" s="3" t="str">
        <f t="shared" ref="AT266:AT329" si="180">IF(A267="","",IF(AND(mthbeg&lt;=A266,mthend&gt;=A266),1,0))</f>
        <v/>
      </c>
      <c r="AU266" s="3" t="str">
        <f t="shared" ref="AU266:AU329" si="181">IF(A267="","",AO266*AT266)</f>
        <v/>
      </c>
      <c r="AW266" s="32" t="str">
        <f t="shared" ref="AW266:AW329" si="182">IF($A267="","",AL266*$E266)</f>
        <v/>
      </c>
      <c r="AX266" s="32" t="str">
        <f t="shared" ref="AX266:AX329" si="183">IF($A267="","",AM266*$E266)</f>
        <v/>
      </c>
      <c r="AY266" s="32" t="str">
        <f t="shared" ref="AY266:AY329" si="184">IF($A267="","",AN266*$E266)</f>
        <v/>
      </c>
      <c r="BA266" s="32" t="str">
        <f>IF($A267="","",F266*Summary!$Q$11)</f>
        <v/>
      </c>
    </row>
    <row r="267" spans="1:53" ht="12" customHeight="1">
      <c r="A267" s="67" t="str">
        <f t="shared" ref="A267:A330" si="185">IF(A266&lt;mthend,EDATE(A266,1),"")</f>
        <v/>
      </c>
      <c r="B267" s="69" t="str">
        <f t="shared" si="150"/>
        <v/>
      </c>
      <c r="C267" s="71"/>
      <c r="D267" s="69" t="str">
        <f t="shared" si="151"/>
        <v/>
      </c>
      <c r="E267" s="70" t="str">
        <f t="shared" si="152"/>
        <v/>
      </c>
      <c r="F267" s="70" t="str">
        <f t="shared" si="153"/>
        <v/>
      </c>
      <c r="G267" s="63" t="str">
        <f t="shared" si="154"/>
        <v/>
      </c>
      <c r="H267" s="64" t="str">
        <f t="shared" si="155"/>
        <v/>
      </c>
      <c r="I267" s="43"/>
      <c r="J267" s="63" t="str">
        <f t="shared" si="156"/>
        <v/>
      </c>
      <c r="K267" s="64" t="str">
        <f t="shared" si="157"/>
        <v/>
      </c>
      <c r="L267" s="63" t="str">
        <f t="shared" si="158"/>
        <v/>
      </c>
      <c r="M267" s="64" t="str">
        <f t="shared" si="159"/>
        <v/>
      </c>
      <c r="N267" s="65"/>
      <c r="O267" s="63" t="str">
        <f t="shared" si="160"/>
        <v/>
      </c>
      <c r="P267" s="63" t="str">
        <f t="shared" si="161"/>
        <v/>
      </c>
      <c r="Q267" s="66"/>
      <c r="R267" s="63" t="str">
        <f t="shared" si="162"/>
        <v/>
      </c>
      <c r="S267" s="64" t="str">
        <f t="shared" si="163"/>
        <v/>
      </c>
      <c r="T267" s="38">
        <v>0</v>
      </c>
      <c r="U267" s="64" t="str">
        <f t="shared" si="164"/>
        <v/>
      </c>
      <c r="V267" s="219" t="str">
        <f>IF($A268="","",IF(AND(MONTH(A267)&gt;3,MONTH(A267)&lt;11),(T267+R267+G267)*Summary!$T$11/(1-Summary!$T$11),(T267+R267+G267)*Summary!$U$11/(1-Summary!$U$11)))</f>
        <v/>
      </c>
      <c r="W267" s="43" t="str">
        <f t="shared" si="165"/>
        <v/>
      </c>
      <c r="X267" s="43" t="str">
        <f t="shared" si="166"/>
        <v/>
      </c>
      <c r="Y267" s="43"/>
      <c r="Z267" s="38" t="str">
        <f t="shared" si="167"/>
        <v/>
      </c>
      <c r="AA267" s="38" t="str">
        <f t="shared" si="168"/>
        <v/>
      </c>
      <c r="AB267" s="38" t="e">
        <f t="shared" si="169"/>
        <v>#VALUE!</v>
      </c>
      <c r="AC267" s="38" t="str">
        <f t="shared" si="170"/>
        <v/>
      </c>
      <c r="AD267" s="38" t="str">
        <f t="shared" si="170"/>
        <v/>
      </c>
      <c r="AE267" s="38" t="e">
        <f t="shared" si="171"/>
        <v>#VALUE!</v>
      </c>
      <c r="AF267" s="238" t="e">
        <f>((Summary!$N$11*(AA267*AD267)*(A267-$D$3))+(Summary!$M$11*Z267*AC267*(AJ267-EOMONTH(EDATE(A267,-1),0))))/(AK267*AB267*AE267)</f>
        <v>#VALUE!</v>
      </c>
      <c r="AG267" s="88" t="str">
        <f>IF($A268="","",Summary!$Q$11)</f>
        <v/>
      </c>
      <c r="AH267" s="88" t="str">
        <f>IF($A268="","",IF(Summary!$R$11="Y",(VLOOKUP($A267,Summary!$AD$6:$AF$9,3)+'Escalating commodity'!G280),'Escalating commodity'!G280))</f>
        <v/>
      </c>
      <c r="AI267" s="88" t="str">
        <f t="shared" ref="AI267:AI330" si="186">IF($A268="","",AH267)</f>
        <v/>
      </c>
      <c r="AJ267" s="236" t="e">
        <f t="shared" si="172"/>
        <v>#VALUE!</v>
      </c>
      <c r="AK267" s="58" t="str">
        <f t="shared" si="173"/>
        <v/>
      </c>
      <c r="AL267" s="26" t="str">
        <f>IF($A268="","",_xll.SPRDOPT(P267,X267,AI267,0,AB267,AE267,AF267,AK267,$AJ$2,0))</f>
        <v/>
      </c>
      <c r="AM267" s="209" t="str">
        <f t="shared" si="174"/>
        <v/>
      </c>
      <c r="AN267" s="89" t="str">
        <f t="shared" si="175"/>
        <v/>
      </c>
      <c r="AO267" s="3" t="str">
        <f t="shared" si="176"/>
        <v/>
      </c>
      <c r="AP267" s="33" t="str">
        <f t="shared" si="177"/>
        <v/>
      </c>
      <c r="AQ267" s="58" t="str">
        <f t="shared" si="178"/>
        <v/>
      </c>
      <c r="AR267" s="38">
        <f>'ANR OK vs ML7'!AR267</f>
        <v>0.1</v>
      </c>
      <c r="AS267" s="35" t="str">
        <f t="shared" si="179"/>
        <v/>
      </c>
      <c r="AT267" s="3" t="str">
        <f t="shared" si="180"/>
        <v/>
      </c>
      <c r="AU267" s="3" t="str">
        <f t="shared" si="181"/>
        <v/>
      </c>
      <c r="AW267" s="32" t="str">
        <f t="shared" si="182"/>
        <v/>
      </c>
      <c r="AX267" s="32" t="str">
        <f t="shared" si="183"/>
        <v/>
      </c>
      <c r="AY267" s="32" t="str">
        <f t="shared" si="184"/>
        <v/>
      </c>
      <c r="BA267" s="32" t="str">
        <f>IF($A268="","",F267*Summary!$Q$11)</f>
        <v/>
      </c>
    </row>
    <row r="268" spans="1:53" ht="12" customHeight="1">
      <c r="A268" s="67" t="str">
        <f t="shared" si="185"/>
        <v/>
      </c>
      <c r="B268" s="69" t="str">
        <f t="shared" ref="B268:B331" si="187">IF(A268&lt;mthend,B267,"")</f>
        <v/>
      </c>
      <c r="C268" s="71"/>
      <c r="D268" s="69" t="str">
        <f t="shared" si="151"/>
        <v/>
      </c>
      <c r="E268" s="70" t="str">
        <f t="shared" si="152"/>
        <v/>
      </c>
      <c r="F268" s="70" t="str">
        <f t="shared" si="153"/>
        <v/>
      </c>
      <c r="G268" s="63" t="str">
        <f t="shared" si="154"/>
        <v/>
      </c>
      <c r="H268" s="64" t="str">
        <f t="shared" si="155"/>
        <v/>
      </c>
      <c r="I268" s="43"/>
      <c r="J268" s="63" t="str">
        <f t="shared" si="156"/>
        <v/>
      </c>
      <c r="K268" s="64" t="str">
        <f t="shared" si="157"/>
        <v/>
      </c>
      <c r="L268" s="63" t="str">
        <f t="shared" si="158"/>
        <v/>
      </c>
      <c r="M268" s="64" t="str">
        <f t="shared" si="159"/>
        <v/>
      </c>
      <c r="N268" s="65"/>
      <c r="O268" s="63" t="str">
        <f t="shared" si="160"/>
        <v/>
      </c>
      <c r="P268" s="63" t="str">
        <f t="shared" si="161"/>
        <v/>
      </c>
      <c r="Q268" s="66"/>
      <c r="R268" s="63" t="str">
        <f t="shared" si="162"/>
        <v/>
      </c>
      <c r="S268" s="64" t="str">
        <f t="shared" si="163"/>
        <v/>
      </c>
      <c r="T268" s="38">
        <v>0</v>
      </c>
      <c r="U268" s="64" t="str">
        <f t="shared" si="164"/>
        <v/>
      </c>
      <c r="V268" s="219" t="str">
        <f>IF($A269="","",IF(AND(MONTH(A268)&gt;3,MONTH(A268)&lt;11),(T268+R268+G268)*Summary!$T$11/(1-Summary!$T$11),(T268+R268+G268)*Summary!$U$11/(1-Summary!$U$11)))</f>
        <v/>
      </c>
      <c r="W268" s="43" t="str">
        <f t="shared" si="165"/>
        <v/>
      </c>
      <c r="X268" s="43" t="str">
        <f t="shared" si="166"/>
        <v/>
      </c>
      <c r="Y268" s="43"/>
      <c r="Z268" s="38" t="str">
        <f t="shared" si="167"/>
        <v/>
      </c>
      <c r="AA268" s="38" t="str">
        <f t="shared" si="168"/>
        <v/>
      </c>
      <c r="AB268" s="38" t="e">
        <f t="shared" si="169"/>
        <v>#VALUE!</v>
      </c>
      <c r="AC268" s="38" t="str">
        <f t="shared" si="170"/>
        <v/>
      </c>
      <c r="AD268" s="38" t="str">
        <f t="shared" si="170"/>
        <v/>
      </c>
      <c r="AE268" s="38" t="e">
        <f t="shared" si="171"/>
        <v>#VALUE!</v>
      </c>
      <c r="AF268" s="238" t="e">
        <f>((Summary!$N$11*(AA268*AD268)*(A268-$D$3))+(Summary!$M$11*Z268*AC268*(AJ268-EOMONTH(EDATE(A268,-1),0))))/(AK268*AB268*AE268)</f>
        <v>#VALUE!</v>
      </c>
      <c r="AG268" s="88" t="str">
        <f>IF($A269="","",Summary!$Q$11)</f>
        <v/>
      </c>
      <c r="AH268" s="88" t="str">
        <f>IF($A269="","",IF(Summary!$R$11="Y",(VLOOKUP($A268,Summary!$AD$6:$AF$9,3)+'Escalating commodity'!G281),'Escalating commodity'!G281))</f>
        <v/>
      </c>
      <c r="AI268" s="88" t="str">
        <f t="shared" si="186"/>
        <v/>
      </c>
      <c r="AJ268" s="236" t="e">
        <f t="shared" si="172"/>
        <v>#VALUE!</v>
      </c>
      <c r="AK268" s="58" t="str">
        <f t="shared" si="173"/>
        <v/>
      </c>
      <c r="AL268" s="26" t="str">
        <f>IF($A269="","",_xll.SPRDOPT(P268,X268,AI268,0,AB268,AE268,AF268,AK268,$AJ$2,0))</f>
        <v/>
      </c>
      <c r="AM268" s="209" t="str">
        <f t="shared" si="174"/>
        <v/>
      </c>
      <c r="AN268" s="89" t="str">
        <f t="shared" si="175"/>
        <v/>
      </c>
      <c r="AO268" s="3" t="str">
        <f t="shared" si="176"/>
        <v/>
      </c>
      <c r="AP268" s="33" t="str">
        <f t="shared" si="177"/>
        <v/>
      </c>
      <c r="AQ268" s="58" t="str">
        <f t="shared" si="178"/>
        <v/>
      </c>
      <c r="AR268" s="38">
        <f>'ANR OK vs ML7'!AR268</f>
        <v>0.1</v>
      </c>
      <c r="AS268" s="35" t="str">
        <f t="shared" si="179"/>
        <v/>
      </c>
      <c r="AT268" s="3" t="str">
        <f t="shared" si="180"/>
        <v/>
      </c>
      <c r="AU268" s="3" t="str">
        <f t="shared" si="181"/>
        <v/>
      </c>
      <c r="AW268" s="32" t="str">
        <f t="shared" si="182"/>
        <v/>
      </c>
      <c r="AX268" s="32" t="str">
        <f t="shared" si="183"/>
        <v/>
      </c>
      <c r="AY268" s="32" t="str">
        <f t="shared" si="184"/>
        <v/>
      </c>
      <c r="BA268" s="32" t="str">
        <f>IF($A269="","",F268*Summary!$Q$11)</f>
        <v/>
      </c>
    </row>
    <row r="269" spans="1:53" ht="12" customHeight="1">
      <c r="A269" s="67" t="str">
        <f t="shared" si="185"/>
        <v/>
      </c>
      <c r="B269" s="69" t="str">
        <f t="shared" si="187"/>
        <v/>
      </c>
      <c r="C269" s="71"/>
      <c r="D269" s="69" t="str">
        <f t="shared" si="151"/>
        <v/>
      </c>
      <c r="E269" s="70" t="str">
        <f t="shared" si="152"/>
        <v/>
      </c>
      <c r="F269" s="70" t="str">
        <f t="shared" si="153"/>
        <v/>
      </c>
      <c r="G269" s="63" t="str">
        <f t="shared" si="154"/>
        <v/>
      </c>
      <c r="H269" s="64" t="str">
        <f t="shared" si="155"/>
        <v/>
      </c>
      <c r="I269" s="43"/>
      <c r="J269" s="63" t="str">
        <f t="shared" si="156"/>
        <v/>
      </c>
      <c r="K269" s="64" t="str">
        <f t="shared" si="157"/>
        <v/>
      </c>
      <c r="L269" s="63" t="str">
        <f t="shared" si="158"/>
        <v/>
      </c>
      <c r="M269" s="64" t="str">
        <f t="shared" si="159"/>
        <v/>
      </c>
      <c r="N269" s="65"/>
      <c r="O269" s="63" t="str">
        <f t="shared" si="160"/>
        <v/>
      </c>
      <c r="P269" s="63" t="str">
        <f t="shared" si="161"/>
        <v/>
      </c>
      <c r="Q269" s="66"/>
      <c r="R269" s="63" t="str">
        <f t="shared" si="162"/>
        <v/>
      </c>
      <c r="S269" s="64" t="str">
        <f t="shared" si="163"/>
        <v/>
      </c>
      <c r="T269" s="38">
        <v>0</v>
      </c>
      <c r="U269" s="64" t="str">
        <f t="shared" si="164"/>
        <v/>
      </c>
      <c r="V269" s="219" t="str">
        <f>IF($A270="","",IF(AND(MONTH(A269)&gt;3,MONTH(A269)&lt;11),(T269+R269+G269)*Summary!$T$11/(1-Summary!$T$11),(T269+R269+G269)*Summary!$U$11/(1-Summary!$U$11)))</f>
        <v/>
      </c>
      <c r="W269" s="43" t="str">
        <f t="shared" si="165"/>
        <v/>
      </c>
      <c r="X269" s="43" t="str">
        <f t="shared" si="166"/>
        <v/>
      </c>
      <c r="Y269" s="43"/>
      <c r="Z269" s="38" t="str">
        <f t="shared" si="167"/>
        <v/>
      </c>
      <c r="AA269" s="38" t="str">
        <f t="shared" si="168"/>
        <v/>
      </c>
      <c r="AB269" s="38" t="e">
        <f t="shared" si="169"/>
        <v>#VALUE!</v>
      </c>
      <c r="AC269" s="38" t="str">
        <f t="shared" si="170"/>
        <v/>
      </c>
      <c r="AD269" s="38" t="str">
        <f t="shared" si="170"/>
        <v/>
      </c>
      <c r="AE269" s="38" t="e">
        <f t="shared" si="171"/>
        <v>#VALUE!</v>
      </c>
      <c r="AF269" s="238" t="e">
        <f>((Summary!$N$11*(AA269*AD269)*(A269-$D$3))+(Summary!$M$11*Z269*AC269*(AJ269-EOMONTH(EDATE(A269,-1),0))))/(AK269*AB269*AE269)</f>
        <v>#VALUE!</v>
      </c>
      <c r="AG269" s="88" t="str">
        <f>IF($A270="","",Summary!$Q$11)</f>
        <v/>
      </c>
      <c r="AH269" s="88" t="str">
        <f>IF($A270="","",IF(Summary!$R$11="Y",(VLOOKUP($A269,Summary!$AD$6:$AF$9,3)+'Escalating commodity'!G282),'Escalating commodity'!G282))</f>
        <v/>
      </c>
      <c r="AI269" s="88" t="str">
        <f t="shared" si="186"/>
        <v/>
      </c>
      <c r="AJ269" s="236" t="e">
        <f t="shared" si="172"/>
        <v>#VALUE!</v>
      </c>
      <c r="AK269" s="58" t="str">
        <f t="shared" si="173"/>
        <v/>
      </c>
      <c r="AL269" s="26" t="str">
        <f>IF($A270="","",_xll.SPRDOPT(P269,X269,AI269,0,AB269,AE269,AF269,AK269,$AJ$2,0))</f>
        <v/>
      </c>
      <c r="AM269" s="209" t="str">
        <f t="shared" si="174"/>
        <v/>
      </c>
      <c r="AN269" s="89" t="str">
        <f t="shared" si="175"/>
        <v/>
      </c>
      <c r="AO269" s="3" t="str">
        <f t="shared" si="176"/>
        <v/>
      </c>
      <c r="AP269" s="33" t="str">
        <f t="shared" si="177"/>
        <v/>
      </c>
      <c r="AQ269" s="58" t="str">
        <f t="shared" si="178"/>
        <v/>
      </c>
      <c r="AR269" s="38">
        <f>'ANR OK vs ML7'!AR269</f>
        <v>0.1</v>
      </c>
      <c r="AS269" s="35" t="str">
        <f t="shared" si="179"/>
        <v/>
      </c>
      <c r="AT269" s="3" t="str">
        <f t="shared" si="180"/>
        <v/>
      </c>
      <c r="AU269" s="3" t="str">
        <f t="shared" si="181"/>
        <v/>
      </c>
      <c r="AW269" s="32" t="str">
        <f t="shared" si="182"/>
        <v/>
      </c>
      <c r="AX269" s="32" t="str">
        <f t="shared" si="183"/>
        <v/>
      </c>
      <c r="AY269" s="32" t="str">
        <f t="shared" si="184"/>
        <v/>
      </c>
      <c r="BA269" s="32" t="str">
        <f>IF($A270="","",F269*Summary!$Q$11)</f>
        <v/>
      </c>
    </row>
    <row r="270" spans="1:53" ht="12" customHeight="1">
      <c r="A270" s="67" t="str">
        <f t="shared" si="185"/>
        <v/>
      </c>
      <c r="B270" s="69" t="str">
        <f t="shared" si="187"/>
        <v/>
      </c>
      <c r="C270" s="71"/>
      <c r="D270" s="69" t="str">
        <f t="shared" si="151"/>
        <v/>
      </c>
      <c r="E270" s="70" t="str">
        <f t="shared" si="152"/>
        <v/>
      </c>
      <c r="F270" s="70" t="str">
        <f t="shared" si="153"/>
        <v/>
      </c>
      <c r="G270" s="63" t="str">
        <f t="shared" si="154"/>
        <v/>
      </c>
      <c r="H270" s="64" t="str">
        <f t="shared" si="155"/>
        <v/>
      </c>
      <c r="I270" s="43"/>
      <c r="J270" s="63" t="str">
        <f t="shared" si="156"/>
        <v/>
      </c>
      <c r="K270" s="64" t="str">
        <f t="shared" si="157"/>
        <v/>
      </c>
      <c r="L270" s="63" t="str">
        <f t="shared" si="158"/>
        <v/>
      </c>
      <c r="M270" s="64" t="str">
        <f t="shared" si="159"/>
        <v/>
      </c>
      <c r="N270" s="65"/>
      <c r="O270" s="63" t="str">
        <f t="shared" si="160"/>
        <v/>
      </c>
      <c r="P270" s="63" t="str">
        <f t="shared" si="161"/>
        <v/>
      </c>
      <c r="Q270" s="66"/>
      <c r="R270" s="63" t="str">
        <f t="shared" si="162"/>
        <v/>
      </c>
      <c r="S270" s="64" t="str">
        <f t="shared" si="163"/>
        <v/>
      </c>
      <c r="T270" s="38">
        <v>0</v>
      </c>
      <c r="U270" s="64" t="str">
        <f t="shared" si="164"/>
        <v/>
      </c>
      <c r="V270" s="219" t="str">
        <f>IF($A271="","",IF(AND(MONTH(A270)&gt;3,MONTH(A270)&lt;11),(T270+R270+G270)*Summary!$T$11/(1-Summary!$T$11),(T270+R270+G270)*Summary!$U$11/(1-Summary!$U$11)))</f>
        <v/>
      </c>
      <c r="W270" s="43" t="str">
        <f t="shared" si="165"/>
        <v/>
      </c>
      <c r="X270" s="43" t="str">
        <f t="shared" si="166"/>
        <v/>
      </c>
      <c r="Y270" s="43"/>
      <c r="Z270" s="38" t="str">
        <f t="shared" si="167"/>
        <v/>
      </c>
      <c r="AA270" s="38" t="str">
        <f t="shared" si="168"/>
        <v/>
      </c>
      <c r="AB270" s="38" t="e">
        <f t="shared" si="169"/>
        <v>#VALUE!</v>
      </c>
      <c r="AC270" s="38" t="str">
        <f t="shared" si="170"/>
        <v/>
      </c>
      <c r="AD270" s="38" t="str">
        <f t="shared" si="170"/>
        <v/>
      </c>
      <c r="AE270" s="38" t="e">
        <f t="shared" si="171"/>
        <v>#VALUE!</v>
      </c>
      <c r="AF270" s="238" t="e">
        <f>((Summary!$N$11*(AA270*AD270)*(A270-$D$3))+(Summary!$M$11*Z270*AC270*(AJ270-EOMONTH(EDATE(A270,-1),0))))/(AK270*AB270*AE270)</f>
        <v>#VALUE!</v>
      </c>
      <c r="AG270" s="88" t="str">
        <f>IF($A271="","",Summary!$Q$11)</f>
        <v/>
      </c>
      <c r="AH270" s="88" t="str">
        <f>IF($A271="","",IF(Summary!$R$11="Y",(VLOOKUP($A270,Summary!$AD$6:$AF$9,3)+'Escalating commodity'!G283),'Escalating commodity'!G283))</f>
        <v/>
      </c>
      <c r="AI270" s="88" t="str">
        <f t="shared" si="186"/>
        <v/>
      </c>
      <c r="AJ270" s="236" t="e">
        <f t="shared" si="172"/>
        <v>#VALUE!</v>
      </c>
      <c r="AK270" s="58" t="str">
        <f t="shared" si="173"/>
        <v/>
      </c>
      <c r="AL270" s="26" t="str">
        <f>IF($A271="","",_xll.SPRDOPT(P270,X270,AI270,0,AB270,AE270,AF270,AK270,$AJ$2,0))</f>
        <v/>
      </c>
      <c r="AM270" s="209" t="str">
        <f t="shared" si="174"/>
        <v/>
      </c>
      <c r="AN270" s="89" t="str">
        <f t="shared" si="175"/>
        <v/>
      </c>
      <c r="AO270" s="3" t="str">
        <f t="shared" si="176"/>
        <v/>
      </c>
      <c r="AP270" s="33" t="str">
        <f t="shared" si="177"/>
        <v/>
      </c>
      <c r="AQ270" s="58" t="str">
        <f t="shared" si="178"/>
        <v/>
      </c>
      <c r="AR270" s="38">
        <f>'ANR OK vs ML7'!AR270</f>
        <v>0.1</v>
      </c>
      <c r="AS270" s="35" t="str">
        <f t="shared" si="179"/>
        <v/>
      </c>
      <c r="AT270" s="3" t="str">
        <f t="shared" si="180"/>
        <v/>
      </c>
      <c r="AU270" s="3" t="str">
        <f t="shared" si="181"/>
        <v/>
      </c>
      <c r="AW270" s="32" t="str">
        <f t="shared" si="182"/>
        <v/>
      </c>
      <c r="AX270" s="32" t="str">
        <f t="shared" si="183"/>
        <v/>
      </c>
      <c r="AY270" s="32" t="str">
        <f t="shared" si="184"/>
        <v/>
      </c>
      <c r="BA270" s="32" t="str">
        <f>IF($A271="","",F270*Summary!$Q$11)</f>
        <v/>
      </c>
    </row>
    <row r="271" spans="1:53" ht="12" customHeight="1">
      <c r="A271" s="67" t="str">
        <f t="shared" si="185"/>
        <v/>
      </c>
      <c r="B271" s="69" t="str">
        <f t="shared" si="187"/>
        <v/>
      </c>
      <c r="C271" s="71"/>
      <c r="D271" s="69" t="str">
        <f t="shared" si="151"/>
        <v/>
      </c>
      <c r="E271" s="70" t="str">
        <f t="shared" si="152"/>
        <v/>
      </c>
      <c r="F271" s="70" t="str">
        <f t="shared" si="153"/>
        <v/>
      </c>
      <c r="G271" s="63" t="str">
        <f t="shared" si="154"/>
        <v/>
      </c>
      <c r="H271" s="64" t="str">
        <f t="shared" si="155"/>
        <v/>
      </c>
      <c r="I271" s="43"/>
      <c r="J271" s="63" t="str">
        <f t="shared" si="156"/>
        <v/>
      </c>
      <c r="K271" s="64" t="str">
        <f t="shared" si="157"/>
        <v/>
      </c>
      <c r="L271" s="63" t="str">
        <f t="shared" si="158"/>
        <v/>
      </c>
      <c r="M271" s="64" t="str">
        <f t="shared" si="159"/>
        <v/>
      </c>
      <c r="N271" s="65"/>
      <c r="O271" s="63" t="str">
        <f t="shared" si="160"/>
        <v/>
      </c>
      <c r="P271" s="63" t="str">
        <f t="shared" si="161"/>
        <v/>
      </c>
      <c r="Q271" s="66"/>
      <c r="R271" s="63" t="str">
        <f t="shared" si="162"/>
        <v/>
      </c>
      <c r="S271" s="64" t="str">
        <f t="shared" si="163"/>
        <v/>
      </c>
      <c r="T271" s="38">
        <v>0</v>
      </c>
      <c r="U271" s="64" t="str">
        <f t="shared" si="164"/>
        <v/>
      </c>
      <c r="V271" s="219" t="str">
        <f>IF($A272="","",IF(AND(MONTH(A271)&gt;3,MONTH(A271)&lt;11),(T271+R271+G271)*Summary!$T$11/(1-Summary!$T$11),(T271+R271+G271)*Summary!$U$11/(1-Summary!$U$11)))</f>
        <v/>
      </c>
      <c r="W271" s="43" t="str">
        <f t="shared" si="165"/>
        <v/>
      </c>
      <c r="X271" s="43" t="str">
        <f t="shared" si="166"/>
        <v/>
      </c>
      <c r="Y271" s="43"/>
      <c r="Z271" s="38" t="str">
        <f t="shared" si="167"/>
        <v/>
      </c>
      <c r="AA271" s="38" t="str">
        <f t="shared" si="168"/>
        <v/>
      </c>
      <c r="AB271" s="38" t="e">
        <f t="shared" si="169"/>
        <v>#VALUE!</v>
      </c>
      <c r="AC271" s="38" t="str">
        <f t="shared" si="170"/>
        <v/>
      </c>
      <c r="AD271" s="38" t="str">
        <f t="shared" si="170"/>
        <v/>
      </c>
      <c r="AE271" s="38" t="e">
        <f t="shared" si="171"/>
        <v>#VALUE!</v>
      </c>
      <c r="AF271" s="238" t="e">
        <f>((Summary!$N$11*(AA271*AD271)*(A271-$D$3))+(Summary!$M$11*Z271*AC271*(AJ271-EOMONTH(EDATE(A271,-1),0))))/(AK271*AB271*AE271)</f>
        <v>#VALUE!</v>
      </c>
      <c r="AG271" s="88" t="str">
        <f>IF($A272="","",Summary!$Q$11)</f>
        <v/>
      </c>
      <c r="AH271" s="88" t="str">
        <f>IF($A272="","",IF(Summary!$R$11="Y",(VLOOKUP($A271,Summary!$AD$6:$AF$9,3)+'Escalating commodity'!G284),'Escalating commodity'!G284))</f>
        <v/>
      </c>
      <c r="AI271" s="88" t="str">
        <f t="shared" si="186"/>
        <v/>
      </c>
      <c r="AJ271" s="236" t="e">
        <f t="shared" si="172"/>
        <v>#VALUE!</v>
      </c>
      <c r="AK271" s="58" t="str">
        <f t="shared" si="173"/>
        <v/>
      </c>
      <c r="AL271" s="26" t="str">
        <f>IF($A272="","",_xll.SPRDOPT(P271,X271,AI271,0,AB271,AE271,AF271,AK271,$AJ$2,0))</f>
        <v/>
      </c>
      <c r="AM271" s="209" t="str">
        <f t="shared" si="174"/>
        <v/>
      </c>
      <c r="AN271" s="89" t="str">
        <f t="shared" si="175"/>
        <v/>
      </c>
      <c r="AO271" s="3" t="str">
        <f t="shared" si="176"/>
        <v/>
      </c>
      <c r="AP271" s="33" t="str">
        <f t="shared" si="177"/>
        <v/>
      </c>
      <c r="AQ271" s="58" t="str">
        <f t="shared" si="178"/>
        <v/>
      </c>
      <c r="AR271" s="38">
        <f>'ANR OK vs ML7'!AR271</f>
        <v>0.1</v>
      </c>
      <c r="AS271" s="35" t="str">
        <f t="shared" si="179"/>
        <v/>
      </c>
      <c r="AT271" s="3" t="str">
        <f t="shared" si="180"/>
        <v/>
      </c>
      <c r="AU271" s="3" t="str">
        <f t="shared" si="181"/>
        <v/>
      </c>
      <c r="AW271" s="32" t="str">
        <f t="shared" si="182"/>
        <v/>
      </c>
      <c r="AX271" s="32" t="str">
        <f t="shared" si="183"/>
        <v/>
      </c>
      <c r="AY271" s="32" t="str">
        <f t="shared" si="184"/>
        <v/>
      </c>
      <c r="BA271" s="32" t="str">
        <f>IF($A272="","",F271*Summary!$Q$11)</f>
        <v/>
      </c>
    </row>
    <row r="272" spans="1:53" ht="12" customHeight="1">
      <c r="A272" s="67" t="str">
        <f t="shared" si="185"/>
        <v/>
      </c>
      <c r="B272" s="69" t="str">
        <f t="shared" si="187"/>
        <v/>
      </c>
      <c r="C272" s="71"/>
      <c r="D272" s="69" t="str">
        <f t="shared" si="151"/>
        <v/>
      </c>
      <c r="E272" s="70" t="str">
        <f t="shared" si="152"/>
        <v/>
      </c>
      <c r="F272" s="70" t="str">
        <f t="shared" si="153"/>
        <v/>
      </c>
      <c r="G272" s="63" t="str">
        <f t="shared" si="154"/>
        <v/>
      </c>
      <c r="H272" s="64" t="str">
        <f t="shared" si="155"/>
        <v/>
      </c>
      <c r="I272" s="43"/>
      <c r="J272" s="63" t="str">
        <f t="shared" si="156"/>
        <v/>
      </c>
      <c r="K272" s="64" t="str">
        <f t="shared" si="157"/>
        <v/>
      </c>
      <c r="L272" s="63" t="str">
        <f t="shared" si="158"/>
        <v/>
      </c>
      <c r="M272" s="64" t="str">
        <f t="shared" si="159"/>
        <v/>
      </c>
      <c r="N272" s="65"/>
      <c r="O272" s="63" t="str">
        <f t="shared" si="160"/>
        <v/>
      </c>
      <c r="P272" s="63" t="str">
        <f t="shared" si="161"/>
        <v/>
      </c>
      <c r="Q272" s="66"/>
      <c r="R272" s="63" t="str">
        <f t="shared" si="162"/>
        <v/>
      </c>
      <c r="S272" s="64" t="str">
        <f t="shared" si="163"/>
        <v/>
      </c>
      <c r="T272" s="38">
        <v>0</v>
      </c>
      <c r="U272" s="64" t="str">
        <f t="shared" si="164"/>
        <v/>
      </c>
      <c r="V272" s="219" t="str">
        <f>IF($A273="","",IF(AND(MONTH(A272)&gt;3,MONTH(A272)&lt;11),(T272+R272+G272)*Summary!$T$11/(1-Summary!$T$11),(T272+R272+G272)*Summary!$U$11/(1-Summary!$U$11)))</f>
        <v/>
      </c>
      <c r="W272" s="43" t="str">
        <f t="shared" si="165"/>
        <v/>
      </c>
      <c r="X272" s="43" t="str">
        <f t="shared" si="166"/>
        <v/>
      </c>
      <c r="Y272" s="43"/>
      <c r="Z272" s="38" t="str">
        <f t="shared" si="167"/>
        <v/>
      </c>
      <c r="AA272" s="38" t="str">
        <f t="shared" si="168"/>
        <v/>
      </c>
      <c r="AB272" s="38" t="e">
        <f t="shared" si="169"/>
        <v>#VALUE!</v>
      </c>
      <c r="AC272" s="38" t="str">
        <f t="shared" si="170"/>
        <v/>
      </c>
      <c r="AD272" s="38" t="str">
        <f t="shared" si="170"/>
        <v/>
      </c>
      <c r="AE272" s="38" t="e">
        <f t="shared" si="171"/>
        <v>#VALUE!</v>
      </c>
      <c r="AF272" s="238" t="e">
        <f>((Summary!$N$11*(AA272*AD272)*(A272-$D$3))+(Summary!$M$11*Z272*AC272*(AJ272-EOMONTH(EDATE(A272,-1),0))))/(AK272*AB272*AE272)</f>
        <v>#VALUE!</v>
      </c>
      <c r="AG272" s="88" t="str">
        <f>IF($A273="","",Summary!$Q$11)</f>
        <v/>
      </c>
      <c r="AH272" s="88" t="str">
        <f>IF($A273="","",IF(Summary!$R$11="Y",(VLOOKUP($A272,Summary!$AD$6:$AF$9,3)+'Escalating commodity'!G285),'Escalating commodity'!G285))</f>
        <v/>
      </c>
      <c r="AI272" s="88" t="str">
        <f t="shared" si="186"/>
        <v/>
      </c>
      <c r="AJ272" s="236" t="e">
        <f t="shared" si="172"/>
        <v>#VALUE!</v>
      </c>
      <c r="AK272" s="58" t="str">
        <f t="shared" si="173"/>
        <v/>
      </c>
      <c r="AL272" s="26" t="str">
        <f>IF($A273="","",_xll.SPRDOPT(P272,X272,AI272,0,AB272,AE272,AF272,AK272,$AJ$2,0))</f>
        <v/>
      </c>
      <c r="AM272" s="209" t="str">
        <f t="shared" si="174"/>
        <v/>
      </c>
      <c r="AN272" s="89" t="str">
        <f t="shared" si="175"/>
        <v/>
      </c>
      <c r="AO272" s="3" t="str">
        <f t="shared" si="176"/>
        <v/>
      </c>
      <c r="AP272" s="33" t="str">
        <f t="shared" si="177"/>
        <v/>
      </c>
      <c r="AQ272" s="58" t="str">
        <f t="shared" si="178"/>
        <v/>
      </c>
      <c r="AR272" s="38">
        <f>'ANR OK vs ML7'!AR272</f>
        <v>0.1</v>
      </c>
      <c r="AS272" s="35" t="str">
        <f t="shared" si="179"/>
        <v/>
      </c>
      <c r="AT272" s="3" t="str">
        <f t="shared" si="180"/>
        <v/>
      </c>
      <c r="AU272" s="3" t="str">
        <f t="shared" si="181"/>
        <v/>
      </c>
      <c r="AW272" s="32" t="str">
        <f t="shared" si="182"/>
        <v/>
      </c>
      <c r="AX272" s="32" t="str">
        <f t="shared" si="183"/>
        <v/>
      </c>
      <c r="AY272" s="32" t="str">
        <f t="shared" si="184"/>
        <v/>
      </c>
      <c r="BA272" s="32" t="str">
        <f>IF($A273="","",F272*Summary!$Q$11)</f>
        <v/>
      </c>
    </row>
    <row r="273" spans="1:53" ht="12" customHeight="1">
      <c r="A273" s="67" t="str">
        <f t="shared" si="185"/>
        <v/>
      </c>
      <c r="B273" s="69" t="str">
        <f t="shared" si="187"/>
        <v/>
      </c>
      <c r="C273" s="71"/>
      <c r="D273" s="69" t="str">
        <f t="shared" si="151"/>
        <v/>
      </c>
      <c r="E273" s="70" t="str">
        <f t="shared" si="152"/>
        <v/>
      </c>
      <c r="F273" s="70" t="str">
        <f t="shared" si="153"/>
        <v/>
      </c>
      <c r="G273" s="63" t="str">
        <f t="shared" si="154"/>
        <v/>
      </c>
      <c r="H273" s="64" t="str">
        <f t="shared" si="155"/>
        <v/>
      </c>
      <c r="I273" s="43"/>
      <c r="J273" s="63" t="str">
        <f t="shared" si="156"/>
        <v/>
      </c>
      <c r="K273" s="64" t="str">
        <f t="shared" si="157"/>
        <v/>
      </c>
      <c r="L273" s="63" t="str">
        <f t="shared" si="158"/>
        <v/>
      </c>
      <c r="M273" s="64" t="str">
        <f t="shared" si="159"/>
        <v/>
      </c>
      <c r="N273" s="65"/>
      <c r="O273" s="63" t="str">
        <f t="shared" si="160"/>
        <v/>
      </c>
      <c r="P273" s="63" t="str">
        <f t="shared" si="161"/>
        <v/>
      </c>
      <c r="Q273" s="66"/>
      <c r="R273" s="63" t="str">
        <f t="shared" si="162"/>
        <v/>
      </c>
      <c r="S273" s="64" t="str">
        <f t="shared" si="163"/>
        <v/>
      </c>
      <c r="T273" s="38">
        <v>0</v>
      </c>
      <c r="U273" s="64" t="str">
        <f t="shared" si="164"/>
        <v/>
      </c>
      <c r="V273" s="219" t="str">
        <f>IF($A274="","",IF(AND(MONTH(A273)&gt;3,MONTH(A273)&lt;11),(T273+R273+G273)*Summary!$T$11/(1-Summary!$T$11),(T273+R273+G273)*Summary!$U$11/(1-Summary!$U$11)))</f>
        <v/>
      </c>
      <c r="W273" s="43" t="str">
        <f t="shared" si="165"/>
        <v/>
      </c>
      <c r="X273" s="43" t="str">
        <f t="shared" si="166"/>
        <v/>
      </c>
      <c r="Y273" s="43"/>
      <c r="Z273" s="38" t="str">
        <f t="shared" si="167"/>
        <v/>
      </c>
      <c r="AA273" s="38" t="str">
        <f t="shared" si="168"/>
        <v/>
      </c>
      <c r="AB273" s="38" t="e">
        <f t="shared" si="169"/>
        <v>#VALUE!</v>
      </c>
      <c r="AC273" s="38" t="str">
        <f t="shared" si="170"/>
        <v/>
      </c>
      <c r="AD273" s="38" t="str">
        <f t="shared" si="170"/>
        <v/>
      </c>
      <c r="AE273" s="38" t="e">
        <f t="shared" si="171"/>
        <v>#VALUE!</v>
      </c>
      <c r="AF273" s="238" t="e">
        <f>((Summary!$N$11*(AA273*AD273)*(A273-$D$3))+(Summary!$M$11*Z273*AC273*(AJ273-EOMONTH(EDATE(A273,-1),0))))/(AK273*AB273*AE273)</f>
        <v>#VALUE!</v>
      </c>
      <c r="AG273" s="88" t="str">
        <f>IF($A274="","",Summary!$Q$11)</f>
        <v/>
      </c>
      <c r="AH273" s="88" t="str">
        <f>IF($A274="","",IF(Summary!$R$11="Y",(VLOOKUP($A273,Summary!$AD$6:$AF$9,3)+'Escalating commodity'!G286),'Escalating commodity'!G286))</f>
        <v/>
      </c>
      <c r="AI273" s="88" t="str">
        <f t="shared" si="186"/>
        <v/>
      </c>
      <c r="AJ273" s="236" t="e">
        <f t="shared" si="172"/>
        <v>#VALUE!</v>
      </c>
      <c r="AK273" s="58" t="str">
        <f t="shared" si="173"/>
        <v/>
      </c>
      <c r="AL273" s="26" t="str">
        <f>IF($A274="","",_xll.SPRDOPT(P273,X273,AI273,0,AB273,AE273,AF273,AK273,$AJ$2,0))</f>
        <v/>
      </c>
      <c r="AM273" s="209" t="str">
        <f t="shared" si="174"/>
        <v/>
      </c>
      <c r="AN273" s="89" t="str">
        <f t="shared" si="175"/>
        <v/>
      </c>
      <c r="AO273" s="3" t="str">
        <f t="shared" si="176"/>
        <v/>
      </c>
      <c r="AP273" s="33" t="str">
        <f t="shared" si="177"/>
        <v/>
      </c>
      <c r="AQ273" s="58" t="str">
        <f t="shared" si="178"/>
        <v/>
      </c>
      <c r="AR273" s="38">
        <f>'ANR OK vs ML7'!AR273</f>
        <v>0.1</v>
      </c>
      <c r="AS273" s="35" t="str">
        <f t="shared" si="179"/>
        <v/>
      </c>
      <c r="AT273" s="3" t="str">
        <f t="shared" si="180"/>
        <v/>
      </c>
      <c r="AU273" s="3" t="str">
        <f t="shared" si="181"/>
        <v/>
      </c>
      <c r="AW273" s="32" t="str">
        <f t="shared" si="182"/>
        <v/>
      </c>
      <c r="AX273" s="32" t="str">
        <f t="shared" si="183"/>
        <v/>
      </c>
      <c r="AY273" s="32" t="str">
        <f t="shared" si="184"/>
        <v/>
      </c>
      <c r="BA273" s="32" t="str">
        <f>IF($A274="","",F273*Summary!$Q$11)</f>
        <v/>
      </c>
    </row>
    <row r="274" spans="1:53" ht="12" customHeight="1">
      <c r="A274" s="67" t="str">
        <f t="shared" si="185"/>
        <v/>
      </c>
      <c r="B274" s="69" t="str">
        <f t="shared" si="187"/>
        <v/>
      </c>
      <c r="C274" s="71"/>
      <c r="D274" s="69" t="str">
        <f t="shared" si="151"/>
        <v/>
      </c>
      <c r="E274" s="70" t="str">
        <f t="shared" si="152"/>
        <v/>
      </c>
      <c r="F274" s="70" t="str">
        <f t="shared" si="153"/>
        <v/>
      </c>
      <c r="G274" s="63" t="str">
        <f t="shared" si="154"/>
        <v/>
      </c>
      <c r="H274" s="64" t="str">
        <f t="shared" si="155"/>
        <v/>
      </c>
      <c r="I274" s="43"/>
      <c r="J274" s="63" t="str">
        <f t="shared" si="156"/>
        <v/>
      </c>
      <c r="K274" s="64" t="str">
        <f t="shared" si="157"/>
        <v/>
      </c>
      <c r="L274" s="63" t="str">
        <f t="shared" si="158"/>
        <v/>
      </c>
      <c r="M274" s="64" t="str">
        <f t="shared" si="159"/>
        <v/>
      </c>
      <c r="N274" s="65"/>
      <c r="O274" s="63" t="str">
        <f t="shared" si="160"/>
        <v/>
      </c>
      <c r="P274" s="63" t="str">
        <f t="shared" si="161"/>
        <v/>
      </c>
      <c r="Q274" s="66"/>
      <c r="R274" s="63" t="str">
        <f t="shared" si="162"/>
        <v/>
      </c>
      <c r="S274" s="64" t="str">
        <f t="shared" si="163"/>
        <v/>
      </c>
      <c r="T274" s="38">
        <v>0</v>
      </c>
      <c r="U274" s="64" t="str">
        <f t="shared" si="164"/>
        <v/>
      </c>
      <c r="V274" s="219" t="str">
        <f>IF($A275="","",IF(AND(MONTH(A274)&gt;3,MONTH(A274)&lt;11),(T274+R274+G274)*Summary!$T$11/(1-Summary!$T$11),(T274+R274+G274)*Summary!$U$11/(1-Summary!$U$11)))</f>
        <v/>
      </c>
      <c r="W274" s="43" t="str">
        <f t="shared" si="165"/>
        <v/>
      </c>
      <c r="X274" s="43" t="str">
        <f t="shared" si="166"/>
        <v/>
      </c>
      <c r="Y274" s="43"/>
      <c r="Z274" s="38" t="str">
        <f t="shared" si="167"/>
        <v/>
      </c>
      <c r="AA274" s="38" t="str">
        <f t="shared" si="168"/>
        <v/>
      </c>
      <c r="AB274" s="38" t="e">
        <f t="shared" si="169"/>
        <v>#VALUE!</v>
      </c>
      <c r="AC274" s="38" t="str">
        <f t="shared" si="170"/>
        <v/>
      </c>
      <c r="AD274" s="38" t="str">
        <f t="shared" si="170"/>
        <v/>
      </c>
      <c r="AE274" s="38" t="e">
        <f t="shared" si="171"/>
        <v>#VALUE!</v>
      </c>
      <c r="AF274" s="238" t="e">
        <f>((Summary!$N$11*(AA274*AD274)*(A274-$D$3))+(Summary!$M$11*Z274*AC274*(AJ274-EOMONTH(EDATE(A274,-1),0))))/(AK274*AB274*AE274)</f>
        <v>#VALUE!</v>
      </c>
      <c r="AG274" s="88" t="str">
        <f>IF($A275="","",Summary!$Q$11)</f>
        <v/>
      </c>
      <c r="AH274" s="88" t="str">
        <f>IF($A275="","",IF(Summary!$R$11="Y",(VLOOKUP($A274,Summary!$AD$6:$AF$9,3)+'Escalating commodity'!G287),'Escalating commodity'!G287))</f>
        <v/>
      </c>
      <c r="AI274" s="88" t="str">
        <f t="shared" si="186"/>
        <v/>
      </c>
      <c r="AJ274" s="236" t="e">
        <f t="shared" si="172"/>
        <v>#VALUE!</v>
      </c>
      <c r="AK274" s="58" t="str">
        <f t="shared" si="173"/>
        <v/>
      </c>
      <c r="AL274" s="26" t="str">
        <f>IF($A275="","",_xll.SPRDOPT(P274,X274,AI274,0,AB274,AE274,AF274,AK274,$AJ$2,0))</f>
        <v/>
      </c>
      <c r="AM274" s="209" t="str">
        <f t="shared" si="174"/>
        <v/>
      </c>
      <c r="AN274" s="89" t="str">
        <f t="shared" si="175"/>
        <v/>
      </c>
      <c r="AO274" s="3" t="str">
        <f t="shared" si="176"/>
        <v/>
      </c>
      <c r="AP274" s="33" t="str">
        <f t="shared" si="177"/>
        <v/>
      </c>
      <c r="AQ274" s="58" t="str">
        <f t="shared" si="178"/>
        <v/>
      </c>
      <c r="AR274" s="38">
        <f>'ANR OK vs ML7'!AR274</f>
        <v>0.1</v>
      </c>
      <c r="AS274" s="35" t="str">
        <f t="shared" si="179"/>
        <v/>
      </c>
      <c r="AT274" s="3" t="str">
        <f t="shared" si="180"/>
        <v/>
      </c>
      <c r="AU274" s="3" t="str">
        <f t="shared" si="181"/>
        <v/>
      </c>
      <c r="AW274" s="32" t="str">
        <f t="shared" si="182"/>
        <v/>
      </c>
      <c r="AX274" s="32" t="str">
        <f t="shared" si="183"/>
        <v/>
      </c>
      <c r="AY274" s="32" t="str">
        <f t="shared" si="184"/>
        <v/>
      </c>
      <c r="BA274" s="32" t="str">
        <f>IF($A275="","",F274*Summary!$Q$11)</f>
        <v/>
      </c>
    </row>
    <row r="275" spans="1:53" ht="12" customHeight="1">
      <c r="A275" s="67" t="str">
        <f t="shared" si="185"/>
        <v/>
      </c>
      <c r="B275" s="69" t="str">
        <f t="shared" si="187"/>
        <v/>
      </c>
      <c r="C275" s="71"/>
      <c r="D275" s="69" t="str">
        <f t="shared" si="151"/>
        <v/>
      </c>
      <c r="E275" s="70" t="str">
        <f t="shared" si="152"/>
        <v/>
      </c>
      <c r="F275" s="70" t="str">
        <f t="shared" si="153"/>
        <v/>
      </c>
      <c r="G275" s="63" t="str">
        <f t="shared" si="154"/>
        <v/>
      </c>
      <c r="H275" s="64" t="str">
        <f t="shared" si="155"/>
        <v/>
      </c>
      <c r="I275" s="43"/>
      <c r="J275" s="63" t="str">
        <f t="shared" si="156"/>
        <v/>
      </c>
      <c r="K275" s="64" t="str">
        <f t="shared" si="157"/>
        <v/>
      </c>
      <c r="L275" s="63" t="str">
        <f t="shared" si="158"/>
        <v/>
      </c>
      <c r="M275" s="64" t="str">
        <f t="shared" si="159"/>
        <v/>
      </c>
      <c r="N275" s="65"/>
      <c r="O275" s="63" t="str">
        <f t="shared" si="160"/>
        <v/>
      </c>
      <c r="P275" s="63" t="str">
        <f t="shared" si="161"/>
        <v/>
      </c>
      <c r="Q275" s="66"/>
      <c r="R275" s="63" t="str">
        <f t="shared" si="162"/>
        <v/>
      </c>
      <c r="S275" s="64" t="str">
        <f t="shared" si="163"/>
        <v/>
      </c>
      <c r="T275" s="38">
        <v>0</v>
      </c>
      <c r="U275" s="64" t="str">
        <f t="shared" si="164"/>
        <v/>
      </c>
      <c r="V275" s="219" t="str">
        <f>IF($A276="","",IF(AND(MONTH(A275)&gt;3,MONTH(A275)&lt;11),(T275+R275+G275)*Summary!$T$11/(1-Summary!$T$11),(T275+R275+G275)*Summary!$U$11/(1-Summary!$U$11)))</f>
        <v/>
      </c>
      <c r="W275" s="43" t="str">
        <f t="shared" si="165"/>
        <v/>
      </c>
      <c r="X275" s="43" t="str">
        <f t="shared" si="166"/>
        <v/>
      </c>
      <c r="Y275" s="43"/>
      <c r="Z275" s="38" t="str">
        <f t="shared" si="167"/>
        <v/>
      </c>
      <c r="AA275" s="38" t="str">
        <f t="shared" si="168"/>
        <v/>
      </c>
      <c r="AB275" s="38" t="e">
        <f t="shared" si="169"/>
        <v>#VALUE!</v>
      </c>
      <c r="AC275" s="38" t="str">
        <f t="shared" si="170"/>
        <v/>
      </c>
      <c r="AD275" s="38" t="str">
        <f t="shared" si="170"/>
        <v/>
      </c>
      <c r="AE275" s="38" t="e">
        <f t="shared" si="171"/>
        <v>#VALUE!</v>
      </c>
      <c r="AF275" s="238" t="e">
        <f>((Summary!$N$11*(AA275*AD275)*(A275-$D$3))+(Summary!$M$11*Z275*AC275*(AJ275-EOMONTH(EDATE(A275,-1),0))))/(AK275*AB275*AE275)</f>
        <v>#VALUE!</v>
      </c>
      <c r="AG275" s="88" t="str">
        <f>IF($A276="","",Summary!$Q$11)</f>
        <v/>
      </c>
      <c r="AH275" s="88" t="str">
        <f>IF($A276="","",IF(Summary!$R$11="Y",(VLOOKUP($A275,Summary!$AD$6:$AF$9,3)+'Escalating commodity'!G288),'Escalating commodity'!G288))</f>
        <v/>
      </c>
      <c r="AI275" s="88" t="str">
        <f t="shared" si="186"/>
        <v/>
      </c>
      <c r="AJ275" s="236" t="e">
        <f t="shared" si="172"/>
        <v>#VALUE!</v>
      </c>
      <c r="AK275" s="58" t="str">
        <f t="shared" si="173"/>
        <v/>
      </c>
      <c r="AL275" s="26" t="str">
        <f>IF($A276="","",_xll.SPRDOPT(P275,X275,AI275,0,AB275,AE275,AF275,AK275,$AJ$2,0))</f>
        <v/>
      </c>
      <c r="AM275" s="209" t="str">
        <f t="shared" si="174"/>
        <v/>
      </c>
      <c r="AN275" s="89" t="str">
        <f t="shared" si="175"/>
        <v/>
      </c>
      <c r="AO275" s="3" t="str">
        <f t="shared" si="176"/>
        <v/>
      </c>
      <c r="AP275" s="33" t="str">
        <f t="shared" si="177"/>
        <v/>
      </c>
      <c r="AQ275" s="58" t="str">
        <f t="shared" si="178"/>
        <v/>
      </c>
      <c r="AR275" s="38">
        <f>'ANR OK vs ML7'!AR275</f>
        <v>0.1</v>
      </c>
      <c r="AS275" s="35" t="str">
        <f t="shared" si="179"/>
        <v/>
      </c>
      <c r="AT275" s="3" t="str">
        <f t="shared" si="180"/>
        <v/>
      </c>
      <c r="AU275" s="3" t="str">
        <f t="shared" si="181"/>
        <v/>
      </c>
      <c r="AW275" s="32" t="str">
        <f t="shared" si="182"/>
        <v/>
      </c>
      <c r="AX275" s="32" t="str">
        <f t="shared" si="183"/>
        <v/>
      </c>
      <c r="AY275" s="32" t="str">
        <f t="shared" si="184"/>
        <v/>
      </c>
      <c r="BA275" s="32" t="str">
        <f>IF($A276="","",F275*Summary!$Q$11)</f>
        <v/>
      </c>
    </row>
    <row r="276" spans="1:53" ht="12" customHeight="1">
      <c r="A276" s="67" t="str">
        <f t="shared" si="185"/>
        <v/>
      </c>
      <c r="B276" s="69" t="str">
        <f t="shared" si="187"/>
        <v/>
      </c>
      <c r="C276" s="71"/>
      <c r="D276" s="69" t="str">
        <f t="shared" si="151"/>
        <v/>
      </c>
      <c r="E276" s="70" t="str">
        <f t="shared" si="152"/>
        <v/>
      </c>
      <c r="F276" s="70" t="str">
        <f t="shared" si="153"/>
        <v/>
      </c>
      <c r="G276" s="63" t="str">
        <f t="shared" si="154"/>
        <v/>
      </c>
      <c r="H276" s="64" t="str">
        <f t="shared" si="155"/>
        <v/>
      </c>
      <c r="I276" s="43"/>
      <c r="J276" s="63" t="str">
        <f t="shared" si="156"/>
        <v/>
      </c>
      <c r="K276" s="64" t="str">
        <f t="shared" si="157"/>
        <v/>
      </c>
      <c r="L276" s="63" t="str">
        <f t="shared" si="158"/>
        <v/>
      </c>
      <c r="M276" s="64" t="str">
        <f t="shared" si="159"/>
        <v/>
      </c>
      <c r="N276" s="65"/>
      <c r="O276" s="63" t="str">
        <f t="shared" si="160"/>
        <v/>
      </c>
      <c r="P276" s="63" t="str">
        <f t="shared" si="161"/>
        <v/>
      </c>
      <c r="Q276" s="66"/>
      <c r="R276" s="63" t="str">
        <f t="shared" si="162"/>
        <v/>
      </c>
      <c r="S276" s="64" t="str">
        <f t="shared" si="163"/>
        <v/>
      </c>
      <c r="T276" s="38">
        <v>0</v>
      </c>
      <c r="U276" s="64" t="str">
        <f t="shared" si="164"/>
        <v/>
      </c>
      <c r="V276" s="219" t="str">
        <f>IF($A277="","",IF(AND(MONTH(A276)&gt;3,MONTH(A276)&lt;11),(T276+R276+G276)*Summary!$T$11/(1-Summary!$T$11),(T276+R276+G276)*Summary!$U$11/(1-Summary!$U$11)))</f>
        <v/>
      </c>
      <c r="W276" s="43" t="str">
        <f t="shared" si="165"/>
        <v/>
      </c>
      <c r="X276" s="43" t="str">
        <f t="shared" si="166"/>
        <v/>
      </c>
      <c r="Y276" s="43"/>
      <c r="Z276" s="38" t="str">
        <f t="shared" si="167"/>
        <v/>
      </c>
      <c r="AA276" s="38" t="str">
        <f t="shared" si="168"/>
        <v/>
      </c>
      <c r="AB276" s="38" t="e">
        <f t="shared" si="169"/>
        <v>#VALUE!</v>
      </c>
      <c r="AC276" s="38" t="str">
        <f t="shared" si="170"/>
        <v/>
      </c>
      <c r="AD276" s="38" t="str">
        <f t="shared" si="170"/>
        <v/>
      </c>
      <c r="AE276" s="38" t="e">
        <f t="shared" si="171"/>
        <v>#VALUE!</v>
      </c>
      <c r="AF276" s="238" t="e">
        <f>((Summary!$N$11*(AA276*AD276)*(A276-$D$3))+(Summary!$M$11*Z276*AC276*(AJ276-EOMONTH(EDATE(A276,-1),0))))/(AK276*AB276*AE276)</f>
        <v>#VALUE!</v>
      </c>
      <c r="AG276" s="88" t="str">
        <f>IF($A277="","",Summary!$Q$11)</f>
        <v/>
      </c>
      <c r="AH276" s="88" t="str">
        <f>IF($A277="","",IF(Summary!$R$11="Y",(VLOOKUP($A276,Summary!$AD$6:$AF$9,3)+'Escalating commodity'!G289),'Escalating commodity'!G289))</f>
        <v/>
      </c>
      <c r="AI276" s="88" t="str">
        <f t="shared" si="186"/>
        <v/>
      </c>
      <c r="AJ276" s="236" t="e">
        <f t="shared" si="172"/>
        <v>#VALUE!</v>
      </c>
      <c r="AK276" s="58" t="str">
        <f t="shared" si="173"/>
        <v/>
      </c>
      <c r="AL276" s="26" t="str">
        <f>IF($A277="","",_xll.SPRDOPT(P276,X276,AI276,0,AB276,AE276,AF276,AK276,$AJ$2,0))</f>
        <v/>
      </c>
      <c r="AM276" s="209" t="str">
        <f t="shared" si="174"/>
        <v/>
      </c>
      <c r="AN276" s="89" t="str">
        <f t="shared" si="175"/>
        <v/>
      </c>
      <c r="AO276" s="3" t="str">
        <f t="shared" si="176"/>
        <v/>
      </c>
      <c r="AP276" s="33" t="str">
        <f t="shared" si="177"/>
        <v/>
      </c>
      <c r="AQ276" s="58" t="str">
        <f t="shared" si="178"/>
        <v/>
      </c>
      <c r="AR276" s="38">
        <f>'ANR OK vs ML7'!AR276</f>
        <v>0.1</v>
      </c>
      <c r="AS276" s="35" t="str">
        <f t="shared" si="179"/>
        <v/>
      </c>
      <c r="AT276" s="3" t="str">
        <f t="shared" si="180"/>
        <v/>
      </c>
      <c r="AU276" s="3" t="str">
        <f t="shared" si="181"/>
        <v/>
      </c>
      <c r="AW276" s="32" t="str">
        <f t="shared" si="182"/>
        <v/>
      </c>
      <c r="AX276" s="32" t="str">
        <f t="shared" si="183"/>
        <v/>
      </c>
      <c r="AY276" s="32" t="str">
        <f t="shared" si="184"/>
        <v/>
      </c>
      <c r="BA276" s="32" t="str">
        <f>IF($A277="","",F276*Summary!$Q$11)</f>
        <v/>
      </c>
    </row>
    <row r="277" spans="1:53" ht="12" customHeight="1">
      <c r="A277" s="67" t="str">
        <f t="shared" si="185"/>
        <v/>
      </c>
      <c r="B277" s="69" t="str">
        <f t="shared" si="187"/>
        <v/>
      </c>
      <c r="C277" s="71"/>
      <c r="D277" s="69" t="str">
        <f t="shared" si="151"/>
        <v/>
      </c>
      <c r="E277" s="70" t="str">
        <f t="shared" si="152"/>
        <v/>
      </c>
      <c r="F277" s="70" t="str">
        <f t="shared" si="153"/>
        <v/>
      </c>
      <c r="G277" s="63" t="str">
        <f t="shared" si="154"/>
        <v/>
      </c>
      <c r="H277" s="64" t="str">
        <f t="shared" si="155"/>
        <v/>
      </c>
      <c r="I277" s="43"/>
      <c r="J277" s="63" t="str">
        <f t="shared" si="156"/>
        <v/>
      </c>
      <c r="K277" s="64" t="str">
        <f t="shared" si="157"/>
        <v/>
      </c>
      <c r="L277" s="63" t="str">
        <f t="shared" si="158"/>
        <v/>
      </c>
      <c r="M277" s="64" t="str">
        <f t="shared" si="159"/>
        <v/>
      </c>
      <c r="N277" s="65"/>
      <c r="O277" s="63" t="str">
        <f t="shared" si="160"/>
        <v/>
      </c>
      <c r="P277" s="63" t="str">
        <f t="shared" si="161"/>
        <v/>
      </c>
      <c r="Q277" s="66"/>
      <c r="R277" s="63" t="str">
        <f t="shared" si="162"/>
        <v/>
      </c>
      <c r="S277" s="64" t="str">
        <f t="shared" si="163"/>
        <v/>
      </c>
      <c r="T277" s="38">
        <v>0</v>
      </c>
      <c r="U277" s="64" t="str">
        <f t="shared" si="164"/>
        <v/>
      </c>
      <c r="V277" s="219" t="str">
        <f>IF($A278="","",IF(AND(MONTH(A277)&gt;3,MONTH(A277)&lt;11),(T277+R277+G277)*Summary!$T$11/(1-Summary!$T$11),(T277+R277+G277)*Summary!$U$11/(1-Summary!$U$11)))</f>
        <v/>
      </c>
      <c r="W277" s="43" t="str">
        <f t="shared" si="165"/>
        <v/>
      </c>
      <c r="X277" s="43" t="str">
        <f t="shared" si="166"/>
        <v/>
      </c>
      <c r="Y277" s="43"/>
      <c r="Z277" s="38" t="str">
        <f t="shared" si="167"/>
        <v/>
      </c>
      <c r="AA277" s="38" t="str">
        <f t="shared" si="168"/>
        <v/>
      </c>
      <c r="AB277" s="38" t="e">
        <f t="shared" si="169"/>
        <v>#VALUE!</v>
      </c>
      <c r="AC277" s="38" t="str">
        <f t="shared" si="170"/>
        <v/>
      </c>
      <c r="AD277" s="38" t="str">
        <f t="shared" si="170"/>
        <v/>
      </c>
      <c r="AE277" s="38" t="e">
        <f t="shared" si="171"/>
        <v>#VALUE!</v>
      </c>
      <c r="AF277" s="238" t="e">
        <f>((Summary!$N$11*(AA277*AD277)*(A277-$D$3))+(Summary!$M$11*Z277*AC277*(AJ277-EOMONTH(EDATE(A277,-1),0))))/(AK277*AB277*AE277)</f>
        <v>#VALUE!</v>
      </c>
      <c r="AG277" s="88" t="str">
        <f>IF($A278="","",Summary!$Q$11)</f>
        <v/>
      </c>
      <c r="AH277" s="88" t="str">
        <f>IF($A278="","",IF(Summary!$R$11="Y",(VLOOKUP($A277,Summary!$AD$6:$AF$9,3)+'Escalating commodity'!G290),'Escalating commodity'!G290))</f>
        <v/>
      </c>
      <c r="AI277" s="88" t="str">
        <f t="shared" si="186"/>
        <v/>
      </c>
      <c r="AJ277" s="236" t="e">
        <f t="shared" si="172"/>
        <v>#VALUE!</v>
      </c>
      <c r="AK277" s="58" t="str">
        <f t="shared" si="173"/>
        <v/>
      </c>
      <c r="AL277" s="26" t="str">
        <f>IF($A278="","",_xll.SPRDOPT(P277,X277,AI277,0,AB277,AE277,AF277,AK277,$AJ$2,0))</f>
        <v/>
      </c>
      <c r="AM277" s="209" t="str">
        <f t="shared" si="174"/>
        <v/>
      </c>
      <c r="AN277" s="89" t="str">
        <f t="shared" si="175"/>
        <v/>
      </c>
      <c r="AO277" s="3" t="str">
        <f t="shared" si="176"/>
        <v/>
      </c>
      <c r="AP277" s="33" t="str">
        <f t="shared" si="177"/>
        <v/>
      </c>
      <c r="AQ277" s="58" t="str">
        <f t="shared" si="178"/>
        <v/>
      </c>
      <c r="AR277" s="38">
        <f>'ANR OK vs ML7'!AR277</f>
        <v>0.1</v>
      </c>
      <c r="AS277" s="35" t="str">
        <f t="shared" si="179"/>
        <v/>
      </c>
      <c r="AT277" s="3" t="str">
        <f t="shared" si="180"/>
        <v/>
      </c>
      <c r="AU277" s="3" t="str">
        <f t="shared" si="181"/>
        <v/>
      </c>
      <c r="AW277" s="32" t="str">
        <f t="shared" si="182"/>
        <v/>
      </c>
      <c r="AX277" s="32" t="str">
        <f t="shared" si="183"/>
        <v/>
      </c>
      <c r="AY277" s="32" t="str">
        <f t="shared" si="184"/>
        <v/>
      </c>
      <c r="BA277" s="32" t="str">
        <f>IF($A278="","",F277*Summary!$Q$11)</f>
        <v/>
      </c>
    </row>
    <row r="278" spans="1:53" ht="12" customHeight="1">
      <c r="A278" s="67" t="str">
        <f t="shared" si="185"/>
        <v/>
      </c>
      <c r="B278" s="69" t="str">
        <f t="shared" si="187"/>
        <v/>
      </c>
      <c r="C278" s="71"/>
      <c r="D278" s="69" t="str">
        <f t="shared" si="151"/>
        <v/>
      </c>
      <c r="E278" s="70" t="str">
        <f t="shared" si="152"/>
        <v/>
      </c>
      <c r="F278" s="70" t="str">
        <f t="shared" si="153"/>
        <v/>
      </c>
      <c r="G278" s="63" t="str">
        <f t="shared" si="154"/>
        <v/>
      </c>
      <c r="H278" s="64" t="str">
        <f t="shared" si="155"/>
        <v/>
      </c>
      <c r="I278" s="43"/>
      <c r="J278" s="63" t="str">
        <f t="shared" si="156"/>
        <v/>
      </c>
      <c r="K278" s="64" t="str">
        <f t="shared" si="157"/>
        <v/>
      </c>
      <c r="L278" s="63" t="str">
        <f t="shared" si="158"/>
        <v/>
      </c>
      <c r="M278" s="64" t="str">
        <f t="shared" si="159"/>
        <v/>
      </c>
      <c r="N278" s="65"/>
      <c r="O278" s="63" t="str">
        <f t="shared" si="160"/>
        <v/>
      </c>
      <c r="P278" s="63" t="str">
        <f t="shared" si="161"/>
        <v/>
      </c>
      <c r="Q278" s="66"/>
      <c r="R278" s="63" t="str">
        <f t="shared" si="162"/>
        <v/>
      </c>
      <c r="S278" s="64" t="str">
        <f t="shared" si="163"/>
        <v/>
      </c>
      <c r="T278" s="38">
        <v>0</v>
      </c>
      <c r="U278" s="64" t="str">
        <f t="shared" si="164"/>
        <v/>
      </c>
      <c r="V278" s="219" t="str">
        <f>IF($A279="","",IF(AND(MONTH(A278)&gt;3,MONTH(A278)&lt;11),(T278+R278+G278)*Summary!$T$11/(1-Summary!$T$11),(T278+R278+G278)*Summary!$U$11/(1-Summary!$U$11)))</f>
        <v/>
      </c>
      <c r="W278" s="43" t="str">
        <f t="shared" si="165"/>
        <v/>
      </c>
      <c r="X278" s="43" t="str">
        <f t="shared" si="166"/>
        <v/>
      </c>
      <c r="Y278" s="43"/>
      <c r="Z278" s="38" t="str">
        <f t="shared" si="167"/>
        <v/>
      </c>
      <c r="AA278" s="38" t="str">
        <f t="shared" si="168"/>
        <v/>
      </c>
      <c r="AB278" s="38" t="e">
        <f t="shared" si="169"/>
        <v>#VALUE!</v>
      </c>
      <c r="AC278" s="38" t="str">
        <f t="shared" si="170"/>
        <v/>
      </c>
      <c r="AD278" s="38" t="str">
        <f t="shared" si="170"/>
        <v/>
      </c>
      <c r="AE278" s="38" t="e">
        <f t="shared" si="171"/>
        <v>#VALUE!</v>
      </c>
      <c r="AF278" s="238" t="e">
        <f>((Summary!$N$11*(AA278*AD278)*(A278-$D$3))+(Summary!$M$11*Z278*AC278*(AJ278-EOMONTH(EDATE(A278,-1),0))))/(AK278*AB278*AE278)</f>
        <v>#VALUE!</v>
      </c>
      <c r="AG278" s="88" t="str">
        <f>IF($A279="","",Summary!$Q$11)</f>
        <v/>
      </c>
      <c r="AH278" s="88" t="str">
        <f>IF($A279="","",IF(Summary!$R$11="Y",(VLOOKUP($A278,Summary!$AD$6:$AF$9,3)+'Escalating commodity'!G291),'Escalating commodity'!G291))</f>
        <v/>
      </c>
      <c r="AI278" s="88" t="str">
        <f t="shared" si="186"/>
        <v/>
      </c>
      <c r="AJ278" s="236" t="e">
        <f t="shared" si="172"/>
        <v>#VALUE!</v>
      </c>
      <c r="AK278" s="58" t="str">
        <f t="shared" si="173"/>
        <v/>
      </c>
      <c r="AL278" s="26" t="str">
        <f>IF($A279="","",_xll.SPRDOPT(P278,X278,AI278,0,AB278,AE278,AF278,AK278,$AJ$2,0))</f>
        <v/>
      </c>
      <c r="AM278" s="209" t="str">
        <f t="shared" si="174"/>
        <v/>
      </c>
      <c r="AN278" s="89" t="str">
        <f t="shared" si="175"/>
        <v/>
      </c>
      <c r="AO278" s="3" t="str">
        <f t="shared" si="176"/>
        <v/>
      </c>
      <c r="AP278" s="33" t="str">
        <f t="shared" si="177"/>
        <v/>
      </c>
      <c r="AQ278" s="58" t="str">
        <f t="shared" si="178"/>
        <v/>
      </c>
      <c r="AR278" s="38">
        <f>'ANR OK vs ML7'!AR278</f>
        <v>0.1</v>
      </c>
      <c r="AS278" s="35" t="str">
        <f t="shared" si="179"/>
        <v/>
      </c>
      <c r="AT278" s="3" t="str">
        <f t="shared" si="180"/>
        <v/>
      </c>
      <c r="AU278" s="3" t="str">
        <f t="shared" si="181"/>
        <v/>
      </c>
      <c r="AW278" s="32" t="str">
        <f t="shared" si="182"/>
        <v/>
      </c>
      <c r="AX278" s="32" t="str">
        <f t="shared" si="183"/>
        <v/>
      </c>
      <c r="AY278" s="32" t="str">
        <f t="shared" si="184"/>
        <v/>
      </c>
      <c r="BA278" s="32" t="str">
        <f>IF($A279="","",F278*Summary!$Q$11)</f>
        <v/>
      </c>
    </row>
    <row r="279" spans="1:53" ht="12" customHeight="1">
      <c r="A279" s="67" t="str">
        <f t="shared" si="185"/>
        <v/>
      </c>
      <c r="B279" s="69" t="str">
        <f t="shared" si="187"/>
        <v/>
      </c>
      <c r="C279" s="71"/>
      <c r="D279" s="69" t="str">
        <f t="shared" si="151"/>
        <v/>
      </c>
      <c r="E279" s="70" t="str">
        <f t="shared" si="152"/>
        <v/>
      </c>
      <c r="F279" s="70" t="str">
        <f t="shared" si="153"/>
        <v/>
      </c>
      <c r="G279" s="63" t="str">
        <f t="shared" si="154"/>
        <v/>
      </c>
      <c r="H279" s="64" t="str">
        <f t="shared" si="155"/>
        <v/>
      </c>
      <c r="I279" s="43"/>
      <c r="J279" s="63" t="str">
        <f t="shared" si="156"/>
        <v/>
      </c>
      <c r="K279" s="64" t="str">
        <f t="shared" si="157"/>
        <v/>
      </c>
      <c r="L279" s="63" t="str">
        <f t="shared" si="158"/>
        <v/>
      </c>
      <c r="M279" s="64" t="str">
        <f t="shared" si="159"/>
        <v/>
      </c>
      <c r="N279" s="65"/>
      <c r="O279" s="63" t="str">
        <f t="shared" si="160"/>
        <v/>
      </c>
      <c r="P279" s="63" t="str">
        <f t="shared" si="161"/>
        <v/>
      </c>
      <c r="Q279" s="66"/>
      <c r="R279" s="63" t="str">
        <f t="shared" si="162"/>
        <v/>
      </c>
      <c r="S279" s="64" t="str">
        <f t="shared" si="163"/>
        <v/>
      </c>
      <c r="T279" s="38">
        <v>0</v>
      </c>
      <c r="U279" s="64" t="str">
        <f t="shared" si="164"/>
        <v/>
      </c>
      <c r="V279" s="219" t="str">
        <f>IF($A280="","",IF(AND(MONTH(A279)&gt;3,MONTH(A279)&lt;11),(T279+R279+G279)*Summary!$T$11/(1-Summary!$T$11),(T279+R279+G279)*Summary!$U$11/(1-Summary!$U$11)))</f>
        <v/>
      </c>
      <c r="W279" s="43" t="str">
        <f t="shared" si="165"/>
        <v/>
      </c>
      <c r="X279" s="43" t="str">
        <f t="shared" si="166"/>
        <v/>
      </c>
      <c r="Y279" s="43"/>
      <c r="Z279" s="38" t="str">
        <f t="shared" si="167"/>
        <v/>
      </c>
      <c r="AA279" s="38" t="str">
        <f t="shared" si="168"/>
        <v/>
      </c>
      <c r="AB279" s="38" t="e">
        <f t="shared" si="169"/>
        <v>#VALUE!</v>
      </c>
      <c r="AC279" s="38" t="str">
        <f t="shared" si="170"/>
        <v/>
      </c>
      <c r="AD279" s="38" t="str">
        <f t="shared" si="170"/>
        <v/>
      </c>
      <c r="AE279" s="38" t="e">
        <f t="shared" si="171"/>
        <v>#VALUE!</v>
      </c>
      <c r="AF279" s="238" t="e">
        <f>((Summary!$N$11*(AA279*AD279)*(A279-$D$3))+(Summary!$M$11*Z279*AC279*(AJ279-EOMONTH(EDATE(A279,-1),0))))/(AK279*AB279*AE279)</f>
        <v>#VALUE!</v>
      </c>
      <c r="AG279" s="88" t="str">
        <f>IF($A280="","",Summary!$Q$11)</f>
        <v/>
      </c>
      <c r="AH279" s="88" t="str">
        <f>IF($A280="","",IF(Summary!$R$11="Y",(VLOOKUP($A279,Summary!$AD$6:$AF$9,3)+'Escalating commodity'!G292),'Escalating commodity'!G292))</f>
        <v/>
      </c>
      <c r="AI279" s="88" t="str">
        <f t="shared" si="186"/>
        <v/>
      </c>
      <c r="AJ279" s="236" t="e">
        <f t="shared" si="172"/>
        <v>#VALUE!</v>
      </c>
      <c r="AK279" s="58" t="str">
        <f t="shared" si="173"/>
        <v/>
      </c>
      <c r="AL279" s="26" t="str">
        <f>IF($A280="","",_xll.SPRDOPT(P279,X279,AI279,0,AB279,AE279,AF279,AK279,$AJ$2,0))</f>
        <v/>
      </c>
      <c r="AM279" s="209" t="str">
        <f t="shared" si="174"/>
        <v/>
      </c>
      <c r="AN279" s="89" t="str">
        <f t="shared" si="175"/>
        <v/>
      </c>
      <c r="AO279" s="3" t="str">
        <f t="shared" si="176"/>
        <v/>
      </c>
      <c r="AP279" s="33" t="str">
        <f t="shared" si="177"/>
        <v/>
      </c>
      <c r="AQ279" s="58" t="str">
        <f t="shared" si="178"/>
        <v/>
      </c>
      <c r="AR279" s="38">
        <f>'ANR OK vs ML7'!AR279</f>
        <v>0.1</v>
      </c>
      <c r="AS279" s="35" t="str">
        <f t="shared" si="179"/>
        <v/>
      </c>
      <c r="AT279" s="3" t="str">
        <f t="shared" si="180"/>
        <v/>
      </c>
      <c r="AU279" s="3" t="str">
        <f t="shared" si="181"/>
        <v/>
      </c>
      <c r="AW279" s="32" t="str">
        <f t="shared" si="182"/>
        <v/>
      </c>
      <c r="AX279" s="32" t="str">
        <f t="shared" si="183"/>
        <v/>
      </c>
      <c r="AY279" s="32" t="str">
        <f t="shared" si="184"/>
        <v/>
      </c>
      <c r="BA279" s="32" t="str">
        <f>IF($A280="","",F279*Summary!$Q$11)</f>
        <v/>
      </c>
    </row>
    <row r="280" spans="1:53" ht="12" customHeight="1">
      <c r="A280" s="67" t="str">
        <f t="shared" si="185"/>
        <v/>
      </c>
      <c r="B280" s="69" t="str">
        <f t="shared" si="187"/>
        <v/>
      </c>
      <c r="C280" s="71"/>
      <c r="D280" s="69" t="str">
        <f t="shared" si="151"/>
        <v/>
      </c>
      <c r="E280" s="70" t="str">
        <f t="shared" si="152"/>
        <v/>
      </c>
      <c r="F280" s="70" t="str">
        <f t="shared" si="153"/>
        <v/>
      </c>
      <c r="G280" s="63" t="str">
        <f t="shared" si="154"/>
        <v/>
      </c>
      <c r="H280" s="64" t="str">
        <f t="shared" si="155"/>
        <v/>
      </c>
      <c r="I280" s="43"/>
      <c r="J280" s="63" t="str">
        <f t="shared" si="156"/>
        <v/>
      </c>
      <c r="K280" s="64" t="str">
        <f t="shared" si="157"/>
        <v/>
      </c>
      <c r="L280" s="63" t="str">
        <f t="shared" si="158"/>
        <v/>
      </c>
      <c r="M280" s="64" t="str">
        <f t="shared" si="159"/>
        <v/>
      </c>
      <c r="N280" s="65"/>
      <c r="O280" s="63" t="str">
        <f t="shared" si="160"/>
        <v/>
      </c>
      <c r="P280" s="63" t="str">
        <f t="shared" si="161"/>
        <v/>
      </c>
      <c r="Q280" s="66"/>
      <c r="R280" s="63" t="str">
        <f t="shared" si="162"/>
        <v/>
      </c>
      <c r="S280" s="64" t="str">
        <f t="shared" si="163"/>
        <v/>
      </c>
      <c r="T280" s="38">
        <v>0</v>
      </c>
      <c r="U280" s="64" t="str">
        <f t="shared" si="164"/>
        <v/>
      </c>
      <c r="V280" s="219" t="str">
        <f>IF($A281="","",IF(AND(MONTH(A280)&gt;3,MONTH(A280)&lt;11),(T280+R280+G280)*Summary!$T$11/(1-Summary!$T$11),(T280+R280+G280)*Summary!$U$11/(1-Summary!$U$11)))</f>
        <v/>
      </c>
      <c r="W280" s="43" t="str">
        <f t="shared" si="165"/>
        <v/>
      </c>
      <c r="X280" s="43" t="str">
        <f t="shared" si="166"/>
        <v/>
      </c>
      <c r="Y280" s="43"/>
      <c r="Z280" s="38" t="str">
        <f t="shared" si="167"/>
        <v/>
      </c>
      <c r="AA280" s="38" t="str">
        <f t="shared" si="168"/>
        <v/>
      </c>
      <c r="AB280" s="38" t="e">
        <f t="shared" si="169"/>
        <v>#VALUE!</v>
      </c>
      <c r="AC280" s="38" t="str">
        <f t="shared" si="170"/>
        <v/>
      </c>
      <c r="AD280" s="38" t="str">
        <f t="shared" si="170"/>
        <v/>
      </c>
      <c r="AE280" s="38" t="e">
        <f t="shared" si="171"/>
        <v>#VALUE!</v>
      </c>
      <c r="AF280" s="238" t="e">
        <f>((Summary!$N$11*(AA280*AD280)*(A280-$D$3))+(Summary!$M$11*Z280*AC280*(AJ280-EOMONTH(EDATE(A280,-1),0))))/(AK280*AB280*AE280)</f>
        <v>#VALUE!</v>
      </c>
      <c r="AG280" s="88" t="str">
        <f>IF($A281="","",Summary!$Q$11)</f>
        <v/>
      </c>
      <c r="AH280" s="88" t="str">
        <f>IF($A281="","",IF(Summary!$R$11="Y",(VLOOKUP($A280,Summary!$AD$6:$AF$9,3)+'Escalating commodity'!G293),'Escalating commodity'!G293))</f>
        <v/>
      </c>
      <c r="AI280" s="88" t="str">
        <f t="shared" si="186"/>
        <v/>
      </c>
      <c r="AJ280" s="236" t="e">
        <f t="shared" si="172"/>
        <v>#VALUE!</v>
      </c>
      <c r="AK280" s="58" t="str">
        <f t="shared" si="173"/>
        <v/>
      </c>
      <c r="AL280" s="26" t="str">
        <f>IF($A281="","",_xll.SPRDOPT(P280,X280,AI280,0,AB280,AE280,AF280,AK280,$AJ$2,0))</f>
        <v/>
      </c>
      <c r="AM280" s="209" t="str">
        <f t="shared" si="174"/>
        <v/>
      </c>
      <c r="AN280" s="89" t="str">
        <f t="shared" si="175"/>
        <v/>
      </c>
      <c r="AO280" s="3" t="str">
        <f t="shared" si="176"/>
        <v/>
      </c>
      <c r="AP280" s="33" t="str">
        <f t="shared" si="177"/>
        <v/>
      </c>
      <c r="AQ280" s="58" t="str">
        <f t="shared" si="178"/>
        <v/>
      </c>
      <c r="AR280" s="38">
        <f>'ANR OK vs ML7'!AR280</f>
        <v>0.1</v>
      </c>
      <c r="AS280" s="35" t="str">
        <f t="shared" si="179"/>
        <v/>
      </c>
      <c r="AT280" s="3" t="str">
        <f t="shared" si="180"/>
        <v/>
      </c>
      <c r="AU280" s="3" t="str">
        <f t="shared" si="181"/>
        <v/>
      </c>
      <c r="AW280" s="32" t="str">
        <f t="shared" si="182"/>
        <v/>
      </c>
      <c r="AX280" s="32" t="str">
        <f t="shared" si="183"/>
        <v/>
      </c>
      <c r="AY280" s="32" t="str">
        <f t="shared" si="184"/>
        <v/>
      </c>
      <c r="BA280" s="32" t="str">
        <f>IF($A281="","",F280*Summary!$Q$11)</f>
        <v/>
      </c>
    </row>
    <row r="281" spans="1:53" ht="12" customHeight="1">
      <c r="A281" s="67" t="str">
        <f t="shared" si="185"/>
        <v/>
      </c>
      <c r="B281" s="69" t="str">
        <f t="shared" si="187"/>
        <v/>
      </c>
      <c r="C281" s="71"/>
      <c r="D281" s="69" t="str">
        <f t="shared" si="151"/>
        <v/>
      </c>
      <c r="E281" s="70" t="str">
        <f t="shared" si="152"/>
        <v/>
      </c>
      <c r="F281" s="70" t="str">
        <f t="shared" si="153"/>
        <v/>
      </c>
      <c r="G281" s="63" t="str">
        <f t="shared" si="154"/>
        <v/>
      </c>
      <c r="H281" s="64" t="str">
        <f t="shared" si="155"/>
        <v/>
      </c>
      <c r="I281" s="43"/>
      <c r="J281" s="63" t="str">
        <f t="shared" si="156"/>
        <v/>
      </c>
      <c r="K281" s="64" t="str">
        <f t="shared" si="157"/>
        <v/>
      </c>
      <c r="L281" s="63" t="str">
        <f t="shared" si="158"/>
        <v/>
      </c>
      <c r="M281" s="64" t="str">
        <f t="shared" si="159"/>
        <v/>
      </c>
      <c r="N281" s="65"/>
      <c r="O281" s="63" t="str">
        <f t="shared" si="160"/>
        <v/>
      </c>
      <c r="P281" s="63" t="str">
        <f t="shared" si="161"/>
        <v/>
      </c>
      <c r="Q281" s="66"/>
      <c r="R281" s="63" t="str">
        <f t="shared" si="162"/>
        <v/>
      </c>
      <c r="S281" s="64" t="str">
        <f t="shared" si="163"/>
        <v/>
      </c>
      <c r="T281" s="38">
        <v>0</v>
      </c>
      <c r="U281" s="64" t="str">
        <f t="shared" si="164"/>
        <v/>
      </c>
      <c r="V281" s="219" t="str">
        <f>IF($A282="","",IF(AND(MONTH(A281)&gt;3,MONTH(A281)&lt;11),(T281+R281+G281)*Summary!$T$11/(1-Summary!$T$11),(T281+R281+G281)*Summary!$U$11/(1-Summary!$U$11)))</f>
        <v/>
      </c>
      <c r="W281" s="43" t="str">
        <f t="shared" si="165"/>
        <v/>
      </c>
      <c r="X281" s="43" t="str">
        <f t="shared" si="166"/>
        <v/>
      </c>
      <c r="Y281" s="43"/>
      <c r="Z281" s="38" t="str">
        <f t="shared" si="167"/>
        <v/>
      </c>
      <c r="AA281" s="38" t="str">
        <f t="shared" si="168"/>
        <v/>
      </c>
      <c r="AB281" s="38" t="e">
        <f t="shared" si="169"/>
        <v>#VALUE!</v>
      </c>
      <c r="AC281" s="38" t="str">
        <f t="shared" si="170"/>
        <v/>
      </c>
      <c r="AD281" s="38" t="str">
        <f t="shared" si="170"/>
        <v/>
      </c>
      <c r="AE281" s="38" t="e">
        <f t="shared" si="171"/>
        <v>#VALUE!</v>
      </c>
      <c r="AF281" s="238" t="e">
        <f>((Summary!$N$11*(AA281*AD281)*(A281-$D$3))+(Summary!$M$11*Z281*AC281*(AJ281-EOMONTH(EDATE(A281,-1),0))))/(AK281*AB281*AE281)</f>
        <v>#VALUE!</v>
      </c>
      <c r="AG281" s="88" t="str">
        <f>IF($A282="","",Summary!$Q$11)</f>
        <v/>
      </c>
      <c r="AH281" s="88" t="str">
        <f>IF($A282="","",IF(Summary!$R$11="Y",(VLOOKUP($A281,Summary!$AD$6:$AF$9,3)+'Escalating commodity'!G294),'Escalating commodity'!G294))</f>
        <v/>
      </c>
      <c r="AI281" s="88" t="str">
        <f t="shared" si="186"/>
        <v/>
      </c>
      <c r="AJ281" s="236" t="e">
        <f t="shared" si="172"/>
        <v>#VALUE!</v>
      </c>
      <c r="AK281" s="58" t="str">
        <f t="shared" si="173"/>
        <v/>
      </c>
      <c r="AL281" s="26" t="str">
        <f>IF($A282="","",_xll.SPRDOPT(P281,X281,AI281,0,AB281,AE281,AF281,AK281,$AJ$2,0))</f>
        <v/>
      </c>
      <c r="AM281" s="209" t="str">
        <f t="shared" si="174"/>
        <v/>
      </c>
      <c r="AN281" s="89" t="str">
        <f t="shared" si="175"/>
        <v/>
      </c>
      <c r="AO281" s="3" t="str">
        <f t="shared" si="176"/>
        <v/>
      </c>
      <c r="AP281" s="33" t="str">
        <f t="shared" si="177"/>
        <v/>
      </c>
      <c r="AQ281" s="58" t="str">
        <f t="shared" si="178"/>
        <v/>
      </c>
      <c r="AR281" s="38">
        <f>'ANR OK vs ML7'!AR281</f>
        <v>0.1</v>
      </c>
      <c r="AS281" s="35" t="str">
        <f t="shared" si="179"/>
        <v/>
      </c>
      <c r="AT281" s="3" t="str">
        <f t="shared" si="180"/>
        <v/>
      </c>
      <c r="AU281" s="3" t="str">
        <f t="shared" si="181"/>
        <v/>
      </c>
      <c r="AW281" s="32" t="str">
        <f t="shared" si="182"/>
        <v/>
      </c>
      <c r="AX281" s="32" t="str">
        <f t="shared" si="183"/>
        <v/>
      </c>
      <c r="AY281" s="32" t="str">
        <f t="shared" si="184"/>
        <v/>
      </c>
      <c r="BA281" s="32" t="str">
        <f>IF($A282="","",F281*Summary!$Q$11)</f>
        <v/>
      </c>
    </row>
    <row r="282" spans="1:53" ht="12" customHeight="1">
      <c r="A282" s="67" t="str">
        <f t="shared" si="185"/>
        <v/>
      </c>
      <c r="B282" s="69" t="str">
        <f t="shared" si="187"/>
        <v/>
      </c>
      <c r="C282" s="71"/>
      <c r="D282" s="69" t="str">
        <f t="shared" si="151"/>
        <v/>
      </c>
      <c r="E282" s="70" t="str">
        <f t="shared" si="152"/>
        <v/>
      </c>
      <c r="F282" s="70" t="str">
        <f t="shared" si="153"/>
        <v/>
      </c>
      <c r="G282" s="63" t="str">
        <f t="shared" si="154"/>
        <v/>
      </c>
      <c r="H282" s="64" t="str">
        <f t="shared" si="155"/>
        <v/>
      </c>
      <c r="I282" s="43"/>
      <c r="J282" s="63" t="str">
        <f t="shared" si="156"/>
        <v/>
      </c>
      <c r="K282" s="64" t="str">
        <f t="shared" si="157"/>
        <v/>
      </c>
      <c r="L282" s="63" t="str">
        <f t="shared" si="158"/>
        <v/>
      </c>
      <c r="M282" s="64" t="str">
        <f t="shared" si="159"/>
        <v/>
      </c>
      <c r="N282" s="65"/>
      <c r="O282" s="63" t="str">
        <f t="shared" si="160"/>
        <v/>
      </c>
      <c r="P282" s="63" t="str">
        <f t="shared" si="161"/>
        <v/>
      </c>
      <c r="Q282" s="66"/>
      <c r="R282" s="63" t="str">
        <f t="shared" si="162"/>
        <v/>
      </c>
      <c r="S282" s="64" t="str">
        <f t="shared" si="163"/>
        <v/>
      </c>
      <c r="T282" s="38">
        <v>0</v>
      </c>
      <c r="U282" s="64" t="str">
        <f t="shared" si="164"/>
        <v/>
      </c>
      <c r="V282" s="219" t="str">
        <f>IF($A283="","",IF(AND(MONTH(A282)&gt;3,MONTH(A282)&lt;11),(T282+R282+G282)*Summary!$T$11/(1-Summary!$T$11),(T282+R282+G282)*Summary!$U$11/(1-Summary!$U$11)))</f>
        <v/>
      </c>
      <c r="W282" s="43" t="str">
        <f t="shared" si="165"/>
        <v/>
      </c>
      <c r="X282" s="43" t="str">
        <f t="shared" si="166"/>
        <v/>
      </c>
      <c r="Y282" s="43"/>
      <c r="Z282" s="38" t="str">
        <f t="shared" si="167"/>
        <v/>
      </c>
      <c r="AA282" s="38" t="str">
        <f t="shared" si="168"/>
        <v/>
      </c>
      <c r="AB282" s="38" t="e">
        <f t="shared" si="169"/>
        <v>#VALUE!</v>
      </c>
      <c r="AC282" s="38" t="str">
        <f t="shared" si="170"/>
        <v/>
      </c>
      <c r="AD282" s="38" t="str">
        <f t="shared" si="170"/>
        <v/>
      </c>
      <c r="AE282" s="38" t="e">
        <f t="shared" si="171"/>
        <v>#VALUE!</v>
      </c>
      <c r="AF282" s="238" t="e">
        <f>((Summary!$N$11*(AA282*AD282)*(A282-$D$3))+(Summary!$M$11*Z282*AC282*(AJ282-EOMONTH(EDATE(A282,-1),0))))/(AK282*AB282*AE282)</f>
        <v>#VALUE!</v>
      </c>
      <c r="AG282" s="88" t="str">
        <f>IF($A283="","",Summary!$Q$11)</f>
        <v/>
      </c>
      <c r="AH282" s="88" t="str">
        <f>IF($A283="","",IF(Summary!$R$11="Y",(VLOOKUP($A282,Summary!$AD$6:$AF$9,3)+'Escalating commodity'!G295),'Escalating commodity'!G295))</f>
        <v/>
      </c>
      <c r="AI282" s="88" t="str">
        <f t="shared" si="186"/>
        <v/>
      </c>
      <c r="AJ282" s="236" t="e">
        <f t="shared" si="172"/>
        <v>#VALUE!</v>
      </c>
      <c r="AK282" s="58" t="str">
        <f t="shared" si="173"/>
        <v/>
      </c>
      <c r="AL282" s="26" t="str">
        <f>IF($A283="","",_xll.SPRDOPT(P282,X282,AI282,0,AB282,AE282,AF282,AK282,$AJ$2,0))</f>
        <v/>
      </c>
      <c r="AM282" s="209" t="str">
        <f t="shared" si="174"/>
        <v/>
      </c>
      <c r="AN282" s="89" t="str">
        <f t="shared" si="175"/>
        <v/>
      </c>
      <c r="AO282" s="3" t="str">
        <f t="shared" si="176"/>
        <v/>
      </c>
      <c r="AP282" s="33" t="str">
        <f t="shared" si="177"/>
        <v/>
      </c>
      <c r="AQ282" s="58" t="str">
        <f t="shared" si="178"/>
        <v/>
      </c>
      <c r="AR282" s="38">
        <f>'ANR OK vs ML7'!AR282</f>
        <v>0.1</v>
      </c>
      <c r="AS282" s="35" t="str">
        <f t="shared" si="179"/>
        <v/>
      </c>
      <c r="AT282" s="3" t="str">
        <f t="shared" si="180"/>
        <v/>
      </c>
      <c r="AU282" s="3" t="str">
        <f t="shared" si="181"/>
        <v/>
      </c>
      <c r="AW282" s="32" t="str">
        <f t="shared" si="182"/>
        <v/>
      </c>
      <c r="AX282" s="32" t="str">
        <f t="shared" si="183"/>
        <v/>
      </c>
      <c r="AY282" s="32" t="str">
        <f t="shared" si="184"/>
        <v/>
      </c>
      <c r="BA282" s="32" t="str">
        <f>IF($A283="","",F282*Summary!$Q$11)</f>
        <v/>
      </c>
    </row>
    <row r="283" spans="1:53" ht="12" customHeight="1">
      <c r="A283" s="67" t="str">
        <f t="shared" si="185"/>
        <v/>
      </c>
      <c r="B283" s="69" t="str">
        <f t="shared" si="187"/>
        <v/>
      </c>
      <c r="C283" s="71"/>
      <c r="D283" s="69" t="str">
        <f t="shared" si="151"/>
        <v/>
      </c>
      <c r="E283" s="70" t="str">
        <f t="shared" si="152"/>
        <v/>
      </c>
      <c r="F283" s="70" t="str">
        <f t="shared" si="153"/>
        <v/>
      </c>
      <c r="G283" s="63" t="str">
        <f t="shared" si="154"/>
        <v/>
      </c>
      <c r="H283" s="64" t="str">
        <f t="shared" si="155"/>
        <v/>
      </c>
      <c r="I283" s="43"/>
      <c r="J283" s="63" t="str">
        <f t="shared" si="156"/>
        <v/>
      </c>
      <c r="K283" s="64" t="str">
        <f t="shared" si="157"/>
        <v/>
      </c>
      <c r="L283" s="63" t="str">
        <f t="shared" si="158"/>
        <v/>
      </c>
      <c r="M283" s="64" t="str">
        <f t="shared" si="159"/>
        <v/>
      </c>
      <c r="N283" s="65"/>
      <c r="O283" s="63" t="str">
        <f t="shared" si="160"/>
        <v/>
      </c>
      <c r="P283" s="63" t="str">
        <f t="shared" si="161"/>
        <v/>
      </c>
      <c r="Q283" s="66"/>
      <c r="R283" s="63" t="str">
        <f t="shared" si="162"/>
        <v/>
      </c>
      <c r="S283" s="64" t="str">
        <f t="shared" si="163"/>
        <v/>
      </c>
      <c r="T283" s="38">
        <v>0</v>
      </c>
      <c r="U283" s="64" t="str">
        <f t="shared" si="164"/>
        <v/>
      </c>
      <c r="V283" s="219" t="str">
        <f>IF($A284="","",IF(AND(MONTH(A283)&gt;3,MONTH(A283)&lt;11),(T283+R283+G283)*Summary!$T$11/(1-Summary!$T$11),(T283+R283+G283)*Summary!$U$11/(1-Summary!$U$11)))</f>
        <v/>
      </c>
      <c r="W283" s="43" t="str">
        <f t="shared" si="165"/>
        <v/>
      </c>
      <c r="X283" s="43" t="str">
        <f t="shared" si="166"/>
        <v/>
      </c>
      <c r="Y283" s="43"/>
      <c r="Z283" s="38" t="str">
        <f t="shared" si="167"/>
        <v/>
      </c>
      <c r="AA283" s="38" t="str">
        <f t="shared" si="168"/>
        <v/>
      </c>
      <c r="AB283" s="38" t="e">
        <f t="shared" si="169"/>
        <v>#VALUE!</v>
      </c>
      <c r="AC283" s="38" t="str">
        <f t="shared" si="170"/>
        <v/>
      </c>
      <c r="AD283" s="38" t="str">
        <f t="shared" si="170"/>
        <v/>
      </c>
      <c r="AE283" s="38" t="e">
        <f t="shared" si="171"/>
        <v>#VALUE!</v>
      </c>
      <c r="AF283" s="238" t="e">
        <f>((Summary!$N$11*(AA283*AD283)*(A283-$D$3))+(Summary!$M$11*Z283*AC283*(AJ283-EOMONTH(EDATE(A283,-1),0))))/(AK283*AB283*AE283)</f>
        <v>#VALUE!</v>
      </c>
      <c r="AG283" s="88" t="str">
        <f>IF($A284="","",Summary!$Q$11)</f>
        <v/>
      </c>
      <c r="AH283" s="88" t="str">
        <f>IF($A284="","",IF(Summary!$R$11="Y",(VLOOKUP($A283,Summary!$AD$6:$AF$9,3)+'Escalating commodity'!G296),'Escalating commodity'!G296))</f>
        <v/>
      </c>
      <c r="AI283" s="88" t="str">
        <f t="shared" si="186"/>
        <v/>
      </c>
      <c r="AJ283" s="236" t="e">
        <f t="shared" si="172"/>
        <v>#VALUE!</v>
      </c>
      <c r="AK283" s="58" t="str">
        <f t="shared" si="173"/>
        <v/>
      </c>
      <c r="AL283" s="26" t="str">
        <f>IF($A284="","",_xll.SPRDOPT(P283,X283,AI283,0,AB283,AE283,AF283,AK283,$AJ$2,0))</f>
        <v/>
      </c>
      <c r="AM283" s="209" t="str">
        <f t="shared" si="174"/>
        <v/>
      </c>
      <c r="AN283" s="89" t="str">
        <f t="shared" si="175"/>
        <v/>
      </c>
      <c r="AO283" s="3" t="str">
        <f t="shared" si="176"/>
        <v/>
      </c>
      <c r="AP283" s="33" t="str">
        <f t="shared" si="177"/>
        <v/>
      </c>
      <c r="AQ283" s="58" t="str">
        <f t="shared" si="178"/>
        <v/>
      </c>
      <c r="AR283" s="38">
        <f>'ANR OK vs ML7'!AR283</f>
        <v>0.1</v>
      </c>
      <c r="AS283" s="35" t="str">
        <f t="shared" si="179"/>
        <v/>
      </c>
      <c r="AT283" s="3" t="str">
        <f t="shared" si="180"/>
        <v/>
      </c>
      <c r="AU283" s="3" t="str">
        <f t="shared" si="181"/>
        <v/>
      </c>
      <c r="AW283" s="32" t="str">
        <f t="shared" si="182"/>
        <v/>
      </c>
      <c r="AX283" s="32" t="str">
        <f t="shared" si="183"/>
        <v/>
      </c>
      <c r="AY283" s="32" t="str">
        <f t="shared" si="184"/>
        <v/>
      </c>
      <c r="BA283" s="32" t="str">
        <f>IF($A284="","",F283*Summary!$Q$11)</f>
        <v/>
      </c>
    </row>
    <row r="284" spans="1:53" ht="12" customHeight="1">
      <c r="A284" s="67" t="str">
        <f t="shared" si="185"/>
        <v/>
      </c>
      <c r="B284" s="69" t="str">
        <f t="shared" si="187"/>
        <v/>
      </c>
      <c r="C284" s="71"/>
      <c r="D284" s="69" t="str">
        <f t="shared" si="151"/>
        <v/>
      </c>
      <c r="E284" s="70" t="str">
        <f t="shared" si="152"/>
        <v/>
      </c>
      <c r="F284" s="70" t="str">
        <f t="shared" si="153"/>
        <v/>
      </c>
      <c r="G284" s="63" t="str">
        <f t="shared" si="154"/>
        <v/>
      </c>
      <c r="H284" s="64" t="str">
        <f t="shared" si="155"/>
        <v/>
      </c>
      <c r="I284" s="43"/>
      <c r="J284" s="63" t="str">
        <f t="shared" si="156"/>
        <v/>
      </c>
      <c r="K284" s="64" t="str">
        <f t="shared" si="157"/>
        <v/>
      </c>
      <c r="L284" s="63" t="str">
        <f t="shared" si="158"/>
        <v/>
      </c>
      <c r="M284" s="64" t="str">
        <f t="shared" si="159"/>
        <v/>
      </c>
      <c r="N284" s="65"/>
      <c r="O284" s="63" t="str">
        <f t="shared" si="160"/>
        <v/>
      </c>
      <c r="P284" s="63" t="str">
        <f t="shared" si="161"/>
        <v/>
      </c>
      <c r="Q284" s="66"/>
      <c r="R284" s="63" t="str">
        <f t="shared" si="162"/>
        <v/>
      </c>
      <c r="S284" s="64" t="str">
        <f t="shared" si="163"/>
        <v/>
      </c>
      <c r="T284" s="38">
        <v>0</v>
      </c>
      <c r="U284" s="64" t="str">
        <f t="shared" si="164"/>
        <v/>
      </c>
      <c r="V284" s="219" t="str">
        <f>IF($A285="","",IF(AND(MONTH(A284)&gt;3,MONTH(A284)&lt;11),(T284+R284+G284)*Summary!$T$11/(1-Summary!$T$11),(T284+R284+G284)*Summary!$U$11/(1-Summary!$U$11)))</f>
        <v/>
      </c>
      <c r="W284" s="43" t="str">
        <f t="shared" si="165"/>
        <v/>
      </c>
      <c r="X284" s="43" t="str">
        <f t="shared" si="166"/>
        <v/>
      </c>
      <c r="Y284" s="43"/>
      <c r="Z284" s="38" t="str">
        <f t="shared" si="167"/>
        <v/>
      </c>
      <c r="AA284" s="38" t="str">
        <f t="shared" si="168"/>
        <v/>
      </c>
      <c r="AB284" s="38" t="e">
        <f t="shared" si="169"/>
        <v>#VALUE!</v>
      </c>
      <c r="AC284" s="38" t="str">
        <f t="shared" si="170"/>
        <v/>
      </c>
      <c r="AD284" s="38" t="str">
        <f t="shared" si="170"/>
        <v/>
      </c>
      <c r="AE284" s="38" t="e">
        <f t="shared" si="171"/>
        <v>#VALUE!</v>
      </c>
      <c r="AF284" s="238" t="e">
        <f>((Summary!$N$11*(AA284*AD284)*(A284-$D$3))+(Summary!$M$11*Z284*AC284*(AJ284-EOMONTH(EDATE(A284,-1),0))))/(AK284*AB284*AE284)</f>
        <v>#VALUE!</v>
      </c>
      <c r="AG284" s="88" t="str">
        <f>IF($A285="","",Summary!$Q$11)</f>
        <v/>
      </c>
      <c r="AH284" s="88" t="str">
        <f>IF($A285="","",IF(Summary!$R$11="Y",(VLOOKUP($A284,Summary!$AD$6:$AF$9,3)+'Escalating commodity'!G297),'Escalating commodity'!G297))</f>
        <v/>
      </c>
      <c r="AI284" s="88" t="str">
        <f t="shared" si="186"/>
        <v/>
      </c>
      <c r="AJ284" s="236" t="e">
        <f t="shared" si="172"/>
        <v>#VALUE!</v>
      </c>
      <c r="AK284" s="58" t="str">
        <f t="shared" si="173"/>
        <v/>
      </c>
      <c r="AL284" s="26" t="str">
        <f>IF($A285="","",_xll.SPRDOPT(P284,X284,AI284,0,AB284,AE284,AF284,AK284,$AJ$2,0))</f>
        <v/>
      </c>
      <c r="AM284" s="209" t="str">
        <f t="shared" si="174"/>
        <v/>
      </c>
      <c r="AN284" s="89" t="str">
        <f t="shared" si="175"/>
        <v/>
      </c>
      <c r="AO284" s="3" t="str">
        <f t="shared" si="176"/>
        <v/>
      </c>
      <c r="AP284" s="33" t="str">
        <f t="shared" si="177"/>
        <v/>
      </c>
      <c r="AQ284" s="58" t="str">
        <f t="shared" si="178"/>
        <v/>
      </c>
      <c r="AR284" s="38">
        <f>'ANR OK vs ML7'!AR284</f>
        <v>0.1</v>
      </c>
      <c r="AS284" s="35" t="str">
        <f t="shared" si="179"/>
        <v/>
      </c>
      <c r="AT284" s="3" t="str">
        <f t="shared" si="180"/>
        <v/>
      </c>
      <c r="AU284" s="3" t="str">
        <f t="shared" si="181"/>
        <v/>
      </c>
      <c r="AW284" s="32" t="str">
        <f t="shared" si="182"/>
        <v/>
      </c>
      <c r="AX284" s="32" t="str">
        <f t="shared" si="183"/>
        <v/>
      </c>
      <c r="AY284" s="32" t="str">
        <f t="shared" si="184"/>
        <v/>
      </c>
      <c r="BA284" s="32" t="str">
        <f>IF($A285="","",F284*Summary!$Q$11)</f>
        <v/>
      </c>
    </row>
    <row r="285" spans="1:53" ht="12" customHeight="1">
      <c r="A285" s="67" t="str">
        <f t="shared" si="185"/>
        <v/>
      </c>
      <c r="B285" s="69" t="str">
        <f t="shared" si="187"/>
        <v/>
      </c>
      <c r="C285" s="71"/>
      <c r="D285" s="69" t="str">
        <f t="shared" si="151"/>
        <v/>
      </c>
      <c r="E285" s="70" t="str">
        <f t="shared" si="152"/>
        <v/>
      </c>
      <c r="F285" s="70" t="str">
        <f t="shared" si="153"/>
        <v/>
      </c>
      <c r="G285" s="63" t="str">
        <f t="shared" si="154"/>
        <v/>
      </c>
      <c r="H285" s="64" t="str">
        <f t="shared" si="155"/>
        <v/>
      </c>
      <c r="I285" s="43"/>
      <c r="J285" s="63" t="str">
        <f t="shared" si="156"/>
        <v/>
      </c>
      <c r="K285" s="64" t="str">
        <f t="shared" si="157"/>
        <v/>
      </c>
      <c r="L285" s="63" t="str">
        <f t="shared" si="158"/>
        <v/>
      </c>
      <c r="M285" s="64" t="str">
        <f t="shared" si="159"/>
        <v/>
      </c>
      <c r="N285" s="65"/>
      <c r="O285" s="63" t="str">
        <f t="shared" si="160"/>
        <v/>
      </c>
      <c r="P285" s="63" t="str">
        <f t="shared" si="161"/>
        <v/>
      </c>
      <c r="Q285" s="66"/>
      <c r="R285" s="63" t="str">
        <f t="shared" si="162"/>
        <v/>
      </c>
      <c r="S285" s="64" t="str">
        <f t="shared" si="163"/>
        <v/>
      </c>
      <c r="T285" s="38">
        <v>0</v>
      </c>
      <c r="U285" s="64" t="str">
        <f t="shared" si="164"/>
        <v/>
      </c>
      <c r="V285" s="219" t="str">
        <f>IF($A286="","",IF(AND(MONTH(A285)&gt;3,MONTH(A285)&lt;11),(T285+R285+G285)*Summary!$T$11/(1-Summary!$T$11),(T285+R285+G285)*Summary!$U$11/(1-Summary!$U$11)))</f>
        <v/>
      </c>
      <c r="W285" s="43" t="str">
        <f t="shared" si="165"/>
        <v/>
      </c>
      <c r="X285" s="43" t="str">
        <f t="shared" si="166"/>
        <v/>
      </c>
      <c r="Y285" s="43"/>
      <c r="Z285" s="38" t="str">
        <f t="shared" si="167"/>
        <v/>
      </c>
      <c r="AA285" s="38" t="str">
        <f t="shared" si="168"/>
        <v/>
      </c>
      <c r="AB285" s="38" t="e">
        <f t="shared" si="169"/>
        <v>#VALUE!</v>
      </c>
      <c r="AC285" s="38" t="str">
        <f t="shared" si="170"/>
        <v/>
      </c>
      <c r="AD285" s="38" t="str">
        <f t="shared" si="170"/>
        <v/>
      </c>
      <c r="AE285" s="38" t="e">
        <f t="shared" si="171"/>
        <v>#VALUE!</v>
      </c>
      <c r="AF285" s="238" t="e">
        <f>((Summary!$N$11*(AA285*AD285)*(A285-$D$3))+(Summary!$M$11*Z285*AC285*(AJ285-EOMONTH(EDATE(A285,-1),0))))/(AK285*AB285*AE285)</f>
        <v>#VALUE!</v>
      </c>
      <c r="AG285" s="88" t="str">
        <f>IF($A286="","",Summary!$Q$11)</f>
        <v/>
      </c>
      <c r="AH285" s="88" t="str">
        <f>IF($A286="","",IF(Summary!$R$11="Y",(VLOOKUP($A285,Summary!$AD$6:$AF$9,3)+'Escalating commodity'!G298),'Escalating commodity'!G298))</f>
        <v/>
      </c>
      <c r="AI285" s="88" t="str">
        <f t="shared" si="186"/>
        <v/>
      </c>
      <c r="AJ285" s="236" t="e">
        <f t="shared" si="172"/>
        <v>#VALUE!</v>
      </c>
      <c r="AK285" s="58" t="str">
        <f t="shared" si="173"/>
        <v/>
      </c>
      <c r="AL285" s="26" t="str">
        <f>IF($A286="","",_xll.SPRDOPT(P285,X285,AI285,0,AB285,AE285,AF285,AK285,$AJ$2,0))</f>
        <v/>
      </c>
      <c r="AM285" s="209" t="str">
        <f t="shared" si="174"/>
        <v/>
      </c>
      <c r="AN285" s="89" t="str">
        <f t="shared" si="175"/>
        <v/>
      </c>
      <c r="AO285" s="3" t="str">
        <f t="shared" si="176"/>
        <v/>
      </c>
      <c r="AP285" s="33" t="str">
        <f t="shared" si="177"/>
        <v/>
      </c>
      <c r="AQ285" s="58" t="str">
        <f t="shared" si="178"/>
        <v/>
      </c>
      <c r="AR285" s="38">
        <f>'ANR OK vs ML7'!AR285</f>
        <v>0.1</v>
      </c>
      <c r="AS285" s="35" t="str">
        <f t="shared" si="179"/>
        <v/>
      </c>
      <c r="AT285" s="3" t="str">
        <f t="shared" si="180"/>
        <v/>
      </c>
      <c r="AU285" s="3" t="str">
        <f t="shared" si="181"/>
        <v/>
      </c>
      <c r="AW285" s="32" t="str">
        <f t="shared" si="182"/>
        <v/>
      </c>
      <c r="AX285" s="32" t="str">
        <f t="shared" si="183"/>
        <v/>
      </c>
      <c r="AY285" s="32" t="str">
        <f t="shared" si="184"/>
        <v/>
      </c>
      <c r="BA285" s="32" t="str">
        <f>IF($A286="","",F285*Summary!$Q$11)</f>
        <v/>
      </c>
    </row>
    <row r="286" spans="1:53" ht="12" customHeight="1">
      <c r="A286" s="67" t="str">
        <f t="shared" si="185"/>
        <v/>
      </c>
      <c r="B286" s="69" t="str">
        <f t="shared" si="187"/>
        <v/>
      </c>
      <c r="C286" s="71"/>
      <c r="D286" s="69" t="str">
        <f t="shared" si="151"/>
        <v/>
      </c>
      <c r="E286" s="70" t="str">
        <f t="shared" si="152"/>
        <v/>
      </c>
      <c r="F286" s="70" t="str">
        <f t="shared" si="153"/>
        <v/>
      </c>
      <c r="G286" s="63" t="str">
        <f t="shared" si="154"/>
        <v/>
      </c>
      <c r="H286" s="64" t="str">
        <f t="shared" si="155"/>
        <v/>
      </c>
      <c r="I286" s="43"/>
      <c r="J286" s="63" t="str">
        <f t="shared" si="156"/>
        <v/>
      </c>
      <c r="K286" s="64" t="str">
        <f t="shared" si="157"/>
        <v/>
      </c>
      <c r="L286" s="63" t="str">
        <f t="shared" si="158"/>
        <v/>
      </c>
      <c r="M286" s="64" t="str">
        <f t="shared" si="159"/>
        <v/>
      </c>
      <c r="N286" s="65"/>
      <c r="O286" s="63" t="str">
        <f t="shared" si="160"/>
        <v/>
      </c>
      <c r="P286" s="63" t="str">
        <f t="shared" si="161"/>
        <v/>
      </c>
      <c r="Q286" s="66"/>
      <c r="R286" s="63" t="str">
        <f t="shared" si="162"/>
        <v/>
      </c>
      <c r="S286" s="64" t="str">
        <f t="shared" si="163"/>
        <v/>
      </c>
      <c r="T286" s="38">
        <v>0</v>
      </c>
      <c r="U286" s="64" t="str">
        <f t="shared" si="164"/>
        <v/>
      </c>
      <c r="V286" s="219" t="str">
        <f>IF($A287="","",IF(AND(MONTH(A286)&gt;3,MONTH(A286)&lt;11),(T286+R286+G286)*Summary!$T$11/(1-Summary!$T$11),(T286+R286+G286)*Summary!$U$11/(1-Summary!$U$11)))</f>
        <v/>
      </c>
      <c r="W286" s="43" t="str">
        <f t="shared" si="165"/>
        <v/>
      </c>
      <c r="X286" s="43" t="str">
        <f t="shared" si="166"/>
        <v/>
      </c>
      <c r="Y286" s="43"/>
      <c r="Z286" s="38" t="str">
        <f t="shared" si="167"/>
        <v/>
      </c>
      <c r="AA286" s="38" t="str">
        <f t="shared" si="168"/>
        <v/>
      </c>
      <c r="AB286" s="38" t="e">
        <f t="shared" si="169"/>
        <v>#VALUE!</v>
      </c>
      <c r="AC286" s="38" t="str">
        <f t="shared" si="170"/>
        <v/>
      </c>
      <c r="AD286" s="38" t="str">
        <f t="shared" si="170"/>
        <v/>
      </c>
      <c r="AE286" s="38" t="e">
        <f t="shared" si="171"/>
        <v>#VALUE!</v>
      </c>
      <c r="AF286" s="238" t="e">
        <f>((Summary!$N$11*(AA286*AD286)*(A286-$D$3))+(Summary!$M$11*Z286*AC286*(AJ286-EOMONTH(EDATE(A286,-1),0))))/(AK286*AB286*AE286)</f>
        <v>#VALUE!</v>
      </c>
      <c r="AG286" s="88" t="str">
        <f>IF($A287="","",Summary!$Q$11)</f>
        <v/>
      </c>
      <c r="AH286" s="88" t="str">
        <f>IF($A287="","",IF(Summary!$R$11="Y",(VLOOKUP($A286,Summary!$AD$6:$AF$9,3)+'Escalating commodity'!G299),'Escalating commodity'!G299))</f>
        <v/>
      </c>
      <c r="AI286" s="88" t="str">
        <f t="shared" si="186"/>
        <v/>
      </c>
      <c r="AJ286" s="236" t="e">
        <f t="shared" si="172"/>
        <v>#VALUE!</v>
      </c>
      <c r="AK286" s="58" t="str">
        <f t="shared" si="173"/>
        <v/>
      </c>
      <c r="AL286" s="26" t="str">
        <f>IF($A287="","",_xll.SPRDOPT(P286,X286,AI286,0,AB286,AE286,AF286,AK286,$AJ$2,0))</f>
        <v/>
      </c>
      <c r="AM286" s="209" t="str">
        <f t="shared" si="174"/>
        <v/>
      </c>
      <c r="AN286" s="89" t="str">
        <f t="shared" si="175"/>
        <v/>
      </c>
      <c r="AO286" s="3" t="str">
        <f t="shared" si="176"/>
        <v/>
      </c>
      <c r="AP286" s="33" t="str">
        <f t="shared" si="177"/>
        <v/>
      </c>
      <c r="AQ286" s="58" t="str">
        <f t="shared" si="178"/>
        <v/>
      </c>
      <c r="AR286" s="38">
        <f>'ANR OK vs ML7'!AR286</f>
        <v>0.1</v>
      </c>
      <c r="AS286" s="35" t="str">
        <f t="shared" si="179"/>
        <v/>
      </c>
      <c r="AT286" s="3" t="str">
        <f t="shared" si="180"/>
        <v/>
      </c>
      <c r="AU286" s="3" t="str">
        <f t="shared" si="181"/>
        <v/>
      </c>
      <c r="AW286" s="32" t="str">
        <f t="shared" si="182"/>
        <v/>
      </c>
      <c r="AX286" s="32" t="str">
        <f t="shared" si="183"/>
        <v/>
      </c>
      <c r="AY286" s="32" t="str">
        <f t="shared" si="184"/>
        <v/>
      </c>
      <c r="BA286" s="32" t="str">
        <f>IF($A287="","",F286*Summary!$Q$11)</f>
        <v/>
      </c>
    </row>
    <row r="287" spans="1:53" ht="12" customHeight="1">
      <c r="A287" s="67" t="str">
        <f t="shared" si="185"/>
        <v/>
      </c>
      <c r="B287" s="69" t="str">
        <f t="shared" si="187"/>
        <v/>
      </c>
      <c r="C287" s="71"/>
      <c r="D287" s="69" t="str">
        <f t="shared" si="151"/>
        <v/>
      </c>
      <c r="E287" s="70" t="str">
        <f t="shared" si="152"/>
        <v/>
      </c>
      <c r="F287" s="70" t="str">
        <f t="shared" si="153"/>
        <v/>
      </c>
      <c r="G287" s="63" t="str">
        <f t="shared" si="154"/>
        <v/>
      </c>
      <c r="H287" s="64" t="str">
        <f t="shared" si="155"/>
        <v/>
      </c>
      <c r="I287" s="43"/>
      <c r="J287" s="63" t="str">
        <f t="shared" si="156"/>
        <v/>
      </c>
      <c r="K287" s="64" t="str">
        <f t="shared" si="157"/>
        <v/>
      </c>
      <c r="L287" s="63" t="str">
        <f t="shared" si="158"/>
        <v/>
      </c>
      <c r="M287" s="64" t="str">
        <f t="shared" si="159"/>
        <v/>
      </c>
      <c r="N287" s="65"/>
      <c r="O287" s="63" t="str">
        <f t="shared" si="160"/>
        <v/>
      </c>
      <c r="P287" s="63" t="str">
        <f t="shared" si="161"/>
        <v/>
      </c>
      <c r="Q287" s="66"/>
      <c r="R287" s="63" t="str">
        <f t="shared" si="162"/>
        <v/>
      </c>
      <c r="S287" s="64" t="str">
        <f t="shared" si="163"/>
        <v/>
      </c>
      <c r="T287" s="38">
        <v>0</v>
      </c>
      <c r="U287" s="64" t="str">
        <f t="shared" si="164"/>
        <v/>
      </c>
      <c r="V287" s="219" t="str">
        <f>IF($A288="","",IF(AND(MONTH(A287)&gt;3,MONTH(A287)&lt;11),(T287+R287+G287)*Summary!$T$11/(1-Summary!$T$11),(T287+R287+G287)*Summary!$U$11/(1-Summary!$U$11)))</f>
        <v/>
      </c>
      <c r="W287" s="43" t="str">
        <f t="shared" si="165"/>
        <v/>
      </c>
      <c r="X287" s="43" t="str">
        <f t="shared" si="166"/>
        <v/>
      </c>
      <c r="Y287" s="43"/>
      <c r="Z287" s="38" t="str">
        <f t="shared" si="167"/>
        <v/>
      </c>
      <c r="AA287" s="38" t="str">
        <f t="shared" si="168"/>
        <v/>
      </c>
      <c r="AB287" s="38" t="e">
        <f t="shared" si="169"/>
        <v>#VALUE!</v>
      </c>
      <c r="AC287" s="38" t="str">
        <f t="shared" si="170"/>
        <v/>
      </c>
      <c r="AD287" s="38" t="str">
        <f t="shared" si="170"/>
        <v/>
      </c>
      <c r="AE287" s="38" t="e">
        <f t="shared" si="171"/>
        <v>#VALUE!</v>
      </c>
      <c r="AF287" s="238" t="e">
        <f>((Summary!$N$11*(AA287*AD287)*(A287-$D$3))+(Summary!$M$11*Z287*AC287*(AJ287-EOMONTH(EDATE(A287,-1),0))))/(AK287*AB287*AE287)</f>
        <v>#VALUE!</v>
      </c>
      <c r="AG287" s="88" t="str">
        <f>IF($A288="","",Summary!$Q$11)</f>
        <v/>
      </c>
      <c r="AH287" s="88" t="str">
        <f>IF($A288="","",IF(Summary!$R$11="Y",(VLOOKUP($A287,Summary!$AD$6:$AF$9,3)+'Escalating commodity'!G300),'Escalating commodity'!G300))</f>
        <v/>
      </c>
      <c r="AI287" s="88" t="str">
        <f t="shared" si="186"/>
        <v/>
      </c>
      <c r="AJ287" s="236" t="e">
        <f t="shared" si="172"/>
        <v>#VALUE!</v>
      </c>
      <c r="AK287" s="58" t="str">
        <f t="shared" si="173"/>
        <v/>
      </c>
      <c r="AL287" s="26" t="str">
        <f>IF($A288="","",_xll.SPRDOPT(P287,X287,AI287,0,AB287,AE287,AF287,AK287,$AJ$2,0))</f>
        <v/>
      </c>
      <c r="AM287" s="209" t="str">
        <f t="shared" si="174"/>
        <v/>
      </c>
      <c r="AN287" s="89" t="str">
        <f t="shared" si="175"/>
        <v/>
      </c>
      <c r="AO287" s="3" t="str">
        <f t="shared" si="176"/>
        <v/>
      </c>
      <c r="AP287" s="33" t="str">
        <f t="shared" si="177"/>
        <v/>
      </c>
      <c r="AQ287" s="58" t="str">
        <f t="shared" si="178"/>
        <v/>
      </c>
      <c r="AR287" s="38">
        <f>'ANR OK vs ML7'!AR287</f>
        <v>0.1</v>
      </c>
      <c r="AS287" s="35" t="str">
        <f t="shared" si="179"/>
        <v/>
      </c>
      <c r="AT287" s="3" t="str">
        <f t="shared" si="180"/>
        <v/>
      </c>
      <c r="AU287" s="3" t="str">
        <f t="shared" si="181"/>
        <v/>
      </c>
      <c r="AW287" s="32" t="str">
        <f t="shared" si="182"/>
        <v/>
      </c>
      <c r="AX287" s="32" t="str">
        <f t="shared" si="183"/>
        <v/>
      </c>
      <c r="AY287" s="32" t="str">
        <f t="shared" si="184"/>
        <v/>
      </c>
      <c r="BA287" s="32" t="str">
        <f>IF($A288="","",F287*Summary!$Q$11)</f>
        <v/>
      </c>
    </row>
    <row r="288" spans="1:53" ht="12" customHeight="1">
      <c r="A288" s="67" t="str">
        <f t="shared" si="185"/>
        <v/>
      </c>
      <c r="B288" s="69" t="str">
        <f t="shared" si="187"/>
        <v/>
      </c>
      <c r="C288" s="71"/>
      <c r="D288" s="69" t="str">
        <f t="shared" si="151"/>
        <v/>
      </c>
      <c r="E288" s="70" t="str">
        <f t="shared" si="152"/>
        <v/>
      </c>
      <c r="F288" s="70" t="str">
        <f t="shared" si="153"/>
        <v/>
      </c>
      <c r="G288" s="63" t="str">
        <f t="shared" si="154"/>
        <v/>
      </c>
      <c r="H288" s="64" t="str">
        <f t="shared" si="155"/>
        <v/>
      </c>
      <c r="I288" s="43"/>
      <c r="J288" s="63" t="str">
        <f t="shared" si="156"/>
        <v/>
      </c>
      <c r="K288" s="64" t="str">
        <f t="shared" si="157"/>
        <v/>
      </c>
      <c r="L288" s="63" t="str">
        <f t="shared" si="158"/>
        <v/>
      </c>
      <c r="M288" s="64" t="str">
        <f t="shared" si="159"/>
        <v/>
      </c>
      <c r="N288" s="65"/>
      <c r="O288" s="63" t="str">
        <f t="shared" si="160"/>
        <v/>
      </c>
      <c r="P288" s="63" t="str">
        <f t="shared" si="161"/>
        <v/>
      </c>
      <c r="Q288" s="66"/>
      <c r="R288" s="63" t="str">
        <f t="shared" si="162"/>
        <v/>
      </c>
      <c r="S288" s="64" t="str">
        <f t="shared" si="163"/>
        <v/>
      </c>
      <c r="T288" s="38">
        <v>0</v>
      </c>
      <c r="U288" s="64" t="str">
        <f t="shared" si="164"/>
        <v/>
      </c>
      <c r="V288" s="219" t="str">
        <f>IF($A289="","",IF(AND(MONTH(A288)&gt;3,MONTH(A288)&lt;11),(T288+R288+G288)*Summary!$T$11/(1-Summary!$T$11),(T288+R288+G288)*Summary!$U$11/(1-Summary!$U$11)))</f>
        <v/>
      </c>
      <c r="W288" s="43" t="str">
        <f t="shared" si="165"/>
        <v/>
      </c>
      <c r="X288" s="43" t="str">
        <f t="shared" si="166"/>
        <v/>
      </c>
      <c r="Y288" s="43"/>
      <c r="Z288" s="38" t="str">
        <f t="shared" si="167"/>
        <v/>
      </c>
      <c r="AA288" s="38" t="str">
        <f t="shared" si="168"/>
        <v/>
      </c>
      <c r="AB288" s="38" t="e">
        <f t="shared" si="169"/>
        <v>#VALUE!</v>
      </c>
      <c r="AC288" s="38" t="str">
        <f t="shared" si="170"/>
        <v/>
      </c>
      <c r="AD288" s="38" t="str">
        <f t="shared" si="170"/>
        <v/>
      </c>
      <c r="AE288" s="38" t="e">
        <f t="shared" si="171"/>
        <v>#VALUE!</v>
      </c>
      <c r="AF288" s="238" t="e">
        <f>((Summary!$N$11*(AA288*AD288)*(A288-$D$3))+(Summary!$M$11*Z288*AC288*(AJ288-EOMONTH(EDATE(A288,-1),0))))/(AK288*AB288*AE288)</f>
        <v>#VALUE!</v>
      </c>
      <c r="AG288" s="88" t="str">
        <f>IF($A289="","",Summary!$Q$11)</f>
        <v/>
      </c>
      <c r="AH288" s="88" t="str">
        <f>IF($A289="","",IF(Summary!$R$11="Y",(VLOOKUP($A288,Summary!$AD$6:$AF$9,3)+'Escalating commodity'!G301),'Escalating commodity'!G301))</f>
        <v/>
      </c>
      <c r="AI288" s="88" t="str">
        <f t="shared" si="186"/>
        <v/>
      </c>
      <c r="AJ288" s="236" t="e">
        <f t="shared" si="172"/>
        <v>#VALUE!</v>
      </c>
      <c r="AK288" s="58" t="str">
        <f t="shared" si="173"/>
        <v/>
      </c>
      <c r="AL288" s="26" t="str">
        <f>IF($A289="","",_xll.SPRDOPT(P288,X288,AI288,0,AB288,AE288,AF288,AK288,$AJ$2,0))</f>
        <v/>
      </c>
      <c r="AM288" s="209" t="str">
        <f t="shared" si="174"/>
        <v/>
      </c>
      <c r="AN288" s="89" t="str">
        <f t="shared" si="175"/>
        <v/>
      </c>
      <c r="AO288" s="3" t="str">
        <f t="shared" si="176"/>
        <v/>
      </c>
      <c r="AP288" s="33" t="str">
        <f t="shared" si="177"/>
        <v/>
      </c>
      <c r="AQ288" s="58" t="str">
        <f t="shared" si="178"/>
        <v/>
      </c>
      <c r="AR288" s="38">
        <f>'ANR OK vs ML7'!AR288</f>
        <v>0.1</v>
      </c>
      <c r="AS288" s="35" t="str">
        <f t="shared" si="179"/>
        <v/>
      </c>
      <c r="AT288" s="3" t="str">
        <f t="shared" si="180"/>
        <v/>
      </c>
      <c r="AU288" s="3" t="str">
        <f t="shared" si="181"/>
        <v/>
      </c>
      <c r="AW288" s="32" t="str">
        <f t="shared" si="182"/>
        <v/>
      </c>
      <c r="AX288" s="32" t="str">
        <f t="shared" si="183"/>
        <v/>
      </c>
      <c r="AY288" s="32" t="str">
        <f t="shared" si="184"/>
        <v/>
      </c>
      <c r="BA288" s="32" t="str">
        <f>IF($A289="","",F288*Summary!$Q$11)</f>
        <v/>
      </c>
    </row>
    <row r="289" spans="1:53" ht="12" customHeight="1">
      <c r="A289" s="67" t="str">
        <f t="shared" si="185"/>
        <v/>
      </c>
      <c r="B289" s="69" t="str">
        <f t="shared" si="187"/>
        <v/>
      </c>
      <c r="C289" s="71"/>
      <c r="D289" s="69" t="str">
        <f t="shared" si="151"/>
        <v/>
      </c>
      <c r="E289" s="70" t="str">
        <f t="shared" si="152"/>
        <v/>
      </c>
      <c r="F289" s="70" t="str">
        <f t="shared" si="153"/>
        <v/>
      </c>
      <c r="G289" s="63" t="str">
        <f t="shared" si="154"/>
        <v/>
      </c>
      <c r="H289" s="64" t="str">
        <f t="shared" si="155"/>
        <v/>
      </c>
      <c r="I289" s="43"/>
      <c r="J289" s="63" t="str">
        <f t="shared" si="156"/>
        <v/>
      </c>
      <c r="K289" s="64" t="str">
        <f t="shared" si="157"/>
        <v/>
      </c>
      <c r="L289" s="63" t="str">
        <f t="shared" si="158"/>
        <v/>
      </c>
      <c r="M289" s="64" t="str">
        <f t="shared" si="159"/>
        <v/>
      </c>
      <c r="N289" s="65"/>
      <c r="O289" s="63" t="str">
        <f t="shared" si="160"/>
        <v/>
      </c>
      <c r="P289" s="63" t="str">
        <f t="shared" si="161"/>
        <v/>
      </c>
      <c r="Q289" s="66"/>
      <c r="R289" s="63" t="str">
        <f t="shared" si="162"/>
        <v/>
      </c>
      <c r="S289" s="64" t="str">
        <f t="shared" si="163"/>
        <v/>
      </c>
      <c r="T289" s="38">
        <v>0</v>
      </c>
      <c r="U289" s="64" t="str">
        <f t="shared" si="164"/>
        <v/>
      </c>
      <c r="V289" s="219" t="str">
        <f>IF($A290="","",IF(AND(MONTH(A289)&gt;3,MONTH(A289)&lt;11),(T289+R289+G289)*Summary!$T$11/(1-Summary!$T$11),(T289+R289+G289)*Summary!$U$11/(1-Summary!$U$11)))</f>
        <v/>
      </c>
      <c r="W289" s="43" t="str">
        <f t="shared" si="165"/>
        <v/>
      </c>
      <c r="X289" s="43" t="str">
        <f t="shared" si="166"/>
        <v/>
      </c>
      <c r="Y289" s="43"/>
      <c r="Z289" s="38" t="str">
        <f t="shared" si="167"/>
        <v/>
      </c>
      <c r="AA289" s="38" t="str">
        <f t="shared" si="168"/>
        <v/>
      </c>
      <c r="AB289" s="38" t="e">
        <f t="shared" si="169"/>
        <v>#VALUE!</v>
      </c>
      <c r="AC289" s="38" t="str">
        <f t="shared" si="170"/>
        <v/>
      </c>
      <c r="AD289" s="38" t="str">
        <f t="shared" si="170"/>
        <v/>
      </c>
      <c r="AE289" s="38" t="e">
        <f t="shared" si="171"/>
        <v>#VALUE!</v>
      </c>
      <c r="AF289" s="238" t="e">
        <f>((Summary!$N$11*(AA289*AD289)*(A289-$D$3))+(Summary!$M$11*Z289*AC289*(AJ289-EOMONTH(EDATE(A289,-1),0))))/(AK289*AB289*AE289)</f>
        <v>#VALUE!</v>
      </c>
      <c r="AG289" s="88" t="str">
        <f>IF($A290="","",Summary!$Q$11)</f>
        <v/>
      </c>
      <c r="AH289" s="88" t="str">
        <f>IF($A290="","",IF(Summary!$R$11="Y",(VLOOKUP($A289,Summary!$AD$6:$AF$9,3)+'Escalating commodity'!G302),'Escalating commodity'!G302))</f>
        <v/>
      </c>
      <c r="AI289" s="88" t="str">
        <f t="shared" si="186"/>
        <v/>
      </c>
      <c r="AJ289" s="236" t="e">
        <f t="shared" si="172"/>
        <v>#VALUE!</v>
      </c>
      <c r="AK289" s="58" t="str">
        <f t="shared" si="173"/>
        <v/>
      </c>
      <c r="AL289" s="26" t="str">
        <f>IF($A290="","",_xll.SPRDOPT(P289,X289,AI289,0,AB289,AE289,AF289,AK289,$AJ$2,0))</f>
        <v/>
      </c>
      <c r="AM289" s="209" t="str">
        <f t="shared" si="174"/>
        <v/>
      </c>
      <c r="AN289" s="89" t="str">
        <f t="shared" si="175"/>
        <v/>
      </c>
      <c r="AO289" s="3" t="str">
        <f t="shared" si="176"/>
        <v/>
      </c>
      <c r="AP289" s="33" t="str">
        <f t="shared" si="177"/>
        <v/>
      </c>
      <c r="AQ289" s="58" t="str">
        <f t="shared" si="178"/>
        <v/>
      </c>
      <c r="AR289" s="38">
        <f>'ANR OK vs ML7'!AR289</f>
        <v>0.1</v>
      </c>
      <c r="AS289" s="35" t="str">
        <f t="shared" si="179"/>
        <v/>
      </c>
      <c r="AT289" s="3" t="str">
        <f t="shared" si="180"/>
        <v/>
      </c>
      <c r="AU289" s="3" t="str">
        <f t="shared" si="181"/>
        <v/>
      </c>
      <c r="AW289" s="32" t="str">
        <f t="shared" si="182"/>
        <v/>
      </c>
      <c r="AX289" s="32" t="str">
        <f t="shared" si="183"/>
        <v/>
      </c>
      <c r="AY289" s="32" t="str">
        <f t="shared" si="184"/>
        <v/>
      </c>
      <c r="BA289" s="32" t="str">
        <f>IF($A290="","",F289*Summary!$Q$11)</f>
        <v/>
      </c>
    </row>
    <row r="290" spans="1:53" ht="12" customHeight="1">
      <c r="A290" s="67" t="str">
        <f t="shared" si="185"/>
        <v/>
      </c>
      <c r="B290" s="69" t="str">
        <f t="shared" si="187"/>
        <v/>
      </c>
      <c r="C290" s="71"/>
      <c r="D290" s="69" t="str">
        <f t="shared" si="151"/>
        <v/>
      </c>
      <c r="E290" s="70" t="str">
        <f t="shared" si="152"/>
        <v/>
      </c>
      <c r="F290" s="70" t="str">
        <f t="shared" si="153"/>
        <v/>
      </c>
      <c r="G290" s="63" t="str">
        <f t="shared" si="154"/>
        <v/>
      </c>
      <c r="H290" s="64" t="str">
        <f t="shared" si="155"/>
        <v/>
      </c>
      <c r="I290" s="43"/>
      <c r="J290" s="63" t="str">
        <f t="shared" si="156"/>
        <v/>
      </c>
      <c r="K290" s="64" t="str">
        <f t="shared" si="157"/>
        <v/>
      </c>
      <c r="L290" s="63" t="str">
        <f t="shared" si="158"/>
        <v/>
      </c>
      <c r="M290" s="64" t="str">
        <f t="shared" si="159"/>
        <v/>
      </c>
      <c r="N290" s="65"/>
      <c r="O290" s="63" t="str">
        <f t="shared" si="160"/>
        <v/>
      </c>
      <c r="P290" s="63" t="str">
        <f t="shared" si="161"/>
        <v/>
      </c>
      <c r="Q290" s="66"/>
      <c r="R290" s="63" t="str">
        <f t="shared" si="162"/>
        <v/>
      </c>
      <c r="S290" s="64" t="str">
        <f t="shared" si="163"/>
        <v/>
      </c>
      <c r="T290" s="38">
        <v>0</v>
      </c>
      <c r="U290" s="64" t="str">
        <f t="shared" si="164"/>
        <v/>
      </c>
      <c r="V290" s="219" t="str">
        <f>IF($A291="","",IF(AND(MONTH(A290)&gt;3,MONTH(A290)&lt;11),(T290+R290+G290)*Summary!$T$11/(1-Summary!$T$11),(T290+R290+G290)*Summary!$U$11/(1-Summary!$U$11)))</f>
        <v/>
      </c>
      <c r="W290" s="43" t="str">
        <f t="shared" si="165"/>
        <v/>
      </c>
      <c r="X290" s="43" t="str">
        <f t="shared" si="166"/>
        <v/>
      </c>
      <c r="Y290" s="43"/>
      <c r="Z290" s="38" t="str">
        <f t="shared" si="167"/>
        <v/>
      </c>
      <c r="AA290" s="38" t="str">
        <f t="shared" si="168"/>
        <v/>
      </c>
      <c r="AB290" s="38" t="e">
        <f t="shared" si="169"/>
        <v>#VALUE!</v>
      </c>
      <c r="AC290" s="38" t="str">
        <f t="shared" si="170"/>
        <v/>
      </c>
      <c r="AD290" s="38" t="str">
        <f t="shared" si="170"/>
        <v/>
      </c>
      <c r="AE290" s="38" t="e">
        <f t="shared" si="171"/>
        <v>#VALUE!</v>
      </c>
      <c r="AF290" s="238" t="e">
        <f>((Summary!$N$11*(AA290*AD290)*(A290-$D$3))+(Summary!$M$11*Z290*AC290*(AJ290-EOMONTH(EDATE(A290,-1),0))))/(AK290*AB290*AE290)</f>
        <v>#VALUE!</v>
      </c>
      <c r="AG290" s="88" t="str">
        <f>IF($A291="","",Summary!$Q$11)</f>
        <v/>
      </c>
      <c r="AH290" s="88" t="str">
        <f>IF($A291="","",IF(Summary!$R$11="Y",(VLOOKUP($A290,Summary!$AD$6:$AF$9,3)+'Escalating commodity'!G303),'Escalating commodity'!G303))</f>
        <v/>
      </c>
      <c r="AI290" s="88" t="str">
        <f t="shared" si="186"/>
        <v/>
      </c>
      <c r="AJ290" s="236" t="e">
        <f t="shared" si="172"/>
        <v>#VALUE!</v>
      </c>
      <c r="AK290" s="58" t="str">
        <f t="shared" si="173"/>
        <v/>
      </c>
      <c r="AL290" s="26" t="str">
        <f>IF($A291="","",_xll.SPRDOPT(P290,X290,AI290,0,AB290,AE290,AF290,AK290,$AJ$2,0))</f>
        <v/>
      </c>
      <c r="AM290" s="209" t="str">
        <f t="shared" si="174"/>
        <v/>
      </c>
      <c r="AN290" s="89" t="str">
        <f t="shared" si="175"/>
        <v/>
      </c>
      <c r="AO290" s="3" t="str">
        <f t="shared" si="176"/>
        <v/>
      </c>
      <c r="AP290" s="33" t="str">
        <f t="shared" si="177"/>
        <v/>
      </c>
      <c r="AQ290" s="58" t="str">
        <f t="shared" si="178"/>
        <v/>
      </c>
      <c r="AR290" s="38">
        <f>'ANR OK vs ML7'!AR290</f>
        <v>0.1</v>
      </c>
      <c r="AS290" s="35" t="str">
        <f t="shared" si="179"/>
        <v/>
      </c>
      <c r="AT290" s="3" t="str">
        <f t="shared" si="180"/>
        <v/>
      </c>
      <c r="AU290" s="3" t="str">
        <f t="shared" si="181"/>
        <v/>
      </c>
      <c r="AW290" s="32" t="str">
        <f t="shared" si="182"/>
        <v/>
      </c>
      <c r="AX290" s="32" t="str">
        <f t="shared" si="183"/>
        <v/>
      </c>
      <c r="AY290" s="32" t="str">
        <f t="shared" si="184"/>
        <v/>
      </c>
      <c r="BA290" s="32" t="str">
        <f>IF($A291="","",F290*Summary!$Q$11)</f>
        <v/>
      </c>
    </row>
    <row r="291" spans="1:53" ht="12" customHeight="1">
      <c r="A291" s="67" t="str">
        <f t="shared" si="185"/>
        <v/>
      </c>
      <c r="B291" s="69" t="str">
        <f t="shared" si="187"/>
        <v/>
      </c>
      <c r="C291" s="71"/>
      <c r="D291" s="69" t="str">
        <f t="shared" si="151"/>
        <v/>
      </c>
      <c r="E291" s="70" t="str">
        <f t="shared" si="152"/>
        <v/>
      </c>
      <c r="F291" s="70" t="str">
        <f t="shared" si="153"/>
        <v/>
      </c>
      <c r="G291" s="63" t="str">
        <f t="shared" si="154"/>
        <v/>
      </c>
      <c r="H291" s="64" t="str">
        <f t="shared" si="155"/>
        <v/>
      </c>
      <c r="I291" s="43"/>
      <c r="J291" s="63" t="str">
        <f t="shared" si="156"/>
        <v/>
      </c>
      <c r="K291" s="64" t="str">
        <f t="shared" si="157"/>
        <v/>
      </c>
      <c r="L291" s="63" t="str">
        <f t="shared" si="158"/>
        <v/>
      </c>
      <c r="M291" s="64" t="str">
        <f t="shared" si="159"/>
        <v/>
      </c>
      <c r="N291" s="65"/>
      <c r="O291" s="63" t="str">
        <f t="shared" si="160"/>
        <v/>
      </c>
      <c r="P291" s="63" t="str">
        <f t="shared" si="161"/>
        <v/>
      </c>
      <c r="Q291" s="66"/>
      <c r="R291" s="63" t="str">
        <f t="shared" si="162"/>
        <v/>
      </c>
      <c r="S291" s="64" t="str">
        <f t="shared" si="163"/>
        <v/>
      </c>
      <c r="T291" s="38">
        <v>0</v>
      </c>
      <c r="U291" s="64" t="str">
        <f t="shared" si="164"/>
        <v/>
      </c>
      <c r="V291" s="219" t="str">
        <f>IF($A292="","",IF(AND(MONTH(A291)&gt;3,MONTH(A291)&lt;11),(T291+R291+G291)*Summary!$T$11/(1-Summary!$T$11),(T291+R291+G291)*Summary!$U$11/(1-Summary!$U$11)))</f>
        <v/>
      </c>
      <c r="W291" s="43" t="str">
        <f t="shared" si="165"/>
        <v/>
      </c>
      <c r="X291" s="43" t="str">
        <f t="shared" si="166"/>
        <v/>
      </c>
      <c r="Y291" s="43"/>
      <c r="Z291" s="38" t="str">
        <f t="shared" si="167"/>
        <v/>
      </c>
      <c r="AA291" s="38" t="str">
        <f t="shared" si="168"/>
        <v/>
      </c>
      <c r="AB291" s="38" t="e">
        <f t="shared" si="169"/>
        <v>#VALUE!</v>
      </c>
      <c r="AC291" s="38" t="str">
        <f t="shared" si="170"/>
        <v/>
      </c>
      <c r="AD291" s="38" t="str">
        <f t="shared" si="170"/>
        <v/>
      </c>
      <c r="AE291" s="38" t="e">
        <f t="shared" si="171"/>
        <v>#VALUE!</v>
      </c>
      <c r="AF291" s="238" t="e">
        <f>((Summary!$N$11*(AA291*AD291)*(A291-$D$3))+(Summary!$M$11*Z291*AC291*(AJ291-EOMONTH(EDATE(A291,-1),0))))/(AK291*AB291*AE291)</f>
        <v>#VALUE!</v>
      </c>
      <c r="AG291" s="88" t="str">
        <f>IF($A292="","",Summary!$Q$11)</f>
        <v/>
      </c>
      <c r="AH291" s="88" t="str">
        <f>IF($A292="","",IF(Summary!$R$11="Y",(VLOOKUP($A291,Summary!$AD$6:$AF$9,3)+'Escalating commodity'!G304),'Escalating commodity'!G304))</f>
        <v/>
      </c>
      <c r="AI291" s="88" t="str">
        <f t="shared" si="186"/>
        <v/>
      </c>
      <c r="AJ291" s="236" t="e">
        <f t="shared" si="172"/>
        <v>#VALUE!</v>
      </c>
      <c r="AK291" s="58" t="str">
        <f t="shared" si="173"/>
        <v/>
      </c>
      <c r="AL291" s="26" t="str">
        <f>IF($A292="","",_xll.SPRDOPT(P291,X291,AI291,0,AB291,AE291,AF291,AK291,$AJ$2,0))</f>
        <v/>
      </c>
      <c r="AM291" s="209" t="str">
        <f t="shared" si="174"/>
        <v/>
      </c>
      <c r="AN291" s="89" t="str">
        <f t="shared" si="175"/>
        <v/>
      </c>
      <c r="AO291" s="3" t="str">
        <f t="shared" si="176"/>
        <v/>
      </c>
      <c r="AP291" s="33" t="str">
        <f t="shared" si="177"/>
        <v/>
      </c>
      <c r="AQ291" s="58" t="str">
        <f t="shared" si="178"/>
        <v/>
      </c>
      <c r="AR291" s="38">
        <f>'ANR OK vs ML7'!AR291</f>
        <v>0.1</v>
      </c>
      <c r="AS291" s="35" t="str">
        <f t="shared" si="179"/>
        <v/>
      </c>
      <c r="AT291" s="3" t="str">
        <f t="shared" si="180"/>
        <v/>
      </c>
      <c r="AU291" s="3" t="str">
        <f t="shared" si="181"/>
        <v/>
      </c>
      <c r="AW291" s="32" t="str">
        <f t="shared" si="182"/>
        <v/>
      </c>
      <c r="AX291" s="32" t="str">
        <f t="shared" si="183"/>
        <v/>
      </c>
      <c r="AY291" s="32" t="str">
        <f t="shared" si="184"/>
        <v/>
      </c>
      <c r="BA291" s="32" t="str">
        <f>IF($A292="","",F291*Summary!$Q$11)</f>
        <v/>
      </c>
    </row>
    <row r="292" spans="1:53" ht="12" customHeight="1">
      <c r="A292" s="67" t="str">
        <f t="shared" si="185"/>
        <v/>
      </c>
      <c r="B292" s="69" t="str">
        <f t="shared" si="187"/>
        <v/>
      </c>
      <c r="C292" s="71"/>
      <c r="D292" s="69" t="str">
        <f t="shared" si="151"/>
        <v/>
      </c>
      <c r="E292" s="70" t="str">
        <f t="shared" si="152"/>
        <v/>
      </c>
      <c r="F292" s="70" t="str">
        <f t="shared" si="153"/>
        <v/>
      </c>
      <c r="G292" s="63" t="str">
        <f t="shared" si="154"/>
        <v/>
      </c>
      <c r="H292" s="64" t="str">
        <f t="shared" si="155"/>
        <v/>
      </c>
      <c r="I292" s="43"/>
      <c r="J292" s="63" t="str">
        <f t="shared" si="156"/>
        <v/>
      </c>
      <c r="K292" s="64" t="str">
        <f t="shared" si="157"/>
        <v/>
      </c>
      <c r="L292" s="63" t="str">
        <f t="shared" si="158"/>
        <v/>
      </c>
      <c r="M292" s="64" t="str">
        <f t="shared" si="159"/>
        <v/>
      </c>
      <c r="N292" s="65"/>
      <c r="O292" s="63" t="str">
        <f t="shared" si="160"/>
        <v/>
      </c>
      <c r="P292" s="63" t="str">
        <f t="shared" si="161"/>
        <v/>
      </c>
      <c r="Q292" s="66"/>
      <c r="R292" s="63" t="str">
        <f t="shared" si="162"/>
        <v/>
      </c>
      <c r="S292" s="64" t="str">
        <f t="shared" si="163"/>
        <v/>
      </c>
      <c r="T292" s="38">
        <v>0</v>
      </c>
      <c r="U292" s="64" t="str">
        <f t="shared" si="164"/>
        <v/>
      </c>
      <c r="V292" s="219" t="str">
        <f>IF($A293="","",IF(AND(MONTH(A292)&gt;3,MONTH(A292)&lt;11),(T292+R292+G292)*Summary!$T$11/(1-Summary!$T$11),(T292+R292+G292)*Summary!$U$11/(1-Summary!$U$11)))</f>
        <v/>
      </c>
      <c r="W292" s="43" t="str">
        <f t="shared" si="165"/>
        <v/>
      </c>
      <c r="X292" s="43" t="str">
        <f t="shared" si="166"/>
        <v/>
      </c>
      <c r="Y292" s="43"/>
      <c r="Z292" s="38" t="str">
        <f t="shared" si="167"/>
        <v/>
      </c>
      <c r="AA292" s="38" t="str">
        <f t="shared" si="168"/>
        <v/>
      </c>
      <c r="AB292" s="38" t="e">
        <f t="shared" si="169"/>
        <v>#VALUE!</v>
      </c>
      <c r="AC292" s="38" t="str">
        <f t="shared" si="170"/>
        <v/>
      </c>
      <c r="AD292" s="38" t="str">
        <f t="shared" si="170"/>
        <v/>
      </c>
      <c r="AE292" s="38" t="e">
        <f t="shared" si="171"/>
        <v>#VALUE!</v>
      </c>
      <c r="AF292" s="238" t="e">
        <f>((Summary!$N$11*(AA292*AD292)*(A292-$D$3))+(Summary!$M$11*Z292*AC292*(AJ292-EOMONTH(EDATE(A292,-1),0))))/(AK292*AB292*AE292)</f>
        <v>#VALUE!</v>
      </c>
      <c r="AG292" s="88" t="str">
        <f>IF($A293="","",Summary!$Q$11)</f>
        <v/>
      </c>
      <c r="AH292" s="88" t="str">
        <f>IF($A293="","",IF(Summary!$R$11="Y",(VLOOKUP($A292,Summary!$AD$6:$AF$9,3)+'Escalating commodity'!G305),'Escalating commodity'!G305))</f>
        <v/>
      </c>
      <c r="AI292" s="88" t="str">
        <f t="shared" si="186"/>
        <v/>
      </c>
      <c r="AJ292" s="236" t="e">
        <f t="shared" si="172"/>
        <v>#VALUE!</v>
      </c>
      <c r="AK292" s="58" t="str">
        <f t="shared" si="173"/>
        <v/>
      </c>
      <c r="AL292" s="26" t="str">
        <f>IF($A293="","",_xll.SPRDOPT(P292,X292,AI292,0,AB292,AE292,AF292,AK292,$AJ$2,0))</f>
        <v/>
      </c>
      <c r="AM292" s="209" t="str">
        <f t="shared" si="174"/>
        <v/>
      </c>
      <c r="AN292" s="89" t="str">
        <f t="shared" si="175"/>
        <v/>
      </c>
      <c r="AO292" s="3" t="str">
        <f t="shared" si="176"/>
        <v/>
      </c>
      <c r="AP292" s="33" t="str">
        <f t="shared" si="177"/>
        <v/>
      </c>
      <c r="AQ292" s="58" t="str">
        <f t="shared" si="178"/>
        <v/>
      </c>
      <c r="AR292" s="38">
        <f>'ANR OK vs ML7'!AR292</f>
        <v>0.1</v>
      </c>
      <c r="AS292" s="35" t="str">
        <f t="shared" si="179"/>
        <v/>
      </c>
      <c r="AT292" s="3" t="str">
        <f t="shared" si="180"/>
        <v/>
      </c>
      <c r="AU292" s="3" t="str">
        <f t="shared" si="181"/>
        <v/>
      </c>
      <c r="AW292" s="32" t="str">
        <f t="shared" si="182"/>
        <v/>
      </c>
      <c r="AX292" s="32" t="str">
        <f t="shared" si="183"/>
        <v/>
      </c>
      <c r="AY292" s="32" t="str">
        <f t="shared" si="184"/>
        <v/>
      </c>
      <c r="BA292" s="32" t="str">
        <f>IF($A293="","",F292*Summary!$Q$11)</f>
        <v/>
      </c>
    </row>
    <row r="293" spans="1:53" ht="12" customHeight="1">
      <c r="A293" s="67" t="str">
        <f t="shared" si="185"/>
        <v/>
      </c>
      <c r="B293" s="69" t="str">
        <f t="shared" si="187"/>
        <v/>
      </c>
      <c r="C293" s="71"/>
      <c r="D293" s="69" t="str">
        <f t="shared" si="151"/>
        <v/>
      </c>
      <c r="E293" s="70" t="str">
        <f t="shared" si="152"/>
        <v/>
      </c>
      <c r="F293" s="70" t="str">
        <f t="shared" si="153"/>
        <v/>
      </c>
      <c r="G293" s="63" t="str">
        <f t="shared" si="154"/>
        <v/>
      </c>
      <c r="H293" s="64" t="str">
        <f t="shared" si="155"/>
        <v/>
      </c>
      <c r="I293" s="43"/>
      <c r="J293" s="63" t="str">
        <f t="shared" si="156"/>
        <v/>
      </c>
      <c r="K293" s="64" t="str">
        <f t="shared" si="157"/>
        <v/>
      </c>
      <c r="L293" s="63" t="str">
        <f t="shared" si="158"/>
        <v/>
      </c>
      <c r="M293" s="64" t="str">
        <f t="shared" si="159"/>
        <v/>
      </c>
      <c r="N293" s="65"/>
      <c r="O293" s="63" t="str">
        <f t="shared" si="160"/>
        <v/>
      </c>
      <c r="P293" s="63" t="str">
        <f t="shared" si="161"/>
        <v/>
      </c>
      <c r="Q293" s="66"/>
      <c r="R293" s="63" t="str">
        <f t="shared" si="162"/>
        <v/>
      </c>
      <c r="S293" s="64" t="str">
        <f t="shared" si="163"/>
        <v/>
      </c>
      <c r="T293" s="38">
        <v>0</v>
      </c>
      <c r="U293" s="64" t="str">
        <f t="shared" si="164"/>
        <v/>
      </c>
      <c r="V293" s="219" t="str">
        <f>IF($A294="","",IF(AND(MONTH(A293)&gt;3,MONTH(A293)&lt;11),(T293+R293+G293)*Summary!$T$11/(1-Summary!$T$11),(T293+R293+G293)*Summary!$U$11/(1-Summary!$U$11)))</f>
        <v/>
      </c>
      <c r="W293" s="43" t="str">
        <f t="shared" si="165"/>
        <v/>
      </c>
      <c r="X293" s="43" t="str">
        <f t="shared" si="166"/>
        <v/>
      </c>
      <c r="Y293" s="43"/>
      <c r="Z293" s="38" t="str">
        <f t="shared" si="167"/>
        <v/>
      </c>
      <c r="AA293" s="38" t="str">
        <f t="shared" si="168"/>
        <v/>
      </c>
      <c r="AB293" s="38" t="e">
        <f t="shared" si="169"/>
        <v>#VALUE!</v>
      </c>
      <c r="AC293" s="38" t="str">
        <f t="shared" si="170"/>
        <v/>
      </c>
      <c r="AD293" s="38" t="str">
        <f t="shared" si="170"/>
        <v/>
      </c>
      <c r="AE293" s="38" t="e">
        <f t="shared" si="171"/>
        <v>#VALUE!</v>
      </c>
      <c r="AF293" s="238" t="e">
        <f>((Summary!$N$11*(AA293*AD293)*(A293-$D$3))+(Summary!$M$11*Z293*AC293*(AJ293-EOMONTH(EDATE(A293,-1),0))))/(AK293*AB293*AE293)</f>
        <v>#VALUE!</v>
      </c>
      <c r="AG293" s="88" t="str">
        <f>IF($A294="","",Summary!$Q$11)</f>
        <v/>
      </c>
      <c r="AH293" s="88" t="str">
        <f>IF($A294="","",IF(Summary!$R$11="Y",(VLOOKUP($A293,Summary!$AD$6:$AF$9,3)+'Escalating commodity'!G306),'Escalating commodity'!G306))</f>
        <v/>
      </c>
      <c r="AI293" s="88" t="str">
        <f t="shared" si="186"/>
        <v/>
      </c>
      <c r="AJ293" s="236" t="e">
        <f t="shared" si="172"/>
        <v>#VALUE!</v>
      </c>
      <c r="AK293" s="58" t="str">
        <f t="shared" si="173"/>
        <v/>
      </c>
      <c r="AL293" s="26" t="str">
        <f>IF($A294="","",_xll.SPRDOPT(P293,X293,AI293,0,AB293,AE293,AF293,AK293,$AJ$2,0))</f>
        <v/>
      </c>
      <c r="AM293" s="209" t="str">
        <f t="shared" si="174"/>
        <v/>
      </c>
      <c r="AN293" s="89" t="str">
        <f t="shared" si="175"/>
        <v/>
      </c>
      <c r="AO293" s="3" t="str">
        <f t="shared" si="176"/>
        <v/>
      </c>
      <c r="AP293" s="33" t="str">
        <f t="shared" si="177"/>
        <v/>
      </c>
      <c r="AQ293" s="58" t="str">
        <f t="shared" si="178"/>
        <v/>
      </c>
      <c r="AR293" s="38">
        <f>'ANR OK vs ML7'!AR293</f>
        <v>0.1</v>
      </c>
      <c r="AS293" s="35" t="str">
        <f t="shared" si="179"/>
        <v/>
      </c>
      <c r="AT293" s="3" t="str">
        <f t="shared" si="180"/>
        <v/>
      </c>
      <c r="AU293" s="3" t="str">
        <f t="shared" si="181"/>
        <v/>
      </c>
      <c r="AW293" s="32" t="str">
        <f t="shared" si="182"/>
        <v/>
      </c>
      <c r="AX293" s="32" t="str">
        <f t="shared" si="183"/>
        <v/>
      </c>
      <c r="AY293" s="32" t="str">
        <f t="shared" si="184"/>
        <v/>
      </c>
      <c r="BA293" s="32" t="str">
        <f>IF($A294="","",F293*Summary!$Q$11)</f>
        <v/>
      </c>
    </row>
    <row r="294" spans="1:53" ht="12" customHeight="1">
      <c r="A294" s="67" t="str">
        <f t="shared" si="185"/>
        <v/>
      </c>
      <c r="B294" s="69" t="str">
        <f t="shared" si="187"/>
        <v/>
      </c>
      <c r="C294" s="71"/>
      <c r="D294" s="69" t="str">
        <f t="shared" si="151"/>
        <v/>
      </c>
      <c r="E294" s="70" t="str">
        <f t="shared" si="152"/>
        <v/>
      </c>
      <c r="F294" s="70" t="str">
        <f t="shared" si="153"/>
        <v/>
      </c>
      <c r="G294" s="63" t="str">
        <f t="shared" si="154"/>
        <v/>
      </c>
      <c r="H294" s="64" t="str">
        <f t="shared" si="155"/>
        <v/>
      </c>
      <c r="I294" s="43"/>
      <c r="J294" s="63" t="str">
        <f t="shared" si="156"/>
        <v/>
      </c>
      <c r="K294" s="64" t="str">
        <f t="shared" si="157"/>
        <v/>
      </c>
      <c r="L294" s="63" t="str">
        <f t="shared" si="158"/>
        <v/>
      </c>
      <c r="M294" s="64" t="str">
        <f t="shared" si="159"/>
        <v/>
      </c>
      <c r="N294" s="65"/>
      <c r="O294" s="63" t="str">
        <f t="shared" si="160"/>
        <v/>
      </c>
      <c r="P294" s="63" t="str">
        <f t="shared" si="161"/>
        <v/>
      </c>
      <c r="Q294" s="66"/>
      <c r="R294" s="63" t="str">
        <f t="shared" si="162"/>
        <v/>
      </c>
      <c r="S294" s="64" t="str">
        <f t="shared" si="163"/>
        <v/>
      </c>
      <c r="T294" s="38">
        <v>0</v>
      </c>
      <c r="U294" s="64" t="str">
        <f t="shared" si="164"/>
        <v/>
      </c>
      <c r="V294" s="219" t="str">
        <f>IF($A295="","",IF(AND(MONTH(A294)&gt;3,MONTH(A294)&lt;11),(T294+R294+G294)*Summary!$T$11/(1-Summary!$T$11),(T294+R294+G294)*Summary!$U$11/(1-Summary!$U$11)))</f>
        <v/>
      </c>
      <c r="W294" s="43" t="str">
        <f t="shared" si="165"/>
        <v/>
      </c>
      <c r="X294" s="43" t="str">
        <f t="shared" si="166"/>
        <v/>
      </c>
      <c r="Y294" s="43"/>
      <c r="Z294" s="38" t="str">
        <f t="shared" si="167"/>
        <v/>
      </c>
      <c r="AA294" s="38" t="str">
        <f t="shared" si="168"/>
        <v/>
      </c>
      <c r="AB294" s="38" t="e">
        <f t="shared" si="169"/>
        <v>#VALUE!</v>
      </c>
      <c r="AC294" s="38" t="str">
        <f t="shared" si="170"/>
        <v/>
      </c>
      <c r="AD294" s="38" t="str">
        <f t="shared" si="170"/>
        <v/>
      </c>
      <c r="AE294" s="38" t="e">
        <f t="shared" si="171"/>
        <v>#VALUE!</v>
      </c>
      <c r="AF294" s="238" t="e">
        <f>((Summary!$N$11*(AA294*AD294)*(A294-$D$3))+(Summary!$M$11*Z294*AC294*(AJ294-EOMONTH(EDATE(A294,-1),0))))/(AK294*AB294*AE294)</f>
        <v>#VALUE!</v>
      </c>
      <c r="AG294" s="88" t="str">
        <f>IF($A295="","",Summary!$Q$11)</f>
        <v/>
      </c>
      <c r="AH294" s="88" t="str">
        <f>IF($A295="","",IF(Summary!$R$11="Y",(VLOOKUP($A294,Summary!$AD$6:$AF$9,3)+'Escalating commodity'!G307),'Escalating commodity'!G307))</f>
        <v/>
      </c>
      <c r="AI294" s="88" t="str">
        <f t="shared" si="186"/>
        <v/>
      </c>
      <c r="AJ294" s="236" t="e">
        <f t="shared" si="172"/>
        <v>#VALUE!</v>
      </c>
      <c r="AK294" s="58" t="str">
        <f t="shared" si="173"/>
        <v/>
      </c>
      <c r="AL294" s="26" t="str">
        <f>IF($A295="","",_xll.SPRDOPT(P294,X294,AI294,0,AB294,AE294,AF294,AK294,$AJ$2,0))</f>
        <v/>
      </c>
      <c r="AM294" s="209" t="str">
        <f t="shared" si="174"/>
        <v/>
      </c>
      <c r="AN294" s="89" t="str">
        <f t="shared" si="175"/>
        <v/>
      </c>
      <c r="AO294" s="3" t="str">
        <f t="shared" si="176"/>
        <v/>
      </c>
      <c r="AP294" s="33" t="str">
        <f t="shared" si="177"/>
        <v/>
      </c>
      <c r="AQ294" s="58" t="str">
        <f t="shared" si="178"/>
        <v/>
      </c>
      <c r="AR294" s="38">
        <f>'ANR OK vs ML7'!AR294</f>
        <v>0.1</v>
      </c>
      <c r="AS294" s="35" t="str">
        <f t="shared" si="179"/>
        <v/>
      </c>
      <c r="AT294" s="3" t="str">
        <f t="shared" si="180"/>
        <v/>
      </c>
      <c r="AU294" s="3" t="str">
        <f t="shared" si="181"/>
        <v/>
      </c>
      <c r="AW294" s="32" t="str">
        <f t="shared" si="182"/>
        <v/>
      </c>
      <c r="AX294" s="32" t="str">
        <f t="shared" si="183"/>
        <v/>
      </c>
      <c r="AY294" s="32" t="str">
        <f t="shared" si="184"/>
        <v/>
      </c>
      <c r="BA294" s="32" t="str">
        <f>IF($A295="","",F294*Summary!$Q$11)</f>
        <v/>
      </c>
    </row>
    <row r="295" spans="1:53" ht="12" customHeight="1">
      <c r="A295" s="67" t="str">
        <f t="shared" si="185"/>
        <v/>
      </c>
      <c r="B295" s="69" t="str">
        <f t="shared" si="187"/>
        <v/>
      </c>
      <c r="C295" s="71"/>
      <c r="D295" s="69" t="str">
        <f t="shared" si="151"/>
        <v/>
      </c>
      <c r="E295" s="70" t="str">
        <f t="shared" si="152"/>
        <v/>
      </c>
      <c r="F295" s="70" t="str">
        <f t="shared" si="153"/>
        <v/>
      </c>
      <c r="G295" s="63" t="str">
        <f t="shared" si="154"/>
        <v/>
      </c>
      <c r="H295" s="64" t="str">
        <f t="shared" si="155"/>
        <v/>
      </c>
      <c r="I295" s="43"/>
      <c r="J295" s="63" t="str">
        <f t="shared" si="156"/>
        <v/>
      </c>
      <c r="K295" s="64" t="str">
        <f t="shared" si="157"/>
        <v/>
      </c>
      <c r="L295" s="63" t="str">
        <f t="shared" si="158"/>
        <v/>
      </c>
      <c r="M295" s="64" t="str">
        <f t="shared" si="159"/>
        <v/>
      </c>
      <c r="N295" s="65"/>
      <c r="O295" s="63" t="str">
        <f t="shared" si="160"/>
        <v/>
      </c>
      <c r="P295" s="63" t="str">
        <f t="shared" si="161"/>
        <v/>
      </c>
      <c r="Q295" s="66"/>
      <c r="R295" s="63" t="str">
        <f t="shared" si="162"/>
        <v/>
      </c>
      <c r="S295" s="64" t="str">
        <f t="shared" si="163"/>
        <v/>
      </c>
      <c r="T295" s="38">
        <v>0</v>
      </c>
      <c r="U295" s="64" t="str">
        <f t="shared" si="164"/>
        <v/>
      </c>
      <c r="V295" s="219" t="str">
        <f>IF($A296="","",IF(AND(MONTH(A295)&gt;3,MONTH(A295)&lt;11),(T295+R295+G295)*Summary!$T$11/(1-Summary!$T$11),(T295+R295+G295)*Summary!$U$11/(1-Summary!$U$11)))</f>
        <v/>
      </c>
      <c r="W295" s="43" t="str">
        <f t="shared" si="165"/>
        <v/>
      </c>
      <c r="X295" s="43" t="str">
        <f t="shared" si="166"/>
        <v/>
      </c>
      <c r="Y295" s="43"/>
      <c r="Z295" s="38" t="str">
        <f t="shared" si="167"/>
        <v/>
      </c>
      <c r="AA295" s="38" t="str">
        <f t="shared" si="168"/>
        <v/>
      </c>
      <c r="AB295" s="38" t="e">
        <f t="shared" si="169"/>
        <v>#VALUE!</v>
      </c>
      <c r="AC295" s="38" t="str">
        <f t="shared" si="170"/>
        <v/>
      </c>
      <c r="AD295" s="38" t="str">
        <f t="shared" si="170"/>
        <v/>
      </c>
      <c r="AE295" s="38" t="e">
        <f t="shared" si="171"/>
        <v>#VALUE!</v>
      </c>
      <c r="AF295" s="238" t="e">
        <f>((Summary!$N$11*(AA295*AD295)*(A295-$D$3))+(Summary!$M$11*Z295*AC295*(AJ295-EOMONTH(EDATE(A295,-1),0))))/(AK295*AB295*AE295)</f>
        <v>#VALUE!</v>
      </c>
      <c r="AG295" s="88" t="str">
        <f>IF($A296="","",Summary!$Q$11)</f>
        <v/>
      </c>
      <c r="AH295" s="88" t="str">
        <f>IF($A296="","",IF(Summary!$R$11="Y",(VLOOKUP($A295,Summary!$AD$6:$AF$9,3)+'Escalating commodity'!G308),'Escalating commodity'!G308))</f>
        <v/>
      </c>
      <c r="AI295" s="88" t="str">
        <f t="shared" si="186"/>
        <v/>
      </c>
      <c r="AJ295" s="236" t="e">
        <f t="shared" si="172"/>
        <v>#VALUE!</v>
      </c>
      <c r="AK295" s="58" t="str">
        <f t="shared" si="173"/>
        <v/>
      </c>
      <c r="AL295" s="26" t="str">
        <f>IF($A296="","",_xll.SPRDOPT(P295,X295,AI295,0,AB295,AE295,AF295,AK295,$AJ$2,0))</f>
        <v/>
      </c>
      <c r="AM295" s="209" t="str">
        <f t="shared" si="174"/>
        <v/>
      </c>
      <c r="AN295" s="89" t="str">
        <f t="shared" si="175"/>
        <v/>
      </c>
      <c r="AO295" s="3" t="str">
        <f t="shared" si="176"/>
        <v/>
      </c>
      <c r="AP295" s="33" t="str">
        <f t="shared" si="177"/>
        <v/>
      </c>
      <c r="AQ295" s="58" t="str">
        <f t="shared" si="178"/>
        <v/>
      </c>
      <c r="AR295" s="38">
        <f>'ANR OK vs ML7'!AR295</f>
        <v>0.1</v>
      </c>
      <c r="AS295" s="35" t="str">
        <f t="shared" si="179"/>
        <v/>
      </c>
      <c r="AT295" s="3" t="str">
        <f t="shared" si="180"/>
        <v/>
      </c>
      <c r="AU295" s="3" t="str">
        <f t="shared" si="181"/>
        <v/>
      </c>
      <c r="AW295" s="32" t="str">
        <f t="shared" si="182"/>
        <v/>
      </c>
      <c r="AX295" s="32" t="str">
        <f t="shared" si="183"/>
        <v/>
      </c>
      <c r="AY295" s="32" t="str">
        <f t="shared" si="184"/>
        <v/>
      </c>
      <c r="BA295" s="32" t="str">
        <f>IF($A296="","",F295*Summary!$Q$11)</f>
        <v/>
      </c>
    </row>
    <row r="296" spans="1:53" ht="12" customHeight="1">
      <c r="A296" s="67" t="str">
        <f t="shared" si="185"/>
        <v/>
      </c>
      <c r="B296" s="69" t="str">
        <f t="shared" si="187"/>
        <v/>
      </c>
      <c r="C296" s="71"/>
      <c r="D296" s="69" t="str">
        <f t="shared" si="151"/>
        <v/>
      </c>
      <c r="E296" s="70" t="str">
        <f t="shared" si="152"/>
        <v/>
      </c>
      <c r="F296" s="70" t="str">
        <f t="shared" si="153"/>
        <v/>
      </c>
      <c r="G296" s="63" t="str">
        <f t="shared" si="154"/>
        <v/>
      </c>
      <c r="H296" s="64" t="str">
        <f t="shared" si="155"/>
        <v/>
      </c>
      <c r="I296" s="43"/>
      <c r="J296" s="63" t="str">
        <f t="shared" si="156"/>
        <v/>
      </c>
      <c r="K296" s="64" t="str">
        <f t="shared" si="157"/>
        <v/>
      </c>
      <c r="L296" s="63" t="str">
        <f t="shared" si="158"/>
        <v/>
      </c>
      <c r="M296" s="64" t="str">
        <f t="shared" si="159"/>
        <v/>
      </c>
      <c r="N296" s="65"/>
      <c r="O296" s="63" t="str">
        <f t="shared" si="160"/>
        <v/>
      </c>
      <c r="P296" s="63" t="str">
        <f t="shared" si="161"/>
        <v/>
      </c>
      <c r="Q296" s="66"/>
      <c r="R296" s="63" t="str">
        <f t="shared" si="162"/>
        <v/>
      </c>
      <c r="S296" s="64" t="str">
        <f t="shared" si="163"/>
        <v/>
      </c>
      <c r="T296" s="38">
        <v>0</v>
      </c>
      <c r="U296" s="64" t="str">
        <f t="shared" si="164"/>
        <v/>
      </c>
      <c r="V296" s="219" t="str">
        <f>IF($A297="","",IF(AND(MONTH(A296)&gt;3,MONTH(A296)&lt;11),(T296+R296+G296)*Summary!$T$11/(1-Summary!$T$11),(T296+R296+G296)*Summary!$U$11/(1-Summary!$U$11)))</f>
        <v/>
      </c>
      <c r="W296" s="43" t="str">
        <f t="shared" si="165"/>
        <v/>
      </c>
      <c r="X296" s="43" t="str">
        <f t="shared" si="166"/>
        <v/>
      </c>
      <c r="Y296" s="43"/>
      <c r="Z296" s="38" t="str">
        <f t="shared" si="167"/>
        <v/>
      </c>
      <c r="AA296" s="38" t="str">
        <f t="shared" si="168"/>
        <v/>
      </c>
      <c r="AB296" s="38" t="e">
        <f t="shared" si="169"/>
        <v>#VALUE!</v>
      </c>
      <c r="AC296" s="38" t="str">
        <f t="shared" si="170"/>
        <v/>
      </c>
      <c r="AD296" s="38" t="str">
        <f t="shared" si="170"/>
        <v/>
      </c>
      <c r="AE296" s="38" t="e">
        <f t="shared" si="171"/>
        <v>#VALUE!</v>
      </c>
      <c r="AF296" s="238" t="e">
        <f>((Summary!$N$11*(AA296*AD296)*(A296-$D$3))+(Summary!$M$11*Z296*AC296*(AJ296-EOMONTH(EDATE(A296,-1),0))))/(AK296*AB296*AE296)</f>
        <v>#VALUE!</v>
      </c>
      <c r="AG296" s="88" t="str">
        <f>IF($A297="","",Summary!$Q$11)</f>
        <v/>
      </c>
      <c r="AH296" s="88" t="str">
        <f>IF($A297="","",IF(Summary!$R$11="Y",(VLOOKUP($A296,Summary!$AD$6:$AF$9,3)+'Escalating commodity'!G309),'Escalating commodity'!G309))</f>
        <v/>
      </c>
      <c r="AI296" s="88" t="str">
        <f t="shared" si="186"/>
        <v/>
      </c>
      <c r="AJ296" s="236" t="e">
        <f t="shared" si="172"/>
        <v>#VALUE!</v>
      </c>
      <c r="AK296" s="58" t="str">
        <f t="shared" si="173"/>
        <v/>
      </c>
      <c r="AL296" s="26" t="str">
        <f>IF($A297="","",_xll.SPRDOPT(P296,X296,AI296,0,AB296,AE296,AF296,AK296,$AJ$2,0))</f>
        <v/>
      </c>
      <c r="AM296" s="209" t="str">
        <f t="shared" si="174"/>
        <v/>
      </c>
      <c r="AN296" s="89" t="str">
        <f t="shared" si="175"/>
        <v/>
      </c>
      <c r="AO296" s="3" t="str">
        <f t="shared" si="176"/>
        <v/>
      </c>
      <c r="AP296" s="33" t="str">
        <f t="shared" si="177"/>
        <v/>
      </c>
      <c r="AQ296" s="58" t="str">
        <f t="shared" si="178"/>
        <v/>
      </c>
      <c r="AR296" s="38">
        <f>'ANR OK vs ML7'!AR296</f>
        <v>0.1</v>
      </c>
      <c r="AS296" s="35" t="str">
        <f t="shared" si="179"/>
        <v/>
      </c>
      <c r="AT296" s="3" t="str">
        <f t="shared" si="180"/>
        <v/>
      </c>
      <c r="AU296" s="3" t="str">
        <f t="shared" si="181"/>
        <v/>
      </c>
      <c r="AW296" s="32" t="str">
        <f t="shared" si="182"/>
        <v/>
      </c>
      <c r="AX296" s="32" t="str">
        <f t="shared" si="183"/>
        <v/>
      </c>
      <c r="AY296" s="32" t="str">
        <f t="shared" si="184"/>
        <v/>
      </c>
      <c r="BA296" s="32" t="str">
        <f>IF($A297="","",F296*Summary!$Q$11)</f>
        <v/>
      </c>
    </row>
    <row r="297" spans="1:53" ht="12" customHeight="1">
      <c r="A297" s="67" t="str">
        <f t="shared" si="185"/>
        <v/>
      </c>
      <c r="B297" s="69" t="str">
        <f t="shared" si="187"/>
        <v/>
      </c>
      <c r="C297" s="71"/>
      <c r="D297" s="69" t="str">
        <f t="shared" si="151"/>
        <v/>
      </c>
      <c r="E297" s="70" t="str">
        <f t="shared" si="152"/>
        <v/>
      </c>
      <c r="F297" s="70" t="str">
        <f t="shared" si="153"/>
        <v/>
      </c>
      <c r="G297" s="63" t="str">
        <f t="shared" si="154"/>
        <v/>
      </c>
      <c r="H297" s="64" t="str">
        <f t="shared" si="155"/>
        <v/>
      </c>
      <c r="I297" s="43"/>
      <c r="J297" s="63" t="str">
        <f t="shared" si="156"/>
        <v/>
      </c>
      <c r="K297" s="64" t="str">
        <f t="shared" si="157"/>
        <v/>
      </c>
      <c r="L297" s="63" t="str">
        <f t="shared" si="158"/>
        <v/>
      </c>
      <c r="M297" s="64" t="str">
        <f t="shared" si="159"/>
        <v/>
      </c>
      <c r="N297" s="65"/>
      <c r="O297" s="63" t="str">
        <f t="shared" si="160"/>
        <v/>
      </c>
      <c r="P297" s="63" t="str">
        <f t="shared" si="161"/>
        <v/>
      </c>
      <c r="Q297" s="66"/>
      <c r="R297" s="63" t="str">
        <f t="shared" si="162"/>
        <v/>
      </c>
      <c r="S297" s="64" t="str">
        <f t="shared" si="163"/>
        <v/>
      </c>
      <c r="T297" s="38">
        <v>0</v>
      </c>
      <c r="U297" s="64" t="str">
        <f t="shared" si="164"/>
        <v/>
      </c>
      <c r="V297" s="219" t="str">
        <f>IF($A298="","",IF(AND(MONTH(A297)&gt;3,MONTH(A297)&lt;11),(T297+R297+G297)*Summary!$T$11/(1-Summary!$T$11),(T297+R297+G297)*Summary!$U$11/(1-Summary!$U$11)))</f>
        <v/>
      </c>
      <c r="W297" s="43" t="str">
        <f t="shared" si="165"/>
        <v/>
      </c>
      <c r="X297" s="43" t="str">
        <f t="shared" si="166"/>
        <v/>
      </c>
      <c r="Y297" s="43"/>
      <c r="Z297" s="38" t="str">
        <f t="shared" si="167"/>
        <v/>
      </c>
      <c r="AA297" s="38" t="str">
        <f t="shared" si="168"/>
        <v/>
      </c>
      <c r="AB297" s="38" t="e">
        <f t="shared" si="169"/>
        <v>#VALUE!</v>
      </c>
      <c r="AC297" s="38" t="str">
        <f t="shared" si="170"/>
        <v/>
      </c>
      <c r="AD297" s="38" t="str">
        <f t="shared" si="170"/>
        <v/>
      </c>
      <c r="AE297" s="38" t="e">
        <f t="shared" si="171"/>
        <v>#VALUE!</v>
      </c>
      <c r="AF297" s="238" t="e">
        <f>((Summary!$N$11*(AA297*AD297)*(A297-$D$3))+(Summary!$M$11*Z297*AC297*(AJ297-EOMONTH(EDATE(A297,-1),0))))/(AK297*AB297*AE297)</f>
        <v>#VALUE!</v>
      </c>
      <c r="AG297" s="88" t="str">
        <f>IF($A298="","",Summary!$Q$11)</f>
        <v/>
      </c>
      <c r="AH297" s="88" t="str">
        <f>IF($A298="","",IF(Summary!$R$11="Y",(VLOOKUP($A297,Summary!$AD$6:$AF$9,3)+'Escalating commodity'!G310),'Escalating commodity'!G310))</f>
        <v/>
      </c>
      <c r="AI297" s="88" t="str">
        <f t="shared" si="186"/>
        <v/>
      </c>
      <c r="AJ297" s="236" t="e">
        <f t="shared" si="172"/>
        <v>#VALUE!</v>
      </c>
      <c r="AK297" s="58" t="str">
        <f t="shared" si="173"/>
        <v/>
      </c>
      <c r="AL297" s="26" t="str">
        <f>IF($A298="","",_xll.SPRDOPT(P297,X297,AI297,0,AB297,AE297,AF297,AK297,$AJ$2,0))</f>
        <v/>
      </c>
      <c r="AM297" s="209" t="str">
        <f t="shared" si="174"/>
        <v/>
      </c>
      <c r="AN297" s="89" t="str">
        <f t="shared" si="175"/>
        <v/>
      </c>
      <c r="AO297" s="3" t="str">
        <f t="shared" si="176"/>
        <v/>
      </c>
      <c r="AP297" s="33" t="str">
        <f t="shared" si="177"/>
        <v/>
      </c>
      <c r="AQ297" s="58" t="str">
        <f t="shared" si="178"/>
        <v/>
      </c>
      <c r="AR297" s="38">
        <f>'ANR OK vs ML7'!AR297</f>
        <v>0.1</v>
      </c>
      <c r="AS297" s="35" t="str">
        <f t="shared" si="179"/>
        <v/>
      </c>
      <c r="AT297" s="3" t="str">
        <f t="shared" si="180"/>
        <v/>
      </c>
      <c r="AU297" s="3" t="str">
        <f t="shared" si="181"/>
        <v/>
      </c>
      <c r="AW297" s="32" t="str">
        <f t="shared" si="182"/>
        <v/>
      </c>
      <c r="AX297" s="32" t="str">
        <f t="shared" si="183"/>
        <v/>
      </c>
      <c r="AY297" s="32" t="str">
        <f t="shared" si="184"/>
        <v/>
      </c>
      <c r="BA297" s="32" t="str">
        <f>IF($A298="","",F297*Summary!$Q$11)</f>
        <v/>
      </c>
    </row>
    <row r="298" spans="1:53" ht="12" customHeight="1">
      <c r="A298" s="67" t="str">
        <f t="shared" si="185"/>
        <v/>
      </c>
      <c r="B298" s="69" t="str">
        <f t="shared" si="187"/>
        <v/>
      </c>
      <c r="C298" s="71"/>
      <c r="D298" s="69" t="str">
        <f t="shared" si="151"/>
        <v/>
      </c>
      <c r="E298" s="70" t="str">
        <f t="shared" si="152"/>
        <v/>
      </c>
      <c r="F298" s="70" t="str">
        <f t="shared" si="153"/>
        <v/>
      </c>
      <c r="G298" s="63" t="str">
        <f t="shared" si="154"/>
        <v/>
      </c>
      <c r="H298" s="64" t="str">
        <f t="shared" si="155"/>
        <v/>
      </c>
      <c r="I298" s="43"/>
      <c r="J298" s="63" t="str">
        <f t="shared" si="156"/>
        <v/>
      </c>
      <c r="K298" s="64" t="str">
        <f t="shared" si="157"/>
        <v/>
      </c>
      <c r="L298" s="63" t="str">
        <f t="shared" si="158"/>
        <v/>
      </c>
      <c r="M298" s="64" t="str">
        <f t="shared" si="159"/>
        <v/>
      </c>
      <c r="N298" s="65"/>
      <c r="O298" s="63" t="str">
        <f t="shared" si="160"/>
        <v/>
      </c>
      <c r="P298" s="63" t="str">
        <f t="shared" si="161"/>
        <v/>
      </c>
      <c r="Q298" s="66"/>
      <c r="R298" s="63" t="str">
        <f t="shared" si="162"/>
        <v/>
      </c>
      <c r="S298" s="64" t="str">
        <f t="shared" si="163"/>
        <v/>
      </c>
      <c r="T298" s="38">
        <v>0</v>
      </c>
      <c r="U298" s="64" t="str">
        <f t="shared" si="164"/>
        <v/>
      </c>
      <c r="V298" s="219" t="str">
        <f>IF($A299="","",IF(AND(MONTH(A298)&gt;3,MONTH(A298)&lt;11),(T298+R298+G298)*Summary!$T$11/(1-Summary!$T$11),(T298+R298+G298)*Summary!$U$11/(1-Summary!$U$11)))</f>
        <v/>
      </c>
      <c r="W298" s="43" t="str">
        <f t="shared" si="165"/>
        <v/>
      </c>
      <c r="X298" s="43" t="str">
        <f t="shared" si="166"/>
        <v/>
      </c>
      <c r="Y298" s="43"/>
      <c r="Z298" s="38" t="str">
        <f t="shared" si="167"/>
        <v/>
      </c>
      <c r="AA298" s="38" t="str">
        <f t="shared" si="168"/>
        <v/>
      </c>
      <c r="AB298" s="38" t="e">
        <f t="shared" si="169"/>
        <v>#VALUE!</v>
      </c>
      <c r="AC298" s="38" t="str">
        <f t="shared" si="170"/>
        <v/>
      </c>
      <c r="AD298" s="38" t="str">
        <f t="shared" si="170"/>
        <v/>
      </c>
      <c r="AE298" s="38" t="e">
        <f t="shared" si="171"/>
        <v>#VALUE!</v>
      </c>
      <c r="AF298" s="238" t="e">
        <f>((Summary!$N$11*(AA298*AD298)*(A298-$D$3))+(Summary!$M$11*Z298*AC298*(AJ298-EOMONTH(EDATE(A298,-1),0))))/(AK298*AB298*AE298)</f>
        <v>#VALUE!</v>
      </c>
      <c r="AG298" s="88" t="str">
        <f>IF($A299="","",Summary!$Q$11)</f>
        <v/>
      </c>
      <c r="AH298" s="88" t="str">
        <f>IF($A299="","",IF(Summary!$R$11="Y",(VLOOKUP($A298,Summary!$AD$6:$AF$9,3)+'Escalating commodity'!G311),'Escalating commodity'!G311))</f>
        <v/>
      </c>
      <c r="AI298" s="88" t="str">
        <f t="shared" si="186"/>
        <v/>
      </c>
      <c r="AJ298" s="236" t="e">
        <f t="shared" si="172"/>
        <v>#VALUE!</v>
      </c>
      <c r="AK298" s="58" t="str">
        <f t="shared" si="173"/>
        <v/>
      </c>
      <c r="AL298" s="26" t="str">
        <f>IF($A299="","",_xll.SPRDOPT(P298,X298,AI298,0,AB298,AE298,AF298,AK298,$AJ$2,0))</f>
        <v/>
      </c>
      <c r="AM298" s="209" t="str">
        <f t="shared" si="174"/>
        <v/>
      </c>
      <c r="AN298" s="89" t="str">
        <f t="shared" si="175"/>
        <v/>
      </c>
      <c r="AO298" s="3" t="str">
        <f t="shared" si="176"/>
        <v/>
      </c>
      <c r="AP298" s="33" t="str">
        <f t="shared" si="177"/>
        <v/>
      </c>
      <c r="AQ298" s="58" t="str">
        <f t="shared" si="178"/>
        <v/>
      </c>
      <c r="AR298" s="38">
        <f>'ANR OK vs ML7'!AR298</f>
        <v>0.1</v>
      </c>
      <c r="AS298" s="35" t="str">
        <f t="shared" si="179"/>
        <v/>
      </c>
      <c r="AT298" s="3" t="str">
        <f t="shared" si="180"/>
        <v/>
      </c>
      <c r="AU298" s="3" t="str">
        <f t="shared" si="181"/>
        <v/>
      </c>
      <c r="AW298" s="32" t="str">
        <f t="shared" si="182"/>
        <v/>
      </c>
      <c r="AX298" s="32" t="str">
        <f t="shared" si="183"/>
        <v/>
      </c>
      <c r="AY298" s="32" t="str">
        <f t="shared" si="184"/>
        <v/>
      </c>
      <c r="BA298" s="32" t="str">
        <f>IF($A299="","",F298*Summary!$Q$11)</f>
        <v/>
      </c>
    </row>
    <row r="299" spans="1:53" ht="12" customHeight="1">
      <c r="A299" s="67" t="str">
        <f t="shared" si="185"/>
        <v/>
      </c>
      <c r="B299" s="69" t="str">
        <f t="shared" si="187"/>
        <v/>
      </c>
      <c r="C299" s="71"/>
      <c r="D299" s="69" t="str">
        <f t="shared" si="151"/>
        <v/>
      </c>
      <c r="E299" s="70" t="str">
        <f t="shared" si="152"/>
        <v/>
      </c>
      <c r="F299" s="70" t="str">
        <f t="shared" si="153"/>
        <v/>
      </c>
      <c r="G299" s="63" t="str">
        <f t="shared" si="154"/>
        <v/>
      </c>
      <c r="H299" s="64" t="str">
        <f t="shared" si="155"/>
        <v/>
      </c>
      <c r="I299" s="43"/>
      <c r="J299" s="63" t="str">
        <f t="shared" si="156"/>
        <v/>
      </c>
      <c r="K299" s="64" t="str">
        <f t="shared" si="157"/>
        <v/>
      </c>
      <c r="L299" s="63" t="str">
        <f t="shared" si="158"/>
        <v/>
      </c>
      <c r="M299" s="64" t="str">
        <f t="shared" si="159"/>
        <v/>
      </c>
      <c r="N299" s="65"/>
      <c r="O299" s="63" t="str">
        <f t="shared" si="160"/>
        <v/>
      </c>
      <c r="P299" s="63" t="str">
        <f t="shared" si="161"/>
        <v/>
      </c>
      <c r="Q299" s="66"/>
      <c r="R299" s="63" t="str">
        <f t="shared" si="162"/>
        <v/>
      </c>
      <c r="S299" s="64" t="str">
        <f t="shared" si="163"/>
        <v/>
      </c>
      <c r="T299" s="38">
        <v>0</v>
      </c>
      <c r="U299" s="64" t="str">
        <f t="shared" si="164"/>
        <v/>
      </c>
      <c r="V299" s="219" t="str">
        <f>IF($A300="","",IF(AND(MONTH(A299)&gt;3,MONTH(A299)&lt;11),(T299+R299+G299)*Summary!$T$11/(1-Summary!$T$11),(T299+R299+G299)*Summary!$U$11/(1-Summary!$U$11)))</f>
        <v/>
      </c>
      <c r="W299" s="43" t="str">
        <f t="shared" si="165"/>
        <v/>
      </c>
      <c r="X299" s="43" t="str">
        <f t="shared" si="166"/>
        <v/>
      </c>
      <c r="Y299" s="43"/>
      <c r="Z299" s="38" t="str">
        <f t="shared" si="167"/>
        <v/>
      </c>
      <c r="AA299" s="38" t="str">
        <f t="shared" si="168"/>
        <v/>
      </c>
      <c r="AB299" s="38" t="e">
        <f t="shared" si="169"/>
        <v>#VALUE!</v>
      </c>
      <c r="AC299" s="38" t="str">
        <f t="shared" si="170"/>
        <v/>
      </c>
      <c r="AD299" s="38" t="str">
        <f t="shared" si="170"/>
        <v/>
      </c>
      <c r="AE299" s="38" t="e">
        <f t="shared" si="171"/>
        <v>#VALUE!</v>
      </c>
      <c r="AF299" s="238" t="e">
        <f>((Summary!$N$11*(AA299*AD299)*(A299-$D$3))+(Summary!$M$11*Z299*AC299*(AJ299-EOMONTH(EDATE(A299,-1),0))))/(AK299*AB299*AE299)</f>
        <v>#VALUE!</v>
      </c>
      <c r="AG299" s="88" t="str">
        <f>IF($A300="","",Summary!$Q$11)</f>
        <v/>
      </c>
      <c r="AH299" s="88" t="str">
        <f>IF($A300="","",IF(Summary!$R$11="Y",(VLOOKUP($A299,Summary!$AD$6:$AF$9,3)+'Escalating commodity'!G312),'Escalating commodity'!G312))</f>
        <v/>
      </c>
      <c r="AI299" s="88" t="str">
        <f t="shared" si="186"/>
        <v/>
      </c>
      <c r="AJ299" s="236" t="e">
        <f t="shared" si="172"/>
        <v>#VALUE!</v>
      </c>
      <c r="AK299" s="58" t="str">
        <f t="shared" si="173"/>
        <v/>
      </c>
      <c r="AL299" s="26" t="str">
        <f>IF($A300="","",_xll.SPRDOPT(P299,X299,AI299,0,AB299,AE299,AF299,AK299,$AJ$2,0))</f>
        <v/>
      </c>
      <c r="AM299" s="209" t="str">
        <f t="shared" si="174"/>
        <v/>
      </c>
      <c r="AN299" s="89" t="str">
        <f t="shared" si="175"/>
        <v/>
      </c>
      <c r="AO299" s="3" t="str">
        <f t="shared" si="176"/>
        <v/>
      </c>
      <c r="AP299" s="33" t="str">
        <f t="shared" si="177"/>
        <v/>
      </c>
      <c r="AQ299" s="58" t="str">
        <f t="shared" si="178"/>
        <v/>
      </c>
      <c r="AR299" s="38">
        <f>'ANR OK vs ML7'!AR299</f>
        <v>0.1</v>
      </c>
      <c r="AS299" s="35" t="str">
        <f t="shared" si="179"/>
        <v/>
      </c>
      <c r="AT299" s="3" t="str">
        <f t="shared" si="180"/>
        <v/>
      </c>
      <c r="AU299" s="3" t="str">
        <f t="shared" si="181"/>
        <v/>
      </c>
      <c r="AW299" s="32" t="str">
        <f t="shared" si="182"/>
        <v/>
      </c>
      <c r="AX299" s="32" t="str">
        <f t="shared" si="183"/>
        <v/>
      </c>
      <c r="AY299" s="32" t="str">
        <f t="shared" si="184"/>
        <v/>
      </c>
      <c r="BA299" s="32" t="str">
        <f>IF($A300="","",F299*Summary!$Q$11)</f>
        <v/>
      </c>
    </row>
    <row r="300" spans="1:53" ht="12" customHeight="1">
      <c r="A300" s="67" t="str">
        <f t="shared" si="185"/>
        <v/>
      </c>
      <c r="B300" s="69" t="str">
        <f t="shared" si="187"/>
        <v/>
      </c>
      <c r="C300" s="71"/>
      <c r="D300" s="69" t="str">
        <f t="shared" si="151"/>
        <v/>
      </c>
      <c r="E300" s="70" t="str">
        <f t="shared" si="152"/>
        <v/>
      </c>
      <c r="F300" s="70" t="str">
        <f t="shared" si="153"/>
        <v/>
      </c>
      <c r="G300" s="63" t="str">
        <f t="shared" si="154"/>
        <v/>
      </c>
      <c r="H300" s="64" t="str">
        <f t="shared" si="155"/>
        <v/>
      </c>
      <c r="I300" s="43"/>
      <c r="J300" s="63" t="str">
        <f t="shared" si="156"/>
        <v/>
      </c>
      <c r="K300" s="64" t="str">
        <f t="shared" si="157"/>
        <v/>
      </c>
      <c r="L300" s="63" t="str">
        <f t="shared" si="158"/>
        <v/>
      </c>
      <c r="M300" s="64" t="str">
        <f t="shared" si="159"/>
        <v/>
      </c>
      <c r="N300" s="65"/>
      <c r="O300" s="63" t="str">
        <f t="shared" si="160"/>
        <v/>
      </c>
      <c r="P300" s="63" t="str">
        <f t="shared" si="161"/>
        <v/>
      </c>
      <c r="Q300" s="66"/>
      <c r="R300" s="63" t="str">
        <f t="shared" si="162"/>
        <v/>
      </c>
      <c r="S300" s="64" t="str">
        <f t="shared" si="163"/>
        <v/>
      </c>
      <c r="T300" s="38">
        <v>0</v>
      </c>
      <c r="U300" s="64" t="str">
        <f t="shared" si="164"/>
        <v/>
      </c>
      <c r="V300" s="219" t="str">
        <f>IF($A301="","",IF(AND(MONTH(A300)&gt;3,MONTH(A300)&lt;11),(T300+R300+G300)*Summary!$T$11/(1-Summary!$T$11),(T300+R300+G300)*Summary!$U$11/(1-Summary!$U$11)))</f>
        <v/>
      </c>
      <c r="W300" s="43" t="str">
        <f t="shared" si="165"/>
        <v/>
      </c>
      <c r="X300" s="43" t="str">
        <f t="shared" si="166"/>
        <v/>
      </c>
      <c r="Y300" s="43"/>
      <c r="Z300" s="38" t="str">
        <f t="shared" si="167"/>
        <v/>
      </c>
      <c r="AA300" s="38" t="str">
        <f t="shared" si="168"/>
        <v/>
      </c>
      <c r="AB300" s="38" t="e">
        <f t="shared" si="169"/>
        <v>#VALUE!</v>
      </c>
      <c r="AC300" s="38" t="str">
        <f t="shared" si="170"/>
        <v/>
      </c>
      <c r="AD300" s="38" t="str">
        <f t="shared" si="170"/>
        <v/>
      </c>
      <c r="AE300" s="38" t="e">
        <f t="shared" si="171"/>
        <v>#VALUE!</v>
      </c>
      <c r="AF300" s="238" t="e">
        <f>((Summary!$N$11*(AA300*AD300)*(A300-$D$3))+(Summary!$M$11*Z300*AC300*(AJ300-EOMONTH(EDATE(A300,-1),0))))/(AK300*AB300*AE300)</f>
        <v>#VALUE!</v>
      </c>
      <c r="AG300" s="88" t="str">
        <f>IF($A301="","",Summary!$Q$11)</f>
        <v/>
      </c>
      <c r="AH300" s="88" t="str">
        <f>IF($A301="","",IF(Summary!$R$11="Y",(VLOOKUP($A300,Summary!$AD$6:$AF$9,3)+'Escalating commodity'!G313),'Escalating commodity'!G313))</f>
        <v/>
      </c>
      <c r="AI300" s="88" t="str">
        <f t="shared" si="186"/>
        <v/>
      </c>
      <c r="AJ300" s="236" t="e">
        <f t="shared" si="172"/>
        <v>#VALUE!</v>
      </c>
      <c r="AK300" s="58" t="str">
        <f t="shared" si="173"/>
        <v/>
      </c>
      <c r="AL300" s="26" t="str">
        <f>IF($A301="","",_xll.SPRDOPT(P300,X300,AI300,0,AB300,AE300,AF300,AK300,$AJ$2,0))</f>
        <v/>
      </c>
      <c r="AM300" s="209" t="str">
        <f t="shared" si="174"/>
        <v/>
      </c>
      <c r="AN300" s="89" t="str">
        <f t="shared" si="175"/>
        <v/>
      </c>
      <c r="AO300" s="3" t="str">
        <f t="shared" si="176"/>
        <v/>
      </c>
      <c r="AP300" s="33" t="str">
        <f t="shared" si="177"/>
        <v/>
      </c>
      <c r="AQ300" s="58" t="str">
        <f t="shared" si="178"/>
        <v/>
      </c>
      <c r="AR300" s="38">
        <f>'ANR OK vs ML7'!AR300</f>
        <v>0.1</v>
      </c>
      <c r="AS300" s="35" t="str">
        <f t="shared" si="179"/>
        <v/>
      </c>
      <c r="AT300" s="3" t="str">
        <f t="shared" si="180"/>
        <v/>
      </c>
      <c r="AU300" s="3" t="str">
        <f t="shared" si="181"/>
        <v/>
      </c>
      <c r="AW300" s="32" t="str">
        <f t="shared" si="182"/>
        <v/>
      </c>
      <c r="AX300" s="32" t="str">
        <f t="shared" si="183"/>
        <v/>
      </c>
      <c r="AY300" s="32" t="str">
        <f t="shared" si="184"/>
        <v/>
      </c>
      <c r="BA300" s="32" t="str">
        <f>IF($A301="","",F300*Summary!$Q$11)</f>
        <v/>
      </c>
    </row>
    <row r="301" spans="1:53" ht="12" customHeight="1">
      <c r="A301" s="67" t="str">
        <f t="shared" si="185"/>
        <v/>
      </c>
      <c r="B301" s="69" t="str">
        <f t="shared" si="187"/>
        <v/>
      </c>
      <c r="C301" s="71"/>
      <c r="D301" s="69" t="str">
        <f t="shared" si="151"/>
        <v/>
      </c>
      <c r="E301" s="70" t="str">
        <f t="shared" si="152"/>
        <v/>
      </c>
      <c r="F301" s="70" t="str">
        <f t="shared" si="153"/>
        <v/>
      </c>
      <c r="G301" s="63" t="str">
        <f t="shared" si="154"/>
        <v/>
      </c>
      <c r="H301" s="64" t="str">
        <f t="shared" si="155"/>
        <v/>
      </c>
      <c r="I301" s="43"/>
      <c r="J301" s="63" t="str">
        <f t="shared" si="156"/>
        <v/>
      </c>
      <c r="K301" s="64" t="str">
        <f t="shared" si="157"/>
        <v/>
      </c>
      <c r="L301" s="63" t="str">
        <f t="shared" si="158"/>
        <v/>
      </c>
      <c r="M301" s="64" t="str">
        <f t="shared" si="159"/>
        <v/>
      </c>
      <c r="N301" s="65"/>
      <c r="O301" s="63" t="str">
        <f t="shared" si="160"/>
        <v/>
      </c>
      <c r="P301" s="63" t="str">
        <f t="shared" si="161"/>
        <v/>
      </c>
      <c r="Q301" s="66"/>
      <c r="R301" s="63" t="str">
        <f t="shared" si="162"/>
        <v/>
      </c>
      <c r="S301" s="64" t="str">
        <f t="shared" si="163"/>
        <v/>
      </c>
      <c r="T301" s="38">
        <v>0</v>
      </c>
      <c r="U301" s="64" t="str">
        <f t="shared" si="164"/>
        <v/>
      </c>
      <c r="V301" s="219" t="str">
        <f>IF($A302="","",IF(AND(MONTH(A301)&gt;3,MONTH(A301)&lt;11),(T301+R301+G301)*Summary!$T$11/(1-Summary!$T$11),(T301+R301+G301)*Summary!$U$11/(1-Summary!$U$11)))</f>
        <v/>
      </c>
      <c r="W301" s="43" t="str">
        <f t="shared" si="165"/>
        <v/>
      </c>
      <c r="X301" s="43" t="str">
        <f t="shared" si="166"/>
        <v/>
      </c>
      <c r="Y301" s="43"/>
      <c r="Z301" s="38" t="str">
        <f t="shared" si="167"/>
        <v/>
      </c>
      <c r="AA301" s="38" t="str">
        <f t="shared" si="168"/>
        <v/>
      </c>
      <c r="AB301" s="38" t="e">
        <f t="shared" si="169"/>
        <v>#VALUE!</v>
      </c>
      <c r="AC301" s="38" t="str">
        <f t="shared" si="170"/>
        <v/>
      </c>
      <c r="AD301" s="38" t="str">
        <f t="shared" si="170"/>
        <v/>
      </c>
      <c r="AE301" s="38" t="e">
        <f t="shared" si="171"/>
        <v>#VALUE!</v>
      </c>
      <c r="AF301" s="238" t="e">
        <f>((Summary!$N$11*(AA301*AD301)*(A301-$D$3))+(Summary!$M$11*Z301*AC301*(AJ301-EOMONTH(EDATE(A301,-1),0))))/(AK301*AB301*AE301)</f>
        <v>#VALUE!</v>
      </c>
      <c r="AG301" s="88" t="str">
        <f>IF($A302="","",Summary!$Q$11)</f>
        <v/>
      </c>
      <c r="AH301" s="88" t="str">
        <f>IF($A302="","",IF(Summary!$R$11="Y",(VLOOKUP($A301,Summary!$AD$6:$AF$9,3)+'Escalating commodity'!G314),'Escalating commodity'!G314))</f>
        <v/>
      </c>
      <c r="AI301" s="88" t="str">
        <f t="shared" si="186"/>
        <v/>
      </c>
      <c r="AJ301" s="236" t="e">
        <f t="shared" si="172"/>
        <v>#VALUE!</v>
      </c>
      <c r="AK301" s="58" t="str">
        <f t="shared" si="173"/>
        <v/>
      </c>
      <c r="AL301" s="26" t="str">
        <f>IF($A302="","",_xll.SPRDOPT(P301,X301,AI301,0,AB301,AE301,AF301,AK301,$AJ$2,0))</f>
        <v/>
      </c>
      <c r="AM301" s="209" t="str">
        <f t="shared" si="174"/>
        <v/>
      </c>
      <c r="AN301" s="89" t="str">
        <f t="shared" si="175"/>
        <v/>
      </c>
      <c r="AO301" s="3" t="str">
        <f t="shared" si="176"/>
        <v/>
      </c>
      <c r="AP301" s="33" t="str">
        <f t="shared" si="177"/>
        <v/>
      </c>
      <c r="AQ301" s="58" t="str">
        <f t="shared" si="178"/>
        <v/>
      </c>
      <c r="AR301" s="38">
        <f>'ANR OK vs ML7'!AR301</f>
        <v>0.1</v>
      </c>
      <c r="AS301" s="35" t="str">
        <f t="shared" si="179"/>
        <v/>
      </c>
      <c r="AT301" s="3" t="str">
        <f t="shared" si="180"/>
        <v/>
      </c>
      <c r="AU301" s="3" t="str">
        <f t="shared" si="181"/>
        <v/>
      </c>
      <c r="AW301" s="32" t="str">
        <f t="shared" si="182"/>
        <v/>
      </c>
      <c r="AX301" s="32" t="str">
        <f t="shared" si="183"/>
        <v/>
      </c>
      <c r="AY301" s="32" t="str">
        <f t="shared" si="184"/>
        <v/>
      </c>
      <c r="BA301" s="32" t="str">
        <f>IF($A302="","",F301*Summary!$Q$11)</f>
        <v/>
      </c>
    </row>
    <row r="302" spans="1:53" ht="12" customHeight="1">
      <c r="A302" s="67" t="str">
        <f t="shared" si="185"/>
        <v/>
      </c>
      <c r="B302" s="69" t="str">
        <f t="shared" si="187"/>
        <v/>
      </c>
      <c r="C302" s="71"/>
      <c r="D302" s="69" t="str">
        <f t="shared" si="151"/>
        <v/>
      </c>
      <c r="E302" s="70" t="str">
        <f t="shared" si="152"/>
        <v/>
      </c>
      <c r="F302" s="70" t="str">
        <f t="shared" si="153"/>
        <v/>
      </c>
      <c r="G302" s="63" t="str">
        <f t="shared" si="154"/>
        <v/>
      </c>
      <c r="H302" s="64" t="str">
        <f t="shared" si="155"/>
        <v/>
      </c>
      <c r="I302" s="43"/>
      <c r="J302" s="63" t="str">
        <f t="shared" si="156"/>
        <v/>
      </c>
      <c r="K302" s="64" t="str">
        <f t="shared" si="157"/>
        <v/>
      </c>
      <c r="L302" s="63" t="str">
        <f t="shared" si="158"/>
        <v/>
      </c>
      <c r="M302" s="64" t="str">
        <f t="shared" si="159"/>
        <v/>
      </c>
      <c r="N302" s="65"/>
      <c r="O302" s="63" t="str">
        <f t="shared" si="160"/>
        <v/>
      </c>
      <c r="P302" s="63" t="str">
        <f t="shared" si="161"/>
        <v/>
      </c>
      <c r="Q302" s="66"/>
      <c r="R302" s="63" t="str">
        <f t="shared" si="162"/>
        <v/>
      </c>
      <c r="S302" s="64" t="str">
        <f t="shared" si="163"/>
        <v/>
      </c>
      <c r="T302" s="38">
        <v>0</v>
      </c>
      <c r="U302" s="64" t="str">
        <f t="shared" si="164"/>
        <v/>
      </c>
      <c r="V302" s="219" t="str">
        <f>IF($A303="","",IF(AND(MONTH(A302)&gt;3,MONTH(A302)&lt;11),(T302+R302+G302)*Summary!$T$11/(1-Summary!$T$11),(T302+R302+G302)*Summary!$U$11/(1-Summary!$U$11)))</f>
        <v/>
      </c>
      <c r="W302" s="43" t="str">
        <f t="shared" si="165"/>
        <v/>
      </c>
      <c r="X302" s="43" t="str">
        <f t="shared" si="166"/>
        <v/>
      </c>
      <c r="Y302" s="43"/>
      <c r="Z302" s="38" t="str">
        <f t="shared" si="167"/>
        <v/>
      </c>
      <c r="AA302" s="38" t="str">
        <f t="shared" si="168"/>
        <v/>
      </c>
      <c r="AB302" s="38" t="e">
        <f t="shared" si="169"/>
        <v>#VALUE!</v>
      </c>
      <c r="AC302" s="38" t="str">
        <f t="shared" si="170"/>
        <v/>
      </c>
      <c r="AD302" s="38" t="str">
        <f t="shared" si="170"/>
        <v/>
      </c>
      <c r="AE302" s="38" t="e">
        <f t="shared" si="171"/>
        <v>#VALUE!</v>
      </c>
      <c r="AF302" s="238" t="e">
        <f>((Summary!$N$11*(AA302*AD302)*(A302-$D$3))+(Summary!$M$11*Z302*AC302*(AJ302-EOMONTH(EDATE(A302,-1),0))))/(AK302*AB302*AE302)</f>
        <v>#VALUE!</v>
      </c>
      <c r="AG302" s="88" t="str">
        <f>IF($A303="","",Summary!$Q$11)</f>
        <v/>
      </c>
      <c r="AH302" s="88" t="str">
        <f>IF($A303="","",IF(Summary!$R$11="Y",(VLOOKUP($A302,Summary!$AD$6:$AF$9,3)+'Escalating commodity'!G315),'Escalating commodity'!G315))</f>
        <v/>
      </c>
      <c r="AI302" s="88" t="str">
        <f t="shared" si="186"/>
        <v/>
      </c>
      <c r="AJ302" s="236" t="e">
        <f t="shared" si="172"/>
        <v>#VALUE!</v>
      </c>
      <c r="AK302" s="58" t="str">
        <f t="shared" si="173"/>
        <v/>
      </c>
      <c r="AL302" s="26" t="str">
        <f>IF($A303="","",_xll.SPRDOPT(P302,X302,AI302,0,AB302,AE302,AF302,AK302,$AJ$2,0))</f>
        <v/>
      </c>
      <c r="AM302" s="209" t="str">
        <f t="shared" si="174"/>
        <v/>
      </c>
      <c r="AN302" s="89" t="str">
        <f t="shared" si="175"/>
        <v/>
      </c>
      <c r="AO302" s="3" t="str">
        <f t="shared" si="176"/>
        <v/>
      </c>
      <c r="AP302" s="33" t="str">
        <f t="shared" si="177"/>
        <v/>
      </c>
      <c r="AQ302" s="58" t="str">
        <f t="shared" si="178"/>
        <v/>
      </c>
      <c r="AR302" s="38">
        <f>'ANR OK vs ML7'!AR302</f>
        <v>0.1</v>
      </c>
      <c r="AS302" s="35" t="str">
        <f t="shared" si="179"/>
        <v/>
      </c>
      <c r="AT302" s="3" t="str">
        <f t="shared" si="180"/>
        <v/>
      </c>
      <c r="AU302" s="3" t="str">
        <f t="shared" si="181"/>
        <v/>
      </c>
      <c r="AW302" s="32" t="str">
        <f t="shared" si="182"/>
        <v/>
      </c>
      <c r="AX302" s="32" t="str">
        <f t="shared" si="183"/>
        <v/>
      </c>
      <c r="AY302" s="32" t="str">
        <f t="shared" si="184"/>
        <v/>
      </c>
      <c r="BA302" s="32" t="str">
        <f>IF($A303="","",F302*Summary!$Q$11)</f>
        <v/>
      </c>
    </row>
    <row r="303" spans="1:53" ht="12" customHeight="1">
      <c r="A303" s="67" t="str">
        <f t="shared" si="185"/>
        <v/>
      </c>
      <c r="B303" s="69" t="str">
        <f t="shared" si="187"/>
        <v/>
      </c>
      <c r="C303" s="71"/>
      <c r="D303" s="69" t="str">
        <f t="shared" si="151"/>
        <v/>
      </c>
      <c r="E303" s="70" t="str">
        <f t="shared" si="152"/>
        <v/>
      </c>
      <c r="F303" s="70" t="str">
        <f t="shared" si="153"/>
        <v/>
      </c>
      <c r="G303" s="63" t="str">
        <f t="shared" si="154"/>
        <v/>
      </c>
      <c r="H303" s="64" t="str">
        <f t="shared" si="155"/>
        <v/>
      </c>
      <c r="I303" s="43"/>
      <c r="J303" s="63" t="str">
        <f t="shared" si="156"/>
        <v/>
      </c>
      <c r="K303" s="64" t="str">
        <f t="shared" si="157"/>
        <v/>
      </c>
      <c r="L303" s="63" t="str">
        <f t="shared" si="158"/>
        <v/>
      </c>
      <c r="M303" s="64" t="str">
        <f t="shared" si="159"/>
        <v/>
      </c>
      <c r="N303" s="65"/>
      <c r="O303" s="63" t="str">
        <f t="shared" si="160"/>
        <v/>
      </c>
      <c r="P303" s="63" t="str">
        <f t="shared" si="161"/>
        <v/>
      </c>
      <c r="Q303" s="66"/>
      <c r="R303" s="63" t="str">
        <f t="shared" si="162"/>
        <v/>
      </c>
      <c r="S303" s="64" t="str">
        <f t="shared" si="163"/>
        <v/>
      </c>
      <c r="T303" s="38">
        <v>0</v>
      </c>
      <c r="U303" s="64" t="str">
        <f t="shared" si="164"/>
        <v/>
      </c>
      <c r="V303" s="219" t="str">
        <f>IF($A304="","",IF(AND(MONTH(A303)&gt;3,MONTH(A303)&lt;11),(T303+R303+G303)*Summary!$T$11/(1-Summary!$T$11),(T303+R303+G303)*Summary!$U$11/(1-Summary!$U$11)))</f>
        <v/>
      </c>
      <c r="W303" s="43" t="str">
        <f t="shared" si="165"/>
        <v/>
      </c>
      <c r="X303" s="43" t="str">
        <f t="shared" si="166"/>
        <v/>
      </c>
      <c r="Y303" s="43"/>
      <c r="Z303" s="38" t="str">
        <f t="shared" si="167"/>
        <v/>
      </c>
      <c r="AA303" s="38" t="str">
        <f t="shared" si="168"/>
        <v/>
      </c>
      <c r="AB303" s="38" t="e">
        <f t="shared" si="169"/>
        <v>#VALUE!</v>
      </c>
      <c r="AC303" s="38" t="str">
        <f t="shared" si="170"/>
        <v/>
      </c>
      <c r="AD303" s="38" t="str">
        <f t="shared" si="170"/>
        <v/>
      </c>
      <c r="AE303" s="38" t="e">
        <f t="shared" si="171"/>
        <v>#VALUE!</v>
      </c>
      <c r="AF303" s="238" t="e">
        <f>((Summary!$N$11*(AA303*AD303)*(A303-$D$3))+(Summary!$M$11*Z303*AC303*(AJ303-EOMONTH(EDATE(A303,-1),0))))/(AK303*AB303*AE303)</f>
        <v>#VALUE!</v>
      </c>
      <c r="AG303" s="88" t="str">
        <f>IF($A304="","",Summary!$Q$11)</f>
        <v/>
      </c>
      <c r="AH303" s="88" t="str">
        <f>IF($A304="","",IF(Summary!$R$11="Y",(VLOOKUP($A303,Summary!$AD$6:$AF$9,3)+'Escalating commodity'!G316),'Escalating commodity'!G316))</f>
        <v/>
      </c>
      <c r="AI303" s="88" t="str">
        <f t="shared" si="186"/>
        <v/>
      </c>
      <c r="AJ303" s="236" t="e">
        <f t="shared" si="172"/>
        <v>#VALUE!</v>
      </c>
      <c r="AK303" s="58" t="str">
        <f t="shared" si="173"/>
        <v/>
      </c>
      <c r="AL303" s="26" t="str">
        <f>IF($A304="","",_xll.SPRDOPT(P303,X303,AI303,0,AB303,AE303,AF303,AK303,$AJ$2,0))</f>
        <v/>
      </c>
      <c r="AM303" s="209" t="str">
        <f t="shared" si="174"/>
        <v/>
      </c>
      <c r="AN303" s="89" t="str">
        <f t="shared" si="175"/>
        <v/>
      </c>
      <c r="AO303" s="3" t="str">
        <f t="shared" si="176"/>
        <v/>
      </c>
      <c r="AP303" s="33" t="str">
        <f t="shared" si="177"/>
        <v/>
      </c>
      <c r="AQ303" s="58" t="str">
        <f t="shared" si="178"/>
        <v/>
      </c>
      <c r="AR303" s="38">
        <f>'ANR OK vs ML7'!AR303</f>
        <v>0.1</v>
      </c>
      <c r="AS303" s="35" t="str">
        <f t="shared" si="179"/>
        <v/>
      </c>
      <c r="AT303" s="3" t="str">
        <f t="shared" si="180"/>
        <v/>
      </c>
      <c r="AU303" s="3" t="str">
        <f t="shared" si="181"/>
        <v/>
      </c>
      <c r="AW303" s="32" t="str">
        <f t="shared" si="182"/>
        <v/>
      </c>
      <c r="AX303" s="32" t="str">
        <f t="shared" si="183"/>
        <v/>
      </c>
      <c r="AY303" s="32" t="str">
        <f t="shared" si="184"/>
        <v/>
      </c>
      <c r="BA303" s="32" t="str">
        <f>IF($A304="","",F303*Summary!$Q$11)</f>
        <v/>
      </c>
    </row>
    <row r="304" spans="1:53" ht="12" customHeight="1">
      <c r="A304" s="67" t="str">
        <f t="shared" si="185"/>
        <v/>
      </c>
      <c r="B304" s="69" t="str">
        <f t="shared" si="187"/>
        <v/>
      </c>
      <c r="C304" s="71"/>
      <c r="D304" s="69" t="str">
        <f t="shared" si="151"/>
        <v/>
      </c>
      <c r="E304" s="70" t="str">
        <f t="shared" si="152"/>
        <v/>
      </c>
      <c r="F304" s="70" t="str">
        <f t="shared" si="153"/>
        <v/>
      </c>
      <c r="G304" s="63" t="str">
        <f t="shared" si="154"/>
        <v/>
      </c>
      <c r="H304" s="64" t="str">
        <f t="shared" si="155"/>
        <v/>
      </c>
      <c r="I304" s="43"/>
      <c r="J304" s="63" t="str">
        <f t="shared" si="156"/>
        <v/>
      </c>
      <c r="K304" s="64" t="str">
        <f t="shared" si="157"/>
        <v/>
      </c>
      <c r="L304" s="63" t="str">
        <f t="shared" si="158"/>
        <v/>
      </c>
      <c r="M304" s="64" t="str">
        <f t="shared" si="159"/>
        <v/>
      </c>
      <c r="N304" s="65"/>
      <c r="O304" s="63" t="str">
        <f t="shared" si="160"/>
        <v/>
      </c>
      <c r="P304" s="63" t="str">
        <f t="shared" si="161"/>
        <v/>
      </c>
      <c r="Q304" s="66"/>
      <c r="R304" s="63" t="str">
        <f t="shared" si="162"/>
        <v/>
      </c>
      <c r="S304" s="64" t="str">
        <f t="shared" si="163"/>
        <v/>
      </c>
      <c r="T304" s="38">
        <v>0</v>
      </c>
      <c r="U304" s="64" t="str">
        <f t="shared" si="164"/>
        <v/>
      </c>
      <c r="V304" s="219" t="str">
        <f>IF($A305="","",IF(AND(MONTH(A304)&gt;3,MONTH(A304)&lt;11),(T304+R304+G304)*Summary!$T$11/(1-Summary!$T$11),(T304+R304+G304)*Summary!$U$11/(1-Summary!$U$11)))</f>
        <v/>
      </c>
      <c r="W304" s="43" t="str">
        <f t="shared" si="165"/>
        <v/>
      </c>
      <c r="X304" s="43" t="str">
        <f t="shared" si="166"/>
        <v/>
      </c>
      <c r="Y304" s="43"/>
      <c r="Z304" s="38" t="str">
        <f t="shared" si="167"/>
        <v/>
      </c>
      <c r="AA304" s="38" t="str">
        <f t="shared" si="168"/>
        <v/>
      </c>
      <c r="AB304" s="38" t="e">
        <f t="shared" si="169"/>
        <v>#VALUE!</v>
      </c>
      <c r="AC304" s="38" t="str">
        <f t="shared" si="170"/>
        <v/>
      </c>
      <c r="AD304" s="38" t="str">
        <f t="shared" si="170"/>
        <v/>
      </c>
      <c r="AE304" s="38" t="e">
        <f t="shared" si="171"/>
        <v>#VALUE!</v>
      </c>
      <c r="AF304" s="238" t="e">
        <f>((Summary!$N$11*(AA304*AD304)*(A304-$D$3))+(Summary!$M$11*Z304*AC304*(AJ304-EOMONTH(EDATE(A304,-1),0))))/(AK304*AB304*AE304)</f>
        <v>#VALUE!</v>
      </c>
      <c r="AG304" s="88" t="str">
        <f>IF($A305="","",Summary!$Q$11)</f>
        <v/>
      </c>
      <c r="AH304" s="88" t="str">
        <f>IF($A305="","",IF(Summary!$R$11="Y",(VLOOKUP($A304,Summary!$AD$6:$AF$9,3)+'Escalating commodity'!G317),'Escalating commodity'!G317))</f>
        <v/>
      </c>
      <c r="AI304" s="88" t="str">
        <f t="shared" si="186"/>
        <v/>
      </c>
      <c r="AJ304" s="236" t="e">
        <f t="shared" si="172"/>
        <v>#VALUE!</v>
      </c>
      <c r="AK304" s="58" t="str">
        <f t="shared" si="173"/>
        <v/>
      </c>
      <c r="AL304" s="26" t="str">
        <f>IF($A305="","",_xll.SPRDOPT(P304,X304,AI304,0,AB304,AE304,AF304,AK304,$AJ$2,0))</f>
        <v/>
      </c>
      <c r="AM304" s="209" t="str">
        <f t="shared" si="174"/>
        <v/>
      </c>
      <c r="AN304" s="89" t="str">
        <f t="shared" si="175"/>
        <v/>
      </c>
      <c r="AO304" s="3" t="str">
        <f t="shared" si="176"/>
        <v/>
      </c>
      <c r="AP304" s="33" t="str">
        <f t="shared" si="177"/>
        <v/>
      </c>
      <c r="AQ304" s="58" t="str">
        <f t="shared" si="178"/>
        <v/>
      </c>
      <c r="AR304" s="38">
        <f>'ANR OK vs ML7'!AR304</f>
        <v>0.1</v>
      </c>
      <c r="AS304" s="35" t="str">
        <f t="shared" si="179"/>
        <v/>
      </c>
      <c r="AT304" s="3" t="str">
        <f t="shared" si="180"/>
        <v/>
      </c>
      <c r="AU304" s="3" t="str">
        <f t="shared" si="181"/>
        <v/>
      </c>
      <c r="AW304" s="32" t="str">
        <f t="shared" si="182"/>
        <v/>
      </c>
      <c r="AX304" s="32" t="str">
        <f t="shared" si="183"/>
        <v/>
      </c>
      <c r="AY304" s="32" t="str">
        <f t="shared" si="184"/>
        <v/>
      </c>
      <c r="BA304" s="32" t="str">
        <f>IF($A305="","",F304*Summary!$Q$11)</f>
        <v/>
      </c>
    </row>
    <row r="305" spans="1:53" ht="12" customHeight="1">
      <c r="A305" s="67" t="str">
        <f t="shared" si="185"/>
        <v/>
      </c>
      <c r="B305" s="69" t="str">
        <f t="shared" si="187"/>
        <v/>
      </c>
      <c r="C305" s="71"/>
      <c r="D305" s="69" t="str">
        <f t="shared" si="151"/>
        <v/>
      </c>
      <c r="E305" s="70" t="str">
        <f t="shared" si="152"/>
        <v/>
      </c>
      <c r="F305" s="70" t="str">
        <f t="shared" si="153"/>
        <v/>
      </c>
      <c r="G305" s="63" t="str">
        <f t="shared" si="154"/>
        <v/>
      </c>
      <c r="H305" s="64" t="str">
        <f t="shared" si="155"/>
        <v/>
      </c>
      <c r="I305" s="43"/>
      <c r="J305" s="63" t="str">
        <f t="shared" si="156"/>
        <v/>
      </c>
      <c r="K305" s="64" t="str">
        <f t="shared" si="157"/>
        <v/>
      </c>
      <c r="L305" s="63" t="str">
        <f t="shared" si="158"/>
        <v/>
      </c>
      <c r="M305" s="64" t="str">
        <f t="shared" si="159"/>
        <v/>
      </c>
      <c r="N305" s="65"/>
      <c r="O305" s="63" t="str">
        <f t="shared" si="160"/>
        <v/>
      </c>
      <c r="P305" s="63" t="str">
        <f t="shared" si="161"/>
        <v/>
      </c>
      <c r="Q305" s="66"/>
      <c r="R305" s="63" t="str">
        <f t="shared" si="162"/>
        <v/>
      </c>
      <c r="S305" s="64" t="str">
        <f t="shared" si="163"/>
        <v/>
      </c>
      <c r="T305" s="38">
        <v>0</v>
      </c>
      <c r="U305" s="64" t="str">
        <f t="shared" si="164"/>
        <v/>
      </c>
      <c r="V305" s="219" t="str">
        <f>IF($A306="","",IF(AND(MONTH(A305)&gt;3,MONTH(A305)&lt;11),(T305+R305+G305)*Summary!$T$11/(1-Summary!$T$11),(T305+R305+G305)*Summary!$U$11/(1-Summary!$U$11)))</f>
        <v/>
      </c>
      <c r="W305" s="43" t="str">
        <f t="shared" si="165"/>
        <v/>
      </c>
      <c r="X305" s="43" t="str">
        <f t="shared" si="166"/>
        <v/>
      </c>
      <c r="Y305" s="43"/>
      <c r="Z305" s="38" t="str">
        <f t="shared" si="167"/>
        <v/>
      </c>
      <c r="AA305" s="38" t="str">
        <f t="shared" si="168"/>
        <v/>
      </c>
      <c r="AB305" s="38" t="e">
        <f t="shared" si="169"/>
        <v>#VALUE!</v>
      </c>
      <c r="AC305" s="38" t="str">
        <f t="shared" si="170"/>
        <v/>
      </c>
      <c r="AD305" s="38" t="str">
        <f t="shared" si="170"/>
        <v/>
      </c>
      <c r="AE305" s="38" t="e">
        <f t="shared" si="171"/>
        <v>#VALUE!</v>
      </c>
      <c r="AF305" s="238" t="e">
        <f>((Summary!$N$11*(AA305*AD305)*(A305-$D$3))+(Summary!$M$11*Z305*AC305*(AJ305-EOMONTH(EDATE(A305,-1),0))))/(AK305*AB305*AE305)</f>
        <v>#VALUE!</v>
      </c>
      <c r="AG305" s="88" t="str">
        <f>IF($A306="","",Summary!$Q$11)</f>
        <v/>
      </c>
      <c r="AH305" s="88" t="str">
        <f>IF($A306="","",IF(Summary!$R$11="Y",(VLOOKUP($A305,Summary!$AD$6:$AF$9,3)+'Escalating commodity'!G318),'Escalating commodity'!G318))</f>
        <v/>
      </c>
      <c r="AI305" s="88" t="str">
        <f t="shared" si="186"/>
        <v/>
      </c>
      <c r="AJ305" s="236" t="e">
        <f t="shared" si="172"/>
        <v>#VALUE!</v>
      </c>
      <c r="AK305" s="58" t="str">
        <f t="shared" si="173"/>
        <v/>
      </c>
      <c r="AL305" s="26" t="str">
        <f>IF($A306="","",_xll.SPRDOPT(P305,X305,AI305,0,AB305,AE305,AF305,AK305,$AJ$2,0))</f>
        <v/>
      </c>
      <c r="AM305" s="209" t="str">
        <f t="shared" si="174"/>
        <v/>
      </c>
      <c r="AN305" s="89" t="str">
        <f t="shared" si="175"/>
        <v/>
      </c>
      <c r="AO305" s="3" t="str">
        <f t="shared" si="176"/>
        <v/>
      </c>
      <c r="AP305" s="33" t="str">
        <f t="shared" si="177"/>
        <v/>
      </c>
      <c r="AQ305" s="58" t="str">
        <f t="shared" si="178"/>
        <v/>
      </c>
      <c r="AR305" s="38">
        <f>'ANR OK vs ML7'!AR305</f>
        <v>0.1</v>
      </c>
      <c r="AS305" s="35" t="str">
        <f t="shared" si="179"/>
        <v/>
      </c>
      <c r="AT305" s="3" t="str">
        <f t="shared" si="180"/>
        <v/>
      </c>
      <c r="AU305" s="3" t="str">
        <f t="shared" si="181"/>
        <v/>
      </c>
      <c r="AW305" s="32" t="str">
        <f t="shared" si="182"/>
        <v/>
      </c>
      <c r="AX305" s="32" t="str">
        <f t="shared" si="183"/>
        <v/>
      </c>
      <c r="AY305" s="32" t="str">
        <f t="shared" si="184"/>
        <v/>
      </c>
      <c r="BA305" s="32" t="str">
        <f>IF($A306="","",F305*Summary!$Q$11)</f>
        <v/>
      </c>
    </row>
    <row r="306" spans="1:53" ht="12" customHeight="1">
      <c r="A306" s="67" t="str">
        <f t="shared" si="185"/>
        <v/>
      </c>
      <c r="B306" s="69" t="str">
        <f t="shared" si="187"/>
        <v/>
      </c>
      <c r="C306" s="71"/>
      <c r="D306" s="69" t="str">
        <f t="shared" si="151"/>
        <v/>
      </c>
      <c r="E306" s="70" t="str">
        <f t="shared" si="152"/>
        <v/>
      </c>
      <c r="F306" s="70" t="str">
        <f t="shared" si="153"/>
        <v/>
      </c>
      <c r="G306" s="63" t="str">
        <f t="shared" si="154"/>
        <v/>
      </c>
      <c r="H306" s="64" t="str">
        <f t="shared" si="155"/>
        <v/>
      </c>
      <c r="I306" s="43"/>
      <c r="J306" s="63" t="str">
        <f t="shared" si="156"/>
        <v/>
      </c>
      <c r="K306" s="64" t="str">
        <f t="shared" si="157"/>
        <v/>
      </c>
      <c r="L306" s="63" t="str">
        <f t="shared" si="158"/>
        <v/>
      </c>
      <c r="M306" s="64" t="str">
        <f t="shared" si="159"/>
        <v/>
      </c>
      <c r="N306" s="65"/>
      <c r="O306" s="63" t="str">
        <f t="shared" si="160"/>
        <v/>
      </c>
      <c r="P306" s="63" t="str">
        <f t="shared" si="161"/>
        <v/>
      </c>
      <c r="Q306" s="66"/>
      <c r="R306" s="63" t="str">
        <f t="shared" si="162"/>
        <v/>
      </c>
      <c r="S306" s="64" t="str">
        <f t="shared" si="163"/>
        <v/>
      </c>
      <c r="T306" s="38">
        <v>0</v>
      </c>
      <c r="U306" s="64" t="str">
        <f t="shared" si="164"/>
        <v/>
      </c>
      <c r="V306" s="219" t="str">
        <f>IF($A307="","",IF(AND(MONTH(A306)&gt;3,MONTH(A306)&lt;11),(T306+R306+G306)*Summary!$T$11/(1-Summary!$T$11),(T306+R306+G306)*Summary!$U$11/(1-Summary!$U$11)))</f>
        <v/>
      </c>
      <c r="W306" s="43" t="str">
        <f t="shared" si="165"/>
        <v/>
      </c>
      <c r="X306" s="43" t="str">
        <f t="shared" si="166"/>
        <v/>
      </c>
      <c r="Y306" s="43"/>
      <c r="Z306" s="38" t="str">
        <f t="shared" si="167"/>
        <v/>
      </c>
      <c r="AA306" s="38" t="str">
        <f t="shared" si="168"/>
        <v/>
      </c>
      <c r="AB306" s="38" t="e">
        <f t="shared" si="169"/>
        <v>#VALUE!</v>
      </c>
      <c r="AC306" s="38" t="str">
        <f t="shared" si="170"/>
        <v/>
      </c>
      <c r="AD306" s="38" t="str">
        <f t="shared" si="170"/>
        <v/>
      </c>
      <c r="AE306" s="38" t="e">
        <f t="shared" si="171"/>
        <v>#VALUE!</v>
      </c>
      <c r="AF306" s="238" t="e">
        <f>((Summary!$N$11*(AA306*AD306)*(A306-$D$3))+(Summary!$M$11*Z306*AC306*(AJ306-EOMONTH(EDATE(A306,-1),0))))/(AK306*AB306*AE306)</f>
        <v>#VALUE!</v>
      </c>
      <c r="AG306" s="88" t="str">
        <f>IF($A307="","",Summary!$Q$11)</f>
        <v/>
      </c>
      <c r="AH306" s="88" t="str">
        <f>IF($A307="","",IF(Summary!$R$11="Y",(VLOOKUP($A306,Summary!$AD$6:$AF$9,3)+'Escalating commodity'!G319),'Escalating commodity'!G319))</f>
        <v/>
      </c>
      <c r="AI306" s="88" t="str">
        <f t="shared" si="186"/>
        <v/>
      </c>
      <c r="AJ306" s="236" t="e">
        <f t="shared" si="172"/>
        <v>#VALUE!</v>
      </c>
      <c r="AK306" s="58" t="str">
        <f t="shared" si="173"/>
        <v/>
      </c>
      <c r="AL306" s="26" t="str">
        <f>IF($A307="","",_xll.SPRDOPT(P306,X306,AI306,0,AB306,AE306,AF306,AK306,$AJ$2,0))</f>
        <v/>
      </c>
      <c r="AM306" s="209" t="str">
        <f t="shared" si="174"/>
        <v/>
      </c>
      <c r="AN306" s="89" t="str">
        <f t="shared" si="175"/>
        <v/>
      </c>
      <c r="AO306" s="3" t="str">
        <f t="shared" si="176"/>
        <v/>
      </c>
      <c r="AP306" s="33" t="str">
        <f t="shared" si="177"/>
        <v/>
      </c>
      <c r="AQ306" s="58" t="str">
        <f t="shared" si="178"/>
        <v/>
      </c>
      <c r="AR306" s="38">
        <f>'ANR OK vs ML7'!AR306</f>
        <v>0.1</v>
      </c>
      <c r="AS306" s="35" t="str">
        <f t="shared" si="179"/>
        <v/>
      </c>
      <c r="AT306" s="3" t="str">
        <f t="shared" si="180"/>
        <v/>
      </c>
      <c r="AU306" s="3" t="str">
        <f t="shared" si="181"/>
        <v/>
      </c>
      <c r="AW306" s="32" t="str">
        <f t="shared" si="182"/>
        <v/>
      </c>
      <c r="AX306" s="32" t="str">
        <f t="shared" si="183"/>
        <v/>
      </c>
      <c r="AY306" s="32" t="str">
        <f t="shared" si="184"/>
        <v/>
      </c>
      <c r="BA306" s="32" t="str">
        <f>IF($A307="","",F306*Summary!$Q$11)</f>
        <v/>
      </c>
    </row>
    <row r="307" spans="1:53" ht="12" customHeight="1">
      <c r="A307" s="67" t="str">
        <f t="shared" si="185"/>
        <v/>
      </c>
      <c r="B307" s="69" t="str">
        <f t="shared" si="187"/>
        <v/>
      </c>
      <c r="C307" s="71"/>
      <c r="D307" s="69" t="str">
        <f t="shared" si="151"/>
        <v/>
      </c>
      <c r="E307" s="70" t="str">
        <f t="shared" si="152"/>
        <v/>
      </c>
      <c r="F307" s="70" t="str">
        <f t="shared" si="153"/>
        <v/>
      </c>
      <c r="G307" s="63" t="str">
        <f t="shared" si="154"/>
        <v/>
      </c>
      <c r="H307" s="64" t="str">
        <f t="shared" si="155"/>
        <v/>
      </c>
      <c r="I307" s="43"/>
      <c r="J307" s="63" t="str">
        <f t="shared" si="156"/>
        <v/>
      </c>
      <c r="K307" s="64" t="str">
        <f t="shared" si="157"/>
        <v/>
      </c>
      <c r="L307" s="63" t="str">
        <f t="shared" si="158"/>
        <v/>
      </c>
      <c r="M307" s="64" t="str">
        <f t="shared" si="159"/>
        <v/>
      </c>
      <c r="N307" s="65"/>
      <c r="O307" s="63" t="str">
        <f t="shared" si="160"/>
        <v/>
      </c>
      <c r="P307" s="63" t="str">
        <f t="shared" si="161"/>
        <v/>
      </c>
      <c r="Q307" s="66"/>
      <c r="R307" s="63" t="str">
        <f t="shared" si="162"/>
        <v/>
      </c>
      <c r="S307" s="64" t="str">
        <f t="shared" si="163"/>
        <v/>
      </c>
      <c r="T307" s="38">
        <v>0</v>
      </c>
      <c r="U307" s="64" t="str">
        <f t="shared" si="164"/>
        <v/>
      </c>
      <c r="V307" s="219" t="str">
        <f>IF($A308="","",IF(AND(MONTH(A307)&gt;3,MONTH(A307)&lt;11),(T307+R307+G307)*Summary!$T$11/(1-Summary!$T$11),(T307+R307+G307)*Summary!$U$11/(1-Summary!$U$11)))</f>
        <v/>
      </c>
      <c r="W307" s="43" t="str">
        <f t="shared" si="165"/>
        <v/>
      </c>
      <c r="X307" s="43" t="str">
        <f t="shared" si="166"/>
        <v/>
      </c>
      <c r="Y307" s="43"/>
      <c r="Z307" s="38" t="str">
        <f t="shared" si="167"/>
        <v/>
      </c>
      <c r="AA307" s="38" t="str">
        <f t="shared" si="168"/>
        <v/>
      </c>
      <c r="AB307" s="38" t="e">
        <f t="shared" si="169"/>
        <v>#VALUE!</v>
      </c>
      <c r="AC307" s="38" t="str">
        <f t="shared" si="170"/>
        <v/>
      </c>
      <c r="AD307" s="38" t="str">
        <f t="shared" si="170"/>
        <v/>
      </c>
      <c r="AE307" s="38" t="e">
        <f t="shared" si="171"/>
        <v>#VALUE!</v>
      </c>
      <c r="AF307" s="238" t="e">
        <f>((Summary!$N$11*(AA307*AD307)*(A307-$D$3))+(Summary!$M$11*Z307*AC307*(AJ307-EOMONTH(EDATE(A307,-1),0))))/(AK307*AB307*AE307)</f>
        <v>#VALUE!</v>
      </c>
      <c r="AG307" s="88" t="str">
        <f>IF($A308="","",Summary!$Q$11)</f>
        <v/>
      </c>
      <c r="AH307" s="88" t="str">
        <f>IF($A308="","",IF(Summary!$R$11="Y",(VLOOKUP($A307,Summary!$AD$6:$AF$9,3)+'Escalating commodity'!G320),'Escalating commodity'!G320))</f>
        <v/>
      </c>
      <c r="AI307" s="88" t="str">
        <f t="shared" si="186"/>
        <v/>
      </c>
      <c r="AJ307" s="236" t="e">
        <f t="shared" si="172"/>
        <v>#VALUE!</v>
      </c>
      <c r="AK307" s="58" t="str">
        <f t="shared" si="173"/>
        <v/>
      </c>
      <c r="AL307" s="26" t="str">
        <f>IF($A308="","",_xll.SPRDOPT(P307,X307,AI307,0,AB307,AE307,AF307,AK307,$AJ$2,0))</f>
        <v/>
      </c>
      <c r="AM307" s="209" t="str">
        <f t="shared" si="174"/>
        <v/>
      </c>
      <c r="AN307" s="89" t="str">
        <f t="shared" si="175"/>
        <v/>
      </c>
      <c r="AO307" s="3" t="str">
        <f t="shared" si="176"/>
        <v/>
      </c>
      <c r="AP307" s="33" t="str">
        <f t="shared" si="177"/>
        <v/>
      </c>
      <c r="AQ307" s="58" t="str">
        <f t="shared" si="178"/>
        <v/>
      </c>
      <c r="AR307" s="38">
        <f>'ANR OK vs ML7'!AR307</f>
        <v>0.1</v>
      </c>
      <c r="AS307" s="35" t="str">
        <f t="shared" si="179"/>
        <v/>
      </c>
      <c r="AT307" s="3" t="str">
        <f t="shared" si="180"/>
        <v/>
      </c>
      <c r="AU307" s="3" t="str">
        <f t="shared" si="181"/>
        <v/>
      </c>
      <c r="AW307" s="32" t="str">
        <f t="shared" si="182"/>
        <v/>
      </c>
      <c r="AX307" s="32" t="str">
        <f t="shared" si="183"/>
        <v/>
      </c>
      <c r="AY307" s="32" t="str">
        <f t="shared" si="184"/>
        <v/>
      </c>
      <c r="BA307" s="32" t="str">
        <f>IF($A308="","",F307*Summary!$Q$11)</f>
        <v/>
      </c>
    </row>
    <row r="308" spans="1:53" ht="12" customHeight="1">
      <c r="A308" s="67" t="str">
        <f t="shared" si="185"/>
        <v/>
      </c>
      <c r="B308" s="69" t="str">
        <f t="shared" si="187"/>
        <v/>
      </c>
      <c r="C308" s="71"/>
      <c r="D308" s="69" t="str">
        <f t="shared" si="151"/>
        <v/>
      </c>
      <c r="E308" s="70" t="str">
        <f t="shared" si="152"/>
        <v/>
      </c>
      <c r="F308" s="70" t="str">
        <f t="shared" si="153"/>
        <v/>
      </c>
      <c r="G308" s="63" t="str">
        <f t="shared" si="154"/>
        <v/>
      </c>
      <c r="H308" s="64" t="str">
        <f t="shared" si="155"/>
        <v/>
      </c>
      <c r="I308" s="43"/>
      <c r="J308" s="63" t="str">
        <f t="shared" si="156"/>
        <v/>
      </c>
      <c r="K308" s="64" t="str">
        <f t="shared" si="157"/>
        <v/>
      </c>
      <c r="L308" s="63" t="str">
        <f t="shared" si="158"/>
        <v/>
      </c>
      <c r="M308" s="64" t="str">
        <f t="shared" si="159"/>
        <v/>
      </c>
      <c r="N308" s="65"/>
      <c r="O308" s="63" t="str">
        <f t="shared" si="160"/>
        <v/>
      </c>
      <c r="P308" s="63" t="str">
        <f t="shared" si="161"/>
        <v/>
      </c>
      <c r="Q308" s="66"/>
      <c r="R308" s="63" t="str">
        <f t="shared" si="162"/>
        <v/>
      </c>
      <c r="S308" s="64" t="str">
        <f t="shared" si="163"/>
        <v/>
      </c>
      <c r="T308" s="38">
        <v>0</v>
      </c>
      <c r="U308" s="64" t="str">
        <f t="shared" si="164"/>
        <v/>
      </c>
      <c r="V308" s="219" t="str">
        <f>IF($A309="","",IF(AND(MONTH(A308)&gt;3,MONTH(A308)&lt;11),(T308+R308+G308)*Summary!$T$11/(1-Summary!$T$11),(T308+R308+G308)*Summary!$U$11/(1-Summary!$U$11)))</f>
        <v/>
      </c>
      <c r="W308" s="43" t="str">
        <f t="shared" si="165"/>
        <v/>
      </c>
      <c r="X308" s="43" t="str">
        <f t="shared" si="166"/>
        <v/>
      </c>
      <c r="Y308" s="43"/>
      <c r="Z308" s="38" t="str">
        <f t="shared" si="167"/>
        <v/>
      </c>
      <c r="AA308" s="38" t="str">
        <f t="shared" si="168"/>
        <v/>
      </c>
      <c r="AB308" s="38" t="e">
        <f t="shared" si="169"/>
        <v>#VALUE!</v>
      </c>
      <c r="AC308" s="38" t="str">
        <f t="shared" si="170"/>
        <v/>
      </c>
      <c r="AD308" s="38" t="str">
        <f t="shared" si="170"/>
        <v/>
      </c>
      <c r="AE308" s="38" t="e">
        <f t="shared" si="171"/>
        <v>#VALUE!</v>
      </c>
      <c r="AF308" s="238" t="e">
        <f>((Summary!$N$11*(AA308*AD308)*(A308-$D$3))+(Summary!$M$11*Z308*AC308*(AJ308-EOMONTH(EDATE(A308,-1),0))))/(AK308*AB308*AE308)</f>
        <v>#VALUE!</v>
      </c>
      <c r="AG308" s="88" t="str">
        <f>IF($A309="","",Summary!$Q$11)</f>
        <v/>
      </c>
      <c r="AH308" s="88" t="str">
        <f>IF($A309="","",IF(Summary!$R$11="Y",(VLOOKUP($A308,Summary!$AD$6:$AF$9,3)+'Escalating commodity'!G321),'Escalating commodity'!G321))</f>
        <v/>
      </c>
      <c r="AI308" s="88" t="str">
        <f t="shared" si="186"/>
        <v/>
      </c>
      <c r="AJ308" s="236" t="e">
        <f t="shared" si="172"/>
        <v>#VALUE!</v>
      </c>
      <c r="AK308" s="58" t="str">
        <f t="shared" si="173"/>
        <v/>
      </c>
      <c r="AL308" s="26" t="str">
        <f>IF($A309="","",_xll.SPRDOPT(P308,X308,AI308,0,AB308,AE308,AF308,AK308,$AJ$2,0))</f>
        <v/>
      </c>
      <c r="AM308" s="209" t="str">
        <f t="shared" si="174"/>
        <v/>
      </c>
      <c r="AN308" s="89" t="str">
        <f t="shared" si="175"/>
        <v/>
      </c>
      <c r="AO308" s="3" t="str">
        <f t="shared" si="176"/>
        <v/>
      </c>
      <c r="AP308" s="33" t="str">
        <f t="shared" si="177"/>
        <v/>
      </c>
      <c r="AQ308" s="58" t="str">
        <f t="shared" si="178"/>
        <v/>
      </c>
      <c r="AR308" s="38">
        <f>'ANR OK vs ML7'!AR308</f>
        <v>0.1</v>
      </c>
      <c r="AS308" s="35" t="str">
        <f t="shared" si="179"/>
        <v/>
      </c>
      <c r="AT308" s="3" t="str">
        <f t="shared" si="180"/>
        <v/>
      </c>
      <c r="AU308" s="3" t="str">
        <f t="shared" si="181"/>
        <v/>
      </c>
      <c r="AW308" s="32" t="str">
        <f t="shared" si="182"/>
        <v/>
      </c>
      <c r="AX308" s="32" t="str">
        <f t="shared" si="183"/>
        <v/>
      </c>
      <c r="AY308" s="32" t="str">
        <f t="shared" si="184"/>
        <v/>
      </c>
      <c r="BA308" s="32" t="str">
        <f>IF($A309="","",F308*Summary!$Q$11)</f>
        <v/>
      </c>
    </row>
    <row r="309" spans="1:53" ht="12" customHeight="1">
      <c r="A309" s="67" t="str">
        <f t="shared" si="185"/>
        <v/>
      </c>
      <c r="B309" s="69" t="str">
        <f t="shared" si="187"/>
        <v/>
      </c>
      <c r="C309" s="71"/>
      <c r="D309" s="69" t="str">
        <f t="shared" si="151"/>
        <v/>
      </c>
      <c r="E309" s="70" t="str">
        <f t="shared" si="152"/>
        <v/>
      </c>
      <c r="F309" s="70" t="str">
        <f t="shared" si="153"/>
        <v/>
      </c>
      <c r="G309" s="63" t="str">
        <f t="shared" si="154"/>
        <v/>
      </c>
      <c r="H309" s="64" t="str">
        <f t="shared" si="155"/>
        <v/>
      </c>
      <c r="I309" s="43"/>
      <c r="J309" s="63" t="str">
        <f t="shared" si="156"/>
        <v/>
      </c>
      <c r="K309" s="64" t="str">
        <f t="shared" si="157"/>
        <v/>
      </c>
      <c r="L309" s="63" t="str">
        <f t="shared" si="158"/>
        <v/>
      </c>
      <c r="M309" s="64" t="str">
        <f t="shared" si="159"/>
        <v/>
      </c>
      <c r="N309" s="65"/>
      <c r="O309" s="63" t="str">
        <f t="shared" si="160"/>
        <v/>
      </c>
      <c r="P309" s="63" t="str">
        <f t="shared" si="161"/>
        <v/>
      </c>
      <c r="Q309" s="66"/>
      <c r="R309" s="63" t="str">
        <f t="shared" si="162"/>
        <v/>
      </c>
      <c r="S309" s="64" t="str">
        <f t="shared" si="163"/>
        <v/>
      </c>
      <c r="T309" s="38">
        <v>0</v>
      </c>
      <c r="U309" s="64" t="str">
        <f t="shared" si="164"/>
        <v/>
      </c>
      <c r="V309" s="219" t="str">
        <f>IF($A310="","",IF(AND(MONTH(A309)&gt;3,MONTH(A309)&lt;11),(T309+R309+G309)*Summary!$T$11/(1-Summary!$T$11),(T309+R309+G309)*Summary!$U$11/(1-Summary!$U$11)))</f>
        <v/>
      </c>
      <c r="W309" s="43" t="str">
        <f t="shared" si="165"/>
        <v/>
      </c>
      <c r="X309" s="43" t="str">
        <f t="shared" si="166"/>
        <v/>
      </c>
      <c r="Y309" s="43"/>
      <c r="Z309" s="38" t="str">
        <f t="shared" si="167"/>
        <v/>
      </c>
      <c r="AA309" s="38" t="str">
        <f t="shared" si="168"/>
        <v/>
      </c>
      <c r="AB309" s="38" t="e">
        <f t="shared" si="169"/>
        <v>#VALUE!</v>
      </c>
      <c r="AC309" s="38" t="str">
        <f t="shared" si="170"/>
        <v/>
      </c>
      <c r="AD309" s="38" t="str">
        <f t="shared" si="170"/>
        <v/>
      </c>
      <c r="AE309" s="38" t="e">
        <f t="shared" si="171"/>
        <v>#VALUE!</v>
      </c>
      <c r="AF309" s="238" t="e">
        <f>((Summary!$N$11*(AA309*AD309)*(A309-$D$3))+(Summary!$M$11*Z309*AC309*(AJ309-EOMONTH(EDATE(A309,-1),0))))/(AK309*AB309*AE309)</f>
        <v>#VALUE!</v>
      </c>
      <c r="AG309" s="88" t="str">
        <f>IF($A310="","",Summary!$Q$11)</f>
        <v/>
      </c>
      <c r="AH309" s="88" t="str">
        <f>IF($A310="","",IF(Summary!$R$11="Y",(VLOOKUP($A309,Summary!$AD$6:$AF$9,3)+'Escalating commodity'!G322),'Escalating commodity'!G322))</f>
        <v/>
      </c>
      <c r="AI309" s="88" t="str">
        <f t="shared" si="186"/>
        <v/>
      </c>
      <c r="AJ309" s="236" t="e">
        <f t="shared" si="172"/>
        <v>#VALUE!</v>
      </c>
      <c r="AK309" s="58" t="str">
        <f t="shared" si="173"/>
        <v/>
      </c>
      <c r="AL309" s="26" t="str">
        <f>IF($A310="","",_xll.SPRDOPT(P309,X309,AI309,0,AB309,AE309,AF309,AK309,$AJ$2,0))</f>
        <v/>
      </c>
      <c r="AM309" s="209" t="str">
        <f t="shared" si="174"/>
        <v/>
      </c>
      <c r="AN309" s="89" t="str">
        <f t="shared" si="175"/>
        <v/>
      </c>
      <c r="AO309" s="3" t="str">
        <f t="shared" si="176"/>
        <v/>
      </c>
      <c r="AP309" s="33" t="str">
        <f t="shared" si="177"/>
        <v/>
      </c>
      <c r="AQ309" s="58" t="str">
        <f t="shared" si="178"/>
        <v/>
      </c>
      <c r="AR309" s="38">
        <f>'ANR OK vs ML7'!AR309</f>
        <v>0.1</v>
      </c>
      <c r="AS309" s="35" t="str">
        <f t="shared" si="179"/>
        <v/>
      </c>
      <c r="AT309" s="3" t="str">
        <f t="shared" si="180"/>
        <v/>
      </c>
      <c r="AU309" s="3" t="str">
        <f t="shared" si="181"/>
        <v/>
      </c>
      <c r="AW309" s="32" t="str">
        <f t="shared" si="182"/>
        <v/>
      </c>
      <c r="AX309" s="32" t="str">
        <f t="shared" si="183"/>
        <v/>
      </c>
      <c r="AY309" s="32" t="str">
        <f t="shared" si="184"/>
        <v/>
      </c>
      <c r="BA309" s="32" t="str">
        <f>IF($A310="","",F309*Summary!$Q$11)</f>
        <v/>
      </c>
    </row>
    <row r="310" spans="1:53" ht="12" customHeight="1">
      <c r="A310" s="67" t="str">
        <f t="shared" si="185"/>
        <v/>
      </c>
      <c r="B310" s="69" t="str">
        <f t="shared" si="187"/>
        <v/>
      </c>
      <c r="C310" s="71"/>
      <c r="D310" s="69" t="str">
        <f t="shared" si="151"/>
        <v/>
      </c>
      <c r="E310" s="70" t="str">
        <f t="shared" si="152"/>
        <v/>
      </c>
      <c r="F310" s="70" t="str">
        <f t="shared" si="153"/>
        <v/>
      </c>
      <c r="G310" s="63" t="str">
        <f t="shared" si="154"/>
        <v/>
      </c>
      <c r="H310" s="64" t="str">
        <f t="shared" si="155"/>
        <v/>
      </c>
      <c r="I310" s="43"/>
      <c r="J310" s="63" t="str">
        <f t="shared" si="156"/>
        <v/>
      </c>
      <c r="K310" s="64" t="str">
        <f t="shared" si="157"/>
        <v/>
      </c>
      <c r="L310" s="63" t="str">
        <f t="shared" si="158"/>
        <v/>
      </c>
      <c r="M310" s="64" t="str">
        <f t="shared" si="159"/>
        <v/>
      </c>
      <c r="N310" s="65"/>
      <c r="O310" s="63" t="str">
        <f t="shared" si="160"/>
        <v/>
      </c>
      <c r="P310" s="63" t="str">
        <f t="shared" si="161"/>
        <v/>
      </c>
      <c r="Q310" s="66"/>
      <c r="R310" s="63" t="str">
        <f t="shared" si="162"/>
        <v/>
      </c>
      <c r="S310" s="64" t="str">
        <f t="shared" si="163"/>
        <v/>
      </c>
      <c r="T310" s="38">
        <v>0</v>
      </c>
      <c r="U310" s="64" t="str">
        <f t="shared" si="164"/>
        <v/>
      </c>
      <c r="V310" s="219" t="str">
        <f>IF($A311="","",IF(AND(MONTH(A310)&gt;3,MONTH(A310)&lt;11),(T310+R310+G310)*Summary!$T$11/(1-Summary!$T$11),(T310+R310+G310)*Summary!$U$11/(1-Summary!$U$11)))</f>
        <v/>
      </c>
      <c r="W310" s="43" t="str">
        <f t="shared" si="165"/>
        <v/>
      </c>
      <c r="X310" s="43" t="str">
        <f t="shared" si="166"/>
        <v/>
      </c>
      <c r="Y310" s="43"/>
      <c r="Z310" s="38" t="str">
        <f t="shared" si="167"/>
        <v/>
      </c>
      <c r="AA310" s="38" t="str">
        <f t="shared" si="168"/>
        <v/>
      </c>
      <c r="AB310" s="38" t="e">
        <f t="shared" si="169"/>
        <v>#VALUE!</v>
      </c>
      <c r="AC310" s="38" t="str">
        <f t="shared" si="170"/>
        <v/>
      </c>
      <c r="AD310" s="38" t="str">
        <f t="shared" si="170"/>
        <v/>
      </c>
      <c r="AE310" s="38" t="e">
        <f t="shared" si="171"/>
        <v>#VALUE!</v>
      </c>
      <c r="AF310" s="238" t="e">
        <f>((Summary!$N$11*(AA310*AD310)*(A310-$D$3))+(Summary!$M$11*Z310*AC310*(AJ310-EOMONTH(EDATE(A310,-1),0))))/(AK310*AB310*AE310)</f>
        <v>#VALUE!</v>
      </c>
      <c r="AG310" s="88" t="str">
        <f>IF($A311="","",Summary!$Q$11)</f>
        <v/>
      </c>
      <c r="AH310" s="88" t="str">
        <f>IF($A311="","",IF(Summary!$R$11="Y",(VLOOKUP($A310,Summary!$AD$6:$AF$9,3)+'Escalating commodity'!G323),'Escalating commodity'!G323))</f>
        <v/>
      </c>
      <c r="AI310" s="88" t="str">
        <f t="shared" si="186"/>
        <v/>
      </c>
      <c r="AJ310" s="236" t="e">
        <f t="shared" si="172"/>
        <v>#VALUE!</v>
      </c>
      <c r="AK310" s="58" t="str">
        <f t="shared" si="173"/>
        <v/>
      </c>
      <c r="AL310" s="26" t="str">
        <f>IF($A311="","",_xll.SPRDOPT(P310,X310,AI310,0,AB310,AE310,AF310,AK310,$AJ$2,0))</f>
        <v/>
      </c>
      <c r="AM310" s="209" t="str">
        <f t="shared" si="174"/>
        <v/>
      </c>
      <c r="AN310" s="89" t="str">
        <f t="shared" si="175"/>
        <v/>
      </c>
      <c r="AO310" s="3" t="str">
        <f t="shared" si="176"/>
        <v/>
      </c>
      <c r="AP310" s="33" t="str">
        <f t="shared" si="177"/>
        <v/>
      </c>
      <c r="AQ310" s="58" t="str">
        <f t="shared" si="178"/>
        <v/>
      </c>
      <c r="AR310" s="38">
        <f>'ANR OK vs ML7'!AR310</f>
        <v>0.1</v>
      </c>
      <c r="AS310" s="35" t="str">
        <f t="shared" si="179"/>
        <v/>
      </c>
      <c r="AT310" s="3" t="str">
        <f t="shared" si="180"/>
        <v/>
      </c>
      <c r="AU310" s="3" t="str">
        <f t="shared" si="181"/>
        <v/>
      </c>
      <c r="AW310" s="32" t="str">
        <f t="shared" si="182"/>
        <v/>
      </c>
      <c r="AX310" s="32" t="str">
        <f t="shared" si="183"/>
        <v/>
      </c>
      <c r="AY310" s="32" t="str">
        <f t="shared" si="184"/>
        <v/>
      </c>
      <c r="BA310" s="32" t="str">
        <f>IF($A311="","",F310*Summary!$Q$11)</f>
        <v/>
      </c>
    </row>
    <row r="311" spans="1:53" ht="12" customHeight="1">
      <c r="A311" s="67" t="str">
        <f t="shared" si="185"/>
        <v/>
      </c>
      <c r="B311" s="69" t="str">
        <f t="shared" si="187"/>
        <v/>
      </c>
      <c r="C311" s="71"/>
      <c r="D311" s="69" t="str">
        <f t="shared" si="151"/>
        <v/>
      </c>
      <c r="E311" s="70" t="str">
        <f t="shared" si="152"/>
        <v/>
      </c>
      <c r="F311" s="70" t="str">
        <f t="shared" si="153"/>
        <v/>
      </c>
      <c r="G311" s="63" t="str">
        <f t="shared" si="154"/>
        <v/>
      </c>
      <c r="H311" s="64" t="str">
        <f t="shared" si="155"/>
        <v/>
      </c>
      <c r="I311" s="43"/>
      <c r="J311" s="63" t="str">
        <f t="shared" si="156"/>
        <v/>
      </c>
      <c r="K311" s="64" t="str">
        <f t="shared" si="157"/>
        <v/>
      </c>
      <c r="L311" s="63" t="str">
        <f t="shared" si="158"/>
        <v/>
      </c>
      <c r="M311" s="64" t="str">
        <f t="shared" si="159"/>
        <v/>
      </c>
      <c r="N311" s="65"/>
      <c r="O311" s="63" t="str">
        <f t="shared" si="160"/>
        <v/>
      </c>
      <c r="P311" s="63" t="str">
        <f t="shared" si="161"/>
        <v/>
      </c>
      <c r="Q311" s="66"/>
      <c r="R311" s="63" t="str">
        <f t="shared" si="162"/>
        <v/>
      </c>
      <c r="S311" s="64" t="str">
        <f t="shared" si="163"/>
        <v/>
      </c>
      <c r="T311" s="38">
        <v>0</v>
      </c>
      <c r="U311" s="64" t="str">
        <f t="shared" si="164"/>
        <v/>
      </c>
      <c r="V311" s="219" t="str">
        <f>IF($A312="","",IF(AND(MONTH(A311)&gt;3,MONTH(A311)&lt;11),(T311+R311+G311)*Summary!$T$11/(1-Summary!$T$11),(T311+R311+G311)*Summary!$U$11/(1-Summary!$U$11)))</f>
        <v/>
      </c>
      <c r="W311" s="43" t="str">
        <f t="shared" si="165"/>
        <v/>
      </c>
      <c r="X311" s="43" t="str">
        <f t="shared" si="166"/>
        <v/>
      </c>
      <c r="Y311" s="43"/>
      <c r="Z311" s="38" t="str">
        <f t="shared" si="167"/>
        <v/>
      </c>
      <c r="AA311" s="38" t="str">
        <f t="shared" si="168"/>
        <v/>
      </c>
      <c r="AB311" s="38" t="e">
        <f t="shared" si="169"/>
        <v>#VALUE!</v>
      </c>
      <c r="AC311" s="38" t="str">
        <f t="shared" si="170"/>
        <v/>
      </c>
      <c r="AD311" s="38" t="str">
        <f t="shared" si="170"/>
        <v/>
      </c>
      <c r="AE311" s="38" t="e">
        <f t="shared" si="171"/>
        <v>#VALUE!</v>
      </c>
      <c r="AF311" s="238" t="e">
        <f>((Summary!$N$11*(AA311*AD311)*(A311-$D$3))+(Summary!$M$11*Z311*AC311*(AJ311-EOMONTH(EDATE(A311,-1),0))))/(AK311*AB311*AE311)</f>
        <v>#VALUE!</v>
      </c>
      <c r="AG311" s="88" t="str">
        <f>IF($A312="","",Summary!$Q$11)</f>
        <v/>
      </c>
      <c r="AH311" s="88" t="str">
        <f>IF($A312="","",IF(Summary!$R$11="Y",(VLOOKUP($A311,Summary!$AD$6:$AF$9,3)+'Escalating commodity'!G324),'Escalating commodity'!G324))</f>
        <v/>
      </c>
      <c r="AI311" s="88" t="str">
        <f t="shared" si="186"/>
        <v/>
      </c>
      <c r="AJ311" s="236" t="e">
        <f t="shared" si="172"/>
        <v>#VALUE!</v>
      </c>
      <c r="AK311" s="58" t="str">
        <f t="shared" si="173"/>
        <v/>
      </c>
      <c r="AL311" s="26" t="str">
        <f>IF($A312="","",_xll.SPRDOPT(P311,X311,AI311,0,AB311,AE311,AF311,AK311,$AJ$2,0))</f>
        <v/>
      </c>
      <c r="AM311" s="209" t="str">
        <f t="shared" si="174"/>
        <v/>
      </c>
      <c r="AN311" s="89" t="str">
        <f t="shared" si="175"/>
        <v/>
      </c>
      <c r="AO311" s="3" t="str">
        <f t="shared" si="176"/>
        <v/>
      </c>
      <c r="AP311" s="33" t="str">
        <f t="shared" si="177"/>
        <v/>
      </c>
      <c r="AQ311" s="58" t="str">
        <f t="shared" si="178"/>
        <v/>
      </c>
      <c r="AR311" s="38">
        <f>'ANR OK vs ML7'!AR311</f>
        <v>0.1</v>
      </c>
      <c r="AS311" s="35" t="str">
        <f t="shared" si="179"/>
        <v/>
      </c>
      <c r="AT311" s="3" t="str">
        <f t="shared" si="180"/>
        <v/>
      </c>
      <c r="AU311" s="3" t="str">
        <f t="shared" si="181"/>
        <v/>
      </c>
      <c r="AW311" s="32" t="str">
        <f t="shared" si="182"/>
        <v/>
      </c>
      <c r="AX311" s="32" t="str">
        <f t="shared" si="183"/>
        <v/>
      </c>
      <c r="AY311" s="32" t="str">
        <f t="shared" si="184"/>
        <v/>
      </c>
      <c r="BA311" s="32" t="str">
        <f>IF($A312="","",F311*Summary!$Q$11)</f>
        <v/>
      </c>
    </row>
    <row r="312" spans="1:53" ht="12" customHeight="1">
      <c r="A312" s="67" t="str">
        <f t="shared" si="185"/>
        <v/>
      </c>
      <c r="B312" s="69" t="str">
        <f t="shared" si="187"/>
        <v/>
      </c>
      <c r="C312" s="71"/>
      <c r="D312" s="69" t="str">
        <f t="shared" si="151"/>
        <v/>
      </c>
      <c r="E312" s="70" t="str">
        <f t="shared" si="152"/>
        <v/>
      </c>
      <c r="F312" s="70" t="str">
        <f t="shared" si="153"/>
        <v/>
      </c>
      <c r="G312" s="63" t="str">
        <f t="shared" si="154"/>
        <v/>
      </c>
      <c r="H312" s="64" t="str">
        <f t="shared" si="155"/>
        <v/>
      </c>
      <c r="I312" s="43"/>
      <c r="J312" s="63" t="str">
        <f t="shared" si="156"/>
        <v/>
      </c>
      <c r="K312" s="64" t="str">
        <f t="shared" si="157"/>
        <v/>
      </c>
      <c r="L312" s="63" t="str">
        <f t="shared" si="158"/>
        <v/>
      </c>
      <c r="M312" s="64" t="str">
        <f t="shared" si="159"/>
        <v/>
      </c>
      <c r="N312" s="65"/>
      <c r="O312" s="63" t="str">
        <f t="shared" si="160"/>
        <v/>
      </c>
      <c r="P312" s="63" t="str">
        <f t="shared" si="161"/>
        <v/>
      </c>
      <c r="Q312" s="66"/>
      <c r="R312" s="63" t="str">
        <f t="shared" si="162"/>
        <v/>
      </c>
      <c r="S312" s="64" t="str">
        <f t="shared" si="163"/>
        <v/>
      </c>
      <c r="T312" s="38">
        <v>0</v>
      </c>
      <c r="U312" s="64" t="str">
        <f t="shared" si="164"/>
        <v/>
      </c>
      <c r="V312" s="219" t="str">
        <f>IF($A313="","",IF(AND(MONTH(A312)&gt;3,MONTH(A312)&lt;11),(T312+R312+G312)*Summary!$T$11/(1-Summary!$T$11),(T312+R312+G312)*Summary!$U$11/(1-Summary!$U$11)))</f>
        <v/>
      </c>
      <c r="W312" s="43" t="str">
        <f t="shared" si="165"/>
        <v/>
      </c>
      <c r="X312" s="43" t="str">
        <f t="shared" si="166"/>
        <v/>
      </c>
      <c r="Y312" s="43"/>
      <c r="Z312" s="38" t="str">
        <f t="shared" si="167"/>
        <v/>
      </c>
      <c r="AA312" s="38" t="str">
        <f t="shared" si="168"/>
        <v/>
      </c>
      <c r="AB312" s="38" t="e">
        <f t="shared" si="169"/>
        <v>#VALUE!</v>
      </c>
      <c r="AC312" s="38" t="str">
        <f t="shared" si="170"/>
        <v/>
      </c>
      <c r="AD312" s="38" t="str">
        <f t="shared" si="170"/>
        <v/>
      </c>
      <c r="AE312" s="38" t="e">
        <f t="shared" si="171"/>
        <v>#VALUE!</v>
      </c>
      <c r="AF312" s="238" t="e">
        <f>((Summary!$N$11*(AA312*AD312)*(A312-$D$3))+(Summary!$M$11*Z312*AC312*(AJ312-EOMONTH(EDATE(A312,-1),0))))/(AK312*AB312*AE312)</f>
        <v>#VALUE!</v>
      </c>
      <c r="AG312" s="88" t="str">
        <f>IF($A313="","",Summary!$Q$11)</f>
        <v/>
      </c>
      <c r="AH312" s="88" t="str">
        <f>IF($A313="","",IF(Summary!$R$11="Y",(VLOOKUP($A312,Summary!$AD$6:$AF$9,3)+'Escalating commodity'!G325),'Escalating commodity'!G325))</f>
        <v/>
      </c>
      <c r="AI312" s="88" t="str">
        <f t="shared" si="186"/>
        <v/>
      </c>
      <c r="AJ312" s="236" t="e">
        <f t="shared" si="172"/>
        <v>#VALUE!</v>
      </c>
      <c r="AK312" s="58" t="str">
        <f t="shared" si="173"/>
        <v/>
      </c>
      <c r="AL312" s="26" t="str">
        <f>IF($A313="","",_xll.SPRDOPT(P312,X312,AI312,0,AB312,AE312,AF312,AK312,$AJ$2,0))</f>
        <v/>
      </c>
      <c r="AM312" s="209" t="str">
        <f t="shared" si="174"/>
        <v/>
      </c>
      <c r="AN312" s="89" t="str">
        <f t="shared" si="175"/>
        <v/>
      </c>
      <c r="AO312" s="3" t="str">
        <f t="shared" si="176"/>
        <v/>
      </c>
      <c r="AP312" s="33" t="str">
        <f t="shared" si="177"/>
        <v/>
      </c>
      <c r="AQ312" s="58" t="str">
        <f t="shared" si="178"/>
        <v/>
      </c>
      <c r="AR312" s="38">
        <f>'ANR OK vs ML7'!AR312</f>
        <v>0.1</v>
      </c>
      <c r="AS312" s="35" t="str">
        <f t="shared" si="179"/>
        <v/>
      </c>
      <c r="AT312" s="3" t="str">
        <f t="shared" si="180"/>
        <v/>
      </c>
      <c r="AU312" s="3" t="str">
        <f t="shared" si="181"/>
        <v/>
      </c>
      <c r="AW312" s="32" t="str">
        <f t="shared" si="182"/>
        <v/>
      </c>
      <c r="AX312" s="32" t="str">
        <f t="shared" si="183"/>
        <v/>
      </c>
      <c r="AY312" s="32" t="str">
        <f t="shared" si="184"/>
        <v/>
      </c>
      <c r="BA312" s="32" t="str">
        <f>IF($A313="","",F312*Summary!$Q$11)</f>
        <v/>
      </c>
    </row>
    <row r="313" spans="1:53" ht="12" customHeight="1">
      <c r="A313" s="67" t="str">
        <f t="shared" si="185"/>
        <v/>
      </c>
      <c r="B313" s="69" t="str">
        <f t="shared" si="187"/>
        <v/>
      </c>
      <c r="C313" s="71"/>
      <c r="D313" s="69" t="str">
        <f t="shared" si="151"/>
        <v/>
      </c>
      <c r="E313" s="70" t="str">
        <f t="shared" si="152"/>
        <v/>
      </c>
      <c r="F313" s="70" t="str">
        <f t="shared" si="153"/>
        <v/>
      </c>
      <c r="G313" s="63" t="str">
        <f t="shared" si="154"/>
        <v/>
      </c>
      <c r="H313" s="64" t="str">
        <f t="shared" si="155"/>
        <v/>
      </c>
      <c r="I313" s="43"/>
      <c r="J313" s="63" t="str">
        <f t="shared" si="156"/>
        <v/>
      </c>
      <c r="K313" s="64" t="str">
        <f t="shared" si="157"/>
        <v/>
      </c>
      <c r="L313" s="63" t="str">
        <f t="shared" si="158"/>
        <v/>
      </c>
      <c r="M313" s="64" t="str">
        <f t="shared" si="159"/>
        <v/>
      </c>
      <c r="N313" s="65"/>
      <c r="O313" s="63" t="str">
        <f t="shared" si="160"/>
        <v/>
      </c>
      <c r="P313" s="63" t="str">
        <f t="shared" si="161"/>
        <v/>
      </c>
      <c r="Q313" s="66"/>
      <c r="R313" s="63" t="str">
        <f t="shared" si="162"/>
        <v/>
      </c>
      <c r="S313" s="64" t="str">
        <f t="shared" si="163"/>
        <v/>
      </c>
      <c r="T313" s="38">
        <v>0</v>
      </c>
      <c r="U313" s="64" t="str">
        <f t="shared" si="164"/>
        <v/>
      </c>
      <c r="V313" s="219" t="str">
        <f>IF($A314="","",IF(AND(MONTH(A313)&gt;3,MONTH(A313)&lt;11),(T313+R313+G313)*Summary!$T$11/(1-Summary!$T$11),(T313+R313+G313)*Summary!$U$11/(1-Summary!$U$11)))</f>
        <v/>
      </c>
      <c r="W313" s="43" t="str">
        <f t="shared" si="165"/>
        <v/>
      </c>
      <c r="X313" s="43" t="str">
        <f t="shared" si="166"/>
        <v/>
      </c>
      <c r="Y313" s="43"/>
      <c r="Z313" s="38" t="str">
        <f t="shared" si="167"/>
        <v/>
      </c>
      <c r="AA313" s="38" t="str">
        <f t="shared" si="168"/>
        <v/>
      </c>
      <c r="AB313" s="38" t="e">
        <f t="shared" si="169"/>
        <v>#VALUE!</v>
      </c>
      <c r="AC313" s="38" t="str">
        <f t="shared" si="170"/>
        <v/>
      </c>
      <c r="AD313" s="38" t="str">
        <f t="shared" si="170"/>
        <v/>
      </c>
      <c r="AE313" s="38" t="e">
        <f t="shared" si="171"/>
        <v>#VALUE!</v>
      </c>
      <c r="AF313" s="238" t="e">
        <f>((Summary!$N$11*(AA313*AD313)*(A313-$D$3))+(Summary!$M$11*Z313*AC313*(AJ313-EOMONTH(EDATE(A313,-1),0))))/(AK313*AB313*AE313)</f>
        <v>#VALUE!</v>
      </c>
      <c r="AG313" s="88" t="str">
        <f>IF($A314="","",Summary!$Q$11)</f>
        <v/>
      </c>
      <c r="AH313" s="88" t="str">
        <f>IF($A314="","",IF(Summary!$R$11="Y",(VLOOKUP($A313,Summary!$AD$6:$AF$9,3)+'Escalating commodity'!G326),'Escalating commodity'!G326))</f>
        <v/>
      </c>
      <c r="AI313" s="88" t="str">
        <f t="shared" si="186"/>
        <v/>
      </c>
      <c r="AJ313" s="236" t="e">
        <f t="shared" si="172"/>
        <v>#VALUE!</v>
      </c>
      <c r="AK313" s="58" t="str">
        <f t="shared" si="173"/>
        <v/>
      </c>
      <c r="AL313" s="26" t="str">
        <f>IF($A314="","",_xll.SPRDOPT(P313,X313,AI313,0,AB313,AE313,AF313,AK313,$AJ$2,0))</f>
        <v/>
      </c>
      <c r="AM313" s="209" t="str">
        <f t="shared" si="174"/>
        <v/>
      </c>
      <c r="AN313" s="89" t="str">
        <f t="shared" si="175"/>
        <v/>
      </c>
      <c r="AO313" s="3" t="str">
        <f t="shared" si="176"/>
        <v/>
      </c>
      <c r="AP313" s="33" t="str">
        <f t="shared" si="177"/>
        <v/>
      </c>
      <c r="AQ313" s="58" t="str">
        <f t="shared" si="178"/>
        <v/>
      </c>
      <c r="AR313" s="38">
        <f>'ANR OK vs ML7'!AR313</f>
        <v>0.1</v>
      </c>
      <c r="AS313" s="35" t="str">
        <f t="shared" si="179"/>
        <v/>
      </c>
      <c r="AT313" s="3" t="str">
        <f t="shared" si="180"/>
        <v/>
      </c>
      <c r="AU313" s="3" t="str">
        <f t="shared" si="181"/>
        <v/>
      </c>
      <c r="AW313" s="32" t="str">
        <f t="shared" si="182"/>
        <v/>
      </c>
      <c r="AX313" s="32" t="str">
        <f t="shared" si="183"/>
        <v/>
      </c>
      <c r="AY313" s="32" t="str">
        <f t="shared" si="184"/>
        <v/>
      </c>
      <c r="BA313" s="32" t="str">
        <f>IF($A314="","",F313*Summary!$Q$11)</f>
        <v/>
      </c>
    </row>
    <row r="314" spans="1:53" ht="12" customHeight="1">
      <c r="A314" s="67" t="str">
        <f t="shared" si="185"/>
        <v/>
      </c>
      <c r="B314" s="69" t="str">
        <f t="shared" si="187"/>
        <v/>
      </c>
      <c r="C314" s="71"/>
      <c r="D314" s="69" t="str">
        <f t="shared" si="151"/>
        <v/>
      </c>
      <c r="E314" s="70" t="str">
        <f t="shared" si="152"/>
        <v/>
      </c>
      <c r="F314" s="70" t="str">
        <f t="shared" si="153"/>
        <v/>
      </c>
      <c r="G314" s="63" t="str">
        <f t="shared" si="154"/>
        <v/>
      </c>
      <c r="H314" s="64" t="str">
        <f t="shared" si="155"/>
        <v/>
      </c>
      <c r="I314" s="43"/>
      <c r="J314" s="63" t="str">
        <f t="shared" si="156"/>
        <v/>
      </c>
      <c r="K314" s="64" t="str">
        <f t="shared" si="157"/>
        <v/>
      </c>
      <c r="L314" s="63" t="str">
        <f t="shared" si="158"/>
        <v/>
      </c>
      <c r="M314" s="64" t="str">
        <f t="shared" si="159"/>
        <v/>
      </c>
      <c r="N314" s="65"/>
      <c r="O314" s="63" t="str">
        <f t="shared" si="160"/>
        <v/>
      </c>
      <c r="P314" s="63" t="str">
        <f t="shared" si="161"/>
        <v/>
      </c>
      <c r="Q314" s="66"/>
      <c r="R314" s="63" t="str">
        <f t="shared" si="162"/>
        <v/>
      </c>
      <c r="S314" s="64" t="str">
        <f t="shared" si="163"/>
        <v/>
      </c>
      <c r="T314" s="38">
        <v>0</v>
      </c>
      <c r="U314" s="64" t="str">
        <f t="shared" si="164"/>
        <v/>
      </c>
      <c r="V314" s="219" t="str">
        <f>IF($A315="","",IF(AND(MONTH(A314)&gt;3,MONTH(A314)&lt;11),(T314+R314+G314)*Summary!$T$11/(1-Summary!$T$11),(T314+R314+G314)*Summary!$U$11/(1-Summary!$U$11)))</f>
        <v/>
      </c>
      <c r="W314" s="43" t="str">
        <f t="shared" si="165"/>
        <v/>
      </c>
      <c r="X314" s="43" t="str">
        <f t="shared" si="166"/>
        <v/>
      </c>
      <c r="Y314" s="43"/>
      <c r="Z314" s="38" t="str">
        <f t="shared" si="167"/>
        <v/>
      </c>
      <c r="AA314" s="38" t="str">
        <f t="shared" si="168"/>
        <v/>
      </c>
      <c r="AB314" s="38" t="e">
        <f t="shared" si="169"/>
        <v>#VALUE!</v>
      </c>
      <c r="AC314" s="38" t="str">
        <f t="shared" si="170"/>
        <v/>
      </c>
      <c r="AD314" s="38" t="str">
        <f t="shared" si="170"/>
        <v/>
      </c>
      <c r="AE314" s="38" t="e">
        <f t="shared" si="171"/>
        <v>#VALUE!</v>
      </c>
      <c r="AF314" s="238" t="e">
        <f>((Summary!$N$11*(AA314*AD314)*(A314-$D$3))+(Summary!$M$11*Z314*AC314*(AJ314-EOMONTH(EDATE(A314,-1),0))))/(AK314*AB314*AE314)</f>
        <v>#VALUE!</v>
      </c>
      <c r="AG314" s="88" t="str">
        <f>IF($A315="","",Summary!$Q$11)</f>
        <v/>
      </c>
      <c r="AH314" s="88" t="str">
        <f>IF($A315="","",IF(Summary!$R$11="Y",(VLOOKUP($A314,Summary!$AD$6:$AF$9,3)+'Escalating commodity'!G327),'Escalating commodity'!G327))</f>
        <v/>
      </c>
      <c r="AI314" s="88" t="str">
        <f t="shared" si="186"/>
        <v/>
      </c>
      <c r="AJ314" s="236" t="e">
        <f t="shared" si="172"/>
        <v>#VALUE!</v>
      </c>
      <c r="AK314" s="58" t="str">
        <f t="shared" si="173"/>
        <v/>
      </c>
      <c r="AL314" s="26" t="str">
        <f>IF($A315="","",_xll.SPRDOPT(P314,X314,AI314,0,AB314,AE314,AF314,AK314,$AJ$2,0))</f>
        <v/>
      </c>
      <c r="AM314" s="209" t="str">
        <f t="shared" si="174"/>
        <v/>
      </c>
      <c r="AN314" s="89" t="str">
        <f t="shared" si="175"/>
        <v/>
      </c>
      <c r="AO314" s="3" t="str">
        <f t="shared" si="176"/>
        <v/>
      </c>
      <c r="AP314" s="33" t="str">
        <f t="shared" si="177"/>
        <v/>
      </c>
      <c r="AQ314" s="58" t="str">
        <f t="shared" si="178"/>
        <v/>
      </c>
      <c r="AR314" s="38">
        <f>'ANR OK vs ML7'!AR314</f>
        <v>0.1</v>
      </c>
      <c r="AS314" s="35" t="str">
        <f t="shared" si="179"/>
        <v/>
      </c>
      <c r="AT314" s="3" t="str">
        <f t="shared" si="180"/>
        <v/>
      </c>
      <c r="AU314" s="3" t="str">
        <f t="shared" si="181"/>
        <v/>
      </c>
      <c r="AW314" s="32" t="str">
        <f t="shared" si="182"/>
        <v/>
      </c>
      <c r="AX314" s="32" t="str">
        <f t="shared" si="183"/>
        <v/>
      </c>
      <c r="AY314" s="32" t="str">
        <f t="shared" si="184"/>
        <v/>
      </c>
      <c r="BA314" s="32" t="str">
        <f>IF($A315="","",F314*Summary!$Q$11)</f>
        <v/>
      </c>
    </row>
    <row r="315" spans="1:53" ht="12" customHeight="1">
      <c r="A315" s="67" t="str">
        <f t="shared" si="185"/>
        <v/>
      </c>
      <c r="B315" s="69" t="str">
        <f t="shared" si="187"/>
        <v/>
      </c>
      <c r="C315" s="71"/>
      <c r="D315" s="69" t="str">
        <f t="shared" si="151"/>
        <v/>
      </c>
      <c r="E315" s="70" t="str">
        <f t="shared" si="152"/>
        <v/>
      </c>
      <c r="F315" s="70" t="str">
        <f t="shared" si="153"/>
        <v/>
      </c>
      <c r="G315" s="63" t="str">
        <f t="shared" si="154"/>
        <v/>
      </c>
      <c r="H315" s="64" t="str">
        <f t="shared" si="155"/>
        <v/>
      </c>
      <c r="I315" s="43"/>
      <c r="J315" s="63" t="str">
        <f t="shared" si="156"/>
        <v/>
      </c>
      <c r="K315" s="64" t="str">
        <f t="shared" si="157"/>
        <v/>
      </c>
      <c r="L315" s="63" t="str">
        <f t="shared" si="158"/>
        <v/>
      </c>
      <c r="M315" s="64" t="str">
        <f t="shared" si="159"/>
        <v/>
      </c>
      <c r="N315" s="65"/>
      <c r="O315" s="63" t="str">
        <f t="shared" si="160"/>
        <v/>
      </c>
      <c r="P315" s="63" t="str">
        <f t="shared" si="161"/>
        <v/>
      </c>
      <c r="Q315" s="66"/>
      <c r="R315" s="63" t="str">
        <f t="shared" si="162"/>
        <v/>
      </c>
      <c r="S315" s="64" t="str">
        <f t="shared" si="163"/>
        <v/>
      </c>
      <c r="T315" s="38">
        <v>0</v>
      </c>
      <c r="U315" s="64" t="str">
        <f t="shared" si="164"/>
        <v/>
      </c>
      <c r="V315" s="219" t="str">
        <f>IF($A316="","",IF(AND(MONTH(A315)&gt;3,MONTH(A315)&lt;11),(T315+R315+G315)*Summary!$T$11/(1-Summary!$T$11),(T315+R315+G315)*Summary!$U$11/(1-Summary!$U$11)))</f>
        <v/>
      </c>
      <c r="W315" s="43" t="str">
        <f t="shared" si="165"/>
        <v/>
      </c>
      <c r="X315" s="43" t="str">
        <f t="shared" si="166"/>
        <v/>
      </c>
      <c r="Y315" s="43"/>
      <c r="Z315" s="38" t="str">
        <f t="shared" si="167"/>
        <v/>
      </c>
      <c r="AA315" s="38" t="str">
        <f t="shared" si="168"/>
        <v/>
      </c>
      <c r="AB315" s="38" t="e">
        <f t="shared" si="169"/>
        <v>#VALUE!</v>
      </c>
      <c r="AC315" s="38" t="str">
        <f t="shared" si="170"/>
        <v/>
      </c>
      <c r="AD315" s="38" t="str">
        <f t="shared" si="170"/>
        <v/>
      </c>
      <c r="AE315" s="38" t="e">
        <f t="shared" si="171"/>
        <v>#VALUE!</v>
      </c>
      <c r="AF315" s="238" t="e">
        <f>((Summary!$N$11*(AA315*AD315)*(A315-$D$3))+(Summary!$M$11*Z315*AC315*(AJ315-EOMONTH(EDATE(A315,-1),0))))/(AK315*AB315*AE315)</f>
        <v>#VALUE!</v>
      </c>
      <c r="AG315" s="88" t="str">
        <f>IF($A316="","",Summary!$Q$11)</f>
        <v/>
      </c>
      <c r="AH315" s="88" t="str">
        <f>IF($A316="","",IF(Summary!$R$11="Y",(VLOOKUP($A315,Summary!$AD$6:$AF$9,3)+'Escalating commodity'!G328),'Escalating commodity'!G328))</f>
        <v/>
      </c>
      <c r="AI315" s="88" t="str">
        <f t="shared" si="186"/>
        <v/>
      </c>
      <c r="AJ315" s="236" t="e">
        <f t="shared" si="172"/>
        <v>#VALUE!</v>
      </c>
      <c r="AK315" s="58" t="str">
        <f t="shared" si="173"/>
        <v/>
      </c>
      <c r="AL315" s="26" t="str">
        <f>IF($A316="","",_xll.SPRDOPT(P315,X315,AI315,0,AB315,AE315,AF315,AK315,$AJ$2,0))</f>
        <v/>
      </c>
      <c r="AM315" s="209" t="str">
        <f t="shared" si="174"/>
        <v/>
      </c>
      <c r="AN315" s="89" t="str">
        <f t="shared" si="175"/>
        <v/>
      </c>
      <c r="AO315" s="3" t="str">
        <f t="shared" si="176"/>
        <v/>
      </c>
      <c r="AP315" s="33" t="str">
        <f t="shared" si="177"/>
        <v/>
      </c>
      <c r="AQ315" s="58" t="str">
        <f t="shared" si="178"/>
        <v/>
      </c>
      <c r="AR315" s="38">
        <f>'ANR OK vs ML7'!AR315</f>
        <v>0.1</v>
      </c>
      <c r="AS315" s="35" t="str">
        <f t="shared" si="179"/>
        <v/>
      </c>
      <c r="AT315" s="3" t="str">
        <f t="shared" si="180"/>
        <v/>
      </c>
      <c r="AU315" s="3" t="str">
        <f t="shared" si="181"/>
        <v/>
      </c>
      <c r="AW315" s="32" t="str">
        <f t="shared" si="182"/>
        <v/>
      </c>
      <c r="AX315" s="32" t="str">
        <f t="shared" si="183"/>
        <v/>
      </c>
      <c r="AY315" s="32" t="str">
        <f t="shared" si="184"/>
        <v/>
      </c>
      <c r="BA315" s="32" t="str">
        <f>IF($A316="","",F315*Summary!$Q$11)</f>
        <v/>
      </c>
    </row>
    <row r="316" spans="1:53" ht="12" customHeight="1">
      <c r="A316" s="67" t="str">
        <f t="shared" si="185"/>
        <v/>
      </c>
      <c r="B316" s="69" t="str">
        <f t="shared" si="187"/>
        <v/>
      </c>
      <c r="C316" s="71"/>
      <c r="D316" s="69" t="str">
        <f t="shared" si="151"/>
        <v/>
      </c>
      <c r="E316" s="70" t="str">
        <f t="shared" si="152"/>
        <v/>
      </c>
      <c r="F316" s="70" t="str">
        <f t="shared" si="153"/>
        <v/>
      </c>
      <c r="G316" s="63" t="str">
        <f t="shared" si="154"/>
        <v/>
      </c>
      <c r="H316" s="64" t="str">
        <f t="shared" si="155"/>
        <v/>
      </c>
      <c r="I316" s="43"/>
      <c r="J316" s="63" t="str">
        <f t="shared" si="156"/>
        <v/>
      </c>
      <c r="K316" s="64" t="str">
        <f t="shared" si="157"/>
        <v/>
      </c>
      <c r="L316" s="63" t="str">
        <f t="shared" si="158"/>
        <v/>
      </c>
      <c r="M316" s="64" t="str">
        <f t="shared" si="159"/>
        <v/>
      </c>
      <c r="N316" s="65"/>
      <c r="O316" s="63" t="str">
        <f t="shared" si="160"/>
        <v/>
      </c>
      <c r="P316" s="63" t="str">
        <f t="shared" si="161"/>
        <v/>
      </c>
      <c r="Q316" s="66"/>
      <c r="R316" s="63" t="str">
        <f t="shared" si="162"/>
        <v/>
      </c>
      <c r="S316" s="64" t="str">
        <f t="shared" si="163"/>
        <v/>
      </c>
      <c r="T316" s="38">
        <v>0</v>
      </c>
      <c r="U316" s="64" t="str">
        <f t="shared" si="164"/>
        <v/>
      </c>
      <c r="V316" s="219" t="str">
        <f>IF($A317="","",IF(AND(MONTH(A316)&gt;3,MONTH(A316)&lt;11),(T316+R316+G316)*Summary!$T$11/(1-Summary!$T$11),(T316+R316+G316)*Summary!$U$11/(1-Summary!$U$11)))</f>
        <v/>
      </c>
      <c r="W316" s="43" t="str">
        <f t="shared" si="165"/>
        <v/>
      </c>
      <c r="X316" s="43" t="str">
        <f t="shared" si="166"/>
        <v/>
      </c>
      <c r="Y316" s="43"/>
      <c r="Z316" s="38" t="str">
        <f t="shared" si="167"/>
        <v/>
      </c>
      <c r="AA316" s="38" t="str">
        <f t="shared" si="168"/>
        <v/>
      </c>
      <c r="AB316" s="38" t="e">
        <f t="shared" si="169"/>
        <v>#VALUE!</v>
      </c>
      <c r="AC316" s="38" t="str">
        <f t="shared" si="170"/>
        <v/>
      </c>
      <c r="AD316" s="38" t="str">
        <f t="shared" si="170"/>
        <v/>
      </c>
      <c r="AE316" s="38" t="e">
        <f t="shared" si="171"/>
        <v>#VALUE!</v>
      </c>
      <c r="AF316" s="238" t="e">
        <f>((Summary!$N$11*(AA316*AD316)*(A316-$D$3))+(Summary!$M$11*Z316*AC316*(AJ316-EOMONTH(EDATE(A316,-1),0))))/(AK316*AB316*AE316)</f>
        <v>#VALUE!</v>
      </c>
      <c r="AG316" s="88" t="str">
        <f>IF($A317="","",Summary!$Q$11)</f>
        <v/>
      </c>
      <c r="AH316" s="88" t="str">
        <f>IF($A317="","",IF(Summary!$R$11="Y",(VLOOKUP($A316,Summary!$AD$6:$AF$9,3)+'Escalating commodity'!G329),'Escalating commodity'!G329))</f>
        <v/>
      </c>
      <c r="AI316" s="88" t="str">
        <f t="shared" si="186"/>
        <v/>
      </c>
      <c r="AJ316" s="236" t="e">
        <f t="shared" si="172"/>
        <v>#VALUE!</v>
      </c>
      <c r="AK316" s="58" t="str">
        <f t="shared" si="173"/>
        <v/>
      </c>
      <c r="AL316" s="26" t="str">
        <f>IF($A317="","",_xll.SPRDOPT(P316,X316,AI316,0,AB316,AE316,AF316,AK316,$AJ$2,0))</f>
        <v/>
      </c>
      <c r="AM316" s="209" t="str">
        <f t="shared" si="174"/>
        <v/>
      </c>
      <c r="AN316" s="89" t="str">
        <f t="shared" si="175"/>
        <v/>
      </c>
      <c r="AO316" s="3" t="str">
        <f t="shared" si="176"/>
        <v/>
      </c>
      <c r="AP316" s="33" t="str">
        <f t="shared" si="177"/>
        <v/>
      </c>
      <c r="AQ316" s="58" t="str">
        <f t="shared" si="178"/>
        <v/>
      </c>
      <c r="AR316" s="38">
        <f>'ANR OK vs ML7'!AR316</f>
        <v>0.1</v>
      </c>
      <c r="AS316" s="35" t="str">
        <f t="shared" si="179"/>
        <v/>
      </c>
      <c r="AT316" s="3" t="str">
        <f t="shared" si="180"/>
        <v/>
      </c>
      <c r="AU316" s="3" t="str">
        <f t="shared" si="181"/>
        <v/>
      </c>
      <c r="AW316" s="32" t="str">
        <f t="shared" si="182"/>
        <v/>
      </c>
      <c r="AX316" s="32" t="str">
        <f t="shared" si="183"/>
        <v/>
      </c>
      <c r="AY316" s="32" t="str">
        <f t="shared" si="184"/>
        <v/>
      </c>
      <c r="BA316" s="32" t="str">
        <f>IF($A317="","",F316*Summary!$Q$11)</f>
        <v/>
      </c>
    </row>
    <row r="317" spans="1:53" ht="12" customHeight="1">
      <c r="A317" s="67" t="str">
        <f t="shared" si="185"/>
        <v/>
      </c>
      <c r="B317" s="69" t="str">
        <f t="shared" si="187"/>
        <v/>
      </c>
      <c r="C317" s="71"/>
      <c r="D317" s="69" t="str">
        <f t="shared" si="151"/>
        <v/>
      </c>
      <c r="E317" s="70" t="str">
        <f t="shared" si="152"/>
        <v/>
      </c>
      <c r="F317" s="70" t="str">
        <f t="shared" si="153"/>
        <v/>
      </c>
      <c r="G317" s="63" t="str">
        <f t="shared" si="154"/>
        <v/>
      </c>
      <c r="H317" s="64" t="str">
        <f t="shared" si="155"/>
        <v/>
      </c>
      <c r="I317" s="43"/>
      <c r="J317" s="63" t="str">
        <f t="shared" si="156"/>
        <v/>
      </c>
      <c r="K317" s="64" t="str">
        <f t="shared" si="157"/>
        <v/>
      </c>
      <c r="L317" s="63" t="str">
        <f t="shared" si="158"/>
        <v/>
      </c>
      <c r="M317" s="64" t="str">
        <f t="shared" si="159"/>
        <v/>
      </c>
      <c r="N317" s="65"/>
      <c r="O317" s="63" t="str">
        <f t="shared" si="160"/>
        <v/>
      </c>
      <c r="P317" s="63" t="str">
        <f t="shared" si="161"/>
        <v/>
      </c>
      <c r="Q317" s="66"/>
      <c r="R317" s="63" t="str">
        <f t="shared" si="162"/>
        <v/>
      </c>
      <c r="S317" s="64" t="str">
        <f t="shared" si="163"/>
        <v/>
      </c>
      <c r="T317" s="38">
        <v>0</v>
      </c>
      <c r="U317" s="64" t="str">
        <f t="shared" si="164"/>
        <v/>
      </c>
      <c r="V317" s="219" t="str">
        <f>IF($A318="","",IF(AND(MONTH(A317)&gt;3,MONTH(A317)&lt;11),(T317+R317+G317)*Summary!$T$11/(1-Summary!$T$11),(T317+R317+G317)*Summary!$U$11/(1-Summary!$U$11)))</f>
        <v/>
      </c>
      <c r="W317" s="43" t="str">
        <f t="shared" si="165"/>
        <v/>
      </c>
      <c r="X317" s="43" t="str">
        <f t="shared" si="166"/>
        <v/>
      </c>
      <c r="Y317" s="43"/>
      <c r="Z317" s="38" t="str">
        <f t="shared" si="167"/>
        <v/>
      </c>
      <c r="AA317" s="38" t="str">
        <f t="shared" si="168"/>
        <v/>
      </c>
      <c r="AB317" s="38" t="e">
        <f t="shared" si="169"/>
        <v>#VALUE!</v>
      </c>
      <c r="AC317" s="38" t="str">
        <f t="shared" si="170"/>
        <v/>
      </c>
      <c r="AD317" s="38" t="str">
        <f t="shared" si="170"/>
        <v/>
      </c>
      <c r="AE317" s="38" t="e">
        <f t="shared" si="171"/>
        <v>#VALUE!</v>
      </c>
      <c r="AF317" s="238" t="e">
        <f>((Summary!$N$11*(AA317*AD317)*(A317-$D$3))+(Summary!$M$11*Z317*AC317*(AJ317-EOMONTH(EDATE(A317,-1),0))))/(AK317*AB317*AE317)</f>
        <v>#VALUE!</v>
      </c>
      <c r="AG317" s="88" t="str">
        <f>IF($A318="","",Summary!$Q$11)</f>
        <v/>
      </c>
      <c r="AH317" s="88" t="str">
        <f>IF($A318="","",IF(Summary!$R$11="Y",(VLOOKUP($A317,Summary!$AD$6:$AF$9,3)+'Escalating commodity'!G330),'Escalating commodity'!G330))</f>
        <v/>
      </c>
      <c r="AI317" s="88" t="str">
        <f t="shared" si="186"/>
        <v/>
      </c>
      <c r="AJ317" s="236" t="e">
        <f t="shared" si="172"/>
        <v>#VALUE!</v>
      </c>
      <c r="AK317" s="58" t="str">
        <f t="shared" si="173"/>
        <v/>
      </c>
      <c r="AL317" s="26" t="str">
        <f>IF($A318="","",_xll.SPRDOPT(P317,X317,AI317,0,AB317,AE317,AF317,AK317,$AJ$2,0))</f>
        <v/>
      </c>
      <c r="AM317" s="209" t="str">
        <f t="shared" si="174"/>
        <v/>
      </c>
      <c r="AN317" s="89" t="str">
        <f t="shared" si="175"/>
        <v/>
      </c>
      <c r="AO317" s="3" t="str">
        <f t="shared" si="176"/>
        <v/>
      </c>
      <c r="AP317" s="33" t="str">
        <f t="shared" si="177"/>
        <v/>
      </c>
      <c r="AQ317" s="58" t="str">
        <f t="shared" si="178"/>
        <v/>
      </c>
      <c r="AR317" s="38">
        <f>'ANR OK vs ML7'!AR317</f>
        <v>0.1</v>
      </c>
      <c r="AS317" s="35" t="str">
        <f t="shared" si="179"/>
        <v/>
      </c>
      <c r="AT317" s="3" t="str">
        <f t="shared" si="180"/>
        <v/>
      </c>
      <c r="AU317" s="3" t="str">
        <f t="shared" si="181"/>
        <v/>
      </c>
      <c r="AW317" s="32" t="str">
        <f t="shared" si="182"/>
        <v/>
      </c>
      <c r="AX317" s="32" t="str">
        <f t="shared" si="183"/>
        <v/>
      </c>
      <c r="AY317" s="32" t="str">
        <f t="shared" si="184"/>
        <v/>
      </c>
      <c r="BA317" s="32" t="str">
        <f>IF($A318="","",F317*Summary!$Q$11)</f>
        <v/>
      </c>
    </row>
    <row r="318" spans="1:53" ht="12" customHeight="1">
      <c r="A318" s="67" t="str">
        <f t="shared" si="185"/>
        <v/>
      </c>
      <c r="B318" s="69" t="str">
        <f t="shared" si="187"/>
        <v/>
      </c>
      <c r="C318" s="71"/>
      <c r="D318" s="69" t="str">
        <f t="shared" si="151"/>
        <v/>
      </c>
      <c r="E318" s="70" t="str">
        <f t="shared" si="152"/>
        <v/>
      </c>
      <c r="F318" s="70" t="str">
        <f t="shared" si="153"/>
        <v/>
      </c>
      <c r="G318" s="63" t="str">
        <f t="shared" si="154"/>
        <v/>
      </c>
      <c r="H318" s="64" t="str">
        <f t="shared" si="155"/>
        <v/>
      </c>
      <c r="I318" s="43"/>
      <c r="J318" s="63" t="str">
        <f t="shared" si="156"/>
        <v/>
      </c>
      <c r="K318" s="64" t="str">
        <f t="shared" si="157"/>
        <v/>
      </c>
      <c r="L318" s="63" t="str">
        <f t="shared" si="158"/>
        <v/>
      </c>
      <c r="M318" s="64" t="str">
        <f t="shared" si="159"/>
        <v/>
      </c>
      <c r="N318" s="65"/>
      <c r="O318" s="63" t="str">
        <f t="shared" si="160"/>
        <v/>
      </c>
      <c r="P318" s="63" t="str">
        <f t="shared" si="161"/>
        <v/>
      </c>
      <c r="Q318" s="66"/>
      <c r="R318" s="63" t="str">
        <f t="shared" si="162"/>
        <v/>
      </c>
      <c r="S318" s="64" t="str">
        <f t="shared" si="163"/>
        <v/>
      </c>
      <c r="T318" s="38">
        <v>0</v>
      </c>
      <c r="U318" s="64" t="str">
        <f t="shared" si="164"/>
        <v/>
      </c>
      <c r="V318" s="219" t="str">
        <f>IF($A319="","",IF(AND(MONTH(A318)&gt;3,MONTH(A318)&lt;11),(T318+R318+G318)*Summary!$T$11/(1-Summary!$T$11),(T318+R318+G318)*Summary!$U$11/(1-Summary!$U$11)))</f>
        <v/>
      </c>
      <c r="W318" s="43" t="str">
        <f t="shared" si="165"/>
        <v/>
      </c>
      <c r="X318" s="43" t="str">
        <f t="shared" si="166"/>
        <v/>
      </c>
      <c r="Y318" s="43"/>
      <c r="Z318" s="38" t="str">
        <f t="shared" si="167"/>
        <v/>
      </c>
      <c r="AA318" s="38" t="str">
        <f t="shared" si="168"/>
        <v/>
      </c>
      <c r="AB318" s="38" t="e">
        <f t="shared" si="169"/>
        <v>#VALUE!</v>
      </c>
      <c r="AC318" s="38" t="str">
        <f t="shared" si="170"/>
        <v/>
      </c>
      <c r="AD318" s="38" t="str">
        <f t="shared" si="170"/>
        <v/>
      </c>
      <c r="AE318" s="38" t="e">
        <f t="shared" si="171"/>
        <v>#VALUE!</v>
      </c>
      <c r="AF318" s="238" t="e">
        <f>((Summary!$N$11*(AA318*AD318)*(A318-$D$3))+(Summary!$M$11*Z318*AC318*(AJ318-EOMONTH(EDATE(A318,-1),0))))/(AK318*AB318*AE318)</f>
        <v>#VALUE!</v>
      </c>
      <c r="AG318" s="88" t="str">
        <f>IF($A319="","",Summary!$Q$11)</f>
        <v/>
      </c>
      <c r="AH318" s="88" t="str">
        <f>IF($A319="","",IF(Summary!$R$11="Y",(VLOOKUP($A318,Summary!$AD$6:$AF$9,3)+'Escalating commodity'!G331),'Escalating commodity'!G331))</f>
        <v/>
      </c>
      <c r="AI318" s="88" t="str">
        <f t="shared" si="186"/>
        <v/>
      </c>
      <c r="AJ318" s="236" t="e">
        <f t="shared" si="172"/>
        <v>#VALUE!</v>
      </c>
      <c r="AK318" s="58" t="str">
        <f t="shared" si="173"/>
        <v/>
      </c>
      <c r="AL318" s="26" t="str">
        <f>IF($A319="","",_xll.SPRDOPT(P318,X318,AI318,0,AB318,AE318,AF318,AK318,$AJ$2,0))</f>
        <v/>
      </c>
      <c r="AM318" s="209" t="str">
        <f t="shared" si="174"/>
        <v/>
      </c>
      <c r="AN318" s="89" t="str">
        <f t="shared" si="175"/>
        <v/>
      </c>
      <c r="AO318" s="3" t="str">
        <f t="shared" si="176"/>
        <v/>
      </c>
      <c r="AP318" s="33" t="str">
        <f t="shared" si="177"/>
        <v/>
      </c>
      <c r="AQ318" s="58" t="str">
        <f t="shared" si="178"/>
        <v/>
      </c>
      <c r="AR318" s="38">
        <f>'ANR OK vs ML7'!AR318</f>
        <v>0.1</v>
      </c>
      <c r="AS318" s="35" t="str">
        <f t="shared" si="179"/>
        <v/>
      </c>
      <c r="AT318" s="3" t="str">
        <f t="shared" si="180"/>
        <v/>
      </c>
      <c r="AU318" s="3" t="str">
        <f t="shared" si="181"/>
        <v/>
      </c>
      <c r="AW318" s="32" t="str">
        <f t="shared" si="182"/>
        <v/>
      </c>
      <c r="AX318" s="32" t="str">
        <f t="shared" si="183"/>
        <v/>
      </c>
      <c r="AY318" s="32" t="str">
        <f t="shared" si="184"/>
        <v/>
      </c>
      <c r="BA318" s="32" t="str">
        <f>IF($A319="","",F318*Summary!$Q$11)</f>
        <v/>
      </c>
    </row>
    <row r="319" spans="1:53" ht="12" customHeight="1">
      <c r="A319" s="67" t="str">
        <f t="shared" si="185"/>
        <v/>
      </c>
      <c r="B319" s="69" t="str">
        <f t="shared" si="187"/>
        <v/>
      </c>
      <c r="C319" s="71"/>
      <c r="D319" s="69" t="str">
        <f t="shared" si="151"/>
        <v/>
      </c>
      <c r="E319" s="70" t="str">
        <f t="shared" si="152"/>
        <v/>
      </c>
      <c r="F319" s="70" t="str">
        <f t="shared" si="153"/>
        <v/>
      </c>
      <c r="G319" s="63" t="str">
        <f t="shared" si="154"/>
        <v/>
      </c>
      <c r="H319" s="64" t="str">
        <f t="shared" si="155"/>
        <v/>
      </c>
      <c r="I319" s="43"/>
      <c r="J319" s="63" t="str">
        <f t="shared" si="156"/>
        <v/>
      </c>
      <c r="K319" s="64" t="str">
        <f t="shared" si="157"/>
        <v/>
      </c>
      <c r="L319" s="63" t="str">
        <f t="shared" si="158"/>
        <v/>
      </c>
      <c r="M319" s="64" t="str">
        <f t="shared" si="159"/>
        <v/>
      </c>
      <c r="N319" s="65"/>
      <c r="O319" s="63" t="str">
        <f t="shared" si="160"/>
        <v/>
      </c>
      <c r="P319" s="63" t="str">
        <f t="shared" si="161"/>
        <v/>
      </c>
      <c r="Q319" s="66"/>
      <c r="R319" s="63" t="str">
        <f t="shared" si="162"/>
        <v/>
      </c>
      <c r="S319" s="64" t="str">
        <f t="shared" si="163"/>
        <v/>
      </c>
      <c r="T319" s="38">
        <v>0</v>
      </c>
      <c r="U319" s="64" t="str">
        <f t="shared" si="164"/>
        <v/>
      </c>
      <c r="V319" s="219" t="str">
        <f>IF($A320="","",IF(AND(MONTH(A319)&gt;3,MONTH(A319)&lt;11),(T319+R319+G319)*Summary!$T$11/(1-Summary!$T$11),(T319+R319+G319)*Summary!$U$11/(1-Summary!$U$11)))</f>
        <v/>
      </c>
      <c r="W319" s="43" t="str">
        <f t="shared" si="165"/>
        <v/>
      </c>
      <c r="X319" s="43" t="str">
        <f t="shared" si="166"/>
        <v/>
      </c>
      <c r="Y319" s="43"/>
      <c r="Z319" s="38" t="str">
        <f t="shared" si="167"/>
        <v/>
      </c>
      <c r="AA319" s="38" t="str">
        <f t="shared" si="168"/>
        <v/>
      </c>
      <c r="AB319" s="38" t="e">
        <f t="shared" si="169"/>
        <v>#VALUE!</v>
      </c>
      <c r="AC319" s="38" t="str">
        <f t="shared" si="170"/>
        <v/>
      </c>
      <c r="AD319" s="38" t="str">
        <f t="shared" si="170"/>
        <v/>
      </c>
      <c r="AE319" s="38" t="e">
        <f t="shared" si="171"/>
        <v>#VALUE!</v>
      </c>
      <c r="AF319" s="238" t="e">
        <f>((Summary!$N$11*(AA319*AD319)*(A319-$D$3))+(Summary!$M$11*Z319*AC319*(AJ319-EOMONTH(EDATE(A319,-1),0))))/(AK319*AB319*AE319)</f>
        <v>#VALUE!</v>
      </c>
      <c r="AG319" s="88" t="str">
        <f>IF($A320="","",Summary!$Q$11)</f>
        <v/>
      </c>
      <c r="AH319" s="88" t="str">
        <f>IF($A320="","",IF(Summary!$R$11="Y",(VLOOKUP($A319,Summary!$AD$6:$AF$9,3)+'Escalating commodity'!G332),'Escalating commodity'!G332))</f>
        <v/>
      </c>
      <c r="AI319" s="88" t="str">
        <f t="shared" si="186"/>
        <v/>
      </c>
      <c r="AJ319" s="236" t="e">
        <f t="shared" si="172"/>
        <v>#VALUE!</v>
      </c>
      <c r="AK319" s="58" t="str">
        <f t="shared" si="173"/>
        <v/>
      </c>
      <c r="AL319" s="26" t="str">
        <f>IF($A320="","",_xll.SPRDOPT(P319,X319,AI319,0,AB319,AE319,AF319,AK319,$AJ$2,0))</f>
        <v/>
      </c>
      <c r="AM319" s="209" t="str">
        <f t="shared" si="174"/>
        <v/>
      </c>
      <c r="AN319" s="89" t="str">
        <f t="shared" si="175"/>
        <v/>
      </c>
      <c r="AO319" s="3" t="str">
        <f t="shared" si="176"/>
        <v/>
      </c>
      <c r="AP319" s="33" t="str">
        <f t="shared" si="177"/>
        <v/>
      </c>
      <c r="AQ319" s="58" t="str">
        <f t="shared" si="178"/>
        <v/>
      </c>
      <c r="AR319" s="38">
        <f>'ANR OK vs ML7'!AR319</f>
        <v>0.1</v>
      </c>
      <c r="AS319" s="35" t="str">
        <f t="shared" si="179"/>
        <v/>
      </c>
      <c r="AT319" s="3" t="str">
        <f t="shared" si="180"/>
        <v/>
      </c>
      <c r="AU319" s="3" t="str">
        <f t="shared" si="181"/>
        <v/>
      </c>
      <c r="AW319" s="32" t="str">
        <f t="shared" si="182"/>
        <v/>
      </c>
      <c r="AX319" s="32" t="str">
        <f t="shared" si="183"/>
        <v/>
      </c>
      <c r="AY319" s="32" t="str">
        <f t="shared" si="184"/>
        <v/>
      </c>
      <c r="BA319" s="32" t="str">
        <f>IF($A320="","",F319*Summary!$Q$11)</f>
        <v/>
      </c>
    </row>
    <row r="320" spans="1:53" ht="12" customHeight="1">
      <c r="A320" s="67" t="str">
        <f t="shared" si="185"/>
        <v/>
      </c>
      <c r="B320" s="69" t="str">
        <f t="shared" si="187"/>
        <v/>
      </c>
      <c r="C320" s="71"/>
      <c r="D320" s="69" t="str">
        <f t="shared" si="151"/>
        <v/>
      </c>
      <c r="E320" s="70" t="str">
        <f t="shared" si="152"/>
        <v/>
      </c>
      <c r="F320" s="70" t="str">
        <f t="shared" si="153"/>
        <v/>
      </c>
      <c r="G320" s="63" t="str">
        <f t="shared" si="154"/>
        <v/>
      </c>
      <c r="H320" s="64" t="str">
        <f t="shared" si="155"/>
        <v/>
      </c>
      <c r="I320" s="43"/>
      <c r="J320" s="63" t="str">
        <f t="shared" si="156"/>
        <v/>
      </c>
      <c r="K320" s="64" t="str">
        <f t="shared" si="157"/>
        <v/>
      </c>
      <c r="L320" s="63" t="str">
        <f t="shared" si="158"/>
        <v/>
      </c>
      <c r="M320" s="64" t="str">
        <f t="shared" si="159"/>
        <v/>
      </c>
      <c r="N320" s="65"/>
      <c r="O320" s="63" t="str">
        <f t="shared" si="160"/>
        <v/>
      </c>
      <c r="P320" s="63" t="str">
        <f t="shared" si="161"/>
        <v/>
      </c>
      <c r="Q320" s="66"/>
      <c r="R320" s="63" t="str">
        <f t="shared" si="162"/>
        <v/>
      </c>
      <c r="S320" s="64" t="str">
        <f t="shared" si="163"/>
        <v/>
      </c>
      <c r="T320" s="38">
        <v>0</v>
      </c>
      <c r="U320" s="64" t="str">
        <f t="shared" si="164"/>
        <v/>
      </c>
      <c r="V320" s="219" t="str">
        <f>IF($A321="","",IF(AND(MONTH(A320)&gt;3,MONTH(A320)&lt;11),(T320+R320+G320)*Summary!$T$11/(1-Summary!$T$11),(T320+R320+G320)*Summary!$U$11/(1-Summary!$U$11)))</f>
        <v/>
      </c>
      <c r="W320" s="43" t="str">
        <f t="shared" si="165"/>
        <v/>
      </c>
      <c r="X320" s="43" t="str">
        <f t="shared" si="166"/>
        <v/>
      </c>
      <c r="Y320" s="43"/>
      <c r="Z320" s="38" t="str">
        <f t="shared" si="167"/>
        <v/>
      </c>
      <c r="AA320" s="38" t="str">
        <f t="shared" si="168"/>
        <v/>
      </c>
      <c r="AB320" s="38" t="e">
        <f t="shared" si="169"/>
        <v>#VALUE!</v>
      </c>
      <c r="AC320" s="38" t="str">
        <f t="shared" si="170"/>
        <v/>
      </c>
      <c r="AD320" s="38" t="str">
        <f t="shared" si="170"/>
        <v/>
      </c>
      <c r="AE320" s="38" t="e">
        <f t="shared" si="171"/>
        <v>#VALUE!</v>
      </c>
      <c r="AF320" s="238" t="e">
        <f>((Summary!$N$11*(AA320*AD320)*(A320-$D$3))+(Summary!$M$11*Z320*AC320*(AJ320-EOMONTH(EDATE(A320,-1),0))))/(AK320*AB320*AE320)</f>
        <v>#VALUE!</v>
      </c>
      <c r="AG320" s="88" t="str">
        <f>IF($A321="","",Summary!$Q$11)</f>
        <v/>
      </c>
      <c r="AH320" s="88" t="str">
        <f>IF($A321="","",IF(Summary!$R$11="Y",(VLOOKUP($A320,Summary!$AD$6:$AF$9,3)+'Escalating commodity'!G333),'Escalating commodity'!G333))</f>
        <v/>
      </c>
      <c r="AI320" s="88" t="str">
        <f t="shared" si="186"/>
        <v/>
      </c>
      <c r="AJ320" s="236" t="e">
        <f t="shared" si="172"/>
        <v>#VALUE!</v>
      </c>
      <c r="AK320" s="58" t="str">
        <f t="shared" si="173"/>
        <v/>
      </c>
      <c r="AL320" s="26" t="str">
        <f>IF($A321="","",_xll.SPRDOPT(P320,X320,AI320,0,AB320,AE320,AF320,AK320,$AJ$2,0))</f>
        <v/>
      </c>
      <c r="AM320" s="209" t="str">
        <f t="shared" si="174"/>
        <v/>
      </c>
      <c r="AN320" s="89" t="str">
        <f t="shared" si="175"/>
        <v/>
      </c>
      <c r="AO320" s="3" t="str">
        <f t="shared" si="176"/>
        <v/>
      </c>
      <c r="AP320" s="33" t="str">
        <f t="shared" si="177"/>
        <v/>
      </c>
      <c r="AQ320" s="58" t="str">
        <f t="shared" si="178"/>
        <v/>
      </c>
      <c r="AR320" s="38">
        <f>'ANR OK vs ML7'!AR320</f>
        <v>0.1</v>
      </c>
      <c r="AS320" s="35" t="str">
        <f t="shared" si="179"/>
        <v/>
      </c>
      <c r="AT320" s="3" t="str">
        <f t="shared" si="180"/>
        <v/>
      </c>
      <c r="AU320" s="3" t="str">
        <f t="shared" si="181"/>
        <v/>
      </c>
      <c r="AW320" s="32" t="str">
        <f t="shared" si="182"/>
        <v/>
      </c>
      <c r="AX320" s="32" t="str">
        <f t="shared" si="183"/>
        <v/>
      </c>
      <c r="AY320" s="32" t="str">
        <f t="shared" si="184"/>
        <v/>
      </c>
      <c r="BA320" s="32" t="str">
        <f>IF($A321="","",F320*Summary!$Q$11)</f>
        <v/>
      </c>
    </row>
    <row r="321" spans="1:53" ht="12" customHeight="1">
      <c r="A321" s="67" t="str">
        <f t="shared" si="185"/>
        <v/>
      </c>
      <c r="B321" s="69" t="str">
        <f t="shared" si="187"/>
        <v/>
      </c>
      <c r="C321" s="71"/>
      <c r="D321" s="69" t="str">
        <f t="shared" si="151"/>
        <v/>
      </c>
      <c r="E321" s="70" t="str">
        <f t="shared" si="152"/>
        <v/>
      </c>
      <c r="F321" s="70" t="str">
        <f t="shared" si="153"/>
        <v/>
      </c>
      <c r="G321" s="63" t="str">
        <f t="shared" si="154"/>
        <v/>
      </c>
      <c r="H321" s="64" t="str">
        <f t="shared" si="155"/>
        <v/>
      </c>
      <c r="I321" s="43"/>
      <c r="J321" s="63" t="str">
        <f t="shared" si="156"/>
        <v/>
      </c>
      <c r="K321" s="64" t="str">
        <f t="shared" si="157"/>
        <v/>
      </c>
      <c r="L321" s="63" t="str">
        <f t="shared" si="158"/>
        <v/>
      </c>
      <c r="M321" s="64" t="str">
        <f t="shared" si="159"/>
        <v/>
      </c>
      <c r="N321" s="65"/>
      <c r="O321" s="63" t="str">
        <f t="shared" si="160"/>
        <v/>
      </c>
      <c r="P321" s="63" t="str">
        <f t="shared" si="161"/>
        <v/>
      </c>
      <c r="Q321" s="66"/>
      <c r="R321" s="63" t="str">
        <f t="shared" si="162"/>
        <v/>
      </c>
      <c r="S321" s="64" t="str">
        <f t="shared" si="163"/>
        <v/>
      </c>
      <c r="T321" s="38">
        <v>0</v>
      </c>
      <c r="U321" s="64" t="str">
        <f t="shared" si="164"/>
        <v/>
      </c>
      <c r="V321" s="219" t="str">
        <f>IF($A322="","",IF(AND(MONTH(A321)&gt;3,MONTH(A321)&lt;11),(T321+R321+G321)*Summary!$T$11/(1-Summary!$T$11),(T321+R321+G321)*Summary!$U$11/(1-Summary!$U$11)))</f>
        <v/>
      </c>
      <c r="W321" s="43" t="str">
        <f t="shared" si="165"/>
        <v/>
      </c>
      <c r="X321" s="43" t="str">
        <f t="shared" si="166"/>
        <v/>
      </c>
      <c r="Y321" s="43"/>
      <c r="Z321" s="38" t="str">
        <f t="shared" si="167"/>
        <v/>
      </c>
      <c r="AA321" s="38" t="str">
        <f t="shared" si="168"/>
        <v/>
      </c>
      <c r="AB321" s="38" t="e">
        <f t="shared" si="169"/>
        <v>#VALUE!</v>
      </c>
      <c r="AC321" s="38" t="str">
        <f t="shared" si="170"/>
        <v/>
      </c>
      <c r="AD321" s="38" t="str">
        <f t="shared" si="170"/>
        <v/>
      </c>
      <c r="AE321" s="38" t="e">
        <f t="shared" si="171"/>
        <v>#VALUE!</v>
      </c>
      <c r="AF321" s="238" t="e">
        <f>((Summary!$N$11*(AA321*AD321)*(A321-$D$3))+(Summary!$M$11*Z321*AC321*(AJ321-EOMONTH(EDATE(A321,-1),0))))/(AK321*AB321*AE321)</f>
        <v>#VALUE!</v>
      </c>
      <c r="AG321" s="88" t="str">
        <f>IF($A322="","",Summary!$Q$11)</f>
        <v/>
      </c>
      <c r="AH321" s="88" t="str">
        <f>IF($A322="","",IF(Summary!$R$11="Y",(VLOOKUP($A321,Summary!$AD$6:$AF$9,3)+'Escalating commodity'!G334),'Escalating commodity'!G334))</f>
        <v/>
      </c>
      <c r="AI321" s="88" t="str">
        <f t="shared" si="186"/>
        <v/>
      </c>
      <c r="AJ321" s="236" t="e">
        <f t="shared" si="172"/>
        <v>#VALUE!</v>
      </c>
      <c r="AK321" s="58" t="str">
        <f t="shared" si="173"/>
        <v/>
      </c>
      <c r="AL321" s="26" t="str">
        <f>IF($A322="","",_xll.SPRDOPT(P321,X321,AI321,0,AB321,AE321,AF321,AK321,$AJ$2,0))</f>
        <v/>
      </c>
      <c r="AM321" s="209" t="str">
        <f t="shared" si="174"/>
        <v/>
      </c>
      <c r="AN321" s="89" t="str">
        <f t="shared" si="175"/>
        <v/>
      </c>
      <c r="AO321" s="3" t="str">
        <f t="shared" si="176"/>
        <v/>
      </c>
      <c r="AP321" s="33" t="str">
        <f t="shared" si="177"/>
        <v/>
      </c>
      <c r="AQ321" s="58" t="str">
        <f t="shared" si="178"/>
        <v/>
      </c>
      <c r="AR321" s="38">
        <f>'ANR OK vs ML7'!AR321</f>
        <v>0.1</v>
      </c>
      <c r="AS321" s="35" t="str">
        <f t="shared" si="179"/>
        <v/>
      </c>
      <c r="AT321" s="3" t="str">
        <f t="shared" si="180"/>
        <v/>
      </c>
      <c r="AU321" s="3" t="str">
        <f t="shared" si="181"/>
        <v/>
      </c>
      <c r="AW321" s="32" t="str">
        <f t="shared" si="182"/>
        <v/>
      </c>
      <c r="AX321" s="32" t="str">
        <f t="shared" si="183"/>
        <v/>
      </c>
      <c r="AY321" s="32" t="str">
        <f t="shared" si="184"/>
        <v/>
      </c>
      <c r="BA321" s="32" t="str">
        <f>IF($A322="","",F321*Summary!$Q$11)</f>
        <v/>
      </c>
    </row>
    <row r="322" spans="1:53" ht="12" customHeight="1">
      <c r="A322" s="67" t="str">
        <f t="shared" si="185"/>
        <v/>
      </c>
      <c r="B322" s="69" t="str">
        <f t="shared" si="187"/>
        <v/>
      </c>
      <c r="C322" s="71"/>
      <c r="D322" s="69" t="str">
        <f t="shared" si="151"/>
        <v/>
      </c>
      <c r="E322" s="70" t="str">
        <f t="shared" si="152"/>
        <v/>
      </c>
      <c r="F322" s="70" t="str">
        <f t="shared" si="153"/>
        <v/>
      </c>
      <c r="G322" s="63" t="str">
        <f t="shared" si="154"/>
        <v/>
      </c>
      <c r="H322" s="64" t="str">
        <f t="shared" si="155"/>
        <v/>
      </c>
      <c r="I322" s="43"/>
      <c r="J322" s="63" t="str">
        <f t="shared" si="156"/>
        <v/>
      </c>
      <c r="K322" s="64" t="str">
        <f t="shared" si="157"/>
        <v/>
      </c>
      <c r="L322" s="63" t="str">
        <f t="shared" si="158"/>
        <v/>
      </c>
      <c r="M322" s="64" t="str">
        <f t="shared" si="159"/>
        <v/>
      </c>
      <c r="N322" s="65"/>
      <c r="O322" s="63" t="str">
        <f t="shared" si="160"/>
        <v/>
      </c>
      <c r="P322" s="63" t="str">
        <f t="shared" si="161"/>
        <v/>
      </c>
      <c r="Q322" s="66"/>
      <c r="R322" s="63" t="str">
        <f t="shared" si="162"/>
        <v/>
      </c>
      <c r="S322" s="64" t="str">
        <f t="shared" si="163"/>
        <v/>
      </c>
      <c r="T322" s="38">
        <v>0</v>
      </c>
      <c r="U322" s="64" t="str">
        <f t="shared" si="164"/>
        <v/>
      </c>
      <c r="V322" s="219" t="str">
        <f>IF($A323="","",IF(AND(MONTH(A322)&gt;3,MONTH(A322)&lt;11),(T322+R322+G322)*Summary!$T$11/(1-Summary!$T$11),(T322+R322+G322)*Summary!$U$11/(1-Summary!$U$11)))</f>
        <v/>
      </c>
      <c r="W322" s="43" t="str">
        <f t="shared" si="165"/>
        <v/>
      </c>
      <c r="X322" s="43" t="str">
        <f t="shared" si="166"/>
        <v/>
      </c>
      <c r="Y322" s="43"/>
      <c r="Z322" s="38" t="str">
        <f t="shared" si="167"/>
        <v/>
      </c>
      <c r="AA322" s="38" t="str">
        <f t="shared" si="168"/>
        <v/>
      </c>
      <c r="AB322" s="38" t="e">
        <f t="shared" si="169"/>
        <v>#VALUE!</v>
      </c>
      <c r="AC322" s="38" t="str">
        <f t="shared" si="170"/>
        <v/>
      </c>
      <c r="AD322" s="38" t="str">
        <f t="shared" si="170"/>
        <v/>
      </c>
      <c r="AE322" s="38" t="e">
        <f t="shared" si="171"/>
        <v>#VALUE!</v>
      </c>
      <c r="AF322" s="238" t="e">
        <f>((Summary!$N$11*(AA322*AD322)*(A322-$D$3))+(Summary!$M$11*Z322*AC322*(AJ322-EOMONTH(EDATE(A322,-1),0))))/(AK322*AB322*AE322)</f>
        <v>#VALUE!</v>
      </c>
      <c r="AG322" s="88" t="str">
        <f>IF($A323="","",Summary!$Q$11)</f>
        <v/>
      </c>
      <c r="AH322" s="88" t="str">
        <f>IF($A323="","",IF(Summary!$R$11="Y",(VLOOKUP($A322,Summary!$AD$6:$AF$9,3)+'Escalating commodity'!G335),'Escalating commodity'!G335))</f>
        <v/>
      </c>
      <c r="AI322" s="88" t="str">
        <f t="shared" si="186"/>
        <v/>
      </c>
      <c r="AJ322" s="236" t="e">
        <f t="shared" si="172"/>
        <v>#VALUE!</v>
      </c>
      <c r="AK322" s="58" t="str">
        <f t="shared" si="173"/>
        <v/>
      </c>
      <c r="AL322" s="26" t="str">
        <f>IF($A323="","",_xll.SPRDOPT(P322,X322,AI322,0,AB322,AE322,AF322,AK322,$AJ$2,0))</f>
        <v/>
      </c>
      <c r="AM322" s="209" t="str">
        <f t="shared" si="174"/>
        <v/>
      </c>
      <c r="AN322" s="89" t="str">
        <f t="shared" si="175"/>
        <v/>
      </c>
      <c r="AO322" s="3" t="str">
        <f t="shared" si="176"/>
        <v/>
      </c>
      <c r="AP322" s="33" t="str">
        <f t="shared" si="177"/>
        <v/>
      </c>
      <c r="AQ322" s="58" t="str">
        <f t="shared" si="178"/>
        <v/>
      </c>
      <c r="AR322" s="38">
        <f>'ANR OK vs ML7'!AR322</f>
        <v>0.1</v>
      </c>
      <c r="AS322" s="35" t="str">
        <f t="shared" si="179"/>
        <v/>
      </c>
      <c r="AT322" s="3" t="str">
        <f t="shared" si="180"/>
        <v/>
      </c>
      <c r="AU322" s="3" t="str">
        <f t="shared" si="181"/>
        <v/>
      </c>
      <c r="AW322" s="32" t="str">
        <f t="shared" si="182"/>
        <v/>
      </c>
      <c r="AX322" s="32" t="str">
        <f t="shared" si="183"/>
        <v/>
      </c>
      <c r="AY322" s="32" t="str">
        <f t="shared" si="184"/>
        <v/>
      </c>
      <c r="BA322" s="32" t="str">
        <f>IF($A323="","",F322*Summary!$Q$11)</f>
        <v/>
      </c>
    </row>
    <row r="323" spans="1:53" ht="12" customHeight="1">
      <c r="A323" s="67" t="str">
        <f t="shared" si="185"/>
        <v/>
      </c>
      <c r="B323" s="69" t="str">
        <f t="shared" si="187"/>
        <v/>
      </c>
      <c r="C323" s="71"/>
      <c r="D323" s="69" t="str">
        <f t="shared" si="151"/>
        <v/>
      </c>
      <c r="E323" s="70" t="str">
        <f t="shared" si="152"/>
        <v/>
      </c>
      <c r="F323" s="70" t="str">
        <f t="shared" si="153"/>
        <v/>
      </c>
      <c r="G323" s="63" t="str">
        <f t="shared" si="154"/>
        <v/>
      </c>
      <c r="H323" s="64" t="str">
        <f t="shared" si="155"/>
        <v/>
      </c>
      <c r="I323" s="43"/>
      <c r="J323" s="63" t="str">
        <f t="shared" si="156"/>
        <v/>
      </c>
      <c r="K323" s="64" t="str">
        <f t="shared" si="157"/>
        <v/>
      </c>
      <c r="L323" s="63" t="str">
        <f t="shared" si="158"/>
        <v/>
      </c>
      <c r="M323" s="64" t="str">
        <f t="shared" si="159"/>
        <v/>
      </c>
      <c r="N323" s="65"/>
      <c r="O323" s="63" t="str">
        <f t="shared" si="160"/>
        <v/>
      </c>
      <c r="P323" s="63" t="str">
        <f t="shared" si="161"/>
        <v/>
      </c>
      <c r="Q323" s="66"/>
      <c r="R323" s="63" t="str">
        <f t="shared" si="162"/>
        <v/>
      </c>
      <c r="S323" s="64" t="str">
        <f t="shared" si="163"/>
        <v/>
      </c>
      <c r="T323" s="38">
        <v>0</v>
      </c>
      <c r="U323" s="64" t="str">
        <f t="shared" si="164"/>
        <v/>
      </c>
      <c r="V323" s="219" t="str">
        <f>IF($A324="","",IF(AND(MONTH(A323)&gt;3,MONTH(A323)&lt;11),(T323+R323+G323)*Summary!$T$11/(1-Summary!$T$11),(T323+R323+G323)*Summary!$U$11/(1-Summary!$U$11)))</f>
        <v/>
      </c>
      <c r="W323" s="43" t="str">
        <f t="shared" si="165"/>
        <v/>
      </c>
      <c r="X323" s="43" t="str">
        <f t="shared" si="166"/>
        <v/>
      </c>
      <c r="Y323" s="43"/>
      <c r="Z323" s="38" t="str">
        <f t="shared" si="167"/>
        <v/>
      </c>
      <c r="AA323" s="38" t="str">
        <f t="shared" si="168"/>
        <v/>
      </c>
      <c r="AB323" s="38" t="e">
        <f t="shared" si="169"/>
        <v>#VALUE!</v>
      </c>
      <c r="AC323" s="38" t="str">
        <f t="shared" si="170"/>
        <v/>
      </c>
      <c r="AD323" s="38" t="str">
        <f t="shared" si="170"/>
        <v/>
      </c>
      <c r="AE323" s="38" t="e">
        <f t="shared" si="171"/>
        <v>#VALUE!</v>
      </c>
      <c r="AF323" s="238" t="e">
        <f>((Summary!$N$11*(AA323*AD323)*(A323-$D$3))+(Summary!$M$11*Z323*AC323*(AJ323-EOMONTH(EDATE(A323,-1),0))))/(AK323*AB323*AE323)</f>
        <v>#VALUE!</v>
      </c>
      <c r="AG323" s="88" t="str">
        <f>IF($A324="","",Summary!$Q$11)</f>
        <v/>
      </c>
      <c r="AH323" s="88" t="str">
        <f>IF($A324="","",IF(Summary!$R$11="Y",(VLOOKUP($A323,Summary!$AD$6:$AF$9,3)+'Escalating commodity'!G336),'Escalating commodity'!G336))</f>
        <v/>
      </c>
      <c r="AI323" s="88" t="str">
        <f t="shared" si="186"/>
        <v/>
      </c>
      <c r="AJ323" s="236" t="e">
        <f t="shared" si="172"/>
        <v>#VALUE!</v>
      </c>
      <c r="AK323" s="58" t="str">
        <f t="shared" si="173"/>
        <v/>
      </c>
      <c r="AL323" s="26" t="str">
        <f>IF($A324="","",_xll.SPRDOPT(P323,X323,AI323,0,AB323,AE323,AF323,AK323,$AJ$2,0))</f>
        <v/>
      </c>
      <c r="AM323" s="209" t="str">
        <f t="shared" si="174"/>
        <v/>
      </c>
      <c r="AN323" s="89" t="str">
        <f t="shared" si="175"/>
        <v/>
      </c>
      <c r="AO323" s="3" t="str">
        <f t="shared" si="176"/>
        <v/>
      </c>
      <c r="AP323" s="33" t="str">
        <f t="shared" si="177"/>
        <v/>
      </c>
      <c r="AQ323" s="58" t="str">
        <f t="shared" si="178"/>
        <v/>
      </c>
      <c r="AR323" s="38">
        <f>'ANR OK vs ML7'!AR323</f>
        <v>0.1</v>
      </c>
      <c r="AS323" s="35" t="str">
        <f t="shared" si="179"/>
        <v/>
      </c>
      <c r="AT323" s="3" t="str">
        <f t="shared" si="180"/>
        <v/>
      </c>
      <c r="AU323" s="3" t="str">
        <f t="shared" si="181"/>
        <v/>
      </c>
      <c r="AW323" s="32" t="str">
        <f t="shared" si="182"/>
        <v/>
      </c>
      <c r="AX323" s="32" t="str">
        <f t="shared" si="183"/>
        <v/>
      </c>
      <c r="AY323" s="32" t="str">
        <f t="shared" si="184"/>
        <v/>
      </c>
      <c r="BA323" s="32" t="str">
        <f>IF($A324="","",F323*Summary!$Q$11)</f>
        <v/>
      </c>
    </row>
    <row r="324" spans="1:53" ht="12" customHeight="1">
      <c r="A324" s="67" t="str">
        <f t="shared" si="185"/>
        <v/>
      </c>
      <c r="B324" s="69" t="str">
        <f t="shared" si="187"/>
        <v/>
      </c>
      <c r="C324" s="71"/>
      <c r="D324" s="69" t="str">
        <f t="shared" si="151"/>
        <v/>
      </c>
      <c r="E324" s="70" t="str">
        <f t="shared" si="152"/>
        <v/>
      </c>
      <c r="F324" s="70" t="str">
        <f t="shared" si="153"/>
        <v/>
      </c>
      <c r="G324" s="63" t="str">
        <f t="shared" si="154"/>
        <v/>
      </c>
      <c r="H324" s="64" t="str">
        <f t="shared" si="155"/>
        <v/>
      </c>
      <c r="I324" s="43"/>
      <c r="J324" s="63" t="str">
        <f t="shared" si="156"/>
        <v/>
      </c>
      <c r="K324" s="64" t="str">
        <f t="shared" si="157"/>
        <v/>
      </c>
      <c r="L324" s="63" t="str">
        <f t="shared" si="158"/>
        <v/>
      </c>
      <c r="M324" s="64" t="str">
        <f t="shared" si="159"/>
        <v/>
      </c>
      <c r="N324" s="65"/>
      <c r="O324" s="63" t="str">
        <f t="shared" si="160"/>
        <v/>
      </c>
      <c r="P324" s="63" t="str">
        <f t="shared" si="161"/>
        <v/>
      </c>
      <c r="Q324" s="66"/>
      <c r="R324" s="63" t="str">
        <f t="shared" si="162"/>
        <v/>
      </c>
      <c r="S324" s="64" t="str">
        <f t="shared" si="163"/>
        <v/>
      </c>
      <c r="T324" s="38">
        <v>0</v>
      </c>
      <c r="U324" s="64" t="str">
        <f t="shared" si="164"/>
        <v/>
      </c>
      <c r="V324" s="219" t="str">
        <f>IF($A325="","",IF(AND(MONTH(A324)&gt;3,MONTH(A324)&lt;11),(T324+R324+G324)*Summary!$T$11/(1-Summary!$T$11),(T324+R324+G324)*Summary!$U$11/(1-Summary!$U$11)))</f>
        <v/>
      </c>
      <c r="W324" s="43" t="str">
        <f t="shared" si="165"/>
        <v/>
      </c>
      <c r="X324" s="43" t="str">
        <f t="shared" si="166"/>
        <v/>
      </c>
      <c r="Y324" s="43"/>
      <c r="Z324" s="38" t="str">
        <f t="shared" si="167"/>
        <v/>
      </c>
      <c r="AA324" s="38" t="str">
        <f t="shared" si="168"/>
        <v/>
      </c>
      <c r="AB324" s="38" t="e">
        <f t="shared" si="169"/>
        <v>#VALUE!</v>
      </c>
      <c r="AC324" s="38" t="str">
        <f t="shared" si="170"/>
        <v/>
      </c>
      <c r="AD324" s="38" t="str">
        <f t="shared" si="170"/>
        <v/>
      </c>
      <c r="AE324" s="38" t="e">
        <f t="shared" si="171"/>
        <v>#VALUE!</v>
      </c>
      <c r="AF324" s="238" t="e">
        <f>((Summary!$N$11*(AA324*AD324)*(A324-$D$3))+(Summary!$M$11*Z324*AC324*(AJ324-EOMONTH(EDATE(A324,-1),0))))/(AK324*AB324*AE324)</f>
        <v>#VALUE!</v>
      </c>
      <c r="AG324" s="88" t="str">
        <f>IF($A325="","",Summary!$Q$11)</f>
        <v/>
      </c>
      <c r="AH324" s="88" t="str">
        <f>IF($A325="","",IF(Summary!$R$11="Y",(VLOOKUP($A324,Summary!$AD$6:$AF$9,3)+'Escalating commodity'!G337),'Escalating commodity'!G337))</f>
        <v/>
      </c>
      <c r="AI324" s="88" t="str">
        <f t="shared" si="186"/>
        <v/>
      </c>
      <c r="AJ324" s="236" t="e">
        <f t="shared" si="172"/>
        <v>#VALUE!</v>
      </c>
      <c r="AK324" s="58" t="str">
        <f t="shared" si="173"/>
        <v/>
      </c>
      <c r="AL324" s="26" t="str">
        <f>IF($A325="","",_xll.SPRDOPT(P324,X324,AI324,0,AB324,AE324,AF324,AK324,$AJ$2,0))</f>
        <v/>
      </c>
      <c r="AM324" s="209" t="str">
        <f t="shared" si="174"/>
        <v/>
      </c>
      <c r="AN324" s="89" t="str">
        <f t="shared" si="175"/>
        <v/>
      </c>
      <c r="AO324" s="3" t="str">
        <f t="shared" si="176"/>
        <v/>
      </c>
      <c r="AP324" s="33" t="str">
        <f t="shared" si="177"/>
        <v/>
      </c>
      <c r="AQ324" s="58" t="str">
        <f t="shared" si="178"/>
        <v/>
      </c>
      <c r="AR324" s="38">
        <f>'ANR OK vs ML7'!AR324</f>
        <v>0.1</v>
      </c>
      <c r="AS324" s="35" t="str">
        <f t="shared" si="179"/>
        <v/>
      </c>
      <c r="AT324" s="3" t="str">
        <f t="shared" si="180"/>
        <v/>
      </c>
      <c r="AU324" s="3" t="str">
        <f t="shared" si="181"/>
        <v/>
      </c>
      <c r="AW324" s="32" t="str">
        <f t="shared" si="182"/>
        <v/>
      </c>
      <c r="AX324" s="32" t="str">
        <f t="shared" si="183"/>
        <v/>
      </c>
      <c r="AY324" s="32" t="str">
        <f t="shared" si="184"/>
        <v/>
      </c>
      <c r="BA324" s="32" t="str">
        <f>IF($A325="","",F324*Summary!$Q$11)</f>
        <v/>
      </c>
    </row>
    <row r="325" spans="1:53" ht="12" customHeight="1">
      <c r="A325" s="67" t="str">
        <f t="shared" si="185"/>
        <v/>
      </c>
      <c r="B325" s="69" t="str">
        <f t="shared" si="187"/>
        <v/>
      </c>
      <c r="C325" s="71"/>
      <c r="D325" s="69" t="str">
        <f t="shared" si="151"/>
        <v/>
      </c>
      <c r="E325" s="70" t="str">
        <f t="shared" si="152"/>
        <v/>
      </c>
      <c r="F325" s="70" t="str">
        <f t="shared" si="153"/>
        <v/>
      </c>
      <c r="G325" s="63" t="str">
        <f t="shared" si="154"/>
        <v/>
      </c>
      <c r="H325" s="64" t="str">
        <f t="shared" si="155"/>
        <v/>
      </c>
      <c r="I325" s="43"/>
      <c r="J325" s="63" t="str">
        <f t="shared" si="156"/>
        <v/>
      </c>
      <c r="K325" s="64" t="str">
        <f t="shared" si="157"/>
        <v/>
      </c>
      <c r="L325" s="63" t="str">
        <f t="shared" si="158"/>
        <v/>
      </c>
      <c r="M325" s="64" t="str">
        <f t="shared" si="159"/>
        <v/>
      </c>
      <c r="N325" s="65"/>
      <c r="O325" s="63" t="str">
        <f t="shared" si="160"/>
        <v/>
      </c>
      <c r="P325" s="63" t="str">
        <f t="shared" si="161"/>
        <v/>
      </c>
      <c r="Q325" s="66"/>
      <c r="R325" s="63" t="str">
        <f t="shared" si="162"/>
        <v/>
      </c>
      <c r="S325" s="64" t="str">
        <f t="shared" si="163"/>
        <v/>
      </c>
      <c r="T325" s="38">
        <v>0</v>
      </c>
      <c r="U325" s="64" t="str">
        <f t="shared" si="164"/>
        <v/>
      </c>
      <c r="V325" s="219" t="str">
        <f>IF($A326="","",IF(AND(MONTH(A325)&gt;3,MONTH(A325)&lt;11),(T325+R325+G325)*Summary!$T$11/(1-Summary!$T$11),(T325+R325+G325)*Summary!$U$11/(1-Summary!$U$11)))</f>
        <v/>
      </c>
      <c r="W325" s="43" t="str">
        <f t="shared" si="165"/>
        <v/>
      </c>
      <c r="X325" s="43" t="str">
        <f t="shared" si="166"/>
        <v/>
      </c>
      <c r="Y325" s="43"/>
      <c r="Z325" s="38" t="str">
        <f t="shared" si="167"/>
        <v/>
      </c>
      <c r="AA325" s="38" t="str">
        <f t="shared" si="168"/>
        <v/>
      </c>
      <c r="AB325" s="38" t="e">
        <f t="shared" si="169"/>
        <v>#VALUE!</v>
      </c>
      <c r="AC325" s="38" t="str">
        <f t="shared" si="170"/>
        <v/>
      </c>
      <c r="AD325" s="38" t="str">
        <f t="shared" si="170"/>
        <v/>
      </c>
      <c r="AE325" s="38" t="e">
        <f t="shared" si="171"/>
        <v>#VALUE!</v>
      </c>
      <c r="AF325" s="238" t="e">
        <f>((Summary!$N$11*(AA325*AD325)*(A325-$D$3))+(Summary!$M$11*Z325*AC325*(AJ325-EOMONTH(EDATE(A325,-1),0))))/(AK325*AB325*AE325)</f>
        <v>#VALUE!</v>
      </c>
      <c r="AG325" s="88" t="str">
        <f>IF($A326="","",Summary!$Q$11)</f>
        <v/>
      </c>
      <c r="AH325" s="88" t="str">
        <f>IF($A326="","",IF(Summary!$R$11="Y",(VLOOKUP($A325,Summary!$AD$6:$AF$9,3)+'Escalating commodity'!G338),'Escalating commodity'!G338))</f>
        <v/>
      </c>
      <c r="AI325" s="88" t="str">
        <f t="shared" si="186"/>
        <v/>
      </c>
      <c r="AJ325" s="236" t="e">
        <f t="shared" si="172"/>
        <v>#VALUE!</v>
      </c>
      <c r="AK325" s="58" t="str">
        <f t="shared" si="173"/>
        <v/>
      </c>
      <c r="AL325" s="26" t="str">
        <f>IF($A326="","",_xll.SPRDOPT(P325,X325,AI325,0,AB325,AE325,AF325,AK325,$AJ$2,0))</f>
        <v/>
      </c>
      <c r="AM325" s="209" t="str">
        <f t="shared" si="174"/>
        <v/>
      </c>
      <c r="AN325" s="89" t="str">
        <f t="shared" si="175"/>
        <v/>
      </c>
      <c r="AO325" s="3" t="str">
        <f t="shared" si="176"/>
        <v/>
      </c>
      <c r="AP325" s="33" t="str">
        <f t="shared" si="177"/>
        <v/>
      </c>
      <c r="AQ325" s="58" t="str">
        <f t="shared" si="178"/>
        <v/>
      </c>
      <c r="AR325" s="38">
        <f>'ANR OK vs ML7'!AR325</f>
        <v>0.1</v>
      </c>
      <c r="AS325" s="35" t="str">
        <f t="shared" si="179"/>
        <v/>
      </c>
      <c r="AT325" s="3" t="str">
        <f t="shared" si="180"/>
        <v/>
      </c>
      <c r="AU325" s="3" t="str">
        <f t="shared" si="181"/>
        <v/>
      </c>
      <c r="AW325" s="32" t="str">
        <f t="shared" si="182"/>
        <v/>
      </c>
      <c r="AX325" s="32" t="str">
        <f t="shared" si="183"/>
        <v/>
      </c>
      <c r="AY325" s="32" t="str">
        <f t="shared" si="184"/>
        <v/>
      </c>
      <c r="BA325" s="32" t="str">
        <f>IF($A326="","",F325*Summary!$Q$11)</f>
        <v/>
      </c>
    </row>
    <row r="326" spans="1:53" ht="12" customHeight="1">
      <c r="A326" s="67" t="str">
        <f t="shared" si="185"/>
        <v/>
      </c>
      <c r="B326" s="69" t="str">
        <f t="shared" si="187"/>
        <v/>
      </c>
      <c r="C326" s="71"/>
      <c r="D326" s="69" t="str">
        <f t="shared" si="151"/>
        <v/>
      </c>
      <c r="E326" s="70" t="str">
        <f t="shared" si="152"/>
        <v/>
      </c>
      <c r="F326" s="70" t="str">
        <f t="shared" si="153"/>
        <v/>
      </c>
      <c r="G326" s="63" t="str">
        <f t="shared" si="154"/>
        <v/>
      </c>
      <c r="H326" s="64" t="str">
        <f t="shared" si="155"/>
        <v/>
      </c>
      <c r="I326" s="43"/>
      <c r="J326" s="63" t="str">
        <f t="shared" si="156"/>
        <v/>
      </c>
      <c r="K326" s="64" t="str">
        <f t="shared" si="157"/>
        <v/>
      </c>
      <c r="L326" s="63" t="str">
        <f t="shared" si="158"/>
        <v/>
      </c>
      <c r="M326" s="64" t="str">
        <f t="shared" si="159"/>
        <v/>
      </c>
      <c r="N326" s="65"/>
      <c r="O326" s="63" t="str">
        <f t="shared" si="160"/>
        <v/>
      </c>
      <c r="P326" s="63" t="str">
        <f t="shared" si="161"/>
        <v/>
      </c>
      <c r="Q326" s="66"/>
      <c r="R326" s="63" t="str">
        <f t="shared" si="162"/>
        <v/>
      </c>
      <c r="S326" s="64" t="str">
        <f t="shared" si="163"/>
        <v/>
      </c>
      <c r="T326" s="38">
        <v>0</v>
      </c>
      <c r="U326" s="64" t="str">
        <f t="shared" si="164"/>
        <v/>
      </c>
      <c r="V326" s="219" t="str">
        <f>IF($A327="","",IF(AND(MONTH(A326)&gt;3,MONTH(A326)&lt;11),(T326+R326+G326)*Summary!$T$11/(1-Summary!$T$11),(T326+R326+G326)*Summary!$U$11/(1-Summary!$U$11)))</f>
        <v/>
      </c>
      <c r="W326" s="43" t="str">
        <f t="shared" si="165"/>
        <v/>
      </c>
      <c r="X326" s="43" t="str">
        <f t="shared" si="166"/>
        <v/>
      </c>
      <c r="Y326" s="43"/>
      <c r="Z326" s="38" t="str">
        <f t="shared" si="167"/>
        <v/>
      </c>
      <c r="AA326" s="38" t="str">
        <f t="shared" si="168"/>
        <v/>
      </c>
      <c r="AB326" s="38" t="e">
        <f t="shared" si="169"/>
        <v>#VALUE!</v>
      </c>
      <c r="AC326" s="38" t="str">
        <f t="shared" si="170"/>
        <v/>
      </c>
      <c r="AD326" s="38" t="str">
        <f t="shared" si="170"/>
        <v/>
      </c>
      <c r="AE326" s="38" t="e">
        <f t="shared" si="171"/>
        <v>#VALUE!</v>
      </c>
      <c r="AF326" s="238" t="e">
        <f>((Summary!$N$11*(AA326*AD326)*(A326-$D$3))+(Summary!$M$11*Z326*AC326*(AJ326-EOMONTH(EDATE(A326,-1),0))))/(AK326*AB326*AE326)</f>
        <v>#VALUE!</v>
      </c>
      <c r="AG326" s="88" t="str">
        <f>IF($A327="","",Summary!$Q$11)</f>
        <v/>
      </c>
      <c r="AH326" s="88" t="str">
        <f>IF($A327="","",IF(Summary!$R$11="Y",(VLOOKUP($A326,Summary!$AD$6:$AF$9,3)+'Escalating commodity'!G339),'Escalating commodity'!G339))</f>
        <v/>
      </c>
      <c r="AI326" s="88" t="str">
        <f t="shared" si="186"/>
        <v/>
      </c>
      <c r="AJ326" s="236" t="e">
        <f t="shared" si="172"/>
        <v>#VALUE!</v>
      </c>
      <c r="AK326" s="58" t="str">
        <f t="shared" si="173"/>
        <v/>
      </c>
      <c r="AL326" s="26" t="str">
        <f>IF($A327="","",_xll.SPRDOPT(P326,X326,AI326,0,AB326,AE326,AF326,AK326,$AJ$2,0))</f>
        <v/>
      </c>
      <c r="AM326" s="209" t="str">
        <f t="shared" si="174"/>
        <v/>
      </c>
      <c r="AN326" s="89" t="str">
        <f t="shared" si="175"/>
        <v/>
      </c>
      <c r="AO326" s="3" t="str">
        <f t="shared" si="176"/>
        <v/>
      </c>
      <c r="AP326" s="33" t="str">
        <f t="shared" si="177"/>
        <v/>
      </c>
      <c r="AQ326" s="58" t="str">
        <f t="shared" si="178"/>
        <v/>
      </c>
      <c r="AR326" s="38">
        <f>'ANR OK vs ML7'!AR326</f>
        <v>0.1</v>
      </c>
      <c r="AS326" s="35" t="str">
        <f t="shared" si="179"/>
        <v/>
      </c>
      <c r="AT326" s="3" t="str">
        <f t="shared" si="180"/>
        <v/>
      </c>
      <c r="AU326" s="3" t="str">
        <f t="shared" si="181"/>
        <v/>
      </c>
      <c r="AW326" s="32" t="str">
        <f t="shared" si="182"/>
        <v/>
      </c>
      <c r="AX326" s="32" t="str">
        <f t="shared" si="183"/>
        <v/>
      </c>
      <c r="AY326" s="32" t="str">
        <f t="shared" si="184"/>
        <v/>
      </c>
      <c r="BA326" s="32" t="str">
        <f>IF($A327="","",F326*Summary!$Q$11)</f>
        <v/>
      </c>
    </row>
    <row r="327" spans="1:53" ht="12" customHeight="1">
      <c r="A327" s="67" t="str">
        <f t="shared" si="185"/>
        <v/>
      </c>
      <c r="B327" s="69" t="str">
        <f t="shared" si="187"/>
        <v/>
      </c>
      <c r="C327" s="71"/>
      <c r="D327" s="69" t="str">
        <f t="shared" si="151"/>
        <v/>
      </c>
      <c r="E327" s="70" t="str">
        <f t="shared" si="152"/>
        <v/>
      </c>
      <c r="F327" s="70" t="str">
        <f t="shared" si="153"/>
        <v/>
      </c>
      <c r="G327" s="63" t="str">
        <f t="shared" si="154"/>
        <v/>
      </c>
      <c r="H327" s="64" t="str">
        <f t="shared" si="155"/>
        <v/>
      </c>
      <c r="I327" s="43"/>
      <c r="J327" s="63" t="str">
        <f t="shared" si="156"/>
        <v/>
      </c>
      <c r="K327" s="64" t="str">
        <f t="shared" si="157"/>
        <v/>
      </c>
      <c r="L327" s="63" t="str">
        <f t="shared" si="158"/>
        <v/>
      </c>
      <c r="M327" s="64" t="str">
        <f t="shared" si="159"/>
        <v/>
      </c>
      <c r="N327" s="65"/>
      <c r="O327" s="63" t="str">
        <f t="shared" si="160"/>
        <v/>
      </c>
      <c r="P327" s="63" t="str">
        <f t="shared" si="161"/>
        <v/>
      </c>
      <c r="Q327" s="66"/>
      <c r="R327" s="63" t="str">
        <f t="shared" si="162"/>
        <v/>
      </c>
      <c r="S327" s="64" t="str">
        <f t="shared" si="163"/>
        <v/>
      </c>
      <c r="T327" s="38">
        <v>0</v>
      </c>
      <c r="U327" s="64" t="str">
        <f t="shared" si="164"/>
        <v/>
      </c>
      <c r="V327" s="219" t="str">
        <f>IF($A328="","",IF(AND(MONTH(A327)&gt;3,MONTH(A327)&lt;11),(T327+R327+G327)*Summary!$T$11/(1-Summary!$T$11),(T327+R327+G327)*Summary!$U$11/(1-Summary!$U$11)))</f>
        <v/>
      </c>
      <c r="W327" s="43" t="str">
        <f t="shared" si="165"/>
        <v/>
      </c>
      <c r="X327" s="43" t="str">
        <f t="shared" si="166"/>
        <v/>
      </c>
      <c r="Y327" s="43"/>
      <c r="Z327" s="38" t="str">
        <f t="shared" si="167"/>
        <v/>
      </c>
      <c r="AA327" s="38" t="str">
        <f t="shared" si="168"/>
        <v/>
      </c>
      <c r="AB327" s="38" t="e">
        <f t="shared" si="169"/>
        <v>#VALUE!</v>
      </c>
      <c r="AC327" s="38" t="str">
        <f t="shared" si="170"/>
        <v/>
      </c>
      <c r="AD327" s="38" t="str">
        <f t="shared" si="170"/>
        <v/>
      </c>
      <c r="AE327" s="38" t="e">
        <f t="shared" si="171"/>
        <v>#VALUE!</v>
      </c>
      <c r="AF327" s="238" t="e">
        <f>((Summary!$N$11*(AA327*AD327)*(A327-$D$3))+(Summary!$M$11*Z327*AC327*(AJ327-EOMONTH(EDATE(A327,-1),0))))/(AK327*AB327*AE327)</f>
        <v>#VALUE!</v>
      </c>
      <c r="AG327" s="88" t="str">
        <f>IF($A328="","",Summary!$Q$11)</f>
        <v/>
      </c>
      <c r="AH327" s="88" t="str">
        <f>IF($A328="","",IF(Summary!$R$11="Y",(VLOOKUP($A327,Summary!$AD$6:$AF$9,3)+'Escalating commodity'!G340),'Escalating commodity'!G340))</f>
        <v/>
      </c>
      <c r="AI327" s="88" t="str">
        <f t="shared" si="186"/>
        <v/>
      </c>
      <c r="AJ327" s="236" t="e">
        <f t="shared" si="172"/>
        <v>#VALUE!</v>
      </c>
      <c r="AK327" s="58" t="str">
        <f t="shared" si="173"/>
        <v/>
      </c>
      <c r="AL327" s="26" t="str">
        <f>IF($A328="","",_xll.SPRDOPT(P327,X327,AI327,0,AB327,AE327,AF327,AK327,$AJ$2,0))</f>
        <v/>
      </c>
      <c r="AM327" s="209" t="str">
        <f t="shared" si="174"/>
        <v/>
      </c>
      <c r="AN327" s="89" t="str">
        <f t="shared" si="175"/>
        <v/>
      </c>
      <c r="AO327" s="3" t="str">
        <f t="shared" si="176"/>
        <v/>
      </c>
      <c r="AP327" s="33" t="str">
        <f t="shared" si="177"/>
        <v/>
      </c>
      <c r="AQ327" s="58" t="str">
        <f t="shared" si="178"/>
        <v/>
      </c>
      <c r="AR327" s="38">
        <f>'ANR OK vs ML7'!AR327</f>
        <v>0.1</v>
      </c>
      <c r="AS327" s="35" t="str">
        <f t="shared" si="179"/>
        <v/>
      </c>
      <c r="AT327" s="3" t="str">
        <f t="shared" si="180"/>
        <v/>
      </c>
      <c r="AU327" s="3" t="str">
        <f t="shared" si="181"/>
        <v/>
      </c>
      <c r="AW327" s="32" t="str">
        <f t="shared" si="182"/>
        <v/>
      </c>
      <c r="AX327" s="32" t="str">
        <f t="shared" si="183"/>
        <v/>
      </c>
      <c r="AY327" s="32" t="str">
        <f t="shared" si="184"/>
        <v/>
      </c>
      <c r="BA327" s="32" t="str">
        <f>IF($A328="","",F327*Summary!$Q$11)</f>
        <v/>
      </c>
    </row>
    <row r="328" spans="1:53" ht="12" customHeight="1">
      <c r="A328" s="67" t="str">
        <f t="shared" si="185"/>
        <v/>
      </c>
      <c r="B328" s="69" t="str">
        <f t="shared" si="187"/>
        <v/>
      </c>
      <c r="C328" s="71"/>
      <c r="D328" s="69" t="str">
        <f t="shared" si="151"/>
        <v/>
      </c>
      <c r="E328" s="70" t="str">
        <f t="shared" si="152"/>
        <v/>
      </c>
      <c r="F328" s="70" t="str">
        <f t="shared" si="153"/>
        <v/>
      </c>
      <c r="G328" s="63" t="str">
        <f t="shared" si="154"/>
        <v/>
      </c>
      <c r="H328" s="64" t="str">
        <f t="shared" si="155"/>
        <v/>
      </c>
      <c r="I328" s="43"/>
      <c r="J328" s="63" t="str">
        <f t="shared" si="156"/>
        <v/>
      </c>
      <c r="K328" s="64" t="str">
        <f t="shared" si="157"/>
        <v/>
      </c>
      <c r="L328" s="63" t="str">
        <f t="shared" si="158"/>
        <v/>
      </c>
      <c r="M328" s="64" t="str">
        <f t="shared" si="159"/>
        <v/>
      </c>
      <c r="N328" s="65"/>
      <c r="O328" s="63" t="str">
        <f t="shared" si="160"/>
        <v/>
      </c>
      <c r="P328" s="63" t="str">
        <f t="shared" si="161"/>
        <v/>
      </c>
      <c r="Q328" s="66"/>
      <c r="R328" s="63" t="str">
        <f t="shared" si="162"/>
        <v/>
      </c>
      <c r="S328" s="64" t="str">
        <f t="shared" si="163"/>
        <v/>
      </c>
      <c r="T328" s="38">
        <v>0</v>
      </c>
      <c r="U328" s="64" t="str">
        <f t="shared" si="164"/>
        <v/>
      </c>
      <c r="V328" s="219" t="str">
        <f>IF($A329="","",IF(AND(MONTH(A328)&gt;3,MONTH(A328)&lt;11),(T328+R328+G328)*Summary!$T$11/(1-Summary!$T$11),(T328+R328+G328)*Summary!$U$11/(1-Summary!$U$11)))</f>
        <v/>
      </c>
      <c r="W328" s="43" t="str">
        <f t="shared" si="165"/>
        <v/>
      </c>
      <c r="X328" s="43" t="str">
        <f t="shared" si="166"/>
        <v/>
      </c>
      <c r="Y328" s="43"/>
      <c r="Z328" s="38" t="str">
        <f t="shared" si="167"/>
        <v/>
      </c>
      <c r="AA328" s="38" t="str">
        <f t="shared" si="168"/>
        <v/>
      </c>
      <c r="AB328" s="38" t="e">
        <f t="shared" si="169"/>
        <v>#VALUE!</v>
      </c>
      <c r="AC328" s="38" t="str">
        <f t="shared" si="170"/>
        <v/>
      </c>
      <c r="AD328" s="38" t="str">
        <f t="shared" si="170"/>
        <v/>
      </c>
      <c r="AE328" s="38" t="e">
        <f t="shared" si="171"/>
        <v>#VALUE!</v>
      </c>
      <c r="AF328" s="238" t="e">
        <f>((Summary!$N$11*(AA328*AD328)*(A328-$D$3))+(Summary!$M$11*Z328*AC328*(AJ328-EOMONTH(EDATE(A328,-1),0))))/(AK328*AB328*AE328)</f>
        <v>#VALUE!</v>
      </c>
      <c r="AG328" s="88" t="str">
        <f>IF($A329="","",Summary!$Q$11)</f>
        <v/>
      </c>
      <c r="AH328" s="88" t="str">
        <f>IF($A329="","",IF(Summary!$R$11="Y",(VLOOKUP($A328,Summary!$AD$6:$AF$9,3)+'Escalating commodity'!G341),'Escalating commodity'!G341))</f>
        <v/>
      </c>
      <c r="AI328" s="88" t="str">
        <f t="shared" si="186"/>
        <v/>
      </c>
      <c r="AJ328" s="236" t="e">
        <f t="shared" si="172"/>
        <v>#VALUE!</v>
      </c>
      <c r="AK328" s="58" t="str">
        <f t="shared" si="173"/>
        <v/>
      </c>
      <c r="AL328" s="26" t="str">
        <f>IF($A329="","",_xll.SPRDOPT(P328,X328,AI328,0,AB328,AE328,AF328,AK328,$AJ$2,0))</f>
        <v/>
      </c>
      <c r="AM328" s="209" t="str">
        <f t="shared" si="174"/>
        <v/>
      </c>
      <c r="AN328" s="89" t="str">
        <f t="shared" si="175"/>
        <v/>
      </c>
      <c r="AO328" s="3" t="str">
        <f t="shared" si="176"/>
        <v/>
      </c>
      <c r="AP328" s="33" t="str">
        <f t="shared" si="177"/>
        <v/>
      </c>
      <c r="AQ328" s="58" t="str">
        <f t="shared" si="178"/>
        <v/>
      </c>
      <c r="AR328" s="38">
        <f>'ANR OK vs ML7'!AR328</f>
        <v>0.1</v>
      </c>
      <c r="AS328" s="35" t="str">
        <f t="shared" si="179"/>
        <v/>
      </c>
      <c r="AT328" s="3" t="str">
        <f t="shared" si="180"/>
        <v/>
      </c>
      <c r="AU328" s="3" t="str">
        <f t="shared" si="181"/>
        <v/>
      </c>
      <c r="AW328" s="32" t="str">
        <f t="shared" si="182"/>
        <v/>
      </c>
      <c r="AX328" s="32" t="str">
        <f t="shared" si="183"/>
        <v/>
      </c>
      <c r="AY328" s="32" t="str">
        <f t="shared" si="184"/>
        <v/>
      </c>
      <c r="BA328" s="32" t="str">
        <f>IF($A329="","",F328*Summary!$Q$11)</f>
        <v/>
      </c>
    </row>
    <row r="329" spans="1:53" ht="12" customHeight="1">
      <c r="A329" s="67" t="str">
        <f t="shared" si="185"/>
        <v/>
      </c>
      <c r="B329" s="69" t="str">
        <f t="shared" si="187"/>
        <v/>
      </c>
      <c r="C329" s="71"/>
      <c r="D329" s="69" t="str">
        <f t="shared" si="151"/>
        <v/>
      </c>
      <c r="E329" s="70" t="str">
        <f t="shared" si="152"/>
        <v/>
      </c>
      <c r="F329" s="70" t="str">
        <f t="shared" si="153"/>
        <v/>
      </c>
      <c r="G329" s="63" t="str">
        <f t="shared" si="154"/>
        <v/>
      </c>
      <c r="H329" s="64" t="str">
        <f t="shared" si="155"/>
        <v/>
      </c>
      <c r="I329" s="43"/>
      <c r="J329" s="63" t="str">
        <f t="shared" si="156"/>
        <v/>
      </c>
      <c r="K329" s="64" t="str">
        <f t="shared" si="157"/>
        <v/>
      </c>
      <c r="L329" s="63" t="str">
        <f t="shared" si="158"/>
        <v/>
      </c>
      <c r="M329" s="64" t="str">
        <f t="shared" si="159"/>
        <v/>
      </c>
      <c r="N329" s="65"/>
      <c r="O329" s="63" t="str">
        <f t="shared" si="160"/>
        <v/>
      </c>
      <c r="P329" s="63" t="str">
        <f t="shared" si="161"/>
        <v/>
      </c>
      <c r="Q329" s="66"/>
      <c r="R329" s="63" t="str">
        <f t="shared" si="162"/>
        <v/>
      </c>
      <c r="S329" s="64" t="str">
        <f t="shared" si="163"/>
        <v/>
      </c>
      <c r="T329" s="38">
        <v>0</v>
      </c>
      <c r="U329" s="64" t="str">
        <f t="shared" si="164"/>
        <v/>
      </c>
      <c r="V329" s="219" t="str">
        <f>IF($A330="","",IF(AND(MONTH(A329)&gt;3,MONTH(A329)&lt;11),(T329+R329+G329)*Summary!$T$11/(1-Summary!$T$11),(T329+R329+G329)*Summary!$U$11/(1-Summary!$U$11)))</f>
        <v/>
      </c>
      <c r="W329" s="43" t="str">
        <f t="shared" si="165"/>
        <v/>
      </c>
      <c r="X329" s="43" t="str">
        <f t="shared" si="166"/>
        <v/>
      </c>
      <c r="Y329" s="43"/>
      <c r="Z329" s="38" t="str">
        <f t="shared" si="167"/>
        <v/>
      </c>
      <c r="AA329" s="38" t="str">
        <f t="shared" si="168"/>
        <v/>
      </c>
      <c r="AB329" s="38" t="e">
        <f t="shared" si="169"/>
        <v>#VALUE!</v>
      </c>
      <c r="AC329" s="38" t="str">
        <f t="shared" si="170"/>
        <v/>
      </c>
      <c r="AD329" s="38" t="str">
        <f t="shared" si="170"/>
        <v/>
      </c>
      <c r="AE329" s="38" t="e">
        <f t="shared" si="171"/>
        <v>#VALUE!</v>
      </c>
      <c r="AF329" s="238" t="e">
        <f>((Summary!$N$11*(AA329*AD329)*(A329-$D$3))+(Summary!$M$11*Z329*AC329*(AJ329-EOMONTH(EDATE(A329,-1),0))))/(AK329*AB329*AE329)</f>
        <v>#VALUE!</v>
      </c>
      <c r="AG329" s="88" t="str">
        <f>IF($A330="","",Summary!$Q$11)</f>
        <v/>
      </c>
      <c r="AH329" s="88" t="str">
        <f>IF($A330="","",IF(Summary!$R$11="Y",(VLOOKUP($A329,Summary!$AD$6:$AF$9,3)+'Escalating commodity'!G342),'Escalating commodity'!G342))</f>
        <v/>
      </c>
      <c r="AI329" s="88" t="str">
        <f t="shared" si="186"/>
        <v/>
      </c>
      <c r="AJ329" s="236" t="e">
        <f t="shared" si="172"/>
        <v>#VALUE!</v>
      </c>
      <c r="AK329" s="58" t="str">
        <f t="shared" si="173"/>
        <v/>
      </c>
      <c r="AL329" s="26" t="str">
        <f>IF($A330="","",_xll.SPRDOPT(P329,X329,AI329,0,AB329,AE329,AF329,AK329,$AJ$2,0))</f>
        <v/>
      </c>
      <c r="AM329" s="209" t="str">
        <f t="shared" si="174"/>
        <v/>
      </c>
      <c r="AN329" s="89" t="str">
        <f t="shared" si="175"/>
        <v/>
      </c>
      <c r="AO329" s="3" t="str">
        <f t="shared" si="176"/>
        <v/>
      </c>
      <c r="AP329" s="33" t="str">
        <f t="shared" si="177"/>
        <v/>
      </c>
      <c r="AQ329" s="58" t="str">
        <f t="shared" si="178"/>
        <v/>
      </c>
      <c r="AR329" s="38">
        <f>'ANR OK vs ML7'!AR329</f>
        <v>0.1</v>
      </c>
      <c r="AS329" s="35" t="str">
        <f t="shared" si="179"/>
        <v/>
      </c>
      <c r="AT329" s="3" t="str">
        <f t="shared" si="180"/>
        <v/>
      </c>
      <c r="AU329" s="3" t="str">
        <f t="shared" si="181"/>
        <v/>
      </c>
      <c r="AW329" s="32" t="str">
        <f t="shared" si="182"/>
        <v/>
      </c>
      <c r="AX329" s="32" t="str">
        <f t="shared" si="183"/>
        <v/>
      </c>
      <c r="AY329" s="32" t="str">
        <f t="shared" si="184"/>
        <v/>
      </c>
      <c r="BA329" s="32" t="str">
        <f>IF($A330="","",F329*Summary!$Q$11)</f>
        <v/>
      </c>
    </row>
    <row r="330" spans="1:53" ht="12" customHeight="1">
      <c r="A330" s="67" t="str">
        <f t="shared" si="185"/>
        <v/>
      </c>
      <c r="B330" s="69" t="str">
        <f t="shared" si="187"/>
        <v/>
      </c>
      <c r="C330" s="71"/>
      <c r="D330" s="69" t="str">
        <f t="shared" ref="D330:D393" si="188">IF(A331&lt;&gt;"",B330+C330,"")</f>
        <v/>
      </c>
      <c r="E330" s="70" t="str">
        <f t="shared" ref="E330:E393" si="189">IF(A331="","",IF(AND(AT330=1,$H$3=1),D330*AO330,IF($H$3=2,D330,"N/A")))</f>
        <v/>
      </c>
      <c r="F330" s="70" t="str">
        <f t="shared" ref="F330:F393" si="190">IF(A331="","",E330*AS330)</f>
        <v/>
      </c>
      <c r="G330" s="63" t="str">
        <f t="shared" ref="G330:G393" si="191">IF($A331="","",VLOOKUP($A330,Table,MATCH(G$4,Curves,0)))</f>
        <v/>
      </c>
      <c r="H330" s="64" t="str">
        <f t="shared" ref="H330:H393" si="192">IF(A331="","",G330)</f>
        <v/>
      </c>
      <c r="I330" s="43"/>
      <c r="J330" s="63" t="str">
        <f t="shared" ref="J330:J393" si="193">IF($A331="","",VLOOKUP($A330,Table,MATCH(J$4,Curves,0)))</f>
        <v/>
      </c>
      <c r="K330" s="64" t="str">
        <f t="shared" ref="K330:K393" si="194">IF(A331="","",J330)</f>
        <v/>
      </c>
      <c r="L330" s="63" t="str">
        <f t="shared" ref="L330:L393" si="195">IF($A331="","",VLOOKUP($A330,Table,MATCH(L$4,Curves,0)))</f>
        <v/>
      </c>
      <c r="M330" s="64" t="str">
        <f t="shared" ref="M330:M393" si="196">IF(A331="","",L330)</f>
        <v/>
      </c>
      <c r="N330" s="65"/>
      <c r="O330" s="63" t="str">
        <f t="shared" ref="O330:O393" si="197">IF(A331="","",L330+J330+G330)</f>
        <v/>
      </c>
      <c r="P330" s="63" t="str">
        <f t="shared" ref="P330:P393" si="198">IF(A331="","",M330+K330+H330)</f>
        <v/>
      </c>
      <c r="Q330" s="66"/>
      <c r="R330" s="63" t="str">
        <f t="shared" ref="R330:R393" si="199">IF($A331="","",VLOOKUP($A330,Table,MATCH(R$4,Curves,0)))</f>
        <v/>
      </c>
      <c r="S330" s="64" t="str">
        <f t="shared" ref="S330:S393" si="200">IF(A331="","",R330)</f>
        <v/>
      </c>
      <c r="T330" s="38">
        <v>0</v>
      </c>
      <c r="U330" s="64" t="str">
        <f t="shared" ref="U330:U393" si="201">IF(A331="","",T330)</f>
        <v/>
      </c>
      <c r="V330" s="219" t="str">
        <f>IF($A331="","",IF(AND(MONTH(A330)&gt;3,MONTH(A330)&lt;11),(T330+R330+G330)*Summary!$T$11/(1-Summary!$T$11),(T330+R330+G330)*Summary!$U$11/(1-Summary!$U$11)))</f>
        <v/>
      </c>
      <c r="W330" s="43" t="str">
        <f t="shared" ref="W330:W393" si="202">IF($A331="","",(T330+R330+G330+V330))</f>
        <v/>
      </c>
      <c r="X330" s="43" t="str">
        <f t="shared" ref="X330:X393" si="203">IF($A331="","",(U330+S330+H330+V330))</f>
        <v/>
      </c>
      <c r="Y330" s="43"/>
      <c r="Z330" s="38" t="str">
        <f t="shared" ref="Z330:Z369" si="204">IF($A331="","",VLOOKUP($A330,Table,MATCH(Z$4,Curves,0)))</f>
        <v/>
      </c>
      <c r="AA330" s="38" t="str">
        <f t="shared" ref="AA330:AA369" si="205">IF($A331="","",VLOOKUP($A330,Table,MATCH(AA$4,Curves,0)))</f>
        <v/>
      </c>
      <c r="AB330" s="38" t="e">
        <f t="shared" ref="AB330:AB393" si="206">SQRT((AA330^2*(A330-$D$3)+Z330^2*(DAY(EOMONTH(A330,0))/2))/AK330)</f>
        <v>#VALUE!</v>
      </c>
      <c r="AC330" s="38" t="str">
        <f t="shared" ref="AC330:AD369" si="207">IF($A331="","",VLOOKUP($A330,Table,MATCH(AC$4,Curves,0)))</f>
        <v/>
      </c>
      <c r="AD330" s="38" t="str">
        <f t="shared" si="207"/>
        <v/>
      </c>
      <c r="AE330" s="38" t="e">
        <f t="shared" ref="AE330:AE393" si="208">SQRT((AD330^2*(A330-$D$3)+AC330^2*(DAY(EOMONTH(A330,0))/2))/AK330)</f>
        <v>#VALUE!</v>
      </c>
      <c r="AF330" s="238" t="e">
        <f>((Summary!$N$11*(AA330*AD330)*(A330-$D$3))+(Summary!$M$11*Z330*AC330*(AJ330-EOMONTH(EDATE(A330,-1),0))))/(AK330*AB330*AE330)</f>
        <v>#VALUE!</v>
      </c>
      <c r="AG330" s="88" t="str">
        <f>IF($A331="","",Summary!$Q$11)</f>
        <v/>
      </c>
      <c r="AH330" s="88" t="str">
        <f>IF($A331="","",IF(Summary!$R$11="Y",(VLOOKUP($A330,Summary!$AD$6:$AF$9,3)+'Escalating commodity'!G343),'Escalating commodity'!G343))</f>
        <v/>
      </c>
      <c r="AI330" s="88" t="str">
        <f t="shared" si="186"/>
        <v/>
      </c>
      <c r="AJ330" s="236" t="e">
        <f t="shared" ref="AJ330:AJ369" si="209">A330+DAY(EOMONTH(A330,0))/2-1</f>
        <v>#VALUE!</v>
      </c>
      <c r="AK330" s="58" t="str">
        <f t="shared" ref="AK330:AK369" si="210">IF($A331="","",$A330-$E$1)</f>
        <v/>
      </c>
      <c r="AL330" s="26" t="str">
        <f>IF($A331="","",_xll.SPRDOPT(P330,X330,AI330,0,AB330,AE330,AF330,AK330,$AJ$2,0))</f>
        <v/>
      </c>
      <c r="AM330" s="209" t="str">
        <f t="shared" ref="AM330:AM369" si="211">IF($A331="","",MAX(0,O330-W330-AI330))</f>
        <v/>
      </c>
      <c r="AN330" s="89" t="str">
        <f t="shared" ref="AN330:AN369" si="212">IF($A331="","",AL330-AM330)</f>
        <v/>
      </c>
      <c r="AO330" s="3" t="str">
        <f t="shared" ref="AO330:AO393" si="213">IF(A331="","",A331-A330)</f>
        <v/>
      </c>
      <c r="AP330" s="33" t="str">
        <f t="shared" ref="AP330:AP393" si="214">IF(A331="","",CHOOSE(F$3,A331+24,A330))</f>
        <v/>
      </c>
      <c r="AQ330" s="58" t="str">
        <f t="shared" ref="AQ330:AQ393" si="215">IF(A331="","",AP330-$E$1)</f>
        <v/>
      </c>
      <c r="AR330" s="38">
        <f>'ANR OK vs ML7'!AR330</f>
        <v>0.1</v>
      </c>
      <c r="AS330" s="35" t="str">
        <f t="shared" ref="AS330:AS393" si="216">IF(A331="","",1/(1+CHOOSE(F$3,(AR331+($I$3/10000))/2,(AR330+($I$3/10000))/2))^(2*AQ330/365.25))</f>
        <v/>
      </c>
      <c r="AT330" s="3" t="str">
        <f t="shared" ref="AT330:AT393" si="217">IF(A331="","",IF(AND(mthbeg&lt;=A330,mthend&gt;=A330),1,0))</f>
        <v/>
      </c>
      <c r="AU330" s="3" t="str">
        <f t="shared" ref="AU330:AU393" si="218">IF(A331="","",AO330*AT330)</f>
        <v/>
      </c>
      <c r="AW330" s="32" t="str">
        <f t="shared" ref="AW330:AW393" si="219">IF($A331="","",AL330*$E330)</f>
        <v/>
      </c>
      <c r="AX330" s="32" t="str">
        <f t="shared" ref="AX330:AX393" si="220">IF($A331="","",AM330*$E330)</f>
        <v/>
      </c>
      <c r="AY330" s="32" t="str">
        <f t="shared" ref="AY330:AY393" si="221">IF($A331="","",AN330*$E330)</f>
        <v/>
      </c>
      <c r="BA330" s="32" t="str">
        <f>IF($A331="","",F330*Summary!$Q$11)</f>
        <v/>
      </c>
    </row>
    <row r="331" spans="1:53" ht="12" customHeight="1">
      <c r="A331" s="67" t="str">
        <f t="shared" ref="A331:A394" si="222">IF(A330&lt;mthend,EDATE(A330,1),"")</f>
        <v/>
      </c>
      <c r="B331" s="69" t="str">
        <f t="shared" si="187"/>
        <v/>
      </c>
      <c r="C331" s="71"/>
      <c r="D331" s="69" t="str">
        <f t="shared" si="188"/>
        <v/>
      </c>
      <c r="E331" s="70" t="str">
        <f t="shared" si="189"/>
        <v/>
      </c>
      <c r="F331" s="70" t="str">
        <f t="shared" si="190"/>
        <v/>
      </c>
      <c r="G331" s="63" t="str">
        <f t="shared" si="191"/>
        <v/>
      </c>
      <c r="H331" s="64" t="str">
        <f t="shared" si="192"/>
        <v/>
      </c>
      <c r="I331" s="43"/>
      <c r="J331" s="63" t="str">
        <f t="shared" si="193"/>
        <v/>
      </c>
      <c r="K331" s="64" t="str">
        <f t="shared" si="194"/>
        <v/>
      </c>
      <c r="L331" s="63" t="str">
        <f t="shared" si="195"/>
        <v/>
      </c>
      <c r="M331" s="64" t="str">
        <f t="shared" si="196"/>
        <v/>
      </c>
      <c r="N331" s="65"/>
      <c r="O331" s="63" t="str">
        <f t="shared" si="197"/>
        <v/>
      </c>
      <c r="P331" s="63" t="str">
        <f t="shared" si="198"/>
        <v/>
      </c>
      <c r="Q331" s="66"/>
      <c r="R331" s="63" t="str">
        <f t="shared" si="199"/>
        <v/>
      </c>
      <c r="S331" s="64" t="str">
        <f t="shared" si="200"/>
        <v/>
      </c>
      <c r="T331" s="38">
        <v>0</v>
      </c>
      <c r="U331" s="64" t="str">
        <f t="shared" si="201"/>
        <v/>
      </c>
      <c r="V331" s="219" t="str">
        <f>IF($A332="","",IF(AND(MONTH(A331)&gt;3,MONTH(A331)&lt;11),(T331+R331+G331)*Summary!$T$11/(1-Summary!$T$11),(T331+R331+G331)*Summary!$U$11/(1-Summary!$U$11)))</f>
        <v/>
      </c>
      <c r="W331" s="43" t="str">
        <f t="shared" si="202"/>
        <v/>
      </c>
      <c r="X331" s="43" t="str">
        <f t="shared" si="203"/>
        <v/>
      </c>
      <c r="Y331" s="43"/>
      <c r="Z331" s="38" t="str">
        <f t="shared" si="204"/>
        <v/>
      </c>
      <c r="AA331" s="38" t="str">
        <f t="shared" si="205"/>
        <v/>
      </c>
      <c r="AB331" s="38" t="e">
        <f t="shared" si="206"/>
        <v>#VALUE!</v>
      </c>
      <c r="AC331" s="38" t="str">
        <f t="shared" si="207"/>
        <v/>
      </c>
      <c r="AD331" s="38" t="str">
        <f t="shared" si="207"/>
        <v/>
      </c>
      <c r="AE331" s="38" t="e">
        <f t="shared" si="208"/>
        <v>#VALUE!</v>
      </c>
      <c r="AF331" s="238" t="e">
        <f>((Summary!$N$11*(AA331*AD331)*(A331-$D$3))+(Summary!$M$11*Z331*AC331*(AJ331-EOMONTH(EDATE(A331,-1),0))))/(AK331*AB331*AE331)</f>
        <v>#VALUE!</v>
      </c>
      <c r="AG331" s="88" t="str">
        <f>IF($A332="","",Summary!$Q$11)</f>
        <v/>
      </c>
      <c r="AH331" s="88" t="str">
        <f>IF($A332="","",IF(Summary!$R$11="Y",(VLOOKUP($A331,Summary!$AD$6:$AF$9,3)+'Escalating commodity'!G344),'Escalating commodity'!G344))</f>
        <v/>
      </c>
      <c r="AI331" s="88" t="str">
        <f t="shared" ref="AI331:AI369" si="223">IF($A332="","",AH331)</f>
        <v/>
      </c>
      <c r="AJ331" s="236" t="e">
        <f t="shared" si="209"/>
        <v>#VALUE!</v>
      </c>
      <c r="AK331" s="58" t="str">
        <f t="shared" si="210"/>
        <v/>
      </c>
      <c r="AL331" s="26" t="str">
        <f>IF($A332="","",_xll.SPRDOPT(P331,X331,AI331,0,AB331,AE331,AF331,AK331,$AJ$2,0))</f>
        <v/>
      </c>
      <c r="AM331" s="209" t="str">
        <f t="shared" si="211"/>
        <v/>
      </c>
      <c r="AN331" s="89" t="str">
        <f t="shared" si="212"/>
        <v/>
      </c>
      <c r="AO331" s="3" t="str">
        <f t="shared" si="213"/>
        <v/>
      </c>
      <c r="AP331" s="33" t="str">
        <f t="shared" si="214"/>
        <v/>
      </c>
      <c r="AQ331" s="58" t="str">
        <f t="shared" si="215"/>
        <v/>
      </c>
      <c r="AR331" s="38">
        <f>'ANR OK vs ML7'!AR331</f>
        <v>0.1</v>
      </c>
      <c r="AS331" s="35" t="str">
        <f t="shared" si="216"/>
        <v/>
      </c>
      <c r="AT331" s="3" t="str">
        <f t="shared" si="217"/>
        <v/>
      </c>
      <c r="AU331" s="3" t="str">
        <f t="shared" si="218"/>
        <v/>
      </c>
      <c r="AW331" s="32" t="str">
        <f t="shared" si="219"/>
        <v/>
      </c>
      <c r="AX331" s="32" t="str">
        <f t="shared" si="220"/>
        <v/>
      </c>
      <c r="AY331" s="32" t="str">
        <f t="shared" si="221"/>
        <v/>
      </c>
      <c r="BA331" s="32" t="str">
        <f>IF($A332="","",F331*Summary!$Q$11)</f>
        <v/>
      </c>
    </row>
    <row r="332" spans="1:53" ht="12" customHeight="1">
      <c r="A332" s="67" t="str">
        <f t="shared" si="222"/>
        <v/>
      </c>
      <c r="B332" s="69" t="str">
        <f t="shared" ref="B332:B395" si="224">IF(A332&lt;mthend,B331,"")</f>
        <v/>
      </c>
      <c r="C332" s="71"/>
      <c r="D332" s="69" t="str">
        <f t="shared" si="188"/>
        <v/>
      </c>
      <c r="E332" s="70" t="str">
        <f t="shared" si="189"/>
        <v/>
      </c>
      <c r="F332" s="70" t="str">
        <f t="shared" si="190"/>
        <v/>
      </c>
      <c r="G332" s="63" t="str">
        <f t="shared" si="191"/>
        <v/>
      </c>
      <c r="H332" s="64" t="str">
        <f t="shared" si="192"/>
        <v/>
      </c>
      <c r="I332" s="43"/>
      <c r="J332" s="63" t="str">
        <f t="shared" si="193"/>
        <v/>
      </c>
      <c r="K332" s="64" t="str">
        <f t="shared" si="194"/>
        <v/>
      </c>
      <c r="L332" s="63" t="str">
        <f t="shared" si="195"/>
        <v/>
      </c>
      <c r="M332" s="64" t="str">
        <f t="shared" si="196"/>
        <v/>
      </c>
      <c r="N332" s="65"/>
      <c r="O332" s="63" t="str">
        <f t="shared" si="197"/>
        <v/>
      </c>
      <c r="P332" s="63" t="str">
        <f t="shared" si="198"/>
        <v/>
      </c>
      <c r="Q332" s="66"/>
      <c r="R332" s="63" t="str">
        <f t="shared" si="199"/>
        <v/>
      </c>
      <c r="S332" s="64" t="str">
        <f t="shared" si="200"/>
        <v/>
      </c>
      <c r="T332" s="38">
        <v>0</v>
      </c>
      <c r="U332" s="64" t="str">
        <f t="shared" si="201"/>
        <v/>
      </c>
      <c r="V332" s="219" t="str">
        <f>IF($A333="","",IF(AND(MONTH(A332)&gt;3,MONTH(A332)&lt;11),(T332+R332+G332)*Summary!$T$11/(1-Summary!$T$11),(T332+R332+G332)*Summary!$U$11/(1-Summary!$U$11)))</f>
        <v/>
      </c>
      <c r="W332" s="43" t="str">
        <f t="shared" si="202"/>
        <v/>
      </c>
      <c r="X332" s="43" t="str">
        <f t="shared" si="203"/>
        <v/>
      </c>
      <c r="Y332" s="43"/>
      <c r="Z332" s="38" t="str">
        <f t="shared" si="204"/>
        <v/>
      </c>
      <c r="AA332" s="38" t="str">
        <f t="shared" si="205"/>
        <v/>
      </c>
      <c r="AB332" s="38" t="e">
        <f t="shared" si="206"/>
        <v>#VALUE!</v>
      </c>
      <c r="AC332" s="38" t="str">
        <f t="shared" si="207"/>
        <v/>
      </c>
      <c r="AD332" s="38" t="str">
        <f t="shared" si="207"/>
        <v/>
      </c>
      <c r="AE332" s="38" t="e">
        <f t="shared" si="208"/>
        <v>#VALUE!</v>
      </c>
      <c r="AF332" s="238" t="e">
        <f>((Summary!$N$11*(AA332*AD332)*(A332-$D$3))+(Summary!$M$11*Z332*AC332*(AJ332-EOMONTH(EDATE(A332,-1),0))))/(AK332*AB332*AE332)</f>
        <v>#VALUE!</v>
      </c>
      <c r="AG332" s="88" t="str">
        <f>IF($A333="","",Summary!$Q$11)</f>
        <v/>
      </c>
      <c r="AH332" s="88" t="str">
        <f>IF($A333="","",IF(Summary!$R$11="Y",(VLOOKUP($A332,Summary!$AD$6:$AF$9,3)+'Escalating commodity'!G345),'Escalating commodity'!G345))</f>
        <v/>
      </c>
      <c r="AI332" s="88" t="str">
        <f t="shared" si="223"/>
        <v/>
      </c>
      <c r="AJ332" s="236" t="e">
        <f t="shared" si="209"/>
        <v>#VALUE!</v>
      </c>
      <c r="AK332" s="58" t="str">
        <f t="shared" si="210"/>
        <v/>
      </c>
      <c r="AL332" s="26" t="str">
        <f>IF($A333="","",_xll.SPRDOPT(P332,X332,AI332,0,AB332,AE332,AF332,AK332,$AJ$2,0))</f>
        <v/>
      </c>
      <c r="AM332" s="209" t="str">
        <f t="shared" si="211"/>
        <v/>
      </c>
      <c r="AN332" s="89" t="str">
        <f t="shared" si="212"/>
        <v/>
      </c>
      <c r="AO332" s="3" t="str">
        <f t="shared" si="213"/>
        <v/>
      </c>
      <c r="AP332" s="33" t="str">
        <f t="shared" si="214"/>
        <v/>
      </c>
      <c r="AQ332" s="58" t="str">
        <f t="shared" si="215"/>
        <v/>
      </c>
      <c r="AR332" s="38">
        <f>'ANR OK vs ML7'!AR332</f>
        <v>0.1</v>
      </c>
      <c r="AS332" s="35" t="str">
        <f t="shared" si="216"/>
        <v/>
      </c>
      <c r="AT332" s="3" t="str">
        <f t="shared" si="217"/>
        <v/>
      </c>
      <c r="AU332" s="3" t="str">
        <f t="shared" si="218"/>
        <v/>
      </c>
      <c r="AW332" s="32" t="str">
        <f t="shared" si="219"/>
        <v/>
      </c>
      <c r="AX332" s="32" t="str">
        <f t="shared" si="220"/>
        <v/>
      </c>
      <c r="AY332" s="32" t="str">
        <f t="shared" si="221"/>
        <v/>
      </c>
      <c r="BA332" s="32" t="str">
        <f>IF($A333="","",F332*Summary!$Q$11)</f>
        <v/>
      </c>
    </row>
    <row r="333" spans="1:53" ht="12" customHeight="1">
      <c r="A333" s="67" t="str">
        <f t="shared" si="222"/>
        <v/>
      </c>
      <c r="B333" s="69" t="str">
        <f t="shared" si="224"/>
        <v/>
      </c>
      <c r="C333" s="71"/>
      <c r="D333" s="69" t="str">
        <f t="shared" si="188"/>
        <v/>
      </c>
      <c r="E333" s="70" t="str">
        <f t="shared" si="189"/>
        <v/>
      </c>
      <c r="F333" s="70" t="str">
        <f t="shared" si="190"/>
        <v/>
      </c>
      <c r="G333" s="63" t="str">
        <f t="shared" si="191"/>
        <v/>
      </c>
      <c r="H333" s="64" t="str">
        <f t="shared" si="192"/>
        <v/>
      </c>
      <c r="I333" s="43"/>
      <c r="J333" s="63" t="str">
        <f t="shared" si="193"/>
        <v/>
      </c>
      <c r="K333" s="64" t="str">
        <f t="shared" si="194"/>
        <v/>
      </c>
      <c r="L333" s="63" t="str">
        <f t="shared" si="195"/>
        <v/>
      </c>
      <c r="M333" s="64" t="str">
        <f t="shared" si="196"/>
        <v/>
      </c>
      <c r="N333" s="65"/>
      <c r="O333" s="63" t="str">
        <f t="shared" si="197"/>
        <v/>
      </c>
      <c r="P333" s="63" t="str">
        <f t="shared" si="198"/>
        <v/>
      </c>
      <c r="Q333" s="66"/>
      <c r="R333" s="63" t="str">
        <f t="shared" si="199"/>
        <v/>
      </c>
      <c r="S333" s="64" t="str">
        <f t="shared" si="200"/>
        <v/>
      </c>
      <c r="T333" s="38">
        <v>0</v>
      </c>
      <c r="U333" s="64" t="str">
        <f t="shared" si="201"/>
        <v/>
      </c>
      <c r="V333" s="219" t="str">
        <f>IF($A334="","",IF(AND(MONTH(A333)&gt;3,MONTH(A333)&lt;11),(T333+R333+G333)*Summary!$T$11/(1-Summary!$T$11),(T333+R333+G333)*Summary!$U$11/(1-Summary!$U$11)))</f>
        <v/>
      </c>
      <c r="W333" s="43" t="str">
        <f t="shared" si="202"/>
        <v/>
      </c>
      <c r="X333" s="43" t="str">
        <f t="shared" si="203"/>
        <v/>
      </c>
      <c r="Y333" s="43"/>
      <c r="Z333" s="38" t="str">
        <f t="shared" si="204"/>
        <v/>
      </c>
      <c r="AA333" s="38" t="str">
        <f t="shared" si="205"/>
        <v/>
      </c>
      <c r="AB333" s="38" t="e">
        <f t="shared" si="206"/>
        <v>#VALUE!</v>
      </c>
      <c r="AC333" s="38" t="str">
        <f t="shared" si="207"/>
        <v/>
      </c>
      <c r="AD333" s="38" t="str">
        <f t="shared" si="207"/>
        <v/>
      </c>
      <c r="AE333" s="38" t="e">
        <f t="shared" si="208"/>
        <v>#VALUE!</v>
      </c>
      <c r="AF333" s="238" t="e">
        <f>((Summary!$N$11*(AA333*AD333)*(A333-$D$3))+(Summary!$M$11*Z333*AC333*(AJ333-EOMONTH(EDATE(A333,-1),0))))/(AK333*AB333*AE333)</f>
        <v>#VALUE!</v>
      </c>
      <c r="AG333" s="88" t="str">
        <f>IF($A334="","",Summary!$Q$11)</f>
        <v/>
      </c>
      <c r="AH333" s="88" t="str">
        <f>IF($A334="","",IF(Summary!$R$11="Y",(VLOOKUP($A333,Summary!$AD$6:$AF$9,3)+'Escalating commodity'!G346),'Escalating commodity'!G346))</f>
        <v/>
      </c>
      <c r="AI333" s="88" t="str">
        <f t="shared" si="223"/>
        <v/>
      </c>
      <c r="AJ333" s="236" t="e">
        <f t="shared" si="209"/>
        <v>#VALUE!</v>
      </c>
      <c r="AK333" s="58" t="str">
        <f t="shared" si="210"/>
        <v/>
      </c>
      <c r="AL333" s="26" t="str">
        <f>IF($A334="","",_xll.SPRDOPT(P333,X333,AI333,0,AB333,AE333,AF333,AK333,$AJ$2,0))</f>
        <v/>
      </c>
      <c r="AM333" s="209" t="str">
        <f t="shared" si="211"/>
        <v/>
      </c>
      <c r="AN333" s="89" t="str">
        <f t="shared" si="212"/>
        <v/>
      </c>
      <c r="AO333" s="3" t="str">
        <f t="shared" si="213"/>
        <v/>
      </c>
      <c r="AP333" s="33" t="str">
        <f t="shared" si="214"/>
        <v/>
      </c>
      <c r="AQ333" s="58" t="str">
        <f t="shared" si="215"/>
        <v/>
      </c>
      <c r="AR333" s="38">
        <f>'ANR OK vs ML7'!AR333</f>
        <v>0.1</v>
      </c>
      <c r="AS333" s="35" t="str">
        <f t="shared" si="216"/>
        <v/>
      </c>
      <c r="AT333" s="3" t="str">
        <f t="shared" si="217"/>
        <v/>
      </c>
      <c r="AU333" s="3" t="str">
        <f t="shared" si="218"/>
        <v/>
      </c>
      <c r="AW333" s="32" t="str">
        <f t="shared" si="219"/>
        <v/>
      </c>
      <c r="AX333" s="32" t="str">
        <f t="shared" si="220"/>
        <v/>
      </c>
      <c r="AY333" s="32" t="str">
        <f t="shared" si="221"/>
        <v/>
      </c>
      <c r="BA333" s="32" t="str">
        <f>IF($A334="","",F333*Summary!$Q$11)</f>
        <v/>
      </c>
    </row>
    <row r="334" spans="1:53" ht="12" customHeight="1">
      <c r="A334" s="67" t="str">
        <f t="shared" si="222"/>
        <v/>
      </c>
      <c r="B334" s="69" t="str">
        <f t="shared" si="224"/>
        <v/>
      </c>
      <c r="C334" s="71"/>
      <c r="D334" s="69" t="str">
        <f t="shared" si="188"/>
        <v/>
      </c>
      <c r="E334" s="70" t="str">
        <f t="shared" si="189"/>
        <v/>
      </c>
      <c r="F334" s="70" t="str">
        <f t="shared" si="190"/>
        <v/>
      </c>
      <c r="G334" s="63" t="str">
        <f t="shared" si="191"/>
        <v/>
      </c>
      <c r="H334" s="64" t="str">
        <f t="shared" si="192"/>
        <v/>
      </c>
      <c r="I334" s="43"/>
      <c r="J334" s="63" t="str">
        <f t="shared" si="193"/>
        <v/>
      </c>
      <c r="K334" s="64" t="str">
        <f t="shared" si="194"/>
        <v/>
      </c>
      <c r="L334" s="63" t="str">
        <f t="shared" si="195"/>
        <v/>
      </c>
      <c r="M334" s="64" t="str">
        <f t="shared" si="196"/>
        <v/>
      </c>
      <c r="N334" s="65"/>
      <c r="O334" s="63" t="str">
        <f t="shared" si="197"/>
        <v/>
      </c>
      <c r="P334" s="63" t="str">
        <f t="shared" si="198"/>
        <v/>
      </c>
      <c r="Q334" s="66"/>
      <c r="R334" s="63" t="str">
        <f t="shared" si="199"/>
        <v/>
      </c>
      <c r="S334" s="64" t="str">
        <f t="shared" si="200"/>
        <v/>
      </c>
      <c r="T334" s="38">
        <v>0</v>
      </c>
      <c r="U334" s="64" t="str">
        <f t="shared" si="201"/>
        <v/>
      </c>
      <c r="V334" s="219" t="str">
        <f>IF($A335="","",IF(AND(MONTH(A334)&gt;3,MONTH(A334)&lt;11),(T334+R334+G334)*Summary!$T$11/(1-Summary!$T$11),(T334+R334+G334)*Summary!$U$11/(1-Summary!$U$11)))</f>
        <v/>
      </c>
      <c r="W334" s="43" t="str">
        <f t="shared" si="202"/>
        <v/>
      </c>
      <c r="X334" s="43" t="str">
        <f t="shared" si="203"/>
        <v/>
      </c>
      <c r="Y334" s="43"/>
      <c r="Z334" s="38" t="str">
        <f t="shared" si="204"/>
        <v/>
      </c>
      <c r="AA334" s="38" t="str">
        <f t="shared" si="205"/>
        <v/>
      </c>
      <c r="AB334" s="38" t="e">
        <f t="shared" si="206"/>
        <v>#VALUE!</v>
      </c>
      <c r="AC334" s="38" t="str">
        <f t="shared" si="207"/>
        <v/>
      </c>
      <c r="AD334" s="38" t="str">
        <f t="shared" si="207"/>
        <v/>
      </c>
      <c r="AE334" s="38" t="e">
        <f t="shared" si="208"/>
        <v>#VALUE!</v>
      </c>
      <c r="AF334" s="238" t="e">
        <f>((Summary!$N$11*(AA334*AD334)*(A334-$D$3))+(Summary!$M$11*Z334*AC334*(AJ334-EOMONTH(EDATE(A334,-1),0))))/(AK334*AB334*AE334)</f>
        <v>#VALUE!</v>
      </c>
      <c r="AG334" s="88" t="str">
        <f>IF($A335="","",Summary!$Q$11)</f>
        <v/>
      </c>
      <c r="AH334" s="88" t="str">
        <f>IF($A335="","",IF(Summary!$R$11="Y",(VLOOKUP($A334,Summary!$AD$6:$AF$9,3)+'Escalating commodity'!G347),'Escalating commodity'!G347))</f>
        <v/>
      </c>
      <c r="AI334" s="88" t="str">
        <f t="shared" si="223"/>
        <v/>
      </c>
      <c r="AJ334" s="236" t="e">
        <f t="shared" si="209"/>
        <v>#VALUE!</v>
      </c>
      <c r="AK334" s="58" t="str">
        <f t="shared" si="210"/>
        <v/>
      </c>
      <c r="AL334" s="26" t="str">
        <f>IF($A335="","",_xll.SPRDOPT(P334,X334,AI334,0,AB334,AE334,AF334,AK334,$AJ$2,0))</f>
        <v/>
      </c>
      <c r="AM334" s="209" t="str">
        <f t="shared" si="211"/>
        <v/>
      </c>
      <c r="AN334" s="89" t="str">
        <f t="shared" si="212"/>
        <v/>
      </c>
      <c r="AO334" s="3" t="str">
        <f t="shared" si="213"/>
        <v/>
      </c>
      <c r="AP334" s="33" t="str">
        <f t="shared" si="214"/>
        <v/>
      </c>
      <c r="AQ334" s="58" t="str">
        <f t="shared" si="215"/>
        <v/>
      </c>
      <c r="AR334" s="38">
        <f>'ANR OK vs ML7'!AR334</f>
        <v>0.1</v>
      </c>
      <c r="AS334" s="35" t="str">
        <f t="shared" si="216"/>
        <v/>
      </c>
      <c r="AT334" s="3" t="str">
        <f t="shared" si="217"/>
        <v/>
      </c>
      <c r="AU334" s="3" t="str">
        <f t="shared" si="218"/>
        <v/>
      </c>
      <c r="AW334" s="32" t="str">
        <f t="shared" si="219"/>
        <v/>
      </c>
      <c r="AX334" s="32" t="str">
        <f t="shared" si="220"/>
        <v/>
      </c>
      <c r="AY334" s="32" t="str">
        <f t="shared" si="221"/>
        <v/>
      </c>
      <c r="BA334" s="32" t="str">
        <f>IF($A335="","",F334*Summary!$Q$11)</f>
        <v/>
      </c>
    </row>
    <row r="335" spans="1:53" ht="12" customHeight="1">
      <c r="A335" s="67" t="str">
        <f t="shared" si="222"/>
        <v/>
      </c>
      <c r="B335" s="69" t="str">
        <f t="shared" si="224"/>
        <v/>
      </c>
      <c r="C335" s="71"/>
      <c r="D335" s="69" t="str">
        <f t="shared" si="188"/>
        <v/>
      </c>
      <c r="E335" s="70" t="str">
        <f t="shared" si="189"/>
        <v/>
      </c>
      <c r="F335" s="70" t="str">
        <f t="shared" si="190"/>
        <v/>
      </c>
      <c r="G335" s="63" t="str">
        <f t="shared" si="191"/>
        <v/>
      </c>
      <c r="H335" s="64" t="str">
        <f t="shared" si="192"/>
        <v/>
      </c>
      <c r="I335" s="43"/>
      <c r="J335" s="63" t="str">
        <f t="shared" si="193"/>
        <v/>
      </c>
      <c r="K335" s="64" t="str">
        <f t="shared" si="194"/>
        <v/>
      </c>
      <c r="L335" s="63" t="str">
        <f t="shared" si="195"/>
        <v/>
      </c>
      <c r="M335" s="64" t="str">
        <f t="shared" si="196"/>
        <v/>
      </c>
      <c r="N335" s="65"/>
      <c r="O335" s="63" t="str">
        <f t="shared" si="197"/>
        <v/>
      </c>
      <c r="P335" s="63" t="str">
        <f t="shared" si="198"/>
        <v/>
      </c>
      <c r="Q335" s="66"/>
      <c r="R335" s="63" t="str">
        <f t="shared" si="199"/>
        <v/>
      </c>
      <c r="S335" s="64" t="str">
        <f t="shared" si="200"/>
        <v/>
      </c>
      <c r="T335" s="38">
        <v>0</v>
      </c>
      <c r="U335" s="64" t="str">
        <f t="shared" si="201"/>
        <v/>
      </c>
      <c r="V335" s="219" t="str">
        <f>IF($A336="","",IF(AND(MONTH(A335)&gt;3,MONTH(A335)&lt;11),(T335+R335+G335)*Summary!$T$11/(1-Summary!$T$11),(T335+R335+G335)*Summary!$U$11/(1-Summary!$U$11)))</f>
        <v/>
      </c>
      <c r="W335" s="43" t="str">
        <f t="shared" si="202"/>
        <v/>
      </c>
      <c r="X335" s="43" t="str">
        <f t="shared" si="203"/>
        <v/>
      </c>
      <c r="Y335" s="43"/>
      <c r="Z335" s="38" t="str">
        <f t="shared" si="204"/>
        <v/>
      </c>
      <c r="AA335" s="38" t="str">
        <f t="shared" si="205"/>
        <v/>
      </c>
      <c r="AB335" s="38" t="e">
        <f t="shared" si="206"/>
        <v>#VALUE!</v>
      </c>
      <c r="AC335" s="38" t="str">
        <f t="shared" si="207"/>
        <v/>
      </c>
      <c r="AD335" s="38" t="str">
        <f t="shared" si="207"/>
        <v/>
      </c>
      <c r="AE335" s="38" t="e">
        <f t="shared" si="208"/>
        <v>#VALUE!</v>
      </c>
      <c r="AF335" s="238" t="e">
        <f>((Summary!$N$11*(AA335*AD335)*(A335-$D$3))+(Summary!$M$11*Z335*AC335*(AJ335-EOMONTH(EDATE(A335,-1),0))))/(AK335*AB335*AE335)</f>
        <v>#VALUE!</v>
      </c>
      <c r="AG335" s="88" t="str">
        <f>IF($A336="","",Summary!$Q$11)</f>
        <v/>
      </c>
      <c r="AH335" s="88" t="str">
        <f>IF($A336="","",IF(Summary!$R$11="Y",(VLOOKUP($A335,Summary!$AD$6:$AF$9,3)+'Escalating commodity'!G348),'Escalating commodity'!G348))</f>
        <v/>
      </c>
      <c r="AI335" s="88" t="str">
        <f t="shared" si="223"/>
        <v/>
      </c>
      <c r="AJ335" s="236" t="e">
        <f t="shared" si="209"/>
        <v>#VALUE!</v>
      </c>
      <c r="AK335" s="58" t="str">
        <f t="shared" si="210"/>
        <v/>
      </c>
      <c r="AL335" s="26" t="str">
        <f>IF($A336="","",_xll.SPRDOPT(P335,X335,AI335,0,AB335,AE335,AF335,AK335,$AJ$2,0))</f>
        <v/>
      </c>
      <c r="AM335" s="209" t="str">
        <f t="shared" si="211"/>
        <v/>
      </c>
      <c r="AN335" s="89" t="str">
        <f t="shared" si="212"/>
        <v/>
      </c>
      <c r="AO335" s="3" t="str">
        <f t="shared" si="213"/>
        <v/>
      </c>
      <c r="AP335" s="33" t="str">
        <f t="shared" si="214"/>
        <v/>
      </c>
      <c r="AQ335" s="58" t="str">
        <f t="shared" si="215"/>
        <v/>
      </c>
      <c r="AR335" s="38">
        <f>'ANR OK vs ML7'!AR335</f>
        <v>0.1</v>
      </c>
      <c r="AS335" s="35" t="str">
        <f t="shared" si="216"/>
        <v/>
      </c>
      <c r="AT335" s="3" t="str">
        <f t="shared" si="217"/>
        <v/>
      </c>
      <c r="AU335" s="3" t="str">
        <f t="shared" si="218"/>
        <v/>
      </c>
      <c r="AW335" s="32" t="str">
        <f t="shared" si="219"/>
        <v/>
      </c>
      <c r="AX335" s="32" t="str">
        <f t="shared" si="220"/>
        <v/>
      </c>
      <c r="AY335" s="32" t="str">
        <f t="shared" si="221"/>
        <v/>
      </c>
      <c r="BA335" s="32" t="str">
        <f>IF($A336="","",F335*Summary!$Q$11)</f>
        <v/>
      </c>
    </row>
    <row r="336" spans="1:53" ht="12" customHeight="1">
      <c r="A336" s="67" t="str">
        <f t="shared" si="222"/>
        <v/>
      </c>
      <c r="B336" s="69" t="str">
        <f t="shared" si="224"/>
        <v/>
      </c>
      <c r="C336" s="71"/>
      <c r="D336" s="69" t="str">
        <f t="shared" si="188"/>
        <v/>
      </c>
      <c r="E336" s="70" t="str">
        <f t="shared" si="189"/>
        <v/>
      </c>
      <c r="F336" s="70" t="str">
        <f t="shared" si="190"/>
        <v/>
      </c>
      <c r="G336" s="63" t="str">
        <f t="shared" si="191"/>
        <v/>
      </c>
      <c r="H336" s="64" t="str">
        <f t="shared" si="192"/>
        <v/>
      </c>
      <c r="I336" s="43"/>
      <c r="J336" s="63" t="str">
        <f t="shared" si="193"/>
        <v/>
      </c>
      <c r="K336" s="64" t="str">
        <f t="shared" si="194"/>
        <v/>
      </c>
      <c r="L336" s="63" t="str">
        <f t="shared" si="195"/>
        <v/>
      </c>
      <c r="M336" s="64" t="str">
        <f t="shared" si="196"/>
        <v/>
      </c>
      <c r="N336" s="65"/>
      <c r="O336" s="63" t="str">
        <f t="shared" si="197"/>
        <v/>
      </c>
      <c r="P336" s="63" t="str">
        <f t="shared" si="198"/>
        <v/>
      </c>
      <c r="Q336" s="66"/>
      <c r="R336" s="63" t="str">
        <f t="shared" si="199"/>
        <v/>
      </c>
      <c r="S336" s="64" t="str">
        <f t="shared" si="200"/>
        <v/>
      </c>
      <c r="T336" s="38">
        <v>0</v>
      </c>
      <c r="U336" s="64" t="str">
        <f t="shared" si="201"/>
        <v/>
      </c>
      <c r="V336" s="219" t="str">
        <f>IF($A337="","",IF(AND(MONTH(A336)&gt;3,MONTH(A336)&lt;11),(T336+R336+G336)*Summary!$T$11/(1-Summary!$T$11),(T336+R336+G336)*Summary!$U$11/(1-Summary!$U$11)))</f>
        <v/>
      </c>
      <c r="W336" s="43" t="str">
        <f t="shared" si="202"/>
        <v/>
      </c>
      <c r="X336" s="43" t="str">
        <f t="shared" si="203"/>
        <v/>
      </c>
      <c r="Y336" s="43"/>
      <c r="Z336" s="38" t="str">
        <f t="shared" si="204"/>
        <v/>
      </c>
      <c r="AA336" s="38" t="str">
        <f t="shared" si="205"/>
        <v/>
      </c>
      <c r="AB336" s="38" t="e">
        <f t="shared" si="206"/>
        <v>#VALUE!</v>
      </c>
      <c r="AC336" s="38" t="str">
        <f t="shared" si="207"/>
        <v/>
      </c>
      <c r="AD336" s="38" t="str">
        <f t="shared" si="207"/>
        <v/>
      </c>
      <c r="AE336" s="38" t="e">
        <f t="shared" si="208"/>
        <v>#VALUE!</v>
      </c>
      <c r="AF336" s="238" t="e">
        <f>((Summary!$N$11*(AA336*AD336)*(A336-$D$3))+(Summary!$M$11*Z336*AC336*(AJ336-EOMONTH(EDATE(A336,-1),0))))/(AK336*AB336*AE336)</f>
        <v>#VALUE!</v>
      </c>
      <c r="AG336" s="88" t="str">
        <f>IF($A337="","",Summary!$Q$11)</f>
        <v/>
      </c>
      <c r="AH336" s="88" t="str">
        <f>IF($A337="","",IF(Summary!$R$11="Y",(VLOOKUP($A336,Summary!$AD$6:$AF$9,3)+'Escalating commodity'!G349),'Escalating commodity'!G349))</f>
        <v/>
      </c>
      <c r="AI336" s="88" t="str">
        <f t="shared" si="223"/>
        <v/>
      </c>
      <c r="AJ336" s="236" t="e">
        <f t="shared" si="209"/>
        <v>#VALUE!</v>
      </c>
      <c r="AK336" s="58" t="str">
        <f t="shared" si="210"/>
        <v/>
      </c>
      <c r="AL336" s="26" t="str">
        <f>IF($A337="","",_xll.SPRDOPT(P336,X336,AI336,0,AB336,AE336,AF336,AK336,$AJ$2,0))</f>
        <v/>
      </c>
      <c r="AM336" s="209" t="str">
        <f t="shared" si="211"/>
        <v/>
      </c>
      <c r="AN336" s="89" t="str">
        <f t="shared" si="212"/>
        <v/>
      </c>
      <c r="AO336" s="3" t="str">
        <f t="shared" si="213"/>
        <v/>
      </c>
      <c r="AP336" s="33" t="str">
        <f t="shared" si="214"/>
        <v/>
      </c>
      <c r="AQ336" s="58" t="str">
        <f t="shared" si="215"/>
        <v/>
      </c>
      <c r="AR336" s="38">
        <f>'ANR OK vs ML7'!AR336</f>
        <v>0.1</v>
      </c>
      <c r="AS336" s="35" t="str">
        <f t="shared" si="216"/>
        <v/>
      </c>
      <c r="AT336" s="3" t="str">
        <f t="shared" si="217"/>
        <v/>
      </c>
      <c r="AU336" s="3" t="str">
        <f t="shared" si="218"/>
        <v/>
      </c>
      <c r="AW336" s="32" t="str">
        <f t="shared" si="219"/>
        <v/>
      </c>
      <c r="AX336" s="32" t="str">
        <f t="shared" si="220"/>
        <v/>
      </c>
      <c r="AY336" s="32" t="str">
        <f t="shared" si="221"/>
        <v/>
      </c>
      <c r="BA336" s="32" t="str">
        <f>IF($A337="","",F336*Summary!$Q$11)</f>
        <v/>
      </c>
    </row>
    <row r="337" spans="1:53" ht="12" customHeight="1">
      <c r="A337" s="67" t="str">
        <f t="shared" si="222"/>
        <v/>
      </c>
      <c r="B337" s="69" t="str">
        <f t="shared" si="224"/>
        <v/>
      </c>
      <c r="C337" s="71"/>
      <c r="D337" s="69" t="str">
        <f t="shared" si="188"/>
        <v/>
      </c>
      <c r="E337" s="70" t="str">
        <f t="shared" si="189"/>
        <v/>
      </c>
      <c r="F337" s="70" t="str">
        <f t="shared" si="190"/>
        <v/>
      </c>
      <c r="G337" s="63" t="str">
        <f t="shared" si="191"/>
        <v/>
      </c>
      <c r="H337" s="64" t="str">
        <f t="shared" si="192"/>
        <v/>
      </c>
      <c r="I337" s="43"/>
      <c r="J337" s="63" t="str">
        <f t="shared" si="193"/>
        <v/>
      </c>
      <c r="K337" s="64" t="str">
        <f t="shared" si="194"/>
        <v/>
      </c>
      <c r="L337" s="63" t="str">
        <f t="shared" si="195"/>
        <v/>
      </c>
      <c r="M337" s="64" t="str">
        <f t="shared" si="196"/>
        <v/>
      </c>
      <c r="N337" s="65"/>
      <c r="O337" s="63" t="str">
        <f t="shared" si="197"/>
        <v/>
      </c>
      <c r="P337" s="63" t="str">
        <f t="shared" si="198"/>
        <v/>
      </c>
      <c r="Q337" s="66"/>
      <c r="R337" s="63" t="str">
        <f t="shared" si="199"/>
        <v/>
      </c>
      <c r="S337" s="64" t="str">
        <f t="shared" si="200"/>
        <v/>
      </c>
      <c r="T337" s="38">
        <v>0</v>
      </c>
      <c r="U337" s="64" t="str">
        <f t="shared" si="201"/>
        <v/>
      </c>
      <c r="V337" s="219" t="str">
        <f>IF($A338="","",IF(AND(MONTH(A337)&gt;3,MONTH(A337)&lt;11),(T337+R337+G337)*Summary!$T$11/(1-Summary!$T$11),(T337+R337+G337)*Summary!$U$11/(1-Summary!$U$11)))</f>
        <v/>
      </c>
      <c r="W337" s="43" t="str">
        <f t="shared" si="202"/>
        <v/>
      </c>
      <c r="X337" s="43" t="str">
        <f t="shared" si="203"/>
        <v/>
      </c>
      <c r="Y337" s="43"/>
      <c r="Z337" s="38" t="str">
        <f t="shared" si="204"/>
        <v/>
      </c>
      <c r="AA337" s="38" t="str">
        <f t="shared" si="205"/>
        <v/>
      </c>
      <c r="AB337" s="38" t="e">
        <f t="shared" si="206"/>
        <v>#VALUE!</v>
      </c>
      <c r="AC337" s="38" t="str">
        <f t="shared" si="207"/>
        <v/>
      </c>
      <c r="AD337" s="38" t="str">
        <f t="shared" si="207"/>
        <v/>
      </c>
      <c r="AE337" s="38" t="e">
        <f t="shared" si="208"/>
        <v>#VALUE!</v>
      </c>
      <c r="AF337" s="238" t="e">
        <f>((Summary!$N$11*(AA337*AD337)*(A337-$D$3))+(Summary!$M$11*Z337*AC337*(AJ337-EOMONTH(EDATE(A337,-1),0))))/(AK337*AB337*AE337)</f>
        <v>#VALUE!</v>
      </c>
      <c r="AG337" s="88" t="str">
        <f>IF($A338="","",Summary!$Q$11)</f>
        <v/>
      </c>
      <c r="AH337" s="88" t="str">
        <f>IF($A338="","",IF(Summary!$R$11="Y",(VLOOKUP($A337,Summary!$AD$6:$AF$9,3)+'Escalating commodity'!G350),'Escalating commodity'!G350))</f>
        <v/>
      </c>
      <c r="AI337" s="88" t="str">
        <f t="shared" si="223"/>
        <v/>
      </c>
      <c r="AJ337" s="236" t="e">
        <f t="shared" si="209"/>
        <v>#VALUE!</v>
      </c>
      <c r="AK337" s="58" t="str">
        <f t="shared" si="210"/>
        <v/>
      </c>
      <c r="AL337" s="26" t="str">
        <f>IF($A338="","",_xll.SPRDOPT(P337,X337,AI337,0,AB337,AE337,AF337,AK337,$AJ$2,0))</f>
        <v/>
      </c>
      <c r="AM337" s="209" t="str">
        <f t="shared" si="211"/>
        <v/>
      </c>
      <c r="AN337" s="89" t="str">
        <f t="shared" si="212"/>
        <v/>
      </c>
      <c r="AO337" s="3" t="str">
        <f t="shared" si="213"/>
        <v/>
      </c>
      <c r="AP337" s="33" t="str">
        <f t="shared" si="214"/>
        <v/>
      </c>
      <c r="AQ337" s="58" t="str">
        <f t="shared" si="215"/>
        <v/>
      </c>
      <c r="AR337" s="38">
        <f>'ANR OK vs ML7'!AR337</f>
        <v>0.1</v>
      </c>
      <c r="AS337" s="35" t="str">
        <f t="shared" si="216"/>
        <v/>
      </c>
      <c r="AT337" s="3" t="str">
        <f t="shared" si="217"/>
        <v/>
      </c>
      <c r="AU337" s="3" t="str">
        <f t="shared" si="218"/>
        <v/>
      </c>
      <c r="AW337" s="32" t="str">
        <f t="shared" si="219"/>
        <v/>
      </c>
      <c r="AX337" s="32" t="str">
        <f t="shared" si="220"/>
        <v/>
      </c>
      <c r="AY337" s="32" t="str">
        <f t="shared" si="221"/>
        <v/>
      </c>
      <c r="BA337" s="32" t="str">
        <f>IF($A338="","",F337*Summary!$Q$11)</f>
        <v/>
      </c>
    </row>
    <row r="338" spans="1:53" ht="12" customHeight="1">
      <c r="A338" s="67" t="str">
        <f t="shared" si="222"/>
        <v/>
      </c>
      <c r="B338" s="69" t="str">
        <f t="shared" si="224"/>
        <v/>
      </c>
      <c r="C338" s="71"/>
      <c r="D338" s="69" t="str">
        <f t="shared" si="188"/>
        <v/>
      </c>
      <c r="E338" s="70" t="str">
        <f t="shared" si="189"/>
        <v/>
      </c>
      <c r="F338" s="70" t="str">
        <f t="shared" si="190"/>
        <v/>
      </c>
      <c r="G338" s="63" t="str">
        <f t="shared" si="191"/>
        <v/>
      </c>
      <c r="H338" s="64" t="str">
        <f t="shared" si="192"/>
        <v/>
      </c>
      <c r="I338" s="43"/>
      <c r="J338" s="63" t="str">
        <f t="shared" si="193"/>
        <v/>
      </c>
      <c r="K338" s="64" t="str">
        <f t="shared" si="194"/>
        <v/>
      </c>
      <c r="L338" s="63" t="str">
        <f t="shared" si="195"/>
        <v/>
      </c>
      <c r="M338" s="64" t="str">
        <f t="shared" si="196"/>
        <v/>
      </c>
      <c r="N338" s="65"/>
      <c r="O338" s="63" t="str">
        <f t="shared" si="197"/>
        <v/>
      </c>
      <c r="P338" s="63" t="str">
        <f t="shared" si="198"/>
        <v/>
      </c>
      <c r="Q338" s="66"/>
      <c r="R338" s="63" t="str">
        <f t="shared" si="199"/>
        <v/>
      </c>
      <c r="S338" s="64" t="str">
        <f t="shared" si="200"/>
        <v/>
      </c>
      <c r="T338" s="38">
        <v>0</v>
      </c>
      <c r="U338" s="64" t="str">
        <f t="shared" si="201"/>
        <v/>
      </c>
      <c r="V338" s="219" t="str">
        <f>IF($A339="","",IF(AND(MONTH(A338)&gt;3,MONTH(A338)&lt;11),(T338+R338+G338)*Summary!$T$11/(1-Summary!$T$11),(T338+R338+G338)*Summary!$U$11/(1-Summary!$U$11)))</f>
        <v/>
      </c>
      <c r="W338" s="43" t="str">
        <f t="shared" si="202"/>
        <v/>
      </c>
      <c r="X338" s="43" t="str">
        <f t="shared" si="203"/>
        <v/>
      </c>
      <c r="Y338" s="43"/>
      <c r="Z338" s="38" t="str">
        <f t="shared" si="204"/>
        <v/>
      </c>
      <c r="AA338" s="38" t="str">
        <f t="shared" si="205"/>
        <v/>
      </c>
      <c r="AB338" s="38" t="e">
        <f t="shared" si="206"/>
        <v>#VALUE!</v>
      </c>
      <c r="AC338" s="38" t="str">
        <f t="shared" si="207"/>
        <v/>
      </c>
      <c r="AD338" s="38" t="str">
        <f t="shared" si="207"/>
        <v/>
      </c>
      <c r="AE338" s="38" t="e">
        <f t="shared" si="208"/>
        <v>#VALUE!</v>
      </c>
      <c r="AF338" s="238" t="e">
        <f>((Summary!$N$11*(AA338*AD338)*(A338-$D$3))+(Summary!$M$11*Z338*AC338*(AJ338-EOMONTH(EDATE(A338,-1),0))))/(AK338*AB338*AE338)</f>
        <v>#VALUE!</v>
      </c>
      <c r="AG338" s="88" t="str">
        <f>IF($A339="","",Summary!$Q$11)</f>
        <v/>
      </c>
      <c r="AH338" s="88" t="str">
        <f>IF($A339="","",IF(Summary!$R$11="Y",(VLOOKUP($A338,Summary!$AD$6:$AF$9,3)+'Escalating commodity'!G351),'Escalating commodity'!G351))</f>
        <v/>
      </c>
      <c r="AI338" s="88" t="str">
        <f t="shared" si="223"/>
        <v/>
      </c>
      <c r="AJ338" s="236" t="e">
        <f t="shared" si="209"/>
        <v>#VALUE!</v>
      </c>
      <c r="AK338" s="58" t="str">
        <f t="shared" si="210"/>
        <v/>
      </c>
      <c r="AL338" s="26" t="str">
        <f>IF($A339="","",_xll.SPRDOPT(P338,X338,AI338,0,AB338,AE338,AF338,AK338,$AJ$2,0))</f>
        <v/>
      </c>
      <c r="AM338" s="209" t="str">
        <f t="shared" si="211"/>
        <v/>
      </c>
      <c r="AN338" s="89" t="str">
        <f t="shared" si="212"/>
        <v/>
      </c>
      <c r="AO338" s="3" t="str">
        <f t="shared" si="213"/>
        <v/>
      </c>
      <c r="AP338" s="33" t="str">
        <f t="shared" si="214"/>
        <v/>
      </c>
      <c r="AQ338" s="58" t="str">
        <f t="shared" si="215"/>
        <v/>
      </c>
      <c r="AR338" s="38">
        <f>'ANR OK vs ML7'!AR338</f>
        <v>0.1</v>
      </c>
      <c r="AS338" s="35" t="str">
        <f t="shared" si="216"/>
        <v/>
      </c>
      <c r="AT338" s="3" t="str">
        <f t="shared" si="217"/>
        <v/>
      </c>
      <c r="AU338" s="3" t="str">
        <f t="shared" si="218"/>
        <v/>
      </c>
      <c r="AW338" s="32" t="str">
        <f t="shared" si="219"/>
        <v/>
      </c>
      <c r="AX338" s="32" t="str">
        <f t="shared" si="220"/>
        <v/>
      </c>
      <c r="AY338" s="32" t="str">
        <f t="shared" si="221"/>
        <v/>
      </c>
      <c r="BA338" s="32" t="str">
        <f>IF($A339="","",F338*Summary!$Q$11)</f>
        <v/>
      </c>
    </row>
    <row r="339" spans="1:53" ht="12" customHeight="1">
      <c r="A339" s="67" t="str">
        <f t="shared" si="222"/>
        <v/>
      </c>
      <c r="B339" s="69" t="str">
        <f t="shared" si="224"/>
        <v/>
      </c>
      <c r="C339" s="71"/>
      <c r="D339" s="69" t="str">
        <f t="shared" si="188"/>
        <v/>
      </c>
      <c r="E339" s="70" t="str">
        <f t="shared" si="189"/>
        <v/>
      </c>
      <c r="F339" s="70" t="str">
        <f t="shared" si="190"/>
        <v/>
      </c>
      <c r="G339" s="63" t="str">
        <f t="shared" si="191"/>
        <v/>
      </c>
      <c r="H339" s="64" t="str">
        <f t="shared" si="192"/>
        <v/>
      </c>
      <c r="I339" s="43"/>
      <c r="J339" s="63" t="str">
        <f t="shared" si="193"/>
        <v/>
      </c>
      <c r="K339" s="64" t="str">
        <f t="shared" si="194"/>
        <v/>
      </c>
      <c r="L339" s="63" t="str">
        <f t="shared" si="195"/>
        <v/>
      </c>
      <c r="M339" s="64" t="str">
        <f t="shared" si="196"/>
        <v/>
      </c>
      <c r="N339" s="65"/>
      <c r="O339" s="63" t="str">
        <f t="shared" si="197"/>
        <v/>
      </c>
      <c r="P339" s="63" t="str">
        <f t="shared" si="198"/>
        <v/>
      </c>
      <c r="Q339" s="66"/>
      <c r="R339" s="63" t="str">
        <f t="shared" si="199"/>
        <v/>
      </c>
      <c r="S339" s="64" t="str">
        <f t="shared" si="200"/>
        <v/>
      </c>
      <c r="T339" s="38">
        <v>0</v>
      </c>
      <c r="U339" s="64" t="str">
        <f t="shared" si="201"/>
        <v/>
      </c>
      <c r="V339" s="219" t="str">
        <f>IF($A340="","",IF(AND(MONTH(A339)&gt;3,MONTH(A339)&lt;11),(T339+R339+G339)*Summary!$T$11/(1-Summary!$T$11),(T339+R339+G339)*Summary!$U$11/(1-Summary!$U$11)))</f>
        <v/>
      </c>
      <c r="W339" s="43" t="str">
        <f t="shared" si="202"/>
        <v/>
      </c>
      <c r="X339" s="43" t="str">
        <f t="shared" si="203"/>
        <v/>
      </c>
      <c r="Y339" s="43"/>
      <c r="Z339" s="38" t="str">
        <f t="shared" si="204"/>
        <v/>
      </c>
      <c r="AA339" s="38" t="str">
        <f t="shared" si="205"/>
        <v/>
      </c>
      <c r="AB339" s="38" t="e">
        <f t="shared" si="206"/>
        <v>#VALUE!</v>
      </c>
      <c r="AC339" s="38" t="str">
        <f t="shared" si="207"/>
        <v/>
      </c>
      <c r="AD339" s="38" t="str">
        <f t="shared" si="207"/>
        <v/>
      </c>
      <c r="AE339" s="38" t="e">
        <f t="shared" si="208"/>
        <v>#VALUE!</v>
      </c>
      <c r="AF339" s="238" t="e">
        <f>((Summary!$N$11*(AA339*AD339)*(A339-$D$3))+(Summary!$M$11*Z339*AC339*(AJ339-EOMONTH(EDATE(A339,-1),0))))/(AK339*AB339*AE339)</f>
        <v>#VALUE!</v>
      </c>
      <c r="AG339" s="88" t="str">
        <f>IF($A340="","",Summary!$Q$11)</f>
        <v/>
      </c>
      <c r="AH339" s="88" t="str">
        <f>IF($A340="","",IF(Summary!$R$11="Y",(VLOOKUP($A339,Summary!$AD$6:$AF$9,3)+'Escalating commodity'!G352),'Escalating commodity'!G352))</f>
        <v/>
      </c>
      <c r="AI339" s="88" t="str">
        <f t="shared" si="223"/>
        <v/>
      </c>
      <c r="AJ339" s="236" t="e">
        <f t="shared" si="209"/>
        <v>#VALUE!</v>
      </c>
      <c r="AK339" s="58" t="str">
        <f t="shared" si="210"/>
        <v/>
      </c>
      <c r="AL339" s="26" t="str">
        <f>IF($A340="","",_xll.SPRDOPT(P339,X339,AI339,0,AB339,AE339,AF339,AK339,$AJ$2,0))</f>
        <v/>
      </c>
      <c r="AM339" s="209" t="str">
        <f t="shared" si="211"/>
        <v/>
      </c>
      <c r="AN339" s="89" t="str">
        <f t="shared" si="212"/>
        <v/>
      </c>
      <c r="AO339" s="3" t="str">
        <f t="shared" si="213"/>
        <v/>
      </c>
      <c r="AP339" s="33" t="str">
        <f t="shared" si="214"/>
        <v/>
      </c>
      <c r="AQ339" s="58" t="str">
        <f t="shared" si="215"/>
        <v/>
      </c>
      <c r="AR339" s="38">
        <f>'ANR OK vs ML7'!AR339</f>
        <v>0.1</v>
      </c>
      <c r="AS339" s="35" t="str">
        <f t="shared" si="216"/>
        <v/>
      </c>
      <c r="AT339" s="3" t="str">
        <f t="shared" si="217"/>
        <v/>
      </c>
      <c r="AU339" s="3" t="str">
        <f t="shared" si="218"/>
        <v/>
      </c>
      <c r="AW339" s="32" t="str">
        <f t="shared" si="219"/>
        <v/>
      </c>
      <c r="AX339" s="32" t="str">
        <f t="shared" si="220"/>
        <v/>
      </c>
      <c r="AY339" s="32" t="str">
        <f t="shared" si="221"/>
        <v/>
      </c>
      <c r="BA339" s="32" t="str">
        <f>IF($A340="","",F339*Summary!$Q$11)</f>
        <v/>
      </c>
    </row>
    <row r="340" spans="1:53" ht="12" customHeight="1">
      <c r="A340" s="67" t="str">
        <f t="shared" si="222"/>
        <v/>
      </c>
      <c r="B340" s="69" t="str">
        <f t="shared" si="224"/>
        <v/>
      </c>
      <c r="C340" s="71"/>
      <c r="D340" s="69" t="str">
        <f t="shared" si="188"/>
        <v/>
      </c>
      <c r="E340" s="70" t="str">
        <f t="shared" si="189"/>
        <v/>
      </c>
      <c r="F340" s="70" t="str">
        <f t="shared" si="190"/>
        <v/>
      </c>
      <c r="G340" s="63" t="str">
        <f t="shared" si="191"/>
        <v/>
      </c>
      <c r="H340" s="64" t="str">
        <f t="shared" si="192"/>
        <v/>
      </c>
      <c r="I340" s="43"/>
      <c r="J340" s="63" t="str">
        <f t="shared" si="193"/>
        <v/>
      </c>
      <c r="K340" s="64" t="str">
        <f t="shared" si="194"/>
        <v/>
      </c>
      <c r="L340" s="63" t="str">
        <f t="shared" si="195"/>
        <v/>
      </c>
      <c r="M340" s="64" t="str">
        <f t="shared" si="196"/>
        <v/>
      </c>
      <c r="N340" s="65"/>
      <c r="O340" s="63" t="str">
        <f t="shared" si="197"/>
        <v/>
      </c>
      <c r="P340" s="63" t="str">
        <f t="shared" si="198"/>
        <v/>
      </c>
      <c r="Q340" s="66"/>
      <c r="R340" s="63" t="str">
        <f t="shared" si="199"/>
        <v/>
      </c>
      <c r="S340" s="64" t="str">
        <f t="shared" si="200"/>
        <v/>
      </c>
      <c r="T340" s="38">
        <v>0</v>
      </c>
      <c r="U340" s="64" t="str">
        <f t="shared" si="201"/>
        <v/>
      </c>
      <c r="V340" s="219" t="str">
        <f>IF($A341="","",IF(AND(MONTH(A340)&gt;3,MONTH(A340)&lt;11),(T340+R340+G340)*Summary!$T$11/(1-Summary!$T$11),(T340+R340+G340)*Summary!$U$11/(1-Summary!$U$11)))</f>
        <v/>
      </c>
      <c r="W340" s="43" t="str">
        <f t="shared" si="202"/>
        <v/>
      </c>
      <c r="X340" s="43" t="str">
        <f t="shared" si="203"/>
        <v/>
      </c>
      <c r="Y340" s="43"/>
      <c r="Z340" s="38" t="str">
        <f t="shared" si="204"/>
        <v/>
      </c>
      <c r="AA340" s="38" t="str">
        <f t="shared" si="205"/>
        <v/>
      </c>
      <c r="AB340" s="38" t="e">
        <f t="shared" si="206"/>
        <v>#VALUE!</v>
      </c>
      <c r="AC340" s="38" t="str">
        <f t="shared" si="207"/>
        <v/>
      </c>
      <c r="AD340" s="38" t="str">
        <f t="shared" si="207"/>
        <v/>
      </c>
      <c r="AE340" s="38" t="e">
        <f t="shared" si="208"/>
        <v>#VALUE!</v>
      </c>
      <c r="AF340" s="238" t="e">
        <f>((Summary!$N$11*(AA340*AD340)*(A340-$D$3))+(Summary!$M$11*Z340*AC340*(AJ340-EOMONTH(EDATE(A340,-1),0))))/(AK340*AB340*AE340)</f>
        <v>#VALUE!</v>
      </c>
      <c r="AG340" s="88" t="str">
        <f>IF($A341="","",Summary!$Q$11)</f>
        <v/>
      </c>
      <c r="AH340" s="88" t="str">
        <f>IF($A341="","",IF(Summary!$R$11="Y",(VLOOKUP($A340,Summary!$AD$6:$AF$9,3)+'Escalating commodity'!G353),'Escalating commodity'!G353))</f>
        <v/>
      </c>
      <c r="AI340" s="88" t="str">
        <f t="shared" si="223"/>
        <v/>
      </c>
      <c r="AJ340" s="236" t="e">
        <f t="shared" si="209"/>
        <v>#VALUE!</v>
      </c>
      <c r="AK340" s="58" t="str">
        <f t="shared" si="210"/>
        <v/>
      </c>
      <c r="AL340" s="26" t="str">
        <f>IF($A341="","",_xll.SPRDOPT(P340,X340,AI340,0,AB340,AE340,AF340,AK340,$AJ$2,0))</f>
        <v/>
      </c>
      <c r="AM340" s="209" t="str">
        <f t="shared" si="211"/>
        <v/>
      </c>
      <c r="AN340" s="89" t="str">
        <f t="shared" si="212"/>
        <v/>
      </c>
      <c r="AO340" s="3" t="str">
        <f t="shared" si="213"/>
        <v/>
      </c>
      <c r="AP340" s="33" t="str">
        <f t="shared" si="214"/>
        <v/>
      </c>
      <c r="AQ340" s="58" t="str">
        <f t="shared" si="215"/>
        <v/>
      </c>
      <c r="AR340" s="38">
        <f>'ANR OK vs ML7'!AR340</f>
        <v>0.1</v>
      </c>
      <c r="AS340" s="35" t="str">
        <f t="shared" si="216"/>
        <v/>
      </c>
      <c r="AT340" s="3" t="str">
        <f t="shared" si="217"/>
        <v/>
      </c>
      <c r="AU340" s="3" t="str">
        <f t="shared" si="218"/>
        <v/>
      </c>
      <c r="AW340" s="32" t="str">
        <f t="shared" si="219"/>
        <v/>
      </c>
      <c r="AX340" s="32" t="str">
        <f t="shared" si="220"/>
        <v/>
      </c>
      <c r="AY340" s="32" t="str">
        <f t="shared" si="221"/>
        <v/>
      </c>
      <c r="BA340" s="32" t="str">
        <f>IF($A341="","",F340*Summary!$Q$11)</f>
        <v/>
      </c>
    </row>
    <row r="341" spans="1:53" ht="12" customHeight="1">
      <c r="A341" s="67" t="str">
        <f t="shared" si="222"/>
        <v/>
      </c>
      <c r="B341" s="69" t="str">
        <f t="shared" si="224"/>
        <v/>
      </c>
      <c r="C341" s="71"/>
      <c r="D341" s="69" t="str">
        <f t="shared" si="188"/>
        <v/>
      </c>
      <c r="E341" s="70" t="str">
        <f t="shared" si="189"/>
        <v/>
      </c>
      <c r="F341" s="70" t="str">
        <f t="shared" si="190"/>
        <v/>
      </c>
      <c r="G341" s="63" t="str">
        <f t="shared" si="191"/>
        <v/>
      </c>
      <c r="H341" s="64" t="str">
        <f t="shared" si="192"/>
        <v/>
      </c>
      <c r="I341" s="43"/>
      <c r="J341" s="63" t="str">
        <f t="shared" si="193"/>
        <v/>
      </c>
      <c r="K341" s="64" t="str">
        <f t="shared" si="194"/>
        <v/>
      </c>
      <c r="L341" s="63" t="str">
        <f t="shared" si="195"/>
        <v/>
      </c>
      <c r="M341" s="64" t="str">
        <f t="shared" si="196"/>
        <v/>
      </c>
      <c r="N341" s="65"/>
      <c r="O341" s="63" t="str">
        <f t="shared" si="197"/>
        <v/>
      </c>
      <c r="P341" s="63" t="str">
        <f t="shared" si="198"/>
        <v/>
      </c>
      <c r="Q341" s="66"/>
      <c r="R341" s="63" t="str">
        <f t="shared" si="199"/>
        <v/>
      </c>
      <c r="S341" s="64" t="str">
        <f t="shared" si="200"/>
        <v/>
      </c>
      <c r="T341" s="38">
        <v>0</v>
      </c>
      <c r="U341" s="64" t="str">
        <f t="shared" si="201"/>
        <v/>
      </c>
      <c r="V341" s="219" t="str">
        <f>IF($A342="","",IF(AND(MONTH(A341)&gt;3,MONTH(A341)&lt;11),(T341+R341+G341)*Summary!$T$11/(1-Summary!$T$11),(T341+R341+G341)*Summary!$U$11/(1-Summary!$U$11)))</f>
        <v/>
      </c>
      <c r="W341" s="43" t="str">
        <f t="shared" si="202"/>
        <v/>
      </c>
      <c r="X341" s="43" t="str">
        <f t="shared" si="203"/>
        <v/>
      </c>
      <c r="Y341" s="43"/>
      <c r="Z341" s="38" t="str">
        <f t="shared" si="204"/>
        <v/>
      </c>
      <c r="AA341" s="38" t="str">
        <f t="shared" si="205"/>
        <v/>
      </c>
      <c r="AB341" s="38" t="e">
        <f t="shared" si="206"/>
        <v>#VALUE!</v>
      </c>
      <c r="AC341" s="38" t="str">
        <f t="shared" si="207"/>
        <v/>
      </c>
      <c r="AD341" s="38" t="str">
        <f t="shared" si="207"/>
        <v/>
      </c>
      <c r="AE341" s="38" t="e">
        <f t="shared" si="208"/>
        <v>#VALUE!</v>
      </c>
      <c r="AF341" s="238" t="e">
        <f>((Summary!$N$11*(AA341*AD341)*(A341-$D$3))+(Summary!$M$11*Z341*AC341*(AJ341-EOMONTH(EDATE(A341,-1),0))))/(AK341*AB341*AE341)</f>
        <v>#VALUE!</v>
      </c>
      <c r="AG341" s="88" t="str">
        <f>IF($A342="","",Summary!$Q$11)</f>
        <v/>
      </c>
      <c r="AH341" s="88" t="str">
        <f>IF($A342="","",IF(Summary!$R$11="Y",(VLOOKUP($A341,Summary!$AD$6:$AF$9,3)+'Escalating commodity'!G354),'Escalating commodity'!G354))</f>
        <v/>
      </c>
      <c r="AI341" s="88" t="str">
        <f t="shared" si="223"/>
        <v/>
      </c>
      <c r="AJ341" s="236" t="e">
        <f t="shared" si="209"/>
        <v>#VALUE!</v>
      </c>
      <c r="AK341" s="58" t="str">
        <f t="shared" si="210"/>
        <v/>
      </c>
      <c r="AL341" s="26" t="str">
        <f>IF($A342="","",_xll.SPRDOPT(P341,X341,AI341,0,AB341,AE341,AF341,AK341,$AJ$2,0))</f>
        <v/>
      </c>
      <c r="AM341" s="209" t="str">
        <f t="shared" si="211"/>
        <v/>
      </c>
      <c r="AN341" s="89" t="str">
        <f t="shared" si="212"/>
        <v/>
      </c>
      <c r="AO341" s="3" t="str">
        <f t="shared" si="213"/>
        <v/>
      </c>
      <c r="AP341" s="33" t="str">
        <f t="shared" si="214"/>
        <v/>
      </c>
      <c r="AQ341" s="58" t="str">
        <f t="shared" si="215"/>
        <v/>
      </c>
      <c r="AR341" s="38">
        <f>'ANR OK vs ML7'!AR341</f>
        <v>0.1</v>
      </c>
      <c r="AS341" s="35" t="str">
        <f t="shared" si="216"/>
        <v/>
      </c>
      <c r="AT341" s="3" t="str">
        <f t="shared" si="217"/>
        <v/>
      </c>
      <c r="AU341" s="3" t="str">
        <f t="shared" si="218"/>
        <v/>
      </c>
      <c r="AW341" s="32" t="str">
        <f t="shared" si="219"/>
        <v/>
      </c>
      <c r="AX341" s="32" t="str">
        <f t="shared" si="220"/>
        <v/>
      </c>
      <c r="AY341" s="32" t="str">
        <f t="shared" si="221"/>
        <v/>
      </c>
      <c r="BA341" s="32" t="str">
        <f>IF($A342="","",F341*Summary!$Q$11)</f>
        <v/>
      </c>
    </row>
    <row r="342" spans="1:53" ht="12" customHeight="1">
      <c r="A342" s="67" t="str">
        <f t="shared" si="222"/>
        <v/>
      </c>
      <c r="B342" s="69" t="str">
        <f t="shared" si="224"/>
        <v/>
      </c>
      <c r="C342" s="71"/>
      <c r="D342" s="69" t="str">
        <f t="shared" si="188"/>
        <v/>
      </c>
      <c r="E342" s="70" t="str">
        <f t="shared" si="189"/>
        <v/>
      </c>
      <c r="F342" s="70" t="str">
        <f t="shared" si="190"/>
        <v/>
      </c>
      <c r="G342" s="63" t="str">
        <f t="shared" si="191"/>
        <v/>
      </c>
      <c r="H342" s="64" t="str">
        <f t="shared" si="192"/>
        <v/>
      </c>
      <c r="I342" s="43"/>
      <c r="J342" s="63" t="str">
        <f t="shared" si="193"/>
        <v/>
      </c>
      <c r="K342" s="64" t="str">
        <f t="shared" si="194"/>
        <v/>
      </c>
      <c r="L342" s="63" t="str">
        <f t="shared" si="195"/>
        <v/>
      </c>
      <c r="M342" s="64" t="str">
        <f t="shared" si="196"/>
        <v/>
      </c>
      <c r="N342" s="65"/>
      <c r="O342" s="63" t="str">
        <f t="shared" si="197"/>
        <v/>
      </c>
      <c r="P342" s="63" t="str">
        <f t="shared" si="198"/>
        <v/>
      </c>
      <c r="Q342" s="66"/>
      <c r="R342" s="63" t="str">
        <f t="shared" si="199"/>
        <v/>
      </c>
      <c r="S342" s="64" t="str">
        <f t="shared" si="200"/>
        <v/>
      </c>
      <c r="T342" s="38">
        <v>0</v>
      </c>
      <c r="U342" s="64" t="str">
        <f t="shared" si="201"/>
        <v/>
      </c>
      <c r="V342" s="219" t="str">
        <f>IF($A343="","",IF(AND(MONTH(A342)&gt;3,MONTH(A342)&lt;11),(T342+R342+G342)*Summary!$T$11/(1-Summary!$T$11),(T342+R342+G342)*Summary!$U$11/(1-Summary!$U$11)))</f>
        <v/>
      </c>
      <c r="W342" s="43" t="str">
        <f t="shared" si="202"/>
        <v/>
      </c>
      <c r="X342" s="43" t="str">
        <f t="shared" si="203"/>
        <v/>
      </c>
      <c r="Y342" s="43"/>
      <c r="Z342" s="38" t="str">
        <f t="shared" si="204"/>
        <v/>
      </c>
      <c r="AA342" s="38" t="str">
        <f t="shared" si="205"/>
        <v/>
      </c>
      <c r="AB342" s="38" t="e">
        <f t="shared" si="206"/>
        <v>#VALUE!</v>
      </c>
      <c r="AC342" s="38" t="str">
        <f t="shared" si="207"/>
        <v/>
      </c>
      <c r="AD342" s="38" t="str">
        <f t="shared" si="207"/>
        <v/>
      </c>
      <c r="AE342" s="38" t="e">
        <f t="shared" si="208"/>
        <v>#VALUE!</v>
      </c>
      <c r="AF342" s="238" t="e">
        <f>((Summary!$N$11*(AA342*AD342)*(A342-$D$3))+(Summary!$M$11*Z342*AC342*(AJ342-EOMONTH(EDATE(A342,-1),0))))/(AK342*AB342*AE342)</f>
        <v>#VALUE!</v>
      </c>
      <c r="AG342" s="88" t="str">
        <f>IF($A343="","",Summary!$Q$11)</f>
        <v/>
      </c>
      <c r="AH342" s="88" t="str">
        <f>IF($A343="","",IF(Summary!$R$11="Y",(VLOOKUP($A342,Summary!$AD$6:$AF$9,3)+'Escalating commodity'!G355),'Escalating commodity'!G355))</f>
        <v/>
      </c>
      <c r="AI342" s="88" t="str">
        <f t="shared" si="223"/>
        <v/>
      </c>
      <c r="AJ342" s="236" t="e">
        <f t="shared" si="209"/>
        <v>#VALUE!</v>
      </c>
      <c r="AK342" s="58" t="str">
        <f t="shared" si="210"/>
        <v/>
      </c>
      <c r="AL342" s="26" t="str">
        <f>IF($A343="","",_xll.SPRDOPT(P342,X342,AI342,0,AB342,AE342,AF342,AK342,$AJ$2,0))</f>
        <v/>
      </c>
      <c r="AM342" s="209" t="str">
        <f t="shared" si="211"/>
        <v/>
      </c>
      <c r="AN342" s="89" t="str">
        <f t="shared" si="212"/>
        <v/>
      </c>
      <c r="AO342" s="3" t="str">
        <f t="shared" si="213"/>
        <v/>
      </c>
      <c r="AP342" s="33" t="str">
        <f t="shared" si="214"/>
        <v/>
      </c>
      <c r="AQ342" s="58" t="str">
        <f t="shared" si="215"/>
        <v/>
      </c>
      <c r="AR342" s="38">
        <f>'ANR OK vs ML7'!AR342</f>
        <v>0.1</v>
      </c>
      <c r="AS342" s="35" t="str">
        <f t="shared" si="216"/>
        <v/>
      </c>
      <c r="AT342" s="3" t="str">
        <f t="shared" si="217"/>
        <v/>
      </c>
      <c r="AU342" s="3" t="str">
        <f t="shared" si="218"/>
        <v/>
      </c>
      <c r="AW342" s="32" t="str">
        <f t="shared" si="219"/>
        <v/>
      </c>
      <c r="AX342" s="32" t="str">
        <f t="shared" si="220"/>
        <v/>
      </c>
      <c r="AY342" s="32" t="str">
        <f t="shared" si="221"/>
        <v/>
      </c>
      <c r="BA342" s="32" t="str">
        <f>IF($A343="","",F342*Summary!$Q$11)</f>
        <v/>
      </c>
    </row>
    <row r="343" spans="1:53" ht="12" customHeight="1">
      <c r="A343" s="67" t="str">
        <f t="shared" si="222"/>
        <v/>
      </c>
      <c r="B343" s="69" t="str">
        <f t="shared" si="224"/>
        <v/>
      </c>
      <c r="C343" s="71"/>
      <c r="D343" s="69" t="str">
        <f t="shared" si="188"/>
        <v/>
      </c>
      <c r="E343" s="70" t="str">
        <f t="shared" si="189"/>
        <v/>
      </c>
      <c r="F343" s="70" t="str">
        <f t="shared" si="190"/>
        <v/>
      </c>
      <c r="G343" s="63" t="str">
        <f t="shared" si="191"/>
        <v/>
      </c>
      <c r="H343" s="64" t="str">
        <f t="shared" si="192"/>
        <v/>
      </c>
      <c r="I343" s="43"/>
      <c r="J343" s="63" t="str">
        <f t="shared" si="193"/>
        <v/>
      </c>
      <c r="K343" s="64" t="str">
        <f t="shared" si="194"/>
        <v/>
      </c>
      <c r="L343" s="63" t="str">
        <f t="shared" si="195"/>
        <v/>
      </c>
      <c r="M343" s="64" t="str">
        <f t="shared" si="196"/>
        <v/>
      </c>
      <c r="N343" s="65"/>
      <c r="O343" s="63" t="str">
        <f t="shared" si="197"/>
        <v/>
      </c>
      <c r="P343" s="63" t="str">
        <f t="shared" si="198"/>
        <v/>
      </c>
      <c r="Q343" s="66"/>
      <c r="R343" s="63" t="str">
        <f t="shared" si="199"/>
        <v/>
      </c>
      <c r="S343" s="64" t="str">
        <f t="shared" si="200"/>
        <v/>
      </c>
      <c r="T343" s="38">
        <v>0</v>
      </c>
      <c r="U343" s="64" t="str">
        <f t="shared" si="201"/>
        <v/>
      </c>
      <c r="V343" s="219" t="str">
        <f>IF($A344="","",IF(AND(MONTH(A343)&gt;3,MONTH(A343)&lt;11),(T343+R343+G343)*Summary!$T$11/(1-Summary!$T$11),(T343+R343+G343)*Summary!$U$11/(1-Summary!$U$11)))</f>
        <v/>
      </c>
      <c r="W343" s="43" t="str">
        <f t="shared" si="202"/>
        <v/>
      </c>
      <c r="X343" s="43" t="str">
        <f t="shared" si="203"/>
        <v/>
      </c>
      <c r="Y343" s="43"/>
      <c r="Z343" s="38" t="str">
        <f t="shared" si="204"/>
        <v/>
      </c>
      <c r="AA343" s="38" t="str">
        <f t="shared" si="205"/>
        <v/>
      </c>
      <c r="AB343" s="38" t="e">
        <f t="shared" si="206"/>
        <v>#VALUE!</v>
      </c>
      <c r="AC343" s="38" t="str">
        <f t="shared" si="207"/>
        <v/>
      </c>
      <c r="AD343" s="38" t="str">
        <f t="shared" si="207"/>
        <v/>
      </c>
      <c r="AE343" s="38" t="e">
        <f t="shared" si="208"/>
        <v>#VALUE!</v>
      </c>
      <c r="AF343" s="238" t="e">
        <f>((Summary!$N$11*(AA343*AD343)*(A343-$D$3))+(Summary!$M$11*Z343*AC343*(AJ343-EOMONTH(EDATE(A343,-1),0))))/(AK343*AB343*AE343)</f>
        <v>#VALUE!</v>
      </c>
      <c r="AG343" s="88" t="str">
        <f>IF($A344="","",Summary!$Q$11)</f>
        <v/>
      </c>
      <c r="AH343" s="88" t="str">
        <f>IF($A344="","",IF(Summary!$R$11="Y",(VLOOKUP($A343,Summary!$AD$6:$AF$9,3)+'Escalating commodity'!G356),'Escalating commodity'!G356))</f>
        <v/>
      </c>
      <c r="AI343" s="88" t="str">
        <f t="shared" si="223"/>
        <v/>
      </c>
      <c r="AJ343" s="236" t="e">
        <f t="shared" si="209"/>
        <v>#VALUE!</v>
      </c>
      <c r="AK343" s="58" t="str">
        <f t="shared" si="210"/>
        <v/>
      </c>
      <c r="AL343" s="26" t="str">
        <f>IF($A344="","",_xll.SPRDOPT(P343,X343,AI343,0,AB343,AE343,AF343,AK343,$AJ$2,0))</f>
        <v/>
      </c>
      <c r="AM343" s="209" t="str">
        <f t="shared" si="211"/>
        <v/>
      </c>
      <c r="AN343" s="89" t="str">
        <f t="shared" si="212"/>
        <v/>
      </c>
      <c r="AO343" s="3" t="str">
        <f t="shared" si="213"/>
        <v/>
      </c>
      <c r="AP343" s="33" t="str">
        <f t="shared" si="214"/>
        <v/>
      </c>
      <c r="AQ343" s="58" t="str">
        <f t="shared" si="215"/>
        <v/>
      </c>
      <c r="AR343" s="38">
        <f>'ANR OK vs ML7'!AR343</f>
        <v>0.1</v>
      </c>
      <c r="AS343" s="35" t="str">
        <f t="shared" si="216"/>
        <v/>
      </c>
      <c r="AT343" s="3" t="str">
        <f t="shared" si="217"/>
        <v/>
      </c>
      <c r="AU343" s="3" t="str">
        <f t="shared" si="218"/>
        <v/>
      </c>
      <c r="AW343" s="32" t="str">
        <f t="shared" si="219"/>
        <v/>
      </c>
      <c r="AX343" s="32" t="str">
        <f t="shared" si="220"/>
        <v/>
      </c>
      <c r="AY343" s="32" t="str">
        <f t="shared" si="221"/>
        <v/>
      </c>
      <c r="BA343" s="32" t="str">
        <f>IF($A344="","",F343*Summary!$Q$11)</f>
        <v/>
      </c>
    </row>
    <row r="344" spans="1:53" ht="12" customHeight="1">
      <c r="A344" s="67" t="str">
        <f t="shared" si="222"/>
        <v/>
      </c>
      <c r="B344" s="69" t="str">
        <f t="shared" si="224"/>
        <v/>
      </c>
      <c r="C344" s="71"/>
      <c r="D344" s="69" t="str">
        <f t="shared" si="188"/>
        <v/>
      </c>
      <c r="E344" s="70" t="str">
        <f t="shared" si="189"/>
        <v/>
      </c>
      <c r="F344" s="70" t="str">
        <f t="shared" si="190"/>
        <v/>
      </c>
      <c r="G344" s="63" t="str">
        <f t="shared" si="191"/>
        <v/>
      </c>
      <c r="H344" s="64" t="str">
        <f t="shared" si="192"/>
        <v/>
      </c>
      <c r="I344" s="43"/>
      <c r="J344" s="63" t="str">
        <f t="shared" si="193"/>
        <v/>
      </c>
      <c r="K344" s="64" t="str">
        <f t="shared" si="194"/>
        <v/>
      </c>
      <c r="L344" s="63" t="str">
        <f t="shared" si="195"/>
        <v/>
      </c>
      <c r="M344" s="64" t="str">
        <f t="shared" si="196"/>
        <v/>
      </c>
      <c r="N344" s="65"/>
      <c r="O344" s="63" t="str">
        <f t="shared" si="197"/>
        <v/>
      </c>
      <c r="P344" s="63" t="str">
        <f t="shared" si="198"/>
        <v/>
      </c>
      <c r="Q344" s="66"/>
      <c r="R344" s="63" t="str">
        <f t="shared" si="199"/>
        <v/>
      </c>
      <c r="S344" s="64" t="str">
        <f t="shared" si="200"/>
        <v/>
      </c>
      <c r="T344" s="38">
        <v>0</v>
      </c>
      <c r="U344" s="64" t="str">
        <f t="shared" si="201"/>
        <v/>
      </c>
      <c r="V344" s="219" t="str">
        <f>IF($A345="","",IF(AND(MONTH(A344)&gt;3,MONTH(A344)&lt;11),(T344+R344+G344)*Summary!$T$11/(1-Summary!$T$11),(T344+R344+G344)*Summary!$U$11/(1-Summary!$U$11)))</f>
        <v/>
      </c>
      <c r="W344" s="43" t="str">
        <f t="shared" si="202"/>
        <v/>
      </c>
      <c r="X344" s="43" t="str">
        <f t="shared" si="203"/>
        <v/>
      </c>
      <c r="Y344" s="43"/>
      <c r="Z344" s="38" t="str">
        <f t="shared" si="204"/>
        <v/>
      </c>
      <c r="AA344" s="38" t="str">
        <f t="shared" si="205"/>
        <v/>
      </c>
      <c r="AB344" s="38" t="e">
        <f t="shared" si="206"/>
        <v>#VALUE!</v>
      </c>
      <c r="AC344" s="38" t="str">
        <f t="shared" si="207"/>
        <v/>
      </c>
      <c r="AD344" s="38" t="str">
        <f t="shared" si="207"/>
        <v/>
      </c>
      <c r="AE344" s="38" t="e">
        <f t="shared" si="208"/>
        <v>#VALUE!</v>
      </c>
      <c r="AF344" s="238" t="e">
        <f>((Summary!$N$11*(AA344*AD344)*(A344-$D$3))+(Summary!$M$11*Z344*AC344*(AJ344-EOMONTH(EDATE(A344,-1),0))))/(AK344*AB344*AE344)</f>
        <v>#VALUE!</v>
      </c>
      <c r="AG344" s="88" t="str">
        <f>IF($A345="","",Summary!$Q$11)</f>
        <v/>
      </c>
      <c r="AH344" s="88" t="str">
        <f>IF($A345="","",IF(Summary!$R$11="Y",(VLOOKUP($A344,Summary!$AD$6:$AF$9,3)+'Escalating commodity'!G357),'Escalating commodity'!G357))</f>
        <v/>
      </c>
      <c r="AI344" s="88" t="str">
        <f t="shared" si="223"/>
        <v/>
      </c>
      <c r="AJ344" s="236" t="e">
        <f t="shared" si="209"/>
        <v>#VALUE!</v>
      </c>
      <c r="AK344" s="58" t="str">
        <f t="shared" si="210"/>
        <v/>
      </c>
      <c r="AL344" s="26" t="str">
        <f>IF($A345="","",_xll.SPRDOPT(P344,X344,AI344,0,AB344,AE344,AF344,AK344,$AJ$2,0))</f>
        <v/>
      </c>
      <c r="AM344" s="209" t="str">
        <f t="shared" si="211"/>
        <v/>
      </c>
      <c r="AN344" s="89" t="str">
        <f t="shared" si="212"/>
        <v/>
      </c>
      <c r="AO344" s="3" t="str">
        <f t="shared" si="213"/>
        <v/>
      </c>
      <c r="AP344" s="33" t="str">
        <f t="shared" si="214"/>
        <v/>
      </c>
      <c r="AQ344" s="58" t="str">
        <f t="shared" si="215"/>
        <v/>
      </c>
      <c r="AR344" s="38">
        <f>'ANR OK vs ML7'!AR344</f>
        <v>0.1</v>
      </c>
      <c r="AS344" s="35" t="str">
        <f t="shared" si="216"/>
        <v/>
      </c>
      <c r="AT344" s="3" t="str">
        <f t="shared" si="217"/>
        <v/>
      </c>
      <c r="AU344" s="3" t="str">
        <f t="shared" si="218"/>
        <v/>
      </c>
      <c r="AW344" s="32" t="str">
        <f t="shared" si="219"/>
        <v/>
      </c>
      <c r="AX344" s="32" t="str">
        <f t="shared" si="220"/>
        <v/>
      </c>
      <c r="AY344" s="32" t="str">
        <f t="shared" si="221"/>
        <v/>
      </c>
      <c r="BA344" s="32" t="str">
        <f>IF($A345="","",F344*Summary!$Q$11)</f>
        <v/>
      </c>
    </row>
    <row r="345" spans="1:53" ht="12" customHeight="1">
      <c r="A345" s="67" t="str">
        <f t="shared" si="222"/>
        <v/>
      </c>
      <c r="B345" s="69" t="str">
        <f t="shared" si="224"/>
        <v/>
      </c>
      <c r="C345" s="71"/>
      <c r="D345" s="69" t="str">
        <f t="shared" si="188"/>
        <v/>
      </c>
      <c r="E345" s="70" t="str">
        <f t="shared" si="189"/>
        <v/>
      </c>
      <c r="F345" s="70" t="str">
        <f t="shared" si="190"/>
        <v/>
      </c>
      <c r="G345" s="63" t="str">
        <f t="shared" si="191"/>
        <v/>
      </c>
      <c r="H345" s="64" t="str">
        <f t="shared" si="192"/>
        <v/>
      </c>
      <c r="I345" s="43"/>
      <c r="J345" s="63" t="str">
        <f t="shared" si="193"/>
        <v/>
      </c>
      <c r="K345" s="64" t="str">
        <f t="shared" si="194"/>
        <v/>
      </c>
      <c r="L345" s="63" t="str">
        <f t="shared" si="195"/>
        <v/>
      </c>
      <c r="M345" s="64" t="str">
        <f t="shared" si="196"/>
        <v/>
      </c>
      <c r="N345" s="65"/>
      <c r="O345" s="63" t="str">
        <f t="shared" si="197"/>
        <v/>
      </c>
      <c r="P345" s="63" t="str">
        <f t="shared" si="198"/>
        <v/>
      </c>
      <c r="Q345" s="66"/>
      <c r="R345" s="63" t="str">
        <f t="shared" si="199"/>
        <v/>
      </c>
      <c r="S345" s="64" t="str">
        <f t="shared" si="200"/>
        <v/>
      </c>
      <c r="T345" s="38">
        <v>0</v>
      </c>
      <c r="U345" s="64" t="str">
        <f t="shared" si="201"/>
        <v/>
      </c>
      <c r="V345" s="219" t="str">
        <f>IF($A346="","",IF(AND(MONTH(A345)&gt;3,MONTH(A345)&lt;11),(T345+R345+G345)*Summary!$T$11/(1-Summary!$T$11),(T345+R345+G345)*Summary!$U$11/(1-Summary!$U$11)))</f>
        <v/>
      </c>
      <c r="W345" s="43" t="str">
        <f t="shared" si="202"/>
        <v/>
      </c>
      <c r="X345" s="43" t="str">
        <f t="shared" si="203"/>
        <v/>
      </c>
      <c r="Y345" s="43"/>
      <c r="Z345" s="38" t="str">
        <f t="shared" si="204"/>
        <v/>
      </c>
      <c r="AA345" s="38" t="str">
        <f t="shared" si="205"/>
        <v/>
      </c>
      <c r="AB345" s="38" t="e">
        <f t="shared" si="206"/>
        <v>#VALUE!</v>
      </c>
      <c r="AC345" s="38" t="str">
        <f t="shared" si="207"/>
        <v/>
      </c>
      <c r="AD345" s="38" t="str">
        <f t="shared" si="207"/>
        <v/>
      </c>
      <c r="AE345" s="38" t="e">
        <f t="shared" si="208"/>
        <v>#VALUE!</v>
      </c>
      <c r="AF345" s="238" t="e">
        <f>((Summary!$N$11*(AA345*AD345)*(A345-$D$3))+(Summary!$M$11*Z345*AC345*(AJ345-EOMONTH(EDATE(A345,-1),0))))/(AK345*AB345*AE345)</f>
        <v>#VALUE!</v>
      </c>
      <c r="AG345" s="88" t="str">
        <f>IF($A346="","",Summary!$Q$11)</f>
        <v/>
      </c>
      <c r="AH345" s="88" t="str">
        <f>IF($A346="","",IF(Summary!$R$11="Y",(VLOOKUP($A345,Summary!$AD$6:$AF$9,3)+'Escalating commodity'!G358),'Escalating commodity'!G358))</f>
        <v/>
      </c>
      <c r="AI345" s="88" t="str">
        <f t="shared" si="223"/>
        <v/>
      </c>
      <c r="AJ345" s="236" t="e">
        <f t="shared" si="209"/>
        <v>#VALUE!</v>
      </c>
      <c r="AK345" s="58" t="str">
        <f t="shared" si="210"/>
        <v/>
      </c>
      <c r="AL345" s="26" t="str">
        <f>IF($A346="","",_xll.SPRDOPT(P345,X345,AI345,0,AB345,AE345,AF345,AK345,$AJ$2,0))</f>
        <v/>
      </c>
      <c r="AM345" s="209" t="str">
        <f t="shared" si="211"/>
        <v/>
      </c>
      <c r="AN345" s="89" t="str">
        <f t="shared" si="212"/>
        <v/>
      </c>
      <c r="AO345" s="3" t="str">
        <f t="shared" si="213"/>
        <v/>
      </c>
      <c r="AP345" s="33" t="str">
        <f t="shared" si="214"/>
        <v/>
      </c>
      <c r="AQ345" s="58" t="str">
        <f t="shared" si="215"/>
        <v/>
      </c>
      <c r="AR345" s="38">
        <f>'ANR OK vs ML7'!AR345</f>
        <v>0.1</v>
      </c>
      <c r="AS345" s="35" t="str">
        <f t="shared" si="216"/>
        <v/>
      </c>
      <c r="AT345" s="3" t="str">
        <f t="shared" si="217"/>
        <v/>
      </c>
      <c r="AU345" s="3" t="str">
        <f t="shared" si="218"/>
        <v/>
      </c>
      <c r="AW345" s="32" t="str">
        <f t="shared" si="219"/>
        <v/>
      </c>
      <c r="AX345" s="32" t="str">
        <f t="shared" si="220"/>
        <v/>
      </c>
      <c r="AY345" s="32" t="str">
        <f t="shared" si="221"/>
        <v/>
      </c>
      <c r="BA345" s="32" t="str">
        <f>IF($A346="","",F345*Summary!$Q$11)</f>
        <v/>
      </c>
    </row>
    <row r="346" spans="1:53" ht="12" customHeight="1">
      <c r="A346" s="67" t="str">
        <f t="shared" si="222"/>
        <v/>
      </c>
      <c r="B346" s="69" t="str">
        <f t="shared" si="224"/>
        <v/>
      </c>
      <c r="C346" s="71"/>
      <c r="D346" s="69" t="str">
        <f t="shared" si="188"/>
        <v/>
      </c>
      <c r="E346" s="70" t="str">
        <f t="shared" si="189"/>
        <v/>
      </c>
      <c r="F346" s="70" t="str">
        <f t="shared" si="190"/>
        <v/>
      </c>
      <c r="G346" s="63" t="str">
        <f t="shared" si="191"/>
        <v/>
      </c>
      <c r="H346" s="64" t="str">
        <f t="shared" si="192"/>
        <v/>
      </c>
      <c r="I346" s="43"/>
      <c r="J346" s="63" t="str">
        <f t="shared" si="193"/>
        <v/>
      </c>
      <c r="K346" s="64" t="str">
        <f t="shared" si="194"/>
        <v/>
      </c>
      <c r="L346" s="63" t="str">
        <f t="shared" si="195"/>
        <v/>
      </c>
      <c r="M346" s="64" t="str">
        <f t="shared" si="196"/>
        <v/>
      </c>
      <c r="N346" s="65"/>
      <c r="O346" s="63" t="str">
        <f t="shared" si="197"/>
        <v/>
      </c>
      <c r="P346" s="63" t="str">
        <f t="shared" si="198"/>
        <v/>
      </c>
      <c r="Q346" s="66"/>
      <c r="R346" s="63" t="str">
        <f t="shared" si="199"/>
        <v/>
      </c>
      <c r="S346" s="64" t="str">
        <f t="shared" si="200"/>
        <v/>
      </c>
      <c r="T346" s="38">
        <v>0</v>
      </c>
      <c r="U346" s="64" t="str">
        <f t="shared" si="201"/>
        <v/>
      </c>
      <c r="V346" s="219" t="str">
        <f>IF($A347="","",IF(AND(MONTH(A346)&gt;3,MONTH(A346)&lt;11),(T346+R346+G346)*Summary!$T$11/(1-Summary!$T$11),(T346+R346+G346)*Summary!$U$11/(1-Summary!$U$11)))</f>
        <v/>
      </c>
      <c r="W346" s="43" t="str">
        <f t="shared" si="202"/>
        <v/>
      </c>
      <c r="X346" s="43" t="str">
        <f t="shared" si="203"/>
        <v/>
      </c>
      <c r="Y346" s="43"/>
      <c r="Z346" s="38" t="str">
        <f t="shared" si="204"/>
        <v/>
      </c>
      <c r="AA346" s="38" t="str">
        <f t="shared" si="205"/>
        <v/>
      </c>
      <c r="AB346" s="38" t="e">
        <f t="shared" si="206"/>
        <v>#VALUE!</v>
      </c>
      <c r="AC346" s="38" t="str">
        <f t="shared" si="207"/>
        <v/>
      </c>
      <c r="AD346" s="38" t="str">
        <f t="shared" si="207"/>
        <v/>
      </c>
      <c r="AE346" s="38" t="e">
        <f t="shared" si="208"/>
        <v>#VALUE!</v>
      </c>
      <c r="AF346" s="238" t="e">
        <f>((Summary!$N$11*(AA346*AD346)*(A346-$D$3))+(Summary!$M$11*Z346*AC346*(AJ346-EOMONTH(EDATE(A346,-1),0))))/(AK346*AB346*AE346)</f>
        <v>#VALUE!</v>
      </c>
      <c r="AG346" s="88" t="str">
        <f>IF($A347="","",Summary!$Q$11)</f>
        <v/>
      </c>
      <c r="AH346" s="88" t="str">
        <f>IF($A347="","",IF(Summary!$R$11="Y",(VLOOKUP($A346,Summary!$AD$6:$AF$9,3)+'Escalating commodity'!G359),'Escalating commodity'!G359))</f>
        <v/>
      </c>
      <c r="AI346" s="88" t="str">
        <f t="shared" si="223"/>
        <v/>
      </c>
      <c r="AJ346" s="236" t="e">
        <f t="shared" si="209"/>
        <v>#VALUE!</v>
      </c>
      <c r="AK346" s="58" t="str">
        <f t="shared" si="210"/>
        <v/>
      </c>
      <c r="AL346" s="26" t="str">
        <f>IF($A347="","",_xll.SPRDOPT(P346,X346,AI346,0,AB346,AE346,AF346,AK346,$AJ$2,0))</f>
        <v/>
      </c>
      <c r="AM346" s="209" t="str">
        <f t="shared" si="211"/>
        <v/>
      </c>
      <c r="AN346" s="89" t="str">
        <f t="shared" si="212"/>
        <v/>
      </c>
      <c r="AO346" s="3" t="str">
        <f t="shared" si="213"/>
        <v/>
      </c>
      <c r="AP346" s="33" t="str">
        <f t="shared" si="214"/>
        <v/>
      </c>
      <c r="AQ346" s="58" t="str">
        <f t="shared" si="215"/>
        <v/>
      </c>
      <c r="AR346" s="38">
        <f>'ANR OK vs ML7'!AR346</f>
        <v>0.1</v>
      </c>
      <c r="AS346" s="35" t="str">
        <f t="shared" si="216"/>
        <v/>
      </c>
      <c r="AT346" s="3" t="str">
        <f t="shared" si="217"/>
        <v/>
      </c>
      <c r="AU346" s="3" t="str">
        <f t="shared" si="218"/>
        <v/>
      </c>
      <c r="AW346" s="32" t="str">
        <f t="shared" si="219"/>
        <v/>
      </c>
      <c r="AX346" s="32" t="str">
        <f t="shared" si="220"/>
        <v/>
      </c>
      <c r="AY346" s="32" t="str">
        <f t="shared" si="221"/>
        <v/>
      </c>
      <c r="BA346" s="32" t="str">
        <f>IF($A347="","",F346*Summary!$Q$11)</f>
        <v/>
      </c>
    </row>
    <row r="347" spans="1:53" ht="12" customHeight="1">
      <c r="A347" s="67" t="str">
        <f t="shared" si="222"/>
        <v/>
      </c>
      <c r="B347" s="69" t="str">
        <f t="shared" si="224"/>
        <v/>
      </c>
      <c r="C347" s="71"/>
      <c r="D347" s="69" t="str">
        <f t="shared" si="188"/>
        <v/>
      </c>
      <c r="E347" s="70" t="str">
        <f t="shared" si="189"/>
        <v/>
      </c>
      <c r="F347" s="70" t="str">
        <f t="shared" si="190"/>
        <v/>
      </c>
      <c r="G347" s="63" t="str">
        <f t="shared" si="191"/>
        <v/>
      </c>
      <c r="H347" s="64" t="str">
        <f t="shared" si="192"/>
        <v/>
      </c>
      <c r="I347" s="43"/>
      <c r="J347" s="63" t="str">
        <f t="shared" si="193"/>
        <v/>
      </c>
      <c r="K347" s="64" t="str">
        <f t="shared" si="194"/>
        <v/>
      </c>
      <c r="L347" s="63" t="str">
        <f t="shared" si="195"/>
        <v/>
      </c>
      <c r="M347" s="64" t="str">
        <f t="shared" si="196"/>
        <v/>
      </c>
      <c r="N347" s="65"/>
      <c r="O347" s="63" t="str">
        <f t="shared" si="197"/>
        <v/>
      </c>
      <c r="P347" s="63" t="str">
        <f t="shared" si="198"/>
        <v/>
      </c>
      <c r="Q347" s="66"/>
      <c r="R347" s="63" t="str">
        <f t="shared" si="199"/>
        <v/>
      </c>
      <c r="S347" s="64" t="str">
        <f t="shared" si="200"/>
        <v/>
      </c>
      <c r="T347" s="38">
        <v>0</v>
      </c>
      <c r="U347" s="64" t="str">
        <f t="shared" si="201"/>
        <v/>
      </c>
      <c r="V347" s="219" t="str">
        <f>IF($A348="","",IF(AND(MONTH(A347)&gt;3,MONTH(A347)&lt;11),(T347+R347+G347)*Summary!$T$11/(1-Summary!$T$11),(T347+R347+G347)*Summary!$U$11/(1-Summary!$U$11)))</f>
        <v/>
      </c>
      <c r="W347" s="43" t="str">
        <f t="shared" si="202"/>
        <v/>
      </c>
      <c r="X347" s="43" t="str">
        <f t="shared" si="203"/>
        <v/>
      </c>
      <c r="Y347" s="43"/>
      <c r="Z347" s="38" t="str">
        <f t="shared" si="204"/>
        <v/>
      </c>
      <c r="AA347" s="38" t="str">
        <f t="shared" si="205"/>
        <v/>
      </c>
      <c r="AB347" s="38" t="e">
        <f t="shared" si="206"/>
        <v>#VALUE!</v>
      </c>
      <c r="AC347" s="38" t="str">
        <f t="shared" si="207"/>
        <v/>
      </c>
      <c r="AD347" s="38" t="str">
        <f t="shared" si="207"/>
        <v/>
      </c>
      <c r="AE347" s="38" t="e">
        <f t="shared" si="208"/>
        <v>#VALUE!</v>
      </c>
      <c r="AF347" s="238" t="e">
        <f>((Summary!$N$11*(AA347*AD347)*(A347-$D$3))+(Summary!$M$11*Z347*AC347*(AJ347-EOMONTH(EDATE(A347,-1),0))))/(AK347*AB347*AE347)</f>
        <v>#VALUE!</v>
      </c>
      <c r="AG347" s="88" t="str">
        <f>IF($A348="","",Summary!$Q$11)</f>
        <v/>
      </c>
      <c r="AH347" s="88" t="str">
        <f>IF($A348="","",IF(Summary!$R$11="Y",(VLOOKUP($A347,Summary!$AD$6:$AF$9,3)+'Escalating commodity'!G360),'Escalating commodity'!G360))</f>
        <v/>
      </c>
      <c r="AI347" s="88" t="str">
        <f t="shared" si="223"/>
        <v/>
      </c>
      <c r="AJ347" s="236" t="e">
        <f t="shared" si="209"/>
        <v>#VALUE!</v>
      </c>
      <c r="AK347" s="58" t="str">
        <f t="shared" si="210"/>
        <v/>
      </c>
      <c r="AL347" s="26" t="str">
        <f>IF($A348="","",_xll.SPRDOPT(P347,X347,AI347,0,AB347,AE347,AF347,AK347,$AJ$2,0))</f>
        <v/>
      </c>
      <c r="AM347" s="209" t="str">
        <f t="shared" si="211"/>
        <v/>
      </c>
      <c r="AN347" s="89" t="str">
        <f t="shared" si="212"/>
        <v/>
      </c>
      <c r="AO347" s="3" t="str">
        <f t="shared" si="213"/>
        <v/>
      </c>
      <c r="AP347" s="33" t="str">
        <f t="shared" si="214"/>
        <v/>
      </c>
      <c r="AQ347" s="58" t="str">
        <f t="shared" si="215"/>
        <v/>
      </c>
      <c r="AR347" s="38">
        <f>'ANR OK vs ML7'!AR347</f>
        <v>0.1</v>
      </c>
      <c r="AS347" s="35" t="str">
        <f t="shared" si="216"/>
        <v/>
      </c>
      <c r="AT347" s="3" t="str">
        <f t="shared" si="217"/>
        <v/>
      </c>
      <c r="AU347" s="3" t="str">
        <f t="shared" si="218"/>
        <v/>
      </c>
      <c r="AW347" s="32" t="str">
        <f t="shared" si="219"/>
        <v/>
      </c>
      <c r="AX347" s="32" t="str">
        <f t="shared" si="220"/>
        <v/>
      </c>
      <c r="AY347" s="32" t="str">
        <f t="shared" si="221"/>
        <v/>
      </c>
      <c r="BA347" s="32" t="str">
        <f>IF($A348="","",F347*Summary!$Q$11)</f>
        <v/>
      </c>
    </row>
    <row r="348" spans="1:53" ht="12" customHeight="1">
      <c r="A348" s="67" t="str">
        <f t="shared" si="222"/>
        <v/>
      </c>
      <c r="B348" s="69" t="str">
        <f t="shared" si="224"/>
        <v/>
      </c>
      <c r="C348" s="71"/>
      <c r="D348" s="69" t="str">
        <f t="shared" si="188"/>
        <v/>
      </c>
      <c r="E348" s="70" t="str">
        <f t="shared" si="189"/>
        <v/>
      </c>
      <c r="F348" s="70" t="str">
        <f t="shared" si="190"/>
        <v/>
      </c>
      <c r="G348" s="63" t="str">
        <f t="shared" si="191"/>
        <v/>
      </c>
      <c r="H348" s="64" t="str">
        <f t="shared" si="192"/>
        <v/>
      </c>
      <c r="I348" s="43"/>
      <c r="J348" s="63" t="str">
        <f t="shared" si="193"/>
        <v/>
      </c>
      <c r="K348" s="64" t="str">
        <f t="shared" si="194"/>
        <v/>
      </c>
      <c r="L348" s="63" t="str">
        <f t="shared" si="195"/>
        <v/>
      </c>
      <c r="M348" s="64" t="str">
        <f t="shared" si="196"/>
        <v/>
      </c>
      <c r="N348" s="65"/>
      <c r="O348" s="63" t="str">
        <f t="shared" si="197"/>
        <v/>
      </c>
      <c r="P348" s="63" t="str">
        <f t="shared" si="198"/>
        <v/>
      </c>
      <c r="Q348" s="66"/>
      <c r="R348" s="63" t="str">
        <f t="shared" si="199"/>
        <v/>
      </c>
      <c r="S348" s="64" t="str">
        <f t="shared" si="200"/>
        <v/>
      </c>
      <c r="T348" s="38">
        <v>0</v>
      </c>
      <c r="U348" s="64" t="str">
        <f t="shared" si="201"/>
        <v/>
      </c>
      <c r="V348" s="219" t="str">
        <f>IF($A349="","",IF(AND(MONTH(A348)&gt;3,MONTH(A348)&lt;11),(T348+R348+G348)*Summary!$T$11/(1-Summary!$T$11),(T348+R348+G348)*Summary!$U$11/(1-Summary!$U$11)))</f>
        <v/>
      </c>
      <c r="W348" s="43" t="str">
        <f t="shared" si="202"/>
        <v/>
      </c>
      <c r="X348" s="43" t="str">
        <f t="shared" si="203"/>
        <v/>
      </c>
      <c r="Y348" s="43"/>
      <c r="Z348" s="38" t="str">
        <f t="shared" si="204"/>
        <v/>
      </c>
      <c r="AA348" s="38" t="str">
        <f t="shared" si="205"/>
        <v/>
      </c>
      <c r="AB348" s="38" t="e">
        <f t="shared" si="206"/>
        <v>#VALUE!</v>
      </c>
      <c r="AC348" s="38" t="str">
        <f t="shared" si="207"/>
        <v/>
      </c>
      <c r="AD348" s="38" t="str">
        <f t="shared" si="207"/>
        <v/>
      </c>
      <c r="AE348" s="38" t="e">
        <f t="shared" si="208"/>
        <v>#VALUE!</v>
      </c>
      <c r="AF348" s="238" t="e">
        <f>((Summary!$N$11*(AA348*AD348)*(A348-$D$3))+(Summary!$M$11*Z348*AC348*(AJ348-EOMONTH(EDATE(A348,-1),0))))/(AK348*AB348*AE348)</f>
        <v>#VALUE!</v>
      </c>
      <c r="AG348" s="88" t="str">
        <f>IF($A349="","",Summary!$Q$11)</f>
        <v/>
      </c>
      <c r="AH348" s="88" t="str">
        <f>IF($A349="","",IF(Summary!$R$11="Y",(VLOOKUP($A348,Summary!$AD$6:$AF$9,3)+'Escalating commodity'!G361),'Escalating commodity'!G361))</f>
        <v/>
      </c>
      <c r="AI348" s="88" t="str">
        <f t="shared" si="223"/>
        <v/>
      </c>
      <c r="AJ348" s="236" t="e">
        <f t="shared" si="209"/>
        <v>#VALUE!</v>
      </c>
      <c r="AK348" s="58" t="str">
        <f t="shared" si="210"/>
        <v/>
      </c>
      <c r="AL348" s="26" t="str">
        <f>IF($A349="","",_xll.SPRDOPT(P348,X348,AI348,0,AB348,AE348,AF348,AK348,$AJ$2,0))</f>
        <v/>
      </c>
      <c r="AM348" s="209" t="str">
        <f t="shared" si="211"/>
        <v/>
      </c>
      <c r="AN348" s="89" t="str">
        <f t="shared" si="212"/>
        <v/>
      </c>
      <c r="AO348" s="3" t="str">
        <f t="shared" si="213"/>
        <v/>
      </c>
      <c r="AP348" s="33" t="str">
        <f t="shared" si="214"/>
        <v/>
      </c>
      <c r="AQ348" s="58" t="str">
        <f t="shared" si="215"/>
        <v/>
      </c>
      <c r="AR348" s="38">
        <f>'ANR OK vs ML7'!AR348</f>
        <v>0.1</v>
      </c>
      <c r="AS348" s="35" t="str">
        <f t="shared" si="216"/>
        <v/>
      </c>
      <c r="AT348" s="3" t="str">
        <f t="shared" si="217"/>
        <v/>
      </c>
      <c r="AU348" s="3" t="str">
        <f t="shared" si="218"/>
        <v/>
      </c>
      <c r="AW348" s="32" t="str">
        <f t="shared" si="219"/>
        <v/>
      </c>
      <c r="AX348" s="32" t="str">
        <f t="shared" si="220"/>
        <v/>
      </c>
      <c r="AY348" s="32" t="str">
        <f t="shared" si="221"/>
        <v/>
      </c>
      <c r="BA348" s="32" t="str">
        <f>IF($A349="","",F348*Summary!$Q$11)</f>
        <v/>
      </c>
    </row>
    <row r="349" spans="1:53" ht="12" customHeight="1">
      <c r="A349" s="67" t="str">
        <f t="shared" si="222"/>
        <v/>
      </c>
      <c r="B349" s="69" t="str">
        <f t="shared" si="224"/>
        <v/>
      </c>
      <c r="C349" s="71"/>
      <c r="D349" s="69" t="str">
        <f t="shared" si="188"/>
        <v/>
      </c>
      <c r="E349" s="70" t="str">
        <f t="shared" si="189"/>
        <v/>
      </c>
      <c r="F349" s="70" t="str">
        <f t="shared" si="190"/>
        <v/>
      </c>
      <c r="G349" s="63" t="str">
        <f t="shared" si="191"/>
        <v/>
      </c>
      <c r="H349" s="64" t="str">
        <f t="shared" si="192"/>
        <v/>
      </c>
      <c r="I349" s="43"/>
      <c r="J349" s="63" t="str">
        <f t="shared" si="193"/>
        <v/>
      </c>
      <c r="K349" s="64" t="str">
        <f t="shared" si="194"/>
        <v/>
      </c>
      <c r="L349" s="63" t="str">
        <f t="shared" si="195"/>
        <v/>
      </c>
      <c r="M349" s="64" t="str">
        <f t="shared" si="196"/>
        <v/>
      </c>
      <c r="N349" s="65"/>
      <c r="O349" s="63" t="str">
        <f t="shared" si="197"/>
        <v/>
      </c>
      <c r="P349" s="63" t="str">
        <f t="shared" si="198"/>
        <v/>
      </c>
      <c r="Q349" s="66"/>
      <c r="R349" s="63" t="str">
        <f t="shared" si="199"/>
        <v/>
      </c>
      <c r="S349" s="64" t="str">
        <f t="shared" si="200"/>
        <v/>
      </c>
      <c r="T349" s="38">
        <v>0</v>
      </c>
      <c r="U349" s="64" t="str">
        <f t="shared" si="201"/>
        <v/>
      </c>
      <c r="V349" s="219" t="str">
        <f>IF($A350="","",IF(AND(MONTH(A349)&gt;3,MONTH(A349)&lt;11),(T349+R349+G349)*Summary!$T$11/(1-Summary!$T$11),(T349+R349+G349)*Summary!$U$11/(1-Summary!$U$11)))</f>
        <v/>
      </c>
      <c r="W349" s="43" t="str">
        <f t="shared" si="202"/>
        <v/>
      </c>
      <c r="X349" s="43" t="str">
        <f t="shared" si="203"/>
        <v/>
      </c>
      <c r="Y349" s="43"/>
      <c r="Z349" s="38" t="str">
        <f t="shared" si="204"/>
        <v/>
      </c>
      <c r="AA349" s="38" t="str">
        <f t="shared" si="205"/>
        <v/>
      </c>
      <c r="AB349" s="38" t="e">
        <f t="shared" si="206"/>
        <v>#VALUE!</v>
      </c>
      <c r="AC349" s="38" t="str">
        <f t="shared" si="207"/>
        <v/>
      </c>
      <c r="AD349" s="38" t="str">
        <f t="shared" si="207"/>
        <v/>
      </c>
      <c r="AE349" s="38" t="e">
        <f t="shared" si="208"/>
        <v>#VALUE!</v>
      </c>
      <c r="AF349" s="238" t="e">
        <f>((Summary!$N$11*(AA349*AD349)*(A349-$D$3))+(Summary!$M$11*Z349*AC349*(AJ349-EOMONTH(EDATE(A349,-1),0))))/(AK349*AB349*AE349)</f>
        <v>#VALUE!</v>
      </c>
      <c r="AG349" s="88" t="str">
        <f>IF($A350="","",Summary!$Q$11)</f>
        <v/>
      </c>
      <c r="AH349" s="88" t="str">
        <f>IF($A350="","",IF(Summary!$R$11="Y",(VLOOKUP($A349,Summary!$AD$6:$AF$9,3)+'Escalating commodity'!G362),'Escalating commodity'!G362))</f>
        <v/>
      </c>
      <c r="AI349" s="88" t="str">
        <f t="shared" si="223"/>
        <v/>
      </c>
      <c r="AJ349" s="236" t="e">
        <f t="shared" si="209"/>
        <v>#VALUE!</v>
      </c>
      <c r="AK349" s="58" t="str">
        <f t="shared" si="210"/>
        <v/>
      </c>
      <c r="AL349" s="26" t="str">
        <f>IF($A350="","",_xll.SPRDOPT(P349,X349,AI349,0,AB349,AE349,AF349,AK349,$AJ$2,0))</f>
        <v/>
      </c>
      <c r="AM349" s="209" t="str">
        <f t="shared" si="211"/>
        <v/>
      </c>
      <c r="AN349" s="89" t="str">
        <f t="shared" si="212"/>
        <v/>
      </c>
      <c r="AO349" s="3" t="str">
        <f t="shared" si="213"/>
        <v/>
      </c>
      <c r="AP349" s="33" t="str">
        <f t="shared" si="214"/>
        <v/>
      </c>
      <c r="AQ349" s="58" t="str">
        <f t="shared" si="215"/>
        <v/>
      </c>
      <c r="AR349" s="38">
        <f>'ANR OK vs ML7'!AR349</f>
        <v>0.1</v>
      </c>
      <c r="AS349" s="35" t="str">
        <f t="shared" si="216"/>
        <v/>
      </c>
      <c r="AT349" s="3" t="str">
        <f t="shared" si="217"/>
        <v/>
      </c>
      <c r="AU349" s="3" t="str">
        <f t="shared" si="218"/>
        <v/>
      </c>
      <c r="AW349" s="32" t="str">
        <f t="shared" si="219"/>
        <v/>
      </c>
      <c r="AX349" s="32" t="str">
        <f t="shared" si="220"/>
        <v/>
      </c>
      <c r="AY349" s="32" t="str">
        <f t="shared" si="221"/>
        <v/>
      </c>
      <c r="BA349" s="32" t="str">
        <f>IF($A350="","",F349*Summary!$Q$11)</f>
        <v/>
      </c>
    </row>
    <row r="350" spans="1:53" ht="12" customHeight="1">
      <c r="A350" s="67" t="str">
        <f t="shared" si="222"/>
        <v/>
      </c>
      <c r="B350" s="69" t="str">
        <f t="shared" si="224"/>
        <v/>
      </c>
      <c r="C350" s="71"/>
      <c r="D350" s="69" t="str">
        <f t="shared" si="188"/>
        <v/>
      </c>
      <c r="E350" s="70" t="str">
        <f t="shared" si="189"/>
        <v/>
      </c>
      <c r="F350" s="70" t="str">
        <f t="shared" si="190"/>
        <v/>
      </c>
      <c r="G350" s="63" t="str">
        <f t="shared" si="191"/>
        <v/>
      </c>
      <c r="H350" s="64" t="str">
        <f t="shared" si="192"/>
        <v/>
      </c>
      <c r="I350" s="43"/>
      <c r="J350" s="63" t="str">
        <f t="shared" si="193"/>
        <v/>
      </c>
      <c r="K350" s="64" t="str">
        <f t="shared" si="194"/>
        <v/>
      </c>
      <c r="L350" s="63" t="str">
        <f t="shared" si="195"/>
        <v/>
      </c>
      <c r="M350" s="64" t="str">
        <f t="shared" si="196"/>
        <v/>
      </c>
      <c r="N350" s="65"/>
      <c r="O350" s="63" t="str">
        <f t="shared" si="197"/>
        <v/>
      </c>
      <c r="P350" s="63" t="str">
        <f t="shared" si="198"/>
        <v/>
      </c>
      <c r="Q350" s="66"/>
      <c r="R350" s="63" t="str">
        <f t="shared" si="199"/>
        <v/>
      </c>
      <c r="S350" s="64" t="str">
        <f t="shared" si="200"/>
        <v/>
      </c>
      <c r="T350" s="38">
        <v>0</v>
      </c>
      <c r="U350" s="64" t="str">
        <f t="shared" si="201"/>
        <v/>
      </c>
      <c r="V350" s="219" t="str">
        <f>IF($A351="","",IF(AND(MONTH(A350)&gt;3,MONTH(A350)&lt;11),(T350+R350+G350)*Summary!$T$11/(1-Summary!$T$11),(T350+R350+G350)*Summary!$U$11/(1-Summary!$U$11)))</f>
        <v/>
      </c>
      <c r="W350" s="43" t="str">
        <f t="shared" si="202"/>
        <v/>
      </c>
      <c r="X350" s="43" t="str">
        <f t="shared" si="203"/>
        <v/>
      </c>
      <c r="Y350" s="43"/>
      <c r="Z350" s="38" t="str">
        <f t="shared" si="204"/>
        <v/>
      </c>
      <c r="AA350" s="38" t="str">
        <f t="shared" si="205"/>
        <v/>
      </c>
      <c r="AB350" s="38" t="e">
        <f t="shared" si="206"/>
        <v>#VALUE!</v>
      </c>
      <c r="AC350" s="38" t="str">
        <f t="shared" si="207"/>
        <v/>
      </c>
      <c r="AD350" s="38" t="str">
        <f t="shared" si="207"/>
        <v/>
      </c>
      <c r="AE350" s="38" t="e">
        <f t="shared" si="208"/>
        <v>#VALUE!</v>
      </c>
      <c r="AF350" s="238" t="e">
        <f>((Summary!$N$11*(AA350*AD350)*(A350-$D$3))+(Summary!$M$11*Z350*AC350*(AJ350-EOMONTH(EDATE(A350,-1),0))))/(AK350*AB350*AE350)</f>
        <v>#VALUE!</v>
      </c>
      <c r="AG350" s="88" t="str">
        <f>IF($A351="","",Summary!$Q$11)</f>
        <v/>
      </c>
      <c r="AH350" s="88" t="str">
        <f>IF($A351="","",IF(Summary!$R$11="Y",(VLOOKUP($A350,Summary!$AD$6:$AF$9,3)+'Escalating commodity'!G363),'Escalating commodity'!G363))</f>
        <v/>
      </c>
      <c r="AI350" s="88" t="str">
        <f t="shared" si="223"/>
        <v/>
      </c>
      <c r="AJ350" s="236" t="e">
        <f t="shared" si="209"/>
        <v>#VALUE!</v>
      </c>
      <c r="AK350" s="58" t="str">
        <f t="shared" si="210"/>
        <v/>
      </c>
      <c r="AL350" s="26" t="str">
        <f>IF($A351="","",_xll.SPRDOPT(P350,X350,AI350,0,AB350,AE350,AF350,AK350,$AJ$2,0))</f>
        <v/>
      </c>
      <c r="AM350" s="209" t="str">
        <f t="shared" si="211"/>
        <v/>
      </c>
      <c r="AN350" s="89" t="str">
        <f t="shared" si="212"/>
        <v/>
      </c>
      <c r="AO350" s="3" t="str">
        <f t="shared" si="213"/>
        <v/>
      </c>
      <c r="AP350" s="33" t="str">
        <f t="shared" si="214"/>
        <v/>
      </c>
      <c r="AQ350" s="58" t="str">
        <f t="shared" si="215"/>
        <v/>
      </c>
      <c r="AR350" s="38">
        <f>'ANR OK vs ML7'!AR350</f>
        <v>0.1</v>
      </c>
      <c r="AS350" s="35" t="str">
        <f t="shared" si="216"/>
        <v/>
      </c>
      <c r="AT350" s="3" t="str">
        <f t="shared" si="217"/>
        <v/>
      </c>
      <c r="AU350" s="3" t="str">
        <f t="shared" si="218"/>
        <v/>
      </c>
      <c r="AW350" s="32" t="str">
        <f t="shared" si="219"/>
        <v/>
      </c>
      <c r="AX350" s="32" t="str">
        <f t="shared" si="220"/>
        <v/>
      </c>
      <c r="AY350" s="32" t="str">
        <f t="shared" si="221"/>
        <v/>
      </c>
      <c r="BA350" s="32" t="str">
        <f>IF($A351="","",F350*Summary!$Q$11)</f>
        <v/>
      </c>
    </row>
    <row r="351" spans="1:53" ht="12" customHeight="1">
      <c r="A351" s="67" t="str">
        <f t="shared" si="222"/>
        <v/>
      </c>
      <c r="B351" s="69" t="str">
        <f t="shared" si="224"/>
        <v/>
      </c>
      <c r="C351" s="71"/>
      <c r="D351" s="69" t="str">
        <f t="shared" si="188"/>
        <v/>
      </c>
      <c r="E351" s="70" t="str">
        <f t="shared" si="189"/>
        <v/>
      </c>
      <c r="F351" s="70" t="str">
        <f t="shared" si="190"/>
        <v/>
      </c>
      <c r="G351" s="63" t="str">
        <f t="shared" si="191"/>
        <v/>
      </c>
      <c r="H351" s="64" t="str">
        <f t="shared" si="192"/>
        <v/>
      </c>
      <c r="I351" s="43"/>
      <c r="J351" s="63" t="str">
        <f t="shared" si="193"/>
        <v/>
      </c>
      <c r="K351" s="64" t="str">
        <f t="shared" si="194"/>
        <v/>
      </c>
      <c r="L351" s="63" t="str">
        <f t="shared" si="195"/>
        <v/>
      </c>
      <c r="M351" s="64" t="str">
        <f t="shared" si="196"/>
        <v/>
      </c>
      <c r="N351" s="65"/>
      <c r="O351" s="63" t="str">
        <f t="shared" si="197"/>
        <v/>
      </c>
      <c r="P351" s="63" t="str">
        <f t="shared" si="198"/>
        <v/>
      </c>
      <c r="Q351" s="66"/>
      <c r="R351" s="63" t="str">
        <f t="shared" si="199"/>
        <v/>
      </c>
      <c r="S351" s="64" t="str">
        <f t="shared" si="200"/>
        <v/>
      </c>
      <c r="T351" s="38">
        <v>0</v>
      </c>
      <c r="U351" s="64" t="str">
        <f t="shared" si="201"/>
        <v/>
      </c>
      <c r="V351" s="219" t="str">
        <f>IF($A352="","",IF(AND(MONTH(A351)&gt;3,MONTH(A351)&lt;11),(T351+R351+G351)*Summary!$T$11/(1-Summary!$T$11),(T351+R351+G351)*Summary!$U$11/(1-Summary!$U$11)))</f>
        <v/>
      </c>
      <c r="W351" s="43" t="str">
        <f t="shared" si="202"/>
        <v/>
      </c>
      <c r="X351" s="43" t="str">
        <f t="shared" si="203"/>
        <v/>
      </c>
      <c r="Y351" s="43"/>
      <c r="Z351" s="38" t="str">
        <f t="shared" si="204"/>
        <v/>
      </c>
      <c r="AA351" s="38" t="str">
        <f t="shared" si="205"/>
        <v/>
      </c>
      <c r="AB351" s="38" t="e">
        <f t="shared" si="206"/>
        <v>#VALUE!</v>
      </c>
      <c r="AC351" s="38" t="str">
        <f t="shared" si="207"/>
        <v/>
      </c>
      <c r="AD351" s="38" t="str">
        <f t="shared" si="207"/>
        <v/>
      </c>
      <c r="AE351" s="38" t="e">
        <f t="shared" si="208"/>
        <v>#VALUE!</v>
      </c>
      <c r="AF351" s="238" t="e">
        <f>((Summary!$N$11*(AA351*AD351)*(A351-$D$3))+(Summary!$M$11*Z351*AC351*(AJ351-EOMONTH(EDATE(A351,-1),0))))/(AK351*AB351*AE351)</f>
        <v>#VALUE!</v>
      </c>
      <c r="AG351" s="88" t="str">
        <f>IF($A352="","",Summary!$Q$11)</f>
        <v/>
      </c>
      <c r="AH351" s="88" t="str">
        <f>IF($A352="","",IF(Summary!$R$11="Y",(VLOOKUP($A351,Summary!$AD$6:$AF$9,3)+'Escalating commodity'!G364),'Escalating commodity'!G364))</f>
        <v/>
      </c>
      <c r="AI351" s="88" t="str">
        <f t="shared" si="223"/>
        <v/>
      </c>
      <c r="AJ351" s="236" t="e">
        <f t="shared" si="209"/>
        <v>#VALUE!</v>
      </c>
      <c r="AK351" s="58" t="str">
        <f t="shared" si="210"/>
        <v/>
      </c>
      <c r="AL351" s="26" t="str">
        <f>IF($A352="","",_xll.SPRDOPT(P351,X351,AI351,0,AB351,AE351,AF351,AK351,$AJ$2,0))</f>
        <v/>
      </c>
      <c r="AM351" s="209" t="str">
        <f t="shared" si="211"/>
        <v/>
      </c>
      <c r="AN351" s="89" t="str">
        <f t="shared" si="212"/>
        <v/>
      </c>
      <c r="AO351" s="3" t="str">
        <f t="shared" si="213"/>
        <v/>
      </c>
      <c r="AP351" s="33" t="str">
        <f t="shared" si="214"/>
        <v/>
      </c>
      <c r="AQ351" s="58" t="str">
        <f t="shared" si="215"/>
        <v/>
      </c>
      <c r="AR351" s="38">
        <f>'ANR OK vs ML7'!AR351</f>
        <v>0.1</v>
      </c>
      <c r="AS351" s="35" t="str">
        <f t="shared" si="216"/>
        <v/>
      </c>
      <c r="AT351" s="3" t="str">
        <f t="shared" si="217"/>
        <v/>
      </c>
      <c r="AU351" s="3" t="str">
        <f t="shared" si="218"/>
        <v/>
      </c>
      <c r="AW351" s="32" t="str">
        <f t="shared" si="219"/>
        <v/>
      </c>
      <c r="AX351" s="32" t="str">
        <f t="shared" si="220"/>
        <v/>
      </c>
      <c r="AY351" s="32" t="str">
        <f t="shared" si="221"/>
        <v/>
      </c>
      <c r="BA351" s="32" t="str">
        <f>IF($A352="","",F351*Summary!$Q$11)</f>
        <v/>
      </c>
    </row>
    <row r="352" spans="1:53" ht="12" customHeight="1">
      <c r="A352" s="67" t="str">
        <f t="shared" si="222"/>
        <v/>
      </c>
      <c r="B352" s="69" t="str">
        <f t="shared" si="224"/>
        <v/>
      </c>
      <c r="C352" s="71"/>
      <c r="D352" s="69" t="str">
        <f t="shared" si="188"/>
        <v/>
      </c>
      <c r="E352" s="70" t="str">
        <f t="shared" si="189"/>
        <v/>
      </c>
      <c r="F352" s="70" t="str">
        <f t="shared" si="190"/>
        <v/>
      </c>
      <c r="G352" s="63" t="str">
        <f t="shared" si="191"/>
        <v/>
      </c>
      <c r="H352" s="64" t="str">
        <f t="shared" si="192"/>
        <v/>
      </c>
      <c r="I352" s="43"/>
      <c r="J352" s="63" t="str">
        <f t="shared" si="193"/>
        <v/>
      </c>
      <c r="K352" s="64" t="str">
        <f t="shared" si="194"/>
        <v/>
      </c>
      <c r="L352" s="63" t="str">
        <f t="shared" si="195"/>
        <v/>
      </c>
      <c r="M352" s="64" t="str">
        <f t="shared" si="196"/>
        <v/>
      </c>
      <c r="N352" s="65"/>
      <c r="O352" s="63" t="str">
        <f t="shared" si="197"/>
        <v/>
      </c>
      <c r="P352" s="63" t="str">
        <f t="shared" si="198"/>
        <v/>
      </c>
      <c r="Q352" s="66"/>
      <c r="R352" s="63" t="str">
        <f t="shared" si="199"/>
        <v/>
      </c>
      <c r="S352" s="64" t="str">
        <f t="shared" si="200"/>
        <v/>
      </c>
      <c r="T352" s="38">
        <v>0</v>
      </c>
      <c r="U352" s="64" t="str">
        <f t="shared" si="201"/>
        <v/>
      </c>
      <c r="V352" s="219" t="str">
        <f>IF($A353="","",IF(AND(MONTH(A352)&gt;3,MONTH(A352)&lt;11),(T352+R352+G352)*Summary!$T$11/(1-Summary!$T$11),(T352+R352+G352)*Summary!$U$11/(1-Summary!$U$11)))</f>
        <v/>
      </c>
      <c r="W352" s="43" t="str">
        <f t="shared" si="202"/>
        <v/>
      </c>
      <c r="X352" s="43" t="str">
        <f t="shared" si="203"/>
        <v/>
      </c>
      <c r="Y352" s="43"/>
      <c r="Z352" s="38" t="str">
        <f t="shared" si="204"/>
        <v/>
      </c>
      <c r="AA352" s="38" t="str">
        <f t="shared" si="205"/>
        <v/>
      </c>
      <c r="AB352" s="38" t="e">
        <f t="shared" si="206"/>
        <v>#VALUE!</v>
      </c>
      <c r="AC352" s="38" t="str">
        <f t="shared" si="207"/>
        <v/>
      </c>
      <c r="AD352" s="38" t="str">
        <f t="shared" si="207"/>
        <v/>
      </c>
      <c r="AE352" s="38" t="e">
        <f t="shared" si="208"/>
        <v>#VALUE!</v>
      </c>
      <c r="AF352" s="238" t="e">
        <f>((Summary!$N$11*(AA352*AD352)*(A352-$D$3))+(Summary!$M$11*Z352*AC352*(AJ352-EOMONTH(EDATE(A352,-1),0))))/(AK352*AB352*AE352)</f>
        <v>#VALUE!</v>
      </c>
      <c r="AG352" s="88" t="str">
        <f>IF($A353="","",Summary!$Q$11)</f>
        <v/>
      </c>
      <c r="AH352" s="88" t="str">
        <f>IF($A353="","",IF(Summary!$R$11="Y",(VLOOKUP($A352,Summary!$AD$6:$AF$9,3)+'Escalating commodity'!G365),'Escalating commodity'!G365))</f>
        <v/>
      </c>
      <c r="AI352" s="88" t="str">
        <f t="shared" si="223"/>
        <v/>
      </c>
      <c r="AJ352" s="236" t="e">
        <f t="shared" si="209"/>
        <v>#VALUE!</v>
      </c>
      <c r="AK352" s="58" t="str">
        <f t="shared" si="210"/>
        <v/>
      </c>
      <c r="AL352" s="26" t="str">
        <f>IF($A353="","",_xll.SPRDOPT(P352,X352,AI352,0,AB352,AE352,AF352,AK352,$AJ$2,0))</f>
        <v/>
      </c>
      <c r="AM352" s="209" t="str">
        <f t="shared" si="211"/>
        <v/>
      </c>
      <c r="AN352" s="89" t="str">
        <f t="shared" si="212"/>
        <v/>
      </c>
      <c r="AO352" s="3" t="str">
        <f t="shared" si="213"/>
        <v/>
      </c>
      <c r="AP352" s="33" t="str">
        <f t="shared" si="214"/>
        <v/>
      </c>
      <c r="AQ352" s="58" t="str">
        <f t="shared" si="215"/>
        <v/>
      </c>
      <c r="AR352" s="38">
        <f>'ANR OK vs ML7'!AR352</f>
        <v>0.1</v>
      </c>
      <c r="AS352" s="35" t="str">
        <f t="shared" si="216"/>
        <v/>
      </c>
      <c r="AT352" s="3" t="str">
        <f t="shared" si="217"/>
        <v/>
      </c>
      <c r="AU352" s="3" t="str">
        <f t="shared" si="218"/>
        <v/>
      </c>
      <c r="AW352" s="32" t="str">
        <f t="shared" si="219"/>
        <v/>
      </c>
      <c r="AX352" s="32" t="str">
        <f t="shared" si="220"/>
        <v/>
      </c>
      <c r="AY352" s="32" t="str">
        <f t="shared" si="221"/>
        <v/>
      </c>
      <c r="BA352" s="32" t="str">
        <f>IF($A353="","",F352*Summary!$Q$11)</f>
        <v/>
      </c>
    </row>
    <row r="353" spans="1:53" ht="12" customHeight="1">
      <c r="A353" s="67" t="str">
        <f t="shared" si="222"/>
        <v/>
      </c>
      <c r="B353" s="69" t="str">
        <f t="shared" si="224"/>
        <v/>
      </c>
      <c r="C353" s="71"/>
      <c r="D353" s="69" t="str">
        <f t="shared" si="188"/>
        <v/>
      </c>
      <c r="E353" s="70" t="str">
        <f t="shared" si="189"/>
        <v/>
      </c>
      <c r="F353" s="70" t="str">
        <f t="shared" si="190"/>
        <v/>
      </c>
      <c r="G353" s="63" t="str">
        <f t="shared" si="191"/>
        <v/>
      </c>
      <c r="H353" s="64" t="str">
        <f t="shared" si="192"/>
        <v/>
      </c>
      <c r="I353" s="43"/>
      <c r="J353" s="63" t="str">
        <f t="shared" si="193"/>
        <v/>
      </c>
      <c r="K353" s="64" t="str">
        <f t="shared" si="194"/>
        <v/>
      </c>
      <c r="L353" s="63" t="str">
        <f t="shared" si="195"/>
        <v/>
      </c>
      <c r="M353" s="64" t="str">
        <f t="shared" si="196"/>
        <v/>
      </c>
      <c r="N353" s="65"/>
      <c r="O353" s="63" t="str">
        <f t="shared" si="197"/>
        <v/>
      </c>
      <c r="P353" s="63" t="str">
        <f t="shared" si="198"/>
        <v/>
      </c>
      <c r="Q353" s="66"/>
      <c r="R353" s="63" t="str">
        <f t="shared" si="199"/>
        <v/>
      </c>
      <c r="S353" s="64" t="str">
        <f t="shared" si="200"/>
        <v/>
      </c>
      <c r="T353" s="38">
        <v>0</v>
      </c>
      <c r="U353" s="64" t="str">
        <f t="shared" si="201"/>
        <v/>
      </c>
      <c r="V353" s="219" t="str">
        <f>IF($A354="","",IF(AND(MONTH(A353)&gt;3,MONTH(A353)&lt;11),(T353+R353+G353)*Summary!$T$11/(1-Summary!$T$11),(T353+R353+G353)*Summary!$U$11/(1-Summary!$U$11)))</f>
        <v/>
      </c>
      <c r="W353" s="43" t="str">
        <f t="shared" si="202"/>
        <v/>
      </c>
      <c r="X353" s="43" t="str">
        <f t="shared" si="203"/>
        <v/>
      </c>
      <c r="Y353" s="43"/>
      <c r="Z353" s="38" t="str">
        <f t="shared" si="204"/>
        <v/>
      </c>
      <c r="AA353" s="38" t="str">
        <f t="shared" si="205"/>
        <v/>
      </c>
      <c r="AB353" s="38" t="e">
        <f t="shared" si="206"/>
        <v>#VALUE!</v>
      </c>
      <c r="AC353" s="38" t="str">
        <f t="shared" si="207"/>
        <v/>
      </c>
      <c r="AD353" s="38" t="str">
        <f t="shared" si="207"/>
        <v/>
      </c>
      <c r="AE353" s="38" t="e">
        <f t="shared" si="208"/>
        <v>#VALUE!</v>
      </c>
      <c r="AF353" s="238" t="e">
        <f>((Summary!$N$11*(AA353*AD353)*(A353-$D$3))+(Summary!$M$11*Z353*AC353*(AJ353-EOMONTH(EDATE(A353,-1),0))))/(AK353*AB353*AE353)</f>
        <v>#VALUE!</v>
      </c>
      <c r="AG353" s="88" t="str">
        <f>IF($A354="","",Summary!$Q$11)</f>
        <v/>
      </c>
      <c r="AH353" s="88" t="str">
        <f>IF($A354="","",IF(Summary!$R$11="Y",(VLOOKUP($A353,Summary!$AD$6:$AF$9,3)+'Escalating commodity'!G366),'Escalating commodity'!G366))</f>
        <v/>
      </c>
      <c r="AI353" s="88" t="str">
        <f t="shared" si="223"/>
        <v/>
      </c>
      <c r="AJ353" s="236" t="e">
        <f t="shared" si="209"/>
        <v>#VALUE!</v>
      </c>
      <c r="AK353" s="58" t="str">
        <f t="shared" si="210"/>
        <v/>
      </c>
      <c r="AL353" s="26" t="str">
        <f>IF($A354="","",_xll.SPRDOPT(P353,X353,AI353,0,AB353,AE353,AF353,AK353,$AJ$2,0))</f>
        <v/>
      </c>
      <c r="AM353" s="209" t="str">
        <f t="shared" si="211"/>
        <v/>
      </c>
      <c r="AN353" s="89" t="str">
        <f t="shared" si="212"/>
        <v/>
      </c>
      <c r="AO353" s="3" t="str">
        <f t="shared" si="213"/>
        <v/>
      </c>
      <c r="AP353" s="33" t="str">
        <f t="shared" si="214"/>
        <v/>
      </c>
      <c r="AQ353" s="58" t="str">
        <f t="shared" si="215"/>
        <v/>
      </c>
      <c r="AR353" s="38">
        <f>'ANR OK vs ML7'!AR353</f>
        <v>0.1</v>
      </c>
      <c r="AS353" s="35" t="str">
        <f t="shared" si="216"/>
        <v/>
      </c>
      <c r="AT353" s="3" t="str">
        <f t="shared" si="217"/>
        <v/>
      </c>
      <c r="AU353" s="3" t="str">
        <f t="shared" si="218"/>
        <v/>
      </c>
      <c r="AW353" s="32" t="str">
        <f t="shared" si="219"/>
        <v/>
      </c>
      <c r="AX353" s="32" t="str">
        <f t="shared" si="220"/>
        <v/>
      </c>
      <c r="AY353" s="32" t="str">
        <f t="shared" si="221"/>
        <v/>
      </c>
      <c r="BA353" s="32" t="str">
        <f>IF($A354="","",F353*Summary!$Q$11)</f>
        <v/>
      </c>
    </row>
    <row r="354" spans="1:53" ht="12" customHeight="1">
      <c r="A354" s="67" t="str">
        <f t="shared" si="222"/>
        <v/>
      </c>
      <c r="B354" s="69" t="str">
        <f t="shared" si="224"/>
        <v/>
      </c>
      <c r="C354" s="71"/>
      <c r="D354" s="69" t="str">
        <f t="shared" si="188"/>
        <v/>
      </c>
      <c r="E354" s="70" t="str">
        <f t="shared" si="189"/>
        <v/>
      </c>
      <c r="F354" s="70" t="str">
        <f t="shared" si="190"/>
        <v/>
      </c>
      <c r="G354" s="63" t="str">
        <f t="shared" si="191"/>
        <v/>
      </c>
      <c r="H354" s="64" t="str">
        <f t="shared" si="192"/>
        <v/>
      </c>
      <c r="I354" s="43"/>
      <c r="J354" s="63" t="str">
        <f t="shared" si="193"/>
        <v/>
      </c>
      <c r="K354" s="64" t="str">
        <f t="shared" si="194"/>
        <v/>
      </c>
      <c r="L354" s="63" t="str">
        <f t="shared" si="195"/>
        <v/>
      </c>
      <c r="M354" s="64" t="str">
        <f t="shared" si="196"/>
        <v/>
      </c>
      <c r="N354" s="65"/>
      <c r="O354" s="63" t="str">
        <f t="shared" si="197"/>
        <v/>
      </c>
      <c r="P354" s="63" t="str">
        <f t="shared" si="198"/>
        <v/>
      </c>
      <c r="Q354" s="66"/>
      <c r="R354" s="63" t="str">
        <f t="shared" si="199"/>
        <v/>
      </c>
      <c r="S354" s="64" t="str">
        <f t="shared" si="200"/>
        <v/>
      </c>
      <c r="T354" s="38">
        <v>0</v>
      </c>
      <c r="U354" s="64" t="str">
        <f t="shared" si="201"/>
        <v/>
      </c>
      <c r="V354" s="219" t="str">
        <f>IF($A355="","",IF(AND(MONTH(A354)&gt;3,MONTH(A354)&lt;11),(T354+R354+G354)*Summary!$T$11/(1-Summary!$T$11),(T354+R354+G354)*Summary!$U$11/(1-Summary!$U$11)))</f>
        <v/>
      </c>
      <c r="W354" s="43" t="str">
        <f t="shared" si="202"/>
        <v/>
      </c>
      <c r="X354" s="43" t="str">
        <f t="shared" si="203"/>
        <v/>
      </c>
      <c r="Y354" s="43"/>
      <c r="Z354" s="38" t="str">
        <f t="shared" si="204"/>
        <v/>
      </c>
      <c r="AA354" s="38" t="str">
        <f t="shared" si="205"/>
        <v/>
      </c>
      <c r="AB354" s="38" t="e">
        <f t="shared" si="206"/>
        <v>#VALUE!</v>
      </c>
      <c r="AC354" s="38" t="str">
        <f t="shared" si="207"/>
        <v/>
      </c>
      <c r="AD354" s="38" t="str">
        <f t="shared" si="207"/>
        <v/>
      </c>
      <c r="AE354" s="38" t="e">
        <f t="shared" si="208"/>
        <v>#VALUE!</v>
      </c>
      <c r="AF354" s="238" t="e">
        <f>((Summary!$N$11*(AA354*AD354)*(A354-$D$3))+(Summary!$M$11*Z354*AC354*(AJ354-EOMONTH(EDATE(A354,-1),0))))/(AK354*AB354*AE354)</f>
        <v>#VALUE!</v>
      </c>
      <c r="AG354" s="88" t="str">
        <f>IF($A355="","",Summary!$Q$11)</f>
        <v/>
      </c>
      <c r="AH354" s="88" t="str">
        <f>IF($A355="","",IF(Summary!$R$11="Y",(VLOOKUP($A354,Summary!$AD$6:$AF$9,3)+'Escalating commodity'!G367),'Escalating commodity'!G367))</f>
        <v/>
      </c>
      <c r="AI354" s="88" t="str">
        <f t="shared" si="223"/>
        <v/>
      </c>
      <c r="AJ354" s="236" t="e">
        <f t="shared" si="209"/>
        <v>#VALUE!</v>
      </c>
      <c r="AK354" s="58" t="str">
        <f t="shared" si="210"/>
        <v/>
      </c>
      <c r="AL354" s="26" t="str">
        <f>IF($A355="","",_xll.SPRDOPT(P354,X354,AI354,0,AB354,AE354,AF354,AK354,$AJ$2,0))</f>
        <v/>
      </c>
      <c r="AM354" s="209" t="str">
        <f t="shared" si="211"/>
        <v/>
      </c>
      <c r="AN354" s="89" t="str">
        <f t="shared" si="212"/>
        <v/>
      </c>
      <c r="AO354" s="3" t="str">
        <f t="shared" si="213"/>
        <v/>
      </c>
      <c r="AP354" s="33" t="str">
        <f t="shared" si="214"/>
        <v/>
      </c>
      <c r="AQ354" s="58" t="str">
        <f t="shared" si="215"/>
        <v/>
      </c>
      <c r="AR354" s="38">
        <f>'ANR OK vs ML7'!AR354</f>
        <v>0.1</v>
      </c>
      <c r="AS354" s="35" t="str">
        <f t="shared" si="216"/>
        <v/>
      </c>
      <c r="AT354" s="3" t="str">
        <f t="shared" si="217"/>
        <v/>
      </c>
      <c r="AU354" s="3" t="str">
        <f t="shared" si="218"/>
        <v/>
      </c>
      <c r="AW354" s="32" t="str">
        <f t="shared" si="219"/>
        <v/>
      </c>
      <c r="AX354" s="32" t="str">
        <f t="shared" si="220"/>
        <v/>
      </c>
      <c r="AY354" s="32" t="str">
        <f t="shared" si="221"/>
        <v/>
      </c>
      <c r="BA354" s="32" t="str">
        <f>IF($A355="","",F354*Summary!$Q$11)</f>
        <v/>
      </c>
    </row>
    <row r="355" spans="1:53" ht="12" customHeight="1">
      <c r="A355" s="67" t="str">
        <f t="shared" si="222"/>
        <v/>
      </c>
      <c r="B355" s="69" t="str">
        <f t="shared" si="224"/>
        <v/>
      </c>
      <c r="C355" s="71"/>
      <c r="D355" s="69" t="str">
        <f t="shared" si="188"/>
        <v/>
      </c>
      <c r="E355" s="70" t="str">
        <f t="shared" si="189"/>
        <v/>
      </c>
      <c r="F355" s="70" t="str">
        <f t="shared" si="190"/>
        <v/>
      </c>
      <c r="G355" s="63" t="str">
        <f t="shared" si="191"/>
        <v/>
      </c>
      <c r="H355" s="64" t="str">
        <f t="shared" si="192"/>
        <v/>
      </c>
      <c r="I355" s="43"/>
      <c r="J355" s="63" t="str">
        <f t="shared" si="193"/>
        <v/>
      </c>
      <c r="K355" s="64" t="str">
        <f t="shared" si="194"/>
        <v/>
      </c>
      <c r="L355" s="63" t="str">
        <f t="shared" si="195"/>
        <v/>
      </c>
      <c r="M355" s="64" t="str">
        <f t="shared" si="196"/>
        <v/>
      </c>
      <c r="N355" s="65"/>
      <c r="O355" s="63" t="str">
        <f t="shared" si="197"/>
        <v/>
      </c>
      <c r="P355" s="63" t="str">
        <f t="shared" si="198"/>
        <v/>
      </c>
      <c r="Q355" s="66"/>
      <c r="R355" s="63" t="str">
        <f t="shared" si="199"/>
        <v/>
      </c>
      <c r="S355" s="64" t="str">
        <f t="shared" si="200"/>
        <v/>
      </c>
      <c r="T355" s="38">
        <v>0</v>
      </c>
      <c r="U355" s="64" t="str">
        <f t="shared" si="201"/>
        <v/>
      </c>
      <c r="V355" s="219" t="str">
        <f>IF($A356="","",IF(AND(MONTH(A355)&gt;3,MONTH(A355)&lt;11),(T355+R355+G355)*Summary!$T$11/(1-Summary!$T$11),(T355+R355+G355)*Summary!$U$11/(1-Summary!$U$11)))</f>
        <v/>
      </c>
      <c r="W355" s="43" t="str">
        <f t="shared" si="202"/>
        <v/>
      </c>
      <c r="X355" s="43" t="str">
        <f t="shared" si="203"/>
        <v/>
      </c>
      <c r="Y355" s="43"/>
      <c r="Z355" s="38" t="str">
        <f t="shared" si="204"/>
        <v/>
      </c>
      <c r="AA355" s="38" t="str">
        <f t="shared" si="205"/>
        <v/>
      </c>
      <c r="AB355" s="38" t="e">
        <f t="shared" si="206"/>
        <v>#VALUE!</v>
      </c>
      <c r="AC355" s="38" t="str">
        <f t="shared" si="207"/>
        <v/>
      </c>
      <c r="AD355" s="38" t="str">
        <f t="shared" si="207"/>
        <v/>
      </c>
      <c r="AE355" s="38" t="e">
        <f t="shared" si="208"/>
        <v>#VALUE!</v>
      </c>
      <c r="AF355" s="238" t="e">
        <f>((Summary!$N$11*(AA355*AD355)*(A355-$D$3))+(Summary!$M$11*Z355*AC355*(AJ355-EOMONTH(EDATE(A355,-1),0))))/(AK355*AB355*AE355)</f>
        <v>#VALUE!</v>
      </c>
      <c r="AG355" s="88" t="str">
        <f>IF($A356="","",Summary!$Q$11)</f>
        <v/>
      </c>
      <c r="AH355" s="88" t="str">
        <f>IF($A356="","",IF(Summary!$R$11="Y",(VLOOKUP($A355,Summary!$AD$6:$AF$9,3)+'Escalating commodity'!G368),'Escalating commodity'!G368))</f>
        <v/>
      </c>
      <c r="AI355" s="88" t="str">
        <f t="shared" si="223"/>
        <v/>
      </c>
      <c r="AJ355" s="236" t="e">
        <f t="shared" si="209"/>
        <v>#VALUE!</v>
      </c>
      <c r="AK355" s="58" t="str">
        <f t="shared" si="210"/>
        <v/>
      </c>
      <c r="AL355" s="26" t="str">
        <f>IF($A356="","",_xll.SPRDOPT(P355,X355,AI355,0,AB355,AE355,AF355,AK355,$AJ$2,0))</f>
        <v/>
      </c>
      <c r="AM355" s="209" t="str">
        <f t="shared" si="211"/>
        <v/>
      </c>
      <c r="AN355" s="89" t="str">
        <f t="shared" si="212"/>
        <v/>
      </c>
      <c r="AO355" s="3" t="str">
        <f t="shared" si="213"/>
        <v/>
      </c>
      <c r="AP355" s="33" t="str">
        <f t="shared" si="214"/>
        <v/>
      </c>
      <c r="AQ355" s="58" t="str">
        <f t="shared" si="215"/>
        <v/>
      </c>
      <c r="AR355" s="38">
        <f>'ANR OK vs ML7'!AR355</f>
        <v>0.1</v>
      </c>
      <c r="AS355" s="35" t="str">
        <f t="shared" si="216"/>
        <v/>
      </c>
      <c r="AT355" s="3" t="str">
        <f t="shared" si="217"/>
        <v/>
      </c>
      <c r="AU355" s="3" t="str">
        <f t="shared" si="218"/>
        <v/>
      </c>
      <c r="AW355" s="32" t="str">
        <f t="shared" si="219"/>
        <v/>
      </c>
      <c r="AX355" s="32" t="str">
        <f t="shared" si="220"/>
        <v/>
      </c>
      <c r="AY355" s="32" t="str">
        <f t="shared" si="221"/>
        <v/>
      </c>
      <c r="BA355" s="32" t="str">
        <f>IF($A356="","",F355*Summary!$Q$11)</f>
        <v/>
      </c>
    </row>
    <row r="356" spans="1:53" ht="12" customHeight="1">
      <c r="A356" s="67" t="str">
        <f t="shared" si="222"/>
        <v/>
      </c>
      <c r="B356" s="69" t="str">
        <f t="shared" si="224"/>
        <v/>
      </c>
      <c r="C356" s="71"/>
      <c r="D356" s="69" t="str">
        <f t="shared" si="188"/>
        <v/>
      </c>
      <c r="E356" s="70" t="str">
        <f t="shared" si="189"/>
        <v/>
      </c>
      <c r="F356" s="70" t="str">
        <f t="shared" si="190"/>
        <v/>
      </c>
      <c r="G356" s="63" t="str">
        <f t="shared" si="191"/>
        <v/>
      </c>
      <c r="H356" s="64" t="str">
        <f t="shared" si="192"/>
        <v/>
      </c>
      <c r="I356" s="43"/>
      <c r="J356" s="63" t="str">
        <f t="shared" si="193"/>
        <v/>
      </c>
      <c r="K356" s="64" t="str">
        <f t="shared" si="194"/>
        <v/>
      </c>
      <c r="L356" s="63" t="str">
        <f t="shared" si="195"/>
        <v/>
      </c>
      <c r="M356" s="64" t="str">
        <f t="shared" si="196"/>
        <v/>
      </c>
      <c r="N356" s="65"/>
      <c r="O356" s="63" t="str">
        <f t="shared" si="197"/>
        <v/>
      </c>
      <c r="P356" s="63" t="str">
        <f t="shared" si="198"/>
        <v/>
      </c>
      <c r="Q356" s="66"/>
      <c r="R356" s="63" t="str">
        <f t="shared" si="199"/>
        <v/>
      </c>
      <c r="S356" s="64" t="str">
        <f t="shared" si="200"/>
        <v/>
      </c>
      <c r="T356" s="38">
        <v>0</v>
      </c>
      <c r="U356" s="64" t="str">
        <f t="shared" si="201"/>
        <v/>
      </c>
      <c r="V356" s="219" t="str">
        <f>IF($A357="","",IF(AND(MONTH(A356)&gt;3,MONTH(A356)&lt;11),(T356+R356+G356)*Summary!$T$11/(1-Summary!$T$11),(T356+R356+G356)*Summary!$U$11/(1-Summary!$U$11)))</f>
        <v/>
      </c>
      <c r="W356" s="43" t="str">
        <f t="shared" si="202"/>
        <v/>
      </c>
      <c r="X356" s="43" t="str">
        <f t="shared" si="203"/>
        <v/>
      </c>
      <c r="Y356" s="43"/>
      <c r="Z356" s="38" t="str">
        <f t="shared" si="204"/>
        <v/>
      </c>
      <c r="AA356" s="38" t="str">
        <f t="shared" si="205"/>
        <v/>
      </c>
      <c r="AB356" s="38" t="e">
        <f t="shared" si="206"/>
        <v>#VALUE!</v>
      </c>
      <c r="AC356" s="38" t="str">
        <f t="shared" si="207"/>
        <v/>
      </c>
      <c r="AD356" s="38" t="str">
        <f t="shared" si="207"/>
        <v/>
      </c>
      <c r="AE356" s="38" t="e">
        <f t="shared" si="208"/>
        <v>#VALUE!</v>
      </c>
      <c r="AF356" s="238" t="e">
        <f>((Summary!$N$11*(AA356*AD356)*(A356-$D$3))+(Summary!$M$11*Z356*AC356*(AJ356-EOMONTH(EDATE(A356,-1),0))))/(AK356*AB356*AE356)</f>
        <v>#VALUE!</v>
      </c>
      <c r="AG356" s="88" t="str">
        <f>IF($A357="","",Summary!$Q$11)</f>
        <v/>
      </c>
      <c r="AH356" s="88" t="str">
        <f>IF($A357="","",IF(Summary!$R$11="Y",(VLOOKUP($A356,Summary!$AD$6:$AF$9,3)+'Escalating commodity'!G369),'Escalating commodity'!G369))</f>
        <v/>
      </c>
      <c r="AI356" s="88" t="str">
        <f t="shared" si="223"/>
        <v/>
      </c>
      <c r="AJ356" s="236" t="e">
        <f t="shared" si="209"/>
        <v>#VALUE!</v>
      </c>
      <c r="AK356" s="58" t="str">
        <f t="shared" si="210"/>
        <v/>
      </c>
      <c r="AL356" s="26" t="str">
        <f>IF($A357="","",_xll.SPRDOPT(P356,X356,AI356,0,AB356,AE356,AF356,AK356,$AJ$2,0))</f>
        <v/>
      </c>
      <c r="AM356" s="209" t="str">
        <f t="shared" si="211"/>
        <v/>
      </c>
      <c r="AN356" s="89" t="str">
        <f t="shared" si="212"/>
        <v/>
      </c>
      <c r="AO356" s="3" t="str">
        <f t="shared" si="213"/>
        <v/>
      </c>
      <c r="AP356" s="33" t="str">
        <f t="shared" si="214"/>
        <v/>
      </c>
      <c r="AQ356" s="58" t="str">
        <f t="shared" si="215"/>
        <v/>
      </c>
      <c r="AR356" s="38">
        <f>'ANR OK vs ML7'!AR356</f>
        <v>0.1</v>
      </c>
      <c r="AS356" s="35" t="str">
        <f t="shared" si="216"/>
        <v/>
      </c>
      <c r="AT356" s="3" t="str">
        <f t="shared" si="217"/>
        <v/>
      </c>
      <c r="AU356" s="3" t="str">
        <f t="shared" si="218"/>
        <v/>
      </c>
      <c r="AW356" s="32" t="str">
        <f t="shared" si="219"/>
        <v/>
      </c>
      <c r="AX356" s="32" t="str">
        <f t="shared" si="220"/>
        <v/>
      </c>
      <c r="AY356" s="32" t="str">
        <f t="shared" si="221"/>
        <v/>
      </c>
      <c r="BA356" s="32" t="str">
        <f>IF($A357="","",F356*Summary!$Q$11)</f>
        <v/>
      </c>
    </row>
    <row r="357" spans="1:53" ht="12" customHeight="1">
      <c r="A357" s="67" t="str">
        <f t="shared" si="222"/>
        <v/>
      </c>
      <c r="B357" s="69" t="str">
        <f t="shared" si="224"/>
        <v/>
      </c>
      <c r="C357" s="71"/>
      <c r="D357" s="69" t="str">
        <f t="shared" si="188"/>
        <v/>
      </c>
      <c r="E357" s="70" t="str">
        <f t="shared" si="189"/>
        <v/>
      </c>
      <c r="F357" s="70" t="str">
        <f t="shared" si="190"/>
        <v/>
      </c>
      <c r="G357" s="63" t="str">
        <f t="shared" si="191"/>
        <v/>
      </c>
      <c r="H357" s="64" t="str">
        <f t="shared" si="192"/>
        <v/>
      </c>
      <c r="I357" s="43"/>
      <c r="J357" s="63" t="str">
        <f t="shared" si="193"/>
        <v/>
      </c>
      <c r="K357" s="64" t="str">
        <f t="shared" si="194"/>
        <v/>
      </c>
      <c r="L357" s="63" t="str">
        <f t="shared" si="195"/>
        <v/>
      </c>
      <c r="M357" s="64" t="str">
        <f t="shared" si="196"/>
        <v/>
      </c>
      <c r="N357" s="65"/>
      <c r="O357" s="63" t="str">
        <f t="shared" si="197"/>
        <v/>
      </c>
      <c r="P357" s="63" t="str">
        <f t="shared" si="198"/>
        <v/>
      </c>
      <c r="Q357" s="66"/>
      <c r="R357" s="63" t="str">
        <f t="shared" si="199"/>
        <v/>
      </c>
      <c r="S357" s="64" t="str">
        <f t="shared" si="200"/>
        <v/>
      </c>
      <c r="T357" s="38">
        <v>0</v>
      </c>
      <c r="U357" s="64" t="str">
        <f t="shared" si="201"/>
        <v/>
      </c>
      <c r="V357" s="219" t="str">
        <f>IF($A358="","",IF(AND(MONTH(A357)&gt;3,MONTH(A357)&lt;11),(T357+R357+G357)*Summary!$T$11/(1-Summary!$T$11),(T357+R357+G357)*Summary!$U$11/(1-Summary!$U$11)))</f>
        <v/>
      </c>
      <c r="W357" s="43" t="str">
        <f t="shared" si="202"/>
        <v/>
      </c>
      <c r="X357" s="43" t="str">
        <f t="shared" si="203"/>
        <v/>
      </c>
      <c r="Y357" s="43"/>
      <c r="Z357" s="38" t="str">
        <f t="shared" si="204"/>
        <v/>
      </c>
      <c r="AA357" s="38" t="str">
        <f t="shared" si="205"/>
        <v/>
      </c>
      <c r="AB357" s="38" t="e">
        <f t="shared" si="206"/>
        <v>#VALUE!</v>
      </c>
      <c r="AC357" s="38" t="str">
        <f t="shared" si="207"/>
        <v/>
      </c>
      <c r="AD357" s="38" t="str">
        <f t="shared" si="207"/>
        <v/>
      </c>
      <c r="AE357" s="38" t="e">
        <f t="shared" si="208"/>
        <v>#VALUE!</v>
      </c>
      <c r="AF357" s="238" t="e">
        <f>((Summary!$N$11*(AA357*AD357)*(A357-$D$3))+(Summary!$M$11*Z357*AC357*(AJ357-EOMONTH(EDATE(A357,-1),0))))/(AK357*AB357*AE357)</f>
        <v>#VALUE!</v>
      </c>
      <c r="AG357" s="88" t="str">
        <f>IF($A358="","",Summary!$Q$11)</f>
        <v/>
      </c>
      <c r="AH357" s="88" t="str">
        <f>IF($A358="","",IF(Summary!$R$11="Y",(VLOOKUP($A357,Summary!$AD$6:$AF$9,3)+'Escalating commodity'!G370),'Escalating commodity'!G370))</f>
        <v/>
      </c>
      <c r="AI357" s="88" t="str">
        <f t="shared" si="223"/>
        <v/>
      </c>
      <c r="AJ357" s="236" t="e">
        <f t="shared" si="209"/>
        <v>#VALUE!</v>
      </c>
      <c r="AK357" s="58" t="str">
        <f t="shared" si="210"/>
        <v/>
      </c>
      <c r="AL357" s="26" t="str">
        <f>IF($A358="","",_xll.SPRDOPT(P357,X357,AI357,0,AB357,AE357,AF357,AK357,$AJ$2,0))</f>
        <v/>
      </c>
      <c r="AM357" s="209" t="str">
        <f t="shared" si="211"/>
        <v/>
      </c>
      <c r="AN357" s="89" t="str">
        <f t="shared" si="212"/>
        <v/>
      </c>
      <c r="AO357" s="3" t="str">
        <f t="shared" si="213"/>
        <v/>
      </c>
      <c r="AP357" s="33" t="str">
        <f t="shared" si="214"/>
        <v/>
      </c>
      <c r="AQ357" s="58" t="str">
        <f t="shared" si="215"/>
        <v/>
      </c>
      <c r="AR357" s="38">
        <f>'ANR OK vs ML7'!AR357</f>
        <v>0.1</v>
      </c>
      <c r="AS357" s="35" t="str">
        <f t="shared" si="216"/>
        <v/>
      </c>
      <c r="AT357" s="3" t="str">
        <f t="shared" si="217"/>
        <v/>
      </c>
      <c r="AU357" s="3" t="str">
        <f t="shared" si="218"/>
        <v/>
      </c>
      <c r="AW357" s="32" t="str">
        <f t="shared" si="219"/>
        <v/>
      </c>
      <c r="AX357" s="32" t="str">
        <f t="shared" si="220"/>
        <v/>
      </c>
      <c r="AY357" s="32" t="str">
        <f t="shared" si="221"/>
        <v/>
      </c>
      <c r="BA357" s="32" t="str">
        <f>IF($A358="","",F357*Summary!$Q$11)</f>
        <v/>
      </c>
    </row>
    <row r="358" spans="1:53" ht="12" customHeight="1">
      <c r="A358" s="67" t="str">
        <f t="shared" si="222"/>
        <v/>
      </c>
      <c r="B358" s="69" t="str">
        <f t="shared" si="224"/>
        <v/>
      </c>
      <c r="C358" s="71"/>
      <c r="D358" s="69" t="str">
        <f t="shared" si="188"/>
        <v/>
      </c>
      <c r="E358" s="70" t="str">
        <f t="shared" si="189"/>
        <v/>
      </c>
      <c r="F358" s="70" t="str">
        <f t="shared" si="190"/>
        <v/>
      </c>
      <c r="G358" s="63" t="str">
        <f t="shared" si="191"/>
        <v/>
      </c>
      <c r="H358" s="64" t="str">
        <f t="shared" si="192"/>
        <v/>
      </c>
      <c r="I358" s="43"/>
      <c r="J358" s="63" t="str">
        <f t="shared" si="193"/>
        <v/>
      </c>
      <c r="K358" s="64" t="str">
        <f t="shared" si="194"/>
        <v/>
      </c>
      <c r="L358" s="63" t="str">
        <f t="shared" si="195"/>
        <v/>
      </c>
      <c r="M358" s="64" t="str">
        <f t="shared" si="196"/>
        <v/>
      </c>
      <c r="N358" s="65"/>
      <c r="O358" s="63" t="str">
        <f t="shared" si="197"/>
        <v/>
      </c>
      <c r="P358" s="63" t="str">
        <f t="shared" si="198"/>
        <v/>
      </c>
      <c r="Q358" s="66"/>
      <c r="R358" s="63" t="str">
        <f t="shared" si="199"/>
        <v/>
      </c>
      <c r="S358" s="64" t="str">
        <f t="shared" si="200"/>
        <v/>
      </c>
      <c r="T358" s="38">
        <v>0</v>
      </c>
      <c r="U358" s="64" t="str">
        <f t="shared" si="201"/>
        <v/>
      </c>
      <c r="V358" s="219" t="str">
        <f>IF($A359="","",IF(AND(MONTH(A358)&gt;3,MONTH(A358)&lt;11),(T358+R358+G358)*Summary!$T$11/(1-Summary!$T$11),(T358+R358+G358)*Summary!$U$11/(1-Summary!$U$11)))</f>
        <v/>
      </c>
      <c r="W358" s="43" t="str">
        <f t="shared" si="202"/>
        <v/>
      </c>
      <c r="X358" s="43" t="str">
        <f t="shared" si="203"/>
        <v/>
      </c>
      <c r="Y358" s="43"/>
      <c r="Z358" s="38" t="str">
        <f t="shared" si="204"/>
        <v/>
      </c>
      <c r="AA358" s="38" t="str">
        <f t="shared" si="205"/>
        <v/>
      </c>
      <c r="AB358" s="38" t="e">
        <f t="shared" si="206"/>
        <v>#VALUE!</v>
      </c>
      <c r="AC358" s="38" t="str">
        <f t="shared" si="207"/>
        <v/>
      </c>
      <c r="AD358" s="38" t="str">
        <f t="shared" si="207"/>
        <v/>
      </c>
      <c r="AE358" s="38" t="e">
        <f t="shared" si="208"/>
        <v>#VALUE!</v>
      </c>
      <c r="AF358" s="238" t="e">
        <f>((Summary!$N$11*(AA358*AD358)*(A358-$D$3))+(Summary!$M$11*Z358*AC358*(AJ358-EOMONTH(EDATE(A358,-1),0))))/(AK358*AB358*AE358)</f>
        <v>#VALUE!</v>
      </c>
      <c r="AG358" s="88" t="str">
        <f>IF($A359="","",Summary!$Q$11)</f>
        <v/>
      </c>
      <c r="AH358" s="88" t="str">
        <f>IF($A359="","",IF(Summary!$R$11="Y",(VLOOKUP($A358,Summary!$AD$6:$AF$9,3)+'Escalating commodity'!G371),'Escalating commodity'!G371))</f>
        <v/>
      </c>
      <c r="AI358" s="88" t="str">
        <f t="shared" si="223"/>
        <v/>
      </c>
      <c r="AJ358" s="236" t="e">
        <f t="shared" si="209"/>
        <v>#VALUE!</v>
      </c>
      <c r="AK358" s="58" t="str">
        <f t="shared" si="210"/>
        <v/>
      </c>
      <c r="AL358" s="26" t="str">
        <f>IF($A359="","",_xll.SPRDOPT(P358,X358,AI358,0,AB358,AE358,AF358,AK358,$AJ$2,0))</f>
        <v/>
      </c>
      <c r="AM358" s="209" t="str">
        <f t="shared" si="211"/>
        <v/>
      </c>
      <c r="AN358" s="89" t="str">
        <f t="shared" si="212"/>
        <v/>
      </c>
      <c r="AO358" s="3" t="str">
        <f t="shared" si="213"/>
        <v/>
      </c>
      <c r="AP358" s="33" t="str">
        <f t="shared" si="214"/>
        <v/>
      </c>
      <c r="AQ358" s="58" t="str">
        <f t="shared" si="215"/>
        <v/>
      </c>
      <c r="AR358" s="38">
        <f>'ANR OK vs ML7'!AR358</f>
        <v>0.1</v>
      </c>
      <c r="AS358" s="35" t="str">
        <f t="shared" si="216"/>
        <v/>
      </c>
      <c r="AT358" s="3" t="str">
        <f t="shared" si="217"/>
        <v/>
      </c>
      <c r="AU358" s="3" t="str">
        <f t="shared" si="218"/>
        <v/>
      </c>
      <c r="AW358" s="32" t="str">
        <f t="shared" si="219"/>
        <v/>
      </c>
      <c r="AX358" s="32" t="str">
        <f t="shared" si="220"/>
        <v/>
      </c>
      <c r="AY358" s="32" t="str">
        <f t="shared" si="221"/>
        <v/>
      </c>
      <c r="BA358" s="32" t="str">
        <f>IF($A359="","",F358*Summary!$Q$11)</f>
        <v/>
      </c>
    </row>
    <row r="359" spans="1:53" ht="12" customHeight="1">
      <c r="A359" s="67" t="str">
        <f t="shared" si="222"/>
        <v/>
      </c>
      <c r="B359" s="69" t="str">
        <f t="shared" si="224"/>
        <v/>
      </c>
      <c r="C359" s="71"/>
      <c r="D359" s="69" t="str">
        <f t="shared" si="188"/>
        <v/>
      </c>
      <c r="E359" s="70" t="str">
        <f t="shared" si="189"/>
        <v/>
      </c>
      <c r="F359" s="70" t="str">
        <f t="shared" si="190"/>
        <v/>
      </c>
      <c r="G359" s="63" t="str">
        <f t="shared" si="191"/>
        <v/>
      </c>
      <c r="H359" s="64" t="str">
        <f t="shared" si="192"/>
        <v/>
      </c>
      <c r="I359" s="43"/>
      <c r="J359" s="63" t="str">
        <f t="shared" si="193"/>
        <v/>
      </c>
      <c r="K359" s="64" t="str">
        <f t="shared" si="194"/>
        <v/>
      </c>
      <c r="L359" s="63" t="str">
        <f t="shared" si="195"/>
        <v/>
      </c>
      <c r="M359" s="64" t="str">
        <f t="shared" si="196"/>
        <v/>
      </c>
      <c r="N359" s="65"/>
      <c r="O359" s="63" t="str">
        <f t="shared" si="197"/>
        <v/>
      </c>
      <c r="P359" s="63" t="str">
        <f t="shared" si="198"/>
        <v/>
      </c>
      <c r="Q359" s="66"/>
      <c r="R359" s="63" t="str">
        <f t="shared" si="199"/>
        <v/>
      </c>
      <c r="S359" s="64" t="str">
        <f t="shared" si="200"/>
        <v/>
      </c>
      <c r="T359" s="38">
        <v>0</v>
      </c>
      <c r="U359" s="64" t="str">
        <f t="shared" si="201"/>
        <v/>
      </c>
      <c r="V359" s="219" t="str">
        <f>IF($A360="","",IF(AND(MONTH(A359)&gt;3,MONTH(A359)&lt;11),(T359+R359+G359)*Summary!$T$11/(1-Summary!$T$11),(T359+R359+G359)*Summary!$U$11/(1-Summary!$U$11)))</f>
        <v/>
      </c>
      <c r="W359" s="43" t="str">
        <f t="shared" si="202"/>
        <v/>
      </c>
      <c r="X359" s="43" t="str">
        <f t="shared" si="203"/>
        <v/>
      </c>
      <c r="Y359" s="43"/>
      <c r="Z359" s="38" t="str">
        <f t="shared" si="204"/>
        <v/>
      </c>
      <c r="AA359" s="38" t="str">
        <f t="shared" si="205"/>
        <v/>
      </c>
      <c r="AB359" s="38" t="e">
        <f t="shared" si="206"/>
        <v>#VALUE!</v>
      </c>
      <c r="AC359" s="38" t="str">
        <f t="shared" si="207"/>
        <v/>
      </c>
      <c r="AD359" s="38" t="str">
        <f t="shared" si="207"/>
        <v/>
      </c>
      <c r="AE359" s="38" t="e">
        <f t="shared" si="208"/>
        <v>#VALUE!</v>
      </c>
      <c r="AF359" s="238" t="e">
        <f>((Summary!$N$11*(AA359*AD359)*(A359-$D$3))+(Summary!$M$11*Z359*AC359*(AJ359-EOMONTH(EDATE(A359,-1),0))))/(AK359*AB359*AE359)</f>
        <v>#VALUE!</v>
      </c>
      <c r="AG359" s="88" t="str">
        <f>IF($A360="","",Summary!$Q$11)</f>
        <v/>
      </c>
      <c r="AH359" s="88" t="str">
        <f>IF($A360="","",IF(Summary!$R$11="Y",(VLOOKUP($A359,Summary!$AD$6:$AF$9,3)+'Escalating commodity'!G372),'Escalating commodity'!G372))</f>
        <v/>
      </c>
      <c r="AI359" s="88" t="str">
        <f t="shared" si="223"/>
        <v/>
      </c>
      <c r="AJ359" s="236" t="e">
        <f t="shared" si="209"/>
        <v>#VALUE!</v>
      </c>
      <c r="AK359" s="58" t="str">
        <f t="shared" si="210"/>
        <v/>
      </c>
      <c r="AL359" s="26" t="str">
        <f>IF($A360="","",_xll.SPRDOPT(P359,X359,AI359,0,AB359,AE359,AF359,AK359,$AJ$2,0))</f>
        <v/>
      </c>
      <c r="AM359" s="209" t="str">
        <f t="shared" si="211"/>
        <v/>
      </c>
      <c r="AN359" s="89" t="str">
        <f t="shared" si="212"/>
        <v/>
      </c>
      <c r="AO359" s="3" t="str">
        <f t="shared" si="213"/>
        <v/>
      </c>
      <c r="AP359" s="33" t="str">
        <f t="shared" si="214"/>
        <v/>
      </c>
      <c r="AQ359" s="58" t="str">
        <f t="shared" si="215"/>
        <v/>
      </c>
      <c r="AR359" s="38">
        <f>'ANR OK vs ML7'!AR359</f>
        <v>0.1</v>
      </c>
      <c r="AS359" s="35" t="str">
        <f t="shared" si="216"/>
        <v/>
      </c>
      <c r="AT359" s="3" t="str">
        <f t="shared" si="217"/>
        <v/>
      </c>
      <c r="AU359" s="3" t="str">
        <f t="shared" si="218"/>
        <v/>
      </c>
      <c r="AW359" s="32" t="str">
        <f t="shared" si="219"/>
        <v/>
      </c>
      <c r="AX359" s="32" t="str">
        <f t="shared" si="220"/>
        <v/>
      </c>
      <c r="AY359" s="32" t="str">
        <f t="shared" si="221"/>
        <v/>
      </c>
      <c r="BA359" s="32" t="str">
        <f>IF($A360="","",F359*Summary!$Q$11)</f>
        <v/>
      </c>
    </row>
    <row r="360" spans="1:53" ht="12" customHeight="1">
      <c r="A360" s="67" t="str">
        <f t="shared" si="222"/>
        <v/>
      </c>
      <c r="B360" s="69" t="str">
        <f t="shared" si="224"/>
        <v/>
      </c>
      <c r="C360" s="71"/>
      <c r="D360" s="69" t="str">
        <f t="shared" si="188"/>
        <v/>
      </c>
      <c r="E360" s="70" t="str">
        <f t="shared" si="189"/>
        <v/>
      </c>
      <c r="F360" s="70" t="str">
        <f t="shared" si="190"/>
        <v/>
      </c>
      <c r="G360" s="63" t="str">
        <f t="shared" si="191"/>
        <v/>
      </c>
      <c r="H360" s="64" t="str">
        <f t="shared" si="192"/>
        <v/>
      </c>
      <c r="I360" s="43"/>
      <c r="J360" s="63" t="str">
        <f t="shared" si="193"/>
        <v/>
      </c>
      <c r="K360" s="64" t="str">
        <f t="shared" si="194"/>
        <v/>
      </c>
      <c r="L360" s="63" t="str">
        <f t="shared" si="195"/>
        <v/>
      </c>
      <c r="M360" s="64" t="str">
        <f t="shared" si="196"/>
        <v/>
      </c>
      <c r="N360" s="65"/>
      <c r="O360" s="63" t="str">
        <f t="shared" si="197"/>
        <v/>
      </c>
      <c r="P360" s="63" t="str">
        <f t="shared" si="198"/>
        <v/>
      </c>
      <c r="Q360" s="66"/>
      <c r="R360" s="63" t="str">
        <f t="shared" si="199"/>
        <v/>
      </c>
      <c r="S360" s="64" t="str">
        <f t="shared" si="200"/>
        <v/>
      </c>
      <c r="T360" s="38">
        <v>0</v>
      </c>
      <c r="U360" s="64" t="str">
        <f t="shared" si="201"/>
        <v/>
      </c>
      <c r="V360" s="219" t="str">
        <f>IF($A361="","",IF(AND(MONTH(A360)&gt;3,MONTH(A360)&lt;11),(T360+R360+G360)*Summary!$T$11/(1-Summary!$T$11),(T360+R360+G360)*Summary!$U$11/(1-Summary!$U$11)))</f>
        <v/>
      </c>
      <c r="W360" s="43" t="str">
        <f t="shared" si="202"/>
        <v/>
      </c>
      <c r="X360" s="43" t="str">
        <f t="shared" si="203"/>
        <v/>
      </c>
      <c r="Y360" s="43"/>
      <c r="Z360" s="38" t="str">
        <f t="shared" si="204"/>
        <v/>
      </c>
      <c r="AA360" s="38" t="str">
        <f t="shared" si="205"/>
        <v/>
      </c>
      <c r="AB360" s="38" t="e">
        <f t="shared" si="206"/>
        <v>#VALUE!</v>
      </c>
      <c r="AC360" s="38" t="str">
        <f t="shared" si="207"/>
        <v/>
      </c>
      <c r="AD360" s="38" t="str">
        <f t="shared" si="207"/>
        <v/>
      </c>
      <c r="AE360" s="38" t="e">
        <f t="shared" si="208"/>
        <v>#VALUE!</v>
      </c>
      <c r="AF360" s="238" t="e">
        <f>((Summary!$N$11*(AA360*AD360)*(A360-$D$3))+(Summary!$M$11*Z360*AC360*(AJ360-EOMONTH(EDATE(A360,-1),0))))/(AK360*AB360*AE360)</f>
        <v>#VALUE!</v>
      </c>
      <c r="AG360" s="88" t="str">
        <f>IF($A361="","",Summary!$Q$11)</f>
        <v/>
      </c>
      <c r="AH360" s="88" t="str">
        <f>IF($A361="","",IF(Summary!$R$11="Y",(VLOOKUP($A360,Summary!$AD$6:$AF$9,3)+'Escalating commodity'!G373),'Escalating commodity'!G373))</f>
        <v/>
      </c>
      <c r="AI360" s="88" t="str">
        <f t="shared" si="223"/>
        <v/>
      </c>
      <c r="AJ360" s="236" t="e">
        <f t="shared" si="209"/>
        <v>#VALUE!</v>
      </c>
      <c r="AK360" s="58" t="str">
        <f t="shared" si="210"/>
        <v/>
      </c>
      <c r="AL360" s="26" t="str">
        <f>IF($A361="","",_xll.SPRDOPT(P360,X360,AI360,0,AB360,AE360,AF360,AK360,$AJ$2,0))</f>
        <v/>
      </c>
      <c r="AM360" s="209" t="str">
        <f t="shared" si="211"/>
        <v/>
      </c>
      <c r="AN360" s="89" t="str">
        <f t="shared" si="212"/>
        <v/>
      </c>
      <c r="AO360" s="3" t="str">
        <f t="shared" si="213"/>
        <v/>
      </c>
      <c r="AP360" s="33" t="str">
        <f t="shared" si="214"/>
        <v/>
      </c>
      <c r="AQ360" s="58" t="str">
        <f t="shared" si="215"/>
        <v/>
      </c>
      <c r="AR360" s="38">
        <f>'ANR OK vs ML7'!AR360</f>
        <v>0.1</v>
      </c>
      <c r="AS360" s="35" t="str">
        <f t="shared" si="216"/>
        <v/>
      </c>
      <c r="AT360" s="3" t="str">
        <f t="shared" si="217"/>
        <v/>
      </c>
      <c r="AU360" s="3" t="str">
        <f t="shared" si="218"/>
        <v/>
      </c>
      <c r="AW360" s="32" t="str">
        <f t="shared" si="219"/>
        <v/>
      </c>
      <c r="AX360" s="32" t="str">
        <f t="shared" si="220"/>
        <v/>
      </c>
      <c r="AY360" s="32" t="str">
        <f t="shared" si="221"/>
        <v/>
      </c>
      <c r="BA360" s="32" t="str">
        <f>IF($A361="","",F360*Summary!$Q$11)</f>
        <v/>
      </c>
    </row>
    <row r="361" spans="1:53" ht="12" customHeight="1">
      <c r="A361" s="67" t="str">
        <f t="shared" si="222"/>
        <v/>
      </c>
      <c r="B361" s="69" t="str">
        <f t="shared" si="224"/>
        <v/>
      </c>
      <c r="C361" s="71"/>
      <c r="D361" s="69" t="str">
        <f t="shared" si="188"/>
        <v/>
      </c>
      <c r="E361" s="70" t="str">
        <f t="shared" si="189"/>
        <v/>
      </c>
      <c r="F361" s="70" t="str">
        <f t="shared" si="190"/>
        <v/>
      </c>
      <c r="G361" s="63" t="str">
        <f t="shared" si="191"/>
        <v/>
      </c>
      <c r="H361" s="64" t="str">
        <f t="shared" si="192"/>
        <v/>
      </c>
      <c r="I361" s="43"/>
      <c r="J361" s="63" t="str">
        <f t="shared" si="193"/>
        <v/>
      </c>
      <c r="K361" s="64" t="str">
        <f t="shared" si="194"/>
        <v/>
      </c>
      <c r="L361" s="63" t="str">
        <f t="shared" si="195"/>
        <v/>
      </c>
      <c r="M361" s="64" t="str">
        <f t="shared" si="196"/>
        <v/>
      </c>
      <c r="N361" s="65"/>
      <c r="O361" s="63" t="str">
        <f t="shared" si="197"/>
        <v/>
      </c>
      <c r="P361" s="63" t="str">
        <f t="shared" si="198"/>
        <v/>
      </c>
      <c r="Q361" s="66"/>
      <c r="R361" s="63" t="str">
        <f t="shared" si="199"/>
        <v/>
      </c>
      <c r="S361" s="64" t="str">
        <f t="shared" si="200"/>
        <v/>
      </c>
      <c r="T361" s="38">
        <v>0</v>
      </c>
      <c r="U361" s="64" t="str">
        <f t="shared" si="201"/>
        <v/>
      </c>
      <c r="V361" s="219" t="str">
        <f>IF($A362="","",IF(AND(MONTH(A361)&gt;3,MONTH(A361)&lt;11),(T361+R361+G361)*Summary!$T$11/(1-Summary!$T$11),(T361+R361+G361)*Summary!$U$11/(1-Summary!$U$11)))</f>
        <v/>
      </c>
      <c r="W361" s="43" t="str">
        <f t="shared" si="202"/>
        <v/>
      </c>
      <c r="X361" s="43" t="str">
        <f t="shared" si="203"/>
        <v/>
      </c>
      <c r="Y361" s="43"/>
      <c r="Z361" s="38" t="str">
        <f t="shared" si="204"/>
        <v/>
      </c>
      <c r="AA361" s="38" t="str">
        <f t="shared" si="205"/>
        <v/>
      </c>
      <c r="AB361" s="38" t="e">
        <f t="shared" si="206"/>
        <v>#VALUE!</v>
      </c>
      <c r="AC361" s="38" t="str">
        <f t="shared" si="207"/>
        <v/>
      </c>
      <c r="AD361" s="38" t="str">
        <f t="shared" si="207"/>
        <v/>
      </c>
      <c r="AE361" s="38" t="e">
        <f t="shared" si="208"/>
        <v>#VALUE!</v>
      </c>
      <c r="AF361" s="238" t="e">
        <f>((Summary!$N$11*(AA361*AD361)*(A361-$D$3))+(Summary!$M$11*Z361*AC361*(AJ361-EOMONTH(EDATE(A361,-1),0))))/(AK361*AB361*AE361)</f>
        <v>#VALUE!</v>
      </c>
      <c r="AG361" s="88" t="str">
        <f>IF($A362="","",Summary!$Q$11)</f>
        <v/>
      </c>
      <c r="AH361" s="88" t="str">
        <f>IF($A362="","",IF(Summary!$R$11="Y",(VLOOKUP($A361,Summary!$AD$6:$AF$9,3)+'Escalating commodity'!G374),'Escalating commodity'!G374))</f>
        <v/>
      </c>
      <c r="AI361" s="88" t="str">
        <f t="shared" si="223"/>
        <v/>
      </c>
      <c r="AJ361" s="236" t="e">
        <f t="shared" si="209"/>
        <v>#VALUE!</v>
      </c>
      <c r="AK361" s="58" t="str">
        <f t="shared" si="210"/>
        <v/>
      </c>
      <c r="AL361" s="26" t="str">
        <f>IF($A362="","",_xll.SPRDOPT(P361,X361,AI361,0,AB361,AE361,AF361,AK361,$AJ$2,0))</f>
        <v/>
      </c>
      <c r="AM361" s="209" t="str">
        <f t="shared" si="211"/>
        <v/>
      </c>
      <c r="AN361" s="89" t="str">
        <f t="shared" si="212"/>
        <v/>
      </c>
      <c r="AO361" s="3" t="str">
        <f t="shared" si="213"/>
        <v/>
      </c>
      <c r="AP361" s="33" t="str">
        <f t="shared" si="214"/>
        <v/>
      </c>
      <c r="AQ361" s="58" t="str">
        <f t="shared" si="215"/>
        <v/>
      </c>
      <c r="AR361" s="38">
        <f>'ANR OK vs ML7'!AR361</f>
        <v>0.1</v>
      </c>
      <c r="AS361" s="35" t="str">
        <f t="shared" si="216"/>
        <v/>
      </c>
      <c r="AT361" s="3" t="str">
        <f t="shared" si="217"/>
        <v/>
      </c>
      <c r="AU361" s="3" t="str">
        <f t="shared" si="218"/>
        <v/>
      </c>
      <c r="AW361" s="32" t="str">
        <f t="shared" si="219"/>
        <v/>
      </c>
      <c r="AX361" s="32" t="str">
        <f t="shared" si="220"/>
        <v/>
      </c>
      <c r="AY361" s="32" t="str">
        <f t="shared" si="221"/>
        <v/>
      </c>
      <c r="BA361" s="32" t="str">
        <f>IF($A362="","",F361*Summary!$Q$11)</f>
        <v/>
      </c>
    </row>
    <row r="362" spans="1:53" ht="12" customHeight="1">
      <c r="A362" s="67" t="str">
        <f t="shared" si="222"/>
        <v/>
      </c>
      <c r="B362" s="69" t="str">
        <f t="shared" si="224"/>
        <v/>
      </c>
      <c r="C362" s="71"/>
      <c r="D362" s="69" t="str">
        <f t="shared" si="188"/>
        <v/>
      </c>
      <c r="E362" s="70" t="str">
        <f t="shared" si="189"/>
        <v/>
      </c>
      <c r="F362" s="70" t="str">
        <f t="shared" si="190"/>
        <v/>
      </c>
      <c r="G362" s="63" t="str">
        <f t="shared" si="191"/>
        <v/>
      </c>
      <c r="H362" s="64" t="str">
        <f t="shared" si="192"/>
        <v/>
      </c>
      <c r="I362" s="43"/>
      <c r="J362" s="63" t="str">
        <f t="shared" si="193"/>
        <v/>
      </c>
      <c r="K362" s="64" t="str">
        <f t="shared" si="194"/>
        <v/>
      </c>
      <c r="L362" s="63" t="str">
        <f t="shared" si="195"/>
        <v/>
      </c>
      <c r="M362" s="64" t="str">
        <f t="shared" si="196"/>
        <v/>
      </c>
      <c r="N362" s="65"/>
      <c r="O362" s="63" t="str">
        <f t="shared" si="197"/>
        <v/>
      </c>
      <c r="P362" s="63" t="str">
        <f t="shared" si="198"/>
        <v/>
      </c>
      <c r="Q362" s="66"/>
      <c r="R362" s="63" t="str">
        <f t="shared" si="199"/>
        <v/>
      </c>
      <c r="S362" s="64" t="str">
        <f t="shared" si="200"/>
        <v/>
      </c>
      <c r="T362" s="38">
        <v>0</v>
      </c>
      <c r="U362" s="64" t="str">
        <f t="shared" si="201"/>
        <v/>
      </c>
      <c r="V362" s="219" t="str">
        <f>IF($A363="","",IF(AND(MONTH(A362)&gt;3,MONTH(A362)&lt;11),(T362+R362+G362)*Summary!$T$11/(1-Summary!$T$11),(T362+R362+G362)*Summary!$U$11/(1-Summary!$U$11)))</f>
        <v/>
      </c>
      <c r="W362" s="43" t="str">
        <f t="shared" si="202"/>
        <v/>
      </c>
      <c r="X362" s="43" t="str">
        <f t="shared" si="203"/>
        <v/>
      </c>
      <c r="Y362" s="43"/>
      <c r="Z362" s="38" t="str">
        <f t="shared" si="204"/>
        <v/>
      </c>
      <c r="AA362" s="38" t="str">
        <f t="shared" si="205"/>
        <v/>
      </c>
      <c r="AB362" s="38" t="e">
        <f t="shared" si="206"/>
        <v>#VALUE!</v>
      </c>
      <c r="AC362" s="38" t="str">
        <f t="shared" si="207"/>
        <v/>
      </c>
      <c r="AD362" s="38" t="str">
        <f t="shared" si="207"/>
        <v/>
      </c>
      <c r="AE362" s="38" t="e">
        <f t="shared" si="208"/>
        <v>#VALUE!</v>
      </c>
      <c r="AF362" s="238" t="e">
        <f>((Summary!$N$11*(AA362*AD362)*(A362-$D$3))+(Summary!$M$11*Z362*AC362*(AJ362-EOMONTH(EDATE(A362,-1),0))))/(AK362*AB362*AE362)</f>
        <v>#VALUE!</v>
      </c>
      <c r="AG362" s="88" t="str">
        <f>IF($A363="","",Summary!$Q$11)</f>
        <v/>
      </c>
      <c r="AH362" s="88" t="str">
        <f>IF($A363="","",IF(Summary!$R$11="Y",(VLOOKUP($A362,Summary!$AD$6:$AF$9,3)+'Escalating commodity'!G375),'Escalating commodity'!G375))</f>
        <v/>
      </c>
      <c r="AI362" s="88" t="str">
        <f t="shared" si="223"/>
        <v/>
      </c>
      <c r="AJ362" s="236" t="e">
        <f t="shared" si="209"/>
        <v>#VALUE!</v>
      </c>
      <c r="AK362" s="58" t="str">
        <f t="shared" si="210"/>
        <v/>
      </c>
      <c r="AL362" s="26" t="str">
        <f>IF($A363="","",_xll.SPRDOPT(P362,X362,AI362,0,AB362,AE362,AF362,AK362,$AJ$2,0))</f>
        <v/>
      </c>
      <c r="AM362" s="209" t="str">
        <f t="shared" si="211"/>
        <v/>
      </c>
      <c r="AN362" s="89" t="str">
        <f t="shared" si="212"/>
        <v/>
      </c>
      <c r="AO362" s="3" t="str">
        <f t="shared" si="213"/>
        <v/>
      </c>
      <c r="AP362" s="33" t="str">
        <f t="shared" si="214"/>
        <v/>
      </c>
      <c r="AQ362" s="58" t="str">
        <f t="shared" si="215"/>
        <v/>
      </c>
      <c r="AR362" s="38">
        <f>'ANR OK vs ML7'!AR362</f>
        <v>0.1</v>
      </c>
      <c r="AS362" s="35" t="str">
        <f t="shared" si="216"/>
        <v/>
      </c>
      <c r="AT362" s="3" t="str">
        <f t="shared" si="217"/>
        <v/>
      </c>
      <c r="AU362" s="3" t="str">
        <f t="shared" si="218"/>
        <v/>
      </c>
      <c r="AW362" s="32" t="str">
        <f t="shared" si="219"/>
        <v/>
      </c>
      <c r="AX362" s="32" t="str">
        <f t="shared" si="220"/>
        <v/>
      </c>
      <c r="AY362" s="32" t="str">
        <f t="shared" si="221"/>
        <v/>
      </c>
      <c r="BA362" s="32" t="str">
        <f>IF($A363="","",F362*Summary!$Q$11)</f>
        <v/>
      </c>
    </row>
    <row r="363" spans="1:53" ht="12" customHeight="1">
      <c r="A363" s="67" t="str">
        <f t="shared" si="222"/>
        <v/>
      </c>
      <c r="B363" s="69" t="str">
        <f t="shared" si="224"/>
        <v/>
      </c>
      <c r="C363" s="71"/>
      <c r="D363" s="69" t="str">
        <f t="shared" si="188"/>
        <v/>
      </c>
      <c r="E363" s="70" t="str">
        <f t="shared" si="189"/>
        <v/>
      </c>
      <c r="F363" s="70" t="str">
        <f t="shared" si="190"/>
        <v/>
      </c>
      <c r="G363" s="63" t="str">
        <f t="shared" si="191"/>
        <v/>
      </c>
      <c r="H363" s="64" t="str">
        <f t="shared" si="192"/>
        <v/>
      </c>
      <c r="I363" s="43"/>
      <c r="J363" s="63" t="str">
        <f t="shared" si="193"/>
        <v/>
      </c>
      <c r="K363" s="64" t="str">
        <f t="shared" si="194"/>
        <v/>
      </c>
      <c r="L363" s="63" t="str">
        <f t="shared" si="195"/>
        <v/>
      </c>
      <c r="M363" s="64" t="str">
        <f t="shared" si="196"/>
        <v/>
      </c>
      <c r="N363" s="65"/>
      <c r="O363" s="63" t="str">
        <f t="shared" si="197"/>
        <v/>
      </c>
      <c r="P363" s="63" t="str">
        <f t="shared" si="198"/>
        <v/>
      </c>
      <c r="Q363" s="66"/>
      <c r="R363" s="63" t="str">
        <f t="shared" si="199"/>
        <v/>
      </c>
      <c r="S363" s="64" t="str">
        <f t="shared" si="200"/>
        <v/>
      </c>
      <c r="T363" s="38">
        <v>0</v>
      </c>
      <c r="U363" s="64" t="str">
        <f t="shared" si="201"/>
        <v/>
      </c>
      <c r="V363" s="219" t="str">
        <f>IF($A364="","",IF(AND(MONTH(A363)&gt;3,MONTH(A363)&lt;11),(T363+R363+G363)*Summary!$T$11/(1-Summary!$T$11),(T363+R363+G363)*Summary!$U$11/(1-Summary!$U$11)))</f>
        <v/>
      </c>
      <c r="W363" s="43" t="str">
        <f t="shared" si="202"/>
        <v/>
      </c>
      <c r="X363" s="43" t="str">
        <f t="shared" si="203"/>
        <v/>
      </c>
      <c r="Y363" s="43"/>
      <c r="Z363" s="38" t="str">
        <f t="shared" si="204"/>
        <v/>
      </c>
      <c r="AA363" s="38" t="str">
        <f t="shared" si="205"/>
        <v/>
      </c>
      <c r="AB363" s="38" t="e">
        <f t="shared" si="206"/>
        <v>#VALUE!</v>
      </c>
      <c r="AC363" s="38" t="str">
        <f t="shared" si="207"/>
        <v/>
      </c>
      <c r="AD363" s="38" t="str">
        <f t="shared" si="207"/>
        <v/>
      </c>
      <c r="AE363" s="38" t="e">
        <f t="shared" si="208"/>
        <v>#VALUE!</v>
      </c>
      <c r="AF363" s="238" t="e">
        <f>((Summary!$N$11*(AA363*AD363)*(A363-$D$3))+(Summary!$M$11*Z363*AC363*(AJ363-EOMONTH(EDATE(A363,-1),0))))/(AK363*AB363*AE363)</f>
        <v>#VALUE!</v>
      </c>
      <c r="AG363" s="88" t="str">
        <f>IF($A364="","",Summary!$Q$11)</f>
        <v/>
      </c>
      <c r="AH363" s="88" t="str">
        <f>IF($A364="","",IF(Summary!$R$11="Y",(VLOOKUP($A363,Summary!$AD$6:$AF$9,3)+'Escalating commodity'!G376),'Escalating commodity'!G376))</f>
        <v/>
      </c>
      <c r="AI363" s="88" t="str">
        <f t="shared" si="223"/>
        <v/>
      </c>
      <c r="AJ363" s="236" t="e">
        <f t="shared" si="209"/>
        <v>#VALUE!</v>
      </c>
      <c r="AK363" s="58" t="str">
        <f t="shared" si="210"/>
        <v/>
      </c>
      <c r="AL363" s="26" t="str">
        <f>IF($A364="","",_xll.SPRDOPT(P363,X363,AI363,0,AB363,AE363,AF363,AK363,$AJ$2,0))</f>
        <v/>
      </c>
      <c r="AM363" s="209" t="str">
        <f t="shared" si="211"/>
        <v/>
      </c>
      <c r="AN363" s="89" t="str">
        <f t="shared" si="212"/>
        <v/>
      </c>
      <c r="AO363" s="3" t="str">
        <f t="shared" si="213"/>
        <v/>
      </c>
      <c r="AP363" s="33" t="str">
        <f t="shared" si="214"/>
        <v/>
      </c>
      <c r="AQ363" s="58" t="str">
        <f t="shared" si="215"/>
        <v/>
      </c>
      <c r="AR363" s="38">
        <f>'ANR OK vs ML7'!AR363</f>
        <v>0.1</v>
      </c>
      <c r="AS363" s="35" t="str">
        <f t="shared" si="216"/>
        <v/>
      </c>
      <c r="AT363" s="3" t="str">
        <f t="shared" si="217"/>
        <v/>
      </c>
      <c r="AU363" s="3" t="str">
        <f t="shared" si="218"/>
        <v/>
      </c>
      <c r="AW363" s="32" t="str">
        <f t="shared" si="219"/>
        <v/>
      </c>
      <c r="AX363" s="32" t="str">
        <f t="shared" si="220"/>
        <v/>
      </c>
      <c r="AY363" s="32" t="str">
        <f t="shared" si="221"/>
        <v/>
      </c>
      <c r="BA363" s="32" t="str">
        <f>IF($A364="","",F363*Summary!$Q$11)</f>
        <v/>
      </c>
    </row>
    <row r="364" spans="1:53" ht="12" customHeight="1">
      <c r="A364" s="67" t="str">
        <f t="shared" si="222"/>
        <v/>
      </c>
      <c r="B364" s="69" t="str">
        <f t="shared" si="224"/>
        <v/>
      </c>
      <c r="C364" s="71"/>
      <c r="D364" s="69" t="str">
        <f t="shared" si="188"/>
        <v/>
      </c>
      <c r="E364" s="70" t="str">
        <f t="shared" si="189"/>
        <v/>
      </c>
      <c r="F364" s="70" t="str">
        <f t="shared" si="190"/>
        <v/>
      </c>
      <c r="G364" s="63" t="str">
        <f t="shared" si="191"/>
        <v/>
      </c>
      <c r="H364" s="64" t="str">
        <f t="shared" si="192"/>
        <v/>
      </c>
      <c r="I364" s="43"/>
      <c r="J364" s="63" t="str">
        <f t="shared" si="193"/>
        <v/>
      </c>
      <c r="K364" s="64" t="str">
        <f t="shared" si="194"/>
        <v/>
      </c>
      <c r="L364" s="63" t="str">
        <f t="shared" si="195"/>
        <v/>
      </c>
      <c r="M364" s="64" t="str">
        <f t="shared" si="196"/>
        <v/>
      </c>
      <c r="N364" s="65"/>
      <c r="O364" s="63" t="str">
        <f t="shared" si="197"/>
        <v/>
      </c>
      <c r="P364" s="63" t="str">
        <f t="shared" si="198"/>
        <v/>
      </c>
      <c r="Q364" s="66"/>
      <c r="R364" s="63" t="str">
        <f t="shared" si="199"/>
        <v/>
      </c>
      <c r="S364" s="64" t="str">
        <f t="shared" si="200"/>
        <v/>
      </c>
      <c r="T364" s="38">
        <v>0</v>
      </c>
      <c r="U364" s="64" t="str">
        <f t="shared" si="201"/>
        <v/>
      </c>
      <c r="V364" s="219" t="str">
        <f>IF($A365="","",IF(AND(MONTH(A364)&gt;3,MONTH(A364)&lt;11),(T364+R364+G364)*Summary!$T$11/(1-Summary!$T$11),(T364+R364+G364)*Summary!$U$11/(1-Summary!$U$11)))</f>
        <v/>
      </c>
      <c r="W364" s="43" t="str">
        <f t="shared" si="202"/>
        <v/>
      </c>
      <c r="X364" s="43" t="str">
        <f t="shared" si="203"/>
        <v/>
      </c>
      <c r="Y364" s="43"/>
      <c r="Z364" s="38" t="str">
        <f t="shared" si="204"/>
        <v/>
      </c>
      <c r="AA364" s="38" t="str">
        <f t="shared" si="205"/>
        <v/>
      </c>
      <c r="AB364" s="38" t="e">
        <f t="shared" si="206"/>
        <v>#VALUE!</v>
      </c>
      <c r="AC364" s="38" t="str">
        <f t="shared" si="207"/>
        <v/>
      </c>
      <c r="AD364" s="38" t="str">
        <f t="shared" si="207"/>
        <v/>
      </c>
      <c r="AE364" s="38" t="e">
        <f t="shared" si="208"/>
        <v>#VALUE!</v>
      </c>
      <c r="AF364" s="238" t="e">
        <f>((Summary!$N$11*(AA364*AD364)*(A364-$D$3))+(Summary!$M$11*Z364*AC364*(AJ364-EOMONTH(EDATE(A364,-1),0))))/(AK364*AB364*AE364)</f>
        <v>#VALUE!</v>
      </c>
      <c r="AG364" s="88" t="str">
        <f>IF($A365="","",Summary!$Q$11)</f>
        <v/>
      </c>
      <c r="AH364" s="88" t="str">
        <f>IF($A365="","",IF(Summary!$R$11="Y",(VLOOKUP($A364,Summary!$AD$6:$AF$9,3)+'Escalating commodity'!G377),'Escalating commodity'!G377))</f>
        <v/>
      </c>
      <c r="AI364" s="88" t="str">
        <f t="shared" si="223"/>
        <v/>
      </c>
      <c r="AJ364" s="236" t="e">
        <f t="shared" si="209"/>
        <v>#VALUE!</v>
      </c>
      <c r="AK364" s="58" t="str">
        <f t="shared" si="210"/>
        <v/>
      </c>
      <c r="AL364" s="26" t="str">
        <f>IF($A365="","",_xll.SPRDOPT(P364,X364,AI364,0,AB364,AE364,AF364,AK364,$AJ$2,0))</f>
        <v/>
      </c>
      <c r="AM364" s="209" t="str">
        <f t="shared" si="211"/>
        <v/>
      </c>
      <c r="AN364" s="89" t="str">
        <f t="shared" si="212"/>
        <v/>
      </c>
      <c r="AO364" s="3" t="str">
        <f t="shared" si="213"/>
        <v/>
      </c>
      <c r="AP364" s="33" t="str">
        <f t="shared" si="214"/>
        <v/>
      </c>
      <c r="AQ364" s="58" t="str">
        <f t="shared" si="215"/>
        <v/>
      </c>
      <c r="AR364" s="38">
        <f>'ANR OK vs ML7'!AR364</f>
        <v>0.1</v>
      </c>
      <c r="AS364" s="35" t="str">
        <f t="shared" si="216"/>
        <v/>
      </c>
      <c r="AT364" s="3" t="str">
        <f t="shared" si="217"/>
        <v/>
      </c>
      <c r="AU364" s="3" t="str">
        <f t="shared" si="218"/>
        <v/>
      </c>
      <c r="AW364" s="32" t="str">
        <f t="shared" si="219"/>
        <v/>
      </c>
      <c r="AX364" s="32" t="str">
        <f t="shared" si="220"/>
        <v/>
      </c>
      <c r="AY364" s="32" t="str">
        <f t="shared" si="221"/>
        <v/>
      </c>
      <c r="BA364" s="32" t="str">
        <f>IF($A365="","",F364*Summary!$Q$11)</f>
        <v/>
      </c>
    </row>
    <row r="365" spans="1:53" ht="12" customHeight="1">
      <c r="A365" s="67" t="str">
        <f t="shared" si="222"/>
        <v/>
      </c>
      <c r="B365" s="69" t="str">
        <f t="shared" si="224"/>
        <v/>
      </c>
      <c r="C365" s="71"/>
      <c r="D365" s="69" t="str">
        <f t="shared" si="188"/>
        <v/>
      </c>
      <c r="E365" s="70" t="str">
        <f t="shared" si="189"/>
        <v/>
      </c>
      <c r="F365" s="70" t="str">
        <f t="shared" si="190"/>
        <v/>
      </c>
      <c r="G365" s="63" t="str">
        <f t="shared" si="191"/>
        <v/>
      </c>
      <c r="H365" s="64" t="str">
        <f t="shared" si="192"/>
        <v/>
      </c>
      <c r="I365" s="43"/>
      <c r="J365" s="63" t="str">
        <f t="shared" si="193"/>
        <v/>
      </c>
      <c r="K365" s="64" t="str">
        <f t="shared" si="194"/>
        <v/>
      </c>
      <c r="L365" s="63" t="str">
        <f t="shared" si="195"/>
        <v/>
      </c>
      <c r="M365" s="64" t="str">
        <f t="shared" si="196"/>
        <v/>
      </c>
      <c r="N365" s="65"/>
      <c r="O365" s="63" t="str">
        <f t="shared" si="197"/>
        <v/>
      </c>
      <c r="P365" s="63" t="str">
        <f t="shared" si="198"/>
        <v/>
      </c>
      <c r="Q365" s="66"/>
      <c r="R365" s="63" t="str">
        <f t="shared" si="199"/>
        <v/>
      </c>
      <c r="S365" s="64" t="str">
        <f t="shared" si="200"/>
        <v/>
      </c>
      <c r="T365" s="38">
        <v>0</v>
      </c>
      <c r="U365" s="64" t="str">
        <f t="shared" si="201"/>
        <v/>
      </c>
      <c r="V365" s="219" t="str">
        <f>IF($A366="","",IF(AND(MONTH(A365)&gt;3,MONTH(A365)&lt;11),(T365+R365+G365)*Summary!$T$11/(1-Summary!$T$11),(T365+R365+G365)*Summary!$U$11/(1-Summary!$U$11)))</f>
        <v/>
      </c>
      <c r="W365" s="43" t="str">
        <f t="shared" si="202"/>
        <v/>
      </c>
      <c r="X365" s="43" t="str">
        <f t="shared" si="203"/>
        <v/>
      </c>
      <c r="Y365" s="43"/>
      <c r="Z365" s="38" t="str">
        <f t="shared" si="204"/>
        <v/>
      </c>
      <c r="AA365" s="38" t="str">
        <f t="shared" si="205"/>
        <v/>
      </c>
      <c r="AB365" s="38" t="e">
        <f t="shared" si="206"/>
        <v>#VALUE!</v>
      </c>
      <c r="AC365" s="38" t="str">
        <f t="shared" si="207"/>
        <v/>
      </c>
      <c r="AD365" s="38" t="str">
        <f t="shared" si="207"/>
        <v/>
      </c>
      <c r="AE365" s="38" t="e">
        <f t="shared" si="208"/>
        <v>#VALUE!</v>
      </c>
      <c r="AF365" s="238" t="e">
        <f>((Summary!$N$11*(AA365*AD365)*(A365-$D$3))+(Summary!$M$11*Z365*AC365*(AJ365-EOMONTH(EDATE(A365,-1),0))))/(AK365*AB365*AE365)</f>
        <v>#VALUE!</v>
      </c>
      <c r="AG365" s="88" t="str">
        <f>IF($A366="","",Summary!$Q$11)</f>
        <v/>
      </c>
      <c r="AH365" s="88" t="str">
        <f>IF($A366="","",IF(Summary!$R$11="Y",(VLOOKUP($A365,Summary!$AD$6:$AF$9,3)+'Escalating commodity'!G378),'Escalating commodity'!G378))</f>
        <v/>
      </c>
      <c r="AI365" s="88" t="str">
        <f t="shared" si="223"/>
        <v/>
      </c>
      <c r="AJ365" s="236" t="e">
        <f t="shared" si="209"/>
        <v>#VALUE!</v>
      </c>
      <c r="AK365" s="58" t="str">
        <f t="shared" si="210"/>
        <v/>
      </c>
      <c r="AL365" s="26" t="str">
        <f>IF($A366="","",_xll.SPRDOPT(P365,X365,AI365,0,AB365,AE365,AF365,AK365,$AJ$2,0))</f>
        <v/>
      </c>
      <c r="AM365" s="209" t="str">
        <f t="shared" si="211"/>
        <v/>
      </c>
      <c r="AN365" s="89" t="str">
        <f t="shared" si="212"/>
        <v/>
      </c>
      <c r="AO365" s="3" t="str">
        <f t="shared" si="213"/>
        <v/>
      </c>
      <c r="AP365" s="33" t="str">
        <f t="shared" si="214"/>
        <v/>
      </c>
      <c r="AQ365" s="58" t="str">
        <f t="shared" si="215"/>
        <v/>
      </c>
      <c r="AR365" s="38">
        <f>'ANR OK vs ML7'!AR365</f>
        <v>0.1</v>
      </c>
      <c r="AS365" s="35" t="str">
        <f t="shared" si="216"/>
        <v/>
      </c>
      <c r="AT365" s="3" t="str">
        <f t="shared" si="217"/>
        <v/>
      </c>
      <c r="AU365" s="3" t="str">
        <f t="shared" si="218"/>
        <v/>
      </c>
      <c r="AW365" s="32" t="str">
        <f t="shared" si="219"/>
        <v/>
      </c>
      <c r="AX365" s="32" t="str">
        <f t="shared" si="220"/>
        <v/>
      </c>
      <c r="AY365" s="32" t="str">
        <f t="shared" si="221"/>
        <v/>
      </c>
      <c r="BA365" s="32" t="str">
        <f>IF($A366="","",F365*Summary!$Q$11)</f>
        <v/>
      </c>
    </row>
    <row r="366" spans="1:53" ht="12" customHeight="1">
      <c r="A366" s="67" t="str">
        <f t="shared" si="222"/>
        <v/>
      </c>
      <c r="B366" s="69" t="str">
        <f t="shared" si="224"/>
        <v/>
      </c>
      <c r="C366" s="71"/>
      <c r="D366" s="69" t="str">
        <f t="shared" si="188"/>
        <v/>
      </c>
      <c r="E366" s="70" t="str">
        <f t="shared" si="189"/>
        <v/>
      </c>
      <c r="F366" s="70" t="str">
        <f t="shared" si="190"/>
        <v/>
      </c>
      <c r="G366" s="63" t="str">
        <f t="shared" si="191"/>
        <v/>
      </c>
      <c r="H366" s="64" t="str">
        <f t="shared" si="192"/>
        <v/>
      </c>
      <c r="I366" s="43"/>
      <c r="J366" s="63" t="str">
        <f t="shared" si="193"/>
        <v/>
      </c>
      <c r="K366" s="64" t="str">
        <f t="shared" si="194"/>
        <v/>
      </c>
      <c r="L366" s="63" t="str">
        <f t="shared" si="195"/>
        <v/>
      </c>
      <c r="M366" s="64" t="str">
        <f t="shared" si="196"/>
        <v/>
      </c>
      <c r="N366" s="65"/>
      <c r="O366" s="63" t="str">
        <f t="shared" si="197"/>
        <v/>
      </c>
      <c r="P366" s="63" t="str">
        <f t="shared" si="198"/>
        <v/>
      </c>
      <c r="Q366" s="66"/>
      <c r="R366" s="63" t="str">
        <f t="shared" si="199"/>
        <v/>
      </c>
      <c r="S366" s="64" t="str">
        <f t="shared" si="200"/>
        <v/>
      </c>
      <c r="T366" s="38">
        <v>0</v>
      </c>
      <c r="U366" s="64" t="str">
        <f t="shared" si="201"/>
        <v/>
      </c>
      <c r="V366" s="219" t="str">
        <f>IF($A367="","",IF(AND(MONTH(A366)&gt;3,MONTH(A366)&lt;11),(T366+R366+G366)*Summary!$T$11/(1-Summary!$T$11),(T366+R366+G366)*Summary!$U$11/(1-Summary!$U$11)))</f>
        <v/>
      </c>
      <c r="W366" s="43" t="str">
        <f t="shared" si="202"/>
        <v/>
      </c>
      <c r="X366" s="43" t="str">
        <f t="shared" si="203"/>
        <v/>
      </c>
      <c r="Y366" s="43"/>
      <c r="Z366" s="38" t="str">
        <f t="shared" si="204"/>
        <v/>
      </c>
      <c r="AA366" s="38" t="str">
        <f t="shared" si="205"/>
        <v/>
      </c>
      <c r="AB366" s="38" t="e">
        <f t="shared" si="206"/>
        <v>#VALUE!</v>
      </c>
      <c r="AC366" s="38" t="str">
        <f t="shared" si="207"/>
        <v/>
      </c>
      <c r="AD366" s="38" t="str">
        <f t="shared" si="207"/>
        <v/>
      </c>
      <c r="AE366" s="38" t="e">
        <f t="shared" si="208"/>
        <v>#VALUE!</v>
      </c>
      <c r="AF366" s="238" t="e">
        <f>((Summary!$N$11*(AA366*AD366)*(A366-$D$3))+(Summary!$M$11*Z366*AC366*(AJ366-EOMONTH(EDATE(A366,-1),0))))/(AK366*AB366*AE366)</f>
        <v>#VALUE!</v>
      </c>
      <c r="AG366" s="88" t="str">
        <f>IF($A367="","",Summary!$Q$11)</f>
        <v/>
      </c>
      <c r="AH366" s="88" t="str">
        <f>IF($A367="","",IF(Summary!$R$11="Y",(VLOOKUP($A366,Summary!$AD$6:$AF$9,3)+'Escalating commodity'!G379),'Escalating commodity'!G379))</f>
        <v/>
      </c>
      <c r="AI366" s="88" t="str">
        <f t="shared" si="223"/>
        <v/>
      </c>
      <c r="AJ366" s="236" t="e">
        <f t="shared" si="209"/>
        <v>#VALUE!</v>
      </c>
      <c r="AK366" s="58" t="str">
        <f t="shared" si="210"/>
        <v/>
      </c>
      <c r="AL366" s="26" t="str">
        <f>IF($A367="","",_xll.SPRDOPT(P366,X366,AI366,0,AB366,AE366,AF366,AK366,$AJ$2,0))</f>
        <v/>
      </c>
      <c r="AM366" s="209" t="str">
        <f t="shared" si="211"/>
        <v/>
      </c>
      <c r="AN366" s="89" t="str">
        <f t="shared" si="212"/>
        <v/>
      </c>
      <c r="AO366" s="3" t="str">
        <f t="shared" si="213"/>
        <v/>
      </c>
      <c r="AP366" s="33" t="str">
        <f t="shared" si="214"/>
        <v/>
      </c>
      <c r="AQ366" s="58" t="str">
        <f t="shared" si="215"/>
        <v/>
      </c>
      <c r="AR366" s="38">
        <f>'ANR OK vs ML7'!AR366</f>
        <v>0.1</v>
      </c>
      <c r="AS366" s="35" t="str">
        <f t="shared" si="216"/>
        <v/>
      </c>
      <c r="AT366" s="3" t="str">
        <f t="shared" si="217"/>
        <v/>
      </c>
      <c r="AU366" s="3" t="str">
        <f t="shared" si="218"/>
        <v/>
      </c>
      <c r="AW366" s="32" t="str">
        <f t="shared" si="219"/>
        <v/>
      </c>
      <c r="AX366" s="32" t="str">
        <f t="shared" si="220"/>
        <v/>
      </c>
      <c r="AY366" s="32" t="str">
        <f t="shared" si="221"/>
        <v/>
      </c>
      <c r="BA366" s="32" t="str">
        <f>IF($A367="","",F366*Summary!$Q$11)</f>
        <v/>
      </c>
    </row>
    <row r="367" spans="1:53" ht="12" customHeight="1">
      <c r="A367" s="67" t="str">
        <f t="shared" si="222"/>
        <v/>
      </c>
      <c r="B367" s="69" t="str">
        <f t="shared" si="224"/>
        <v/>
      </c>
      <c r="C367" s="71"/>
      <c r="D367" s="69" t="str">
        <f t="shared" si="188"/>
        <v/>
      </c>
      <c r="E367" s="70" t="str">
        <f t="shared" si="189"/>
        <v/>
      </c>
      <c r="F367" s="70" t="str">
        <f t="shared" si="190"/>
        <v/>
      </c>
      <c r="G367" s="63" t="str">
        <f t="shared" si="191"/>
        <v/>
      </c>
      <c r="H367" s="64" t="str">
        <f t="shared" si="192"/>
        <v/>
      </c>
      <c r="I367" s="43"/>
      <c r="J367" s="63" t="str">
        <f t="shared" si="193"/>
        <v/>
      </c>
      <c r="K367" s="64" t="str">
        <f t="shared" si="194"/>
        <v/>
      </c>
      <c r="L367" s="63" t="str">
        <f t="shared" si="195"/>
        <v/>
      </c>
      <c r="M367" s="64" t="str">
        <f t="shared" si="196"/>
        <v/>
      </c>
      <c r="N367" s="65"/>
      <c r="O367" s="63" t="str">
        <f t="shared" si="197"/>
        <v/>
      </c>
      <c r="P367" s="63" t="str">
        <f t="shared" si="198"/>
        <v/>
      </c>
      <c r="Q367" s="66"/>
      <c r="R367" s="63" t="str">
        <f t="shared" si="199"/>
        <v/>
      </c>
      <c r="S367" s="64" t="str">
        <f t="shared" si="200"/>
        <v/>
      </c>
      <c r="T367" s="38">
        <v>0</v>
      </c>
      <c r="U367" s="64" t="str">
        <f t="shared" si="201"/>
        <v/>
      </c>
      <c r="V367" s="219" t="str">
        <f>IF($A368="","",IF(AND(MONTH(A367)&gt;3,MONTH(A367)&lt;11),(T367+R367+G367)*Summary!$T$11/(1-Summary!$T$11),(T367+R367+G367)*Summary!$U$11/(1-Summary!$U$11)))</f>
        <v/>
      </c>
      <c r="W367" s="43" t="str">
        <f t="shared" si="202"/>
        <v/>
      </c>
      <c r="X367" s="43" t="str">
        <f t="shared" si="203"/>
        <v/>
      </c>
      <c r="Y367" s="43"/>
      <c r="Z367" s="38" t="str">
        <f t="shared" si="204"/>
        <v/>
      </c>
      <c r="AA367" s="38" t="str">
        <f t="shared" si="205"/>
        <v/>
      </c>
      <c r="AB367" s="38" t="e">
        <f t="shared" si="206"/>
        <v>#VALUE!</v>
      </c>
      <c r="AC367" s="38" t="str">
        <f t="shared" si="207"/>
        <v/>
      </c>
      <c r="AD367" s="38" t="str">
        <f t="shared" si="207"/>
        <v/>
      </c>
      <c r="AE367" s="38" t="e">
        <f t="shared" si="208"/>
        <v>#VALUE!</v>
      </c>
      <c r="AF367" s="238" t="e">
        <f>((Summary!$N$11*(AA367*AD367)*(A367-$D$3))+(Summary!$M$11*Z367*AC367*(AJ367-EOMONTH(EDATE(A367,-1),0))))/(AK367*AB367*AE367)</f>
        <v>#VALUE!</v>
      </c>
      <c r="AG367" s="88" t="str">
        <f>IF($A368="","",Summary!$Q$11)</f>
        <v/>
      </c>
      <c r="AH367" s="88" t="str">
        <f>IF($A368="","",IF(Summary!$R$11="Y",(VLOOKUP($A367,Summary!$AD$6:$AF$9,3)+'Escalating commodity'!G380),'Escalating commodity'!G380))</f>
        <v/>
      </c>
      <c r="AI367" s="88" t="str">
        <f t="shared" si="223"/>
        <v/>
      </c>
      <c r="AJ367" s="236" t="e">
        <f t="shared" si="209"/>
        <v>#VALUE!</v>
      </c>
      <c r="AK367" s="58" t="str">
        <f t="shared" si="210"/>
        <v/>
      </c>
      <c r="AL367" s="26" t="str">
        <f>IF($A368="","",_xll.SPRDOPT(P367,X367,AI367,0,AB367,AE367,AF367,AK367,$AJ$2,0))</f>
        <v/>
      </c>
      <c r="AM367" s="209" t="str">
        <f t="shared" si="211"/>
        <v/>
      </c>
      <c r="AN367" s="89" t="str">
        <f t="shared" si="212"/>
        <v/>
      </c>
      <c r="AO367" s="3" t="str">
        <f t="shared" si="213"/>
        <v/>
      </c>
      <c r="AP367" s="33" t="str">
        <f t="shared" si="214"/>
        <v/>
      </c>
      <c r="AQ367" s="58" t="str">
        <f t="shared" si="215"/>
        <v/>
      </c>
      <c r="AR367" s="38">
        <f>'ANR OK vs ML7'!AR367</f>
        <v>0.1</v>
      </c>
      <c r="AS367" s="35" t="str">
        <f t="shared" si="216"/>
        <v/>
      </c>
      <c r="AT367" s="3" t="str">
        <f t="shared" si="217"/>
        <v/>
      </c>
      <c r="AU367" s="3" t="str">
        <f t="shared" si="218"/>
        <v/>
      </c>
      <c r="AW367" s="32" t="str">
        <f t="shared" si="219"/>
        <v/>
      </c>
      <c r="AX367" s="32" t="str">
        <f t="shared" si="220"/>
        <v/>
      </c>
      <c r="AY367" s="32" t="str">
        <f t="shared" si="221"/>
        <v/>
      </c>
      <c r="BA367" s="32" t="str">
        <f>IF($A368="","",F367*Summary!$Q$11)</f>
        <v/>
      </c>
    </row>
    <row r="368" spans="1:53" ht="12" customHeight="1">
      <c r="A368" s="67" t="str">
        <f t="shared" si="222"/>
        <v/>
      </c>
      <c r="B368" s="69" t="str">
        <f t="shared" si="224"/>
        <v/>
      </c>
      <c r="C368" s="71"/>
      <c r="D368" s="69" t="str">
        <f t="shared" si="188"/>
        <v/>
      </c>
      <c r="E368" s="70" t="str">
        <f t="shared" si="189"/>
        <v/>
      </c>
      <c r="F368" s="70" t="str">
        <f t="shared" si="190"/>
        <v/>
      </c>
      <c r="G368" s="63" t="str">
        <f t="shared" si="191"/>
        <v/>
      </c>
      <c r="H368" s="64" t="str">
        <f t="shared" si="192"/>
        <v/>
      </c>
      <c r="I368" s="43"/>
      <c r="J368" s="63" t="str">
        <f t="shared" si="193"/>
        <v/>
      </c>
      <c r="K368" s="64" t="str">
        <f t="shared" si="194"/>
        <v/>
      </c>
      <c r="L368" s="63" t="str">
        <f t="shared" si="195"/>
        <v/>
      </c>
      <c r="M368" s="64" t="str">
        <f t="shared" si="196"/>
        <v/>
      </c>
      <c r="N368" s="65"/>
      <c r="O368" s="63" t="str">
        <f t="shared" si="197"/>
        <v/>
      </c>
      <c r="P368" s="63" t="str">
        <f t="shared" si="198"/>
        <v/>
      </c>
      <c r="Q368" s="66"/>
      <c r="R368" s="63" t="str">
        <f t="shared" si="199"/>
        <v/>
      </c>
      <c r="S368" s="64" t="str">
        <f t="shared" si="200"/>
        <v/>
      </c>
      <c r="T368" s="38">
        <v>0</v>
      </c>
      <c r="U368" s="64" t="str">
        <f t="shared" si="201"/>
        <v/>
      </c>
      <c r="V368" s="219" t="str">
        <f>IF($A369="","",IF(AND(MONTH(A368)&gt;3,MONTH(A368)&lt;11),(T368+R368+G368)*Summary!$T$11/(1-Summary!$T$11),(T368+R368+G368)*Summary!$U$11/(1-Summary!$U$11)))</f>
        <v/>
      </c>
      <c r="W368" s="43" t="str">
        <f t="shared" si="202"/>
        <v/>
      </c>
      <c r="X368" s="43" t="str">
        <f t="shared" si="203"/>
        <v/>
      </c>
      <c r="Y368" s="43"/>
      <c r="Z368" s="38" t="str">
        <f t="shared" si="204"/>
        <v/>
      </c>
      <c r="AA368" s="38" t="str">
        <f t="shared" si="205"/>
        <v/>
      </c>
      <c r="AB368" s="38" t="e">
        <f t="shared" si="206"/>
        <v>#VALUE!</v>
      </c>
      <c r="AC368" s="38" t="str">
        <f t="shared" si="207"/>
        <v/>
      </c>
      <c r="AD368" s="38" t="str">
        <f t="shared" si="207"/>
        <v/>
      </c>
      <c r="AE368" s="38" t="e">
        <f t="shared" si="208"/>
        <v>#VALUE!</v>
      </c>
      <c r="AF368" s="238" t="e">
        <f>((Summary!$N$11*(AA368*AD368)*(A368-$D$3))+(Summary!$M$11*Z368*AC368*(AJ368-EOMONTH(EDATE(A368,-1),0))))/(AK368*AB368*AE368)</f>
        <v>#VALUE!</v>
      </c>
      <c r="AG368" s="88" t="str">
        <f>IF($A369="","",Summary!$Q$11)</f>
        <v/>
      </c>
      <c r="AH368" s="88" t="str">
        <f>IF($A369="","",IF(Summary!$R$11="Y",(VLOOKUP($A368,Summary!$AD$6:$AF$9,3)+'Escalating commodity'!G381),'Escalating commodity'!G381))</f>
        <v/>
      </c>
      <c r="AI368" s="88" t="str">
        <f t="shared" si="223"/>
        <v/>
      </c>
      <c r="AJ368" s="236" t="e">
        <f t="shared" si="209"/>
        <v>#VALUE!</v>
      </c>
      <c r="AK368" s="58" t="str">
        <f t="shared" si="210"/>
        <v/>
      </c>
      <c r="AL368" s="26" t="str">
        <f>IF($A369="","",_xll.SPRDOPT(P368,X368,AI368,0,AB368,AE368,AF368,AK368,$AJ$2,0))</f>
        <v/>
      </c>
      <c r="AM368" s="209" t="str">
        <f t="shared" si="211"/>
        <v/>
      </c>
      <c r="AN368" s="89" t="str">
        <f t="shared" si="212"/>
        <v/>
      </c>
      <c r="AO368" s="3" t="str">
        <f t="shared" si="213"/>
        <v/>
      </c>
      <c r="AP368" s="33" t="str">
        <f t="shared" si="214"/>
        <v/>
      </c>
      <c r="AQ368" s="58" t="str">
        <f t="shared" si="215"/>
        <v/>
      </c>
      <c r="AR368" s="38">
        <f>'ANR OK vs ML7'!AR368</f>
        <v>0.1</v>
      </c>
      <c r="AS368" s="35" t="str">
        <f t="shared" si="216"/>
        <v/>
      </c>
      <c r="AT368" s="3" t="str">
        <f t="shared" si="217"/>
        <v/>
      </c>
      <c r="AU368" s="3" t="str">
        <f t="shared" si="218"/>
        <v/>
      </c>
      <c r="AW368" s="32" t="str">
        <f t="shared" si="219"/>
        <v/>
      </c>
      <c r="AX368" s="32" t="str">
        <f t="shared" si="220"/>
        <v/>
      </c>
      <c r="AY368" s="32" t="str">
        <f t="shared" si="221"/>
        <v/>
      </c>
      <c r="BA368" s="32" t="str">
        <f>IF($A369="","",F368*Summary!$Q$11)</f>
        <v/>
      </c>
    </row>
    <row r="369" spans="1:53" ht="12" customHeight="1">
      <c r="A369" s="67" t="str">
        <f t="shared" si="222"/>
        <v/>
      </c>
      <c r="B369" s="69" t="str">
        <f t="shared" si="224"/>
        <v/>
      </c>
      <c r="C369" s="71"/>
      <c r="D369" s="69" t="str">
        <f t="shared" si="188"/>
        <v/>
      </c>
      <c r="E369" s="70" t="str">
        <f t="shared" si="189"/>
        <v/>
      </c>
      <c r="F369" s="70" t="str">
        <f t="shared" si="190"/>
        <v/>
      </c>
      <c r="G369" s="63" t="str">
        <f t="shared" si="191"/>
        <v/>
      </c>
      <c r="H369" s="64" t="str">
        <f t="shared" si="192"/>
        <v/>
      </c>
      <c r="I369" s="43"/>
      <c r="J369" s="63" t="str">
        <f t="shared" si="193"/>
        <v/>
      </c>
      <c r="K369" s="64" t="str">
        <f t="shared" si="194"/>
        <v/>
      </c>
      <c r="L369" s="63" t="str">
        <f t="shared" si="195"/>
        <v/>
      </c>
      <c r="M369" s="64" t="str">
        <f t="shared" si="196"/>
        <v/>
      </c>
      <c r="N369" s="65"/>
      <c r="O369" s="63" t="str">
        <f t="shared" si="197"/>
        <v/>
      </c>
      <c r="P369" s="63" t="str">
        <f t="shared" si="198"/>
        <v/>
      </c>
      <c r="Q369" s="66"/>
      <c r="R369" s="63" t="str">
        <f t="shared" si="199"/>
        <v/>
      </c>
      <c r="S369" s="64" t="str">
        <f t="shared" si="200"/>
        <v/>
      </c>
      <c r="T369" s="38">
        <v>0</v>
      </c>
      <c r="U369" s="64" t="str">
        <f t="shared" si="201"/>
        <v/>
      </c>
      <c r="V369" s="219" t="str">
        <f>IF($A370="","",IF(AND(MONTH(A369)&gt;3,MONTH(A369)&lt;11),(T369+R369+G369)*Summary!$T$11/(1-Summary!$T$11),(T369+R369+G369)*Summary!$U$11/(1-Summary!$U$11)))</f>
        <v/>
      </c>
      <c r="W369" s="43" t="str">
        <f t="shared" si="202"/>
        <v/>
      </c>
      <c r="X369" s="43" t="str">
        <f t="shared" si="203"/>
        <v/>
      </c>
      <c r="Y369" s="43"/>
      <c r="Z369" s="38" t="str">
        <f t="shared" si="204"/>
        <v/>
      </c>
      <c r="AA369" s="38" t="str">
        <f t="shared" si="205"/>
        <v/>
      </c>
      <c r="AB369" s="38" t="e">
        <f t="shared" si="206"/>
        <v>#VALUE!</v>
      </c>
      <c r="AC369" s="38" t="str">
        <f t="shared" si="207"/>
        <v/>
      </c>
      <c r="AD369" s="38" t="str">
        <f t="shared" si="207"/>
        <v/>
      </c>
      <c r="AE369" s="38" t="e">
        <f t="shared" si="208"/>
        <v>#VALUE!</v>
      </c>
      <c r="AF369" s="238" t="e">
        <f>((Summary!$N$11*(AA369*AD369)*(A369-$D$3))+(Summary!$M$11*Z369*AC369*(AJ369-EOMONTH(EDATE(A369,-1),0))))/(AK369*AB369*AE369)</f>
        <v>#VALUE!</v>
      </c>
      <c r="AG369" s="88" t="str">
        <f>IF($A370="","",Summary!$Q$11)</f>
        <v/>
      </c>
      <c r="AH369" s="88" t="str">
        <f>IF($A370="","",IF(Summary!$R$11="Y",(VLOOKUP($A369,Summary!$AD$6:$AF$9,3)+'Escalating commodity'!G382),'Escalating commodity'!G382))</f>
        <v/>
      </c>
      <c r="AI369" s="88" t="str">
        <f t="shared" si="223"/>
        <v/>
      </c>
      <c r="AJ369" s="236" t="e">
        <f t="shared" si="209"/>
        <v>#VALUE!</v>
      </c>
      <c r="AK369" s="58" t="str">
        <f t="shared" si="210"/>
        <v/>
      </c>
      <c r="AL369" s="26" t="str">
        <f>IF($A370="","",_xll.SPRDOPT(P369,X369,AI369,0,AB369,AE369,AF369,AK369,$AJ$2,0))</f>
        <v/>
      </c>
      <c r="AM369" s="209" t="str">
        <f t="shared" si="211"/>
        <v/>
      </c>
      <c r="AN369" s="89" t="str">
        <f t="shared" si="212"/>
        <v/>
      </c>
      <c r="AO369" s="3" t="str">
        <f t="shared" si="213"/>
        <v/>
      </c>
      <c r="AP369" s="33" t="str">
        <f t="shared" si="214"/>
        <v/>
      </c>
      <c r="AQ369" s="58" t="str">
        <f t="shared" si="215"/>
        <v/>
      </c>
      <c r="AR369" s="38">
        <f>'ANR OK vs ML7'!AR369</f>
        <v>0.1</v>
      </c>
      <c r="AS369" s="35" t="str">
        <f t="shared" si="216"/>
        <v/>
      </c>
      <c r="AT369" s="3" t="str">
        <f t="shared" si="217"/>
        <v/>
      </c>
      <c r="AU369" s="3" t="str">
        <f t="shared" si="218"/>
        <v/>
      </c>
      <c r="AW369" s="32" t="str">
        <f t="shared" si="219"/>
        <v/>
      </c>
      <c r="AX369" s="32" t="str">
        <f t="shared" si="220"/>
        <v/>
      </c>
      <c r="AY369" s="32" t="str">
        <f t="shared" si="221"/>
        <v/>
      </c>
      <c r="BA369" s="32" t="str">
        <f>IF($A370="","",F369*Summary!$Q$11)</f>
        <v/>
      </c>
    </row>
    <row r="370" spans="1:53">
      <c r="A370" s="67" t="str">
        <f t="shared" si="222"/>
        <v/>
      </c>
      <c r="B370" s="69" t="str">
        <f t="shared" si="224"/>
        <v/>
      </c>
      <c r="C370" s="72"/>
      <c r="D370" s="69" t="str">
        <f t="shared" si="188"/>
        <v/>
      </c>
      <c r="E370" s="70" t="str">
        <f t="shared" si="189"/>
        <v/>
      </c>
      <c r="F370" s="70" t="str">
        <f t="shared" si="190"/>
        <v/>
      </c>
      <c r="G370" s="63" t="str">
        <f t="shared" si="191"/>
        <v/>
      </c>
      <c r="H370" s="64" t="str">
        <f t="shared" si="192"/>
        <v/>
      </c>
      <c r="J370" s="63" t="str">
        <f t="shared" si="193"/>
        <v/>
      </c>
      <c r="K370" s="64" t="str">
        <f t="shared" si="194"/>
        <v/>
      </c>
      <c r="L370" s="63" t="str">
        <f t="shared" si="195"/>
        <v/>
      </c>
      <c r="M370" s="64" t="str">
        <f t="shared" si="196"/>
        <v/>
      </c>
      <c r="O370" s="63" t="str">
        <f t="shared" si="197"/>
        <v/>
      </c>
      <c r="P370" s="63" t="str">
        <f t="shared" si="198"/>
        <v/>
      </c>
      <c r="R370" s="63" t="str">
        <f t="shared" si="199"/>
        <v/>
      </c>
      <c r="S370" s="64" t="str">
        <f t="shared" si="200"/>
        <v/>
      </c>
      <c r="T370" s="38">
        <v>0</v>
      </c>
      <c r="U370" s="64" t="str">
        <f t="shared" si="201"/>
        <v/>
      </c>
      <c r="V370" s="219" t="str">
        <f>IF($A371="","",IF(AND(MONTH(A370)&gt;3,MONTH(A370)&lt;11),(T370+R370+G370)*Summary!$T$11/(1-Summary!$T$11),(T370+R370+G370)*Summary!$U$11/(1-Summary!$U$11)))</f>
        <v/>
      </c>
      <c r="W370" s="43" t="str">
        <f t="shared" si="202"/>
        <v/>
      </c>
      <c r="X370" s="43" t="str">
        <f t="shared" si="203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3"/>
        <v/>
      </c>
      <c r="AP370" s="33" t="str">
        <f t="shared" si="214"/>
        <v/>
      </c>
      <c r="AQ370" s="58" t="str">
        <f t="shared" si="215"/>
        <v/>
      </c>
      <c r="AR370" s="38">
        <f>'ANR OK vs ML7'!AR370</f>
        <v>0.1</v>
      </c>
      <c r="AS370" s="35" t="str">
        <f t="shared" si="216"/>
        <v/>
      </c>
      <c r="AT370" s="3" t="str">
        <f t="shared" si="217"/>
        <v/>
      </c>
      <c r="AU370" s="3" t="str">
        <f t="shared" si="218"/>
        <v/>
      </c>
      <c r="AW370" s="32" t="str">
        <f t="shared" si="219"/>
        <v/>
      </c>
      <c r="AX370" s="32" t="str">
        <f t="shared" si="220"/>
        <v/>
      </c>
      <c r="AY370" s="32" t="str">
        <f t="shared" si="221"/>
        <v/>
      </c>
      <c r="BA370" s="32" t="str">
        <f>IF($A371="","",F370*Summary!$Q$11)</f>
        <v/>
      </c>
    </row>
    <row r="371" spans="1:53">
      <c r="A371" s="67" t="str">
        <f t="shared" si="222"/>
        <v/>
      </c>
      <c r="B371" s="69" t="str">
        <f t="shared" si="224"/>
        <v/>
      </c>
      <c r="D371" s="69" t="str">
        <f t="shared" si="188"/>
        <v/>
      </c>
      <c r="E371" s="70" t="str">
        <f t="shared" si="189"/>
        <v/>
      </c>
      <c r="F371" s="70" t="str">
        <f t="shared" si="190"/>
        <v/>
      </c>
      <c r="G371" s="63" t="str">
        <f t="shared" si="191"/>
        <v/>
      </c>
      <c r="H371" s="64" t="str">
        <f t="shared" si="192"/>
        <v/>
      </c>
      <c r="J371" s="63" t="str">
        <f t="shared" si="193"/>
        <v/>
      </c>
      <c r="K371" s="64" t="str">
        <f t="shared" si="194"/>
        <v/>
      </c>
      <c r="L371" s="63" t="str">
        <f t="shared" si="195"/>
        <v/>
      </c>
      <c r="M371" s="64" t="str">
        <f t="shared" si="196"/>
        <v/>
      </c>
      <c r="O371" s="63" t="str">
        <f t="shared" si="197"/>
        <v/>
      </c>
      <c r="P371" s="63" t="str">
        <f t="shared" si="198"/>
        <v/>
      </c>
      <c r="R371" s="63" t="str">
        <f t="shared" si="199"/>
        <v/>
      </c>
      <c r="S371" s="64" t="str">
        <f t="shared" si="200"/>
        <v/>
      </c>
      <c r="T371" s="38">
        <v>0</v>
      </c>
      <c r="U371" s="64" t="str">
        <f t="shared" si="201"/>
        <v/>
      </c>
      <c r="V371" s="219" t="str">
        <f>IF($A372="","",IF(AND(MONTH(A371)&gt;3,MONTH(A371)&lt;11),(T371+R371+G371)*Summary!$T$11/(1-Summary!$T$11),(T371+R371+G371)*Summary!$U$11/(1-Summary!$U$11)))</f>
        <v/>
      </c>
      <c r="W371" s="43" t="str">
        <f t="shared" si="202"/>
        <v/>
      </c>
      <c r="X371" s="43" t="str">
        <f t="shared" si="203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3"/>
        <v/>
      </c>
      <c r="AP371" s="33" t="str">
        <f t="shared" si="214"/>
        <v/>
      </c>
      <c r="AQ371" s="58" t="str">
        <f t="shared" si="215"/>
        <v/>
      </c>
      <c r="AR371" s="38">
        <f>'ANR OK vs ML7'!AR371</f>
        <v>0.1</v>
      </c>
      <c r="AS371" s="35" t="str">
        <f t="shared" si="216"/>
        <v/>
      </c>
      <c r="AT371" s="3" t="str">
        <f t="shared" si="217"/>
        <v/>
      </c>
      <c r="AU371" s="3" t="str">
        <f t="shared" si="218"/>
        <v/>
      </c>
      <c r="AW371" s="32" t="str">
        <f t="shared" si="219"/>
        <v/>
      </c>
      <c r="AX371" s="32" t="str">
        <f t="shared" si="220"/>
        <v/>
      </c>
      <c r="AY371" s="32" t="str">
        <f t="shared" si="221"/>
        <v/>
      </c>
      <c r="BA371" s="32" t="str">
        <f>IF($A372="","",F371*Summary!$Q$11)</f>
        <v/>
      </c>
    </row>
    <row r="372" spans="1:53">
      <c r="A372" s="67" t="str">
        <f t="shared" si="222"/>
        <v/>
      </c>
      <c r="B372" s="69" t="str">
        <f t="shared" si="224"/>
        <v/>
      </c>
      <c r="D372" s="69" t="str">
        <f t="shared" si="188"/>
        <v/>
      </c>
      <c r="E372" s="70" t="str">
        <f t="shared" si="189"/>
        <v/>
      </c>
      <c r="F372" s="70" t="str">
        <f t="shared" si="190"/>
        <v/>
      </c>
      <c r="G372" s="63" t="str">
        <f t="shared" si="191"/>
        <v/>
      </c>
      <c r="H372" s="64" t="str">
        <f t="shared" si="192"/>
        <v/>
      </c>
      <c r="J372" s="63" t="str">
        <f t="shared" si="193"/>
        <v/>
      </c>
      <c r="K372" s="64" t="str">
        <f t="shared" si="194"/>
        <v/>
      </c>
      <c r="L372" s="63" t="str">
        <f t="shared" si="195"/>
        <v/>
      </c>
      <c r="M372" s="64" t="str">
        <f t="shared" si="196"/>
        <v/>
      </c>
      <c r="O372" s="63" t="str">
        <f t="shared" si="197"/>
        <v/>
      </c>
      <c r="P372" s="63" t="str">
        <f t="shared" si="198"/>
        <v/>
      </c>
      <c r="R372" s="63" t="str">
        <f t="shared" si="199"/>
        <v/>
      </c>
      <c r="S372" s="64" t="str">
        <f t="shared" si="200"/>
        <v/>
      </c>
      <c r="T372" s="38">
        <v>0</v>
      </c>
      <c r="U372" s="64" t="str">
        <f t="shared" si="201"/>
        <v/>
      </c>
      <c r="V372" s="219" t="str">
        <f>IF($A373="","",IF(AND(MONTH(A372)&gt;3,MONTH(A372)&lt;11),(T372+R372+G372)*Summary!$T$11/(1-Summary!$T$11),(T372+R372+G372)*Summary!$U$11/(1-Summary!$U$11)))</f>
        <v/>
      </c>
      <c r="W372" s="43" t="str">
        <f t="shared" si="202"/>
        <v/>
      </c>
      <c r="X372" s="43" t="str">
        <f t="shared" si="203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3"/>
        <v/>
      </c>
      <c r="AP372" s="33" t="str">
        <f t="shared" si="214"/>
        <v/>
      </c>
      <c r="AQ372" s="58" t="str">
        <f t="shared" si="215"/>
        <v/>
      </c>
      <c r="AR372" s="38">
        <f>'ANR OK vs ML7'!AR372</f>
        <v>0.1</v>
      </c>
      <c r="AS372" s="35" t="str">
        <f t="shared" si="216"/>
        <v/>
      </c>
      <c r="AT372" s="3" t="str">
        <f t="shared" si="217"/>
        <v/>
      </c>
      <c r="AU372" s="3" t="str">
        <f t="shared" si="218"/>
        <v/>
      </c>
      <c r="AW372" s="32" t="str">
        <f t="shared" si="219"/>
        <v/>
      </c>
      <c r="AX372" s="32" t="str">
        <f t="shared" si="220"/>
        <v/>
      </c>
      <c r="AY372" s="32" t="str">
        <f t="shared" si="221"/>
        <v/>
      </c>
      <c r="BA372" s="32" t="str">
        <f>IF($A373="","",F372*Summary!$Q$11)</f>
        <v/>
      </c>
    </row>
    <row r="373" spans="1:53">
      <c r="A373" s="67" t="str">
        <f t="shared" si="222"/>
        <v/>
      </c>
      <c r="B373" s="69" t="str">
        <f t="shared" si="224"/>
        <v/>
      </c>
      <c r="D373" s="69" t="str">
        <f t="shared" si="188"/>
        <v/>
      </c>
      <c r="E373" s="70" t="str">
        <f t="shared" si="189"/>
        <v/>
      </c>
      <c r="F373" s="70" t="str">
        <f t="shared" si="190"/>
        <v/>
      </c>
      <c r="G373" s="63" t="str">
        <f t="shared" si="191"/>
        <v/>
      </c>
      <c r="H373" s="64" t="str">
        <f t="shared" si="192"/>
        <v/>
      </c>
      <c r="J373" s="63" t="str">
        <f t="shared" si="193"/>
        <v/>
      </c>
      <c r="K373" s="64" t="str">
        <f t="shared" si="194"/>
        <v/>
      </c>
      <c r="L373" s="63" t="str">
        <f t="shared" si="195"/>
        <v/>
      </c>
      <c r="M373" s="64" t="str">
        <f t="shared" si="196"/>
        <v/>
      </c>
      <c r="O373" s="63" t="str">
        <f t="shared" si="197"/>
        <v/>
      </c>
      <c r="P373" s="63" t="str">
        <f t="shared" si="198"/>
        <v/>
      </c>
      <c r="R373" s="63" t="str">
        <f t="shared" si="199"/>
        <v/>
      </c>
      <c r="S373" s="64" t="str">
        <f t="shared" si="200"/>
        <v/>
      </c>
      <c r="T373" s="38">
        <v>0</v>
      </c>
      <c r="U373" s="64" t="str">
        <f t="shared" si="201"/>
        <v/>
      </c>
      <c r="V373" s="219" t="str">
        <f>IF($A374="","",IF(AND(MONTH(A373)&gt;3,MONTH(A373)&lt;11),(T373+R373+G373)*Summary!$T$11/(1-Summary!$T$11),(T373+R373+G373)*Summary!$U$11/(1-Summary!$U$11)))</f>
        <v/>
      </c>
      <c r="W373" s="43" t="str">
        <f t="shared" si="202"/>
        <v/>
      </c>
      <c r="X373" s="43" t="str">
        <f t="shared" si="203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3"/>
        <v/>
      </c>
      <c r="AP373" s="33" t="str">
        <f t="shared" si="214"/>
        <v/>
      </c>
      <c r="AQ373" s="58" t="str">
        <f t="shared" si="215"/>
        <v/>
      </c>
      <c r="AR373" s="38">
        <f>'ANR OK vs ML7'!AR373</f>
        <v>0.1</v>
      </c>
      <c r="AS373" s="35" t="str">
        <f t="shared" si="216"/>
        <v/>
      </c>
      <c r="AT373" s="3" t="str">
        <f t="shared" si="217"/>
        <v/>
      </c>
      <c r="AU373" s="3" t="str">
        <f t="shared" si="218"/>
        <v/>
      </c>
      <c r="AW373" s="32" t="str">
        <f t="shared" si="219"/>
        <v/>
      </c>
      <c r="AX373" s="32" t="str">
        <f t="shared" si="220"/>
        <v/>
      </c>
      <c r="AY373" s="32" t="str">
        <f t="shared" si="221"/>
        <v/>
      </c>
      <c r="BA373" s="32" t="str">
        <f>IF($A374="","",F373*Summary!$Q$11)</f>
        <v/>
      </c>
    </row>
    <row r="374" spans="1:53">
      <c r="A374" s="67" t="str">
        <f t="shared" si="222"/>
        <v/>
      </c>
      <c r="B374" s="69" t="str">
        <f t="shared" si="224"/>
        <v/>
      </c>
      <c r="D374" s="69" t="str">
        <f t="shared" si="188"/>
        <v/>
      </c>
      <c r="E374" s="70" t="str">
        <f t="shared" si="189"/>
        <v/>
      </c>
      <c r="F374" s="70" t="str">
        <f t="shared" si="190"/>
        <v/>
      </c>
      <c r="G374" s="63" t="str">
        <f t="shared" si="191"/>
        <v/>
      </c>
      <c r="H374" s="64" t="str">
        <f t="shared" si="192"/>
        <v/>
      </c>
      <c r="J374" s="63" t="str">
        <f t="shared" si="193"/>
        <v/>
      </c>
      <c r="K374" s="64" t="str">
        <f t="shared" si="194"/>
        <v/>
      </c>
      <c r="L374" s="63" t="str">
        <f t="shared" si="195"/>
        <v/>
      </c>
      <c r="M374" s="64" t="str">
        <f t="shared" si="196"/>
        <v/>
      </c>
      <c r="O374" s="63" t="str">
        <f t="shared" si="197"/>
        <v/>
      </c>
      <c r="P374" s="63" t="str">
        <f t="shared" si="198"/>
        <v/>
      </c>
      <c r="R374" s="63" t="str">
        <f t="shared" si="199"/>
        <v/>
      </c>
      <c r="S374" s="64" t="str">
        <f t="shared" si="200"/>
        <v/>
      </c>
      <c r="T374" s="38">
        <v>0</v>
      </c>
      <c r="U374" s="64" t="str">
        <f t="shared" si="201"/>
        <v/>
      </c>
      <c r="V374" s="219" t="str">
        <f>IF($A375="","",IF(AND(MONTH(A374)&gt;3,MONTH(A374)&lt;11),(T374+R374+G374)*Summary!$T$11/(1-Summary!$T$11),(T374+R374+G374)*Summary!$U$11/(1-Summary!$U$11)))</f>
        <v/>
      </c>
      <c r="W374" s="43" t="str">
        <f t="shared" si="202"/>
        <v/>
      </c>
      <c r="X374" s="43" t="str">
        <f t="shared" si="203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3"/>
        <v/>
      </c>
      <c r="AP374" s="33" t="str">
        <f t="shared" si="214"/>
        <v/>
      </c>
      <c r="AQ374" s="58" t="str">
        <f t="shared" si="215"/>
        <v/>
      </c>
      <c r="AR374" s="38">
        <f>'ANR OK vs ML7'!AR374</f>
        <v>0.1</v>
      </c>
      <c r="AS374" s="35" t="str">
        <f t="shared" si="216"/>
        <v/>
      </c>
      <c r="AT374" s="3" t="str">
        <f t="shared" si="217"/>
        <v/>
      </c>
      <c r="AU374" s="3" t="str">
        <f t="shared" si="218"/>
        <v/>
      </c>
      <c r="AW374" s="32" t="str">
        <f t="shared" si="219"/>
        <v/>
      </c>
      <c r="AX374" s="32" t="str">
        <f t="shared" si="220"/>
        <v/>
      </c>
      <c r="AY374" s="32" t="str">
        <f t="shared" si="221"/>
        <v/>
      </c>
      <c r="BA374" s="32" t="str">
        <f>IF($A375="","",F374*Summary!$Q$11)</f>
        <v/>
      </c>
    </row>
    <row r="375" spans="1:53">
      <c r="A375" s="67" t="str">
        <f t="shared" si="222"/>
        <v/>
      </c>
      <c r="B375" s="69" t="str">
        <f t="shared" si="224"/>
        <v/>
      </c>
      <c r="D375" s="69" t="str">
        <f t="shared" si="188"/>
        <v/>
      </c>
      <c r="E375" s="70" t="str">
        <f t="shared" si="189"/>
        <v/>
      </c>
      <c r="F375" s="70" t="str">
        <f t="shared" si="190"/>
        <v/>
      </c>
      <c r="G375" s="63" t="str">
        <f t="shared" si="191"/>
        <v/>
      </c>
      <c r="H375" s="64" t="str">
        <f t="shared" si="192"/>
        <v/>
      </c>
      <c r="J375" s="63" t="str">
        <f t="shared" si="193"/>
        <v/>
      </c>
      <c r="K375" s="64" t="str">
        <f t="shared" si="194"/>
        <v/>
      </c>
      <c r="L375" s="63" t="str">
        <f t="shared" si="195"/>
        <v/>
      </c>
      <c r="M375" s="64" t="str">
        <f t="shared" si="196"/>
        <v/>
      </c>
      <c r="O375" s="63" t="str">
        <f t="shared" si="197"/>
        <v/>
      </c>
      <c r="P375" s="63" t="str">
        <f t="shared" si="198"/>
        <v/>
      </c>
      <c r="R375" s="63" t="str">
        <f t="shared" si="199"/>
        <v/>
      </c>
      <c r="S375" s="64" t="str">
        <f t="shared" si="200"/>
        <v/>
      </c>
      <c r="T375" s="38">
        <v>0</v>
      </c>
      <c r="U375" s="64" t="str">
        <f t="shared" si="201"/>
        <v/>
      </c>
      <c r="V375" s="219" t="str">
        <f>IF($A376="","",IF(AND(MONTH(A375)&gt;3,MONTH(A375)&lt;11),(T375+R375+G375)*Summary!$T$11/(1-Summary!$T$11),(T375+R375+G375)*Summary!$U$11/(1-Summary!$U$11)))</f>
        <v/>
      </c>
      <c r="W375" s="43" t="str">
        <f t="shared" si="202"/>
        <v/>
      </c>
      <c r="X375" s="43" t="str">
        <f t="shared" si="203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3"/>
        <v/>
      </c>
      <c r="AP375" s="33" t="str">
        <f t="shared" si="214"/>
        <v/>
      </c>
      <c r="AQ375" s="58" t="str">
        <f t="shared" si="215"/>
        <v/>
      </c>
      <c r="AR375" s="38">
        <f>'ANR OK vs ML7'!AR375</f>
        <v>0.1</v>
      </c>
      <c r="AS375" s="35" t="str">
        <f t="shared" si="216"/>
        <v/>
      </c>
      <c r="AT375" s="3" t="str">
        <f t="shared" si="217"/>
        <v/>
      </c>
      <c r="AU375" s="3" t="str">
        <f t="shared" si="218"/>
        <v/>
      </c>
      <c r="AW375" s="32" t="str">
        <f t="shared" si="219"/>
        <v/>
      </c>
      <c r="AX375" s="32" t="str">
        <f t="shared" si="220"/>
        <v/>
      </c>
      <c r="AY375" s="32" t="str">
        <f t="shared" si="221"/>
        <v/>
      </c>
      <c r="BA375" s="32" t="str">
        <f>IF($A376="","",F375*Summary!$Q$11)</f>
        <v/>
      </c>
    </row>
    <row r="376" spans="1:53">
      <c r="A376" s="67" t="str">
        <f t="shared" si="222"/>
        <v/>
      </c>
      <c r="B376" s="69" t="str">
        <f t="shared" si="224"/>
        <v/>
      </c>
      <c r="D376" s="69" t="str">
        <f t="shared" si="188"/>
        <v/>
      </c>
      <c r="E376" s="70" t="str">
        <f t="shared" si="189"/>
        <v/>
      </c>
      <c r="F376" s="70" t="str">
        <f t="shared" si="190"/>
        <v/>
      </c>
      <c r="G376" s="63" t="str">
        <f t="shared" si="191"/>
        <v/>
      </c>
      <c r="H376" s="64" t="str">
        <f t="shared" si="192"/>
        <v/>
      </c>
      <c r="J376" s="63" t="str">
        <f t="shared" si="193"/>
        <v/>
      </c>
      <c r="K376" s="64" t="str">
        <f t="shared" si="194"/>
        <v/>
      </c>
      <c r="L376" s="63" t="str">
        <f t="shared" si="195"/>
        <v/>
      </c>
      <c r="M376" s="64" t="str">
        <f t="shared" si="196"/>
        <v/>
      </c>
      <c r="O376" s="63" t="str">
        <f t="shared" si="197"/>
        <v/>
      </c>
      <c r="P376" s="63" t="str">
        <f t="shared" si="198"/>
        <v/>
      </c>
      <c r="R376" s="63" t="str">
        <f t="shared" si="199"/>
        <v/>
      </c>
      <c r="S376" s="64" t="str">
        <f t="shared" si="200"/>
        <v/>
      </c>
      <c r="T376" s="38">
        <v>0</v>
      </c>
      <c r="U376" s="64" t="str">
        <f t="shared" si="201"/>
        <v/>
      </c>
      <c r="V376" s="219" t="str">
        <f>IF($A377="","",IF(AND(MONTH(A376)&gt;3,MONTH(A376)&lt;11),(T376+R376+G376)*Summary!$T$11/(1-Summary!$T$11),(T376+R376+G376)*Summary!$U$11/(1-Summary!$U$11)))</f>
        <v/>
      </c>
      <c r="W376" s="43" t="str">
        <f t="shared" si="202"/>
        <v/>
      </c>
      <c r="X376" s="43" t="str">
        <f t="shared" si="203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3"/>
        <v/>
      </c>
      <c r="AP376" s="33" t="str">
        <f t="shared" si="214"/>
        <v/>
      </c>
      <c r="AQ376" s="58" t="str">
        <f t="shared" si="215"/>
        <v/>
      </c>
      <c r="AR376" s="38">
        <f>'ANR OK vs ML7'!AR376</f>
        <v>0.1</v>
      </c>
      <c r="AS376" s="35" t="str">
        <f t="shared" si="216"/>
        <v/>
      </c>
      <c r="AT376" s="3" t="str">
        <f t="shared" si="217"/>
        <v/>
      </c>
      <c r="AU376" s="3" t="str">
        <f t="shared" si="218"/>
        <v/>
      </c>
      <c r="AW376" s="32" t="str">
        <f t="shared" si="219"/>
        <v/>
      </c>
      <c r="AX376" s="32" t="str">
        <f t="shared" si="220"/>
        <v/>
      </c>
      <c r="AY376" s="32" t="str">
        <f t="shared" si="221"/>
        <v/>
      </c>
      <c r="BA376" s="32" t="str">
        <f>IF($A377="","",F376*Summary!$Q$11)</f>
        <v/>
      </c>
    </row>
    <row r="377" spans="1:53">
      <c r="A377" s="67" t="str">
        <f t="shared" si="222"/>
        <v/>
      </c>
      <c r="B377" s="69" t="str">
        <f t="shared" si="224"/>
        <v/>
      </c>
      <c r="D377" s="69" t="str">
        <f t="shared" si="188"/>
        <v/>
      </c>
      <c r="E377" s="70" t="str">
        <f t="shared" si="189"/>
        <v/>
      </c>
      <c r="F377" s="70" t="str">
        <f t="shared" si="190"/>
        <v/>
      </c>
      <c r="G377" s="63" t="str">
        <f t="shared" si="191"/>
        <v/>
      </c>
      <c r="H377" s="64" t="str">
        <f t="shared" si="192"/>
        <v/>
      </c>
      <c r="J377" s="63" t="str">
        <f t="shared" si="193"/>
        <v/>
      </c>
      <c r="K377" s="64" t="str">
        <f t="shared" si="194"/>
        <v/>
      </c>
      <c r="L377" s="63" t="str">
        <f t="shared" si="195"/>
        <v/>
      </c>
      <c r="M377" s="64" t="str">
        <f t="shared" si="196"/>
        <v/>
      </c>
      <c r="O377" s="63" t="str">
        <f t="shared" si="197"/>
        <v/>
      </c>
      <c r="P377" s="63" t="str">
        <f t="shared" si="198"/>
        <v/>
      </c>
      <c r="R377" s="63" t="str">
        <f t="shared" si="199"/>
        <v/>
      </c>
      <c r="S377" s="64" t="str">
        <f t="shared" si="200"/>
        <v/>
      </c>
      <c r="T377" s="38">
        <v>0</v>
      </c>
      <c r="U377" s="64" t="str">
        <f t="shared" si="201"/>
        <v/>
      </c>
      <c r="V377" s="219" t="str">
        <f>IF($A378="","",IF(AND(MONTH(A377)&gt;3,MONTH(A377)&lt;11),(T377+R377+G377)*Summary!$T$11/(1-Summary!$T$11),(T377+R377+G377)*Summary!$U$11/(1-Summary!$U$11)))</f>
        <v/>
      </c>
      <c r="W377" s="43" t="str">
        <f t="shared" si="202"/>
        <v/>
      </c>
      <c r="X377" s="43" t="str">
        <f t="shared" si="203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3"/>
        <v/>
      </c>
      <c r="AP377" s="33" t="str">
        <f t="shared" si="214"/>
        <v/>
      </c>
      <c r="AQ377" s="58" t="str">
        <f t="shared" si="215"/>
        <v/>
      </c>
      <c r="AR377" s="38">
        <f>'ANR OK vs ML7'!AR377</f>
        <v>0.1</v>
      </c>
      <c r="AS377" s="35" t="str">
        <f t="shared" si="216"/>
        <v/>
      </c>
      <c r="AT377" s="3" t="str">
        <f t="shared" si="217"/>
        <v/>
      </c>
      <c r="AU377" s="3" t="str">
        <f t="shared" si="218"/>
        <v/>
      </c>
      <c r="AW377" s="32" t="str">
        <f t="shared" si="219"/>
        <v/>
      </c>
      <c r="AX377" s="32" t="str">
        <f t="shared" si="220"/>
        <v/>
      </c>
      <c r="AY377" s="32" t="str">
        <f t="shared" si="221"/>
        <v/>
      </c>
      <c r="BA377" s="32" t="str">
        <f>IF($A378="","",F377*Summary!$Q$11)</f>
        <v/>
      </c>
    </row>
    <row r="378" spans="1:53">
      <c r="A378" s="67" t="str">
        <f t="shared" si="222"/>
        <v/>
      </c>
      <c r="B378" s="69" t="str">
        <f t="shared" si="224"/>
        <v/>
      </c>
      <c r="D378" s="69" t="str">
        <f t="shared" si="188"/>
        <v/>
      </c>
      <c r="E378" s="70" t="str">
        <f t="shared" si="189"/>
        <v/>
      </c>
      <c r="F378" s="70" t="str">
        <f t="shared" si="190"/>
        <v/>
      </c>
      <c r="G378" s="63" t="str">
        <f t="shared" si="191"/>
        <v/>
      </c>
      <c r="H378" s="64" t="str">
        <f t="shared" si="192"/>
        <v/>
      </c>
      <c r="J378" s="63" t="str">
        <f t="shared" si="193"/>
        <v/>
      </c>
      <c r="K378" s="64" t="str">
        <f t="shared" si="194"/>
        <v/>
      </c>
      <c r="L378" s="63" t="str">
        <f t="shared" si="195"/>
        <v/>
      </c>
      <c r="M378" s="64" t="str">
        <f t="shared" si="196"/>
        <v/>
      </c>
      <c r="O378" s="63" t="str">
        <f t="shared" si="197"/>
        <v/>
      </c>
      <c r="P378" s="63" t="str">
        <f t="shared" si="198"/>
        <v/>
      </c>
      <c r="R378" s="63" t="str">
        <f t="shared" si="199"/>
        <v/>
      </c>
      <c r="S378" s="64" t="str">
        <f t="shared" si="200"/>
        <v/>
      </c>
      <c r="T378" s="38">
        <v>0</v>
      </c>
      <c r="U378" s="64" t="str">
        <f t="shared" si="201"/>
        <v/>
      </c>
      <c r="V378" s="219" t="str">
        <f>IF($A379="","",IF(AND(MONTH(A378)&gt;3,MONTH(A378)&lt;11),(T378+R378+G378)*Summary!$T$11/(1-Summary!$T$11),(T378+R378+G378)*Summary!$U$11/(1-Summary!$U$11)))</f>
        <v/>
      </c>
      <c r="W378" s="43" t="str">
        <f t="shared" si="202"/>
        <v/>
      </c>
      <c r="X378" s="43" t="str">
        <f t="shared" si="203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3"/>
        <v/>
      </c>
      <c r="AP378" s="33" t="str">
        <f t="shared" si="214"/>
        <v/>
      </c>
      <c r="AQ378" s="58" t="str">
        <f t="shared" si="215"/>
        <v/>
      </c>
      <c r="AR378" s="38">
        <f>'ANR OK vs ML7'!AR378</f>
        <v>0.1</v>
      </c>
      <c r="AS378" s="35" t="str">
        <f t="shared" si="216"/>
        <v/>
      </c>
      <c r="AT378" s="3" t="str">
        <f t="shared" si="217"/>
        <v/>
      </c>
      <c r="AU378" s="3" t="str">
        <f t="shared" si="218"/>
        <v/>
      </c>
      <c r="AW378" s="32" t="str">
        <f t="shared" si="219"/>
        <v/>
      </c>
      <c r="AX378" s="32" t="str">
        <f t="shared" si="220"/>
        <v/>
      </c>
      <c r="AY378" s="32" t="str">
        <f t="shared" si="221"/>
        <v/>
      </c>
      <c r="BA378" s="32" t="str">
        <f>IF($A379="","",F378*Summary!$Q$11)</f>
        <v/>
      </c>
    </row>
    <row r="379" spans="1:53">
      <c r="A379" s="67" t="str">
        <f t="shared" si="222"/>
        <v/>
      </c>
      <c r="B379" s="69" t="str">
        <f t="shared" si="224"/>
        <v/>
      </c>
      <c r="D379" s="69" t="str">
        <f t="shared" si="188"/>
        <v/>
      </c>
      <c r="E379" s="70" t="str">
        <f t="shared" si="189"/>
        <v/>
      </c>
      <c r="F379" s="70" t="str">
        <f t="shared" si="190"/>
        <v/>
      </c>
      <c r="G379" s="63" t="str">
        <f t="shared" si="191"/>
        <v/>
      </c>
      <c r="H379" s="64" t="str">
        <f t="shared" si="192"/>
        <v/>
      </c>
      <c r="J379" s="63" t="str">
        <f t="shared" si="193"/>
        <v/>
      </c>
      <c r="K379" s="64" t="str">
        <f t="shared" si="194"/>
        <v/>
      </c>
      <c r="L379" s="63" t="str">
        <f t="shared" si="195"/>
        <v/>
      </c>
      <c r="M379" s="64" t="str">
        <f t="shared" si="196"/>
        <v/>
      </c>
      <c r="O379" s="63" t="str">
        <f t="shared" si="197"/>
        <v/>
      </c>
      <c r="P379" s="63" t="str">
        <f t="shared" si="198"/>
        <v/>
      </c>
      <c r="R379" s="63" t="str">
        <f t="shared" si="199"/>
        <v/>
      </c>
      <c r="S379" s="64" t="str">
        <f t="shared" si="200"/>
        <v/>
      </c>
      <c r="T379" s="38">
        <v>0</v>
      </c>
      <c r="U379" s="64" t="str">
        <f t="shared" si="201"/>
        <v/>
      </c>
      <c r="V379" s="219" t="str">
        <f>IF($A380="","",IF(AND(MONTH(A379)&gt;3,MONTH(A379)&lt;11),(T379+R379+G379)*Summary!$T$11/(1-Summary!$T$11),(T379+R379+G379)*Summary!$U$11/(1-Summary!$U$11)))</f>
        <v/>
      </c>
      <c r="W379" s="43" t="str">
        <f t="shared" si="202"/>
        <v/>
      </c>
      <c r="X379" s="43" t="str">
        <f t="shared" si="203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3"/>
        <v/>
      </c>
      <c r="AP379" s="33" t="str">
        <f t="shared" si="214"/>
        <v/>
      </c>
      <c r="AQ379" s="58" t="str">
        <f t="shared" si="215"/>
        <v/>
      </c>
      <c r="AR379" s="38">
        <f>'ANR OK vs ML7'!AR379</f>
        <v>0.1</v>
      </c>
      <c r="AS379" s="35" t="str">
        <f t="shared" si="216"/>
        <v/>
      </c>
      <c r="AT379" s="3" t="str">
        <f t="shared" si="217"/>
        <v/>
      </c>
      <c r="AU379" s="3" t="str">
        <f t="shared" si="218"/>
        <v/>
      </c>
      <c r="AW379" s="32" t="str">
        <f t="shared" si="219"/>
        <v/>
      </c>
      <c r="AX379" s="32" t="str">
        <f t="shared" si="220"/>
        <v/>
      </c>
      <c r="AY379" s="32" t="str">
        <f t="shared" si="221"/>
        <v/>
      </c>
      <c r="BA379" s="32" t="str">
        <f>IF($A380="","",F379*Summary!$Q$11)</f>
        <v/>
      </c>
    </row>
    <row r="380" spans="1:53">
      <c r="A380" s="67" t="str">
        <f t="shared" si="222"/>
        <v/>
      </c>
      <c r="B380" s="69" t="str">
        <f t="shared" si="224"/>
        <v/>
      </c>
      <c r="D380" s="69" t="str">
        <f t="shared" si="188"/>
        <v/>
      </c>
      <c r="E380" s="70" t="str">
        <f t="shared" si="189"/>
        <v/>
      </c>
      <c r="F380" s="70" t="str">
        <f t="shared" si="190"/>
        <v/>
      </c>
      <c r="G380" s="63" t="str">
        <f t="shared" si="191"/>
        <v/>
      </c>
      <c r="H380" s="64" t="str">
        <f t="shared" si="192"/>
        <v/>
      </c>
      <c r="J380" s="63" t="str">
        <f t="shared" si="193"/>
        <v/>
      </c>
      <c r="K380" s="64" t="str">
        <f t="shared" si="194"/>
        <v/>
      </c>
      <c r="L380" s="63" t="str">
        <f t="shared" si="195"/>
        <v/>
      </c>
      <c r="M380" s="64" t="str">
        <f t="shared" si="196"/>
        <v/>
      </c>
      <c r="O380" s="63" t="str">
        <f t="shared" si="197"/>
        <v/>
      </c>
      <c r="P380" s="63" t="str">
        <f t="shared" si="198"/>
        <v/>
      </c>
      <c r="R380" s="63" t="str">
        <f t="shared" si="199"/>
        <v/>
      </c>
      <c r="S380" s="64" t="str">
        <f t="shared" si="200"/>
        <v/>
      </c>
      <c r="T380" s="38">
        <v>0</v>
      </c>
      <c r="U380" s="64" t="str">
        <f t="shared" si="201"/>
        <v/>
      </c>
      <c r="V380" s="219" t="str">
        <f>IF($A381="","",IF(AND(MONTH(A380)&gt;3,MONTH(A380)&lt;11),(T380+R380+G380)*Summary!$T$11/(1-Summary!$T$11),(T380+R380+G380)*Summary!$U$11/(1-Summary!$U$11)))</f>
        <v/>
      </c>
      <c r="W380" s="43" t="str">
        <f t="shared" si="202"/>
        <v/>
      </c>
      <c r="X380" s="43" t="str">
        <f t="shared" si="203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3"/>
        <v/>
      </c>
      <c r="AP380" s="33" t="str">
        <f t="shared" si="214"/>
        <v/>
      </c>
      <c r="AQ380" s="58" t="str">
        <f t="shared" si="215"/>
        <v/>
      </c>
      <c r="AR380" s="38">
        <f>'ANR OK vs ML7'!AR380</f>
        <v>0.1</v>
      </c>
      <c r="AS380" s="35" t="str">
        <f t="shared" si="216"/>
        <v/>
      </c>
      <c r="AT380" s="3" t="str">
        <f t="shared" si="217"/>
        <v/>
      </c>
      <c r="AU380" s="3" t="str">
        <f t="shared" si="218"/>
        <v/>
      </c>
      <c r="AW380" s="32" t="str">
        <f t="shared" si="219"/>
        <v/>
      </c>
      <c r="AX380" s="32" t="str">
        <f t="shared" si="220"/>
        <v/>
      </c>
      <c r="AY380" s="32" t="str">
        <f t="shared" si="221"/>
        <v/>
      </c>
      <c r="BA380" s="32" t="str">
        <f>IF($A381="","",F380*Summary!$Q$11)</f>
        <v/>
      </c>
    </row>
    <row r="381" spans="1:53">
      <c r="A381" s="67" t="str">
        <f t="shared" si="222"/>
        <v/>
      </c>
      <c r="B381" s="69" t="str">
        <f t="shared" si="224"/>
        <v/>
      </c>
      <c r="D381" s="69" t="str">
        <f t="shared" si="188"/>
        <v/>
      </c>
      <c r="E381" s="70" t="str">
        <f t="shared" si="189"/>
        <v/>
      </c>
      <c r="F381" s="70" t="str">
        <f t="shared" si="190"/>
        <v/>
      </c>
      <c r="G381" s="63" t="str">
        <f t="shared" si="191"/>
        <v/>
      </c>
      <c r="H381" s="64" t="str">
        <f t="shared" si="192"/>
        <v/>
      </c>
      <c r="J381" s="63" t="str">
        <f t="shared" si="193"/>
        <v/>
      </c>
      <c r="K381" s="64" t="str">
        <f t="shared" si="194"/>
        <v/>
      </c>
      <c r="L381" s="63" t="str">
        <f t="shared" si="195"/>
        <v/>
      </c>
      <c r="M381" s="64" t="str">
        <f t="shared" si="196"/>
        <v/>
      </c>
      <c r="O381" s="63" t="str">
        <f t="shared" si="197"/>
        <v/>
      </c>
      <c r="P381" s="63" t="str">
        <f t="shared" si="198"/>
        <v/>
      </c>
      <c r="R381" s="63" t="str">
        <f t="shared" si="199"/>
        <v/>
      </c>
      <c r="S381" s="64" t="str">
        <f t="shared" si="200"/>
        <v/>
      </c>
      <c r="T381" s="38">
        <v>0</v>
      </c>
      <c r="U381" s="64" t="str">
        <f t="shared" si="201"/>
        <v/>
      </c>
      <c r="V381" s="219" t="str">
        <f>IF($A382="","",IF(AND(MONTH(A381)&gt;3,MONTH(A381)&lt;11),(T381+R381+G381)*Summary!$T$11/(1-Summary!$T$11),(T381+R381+G381)*Summary!$U$11/(1-Summary!$U$11)))</f>
        <v/>
      </c>
      <c r="W381" s="43" t="str">
        <f t="shared" si="202"/>
        <v/>
      </c>
      <c r="X381" s="43" t="str">
        <f t="shared" si="203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3"/>
        <v/>
      </c>
      <c r="AP381" s="33" t="str">
        <f t="shared" si="214"/>
        <v/>
      </c>
      <c r="AQ381" s="58" t="str">
        <f t="shared" si="215"/>
        <v/>
      </c>
      <c r="AR381" s="38">
        <f>'ANR OK vs ML7'!AR381</f>
        <v>0.1</v>
      </c>
      <c r="AS381" s="35" t="str">
        <f t="shared" si="216"/>
        <v/>
      </c>
      <c r="AT381" s="3" t="str">
        <f t="shared" si="217"/>
        <v/>
      </c>
      <c r="AU381" s="3" t="str">
        <f t="shared" si="218"/>
        <v/>
      </c>
      <c r="AW381" s="32" t="str">
        <f t="shared" si="219"/>
        <v/>
      </c>
      <c r="AX381" s="32" t="str">
        <f t="shared" si="220"/>
        <v/>
      </c>
      <c r="AY381" s="32" t="str">
        <f t="shared" si="221"/>
        <v/>
      </c>
      <c r="BA381" s="32" t="str">
        <f>IF($A382="","",F381*Summary!$Q$11)</f>
        <v/>
      </c>
    </row>
    <row r="382" spans="1:53">
      <c r="A382" s="67" t="str">
        <f t="shared" si="222"/>
        <v/>
      </c>
      <c r="B382" s="69" t="str">
        <f t="shared" si="224"/>
        <v/>
      </c>
      <c r="D382" s="69" t="str">
        <f t="shared" si="188"/>
        <v/>
      </c>
      <c r="E382" s="70" t="str">
        <f t="shared" si="189"/>
        <v/>
      </c>
      <c r="F382" s="70" t="str">
        <f t="shared" si="190"/>
        <v/>
      </c>
      <c r="G382" s="63" t="str">
        <f t="shared" si="191"/>
        <v/>
      </c>
      <c r="H382" s="64" t="str">
        <f t="shared" si="192"/>
        <v/>
      </c>
      <c r="J382" s="63" t="str">
        <f t="shared" si="193"/>
        <v/>
      </c>
      <c r="K382" s="64" t="str">
        <f t="shared" si="194"/>
        <v/>
      </c>
      <c r="L382" s="63" t="str">
        <f t="shared" si="195"/>
        <v/>
      </c>
      <c r="M382" s="64" t="str">
        <f t="shared" si="196"/>
        <v/>
      </c>
      <c r="O382" s="63" t="str">
        <f t="shared" si="197"/>
        <v/>
      </c>
      <c r="P382" s="63" t="str">
        <f t="shared" si="198"/>
        <v/>
      </c>
      <c r="R382" s="63" t="str">
        <f t="shared" si="199"/>
        <v/>
      </c>
      <c r="S382" s="64" t="str">
        <f t="shared" si="200"/>
        <v/>
      </c>
      <c r="T382" s="38">
        <v>0</v>
      </c>
      <c r="U382" s="64" t="str">
        <f t="shared" si="201"/>
        <v/>
      </c>
      <c r="V382" s="219" t="str">
        <f>IF($A383="","",IF(AND(MONTH(A382)&gt;3,MONTH(A382)&lt;11),(T382+R382+G382)*Summary!$T$11/(1-Summary!$T$11),(T382+R382+G382)*Summary!$U$11/(1-Summary!$U$11)))</f>
        <v/>
      </c>
      <c r="W382" s="43" t="str">
        <f t="shared" si="202"/>
        <v/>
      </c>
      <c r="X382" s="43" t="str">
        <f t="shared" si="203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3"/>
        <v/>
      </c>
      <c r="AP382" s="33" t="str">
        <f t="shared" si="214"/>
        <v/>
      </c>
      <c r="AQ382" s="58" t="str">
        <f t="shared" si="215"/>
        <v/>
      </c>
      <c r="AR382" s="38">
        <f>'ANR OK vs ML7'!AR382</f>
        <v>0.1</v>
      </c>
      <c r="AS382" s="35" t="str">
        <f t="shared" si="216"/>
        <v/>
      </c>
      <c r="AT382" s="3" t="str">
        <f t="shared" si="217"/>
        <v/>
      </c>
      <c r="AU382" s="3" t="str">
        <f t="shared" si="218"/>
        <v/>
      </c>
      <c r="AW382" s="32" t="str">
        <f t="shared" si="219"/>
        <v/>
      </c>
      <c r="AX382" s="32" t="str">
        <f t="shared" si="220"/>
        <v/>
      </c>
      <c r="AY382" s="32" t="str">
        <f t="shared" si="221"/>
        <v/>
      </c>
      <c r="BA382" s="32" t="str">
        <f>IF($A383="","",F382*Summary!$Q$11)</f>
        <v/>
      </c>
    </row>
    <row r="383" spans="1:53">
      <c r="A383" s="67" t="str">
        <f t="shared" si="222"/>
        <v/>
      </c>
      <c r="B383" s="69" t="str">
        <f t="shared" si="224"/>
        <v/>
      </c>
      <c r="D383" s="69" t="str">
        <f t="shared" si="188"/>
        <v/>
      </c>
      <c r="E383" s="70" t="str">
        <f t="shared" si="189"/>
        <v/>
      </c>
      <c r="F383" s="70" t="str">
        <f t="shared" si="190"/>
        <v/>
      </c>
      <c r="G383" s="63" t="str">
        <f t="shared" si="191"/>
        <v/>
      </c>
      <c r="H383" s="64" t="str">
        <f t="shared" si="192"/>
        <v/>
      </c>
      <c r="J383" s="63" t="str">
        <f t="shared" si="193"/>
        <v/>
      </c>
      <c r="K383" s="64" t="str">
        <f t="shared" si="194"/>
        <v/>
      </c>
      <c r="L383" s="63" t="str">
        <f t="shared" si="195"/>
        <v/>
      </c>
      <c r="M383" s="64" t="str">
        <f t="shared" si="196"/>
        <v/>
      </c>
      <c r="O383" s="63" t="str">
        <f t="shared" si="197"/>
        <v/>
      </c>
      <c r="P383" s="63" t="str">
        <f t="shared" si="198"/>
        <v/>
      </c>
      <c r="R383" s="63" t="str">
        <f t="shared" si="199"/>
        <v/>
      </c>
      <c r="S383" s="64" t="str">
        <f t="shared" si="200"/>
        <v/>
      </c>
      <c r="T383" s="38">
        <v>0</v>
      </c>
      <c r="U383" s="64" t="str">
        <f t="shared" si="201"/>
        <v/>
      </c>
      <c r="V383" s="219" t="str">
        <f>IF($A384="","",IF(AND(MONTH(A383)&gt;3,MONTH(A383)&lt;11),(T383+R383+G383)*Summary!$T$11/(1-Summary!$T$11),(T383+R383+G383)*Summary!$U$11/(1-Summary!$U$11)))</f>
        <v/>
      </c>
      <c r="W383" s="43" t="str">
        <f t="shared" si="202"/>
        <v/>
      </c>
      <c r="X383" s="43" t="str">
        <f t="shared" si="203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3"/>
        <v/>
      </c>
      <c r="AP383" s="33" t="str">
        <f t="shared" si="214"/>
        <v/>
      </c>
      <c r="AQ383" s="58" t="str">
        <f t="shared" si="215"/>
        <v/>
      </c>
      <c r="AR383" s="38">
        <f>'ANR OK vs ML7'!AR383</f>
        <v>0.1</v>
      </c>
      <c r="AS383" s="35" t="str">
        <f t="shared" si="216"/>
        <v/>
      </c>
      <c r="AT383" s="3" t="str">
        <f t="shared" si="217"/>
        <v/>
      </c>
      <c r="AU383" s="3" t="str">
        <f t="shared" si="218"/>
        <v/>
      </c>
      <c r="AW383" s="32" t="str">
        <f t="shared" si="219"/>
        <v/>
      </c>
      <c r="AX383" s="32" t="str">
        <f t="shared" si="220"/>
        <v/>
      </c>
      <c r="AY383" s="32" t="str">
        <f t="shared" si="221"/>
        <v/>
      </c>
      <c r="BA383" s="32" t="str">
        <f>IF($A384="","",F383*Summary!$Q$11)</f>
        <v/>
      </c>
    </row>
    <row r="384" spans="1:53">
      <c r="A384" s="67" t="str">
        <f t="shared" si="222"/>
        <v/>
      </c>
      <c r="B384" s="69" t="str">
        <f t="shared" si="224"/>
        <v/>
      </c>
      <c r="D384" s="69" t="str">
        <f t="shared" si="188"/>
        <v/>
      </c>
      <c r="E384" s="70" t="str">
        <f t="shared" si="189"/>
        <v/>
      </c>
      <c r="F384" s="70" t="str">
        <f t="shared" si="190"/>
        <v/>
      </c>
      <c r="G384" s="63" t="str">
        <f t="shared" si="191"/>
        <v/>
      </c>
      <c r="H384" s="64" t="str">
        <f t="shared" si="192"/>
        <v/>
      </c>
      <c r="J384" s="63" t="str">
        <f t="shared" si="193"/>
        <v/>
      </c>
      <c r="K384" s="64" t="str">
        <f t="shared" si="194"/>
        <v/>
      </c>
      <c r="L384" s="63" t="str">
        <f t="shared" si="195"/>
        <v/>
      </c>
      <c r="M384" s="64" t="str">
        <f t="shared" si="196"/>
        <v/>
      </c>
      <c r="O384" s="63" t="str">
        <f t="shared" si="197"/>
        <v/>
      </c>
      <c r="P384" s="63" t="str">
        <f t="shared" si="198"/>
        <v/>
      </c>
      <c r="R384" s="63" t="str">
        <f t="shared" si="199"/>
        <v/>
      </c>
      <c r="S384" s="64" t="str">
        <f t="shared" si="200"/>
        <v/>
      </c>
      <c r="T384" s="38">
        <v>0</v>
      </c>
      <c r="U384" s="64" t="str">
        <f t="shared" si="201"/>
        <v/>
      </c>
      <c r="V384" s="219" t="str">
        <f>IF($A385="","",IF(AND(MONTH(A384)&gt;3,MONTH(A384)&lt;11),(T384+R384+G384)*Summary!$T$11/(1-Summary!$T$11),(T384+R384+G384)*Summary!$U$11/(1-Summary!$U$11)))</f>
        <v/>
      </c>
      <c r="W384" s="43" t="str">
        <f t="shared" si="202"/>
        <v/>
      </c>
      <c r="X384" s="43" t="str">
        <f t="shared" si="203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3"/>
        <v/>
      </c>
      <c r="AP384" s="33" t="str">
        <f t="shared" si="214"/>
        <v/>
      </c>
      <c r="AQ384" s="58" t="str">
        <f t="shared" si="215"/>
        <v/>
      </c>
      <c r="AR384" s="38">
        <f>'ANR OK vs ML7'!AR384</f>
        <v>0.1</v>
      </c>
      <c r="AS384" s="35" t="str">
        <f t="shared" si="216"/>
        <v/>
      </c>
      <c r="AT384" s="3" t="str">
        <f t="shared" si="217"/>
        <v/>
      </c>
      <c r="AU384" s="3" t="str">
        <f t="shared" si="218"/>
        <v/>
      </c>
      <c r="AW384" s="32" t="str">
        <f t="shared" si="219"/>
        <v/>
      </c>
      <c r="AX384" s="32" t="str">
        <f t="shared" si="220"/>
        <v/>
      </c>
      <c r="AY384" s="32" t="str">
        <f t="shared" si="221"/>
        <v/>
      </c>
      <c r="BA384" s="32" t="str">
        <f>IF($A385="","",F384*Summary!$Q$11)</f>
        <v/>
      </c>
    </row>
    <row r="385" spans="1:53">
      <c r="A385" s="67" t="str">
        <f t="shared" si="222"/>
        <v/>
      </c>
      <c r="B385" s="69" t="str">
        <f t="shared" si="224"/>
        <v/>
      </c>
      <c r="D385" s="69" t="str">
        <f t="shared" si="188"/>
        <v/>
      </c>
      <c r="E385" s="70" t="str">
        <f t="shared" si="189"/>
        <v/>
      </c>
      <c r="F385" s="70" t="str">
        <f t="shared" si="190"/>
        <v/>
      </c>
      <c r="G385" s="63" t="str">
        <f t="shared" si="191"/>
        <v/>
      </c>
      <c r="H385" s="64" t="str">
        <f t="shared" si="192"/>
        <v/>
      </c>
      <c r="J385" s="63" t="str">
        <f t="shared" si="193"/>
        <v/>
      </c>
      <c r="K385" s="64" t="str">
        <f t="shared" si="194"/>
        <v/>
      </c>
      <c r="L385" s="63" t="str">
        <f t="shared" si="195"/>
        <v/>
      </c>
      <c r="M385" s="64" t="str">
        <f t="shared" si="196"/>
        <v/>
      </c>
      <c r="O385" s="63" t="str">
        <f t="shared" si="197"/>
        <v/>
      </c>
      <c r="P385" s="63" t="str">
        <f t="shared" si="198"/>
        <v/>
      </c>
      <c r="R385" s="63" t="str">
        <f t="shared" si="199"/>
        <v/>
      </c>
      <c r="S385" s="64" t="str">
        <f t="shared" si="200"/>
        <v/>
      </c>
      <c r="T385" s="38">
        <v>0</v>
      </c>
      <c r="U385" s="64" t="str">
        <f t="shared" si="201"/>
        <v/>
      </c>
      <c r="V385" s="219" t="str">
        <f>IF($A386="","",IF(AND(MONTH(A385)&gt;3,MONTH(A385)&lt;11),(T385+R385+G385)*Summary!$T$11/(1-Summary!$T$11),(T385+R385+G385)*Summary!$U$11/(1-Summary!$U$11)))</f>
        <v/>
      </c>
      <c r="W385" s="43" t="str">
        <f t="shared" si="202"/>
        <v/>
      </c>
      <c r="X385" s="43" t="str">
        <f t="shared" si="203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3"/>
        <v/>
      </c>
      <c r="AP385" s="33" t="str">
        <f t="shared" si="214"/>
        <v/>
      </c>
      <c r="AQ385" s="58" t="str">
        <f t="shared" si="215"/>
        <v/>
      </c>
      <c r="AR385" s="38">
        <f>'ANR OK vs ML7'!AR385</f>
        <v>0.1</v>
      </c>
      <c r="AS385" s="35" t="str">
        <f t="shared" si="216"/>
        <v/>
      </c>
      <c r="AT385" s="3" t="str">
        <f t="shared" si="217"/>
        <v/>
      </c>
      <c r="AU385" s="3" t="str">
        <f t="shared" si="218"/>
        <v/>
      </c>
      <c r="AW385" s="32" t="str">
        <f t="shared" si="219"/>
        <v/>
      </c>
      <c r="AX385" s="32" t="str">
        <f t="shared" si="220"/>
        <v/>
      </c>
      <c r="AY385" s="32" t="str">
        <f t="shared" si="221"/>
        <v/>
      </c>
      <c r="BA385" s="32" t="str">
        <f>IF($A386="","",F385*Summary!$Q$11)</f>
        <v/>
      </c>
    </row>
    <row r="386" spans="1:53">
      <c r="A386" s="67" t="str">
        <f t="shared" si="222"/>
        <v/>
      </c>
      <c r="B386" s="69" t="str">
        <f t="shared" si="224"/>
        <v/>
      </c>
      <c r="D386" s="69" t="str">
        <f t="shared" si="188"/>
        <v/>
      </c>
      <c r="E386" s="70" t="str">
        <f t="shared" si="189"/>
        <v/>
      </c>
      <c r="F386" s="70" t="str">
        <f t="shared" si="190"/>
        <v/>
      </c>
      <c r="G386" s="63" t="str">
        <f t="shared" si="191"/>
        <v/>
      </c>
      <c r="H386" s="64" t="str">
        <f t="shared" si="192"/>
        <v/>
      </c>
      <c r="J386" s="63" t="str">
        <f t="shared" si="193"/>
        <v/>
      </c>
      <c r="K386" s="64" t="str">
        <f t="shared" si="194"/>
        <v/>
      </c>
      <c r="L386" s="63" t="str">
        <f t="shared" si="195"/>
        <v/>
      </c>
      <c r="M386" s="64" t="str">
        <f t="shared" si="196"/>
        <v/>
      </c>
      <c r="O386" s="63" t="str">
        <f t="shared" si="197"/>
        <v/>
      </c>
      <c r="P386" s="63" t="str">
        <f t="shared" si="198"/>
        <v/>
      </c>
      <c r="R386" s="63" t="str">
        <f t="shared" si="199"/>
        <v/>
      </c>
      <c r="S386" s="64" t="str">
        <f t="shared" si="200"/>
        <v/>
      </c>
      <c r="T386" s="38">
        <v>0</v>
      </c>
      <c r="U386" s="64" t="str">
        <f t="shared" si="201"/>
        <v/>
      </c>
      <c r="V386" s="219" t="str">
        <f>IF($A387="","",IF(AND(MONTH(A386)&gt;3,MONTH(A386)&lt;11),(T386+R386+G386)*Summary!$T$11/(1-Summary!$T$11),(T386+R386+G386)*Summary!$U$11/(1-Summary!$U$11)))</f>
        <v/>
      </c>
      <c r="W386" s="43" t="str">
        <f t="shared" si="202"/>
        <v/>
      </c>
      <c r="X386" s="43" t="str">
        <f t="shared" si="203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3"/>
        <v/>
      </c>
      <c r="AP386" s="33" t="str">
        <f t="shared" si="214"/>
        <v/>
      </c>
      <c r="AQ386" s="58" t="str">
        <f t="shared" si="215"/>
        <v/>
      </c>
      <c r="AR386" s="38">
        <f>'ANR OK vs ML7'!AR386</f>
        <v>0.1</v>
      </c>
      <c r="AS386" s="35" t="str">
        <f t="shared" si="216"/>
        <v/>
      </c>
      <c r="AT386" s="3" t="str">
        <f t="shared" si="217"/>
        <v/>
      </c>
      <c r="AU386" s="3" t="str">
        <f t="shared" si="218"/>
        <v/>
      </c>
      <c r="AW386" s="32" t="str">
        <f t="shared" si="219"/>
        <v/>
      </c>
      <c r="AX386" s="32" t="str">
        <f t="shared" si="220"/>
        <v/>
      </c>
      <c r="AY386" s="32" t="str">
        <f t="shared" si="221"/>
        <v/>
      </c>
      <c r="BA386" s="32" t="str">
        <f>IF($A387="","",F386*Summary!$Q$11)</f>
        <v/>
      </c>
    </row>
    <row r="387" spans="1:53">
      <c r="A387" s="67" t="str">
        <f t="shared" si="222"/>
        <v/>
      </c>
      <c r="B387" s="69" t="str">
        <f t="shared" si="224"/>
        <v/>
      </c>
      <c r="D387" s="69" t="str">
        <f t="shared" si="188"/>
        <v/>
      </c>
      <c r="E387" s="70" t="str">
        <f t="shared" si="189"/>
        <v/>
      </c>
      <c r="F387" s="70" t="str">
        <f t="shared" si="190"/>
        <v/>
      </c>
      <c r="G387" s="63" t="str">
        <f t="shared" si="191"/>
        <v/>
      </c>
      <c r="H387" s="64" t="str">
        <f t="shared" si="192"/>
        <v/>
      </c>
      <c r="J387" s="63" t="str">
        <f t="shared" si="193"/>
        <v/>
      </c>
      <c r="K387" s="64" t="str">
        <f t="shared" si="194"/>
        <v/>
      </c>
      <c r="L387" s="63" t="str">
        <f t="shared" si="195"/>
        <v/>
      </c>
      <c r="M387" s="64" t="str">
        <f t="shared" si="196"/>
        <v/>
      </c>
      <c r="O387" s="63" t="str">
        <f t="shared" si="197"/>
        <v/>
      </c>
      <c r="P387" s="63" t="str">
        <f t="shared" si="198"/>
        <v/>
      </c>
      <c r="R387" s="63" t="str">
        <f t="shared" si="199"/>
        <v/>
      </c>
      <c r="S387" s="64" t="str">
        <f t="shared" si="200"/>
        <v/>
      </c>
      <c r="T387" s="38">
        <v>0</v>
      </c>
      <c r="U387" s="64" t="str">
        <f t="shared" si="201"/>
        <v/>
      </c>
      <c r="V387" s="219" t="str">
        <f>IF($A388="","",IF(AND(MONTH(A387)&gt;3,MONTH(A387)&lt;11),(T387+R387+G387)*Summary!$T$11/(1-Summary!$T$11),(T387+R387+G387)*Summary!$U$11/(1-Summary!$U$11)))</f>
        <v/>
      </c>
      <c r="W387" s="43" t="str">
        <f t="shared" si="202"/>
        <v/>
      </c>
      <c r="X387" s="43" t="str">
        <f t="shared" si="203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3"/>
        <v/>
      </c>
      <c r="AP387" s="33" t="str">
        <f t="shared" si="214"/>
        <v/>
      </c>
      <c r="AQ387" s="58" t="str">
        <f t="shared" si="215"/>
        <v/>
      </c>
      <c r="AR387" s="38">
        <f>'ANR OK vs ML7'!AR387</f>
        <v>0.1</v>
      </c>
      <c r="AS387" s="35" t="str">
        <f t="shared" si="216"/>
        <v/>
      </c>
      <c r="AT387" s="3" t="str">
        <f t="shared" si="217"/>
        <v/>
      </c>
      <c r="AU387" s="3" t="str">
        <f t="shared" si="218"/>
        <v/>
      </c>
      <c r="AW387" s="32" t="str">
        <f t="shared" si="219"/>
        <v/>
      </c>
      <c r="AX387" s="32" t="str">
        <f t="shared" si="220"/>
        <v/>
      </c>
      <c r="AY387" s="32" t="str">
        <f t="shared" si="221"/>
        <v/>
      </c>
      <c r="BA387" s="32" t="str">
        <f>IF($A388="","",F387*Summary!$Q$11)</f>
        <v/>
      </c>
    </row>
    <row r="388" spans="1:53">
      <c r="A388" s="67" t="str">
        <f t="shared" si="222"/>
        <v/>
      </c>
      <c r="B388" s="69" t="str">
        <f t="shared" si="224"/>
        <v/>
      </c>
      <c r="D388" s="69" t="str">
        <f t="shared" si="188"/>
        <v/>
      </c>
      <c r="E388" s="70" t="str">
        <f t="shared" si="189"/>
        <v/>
      </c>
      <c r="F388" s="70" t="str">
        <f t="shared" si="190"/>
        <v/>
      </c>
      <c r="G388" s="63" t="str">
        <f t="shared" si="191"/>
        <v/>
      </c>
      <c r="H388" s="64" t="str">
        <f t="shared" si="192"/>
        <v/>
      </c>
      <c r="J388" s="63" t="str">
        <f t="shared" si="193"/>
        <v/>
      </c>
      <c r="K388" s="64" t="str">
        <f t="shared" si="194"/>
        <v/>
      </c>
      <c r="L388" s="63" t="str">
        <f t="shared" si="195"/>
        <v/>
      </c>
      <c r="M388" s="64" t="str">
        <f t="shared" si="196"/>
        <v/>
      </c>
      <c r="O388" s="63" t="str">
        <f t="shared" si="197"/>
        <v/>
      </c>
      <c r="P388" s="63" t="str">
        <f t="shared" si="198"/>
        <v/>
      </c>
      <c r="R388" s="63" t="str">
        <f t="shared" si="199"/>
        <v/>
      </c>
      <c r="S388" s="64" t="str">
        <f t="shared" si="200"/>
        <v/>
      </c>
      <c r="T388" s="38">
        <v>0</v>
      </c>
      <c r="U388" s="64" t="str">
        <f t="shared" si="201"/>
        <v/>
      </c>
      <c r="V388" s="219" t="str">
        <f>IF($A389="","",IF(AND(MONTH(A388)&gt;3,MONTH(A388)&lt;11),(T388+R388+G388)*Summary!$T$11/(1-Summary!$T$11),(T388+R388+G388)*Summary!$U$11/(1-Summary!$U$11)))</f>
        <v/>
      </c>
      <c r="W388" s="43" t="str">
        <f t="shared" si="202"/>
        <v/>
      </c>
      <c r="X388" s="43" t="str">
        <f t="shared" si="203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3"/>
        <v/>
      </c>
      <c r="AP388" s="33" t="str">
        <f t="shared" si="214"/>
        <v/>
      </c>
      <c r="AQ388" s="58" t="str">
        <f t="shared" si="215"/>
        <v/>
      </c>
      <c r="AR388" s="38">
        <f>'ANR OK vs ML7'!AR388</f>
        <v>0.1</v>
      </c>
      <c r="AS388" s="35" t="str">
        <f t="shared" si="216"/>
        <v/>
      </c>
      <c r="AT388" s="3" t="str">
        <f t="shared" si="217"/>
        <v/>
      </c>
      <c r="AU388" s="3" t="str">
        <f t="shared" si="218"/>
        <v/>
      </c>
      <c r="AW388" s="32" t="str">
        <f t="shared" si="219"/>
        <v/>
      </c>
      <c r="AX388" s="32" t="str">
        <f t="shared" si="220"/>
        <v/>
      </c>
      <c r="AY388" s="32" t="str">
        <f t="shared" si="221"/>
        <v/>
      </c>
      <c r="BA388" s="32" t="str">
        <f>IF($A389="","",F388*Summary!$Q$11)</f>
        <v/>
      </c>
    </row>
    <row r="389" spans="1:53">
      <c r="A389" s="67" t="str">
        <f t="shared" si="222"/>
        <v/>
      </c>
      <c r="B389" s="69" t="str">
        <f t="shared" si="224"/>
        <v/>
      </c>
      <c r="D389" s="69" t="str">
        <f t="shared" si="188"/>
        <v/>
      </c>
      <c r="E389" s="70" t="str">
        <f t="shared" si="189"/>
        <v/>
      </c>
      <c r="F389" s="70" t="str">
        <f t="shared" si="190"/>
        <v/>
      </c>
      <c r="G389" s="63" t="str">
        <f t="shared" si="191"/>
        <v/>
      </c>
      <c r="H389" s="64" t="str">
        <f t="shared" si="192"/>
        <v/>
      </c>
      <c r="J389" s="63" t="str">
        <f t="shared" si="193"/>
        <v/>
      </c>
      <c r="K389" s="64" t="str">
        <f t="shared" si="194"/>
        <v/>
      </c>
      <c r="L389" s="63" t="str">
        <f t="shared" si="195"/>
        <v/>
      </c>
      <c r="M389" s="64" t="str">
        <f t="shared" si="196"/>
        <v/>
      </c>
      <c r="O389" s="63" t="str">
        <f t="shared" si="197"/>
        <v/>
      </c>
      <c r="P389" s="63" t="str">
        <f t="shared" si="198"/>
        <v/>
      </c>
      <c r="R389" s="63" t="str">
        <f t="shared" si="199"/>
        <v/>
      </c>
      <c r="S389" s="64" t="str">
        <f t="shared" si="200"/>
        <v/>
      </c>
      <c r="T389" s="38">
        <v>0</v>
      </c>
      <c r="U389" s="64" t="str">
        <f t="shared" si="201"/>
        <v/>
      </c>
      <c r="V389" s="219" t="str">
        <f>IF($A390="","",IF(AND(MONTH(A389)&gt;3,MONTH(A389)&lt;11),(T389+R389+G389)*Summary!$T$11/(1-Summary!$T$11),(T389+R389+G389)*Summary!$U$11/(1-Summary!$U$11)))</f>
        <v/>
      </c>
      <c r="W389" s="43" t="str">
        <f t="shared" si="202"/>
        <v/>
      </c>
      <c r="X389" s="43" t="str">
        <f t="shared" si="203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3"/>
        <v/>
      </c>
      <c r="AP389" s="33" t="str">
        <f t="shared" si="214"/>
        <v/>
      </c>
      <c r="AQ389" s="58" t="str">
        <f t="shared" si="215"/>
        <v/>
      </c>
      <c r="AR389" s="38">
        <f>'ANR OK vs ML7'!AR389</f>
        <v>0.1</v>
      </c>
      <c r="AS389" s="35" t="str">
        <f t="shared" si="216"/>
        <v/>
      </c>
      <c r="AT389" s="3" t="str">
        <f t="shared" si="217"/>
        <v/>
      </c>
      <c r="AU389" s="3" t="str">
        <f t="shared" si="218"/>
        <v/>
      </c>
      <c r="AW389" s="32" t="str">
        <f t="shared" si="219"/>
        <v/>
      </c>
      <c r="AX389" s="32" t="str">
        <f t="shared" si="220"/>
        <v/>
      </c>
      <c r="AY389" s="32" t="str">
        <f t="shared" si="221"/>
        <v/>
      </c>
      <c r="BA389" s="32" t="str">
        <f>IF($A390="","",F389*Summary!$Q$11)</f>
        <v/>
      </c>
    </row>
    <row r="390" spans="1:53">
      <c r="A390" s="67" t="str">
        <f t="shared" si="222"/>
        <v/>
      </c>
      <c r="B390" s="69" t="str">
        <f t="shared" si="224"/>
        <v/>
      </c>
      <c r="D390" s="69" t="str">
        <f t="shared" si="188"/>
        <v/>
      </c>
      <c r="E390" s="70" t="str">
        <f t="shared" si="189"/>
        <v/>
      </c>
      <c r="F390" s="70" t="str">
        <f t="shared" si="190"/>
        <v/>
      </c>
      <c r="G390" s="63" t="str">
        <f t="shared" si="191"/>
        <v/>
      </c>
      <c r="H390" s="64" t="str">
        <f t="shared" si="192"/>
        <v/>
      </c>
      <c r="J390" s="63" t="str">
        <f t="shared" si="193"/>
        <v/>
      </c>
      <c r="K390" s="64" t="str">
        <f t="shared" si="194"/>
        <v/>
      </c>
      <c r="L390" s="63" t="str">
        <f t="shared" si="195"/>
        <v/>
      </c>
      <c r="M390" s="64" t="str">
        <f t="shared" si="196"/>
        <v/>
      </c>
      <c r="O390" s="63" t="str">
        <f t="shared" si="197"/>
        <v/>
      </c>
      <c r="P390" s="63" t="str">
        <f t="shared" si="198"/>
        <v/>
      </c>
      <c r="R390" s="63" t="str">
        <f t="shared" si="199"/>
        <v/>
      </c>
      <c r="S390" s="64" t="str">
        <f t="shared" si="200"/>
        <v/>
      </c>
      <c r="T390" s="38">
        <v>0</v>
      </c>
      <c r="U390" s="64" t="str">
        <f t="shared" si="201"/>
        <v/>
      </c>
      <c r="V390" s="219" t="str">
        <f>IF($A391="","",IF(AND(MONTH(A390)&gt;3,MONTH(A390)&lt;11),(T390+R390+G390)*Summary!$T$11/(1-Summary!$T$11),(T390+R390+G390)*Summary!$U$11/(1-Summary!$U$11)))</f>
        <v/>
      </c>
      <c r="W390" s="43" t="str">
        <f t="shared" si="202"/>
        <v/>
      </c>
      <c r="X390" s="43" t="str">
        <f t="shared" si="203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3"/>
        <v/>
      </c>
      <c r="AP390" s="33" t="str">
        <f t="shared" si="214"/>
        <v/>
      </c>
      <c r="AQ390" s="58" t="str">
        <f t="shared" si="215"/>
        <v/>
      </c>
      <c r="AR390" s="38">
        <f>'ANR OK vs ML7'!AR390</f>
        <v>0.1</v>
      </c>
      <c r="AS390" s="35" t="str">
        <f t="shared" si="216"/>
        <v/>
      </c>
      <c r="AT390" s="3" t="str">
        <f t="shared" si="217"/>
        <v/>
      </c>
      <c r="AU390" s="3" t="str">
        <f t="shared" si="218"/>
        <v/>
      </c>
      <c r="AW390" s="32" t="str">
        <f t="shared" si="219"/>
        <v/>
      </c>
      <c r="AX390" s="32" t="str">
        <f t="shared" si="220"/>
        <v/>
      </c>
      <c r="AY390" s="32" t="str">
        <f t="shared" si="221"/>
        <v/>
      </c>
      <c r="BA390" s="32" t="str">
        <f>IF($A391="","",F390*Summary!$Q$11)</f>
        <v/>
      </c>
    </row>
    <row r="391" spans="1:53">
      <c r="A391" s="67" t="str">
        <f t="shared" si="222"/>
        <v/>
      </c>
      <c r="B391" s="69" t="str">
        <f t="shared" si="224"/>
        <v/>
      </c>
      <c r="D391" s="69" t="str">
        <f t="shared" si="188"/>
        <v/>
      </c>
      <c r="E391" s="70" t="str">
        <f t="shared" si="189"/>
        <v/>
      </c>
      <c r="F391" s="70" t="str">
        <f t="shared" si="190"/>
        <v/>
      </c>
      <c r="G391" s="63" t="str">
        <f t="shared" si="191"/>
        <v/>
      </c>
      <c r="H391" s="64" t="str">
        <f t="shared" si="192"/>
        <v/>
      </c>
      <c r="J391" s="63" t="str">
        <f t="shared" si="193"/>
        <v/>
      </c>
      <c r="K391" s="64" t="str">
        <f t="shared" si="194"/>
        <v/>
      </c>
      <c r="L391" s="63" t="str">
        <f t="shared" si="195"/>
        <v/>
      </c>
      <c r="M391" s="64" t="str">
        <f t="shared" si="196"/>
        <v/>
      </c>
      <c r="O391" s="63" t="str">
        <f t="shared" si="197"/>
        <v/>
      </c>
      <c r="P391" s="63" t="str">
        <f t="shared" si="198"/>
        <v/>
      </c>
      <c r="R391" s="63" t="str">
        <f t="shared" si="199"/>
        <v/>
      </c>
      <c r="S391" s="64" t="str">
        <f t="shared" si="200"/>
        <v/>
      </c>
      <c r="T391" s="38">
        <v>0</v>
      </c>
      <c r="U391" s="64" t="str">
        <f t="shared" si="201"/>
        <v/>
      </c>
      <c r="V391" s="219" t="str">
        <f>IF($A392="","",IF(AND(MONTH(A391)&gt;3,MONTH(A391)&lt;11),(T391+R391+G391)*Summary!$T$11/(1-Summary!$T$11),(T391+R391+G391)*Summary!$U$11/(1-Summary!$U$11)))</f>
        <v/>
      </c>
      <c r="W391" s="43" t="str">
        <f t="shared" si="202"/>
        <v/>
      </c>
      <c r="X391" s="43" t="str">
        <f t="shared" si="203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3"/>
        <v/>
      </c>
      <c r="AP391" s="33" t="str">
        <f t="shared" si="214"/>
        <v/>
      </c>
      <c r="AQ391" s="58" t="str">
        <f t="shared" si="215"/>
        <v/>
      </c>
      <c r="AR391" s="38">
        <f>'ANR OK vs ML7'!AR391</f>
        <v>0.1</v>
      </c>
      <c r="AS391" s="35" t="str">
        <f t="shared" si="216"/>
        <v/>
      </c>
      <c r="AT391" s="3" t="str">
        <f t="shared" si="217"/>
        <v/>
      </c>
      <c r="AU391" s="3" t="str">
        <f t="shared" si="218"/>
        <v/>
      </c>
      <c r="AW391" s="32" t="str">
        <f t="shared" si="219"/>
        <v/>
      </c>
      <c r="AX391" s="32" t="str">
        <f t="shared" si="220"/>
        <v/>
      </c>
      <c r="AY391" s="32" t="str">
        <f t="shared" si="221"/>
        <v/>
      </c>
      <c r="BA391" s="32" t="str">
        <f>IF($A392="","",F391*Summary!$Q$11)</f>
        <v/>
      </c>
    </row>
    <row r="392" spans="1:53">
      <c r="A392" s="67" t="str">
        <f t="shared" si="222"/>
        <v/>
      </c>
      <c r="B392" s="69" t="str">
        <f t="shared" si="224"/>
        <v/>
      </c>
      <c r="D392" s="69" t="str">
        <f t="shared" si="188"/>
        <v/>
      </c>
      <c r="E392" s="70" t="str">
        <f t="shared" si="189"/>
        <v/>
      </c>
      <c r="F392" s="70" t="str">
        <f t="shared" si="190"/>
        <v/>
      </c>
      <c r="G392" s="63" t="str">
        <f t="shared" si="191"/>
        <v/>
      </c>
      <c r="H392" s="64" t="str">
        <f t="shared" si="192"/>
        <v/>
      </c>
      <c r="J392" s="63" t="str">
        <f t="shared" si="193"/>
        <v/>
      </c>
      <c r="K392" s="64" t="str">
        <f t="shared" si="194"/>
        <v/>
      </c>
      <c r="L392" s="63" t="str">
        <f t="shared" si="195"/>
        <v/>
      </c>
      <c r="M392" s="64" t="str">
        <f t="shared" si="196"/>
        <v/>
      </c>
      <c r="O392" s="63" t="str">
        <f t="shared" si="197"/>
        <v/>
      </c>
      <c r="P392" s="63" t="str">
        <f t="shared" si="198"/>
        <v/>
      </c>
      <c r="R392" s="63" t="str">
        <f t="shared" si="199"/>
        <v/>
      </c>
      <c r="S392" s="64" t="str">
        <f t="shared" si="200"/>
        <v/>
      </c>
      <c r="T392" s="38">
        <v>0</v>
      </c>
      <c r="U392" s="64" t="str">
        <f t="shared" si="201"/>
        <v/>
      </c>
      <c r="V392" s="219" t="str">
        <f>IF($A393="","",IF(AND(MONTH(A392)&gt;3,MONTH(A392)&lt;11),(T392+R392+G392)*Summary!$T$11/(1-Summary!$T$11),(T392+R392+G392)*Summary!$U$11/(1-Summary!$U$11)))</f>
        <v/>
      </c>
      <c r="W392" s="43" t="str">
        <f t="shared" si="202"/>
        <v/>
      </c>
      <c r="X392" s="43" t="str">
        <f t="shared" si="203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3"/>
        <v/>
      </c>
      <c r="AP392" s="33" t="str">
        <f t="shared" si="214"/>
        <v/>
      </c>
      <c r="AQ392" s="58" t="str">
        <f t="shared" si="215"/>
        <v/>
      </c>
      <c r="AR392" s="38">
        <f>'ANR OK vs ML7'!AR392</f>
        <v>0.1</v>
      </c>
      <c r="AS392" s="35" t="str">
        <f t="shared" si="216"/>
        <v/>
      </c>
      <c r="AT392" s="3" t="str">
        <f t="shared" si="217"/>
        <v/>
      </c>
      <c r="AU392" s="3" t="str">
        <f t="shared" si="218"/>
        <v/>
      </c>
      <c r="AW392" s="32" t="str">
        <f t="shared" si="219"/>
        <v/>
      </c>
      <c r="AX392" s="32" t="str">
        <f t="shared" si="220"/>
        <v/>
      </c>
      <c r="AY392" s="32" t="str">
        <f t="shared" si="221"/>
        <v/>
      </c>
      <c r="BA392" s="32" t="str">
        <f>IF($A393="","",F392*Summary!$Q$11)</f>
        <v/>
      </c>
    </row>
    <row r="393" spans="1:53">
      <c r="A393" s="67" t="str">
        <f t="shared" si="222"/>
        <v/>
      </c>
      <c r="B393" s="69" t="str">
        <f t="shared" si="224"/>
        <v/>
      </c>
      <c r="D393" s="69" t="str">
        <f t="shared" si="188"/>
        <v/>
      </c>
      <c r="E393" s="70" t="str">
        <f t="shared" si="189"/>
        <v/>
      </c>
      <c r="F393" s="70" t="str">
        <f t="shared" si="190"/>
        <v/>
      </c>
      <c r="G393" s="63" t="str">
        <f t="shared" si="191"/>
        <v/>
      </c>
      <c r="H393" s="64" t="str">
        <f t="shared" si="192"/>
        <v/>
      </c>
      <c r="J393" s="63" t="str">
        <f t="shared" si="193"/>
        <v/>
      </c>
      <c r="K393" s="64" t="str">
        <f t="shared" si="194"/>
        <v/>
      </c>
      <c r="L393" s="63" t="str">
        <f t="shared" si="195"/>
        <v/>
      </c>
      <c r="M393" s="64" t="str">
        <f t="shared" si="196"/>
        <v/>
      </c>
      <c r="O393" s="63" t="str">
        <f t="shared" si="197"/>
        <v/>
      </c>
      <c r="P393" s="63" t="str">
        <f t="shared" si="198"/>
        <v/>
      </c>
      <c r="R393" s="63" t="str">
        <f t="shared" si="199"/>
        <v/>
      </c>
      <c r="S393" s="64" t="str">
        <f t="shared" si="200"/>
        <v/>
      </c>
      <c r="T393" s="38">
        <v>0</v>
      </c>
      <c r="U393" s="64" t="str">
        <f t="shared" si="201"/>
        <v/>
      </c>
      <c r="V393" s="219" t="str">
        <f>IF($A394="","",IF(AND(MONTH(A393)&gt;3,MONTH(A393)&lt;11),(T393+R393+G393)*Summary!$T$11/(1-Summary!$T$11),(T393+R393+G393)*Summary!$U$11/(1-Summary!$U$11)))</f>
        <v/>
      </c>
      <c r="W393" s="43" t="str">
        <f t="shared" si="202"/>
        <v/>
      </c>
      <c r="X393" s="43" t="str">
        <f t="shared" si="203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3"/>
        <v/>
      </c>
      <c r="AP393" s="33" t="str">
        <f t="shared" si="214"/>
        <v/>
      </c>
      <c r="AQ393" s="58" t="str">
        <f t="shared" si="215"/>
        <v/>
      </c>
      <c r="AR393" s="38">
        <f>'ANR OK vs ML7'!AR393</f>
        <v>0.1</v>
      </c>
      <c r="AS393" s="35" t="str">
        <f t="shared" si="216"/>
        <v/>
      </c>
      <c r="AT393" s="3" t="str">
        <f t="shared" si="217"/>
        <v/>
      </c>
      <c r="AU393" s="3" t="str">
        <f t="shared" si="218"/>
        <v/>
      </c>
      <c r="AW393" s="32" t="str">
        <f t="shared" si="219"/>
        <v/>
      </c>
      <c r="AX393" s="32" t="str">
        <f t="shared" si="220"/>
        <v/>
      </c>
      <c r="AY393" s="32" t="str">
        <f t="shared" si="221"/>
        <v/>
      </c>
      <c r="BA393" s="32" t="str">
        <f>IF($A394="","",F393*Summary!$Q$11)</f>
        <v/>
      </c>
    </row>
    <row r="394" spans="1:53">
      <c r="A394" s="67" t="str">
        <f t="shared" si="222"/>
        <v/>
      </c>
      <c r="B394" s="69" t="str">
        <f t="shared" si="224"/>
        <v/>
      </c>
      <c r="D394" s="69" t="str">
        <f t="shared" ref="D394:D457" si="225">IF(A395&lt;&gt;"",B394+C394,"")</f>
        <v/>
      </c>
      <c r="E394" s="70" t="str">
        <f t="shared" ref="E394:E457" si="226">IF(A395="","",IF(AND(AT394=1,$H$3=1),D394*AO394,IF($H$3=2,D394,"N/A")))</f>
        <v/>
      </c>
      <c r="F394" s="70" t="str">
        <f t="shared" ref="F394:F457" si="227">IF(A395="","",E394*AS394)</f>
        <v/>
      </c>
      <c r="G394" s="63" t="str">
        <f t="shared" ref="G394:G457" si="228">IF($A395="","",VLOOKUP($A394,Table,MATCH(G$4,Curves,0)))</f>
        <v/>
      </c>
      <c r="H394" s="64" t="str">
        <f t="shared" ref="H394:H457" si="229">IF(A395="","",G394)</f>
        <v/>
      </c>
      <c r="J394" s="63" t="str">
        <f t="shared" ref="J394:J457" si="230">IF($A395="","",VLOOKUP($A394,Table,MATCH(J$4,Curves,0)))</f>
        <v/>
      </c>
      <c r="K394" s="64" t="str">
        <f t="shared" ref="K394:K457" si="231">IF(A395="","",J394)</f>
        <v/>
      </c>
      <c r="L394" s="63" t="str">
        <f t="shared" ref="L394:L457" si="232">IF($A395="","",VLOOKUP($A394,Table,MATCH(L$4,Curves,0)))</f>
        <v/>
      </c>
      <c r="M394" s="64" t="str">
        <f t="shared" ref="M394:M457" si="233">IF(A395="","",L394)</f>
        <v/>
      </c>
      <c r="O394" s="63" t="str">
        <f t="shared" ref="O394:O457" si="234">IF(A395="","",L394+J394+G394)</f>
        <v/>
      </c>
      <c r="P394" s="63" t="str">
        <f t="shared" ref="P394:P457" si="235">IF(A395="","",M394+K394+H394)</f>
        <v/>
      </c>
      <c r="R394" s="63" t="str">
        <f t="shared" ref="R394:R457" si="236">IF($A395="","",VLOOKUP($A394,Table,MATCH(R$4,Curves,0)))</f>
        <v/>
      </c>
      <c r="S394" s="64" t="str">
        <f t="shared" ref="S394:S457" si="237">IF(A395="","",R394)</f>
        <v/>
      </c>
      <c r="T394" s="38">
        <v>0</v>
      </c>
      <c r="U394" s="64" t="str">
        <f t="shared" ref="U394:U457" si="238">IF(A395="","",T394)</f>
        <v/>
      </c>
      <c r="V394" s="219" t="str">
        <f>IF($A395="","",IF(AND(MONTH(A394)&gt;3,MONTH(A394)&lt;11),(T394+R394+G394)*Summary!$T$11/(1-Summary!$T$11),(T394+R394+G394)*Summary!$U$11/(1-Summary!$U$11)))</f>
        <v/>
      </c>
      <c r="W394" s="43" t="str">
        <f t="shared" ref="W394:W457" si="239">IF($A395="","",(T394+R394+G394+V394))</f>
        <v/>
      </c>
      <c r="X394" s="43" t="str">
        <f t="shared" ref="X394:X457" si="240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1">IF(A395="","",A395-A394)</f>
        <v/>
      </c>
      <c r="AP394" s="33" t="str">
        <f t="shared" ref="AP394:AP457" si="242">IF(A395="","",CHOOSE(F$3,A395+24,A394))</f>
        <v/>
      </c>
      <c r="AQ394" s="58" t="str">
        <f t="shared" ref="AQ394:AQ457" si="243">IF(A395="","",AP394-$E$1)</f>
        <v/>
      </c>
      <c r="AR394" s="38">
        <f>'ANR OK vs ML7'!AR394</f>
        <v>0.1</v>
      </c>
      <c r="AS394" s="35" t="str">
        <f t="shared" ref="AS394:AS457" si="244">IF(A395="","",1/(1+CHOOSE(F$3,(AR395+($I$3/10000))/2,(AR394+($I$3/10000))/2))^(2*AQ394/365.25))</f>
        <v/>
      </c>
      <c r="AT394" s="3" t="str">
        <f t="shared" ref="AT394:AT457" si="245">IF(A395="","",IF(AND(mthbeg&lt;=A394,mthend&gt;=A394),1,0))</f>
        <v/>
      </c>
      <c r="AU394" s="3" t="str">
        <f t="shared" ref="AU394:AU457" si="246">IF(A395="","",AO394*AT394)</f>
        <v/>
      </c>
      <c r="AW394" s="32" t="str">
        <f t="shared" ref="AW394:AW457" si="247">IF($A395="","",AL394*$E394)</f>
        <v/>
      </c>
      <c r="AX394" s="32" t="str">
        <f t="shared" ref="AX394:AX457" si="248">IF($A395="","",AM394*$E394)</f>
        <v/>
      </c>
      <c r="AY394" s="32" t="str">
        <f t="shared" ref="AY394:AY457" si="249">IF($A395="","",AN394*$E394)</f>
        <v/>
      </c>
      <c r="BA394" s="32" t="str">
        <f>IF($A395="","",F394*Summary!$Q$11)</f>
        <v/>
      </c>
    </row>
    <row r="395" spans="1:53">
      <c r="A395" s="67" t="str">
        <f t="shared" ref="A395:A458" si="250">IF(A394&lt;mthend,EDATE(A394,1),"")</f>
        <v/>
      </c>
      <c r="B395" s="69" t="str">
        <f t="shared" si="224"/>
        <v/>
      </c>
      <c r="D395" s="69" t="str">
        <f t="shared" si="225"/>
        <v/>
      </c>
      <c r="E395" s="70" t="str">
        <f t="shared" si="226"/>
        <v/>
      </c>
      <c r="F395" s="70" t="str">
        <f t="shared" si="227"/>
        <v/>
      </c>
      <c r="G395" s="63" t="str">
        <f t="shared" si="228"/>
        <v/>
      </c>
      <c r="H395" s="64" t="str">
        <f t="shared" si="229"/>
        <v/>
      </c>
      <c r="J395" s="63" t="str">
        <f t="shared" si="230"/>
        <v/>
      </c>
      <c r="K395" s="64" t="str">
        <f t="shared" si="231"/>
        <v/>
      </c>
      <c r="L395" s="63" t="str">
        <f t="shared" si="232"/>
        <v/>
      </c>
      <c r="M395" s="64" t="str">
        <f t="shared" si="233"/>
        <v/>
      </c>
      <c r="O395" s="63" t="str">
        <f t="shared" si="234"/>
        <v/>
      </c>
      <c r="P395" s="63" t="str">
        <f t="shared" si="235"/>
        <v/>
      </c>
      <c r="R395" s="63" t="str">
        <f t="shared" si="236"/>
        <v/>
      </c>
      <c r="S395" s="64" t="str">
        <f t="shared" si="237"/>
        <v/>
      </c>
      <c r="T395" s="38">
        <v>0</v>
      </c>
      <c r="U395" s="64" t="str">
        <f t="shared" si="238"/>
        <v/>
      </c>
      <c r="V395" s="219" t="str">
        <f>IF($A396="","",IF(AND(MONTH(A395)&gt;3,MONTH(A395)&lt;11),(T395+R395+G395)*Summary!$T$11/(1-Summary!$T$11),(T395+R395+G395)*Summary!$U$11/(1-Summary!$U$11)))</f>
        <v/>
      </c>
      <c r="W395" s="43" t="str">
        <f t="shared" si="239"/>
        <v/>
      </c>
      <c r="X395" s="43" t="str">
        <f t="shared" si="240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1"/>
        <v/>
      </c>
      <c r="AP395" s="33" t="str">
        <f t="shared" si="242"/>
        <v/>
      </c>
      <c r="AQ395" s="58" t="str">
        <f t="shared" si="243"/>
        <v/>
      </c>
      <c r="AR395" s="38">
        <f>'ANR OK vs ML7'!AR395</f>
        <v>0.1</v>
      </c>
      <c r="AS395" s="35" t="str">
        <f t="shared" si="244"/>
        <v/>
      </c>
      <c r="AT395" s="3" t="str">
        <f t="shared" si="245"/>
        <v/>
      </c>
      <c r="AU395" s="3" t="str">
        <f t="shared" si="246"/>
        <v/>
      </c>
      <c r="AW395" s="32" t="str">
        <f t="shared" si="247"/>
        <v/>
      </c>
      <c r="AX395" s="32" t="str">
        <f t="shared" si="248"/>
        <v/>
      </c>
      <c r="AY395" s="32" t="str">
        <f t="shared" si="249"/>
        <v/>
      </c>
      <c r="BA395" s="32" t="str">
        <f>IF($A396="","",F395*Summary!$Q$11)</f>
        <v/>
      </c>
    </row>
    <row r="396" spans="1:53">
      <c r="A396" s="67" t="str">
        <f t="shared" si="250"/>
        <v/>
      </c>
      <c r="B396" s="69" t="str">
        <f t="shared" ref="B396:B459" si="251">IF(A396&lt;mthend,B395,"")</f>
        <v/>
      </c>
      <c r="D396" s="69" t="str">
        <f t="shared" si="225"/>
        <v/>
      </c>
      <c r="E396" s="70" t="str">
        <f t="shared" si="226"/>
        <v/>
      </c>
      <c r="F396" s="70" t="str">
        <f t="shared" si="227"/>
        <v/>
      </c>
      <c r="G396" s="63" t="str">
        <f t="shared" si="228"/>
        <v/>
      </c>
      <c r="H396" s="64" t="str">
        <f t="shared" si="229"/>
        <v/>
      </c>
      <c r="J396" s="63" t="str">
        <f t="shared" si="230"/>
        <v/>
      </c>
      <c r="K396" s="64" t="str">
        <f t="shared" si="231"/>
        <v/>
      </c>
      <c r="L396" s="63" t="str">
        <f t="shared" si="232"/>
        <v/>
      </c>
      <c r="M396" s="64" t="str">
        <f t="shared" si="233"/>
        <v/>
      </c>
      <c r="O396" s="63" t="str">
        <f t="shared" si="234"/>
        <v/>
      </c>
      <c r="P396" s="63" t="str">
        <f t="shared" si="235"/>
        <v/>
      </c>
      <c r="R396" s="63" t="str">
        <f t="shared" si="236"/>
        <v/>
      </c>
      <c r="S396" s="64" t="str">
        <f t="shared" si="237"/>
        <v/>
      </c>
      <c r="T396" s="38">
        <v>0</v>
      </c>
      <c r="U396" s="64" t="str">
        <f t="shared" si="238"/>
        <v/>
      </c>
      <c r="V396" s="219" t="str">
        <f>IF($A397="","",IF(AND(MONTH(A396)&gt;3,MONTH(A396)&lt;11),(T396+R396+G396)*Summary!$T$11/(1-Summary!$T$11),(T396+R396+G396)*Summary!$U$11/(1-Summary!$U$11)))</f>
        <v/>
      </c>
      <c r="W396" s="43" t="str">
        <f t="shared" si="239"/>
        <v/>
      </c>
      <c r="X396" s="43" t="str">
        <f t="shared" si="240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1"/>
        <v/>
      </c>
      <c r="AP396" s="33" t="str">
        <f t="shared" si="242"/>
        <v/>
      </c>
      <c r="AQ396" s="58" t="str">
        <f t="shared" si="243"/>
        <v/>
      </c>
      <c r="AR396" s="38">
        <f>'ANR OK vs ML7'!AR396</f>
        <v>0.1</v>
      </c>
      <c r="AS396" s="35" t="str">
        <f t="shared" si="244"/>
        <v/>
      </c>
      <c r="AT396" s="3" t="str">
        <f t="shared" si="245"/>
        <v/>
      </c>
      <c r="AU396" s="3" t="str">
        <f t="shared" si="246"/>
        <v/>
      </c>
      <c r="AW396" s="32" t="str">
        <f t="shared" si="247"/>
        <v/>
      </c>
      <c r="AX396" s="32" t="str">
        <f t="shared" si="248"/>
        <v/>
      </c>
      <c r="AY396" s="32" t="str">
        <f t="shared" si="249"/>
        <v/>
      </c>
      <c r="BA396" s="32" t="str">
        <f>IF($A397="","",F396*Summary!$Q$11)</f>
        <v/>
      </c>
    </row>
    <row r="397" spans="1:53">
      <c r="A397" s="67" t="str">
        <f t="shared" si="250"/>
        <v/>
      </c>
      <c r="B397" s="69" t="str">
        <f t="shared" si="251"/>
        <v/>
      </c>
      <c r="D397" s="69" t="str">
        <f t="shared" si="225"/>
        <v/>
      </c>
      <c r="E397" s="70" t="str">
        <f t="shared" si="226"/>
        <v/>
      </c>
      <c r="F397" s="70" t="str">
        <f t="shared" si="227"/>
        <v/>
      </c>
      <c r="G397" s="63" t="str">
        <f t="shared" si="228"/>
        <v/>
      </c>
      <c r="H397" s="64" t="str">
        <f t="shared" si="229"/>
        <v/>
      </c>
      <c r="J397" s="63" t="str">
        <f t="shared" si="230"/>
        <v/>
      </c>
      <c r="K397" s="64" t="str">
        <f t="shared" si="231"/>
        <v/>
      </c>
      <c r="L397" s="63" t="str">
        <f t="shared" si="232"/>
        <v/>
      </c>
      <c r="M397" s="64" t="str">
        <f t="shared" si="233"/>
        <v/>
      </c>
      <c r="O397" s="63" t="str">
        <f t="shared" si="234"/>
        <v/>
      </c>
      <c r="P397" s="63" t="str">
        <f t="shared" si="235"/>
        <v/>
      </c>
      <c r="R397" s="63" t="str">
        <f t="shared" si="236"/>
        <v/>
      </c>
      <c r="S397" s="64" t="str">
        <f t="shared" si="237"/>
        <v/>
      </c>
      <c r="T397" s="38">
        <v>0</v>
      </c>
      <c r="U397" s="64" t="str">
        <f t="shared" si="238"/>
        <v/>
      </c>
      <c r="V397" s="219" t="str">
        <f>IF($A398="","",IF(AND(MONTH(A397)&gt;3,MONTH(A397)&lt;11),(T397+R397+G397)*Summary!$T$11/(1-Summary!$T$11),(T397+R397+G397)*Summary!$U$11/(1-Summary!$U$11)))</f>
        <v/>
      </c>
      <c r="W397" s="43" t="str">
        <f t="shared" si="239"/>
        <v/>
      </c>
      <c r="X397" s="43" t="str">
        <f t="shared" si="240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1"/>
        <v/>
      </c>
      <c r="AP397" s="33" t="str">
        <f t="shared" si="242"/>
        <v/>
      </c>
      <c r="AQ397" s="58" t="str">
        <f t="shared" si="243"/>
        <v/>
      </c>
      <c r="AR397" s="38">
        <f>'ANR OK vs ML7'!AR397</f>
        <v>0.1</v>
      </c>
      <c r="AS397" s="35" t="str">
        <f t="shared" si="244"/>
        <v/>
      </c>
      <c r="AT397" s="3" t="str">
        <f t="shared" si="245"/>
        <v/>
      </c>
      <c r="AU397" s="3" t="str">
        <f t="shared" si="246"/>
        <v/>
      </c>
      <c r="AW397" s="32" t="str">
        <f t="shared" si="247"/>
        <v/>
      </c>
      <c r="AX397" s="32" t="str">
        <f t="shared" si="248"/>
        <v/>
      </c>
      <c r="AY397" s="32" t="str">
        <f t="shared" si="249"/>
        <v/>
      </c>
      <c r="BA397" s="32" t="str">
        <f>IF($A398="","",F397*Summary!$Q$11)</f>
        <v/>
      </c>
    </row>
    <row r="398" spans="1:53">
      <c r="A398" s="67" t="str">
        <f t="shared" si="250"/>
        <v/>
      </c>
      <c r="B398" s="69" t="str">
        <f t="shared" si="251"/>
        <v/>
      </c>
      <c r="D398" s="69" t="str">
        <f t="shared" si="225"/>
        <v/>
      </c>
      <c r="E398" s="70" t="str">
        <f t="shared" si="226"/>
        <v/>
      </c>
      <c r="F398" s="70" t="str">
        <f t="shared" si="227"/>
        <v/>
      </c>
      <c r="G398" s="63" t="str">
        <f t="shared" si="228"/>
        <v/>
      </c>
      <c r="H398" s="64" t="str">
        <f t="shared" si="229"/>
        <v/>
      </c>
      <c r="J398" s="63" t="str">
        <f t="shared" si="230"/>
        <v/>
      </c>
      <c r="K398" s="64" t="str">
        <f t="shared" si="231"/>
        <v/>
      </c>
      <c r="L398" s="63" t="str">
        <f t="shared" si="232"/>
        <v/>
      </c>
      <c r="M398" s="64" t="str">
        <f t="shared" si="233"/>
        <v/>
      </c>
      <c r="O398" s="63" t="str">
        <f t="shared" si="234"/>
        <v/>
      </c>
      <c r="P398" s="63" t="str">
        <f t="shared" si="235"/>
        <v/>
      </c>
      <c r="R398" s="63" t="str">
        <f t="shared" si="236"/>
        <v/>
      </c>
      <c r="S398" s="64" t="str">
        <f t="shared" si="237"/>
        <v/>
      </c>
      <c r="T398" s="38">
        <v>0</v>
      </c>
      <c r="U398" s="64" t="str">
        <f t="shared" si="238"/>
        <v/>
      </c>
      <c r="V398" s="219" t="str">
        <f>IF($A399="","",IF(AND(MONTH(A398)&gt;3,MONTH(A398)&lt;11),(T398+R398+G398)*Summary!$T$11/(1-Summary!$T$11),(T398+R398+G398)*Summary!$U$11/(1-Summary!$U$11)))</f>
        <v/>
      </c>
      <c r="W398" s="43" t="str">
        <f t="shared" si="239"/>
        <v/>
      </c>
      <c r="X398" s="43" t="str">
        <f t="shared" si="240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1"/>
        <v/>
      </c>
      <c r="AP398" s="33" t="str">
        <f t="shared" si="242"/>
        <v/>
      </c>
      <c r="AQ398" s="58" t="str">
        <f t="shared" si="243"/>
        <v/>
      </c>
      <c r="AR398" s="38">
        <f>'ANR OK vs ML7'!AR398</f>
        <v>0.1</v>
      </c>
      <c r="AS398" s="35" t="str">
        <f t="shared" si="244"/>
        <v/>
      </c>
      <c r="AT398" s="3" t="str">
        <f t="shared" si="245"/>
        <v/>
      </c>
      <c r="AU398" s="3" t="str">
        <f t="shared" si="246"/>
        <v/>
      </c>
      <c r="AW398" s="32" t="str">
        <f t="shared" si="247"/>
        <v/>
      </c>
      <c r="AX398" s="32" t="str">
        <f t="shared" si="248"/>
        <v/>
      </c>
      <c r="AY398" s="32" t="str">
        <f t="shared" si="249"/>
        <v/>
      </c>
      <c r="BA398" s="32" t="str">
        <f>IF($A399="","",F398*Summary!$Q$11)</f>
        <v/>
      </c>
    </row>
    <row r="399" spans="1:53">
      <c r="A399" s="67" t="str">
        <f t="shared" si="250"/>
        <v/>
      </c>
      <c r="B399" s="69" t="str">
        <f t="shared" si="251"/>
        <v/>
      </c>
      <c r="D399" s="69" t="str">
        <f t="shared" si="225"/>
        <v/>
      </c>
      <c r="E399" s="70" t="str">
        <f t="shared" si="226"/>
        <v/>
      </c>
      <c r="F399" s="70" t="str">
        <f t="shared" si="227"/>
        <v/>
      </c>
      <c r="G399" s="63" t="str">
        <f t="shared" si="228"/>
        <v/>
      </c>
      <c r="H399" s="64" t="str">
        <f t="shared" si="229"/>
        <v/>
      </c>
      <c r="J399" s="63" t="str">
        <f t="shared" si="230"/>
        <v/>
      </c>
      <c r="K399" s="64" t="str">
        <f t="shared" si="231"/>
        <v/>
      </c>
      <c r="L399" s="63" t="str">
        <f t="shared" si="232"/>
        <v/>
      </c>
      <c r="M399" s="64" t="str">
        <f t="shared" si="233"/>
        <v/>
      </c>
      <c r="O399" s="63" t="str">
        <f t="shared" si="234"/>
        <v/>
      </c>
      <c r="P399" s="63" t="str">
        <f t="shared" si="235"/>
        <v/>
      </c>
      <c r="R399" s="63" t="str">
        <f t="shared" si="236"/>
        <v/>
      </c>
      <c r="S399" s="64" t="str">
        <f t="shared" si="237"/>
        <v/>
      </c>
      <c r="T399" s="38">
        <v>0</v>
      </c>
      <c r="U399" s="64" t="str">
        <f t="shared" si="238"/>
        <v/>
      </c>
      <c r="V399" s="219" t="str">
        <f>IF($A400="","",IF(AND(MONTH(A399)&gt;3,MONTH(A399)&lt;11),(T399+R399+G399)*Summary!$T$11/(1-Summary!$T$11),(T399+R399+G399)*Summary!$U$11/(1-Summary!$U$11)))</f>
        <v/>
      </c>
      <c r="W399" s="43" t="str">
        <f t="shared" si="239"/>
        <v/>
      </c>
      <c r="X399" s="43" t="str">
        <f t="shared" si="240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1"/>
        <v/>
      </c>
      <c r="AP399" s="33" t="str">
        <f t="shared" si="242"/>
        <v/>
      </c>
      <c r="AQ399" s="58" t="str">
        <f t="shared" si="243"/>
        <v/>
      </c>
      <c r="AR399" s="38">
        <f>'ANR OK vs ML7'!AR399</f>
        <v>0.1</v>
      </c>
      <c r="AS399" s="35" t="str">
        <f t="shared" si="244"/>
        <v/>
      </c>
      <c r="AT399" s="3" t="str">
        <f t="shared" si="245"/>
        <v/>
      </c>
      <c r="AU399" s="3" t="str">
        <f t="shared" si="246"/>
        <v/>
      </c>
      <c r="AW399" s="32" t="str">
        <f t="shared" si="247"/>
        <v/>
      </c>
      <c r="AX399" s="32" t="str">
        <f t="shared" si="248"/>
        <v/>
      </c>
      <c r="AY399" s="32" t="str">
        <f t="shared" si="249"/>
        <v/>
      </c>
      <c r="BA399" s="32" t="str">
        <f>IF($A400="","",F399*Summary!$Q$11)</f>
        <v/>
      </c>
    </row>
    <row r="400" spans="1:53">
      <c r="A400" s="67" t="str">
        <f t="shared" si="250"/>
        <v/>
      </c>
      <c r="B400" s="69" t="str">
        <f t="shared" si="251"/>
        <v/>
      </c>
      <c r="D400" s="69" t="str">
        <f t="shared" si="225"/>
        <v/>
      </c>
      <c r="E400" s="70" t="str">
        <f t="shared" si="226"/>
        <v/>
      </c>
      <c r="F400" s="70" t="str">
        <f t="shared" si="227"/>
        <v/>
      </c>
      <c r="G400" s="63" t="str">
        <f t="shared" si="228"/>
        <v/>
      </c>
      <c r="H400" s="64" t="str">
        <f t="shared" si="229"/>
        <v/>
      </c>
      <c r="J400" s="63" t="str">
        <f t="shared" si="230"/>
        <v/>
      </c>
      <c r="K400" s="64" t="str">
        <f t="shared" si="231"/>
        <v/>
      </c>
      <c r="L400" s="63" t="str">
        <f t="shared" si="232"/>
        <v/>
      </c>
      <c r="M400" s="64" t="str">
        <f t="shared" si="233"/>
        <v/>
      </c>
      <c r="O400" s="63" t="str">
        <f t="shared" si="234"/>
        <v/>
      </c>
      <c r="P400" s="63" t="str">
        <f t="shared" si="235"/>
        <v/>
      </c>
      <c r="R400" s="63" t="str">
        <f t="shared" si="236"/>
        <v/>
      </c>
      <c r="S400" s="64" t="str">
        <f t="shared" si="237"/>
        <v/>
      </c>
      <c r="T400" s="38">
        <v>0</v>
      </c>
      <c r="U400" s="64" t="str">
        <f t="shared" si="238"/>
        <v/>
      </c>
      <c r="V400" s="219" t="str">
        <f>IF($A401="","",IF(AND(MONTH(A400)&gt;3,MONTH(A400)&lt;11),(T400+R400+G400)*Summary!$T$11/(1-Summary!$T$11),(T400+R400+G400)*Summary!$U$11/(1-Summary!$U$11)))</f>
        <v/>
      </c>
      <c r="W400" s="43" t="str">
        <f t="shared" si="239"/>
        <v/>
      </c>
      <c r="X400" s="43" t="str">
        <f t="shared" si="240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1"/>
        <v/>
      </c>
      <c r="AP400" s="33" t="str">
        <f t="shared" si="242"/>
        <v/>
      </c>
      <c r="AQ400" s="58" t="str">
        <f t="shared" si="243"/>
        <v/>
      </c>
      <c r="AR400" s="38">
        <f>'ANR OK vs ML7'!AR400</f>
        <v>0.1</v>
      </c>
      <c r="AS400" s="35" t="str">
        <f t="shared" si="244"/>
        <v/>
      </c>
      <c r="AT400" s="3" t="str">
        <f t="shared" si="245"/>
        <v/>
      </c>
      <c r="AU400" s="3" t="str">
        <f t="shared" si="246"/>
        <v/>
      </c>
      <c r="AW400" s="32" t="str">
        <f t="shared" si="247"/>
        <v/>
      </c>
      <c r="AX400" s="32" t="str">
        <f t="shared" si="248"/>
        <v/>
      </c>
      <c r="AY400" s="32" t="str">
        <f t="shared" si="249"/>
        <v/>
      </c>
      <c r="BA400" s="32" t="str">
        <f>IF($A401="","",F400*Summary!$Q$11)</f>
        <v/>
      </c>
    </row>
    <row r="401" spans="1:53">
      <c r="A401" s="67" t="str">
        <f t="shared" si="250"/>
        <v/>
      </c>
      <c r="B401" s="69" t="str">
        <f t="shared" si="251"/>
        <v/>
      </c>
      <c r="D401" s="69" t="str">
        <f t="shared" si="225"/>
        <v/>
      </c>
      <c r="E401" s="70" t="str">
        <f t="shared" si="226"/>
        <v/>
      </c>
      <c r="F401" s="70" t="str">
        <f t="shared" si="227"/>
        <v/>
      </c>
      <c r="G401" s="63" t="str">
        <f t="shared" si="228"/>
        <v/>
      </c>
      <c r="H401" s="64" t="str">
        <f t="shared" si="229"/>
        <v/>
      </c>
      <c r="J401" s="63" t="str">
        <f t="shared" si="230"/>
        <v/>
      </c>
      <c r="K401" s="64" t="str">
        <f t="shared" si="231"/>
        <v/>
      </c>
      <c r="L401" s="63" t="str">
        <f t="shared" si="232"/>
        <v/>
      </c>
      <c r="M401" s="64" t="str">
        <f t="shared" si="233"/>
        <v/>
      </c>
      <c r="O401" s="63" t="str">
        <f t="shared" si="234"/>
        <v/>
      </c>
      <c r="P401" s="63" t="str">
        <f t="shared" si="235"/>
        <v/>
      </c>
      <c r="R401" s="63" t="str">
        <f t="shared" si="236"/>
        <v/>
      </c>
      <c r="S401" s="64" t="str">
        <f t="shared" si="237"/>
        <v/>
      </c>
      <c r="T401" s="38">
        <v>0</v>
      </c>
      <c r="U401" s="64" t="str">
        <f t="shared" si="238"/>
        <v/>
      </c>
      <c r="V401" s="219" t="str">
        <f>IF($A402="","",IF(AND(MONTH(A401)&gt;3,MONTH(A401)&lt;11),(T401+R401+G401)*Summary!$T$11/(1-Summary!$T$11),(T401+R401+G401)*Summary!$U$11/(1-Summary!$U$11)))</f>
        <v/>
      </c>
      <c r="W401" s="43" t="str">
        <f t="shared" si="239"/>
        <v/>
      </c>
      <c r="X401" s="43" t="str">
        <f t="shared" si="240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1"/>
        <v/>
      </c>
      <c r="AP401" s="33" t="str">
        <f t="shared" si="242"/>
        <v/>
      </c>
      <c r="AQ401" s="58" t="str">
        <f t="shared" si="243"/>
        <v/>
      </c>
      <c r="AR401" s="38">
        <f>'ANR OK vs ML7'!AR401</f>
        <v>0.1</v>
      </c>
      <c r="AS401" s="35" t="str">
        <f t="shared" si="244"/>
        <v/>
      </c>
      <c r="AT401" s="3" t="str">
        <f t="shared" si="245"/>
        <v/>
      </c>
      <c r="AU401" s="3" t="str">
        <f t="shared" si="246"/>
        <v/>
      </c>
      <c r="AW401" s="32" t="str">
        <f t="shared" si="247"/>
        <v/>
      </c>
      <c r="AX401" s="32" t="str">
        <f t="shared" si="248"/>
        <v/>
      </c>
      <c r="AY401" s="32" t="str">
        <f t="shared" si="249"/>
        <v/>
      </c>
      <c r="BA401" s="32" t="str">
        <f>IF($A402="","",F401*Summary!$Q$11)</f>
        <v/>
      </c>
    </row>
    <row r="402" spans="1:53">
      <c r="A402" s="67" t="str">
        <f t="shared" si="250"/>
        <v/>
      </c>
      <c r="B402" s="69" t="str">
        <f t="shared" si="251"/>
        <v/>
      </c>
      <c r="D402" s="69" t="str">
        <f t="shared" si="225"/>
        <v/>
      </c>
      <c r="E402" s="70" t="str">
        <f t="shared" si="226"/>
        <v/>
      </c>
      <c r="F402" s="70" t="str">
        <f t="shared" si="227"/>
        <v/>
      </c>
      <c r="G402" s="63" t="str">
        <f t="shared" si="228"/>
        <v/>
      </c>
      <c r="H402" s="64" t="str">
        <f t="shared" si="229"/>
        <v/>
      </c>
      <c r="J402" s="63" t="str">
        <f t="shared" si="230"/>
        <v/>
      </c>
      <c r="K402" s="64" t="str">
        <f t="shared" si="231"/>
        <v/>
      </c>
      <c r="L402" s="63" t="str">
        <f t="shared" si="232"/>
        <v/>
      </c>
      <c r="M402" s="64" t="str">
        <f t="shared" si="233"/>
        <v/>
      </c>
      <c r="O402" s="63" t="str">
        <f t="shared" si="234"/>
        <v/>
      </c>
      <c r="P402" s="63" t="str">
        <f t="shared" si="235"/>
        <v/>
      </c>
      <c r="R402" s="63" t="str">
        <f t="shared" si="236"/>
        <v/>
      </c>
      <c r="S402" s="64" t="str">
        <f t="shared" si="237"/>
        <v/>
      </c>
      <c r="T402" s="38">
        <v>0</v>
      </c>
      <c r="U402" s="64" t="str">
        <f t="shared" si="238"/>
        <v/>
      </c>
      <c r="V402" s="219" t="str">
        <f>IF($A403="","",IF(AND(MONTH(A402)&gt;3,MONTH(A402)&lt;11),(T402+R402+G402)*Summary!$T$11/(1-Summary!$T$11),(T402+R402+G402)*Summary!$U$11/(1-Summary!$U$11)))</f>
        <v/>
      </c>
      <c r="W402" s="43" t="str">
        <f t="shared" si="239"/>
        <v/>
      </c>
      <c r="X402" s="43" t="str">
        <f t="shared" si="240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1"/>
        <v/>
      </c>
      <c r="AP402" s="33" t="str">
        <f t="shared" si="242"/>
        <v/>
      </c>
      <c r="AQ402" s="58" t="str">
        <f t="shared" si="243"/>
        <v/>
      </c>
      <c r="AR402" s="38">
        <f>'ANR OK vs ML7'!AR402</f>
        <v>0.1</v>
      </c>
      <c r="AS402" s="35" t="str">
        <f t="shared" si="244"/>
        <v/>
      </c>
      <c r="AT402" s="3" t="str">
        <f t="shared" si="245"/>
        <v/>
      </c>
      <c r="AU402" s="3" t="str">
        <f t="shared" si="246"/>
        <v/>
      </c>
      <c r="AW402" s="32" t="str">
        <f t="shared" si="247"/>
        <v/>
      </c>
      <c r="AX402" s="32" t="str">
        <f t="shared" si="248"/>
        <v/>
      </c>
      <c r="AY402" s="32" t="str">
        <f t="shared" si="249"/>
        <v/>
      </c>
      <c r="BA402" s="32" t="str">
        <f>IF($A403="","",F402*Summary!$Q$11)</f>
        <v/>
      </c>
    </row>
    <row r="403" spans="1:53">
      <c r="A403" s="67" t="str">
        <f t="shared" si="250"/>
        <v/>
      </c>
      <c r="B403" s="69" t="str">
        <f t="shared" si="251"/>
        <v/>
      </c>
      <c r="D403" s="69" t="str">
        <f t="shared" si="225"/>
        <v/>
      </c>
      <c r="E403" s="70" t="str">
        <f t="shared" si="226"/>
        <v/>
      </c>
      <c r="F403" s="70" t="str">
        <f t="shared" si="227"/>
        <v/>
      </c>
      <c r="G403" s="63" t="str">
        <f t="shared" si="228"/>
        <v/>
      </c>
      <c r="H403" s="64" t="str">
        <f t="shared" si="229"/>
        <v/>
      </c>
      <c r="J403" s="63" t="str">
        <f t="shared" si="230"/>
        <v/>
      </c>
      <c r="K403" s="64" t="str">
        <f t="shared" si="231"/>
        <v/>
      </c>
      <c r="L403" s="63" t="str">
        <f t="shared" si="232"/>
        <v/>
      </c>
      <c r="M403" s="64" t="str">
        <f t="shared" si="233"/>
        <v/>
      </c>
      <c r="O403" s="63" t="str">
        <f t="shared" si="234"/>
        <v/>
      </c>
      <c r="P403" s="63" t="str">
        <f t="shared" si="235"/>
        <v/>
      </c>
      <c r="R403" s="63" t="str">
        <f t="shared" si="236"/>
        <v/>
      </c>
      <c r="S403" s="64" t="str">
        <f t="shared" si="237"/>
        <v/>
      </c>
      <c r="T403" s="38">
        <v>0</v>
      </c>
      <c r="U403" s="64" t="str">
        <f t="shared" si="238"/>
        <v/>
      </c>
      <c r="V403" s="219" t="str">
        <f>IF($A404="","",IF(AND(MONTH(A403)&gt;3,MONTH(A403)&lt;11),(T403+R403+G403)*Summary!$T$11/(1-Summary!$T$11),(T403+R403+G403)*Summary!$U$11/(1-Summary!$U$11)))</f>
        <v/>
      </c>
      <c r="W403" s="43" t="str">
        <f t="shared" si="239"/>
        <v/>
      </c>
      <c r="X403" s="43" t="str">
        <f t="shared" si="240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1"/>
        <v/>
      </c>
      <c r="AP403" s="33" t="str">
        <f t="shared" si="242"/>
        <v/>
      </c>
      <c r="AQ403" s="58" t="str">
        <f t="shared" si="243"/>
        <v/>
      </c>
      <c r="AR403" s="38">
        <f>'ANR OK vs ML7'!AR403</f>
        <v>0.1</v>
      </c>
      <c r="AS403" s="35" t="str">
        <f t="shared" si="244"/>
        <v/>
      </c>
      <c r="AT403" s="3" t="str">
        <f t="shared" si="245"/>
        <v/>
      </c>
      <c r="AU403" s="3" t="str">
        <f t="shared" si="246"/>
        <v/>
      </c>
      <c r="AW403" s="32" t="str">
        <f t="shared" si="247"/>
        <v/>
      </c>
      <c r="AX403" s="32" t="str">
        <f t="shared" si="248"/>
        <v/>
      </c>
      <c r="AY403" s="32" t="str">
        <f t="shared" si="249"/>
        <v/>
      </c>
      <c r="BA403" s="32" t="str">
        <f>IF($A404="","",F403*Summary!$Q$11)</f>
        <v/>
      </c>
    </row>
    <row r="404" spans="1:53">
      <c r="A404" s="67" t="str">
        <f t="shared" si="250"/>
        <v/>
      </c>
      <c r="B404" s="69" t="str">
        <f t="shared" si="251"/>
        <v/>
      </c>
      <c r="D404" s="69" t="str">
        <f t="shared" si="225"/>
        <v/>
      </c>
      <c r="E404" s="70" t="str">
        <f t="shared" si="226"/>
        <v/>
      </c>
      <c r="F404" s="70" t="str">
        <f t="shared" si="227"/>
        <v/>
      </c>
      <c r="G404" s="63" t="str">
        <f t="shared" si="228"/>
        <v/>
      </c>
      <c r="H404" s="64" t="str">
        <f t="shared" si="229"/>
        <v/>
      </c>
      <c r="J404" s="63" t="str">
        <f t="shared" si="230"/>
        <v/>
      </c>
      <c r="K404" s="64" t="str">
        <f t="shared" si="231"/>
        <v/>
      </c>
      <c r="L404" s="63" t="str">
        <f t="shared" si="232"/>
        <v/>
      </c>
      <c r="M404" s="64" t="str">
        <f t="shared" si="233"/>
        <v/>
      </c>
      <c r="O404" s="63" t="str">
        <f t="shared" si="234"/>
        <v/>
      </c>
      <c r="P404" s="63" t="str">
        <f t="shared" si="235"/>
        <v/>
      </c>
      <c r="R404" s="63" t="str">
        <f t="shared" si="236"/>
        <v/>
      </c>
      <c r="S404" s="64" t="str">
        <f t="shared" si="237"/>
        <v/>
      </c>
      <c r="T404" s="38">
        <v>0</v>
      </c>
      <c r="U404" s="64" t="str">
        <f t="shared" si="238"/>
        <v/>
      </c>
      <c r="V404" s="219" t="str">
        <f>IF($A405="","",IF(AND(MONTH(A404)&gt;3,MONTH(A404)&lt;11),(T404+R404+G404)*Summary!$T$11/(1-Summary!$T$11),(T404+R404+G404)*Summary!$U$11/(1-Summary!$U$11)))</f>
        <v/>
      </c>
      <c r="W404" s="43" t="str">
        <f t="shared" si="239"/>
        <v/>
      </c>
      <c r="X404" s="43" t="str">
        <f t="shared" si="240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1"/>
        <v/>
      </c>
      <c r="AP404" s="33" t="str">
        <f t="shared" si="242"/>
        <v/>
      </c>
      <c r="AQ404" s="58" t="str">
        <f t="shared" si="243"/>
        <v/>
      </c>
      <c r="AR404" s="38">
        <f>'ANR OK vs ML7'!AR404</f>
        <v>0.1</v>
      </c>
      <c r="AS404" s="35" t="str">
        <f t="shared" si="244"/>
        <v/>
      </c>
      <c r="AT404" s="3" t="str">
        <f t="shared" si="245"/>
        <v/>
      </c>
      <c r="AU404" s="3" t="str">
        <f t="shared" si="246"/>
        <v/>
      </c>
      <c r="AW404" s="32" t="str">
        <f t="shared" si="247"/>
        <v/>
      </c>
      <c r="AX404" s="32" t="str">
        <f t="shared" si="248"/>
        <v/>
      </c>
      <c r="AY404" s="32" t="str">
        <f t="shared" si="249"/>
        <v/>
      </c>
      <c r="BA404" s="32" t="str">
        <f>IF($A405="","",F404*Summary!$Q$11)</f>
        <v/>
      </c>
    </row>
    <row r="405" spans="1:53">
      <c r="A405" s="67" t="str">
        <f t="shared" si="250"/>
        <v/>
      </c>
      <c r="B405" s="69" t="str">
        <f t="shared" si="251"/>
        <v/>
      </c>
      <c r="D405" s="69" t="str">
        <f t="shared" si="225"/>
        <v/>
      </c>
      <c r="E405" s="70" t="str">
        <f t="shared" si="226"/>
        <v/>
      </c>
      <c r="F405" s="70" t="str">
        <f t="shared" si="227"/>
        <v/>
      </c>
      <c r="G405" s="63" t="str">
        <f t="shared" si="228"/>
        <v/>
      </c>
      <c r="H405" s="64" t="str">
        <f t="shared" si="229"/>
        <v/>
      </c>
      <c r="J405" s="63" t="str">
        <f t="shared" si="230"/>
        <v/>
      </c>
      <c r="K405" s="64" t="str">
        <f t="shared" si="231"/>
        <v/>
      </c>
      <c r="L405" s="63" t="str">
        <f t="shared" si="232"/>
        <v/>
      </c>
      <c r="M405" s="64" t="str">
        <f t="shared" si="233"/>
        <v/>
      </c>
      <c r="O405" s="63" t="str">
        <f t="shared" si="234"/>
        <v/>
      </c>
      <c r="P405" s="63" t="str">
        <f t="shared" si="235"/>
        <v/>
      </c>
      <c r="R405" s="63" t="str">
        <f t="shared" si="236"/>
        <v/>
      </c>
      <c r="S405" s="64" t="str">
        <f t="shared" si="237"/>
        <v/>
      </c>
      <c r="T405" s="38">
        <v>0</v>
      </c>
      <c r="U405" s="64" t="str">
        <f t="shared" si="238"/>
        <v/>
      </c>
      <c r="V405" s="219" t="str">
        <f>IF($A406="","",IF(AND(MONTH(A405)&gt;3,MONTH(A405)&lt;11),(T405+R405+G405)*Summary!$T$11/(1-Summary!$T$11),(T405+R405+G405)*Summary!$U$11/(1-Summary!$U$11)))</f>
        <v/>
      </c>
      <c r="W405" s="43" t="str">
        <f t="shared" si="239"/>
        <v/>
      </c>
      <c r="X405" s="43" t="str">
        <f t="shared" si="240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1"/>
        <v/>
      </c>
      <c r="AP405" s="33" t="str">
        <f t="shared" si="242"/>
        <v/>
      </c>
      <c r="AQ405" s="58" t="str">
        <f t="shared" si="243"/>
        <v/>
      </c>
      <c r="AR405" s="38">
        <f>'ANR OK vs ML7'!AR405</f>
        <v>0.1</v>
      </c>
      <c r="AS405" s="35" t="str">
        <f t="shared" si="244"/>
        <v/>
      </c>
      <c r="AT405" s="3" t="str">
        <f t="shared" si="245"/>
        <v/>
      </c>
      <c r="AU405" s="3" t="str">
        <f t="shared" si="246"/>
        <v/>
      </c>
      <c r="AW405" s="32" t="str">
        <f t="shared" si="247"/>
        <v/>
      </c>
      <c r="AX405" s="32" t="str">
        <f t="shared" si="248"/>
        <v/>
      </c>
      <c r="AY405" s="32" t="str">
        <f t="shared" si="249"/>
        <v/>
      </c>
      <c r="BA405" s="32" t="str">
        <f>IF($A406="","",F405*Summary!$Q$11)</f>
        <v/>
      </c>
    </row>
    <row r="406" spans="1:53">
      <c r="A406" s="67" t="str">
        <f t="shared" si="250"/>
        <v/>
      </c>
      <c r="B406" s="69" t="str">
        <f t="shared" si="251"/>
        <v/>
      </c>
      <c r="D406" s="69" t="str">
        <f t="shared" si="225"/>
        <v/>
      </c>
      <c r="E406" s="70" t="str">
        <f t="shared" si="226"/>
        <v/>
      </c>
      <c r="F406" s="70" t="str">
        <f t="shared" si="227"/>
        <v/>
      </c>
      <c r="G406" s="63" t="str">
        <f t="shared" si="228"/>
        <v/>
      </c>
      <c r="H406" s="64" t="str">
        <f t="shared" si="229"/>
        <v/>
      </c>
      <c r="J406" s="63" t="str">
        <f t="shared" si="230"/>
        <v/>
      </c>
      <c r="K406" s="64" t="str">
        <f t="shared" si="231"/>
        <v/>
      </c>
      <c r="L406" s="63" t="str">
        <f t="shared" si="232"/>
        <v/>
      </c>
      <c r="M406" s="64" t="str">
        <f t="shared" si="233"/>
        <v/>
      </c>
      <c r="O406" s="63" t="str">
        <f t="shared" si="234"/>
        <v/>
      </c>
      <c r="P406" s="63" t="str">
        <f t="shared" si="235"/>
        <v/>
      </c>
      <c r="R406" s="63" t="str">
        <f t="shared" si="236"/>
        <v/>
      </c>
      <c r="S406" s="64" t="str">
        <f t="shared" si="237"/>
        <v/>
      </c>
      <c r="T406" s="38">
        <v>0</v>
      </c>
      <c r="U406" s="64" t="str">
        <f t="shared" si="238"/>
        <v/>
      </c>
      <c r="V406" s="219" t="str">
        <f>IF($A407="","",IF(AND(MONTH(A406)&gt;3,MONTH(A406)&lt;11),(T406+R406+G406)*Summary!$T$11/(1-Summary!$T$11),(T406+R406+G406)*Summary!$U$11/(1-Summary!$U$11)))</f>
        <v/>
      </c>
      <c r="W406" s="43" t="str">
        <f t="shared" si="239"/>
        <v/>
      </c>
      <c r="X406" s="43" t="str">
        <f t="shared" si="240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1"/>
        <v/>
      </c>
      <c r="AP406" s="33" t="str">
        <f t="shared" si="242"/>
        <v/>
      </c>
      <c r="AQ406" s="58" t="str">
        <f t="shared" si="243"/>
        <v/>
      </c>
      <c r="AR406" s="38">
        <f>'ANR OK vs ML7'!AR406</f>
        <v>0.1</v>
      </c>
      <c r="AS406" s="35" t="str">
        <f t="shared" si="244"/>
        <v/>
      </c>
      <c r="AT406" s="3" t="str">
        <f t="shared" si="245"/>
        <v/>
      </c>
      <c r="AU406" s="3" t="str">
        <f t="shared" si="246"/>
        <v/>
      </c>
      <c r="AW406" s="32" t="str">
        <f t="shared" si="247"/>
        <v/>
      </c>
      <c r="AX406" s="32" t="str">
        <f t="shared" si="248"/>
        <v/>
      </c>
      <c r="AY406" s="32" t="str">
        <f t="shared" si="249"/>
        <v/>
      </c>
      <c r="BA406" s="32" t="str">
        <f>IF($A407="","",F406*Summary!$Q$11)</f>
        <v/>
      </c>
    </row>
    <row r="407" spans="1:53">
      <c r="A407" s="67" t="str">
        <f t="shared" si="250"/>
        <v/>
      </c>
      <c r="B407" s="69" t="str">
        <f t="shared" si="251"/>
        <v/>
      </c>
      <c r="D407" s="69" t="str">
        <f t="shared" si="225"/>
        <v/>
      </c>
      <c r="E407" s="70" t="str">
        <f t="shared" si="226"/>
        <v/>
      </c>
      <c r="F407" s="70" t="str">
        <f t="shared" si="227"/>
        <v/>
      </c>
      <c r="G407" s="63" t="str">
        <f t="shared" si="228"/>
        <v/>
      </c>
      <c r="H407" s="64" t="str">
        <f t="shared" si="229"/>
        <v/>
      </c>
      <c r="J407" s="63" t="str">
        <f t="shared" si="230"/>
        <v/>
      </c>
      <c r="K407" s="64" t="str">
        <f t="shared" si="231"/>
        <v/>
      </c>
      <c r="L407" s="63" t="str">
        <f t="shared" si="232"/>
        <v/>
      </c>
      <c r="M407" s="64" t="str">
        <f t="shared" si="233"/>
        <v/>
      </c>
      <c r="O407" s="63" t="str">
        <f t="shared" si="234"/>
        <v/>
      </c>
      <c r="P407" s="63" t="str">
        <f t="shared" si="235"/>
        <v/>
      </c>
      <c r="R407" s="63" t="str">
        <f t="shared" si="236"/>
        <v/>
      </c>
      <c r="S407" s="64" t="str">
        <f t="shared" si="237"/>
        <v/>
      </c>
      <c r="T407" s="38">
        <v>0</v>
      </c>
      <c r="U407" s="64" t="str">
        <f t="shared" si="238"/>
        <v/>
      </c>
      <c r="V407" s="219" t="str">
        <f>IF($A408="","",IF(AND(MONTH(A407)&gt;3,MONTH(A407)&lt;11),(T407+R407+G407)*Summary!$T$11/(1-Summary!$T$11),(T407+R407+G407)*Summary!$U$11/(1-Summary!$U$11)))</f>
        <v/>
      </c>
      <c r="W407" s="43" t="str">
        <f t="shared" si="239"/>
        <v/>
      </c>
      <c r="X407" s="43" t="str">
        <f t="shared" si="240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1"/>
        <v/>
      </c>
      <c r="AP407" s="33" t="str">
        <f t="shared" si="242"/>
        <v/>
      </c>
      <c r="AQ407" s="58" t="str">
        <f t="shared" si="243"/>
        <v/>
      </c>
      <c r="AR407" s="38">
        <f>'ANR OK vs ML7'!AR407</f>
        <v>0.1</v>
      </c>
      <c r="AS407" s="35" t="str">
        <f t="shared" si="244"/>
        <v/>
      </c>
      <c r="AT407" s="3" t="str">
        <f t="shared" si="245"/>
        <v/>
      </c>
      <c r="AU407" s="3" t="str">
        <f t="shared" si="246"/>
        <v/>
      </c>
      <c r="AW407" s="32" t="str">
        <f t="shared" si="247"/>
        <v/>
      </c>
      <c r="AX407" s="32" t="str">
        <f t="shared" si="248"/>
        <v/>
      </c>
      <c r="AY407" s="32" t="str">
        <f t="shared" si="249"/>
        <v/>
      </c>
      <c r="BA407" s="32" t="str">
        <f>IF($A408="","",F407*Summary!$Q$11)</f>
        <v/>
      </c>
    </row>
    <row r="408" spans="1:53">
      <c r="A408" s="67" t="str">
        <f t="shared" si="250"/>
        <v/>
      </c>
      <c r="B408" s="69" t="str">
        <f t="shared" si="251"/>
        <v/>
      </c>
      <c r="D408" s="69" t="str">
        <f t="shared" si="225"/>
        <v/>
      </c>
      <c r="E408" s="70" t="str">
        <f t="shared" si="226"/>
        <v/>
      </c>
      <c r="F408" s="70" t="str">
        <f t="shared" si="227"/>
        <v/>
      </c>
      <c r="G408" s="63" t="str">
        <f t="shared" si="228"/>
        <v/>
      </c>
      <c r="H408" s="64" t="str">
        <f t="shared" si="229"/>
        <v/>
      </c>
      <c r="J408" s="63" t="str">
        <f t="shared" si="230"/>
        <v/>
      </c>
      <c r="K408" s="64" t="str">
        <f t="shared" si="231"/>
        <v/>
      </c>
      <c r="L408" s="63" t="str">
        <f t="shared" si="232"/>
        <v/>
      </c>
      <c r="M408" s="64" t="str">
        <f t="shared" si="233"/>
        <v/>
      </c>
      <c r="O408" s="63" t="str">
        <f t="shared" si="234"/>
        <v/>
      </c>
      <c r="P408" s="63" t="str">
        <f t="shared" si="235"/>
        <v/>
      </c>
      <c r="R408" s="63" t="str">
        <f t="shared" si="236"/>
        <v/>
      </c>
      <c r="S408" s="64" t="str">
        <f t="shared" si="237"/>
        <v/>
      </c>
      <c r="T408" s="38">
        <v>0</v>
      </c>
      <c r="U408" s="64" t="str">
        <f t="shared" si="238"/>
        <v/>
      </c>
      <c r="V408" s="219" t="str">
        <f>IF($A409="","",IF(AND(MONTH(A408)&gt;3,MONTH(A408)&lt;11),(T408+R408+G408)*Summary!$T$11/(1-Summary!$T$11),(T408+R408+G408)*Summary!$U$11/(1-Summary!$U$11)))</f>
        <v/>
      </c>
      <c r="W408" s="43" t="str">
        <f t="shared" si="239"/>
        <v/>
      </c>
      <c r="X408" s="43" t="str">
        <f t="shared" si="240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1"/>
        <v/>
      </c>
      <c r="AP408" s="33" t="str">
        <f t="shared" si="242"/>
        <v/>
      </c>
      <c r="AQ408" s="58" t="str">
        <f t="shared" si="243"/>
        <v/>
      </c>
      <c r="AR408" s="38">
        <f>'ANR OK vs ML7'!AR408</f>
        <v>0.1</v>
      </c>
      <c r="AS408" s="35" t="str">
        <f t="shared" si="244"/>
        <v/>
      </c>
      <c r="AT408" s="3" t="str">
        <f t="shared" si="245"/>
        <v/>
      </c>
      <c r="AU408" s="3" t="str">
        <f t="shared" si="246"/>
        <v/>
      </c>
      <c r="AW408" s="32" t="str">
        <f t="shared" si="247"/>
        <v/>
      </c>
      <c r="AX408" s="32" t="str">
        <f t="shared" si="248"/>
        <v/>
      </c>
      <c r="AY408" s="32" t="str">
        <f t="shared" si="249"/>
        <v/>
      </c>
      <c r="BA408" s="32" t="str">
        <f>IF($A409="","",F408*Summary!$Q$11)</f>
        <v/>
      </c>
    </row>
    <row r="409" spans="1:53">
      <c r="A409" s="67" t="str">
        <f t="shared" si="250"/>
        <v/>
      </c>
      <c r="B409" s="69" t="str">
        <f t="shared" si="251"/>
        <v/>
      </c>
      <c r="D409" s="69" t="str">
        <f t="shared" si="225"/>
        <v/>
      </c>
      <c r="E409" s="70" t="str">
        <f t="shared" si="226"/>
        <v/>
      </c>
      <c r="F409" s="70" t="str">
        <f t="shared" si="227"/>
        <v/>
      </c>
      <c r="G409" s="63" t="str">
        <f t="shared" si="228"/>
        <v/>
      </c>
      <c r="H409" s="64" t="str">
        <f t="shared" si="229"/>
        <v/>
      </c>
      <c r="J409" s="63" t="str">
        <f t="shared" si="230"/>
        <v/>
      </c>
      <c r="K409" s="64" t="str">
        <f t="shared" si="231"/>
        <v/>
      </c>
      <c r="L409" s="63" t="str">
        <f t="shared" si="232"/>
        <v/>
      </c>
      <c r="M409" s="64" t="str">
        <f t="shared" si="233"/>
        <v/>
      </c>
      <c r="O409" s="63" t="str">
        <f t="shared" si="234"/>
        <v/>
      </c>
      <c r="P409" s="63" t="str">
        <f t="shared" si="235"/>
        <v/>
      </c>
      <c r="R409" s="63" t="str">
        <f t="shared" si="236"/>
        <v/>
      </c>
      <c r="S409" s="64" t="str">
        <f t="shared" si="237"/>
        <v/>
      </c>
      <c r="T409" s="38">
        <v>0</v>
      </c>
      <c r="U409" s="64" t="str">
        <f t="shared" si="238"/>
        <v/>
      </c>
      <c r="V409" s="219" t="str">
        <f>IF($A410="","",IF(AND(MONTH(A409)&gt;3,MONTH(A409)&lt;11),(T409+R409+G409)*Summary!$T$11/(1-Summary!$T$11),(T409+R409+G409)*Summary!$U$11/(1-Summary!$U$11)))</f>
        <v/>
      </c>
      <c r="W409" s="43" t="str">
        <f t="shared" si="239"/>
        <v/>
      </c>
      <c r="X409" s="43" t="str">
        <f t="shared" si="240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1"/>
        <v/>
      </c>
      <c r="AP409" s="33" t="str">
        <f t="shared" si="242"/>
        <v/>
      </c>
      <c r="AQ409" s="58" t="str">
        <f t="shared" si="243"/>
        <v/>
      </c>
      <c r="AR409" s="38">
        <f>'ANR OK vs ML7'!AR409</f>
        <v>0.1</v>
      </c>
      <c r="AS409" s="35" t="str">
        <f t="shared" si="244"/>
        <v/>
      </c>
      <c r="AT409" s="3" t="str">
        <f t="shared" si="245"/>
        <v/>
      </c>
      <c r="AU409" s="3" t="str">
        <f t="shared" si="246"/>
        <v/>
      </c>
      <c r="AW409" s="32" t="str">
        <f t="shared" si="247"/>
        <v/>
      </c>
      <c r="AX409" s="32" t="str">
        <f t="shared" si="248"/>
        <v/>
      </c>
      <c r="AY409" s="32" t="str">
        <f t="shared" si="249"/>
        <v/>
      </c>
      <c r="BA409" s="32" t="str">
        <f>IF($A410="","",F409*Summary!$Q$11)</f>
        <v/>
      </c>
    </row>
    <row r="410" spans="1:53">
      <c r="A410" s="67" t="str">
        <f t="shared" si="250"/>
        <v/>
      </c>
      <c r="B410" s="69" t="str">
        <f t="shared" si="251"/>
        <v/>
      </c>
      <c r="D410" s="69" t="str">
        <f t="shared" si="225"/>
        <v/>
      </c>
      <c r="E410" s="70" t="str">
        <f t="shared" si="226"/>
        <v/>
      </c>
      <c r="F410" s="70" t="str">
        <f t="shared" si="227"/>
        <v/>
      </c>
      <c r="G410" s="63" t="str">
        <f t="shared" si="228"/>
        <v/>
      </c>
      <c r="H410" s="64" t="str">
        <f t="shared" si="229"/>
        <v/>
      </c>
      <c r="J410" s="63" t="str">
        <f t="shared" si="230"/>
        <v/>
      </c>
      <c r="K410" s="64" t="str">
        <f t="shared" si="231"/>
        <v/>
      </c>
      <c r="L410" s="63" t="str">
        <f t="shared" si="232"/>
        <v/>
      </c>
      <c r="M410" s="64" t="str">
        <f t="shared" si="233"/>
        <v/>
      </c>
      <c r="O410" s="63" t="str">
        <f t="shared" si="234"/>
        <v/>
      </c>
      <c r="P410" s="63" t="str">
        <f t="shared" si="235"/>
        <v/>
      </c>
      <c r="R410" s="63" t="str">
        <f t="shared" si="236"/>
        <v/>
      </c>
      <c r="S410" s="64" t="str">
        <f t="shared" si="237"/>
        <v/>
      </c>
      <c r="T410" s="38">
        <v>0</v>
      </c>
      <c r="U410" s="64" t="str">
        <f t="shared" si="238"/>
        <v/>
      </c>
      <c r="V410" s="219" t="str">
        <f>IF($A411="","",IF(AND(MONTH(A410)&gt;3,MONTH(A410)&lt;11),(T410+R410+G410)*Summary!$T$11/(1-Summary!$T$11),(T410+R410+G410)*Summary!$U$11/(1-Summary!$U$11)))</f>
        <v/>
      </c>
      <c r="W410" s="43" t="str">
        <f t="shared" si="239"/>
        <v/>
      </c>
      <c r="X410" s="43" t="str">
        <f t="shared" si="240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1"/>
        <v/>
      </c>
      <c r="AP410" s="33" t="str">
        <f t="shared" si="242"/>
        <v/>
      </c>
      <c r="AQ410" s="58" t="str">
        <f t="shared" si="243"/>
        <v/>
      </c>
      <c r="AR410" s="38">
        <f>'ANR OK vs ML7'!AR410</f>
        <v>0.1</v>
      </c>
      <c r="AS410" s="35" t="str">
        <f t="shared" si="244"/>
        <v/>
      </c>
      <c r="AT410" s="3" t="str">
        <f t="shared" si="245"/>
        <v/>
      </c>
      <c r="AU410" s="3" t="str">
        <f t="shared" si="246"/>
        <v/>
      </c>
      <c r="AW410" s="32" t="str">
        <f t="shared" si="247"/>
        <v/>
      </c>
      <c r="AX410" s="32" t="str">
        <f t="shared" si="248"/>
        <v/>
      </c>
      <c r="AY410" s="32" t="str">
        <f t="shared" si="249"/>
        <v/>
      </c>
      <c r="BA410" s="32" t="str">
        <f>IF($A411="","",F410*Summary!$Q$11)</f>
        <v/>
      </c>
    </row>
    <row r="411" spans="1:53">
      <c r="A411" s="67" t="str">
        <f t="shared" si="250"/>
        <v/>
      </c>
      <c r="B411" s="69" t="str">
        <f t="shared" si="251"/>
        <v/>
      </c>
      <c r="D411" s="69" t="str">
        <f t="shared" si="225"/>
        <v/>
      </c>
      <c r="E411" s="70" t="str">
        <f t="shared" si="226"/>
        <v/>
      </c>
      <c r="F411" s="70" t="str">
        <f t="shared" si="227"/>
        <v/>
      </c>
      <c r="G411" s="63" t="str">
        <f t="shared" si="228"/>
        <v/>
      </c>
      <c r="H411" s="64" t="str">
        <f t="shared" si="229"/>
        <v/>
      </c>
      <c r="J411" s="63" t="str">
        <f t="shared" si="230"/>
        <v/>
      </c>
      <c r="K411" s="64" t="str">
        <f t="shared" si="231"/>
        <v/>
      </c>
      <c r="L411" s="63" t="str">
        <f t="shared" si="232"/>
        <v/>
      </c>
      <c r="M411" s="64" t="str">
        <f t="shared" si="233"/>
        <v/>
      </c>
      <c r="O411" s="63" t="str">
        <f t="shared" si="234"/>
        <v/>
      </c>
      <c r="P411" s="63" t="str">
        <f t="shared" si="235"/>
        <v/>
      </c>
      <c r="R411" s="63" t="str">
        <f t="shared" si="236"/>
        <v/>
      </c>
      <c r="S411" s="64" t="str">
        <f t="shared" si="237"/>
        <v/>
      </c>
      <c r="T411" s="38">
        <v>0</v>
      </c>
      <c r="U411" s="64" t="str">
        <f t="shared" si="238"/>
        <v/>
      </c>
      <c r="V411" s="219" t="str">
        <f>IF($A412="","",IF(AND(MONTH(A411)&gt;3,MONTH(A411)&lt;11),(T411+R411+G411)*Summary!$T$11/(1-Summary!$T$11),(T411+R411+G411)*Summary!$U$11/(1-Summary!$U$11)))</f>
        <v/>
      </c>
      <c r="W411" s="43" t="str">
        <f t="shared" si="239"/>
        <v/>
      </c>
      <c r="X411" s="43" t="str">
        <f t="shared" si="240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1"/>
        <v/>
      </c>
      <c r="AP411" s="33" t="str">
        <f t="shared" si="242"/>
        <v/>
      </c>
      <c r="AQ411" s="58" t="str">
        <f t="shared" si="243"/>
        <v/>
      </c>
      <c r="AR411" s="38">
        <f>'ANR OK vs ML7'!AR411</f>
        <v>0.1</v>
      </c>
      <c r="AS411" s="35" t="str">
        <f t="shared" si="244"/>
        <v/>
      </c>
      <c r="AT411" s="3" t="str">
        <f t="shared" si="245"/>
        <v/>
      </c>
      <c r="AU411" s="3" t="str">
        <f t="shared" si="246"/>
        <v/>
      </c>
      <c r="AW411" s="32" t="str">
        <f t="shared" si="247"/>
        <v/>
      </c>
      <c r="AX411" s="32" t="str">
        <f t="shared" si="248"/>
        <v/>
      </c>
      <c r="AY411" s="32" t="str">
        <f t="shared" si="249"/>
        <v/>
      </c>
      <c r="BA411" s="32" t="str">
        <f>IF($A412="","",F411*Summary!$Q$11)</f>
        <v/>
      </c>
    </row>
    <row r="412" spans="1:53">
      <c r="A412" s="67" t="str">
        <f t="shared" si="250"/>
        <v/>
      </c>
      <c r="B412" s="69" t="str">
        <f t="shared" si="251"/>
        <v/>
      </c>
      <c r="D412" s="69" t="str">
        <f t="shared" si="225"/>
        <v/>
      </c>
      <c r="E412" s="70" t="str">
        <f t="shared" si="226"/>
        <v/>
      </c>
      <c r="F412" s="70" t="str">
        <f t="shared" si="227"/>
        <v/>
      </c>
      <c r="G412" s="63" t="str">
        <f t="shared" si="228"/>
        <v/>
      </c>
      <c r="H412" s="64" t="str">
        <f t="shared" si="229"/>
        <v/>
      </c>
      <c r="J412" s="63" t="str">
        <f t="shared" si="230"/>
        <v/>
      </c>
      <c r="K412" s="64" t="str">
        <f t="shared" si="231"/>
        <v/>
      </c>
      <c r="L412" s="63" t="str">
        <f t="shared" si="232"/>
        <v/>
      </c>
      <c r="M412" s="64" t="str">
        <f t="shared" si="233"/>
        <v/>
      </c>
      <c r="O412" s="63" t="str">
        <f t="shared" si="234"/>
        <v/>
      </c>
      <c r="P412" s="63" t="str">
        <f t="shared" si="235"/>
        <v/>
      </c>
      <c r="R412" s="63" t="str">
        <f t="shared" si="236"/>
        <v/>
      </c>
      <c r="S412" s="64" t="str">
        <f t="shared" si="237"/>
        <v/>
      </c>
      <c r="T412" s="38">
        <v>0</v>
      </c>
      <c r="U412" s="64" t="str">
        <f t="shared" si="238"/>
        <v/>
      </c>
      <c r="V412" s="219" t="str">
        <f>IF($A413="","",IF(AND(MONTH(A412)&gt;3,MONTH(A412)&lt;11),(T412+R412+G412)*Summary!$T$11/(1-Summary!$T$11),(T412+R412+G412)*Summary!$U$11/(1-Summary!$U$11)))</f>
        <v/>
      </c>
      <c r="W412" s="43" t="str">
        <f t="shared" si="239"/>
        <v/>
      </c>
      <c r="X412" s="43" t="str">
        <f t="shared" si="240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1"/>
        <v/>
      </c>
      <c r="AP412" s="33" t="str">
        <f t="shared" si="242"/>
        <v/>
      </c>
      <c r="AQ412" s="58" t="str">
        <f t="shared" si="243"/>
        <v/>
      </c>
      <c r="AR412" s="38">
        <f>'ANR OK vs ML7'!AR412</f>
        <v>0.1</v>
      </c>
      <c r="AS412" s="35" t="str">
        <f t="shared" si="244"/>
        <v/>
      </c>
      <c r="AT412" s="3" t="str">
        <f t="shared" si="245"/>
        <v/>
      </c>
      <c r="AU412" s="3" t="str">
        <f t="shared" si="246"/>
        <v/>
      </c>
      <c r="AW412" s="32" t="str">
        <f t="shared" si="247"/>
        <v/>
      </c>
      <c r="AX412" s="32" t="str">
        <f t="shared" si="248"/>
        <v/>
      </c>
      <c r="AY412" s="32" t="str">
        <f t="shared" si="249"/>
        <v/>
      </c>
      <c r="BA412" s="32" t="str">
        <f>IF($A413="","",F412*Summary!$Q$11)</f>
        <v/>
      </c>
    </row>
    <row r="413" spans="1:53">
      <c r="A413" s="67" t="str">
        <f t="shared" si="250"/>
        <v/>
      </c>
      <c r="B413" s="69" t="str">
        <f t="shared" si="251"/>
        <v/>
      </c>
      <c r="D413" s="69" t="str">
        <f t="shared" si="225"/>
        <v/>
      </c>
      <c r="E413" s="70" t="str">
        <f t="shared" si="226"/>
        <v/>
      </c>
      <c r="F413" s="70" t="str">
        <f t="shared" si="227"/>
        <v/>
      </c>
      <c r="G413" s="63" t="str">
        <f t="shared" si="228"/>
        <v/>
      </c>
      <c r="H413" s="64" t="str">
        <f t="shared" si="229"/>
        <v/>
      </c>
      <c r="J413" s="63" t="str">
        <f t="shared" si="230"/>
        <v/>
      </c>
      <c r="K413" s="64" t="str">
        <f t="shared" si="231"/>
        <v/>
      </c>
      <c r="L413" s="63" t="str">
        <f t="shared" si="232"/>
        <v/>
      </c>
      <c r="M413" s="64" t="str">
        <f t="shared" si="233"/>
        <v/>
      </c>
      <c r="O413" s="63" t="str">
        <f t="shared" si="234"/>
        <v/>
      </c>
      <c r="P413" s="63" t="str">
        <f t="shared" si="235"/>
        <v/>
      </c>
      <c r="R413" s="63" t="str">
        <f t="shared" si="236"/>
        <v/>
      </c>
      <c r="S413" s="64" t="str">
        <f t="shared" si="237"/>
        <v/>
      </c>
      <c r="T413" s="38">
        <v>0</v>
      </c>
      <c r="U413" s="64" t="str">
        <f t="shared" si="238"/>
        <v/>
      </c>
      <c r="V413" s="219" t="str">
        <f>IF($A414="","",IF(AND(MONTH(A413)&gt;3,MONTH(A413)&lt;11),(T413+R413+G413)*Summary!$T$11/(1-Summary!$T$11),(T413+R413+G413)*Summary!$U$11/(1-Summary!$U$11)))</f>
        <v/>
      </c>
      <c r="W413" s="43" t="str">
        <f t="shared" si="239"/>
        <v/>
      </c>
      <c r="X413" s="43" t="str">
        <f t="shared" si="240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1"/>
        <v/>
      </c>
      <c r="AP413" s="33" t="str">
        <f t="shared" si="242"/>
        <v/>
      </c>
      <c r="AQ413" s="58" t="str">
        <f t="shared" si="243"/>
        <v/>
      </c>
      <c r="AR413" s="38">
        <f>'ANR OK vs ML7'!AR413</f>
        <v>0.1</v>
      </c>
      <c r="AS413" s="35" t="str">
        <f t="shared" si="244"/>
        <v/>
      </c>
      <c r="AT413" s="3" t="str">
        <f t="shared" si="245"/>
        <v/>
      </c>
      <c r="AU413" s="3" t="str">
        <f t="shared" si="246"/>
        <v/>
      </c>
      <c r="AW413" s="32" t="str">
        <f t="shared" si="247"/>
        <v/>
      </c>
      <c r="AX413" s="32" t="str">
        <f t="shared" si="248"/>
        <v/>
      </c>
      <c r="AY413" s="32" t="str">
        <f t="shared" si="249"/>
        <v/>
      </c>
      <c r="BA413" s="32" t="str">
        <f>IF($A414="","",F413*Summary!$Q$11)</f>
        <v/>
      </c>
    </row>
    <row r="414" spans="1:53">
      <c r="A414" s="67" t="str">
        <f t="shared" si="250"/>
        <v/>
      </c>
      <c r="B414" s="69" t="str">
        <f t="shared" si="251"/>
        <v/>
      </c>
      <c r="D414" s="69" t="str">
        <f t="shared" si="225"/>
        <v/>
      </c>
      <c r="E414" s="70" t="str">
        <f t="shared" si="226"/>
        <v/>
      </c>
      <c r="F414" s="70" t="str">
        <f t="shared" si="227"/>
        <v/>
      </c>
      <c r="G414" s="63" t="str">
        <f t="shared" si="228"/>
        <v/>
      </c>
      <c r="H414" s="64" t="str">
        <f t="shared" si="229"/>
        <v/>
      </c>
      <c r="J414" s="63" t="str">
        <f t="shared" si="230"/>
        <v/>
      </c>
      <c r="K414" s="64" t="str">
        <f t="shared" si="231"/>
        <v/>
      </c>
      <c r="L414" s="63" t="str">
        <f t="shared" si="232"/>
        <v/>
      </c>
      <c r="M414" s="64" t="str">
        <f t="shared" si="233"/>
        <v/>
      </c>
      <c r="O414" s="63" t="str">
        <f t="shared" si="234"/>
        <v/>
      </c>
      <c r="P414" s="63" t="str">
        <f t="shared" si="235"/>
        <v/>
      </c>
      <c r="R414" s="63" t="str">
        <f t="shared" si="236"/>
        <v/>
      </c>
      <c r="S414" s="64" t="str">
        <f t="shared" si="237"/>
        <v/>
      </c>
      <c r="T414" s="38">
        <v>0</v>
      </c>
      <c r="U414" s="64" t="str">
        <f t="shared" si="238"/>
        <v/>
      </c>
      <c r="V414" s="219" t="str">
        <f>IF($A415="","",IF(AND(MONTH(A414)&gt;3,MONTH(A414)&lt;11),(T414+R414+G414)*Summary!$T$11/(1-Summary!$T$11),(T414+R414+G414)*Summary!$U$11/(1-Summary!$U$11)))</f>
        <v/>
      </c>
      <c r="W414" s="43" t="str">
        <f t="shared" si="239"/>
        <v/>
      </c>
      <c r="X414" s="43" t="str">
        <f t="shared" si="240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1"/>
        <v/>
      </c>
      <c r="AP414" s="33" t="str">
        <f t="shared" si="242"/>
        <v/>
      </c>
      <c r="AQ414" s="58" t="str">
        <f t="shared" si="243"/>
        <v/>
      </c>
      <c r="AR414" s="38">
        <f>'ANR OK vs ML7'!AR414</f>
        <v>0.1</v>
      </c>
      <c r="AS414" s="35" t="str">
        <f t="shared" si="244"/>
        <v/>
      </c>
      <c r="AT414" s="3" t="str">
        <f t="shared" si="245"/>
        <v/>
      </c>
      <c r="AU414" s="3" t="str">
        <f t="shared" si="246"/>
        <v/>
      </c>
      <c r="AW414" s="32" t="str">
        <f t="shared" si="247"/>
        <v/>
      </c>
      <c r="AX414" s="32" t="str">
        <f t="shared" si="248"/>
        <v/>
      </c>
      <c r="AY414" s="32" t="str">
        <f t="shared" si="249"/>
        <v/>
      </c>
      <c r="BA414" s="32" t="str">
        <f>IF($A415="","",F414*Summary!$Q$11)</f>
        <v/>
      </c>
    </row>
    <row r="415" spans="1:53">
      <c r="A415" s="67" t="str">
        <f t="shared" si="250"/>
        <v/>
      </c>
      <c r="B415" s="69" t="str">
        <f t="shared" si="251"/>
        <v/>
      </c>
      <c r="D415" s="69" t="str">
        <f t="shared" si="225"/>
        <v/>
      </c>
      <c r="E415" s="70" t="str">
        <f t="shared" si="226"/>
        <v/>
      </c>
      <c r="F415" s="70" t="str">
        <f t="shared" si="227"/>
        <v/>
      </c>
      <c r="G415" s="63" t="str">
        <f t="shared" si="228"/>
        <v/>
      </c>
      <c r="H415" s="64" t="str">
        <f t="shared" si="229"/>
        <v/>
      </c>
      <c r="J415" s="63" t="str">
        <f t="shared" si="230"/>
        <v/>
      </c>
      <c r="K415" s="64" t="str">
        <f t="shared" si="231"/>
        <v/>
      </c>
      <c r="L415" s="63" t="str">
        <f t="shared" si="232"/>
        <v/>
      </c>
      <c r="M415" s="64" t="str">
        <f t="shared" si="233"/>
        <v/>
      </c>
      <c r="O415" s="63" t="str">
        <f t="shared" si="234"/>
        <v/>
      </c>
      <c r="P415" s="63" t="str">
        <f t="shared" si="235"/>
        <v/>
      </c>
      <c r="R415" s="63" t="str">
        <f t="shared" si="236"/>
        <v/>
      </c>
      <c r="S415" s="64" t="str">
        <f t="shared" si="237"/>
        <v/>
      </c>
      <c r="T415" s="38">
        <v>0</v>
      </c>
      <c r="U415" s="64" t="str">
        <f t="shared" si="238"/>
        <v/>
      </c>
      <c r="V415" s="219" t="str">
        <f>IF($A416="","",IF(AND(MONTH(A415)&gt;3,MONTH(A415)&lt;11),(T415+R415+G415)*Summary!$T$11/(1-Summary!$T$11),(T415+R415+G415)*Summary!$U$11/(1-Summary!$U$11)))</f>
        <v/>
      </c>
      <c r="W415" s="43" t="str">
        <f t="shared" si="239"/>
        <v/>
      </c>
      <c r="X415" s="43" t="str">
        <f t="shared" si="240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1"/>
        <v/>
      </c>
      <c r="AP415" s="33" t="str">
        <f t="shared" si="242"/>
        <v/>
      </c>
      <c r="AQ415" s="58" t="str">
        <f t="shared" si="243"/>
        <v/>
      </c>
      <c r="AR415" s="38">
        <f>'ANR OK vs ML7'!AR415</f>
        <v>0.1</v>
      </c>
      <c r="AS415" s="35" t="str">
        <f t="shared" si="244"/>
        <v/>
      </c>
      <c r="AT415" s="3" t="str">
        <f t="shared" si="245"/>
        <v/>
      </c>
      <c r="AU415" s="3" t="str">
        <f t="shared" si="246"/>
        <v/>
      </c>
      <c r="AW415" s="32" t="str">
        <f t="shared" si="247"/>
        <v/>
      </c>
      <c r="AX415" s="32" t="str">
        <f t="shared" si="248"/>
        <v/>
      </c>
      <c r="AY415" s="32" t="str">
        <f t="shared" si="249"/>
        <v/>
      </c>
      <c r="BA415" s="32" t="str">
        <f>IF($A416="","",F415*Summary!$Q$11)</f>
        <v/>
      </c>
    </row>
    <row r="416" spans="1:53">
      <c r="A416" s="67" t="str">
        <f t="shared" si="250"/>
        <v/>
      </c>
      <c r="B416" s="69" t="str">
        <f t="shared" si="251"/>
        <v/>
      </c>
      <c r="D416" s="69" t="str">
        <f t="shared" si="225"/>
        <v/>
      </c>
      <c r="E416" s="70" t="str">
        <f t="shared" si="226"/>
        <v/>
      </c>
      <c r="F416" s="70" t="str">
        <f t="shared" si="227"/>
        <v/>
      </c>
      <c r="G416" s="63" t="str">
        <f t="shared" si="228"/>
        <v/>
      </c>
      <c r="H416" s="64" t="str">
        <f t="shared" si="229"/>
        <v/>
      </c>
      <c r="J416" s="63" t="str">
        <f t="shared" si="230"/>
        <v/>
      </c>
      <c r="K416" s="64" t="str">
        <f t="shared" si="231"/>
        <v/>
      </c>
      <c r="L416" s="63" t="str">
        <f t="shared" si="232"/>
        <v/>
      </c>
      <c r="M416" s="64" t="str">
        <f t="shared" si="233"/>
        <v/>
      </c>
      <c r="O416" s="63" t="str">
        <f t="shared" si="234"/>
        <v/>
      </c>
      <c r="P416" s="63" t="str">
        <f t="shared" si="235"/>
        <v/>
      </c>
      <c r="R416" s="63" t="str">
        <f t="shared" si="236"/>
        <v/>
      </c>
      <c r="S416" s="64" t="str">
        <f t="shared" si="237"/>
        <v/>
      </c>
      <c r="T416" s="38">
        <v>0</v>
      </c>
      <c r="U416" s="64" t="str">
        <f t="shared" si="238"/>
        <v/>
      </c>
      <c r="V416" s="219" t="str">
        <f>IF($A417="","",IF(AND(MONTH(A416)&gt;3,MONTH(A416)&lt;11),(T416+R416+G416)*Summary!$T$11/(1-Summary!$T$11),(T416+R416+G416)*Summary!$U$11/(1-Summary!$U$11)))</f>
        <v/>
      </c>
      <c r="W416" s="43" t="str">
        <f t="shared" si="239"/>
        <v/>
      </c>
      <c r="X416" s="43" t="str">
        <f t="shared" si="240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1"/>
        <v/>
      </c>
      <c r="AP416" s="33" t="str">
        <f t="shared" si="242"/>
        <v/>
      </c>
      <c r="AQ416" s="58" t="str">
        <f t="shared" si="243"/>
        <v/>
      </c>
      <c r="AR416" s="38">
        <f>'ANR OK vs ML7'!AR416</f>
        <v>0.1</v>
      </c>
      <c r="AS416" s="35" t="str">
        <f t="shared" si="244"/>
        <v/>
      </c>
      <c r="AT416" s="3" t="str">
        <f t="shared" si="245"/>
        <v/>
      </c>
      <c r="AU416" s="3" t="str">
        <f t="shared" si="246"/>
        <v/>
      </c>
      <c r="AW416" s="32" t="str">
        <f t="shared" si="247"/>
        <v/>
      </c>
      <c r="AX416" s="32" t="str">
        <f t="shared" si="248"/>
        <v/>
      </c>
      <c r="AY416" s="32" t="str">
        <f t="shared" si="249"/>
        <v/>
      </c>
      <c r="BA416" s="32" t="str">
        <f>IF($A417="","",F416*Summary!$Q$11)</f>
        <v/>
      </c>
    </row>
    <row r="417" spans="1:53">
      <c r="A417" s="67" t="str">
        <f t="shared" si="250"/>
        <v/>
      </c>
      <c r="B417" s="69" t="str">
        <f t="shared" si="251"/>
        <v/>
      </c>
      <c r="D417" s="69" t="str">
        <f t="shared" si="225"/>
        <v/>
      </c>
      <c r="E417" s="70" t="str">
        <f t="shared" si="226"/>
        <v/>
      </c>
      <c r="F417" s="70" t="str">
        <f t="shared" si="227"/>
        <v/>
      </c>
      <c r="G417" s="63" t="str">
        <f t="shared" si="228"/>
        <v/>
      </c>
      <c r="H417" s="64" t="str">
        <f t="shared" si="229"/>
        <v/>
      </c>
      <c r="J417" s="63" t="str">
        <f t="shared" si="230"/>
        <v/>
      </c>
      <c r="K417" s="64" t="str">
        <f t="shared" si="231"/>
        <v/>
      </c>
      <c r="L417" s="63" t="str">
        <f t="shared" si="232"/>
        <v/>
      </c>
      <c r="M417" s="64" t="str">
        <f t="shared" si="233"/>
        <v/>
      </c>
      <c r="O417" s="63" t="str">
        <f t="shared" si="234"/>
        <v/>
      </c>
      <c r="P417" s="63" t="str">
        <f t="shared" si="235"/>
        <v/>
      </c>
      <c r="R417" s="63" t="str">
        <f t="shared" si="236"/>
        <v/>
      </c>
      <c r="S417" s="64" t="str">
        <f t="shared" si="237"/>
        <v/>
      </c>
      <c r="T417" s="38">
        <v>0</v>
      </c>
      <c r="U417" s="64" t="str">
        <f t="shared" si="238"/>
        <v/>
      </c>
      <c r="V417" s="219" t="str">
        <f>IF($A418="","",IF(AND(MONTH(A417)&gt;3,MONTH(A417)&lt;11),(T417+R417+G417)*Summary!$T$11/(1-Summary!$T$11),(T417+R417+G417)*Summary!$U$11/(1-Summary!$U$11)))</f>
        <v/>
      </c>
      <c r="W417" s="43" t="str">
        <f t="shared" si="239"/>
        <v/>
      </c>
      <c r="X417" s="43" t="str">
        <f t="shared" si="240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1"/>
        <v/>
      </c>
      <c r="AP417" s="33" t="str">
        <f t="shared" si="242"/>
        <v/>
      </c>
      <c r="AQ417" s="58" t="str">
        <f t="shared" si="243"/>
        <v/>
      </c>
      <c r="AR417" s="38">
        <f>'ANR OK vs ML7'!AR417</f>
        <v>0.1</v>
      </c>
      <c r="AS417" s="35" t="str">
        <f t="shared" si="244"/>
        <v/>
      </c>
      <c r="AT417" s="3" t="str">
        <f t="shared" si="245"/>
        <v/>
      </c>
      <c r="AU417" s="3" t="str">
        <f t="shared" si="246"/>
        <v/>
      </c>
      <c r="AW417" s="32" t="str">
        <f t="shared" si="247"/>
        <v/>
      </c>
      <c r="AX417" s="32" t="str">
        <f t="shared" si="248"/>
        <v/>
      </c>
      <c r="AY417" s="32" t="str">
        <f t="shared" si="249"/>
        <v/>
      </c>
      <c r="BA417" s="32" t="str">
        <f>IF($A418="","",F417*Summary!$Q$11)</f>
        <v/>
      </c>
    </row>
    <row r="418" spans="1:53">
      <c r="A418" s="67" t="str">
        <f t="shared" si="250"/>
        <v/>
      </c>
      <c r="B418" s="69" t="str">
        <f t="shared" si="251"/>
        <v/>
      </c>
      <c r="D418" s="69" t="str">
        <f t="shared" si="225"/>
        <v/>
      </c>
      <c r="E418" s="70" t="str">
        <f t="shared" si="226"/>
        <v/>
      </c>
      <c r="F418" s="70" t="str">
        <f t="shared" si="227"/>
        <v/>
      </c>
      <c r="G418" s="63" t="str">
        <f t="shared" si="228"/>
        <v/>
      </c>
      <c r="H418" s="64" t="str">
        <f t="shared" si="229"/>
        <v/>
      </c>
      <c r="J418" s="63" t="str">
        <f t="shared" si="230"/>
        <v/>
      </c>
      <c r="K418" s="64" t="str">
        <f t="shared" si="231"/>
        <v/>
      </c>
      <c r="L418" s="63" t="str">
        <f t="shared" si="232"/>
        <v/>
      </c>
      <c r="M418" s="64" t="str">
        <f t="shared" si="233"/>
        <v/>
      </c>
      <c r="O418" s="63" t="str">
        <f t="shared" si="234"/>
        <v/>
      </c>
      <c r="P418" s="63" t="str">
        <f t="shared" si="235"/>
        <v/>
      </c>
      <c r="R418" s="63" t="str">
        <f t="shared" si="236"/>
        <v/>
      </c>
      <c r="S418" s="64" t="str">
        <f t="shared" si="237"/>
        <v/>
      </c>
      <c r="T418" s="38">
        <v>0</v>
      </c>
      <c r="U418" s="64" t="str">
        <f t="shared" si="238"/>
        <v/>
      </c>
      <c r="V418" s="219" t="str">
        <f>IF($A419="","",IF(AND(MONTH(A418)&gt;3,MONTH(A418)&lt;11),(T418+R418+G418)*Summary!$T$11/(1-Summary!$T$11),(T418+R418+G418)*Summary!$U$11/(1-Summary!$U$11)))</f>
        <v/>
      </c>
      <c r="W418" s="43" t="str">
        <f t="shared" si="239"/>
        <v/>
      </c>
      <c r="X418" s="43" t="str">
        <f t="shared" si="240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1"/>
        <v/>
      </c>
      <c r="AP418" s="33" t="str">
        <f t="shared" si="242"/>
        <v/>
      </c>
      <c r="AQ418" s="58" t="str">
        <f t="shared" si="243"/>
        <v/>
      </c>
      <c r="AR418" s="38">
        <f>'ANR OK vs ML7'!AR418</f>
        <v>0.1</v>
      </c>
      <c r="AS418" s="35" t="str">
        <f t="shared" si="244"/>
        <v/>
      </c>
      <c r="AT418" s="3" t="str">
        <f t="shared" si="245"/>
        <v/>
      </c>
      <c r="AU418" s="3" t="str">
        <f t="shared" si="246"/>
        <v/>
      </c>
      <c r="AW418" s="32" t="str">
        <f t="shared" si="247"/>
        <v/>
      </c>
      <c r="AX418" s="32" t="str">
        <f t="shared" si="248"/>
        <v/>
      </c>
      <c r="AY418" s="32" t="str">
        <f t="shared" si="249"/>
        <v/>
      </c>
      <c r="BA418" s="32" t="str">
        <f>IF($A419="","",F418*Summary!$Q$11)</f>
        <v/>
      </c>
    </row>
    <row r="419" spans="1:53">
      <c r="A419" s="67" t="str">
        <f t="shared" si="250"/>
        <v/>
      </c>
      <c r="B419" s="69" t="str">
        <f t="shared" si="251"/>
        <v/>
      </c>
      <c r="D419" s="69" t="str">
        <f t="shared" si="225"/>
        <v/>
      </c>
      <c r="E419" s="70" t="str">
        <f t="shared" si="226"/>
        <v/>
      </c>
      <c r="F419" s="70" t="str">
        <f t="shared" si="227"/>
        <v/>
      </c>
      <c r="G419" s="63" t="str">
        <f t="shared" si="228"/>
        <v/>
      </c>
      <c r="H419" s="64" t="str">
        <f t="shared" si="229"/>
        <v/>
      </c>
      <c r="J419" s="63" t="str">
        <f t="shared" si="230"/>
        <v/>
      </c>
      <c r="K419" s="64" t="str">
        <f t="shared" si="231"/>
        <v/>
      </c>
      <c r="L419" s="63" t="str">
        <f t="shared" si="232"/>
        <v/>
      </c>
      <c r="M419" s="64" t="str">
        <f t="shared" si="233"/>
        <v/>
      </c>
      <c r="O419" s="63" t="str">
        <f t="shared" si="234"/>
        <v/>
      </c>
      <c r="P419" s="63" t="str">
        <f t="shared" si="235"/>
        <v/>
      </c>
      <c r="R419" s="63" t="str">
        <f t="shared" si="236"/>
        <v/>
      </c>
      <c r="S419" s="64" t="str">
        <f t="shared" si="237"/>
        <v/>
      </c>
      <c r="T419" s="38">
        <v>0</v>
      </c>
      <c r="U419" s="64" t="str">
        <f t="shared" si="238"/>
        <v/>
      </c>
      <c r="V419" s="219" t="str">
        <f>IF($A420="","",IF(AND(MONTH(A419)&gt;3,MONTH(A419)&lt;11),(T419+R419+G419)*Summary!$T$11/(1-Summary!$T$11),(T419+R419+G419)*Summary!$U$11/(1-Summary!$U$11)))</f>
        <v/>
      </c>
      <c r="W419" s="43" t="str">
        <f t="shared" si="239"/>
        <v/>
      </c>
      <c r="X419" s="43" t="str">
        <f t="shared" si="240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1"/>
        <v/>
      </c>
      <c r="AP419" s="33" t="str">
        <f t="shared" si="242"/>
        <v/>
      </c>
      <c r="AQ419" s="58" t="str">
        <f t="shared" si="243"/>
        <v/>
      </c>
      <c r="AR419" s="38">
        <f>'ANR OK vs ML7'!AR419</f>
        <v>0.1</v>
      </c>
      <c r="AS419" s="35" t="str">
        <f t="shared" si="244"/>
        <v/>
      </c>
      <c r="AT419" s="3" t="str">
        <f t="shared" si="245"/>
        <v/>
      </c>
      <c r="AU419" s="3" t="str">
        <f t="shared" si="246"/>
        <v/>
      </c>
      <c r="AW419" s="32" t="str">
        <f t="shared" si="247"/>
        <v/>
      </c>
      <c r="AX419" s="32" t="str">
        <f t="shared" si="248"/>
        <v/>
      </c>
      <c r="AY419" s="32" t="str">
        <f t="shared" si="249"/>
        <v/>
      </c>
      <c r="BA419" s="32" t="str">
        <f>IF($A420="","",F419*Summary!$Q$11)</f>
        <v/>
      </c>
    </row>
    <row r="420" spans="1:53">
      <c r="A420" s="67" t="str">
        <f t="shared" si="250"/>
        <v/>
      </c>
      <c r="B420" s="69" t="str">
        <f t="shared" si="251"/>
        <v/>
      </c>
      <c r="D420" s="69" t="str">
        <f t="shared" si="225"/>
        <v/>
      </c>
      <c r="E420" s="70" t="str">
        <f t="shared" si="226"/>
        <v/>
      </c>
      <c r="F420" s="70" t="str">
        <f t="shared" si="227"/>
        <v/>
      </c>
      <c r="G420" s="63" t="str">
        <f t="shared" si="228"/>
        <v/>
      </c>
      <c r="H420" s="64" t="str">
        <f t="shared" si="229"/>
        <v/>
      </c>
      <c r="J420" s="63" t="str">
        <f t="shared" si="230"/>
        <v/>
      </c>
      <c r="K420" s="64" t="str">
        <f t="shared" si="231"/>
        <v/>
      </c>
      <c r="L420" s="63" t="str">
        <f t="shared" si="232"/>
        <v/>
      </c>
      <c r="M420" s="64" t="str">
        <f t="shared" si="233"/>
        <v/>
      </c>
      <c r="O420" s="63" t="str">
        <f t="shared" si="234"/>
        <v/>
      </c>
      <c r="P420" s="63" t="str">
        <f t="shared" si="235"/>
        <v/>
      </c>
      <c r="R420" s="63" t="str">
        <f t="shared" si="236"/>
        <v/>
      </c>
      <c r="S420" s="64" t="str">
        <f t="shared" si="237"/>
        <v/>
      </c>
      <c r="T420" s="38">
        <v>0</v>
      </c>
      <c r="U420" s="64" t="str">
        <f t="shared" si="238"/>
        <v/>
      </c>
      <c r="V420" s="219" t="str">
        <f>IF($A421="","",IF(AND(MONTH(A420)&gt;3,MONTH(A420)&lt;11),(T420+R420+G420)*Summary!$T$11/(1-Summary!$T$11),(T420+R420+G420)*Summary!$U$11/(1-Summary!$U$11)))</f>
        <v/>
      </c>
      <c r="W420" s="43" t="str">
        <f t="shared" si="239"/>
        <v/>
      </c>
      <c r="X420" s="43" t="str">
        <f t="shared" si="240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1"/>
        <v/>
      </c>
      <c r="AP420" s="33" t="str">
        <f t="shared" si="242"/>
        <v/>
      </c>
      <c r="AQ420" s="58" t="str">
        <f t="shared" si="243"/>
        <v/>
      </c>
      <c r="AR420" s="38">
        <f>'ANR OK vs ML7'!AR420</f>
        <v>0.1</v>
      </c>
      <c r="AS420" s="35" t="str">
        <f t="shared" si="244"/>
        <v/>
      </c>
      <c r="AT420" s="3" t="str">
        <f t="shared" si="245"/>
        <v/>
      </c>
      <c r="AU420" s="3" t="str">
        <f t="shared" si="246"/>
        <v/>
      </c>
      <c r="AW420" s="32" t="str">
        <f t="shared" si="247"/>
        <v/>
      </c>
      <c r="AX420" s="32" t="str">
        <f t="shared" si="248"/>
        <v/>
      </c>
      <c r="AY420" s="32" t="str">
        <f t="shared" si="249"/>
        <v/>
      </c>
      <c r="BA420" s="32" t="str">
        <f>IF($A421="","",F420*Summary!$Q$11)</f>
        <v/>
      </c>
    </row>
    <row r="421" spans="1:53">
      <c r="A421" s="67" t="str">
        <f t="shared" si="250"/>
        <v/>
      </c>
      <c r="B421" s="69" t="str">
        <f t="shared" si="251"/>
        <v/>
      </c>
      <c r="D421" s="69" t="str">
        <f t="shared" si="225"/>
        <v/>
      </c>
      <c r="E421" s="70" t="str">
        <f t="shared" si="226"/>
        <v/>
      </c>
      <c r="F421" s="70" t="str">
        <f t="shared" si="227"/>
        <v/>
      </c>
      <c r="G421" s="63" t="str">
        <f t="shared" si="228"/>
        <v/>
      </c>
      <c r="H421" s="64" t="str">
        <f t="shared" si="229"/>
        <v/>
      </c>
      <c r="J421" s="63" t="str">
        <f t="shared" si="230"/>
        <v/>
      </c>
      <c r="K421" s="64" t="str">
        <f t="shared" si="231"/>
        <v/>
      </c>
      <c r="L421" s="63" t="str">
        <f t="shared" si="232"/>
        <v/>
      </c>
      <c r="M421" s="64" t="str">
        <f t="shared" si="233"/>
        <v/>
      </c>
      <c r="O421" s="63" t="str">
        <f t="shared" si="234"/>
        <v/>
      </c>
      <c r="P421" s="63" t="str">
        <f t="shared" si="235"/>
        <v/>
      </c>
      <c r="R421" s="63" t="str">
        <f t="shared" si="236"/>
        <v/>
      </c>
      <c r="S421" s="64" t="str">
        <f t="shared" si="237"/>
        <v/>
      </c>
      <c r="T421" s="38">
        <v>0</v>
      </c>
      <c r="U421" s="64" t="str">
        <f t="shared" si="238"/>
        <v/>
      </c>
      <c r="V421" s="219" t="str">
        <f>IF($A422="","",IF(AND(MONTH(A421)&gt;3,MONTH(A421)&lt;11),(T421+R421+G421)*Summary!$T$11/(1-Summary!$T$11),(T421+R421+G421)*Summary!$U$11/(1-Summary!$U$11)))</f>
        <v/>
      </c>
      <c r="W421" s="43" t="str">
        <f t="shared" si="239"/>
        <v/>
      </c>
      <c r="X421" s="43" t="str">
        <f t="shared" si="240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1"/>
        <v/>
      </c>
      <c r="AP421" s="33" t="str">
        <f t="shared" si="242"/>
        <v/>
      </c>
      <c r="AQ421" s="58" t="str">
        <f t="shared" si="243"/>
        <v/>
      </c>
      <c r="AR421" s="38">
        <f>'ANR OK vs ML7'!AR421</f>
        <v>0.1</v>
      </c>
      <c r="AS421" s="35" t="str">
        <f t="shared" si="244"/>
        <v/>
      </c>
      <c r="AT421" s="3" t="str">
        <f t="shared" si="245"/>
        <v/>
      </c>
      <c r="AU421" s="3" t="str">
        <f t="shared" si="246"/>
        <v/>
      </c>
      <c r="AW421" s="32" t="str">
        <f t="shared" si="247"/>
        <v/>
      </c>
      <c r="AX421" s="32" t="str">
        <f t="shared" si="248"/>
        <v/>
      </c>
      <c r="AY421" s="32" t="str">
        <f t="shared" si="249"/>
        <v/>
      </c>
      <c r="BA421" s="32" t="str">
        <f>IF($A422="","",F421*Summary!$Q$11)</f>
        <v/>
      </c>
    </row>
    <row r="422" spans="1:53">
      <c r="A422" s="67" t="str">
        <f t="shared" si="250"/>
        <v/>
      </c>
      <c r="B422" s="69" t="str">
        <f t="shared" si="251"/>
        <v/>
      </c>
      <c r="D422" s="69" t="str">
        <f t="shared" si="225"/>
        <v/>
      </c>
      <c r="E422" s="70" t="str">
        <f t="shared" si="226"/>
        <v/>
      </c>
      <c r="F422" s="70" t="str">
        <f t="shared" si="227"/>
        <v/>
      </c>
      <c r="G422" s="63" t="str">
        <f t="shared" si="228"/>
        <v/>
      </c>
      <c r="H422" s="64" t="str">
        <f t="shared" si="229"/>
        <v/>
      </c>
      <c r="J422" s="63" t="str">
        <f t="shared" si="230"/>
        <v/>
      </c>
      <c r="K422" s="64" t="str">
        <f t="shared" si="231"/>
        <v/>
      </c>
      <c r="L422" s="63" t="str">
        <f t="shared" si="232"/>
        <v/>
      </c>
      <c r="M422" s="64" t="str">
        <f t="shared" si="233"/>
        <v/>
      </c>
      <c r="O422" s="63" t="str">
        <f t="shared" si="234"/>
        <v/>
      </c>
      <c r="P422" s="63" t="str">
        <f t="shared" si="235"/>
        <v/>
      </c>
      <c r="R422" s="63" t="str">
        <f t="shared" si="236"/>
        <v/>
      </c>
      <c r="S422" s="64" t="str">
        <f t="shared" si="237"/>
        <v/>
      </c>
      <c r="T422" s="38">
        <v>0</v>
      </c>
      <c r="U422" s="64" t="str">
        <f t="shared" si="238"/>
        <v/>
      </c>
      <c r="V422" s="219" t="str">
        <f>IF($A423="","",IF(AND(MONTH(A422)&gt;3,MONTH(A422)&lt;11),(T422+R422+G422)*Summary!$T$11/(1-Summary!$T$11),(T422+R422+G422)*Summary!$U$11/(1-Summary!$U$11)))</f>
        <v/>
      </c>
      <c r="W422" s="43" t="str">
        <f t="shared" si="239"/>
        <v/>
      </c>
      <c r="X422" s="43" t="str">
        <f t="shared" si="240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1"/>
        <v/>
      </c>
      <c r="AP422" s="33" t="str">
        <f t="shared" si="242"/>
        <v/>
      </c>
      <c r="AQ422" s="58" t="str">
        <f t="shared" si="243"/>
        <v/>
      </c>
      <c r="AR422" s="38">
        <f>'ANR OK vs ML7'!AR422</f>
        <v>0.1</v>
      </c>
      <c r="AS422" s="35" t="str">
        <f t="shared" si="244"/>
        <v/>
      </c>
      <c r="AT422" s="3" t="str">
        <f t="shared" si="245"/>
        <v/>
      </c>
      <c r="AU422" s="3" t="str">
        <f t="shared" si="246"/>
        <v/>
      </c>
      <c r="AW422" s="32" t="str">
        <f t="shared" si="247"/>
        <v/>
      </c>
      <c r="AX422" s="32" t="str">
        <f t="shared" si="248"/>
        <v/>
      </c>
      <c r="AY422" s="32" t="str">
        <f t="shared" si="249"/>
        <v/>
      </c>
      <c r="BA422" s="32" t="str">
        <f>IF($A423="","",F422*Summary!$Q$11)</f>
        <v/>
      </c>
    </row>
    <row r="423" spans="1:53">
      <c r="A423" s="67" t="str">
        <f t="shared" si="250"/>
        <v/>
      </c>
      <c r="B423" s="69" t="str">
        <f t="shared" si="251"/>
        <v/>
      </c>
      <c r="D423" s="69" t="str">
        <f t="shared" si="225"/>
        <v/>
      </c>
      <c r="E423" s="70" t="str">
        <f t="shared" si="226"/>
        <v/>
      </c>
      <c r="F423" s="70" t="str">
        <f t="shared" si="227"/>
        <v/>
      </c>
      <c r="G423" s="63" t="str">
        <f t="shared" si="228"/>
        <v/>
      </c>
      <c r="H423" s="64" t="str">
        <f t="shared" si="229"/>
        <v/>
      </c>
      <c r="J423" s="63" t="str">
        <f t="shared" si="230"/>
        <v/>
      </c>
      <c r="K423" s="64" t="str">
        <f t="shared" si="231"/>
        <v/>
      </c>
      <c r="L423" s="63" t="str">
        <f t="shared" si="232"/>
        <v/>
      </c>
      <c r="M423" s="64" t="str">
        <f t="shared" si="233"/>
        <v/>
      </c>
      <c r="O423" s="63" t="str">
        <f t="shared" si="234"/>
        <v/>
      </c>
      <c r="P423" s="63" t="str">
        <f t="shared" si="235"/>
        <v/>
      </c>
      <c r="R423" s="63" t="str">
        <f t="shared" si="236"/>
        <v/>
      </c>
      <c r="S423" s="64" t="str">
        <f t="shared" si="237"/>
        <v/>
      </c>
      <c r="T423" s="38">
        <v>0</v>
      </c>
      <c r="U423" s="64" t="str">
        <f t="shared" si="238"/>
        <v/>
      </c>
      <c r="V423" s="219" t="str">
        <f>IF($A424="","",IF(AND(MONTH(A423)&gt;3,MONTH(A423)&lt;11),(T423+R423+G423)*Summary!$T$11/(1-Summary!$T$11),(T423+R423+G423)*Summary!$U$11/(1-Summary!$U$11)))</f>
        <v/>
      </c>
      <c r="W423" s="43" t="str">
        <f t="shared" si="239"/>
        <v/>
      </c>
      <c r="X423" s="43" t="str">
        <f t="shared" si="240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1"/>
        <v/>
      </c>
      <c r="AP423" s="33" t="str">
        <f t="shared" si="242"/>
        <v/>
      </c>
      <c r="AQ423" s="58" t="str">
        <f t="shared" si="243"/>
        <v/>
      </c>
      <c r="AR423" s="38">
        <f>'ANR OK vs ML7'!AR423</f>
        <v>0.1</v>
      </c>
      <c r="AS423" s="35" t="str">
        <f t="shared" si="244"/>
        <v/>
      </c>
      <c r="AT423" s="3" t="str">
        <f t="shared" si="245"/>
        <v/>
      </c>
      <c r="AU423" s="3" t="str">
        <f t="shared" si="246"/>
        <v/>
      </c>
      <c r="AW423" s="32" t="str">
        <f t="shared" si="247"/>
        <v/>
      </c>
      <c r="AX423" s="32" t="str">
        <f t="shared" si="248"/>
        <v/>
      </c>
      <c r="AY423" s="32" t="str">
        <f t="shared" si="249"/>
        <v/>
      </c>
      <c r="BA423" s="32" t="str">
        <f>IF($A424="","",F423*Summary!$Q$11)</f>
        <v/>
      </c>
    </row>
    <row r="424" spans="1:53">
      <c r="A424" s="67" t="str">
        <f t="shared" si="250"/>
        <v/>
      </c>
      <c r="B424" s="69" t="str">
        <f t="shared" si="251"/>
        <v/>
      </c>
      <c r="D424" s="69" t="str">
        <f t="shared" si="225"/>
        <v/>
      </c>
      <c r="E424" s="70" t="str">
        <f t="shared" si="226"/>
        <v/>
      </c>
      <c r="F424" s="70" t="str">
        <f t="shared" si="227"/>
        <v/>
      </c>
      <c r="G424" s="63" t="str">
        <f t="shared" si="228"/>
        <v/>
      </c>
      <c r="H424" s="64" t="str">
        <f t="shared" si="229"/>
        <v/>
      </c>
      <c r="J424" s="63" t="str">
        <f t="shared" si="230"/>
        <v/>
      </c>
      <c r="K424" s="64" t="str">
        <f t="shared" si="231"/>
        <v/>
      </c>
      <c r="L424" s="63" t="str">
        <f t="shared" si="232"/>
        <v/>
      </c>
      <c r="M424" s="64" t="str">
        <f t="shared" si="233"/>
        <v/>
      </c>
      <c r="O424" s="63" t="str">
        <f t="shared" si="234"/>
        <v/>
      </c>
      <c r="P424" s="63" t="str">
        <f t="shared" si="235"/>
        <v/>
      </c>
      <c r="R424" s="63" t="str">
        <f t="shared" si="236"/>
        <v/>
      </c>
      <c r="S424" s="64" t="str">
        <f t="shared" si="237"/>
        <v/>
      </c>
      <c r="T424" s="38">
        <v>0</v>
      </c>
      <c r="U424" s="64" t="str">
        <f t="shared" si="238"/>
        <v/>
      </c>
      <c r="V424" s="219" t="str">
        <f>IF($A425="","",IF(AND(MONTH(A424)&gt;3,MONTH(A424)&lt;11),(T424+R424+G424)*Summary!$T$11/(1-Summary!$T$11),(T424+R424+G424)*Summary!$U$11/(1-Summary!$U$11)))</f>
        <v/>
      </c>
      <c r="W424" s="43" t="str">
        <f t="shared" si="239"/>
        <v/>
      </c>
      <c r="X424" s="43" t="str">
        <f t="shared" si="240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1"/>
        <v/>
      </c>
      <c r="AP424" s="33" t="str">
        <f t="shared" si="242"/>
        <v/>
      </c>
      <c r="AQ424" s="58" t="str">
        <f t="shared" si="243"/>
        <v/>
      </c>
      <c r="AR424" s="38">
        <f>'ANR OK vs ML7'!AR424</f>
        <v>0.1</v>
      </c>
      <c r="AS424" s="35" t="str">
        <f t="shared" si="244"/>
        <v/>
      </c>
      <c r="AT424" s="3" t="str">
        <f t="shared" si="245"/>
        <v/>
      </c>
      <c r="AU424" s="3" t="str">
        <f t="shared" si="246"/>
        <v/>
      </c>
      <c r="AW424" s="32" t="str">
        <f t="shared" si="247"/>
        <v/>
      </c>
      <c r="AX424" s="32" t="str">
        <f t="shared" si="248"/>
        <v/>
      </c>
      <c r="AY424" s="32" t="str">
        <f t="shared" si="249"/>
        <v/>
      </c>
      <c r="BA424" s="32" t="str">
        <f>IF($A425="","",F424*Summary!$Q$11)</f>
        <v/>
      </c>
    </row>
    <row r="425" spans="1:53">
      <c r="A425" s="67" t="str">
        <f t="shared" si="250"/>
        <v/>
      </c>
      <c r="B425" s="69" t="str">
        <f t="shared" si="251"/>
        <v/>
      </c>
      <c r="D425" s="69" t="str">
        <f t="shared" si="225"/>
        <v/>
      </c>
      <c r="E425" s="70" t="str">
        <f t="shared" si="226"/>
        <v/>
      </c>
      <c r="F425" s="70" t="str">
        <f t="shared" si="227"/>
        <v/>
      </c>
      <c r="G425" s="63" t="str">
        <f t="shared" si="228"/>
        <v/>
      </c>
      <c r="H425" s="64" t="str">
        <f t="shared" si="229"/>
        <v/>
      </c>
      <c r="J425" s="63" t="str">
        <f t="shared" si="230"/>
        <v/>
      </c>
      <c r="K425" s="64" t="str">
        <f t="shared" si="231"/>
        <v/>
      </c>
      <c r="L425" s="63" t="str">
        <f t="shared" si="232"/>
        <v/>
      </c>
      <c r="M425" s="64" t="str">
        <f t="shared" si="233"/>
        <v/>
      </c>
      <c r="O425" s="63" t="str">
        <f t="shared" si="234"/>
        <v/>
      </c>
      <c r="P425" s="63" t="str">
        <f t="shared" si="235"/>
        <v/>
      </c>
      <c r="R425" s="63" t="str">
        <f t="shared" si="236"/>
        <v/>
      </c>
      <c r="S425" s="64" t="str">
        <f t="shared" si="237"/>
        <v/>
      </c>
      <c r="T425" s="38">
        <v>0</v>
      </c>
      <c r="U425" s="64" t="str">
        <f t="shared" si="238"/>
        <v/>
      </c>
      <c r="V425" s="219" t="str">
        <f>IF($A426="","",IF(AND(MONTH(A425)&gt;3,MONTH(A425)&lt;11),(T425+R425+G425)*Summary!$T$11/(1-Summary!$T$11),(T425+R425+G425)*Summary!$U$11/(1-Summary!$U$11)))</f>
        <v/>
      </c>
      <c r="W425" s="43" t="str">
        <f t="shared" si="239"/>
        <v/>
      </c>
      <c r="X425" s="43" t="str">
        <f t="shared" si="240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1"/>
        <v/>
      </c>
      <c r="AP425" s="33" t="str">
        <f t="shared" si="242"/>
        <v/>
      </c>
      <c r="AQ425" s="58" t="str">
        <f t="shared" si="243"/>
        <v/>
      </c>
      <c r="AR425" s="38">
        <f>'ANR OK vs ML7'!AR425</f>
        <v>0.1</v>
      </c>
      <c r="AS425" s="35" t="str">
        <f t="shared" si="244"/>
        <v/>
      </c>
      <c r="AT425" s="3" t="str">
        <f t="shared" si="245"/>
        <v/>
      </c>
      <c r="AU425" s="3" t="str">
        <f t="shared" si="246"/>
        <v/>
      </c>
      <c r="AW425" s="32" t="str">
        <f t="shared" si="247"/>
        <v/>
      </c>
      <c r="AX425" s="32" t="str">
        <f t="shared" si="248"/>
        <v/>
      </c>
      <c r="AY425" s="32" t="str">
        <f t="shared" si="249"/>
        <v/>
      </c>
      <c r="BA425" s="32" t="str">
        <f>IF($A426="","",F425*Summary!$Q$11)</f>
        <v/>
      </c>
    </row>
    <row r="426" spans="1:53">
      <c r="A426" s="67" t="str">
        <f t="shared" si="250"/>
        <v/>
      </c>
      <c r="B426" s="69" t="str">
        <f t="shared" si="251"/>
        <v/>
      </c>
      <c r="D426" s="69" t="str">
        <f t="shared" si="225"/>
        <v/>
      </c>
      <c r="E426" s="70" t="str">
        <f t="shared" si="226"/>
        <v/>
      </c>
      <c r="F426" s="70" t="str">
        <f t="shared" si="227"/>
        <v/>
      </c>
      <c r="G426" s="63" t="str">
        <f t="shared" si="228"/>
        <v/>
      </c>
      <c r="H426" s="64" t="str">
        <f t="shared" si="229"/>
        <v/>
      </c>
      <c r="J426" s="63" t="str">
        <f t="shared" si="230"/>
        <v/>
      </c>
      <c r="K426" s="64" t="str">
        <f t="shared" si="231"/>
        <v/>
      </c>
      <c r="L426" s="63" t="str">
        <f t="shared" si="232"/>
        <v/>
      </c>
      <c r="M426" s="64" t="str">
        <f t="shared" si="233"/>
        <v/>
      </c>
      <c r="O426" s="63" t="str">
        <f t="shared" si="234"/>
        <v/>
      </c>
      <c r="P426" s="63" t="str">
        <f t="shared" si="235"/>
        <v/>
      </c>
      <c r="R426" s="63" t="str">
        <f t="shared" si="236"/>
        <v/>
      </c>
      <c r="S426" s="64" t="str">
        <f t="shared" si="237"/>
        <v/>
      </c>
      <c r="T426" s="38">
        <v>0</v>
      </c>
      <c r="U426" s="64" t="str">
        <f t="shared" si="238"/>
        <v/>
      </c>
      <c r="V426" s="219" t="str">
        <f>IF($A427="","",IF(AND(MONTH(A426)&gt;3,MONTH(A426)&lt;11),(T426+R426+G426)*Summary!$T$11/(1-Summary!$T$11),(T426+R426+G426)*Summary!$U$11/(1-Summary!$U$11)))</f>
        <v/>
      </c>
      <c r="W426" s="43" t="str">
        <f t="shared" si="239"/>
        <v/>
      </c>
      <c r="X426" s="43" t="str">
        <f t="shared" si="240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1"/>
        <v/>
      </c>
      <c r="AP426" s="33" t="str">
        <f t="shared" si="242"/>
        <v/>
      </c>
      <c r="AQ426" s="58" t="str">
        <f t="shared" si="243"/>
        <v/>
      </c>
      <c r="AR426" s="38">
        <f>'ANR OK vs ML7'!AR426</f>
        <v>0.1</v>
      </c>
      <c r="AS426" s="35" t="str">
        <f t="shared" si="244"/>
        <v/>
      </c>
      <c r="AT426" s="3" t="str">
        <f t="shared" si="245"/>
        <v/>
      </c>
      <c r="AU426" s="3" t="str">
        <f t="shared" si="246"/>
        <v/>
      </c>
      <c r="AW426" s="32" t="str">
        <f t="shared" si="247"/>
        <v/>
      </c>
      <c r="AX426" s="32" t="str">
        <f t="shared" si="248"/>
        <v/>
      </c>
      <c r="AY426" s="32" t="str">
        <f t="shared" si="249"/>
        <v/>
      </c>
      <c r="BA426" s="32" t="str">
        <f>IF($A427="","",F426*Summary!$Q$11)</f>
        <v/>
      </c>
    </row>
    <row r="427" spans="1:53">
      <c r="A427" s="67" t="str">
        <f t="shared" si="250"/>
        <v/>
      </c>
      <c r="B427" s="69" t="str">
        <f t="shared" si="251"/>
        <v/>
      </c>
      <c r="D427" s="69" t="str">
        <f t="shared" si="225"/>
        <v/>
      </c>
      <c r="E427" s="70" t="str">
        <f t="shared" si="226"/>
        <v/>
      </c>
      <c r="F427" s="70" t="str">
        <f t="shared" si="227"/>
        <v/>
      </c>
      <c r="G427" s="63" t="str">
        <f t="shared" si="228"/>
        <v/>
      </c>
      <c r="H427" s="64" t="str">
        <f t="shared" si="229"/>
        <v/>
      </c>
      <c r="J427" s="63" t="str">
        <f t="shared" si="230"/>
        <v/>
      </c>
      <c r="K427" s="64" t="str">
        <f t="shared" si="231"/>
        <v/>
      </c>
      <c r="L427" s="63" t="str">
        <f t="shared" si="232"/>
        <v/>
      </c>
      <c r="M427" s="64" t="str">
        <f t="shared" si="233"/>
        <v/>
      </c>
      <c r="O427" s="63" t="str">
        <f t="shared" si="234"/>
        <v/>
      </c>
      <c r="P427" s="63" t="str">
        <f t="shared" si="235"/>
        <v/>
      </c>
      <c r="R427" s="63" t="str">
        <f t="shared" si="236"/>
        <v/>
      </c>
      <c r="S427" s="64" t="str">
        <f t="shared" si="237"/>
        <v/>
      </c>
      <c r="T427" s="38">
        <v>0</v>
      </c>
      <c r="U427" s="64" t="str">
        <f t="shared" si="238"/>
        <v/>
      </c>
      <c r="V427" s="219" t="str">
        <f>IF($A428="","",IF(AND(MONTH(A427)&gt;3,MONTH(A427)&lt;11),(T427+R427+G427)*Summary!$T$11/(1-Summary!$T$11),(T427+R427+G427)*Summary!$U$11/(1-Summary!$U$11)))</f>
        <v/>
      </c>
      <c r="W427" s="43" t="str">
        <f t="shared" si="239"/>
        <v/>
      </c>
      <c r="X427" s="43" t="str">
        <f t="shared" si="240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1"/>
        <v/>
      </c>
      <c r="AP427" s="33" t="str">
        <f t="shared" si="242"/>
        <v/>
      </c>
      <c r="AQ427" s="58" t="str">
        <f t="shared" si="243"/>
        <v/>
      </c>
      <c r="AR427" s="38">
        <f>'ANR OK vs ML7'!AR427</f>
        <v>0.1</v>
      </c>
      <c r="AS427" s="35" t="str">
        <f t="shared" si="244"/>
        <v/>
      </c>
      <c r="AT427" s="3" t="str">
        <f t="shared" si="245"/>
        <v/>
      </c>
      <c r="AU427" s="3" t="str">
        <f t="shared" si="246"/>
        <v/>
      </c>
      <c r="AW427" s="32" t="str">
        <f t="shared" si="247"/>
        <v/>
      </c>
      <c r="AX427" s="32" t="str">
        <f t="shared" si="248"/>
        <v/>
      </c>
      <c r="AY427" s="32" t="str">
        <f t="shared" si="249"/>
        <v/>
      </c>
      <c r="BA427" s="32" t="str">
        <f>IF($A428="","",F427*Summary!$Q$11)</f>
        <v/>
      </c>
    </row>
    <row r="428" spans="1:53">
      <c r="A428" s="67" t="str">
        <f t="shared" si="250"/>
        <v/>
      </c>
      <c r="B428" s="69" t="str">
        <f t="shared" si="251"/>
        <v/>
      </c>
      <c r="D428" s="69" t="str">
        <f t="shared" si="225"/>
        <v/>
      </c>
      <c r="E428" s="70" t="str">
        <f t="shared" si="226"/>
        <v/>
      </c>
      <c r="F428" s="70" t="str">
        <f t="shared" si="227"/>
        <v/>
      </c>
      <c r="G428" s="63" t="str">
        <f t="shared" si="228"/>
        <v/>
      </c>
      <c r="H428" s="64" t="str">
        <f t="shared" si="229"/>
        <v/>
      </c>
      <c r="J428" s="63" t="str">
        <f t="shared" si="230"/>
        <v/>
      </c>
      <c r="K428" s="64" t="str">
        <f t="shared" si="231"/>
        <v/>
      </c>
      <c r="L428" s="63" t="str">
        <f t="shared" si="232"/>
        <v/>
      </c>
      <c r="M428" s="64" t="str">
        <f t="shared" si="233"/>
        <v/>
      </c>
      <c r="O428" s="63" t="str">
        <f t="shared" si="234"/>
        <v/>
      </c>
      <c r="P428" s="63" t="str">
        <f t="shared" si="235"/>
        <v/>
      </c>
      <c r="R428" s="63" t="str">
        <f t="shared" si="236"/>
        <v/>
      </c>
      <c r="S428" s="64" t="str">
        <f t="shared" si="237"/>
        <v/>
      </c>
      <c r="T428" s="38">
        <v>0</v>
      </c>
      <c r="U428" s="64" t="str">
        <f t="shared" si="238"/>
        <v/>
      </c>
      <c r="V428" s="219" t="str">
        <f>IF($A429="","",IF(AND(MONTH(A428)&gt;3,MONTH(A428)&lt;11),(T428+R428+G428)*Summary!$T$11/(1-Summary!$T$11),(T428+R428+G428)*Summary!$U$11/(1-Summary!$U$11)))</f>
        <v/>
      </c>
      <c r="W428" s="43" t="str">
        <f t="shared" si="239"/>
        <v/>
      </c>
      <c r="X428" s="43" t="str">
        <f t="shared" si="240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1"/>
        <v/>
      </c>
      <c r="AP428" s="33" t="str">
        <f t="shared" si="242"/>
        <v/>
      </c>
      <c r="AQ428" s="58" t="str">
        <f t="shared" si="243"/>
        <v/>
      </c>
      <c r="AR428" s="38">
        <f>'ANR OK vs ML7'!AR428</f>
        <v>0.1</v>
      </c>
      <c r="AS428" s="35" t="str">
        <f t="shared" si="244"/>
        <v/>
      </c>
      <c r="AT428" s="3" t="str">
        <f t="shared" si="245"/>
        <v/>
      </c>
      <c r="AU428" s="3" t="str">
        <f t="shared" si="246"/>
        <v/>
      </c>
      <c r="AW428" s="32" t="str">
        <f t="shared" si="247"/>
        <v/>
      </c>
      <c r="AX428" s="32" t="str">
        <f t="shared" si="248"/>
        <v/>
      </c>
      <c r="AY428" s="32" t="str">
        <f t="shared" si="249"/>
        <v/>
      </c>
      <c r="BA428" s="32" t="str">
        <f>IF($A429="","",F428*Summary!$Q$11)</f>
        <v/>
      </c>
    </row>
    <row r="429" spans="1:53">
      <c r="A429" s="67" t="str">
        <f t="shared" si="250"/>
        <v/>
      </c>
      <c r="B429" s="69" t="str">
        <f t="shared" si="251"/>
        <v/>
      </c>
      <c r="D429" s="69" t="str">
        <f t="shared" si="225"/>
        <v/>
      </c>
      <c r="E429" s="70" t="str">
        <f t="shared" si="226"/>
        <v/>
      </c>
      <c r="F429" s="70" t="str">
        <f t="shared" si="227"/>
        <v/>
      </c>
      <c r="G429" s="63" t="str">
        <f t="shared" si="228"/>
        <v/>
      </c>
      <c r="H429" s="64" t="str">
        <f t="shared" si="229"/>
        <v/>
      </c>
      <c r="J429" s="63" t="str">
        <f t="shared" si="230"/>
        <v/>
      </c>
      <c r="K429" s="64" t="str">
        <f t="shared" si="231"/>
        <v/>
      </c>
      <c r="L429" s="63" t="str">
        <f t="shared" si="232"/>
        <v/>
      </c>
      <c r="M429" s="64" t="str">
        <f t="shared" si="233"/>
        <v/>
      </c>
      <c r="O429" s="63" t="str">
        <f t="shared" si="234"/>
        <v/>
      </c>
      <c r="P429" s="63" t="str">
        <f t="shared" si="235"/>
        <v/>
      </c>
      <c r="R429" s="63" t="str">
        <f t="shared" si="236"/>
        <v/>
      </c>
      <c r="S429" s="64" t="str">
        <f t="shared" si="237"/>
        <v/>
      </c>
      <c r="T429" s="38">
        <v>0</v>
      </c>
      <c r="U429" s="64" t="str">
        <f t="shared" si="238"/>
        <v/>
      </c>
      <c r="V429" s="219" t="str">
        <f>IF($A430="","",IF(AND(MONTH(A429)&gt;3,MONTH(A429)&lt;11),(T429+R429+G429)*Summary!$T$11/(1-Summary!$T$11),(T429+R429+G429)*Summary!$U$11/(1-Summary!$U$11)))</f>
        <v/>
      </c>
      <c r="W429" s="43" t="str">
        <f t="shared" si="239"/>
        <v/>
      </c>
      <c r="X429" s="43" t="str">
        <f t="shared" si="240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1"/>
        <v/>
      </c>
      <c r="AP429" s="33" t="str">
        <f t="shared" si="242"/>
        <v/>
      </c>
      <c r="AQ429" s="58" t="str">
        <f t="shared" si="243"/>
        <v/>
      </c>
      <c r="AR429" s="38">
        <f>'ANR OK vs ML7'!AR429</f>
        <v>0.1</v>
      </c>
      <c r="AS429" s="35" t="str">
        <f t="shared" si="244"/>
        <v/>
      </c>
      <c r="AT429" s="3" t="str">
        <f t="shared" si="245"/>
        <v/>
      </c>
      <c r="AU429" s="3" t="str">
        <f t="shared" si="246"/>
        <v/>
      </c>
      <c r="AW429" s="32" t="str">
        <f t="shared" si="247"/>
        <v/>
      </c>
      <c r="AX429" s="32" t="str">
        <f t="shared" si="248"/>
        <v/>
      </c>
      <c r="AY429" s="32" t="str">
        <f t="shared" si="249"/>
        <v/>
      </c>
      <c r="BA429" s="32" t="str">
        <f>IF($A430="","",F429*Summary!$Q$11)</f>
        <v/>
      </c>
    </row>
    <row r="430" spans="1:53">
      <c r="A430" s="67" t="str">
        <f t="shared" si="250"/>
        <v/>
      </c>
      <c r="B430" s="69" t="str">
        <f t="shared" si="251"/>
        <v/>
      </c>
      <c r="D430" s="69" t="str">
        <f t="shared" si="225"/>
        <v/>
      </c>
      <c r="E430" s="70" t="str">
        <f t="shared" si="226"/>
        <v/>
      </c>
      <c r="F430" s="70" t="str">
        <f t="shared" si="227"/>
        <v/>
      </c>
      <c r="G430" s="63" t="str">
        <f t="shared" si="228"/>
        <v/>
      </c>
      <c r="H430" s="64" t="str">
        <f t="shared" si="229"/>
        <v/>
      </c>
      <c r="J430" s="63" t="str">
        <f t="shared" si="230"/>
        <v/>
      </c>
      <c r="K430" s="64" t="str">
        <f t="shared" si="231"/>
        <v/>
      </c>
      <c r="L430" s="63" t="str">
        <f t="shared" si="232"/>
        <v/>
      </c>
      <c r="M430" s="64" t="str">
        <f t="shared" si="233"/>
        <v/>
      </c>
      <c r="O430" s="63" t="str">
        <f t="shared" si="234"/>
        <v/>
      </c>
      <c r="P430" s="63" t="str">
        <f t="shared" si="235"/>
        <v/>
      </c>
      <c r="R430" s="63" t="str">
        <f t="shared" si="236"/>
        <v/>
      </c>
      <c r="S430" s="64" t="str">
        <f t="shared" si="237"/>
        <v/>
      </c>
      <c r="T430" s="38">
        <v>0</v>
      </c>
      <c r="U430" s="64" t="str">
        <f t="shared" si="238"/>
        <v/>
      </c>
      <c r="V430" s="219" t="str">
        <f>IF($A431="","",IF(AND(MONTH(A430)&gt;3,MONTH(A430)&lt;11),(T430+R430+G430)*Summary!$T$11/(1-Summary!$T$11),(T430+R430+G430)*Summary!$U$11/(1-Summary!$U$11)))</f>
        <v/>
      </c>
      <c r="W430" s="43" t="str">
        <f t="shared" si="239"/>
        <v/>
      </c>
      <c r="X430" s="43" t="str">
        <f t="shared" si="240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1"/>
        <v/>
      </c>
      <c r="AP430" s="33" t="str">
        <f t="shared" si="242"/>
        <v/>
      </c>
      <c r="AQ430" s="58" t="str">
        <f t="shared" si="243"/>
        <v/>
      </c>
      <c r="AR430" s="38">
        <f>'ANR OK vs ML7'!AR430</f>
        <v>0.1</v>
      </c>
      <c r="AS430" s="35" t="str">
        <f t="shared" si="244"/>
        <v/>
      </c>
      <c r="AT430" s="3" t="str">
        <f t="shared" si="245"/>
        <v/>
      </c>
      <c r="AU430" s="3" t="str">
        <f t="shared" si="246"/>
        <v/>
      </c>
      <c r="AW430" s="32" t="str">
        <f t="shared" si="247"/>
        <v/>
      </c>
      <c r="AX430" s="32" t="str">
        <f t="shared" si="248"/>
        <v/>
      </c>
      <c r="AY430" s="32" t="str">
        <f t="shared" si="249"/>
        <v/>
      </c>
      <c r="BA430" s="32" t="str">
        <f>IF($A431="","",F430*Summary!$Q$11)</f>
        <v/>
      </c>
    </row>
    <row r="431" spans="1:53">
      <c r="A431" s="67" t="str">
        <f t="shared" si="250"/>
        <v/>
      </c>
      <c r="B431" s="69" t="str">
        <f t="shared" si="251"/>
        <v/>
      </c>
      <c r="D431" s="69" t="str">
        <f t="shared" si="225"/>
        <v/>
      </c>
      <c r="E431" s="70" t="str">
        <f t="shared" si="226"/>
        <v/>
      </c>
      <c r="F431" s="70" t="str">
        <f t="shared" si="227"/>
        <v/>
      </c>
      <c r="G431" s="63" t="str">
        <f t="shared" si="228"/>
        <v/>
      </c>
      <c r="H431" s="64" t="str">
        <f t="shared" si="229"/>
        <v/>
      </c>
      <c r="J431" s="63" t="str">
        <f t="shared" si="230"/>
        <v/>
      </c>
      <c r="K431" s="64" t="str">
        <f t="shared" si="231"/>
        <v/>
      </c>
      <c r="L431" s="63" t="str">
        <f t="shared" si="232"/>
        <v/>
      </c>
      <c r="M431" s="64" t="str">
        <f t="shared" si="233"/>
        <v/>
      </c>
      <c r="O431" s="63" t="str">
        <f t="shared" si="234"/>
        <v/>
      </c>
      <c r="P431" s="63" t="str">
        <f t="shared" si="235"/>
        <v/>
      </c>
      <c r="R431" s="63" t="str">
        <f t="shared" si="236"/>
        <v/>
      </c>
      <c r="S431" s="64" t="str">
        <f t="shared" si="237"/>
        <v/>
      </c>
      <c r="T431" s="38">
        <v>0</v>
      </c>
      <c r="U431" s="64" t="str">
        <f t="shared" si="238"/>
        <v/>
      </c>
      <c r="V431" s="219" t="str">
        <f>IF($A432="","",IF(AND(MONTH(A431)&gt;3,MONTH(A431)&lt;11),(T431+R431+G431)*Summary!$T$11/(1-Summary!$T$11),(T431+R431+G431)*Summary!$U$11/(1-Summary!$U$11)))</f>
        <v/>
      </c>
      <c r="W431" s="43" t="str">
        <f t="shared" si="239"/>
        <v/>
      </c>
      <c r="X431" s="43" t="str">
        <f t="shared" si="240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1"/>
        <v/>
      </c>
      <c r="AP431" s="33" t="str">
        <f t="shared" si="242"/>
        <v/>
      </c>
      <c r="AQ431" s="58" t="str">
        <f t="shared" si="243"/>
        <v/>
      </c>
      <c r="AR431" s="38">
        <f>'ANR OK vs ML7'!AR431</f>
        <v>0.1</v>
      </c>
      <c r="AS431" s="35" t="str">
        <f t="shared" si="244"/>
        <v/>
      </c>
      <c r="AT431" s="3" t="str">
        <f t="shared" si="245"/>
        <v/>
      </c>
      <c r="AU431" s="3" t="str">
        <f t="shared" si="246"/>
        <v/>
      </c>
      <c r="AW431" s="32" t="str">
        <f t="shared" si="247"/>
        <v/>
      </c>
      <c r="AX431" s="32" t="str">
        <f t="shared" si="248"/>
        <v/>
      </c>
      <c r="AY431" s="32" t="str">
        <f t="shared" si="249"/>
        <v/>
      </c>
      <c r="BA431" s="32" t="str">
        <f>IF($A432="","",F431*Summary!$Q$11)</f>
        <v/>
      </c>
    </row>
    <row r="432" spans="1:53">
      <c r="A432" s="67" t="str">
        <f t="shared" si="250"/>
        <v/>
      </c>
      <c r="B432" s="69" t="str">
        <f t="shared" si="251"/>
        <v/>
      </c>
      <c r="D432" s="69" t="str">
        <f t="shared" si="225"/>
        <v/>
      </c>
      <c r="E432" s="70" t="str">
        <f t="shared" si="226"/>
        <v/>
      </c>
      <c r="F432" s="70" t="str">
        <f t="shared" si="227"/>
        <v/>
      </c>
      <c r="G432" s="63" t="str">
        <f t="shared" si="228"/>
        <v/>
      </c>
      <c r="H432" s="64" t="str">
        <f t="shared" si="229"/>
        <v/>
      </c>
      <c r="J432" s="63" t="str">
        <f t="shared" si="230"/>
        <v/>
      </c>
      <c r="K432" s="64" t="str">
        <f t="shared" si="231"/>
        <v/>
      </c>
      <c r="L432" s="63" t="str">
        <f t="shared" si="232"/>
        <v/>
      </c>
      <c r="M432" s="64" t="str">
        <f t="shared" si="233"/>
        <v/>
      </c>
      <c r="O432" s="63" t="str">
        <f t="shared" si="234"/>
        <v/>
      </c>
      <c r="P432" s="63" t="str">
        <f t="shared" si="235"/>
        <v/>
      </c>
      <c r="R432" s="63" t="str">
        <f t="shared" si="236"/>
        <v/>
      </c>
      <c r="S432" s="64" t="str">
        <f t="shared" si="237"/>
        <v/>
      </c>
      <c r="T432" s="38">
        <v>0</v>
      </c>
      <c r="U432" s="64" t="str">
        <f t="shared" si="238"/>
        <v/>
      </c>
      <c r="V432" s="219" t="str">
        <f>IF($A433="","",IF(AND(MONTH(A432)&gt;3,MONTH(A432)&lt;11),(T432+R432+G432)*Summary!$T$11/(1-Summary!$T$11),(T432+R432+G432)*Summary!$U$11/(1-Summary!$U$11)))</f>
        <v/>
      </c>
      <c r="W432" s="43" t="str">
        <f t="shared" si="239"/>
        <v/>
      </c>
      <c r="X432" s="43" t="str">
        <f t="shared" si="240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1"/>
        <v/>
      </c>
      <c r="AP432" s="33" t="str">
        <f t="shared" si="242"/>
        <v/>
      </c>
      <c r="AQ432" s="58" t="str">
        <f t="shared" si="243"/>
        <v/>
      </c>
      <c r="AR432" s="38">
        <f>'ANR OK vs ML7'!AR432</f>
        <v>0.1</v>
      </c>
      <c r="AS432" s="35" t="str">
        <f t="shared" si="244"/>
        <v/>
      </c>
      <c r="AT432" s="3" t="str">
        <f t="shared" si="245"/>
        <v/>
      </c>
      <c r="AU432" s="3" t="str">
        <f t="shared" si="246"/>
        <v/>
      </c>
      <c r="AW432" s="32" t="str">
        <f t="shared" si="247"/>
        <v/>
      </c>
      <c r="AX432" s="32" t="str">
        <f t="shared" si="248"/>
        <v/>
      </c>
      <c r="AY432" s="32" t="str">
        <f t="shared" si="249"/>
        <v/>
      </c>
      <c r="BA432" s="32" t="str">
        <f>IF($A433="","",F432*Summary!$Q$11)</f>
        <v/>
      </c>
    </row>
    <row r="433" spans="1:53">
      <c r="A433" s="67" t="str">
        <f t="shared" si="250"/>
        <v/>
      </c>
      <c r="B433" s="69" t="str">
        <f t="shared" si="251"/>
        <v/>
      </c>
      <c r="D433" s="69" t="str">
        <f t="shared" si="225"/>
        <v/>
      </c>
      <c r="E433" s="70" t="str">
        <f t="shared" si="226"/>
        <v/>
      </c>
      <c r="F433" s="70" t="str">
        <f t="shared" si="227"/>
        <v/>
      </c>
      <c r="G433" s="63" t="str">
        <f t="shared" si="228"/>
        <v/>
      </c>
      <c r="H433" s="64" t="str">
        <f t="shared" si="229"/>
        <v/>
      </c>
      <c r="J433" s="63" t="str">
        <f t="shared" si="230"/>
        <v/>
      </c>
      <c r="K433" s="64" t="str">
        <f t="shared" si="231"/>
        <v/>
      </c>
      <c r="L433" s="63" t="str">
        <f t="shared" si="232"/>
        <v/>
      </c>
      <c r="M433" s="64" t="str">
        <f t="shared" si="233"/>
        <v/>
      </c>
      <c r="O433" s="63" t="str">
        <f t="shared" si="234"/>
        <v/>
      </c>
      <c r="P433" s="63" t="str">
        <f t="shared" si="235"/>
        <v/>
      </c>
      <c r="R433" s="63" t="str">
        <f t="shared" si="236"/>
        <v/>
      </c>
      <c r="S433" s="64" t="str">
        <f t="shared" si="237"/>
        <v/>
      </c>
      <c r="T433" s="38">
        <v>0</v>
      </c>
      <c r="U433" s="64" t="str">
        <f t="shared" si="238"/>
        <v/>
      </c>
      <c r="V433" s="219" t="str">
        <f>IF($A434="","",IF(AND(MONTH(A433)&gt;3,MONTH(A433)&lt;11),(T433+R433+G433)*Summary!$T$11/(1-Summary!$T$11),(T433+R433+G433)*Summary!$U$11/(1-Summary!$U$11)))</f>
        <v/>
      </c>
      <c r="W433" s="43" t="str">
        <f t="shared" si="239"/>
        <v/>
      </c>
      <c r="X433" s="43" t="str">
        <f t="shared" si="240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1"/>
        <v/>
      </c>
      <c r="AP433" s="33" t="str">
        <f t="shared" si="242"/>
        <v/>
      </c>
      <c r="AQ433" s="58" t="str">
        <f t="shared" si="243"/>
        <v/>
      </c>
      <c r="AR433" s="38">
        <f>'ANR OK vs ML7'!AR433</f>
        <v>0.1</v>
      </c>
      <c r="AS433" s="35" t="str">
        <f t="shared" si="244"/>
        <v/>
      </c>
      <c r="AT433" s="3" t="str">
        <f t="shared" si="245"/>
        <v/>
      </c>
      <c r="AU433" s="3" t="str">
        <f t="shared" si="246"/>
        <v/>
      </c>
      <c r="AW433" s="32" t="str">
        <f t="shared" si="247"/>
        <v/>
      </c>
      <c r="AX433" s="32" t="str">
        <f t="shared" si="248"/>
        <v/>
      </c>
      <c r="AY433" s="32" t="str">
        <f t="shared" si="249"/>
        <v/>
      </c>
      <c r="BA433" s="32" t="str">
        <f>IF($A434="","",F433*Summary!$Q$11)</f>
        <v/>
      </c>
    </row>
    <row r="434" spans="1:53">
      <c r="A434" s="67" t="str">
        <f t="shared" si="250"/>
        <v/>
      </c>
      <c r="B434" s="69" t="str">
        <f t="shared" si="251"/>
        <v/>
      </c>
      <c r="D434" s="69" t="str">
        <f t="shared" si="225"/>
        <v/>
      </c>
      <c r="E434" s="70" t="str">
        <f t="shared" si="226"/>
        <v/>
      </c>
      <c r="F434" s="70" t="str">
        <f t="shared" si="227"/>
        <v/>
      </c>
      <c r="G434" s="63" t="str">
        <f t="shared" si="228"/>
        <v/>
      </c>
      <c r="H434" s="64" t="str">
        <f t="shared" si="229"/>
        <v/>
      </c>
      <c r="J434" s="63" t="str">
        <f t="shared" si="230"/>
        <v/>
      </c>
      <c r="K434" s="64" t="str">
        <f t="shared" si="231"/>
        <v/>
      </c>
      <c r="L434" s="63" t="str">
        <f t="shared" si="232"/>
        <v/>
      </c>
      <c r="M434" s="64" t="str">
        <f t="shared" si="233"/>
        <v/>
      </c>
      <c r="O434" s="63" t="str">
        <f t="shared" si="234"/>
        <v/>
      </c>
      <c r="P434" s="63" t="str">
        <f t="shared" si="235"/>
        <v/>
      </c>
      <c r="R434" s="63" t="str">
        <f t="shared" si="236"/>
        <v/>
      </c>
      <c r="S434" s="64" t="str">
        <f t="shared" si="237"/>
        <v/>
      </c>
      <c r="T434" s="38">
        <v>0</v>
      </c>
      <c r="U434" s="64" t="str">
        <f t="shared" si="238"/>
        <v/>
      </c>
      <c r="V434" s="219" t="str">
        <f>IF($A435="","",IF(AND(MONTH(A434)&gt;3,MONTH(A434)&lt;11),(T434+R434+G434)*Summary!$T$11/(1-Summary!$T$11),(T434+R434+G434)*Summary!$U$11/(1-Summary!$U$11)))</f>
        <v/>
      </c>
      <c r="W434" s="43" t="str">
        <f t="shared" si="239"/>
        <v/>
      </c>
      <c r="X434" s="43" t="str">
        <f t="shared" si="240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1"/>
        <v/>
      </c>
      <c r="AP434" s="33" t="str">
        <f t="shared" si="242"/>
        <v/>
      </c>
      <c r="AQ434" s="58" t="str">
        <f t="shared" si="243"/>
        <v/>
      </c>
      <c r="AR434" s="38">
        <f>'ANR OK vs ML7'!AR434</f>
        <v>0.1</v>
      </c>
      <c r="AS434" s="35" t="str">
        <f t="shared" si="244"/>
        <v/>
      </c>
      <c r="AT434" s="3" t="str">
        <f t="shared" si="245"/>
        <v/>
      </c>
      <c r="AU434" s="3" t="str">
        <f t="shared" si="246"/>
        <v/>
      </c>
      <c r="AW434" s="32" t="str">
        <f t="shared" si="247"/>
        <v/>
      </c>
      <c r="AX434" s="32" t="str">
        <f t="shared" si="248"/>
        <v/>
      </c>
      <c r="AY434" s="32" t="str">
        <f t="shared" si="249"/>
        <v/>
      </c>
      <c r="BA434" s="32" t="str">
        <f>IF($A435="","",F434*Summary!$Q$11)</f>
        <v/>
      </c>
    </row>
    <row r="435" spans="1:53">
      <c r="A435" s="67" t="str">
        <f t="shared" si="250"/>
        <v/>
      </c>
      <c r="B435" s="69" t="str">
        <f t="shared" si="251"/>
        <v/>
      </c>
      <c r="D435" s="69" t="str">
        <f t="shared" si="225"/>
        <v/>
      </c>
      <c r="E435" s="70" t="str">
        <f t="shared" si="226"/>
        <v/>
      </c>
      <c r="F435" s="70" t="str">
        <f t="shared" si="227"/>
        <v/>
      </c>
      <c r="G435" s="63" t="str">
        <f t="shared" si="228"/>
        <v/>
      </c>
      <c r="H435" s="64" t="str">
        <f t="shared" si="229"/>
        <v/>
      </c>
      <c r="J435" s="63" t="str">
        <f t="shared" si="230"/>
        <v/>
      </c>
      <c r="K435" s="64" t="str">
        <f t="shared" si="231"/>
        <v/>
      </c>
      <c r="L435" s="63" t="str">
        <f t="shared" si="232"/>
        <v/>
      </c>
      <c r="M435" s="64" t="str">
        <f t="shared" si="233"/>
        <v/>
      </c>
      <c r="O435" s="63" t="str">
        <f t="shared" si="234"/>
        <v/>
      </c>
      <c r="P435" s="63" t="str">
        <f t="shared" si="235"/>
        <v/>
      </c>
      <c r="R435" s="63" t="str">
        <f t="shared" si="236"/>
        <v/>
      </c>
      <c r="S435" s="64" t="str">
        <f t="shared" si="237"/>
        <v/>
      </c>
      <c r="T435" s="38">
        <v>0</v>
      </c>
      <c r="U435" s="64" t="str">
        <f t="shared" si="238"/>
        <v/>
      </c>
      <c r="V435" s="219" t="str">
        <f>IF($A436="","",IF(AND(MONTH(A435)&gt;3,MONTH(A435)&lt;11),(T435+R435+G435)*Summary!$T$11/(1-Summary!$T$11),(T435+R435+G435)*Summary!$U$11/(1-Summary!$U$11)))</f>
        <v/>
      </c>
      <c r="W435" s="43" t="str">
        <f t="shared" si="239"/>
        <v/>
      </c>
      <c r="X435" s="43" t="str">
        <f t="shared" si="240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1"/>
        <v/>
      </c>
      <c r="AP435" s="33" t="str">
        <f t="shared" si="242"/>
        <v/>
      </c>
      <c r="AQ435" s="58" t="str">
        <f t="shared" si="243"/>
        <v/>
      </c>
      <c r="AR435" s="38">
        <f>'ANR OK vs ML7'!AR435</f>
        <v>0.1</v>
      </c>
      <c r="AS435" s="35" t="str">
        <f t="shared" si="244"/>
        <v/>
      </c>
      <c r="AT435" s="3" t="str">
        <f t="shared" si="245"/>
        <v/>
      </c>
      <c r="AU435" s="3" t="str">
        <f t="shared" si="246"/>
        <v/>
      </c>
      <c r="AW435" s="32" t="str">
        <f t="shared" si="247"/>
        <v/>
      </c>
      <c r="AX435" s="32" t="str">
        <f t="shared" si="248"/>
        <v/>
      </c>
      <c r="AY435" s="32" t="str">
        <f t="shared" si="249"/>
        <v/>
      </c>
      <c r="BA435" s="32" t="str">
        <f>IF($A436="","",F435*Summary!$Q$11)</f>
        <v/>
      </c>
    </row>
    <row r="436" spans="1:53">
      <c r="A436" s="67" t="str">
        <f t="shared" si="250"/>
        <v/>
      </c>
      <c r="B436" s="69" t="str">
        <f t="shared" si="251"/>
        <v/>
      </c>
      <c r="D436" s="69" t="str">
        <f t="shared" si="225"/>
        <v/>
      </c>
      <c r="E436" s="70" t="str">
        <f t="shared" si="226"/>
        <v/>
      </c>
      <c r="F436" s="70" t="str">
        <f t="shared" si="227"/>
        <v/>
      </c>
      <c r="G436" s="63" t="str">
        <f t="shared" si="228"/>
        <v/>
      </c>
      <c r="H436" s="64" t="str">
        <f t="shared" si="229"/>
        <v/>
      </c>
      <c r="J436" s="63" t="str">
        <f t="shared" si="230"/>
        <v/>
      </c>
      <c r="K436" s="64" t="str">
        <f t="shared" si="231"/>
        <v/>
      </c>
      <c r="L436" s="63" t="str">
        <f t="shared" si="232"/>
        <v/>
      </c>
      <c r="M436" s="64" t="str">
        <f t="shared" si="233"/>
        <v/>
      </c>
      <c r="O436" s="63" t="str">
        <f t="shared" si="234"/>
        <v/>
      </c>
      <c r="P436" s="63" t="str">
        <f t="shared" si="235"/>
        <v/>
      </c>
      <c r="R436" s="63" t="str">
        <f t="shared" si="236"/>
        <v/>
      </c>
      <c r="S436" s="64" t="str">
        <f t="shared" si="237"/>
        <v/>
      </c>
      <c r="T436" s="38">
        <v>0</v>
      </c>
      <c r="U436" s="64" t="str">
        <f t="shared" si="238"/>
        <v/>
      </c>
      <c r="V436" s="219" t="str">
        <f>IF($A437="","",IF(AND(MONTH(A436)&gt;3,MONTH(A436)&lt;11),(T436+R436+G436)*Summary!$T$11/(1-Summary!$T$11),(T436+R436+G436)*Summary!$U$11/(1-Summary!$U$11)))</f>
        <v/>
      </c>
      <c r="W436" s="43" t="str">
        <f t="shared" si="239"/>
        <v/>
      </c>
      <c r="X436" s="43" t="str">
        <f t="shared" si="240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1"/>
        <v/>
      </c>
      <c r="AP436" s="33" t="str">
        <f t="shared" si="242"/>
        <v/>
      </c>
      <c r="AQ436" s="58" t="str">
        <f t="shared" si="243"/>
        <v/>
      </c>
      <c r="AR436" s="38">
        <f>'ANR OK vs ML7'!AR436</f>
        <v>0.1</v>
      </c>
      <c r="AS436" s="35" t="str">
        <f t="shared" si="244"/>
        <v/>
      </c>
      <c r="AT436" s="3" t="str">
        <f t="shared" si="245"/>
        <v/>
      </c>
      <c r="AU436" s="3" t="str">
        <f t="shared" si="246"/>
        <v/>
      </c>
      <c r="AW436" s="32" t="str">
        <f t="shared" si="247"/>
        <v/>
      </c>
      <c r="AX436" s="32" t="str">
        <f t="shared" si="248"/>
        <v/>
      </c>
      <c r="AY436" s="32" t="str">
        <f t="shared" si="249"/>
        <v/>
      </c>
      <c r="BA436" s="32" t="str">
        <f>IF($A437="","",F436*Summary!$Q$11)</f>
        <v/>
      </c>
    </row>
    <row r="437" spans="1:53">
      <c r="A437" s="67" t="str">
        <f t="shared" si="250"/>
        <v/>
      </c>
      <c r="B437" s="69" t="str">
        <f t="shared" si="251"/>
        <v/>
      </c>
      <c r="D437" s="69" t="str">
        <f t="shared" si="225"/>
        <v/>
      </c>
      <c r="E437" s="70" t="str">
        <f t="shared" si="226"/>
        <v/>
      </c>
      <c r="F437" s="70" t="str">
        <f t="shared" si="227"/>
        <v/>
      </c>
      <c r="G437" s="63" t="str">
        <f t="shared" si="228"/>
        <v/>
      </c>
      <c r="H437" s="64" t="str">
        <f t="shared" si="229"/>
        <v/>
      </c>
      <c r="J437" s="63" t="str">
        <f t="shared" si="230"/>
        <v/>
      </c>
      <c r="K437" s="64" t="str">
        <f t="shared" si="231"/>
        <v/>
      </c>
      <c r="L437" s="63" t="str">
        <f t="shared" si="232"/>
        <v/>
      </c>
      <c r="M437" s="64" t="str">
        <f t="shared" si="233"/>
        <v/>
      </c>
      <c r="O437" s="63" t="str">
        <f t="shared" si="234"/>
        <v/>
      </c>
      <c r="P437" s="63" t="str">
        <f t="shared" si="235"/>
        <v/>
      </c>
      <c r="R437" s="63" t="str">
        <f t="shared" si="236"/>
        <v/>
      </c>
      <c r="S437" s="64" t="str">
        <f t="shared" si="237"/>
        <v/>
      </c>
      <c r="T437" s="38">
        <v>0</v>
      </c>
      <c r="U437" s="64" t="str">
        <f t="shared" si="238"/>
        <v/>
      </c>
      <c r="V437" s="219" t="str">
        <f>IF($A438="","",IF(AND(MONTH(A437)&gt;3,MONTH(A437)&lt;11),(T437+R437+G437)*Summary!$T$11/(1-Summary!$T$11),(T437+R437+G437)*Summary!$U$11/(1-Summary!$U$11)))</f>
        <v/>
      </c>
      <c r="W437" s="43" t="str">
        <f t="shared" si="239"/>
        <v/>
      </c>
      <c r="X437" s="43" t="str">
        <f t="shared" si="240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1"/>
        <v/>
      </c>
      <c r="AP437" s="33" t="str">
        <f t="shared" si="242"/>
        <v/>
      </c>
      <c r="AQ437" s="58" t="str">
        <f t="shared" si="243"/>
        <v/>
      </c>
      <c r="AR437" s="38">
        <f>'ANR OK vs ML7'!AR437</f>
        <v>0.1</v>
      </c>
      <c r="AS437" s="35" t="str">
        <f t="shared" si="244"/>
        <v/>
      </c>
      <c r="AT437" s="3" t="str">
        <f t="shared" si="245"/>
        <v/>
      </c>
      <c r="AU437" s="3" t="str">
        <f t="shared" si="246"/>
        <v/>
      </c>
      <c r="AW437" s="32" t="str">
        <f t="shared" si="247"/>
        <v/>
      </c>
      <c r="AX437" s="32" t="str">
        <f t="shared" si="248"/>
        <v/>
      </c>
      <c r="AY437" s="32" t="str">
        <f t="shared" si="249"/>
        <v/>
      </c>
      <c r="BA437" s="32" t="str">
        <f>IF($A438="","",F437*Summary!$Q$11)</f>
        <v/>
      </c>
    </row>
    <row r="438" spans="1:53">
      <c r="A438" s="67" t="str">
        <f t="shared" si="250"/>
        <v/>
      </c>
      <c r="B438" s="69" t="str">
        <f t="shared" si="251"/>
        <v/>
      </c>
      <c r="D438" s="69" t="str">
        <f t="shared" si="225"/>
        <v/>
      </c>
      <c r="E438" s="70" t="str">
        <f t="shared" si="226"/>
        <v/>
      </c>
      <c r="F438" s="70" t="str">
        <f t="shared" si="227"/>
        <v/>
      </c>
      <c r="G438" s="63" t="str">
        <f t="shared" si="228"/>
        <v/>
      </c>
      <c r="H438" s="64" t="str">
        <f t="shared" si="229"/>
        <v/>
      </c>
      <c r="J438" s="63" t="str">
        <f t="shared" si="230"/>
        <v/>
      </c>
      <c r="K438" s="64" t="str">
        <f t="shared" si="231"/>
        <v/>
      </c>
      <c r="L438" s="63" t="str">
        <f t="shared" si="232"/>
        <v/>
      </c>
      <c r="M438" s="64" t="str">
        <f t="shared" si="233"/>
        <v/>
      </c>
      <c r="O438" s="63" t="str">
        <f t="shared" si="234"/>
        <v/>
      </c>
      <c r="P438" s="63" t="str">
        <f t="shared" si="235"/>
        <v/>
      </c>
      <c r="R438" s="63" t="str">
        <f t="shared" si="236"/>
        <v/>
      </c>
      <c r="S438" s="64" t="str">
        <f t="shared" si="237"/>
        <v/>
      </c>
      <c r="T438" s="38">
        <v>0</v>
      </c>
      <c r="U438" s="64" t="str">
        <f t="shared" si="238"/>
        <v/>
      </c>
      <c r="V438" s="219" t="str">
        <f>IF($A439="","",IF(AND(MONTH(A438)&gt;3,MONTH(A438)&lt;11),(T438+R438+G438)*Summary!$T$11/(1-Summary!$T$11),(T438+R438+G438)*Summary!$U$11/(1-Summary!$U$11)))</f>
        <v/>
      </c>
      <c r="W438" s="43" t="str">
        <f t="shared" si="239"/>
        <v/>
      </c>
      <c r="X438" s="43" t="str">
        <f t="shared" si="240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1"/>
        <v/>
      </c>
      <c r="AP438" s="33" t="str">
        <f t="shared" si="242"/>
        <v/>
      </c>
      <c r="AQ438" s="58" t="str">
        <f t="shared" si="243"/>
        <v/>
      </c>
      <c r="AR438" s="38">
        <f>'ANR OK vs ML7'!AR438</f>
        <v>0.1</v>
      </c>
      <c r="AS438" s="35" t="str">
        <f t="shared" si="244"/>
        <v/>
      </c>
      <c r="AT438" s="3" t="str">
        <f t="shared" si="245"/>
        <v/>
      </c>
      <c r="AU438" s="3" t="str">
        <f t="shared" si="246"/>
        <v/>
      </c>
      <c r="AW438" s="32" t="str">
        <f t="shared" si="247"/>
        <v/>
      </c>
      <c r="AX438" s="32" t="str">
        <f t="shared" si="248"/>
        <v/>
      </c>
      <c r="AY438" s="32" t="str">
        <f t="shared" si="249"/>
        <v/>
      </c>
      <c r="BA438" s="32" t="str">
        <f>IF($A439="","",F438*Summary!$Q$11)</f>
        <v/>
      </c>
    </row>
    <row r="439" spans="1:53">
      <c r="A439" s="67" t="str">
        <f t="shared" si="250"/>
        <v/>
      </c>
      <c r="B439" s="69" t="str">
        <f t="shared" si="251"/>
        <v/>
      </c>
      <c r="D439" s="69" t="str">
        <f t="shared" si="225"/>
        <v/>
      </c>
      <c r="E439" s="70" t="str">
        <f t="shared" si="226"/>
        <v/>
      </c>
      <c r="F439" s="70" t="str">
        <f t="shared" si="227"/>
        <v/>
      </c>
      <c r="G439" s="63" t="str">
        <f t="shared" si="228"/>
        <v/>
      </c>
      <c r="H439" s="64" t="str">
        <f t="shared" si="229"/>
        <v/>
      </c>
      <c r="J439" s="63" t="str">
        <f t="shared" si="230"/>
        <v/>
      </c>
      <c r="K439" s="64" t="str">
        <f t="shared" si="231"/>
        <v/>
      </c>
      <c r="L439" s="63" t="str">
        <f t="shared" si="232"/>
        <v/>
      </c>
      <c r="M439" s="64" t="str">
        <f t="shared" si="233"/>
        <v/>
      </c>
      <c r="O439" s="63" t="str">
        <f t="shared" si="234"/>
        <v/>
      </c>
      <c r="P439" s="63" t="str">
        <f t="shared" si="235"/>
        <v/>
      </c>
      <c r="R439" s="63" t="str">
        <f t="shared" si="236"/>
        <v/>
      </c>
      <c r="S439" s="64" t="str">
        <f t="shared" si="237"/>
        <v/>
      </c>
      <c r="T439" s="38">
        <v>0</v>
      </c>
      <c r="U439" s="64" t="str">
        <f t="shared" si="238"/>
        <v/>
      </c>
      <c r="V439" s="219" t="str">
        <f>IF($A440="","",IF(AND(MONTH(A439)&gt;3,MONTH(A439)&lt;11),(T439+R439+G439)*Summary!$T$11/(1-Summary!$T$11),(T439+R439+G439)*Summary!$U$11/(1-Summary!$U$11)))</f>
        <v/>
      </c>
      <c r="W439" s="43" t="str">
        <f t="shared" si="239"/>
        <v/>
      </c>
      <c r="X439" s="43" t="str">
        <f t="shared" si="240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1"/>
        <v/>
      </c>
      <c r="AP439" s="33" t="str">
        <f t="shared" si="242"/>
        <v/>
      </c>
      <c r="AQ439" s="58" t="str">
        <f t="shared" si="243"/>
        <v/>
      </c>
      <c r="AR439" s="38">
        <f>'ANR OK vs ML7'!AR439</f>
        <v>0.1</v>
      </c>
      <c r="AS439" s="35" t="str">
        <f t="shared" si="244"/>
        <v/>
      </c>
      <c r="AT439" s="3" t="str">
        <f t="shared" si="245"/>
        <v/>
      </c>
      <c r="AU439" s="3" t="str">
        <f t="shared" si="246"/>
        <v/>
      </c>
      <c r="AW439" s="32" t="str">
        <f t="shared" si="247"/>
        <v/>
      </c>
      <c r="AX439" s="32" t="str">
        <f t="shared" si="248"/>
        <v/>
      </c>
      <c r="AY439" s="32" t="str">
        <f t="shared" si="249"/>
        <v/>
      </c>
      <c r="BA439" s="32" t="str">
        <f>IF($A440="","",F439*Summary!$Q$11)</f>
        <v/>
      </c>
    </row>
    <row r="440" spans="1:53">
      <c r="A440" s="67" t="str">
        <f t="shared" si="250"/>
        <v/>
      </c>
      <c r="B440" s="69" t="str">
        <f t="shared" si="251"/>
        <v/>
      </c>
      <c r="D440" s="69" t="str">
        <f t="shared" si="225"/>
        <v/>
      </c>
      <c r="E440" s="70" t="str">
        <f t="shared" si="226"/>
        <v/>
      </c>
      <c r="F440" s="70" t="str">
        <f t="shared" si="227"/>
        <v/>
      </c>
      <c r="G440" s="63" t="str">
        <f t="shared" si="228"/>
        <v/>
      </c>
      <c r="H440" s="64" t="str">
        <f t="shared" si="229"/>
        <v/>
      </c>
      <c r="J440" s="63" t="str">
        <f t="shared" si="230"/>
        <v/>
      </c>
      <c r="K440" s="64" t="str">
        <f t="shared" si="231"/>
        <v/>
      </c>
      <c r="L440" s="63" t="str">
        <f t="shared" si="232"/>
        <v/>
      </c>
      <c r="M440" s="64" t="str">
        <f t="shared" si="233"/>
        <v/>
      </c>
      <c r="O440" s="63" t="str">
        <f t="shared" si="234"/>
        <v/>
      </c>
      <c r="P440" s="63" t="str">
        <f t="shared" si="235"/>
        <v/>
      </c>
      <c r="R440" s="63" t="str">
        <f t="shared" si="236"/>
        <v/>
      </c>
      <c r="S440" s="64" t="str">
        <f t="shared" si="237"/>
        <v/>
      </c>
      <c r="T440" s="38">
        <v>0</v>
      </c>
      <c r="U440" s="64" t="str">
        <f t="shared" si="238"/>
        <v/>
      </c>
      <c r="V440" s="219" t="str">
        <f>IF($A441="","",IF(AND(MONTH(A440)&gt;3,MONTH(A440)&lt;11),(T440+R440+G440)*Summary!$T$11/(1-Summary!$T$11),(T440+R440+G440)*Summary!$U$11/(1-Summary!$U$11)))</f>
        <v/>
      </c>
      <c r="W440" s="43" t="str">
        <f t="shared" si="239"/>
        <v/>
      </c>
      <c r="X440" s="43" t="str">
        <f t="shared" si="240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1"/>
        <v/>
      </c>
      <c r="AP440" s="33" t="str">
        <f t="shared" si="242"/>
        <v/>
      </c>
      <c r="AQ440" s="58" t="str">
        <f t="shared" si="243"/>
        <v/>
      </c>
      <c r="AR440" s="38">
        <f>'ANR OK vs ML7'!AR440</f>
        <v>0.1</v>
      </c>
      <c r="AS440" s="35" t="str">
        <f t="shared" si="244"/>
        <v/>
      </c>
      <c r="AT440" s="3" t="str">
        <f t="shared" si="245"/>
        <v/>
      </c>
      <c r="AU440" s="3" t="str">
        <f t="shared" si="246"/>
        <v/>
      </c>
      <c r="AW440" s="32" t="str">
        <f t="shared" si="247"/>
        <v/>
      </c>
      <c r="AX440" s="32" t="str">
        <f t="shared" si="248"/>
        <v/>
      </c>
      <c r="AY440" s="32" t="str">
        <f t="shared" si="249"/>
        <v/>
      </c>
      <c r="BA440" s="32" t="str">
        <f>IF($A441="","",F440*Summary!$Q$11)</f>
        <v/>
      </c>
    </row>
    <row r="441" spans="1:53">
      <c r="A441" s="67" t="str">
        <f t="shared" si="250"/>
        <v/>
      </c>
      <c r="B441" s="69" t="str">
        <f t="shared" si="251"/>
        <v/>
      </c>
      <c r="D441" s="69" t="str">
        <f t="shared" si="225"/>
        <v/>
      </c>
      <c r="E441" s="70" t="str">
        <f t="shared" si="226"/>
        <v/>
      </c>
      <c r="F441" s="70" t="str">
        <f t="shared" si="227"/>
        <v/>
      </c>
      <c r="G441" s="63" t="str">
        <f t="shared" si="228"/>
        <v/>
      </c>
      <c r="H441" s="64" t="str">
        <f t="shared" si="229"/>
        <v/>
      </c>
      <c r="J441" s="63" t="str">
        <f t="shared" si="230"/>
        <v/>
      </c>
      <c r="K441" s="64" t="str">
        <f t="shared" si="231"/>
        <v/>
      </c>
      <c r="L441" s="63" t="str">
        <f t="shared" si="232"/>
        <v/>
      </c>
      <c r="M441" s="64" t="str">
        <f t="shared" si="233"/>
        <v/>
      </c>
      <c r="O441" s="63" t="str">
        <f t="shared" si="234"/>
        <v/>
      </c>
      <c r="P441" s="63" t="str">
        <f t="shared" si="235"/>
        <v/>
      </c>
      <c r="R441" s="63" t="str">
        <f t="shared" si="236"/>
        <v/>
      </c>
      <c r="S441" s="64" t="str">
        <f t="shared" si="237"/>
        <v/>
      </c>
      <c r="T441" s="38">
        <v>0</v>
      </c>
      <c r="U441" s="64" t="str">
        <f t="shared" si="238"/>
        <v/>
      </c>
      <c r="V441" s="219" t="str">
        <f>IF($A442="","",IF(AND(MONTH(A441)&gt;3,MONTH(A441)&lt;11),(T441+R441+G441)*Summary!$T$11/(1-Summary!$T$11),(T441+R441+G441)*Summary!$U$11/(1-Summary!$U$11)))</f>
        <v/>
      </c>
      <c r="W441" s="43" t="str">
        <f t="shared" si="239"/>
        <v/>
      </c>
      <c r="X441" s="43" t="str">
        <f t="shared" si="240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1"/>
        <v/>
      </c>
      <c r="AP441" s="33" t="str">
        <f t="shared" si="242"/>
        <v/>
      </c>
      <c r="AQ441" s="58" t="str">
        <f t="shared" si="243"/>
        <v/>
      </c>
      <c r="AR441" s="38">
        <f>'ANR OK vs ML7'!AR441</f>
        <v>0.1</v>
      </c>
      <c r="AS441" s="35" t="str">
        <f t="shared" si="244"/>
        <v/>
      </c>
      <c r="AT441" s="3" t="str">
        <f t="shared" si="245"/>
        <v/>
      </c>
      <c r="AU441" s="3" t="str">
        <f t="shared" si="246"/>
        <v/>
      </c>
      <c r="AW441" s="32" t="str">
        <f t="shared" si="247"/>
        <v/>
      </c>
      <c r="AX441" s="32" t="str">
        <f t="shared" si="248"/>
        <v/>
      </c>
      <c r="AY441" s="32" t="str">
        <f t="shared" si="249"/>
        <v/>
      </c>
      <c r="BA441" s="32" t="str">
        <f>IF($A442="","",F441*Summary!$Q$11)</f>
        <v/>
      </c>
    </row>
    <row r="442" spans="1:53">
      <c r="A442" s="67" t="str">
        <f t="shared" si="250"/>
        <v/>
      </c>
      <c r="B442" s="69" t="str">
        <f t="shared" si="251"/>
        <v/>
      </c>
      <c r="D442" s="69" t="str">
        <f t="shared" si="225"/>
        <v/>
      </c>
      <c r="E442" s="70" t="str">
        <f t="shared" si="226"/>
        <v/>
      </c>
      <c r="F442" s="70" t="str">
        <f t="shared" si="227"/>
        <v/>
      </c>
      <c r="G442" s="63" t="str">
        <f t="shared" si="228"/>
        <v/>
      </c>
      <c r="H442" s="64" t="str">
        <f t="shared" si="229"/>
        <v/>
      </c>
      <c r="J442" s="63" t="str">
        <f t="shared" si="230"/>
        <v/>
      </c>
      <c r="K442" s="64" t="str">
        <f t="shared" si="231"/>
        <v/>
      </c>
      <c r="L442" s="63" t="str">
        <f t="shared" si="232"/>
        <v/>
      </c>
      <c r="M442" s="64" t="str">
        <f t="shared" si="233"/>
        <v/>
      </c>
      <c r="O442" s="63" t="str">
        <f t="shared" si="234"/>
        <v/>
      </c>
      <c r="P442" s="63" t="str">
        <f t="shared" si="235"/>
        <v/>
      </c>
      <c r="R442" s="63" t="str">
        <f t="shared" si="236"/>
        <v/>
      </c>
      <c r="S442" s="64" t="str">
        <f t="shared" si="237"/>
        <v/>
      </c>
      <c r="T442" s="38">
        <v>0</v>
      </c>
      <c r="U442" s="64" t="str">
        <f t="shared" si="238"/>
        <v/>
      </c>
      <c r="V442" s="219" t="str">
        <f>IF($A443="","",IF(AND(MONTH(A442)&gt;3,MONTH(A442)&lt;11),(T442+R442+G442)*Summary!$T$11/(1-Summary!$T$11),(T442+R442+G442)*Summary!$U$11/(1-Summary!$U$11)))</f>
        <v/>
      </c>
      <c r="W442" s="43" t="str">
        <f t="shared" si="239"/>
        <v/>
      </c>
      <c r="X442" s="43" t="str">
        <f t="shared" si="240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1"/>
        <v/>
      </c>
      <c r="AP442" s="33" t="str">
        <f t="shared" si="242"/>
        <v/>
      </c>
      <c r="AQ442" s="58" t="str">
        <f t="shared" si="243"/>
        <v/>
      </c>
      <c r="AR442" s="38">
        <f>'ANR OK vs ML7'!AR442</f>
        <v>0.1</v>
      </c>
      <c r="AS442" s="35" t="str">
        <f t="shared" si="244"/>
        <v/>
      </c>
      <c r="AT442" s="3" t="str">
        <f t="shared" si="245"/>
        <v/>
      </c>
      <c r="AU442" s="3" t="str">
        <f t="shared" si="246"/>
        <v/>
      </c>
      <c r="AW442" s="32" t="str">
        <f t="shared" si="247"/>
        <v/>
      </c>
      <c r="AX442" s="32" t="str">
        <f t="shared" si="248"/>
        <v/>
      </c>
      <c r="AY442" s="32" t="str">
        <f t="shared" si="249"/>
        <v/>
      </c>
      <c r="BA442" s="32" t="str">
        <f>IF($A443="","",F442*Summary!$Q$11)</f>
        <v/>
      </c>
    </row>
    <row r="443" spans="1:53">
      <c r="A443" s="67" t="str">
        <f t="shared" si="250"/>
        <v/>
      </c>
      <c r="B443" s="69" t="str">
        <f t="shared" si="251"/>
        <v/>
      </c>
      <c r="D443" s="69" t="str">
        <f t="shared" si="225"/>
        <v/>
      </c>
      <c r="E443" s="70" t="str">
        <f t="shared" si="226"/>
        <v/>
      </c>
      <c r="F443" s="70" t="str">
        <f t="shared" si="227"/>
        <v/>
      </c>
      <c r="G443" s="63" t="str">
        <f t="shared" si="228"/>
        <v/>
      </c>
      <c r="H443" s="64" t="str">
        <f t="shared" si="229"/>
        <v/>
      </c>
      <c r="J443" s="63" t="str">
        <f t="shared" si="230"/>
        <v/>
      </c>
      <c r="K443" s="64" t="str">
        <f t="shared" si="231"/>
        <v/>
      </c>
      <c r="L443" s="63" t="str">
        <f t="shared" si="232"/>
        <v/>
      </c>
      <c r="M443" s="64" t="str">
        <f t="shared" si="233"/>
        <v/>
      </c>
      <c r="O443" s="63" t="str">
        <f t="shared" si="234"/>
        <v/>
      </c>
      <c r="P443" s="63" t="str">
        <f t="shared" si="235"/>
        <v/>
      </c>
      <c r="R443" s="63" t="str">
        <f t="shared" si="236"/>
        <v/>
      </c>
      <c r="S443" s="64" t="str">
        <f t="shared" si="237"/>
        <v/>
      </c>
      <c r="T443" s="38">
        <v>0</v>
      </c>
      <c r="U443" s="64" t="str">
        <f t="shared" si="238"/>
        <v/>
      </c>
      <c r="V443" s="219" t="str">
        <f>IF($A444="","",IF(AND(MONTH(A443)&gt;3,MONTH(A443)&lt;11),(T443+R443+G443)*Summary!$T$11/(1-Summary!$T$11),(T443+R443+G443)*Summary!$U$11/(1-Summary!$U$11)))</f>
        <v/>
      </c>
      <c r="W443" s="43" t="str">
        <f t="shared" si="239"/>
        <v/>
      </c>
      <c r="X443" s="43" t="str">
        <f t="shared" si="240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1"/>
        <v/>
      </c>
      <c r="AP443" s="33" t="str">
        <f t="shared" si="242"/>
        <v/>
      </c>
      <c r="AQ443" s="58" t="str">
        <f t="shared" si="243"/>
        <v/>
      </c>
      <c r="AR443" s="38">
        <f>'ANR OK vs ML7'!AR443</f>
        <v>0.1</v>
      </c>
      <c r="AS443" s="35" t="str">
        <f t="shared" si="244"/>
        <v/>
      </c>
      <c r="AT443" s="3" t="str">
        <f t="shared" si="245"/>
        <v/>
      </c>
      <c r="AU443" s="3" t="str">
        <f t="shared" si="246"/>
        <v/>
      </c>
      <c r="AW443" s="32" t="str">
        <f t="shared" si="247"/>
        <v/>
      </c>
      <c r="AX443" s="32" t="str">
        <f t="shared" si="248"/>
        <v/>
      </c>
      <c r="AY443" s="32" t="str">
        <f t="shared" si="249"/>
        <v/>
      </c>
      <c r="BA443" s="32" t="str">
        <f>IF($A444="","",F443*Summary!$Q$11)</f>
        <v/>
      </c>
    </row>
    <row r="444" spans="1:53">
      <c r="A444" s="67" t="str">
        <f t="shared" si="250"/>
        <v/>
      </c>
      <c r="B444" s="69" t="str">
        <f t="shared" si="251"/>
        <v/>
      </c>
      <c r="D444" s="69" t="str">
        <f t="shared" si="225"/>
        <v/>
      </c>
      <c r="E444" s="70" t="str">
        <f t="shared" si="226"/>
        <v/>
      </c>
      <c r="F444" s="70" t="str">
        <f t="shared" si="227"/>
        <v/>
      </c>
      <c r="G444" s="63" t="str">
        <f t="shared" si="228"/>
        <v/>
      </c>
      <c r="H444" s="64" t="str">
        <f t="shared" si="229"/>
        <v/>
      </c>
      <c r="J444" s="63" t="str">
        <f t="shared" si="230"/>
        <v/>
      </c>
      <c r="K444" s="64" t="str">
        <f t="shared" si="231"/>
        <v/>
      </c>
      <c r="L444" s="63" t="str">
        <f t="shared" si="232"/>
        <v/>
      </c>
      <c r="M444" s="64" t="str">
        <f t="shared" si="233"/>
        <v/>
      </c>
      <c r="O444" s="63" t="str">
        <f t="shared" si="234"/>
        <v/>
      </c>
      <c r="P444" s="63" t="str">
        <f t="shared" si="235"/>
        <v/>
      </c>
      <c r="R444" s="63" t="str">
        <f t="shared" si="236"/>
        <v/>
      </c>
      <c r="S444" s="64" t="str">
        <f t="shared" si="237"/>
        <v/>
      </c>
      <c r="T444" s="38">
        <v>0</v>
      </c>
      <c r="U444" s="64" t="str">
        <f t="shared" si="238"/>
        <v/>
      </c>
      <c r="V444" s="219" t="str">
        <f>IF($A445="","",IF(AND(MONTH(A444)&gt;3,MONTH(A444)&lt;11),(T444+R444+G444)*Summary!$T$11/(1-Summary!$T$11),(T444+R444+G444)*Summary!$U$11/(1-Summary!$U$11)))</f>
        <v/>
      </c>
      <c r="W444" s="43" t="str">
        <f t="shared" si="239"/>
        <v/>
      </c>
      <c r="X444" s="43" t="str">
        <f t="shared" si="240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1"/>
        <v/>
      </c>
      <c r="AP444" s="33" t="str">
        <f t="shared" si="242"/>
        <v/>
      </c>
      <c r="AQ444" s="58" t="str">
        <f t="shared" si="243"/>
        <v/>
      </c>
      <c r="AR444" s="38">
        <f>'ANR OK vs ML7'!AR444</f>
        <v>0.1</v>
      </c>
      <c r="AS444" s="35" t="str">
        <f t="shared" si="244"/>
        <v/>
      </c>
      <c r="AT444" s="3" t="str">
        <f t="shared" si="245"/>
        <v/>
      </c>
      <c r="AU444" s="3" t="str">
        <f t="shared" si="246"/>
        <v/>
      </c>
      <c r="AW444" s="32" t="str">
        <f t="shared" si="247"/>
        <v/>
      </c>
      <c r="AX444" s="32" t="str">
        <f t="shared" si="248"/>
        <v/>
      </c>
      <c r="AY444" s="32" t="str">
        <f t="shared" si="249"/>
        <v/>
      </c>
      <c r="BA444" s="32" t="str">
        <f>IF($A445="","",F444*Summary!$Q$11)</f>
        <v/>
      </c>
    </row>
    <row r="445" spans="1:53">
      <c r="A445" s="67" t="str">
        <f t="shared" si="250"/>
        <v/>
      </c>
      <c r="B445" s="69" t="str">
        <f t="shared" si="251"/>
        <v/>
      </c>
      <c r="D445" s="69" t="str">
        <f t="shared" si="225"/>
        <v/>
      </c>
      <c r="E445" s="70" t="str">
        <f t="shared" si="226"/>
        <v/>
      </c>
      <c r="F445" s="70" t="str">
        <f t="shared" si="227"/>
        <v/>
      </c>
      <c r="G445" s="63" t="str">
        <f t="shared" si="228"/>
        <v/>
      </c>
      <c r="H445" s="64" t="str">
        <f t="shared" si="229"/>
        <v/>
      </c>
      <c r="J445" s="63" t="str">
        <f t="shared" si="230"/>
        <v/>
      </c>
      <c r="K445" s="64" t="str">
        <f t="shared" si="231"/>
        <v/>
      </c>
      <c r="L445" s="63" t="str">
        <f t="shared" si="232"/>
        <v/>
      </c>
      <c r="M445" s="64" t="str">
        <f t="shared" si="233"/>
        <v/>
      </c>
      <c r="O445" s="63" t="str">
        <f t="shared" si="234"/>
        <v/>
      </c>
      <c r="P445" s="63" t="str">
        <f t="shared" si="235"/>
        <v/>
      </c>
      <c r="R445" s="63" t="str">
        <f t="shared" si="236"/>
        <v/>
      </c>
      <c r="S445" s="64" t="str">
        <f t="shared" si="237"/>
        <v/>
      </c>
      <c r="T445" s="38">
        <v>0</v>
      </c>
      <c r="U445" s="64" t="str">
        <f t="shared" si="238"/>
        <v/>
      </c>
      <c r="V445" s="219" t="str">
        <f>IF($A446="","",IF(AND(MONTH(A445)&gt;3,MONTH(A445)&lt;11),(T445+R445+G445)*Summary!$T$11/(1-Summary!$T$11),(T445+R445+G445)*Summary!$U$11/(1-Summary!$U$11)))</f>
        <v/>
      </c>
      <c r="W445" s="43" t="str">
        <f t="shared" si="239"/>
        <v/>
      </c>
      <c r="X445" s="43" t="str">
        <f t="shared" si="240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1"/>
        <v/>
      </c>
      <c r="AP445" s="33" t="str">
        <f t="shared" si="242"/>
        <v/>
      </c>
      <c r="AQ445" s="58" t="str">
        <f t="shared" si="243"/>
        <v/>
      </c>
      <c r="AR445" s="38">
        <f>'ANR OK vs ML7'!AR445</f>
        <v>0.1</v>
      </c>
      <c r="AS445" s="35" t="str">
        <f t="shared" si="244"/>
        <v/>
      </c>
      <c r="AT445" s="3" t="str">
        <f t="shared" si="245"/>
        <v/>
      </c>
      <c r="AU445" s="3" t="str">
        <f t="shared" si="246"/>
        <v/>
      </c>
      <c r="AW445" s="32" t="str">
        <f t="shared" si="247"/>
        <v/>
      </c>
      <c r="AX445" s="32" t="str">
        <f t="shared" si="248"/>
        <v/>
      </c>
      <c r="AY445" s="32" t="str">
        <f t="shared" si="249"/>
        <v/>
      </c>
      <c r="BA445" s="32" t="str">
        <f>IF($A446="","",F445*Summary!$Q$11)</f>
        <v/>
      </c>
    </row>
    <row r="446" spans="1:53">
      <c r="A446" s="67" t="str">
        <f t="shared" si="250"/>
        <v/>
      </c>
      <c r="B446" s="69" t="str">
        <f t="shared" si="251"/>
        <v/>
      </c>
      <c r="D446" s="69" t="str">
        <f t="shared" si="225"/>
        <v/>
      </c>
      <c r="E446" s="70" t="str">
        <f t="shared" si="226"/>
        <v/>
      </c>
      <c r="F446" s="70" t="str">
        <f t="shared" si="227"/>
        <v/>
      </c>
      <c r="G446" s="63" t="str">
        <f t="shared" si="228"/>
        <v/>
      </c>
      <c r="H446" s="64" t="str">
        <f t="shared" si="229"/>
        <v/>
      </c>
      <c r="J446" s="63" t="str">
        <f t="shared" si="230"/>
        <v/>
      </c>
      <c r="K446" s="64" t="str">
        <f t="shared" si="231"/>
        <v/>
      </c>
      <c r="L446" s="63" t="str">
        <f t="shared" si="232"/>
        <v/>
      </c>
      <c r="M446" s="64" t="str">
        <f t="shared" si="233"/>
        <v/>
      </c>
      <c r="O446" s="63" t="str">
        <f t="shared" si="234"/>
        <v/>
      </c>
      <c r="P446" s="63" t="str">
        <f t="shared" si="235"/>
        <v/>
      </c>
      <c r="R446" s="63" t="str">
        <f t="shared" si="236"/>
        <v/>
      </c>
      <c r="S446" s="64" t="str">
        <f t="shared" si="237"/>
        <v/>
      </c>
      <c r="T446" s="38">
        <v>0</v>
      </c>
      <c r="U446" s="64" t="str">
        <f t="shared" si="238"/>
        <v/>
      </c>
      <c r="V446" s="219" t="str">
        <f>IF($A447="","",IF(AND(MONTH(A446)&gt;3,MONTH(A446)&lt;11),(T446+R446+G446)*Summary!$T$11/(1-Summary!$T$11),(T446+R446+G446)*Summary!$U$11/(1-Summary!$U$11)))</f>
        <v/>
      </c>
      <c r="W446" s="43" t="str">
        <f t="shared" si="239"/>
        <v/>
      </c>
      <c r="X446" s="43" t="str">
        <f t="shared" si="240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1"/>
        <v/>
      </c>
      <c r="AP446" s="33" t="str">
        <f t="shared" si="242"/>
        <v/>
      </c>
      <c r="AQ446" s="58" t="str">
        <f t="shared" si="243"/>
        <v/>
      </c>
      <c r="AR446" s="38">
        <f>'ANR OK vs ML7'!AR446</f>
        <v>0.1</v>
      </c>
      <c r="AS446" s="35" t="str">
        <f t="shared" si="244"/>
        <v/>
      </c>
      <c r="AT446" s="3" t="str">
        <f t="shared" si="245"/>
        <v/>
      </c>
      <c r="AU446" s="3" t="str">
        <f t="shared" si="246"/>
        <v/>
      </c>
      <c r="AW446" s="32" t="str">
        <f t="shared" si="247"/>
        <v/>
      </c>
      <c r="AX446" s="32" t="str">
        <f t="shared" si="248"/>
        <v/>
      </c>
      <c r="AY446" s="32" t="str">
        <f t="shared" si="249"/>
        <v/>
      </c>
      <c r="BA446" s="32" t="str">
        <f>IF($A447="","",F446*Summary!$Q$11)</f>
        <v/>
      </c>
    </row>
    <row r="447" spans="1:53">
      <c r="A447" s="67" t="str">
        <f t="shared" si="250"/>
        <v/>
      </c>
      <c r="B447" s="69" t="str">
        <f t="shared" si="251"/>
        <v/>
      </c>
      <c r="D447" s="69" t="str">
        <f t="shared" si="225"/>
        <v/>
      </c>
      <c r="E447" s="70" t="str">
        <f t="shared" si="226"/>
        <v/>
      </c>
      <c r="F447" s="70" t="str">
        <f t="shared" si="227"/>
        <v/>
      </c>
      <c r="G447" s="63" t="str">
        <f t="shared" si="228"/>
        <v/>
      </c>
      <c r="H447" s="64" t="str">
        <f t="shared" si="229"/>
        <v/>
      </c>
      <c r="J447" s="63" t="str">
        <f t="shared" si="230"/>
        <v/>
      </c>
      <c r="K447" s="64" t="str">
        <f t="shared" si="231"/>
        <v/>
      </c>
      <c r="L447" s="63" t="str">
        <f t="shared" si="232"/>
        <v/>
      </c>
      <c r="M447" s="64" t="str">
        <f t="shared" si="233"/>
        <v/>
      </c>
      <c r="O447" s="63" t="str">
        <f t="shared" si="234"/>
        <v/>
      </c>
      <c r="P447" s="63" t="str">
        <f t="shared" si="235"/>
        <v/>
      </c>
      <c r="R447" s="63" t="str">
        <f t="shared" si="236"/>
        <v/>
      </c>
      <c r="S447" s="64" t="str">
        <f t="shared" si="237"/>
        <v/>
      </c>
      <c r="T447" s="38">
        <v>0</v>
      </c>
      <c r="U447" s="64" t="str">
        <f t="shared" si="238"/>
        <v/>
      </c>
      <c r="V447" s="219" t="str">
        <f>IF($A448="","",IF(AND(MONTH(A447)&gt;3,MONTH(A447)&lt;11),(T447+R447+G447)*Summary!$T$11/(1-Summary!$T$11),(T447+R447+G447)*Summary!$U$11/(1-Summary!$U$11)))</f>
        <v/>
      </c>
      <c r="W447" s="43" t="str">
        <f t="shared" si="239"/>
        <v/>
      </c>
      <c r="X447" s="43" t="str">
        <f t="shared" si="240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1"/>
        <v/>
      </c>
      <c r="AP447" s="33" t="str">
        <f t="shared" si="242"/>
        <v/>
      </c>
      <c r="AQ447" s="58" t="str">
        <f t="shared" si="243"/>
        <v/>
      </c>
      <c r="AR447" s="38">
        <f>'ANR OK vs ML7'!AR447</f>
        <v>0.1</v>
      </c>
      <c r="AS447" s="35" t="str">
        <f t="shared" si="244"/>
        <v/>
      </c>
      <c r="AT447" s="3" t="str">
        <f t="shared" si="245"/>
        <v/>
      </c>
      <c r="AU447" s="3" t="str">
        <f t="shared" si="246"/>
        <v/>
      </c>
      <c r="AW447" s="32" t="str">
        <f t="shared" si="247"/>
        <v/>
      </c>
      <c r="AX447" s="32" t="str">
        <f t="shared" si="248"/>
        <v/>
      </c>
      <c r="AY447" s="32" t="str">
        <f t="shared" si="249"/>
        <v/>
      </c>
      <c r="BA447" s="32" t="str">
        <f>IF($A448="","",F447*Summary!$Q$11)</f>
        <v/>
      </c>
    </row>
    <row r="448" spans="1:53">
      <c r="A448" s="67" t="str">
        <f t="shared" si="250"/>
        <v/>
      </c>
      <c r="B448" s="69" t="str">
        <f t="shared" si="251"/>
        <v/>
      </c>
      <c r="D448" s="69" t="str">
        <f t="shared" si="225"/>
        <v/>
      </c>
      <c r="E448" s="70" t="str">
        <f t="shared" si="226"/>
        <v/>
      </c>
      <c r="F448" s="70" t="str">
        <f t="shared" si="227"/>
        <v/>
      </c>
      <c r="G448" s="63" t="str">
        <f t="shared" si="228"/>
        <v/>
      </c>
      <c r="H448" s="64" t="str">
        <f t="shared" si="229"/>
        <v/>
      </c>
      <c r="J448" s="63" t="str">
        <f t="shared" si="230"/>
        <v/>
      </c>
      <c r="K448" s="64" t="str">
        <f t="shared" si="231"/>
        <v/>
      </c>
      <c r="L448" s="63" t="str">
        <f t="shared" si="232"/>
        <v/>
      </c>
      <c r="M448" s="64" t="str">
        <f t="shared" si="233"/>
        <v/>
      </c>
      <c r="O448" s="63" t="str">
        <f t="shared" si="234"/>
        <v/>
      </c>
      <c r="P448" s="63" t="str">
        <f t="shared" si="235"/>
        <v/>
      </c>
      <c r="R448" s="63" t="str">
        <f t="shared" si="236"/>
        <v/>
      </c>
      <c r="S448" s="64" t="str">
        <f t="shared" si="237"/>
        <v/>
      </c>
      <c r="T448" s="38">
        <v>0</v>
      </c>
      <c r="U448" s="64" t="str">
        <f t="shared" si="238"/>
        <v/>
      </c>
      <c r="V448" s="219" t="str">
        <f>IF($A449="","",IF(AND(MONTH(A448)&gt;3,MONTH(A448)&lt;11),(T448+R448+G448)*Summary!$T$11/(1-Summary!$T$11),(T448+R448+G448)*Summary!$U$11/(1-Summary!$U$11)))</f>
        <v/>
      </c>
      <c r="W448" s="43" t="str">
        <f t="shared" si="239"/>
        <v/>
      </c>
      <c r="X448" s="43" t="str">
        <f t="shared" si="240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1"/>
        <v/>
      </c>
      <c r="AP448" s="33" t="str">
        <f t="shared" si="242"/>
        <v/>
      </c>
      <c r="AQ448" s="58" t="str">
        <f t="shared" si="243"/>
        <v/>
      </c>
      <c r="AR448" s="38">
        <f>'ANR OK vs ML7'!AR448</f>
        <v>0.1</v>
      </c>
      <c r="AS448" s="35" t="str">
        <f t="shared" si="244"/>
        <v/>
      </c>
      <c r="AT448" s="3" t="str">
        <f t="shared" si="245"/>
        <v/>
      </c>
      <c r="AU448" s="3" t="str">
        <f t="shared" si="246"/>
        <v/>
      </c>
      <c r="AW448" s="32" t="str">
        <f t="shared" si="247"/>
        <v/>
      </c>
      <c r="AX448" s="32" t="str">
        <f t="shared" si="248"/>
        <v/>
      </c>
      <c r="AY448" s="32" t="str">
        <f t="shared" si="249"/>
        <v/>
      </c>
      <c r="BA448" s="32" t="str">
        <f>IF($A449="","",F448*Summary!$Q$11)</f>
        <v/>
      </c>
    </row>
    <row r="449" spans="1:53">
      <c r="A449" s="67" t="str">
        <f t="shared" si="250"/>
        <v/>
      </c>
      <c r="B449" s="69" t="str">
        <f t="shared" si="251"/>
        <v/>
      </c>
      <c r="D449" s="69" t="str">
        <f t="shared" si="225"/>
        <v/>
      </c>
      <c r="E449" s="70" t="str">
        <f t="shared" si="226"/>
        <v/>
      </c>
      <c r="F449" s="70" t="str">
        <f t="shared" si="227"/>
        <v/>
      </c>
      <c r="G449" s="63" t="str">
        <f t="shared" si="228"/>
        <v/>
      </c>
      <c r="H449" s="64" t="str">
        <f t="shared" si="229"/>
        <v/>
      </c>
      <c r="J449" s="63" t="str">
        <f t="shared" si="230"/>
        <v/>
      </c>
      <c r="K449" s="64" t="str">
        <f t="shared" si="231"/>
        <v/>
      </c>
      <c r="L449" s="63" t="str">
        <f t="shared" si="232"/>
        <v/>
      </c>
      <c r="M449" s="64" t="str">
        <f t="shared" si="233"/>
        <v/>
      </c>
      <c r="O449" s="63" t="str">
        <f t="shared" si="234"/>
        <v/>
      </c>
      <c r="P449" s="63" t="str">
        <f t="shared" si="235"/>
        <v/>
      </c>
      <c r="R449" s="63" t="str">
        <f t="shared" si="236"/>
        <v/>
      </c>
      <c r="S449" s="64" t="str">
        <f t="shared" si="237"/>
        <v/>
      </c>
      <c r="T449" s="38">
        <v>0</v>
      </c>
      <c r="U449" s="64" t="str">
        <f t="shared" si="238"/>
        <v/>
      </c>
      <c r="V449" s="219" t="str">
        <f>IF($A450="","",IF(AND(MONTH(A449)&gt;3,MONTH(A449)&lt;11),(T449+R449+G449)*Summary!$T$11/(1-Summary!$T$11),(T449+R449+G449)*Summary!$U$11/(1-Summary!$U$11)))</f>
        <v/>
      </c>
      <c r="W449" s="43" t="str">
        <f t="shared" si="239"/>
        <v/>
      </c>
      <c r="X449" s="43" t="str">
        <f t="shared" si="240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1"/>
        <v/>
      </c>
      <c r="AP449" s="33" t="str">
        <f t="shared" si="242"/>
        <v/>
      </c>
      <c r="AQ449" s="58" t="str">
        <f t="shared" si="243"/>
        <v/>
      </c>
      <c r="AR449" s="38">
        <f>'ANR OK vs ML7'!AR449</f>
        <v>0.1</v>
      </c>
      <c r="AS449" s="35" t="str">
        <f t="shared" si="244"/>
        <v/>
      </c>
      <c r="AT449" s="3" t="str">
        <f t="shared" si="245"/>
        <v/>
      </c>
      <c r="AU449" s="3" t="str">
        <f t="shared" si="246"/>
        <v/>
      </c>
      <c r="AW449" s="32" t="str">
        <f t="shared" si="247"/>
        <v/>
      </c>
      <c r="AX449" s="32" t="str">
        <f t="shared" si="248"/>
        <v/>
      </c>
      <c r="AY449" s="32" t="str">
        <f t="shared" si="249"/>
        <v/>
      </c>
      <c r="BA449" s="32" t="str">
        <f>IF($A450="","",F449*Summary!$Q$11)</f>
        <v/>
      </c>
    </row>
    <row r="450" spans="1:53">
      <c r="A450" s="67" t="str">
        <f t="shared" si="250"/>
        <v/>
      </c>
      <c r="B450" s="69" t="str">
        <f t="shared" si="251"/>
        <v/>
      </c>
      <c r="D450" s="69" t="str">
        <f t="shared" si="225"/>
        <v/>
      </c>
      <c r="E450" s="70" t="str">
        <f t="shared" si="226"/>
        <v/>
      </c>
      <c r="F450" s="70" t="str">
        <f t="shared" si="227"/>
        <v/>
      </c>
      <c r="G450" s="63" t="str">
        <f t="shared" si="228"/>
        <v/>
      </c>
      <c r="H450" s="64" t="str">
        <f t="shared" si="229"/>
        <v/>
      </c>
      <c r="J450" s="63" t="str">
        <f t="shared" si="230"/>
        <v/>
      </c>
      <c r="K450" s="64" t="str">
        <f t="shared" si="231"/>
        <v/>
      </c>
      <c r="L450" s="63" t="str">
        <f t="shared" si="232"/>
        <v/>
      </c>
      <c r="M450" s="64" t="str">
        <f t="shared" si="233"/>
        <v/>
      </c>
      <c r="O450" s="63" t="str">
        <f t="shared" si="234"/>
        <v/>
      </c>
      <c r="P450" s="63" t="str">
        <f t="shared" si="235"/>
        <v/>
      </c>
      <c r="R450" s="63" t="str">
        <f t="shared" si="236"/>
        <v/>
      </c>
      <c r="S450" s="64" t="str">
        <f t="shared" si="237"/>
        <v/>
      </c>
      <c r="T450" s="38">
        <v>0</v>
      </c>
      <c r="U450" s="64" t="str">
        <f t="shared" si="238"/>
        <v/>
      </c>
      <c r="V450" s="219" t="str">
        <f>IF($A451="","",IF(AND(MONTH(A450)&gt;3,MONTH(A450)&lt;11),(T450+R450+G450)*Summary!$T$11/(1-Summary!$T$11),(T450+R450+G450)*Summary!$U$11/(1-Summary!$U$11)))</f>
        <v/>
      </c>
      <c r="W450" s="43" t="str">
        <f t="shared" si="239"/>
        <v/>
      </c>
      <c r="X450" s="43" t="str">
        <f t="shared" si="240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1"/>
        <v/>
      </c>
      <c r="AP450" s="33" t="str">
        <f t="shared" si="242"/>
        <v/>
      </c>
      <c r="AQ450" s="58" t="str">
        <f t="shared" si="243"/>
        <v/>
      </c>
      <c r="AR450" s="38">
        <f>'ANR OK vs ML7'!AR450</f>
        <v>0.1</v>
      </c>
      <c r="AS450" s="35" t="str">
        <f t="shared" si="244"/>
        <v/>
      </c>
      <c r="AT450" s="3" t="str">
        <f t="shared" si="245"/>
        <v/>
      </c>
      <c r="AU450" s="3" t="str">
        <f t="shared" si="246"/>
        <v/>
      </c>
      <c r="AW450" s="32" t="str">
        <f t="shared" si="247"/>
        <v/>
      </c>
      <c r="AX450" s="32" t="str">
        <f t="shared" si="248"/>
        <v/>
      </c>
      <c r="AY450" s="32" t="str">
        <f t="shared" si="249"/>
        <v/>
      </c>
      <c r="BA450" s="32" t="str">
        <f>IF($A451="","",F450*Summary!$Q$11)</f>
        <v/>
      </c>
    </row>
    <row r="451" spans="1:53">
      <c r="A451" s="67" t="str">
        <f t="shared" si="250"/>
        <v/>
      </c>
      <c r="B451" s="69" t="str">
        <f t="shared" si="251"/>
        <v/>
      </c>
      <c r="D451" s="69" t="str">
        <f t="shared" si="225"/>
        <v/>
      </c>
      <c r="E451" s="70" t="str">
        <f t="shared" si="226"/>
        <v/>
      </c>
      <c r="F451" s="70" t="str">
        <f t="shared" si="227"/>
        <v/>
      </c>
      <c r="G451" s="63" t="str">
        <f t="shared" si="228"/>
        <v/>
      </c>
      <c r="H451" s="64" t="str">
        <f t="shared" si="229"/>
        <v/>
      </c>
      <c r="J451" s="63" t="str">
        <f t="shared" si="230"/>
        <v/>
      </c>
      <c r="K451" s="64" t="str">
        <f t="shared" si="231"/>
        <v/>
      </c>
      <c r="L451" s="63" t="str">
        <f t="shared" si="232"/>
        <v/>
      </c>
      <c r="M451" s="64" t="str">
        <f t="shared" si="233"/>
        <v/>
      </c>
      <c r="O451" s="63" t="str">
        <f t="shared" si="234"/>
        <v/>
      </c>
      <c r="P451" s="63" t="str">
        <f t="shared" si="235"/>
        <v/>
      </c>
      <c r="R451" s="63" t="str">
        <f t="shared" si="236"/>
        <v/>
      </c>
      <c r="S451" s="64" t="str">
        <f t="shared" si="237"/>
        <v/>
      </c>
      <c r="T451" s="38">
        <v>0</v>
      </c>
      <c r="U451" s="64" t="str">
        <f t="shared" si="238"/>
        <v/>
      </c>
      <c r="V451" s="219" t="str">
        <f>IF($A452="","",IF(AND(MONTH(A451)&gt;3,MONTH(A451)&lt;11),(T451+R451+G451)*Summary!$T$11/(1-Summary!$T$11),(T451+R451+G451)*Summary!$U$11/(1-Summary!$U$11)))</f>
        <v/>
      </c>
      <c r="W451" s="43" t="str">
        <f t="shared" si="239"/>
        <v/>
      </c>
      <c r="X451" s="43" t="str">
        <f t="shared" si="240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1"/>
        <v/>
      </c>
      <c r="AP451" s="33" t="str">
        <f t="shared" si="242"/>
        <v/>
      </c>
      <c r="AQ451" s="58" t="str">
        <f t="shared" si="243"/>
        <v/>
      </c>
      <c r="AR451" s="38">
        <f>'ANR OK vs ML7'!AR451</f>
        <v>0.1</v>
      </c>
      <c r="AS451" s="35" t="str">
        <f t="shared" si="244"/>
        <v/>
      </c>
      <c r="AT451" s="3" t="str">
        <f t="shared" si="245"/>
        <v/>
      </c>
      <c r="AU451" s="3" t="str">
        <f t="shared" si="246"/>
        <v/>
      </c>
      <c r="AW451" s="32" t="str">
        <f t="shared" si="247"/>
        <v/>
      </c>
      <c r="AX451" s="32" t="str">
        <f t="shared" si="248"/>
        <v/>
      </c>
      <c r="AY451" s="32" t="str">
        <f t="shared" si="249"/>
        <v/>
      </c>
      <c r="BA451" s="32" t="str">
        <f>IF($A452="","",F451*Summary!$Q$11)</f>
        <v/>
      </c>
    </row>
    <row r="452" spans="1:53">
      <c r="A452" s="67" t="str">
        <f t="shared" si="250"/>
        <v/>
      </c>
      <c r="B452" s="69" t="str">
        <f t="shared" si="251"/>
        <v/>
      </c>
      <c r="D452" s="69" t="str">
        <f t="shared" si="225"/>
        <v/>
      </c>
      <c r="E452" s="70" t="str">
        <f t="shared" si="226"/>
        <v/>
      </c>
      <c r="F452" s="70" t="str">
        <f t="shared" si="227"/>
        <v/>
      </c>
      <c r="G452" s="63" t="str">
        <f t="shared" si="228"/>
        <v/>
      </c>
      <c r="H452" s="64" t="str">
        <f t="shared" si="229"/>
        <v/>
      </c>
      <c r="J452" s="63" t="str">
        <f t="shared" si="230"/>
        <v/>
      </c>
      <c r="K452" s="64" t="str">
        <f t="shared" si="231"/>
        <v/>
      </c>
      <c r="L452" s="63" t="str">
        <f t="shared" si="232"/>
        <v/>
      </c>
      <c r="M452" s="64" t="str">
        <f t="shared" si="233"/>
        <v/>
      </c>
      <c r="O452" s="63" t="str">
        <f t="shared" si="234"/>
        <v/>
      </c>
      <c r="P452" s="63" t="str">
        <f t="shared" si="235"/>
        <v/>
      </c>
      <c r="R452" s="63" t="str">
        <f t="shared" si="236"/>
        <v/>
      </c>
      <c r="S452" s="64" t="str">
        <f t="shared" si="237"/>
        <v/>
      </c>
      <c r="T452" s="38">
        <v>0</v>
      </c>
      <c r="U452" s="64" t="str">
        <f t="shared" si="238"/>
        <v/>
      </c>
      <c r="V452" s="219" t="str">
        <f>IF($A453="","",IF(AND(MONTH(A452)&gt;3,MONTH(A452)&lt;11),(T452+R452+G452)*Summary!$T$11/(1-Summary!$T$11),(T452+R452+G452)*Summary!$U$11/(1-Summary!$U$11)))</f>
        <v/>
      </c>
      <c r="W452" s="43" t="str">
        <f t="shared" si="239"/>
        <v/>
      </c>
      <c r="X452" s="43" t="str">
        <f t="shared" si="240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1"/>
        <v/>
      </c>
      <c r="AP452" s="33" t="str">
        <f t="shared" si="242"/>
        <v/>
      </c>
      <c r="AQ452" s="58" t="str">
        <f t="shared" si="243"/>
        <v/>
      </c>
      <c r="AR452" s="38">
        <f>'ANR OK vs ML7'!AR452</f>
        <v>0.1</v>
      </c>
      <c r="AS452" s="35" t="str">
        <f t="shared" si="244"/>
        <v/>
      </c>
      <c r="AT452" s="3" t="str">
        <f t="shared" si="245"/>
        <v/>
      </c>
      <c r="AU452" s="3" t="str">
        <f t="shared" si="246"/>
        <v/>
      </c>
      <c r="AW452" s="32" t="str">
        <f t="shared" si="247"/>
        <v/>
      </c>
      <c r="AX452" s="32" t="str">
        <f t="shared" si="248"/>
        <v/>
      </c>
      <c r="AY452" s="32" t="str">
        <f t="shared" si="249"/>
        <v/>
      </c>
      <c r="BA452" s="32" t="str">
        <f>IF($A453="","",F452*Summary!$Q$11)</f>
        <v/>
      </c>
    </row>
    <row r="453" spans="1:53">
      <c r="A453" s="67" t="str">
        <f t="shared" si="250"/>
        <v/>
      </c>
      <c r="B453" s="69" t="str">
        <f t="shared" si="251"/>
        <v/>
      </c>
      <c r="D453" s="69" t="str">
        <f t="shared" si="225"/>
        <v/>
      </c>
      <c r="E453" s="70" t="str">
        <f t="shared" si="226"/>
        <v/>
      </c>
      <c r="F453" s="70" t="str">
        <f t="shared" si="227"/>
        <v/>
      </c>
      <c r="G453" s="63" t="str">
        <f t="shared" si="228"/>
        <v/>
      </c>
      <c r="H453" s="64" t="str">
        <f t="shared" si="229"/>
        <v/>
      </c>
      <c r="J453" s="63" t="str">
        <f t="shared" si="230"/>
        <v/>
      </c>
      <c r="K453" s="64" t="str">
        <f t="shared" si="231"/>
        <v/>
      </c>
      <c r="L453" s="63" t="str">
        <f t="shared" si="232"/>
        <v/>
      </c>
      <c r="M453" s="64" t="str">
        <f t="shared" si="233"/>
        <v/>
      </c>
      <c r="O453" s="63" t="str">
        <f t="shared" si="234"/>
        <v/>
      </c>
      <c r="P453" s="63" t="str">
        <f t="shared" si="235"/>
        <v/>
      </c>
      <c r="R453" s="63" t="str">
        <f t="shared" si="236"/>
        <v/>
      </c>
      <c r="S453" s="64" t="str">
        <f t="shared" si="237"/>
        <v/>
      </c>
      <c r="T453" s="38">
        <v>0</v>
      </c>
      <c r="U453" s="64" t="str">
        <f t="shared" si="238"/>
        <v/>
      </c>
      <c r="V453" s="219" t="str">
        <f>IF($A454="","",IF(AND(MONTH(A453)&gt;3,MONTH(A453)&lt;11),(T453+R453+G453)*Summary!$T$11/(1-Summary!$T$11),(T453+R453+G453)*Summary!$U$11/(1-Summary!$U$11)))</f>
        <v/>
      </c>
      <c r="W453" s="43" t="str">
        <f t="shared" si="239"/>
        <v/>
      </c>
      <c r="X453" s="43" t="str">
        <f t="shared" si="240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1"/>
        <v/>
      </c>
      <c r="AP453" s="33" t="str">
        <f t="shared" si="242"/>
        <v/>
      </c>
      <c r="AQ453" s="58" t="str">
        <f t="shared" si="243"/>
        <v/>
      </c>
      <c r="AR453" s="38">
        <f>'ANR OK vs ML7'!AR453</f>
        <v>0.1</v>
      </c>
      <c r="AS453" s="35" t="str">
        <f t="shared" si="244"/>
        <v/>
      </c>
      <c r="AT453" s="3" t="str">
        <f t="shared" si="245"/>
        <v/>
      </c>
      <c r="AU453" s="3" t="str">
        <f t="shared" si="246"/>
        <v/>
      </c>
      <c r="AW453" s="32" t="str">
        <f t="shared" si="247"/>
        <v/>
      </c>
      <c r="AX453" s="32" t="str">
        <f t="shared" si="248"/>
        <v/>
      </c>
      <c r="AY453" s="32" t="str">
        <f t="shared" si="249"/>
        <v/>
      </c>
      <c r="BA453" s="32" t="str">
        <f>IF($A454="","",F453*Summary!$Q$11)</f>
        <v/>
      </c>
    </row>
    <row r="454" spans="1:53">
      <c r="A454" s="67" t="str">
        <f t="shared" si="250"/>
        <v/>
      </c>
      <c r="B454" s="69" t="str">
        <f t="shared" si="251"/>
        <v/>
      </c>
      <c r="D454" s="69" t="str">
        <f t="shared" si="225"/>
        <v/>
      </c>
      <c r="E454" s="70" t="str">
        <f t="shared" si="226"/>
        <v/>
      </c>
      <c r="F454" s="70" t="str">
        <f t="shared" si="227"/>
        <v/>
      </c>
      <c r="G454" s="63" t="str">
        <f t="shared" si="228"/>
        <v/>
      </c>
      <c r="H454" s="64" t="str">
        <f t="shared" si="229"/>
        <v/>
      </c>
      <c r="J454" s="63" t="str">
        <f t="shared" si="230"/>
        <v/>
      </c>
      <c r="K454" s="64" t="str">
        <f t="shared" si="231"/>
        <v/>
      </c>
      <c r="L454" s="63" t="str">
        <f t="shared" si="232"/>
        <v/>
      </c>
      <c r="M454" s="64" t="str">
        <f t="shared" si="233"/>
        <v/>
      </c>
      <c r="O454" s="63" t="str">
        <f t="shared" si="234"/>
        <v/>
      </c>
      <c r="P454" s="63" t="str">
        <f t="shared" si="235"/>
        <v/>
      </c>
      <c r="R454" s="63" t="str">
        <f t="shared" si="236"/>
        <v/>
      </c>
      <c r="S454" s="64" t="str">
        <f t="shared" si="237"/>
        <v/>
      </c>
      <c r="T454" s="38">
        <v>0</v>
      </c>
      <c r="U454" s="64" t="str">
        <f t="shared" si="238"/>
        <v/>
      </c>
      <c r="V454" s="219" t="str">
        <f>IF($A455="","",IF(AND(MONTH(A454)&gt;3,MONTH(A454)&lt;11),(T454+R454+G454)*Summary!$T$11/(1-Summary!$T$11),(T454+R454+G454)*Summary!$U$11/(1-Summary!$U$11)))</f>
        <v/>
      </c>
      <c r="W454" s="43" t="str">
        <f t="shared" si="239"/>
        <v/>
      </c>
      <c r="X454" s="43" t="str">
        <f t="shared" si="240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1"/>
        <v/>
      </c>
      <c r="AP454" s="33" t="str">
        <f t="shared" si="242"/>
        <v/>
      </c>
      <c r="AQ454" s="58" t="str">
        <f t="shared" si="243"/>
        <v/>
      </c>
      <c r="AR454" s="38">
        <f>'ANR OK vs ML7'!AR454</f>
        <v>0.1</v>
      </c>
      <c r="AS454" s="35" t="str">
        <f t="shared" si="244"/>
        <v/>
      </c>
      <c r="AT454" s="3" t="str">
        <f t="shared" si="245"/>
        <v/>
      </c>
      <c r="AU454" s="3" t="str">
        <f t="shared" si="246"/>
        <v/>
      </c>
      <c r="AW454" s="32" t="str">
        <f t="shared" si="247"/>
        <v/>
      </c>
      <c r="AX454" s="32" t="str">
        <f t="shared" si="248"/>
        <v/>
      </c>
      <c r="AY454" s="32" t="str">
        <f t="shared" si="249"/>
        <v/>
      </c>
      <c r="BA454" s="32" t="str">
        <f>IF($A455="","",F454*Summary!$Q$11)</f>
        <v/>
      </c>
    </row>
    <row r="455" spans="1:53">
      <c r="A455" s="67" t="str">
        <f t="shared" si="250"/>
        <v/>
      </c>
      <c r="B455" s="69" t="str">
        <f t="shared" si="251"/>
        <v/>
      </c>
      <c r="D455" s="69" t="str">
        <f t="shared" si="225"/>
        <v/>
      </c>
      <c r="E455" s="70" t="str">
        <f t="shared" si="226"/>
        <v/>
      </c>
      <c r="F455" s="70" t="str">
        <f t="shared" si="227"/>
        <v/>
      </c>
      <c r="G455" s="63" t="str">
        <f t="shared" si="228"/>
        <v/>
      </c>
      <c r="H455" s="64" t="str">
        <f t="shared" si="229"/>
        <v/>
      </c>
      <c r="J455" s="63" t="str">
        <f t="shared" si="230"/>
        <v/>
      </c>
      <c r="K455" s="64" t="str">
        <f t="shared" si="231"/>
        <v/>
      </c>
      <c r="L455" s="63" t="str">
        <f t="shared" si="232"/>
        <v/>
      </c>
      <c r="M455" s="64" t="str">
        <f t="shared" si="233"/>
        <v/>
      </c>
      <c r="O455" s="63" t="str">
        <f t="shared" si="234"/>
        <v/>
      </c>
      <c r="P455" s="63" t="str">
        <f t="shared" si="235"/>
        <v/>
      </c>
      <c r="R455" s="63" t="str">
        <f t="shared" si="236"/>
        <v/>
      </c>
      <c r="S455" s="64" t="str">
        <f t="shared" si="237"/>
        <v/>
      </c>
      <c r="T455" s="38">
        <v>0</v>
      </c>
      <c r="U455" s="64" t="str">
        <f t="shared" si="238"/>
        <v/>
      </c>
      <c r="V455" s="219" t="str">
        <f>IF($A456="","",IF(AND(MONTH(A455)&gt;3,MONTH(A455)&lt;11),(T455+R455+G455)*Summary!$T$11/(1-Summary!$T$11),(T455+R455+G455)*Summary!$U$11/(1-Summary!$U$11)))</f>
        <v/>
      </c>
      <c r="W455" s="43" t="str">
        <f t="shared" si="239"/>
        <v/>
      </c>
      <c r="X455" s="43" t="str">
        <f t="shared" si="240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1"/>
        <v/>
      </c>
      <c r="AP455" s="33" t="str">
        <f t="shared" si="242"/>
        <v/>
      </c>
      <c r="AQ455" s="58" t="str">
        <f t="shared" si="243"/>
        <v/>
      </c>
      <c r="AR455" s="38">
        <f>'ANR OK vs ML7'!AR455</f>
        <v>0.1</v>
      </c>
      <c r="AS455" s="35" t="str">
        <f t="shared" si="244"/>
        <v/>
      </c>
      <c r="AT455" s="3" t="str">
        <f t="shared" si="245"/>
        <v/>
      </c>
      <c r="AU455" s="3" t="str">
        <f t="shared" si="246"/>
        <v/>
      </c>
      <c r="AW455" s="32" t="str">
        <f t="shared" si="247"/>
        <v/>
      </c>
      <c r="AX455" s="32" t="str">
        <f t="shared" si="248"/>
        <v/>
      </c>
      <c r="AY455" s="32" t="str">
        <f t="shared" si="249"/>
        <v/>
      </c>
      <c r="BA455" s="32" t="str">
        <f>IF($A456="","",F455*Summary!$Q$11)</f>
        <v/>
      </c>
    </row>
    <row r="456" spans="1:53">
      <c r="A456" s="67" t="str">
        <f t="shared" si="250"/>
        <v/>
      </c>
      <c r="B456" s="69" t="str">
        <f t="shared" si="251"/>
        <v/>
      </c>
      <c r="D456" s="69" t="str">
        <f t="shared" si="225"/>
        <v/>
      </c>
      <c r="E456" s="70" t="str">
        <f t="shared" si="226"/>
        <v/>
      </c>
      <c r="F456" s="70" t="str">
        <f t="shared" si="227"/>
        <v/>
      </c>
      <c r="G456" s="63" t="str">
        <f t="shared" si="228"/>
        <v/>
      </c>
      <c r="H456" s="64" t="str">
        <f t="shared" si="229"/>
        <v/>
      </c>
      <c r="J456" s="63" t="str">
        <f t="shared" si="230"/>
        <v/>
      </c>
      <c r="K456" s="64" t="str">
        <f t="shared" si="231"/>
        <v/>
      </c>
      <c r="L456" s="63" t="str">
        <f t="shared" si="232"/>
        <v/>
      </c>
      <c r="M456" s="64" t="str">
        <f t="shared" si="233"/>
        <v/>
      </c>
      <c r="O456" s="63" t="str">
        <f t="shared" si="234"/>
        <v/>
      </c>
      <c r="P456" s="63" t="str">
        <f t="shared" si="235"/>
        <v/>
      </c>
      <c r="R456" s="63" t="str">
        <f t="shared" si="236"/>
        <v/>
      </c>
      <c r="S456" s="64" t="str">
        <f t="shared" si="237"/>
        <v/>
      </c>
      <c r="T456" s="38">
        <v>0</v>
      </c>
      <c r="U456" s="64" t="str">
        <f t="shared" si="238"/>
        <v/>
      </c>
      <c r="V456" s="219" t="str">
        <f>IF($A457="","",IF(AND(MONTH(A456)&gt;3,MONTH(A456)&lt;11),(T456+R456+G456)*Summary!$T$11/(1-Summary!$T$11),(T456+R456+G456)*Summary!$U$11/(1-Summary!$U$11)))</f>
        <v/>
      </c>
      <c r="W456" s="43" t="str">
        <f t="shared" si="239"/>
        <v/>
      </c>
      <c r="X456" s="43" t="str">
        <f t="shared" si="240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1"/>
        <v/>
      </c>
      <c r="AP456" s="33" t="str">
        <f t="shared" si="242"/>
        <v/>
      </c>
      <c r="AQ456" s="58" t="str">
        <f t="shared" si="243"/>
        <v/>
      </c>
      <c r="AR456" s="38">
        <f>'ANR OK vs ML7'!AR456</f>
        <v>0.1</v>
      </c>
      <c r="AS456" s="35" t="str">
        <f t="shared" si="244"/>
        <v/>
      </c>
      <c r="AT456" s="3" t="str">
        <f t="shared" si="245"/>
        <v/>
      </c>
      <c r="AU456" s="3" t="str">
        <f t="shared" si="246"/>
        <v/>
      </c>
      <c r="AW456" s="32" t="str">
        <f t="shared" si="247"/>
        <v/>
      </c>
      <c r="AX456" s="32" t="str">
        <f t="shared" si="248"/>
        <v/>
      </c>
      <c r="AY456" s="32" t="str">
        <f t="shared" si="249"/>
        <v/>
      </c>
      <c r="BA456" s="32" t="str">
        <f>IF($A457="","",F456*Summary!$Q$11)</f>
        <v/>
      </c>
    </row>
    <row r="457" spans="1:53">
      <c r="A457" s="67" t="str">
        <f t="shared" si="250"/>
        <v/>
      </c>
      <c r="B457" s="69" t="str">
        <f t="shared" si="251"/>
        <v/>
      </c>
      <c r="D457" s="69" t="str">
        <f t="shared" si="225"/>
        <v/>
      </c>
      <c r="E457" s="70" t="str">
        <f t="shared" si="226"/>
        <v/>
      </c>
      <c r="F457" s="70" t="str">
        <f t="shared" si="227"/>
        <v/>
      </c>
      <c r="G457" s="63" t="str">
        <f t="shared" si="228"/>
        <v/>
      </c>
      <c r="H457" s="64" t="str">
        <f t="shared" si="229"/>
        <v/>
      </c>
      <c r="J457" s="63" t="str">
        <f t="shared" si="230"/>
        <v/>
      </c>
      <c r="K457" s="64" t="str">
        <f t="shared" si="231"/>
        <v/>
      </c>
      <c r="L457" s="63" t="str">
        <f t="shared" si="232"/>
        <v/>
      </c>
      <c r="M457" s="64" t="str">
        <f t="shared" si="233"/>
        <v/>
      </c>
      <c r="O457" s="63" t="str">
        <f t="shared" si="234"/>
        <v/>
      </c>
      <c r="P457" s="63" t="str">
        <f t="shared" si="235"/>
        <v/>
      </c>
      <c r="R457" s="63" t="str">
        <f t="shared" si="236"/>
        <v/>
      </c>
      <c r="S457" s="64" t="str">
        <f t="shared" si="237"/>
        <v/>
      </c>
      <c r="T457" s="38">
        <v>0</v>
      </c>
      <c r="U457" s="64" t="str">
        <f t="shared" si="238"/>
        <v/>
      </c>
      <c r="V457" s="219" t="str">
        <f>IF($A458="","",IF(AND(MONTH(A457)&gt;3,MONTH(A457)&lt;11),(T457+R457+G457)*Summary!$T$11/(1-Summary!$T$11),(T457+R457+G457)*Summary!$U$11/(1-Summary!$U$11)))</f>
        <v/>
      </c>
      <c r="W457" s="43" t="str">
        <f t="shared" si="239"/>
        <v/>
      </c>
      <c r="X457" s="43" t="str">
        <f t="shared" si="240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1"/>
        <v/>
      </c>
      <c r="AP457" s="33" t="str">
        <f t="shared" si="242"/>
        <v/>
      </c>
      <c r="AQ457" s="58" t="str">
        <f t="shared" si="243"/>
        <v/>
      </c>
      <c r="AR457" s="38">
        <f>'ANR OK vs ML7'!AR457</f>
        <v>0.1</v>
      </c>
      <c r="AS457" s="35" t="str">
        <f t="shared" si="244"/>
        <v/>
      </c>
      <c r="AT457" s="3" t="str">
        <f t="shared" si="245"/>
        <v/>
      </c>
      <c r="AU457" s="3" t="str">
        <f t="shared" si="246"/>
        <v/>
      </c>
      <c r="AW457" s="32" t="str">
        <f t="shared" si="247"/>
        <v/>
      </c>
      <c r="AX457" s="32" t="str">
        <f t="shared" si="248"/>
        <v/>
      </c>
      <c r="AY457" s="32" t="str">
        <f t="shared" si="249"/>
        <v/>
      </c>
      <c r="BA457" s="32" t="str">
        <f>IF($A458="","",F457*Summary!$Q$11)</f>
        <v/>
      </c>
    </row>
    <row r="458" spans="1:53">
      <c r="A458" s="67" t="str">
        <f t="shared" si="250"/>
        <v/>
      </c>
      <c r="B458" s="69" t="str">
        <f t="shared" si="251"/>
        <v/>
      </c>
      <c r="D458" s="69" t="str">
        <f t="shared" ref="D458:D499" si="252">IF(A459&lt;&gt;"",B458+C458,"")</f>
        <v/>
      </c>
      <c r="E458" s="70" t="str">
        <f t="shared" ref="E458:E499" si="253">IF(A459="","",IF(AND(AT458=1,$H$3=1),D458*AO458,IF($H$3=2,D458,"N/A")))</f>
        <v/>
      </c>
      <c r="F458" s="70" t="str">
        <f t="shared" ref="F458:F499" si="254">IF(A459="","",E458*AS458)</f>
        <v/>
      </c>
      <c r="G458" s="63" t="str">
        <f t="shared" ref="G458:G499" si="255">IF($A459="","",VLOOKUP($A458,Table,MATCH(G$4,Curves,0)))</f>
        <v/>
      </c>
      <c r="H458" s="64" t="str">
        <f t="shared" ref="H458:H499" si="256">IF(A459="","",G458)</f>
        <v/>
      </c>
      <c r="J458" s="63" t="str">
        <f t="shared" ref="J458:J499" si="257">IF($A459="","",VLOOKUP($A458,Table,MATCH(J$4,Curves,0)))</f>
        <v/>
      </c>
      <c r="K458" s="64" t="str">
        <f t="shared" ref="K458:K499" si="258">IF(A459="","",J458)</f>
        <v/>
      </c>
      <c r="L458" s="63" t="str">
        <f t="shared" ref="L458:L499" si="259">IF($A459="","",VLOOKUP($A458,Table,MATCH(L$4,Curves,0)))</f>
        <v/>
      </c>
      <c r="M458" s="64" t="str">
        <f t="shared" ref="M458:M499" si="260">IF(A459="","",L458)</f>
        <v/>
      </c>
      <c r="O458" s="63" t="str">
        <f t="shared" ref="O458:O499" si="261">IF(A459="","",L458+J458+G458)</f>
        <v/>
      </c>
      <c r="P458" s="63" t="str">
        <f t="shared" ref="P458:P499" si="262">IF(A459="","",M458+K458+H458)</f>
        <v/>
      </c>
      <c r="R458" s="63" t="str">
        <f t="shared" ref="R458:R499" si="263">IF($A459="","",VLOOKUP($A458,Table,MATCH(R$4,Curves,0)))</f>
        <v/>
      </c>
      <c r="S458" s="64" t="str">
        <f t="shared" ref="S458:S499" si="264">IF(A459="","",R458)</f>
        <v/>
      </c>
      <c r="T458" s="38">
        <v>0</v>
      </c>
      <c r="U458" s="64" t="str">
        <f t="shared" ref="U458:U499" si="265">IF(A459="","",T458)</f>
        <v/>
      </c>
      <c r="V458" s="219" t="str">
        <f>IF($A459="","",IF(AND(MONTH(A458)&gt;3,MONTH(A458)&lt;11),(T458+R458+G458)*Summary!$T$11/(1-Summary!$T$11),(T458+R458+G458)*Summary!$U$11/(1-Summary!$U$11)))</f>
        <v/>
      </c>
      <c r="W458" s="43" t="str">
        <f t="shared" ref="W458:W499" si="266">IF($A459="","",(T458+R458+G458+V458))</f>
        <v/>
      </c>
      <c r="X458" s="43" t="str">
        <f t="shared" ref="X458:X499" si="267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68">IF(A459="","",A459-A458)</f>
        <v/>
      </c>
      <c r="AP458" s="33" t="str">
        <f t="shared" ref="AP458:AP499" si="269">IF(A459="","",CHOOSE(F$3,A459+24,A458))</f>
        <v/>
      </c>
      <c r="AQ458" s="58" t="str">
        <f t="shared" ref="AQ458:AQ499" si="270">IF(A459="","",AP458-$E$1)</f>
        <v/>
      </c>
      <c r="AR458" s="38">
        <f>'ANR OK vs ML7'!AR458</f>
        <v>0.1</v>
      </c>
      <c r="AS458" s="35" t="str">
        <f t="shared" ref="AS458:AS499" si="271">IF(A459="","",1/(1+CHOOSE(F$3,(AR459+($I$3/10000))/2,(AR458+($I$3/10000))/2))^(2*AQ458/365.25))</f>
        <v/>
      </c>
      <c r="AT458" s="3" t="str">
        <f t="shared" ref="AT458:AT499" si="272">IF(A459="","",IF(AND(mthbeg&lt;=A458,mthend&gt;=A458),1,0))</f>
        <v/>
      </c>
      <c r="AU458" s="3" t="str">
        <f t="shared" ref="AU458:AU499" si="273">IF(A459="","",AO458*AT458)</f>
        <v/>
      </c>
      <c r="AW458" s="32" t="str">
        <f t="shared" ref="AW458:AW501" si="274">IF($A459="","",AL458*$E458)</f>
        <v/>
      </c>
      <c r="AX458" s="32" t="str">
        <f t="shared" ref="AX458:AX501" si="275">IF($A459="","",AM458*$E458)</f>
        <v/>
      </c>
      <c r="AY458" s="32" t="str">
        <f t="shared" ref="AY458:AY501" si="276">IF($A459="","",AN458*$E458)</f>
        <v/>
      </c>
      <c r="BA458" s="32" t="str">
        <f>IF($A459="","",F458*Summary!$Q$11)</f>
        <v/>
      </c>
    </row>
    <row r="459" spans="1:53">
      <c r="A459" s="67" t="str">
        <f t="shared" ref="A459:A501" si="277">IF(A458&lt;mthend,EDATE(A458,1),"")</f>
        <v/>
      </c>
      <c r="B459" s="69" t="str">
        <f t="shared" si="251"/>
        <v/>
      </c>
      <c r="D459" s="69" t="str">
        <f t="shared" si="252"/>
        <v/>
      </c>
      <c r="E459" s="70" t="str">
        <f t="shared" si="253"/>
        <v/>
      </c>
      <c r="F459" s="70" t="str">
        <f t="shared" si="254"/>
        <v/>
      </c>
      <c r="G459" s="63" t="str">
        <f t="shared" si="255"/>
        <v/>
      </c>
      <c r="H459" s="64" t="str">
        <f t="shared" si="256"/>
        <v/>
      </c>
      <c r="J459" s="63" t="str">
        <f t="shared" si="257"/>
        <v/>
      </c>
      <c r="K459" s="64" t="str">
        <f t="shared" si="258"/>
        <v/>
      </c>
      <c r="L459" s="63" t="str">
        <f t="shared" si="259"/>
        <v/>
      </c>
      <c r="M459" s="64" t="str">
        <f t="shared" si="260"/>
        <v/>
      </c>
      <c r="O459" s="63" t="str">
        <f t="shared" si="261"/>
        <v/>
      </c>
      <c r="P459" s="63" t="str">
        <f t="shared" si="262"/>
        <v/>
      </c>
      <c r="R459" s="63" t="str">
        <f t="shared" si="263"/>
        <v/>
      </c>
      <c r="S459" s="64" t="str">
        <f t="shared" si="264"/>
        <v/>
      </c>
      <c r="T459" s="38">
        <v>0</v>
      </c>
      <c r="U459" s="64" t="str">
        <f t="shared" si="265"/>
        <v/>
      </c>
      <c r="V459" s="219" t="str">
        <f>IF($A460="","",IF(AND(MONTH(A459)&gt;3,MONTH(A459)&lt;11),(T459+R459+G459)*Summary!$T$11/(1-Summary!$T$11),(T459+R459+G459)*Summary!$U$11/(1-Summary!$U$11)))</f>
        <v/>
      </c>
      <c r="W459" s="43" t="str">
        <f t="shared" si="266"/>
        <v/>
      </c>
      <c r="X459" s="43" t="str">
        <f t="shared" si="267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68"/>
        <v/>
      </c>
      <c r="AP459" s="33" t="str">
        <f t="shared" si="269"/>
        <v/>
      </c>
      <c r="AQ459" s="58" t="str">
        <f t="shared" si="270"/>
        <v/>
      </c>
      <c r="AR459" s="38">
        <f>'ANR OK vs ML7'!AR459</f>
        <v>0.1</v>
      </c>
      <c r="AS459" s="35" t="str">
        <f t="shared" si="271"/>
        <v/>
      </c>
      <c r="AT459" s="3" t="str">
        <f t="shared" si="272"/>
        <v/>
      </c>
      <c r="AU459" s="3" t="str">
        <f t="shared" si="273"/>
        <v/>
      </c>
      <c r="AW459" s="32" t="str">
        <f t="shared" si="274"/>
        <v/>
      </c>
      <c r="AX459" s="32" t="str">
        <f t="shared" si="275"/>
        <v/>
      </c>
      <c r="AY459" s="32" t="str">
        <f t="shared" si="276"/>
        <v/>
      </c>
      <c r="BA459" s="32" t="str">
        <f>IF($A460="","",F459*Summary!$Q$11)</f>
        <v/>
      </c>
    </row>
    <row r="460" spans="1:53">
      <c r="A460" s="67" t="str">
        <f t="shared" si="277"/>
        <v/>
      </c>
      <c r="B460" s="69" t="str">
        <f t="shared" ref="B460:B501" si="278">IF(A460&lt;mthend,B459,"")</f>
        <v/>
      </c>
      <c r="D460" s="69" t="str">
        <f t="shared" si="252"/>
        <v/>
      </c>
      <c r="E460" s="70" t="str">
        <f t="shared" si="253"/>
        <v/>
      </c>
      <c r="F460" s="70" t="str">
        <f t="shared" si="254"/>
        <v/>
      </c>
      <c r="G460" s="63" t="str">
        <f t="shared" si="255"/>
        <v/>
      </c>
      <c r="H460" s="64" t="str">
        <f t="shared" si="256"/>
        <v/>
      </c>
      <c r="J460" s="63" t="str">
        <f t="shared" si="257"/>
        <v/>
      </c>
      <c r="K460" s="64" t="str">
        <f t="shared" si="258"/>
        <v/>
      </c>
      <c r="L460" s="63" t="str">
        <f t="shared" si="259"/>
        <v/>
      </c>
      <c r="M460" s="64" t="str">
        <f t="shared" si="260"/>
        <v/>
      </c>
      <c r="O460" s="63" t="str">
        <f t="shared" si="261"/>
        <v/>
      </c>
      <c r="P460" s="63" t="str">
        <f t="shared" si="262"/>
        <v/>
      </c>
      <c r="R460" s="63" t="str">
        <f t="shared" si="263"/>
        <v/>
      </c>
      <c r="S460" s="64" t="str">
        <f t="shared" si="264"/>
        <v/>
      </c>
      <c r="T460" s="38">
        <v>0</v>
      </c>
      <c r="U460" s="64" t="str">
        <f t="shared" si="265"/>
        <v/>
      </c>
      <c r="V460" s="219" t="str">
        <f>IF($A461="","",IF(AND(MONTH(A460)&gt;3,MONTH(A460)&lt;11),(T460+R460+G460)*Summary!$T$11/(1-Summary!$T$11),(T460+R460+G460)*Summary!$U$11/(1-Summary!$U$11)))</f>
        <v/>
      </c>
      <c r="W460" s="43" t="str">
        <f t="shared" si="266"/>
        <v/>
      </c>
      <c r="X460" s="43" t="str">
        <f t="shared" si="267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68"/>
        <v/>
      </c>
      <c r="AP460" s="33" t="str">
        <f t="shared" si="269"/>
        <v/>
      </c>
      <c r="AQ460" s="58" t="str">
        <f t="shared" si="270"/>
        <v/>
      </c>
      <c r="AR460" s="38">
        <f>'ANR OK vs ML7'!AR460</f>
        <v>0.1</v>
      </c>
      <c r="AS460" s="35" t="str">
        <f t="shared" si="271"/>
        <v/>
      </c>
      <c r="AT460" s="3" t="str">
        <f t="shared" si="272"/>
        <v/>
      </c>
      <c r="AU460" s="3" t="str">
        <f t="shared" si="273"/>
        <v/>
      </c>
      <c r="AW460" s="32" t="str">
        <f t="shared" si="274"/>
        <v/>
      </c>
      <c r="AX460" s="32" t="str">
        <f t="shared" si="275"/>
        <v/>
      </c>
      <c r="AY460" s="32" t="str">
        <f t="shared" si="276"/>
        <v/>
      </c>
      <c r="BA460" s="32" t="str">
        <f>IF($A461="","",F460*Summary!$Q$11)</f>
        <v/>
      </c>
    </row>
    <row r="461" spans="1:53">
      <c r="A461" s="67" t="str">
        <f t="shared" si="277"/>
        <v/>
      </c>
      <c r="B461" s="69" t="str">
        <f t="shared" si="278"/>
        <v/>
      </c>
      <c r="D461" s="69" t="str">
        <f t="shared" si="252"/>
        <v/>
      </c>
      <c r="E461" s="70" t="str">
        <f t="shared" si="253"/>
        <v/>
      </c>
      <c r="F461" s="70" t="str">
        <f t="shared" si="254"/>
        <v/>
      </c>
      <c r="G461" s="63" t="str">
        <f t="shared" si="255"/>
        <v/>
      </c>
      <c r="H461" s="64" t="str">
        <f t="shared" si="256"/>
        <v/>
      </c>
      <c r="J461" s="63" t="str">
        <f t="shared" si="257"/>
        <v/>
      </c>
      <c r="K461" s="64" t="str">
        <f t="shared" si="258"/>
        <v/>
      </c>
      <c r="L461" s="63" t="str">
        <f t="shared" si="259"/>
        <v/>
      </c>
      <c r="M461" s="64" t="str">
        <f t="shared" si="260"/>
        <v/>
      </c>
      <c r="O461" s="63" t="str">
        <f t="shared" si="261"/>
        <v/>
      </c>
      <c r="P461" s="63" t="str">
        <f t="shared" si="262"/>
        <v/>
      </c>
      <c r="R461" s="63" t="str">
        <f t="shared" si="263"/>
        <v/>
      </c>
      <c r="S461" s="64" t="str">
        <f t="shared" si="264"/>
        <v/>
      </c>
      <c r="T461" s="38">
        <v>0</v>
      </c>
      <c r="U461" s="64" t="str">
        <f t="shared" si="265"/>
        <v/>
      </c>
      <c r="V461" s="219" t="str">
        <f>IF($A462="","",IF(AND(MONTH(A461)&gt;3,MONTH(A461)&lt;11),(T461+R461+G461)*Summary!$T$11/(1-Summary!$T$11),(T461+R461+G461)*Summary!$U$11/(1-Summary!$U$11)))</f>
        <v/>
      </c>
      <c r="W461" s="43" t="str">
        <f t="shared" si="266"/>
        <v/>
      </c>
      <c r="X461" s="43" t="str">
        <f t="shared" si="267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68"/>
        <v/>
      </c>
      <c r="AP461" s="33" t="str">
        <f t="shared" si="269"/>
        <v/>
      </c>
      <c r="AQ461" s="58" t="str">
        <f t="shared" si="270"/>
        <v/>
      </c>
      <c r="AR461" s="38">
        <f>'ANR OK vs ML7'!AR461</f>
        <v>0.1</v>
      </c>
      <c r="AS461" s="35" t="str">
        <f t="shared" si="271"/>
        <v/>
      </c>
      <c r="AT461" s="3" t="str">
        <f t="shared" si="272"/>
        <v/>
      </c>
      <c r="AU461" s="3" t="str">
        <f t="shared" si="273"/>
        <v/>
      </c>
      <c r="AW461" s="32" t="str">
        <f t="shared" si="274"/>
        <v/>
      </c>
      <c r="AX461" s="32" t="str">
        <f t="shared" si="275"/>
        <v/>
      </c>
      <c r="AY461" s="32" t="str">
        <f t="shared" si="276"/>
        <v/>
      </c>
      <c r="BA461" s="32" t="str">
        <f>IF($A462="","",F461*Summary!$Q$11)</f>
        <v/>
      </c>
    </row>
    <row r="462" spans="1:53">
      <c r="A462" s="67" t="str">
        <f t="shared" si="277"/>
        <v/>
      </c>
      <c r="B462" s="69" t="str">
        <f t="shared" si="278"/>
        <v/>
      </c>
      <c r="D462" s="69" t="str">
        <f t="shared" si="252"/>
        <v/>
      </c>
      <c r="E462" s="70" t="str">
        <f t="shared" si="253"/>
        <v/>
      </c>
      <c r="F462" s="70" t="str">
        <f t="shared" si="254"/>
        <v/>
      </c>
      <c r="G462" s="63" t="str">
        <f t="shared" si="255"/>
        <v/>
      </c>
      <c r="H462" s="64" t="str">
        <f t="shared" si="256"/>
        <v/>
      </c>
      <c r="J462" s="63" t="str">
        <f t="shared" si="257"/>
        <v/>
      </c>
      <c r="K462" s="64" t="str">
        <f t="shared" si="258"/>
        <v/>
      </c>
      <c r="L462" s="63" t="str">
        <f t="shared" si="259"/>
        <v/>
      </c>
      <c r="M462" s="64" t="str">
        <f t="shared" si="260"/>
        <v/>
      </c>
      <c r="O462" s="63" t="str">
        <f t="shared" si="261"/>
        <v/>
      </c>
      <c r="P462" s="63" t="str">
        <f t="shared" si="262"/>
        <v/>
      </c>
      <c r="R462" s="63" t="str">
        <f t="shared" si="263"/>
        <v/>
      </c>
      <c r="S462" s="64" t="str">
        <f t="shared" si="264"/>
        <v/>
      </c>
      <c r="T462" s="38">
        <v>0</v>
      </c>
      <c r="U462" s="64" t="str">
        <f t="shared" si="265"/>
        <v/>
      </c>
      <c r="V462" s="219" t="str">
        <f>IF($A463="","",IF(AND(MONTH(A462)&gt;3,MONTH(A462)&lt;11),(T462+R462+G462)*Summary!$T$11/(1-Summary!$T$11),(T462+R462+G462)*Summary!$U$11/(1-Summary!$U$11)))</f>
        <v/>
      </c>
      <c r="W462" s="43" t="str">
        <f t="shared" si="266"/>
        <v/>
      </c>
      <c r="X462" s="43" t="str">
        <f t="shared" si="267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68"/>
        <v/>
      </c>
      <c r="AP462" s="33" t="str">
        <f t="shared" si="269"/>
        <v/>
      </c>
      <c r="AQ462" s="58" t="str">
        <f t="shared" si="270"/>
        <v/>
      </c>
      <c r="AR462" s="38">
        <f>'ANR OK vs ML7'!AR462</f>
        <v>0.1</v>
      </c>
      <c r="AS462" s="35" t="str">
        <f t="shared" si="271"/>
        <v/>
      </c>
      <c r="AT462" s="3" t="str">
        <f t="shared" si="272"/>
        <v/>
      </c>
      <c r="AU462" s="3" t="str">
        <f t="shared" si="273"/>
        <v/>
      </c>
      <c r="AW462" s="32" t="str">
        <f t="shared" si="274"/>
        <v/>
      </c>
      <c r="AX462" s="32" t="str">
        <f t="shared" si="275"/>
        <v/>
      </c>
      <c r="AY462" s="32" t="str">
        <f t="shared" si="276"/>
        <v/>
      </c>
      <c r="BA462" s="32" t="str">
        <f>IF($A463="","",F462*Summary!$Q$11)</f>
        <v/>
      </c>
    </row>
    <row r="463" spans="1:53">
      <c r="A463" s="67" t="str">
        <f t="shared" si="277"/>
        <v/>
      </c>
      <c r="B463" s="69" t="str">
        <f t="shared" si="278"/>
        <v/>
      </c>
      <c r="D463" s="69" t="str">
        <f t="shared" si="252"/>
        <v/>
      </c>
      <c r="E463" s="70" t="str">
        <f t="shared" si="253"/>
        <v/>
      </c>
      <c r="F463" s="70" t="str">
        <f t="shared" si="254"/>
        <v/>
      </c>
      <c r="G463" s="63" t="str">
        <f t="shared" si="255"/>
        <v/>
      </c>
      <c r="H463" s="64" t="str">
        <f t="shared" si="256"/>
        <v/>
      </c>
      <c r="J463" s="63" t="str">
        <f t="shared" si="257"/>
        <v/>
      </c>
      <c r="K463" s="64" t="str">
        <f t="shared" si="258"/>
        <v/>
      </c>
      <c r="L463" s="63" t="str">
        <f t="shared" si="259"/>
        <v/>
      </c>
      <c r="M463" s="64" t="str">
        <f t="shared" si="260"/>
        <v/>
      </c>
      <c r="O463" s="63" t="str">
        <f t="shared" si="261"/>
        <v/>
      </c>
      <c r="P463" s="63" t="str">
        <f t="shared" si="262"/>
        <v/>
      </c>
      <c r="R463" s="63" t="str">
        <f t="shared" si="263"/>
        <v/>
      </c>
      <c r="S463" s="64" t="str">
        <f t="shared" si="264"/>
        <v/>
      </c>
      <c r="T463" s="38">
        <v>0</v>
      </c>
      <c r="U463" s="64" t="str">
        <f t="shared" si="265"/>
        <v/>
      </c>
      <c r="V463" s="219" t="str">
        <f>IF($A464="","",IF(AND(MONTH(A463)&gt;3,MONTH(A463)&lt;11),(T463+R463+G463)*Summary!$T$11/(1-Summary!$T$11),(T463+R463+G463)*Summary!$U$11/(1-Summary!$U$11)))</f>
        <v/>
      </c>
      <c r="W463" s="43" t="str">
        <f t="shared" si="266"/>
        <v/>
      </c>
      <c r="X463" s="43" t="str">
        <f t="shared" si="267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68"/>
        <v/>
      </c>
      <c r="AP463" s="33" t="str">
        <f t="shared" si="269"/>
        <v/>
      </c>
      <c r="AQ463" s="58" t="str">
        <f t="shared" si="270"/>
        <v/>
      </c>
      <c r="AR463" s="38">
        <f>'ANR OK vs ML7'!AR463</f>
        <v>0.1</v>
      </c>
      <c r="AS463" s="35" t="str">
        <f t="shared" si="271"/>
        <v/>
      </c>
      <c r="AT463" s="3" t="str">
        <f t="shared" si="272"/>
        <v/>
      </c>
      <c r="AU463" s="3" t="str">
        <f t="shared" si="273"/>
        <v/>
      </c>
      <c r="AW463" s="32" t="str">
        <f t="shared" si="274"/>
        <v/>
      </c>
      <c r="AX463" s="32" t="str">
        <f t="shared" si="275"/>
        <v/>
      </c>
      <c r="AY463" s="32" t="str">
        <f t="shared" si="276"/>
        <v/>
      </c>
      <c r="BA463" s="32" t="str">
        <f>IF($A464="","",F463*Summary!$Q$11)</f>
        <v/>
      </c>
    </row>
    <row r="464" spans="1:53">
      <c r="A464" s="67" t="str">
        <f t="shared" si="277"/>
        <v/>
      </c>
      <c r="B464" s="69" t="str">
        <f t="shared" si="278"/>
        <v/>
      </c>
      <c r="D464" s="69" t="str">
        <f t="shared" si="252"/>
        <v/>
      </c>
      <c r="E464" s="70" t="str">
        <f t="shared" si="253"/>
        <v/>
      </c>
      <c r="F464" s="70" t="str">
        <f t="shared" si="254"/>
        <v/>
      </c>
      <c r="G464" s="63" t="str">
        <f t="shared" si="255"/>
        <v/>
      </c>
      <c r="H464" s="64" t="str">
        <f t="shared" si="256"/>
        <v/>
      </c>
      <c r="J464" s="63" t="str">
        <f t="shared" si="257"/>
        <v/>
      </c>
      <c r="K464" s="64" t="str">
        <f t="shared" si="258"/>
        <v/>
      </c>
      <c r="L464" s="63" t="str">
        <f t="shared" si="259"/>
        <v/>
      </c>
      <c r="M464" s="64" t="str">
        <f t="shared" si="260"/>
        <v/>
      </c>
      <c r="O464" s="63" t="str">
        <f t="shared" si="261"/>
        <v/>
      </c>
      <c r="P464" s="63" t="str">
        <f t="shared" si="262"/>
        <v/>
      </c>
      <c r="R464" s="63" t="str">
        <f t="shared" si="263"/>
        <v/>
      </c>
      <c r="S464" s="64" t="str">
        <f t="shared" si="264"/>
        <v/>
      </c>
      <c r="T464" s="38">
        <v>0</v>
      </c>
      <c r="U464" s="64" t="str">
        <f t="shared" si="265"/>
        <v/>
      </c>
      <c r="V464" s="219" t="str">
        <f>IF($A465="","",IF(AND(MONTH(A464)&gt;3,MONTH(A464)&lt;11),(T464+R464+G464)*Summary!$T$11/(1-Summary!$T$11),(T464+R464+G464)*Summary!$U$11/(1-Summary!$U$11)))</f>
        <v/>
      </c>
      <c r="W464" s="43" t="str">
        <f t="shared" si="266"/>
        <v/>
      </c>
      <c r="X464" s="43" t="str">
        <f t="shared" si="267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68"/>
        <v/>
      </c>
      <c r="AP464" s="33" t="str">
        <f t="shared" si="269"/>
        <v/>
      </c>
      <c r="AQ464" s="58" t="str">
        <f t="shared" si="270"/>
        <v/>
      </c>
      <c r="AR464" s="38">
        <f>'ANR OK vs ML7'!AR464</f>
        <v>0.1</v>
      </c>
      <c r="AS464" s="35" t="str">
        <f t="shared" si="271"/>
        <v/>
      </c>
      <c r="AT464" s="3" t="str">
        <f t="shared" si="272"/>
        <v/>
      </c>
      <c r="AU464" s="3" t="str">
        <f t="shared" si="273"/>
        <v/>
      </c>
      <c r="AW464" s="32" t="str">
        <f t="shared" si="274"/>
        <v/>
      </c>
      <c r="AX464" s="32" t="str">
        <f t="shared" si="275"/>
        <v/>
      </c>
      <c r="AY464" s="32" t="str">
        <f t="shared" si="276"/>
        <v/>
      </c>
      <c r="BA464" s="32" t="str">
        <f>IF($A465="","",F464*Summary!$Q$11)</f>
        <v/>
      </c>
    </row>
    <row r="465" spans="1:53">
      <c r="A465" s="67" t="str">
        <f t="shared" si="277"/>
        <v/>
      </c>
      <c r="B465" s="69" t="str">
        <f t="shared" si="278"/>
        <v/>
      </c>
      <c r="D465" s="69" t="str">
        <f t="shared" si="252"/>
        <v/>
      </c>
      <c r="E465" s="70" t="str">
        <f t="shared" si="253"/>
        <v/>
      </c>
      <c r="F465" s="70" t="str">
        <f t="shared" si="254"/>
        <v/>
      </c>
      <c r="G465" s="63" t="str">
        <f t="shared" si="255"/>
        <v/>
      </c>
      <c r="H465" s="64" t="str">
        <f t="shared" si="256"/>
        <v/>
      </c>
      <c r="J465" s="63" t="str">
        <f t="shared" si="257"/>
        <v/>
      </c>
      <c r="K465" s="64" t="str">
        <f t="shared" si="258"/>
        <v/>
      </c>
      <c r="L465" s="63" t="str">
        <f t="shared" si="259"/>
        <v/>
      </c>
      <c r="M465" s="64" t="str">
        <f t="shared" si="260"/>
        <v/>
      </c>
      <c r="O465" s="63" t="str">
        <f t="shared" si="261"/>
        <v/>
      </c>
      <c r="P465" s="63" t="str">
        <f t="shared" si="262"/>
        <v/>
      </c>
      <c r="R465" s="63" t="str">
        <f t="shared" si="263"/>
        <v/>
      </c>
      <c r="S465" s="64" t="str">
        <f t="shared" si="264"/>
        <v/>
      </c>
      <c r="T465" s="38">
        <v>0</v>
      </c>
      <c r="U465" s="64" t="str">
        <f t="shared" si="265"/>
        <v/>
      </c>
      <c r="V465" s="219" t="str">
        <f>IF($A466="","",IF(AND(MONTH(A465)&gt;3,MONTH(A465)&lt;11),(T465+R465+G465)*Summary!$T$11/(1-Summary!$T$11),(T465+R465+G465)*Summary!$U$11/(1-Summary!$U$11)))</f>
        <v/>
      </c>
      <c r="W465" s="43" t="str">
        <f t="shared" si="266"/>
        <v/>
      </c>
      <c r="X465" s="43" t="str">
        <f t="shared" si="267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68"/>
        <v/>
      </c>
      <c r="AP465" s="33" t="str">
        <f t="shared" si="269"/>
        <v/>
      </c>
      <c r="AQ465" s="58" t="str">
        <f t="shared" si="270"/>
        <v/>
      </c>
      <c r="AR465" s="38">
        <f>'ANR OK vs ML7'!AR465</f>
        <v>0.1</v>
      </c>
      <c r="AS465" s="35" t="str">
        <f t="shared" si="271"/>
        <v/>
      </c>
      <c r="AT465" s="3" t="str">
        <f t="shared" si="272"/>
        <v/>
      </c>
      <c r="AU465" s="3" t="str">
        <f t="shared" si="273"/>
        <v/>
      </c>
      <c r="AW465" s="32" t="str">
        <f t="shared" si="274"/>
        <v/>
      </c>
      <c r="AX465" s="32" t="str">
        <f t="shared" si="275"/>
        <v/>
      </c>
      <c r="AY465" s="32" t="str">
        <f t="shared" si="276"/>
        <v/>
      </c>
      <c r="BA465" s="32" t="str">
        <f>IF($A466="","",F465*Summary!$Q$11)</f>
        <v/>
      </c>
    </row>
    <row r="466" spans="1:53">
      <c r="A466" s="67" t="str">
        <f t="shared" si="277"/>
        <v/>
      </c>
      <c r="B466" s="69" t="str">
        <f t="shared" si="278"/>
        <v/>
      </c>
      <c r="D466" s="69" t="str">
        <f t="shared" si="252"/>
        <v/>
      </c>
      <c r="E466" s="70" t="str">
        <f t="shared" si="253"/>
        <v/>
      </c>
      <c r="F466" s="70" t="str">
        <f t="shared" si="254"/>
        <v/>
      </c>
      <c r="G466" s="63" t="str">
        <f t="shared" si="255"/>
        <v/>
      </c>
      <c r="H466" s="64" t="str">
        <f t="shared" si="256"/>
        <v/>
      </c>
      <c r="J466" s="63" t="str">
        <f t="shared" si="257"/>
        <v/>
      </c>
      <c r="K466" s="64" t="str">
        <f t="shared" si="258"/>
        <v/>
      </c>
      <c r="L466" s="63" t="str">
        <f t="shared" si="259"/>
        <v/>
      </c>
      <c r="M466" s="64" t="str">
        <f t="shared" si="260"/>
        <v/>
      </c>
      <c r="O466" s="63" t="str">
        <f t="shared" si="261"/>
        <v/>
      </c>
      <c r="P466" s="63" t="str">
        <f t="shared" si="262"/>
        <v/>
      </c>
      <c r="R466" s="63" t="str">
        <f t="shared" si="263"/>
        <v/>
      </c>
      <c r="S466" s="64" t="str">
        <f t="shared" si="264"/>
        <v/>
      </c>
      <c r="T466" s="38">
        <v>0</v>
      </c>
      <c r="U466" s="64" t="str">
        <f t="shared" si="265"/>
        <v/>
      </c>
      <c r="V466" s="219" t="str">
        <f>IF($A467="","",IF(AND(MONTH(A466)&gt;3,MONTH(A466)&lt;11),(T466+R466+G466)*Summary!$T$11/(1-Summary!$T$11),(T466+R466+G466)*Summary!$U$11/(1-Summary!$U$11)))</f>
        <v/>
      </c>
      <c r="W466" s="43" t="str">
        <f t="shared" si="266"/>
        <v/>
      </c>
      <c r="X466" s="43" t="str">
        <f t="shared" si="267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68"/>
        <v/>
      </c>
      <c r="AP466" s="33" t="str">
        <f t="shared" si="269"/>
        <v/>
      </c>
      <c r="AQ466" s="58" t="str">
        <f t="shared" si="270"/>
        <v/>
      </c>
      <c r="AR466" s="38">
        <f>'ANR OK vs ML7'!AR466</f>
        <v>0.1</v>
      </c>
      <c r="AS466" s="35" t="str">
        <f t="shared" si="271"/>
        <v/>
      </c>
      <c r="AT466" s="3" t="str">
        <f t="shared" si="272"/>
        <v/>
      </c>
      <c r="AU466" s="3" t="str">
        <f t="shared" si="273"/>
        <v/>
      </c>
      <c r="AW466" s="32" t="str">
        <f t="shared" si="274"/>
        <v/>
      </c>
      <c r="AX466" s="32" t="str">
        <f t="shared" si="275"/>
        <v/>
      </c>
      <c r="AY466" s="32" t="str">
        <f t="shared" si="276"/>
        <v/>
      </c>
      <c r="BA466" s="32" t="str">
        <f>IF($A467="","",F466*Summary!$Q$11)</f>
        <v/>
      </c>
    </row>
    <row r="467" spans="1:53">
      <c r="A467" s="67" t="str">
        <f t="shared" si="277"/>
        <v/>
      </c>
      <c r="B467" s="69" t="str">
        <f t="shared" si="278"/>
        <v/>
      </c>
      <c r="D467" s="69" t="str">
        <f t="shared" si="252"/>
        <v/>
      </c>
      <c r="E467" s="70" t="str">
        <f t="shared" si="253"/>
        <v/>
      </c>
      <c r="F467" s="70" t="str">
        <f t="shared" si="254"/>
        <v/>
      </c>
      <c r="G467" s="63" t="str">
        <f t="shared" si="255"/>
        <v/>
      </c>
      <c r="H467" s="64" t="str">
        <f t="shared" si="256"/>
        <v/>
      </c>
      <c r="J467" s="63" t="str">
        <f t="shared" si="257"/>
        <v/>
      </c>
      <c r="K467" s="64" t="str">
        <f t="shared" si="258"/>
        <v/>
      </c>
      <c r="L467" s="63" t="str">
        <f t="shared" si="259"/>
        <v/>
      </c>
      <c r="M467" s="64" t="str">
        <f t="shared" si="260"/>
        <v/>
      </c>
      <c r="O467" s="63" t="str">
        <f t="shared" si="261"/>
        <v/>
      </c>
      <c r="P467" s="63" t="str">
        <f t="shared" si="262"/>
        <v/>
      </c>
      <c r="R467" s="63" t="str">
        <f t="shared" si="263"/>
        <v/>
      </c>
      <c r="S467" s="64" t="str">
        <f t="shared" si="264"/>
        <v/>
      </c>
      <c r="T467" s="38">
        <v>0</v>
      </c>
      <c r="U467" s="64" t="str">
        <f t="shared" si="265"/>
        <v/>
      </c>
      <c r="V467" s="219" t="str">
        <f>IF($A468="","",IF(AND(MONTH(A467)&gt;3,MONTH(A467)&lt;11),(T467+R467+G467)*Summary!$T$11/(1-Summary!$T$11),(T467+R467+G467)*Summary!$U$11/(1-Summary!$U$11)))</f>
        <v/>
      </c>
      <c r="W467" s="43" t="str">
        <f t="shared" si="266"/>
        <v/>
      </c>
      <c r="X467" s="43" t="str">
        <f t="shared" si="267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68"/>
        <v/>
      </c>
      <c r="AP467" s="33" t="str">
        <f t="shared" si="269"/>
        <v/>
      </c>
      <c r="AQ467" s="58" t="str">
        <f t="shared" si="270"/>
        <v/>
      </c>
      <c r="AR467" s="38">
        <f>'ANR OK vs ML7'!AR467</f>
        <v>0.1</v>
      </c>
      <c r="AS467" s="35" t="str">
        <f t="shared" si="271"/>
        <v/>
      </c>
      <c r="AT467" s="3" t="str">
        <f t="shared" si="272"/>
        <v/>
      </c>
      <c r="AU467" s="3" t="str">
        <f t="shared" si="273"/>
        <v/>
      </c>
      <c r="AW467" s="32" t="str">
        <f t="shared" si="274"/>
        <v/>
      </c>
      <c r="AX467" s="32" t="str">
        <f t="shared" si="275"/>
        <v/>
      </c>
      <c r="AY467" s="32" t="str">
        <f t="shared" si="276"/>
        <v/>
      </c>
      <c r="BA467" s="32" t="str">
        <f>IF($A468="","",F467*Summary!$Q$11)</f>
        <v/>
      </c>
    </row>
    <row r="468" spans="1:53">
      <c r="A468" s="67" t="str">
        <f t="shared" si="277"/>
        <v/>
      </c>
      <c r="B468" s="69" t="str">
        <f t="shared" si="278"/>
        <v/>
      </c>
      <c r="D468" s="69" t="str">
        <f t="shared" si="252"/>
        <v/>
      </c>
      <c r="E468" s="70" t="str">
        <f t="shared" si="253"/>
        <v/>
      </c>
      <c r="F468" s="70" t="str">
        <f t="shared" si="254"/>
        <v/>
      </c>
      <c r="G468" s="63" t="str">
        <f t="shared" si="255"/>
        <v/>
      </c>
      <c r="H468" s="64" t="str">
        <f t="shared" si="256"/>
        <v/>
      </c>
      <c r="J468" s="63" t="str">
        <f t="shared" si="257"/>
        <v/>
      </c>
      <c r="K468" s="64" t="str">
        <f t="shared" si="258"/>
        <v/>
      </c>
      <c r="L468" s="63" t="str">
        <f t="shared" si="259"/>
        <v/>
      </c>
      <c r="M468" s="64" t="str">
        <f t="shared" si="260"/>
        <v/>
      </c>
      <c r="O468" s="63" t="str">
        <f t="shared" si="261"/>
        <v/>
      </c>
      <c r="P468" s="63" t="str">
        <f t="shared" si="262"/>
        <v/>
      </c>
      <c r="R468" s="63" t="str">
        <f t="shared" si="263"/>
        <v/>
      </c>
      <c r="S468" s="64" t="str">
        <f t="shared" si="264"/>
        <v/>
      </c>
      <c r="T468" s="38">
        <v>0</v>
      </c>
      <c r="U468" s="64" t="str">
        <f t="shared" si="265"/>
        <v/>
      </c>
      <c r="V468" s="219" t="str">
        <f>IF($A469="","",IF(AND(MONTH(A468)&gt;3,MONTH(A468)&lt;11),(T468+R468+G468)*Summary!$T$11/(1-Summary!$T$11),(T468+R468+G468)*Summary!$U$11/(1-Summary!$U$11)))</f>
        <v/>
      </c>
      <c r="W468" s="43" t="str">
        <f t="shared" si="266"/>
        <v/>
      </c>
      <c r="X468" s="43" t="str">
        <f t="shared" si="267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68"/>
        <v/>
      </c>
      <c r="AP468" s="33" t="str">
        <f t="shared" si="269"/>
        <v/>
      </c>
      <c r="AQ468" s="58" t="str">
        <f t="shared" si="270"/>
        <v/>
      </c>
      <c r="AR468" s="38">
        <f>'ANR OK vs ML7'!AR468</f>
        <v>0.1</v>
      </c>
      <c r="AS468" s="35" t="str">
        <f t="shared" si="271"/>
        <v/>
      </c>
      <c r="AT468" s="3" t="str">
        <f t="shared" si="272"/>
        <v/>
      </c>
      <c r="AU468" s="3" t="str">
        <f t="shared" si="273"/>
        <v/>
      </c>
      <c r="AW468" s="32" t="str">
        <f t="shared" si="274"/>
        <v/>
      </c>
      <c r="AX468" s="32" t="str">
        <f t="shared" si="275"/>
        <v/>
      </c>
      <c r="AY468" s="32" t="str">
        <f t="shared" si="276"/>
        <v/>
      </c>
      <c r="BA468" s="32" t="str">
        <f>IF($A469="","",F468*Summary!$Q$11)</f>
        <v/>
      </c>
    </row>
    <row r="469" spans="1:53">
      <c r="A469" s="67" t="str">
        <f t="shared" si="277"/>
        <v/>
      </c>
      <c r="B469" s="69" t="str">
        <f t="shared" si="278"/>
        <v/>
      </c>
      <c r="D469" s="69" t="str">
        <f t="shared" si="252"/>
        <v/>
      </c>
      <c r="E469" s="70" t="str">
        <f t="shared" si="253"/>
        <v/>
      </c>
      <c r="F469" s="70" t="str">
        <f t="shared" si="254"/>
        <v/>
      </c>
      <c r="G469" s="63" t="str">
        <f t="shared" si="255"/>
        <v/>
      </c>
      <c r="H469" s="64" t="str">
        <f t="shared" si="256"/>
        <v/>
      </c>
      <c r="J469" s="63" t="str">
        <f t="shared" si="257"/>
        <v/>
      </c>
      <c r="K469" s="64" t="str">
        <f t="shared" si="258"/>
        <v/>
      </c>
      <c r="L469" s="63" t="str">
        <f t="shared" si="259"/>
        <v/>
      </c>
      <c r="M469" s="64" t="str">
        <f t="shared" si="260"/>
        <v/>
      </c>
      <c r="O469" s="63" t="str">
        <f t="shared" si="261"/>
        <v/>
      </c>
      <c r="P469" s="63" t="str">
        <f t="shared" si="262"/>
        <v/>
      </c>
      <c r="R469" s="63" t="str">
        <f t="shared" si="263"/>
        <v/>
      </c>
      <c r="S469" s="64" t="str">
        <f t="shared" si="264"/>
        <v/>
      </c>
      <c r="T469" s="38">
        <v>0</v>
      </c>
      <c r="U469" s="64" t="str">
        <f t="shared" si="265"/>
        <v/>
      </c>
      <c r="V469" s="219" t="str">
        <f>IF($A470="","",IF(AND(MONTH(A469)&gt;3,MONTH(A469)&lt;11),(T469+R469+G469)*Summary!$T$11/(1-Summary!$T$11),(T469+R469+G469)*Summary!$U$11/(1-Summary!$U$11)))</f>
        <v/>
      </c>
      <c r="W469" s="43" t="str">
        <f t="shared" si="266"/>
        <v/>
      </c>
      <c r="X469" s="43" t="str">
        <f t="shared" si="267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68"/>
        <v/>
      </c>
      <c r="AP469" s="33" t="str">
        <f t="shared" si="269"/>
        <v/>
      </c>
      <c r="AQ469" s="58" t="str">
        <f t="shared" si="270"/>
        <v/>
      </c>
      <c r="AR469" s="38">
        <f>'ANR OK vs ML7'!AR469</f>
        <v>0.1</v>
      </c>
      <c r="AS469" s="35" t="str">
        <f t="shared" si="271"/>
        <v/>
      </c>
      <c r="AT469" s="3" t="str">
        <f t="shared" si="272"/>
        <v/>
      </c>
      <c r="AU469" s="3" t="str">
        <f t="shared" si="273"/>
        <v/>
      </c>
      <c r="AW469" s="32" t="str">
        <f t="shared" si="274"/>
        <v/>
      </c>
      <c r="AX469" s="32" t="str">
        <f t="shared" si="275"/>
        <v/>
      </c>
      <c r="AY469" s="32" t="str">
        <f t="shared" si="276"/>
        <v/>
      </c>
      <c r="BA469" s="32" t="str">
        <f>IF($A470="","",F469*Summary!$Q$11)</f>
        <v/>
      </c>
    </row>
    <row r="470" spans="1:53">
      <c r="A470" s="67" t="str">
        <f t="shared" si="277"/>
        <v/>
      </c>
      <c r="B470" s="69" t="str">
        <f t="shared" si="278"/>
        <v/>
      </c>
      <c r="D470" s="69" t="str">
        <f t="shared" si="252"/>
        <v/>
      </c>
      <c r="E470" s="70" t="str">
        <f t="shared" si="253"/>
        <v/>
      </c>
      <c r="F470" s="70" t="str">
        <f t="shared" si="254"/>
        <v/>
      </c>
      <c r="G470" s="63" t="str">
        <f t="shared" si="255"/>
        <v/>
      </c>
      <c r="H470" s="64" t="str">
        <f t="shared" si="256"/>
        <v/>
      </c>
      <c r="J470" s="63" t="str">
        <f t="shared" si="257"/>
        <v/>
      </c>
      <c r="K470" s="64" t="str">
        <f t="shared" si="258"/>
        <v/>
      </c>
      <c r="L470" s="63" t="str">
        <f t="shared" si="259"/>
        <v/>
      </c>
      <c r="M470" s="64" t="str">
        <f t="shared" si="260"/>
        <v/>
      </c>
      <c r="O470" s="63" t="str">
        <f t="shared" si="261"/>
        <v/>
      </c>
      <c r="P470" s="63" t="str">
        <f t="shared" si="262"/>
        <v/>
      </c>
      <c r="R470" s="63" t="str">
        <f t="shared" si="263"/>
        <v/>
      </c>
      <c r="S470" s="64" t="str">
        <f t="shared" si="264"/>
        <v/>
      </c>
      <c r="T470" s="38">
        <v>0</v>
      </c>
      <c r="U470" s="64" t="str">
        <f t="shared" si="265"/>
        <v/>
      </c>
      <c r="V470" s="219" t="str">
        <f>IF($A471="","",IF(AND(MONTH(A470)&gt;3,MONTH(A470)&lt;11),(T470+R470+G470)*Summary!$T$11/(1-Summary!$T$11),(T470+R470+G470)*Summary!$U$11/(1-Summary!$U$11)))</f>
        <v/>
      </c>
      <c r="W470" s="43" t="str">
        <f t="shared" si="266"/>
        <v/>
      </c>
      <c r="X470" s="43" t="str">
        <f t="shared" si="267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68"/>
        <v/>
      </c>
      <c r="AP470" s="33" t="str">
        <f t="shared" si="269"/>
        <v/>
      </c>
      <c r="AQ470" s="58" t="str">
        <f t="shared" si="270"/>
        <v/>
      </c>
      <c r="AR470" s="38">
        <f>'ANR OK vs ML7'!AR470</f>
        <v>0.1</v>
      </c>
      <c r="AS470" s="35" t="str">
        <f t="shared" si="271"/>
        <v/>
      </c>
      <c r="AT470" s="3" t="str">
        <f t="shared" si="272"/>
        <v/>
      </c>
      <c r="AU470" s="3" t="str">
        <f t="shared" si="273"/>
        <v/>
      </c>
      <c r="AW470" s="32" t="str">
        <f t="shared" si="274"/>
        <v/>
      </c>
      <c r="AX470" s="32" t="str">
        <f t="shared" si="275"/>
        <v/>
      </c>
      <c r="AY470" s="32" t="str">
        <f t="shared" si="276"/>
        <v/>
      </c>
      <c r="BA470" s="32" t="str">
        <f>IF($A471="","",F470*Summary!$Q$11)</f>
        <v/>
      </c>
    </row>
    <row r="471" spans="1:53">
      <c r="A471" s="67" t="str">
        <f t="shared" si="277"/>
        <v/>
      </c>
      <c r="B471" s="69" t="str">
        <f t="shared" si="278"/>
        <v/>
      </c>
      <c r="D471" s="69" t="str">
        <f t="shared" si="252"/>
        <v/>
      </c>
      <c r="E471" s="70" t="str">
        <f t="shared" si="253"/>
        <v/>
      </c>
      <c r="F471" s="70" t="str">
        <f t="shared" si="254"/>
        <v/>
      </c>
      <c r="G471" s="63" t="str">
        <f t="shared" si="255"/>
        <v/>
      </c>
      <c r="H471" s="64" t="str">
        <f t="shared" si="256"/>
        <v/>
      </c>
      <c r="J471" s="63" t="str">
        <f t="shared" si="257"/>
        <v/>
      </c>
      <c r="K471" s="64" t="str">
        <f t="shared" si="258"/>
        <v/>
      </c>
      <c r="L471" s="63" t="str">
        <f t="shared" si="259"/>
        <v/>
      </c>
      <c r="M471" s="64" t="str">
        <f t="shared" si="260"/>
        <v/>
      </c>
      <c r="O471" s="63" t="str">
        <f t="shared" si="261"/>
        <v/>
      </c>
      <c r="P471" s="63" t="str">
        <f t="shared" si="262"/>
        <v/>
      </c>
      <c r="R471" s="63" t="str">
        <f t="shared" si="263"/>
        <v/>
      </c>
      <c r="S471" s="64" t="str">
        <f t="shared" si="264"/>
        <v/>
      </c>
      <c r="T471" s="38">
        <v>0</v>
      </c>
      <c r="U471" s="64" t="str">
        <f t="shared" si="265"/>
        <v/>
      </c>
      <c r="V471" s="219" t="str">
        <f>IF($A472="","",IF(AND(MONTH(A471)&gt;3,MONTH(A471)&lt;11),(T471+R471+G471)*Summary!$T$11/(1-Summary!$T$11),(T471+R471+G471)*Summary!$U$11/(1-Summary!$U$11)))</f>
        <v/>
      </c>
      <c r="W471" s="43" t="str">
        <f t="shared" si="266"/>
        <v/>
      </c>
      <c r="X471" s="43" t="str">
        <f t="shared" si="267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68"/>
        <v/>
      </c>
      <c r="AP471" s="33" t="str">
        <f t="shared" si="269"/>
        <v/>
      </c>
      <c r="AQ471" s="58" t="str">
        <f t="shared" si="270"/>
        <v/>
      </c>
      <c r="AR471" s="38">
        <f>'ANR OK vs ML7'!AR471</f>
        <v>0.1</v>
      </c>
      <c r="AS471" s="35" t="str">
        <f t="shared" si="271"/>
        <v/>
      </c>
      <c r="AT471" s="3" t="str">
        <f t="shared" si="272"/>
        <v/>
      </c>
      <c r="AU471" s="3" t="str">
        <f t="shared" si="273"/>
        <v/>
      </c>
      <c r="AW471" s="32" t="str">
        <f t="shared" si="274"/>
        <v/>
      </c>
      <c r="AX471" s="32" t="str">
        <f t="shared" si="275"/>
        <v/>
      </c>
      <c r="AY471" s="32" t="str">
        <f t="shared" si="276"/>
        <v/>
      </c>
      <c r="BA471" s="32" t="str">
        <f>IF($A472="","",F471*Summary!$Q$11)</f>
        <v/>
      </c>
    </row>
    <row r="472" spans="1:53">
      <c r="A472" s="67" t="str">
        <f t="shared" si="277"/>
        <v/>
      </c>
      <c r="B472" s="69" t="str">
        <f t="shared" si="278"/>
        <v/>
      </c>
      <c r="D472" s="69" t="str">
        <f t="shared" si="252"/>
        <v/>
      </c>
      <c r="E472" s="70" t="str">
        <f t="shared" si="253"/>
        <v/>
      </c>
      <c r="F472" s="70" t="str">
        <f t="shared" si="254"/>
        <v/>
      </c>
      <c r="G472" s="63" t="str">
        <f t="shared" si="255"/>
        <v/>
      </c>
      <c r="H472" s="64" t="str">
        <f t="shared" si="256"/>
        <v/>
      </c>
      <c r="J472" s="63" t="str">
        <f t="shared" si="257"/>
        <v/>
      </c>
      <c r="K472" s="64" t="str">
        <f t="shared" si="258"/>
        <v/>
      </c>
      <c r="L472" s="63" t="str">
        <f t="shared" si="259"/>
        <v/>
      </c>
      <c r="M472" s="64" t="str">
        <f t="shared" si="260"/>
        <v/>
      </c>
      <c r="O472" s="63" t="str">
        <f t="shared" si="261"/>
        <v/>
      </c>
      <c r="P472" s="63" t="str">
        <f t="shared" si="262"/>
        <v/>
      </c>
      <c r="R472" s="63" t="str">
        <f t="shared" si="263"/>
        <v/>
      </c>
      <c r="S472" s="64" t="str">
        <f t="shared" si="264"/>
        <v/>
      </c>
      <c r="T472" s="38">
        <v>0</v>
      </c>
      <c r="U472" s="64" t="str">
        <f t="shared" si="265"/>
        <v/>
      </c>
      <c r="V472" s="219" t="str">
        <f>IF($A473="","",IF(AND(MONTH(A472)&gt;3,MONTH(A472)&lt;11),(T472+R472+G472)*Summary!$T$11/(1-Summary!$T$11),(T472+R472+G472)*Summary!$U$11/(1-Summary!$U$11)))</f>
        <v/>
      </c>
      <c r="W472" s="43" t="str">
        <f t="shared" si="266"/>
        <v/>
      </c>
      <c r="X472" s="43" t="str">
        <f t="shared" si="267"/>
        <v/>
      </c>
      <c r="Y472" s="43"/>
      <c r="AJ472" s="86"/>
      <c r="AK472" s="86"/>
      <c r="AL472" s="86"/>
      <c r="AM472" s="86"/>
      <c r="AN472" s="86"/>
      <c r="AO472" s="3" t="str">
        <f t="shared" si="268"/>
        <v/>
      </c>
      <c r="AP472" s="33" t="str">
        <f t="shared" si="269"/>
        <v/>
      </c>
      <c r="AQ472" s="58" t="str">
        <f t="shared" si="270"/>
        <v/>
      </c>
      <c r="AR472" s="38">
        <f>'ANR OK vs ML7'!AR472</f>
        <v>0.1</v>
      </c>
      <c r="AS472" s="35" t="str">
        <f t="shared" si="271"/>
        <v/>
      </c>
      <c r="AT472" s="3" t="str">
        <f t="shared" si="272"/>
        <v/>
      </c>
      <c r="AU472" s="3" t="str">
        <f t="shared" si="273"/>
        <v/>
      </c>
      <c r="AW472" s="32" t="str">
        <f t="shared" si="274"/>
        <v/>
      </c>
      <c r="AX472" s="32" t="str">
        <f t="shared" si="275"/>
        <v/>
      </c>
      <c r="AY472" s="32" t="str">
        <f t="shared" si="276"/>
        <v/>
      </c>
      <c r="BA472" s="32" t="str">
        <f>IF($A473="","",F472*Summary!$Q$11)</f>
        <v/>
      </c>
    </row>
    <row r="473" spans="1:53">
      <c r="A473" s="67" t="str">
        <f t="shared" si="277"/>
        <v/>
      </c>
      <c r="B473" s="69" t="str">
        <f t="shared" si="278"/>
        <v/>
      </c>
      <c r="D473" s="69" t="str">
        <f t="shared" si="252"/>
        <v/>
      </c>
      <c r="E473" s="70" t="str">
        <f t="shared" si="253"/>
        <v/>
      </c>
      <c r="F473" s="70" t="str">
        <f t="shared" si="254"/>
        <v/>
      </c>
      <c r="G473" s="63" t="str">
        <f t="shared" si="255"/>
        <v/>
      </c>
      <c r="H473" s="64" t="str">
        <f t="shared" si="256"/>
        <v/>
      </c>
      <c r="J473" s="63" t="str">
        <f t="shared" si="257"/>
        <v/>
      </c>
      <c r="K473" s="64" t="str">
        <f t="shared" si="258"/>
        <v/>
      </c>
      <c r="L473" s="63" t="str">
        <f t="shared" si="259"/>
        <v/>
      </c>
      <c r="M473" s="64" t="str">
        <f t="shared" si="260"/>
        <v/>
      </c>
      <c r="O473" s="63" t="str">
        <f t="shared" si="261"/>
        <v/>
      </c>
      <c r="P473" s="63" t="str">
        <f t="shared" si="262"/>
        <v/>
      </c>
      <c r="R473" s="63" t="str">
        <f t="shared" si="263"/>
        <v/>
      </c>
      <c r="S473" s="64" t="str">
        <f t="shared" si="264"/>
        <v/>
      </c>
      <c r="T473" s="38">
        <v>0</v>
      </c>
      <c r="U473" s="64" t="str">
        <f t="shared" si="265"/>
        <v/>
      </c>
      <c r="V473" s="219" t="str">
        <f>IF($A474="","",IF(AND(MONTH(A473)&gt;3,MONTH(A473)&lt;11),(T473+R473+G473)*Summary!$T$11/(1-Summary!$T$11),(T473+R473+G473)*Summary!$U$11/(1-Summary!$U$11)))</f>
        <v/>
      </c>
      <c r="W473" s="43" t="str">
        <f t="shared" si="266"/>
        <v/>
      </c>
      <c r="X473" s="43" t="str">
        <f t="shared" si="267"/>
        <v/>
      </c>
      <c r="Y473" s="43"/>
      <c r="AJ473" s="86"/>
      <c r="AK473" s="86"/>
      <c r="AL473" s="86"/>
      <c r="AM473" s="86"/>
      <c r="AN473" s="86"/>
      <c r="AO473" s="3" t="str">
        <f t="shared" si="268"/>
        <v/>
      </c>
      <c r="AP473" s="33" t="str">
        <f t="shared" si="269"/>
        <v/>
      </c>
      <c r="AQ473" s="58" t="str">
        <f t="shared" si="270"/>
        <v/>
      </c>
      <c r="AR473" s="38">
        <f>'ANR OK vs ML7'!AR473</f>
        <v>0.1</v>
      </c>
      <c r="AS473" s="35" t="str">
        <f t="shared" si="271"/>
        <v/>
      </c>
      <c r="AT473" s="3" t="str">
        <f t="shared" si="272"/>
        <v/>
      </c>
      <c r="AU473" s="3" t="str">
        <f t="shared" si="273"/>
        <v/>
      </c>
      <c r="AW473" s="32" t="str">
        <f t="shared" si="274"/>
        <v/>
      </c>
      <c r="AX473" s="32" t="str">
        <f t="shared" si="275"/>
        <v/>
      </c>
      <c r="AY473" s="32" t="str">
        <f t="shared" si="276"/>
        <v/>
      </c>
      <c r="BA473" s="32" t="str">
        <f>IF($A474="","",F473*Summary!$Q$11)</f>
        <v/>
      </c>
    </row>
    <row r="474" spans="1:53">
      <c r="A474" s="67" t="str">
        <f t="shared" si="277"/>
        <v/>
      </c>
      <c r="B474" s="69" t="str">
        <f t="shared" si="278"/>
        <v/>
      </c>
      <c r="D474" s="69" t="str">
        <f t="shared" si="252"/>
        <v/>
      </c>
      <c r="E474" s="70" t="str">
        <f t="shared" si="253"/>
        <v/>
      </c>
      <c r="F474" s="70" t="str">
        <f t="shared" si="254"/>
        <v/>
      </c>
      <c r="G474" s="63" t="str">
        <f t="shared" si="255"/>
        <v/>
      </c>
      <c r="H474" s="64" t="str">
        <f t="shared" si="256"/>
        <v/>
      </c>
      <c r="J474" s="63" t="str">
        <f t="shared" si="257"/>
        <v/>
      </c>
      <c r="K474" s="64" t="str">
        <f t="shared" si="258"/>
        <v/>
      </c>
      <c r="L474" s="63" t="str">
        <f t="shared" si="259"/>
        <v/>
      </c>
      <c r="M474" s="64" t="str">
        <f t="shared" si="260"/>
        <v/>
      </c>
      <c r="O474" s="63" t="str">
        <f t="shared" si="261"/>
        <v/>
      </c>
      <c r="P474" s="63" t="str">
        <f t="shared" si="262"/>
        <v/>
      </c>
      <c r="R474" s="63" t="str">
        <f t="shared" si="263"/>
        <v/>
      </c>
      <c r="S474" s="64" t="str">
        <f t="shared" si="264"/>
        <v/>
      </c>
      <c r="T474" s="38">
        <v>0</v>
      </c>
      <c r="U474" s="64" t="str">
        <f t="shared" si="265"/>
        <v/>
      </c>
      <c r="V474" s="219" t="str">
        <f>IF($A475="","",IF(AND(MONTH(A474)&gt;3,MONTH(A474)&lt;11),(T474+R474+G474)*Summary!$T$11/(1-Summary!$T$11),(T474+R474+G474)*Summary!$U$11/(1-Summary!$U$11)))</f>
        <v/>
      </c>
      <c r="W474" s="43" t="str">
        <f t="shared" si="266"/>
        <v/>
      </c>
      <c r="X474" s="43" t="str">
        <f t="shared" si="267"/>
        <v/>
      </c>
      <c r="Y474" s="43"/>
      <c r="AJ474" s="86"/>
      <c r="AK474" s="86"/>
      <c r="AL474" s="86"/>
      <c r="AM474" s="86"/>
      <c r="AN474" s="86"/>
      <c r="AO474" s="3" t="str">
        <f t="shared" si="268"/>
        <v/>
      </c>
      <c r="AP474" s="33" t="str">
        <f t="shared" si="269"/>
        <v/>
      </c>
      <c r="AQ474" s="58" t="str">
        <f t="shared" si="270"/>
        <v/>
      </c>
      <c r="AR474" s="38">
        <f>'ANR OK vs ML7'!AR474</f>
        <v>0.1</v>
      </c>
      <c r="AS474" s="35" t="str">
        <f t="shared" si="271"/>
        <v/>
      </c>
      <c r="AT474" s="3" t="str">
        <f t="shared" si="272"/>
        <v/>
      </c>
      <c r="AU474" s="3" t="str">
        <f t="shared" si="273"/>
        <v/>
      </c>
      <c r="AW474" s="32" t="str">
        <f t="shared" si="274"/>
        <v/>
      </c>
      <c r="AX474" s="32" t="str">
        <f t="shared" si="275"/>
        <v/>
      </c>
      <c r="AY474" s="32" t="str">
        <f t="shared" si="276"/>
        <v/>
      </c>
      <c r="BA474" s="32" t="str">
        <f>IF($A475="","",F474*Summary!$Q$11)</f>
        <v/>
      </c>
    </row>
    <row r="475" spans="1:53">
      <c r="A475" s="67" t="str">
        <f t="shared" si="277"/>
        <v/>
      </c>
      <c r="B475" s="69" t="str">
        <f t="shared" si="278"/>
        <v/>
      </c>
      <c r="D475" s="69" t="str">
        <f t="shared" si="252"/>
        <v/>
      </c>
      <c r="E475" s="70" t="str">
        <f t="shared" si="253"/>
        <v/>
      </c>
      <c r="F475" s="70" t="str">
        <f t="shared" si="254"/>
        <v/>
      </c>
      <c r="G475" s="63" t="str">
        <f t="shared" si="255"/>
        <v/>
      </c>
      <c r="H475" s="64" t="str">
        <f t="shared" si="256"/>
        <v/>
      </c>
      <c r="J475" s="63" t="str">
        <f t="shared" si="257"/>
        <v/>
      </c>
      <c r="K475" s="64" t="str">
        <f t="shared" si="258"/>
        <v/>
      </c>
      <c r="L475" s="63" t="str">
        <f t="shared" si="259"/>
        <v/>
      </c>
      <c r="M475" s="64" t="str">
        <f t="shared" si="260"/>
        <v/>
      </c>
      <c r="O475" s="63" t="str">
        <f t="shared" si="261"/>
        <v/>
      </c>
      <c r="P475" s="63" t="str">
        <f t="shared" si="262"/>
        <v/>
      </c>
      <c r="R475" s="63" t="str">
        <f t="shared" si="263"/>
        <v/>
      </c>
      <c r="S475" s="64" t="str">
        <f t="shared" si="264"/>
        <v/>
      </c>
      <c r="T475" s="38">
        <v>0</v>
      </c>
      <c r="U475" s="64" t="str">
        <f t="shared" si="265"/>
        <v/>
      </c>
      <c r="V475" s="219" t="str">
        <f>IF($A476="","",IF(AND(MONTH(A475)&gt;3,MONTH(A475)&lt;11),(T475+R475+G475)*Summary!$T$11/(1-Summary!$T$11),(T475+R475+G475)*Summary!$U$11/(1-Summary!$U$11)))</f>
        <v/>
      </c>
      <c r="W475" s="43" t="str">
        <f t="shared" si="266"/>
        <v/>
      </c>
      <c r="X475" s="43" t="str">
        <f t="shared" si="267"/>
        <v/>
      </c>
      <c r="Y475" s="43"/>
      <c r="AJ475" s="86"/>
      <c r="AK475" s="86"/>
      <c r="AL475" s="86"/>
      <c r="AM475" s="86"/>
      <c r="AN475" s="86"/>
      <c r="AO475" s="3" t="str">
        <f t="shared" si="268"/>
        <v/>
      </c>
      <c r="AP475" s="33" t="str">
        <f t="shared" si="269"/>
        <v/>
      </c>
      <c r="AQ475" s="58" t="str">
        <f t="shared" si="270"/>
        <v/>
      </c>
      <c r="AR475" s="38">
        <f>'ANR OK vs ML7'!AR475</f>
        <v>0.1</v>
      </c>
      <c r="AS475" s="35" t="str">
        <f t="shared" si="271"/>
        <v/>
      </c>
      <c r="AT475" s="3" t="str">
        <f t="shared" si="272"/>
        <v/>
      </c>
      <c r="AU475" s="3" t="str">
        <f t="shared" si="273"/>
        <v/>
      </c>
      <c r="AW475" s="32" t="str">
        <f t="shared" si="274"/>
        <v/>
      </c>
      <c r="AX475" s="32" t="str">
        <f t="shared" si="275"/>
        <v/>
      </c>
      <c r="AY475" s="32" t="str">
        <f t="shared" si="276"/>
        <v/>
      </c>
      <c r="BA475" s="32" t="str">
        <f>IF($A476="","",F475*Summary!$Q$11)</f>
        <v/>
      </c>
    </row>
    <row r="476" spans="1:53">
      <c r="A476" s="67" t="str">
        <f t="shared" si="277"/>
        <v/>
      </c>
      <c r="B476" s="69" t="str">
        <f t="shared" si="278"/>
        <v/>
      </c>
      <c r="D476" s="69" t="str">
        <f t="shared" si="252"/>
        <v/>
      </c>
      <c r="E476" s="70" t="str">
        <f t="shared" si="253"/>
        <v/>
      </c>
      <c r="F476" s="70" t="str">
        <f t="shared" si="254"/>
        <v/>
      </c>
      <c r="G476" s="63" t="str">
        <f t="shared" si="255"/>
        <v/>
      </c>
      <c r="H476" s="64" t="str">
        <f t="shared" si="256"/>
        <v/>
      </c>
      <c r="J476" s="63" t="str">
        <f t="shared" si="257"/>
        <v/>
      </c>
      <c r="K476" s="64" t="str">
        <f t="shared" si="258"/>
        <v/>
      </c>
      <c r="L476" s="63" t="str">
        <f t="shared" si="259"/>
        <v/>
      </c>
      <c r="M476" s="64" t="str">
        <f t="shared" si="260"/>
        <v/>
      </c>
      <c r="O476" s="63" t="str">
        <f t="shared" si="261"/>
        <v/>
      </c>
      <c r="P476" s="63" t="str">
        <f t="shared" si="262"/>
        <v/>
      </c>
      <c r="R476" s="63" t="str">
        <f t="shared" si="263"/>
        <v/>
      </c>
      <c r="S476" s="64" t="str">
        <f t="shared" si="264"/>
        <v/>
      </c>
      <c r="T476" s="38">
        <v>0</v>
      </c>
      <c r="U476" s="64" t="str">
        <f t="shared" si="265"/>
        <v/>
      </c>
      <c r="V476" s="219" t="str">
        <f>IF($A477="","",IF(AND(MONTH(A476)&gt;3,MONTH(A476)&lt;11),(T476+R476+G476)*Summary!$T$11/(1-Summary!$T$11),(T476+R476+G476)*Summary!$U$11/(1-Summary!$U$11)))</f>
        <v/>
      </c>
      <c r="W476" s="43" t="str">
        <f t="shared" si="266"/>
        <v/>
      </c>
      <c r="X476" s="43" t="str">
        <f t="shared" si="267"/>
        <v/>
      </c>
      <c r="Y476" s="43"/>
      <c r="AJ476" s="86"/>
      <c r="AK476" s="86"/>
      <c r="AL476" s="86"/>
      <c r="AM476" s="86"/>
      <c r="AN476" s="86"/>
      <c r="AO476" s="3" t="str">
        <f t="shared" si="268"/>
        <v/>
      </c>
      <c r="AP476" s="33" t="str">
        <f t="shared" si="269"/>
        <v/>
      </c>
      <c r="AQ476" s="58" t="str">
        <f t="shared" si="270"/>
        <v/>
      </c>
      <c r="AR476" s="38">
        <f>'ANR OK vs ML7'!AR476</f>
        <v>0.1</v>
      </c>
      <c r="AS476" s="35" t="str">
        <f t="shared" si="271"/>
        <v/>
      </c>
      <c r="AT476" s="3" t="str">
        <f t="shared" si="272"/>
        <v/>
      </c>
      <c r="AU476" s="3" t="str">
        <f t="shared" si="273"/>
        <v/>
      </c>
      <c r="AW476" s="32" t="str">
        <f t="shared" si="274"/>
        <v/>
      </c>
      <c r="AX476" s="32" t="str">
        <f t="shared" si="275"/>
        <v/>
      </c>
      <c r="AY476" s="32" t="str">
        <f t="shared" si="276"/>
        <v/>
      </c>
      <c r="BA476" s="32" t="str">
        <f>IF($A477="","",F476*Summary!$Q$11)</f>
        <v/>
      </c>
    </row>
    <row r="477" spans="1:53">
      <c r="A477" s="67" t="str">
        <f t="shared" si="277"/>
        <v/>
      </c>
      <c r="B477" s="69" t="str">
        <f t="shared" si="278"/>
        <v/>
      </c>
      <c r="D477" s="69" t="str">
        <f t="shared" si="252"/>
        <v/>
      </c>
      <c r="E477" s="70" t="str">
        <f t="shared" si="253"/>
        <v/>
      </c>
      <c r="F477" s="70" t="str">
        <f t="shared" si="254"/>
        <v/>
      </c>
      <c r="G477" s="63" t="str">
        <f t="shared" si="255"/>
        <v/>
      </c>
      <c r="H477" s="64" t="str">
        <f t="shared" si="256"/>
        <v/>
      </c>
      <c r="J477" s="63" t="str">
        <f t="shared" si="257"/>
        <v/>
      </c>
      <c r="K477" s="64" t="str">
        <f t="shared" si="258"/>
        <v/>
      </c>
      <c r="L477" s="63" t="str">
        <f t="shared" si="259"/>
        <v/>
      </c>
      <c r="M477" s="64" t="str">
        <f t="shared" si="260"/>
        <v/>
      </c>
      <c r="O477" s="63" t="str">
        <f t="shared" si="261"/>
        <v/>
      </c>
      <c r="P477" s="63" t="str">
        <f t="shared" si="262"/>
        <v/>
      </c>
      <c r="R477" s="63" t="str">
        <f t="shared" si="263"/>
        <v/>
      </c>
      <c r="S477" s="64" t="str">
        <f t="shared" si="264"/>
        <v/>
      </c>
      <c r="T477" s="38">
        <v>0</v>
      </c>
      <c r="U477" s="64" t="str">
        <f t="shared" si="265"/>
        <v/>
      </c>
      <c r="V477" s="219" t="str">
        <f>IF($A478="","",IF(AND(MONTH(A477)&gt;3,MONTH(A477)&lt;11),(T477+R477+G477)*Summary!$T$11/(1-Summary!$T$11),(T477+R477+G477)*Summary!$U$11/(1-Summary!$U$11)))</f>
        <v/>
      </c>
      <c r="W477" s="43" t="str">
        <f t="shared" si="266"/>
        <v/>
      </c>
      <c r="X477" s="43" t="str">
        <f t="shared" si="267"/>
        <v/>
      </c>
      <c r="Y477" s="43"/>
      <c r="AJ477" s="86"/>
      <c r="AK477" s="86"/>
      <c r="AL477" s="86"/>
      <c r="AM477" s="86"/>
      <c r="AN477" s="86"/>
      <c r="AO477" s="3" t="str">
        <f t="shared" si="268"/>
        <v/>
      </c>
      <c r="AP477" s="33" t="str">
        <f t="shared" si="269"/>
        <v/>
      </c>
      <c r="AQ477" s="58" t="str">
        <f t="shared" si="270"/>
        <v/>
      </c>
      <c r="AR477" s="38">
        <f>'ANR OK vs ML7'!AR477</f>
        <v>0.1</v>
      </c>
      <c r="AS477" s="35" t="str">
        <f t="shared" si="271"/>
        <v/>
      </c>
      <c r="AT477" s="3" t="str">
        <f t="shared" si="272"/>
        <v/>
      </c>
      <c r="AU477" s="3" t="str">
        <f t="shared" si="273"/>
        <v/>
      </c>
      <c r="AW477" s="32" t="str">
        <f t="shared" si="274"/>
        <v/>
      </c>
      <c r="AX477" s="32" t="str">
        <f t="shared" si="275"/>
        <v/>
      </c>
      <c r="AY477" s="32" t="str">
        <f t="shared" si="276"/>
        <v/>
      </c>
      <c r="BA477" s="32" t="str">
        <f>IF($A478="","",F477*Summary!$Q$11)</f>
        <v/>
      </c>
    </row>
    <row r="478" spans="1:53">
      <c r="A478" s="67" t="str">
        <f t="shared" si="277"/>
        <v/>
      </c>
      <c r="B478" s="69" t="str">
        <f t="shared" si="278"/>
        <v/>
      </c>
      <c r="D478" s="69" t="str">
        <f t="shared" si="252"/>
        <v/>
      </c>
      <c r="E478" s="70" t="str">
        <f t="shared" si="253"/>
        <v/>
      </c>
      <c r="F478" s="70" t="str">
        <f t="shared" si="254"/>
        <v/>
      </c>
      <c r="G478" s="63" t="str">
        <f t="shared" si="255"/>
        <v/>
      </c>
      <c r="H478" s="64" t="str">
        <f t="shared" si="256"/>
        <v/>
      </c>
      <c r="J478" s="63" t="str">
        <f t="shared" si="257"/>
        <v/>
      </c>
      <c r="K478" s="64" t="str">
        <f t="shared" si="258"/>
        <v/>
      </c>
      <c r="L478" s="63" t="str">
        <f t="shared" si="259"/>
        <v/>
      </c>
      <c r="M478" s="64" t="str">
        <f t="shared" si="260"/>
        <v/>
      </c>
      <c r="O478" s="63" t="str">
        <f t="shared" si="261"/>
        <v/>
      </c>
      <c r="P478" s="63" t="str">
        <f t="shared" si="262"/>
        <v/>
      </c>
      <c r="R478" s="63" t="str">
        <f t="shared" si="263"/>
        <v/>
      </c>
      <c r="S478" s="64" t="str">
        <f t="shared" si="264"/>
        <v/>
      </c>
      <c r="T478" s="38">
        <v>0</v>
      </c>
      <c r="U478" s="64" t="str">
        <f t="shared" si="265"/>
        <v/>
      </c>
      <c r="V478" s="219" t="str">
        <f>IF($A479="","",IF(AND(MONTH(A478)&gt;3,MONTH(A478)&lt;11),(T478+R478+G478)*Summary!$T$11/(1-Summary!$T$11),(T478+R478+G478)*Summary!$U$11/(1-Summary!$U$11)))</f>
        <v/>
      </c>
      <c r="W478" s="43" t="str">
        <f t="shared" si="266"/>
        <v/>
      </c>
      <c r="X478" s="43" t="str">
        <f t="shared" si="267"/>
        <v/>
      </c>
      <c r="Y478" s="43"/>
      <c r="AJ478" s="86"/>
      <c r="AK478" s="86"/>
      <c r="AL478" s="86"/>
      <c r="AM478" s="86"/>
      <c r="AN478" s="86"/>
      <c r="AO478" s="3" t="str">
        <f t="shared" si="268"/>
        <v/>
      </c>
      <c r="AP478" s="33" t="str">
        <f t="shared" si="269"/>
        <v/>
      </c>
      <c r="AQ478" s="58" t="str">
        <f t="shared" si="270"/>
        <v/>
      </c>
      <c r="AR478" s="38">
        <f>'ANR OK vs ML7'!AR478</f>
        <v>0.1</v>
      </c>
      <c r="AS478" s="35" t="str">
        <f t="shared" si="271"/>
        <v/>
      </c>
      <c r="AT478" s="3" t="str">
        <f t="shared" si="272"/>
        <v/>
      </c>
      <c r="AU478" s="3" t="str">
        <f t="shared" si="273"/>
        <v/>
      </c>
      <c r="AW478" s="32" t="str">
        <f t="shared" si="274"/>
        <v/>
      </c>
      <c r="AX478" s="32" t="str">
        <f t="shared" si="275"/>
        <v/>
      </c>
      <c r="AY478" s="32" t="str">
        <f t="shared" si="276"/>
        <v/>
      </c>
      <c r="BA478" s="32" t="str">
        <f>IF($A479="","",F478*Summary!$Q$11)</f>
        <v/>
      </c>
    </row>
    <row r="479" spans="1:53">
      <c r="A479" s="67" t="str">
        <f t="shared" si="277"/>
        <v/>
      </c>
      <c r="B479" s="69" t="str">
        <f t="shared" si="278"/>
        <v/>
      </c>
      <c r="D479" s="69" t="str">
        <f t="shared" si="252"/>
        <v/>
      </c>
      <c r="E479" s="70" t="str">
        <f t="shared" si="253"/>
        <v/>
      </c>
      <c r="F479" s="70" t="str">
        <f t="shared" si="254"/>
        <v/>
      </c>
      <c r="G479" s="63" t="str">
        <f t="shared" si="255"/>
        <v/>
      </c>
      <c r="H479" s="64" t="str">
        <f t="shared" si="256"/>
        <v/>
      </c>
      <c r="J479" s="63" t="str">
        <f t="shared" si="257"/>
        <v/>
      </c>
      <c r="K479" s="64" t="str">
        <f t="shared" si="258"/>
        <v/>
      </c>
      <c r="L479" s="63" t="str">
        <f t="shared" si="259"/>
        <v/>
      </c>
      <c r="M479" s="64" t="str">
        <f t="shared" si="260"/>
        <v/>
      </c>
      <c r="O479" s="63" t="str">
        <f t="shared" si="261"/>
        <v/>
      </c>
      <c r="P479" s="63" t="str">
        <f t="shared" si="262"/>
        <v/>
      </c>
      <c r="R479" s="63" t="str">
        <f t="shared" si="263"/>
        <v/>
      </c>
      <c r="S479" s="64" t="str">
        <f t="shared" si="264"/>
        <v/>
      </c>
      <c r="T479" s="38">
        <v>0</v>
      </c>
      <c r="U479" s="64" t="str">
        <f t="shared" si="265"/>
        <v/>
      </c>
      <c r="V479" s="219" t="str">
        <f>IF($A480="","",IF(AND(MONTH(A479)&gt;3,MONTH(A479)&lt;11),(T479+R479+G479)*Summary!$T$11/(1-Summary!$T$11),(T479+R479+G479)*Summary!$U$11/(1-Summary!$U$11)))</f>
        <v/>
      </c>
      <c r="W479" s="43" t="str">
        <f t="shared" si="266"/>
        <v/>
      </c>
      <c r="X479" s="43" t="str">
        <f t="shared" si="267"/>
        <v/>
      </c>
      <c r="Y479" s="43"/>
      <c r="AJ479" s="86"/>
      <c r="AK479" s="86"/>
      <c r="AL479" s="86"/>
      <c r="AM479" s="86"/>
      <c r="AN479" s="86"/>
      <c r="AO479" s="3" t="str">
        <f t="shared" si="268"/>
        <v/>
      </c>
      <c r="AP479" s="33" t="str">
        <f t="shared" si="269"/>
        <v/>
      </c>
      <c r="AQ479" s="58" t="str">
        <f t="shared" si="270"/>
        <v/>
      </c>
      <c r="AR479" s="38">
        <f>'ANR OK vs ML7'!AR479</f>
        <v>0.1</v>
      </c>
      <c r="AS479" s="35" t="str">
        <f t="shared" si="271"/>
        <v/>
      </c>
      <c r="AT479" s="3" t="str">
        <f t="shared" si="272"/>
        <v/>
      </c>
      <c r="AU479" s="3" t="str">
        <f t="shared" si="273"/>
        <v/>
      </c>
      <c r="AW479" s="32" t="str">
        <f t="shared" si="274"/>
        <v/>
      </c>
      <c r="AX479" s="32" t="str">
        <f t="shared" si="275"/>
        <v/>
      </c>
      <c r="AY479" s="32" t="str">
        <f t="shared" si="276"/>
        <v/>
      </c>
      <c r="BA479" s="32" t="str">
        <f>IF($A480="","",F479*Summary!$Q$11)</f>
        <v/>
      </c>
    </row>
    <row r="480" spans="1:53">
      <c r="A480" s="67" t="str">
        <f t="shared" si="277"/>
        <v/>
      </c>
      <c r="B480" s="69" t="str">
        <f t="shared" si="278"/>
        <v/>
      </c>
      <c r="D480" s="69" t="str">
        <f t="shared" si="252"/>
        <v/>
      </c>
      <c r="E480" s="70" t="str">
        <f t="shared" si="253"/>
        <v/>
      </c>
      <c r="F480" s="70" t="str">
        <f t="shared" si="254"/>
        <v/>
      </c>
      <c r="G480" s="63" t="str">
        <f t="shared" si="255"/>
        <v/>
      </c>
      <c r="H480" s="64" t="str">
        <f t="shared" si="256"/>
        <v/>
      </c>
      <c r="J480" s="63" t="str">
        <f t="shared" si="257"/>
        <v/>
      </c>
      <c r="K480" s="64" t="str">
        <f t="shared" si="258"/>
        <v/>
      </c>
      <c r="L480" s="63" t="str">
        <f t="shared" si="259"/>
        <v/>
      </c>
      <c r="M480" s="64" t="str">
        <f t="shared" si="260"/>
        <v/>
      </c>
      <c r="O480" s="63" t="str">
        <f t="shared" si="261"/>
        <v/>
      </c>
      <c r="P480" s="63" t="str">
        <f t="shared" si="262"/>
        <v/>
      </c>
      <c r="R480" s="63" t="str">
        <f t="shared" si="263"/>
        <v/>
      </c>
      <c r="S480" s="64" t="str">
        <f t="shared" si="264"/>
        <v/>
      </c>
      <c r="T480" s="38">
        <v>0</v>
      </c>
      <c r="U480" s="64" t="str">
        <f t="shared" si="265"/>
        <v/>
      </c>
      <c r="V480" s="219" t="str">
        <f>IF($A481="","",IF(AND(MONTH(A480)&gt;3,MONTH(A480)&lt;11),(T480+R480+G480)*Summary!$T$11/(1-Summary!$T$11),(T480+R480+G480)*Summary!$U$11/(1-Summary!$U$11)))</f>
        <v/>
      </c>
      <c r="W480" s="43" t="str">
        <f t="shared" si="266"/>
        <v/>
      </c>
      <c r="X480" s="43" t="str">
        <f t="shared" si="267"/>
        <v/>
      </c>
      <c r="Y480" s="43"/>
      <c r="AJ480" s="86"/>
      <c r="AK480" s="86"/>
      <c r="AL480" s="86"/>
      <c r="AM480" s="86"/>
      <c r="AN480" s="86"/>
      <c r="AO480" s="3" t="str">
        <f t="shared" si="268"/>
        <v/>
      </c>
      <c r="AP480" s="33" t="str">
        <f t="shared" si="269"/>
        <v/>
      </c>
      <c r="AQ480" s="58" t="str">
        <f t="shared" si="270"/>
        <v/>
      </c>
      <c r="AR480" s="38">
        <f>'ANR OK vs ML7'!AR480</f>
        <v>0.1</v>
      </c>
      <c r="AS480" s="35" t="str">
        <f t="shared" si="271"/>
        <v/>
      </c>
      <c r="AT480" s="3" t="str">
        <f t="shared" si="272"/>
        <v/>
      </c>
      <c r="AU480" s="3" t="str">
        <f t="shared" si="273"/>
        <v/>
      </c>
      <c r="AW480" s="32" t="str">
        <f t="shared" si="274"/>
        <v/>
      </c>
      <c r="AX480" s="32" t="str">
        <f t="shared" si="275"/>
        <v/>
      </c>
      <c r="AY480" s="32" t="str">
        <f t="shared" si="276"/>
        <v/>
      </c>
      <c r="BA480" s="32" t="str">
        <f>IF($A481="","",F480*Summary!$Q$11)</f>
        <v/>
      </c>
    </row>
    <row r="481" spans="1:53">
      <c r="A481" s="67" t="str">
        <f t="shared" si="277"/>
        <v/>
      </c>
      <c r="B481" s="69" t="str">
        <f t="shared" si="278"/>
        <v/>
      </c>
      <c r="D481" s="69" t="str">
        <f t="shared" si="252"/>
        <v/>
      </c>
      <c r="E481" s="70" t="str">
        <f t="shared" si="253"/>
        <v/>
      </c>
      <c r="F481" s="70" t="str">
        <f t="shared" si="254"/>
        <v/>
      </c>
      <c r="G481" s="63" t="str">
        <f t="shared" si="255"/>
        <v/>
      </c>
      <c r="H481" s="64" t="str">
        <f t="shared" si="256"/>
        <v/>
      </c>
      <c r="J481" s="63" t="str">
        <f t="shared" si="257"/>
        <v/>
      </c>
      <c r="K481" s="64" t="str">
        <f t="shared" si="258"/>
        <v/>
      </c>
      <c r="L481" s="63" t="str">
        <f t="shared" si="259"/>
        <v/>
      </c>
      <c r="M481" s="64" t="str">
        <f t="shared" si="260"/>
        <v/>
      </c>
      <c r="O481" s="63" t="str">
        <f t="shared" si="261"/>
        <v/>
      </c>
      <c r="P481" s="63" t="str">
        <f t="shared" si="262"/>
        <v/>
      </c>
      <c r="R481" s="63" t="str">
        <f t="shared" si="263"/>
        <v/>
      </c>
      <c r="S481" s="64" t="str">
        <f t="shared" si="264"/>
        <v/>
      </c>
      <c r="T481" s="38">
        <v>0</v>
      </c>
      <c r="U481" s="64" t="str">
        <f t="shared" si="265"/>
        <v/>
      </c>
      <c r="V481" s="219" t="str">
        <f>IF($A482="","",IF(AND(MONTH(A481)&gt;3,MONTH(A481)&lt;11),(T481+R481+G481)*Summary!$T$11/(1-Summary!$T$11),(T481+R481+G481)*Summary!$U$11/(1-Summary!$U$11)))</f>
        <v/>
      </c>
      <c r="W481" s="43" t="str">
        <f t="shared" si="266"/>
        <v/>
      </c>
      <c r="X481" s="43" t="str">
        <f t="shared" si="267"/>
        <v/>
      </c>
      <c r="Y481" s="43"/>
      <c r="AJ481" s="86"/>
      <c r="AK481" s="86"/>
      <c r="AL481" s="86"/>
      <c r="AM481" s="86"/>
      <c r="AN481" s="86"/>
      <c r="AO481" s="3" t="str">
        <f t="shared" si="268"/>
        <v/>
      </c>
      <c r="AP481" s="33" t="str">
        <f t="shared" si="269"/>
        <v/>
      </c>
      <c r="AQ481" s="58" t="str">
        <f t="shared" si="270"/>
        <v/>
      </c>
      <c r="AR481" s="38">
        <f>'ANR OK vs ML7'!AR481</f>
        <v>0.1</v>
      </c>
      <c r="AS481" s="35" t="str">
        <f t="shared" si="271"/>
        <v/>
      </c>
      <c r="AT481" s="3" t="str">
        <f t="shared" si="272"/>
        <v/>
      </c>
      <c r="AU481" s="3" t="str">
        <f t="shared" si="273"/>
        <v/>
      </c>
      <c r="AW481" s="32" t="str">
        <f t="shared" si="274"/>
        <v/>
      </c>
      <c r="AX481" s="32" t="str">
        <f t="shared" si="275"/>
        <v/>
      </c>
      <c r="AY481" s="32" t="str">
        <f t="shared" si="276"/>
        <v/>
      </c>
      <c r="BA481" s="32" t="str">
        <f>IF($A482="","",F481*Summary!$Q$11)</f>
        <v/>
      </c>
    </row>
    <row r="482" spans="1:53">
      <c r="A482" s="67" t="str">
        <f t="shared" si="277"/>
        <v/>
      </c>
      <c r="B482" s="69" t="str">
        <f t="shared" si="278"/>
        <v/>
      </c>
      <c r="D482" s="69" t="str">
        <f t="shared" si="252"/>
        <v/>
      </c>
      <c r="E482" s="70" t="str">
        <f t="shared" si="253"/>
        <v/>
      </c>
      <c r="F482" s="70" t="str">
        <f t="shared" si="254"/>
        <v/>
      </c>
      <c r="G482" s="63" t="str">
        <f t="shared" si="255"/>
        <v/>
      </c>
      <c r="H482" s="64" t="str">
        <f t="shared" si="256"/>
        <v/>
      </c>
      <c r="J482" s="63" t="str">
        <f t="shared" si="257"/>
        <v/>
      </c>
      <c r="K482" s="64" t="str">
        <f t="shared" si="258"/>
        <v/>
      </c>
      <c r="L482" s="63" t="str">
        <f t="shared" si="259"/>
        <v/>
      </c>
      <c r="M482" s="64" t="str">
        <f t="shared" si="260"/>
        <v/>
      </c>
      <c r="O482" s="63" t="str">
        <f t="shared" si="261"/>
        <v/>
      </c>
      <c r="P482" s="63" t="str">
        <f t="shared" si="262"/>
        <v/>
      </c>
      <c r="R482" s="63" t="str">
        <f t="shared" si="263"/>
        <v/>
      </c>
      <c r="S482" s="64" t="str">
        <f t="shared" si="264"/>
        <v/>
      </c>
      <c r="T482" s="38">
        <v>0</v>
      </c>
      <c r="U482" s="64" t="str">
        <f t="shared" si="265"/>
        <v/>
      </c>
      <c r="V482" s="219" t="str">
        <f>IF($A483="","",IF(AND(MONTH(A482)&gt;3,MONTH(A482)&lt;11),(T482+R482+G482)*Summary!$T$11/(1-Summary!$T$11),(T482+R482+G482)*Summary!$U$11/(1-Summary!$U$11)))</f>
        <v/>
      </c>
      <c r="W482" s="43" t="str">
        <f t="shared" si="266"/>
        <v/>
      </c>
      <c r="X482" s="43" t="str">
        <f t="shared" si="267"/>
        <v/>
      </c>
      <c r="Y482" s="43"/>
      <c r="AJ482" s="86"/>
      <c r="AK482" s="86"/>
      <c r="AL482" s="86"/>
      <c r="AM482" s="86"/>
      <c r="AN482" s="86"/>
      <c r="AO482" s="3" t="str">
        <f t="shared" si="268"/>
        <v/>
      </c>
      <c r="AP482" s="33" t="str">
        <f t="shared" si="269"/>
        <v/>
      </c>
      <c r="AQ482" s="58" t="str">
        <f t="shared" si="270"/>
        <v/>
      </c>
      <c r="AR482" s="38">
        <f>'ANR OK vs ML7'!AR482</f>
        <v>0.1</v>
      </c>
      <c r="AS482" s="35" t="str">
        <f t="shared" si="271"/>
        <v/>
      </c>
      <c r="AT482" s="3" t="str">
        <f t="shared" si="272"/>
        <v/>
      </c>
      <c r="AU482" s="3" t="str">
        <f t="shared" si="273"/>
        <v/>
      </c>
      <c r="AW482" s="32" t="str">
        <f t="shared" si="274"/>
        <v/>
      </c>
      <c r="AX482" s="32" t="str">
        <f t="shared" si="275"/>
        <v/>
      </c>
      <c r="AY482" s="32" t="str">
        <f t="shared" si="276"/>
        <v/>
      </c>
      <c r="BA482" s="32" t="str">
        <f>IF($A483="","",F482*Summary!$Q$11)</f>
        <v/>
      </c>
    </row>
    <row r="483" spans="1:53">
      <c r="A483" s="67" t="str">
        <f t="shared" si="277"/>
        <v/>
      </c>
      <c r="B483" s="69" t="str">
        <f t="shared" si="278"/>
        <v/>
      </c>
      <c r="D483" s="69" t="str">
        <f t="shared" si="252"/>
        <v/>
      </c>
      <c r="E483" s="70" t="str">
        <f t="shared" si="253"/>
        <v/>
      </c>
      <c r="F483" s="70" t="str">
        <f t="shared" si="254"/>
        <v/>
      </c>
      <c r="G483" s="63" t="str">
        <f t="shared" si="255"/>
        <v/>
      </c>
      <c r="H483" s="64" t="str">
        <f t="shared" si="256"/>
        <v/>
      </c>
      <c r="J483" s="63" t="str">
        <f t="shared" si="257"/>
        <v/>
      </c>
      <c r="K483" s="64" t="str">
        <f t="shared" si="258"/>
        <v/>
      </c>
      <c r="L483" s="63" t="str">
        <f t="shared" si="259"/>
        <v/>
      </c>
      <c r="M483" s="64" t="str">
        <f t="shared" si="260"/>
        <v/>
      </c>
      <c r="O483" s="63" t="str">
        <f t="shared" si="261"/>
        <v/>
      </c>
      <c r="P483" s="63" t="str">
        <f t="shared" si="262"/>
        <v/>
      </c>
      <c r="R483" s="63" t="str">
        <f t="shared" si="263"/>
        <v/>
      </c>
      <c r="S483" s="64" t="str">
        <f t="shared" si="264"/>
        <v/>
      </c>
      <c r="T483" s="38">
        <v>0</v>
      </c>
      <c r="U483" s="64" t="str">
        <f t="shared" si="265"/>
        <v/>
      </c>
      <c r="V483" s="219" t="str">
        <f>IF($A484="","",IF(AND(MONTH(A483)&gt;3,MONTH(A483)&lt;11),(T483+R483+G483)*Summary!$T$11/(1-Summary!$T$11),(T483+R483+G483)*Summary!$U$11/(1-Summary!$U$11)))</f>
        <v/>
      </c>
      <c r="W483" s="43" t="str">
        <f t="shared" si="266"/>
        <v/>
      </c>
      <c r="X483" s="43" t="str">
        <f t="shared" si="267"/>
        <v/>
      </c>
      <c r="Y483" s="43"/>
      <c r="AJ483" s="86"/>
      <c r="AK483" s="86"/>
      <c r="AL483" s="86"/>
      <c r="AM483" s="86"/>
      <c r="AN483" s="86"/>
      <c r="AO483" s="3" t="str">
        <f t="shared" si="268"/>
        <v/>
      </c>
      <c r="AP483" s="33" t="str">
        <f t="shared" si="269"/>
        <v/>
      </c>
      <c r="AQ483" s="58" t="str">
        <f t="shared" si="270"/>
        <v/>
      </c>
      <c r="AR483" s="38">
        <f>'ANR OK vs ML7'!AR483</f>
        <v>0.1</v>
      </c>
      <c r="AS483" s="35" t="str">
        <f t="shared" si="271"/>
        <v/>
      </c>
      <c r="AT483" s="3" t="str">
        <f t="shared" si="272"/>
        <v/>
      </c>
      <c r="AU483" s="3" t="str">
        <f t="shared" si="273"/>
        <v/>
      </c>
      <c r="AW483" s="32" t="str">
        <f t="shared" si="274"/>
        <v/>
      </c>
      <c r="AX483" s="32" t="str">
        <f t="shared" si="275"/>
        <v/>
      </c>
      <c r="AY483" s="32" t="str">
        <f t="shared" si="276"/>
        <v/>
      </c>
      <c r="BA483" s="32" t="str">
        <f>IF($A484="","",F483*Summary!$Q$11)</f>
        <v/>
      </c>
    </row>
    <row r="484" spans="1:53">
      <c r="A484" s="67" t="str">
        <f t="shared" si="277"/>
        <v/>
      </c>
      <c r="B484" s="69" t="str">
        <f t="shared" si="278"/>
        <v/>
      </c>
      <c r="D484" s="69" t="str">
        <f t="shared" si="252"/>
        <v/>
      </c>
      <c r="E484" s="70" t="str">
        <f t="shared" si="253"/>
        <v/>
      </c>
      <c r="F484" s="70" t="str">
        <f t="shared" si="254"/>
        <v/>
      </c>
      <c r="G484" s="63" t="str">
        <f t="shared" si="255"/>
        <v/>
      </c>
      <c r="H484" s="64" t="str">
        <f t="shared" si="256"/>
        <v/>
      </c>
      <c r="J484" s="63" t="str">
        <f t="shared" si="257"/>
        <v/>
      </c>
      <c r="K484" s="64" t="str">
        <f t="shared" si="258"/>
        <v/>
      </c>
      <c r="L484" s="63" t="str">
        <f t="shared" si="259"/>
        <v/>
      </c>
      <c r="M484" s="64" t="str">
        <f t="shared" si="260"/>
        <v/>
      </c>
      <c r="O484" s="63" t="str">
        <f t="shared" si="261"/>
        <v/>
      </c>
      <c r="P484" s="63" t="str">
        <f t="shared" si="262"/>
        <v/>
      </c>
      <c r="R484" s="63" t="str">
        <f t="shared" si="263"/>
        <v/>
      </c>
      <c r="S484" s="64" t="str">
        <f t="shared" si="264"/>
        <v/>
      </c>
      <c r="T484" s="38">
        <v>0</v>
      </c>
      <c r="U484" s="64" t="str">
        <f t="shared" si="265"/>
        <v/>
      </c>
      <c r="V484" s="219" t="str">
        <f>IF($A485="","",IF(AND(MONTH(A484)&gt;3,MONTH(A484)&lt;11),(T484+R484+G484)*Summary!$T$11/(1-Summary!$T$11),(T484+R484+G484)*Summary!$U$11/(1-Summary!$U$11)))</f>
        <v/>
      </c>
      <c r="W484" s="43" t="str">
        <f t="shared" si="266"/>
        <v/>
      </c>
      <c r="X484" s="43" t="str">
        <f t="shared" si="267"/>
        <v/>
      </c>
      <c r="Y484" s="43"/>
      <c r="AJ484" s="86"/>
      <c r="AK484" s="86"/>
      <c r="AL484" s="86"/>
      <c r="AM484" s="86"/>
      <c r="AN484" s="86"/>
      <c r="AO484" s="3" t="str">
        <f t="shared" si="268"/>
        <v/>
      </c>
      <c r="AP484" s="33" t="str">
        <f t="shared" si="269"/>
        <v/>
      </c>
      <c r="AQ484" s="58" t="str">
        <f t="shared" si="270"/>
        <v/>
      </c>
      <c r="AR484" s="38">
        <f>'ANR OK vs ML7'!AR484</f>
        <v>0.1</v>
      </c>
      <c r="AS484" s="35" t="str">
        <f t="shared" si="271"/>
        <v/>
      </c>
      <c r="AT484" s="3" t="str">
        <f t="shared" si="272"/>
        <v/>
      </c>
      <c r="AU484" s="3" t="str">
        <f t="shared" si="273"/>
        <v/>
      </c>
      <c r="AW484" s="32" t="str">
        <f t="shared" si="274"/>
        <v/>
      </c>
      <c r="AX484" s="32" t="str">
        <f t="shared" si="275"/>
        <v/>
      </c>
      <c r="AY484" s="32" t="str">
        <f t="shared" si="276"/>
        <v/>
      </c>
      <c r="BA484" s="32" t="str">
        <f>IF($A485="","",F484*Summary!$Q$11)</f>
        <v/>
      </c>
    </row>
    <row r="485" spans="1:53">
      <c r="A485" s="67" t="str">
        <f t="shared" si="277"/>
        <v/>
      </c>
      <c r="B485" s="69" t="str">
        <f t="shared" si="278"/>
        <v/>
      </c>
      <c r="D485" s="69" t="str">
        <f t="shared" si="252"/>
        <v/>
      </c>
      <c r="E485" s="70" t="str">
        <f t="shared" si="253"/>
        <v/>
      </c>
      <c r="F485" s="70" t="str">
        <f t="shared" si="254"/>
        <v/>
      </c>
      <c r="G485" s="63" t="str">
        <f t="shared" si="255"/>
        <v/>
      </c>
      <c r="H485" s="64" t="str">
        <f t="shared" si="256"/>
        <v/>
      </c>
      <c r="J485" s="63" t="str">
        <f t="shared" si="257"/>
        <v/>
      </c>
      <c r="K485" s="64" t="str">
        <f t="shared" si="258"/>
        <v/>
      </c>
      <c r="L485" s="63" t="str">
        <f t="shared" si="259"/>
        <v/>
      </c>
      <c r="M485" s="64" t="str">
        <f t="shared" si="260"/>
        <v/>
      </c>
      <c r="O485" s="63" t="str">
        <f t="shared" si="261"/>
        <v/>
      </c>
      <c r="P485" s="63" t="str">
        <f t="shared" si="262"/>
        <v/>
      </c>
      <c r="R485" s="63" t="str">
        <f t="shared" si="263"/>
        <v/>
      </c>
      <c r="S485" s="64" t="str">
        <f t="shared" si="264"/>
        <v/>
      </c>
      <c r="T485" s="38">
        <v>0</v>
      </c>
      <c r="U485" s="64" t="str">
        <f t="shared" si="265"/>
        <v/>
      </c>
      <c r="V485" s="219" t="str">
        <f>IF($A486="","",IF(AND(MONTH(A485)&gt;3,MONTH(A485)&lt;11),(T485+R485+G485)*Summary!$T$11/(1-Summary!$T$11),(T485+R485+G485)*Summary!$U$11/(1-Summary!$U$11)))</f>
        <v/>
      </c>
      <c r="W485" s="43" t="str">
        <f t="shared" si="266"/>
        <v/>
      </c>
      <c r="X485" s="43" t="str">
        <f t="shared" si="267"/>
        <v/>
      </c>
      <c r="Y485" s="43"/>
      <c r="AJ485" s="86"/>
      <c r="AK485" s="86"/>
      <c r="AL485" s="86"/>
      <c r="AM485" s="86"/>
      <c r="AN485" s="86"/>
      <c r="AO485" s="3" t="str">
        <f t="shared" si="268"/>
        <v/>
      </c>
      <c r="AP485" s="33" t="str">
        <f t="shared" si="269"/>
        <v/>
      </c>
      <c r="AQ485" s="58" t="str">
        <f t="shared" si="270"/>
        <v/>
      </c>
      <c r="AR485" s="38">
        <f>'ANR OK vs ML7'!AR485</f>
        <v>0.1</v>
      </c>
      <c r="AS485" s="35" t="str">
        <f t="shared" si="271"/>
        <v/>
      </c>
      <c r="AT485" s="3" t="str">
        <f t="shared" si="272"/>
        <v/>
      </c>
      <c r="AU485" s="3" t="str">
        <f t="shared" si="273"/>
        <v/>
      </c>
      <c r="AW485" s="32" t="str">
        <f t="shared" si="274"/>
        <v/>
      </c>
      <c r="AX485" s="32" t="str">
        <f t="shared" si="275"/>
        <v/>
      </c>
      <c r="AY485" s="32" t="str">
        <f t="shared" si="276"/>
        <v/>
      </c>
      <c r="BA485" s="32" t="str">
        <f>IF($A486="","",F485*Summary!$Q$11)</f>
        <v/>
      </c>
    </row>
    <row r="486" spans="1:53">
      <c r="A486" s="67" t="str">
        <f t="shared" si="277"/>
        <v/>
      </c>
      <c r="B486" s="69" t="str">
        <f t="shared" si="278"/>
        <v/>
      </c>
      <c r="D486" s="69" t="str">
        <f t="shared" si="252"/>
        <v/>
      </c>
      <c r="E486" s="70" t="str">
        <f t="shared" si="253"/>
        <v/>
      </c>
      <c r="F486" s="70" t="str">
        <f t="shared" si="254"/>
        <v/>
      </c>
      <c r="G486" s="63" t="str">
        <f t="shared" si="255"/>
        <v/>
      </c>
      <c r="H486" s="64" t="str">
        <f t="shared" si="256"/>
        <v/>
      </c>
      <c r="J486" s="63" t="str">
        <f t="shared" si="257"/>
        <v/>
      </c>
      <c r="K486" s="64" t="str">
        <f t="shared" si="258"/>
        <v/>
      </c>
      <c r="L486" s="63" t="str">
        <f t="shared" si="259"/>
        <v/>
      </c>
      <c r="M486" s="64" t="str">
        <f t="shared" si="260"/>
        <v/>
      </c>
      <c r="O486" s="63" t="str">
        <f t="shared" si="261"/>
        <v/>
      </c>
      <c r="P486" s="63" t="str">
        <f t="shared" si="262"/>
        <v/>
      </c>
      <c r="R486" s="63" t="str">
        <f t="shared" si="263"/>
        <v/>
      </c>
      <c r="S486" s="64" t="str">
        <f t="shared" si="264"/>
        <v/>
      </c>
      <c r="T486" s="38">
        <v>0</v>
      </c>
      <c r="U486" s="64" t="str">
        <f t="shared" si="265"/>
        <v/>
      </c>
      <c r="V486" s="219" t="str">
        <f>IF($A487="","",IF(AND(MONTH(A486)&gt;3,MONTH(A486)&lt;11),(T486+R486+G486)*Summary!$T$11/(1-Summary!$T$11),(T486+R486+G486)*Summary!$U$11/(1-Summary!$U$11)))</f>
        <v/>
      </c>
      <c r="W486" s="43" t="str">
        <f t="shared" si="266"/>
        <v/>
      </c>
      <c r="X486" s="43" t="str">
        <f t="shared" si="267"/>
        <v/>
      </c>
      <c r="Y486" s="43"/>
      <c r="AJ486" s="86"/>
      <c r="AK486" s="86"/>
      <c r="AL486" s="86"/>
      <c r="AM486" s="86"/>
      <c r="AN486" s="86"/>
      <c r="AO486" s="3" t="str">
        <f t="shared" si="268"/>
        <v/>
      </c>
      <c r="AP486" s="33" t="str">
        <f t="shared" si="269"/>
        <v/>
      </c>
      <c r="AQ486" s="58" t="str">
        <f t="shared" si="270"/>
        <v/>
      </c>
      <c r="AR486" s="38">
        <f>'ANR OK vs ML7'!AR486</f>
        <v>0.1</v>
      </c>
      <c r="AS486" s="35" t="str">
        <f t="shared" si="271"/>
        <v/>
      </c>
      <c r="AT486" s="3" t="str">
        <f t="shared" si="272"/>
        <v/>
      </c>
      <c r="AU486" s="3" t="str">
        <f t="shared" si="273"/>
        <v/>
      </c>
      <c r="AW486" s="32" t="str">
        <f t="shared" si="274"/>
        <v/>
      </c>
      <c r="AX486" s="32" t="str">
        <f t="shared" si="275"/>
        <v/>
      </c>
      <c r="AY486" s="32" t="str">
        <f t="shared" si="276"/>
        <v/>
      </c>
      <c r="BA486" s="32" t="str">
        <f>IF($A487="","",F486*Summary!$Q$11)</f>
        <v/>
      </c>
    </row>
    <row r="487" spans="1:53">
      <c r="A487" s="67" t="str">
        <f t="shared" si="277"/>
        <v/>
      </c>
      <c r="B487" s="69" t="str">
        <f t="shared" si="278"/>
        <v/>
      </c>
      <c r="D487" s="69" t="str">
        <f t="shared" si="252"/>
        <v/>
      </c>
      <c r="E487" s="70" t="str">
        <f t="shared" si="253"/>
        <v/>
      </c>
      <c r="F487" s="70" t="str">
        <f t="shared" si="254"/>
        <v/>
      </c>
      <c r="G487" s="63" t="str">
        <f t="shared" si="255"/>
        <v/>
      </c>
      <c r="H487" s="64" t="str">
        <f t="shared" si="256"/>
        <v/>
      </c>
      <c r="J487" s="63" t="str">
        <f t="shared" si="257"/>
        <v/>
      </c>
      <c r="K487" s="64" t="str">
        <f t="shared" si="258"/>
        <v/>
      </c>
      <c r="L487" s="63" t="str">
        <f t="shared" si="259"/>
        <v/>
      </c>
      <c r="M487" s="64" t="str">
        <f t="shared" si="260"/>
        <v/>
      </c>
      <c r="O487" s="63" t="str">
        <f t="shared" si="261"/>
        <v/>
      </c>
      <c r="P487" s="63" t="str">
        <f t="shared" si="262"/>
        <v/>
      </c>
      <c r="R487" s="63" t="str">
        <f t="shared" si="263"/>
        <v/>
      </c>
      <c r="S487" s="64" t="str">
        <f t="shared" si="264"/>
        <v/>
      </c>
      <c r="T487" s="38">
        <v>0</v>
      </c>
      <c r="U487" s="64" t="str">
        <f t="shared" si="265"/>
        <v/>
      </c>
      <c r="V487" s="219" t="str">
        <f>IF($A488="","",IF(AND(MONTH(A487)&gt;3,MONTH(A487)&lt;11),(T487+R487+G487)*Summary!$T$11/(1-Summary!$T$11),(T487+R487+G487)*Summary!$U$11/(1-Summary!$U$11)))</f>
        <v/>
      </c>
      <c r="W487" s="43" t="str">
        <f t="shared" si="266"/>
        <v/>
      </c>
      <c r="X487" s="43" t="str">
        <f t="shared" si="267"/>
        <v/>
      </c>
      <c r="Y487" s="43"/>
      <c r="AJ487" s="86"/>
      <c r="AK487" s="86"/>
      <c r="AL487" s="86"/>
      <c r="AM487" s="86"/>
      <c r="AN487" s="86"/>
      <c r="AO487" s="3" t="str">
        <f t="shared" si="268"/>
        <v/>
      </c>
      <c r="AP487" s="33" t="str">
        <f t="shared" si="269"/>
        <v/>
      </c>
      <c r="AQ487" s="58" t="str">
        <f t="shared" si="270"/>
        <v/>
      </c>
      <c r="AR487" s="38">
        <f>'ANR OK vs ML7'!AR487</f>
        <v>0.1</v>
      </c>
      <c r="AS487" s="35" t="str">
        <f t="shared" si="271"/>
        <v/>
      </c>
      <c r="AT487" s="3" t="str">
        <f t="shared" si="272"/>
        <v/>
      </c>
      <c r="AU487" s="3" t="str">
        <f t="shared" si="273"/>
        <v/>
      </c>
      <c r="AW487" s="32" t="str">
        <f t="shared" si="274"/>
        <v/>
      </c>
      <c r="AX487" s="32" t="str">
        <f t="shared" si="275"/>
        <v/>
      </c>
      <c r="AY487" s="32" t="str">
        <f t="shared" si="276"/>
        <v/>
      </c>
      <c r="BA487" s="32" t="str">
        <f>IF($A488="","",F487*Summary!$Q$11)</f>
        <v/>
      </c>
    </row>
    <row r="488" spans="1:53">
      <c r="A488" s="67" t="str">
        <f t="shared" si="277"/>
        <v/>
      </c>
      <c r="B488" s="69" t="str">
        <f t="shared" si="278"/>
        <v/>
      </c>
      <c r="D488" s="69" t="str">
        <f t="shared" si="252"/>
        <v/>
      </c>
      <c r="E488" s="70" t="str">
        <f t="shared" si="253"/>
        <v/>
      </c>
      <c r="F488" s="70" t="str">
        <f t="shared" si="254"/>
        <v/>
      </c>
      <c r="G488" s="63" t="str">
        <f t="shared" si="255"/>
        <v/>
      </c>
      <c r="H488" s="64" t="str">
        <f t="shared" si="256"/>
        <v/>
      </c>
      <c r="J488" s="63" t="str">
        <f t="shared" si="257"/>
        <v/>
      </c>
      <c r="K488" s="64" t="str">
        <f t="shared" si="258"/>
        <v/>
      </c>
      <c r="L488" s="63" t="str">
        <f t="shared" si="259"/>
        <v/>
      </c>
      <c r="M488" s="64" t="str">
        <f t="shared" si="260"/>
        <v/>
      </c>
      <c r="O488" s="63" t="str">
        <f t="shared" si="261"/>
        <v/>
      </c>
      <c r="P488" s="63" t="str">
        <f t="shared" si="262"/>
        <v/>
      </c>
      <c r="R488" s="63" t="str">
        <f t="shared" si="263"/>
        <v/>
      </c>
      <c r="S488" s="64" t="str">
        <f t="shared" si="264"/>
        <v/>
      </c>
      <c r="T488" s="38">
        <v>0</v>
      </c>
      <c r="U488" s="64" t="str">
        <f t="shared" si="265"/>
        <v/>
      </c>
      <c r="V488" s="219" t="str">
        <f>IF($A489="","",IF(AND(MONTH(A488)&gt;3,MONTH(A488)&lt;11),(T488+R488+G488)*Summary!$T$11/(1-Summary!$T$11),(T488+R488+G488)*Summary!$U$11/(1-Summary!$U$11)))</f>
        <v/>
      </c>
      <c r="W488" s="43" t="str">
        <f t="shared" si="266"/>
        <v/>
      </c>
      <c r="X488" s="43" t="str">
        <f t="shared" si="267"/>
        <v/>
      </c>
      <c r="Y488" s="43"/>
      <c r="AJ488" s="86"/>
      <c r="AK488" s="86"/>
      <c r="AL488" s="86"/>
      <c r="AM488" s="86"/>
      <c r="AN488" s="86"/>
      <c r="AO488" s="3" t="str">
        <f t="shared" si="268"/>
        <v/>
      </c>
      <c r="AP488" s="33" t="str">
        <f t="shared" si="269"/>
        <v/>
      </c>
      <c r="AQ488" s="58" t="str">
        <f t="shared" si="270"/>
        <v/>
      </c>
      <c r="AR488" s="38">
        <f>'ANR OK vs ML7'!AR488</f>
        <v>0.1</v>
      </c>
      <c r="AS488" s="35" t="str">
        <f t="shared" si="271"/>
        <v/>
      </c>
      <c r="AT488" s="3" t="str">
        <f t="shared" si="272"/>
        <v/>
      </c>
      <c r="AU488" s="3" t="str">
        <f t="shared" si="273"/>
        <v/>
      </c>
      <c r="AW488" s="32" t="str">
        <f t="shared" si="274"/>
        <v/>
      </c>
      <c r="AX488" s="32" t="str">
        <f t="shared" si="275"/>
        <v/>
      </c>
      <c r="AY488" s="32" t="str">
        <f t="shared" si="276"/>
        <v/>
      </c>
      <c r="BA488" s="32" t="str">
        <f>IF($A489="","",F488*Summary!$Q$11)</f>
        <v/>
      </c>
    </row>
    <row r="489" spans="1:53">
      <c r="A489" s="67" t="str">
        <f t="shared" si="277"/>
        <v/>
      </c>
      <c r="B489" s="69" t="str">
        <f t="shared" si="278"/>
        <v/>
      </c>
      <c r="D489" s="69" t="str">
        <f t="shared" si="252"/>
        <v/>
      </c>
      <c r="E489" s="70" t="str">
        <f t="shared" si="253"/>
        <v/>
      </c>
      <c r="F489" s="70" t="str">
        <f t="shared" si="254"/>
        <v/>
      </c>
      <c r="G489" s="63" t="str">
        <f t="shared" si="255"/>
        <v/>
      </c>
      <c r="H489" s="64" t="str">
        <f t="shared" si="256"/>
        <v/>
      </c>
      <c r="J489" s="63" t="str">
        <f t="shared" si="257"/>
        <v/>
      </c>
      <c r="K489" s="64" t="str">
        <f t="shared" si="258"/>
        <v/>
      </c>
      <c r="L489" s="63" t="str">
        <f t="shared" si="259"/>
        <v/>
      </c>
      <c r="M489" s="64" t="str">
        <f t="shared" si="260"/>
        <v/>
      </c>
      <c r="O489" s="63" t="str">
        <f t="shared" si="261"/>
        <v/>
      </c>
      <c r="P489" s="63" t="str">
        <f t="shared" si="262"/>
        <v/>
      </c>
      <c r="R489" s="63" t="str">
        <f t="shared" si="263"/>
        <v/>
      </c>
      <c r="S489" s="64" t="str">
        <f t="shared" si="264"/>
        <v/>
      </c>
      <c r="T489" s="38">
        <v>0</v>
      </c>
      <c r="U489" s="64" t="str">
        <f t="shared" si="265"/>
        <v/>
      </c>
      <c r="V489" s="219" t="str">
        <f>IF($A490="","",IF(AND(MONTH(A489)&gt;3,MONTH(A489)&lt;11),(T489+R489+G489)*Summary!$T$11/(1-Summary!$T$11),(T489+R489+G489)*Summary!$U$11/(1-Summary!$U$11)))</f>
        <v/>
      </c>
      <c r="W489" s="43" t="str">
        <f t="shared" si="266"/>
        <v/>
      </c>
      <c r="X489" s="43" t="str">
        <f t="shared" si="267"/>
        <v/>
      </c>
      <c r="Y489" s="43"/>
      <c r="AJ489" s="86"/>
      <c r="AK489" s="86"/>
      <c r="AL489" s="86"/>
      <c r="AM489" s="86"/>
      <c r="AN489" s="86"/>
      <c r="AO489" s="3" t="str">
        <f t="shared" si="268"/>
        <v/>
      </c>
      <c r="AP489" s="33" t="str">
        <f t="shared" si="269"/>
        <v/>
      </c>
      <c r="AQ489" s="58" t="str">
        <f t="shared" si="270"/>
        <v/>
      </c>
      <c r="AR489" s="38">
        <f>'ANR OK vs ML7'!AR489</f>
        <v>0.1</v>
      </c>
      <c r="AS489" s="35" t="str">
        <f t="shared" si="271"/>
        <v/>
      </c>
      <c r="AT489" s="3" t="str">
        <f t="shared" si="272"/>
        <v/>
      </c>
      <c r="AU489" s="3" t="str">
        <f t="shared" si="273"/>
        <v/>
      </c>
      <c r="AW489" s="32" t="str">
        <f t="shared" si="274"/>
        <v/>
      </c>
      <c r="AX489" s="32" t="str">
        <f t="shared" si="275"/>
        <v/>
      </c>
      <c r="AY489" s="32" t="str">
        <f t="shared" si="276"/>
        <v/>
      </c>
      <c r="BA489" s="32" t="str">
        <f>IF($A490="","",F489*Summary!$Q$11)</f>
        <v/>
      </c>
    </row>
    <row r="490" spans="1:53">
      <c r="A490" s="67" t="str">
        <f t="shared" si="277"/>
        <v/>
      </c>
      <c r="B490" s="69" t="str">
        <f t="shared" si="278"/>
        <v/>
      </c>
      <c r="D490" s="69" t="str">
        <f t="shared" si="252"/>
        <v/>
      </c>
      <c r="E490" s="70" t="str">
        <f t="shared" si="253"/>
        <v/>
      </c>
      <c r="F490" s="70" t="str">
        <f t="shared" si="254"/>
        <v/>
      </c>
      <c r="G490" s="63" t="str">
        <f t="shared" si="255"/>
        <v/>
      </c>
      <c r="H490" s="64" t="str">
        <f t="shared" si="256"/>
        <v/>
      </c>
      <c r="J490" s="63" t="str">
        <f t="shared" si="257"/>
        <v/>
      </c>
      <c r="K490" s="64" t="str">
        <f t="shared" si="258"/>
        <v/>
      </c>
      <c r="L490" s="63" t="str">
        <f t="shared" si="259"/>
        <v/>
      </c>
      <c r="M490" s="64" t="str">
        <f t="shared" si="260"/>
        <v/>
      </c>
      <c r="O490" s="63" t="str">
        <f t="shared" si="261"/>
        <v/>
      </c>
      <c r="P490" s="63" t="str">
        <f t="shared" si="262"/>
        <v/>
      </c>
      <c r="R490" s="63" t="str">
        <f t="shared" si="263"/>
        <v/>
      </c>
      <c r="S490" s="64" t="str">
        <f t="shared" si="264"/>
        <v/>
      </c>
      <c r="T490" s="38">
        <v>0</v>
      </c>
      <c r="U490" s="64" t="str">
        <f t="shared" si="265"/>
        <v/>
      </c>
      <c r="V490" s="219" t="str">
        <f>IF($A491="","",IF(AND(MONTH(A490)&gt;3,MONTH(A490)&lt;11),(T490+R490+G490)*Summary!$T$11/(1-Summary!$T$11),(T490+R490+G490)*Summary!$U$11/(1-Summary!$U$11)))</f>
        <v/>
      </c>
      <c r="W490" s="43" t="str">
        <f t="shared" si="266"/>
        <v/>
      </c>
      <c r="X490" s="43" t="str">
        <f t="shared" si="267"/>
        <v/>
      </c>
      <c r="Y490" s="43"/>
      <c r="AJ490" s="86"/>
      <c r="AK490" s="86"/>
      <c r="AL490" s="86"/>
      <c r="AM490" s="86"/>
      <c r="AN490" s="86"/>
      <c r="AO490" s="3" t="str">
        <f t="shared" si="268"/>
        <v/>
      </c>
      <c r="AP490" s="33" t="str">
        <f t="shared" si="269"/>
        <v/>
      </c>
      <c r="AQ490" s="58" t="str">
        <f t="shared" si="270"/>
        <v/>
      </c>
      <c r="AR490" s="38">
        <f>'ANR OK vs ML7'!AR490</f>
        <v>0.1</v>
      </c>
      <c r="AS490" s="35" t="str">
        <f t="shared" si="271"/>
        <v/>
      </c>
      <c r="AT490" s="3" t="str">
        <f t="shared" si="272"/>
        <v/>
      </c>
      <c r="AU490" s="3" t="str">
        <f t="shared" si="273"/>
        <v/>
      </c>
      <c r="AW490" s="32" t="str">
        <f t="shared" si="274"/>
        <v/>
      </c>
      <c r="AX490" s="32" t="str">
        <f t="shared" si="275"/>
        <v/>
      </c>
      <c r="AY490" s="32" t="str">
        <f t="shared" si="276"/>
        <v/>
      </c>
      <c r="BA490" s="32" t="str">
        <f>IF($A491="","",F490*Summary!$Q$11)</f>
        <v/>
      </c>
    </row>
    <row r="491" spans="1:53">
      <c r="A491" s="67" t="str">
        <f t="shared" si="277"/>
        <v/>
      </c>
      <c r="B491" s="69" t="str">
        <f t="shared" si="278"/>
        <v/>
      </c>
      <c r="D491" s="69" t="str">
        <f t="shared" si="252"/>
        <v/>
      </c>
      <c r="E491" s="70" t="str">
        <f t="shared" si="253"/>
        <v/>
      </c>
      <c r="F491" s="70" t="str">
        <f t="shared" si="254"/>
        <v/>
      </c>
      <c r="G491" s="63" t="str">
        <f t="shared" si="255"/>
        <v/>
      </c>
      <c r="H491" s="64" t="str">
        <f t="shared" si="256"/>
        <v/>
      </c>
      <c r="J491" s="63" t="str">
        <f t="shared" si="257"/>
        <v/>
      </c>
      <c r="K491" s="64" t="str">
        <f t="shared" si="258"/>
        <v/>
      </c>
      <c r="L491" s="63" t="str">
        <f t="shared" si="259"/>
        <v/>
      </c>
      <c r="M491" s="64" t="str">
        <f t="shared" si="260"/>
        <v/>
      </c>
      <c r="O491" s="63" t="str">
        <f t="shared" si="261"/>
        <v/>
      </c>
      <c r="P491" s="63" t="str">
        <f t="shared" si="262"/>
        <v/>
      </c>
      <c r="R491" s="63" t="str">
        <f t="shared" si="263"/>
        <v/>
      </c>
      <c r="S491" s="64" t="str">
        <f t="shared" si="264"/>
        <v/>
      </c>
      <c r="T491" s="38">
        <v>0</v>
      </c>
      <c r="U491" s="64" t="str">
        <f t="shared" si="265"/>
        <v/>
      </c>
      <c r="V491" s="219" t="str">
        <f>IF($A492="","",IF(AND(MONTH(A491)&gt;3,MONTH(A491)&lt;11),(T491+R491+G491)*Summary!$T$11/(1-Summary!$T$11),(T491+R491+G491)*Summary!$U$11/(1-Summary!$U$11)))</f>
        <v/>
      </c>
      <c r="W491" s="43" t="str">
        <f t="shared" si="266"/>
        <v/>
      </c>
      <c r="X491" s="43" t="str">
        <f t="shared" si="267"/>
        <v/>
      </c>
      <c r="Y491" s="43"/>
      <c r="AJ491" s="86"/>
      <c r="AK491" s="86"/>
      <c r="AL491" s="86"/>
      <c r="AM491" s="86"/>
      <c r="AN491" s="86"/>
      <c r="AO491" s="3" t="str">
        <f t="shared" si="268"/>
        <v/>
      </c>
      <c r="AP491" s="33" t="str">
        <f t="shared" si="269"/>
        <v/>
      </c>
      <c r="AQ491" s="58" t="str">
        <f t="shared" si="270"/>
        <v/>
      </c>
      <c r="AR491" s="38">
        <f>'ANR OK vs ML7'!AR491</f>
        <v>0.1</v>
      </c>
      <c r="AS491" s="35" t="str">
        <f t="shared" si="271"/>
        <v/>
      </c>
      <c r="AT491" s="3" t="str">
        <f t="shared" si="272"/>
        <v/>
      </c>
      <c r="AU491" s="3" t="str">
        <f t="shared" si="273"/>
        <v/>
      </c>
      <c r="AW491" s="32" t="str">
        <f t="shared" si="274"/>
        <v/>
      </c>
      <c r="AX491" s="32" t="str">
        <f t="shared" si="275"/>
        <v/>
      </c>
      <c r="AY491" s="32" t="str">
        <f t="shared" si="276"/>
        <v/>
      </c>
      <c r="BA491" s="32" t="str">
        <f>IF($A492="","",F491*Summary!$Q$11)</f>
        <v/>
      </c>
    </row>
    <row r="492" spans="1:53">
      <c r="A492" s="67" t="str">
        <f t="shared" si="277"/>
        <v/>
      </c>
      <c r="B492" s="69" t="str">
        <f t="shared" si="278"/>
        <v/>
      </c>
      <c r="D492" s="69" t="str">
        <f t="shared" si="252"/>
        <v/>
      </c>
      <c r="E492" s="70" t="str">
        <f t="shared" si="253"/>
        <v/>
      </c>
      <c r="F492" s="70" t="str">
        <f t="shared" si="254"/>
        <v/>
      </c>
      <c r="G492" s="63" t="str">
        <f t="shared" si="255"/>
        <v/>
      </c>
      <c r="H492" s="64" t="str">
        <f t="shared" si="256"/>
        <v/>
      </c>
      <c r="J492" s="63" t="str">
        <f t="shared" si="257"/>
        <v/>
      </c>
      <c r="K492" s="64" t="str">
        <f t="shared" si="258"/>
        <v/>
      </c>
      <c r="L492" s="63" t="str">
        <f t="shared" si="259"/>
        <v/>
      </c>
      <c r="M492" s="64" t="str">
        <f t="shared" si="260"/>
        <v/>
      </c>
      <c r="O492" s="63" t="str">
        <f t="shared" si="261"/>
        <v/>
      </c>
      <c r="P492" s="63" t="str">
        <f t="shared" si="262"/>
        <v/>
      </c>
      <c r="R492" s="63" t="str">
        <f t="shared" si="263"/>
        <v/>
      </c>
      <c r="S492" s="64" t="str">
        <f t="shared" si="264"/>
        <v/>
      </c>
      <c r="T492" s="38">
        <v>0</v>
      </c>
      <c r="U492" s="64" t="str">
        <f t="shared" si="265"/>
        <v/>
      </c>
      <c r="V492" s="219" t="str">
        <f>IF($A493="","",IF(AND(MONTH(A492)&gt;3,MONTH(A492)&lt;11),(T492+R492+G492)*Summary!$T$11/(1-Summary!$T$11),(T492+R492+G492)*Summary!$U$11/(1-Summary!$U$11)))</f>
        <v/>
      </c>
      <c r="W492" s="43" t="str">
        <f t="shared" si="266"/>
        <v/>
      </c>
      <c r="X492" s="43" t="str">
        <f t="shared" si="267"/>
        <v/>
      </c>
      <c r="Y492" s="43"/>
      <c r="AJ492" s="86"/>
      <c r="AK492" s="86"/>
      <c r="AL492" s="86"/>
      <c r="AM492" s="86"/>
      <c r="AN492" s="86"/>
      <c r="AO492" s="3" t="str">
        <f t="shared" si="268"/>
        <v/>
      </c>
      <c r="AP492" s="33" t="str">
        <f t="shared" si="269"/>
        <v/>
      </c>
      <c r="AQ492" s="58" t="str">
        <f t="shared" si="270"/>
        <v/>
      </c>
      <c r="AR492" s="38">
        <f>'ANR OK vs ML7'!AR492</f>
        <v>0.1</v>
      </c>
      <c r="AS492" s="35" t="str">
        <f t="shared" si="271"/>
        <v/>
      </c>
      <c r="AT492" s="3" t="str">
        <f t="shared" si="272"/>
        <v/>
      </c>
      <c r="AU492" s="3" t="str">
        <f t="shared" si="273"/>
        <v/>
      </c>
      <c r="AW492" s="32" t="str">
        <f t="shared" si="274"/>
        <v/>
      </c>
      <c r="AX492" s="32" t="str">
        <f t="shared" si="275"/>
        <v/>
      </c>
      <c r="AY492" s="32" t="str">
        <f t="shared" si="276"/>
        <v/>
      </c>
      <c r="BA492" s="32" t="str">
        <f>IF($A493="","",F492*Summary!$Q$11)</f>
        <v/>
      </c>
    </row>
    <row r="493" spans="1:53">
      <c r="A493" s="67" t="str">
        <f t="shared" si="277"/>
        <v/>
      </c>
      <c r="B493" s="69" t="str">
        <f t="shared" si="278"/>
        <v/>
      </c>
      <c r="D493" s="69" t="str">
        <f t="shared" si="252"/>
        <v/>
      </c>
      <c r="E493" s="70" t="str">
        <f t="shared" si="253"/>
        <v/>
      </c>
      <c r="F493" s="70" t="str">
        <f t="shared" si="254"/>
        <v/>
      </c>
      <c r="G493" s="63" t="str">
        <f t="shared" si="255"/>
        <v/>
      </c>
      <c r="H493" s="64" t="str">
        <f t="shared" si="256"/>
        <v/>
      </c>
      <c r="J493" s="63" t="str">
        <f t="shared" si="257"/>
        <v/>
      </c>
      <c r="K493" s="64" t="str">
        <f t="shared" si="258"/>
        <v/>
      </c>
      <c r="L493" s="63" t="str">
        <f t="shared" si="259"/>
        <v/>
      </c>
      <c r="M493" s="64" t="str">
        <f t="shared" si="260"/>
        <v/>
      </c>
      <c r="O493" s="63" t="str">
        <f t="shared" si="261"/>
        <v/>
      </c>
      <c r="P493" s="63" t="str">
        <f t="shared" si="262"/>
        <v/>
      </c>
      <c r="R493" s="63" t="str">
        <f t="shared" si="263"/>
        <v/>
      </c>
      <c r="S493" s="64" t="str">
        <f t="shared" si="264"/>
        <v/>
      </c>
      <c r="T493" s="38">
        <v>0</v>
      </c>
      <c r="U493" s="64" t="str">
        <f t="shared" si="265"/>
        <v/>
      </c>
      <c r="V493" s="219" t="str">
        <f>IF($A494="","",IF(AND(MONTH(A493)&gt;3,MONTH(A493)&lt;11),(T493+R493+G493)*Summary!$T$11/(1-Summary!$T$11),(T493+R493+G493)*Summary!$U$11/(1-Summary!$U$11)))</f>
        <v/>
      </c>
      <c r="W493" s="43" t="str">
        <f t="shared" si="266"/>
        <v/>
      </c>
      <c r="X493" s="43" t="str">
        <f t="shared" si="267"/>
        <v/>
      </c>
      <c r="Y493" s="43"/>
      <c r="AJ493" s="86"/>
      <c r="AK493" s="86"/>
      <c r="AL493" s="86"/>
      <c r="AM493" s="86"/>
      <c r="AN493" s="86"/>
      <c r="AO493" s="3" t="str">
        <f t="shared" si="268"/>
        <v/>
      </c>
      <c r="AP493" s="33" t="str">
        <f t="shared" si="269"/>
        <v/>
      </c>
      <c r="AQ493" s="58" t="str">
        <f t="shared" si="270"/>
        <v/>
      </c>
      <c r="AR493" s="38">
        <f>'ANR OK vs ML7'!AR493</f>
        <v>0.1</v>
      </c>
      <c r="AS493" s="35" t="str">
        <f t="shared" si="271"/>
        <v/>
      </c>
      <c r="AT493" s="3" t="str">
        <f t="shared" si="272"/>
        <v/>
      </c>
      <c r="AU493" s="3" t="str">
        <f t="shared" si="273"/>
        <v/>
      </c>
      <c r="AW493" s="32" t="str">
        <f t="shared" si="274"/>
        <v/>
      </c>
      <c r="AX493" s="32" t="str">
        <f t="shared" si="275"/>
        <v/>
      </c>
      <c r="AY493" s="32" t="str">
        <f t="shared" si="276"/>
        <v/>
      </c>
      <c r="BA493" s="32" t="str">
        <f>IF($A494="","",F493*Summary!$Q$11)</f>
        <v/>
      </c>
    </row>
    <row r="494" spans="1:53">
      <c r="A494" s="67" t="str">
        <f t="shared" si="277"/>
        <v/>
      </c>
      <c r="B494" s="69" t="str">
        <f t="shared" si="278"/>
        <v/>
      </c>
      <c r="D494" s="69" t="str">
        <f t="shared" si="252"/>
        <v/>
      </c>
      <c r="E494" s="70" t="str">
        <f t="shared" si="253"/>
        <v/>
      </c>
      <c r="F494" s="70" t="str">
        <f t="shared" si="254"/>
        <v/>
      </c>
      <c r="G494" s="63" t="str">
        <f t="shared" si="255"/>
        <v/>
      </c>
      <c r="H494" s="64" t="str">
        <f t="shared" si="256"/>
        <v/>
      </c>
      <c r="J494" s="63" t="str">
        <f t="shared" si="257"/>
        <v/>
      </c>
      <c r="K494" s="64" t="str">
        <f t="shared" si="258"/>
        <v/>
      </c>
      <c r="L494" s="63" t="str">
        <f t="shared" si="259"/>
        <v/>
      </c>
      <c r="M494" s="64" t="str">
        <f t="shared" si="260"/>
        <v/>
      </c>
      <c r="O494" s="63" t="str">
        <f t="shared" si="261"/>
        <v/>
      </c>
      <c r="P494" s="63" t="str">
        <f t="shared" si="262"/>
        <v/>
      </c>
      <c r="R494" s="63" t="str">
        <f t="shared" si="263"/>
        <v/>
      </c>
      <c r="S494" s="64" t="str">
        <f t="shared" si="264"/>
        <v/>
      </c>
      <c r="T494" s="38">
        <v>0</v>
      </c>
      <c r="U494" s="64" t="str">
        <f t="shared" si="265"/>
        <v/>
      </c>
      <c r="V494" s="219" t="str">
        <f>IF($A495="","",IF(AND(MONTH(A494)&gt;3,MONTH(A494)&lt;11),(T494+R494+G494)*Summary!$T$11/(1-Summary!$T$11),(T494+R494+G494)*Summary!$U$11/(1-Summary!$U$11)))</f>
        <v/>
      </c>
      <c r="W494" s="43" t="str">
        <f t="shared" si="266"/>
        <v/>
      </c>
      <c r="X494" s="43" t="str">
        <f t="shared" si="267"/>
        <v/>
      </c>
      <c r="Y494" s="43"/>
      <c r="AJ494" s="86"/>
      <c r="AK494" s="86"/>
      <c r="AL494" s="86"/>
      <c r="AM494" s="86"/>
      <c r="AN494" s="86"/>
      <c r="AO494" s="3" t="str">
        <f t="shared" si="268"/>
        <v/>
      </c>
      <c r="AP494" s="33" t="str">
        <f t="shared" si="269"/>
        <v/>
      </c>
      <c r="AQ494" s="58" t="str">
        <f t="shared" si="270"/>
        <v/>
      </c>
      <c r="AR494" s="38">
        <f>'ANR OK vs ML7'!AR494</f>
        <v>0.1</v>
      </c>
      <c r="AS494" s="35" t="str">
        <f t="shared" si="271"/>
        <v/>
      </c>
      <c r="AT494" s="3" t="str">
        <f t="shared" si="272"/>
        <v/>
      </c>
      <c r="AU494" s="3" t="str">
        <f t="shared" si="273"/>
        <v/>
      </c>
      <c r="AW494" s="32" t="str">
        <f t="shared" si="274"/>
        <v/>
      </c>
      <c r="AX494" s="32" t="str">
        <f t="shared" si="275"/>
        <v/>
      </c>
      <c r="AY494" s="32" t="str">
        <f t="shared" si="276"/>
        <v/>
      </c>
      <c r="BA494" s="32" t="str">
        <f>IF($A495="","",F494*Summary!$Q$11)</f>
        <v/>
      </c>
    </row>
    <row r="495" spans="1:53">
      <c r="A495" s="67" t="str">
        <f t="shared" si="277"/>
        <v/>
      </c>
      <c r="B495" s="69" t="str">
        <f t="shared" si="278"/>
        <v/>
      </c>
      <c r="D495" s="69" t="str">
        <f t="shared" si="252"/>
        <v/>
      </c>
      <c r="E495" s="70" t="str">
        <f t="shared" si="253"/>
        <v/>
      </c>
      <c r="F495" s="70" t="str">
        <f t="shared" si="254"/>
        <v/>
      </c>
      <c r="G495" s="63" t="str">
        <f t="shared" si="255"/>
        <v/>
      </c>
      <c r="H495" s="64" t="str">
        <f t="shared" si="256"/>
        <v/>
      </c>
      <c r="J495" s="63" t="str">
        <f t="shared" si="257"/>
        <v/>
      </c>
      <c r="K495" s="64" t="str">
        <f t="shared" si="258"/>
        <v/>
      </c>
      <c r="L495" s="63" t="str">
        <f t="shared" si="259"/>
        <v/>
      </c>
      <c r="M495" s="64" t="str">
        <f t="shared" si="260"/>
        <v/>
      </c>
      <c r="O495" s="63" t="str">
        <f t="shared" si="261"/>
        <v/>
      </c>
      <c r="P495" s="63" t="str">
        <f t="shared" si="262"/>
        <v/>
      </c>
      <c r="R495" s="63" t="str">
        <f t="shared" si="263"/>
        <v/>
      </c>
      <c r="S495" s="64" t="str">
        <f t="shared" si="264"/>
        <v/>
      </c>
      <c r="T495" s="38">
        <v>0</v>
      </c>
      <c r="U495" s="64" t="str">
        <f t="shared" si="265"/>
        <v/>
      </c>
      <c r="V495" s="219" t="str">
        <f>IF($A496="","",IF(AND(MONTH(A495)&gt;3,MONTH(A495)&lt;11),(T495+R495+G495)*Summary!$T$11/(1-Summary!$T$11),(T495+R495+G495)*Summary!$U$11/(1-Summary!$U$11)))</f>
        <v/>
      </c>
      <c r="W495" s="43" t="str">
        <f t="shared" si="266"/>
        <v/>
      </c>
      <c r="X495" s="43" t="str">
        <f t="shared" si="267"/>
        <v/>
      </c>
      <c r="Y495" s="43"/>
      <c r="AJ495" s="86"/>
      <c r="AK495" s="86"/>
      <c r="AL495" s="86"/>
      <c r="AM495" s="86"/>
      <c r="AN495" s="86"/>
      <c r="AO495" s="3" t="str">
        <f t="shared" si="268"/>
        <v/>
      </c>
      <c r="AP495" s="33" t="str">
        <f t="shared" si="269"/>
        <v/>
      </c>
      <c r="AQ495" s="58" t="str">
        <f t="shared" si="270"/>
        <v/>
      </c>
      <c r="AR495" s="38">
        <f>'ANR OK vs ML7'!AR495</f>
        <v>0.1</v>
      </c>
      <c r="AS495" s="35" t="str">
        <f t="shared" si="271"/>
        <v/>
      </c>
      <c r="AT495" s="3" t="str">
        <f t="shared" si="272"/>
        <v/>
      </c>
      <c r="AU495" s="3" t="str">
        <f t="shared" si="273"/>
        <v/>
      </c>
      <c r="AW495" s="32" t="str">
        <f t="shared" si="274"/>
        <v/>
      </c>
      <c r="AX495" s="32" t="str">
        <f t="shared" si="275"/>
        <v/>
      </c>
      <c r="AY495" s="32" t="str">
        <f t="shared" si="276"/>
        <v/>
      </c>
      <c r="BA495" s="32" t="str">
        <f>IF($A496="","",F495*Summary!$Q$11)</f>
        <v/>
      </c>
    </row>
    <row r="496" spans="1:53">
      <c r="A496" s="67" t="str">
        <f t="shared" si="277"/>
        <v/>
      </c>
      <c r="B496" s="69" t="str">
        <f t="shared" si="278"/>
        <v/>
      </c>
      <c r="D496" s="69" t="str">
        <f t="shared" si="252"/>
        <v/>
      </c>
      <c r="E496" s="70" t="str">
        <f t="shared" si="253"/>
        <v/>
      </c>
      <c r="F496" s="70" t="str">
        <f t="shared" si="254"/>
        <v/>
      </c>
      <c r="G496" s="63" t="str">
        <f t="shared" si="255"/>
        <v/>
      </c>
      <c r="H496" s="64" t="str">
        <f t="shared" si="256"/>
        <v/>
      </c>
      <c r="J496" s="63" t="str">
        <f t="shared" si="257"/>
        <v/>
      </c>
      <c r="K496" s="64" t="str">
        <f t="shared" si="258"/>
        <v/>
      </c>
      <c r="L496" s="63" t="str">
        <f t="shared" si="259"/>
        <v/>
      </c>
      <c r="M496" s="64" t="str">
        <f t="shared" si="260"/>
        <v/>
      </c>
      <c r="O496" s="63" t="str">
        <f t="shared" si="261"/>
        <v/>
      </c>
      <c r="P496" s="63" t="str">
        <f t="shared" si="262"/>
        <v/>
      </c>
      <c r="R496" s="63" t="str">
        <f t="shared" si="263"/>
        <v/>
      </c>
      <c r="S496" s="64" t="str">
        <f t="shared" si="264"/>
        <v/>
      </c>
      <c r="T496" s="38">
        <v>0</v>
      </c>
      <c r="U496" s="64" t="str">
        <f t="shared" si="265"/>
        <v/>
      </c>
      <c r="V496" s="219" t="str">
        <f>IF($A497="","",IF(AND(MONTH(A496)&gt;3,MONTH(A496)&lt;11),(T496+R496+G496)*Summary!$T$11/(1-Summary!$T$11),(T496+R496+G496)*Summary!$U$11/(1-Summary!$U$11)))</f>
        <v/>
      </c>
      <c r="W496" s="43" t="str">
        <f t="shared" si="266"/>
        <v/>
      </c>
      <c r="X496" s="43" t="str">
        <f t="shared" si="267"/>
        <v/>
      </c>
      <c r="Y496" s="43"/>
      <c r="AJ496" s="86"/>
      <c r="AK496" s="86"/>
      <c r="AL496" s="86"/>
      <c r="AM496" s="86"/>
      <c r="AN496" s="86"/>
      <c r="AO496" s="3" t="str">
        <f t="shared" si="268"/>
        <v/>
      </c>
      <c r="AP496" s="33" t="str">
        <f t="shared" si="269"/>
        <v/>
      </c>
      <c r="AQ496" s="58" t="str">
        <f t="shared" si="270"/>
        <v/>
      </c>
      <c r="AR496" s="38">
        <f>'ANR OK vs ML7'!AR496</f>
        <v>0.1</v>
      </c>
      <c r="AS496" s="35" t="str">
        <f t="shared" si="271"/>
        <v/>
      </c>
      <c r="AT496" s="3" t="str">
        <f t="shared" si="272"/>
        <v/>
      </c>
      <c r="AU496" s="3" t="str">
        <f t="shared" si="273"/>
        <v/>
      </c>
      <c r="AW496" s="32" t="str">
        <f t="shared" si="274"/>
        <v/>
      </c>
      <c r="AX496" s="32" t="str">
        <f t="shared" si="275"/>
        <v/>
      </c>
      <c r="AY496" s="32" t="str">
        <f t="shared" si="276"/>
        <v/>
      </c>
      <c r="BA496" s="32" t="str">
        <f>IF($A497="","",F496*Summary!$Q$11)</f>
        <v/>
      </c>
    </row>
    <row r="497" spans="1:242">
      <c r="A497" s="67" t="str">
        <f t="shared" si="277"/>
        <v/>
      </c>
      <c r="B497" s="69" t="str">
        <f t="shared" si="278"/>
        <v/>
      </c>
      <c r="D497" s="69" t="str">
        <f t="shared" si="252"/>
        <v/>
      </c>
      <c r="E497" s="70" t="str">
        <f t="shared" si="253"/>
        <v/>
      </c>
      <c r="F497" s="70" t="str">
        <f t="shared" si="254"/>
        <v/>
      </c>
      <c r="G497" s="63" t="str">
        <f t="shared" si="255"/>
        <v/>
      </c>
      <c r="H497" s="64" t="str">
        <f t="shared" si="256"/>
        <v/>
      </c>
      <c r="J497" s="63" t="str">
        <f t="shared" si="257"/>
        <v/>
      </c>
      <c r="K497" s="64" t="str">
        <f t="shared" si="258"/>
        <v/>
      </c>
      <c r="L497" s="63" t="str">
        <f t="shared" si="259"/>
        <v/>
      </c>
      <c r="M497" s="64" t="str">
        <f t="shared" si="260"/>
        <v/>
      </c>
      <c r="O497" s="63" t="str">
        <f t="shared" si="261"/>
        <v/>
      </c>
      <c r="P497" s="63" t="str">
        <f t="shared" si="262"/>
        <v/>
      </c>
      <c r="R497" s="63" t="str">
        <f t="shared" si="263"/>
        <v/>
      </c>
      <c r="S497" s="64" t="str">
        <f t="shared" si="264"/>
        <v/>
      </c>
      <c r="T497" s="38">
        <v>0</v>
      </c>
      <c r="U497" s="64" t="str">
        <f t="shared" si="265"/>
        <v/>
      </c>
      <c r="V497" s="219" t="str">
        <f>IF($A498="","",IF(AND(MONTH(A497)&gt;3,MONTH(A497)&lt;11),(T497+R497+G497)*Summary!$T$11/(1-Summary!$T$11),(T497+R497+G497)*Summary!$U$11/(1-Summary!$U$11)))</f>
        <v/>
      </c>
      <c r="W497" s="43" t="str">
        <f t="shared" si="266"/>
        <v/>
      </c>
      <c r="X497" s="43" t="str">
        <f t="shared" si="267"/>
        <v/>
      </c>
      <c r="Y497" s="43"/>
      <c r="AJ497" s="86"/>
      <c r="AK497" s="86"/>
      <c r="AL497" s="86"/>
      <c r="AM497" s="86"/>
      <c r="AN497" s="86"/>
      <c r="AO497" s="3" t="str">
        <f t="shared" si="268"/>
        <v/>
      </c>
      <c r="AP497" s="33" t="str">
        <f t="shared" si="269"/>
        <v/>
      </c>
      <c r="AQ497" s="58" t="str">
        <f t="shared" si="270"/>
        <v/>
      </c>
      <c r="AR497" s="38">
        <f>'ANR OK vs ML7'!AR497</f>
        <v>0.1</v>
      </c>
      <c r="AS497" s="35" t="str">
        <f t="shared" si="271"/>
        <v/>
      </c>
      <c r="AT497" s="3" t="str">
        <f t="shared" si="272"/>
        <v/>
      </c>
      <c r="AU497" s="3" t="str">
        <f t="shared" si="273"/>
        <v/>
      </c>
      <c r="AW497" s="32" t="str">
        <f t="shared" si="274"/>
        <v/>
      </c>
      <c r="AX497" s="32" t="str">
        <f t="shared" si="275"/>
        <v/>
      </c>
      <c r="AY497" s="32" t="str">
        <f t="shared" si="276"/>
        <v/>
      </c>
      <c r="BA497" s="32" t="str">
        <f>IF($A498="","",F497*Summary!$Q$11)</f>
        <v/>
      </c>
    </row>
    <row r="498" spans="1:242">
      <c r="A498" s="67" t="str">
        <f t="shared" si="277"/>
        <v/>
      </c>
      <c r="B498" s="69" t="str">
        <f t="shared" si="278"/>
        <v/>
      </c>
      <c r="D498" s="69" t="str">
        <f t="shared" si="252"/>
        <v/>
      </c>
      <c r="E498" s="70" t="str">
        <f t="shared" si="253"/>
        <v/>
      </c>
      <c r="F498" s="70" t="str">
        <f t="shared" si="254"/>
        <v/>
      </c>
      <c r="G498" s="63" t="str">
        <f t="shared" si="255"/>
        <v/>
      </c>
      <c r="H498" s="64" t="str">
        <f t="shared" si="256"/>
        <v/>
      </c>
      <c r="J498" s="63" t="str">
        <f t="shared" si="257"/>
        <v/>
      </c>
      <c r="K498" s="64" t="str">
        <f t="shared" si="258"/>
        <v/>
      </c>
      <c r="L498" s="63" t="str">
        <f t="shared" si="259"/>
        <v/>
      </c>
      <c r="M498" s="64" t="str">
        <f t="shared" si="260"/>
        <v/>
      </c>
      <c r="O498" s="63" t="str">
        <f t="shared" si="261"/>
        <v/>
      </c>
      <c r="P498" s="63" t="str">
        <f t="shared" si="262"/>
        <v/>
      </c>
      <c r="R498" s="63" t="str">
        <f t="shared" si="263"/>
        <v/>
      </c>
      <c r="S498" s="64" t="str">
        <f t="shared" si="264"/>
        <v/>
      </c>
      <c r="T498" s="38">
        <v>0</v>
      </c>
      <c r="U498" s="64" t="str">
        <f t="shared" si="265"/>
        <v/>
      </c>
      <c r="V498" s="219" t="str">
        <f>IF($A499="","",IF(AND(MONTH(A498)&gt;3,MONTH(A498)&lt;11),(T498+R498+G498)*Summary!$T$11/(1-Summary!$T$11),(T498+R498+G498)*Summary!$U$11/(1-Summary!$U$11)))</f>
        <v/>
      </c>
      <c r="W498" s="43" t="str">
        <f t="shared" si="266"/>
        <v/>
      </c>
      <c r="X498" s="43" t="str">
        <f t="shared" si="267"/>
        <v/>
      </c>
      <c r="Y498" s="43"/>
      <c r="AJ498" s="86"/>
      <c r="AK498" s="86"/>
      <c r="AL498" s="86"/>
      <c r="AM498" s="86"/>
      <c r="AN498" s="86"/>
      <c r="AO498" s="3" t="str">
        <f t="shared" si="268"/>
        <v/>
      </c>
      <c r="AP498" s="33" t="str">
        <f t="shared" si="269"/>
        <v/>
      </c>
      <c r="AQ498" s="58" t="str">
        <f t="shared" si="270"/>
        <v/>
      </c>
      <c r="AR498" s="38">
        <f>'ANR OK vs ML7'!AR498</f>
        <v>0.1</v>
      </c>
      <c r="AS498" s="35" t="str">
        <f t="shared" si="271"/>
        <v/>
      </c>
      <c r="AT498" s="3" t="str">
        <f t="shared" si="272"/>
        <v/>
      </c>
      <c r="AU498" s="3" t="str">
        <f t="shared" si="273"/>
        <v/>
      </c>
      <c r="AW498" s="32" t="str">
        <f t="shared" si="274"/>
        <v/>
      </c>
      <c r="AX498" s="32" t="str">
        <f t="shared" si="275"/>
        <v/>
      </c>
      <c r="AY498" s="32" t="str">
        <f t="shared" si="276"/>
        <v/>
      </c>
      <c r="BA498" s="32" t="str">
        <f>IF($A499="","",F498*Summary!$Q$11)</f>
        <v/>
      </c>
    </row>
    <row r="499" spans="1:242">
      <c r="A499" s="67" t="str">
        <f t="shared" si="277"/>
        <v/>
      </c>
      <c r="B499" s="69" t="str">
        <f t="shared" si="278"/>
        <v/>
      </c>
      <c r="D499" s="69" t="str">
        <f t="shared" si="252"/>
        <v/>
      </c>
      <c r="E499" s="70" t="str">
        <f t="shared" si="253"/>
        <v/>
      </c>
      <c r="F499" s="70" t="str">
        <f t="shared" si="254"/>
        <v/>
      </c>
      <c r="G499" s="63" t="str">
        <f t="shared" si="255"/>
        <v/>
      </c>
      <c r="H499" s="64" t="str">
        <f t="shared" si="256"/>
        <v/>
      </c>
      <c r="J499" s="63" t="str">
        <f t="shared" si="257"/>
        <v/>
      </c>
      <c r="K499" s="64" t="str">
        <f t="shared" si="258"/>
        <v/>
      </c>
      <c r="L499" s="63" t="str">
        <f t="shared" si="259"/>
        <v/>
      </c>
      <c r="M499" s="64" t="str">
        <f t="shared" si="260"/>
        <v/>
      </c>
      <c r="O499" s="63" t="str">
        <f t="shared" si="261"/>
        <v/>
      </c>
      <c r="P499" s="63" t="str">
        <f t="shared" si="262"/>
        <v/>
      </c>
      <c r="R499" s="63" t="str">
        <f t="shared" si="263"/>
        <v/>
      </c>
      <c r="S499" s="64" t="str">
        <f t="shared" si="264"/>
        <v/>
      </c>
      <c r="T499" s="38">
        <v>0</v>
      </c>
      <c r="U499" s="64" t="str">
        <f t="shared" si="265"/>
        <v/>
      </c>
      <c r="V499" s="219" t="str">
        <f>IF($A500="","",IF(AND(MONTH(A499)&gt;3,MONTH(A499)&lt;11),(T499+R499+G499)*Summary!$T$11/(1-Summary!$T$11),(T499+R499+G499)*Summary!$U$11/(1-Summary!$U$11)))</f>
        <v/>
      </c>
      <c r="W499" s="43" t="str">
        <f t="shared" si="266"/>
        <v/>
      </c>
      <c r="X499" s="43" t="str">
        <f t="shared" si="267"/>
        <v/>
      </c>
      <c r="Y499" s="43"/>
      <c r="AJ499" s="86"/>
      <c r="AK499" s="86"/>
      <c r="AL499" s="86"/>
      <c r="AM499" s="86"/>
      <c r="AN499" s="86"/>
      <c r="AO499" s="3" t="str">
        <f t="shared" si="268"/>
        <v/>
      </c>
      <c r="AP499" s="33" t="str">
        <f t="shared" si="269"/>
        <v/>
      </c>
      <c r="AQ499" s="58" t="str">
        <f t="shared" si="270"/>
        <v/>
      </c>
      <c r="AR499" s="38">
        <f>'ANR OK vs ML7'!AR499</f>
        <v>0.1</v>
      </c>
      <c r="AS499" s="35" t="str">
        <f t="shared" si="271"/>
        <v/>
      </c>
      <c r="AT499" s="3" t="str">
        <f t="shared" si="272"/>
        <v/>
      </c>
      <c r="AU499" s="3" t="str">
        <f t="shared" si="273"/>
        <v/>
      </c>
      <c r="AW499" s="32" t="str">
        <f t="shared" si="274"/>
        <v/>
      </c>
      <c r="AX499" s="32" t="str">
        <f t="shared" si="275"/>
        <v/>
      </c>
      <c r="AY499" s="32" t="str">
        <f t="shared" si="276"/>
        <v/>
      </c>
      <c r="BA499" s="32" t="str">
        <f>IF($A500="","",F499*Summary!$Q$11)</f>
        <v/>
      </c>
    </row>
    <row r="500" spans="1:242">
      <c r="A500" s="67" t="str">
        <f t="shared" si="277"/>
        <v/>
      </c>
      <c r="B500" s="69" t="str">
        <f t="shared" si="278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74"/>
        <v/>
      </c>
      <c r="AX500" s="32" t="str">
        <f t="shared" si="275"/>
        <v/>
      </c>
      <c r="AY500" s="32" t="str">
        <f t="shared" si="276"/>
        <v/>
      </c>
      <c r="BA500" s="32" t="str">
        <f>IF($A501="","",F500*Summary!$Q$11)</f>
        <v/>
      </c>
    </row>
    <row r="501" spans="1:242">
      <c r="A501" s="67" t="str">
        <f t="shared" si="277"/>
        <v/>
      </c>
      <c r="B501" s="69" t="str">
        <f t="shared" si="278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74"/>
        <v/>
      </c>
      <c r="AX501" s="32" t="str">
        <f t="shared" si="275"/>
        <v/>
      </c>
      <c r="AY501" s="32" t="str">
        <f t="shared" si="276"/>
        <v/>
      </c>
      <c r="AZ501" s="1">
        <v>0</v>
      </c>
      <c r="BA501" s="32" t="str">
        <f>IF($A502="","",F501*Summary!$Q$11)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IH722"/>
  <sheetViews>
    <sheetView showGridLines="0" topLeftCell="M1" zoomScale="80" workbookViewId="0">
      <selection activeCell="AK8" sqref="AK8"/>
    </sheetView>
  </sheetViews>
  <sheetFormatPr defaultRowHeight="12.75"/>
  <cols>
    <col min="1" max="1" width="14.140625" style="1" customWidth="1"/>
    <col min="2" max="2" width="14.5703125" style="1" customWidth="1"/>
    <col min="3" max="3" width="5.140625" style="1" customWidth="1"/>
    <col min="4" max="4" width="16.42578125" style="1" customWidth="1"/>
    <col min="5" max="5" width="14.85546875" style="1" bestFit="1" customWidth="1"/>
    <col min="6" max="6" width="13.85546875" style="1" bestFit="1" customWidth="1"/>
    <col min="7" max="7" width="10.7109375" style="1" customWidth="1"/>
    <col min="8" max="8" width="14.5703125" style="1" bestFit="1" customWidth="1"/>
    <col min="9" max="9" width="10" style="1" customWidth="1"/>
    <col min="10" max="10" width="23.7109375" style="1" bestFit="1" customWidth="1"/>
    <col min="11" max="11" width="18.28515625" style="1" bestFit="1" customWidth="1"/>
    <col min="12" max="12" width="19.140625" style="1" bestFit="1" customWidth="1"/>
    <col min="13" max="13" width="15" style="1" bestFit="1" customWidth="1"/>
    <col min="14" max="14" width="1.42578125" style="1" customWidth="1"/>
    <col min="15" max="15" width="15" style="1" bestFit="1" customWidth="1"/>
    <col min="16" max="16" width="16.85546875" style="1" bestFit="1" customWidth="1"/>
    <col min="17" max="17" width="3" style="1" customWidth="1"/>
    <col min="18" max="18" width="20.140625" style="1" customWidth="1"/>
    <col min="19" max="19" width="17.85546875" style="1" customWidth="1"/>
    <col min="20" max="20" width="21.5703125" style="1" customWidth="1"/>
    <col min="21" max="21" width="15" style="1" customWidth="1"/>
    <col min="22" max="22" width="9.5703125" style="1" customWidth="1"/>
    <col min="23" max="23" width="15" style="1" bestFit="1" customWidth="1"/>
    <col min="24" max="24" width="16.85546875" style="1" bestFit="1" customWidth="1"/>
    <col min="25" max="25" width="2" style="1" customWidth="1"/>
    <col min="26" max="26" width="16.28515625" style="3" customWidth="1"/>
    <col min="27" max="27" width="20.28515625" style="3" customWidth="1"/>
    <col min="28" max="28" width="15.28515625" style="3" customWidth="1"/>
    <col min="29" max="29" width="20.28515625" style="3" customWidth="1"/>
    <col min="30" max="31" width="15.7109375" style="3" customWidth="1"/>
    <col min="32" max="32" width="17.5703125" style="3" bestFit="1" customWidth="1"/>
    <col min="33" max="33" width="13.7109375" style="3" customWidth="1"/>
    <col min="34" max="34" width="15.140625" style="3" customWidth="1"/>
    <col min="35" max="35" width="14" style="3" customWidth="1"/>
    <col min="36" max="36" width="12.5703125" style="1" customWidth="1"/>
    <col min="37" max="37" width="10.7109375" style="1" customWidth="1"/>
    <col min="38" max="40" width="9.140625" style="1"/>
    <col min="41" max="41" width="8.28515625" style="3" bestFit="1" customWidth="1"/>
    <col min="42" max="43" width="8.5703125" style="3" bestFit="1" customWidth="1"/>
    <col min="44" max="44" width="11.7109375" style="3" bestFit="1" customWidth="1"/>
    <col min="45" max="45" width="10" style="3" customWidth="1"/>
    <col min="46" max="46" width="7.5703125" style="3" bestFit="1" customWidth="1"/>
    <col min="47" max="47" width="6.42578125" style="3" bestFit="1" customWidth="1"/>
    <col min="48" max="48" width="1.42578125" style="1" customWidth="1"/>
    <col min="49" max="49" width="14.28515625" style="4" customWidth="1"/>
    <col min="50" max="51" width="14.28515625" style="1" customWidth="1"/>
    <col min="52" max="52" width="9.140625" style="1"/>
    <col min="53" max="53" width="15.5703125" style="1" bestFit="1" customWidth="1"/>
    <col min="54" max="54" width="9.140625" style="1"/>
    <col min="55" max="55" width="15" style="1" bestFit="1" customWidth="1"/>
    <col min="56" max="16384" width="9.140625" style="1"/>
  </cols>
  <sheetData>
    <row r="1" spans="1:55" ht="13.5" thickBot="1">
      <c r="A1" s="39" t="s">
        <v>62</v>
      </c>
      <c r="C1" s="40"/>
      <c r="D1" s="40" t="s">
        <v>15</v>
      </c>
      <c r="E1" s="57">
        <f ca="1">Summary!D12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Summary!J12</f>
        <v>NG_OMICRON_11</v>
      </c>
      <c r="AA1" s="24" t="str">
        <f>Summary!L12</f>
        <v>CGPR-DAWN</v>
      </c>
      <c r="AC1" s="24" t="str">
        <f>Summary!I12</f>
        <v>NG_OMICRON_11</v>
      </c>
      <c r="AD1" s="24" t="str">
        <f>Summary!K12</f>
        <v>CGPR-DAWN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5" thickBot="1">
      <c r="A3" s="61">
        <f>Summary!E12</f>
        <v>37043</v>
      </c>
      <c r="B3" s="62">
        <f>Summary!F12</f>
        <v>42094</v>
      </c>
      <c r="C3" s="12"/>
      <c r="D3" s="12">
        <f>Summary!C12</f>
        <v>37025</v>
      </c>
      <c r="E3" s="13" t="str">
        <f>CONCATENATE(INT(AT8/12)," Y - ",AT8-INT(AT8/12)*12," M")</f>
        <v>13 Y - 10 M</v>
      </c>
      <c r="F3" s="59">
        <v>2</v>
      </c>
      <c r="G3" s="59">
        <v>1</v>
      </c>
      <c r="H3" s="44">
        <v>1</v>
      </c>
      <c r="I3" s="60">
        <f>Summary!P12</f>
        <v>0</v>
      </c>
      <c r="J3" s="171" t="str">
        <f>Summary!H12</f>
        <v>CGPR-DAWN</v>
      </c>
      <c r="K3" s="60" t="str">
        <f>J3</f>
        <v>CGPR-DAWN</v>
      </c>
      <c r="R3" s="171" t="str">
        <f>Summary!G12</f>
        <v>CGPR-Ojibway</v>
      </c>
      <c r="S3" s="60" t="str">
        <f>R3</f>
        <v>CGPR-Ojibway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CGPR-DAWN-D</v>
      </c>
      <c r="K4" s="15" t="str">
        <f>J3</f>
        <v>CGPR-DAWN</v>
      </c>
      <c r="L4" s="41" t="str">
        <f>CONCATENATE(K3,"-","I")</f>
        <v>CGPR-DAWN-I</v>
      </c>
      <c r="M4" s="15" t="str">
        <f>K3</f>
        <v>CGPR-DAWN</v>
      </c>
      <c r="O4" s="15" t="str">
        <f>K4</f>
        <v>CGPR-DAWN</v>
      </c>
      <c r="P4" s="15" t="str">
        <f>J4</f>
        <v>CGPR-DAWN-D</v>
      </c>
      <c r="Q4" s="14"/>
      <c r="R4" s="41" t="str">
        <f>CONCATENATE(R3,"-","D")</f>
        <v>CGPR-Ojibway-D</v>
      </c>
      <c r="S4" s="15" t="str">
        <f>R3</f>
        <v>CGPR-Ojibway</v>
      </c>
      <c r="T4" s="41" t="str">
        <f>CONCATENATE(S3,"-","I")</f>
        <v>CGPR-Ojibway-I</v>
      </c>
      <c r="U4" s="15" t="str">
        <f>S3</f>
        <v>CGPR-Ojibway</v>
      </c>
      <c r="V4" s="15" t="s">
        <v>111</v>
      </c>
      <c r="W4" s="15" t="str">
        <f>S4</f>
        <v>CGPR-Ojibway</v>
      </c>
      <c r="X4" s="15" t="str">
        <f>R4</f>
        <v>CGPR-Ojibway-D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NG_OMICRON_11-P</v>
      </c>
      <c r="AD4" s="227" t="str">
        <f>IF(AD1="NG",CONCATENATE(AD1,"-","VO"),CONCATENATE(AD1,"-","P"))</f>
        <v>CGPR-DAWN-P</v>
      </c>
      <c r="AE4" s="228" t="s">
        <v>93</v>
      </c>
      <c r="AF4" s="15" t="str">
        <f>J3</f>
        <v>CGPR-DAWN</v>
      </c>
      <c r="AG4" s="15" t="s">
        <v>81</v>
      </c>
      <c r="AH4" s="15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CGPR-Ojibway</v>
      </c>
      <c r="AG5" s="14" t="s">
        <v>125</v>
      </c>
      <c r="AH5" s="14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5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5" thickBot="1">
      <c r="A8" s="34" t="s">
        <v>31</v>
      </c>
      <c r="B8" s="25"/>
      <c r="C8" s="25"/>
      <c r="D8" s="25">
        <f>SUM(D10:D500)</f>
        <v>6062652</v>
      </c>
      <c r="E8" s="25">
        <f>SUM(E10:E500)</f>
        <v>184509144</v>
      </c>
      <c r="F8" s="25">
        <f ca="1">SUM(F10:F370)</f>
        <v>101206111.65314154</v>
      </c>
      <c r="G8" s="26">
        <f ca="1">SUMPRODUCT(G10:G499,$F$10:$F$499)/SUM($F$10:$F$499)</f>
        <v>4.3517059551323349</v>
      </c>
      <c r="H8" s="26">
        <f ca="1">SUMPRODUCT(H10:H499,$F$10:$F$499)/SUM($F$10:$F$499)</f>
        <v>4.3517059551323349</v>
      </c>
      <c r="I8" s="26"/>
      <c r="J8" s="26">
        <f ca="1">SUMPRODUCT(J10:J499,$F$10:$F$499)/SUM($F$10:$F$499)</f>
        <v>0.22882020958169078</v>
      </c>
      <c r="K8" s="26">
        <f ca="1">SUMPRODUCT(K10:K499,$F$10:$F$499)/SUM($F$10:$F$499)</f>
        <v>0.22882020958169078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4.5805261647140254</v>
      </c>
      <c r="P8" s="26">
        <f ca="1">SUMPRODUCT(P10:P499,$F$10:$F$499)/SUM($F$10:$F$499)</f>
        <v>4.5805261647140254</v>
      </c>
      <c r="Q8" s="26"/>
      <c r="R8" s="26">
        <f ca="1">SUMPRODUCT(R10:R499,$F$10:$F$499)/SUM($F$10:$F$499)</f>
        <v>0.22221039148192989</v>
      </c>
      <c r="S8" s="26">
        <f ca="1">SUMPRODUCT(S10:S499,$F$10:$F$499)/SUM($F$10:$F$499)</f>
        <v>0.22221039148192989</v>
      </c>
      <c r="T8" s="26">
        <f ca="1">SUMPRODUCT(T10:T499,$F$10:$F$499)/SUM($F$10:$F$499)</f>
        <v>0</v>
      </c>
      <c r="U8" s="26">
        <f ca="1">SUMPRODUCT(U10:U499,$F$10:$F$499)/SUM($F$10:$F$499)</f>
        <v>0</v>
      </c>
      <c r="V8" s="90">
        <f ca="1">SUMPRODUCT(V10:V499,F10:F499)/F8</f>
        <v>0</v>
      </c>
      <c r="W8" s="26">
        <f ca="1">SUMPRODUCT(W10:W499,$F$10:$F$499)/SUM($F$10:$F$499)</f>
        <v>4.5739163466142667</v>
      </c>
      <c r="X8" s="26">
        <f ca="1">SUMPRODUCT(X10:X499,$F$10:$F$499)/SUM($F$10:$F$499)</f>
        <v>4.5739163466142667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SUMPRODUCT(AH10:AH499,F10:F499)/F8</f>
        <v>2.8752926675007489E-2</v>
      </c>
      <c r="AI8" s="26"/>
      <c r="AJ8" s="26"/>
      <c r="AK8" s="26"/>
      <c r="AL8" s="26">
        <f ca="1">AW8/$E8</f>
        <v>3.3132301277174099E-3</v>
      </c>
      <c r="AM8" s="26">
        <f ca="1">BC8/$F8</f>
        <v>0</v>
      </c>
      <c r="AN8" s="26">
        <f ca="1">AY8/$E8</f>
        <v>3.3132301277174099E-3</v>
      </c>
      <c r="AR8" s="27"/>
      <c r="AS8" s="11"/>
      <c r="AT8" s="28">
        <f>SUM(AT10:AT500)</f>
        <v>166</v>
      </c>
      <c r="AU8" s="28">
        <f>SUM(AU10:AU500)</f>
        <v>5052</v>
      </c>
      <c r="AW8" s="29">
        <f ca="1">SUM(AW10:AW501)</f>
        <v>611321.25474014995</v>
      </c>
      <c r="AX8" s="29">
        <f>SUM(AX10:AX501)</f>
        <v>0</v>
      </c>
      <c r="AY8" s="29">
        <f ca="1">SUM(AY10:AY501)</f>
        <v>611321.25474014995</v>
      </c>
      <c r="BA8" s="29">
        <f ca="1">SUM(BA10:BA501)</f>
        <v>0</v>
      </c>
      <c r="BC8" s="257">
        <f ca="1">SUM(BC10:BC501)</f>
        <v>0</v>
      </c>
    </row>
    <row r="9" spans="1:55">
      <c r="B9" s="30"/>
      <c r="C9" s="30"/>
      <c r="D9" s="30"/>
      <c r="E9" s="30"/>
      <c r="F9" s="30"/>
      <c r="G9" s="31"/>
      <c r="H9" s="31">
        <f>+H10+R10+U10</f>
        <v>4.6040000000000001</v>
      </c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V9" s="174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Summary!O12</f>
        <v>36522</v>
      </c>
      <c r="C10" s="68"/>
      <c r="D10" s="69">
        <f t="shared" ref="D10:D73" si="0">IF(A11&lt;&gt;"",B10+C10,"")</f>
        <v>36522</v>
      </c>
      <c r="E10" s="70">
        <f t="shared" ref="E10:E73" si="1">IF(A11="","",IF(AND(AT10=1,$H$3=1),D10*AO10,IF($H$3=2,D10,"N/A")))</f>
        <v>1095660</v>
      </c>
      <c r="F10" s="70">
        <f t="shared" ref="F10:F73" ca="1" si="2">IF(A11="","",E10*AS10)</f>
        <v>1090695.0951642469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0.22</v>
      </c>
      <c r="K10" s="64">
        <f t="shared" ref="K10:K73" si="6">IF(A11="","",J10)</f>
        <v>0.22</v>
      </c>
      <c r="L10" s="63">
        <f t="shared" ref="L10:L73" si="7">IF($A11="","",VLOOKUP($A10,Table,MATCH(L$4,Curves,0)))</f>
        <v>0</v>
      </c>
      <c r="M10" s="64">
        <f t="shared" ref="M10:M73" si="8">IF(A11="","",L10)</f>
        <v>0</v>
      </c>
      <c r="N10" s="65"/>
      <c r="O10" s="63">
        <f t="shared" ref="O10:O73" si="9">IF(A11="","",L10+J10+G10)</f>
        <v>4.6139999999999999</v>
      </c>
      <c r="P10" s="63">
        <f t="shared" ref="P10:P73" si="10">IF(A11="","",M10+K10+H10)</f>
        <v>4.6139999999999999</v>
      </c>
      <c r="Q10" s="66"/>
      <c r="R10" s="63">
        <f t="shared" ref="R10:R73" si="11">IF($A11="","",VLOOKUP($A10,Table,MATCH(R$4,Curves,0)))</f>
        <v>0.21</v>
      </c>
      <c r="S10" s="64">
        <f t="shared" ref="S10:S73" si="12">IF(A11="","",R10)</f>
        <v>0.21</v>
      </c>
      <c r="T10" s="63">
        <f t="shared" ref="T10:T73" si="13">IF($A11="","",VLOOKUP($A10,Table,MATCH(T$4,Curves,0)))</f>
        <v>0</v>
      </c>
      <c r="U10" s="64">
        <f t="shared" ref="U10:U73" si="14">IF(A11="","",T10)</f>
        <v>0</v>
      </c>
      <c r="V10" s="90">
        <f>IF($A11="","",IF(AND(MONTH(A10)&gt;3,MONTH(A10)&lt;11),(T10+R10+G10)*(((1/(1-Summary!$T$12))/(1-Summary!$W$12))-1),(T10+R10+G10)*((1/(1-Summary!$U$12))/(1-Summary!$X$12)-1)))</f>
        <v>0</v>
      </c>
      <c r="W10" s="63">
        <f t="shared" ref="W10:W73" si="15">IF($A11="","",(T10+R10+G10+V10))</f>
        <v>4.6040000000000001</v>
      </c>
      <c r="X10" s="63">
        <f t="shared" ref="X10:X73" si="16">IF($A11="","",(U10+S10+H10+V10))</f>
        <v>4.6040000000000001</v>
      </c>
      <c r="Y10" s="43"/>
      <c r="Z10" s="38">
        <f t="shared" ref="Z10:Z73" si="17">IF($A11="","",VLOOKUP($A10,Table,MATCH(Z$4,Curves,0)))</f>
        <v>0.53</v>
      </c>
      <c r="AA10" s="38">
        <f t="shared" ref="AA10:AA73" si="18">IF($A11="","",VLOOKUP($A10,Table,MATCH(AA$4,Curves,0)))</f>
        <v>0.54</v>
      </c>
      <c r="AB10" s="38">
        <f t="shared" ref="AB10:AB73" ca="1" si="19">SQRT((AA10^2*(A10-$D$3)+Z10^2*(DAY(EOMONTH(A10,0))/2))/AK10)</f>
        <v>0.74606024043165653</v>
      </c>
      <c r="AC10" s="38">
        <f t="shared" ref="AC10:AD73" si="20">IF($A11="","",VLOOKUP($A10,Table,MATCH(AC$4,Curves,0)))</f>
        <v>0.53</v>
      </c>
      <c r="AD10" s="38">
        <f>IF($A11="","",VLOOKUP($A10,Table,MATCH(AD$4,Curves,0)))</f>
        <v>0.54</v>
      </c>
      <c r="AE10" s="38">
        <f t="shared" ref="AE10:AE73" ca="1" si="21">SQRT((AD10^2*(A10-$D$3)+AC10^2*(DAY(EOMONTH(A10,0))/2))/AK10)</f>
        <v>0.74606024043165653</v>
      </c>
      <c r="AF10" s="238">
        <f ca="1">((Summary!$N$12*(AA10*AD10)*(A10-$D$3))+(Summary!$M$12*Z10*AC10*(AJ10-EOMONTH(EDATE(A10,-1),0))))/(AK10*AB10*AE10)</f>
        <v>0.99994452934276057</v>
      </c>
      <c r="AG10" s="88">
        <f>IF($A11="","",Summary!$Q$12)</f>
        <v>0</v>
      </c>
      <c r="AH10" s="88">
        <f>IF($A11="","",IF(Summary!$R$12="Y",(VLOOKUP($A10,Summary!$AD$6:$AF$9,3)+'Escalating commodity'!H23),'Escalating commodity'!H23))</f>
        <v>2.9000000000000001E-2</v>
      </c>
      <c r="AI10" s="88">
        <f>IF($A11="","",AH10)</f>
        <v>2.9000000000000001E-2</v>
      </c>
      <c r="AJ10" s="236">
        <f t="shared" ref="AJ10:AJ73" si="22">A10+DAY(EOMONTH(A10,0))/2-1</f>
        <v>37057</v>
      </c>
      <c r="AK10" s="58">
        <f t="shared" ref="AK10:AK73" ca="1" si="23">IF($A11="","",$A10-$E$1)</f>
        <v>17</v>
      </c>
      <c r="AL10" s="26">
        <f ca="1">IF($A11="","",_xll.SPRDOPT(P10,X10,AI10,0,AB10,AE10,AF10,AK10,$AJ$2,0))</f>
        <v>3.3055651335396272E-4</v>
      </c>
      <c r="AM10" s="89">
        <f t="shared" ref="AM10:AM73" si="24">IF($A11="","",MAX(0,O10-W10-AI10))</f>
        <v>0</v>
      </c>
      <c r="AN10" s="89">
        <f t="shared" ref="AN10:AN73" ca="1" si="25">IF($A11="","",AL10-AM10)</f>
        <v>3.3055651335396272E-4</v>
      </c>
      <c r="AO10" s="3">
        <f t="shared" ref="AO10:AO73" si="26">IF(A11="","",A11-A10)</f>
        <v>30</v>
      </c>
      <c r="AP10" s="33">
        <f t="shared" ref="AP10:AP73" si="27">IF(A11="","",CHOOSE(F$3,A11+24,A10))</f>
        <v>37043</v>
      </c>
      <c r="AQ10" s="58">
        <f t="shared" ref="AQ10:AQ73" ca="1" si="28">IF(A11="","",AP10-$E$1)</f>
        <v>17</v>
      </c>
      <c r="AR10" s="38">
        <f>'ANR OK vs ML7'!AR10</f>
        <v>0.1</v>
      </c>
      <c r="AS10" s="35">
        <f t="shared" ref="AS10:AS73" ca="1" si="29">IF(A11="","",1/(1+CHOOSE(F$3,(AR11+($I$3/10000))/2,(AR10+($I$3/10000))/2))^(2*AQ10/365.25))</f>
        <v>0.99546857160455515</v>
      </c>
      <c r="AT10" s="3">
        <f t="shared" ref="AT10:AT73" si="30">IF(A11="","",IF(AND(mthbeg&lt;=A10,mthend&gt;=A10),1,0))</f>
        <v>1</v>
      </c>
      <c r="AU10" s="3">
        <f t="shared" ref="AU10:AU73" si="31">IF(A11="","",AO10*AT10)</f>
        <v>30</v>
      </c>
      <c r="AW10" s="32">
        <f t="shared" ref="AW10:AW73" ca="1" si="32">IF($A11="","",AL10*$E10)</f>
        <v>362.17754942140277</v>
      </c>
      <c r="AX10" s="32">
        <f t="shared" ref="AX10:AX73" si="33">IF($A11="","",AM10*$E10)</f>
        <v>0</v>
      </c>
      <c r="AY10" s="32">
        <f t="shared" ref="AY10:AY73" ca="1" si="34">IF($A11="","",AN10*$E10)</f>
        <v>362.17754942140277</v>
      </c>
      <c r="AZ10" s="42"/>
      <c r="BA10" s="32">
        <f ca="1">IF($A11="","",F10*Summary!$Q$12)</f>
        <v>0</v>
      </c>
      <c r="BC10" s="256">
        <f ca="1">IF(A11="","",AM10*F10)</f>
        <v>0</v>
      </c>
    </row>
    <row r="11" spans="1:55">
      <c r="A11" s="67">
        <f t="shared" ref="A11:A74" si="35">IF(A10&lt;mthend,EDATE(A10,1),"")</f>
        <v>37073</v>
      </c>
      <c r="B11" s="69">
        <f>IF(A11&lt;mthend,B10,"")</f>
        <v>36522</v>
      </c>
      <c r="C11" s="71"/>
      <c r="D11" s="69">
        <f t="shared" si="0"/>
        <v>36522</v>
      </c>
      <c r="E11" s="70">
        <f t="shared" si="1"/>
        <v>1132182</v>
      </c>
      <c r="F11" s="70">
        <f t="shared" ca="1" si="2"/>
        <v>1118054.5951832361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0.19</v>
      </c>
      <c r="K11" s="64">
        <f t="shared" si="6"/>
        <v>0.19</v>
      </c>
      <c r="L11" s="63">
        <f t="shared" si="7"/>
        <v>0</v>
      </c>
      <c r="M11" s="64">
        <f t="shared" si="8"/>
        <v>0</v>
      </c>
      <c r="N11" s="65"/>
      <c r="O11" s="63">
        <f t="shared" si="9"/>
        <v>4.6550000000000002</v>
      </c>
      <c r="P11" s="63">
        <f t="shared" si="10"/>
        <v>4.6550000000000002</v>
      </c>
      <c r="Q11" s="66"/>
      <c r="R11" s="63">
        <f t="shared" si="11"/>
        <v>0.18</v>
      </c>
      <c r="S11" s="64">
        <f t="shared" si="12"/>
        <v>0.18</v>
      </c>
      <c r="T11" s="63">
        <f t="shared" si="13"/>
        <v>0</v>
      </c>
      <c r="U11" s="64">
        <f t="shared" si="14"/>
        <v>0</v>
      </c>
      <c r="V11" s="90">
        <f>IF($A12="","",IF(AND(MONTH(A11)&gt;3,MONTH(A11)&lt;11),(T11+R11+G11)*(((1/(1-Summary!$T$12))/(1-Summary!$W$12))-1),(T11+R11+G11)*((1/(1-Summary!$U$12))/(1-Summary!$X$12)-1)))</f>
        <v>0</v>
      </c>
      <c r="W11" s="63">
        <f t="shared" si="15"/>
        <v>4.6449999999999996</v>
      </c>
      <c r="X11" s="63">
        <f t="shared" si="16"/>
        <v>4.6449999999999996</v>
      </c>
      <c r="Y11" s="43"/>
      <c r="Z11" s="38">
        <f t="shared" si="17"/>
        <v>0.57999999999999996</v>
      </c>
      <c r="AA11" s="38">
        <f t="shared" si="18"/>
        <v>0.52500000000000002</v>
      </c>
      <c r="AB11" s="38">
        <f t="shared" ca="1" si="19"/>
        <v>0.62644216591321711</v>
      </c>
      <c r="AC11" s="38">
        <f t="shared" si="20"/>
        <v>0.57999999999999996</v>
      </c>
      <c r="AD11" s="38">
        <f t="shared" si="20"/>
        <v>0.52500000000000002</v>
      </c>
      <c r="AE11" s="38">
        <f t="shared" ca="1" si="21"/>
        <v>0.62644216591321711</v>
      </c>
      <c r="AF11" s="238">
        <f ca="1">((Summary!$N$12*(AA11*AD11)*(A11-$D$3))+(Summary!$M$12*Z11*AC11*(AJ11-EOMONTH(EDATE(A11,-1),0))))/(AK11*AB11*AE11)</f>
        <v>0.99992827013370045</v>
      </c>
      <c r="AG11" s="88">
        <f>IF($A12="","",Summary!$Q$12)</f>
        <v>0</v>
      </c>
      <c r="AH11" s="88">
        <f>IF($A12="","",IF(Summary!$R$12="Y",(VLOOKUP($A11,Summary!$AD$6:$AF$9,3)+'Escalating commodity'!H24),'Escalating commodity'!H24))</f>
        <v>2.9000000000000001E-2</v>
      </c>
      <c r="AI11" s="88">
        <f t="shared" ref="AI11:AI74" si="36">IF($A12="","",AH11)</f>
        <v>2.9000000000000001E-2</v>
      </c>
      <c r="AJ11" s="236">
        <f t="shared" si="22"/>
        <v>37087.5</v>
      </c>
      <c r="AK11" s="58">
        <f t="shared" ca="1" si="23"/>
        <v>47</v>
      </c>
      <c r="AL11" s="26">
        <f ca="1">IF($A12="","",_xll.SPRDOPT(P11,X11,AI11,0,AB11,AE11,AF11,AK11,$AJ$2,0))</f>
        <v>7.7689895049531076E-4</v>
      </c>
      <c r="AM11" s="89">
        <f t="shared" si="24"/>
        <v>0</v>
      </c>
      <c r="AN11" s="89">
        <f t="shared" ca="1" si="25"/>
        <v>7.7689895049531076E-4</v>
      </c>
      <c r="AO11" s="3">
        <f t="shared" si="26"/>
        <v>31</v>
      </c>
      <c r="AP11" s="33">
        <f t="shared" si="27"/>
        <v>37073</v>
      </c>
      <c r="AQ11" s="58">
        <f t="shared" ca="1" si="28"/>
        <v>47</v>
      </c>
      <c r="AR11" s="38">
        <f>'ANR OK vs ML7'!AR11</f>
        <v>0.1</v>
      </c>
      <c r="AS11" s="35">
        <f t="shared" ca="1" si="29"/>
        <v>0.98752196659480185</v>
      </c>
      <c r="AT11" s="3">
        <f t="shared" si="30"/>
        <v>1</v>
      </c>
      <c r="AU11" s="3">
        <f t="shared" si="31"/>
        <v>31</v>
      </c>
      <c r="AW11" s="32">
        <f t="shared" ca="1" si="32"/>
        <v>879.59100756968189</v>
      </c>
      <c r="AX11" s="32">
        <f t="shared" si="33"/>
        <v>0</v>
      </c>
      <c r="AY11" s="32">
        <f t="shared" ca="1" si="34"/>
        <v>879.59100756968189</v>
      </c>
      <c r="BA11" s="32">
        <f ca="1">IF($A12="","",F11*Summary!$Q$12)</f>
        <v>0</v>
      </c>
      <c r="BC11" s="256">
        <f t="shared" ref="BC11:BC74" ca="1" si="37">IF(A12="","",AM11*F11)</f>
        <v>0</v>
      </c>
    </row>
    <row r="12" spans="1:55">
      <c r="A12" s="67">
        <f t="shared" si="35"/>
        <v>37104</v>
      </c>
      <c r="B12" s="69">
        <f t="shared" ref="B12:B75" si="38">IF(A12&lt;mthend,B11,"")</f>
        <v>36522</v>
      </c>
      <c r="C12" s="71"/>
      <c r="D12" s="69">
        <f t="shared" si="0"/>
        <v>36522</v>
      </c>
      <c r="E12" s="70">
        <f t="shared" si="1"/>
        <v>1132182</v>
      </c>
      <c r="F12" s="70">
        <f t="shared" ca="1" si="2"/>
        <v>1108833.1372567613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0.16500000000000001</v>
      </c>
      <c r="K12" s="64">
        <f t="shared" si="6"/>
        <v>0.16500000000000001</v>
      </c>
      <c r="L12" s="63">
        <f t="shared" si="7"/>
        <v>0</v>
      </c>
      <c r="M12" s="64">
        <f t="shared" si="8"/>
        <v>0</v>
      </c>
      <c r="N12" s="65"/>
      <c r="O12" s="63">
        <f t="shared" si="9"/>
        <v>4.6930000000000005</v>
      </c>
      <c r="P12" s="63">
        <f t="shared" si="10"/>
        <v>4.6930000000000005</v>
      </c>
      <c r="Q12" s="66"/>
      <c r="R12" s="63">
        <f t="shared" si="11"/>
        <v>0.155</v>
      </c>
      <c r="S12" s="64">
        <f t="shared" si="12"/>
        <v>0.155</v>
      </c>
      <c r="T12" s="63">
        <f t="shared" si="13"/>
        <v>0</v>
      </c>
      <c r="U12" s="64">
        <f t="shared" si="14"/>
        <v>0</v>
      </c>
      <c r="V12" s="90">
        <f>IF($A13="","",IF(AND(MONTH(A12)&gt;3,MONTH(A12)&lt;11),(T12+R12+G12)*(((1/(1-Summary!$T$12))/(1-Summary!$W$12))-1),(T12+R12+G12)*((1/(1-Summary!$U$12))/(1-Summary!$X$12)-1)))</f>
        <v>0</v>
      </c>
      <c r="W12" s="63">
        <f t="shared" si="15"/>
        <v>4.6830000000000007</v>
      </c>
      <c r="X12" s="63">
        <f t="shared" si="16"/>
        <v>4.6830000000000007</v>
      </c>
      <c r="Y12" s="43"/>
      <c r="Z12" s="38">
        <f t="shared" si="17"/>
        <v>0.63</v>
      </c>
      <c r="AA12" s="38">
        <f t="shared" si="18"/>
        <v>0.53</v>
      </c>
      <c r="AB12" s="38">
        <f t="shared" ca="1" si="19"/>
        <v>0.60280381211256118</v>
      </c>
      <c r="AC12" s="38">
        <f t="shared" si="20"/>
        <v>0.63</v>
      </c>
      <c r="AD12" s="38">
        <f t="shared" si="20"/>
        <v>0.53</v>
      </c>
      <c r="AE12" s="38">
        <f t="shared" ca="1" si="21"/>
        <v>0.60280381211256118</v>
      </c>
      <c r="AF12" s="238">
        <f ca="1">((Summary!$N$12*(AA12*AD12)*(A12-$D$3))+(Summary!$M$12*Z12*AC12*(AJ12-EOMONTH(EDATE(A12,-1),0))))/(AK12*AB12*AE12)</f>
        <v>0.99992170532105751</v>
      </c>
      <c r="AG12" s="88">
        <f>IF($A13="","",Summary!$Q$12)</f>
        <v>0</v>
      </c>
      <c r="AH12" s="88">
        <f>IF($A13="","",IF(Summary!$R$12="Y",(VLOOKUP($A12,Summary!$AD$6:$AF$9,3)+'Escalating commodity'!H25),'Escalating commodity'!H25))</f>
        <v>2.9000000000000001E-2</v>
      </c>
      <c r="AI12" s="88">
        <f t="shared" si="36"/>
        <v>2.9000000000000001E-2</v>
      </c>
      <c r="AJ12" s="236">
        <f t="shared" si="22"/>
        <v>37118.5</v>
      </c>
      <c r="AK12" s="58">
        <f t="shared" ca="1" si="23"/>
        <v>78</v>
      </c>
      <c r="AL12" s="26">
        <f ca="1">IF($A13="","",_xll.SPRDOPT(P12,X12,AI12,0,AB12,AE12,AF12,AK12,$AJ$2,0))</f>
        <v>1.1930293394454266E-3</v>
      </c>
      <c r="AM12" s="89">
        <f t="shared" si="24"/>
        <v>0</v>
      </c>
      <c r="AN12" s="89">
        <f t="shared" ca="1" si="25"/>
        <v>1.1930293394454266E-3</v>
      </c>
      <c r="AO12" s="3">
        <f t="shared" si="26"/>
        <v>31</v>
      </c>
      <c r="AP12" s="33">
        <f t="shared" si="27"/>
        <v>37104</v>
      </c>
      <c r="AQ12" s="58">
        <f t="shared" ca="1" si="28"/>
        <v>78</v>
      </c>
      <c r="AR12" s="38">
        <f>'ANR OK vs ML7'!AR12</f>
        <v>0.1</v>
      </c>
      <c r="AS12" s="35">
        <f t="shared" ca="1" si="29"/>
        <v>0.97937711185724663</v>
      </c>
      <c r="AT12" s="3">
        <f t="shared" si="30"/>
        <v>1</v>
      </c>
      <c r="AU12" s="3">
        <f t="shared" si="31"/>
        <v>31</v>
      </c>
      <c r="AW12" s="32">
        <f t="shared" ca="1" si="32"/>
        <v>1350.726343592002</v>
      </c>
      <c r="AX12" s="32">
        <f t="shared" si="33"/>
        <v>0</v>
      </c>
      <c r="AY12" s="32">
        <f t="shared" ca="1" si="34"/>
        <v>1350.726343592002</v>
      </c>
      <c r="BA12" s="32">
        <f ca="1">IF($A13="","",F12*Summary!$Q$12)</f>
        <v>0</v>
      </c>
      <c r="BC12" s="256">
        <f t="shared" ca="1" si="37"/>
        <v>0</v>
      </c>
    </row>
    <row r="13" spans="1:55">
      <c r="A13" s="67">
        <f t="shared" si="35"/>
        <v>37135</v>
      </c>
      <c r="B13" s="69">
        <f t="shared" si="38"/>
        <v>36522</v>
      </c>
      <c r="C13" s="71"/>
      <c r="D13" s="69">
        <f t="shared" si="0"/>
        <v>36522</v>
      </c>
      <c r="E13" s="70">
        <f t="shared" si="1"/>
        <v>1095660</v>
      </c>
      <c r="F13" s="70">
        <f t="shared" ca="1" si="2"/>
        <v>1064213.9378716887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0.17499999999999999</v>
      </c>
      <c r="K13" s="64">
        <f t="shared" si="6"/>
        <v>0.17499999999999999</v>
      </c>
      <c r="L13" s="63">
        <f t="shared" si="7"/>
        <v>0</v>
      </c>
      <c r="M13" s="64">
        <f t="shared" si="8"/>
        <v>0</v>
      </c>
      <c r="N13" s="65"/>
      <c r="O13" s="63">
        <f t="shared" si="9"/>
        <v>4.718</v>
      </c>
      <c r="P13" s="63">
        <f t="shared" si="10"/>
        <v>4.718</v>
      </c>
      <c r="Q13" s="66"/>
      <c r="R13" s="63">
        <f t="shared" si="11"/>
        <v>0.16500000000000001</v>
      </c>
      <c r="S13" s="64">
        <f t="shared" si="12"/>
        <v>0.16500000000000001</v>
      </c>
      <c r="T13" s="63">
        <f t="shared" si="13"/>
        <v>0</v>
      </c>
      <c r="U13" s="64">
        <f t="shared" si="14"/>
        <v>0</v>
      </c>
      <c r="V13" s="90">
        <f>IF($A14="","",IF(AND(MONTH(A13)&gt;3,MONTH(A13)&lt;11),(T13+R13+G13)*(((1/(1-Summary!$T$12))/(1-Summary!$W$12))-1),(T13+R13+G13)*((1/(1-Summary!$U$12))/(1-Summary!$X$12)-1)))</f>
        <v>0</v>
      </c>
      <c r="W13" s="63">
        <f t="shared" si="15"/>
        <v>4.7080000000000002</v>
      </c>
      <c r="X13" s="63">
        <f t="shared" si="16"/>
        <v>4.7080000000000002</v>
      </c>
      <c r="Y13" s="43"/>
      <c r="Z13" s="38">
        <f t="shared" si="17"/>
        <v>0.63</v>
      </c>
      <c r="AA13" s="38">
        <f t="shared" si="18"/>
        <v>0.54</v>
      </c>
      <c r="AB13" s="38">
        <f t="shared" ca="1" si="19"/>
        <v>0.59067291745334316</v>
      </c>
      <c r="AC13" s="38">
        <f t="shared" si="20"/>
        <v>0.63</v>
      </c>
      <c r="AD13" s="38">
        <f t="shared" si="20"/>
        <v>0.54</v>
      </c>
      <c r="AE13" s="38">
        <f t="shared" ca="1" si="21"/>
        <v>0.59067291745334316</v>
      </c>
      <c r="AF13" s="238">
        <f ca="1">((Summary!$N$12*(AA13*AD13)*(A13-$D$3))+(Summary!$M$12*Z13*AC13*(AJ13-EOMONTH(EDATE(A13,-1),0))))/(AK13*AB13*AE13)</f>
        <v>0.99991565495207702</v>
      </c>
      <c r="AG13" s="88">
        <f>IF($A14="","",Summary!$Q$12)</f>
        <v>0</v>
      </c>
      <c r="AH13" s="88">
        <f>IF($A14="","",IF(Summary!$R$12="Y",(VLOOKUP($A13,Summary!$AD$6:$AF$9,3)+'Escalating commodity'!H26),'Escalating commodity'!H26))</f>
        <v>2.9000000000000001E-2</v>
      </c>
      <c r="AI13" s="88">
        <f t="shared" si="36"/>
        <v>2.9000000000000001E-2</v>
      </c>
      <c r="AJ13" s="236">
        <f t="shared" si="22"/>
        <v>37149</v>
      </c>
      <c r="AK13" s="58">
        <f t="shared" ca="1" si="23"/>
        <v>109</v>
      </c>
      <c r="AL13" s="26">
        <f ca="1">IF($A14="","",_xll.SPRDOPT(P13,X13,AI13,0,AB13,AE13,AF13,AK13,$AJ$2,0))</f>
        <v>1.5980659559387475E-3</v>
      </c>
      <c r="AM13" s="89">
        <f t="shared" si="24"/>
        <v>0</v>
      </c>
      <c r="AN13" s="89">
        <f t="shared" ca="1" si="25"/>
        <v>1.5980659559387475E-3</v>
      </c>
      <c r="AO13" s="3">
        <f t="shared" si="26"/>
        <v>30</v>
      </c>
      <c r="AP13" s="33">
        <f t="shared" si="27"/>
        <v>37135</v>
      </c>
      <c r="AQ13" s="58">
        <f t="shared" ca="1" si="28"/>
        <v>109</v>
      </c>
      <c r="AR13" s="38">
        <f>'ANR OK vs ML7'!AR13</f>
        <v>0.1</v>
      </c>
      <c r="AS13" s="35">
        <f t="shared" ca="1" si="29"/>
        <v>0.9712994340139175</v>
      </c>
      <c r="AT13" s="3">
        <f t="shared" si="30"/>
        <v>1</v>
      </c>
      <c r="AU13" s="3">
        <f t="shared" si="31"/>
        <v>30</v>
      </c>
      <c r="AW13" s="32">
        <f t="shared" ca="1" si="32"/>
        <v>1750.936945283848</v>
      </c>
      <c r="AX13" s="32">
        <f t="shared" si="33"/>
        <v>0</v>
      </c>
      <c r="AY13" s="32">
        <f t="shared" ca="1" si="34"/>
        <v>1750.936945283848</v>
      </c>
      <c r="BA13" s="32">
        <f ca="1">IF($A14="","",F13*Summary!$Q$12)</f>
        <v>0</v>
      </c>
      <c r="BC13" s="256">
        <f t="shared" ca="1" si="37"/>
        <v>0</v>
      </c>
    </row>
    <row r="14" spans="1:55">
      <c r="A14" s="67">
        <f t="shared" si="35"/>
        <v>37165</v>
      </c>
      <c r="B14" s="69">
        <f t="shared" si="38"/>
        <v>36522</v>
      </c>
      <c r="C14" s="71"/>
      <c r="D14" s="69">
        <f t="shared" si="0"/>
        <v>36522</v>
      </c>
      <c r="E14" s="70">
        <f t="shared" si="1"/>
        <v>1132182</v>
      </c>
      <c r="F14" s="70">
        <f t="shared" ca="1" si="2"/>
        <v>1090909.1722983406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0.18</v>
      </c>
      <c r="K14" s="64">
        <f t="shared" si="6"/>
        <v>0.18</v>
      </c>
      <c r="L14" s="63">
        <f t="shared" si="7"/>
        <v>0</v>
      </c>
      <c r="M14" s="64">
        <f t="shared" si="8"/>
        <v>0</v>
      </c>
      <c r="N14" s="65"/>
      <c r="O14" s="63">
        <f t="shared" si="9"/>
        <v>4.7430000000000003</v>
      </c>
      <c r="P14" s="63">
        <f t="shared" si="10"/>
        <v>4.7430000000000003</v>
      </c>
      <c r="Q14" s="66"/>
      <c r="R14" s="63">
        <f t="shared" si="11"/>
        <v>0.17</v>
      </c>
      <c r="S14" s="64">
        <f t="shared" si="12"/>
        <v>0.17</v>
      </c>
      <c r="T14" s="63">
        <f t="shared" si="13"/>
        <v>0</v>
      </c>
      <c r="U14" s="64">
        <f t="shared" si="14"/>
        <v>0</v>
      </c>
      <c r="V14" s="90">
        <f>IF($A15="","",IF(AND(MONTH(A14)&gt;3,MONTH(A14)&lt;11),(T14+R14+G14)*(((1/(1-Summary!$T$12))/(1-Summary!$W$12))-1),(T14+R14+G14)*((1/(1-Summary!$U$12))/(1-Summary!$X$12)-1)))</f>
        <v>0</v>
      </c>
      <c r="W14" s="63">
        <f t="shared" si="15"/>
        <v>4.7330000000000005</v>
      </c>
      <c r="X14" s="63">
        <f t="shared" si="16"/>
        <v>4.7330000000000005</v>
      </c>
      <c r="Y14" s="43"/>
      <c r="Z14" s="38">
        <f t="shared" si="17"/>
        <v>0.68</v>
      </c>
      <c r="AA14" s="38">
        <f t="shared" si="18"/>
        <v>0.55000000000000004</v>
      </c>
      <c r="AB14" s="38">
        <f t="shared" ca="1" si="19"/>
        <v>0.59685747789640986</v>
      </c>
      <c r="AC14" s="38">
        <f t="shared" si="20"/>
        <v>0.68</v>
      </c>
      <c r="AD14" s="38">
        <f t="shared" si="20"/>
        <v>0.55000000000000004</v>
      </c>
      <c r="AE14" s="38">
        <f t="shared" ca="1" si="21"/>
        <v>0.59685747789640986</v>
      </c>
      <c r="AF14" s="238">
        <f ca="1">((Summary!$N$12*(AA14*AD14)*(A14-$D$3))+(Summary!$M$12*Z14*AC14*(AJ14-EOMONTH(EDATE(A14,-1),0))))/(AK14*AB14*AE14)</f>
        <v>0.99991447416251322</v>
      </c>
      <c r="AG14" s="88">
        <f>IF($A15="","",Summary!$Q$12)</f>
        <v>0</v>
      </c>
      <c r="AH14" s="88">
        <f>IF($A15="","",IF(Summary!$R$12="Y",(VLOOKUP($A14,Summary!$AD$6:$AF$9,3)+'Escalating commodity'!H27),'Escalating commodity'!H27))</f>
        <v>2.9000000000000001E-2</v>
      </c>
      <c r="AI14" s="88">
        <f t="shared" si="36"/>
        <v>2.9000000000000001E-2</v>
      </c>
      <c r="AJ14" s="236">
        <f t="shared" si="22"/>
        <v>37179.5</v>
      </c>
      <c r="AK14" s="58">
        <f t="shared" ca="1" si="23"/>
        <v>139</v>
      </c>
      <c r="AL14" s="26">
        <f ca="1">IF($A15="","",_xll.SPRDOPT(P14,X14,AI14,0,AB14,AE14,AF14,AK14,$AJ$2,0))</f>
        <v>1.9563815781068437E-3</v>
      </c>
      <c r="AM14" s="89">
        <f t="shared" si="24"/>
        <v>0</v>
      </c>
      <c r="AN14" s="89">
        <f t="shared" ca="1" si="25"/>
        <v>1.9563815781068437E-3</v>
      </c>
      <c r="AO14" s="3">
        <f t="shared" si="26"/>
        <v>31</v>
      </c>
      <c r="AP14" s="33">
        <f t="shared" si="27"/>
        <v>37165</v>
      </c>
      <c r="AQ14" s="58">
        <f t="shared" ca="1" si="28"/>
        <v>139</v>
      </c>
      <c r="AR14" s="38">
        <f>'ANR OK vs ML7'!AR14</f>
        <v>0.1</v>
      </c>
      <c r="AS14" s="35">
        <f t="shared" ca="1" si="29"/>
        <v>0.96354576587363217</v>
      </c>
      <c r="AT14" s="3">
        <f t="shared" si="30"/>
        <v>1</v>
      </c>
      <c r="AU14" s="3">
        <f t="shared" si="31"/>
        <v>31</v>
      </c>
      <c r="AW14" s="32">
        <f t="shared" ca="1" si="32"/>
        <v>2214.9800078641624</v>
      </c>
      <c r="AX14" s="32">
        <f t="shared" si="33"/>
        <v>0</v>
      </c>
      <c r="AY14" s="32">
        <f t="shared" ca="1" si="34"/>
        <v>2214.9800078641624</v>
      </c>
      <c r="BA14" s="32">
        <f ca="1">IF($A15="","",F14*Summary!$Q$12)</f>
        <v>0</v>
      </c>
      <c r="BC14" s="256">
        <f t="shared" ca="1" si="37"/>
        <v>0</v>
      </c>
    </row>
    <row r="15" spans="1:55">
      <c r="A15" s="67">
        <f t="shared" si="35"/>
        <v>37196</v>
      </c>
      <c r="B15" s="69">
        <f t="shared" si="38"/>
        <v>36522</v>
      </c>
      <c r="C15" s="71"/>
      <c r="D15" s="69">
        <f t="shared" si="0"/>
        <v>36522</v>
      </c>
      <c r="E15" s="70">
        <f t="shared" si="1"/>
        <v>1095660</v>
      </c>
      <c r="F15" s="70">
        <f t="shared" ca="1" si="2"/>
        <v>1047011.2292857368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0.25</v>
      </c>
      <c r="K15" s="64">
        <f t="shared" si="6"/>
        <v>0.25</v>
      </c>
      <c r="L15" s="63">
        <f t="shared" si="7"/>
        <v>0</v>
      </c>
      <c r="M15" s="64">
        <f t="shared" si="8"/>
        <v>0</v>
      </c>
      <c r="N15" s="65"/>
      <c r="O15" s="63">
        <f t="shared" si="9"/>
        <v>4.9780000000000006</v>
      </c>
      <c r="P15" s="63">
        <f t="shared" si="10"/>
        <v>4.9780000000000006</v>
      </c>
      <c r="Q15" s="66"/>
      <c r="R15" s="63">
        <f t="shared" si="11"/>
        <v>0.24</v>
      </c>
      <c r="S15" s="64">
        <f t="shared" si="12"/>
        <v>0.24</v>
      </c>
      <c r="T15" s="63">
        <f t="shared" si="13"/>
        <v>0</v>
      </c>
      <c r="U15" s="64">
        <f t="shared" si="14"/>
        <v>0</v>
      </c>
      <c r="V15" s="90">
        <f>IF($A16="","",IF(AND(MONTH(A15)&gt;3,MONTH(A15)&lt;11),(T15+R15+G15)*(((1/(1-Summary!$T$12))/(1-Summary!$W$12))-1),(T15+R15+G15)*((1/(1-Summary!$U$12))/(1-Summary!$X$12)-1)))</f>
        <v>0</v>
      </c>
      <c r="W15" s="63">
        <f t="shared" si="15"/>
        <v>4.9680000000000009</v>
      </c>
      <c r="X15" s="63">
        <f t="shared" si="16"/>
        <v>4.9680000000000009</v>
      </c>
      <c r="Y15" s="43"/>
      <c r="Z15" s="38">
        <f t="shared" si="17"/>
        <v>1.05</v>
      </c>
      <c r="AA15" s="38">
        <f t="shared" si="18"/>
        <v>0.56000000000000005</v>
      </c>
      <c r="AB15" s="38">
        <f t="shared" ca="1" si="19"/>
        <v>0.64243608059250445</v>
      </c>
      <c r="AC15" s="38">
        <f t="shared" si="20"/>
        <v>1.05</v>
      </c>
      <c r="AD15" s="38">
        <f t="shared" si="20"/>
        <v>0.56000000000000005</v>
      </c>
      <c r="AE15" s="38">
        <f t="shared" ca="1" si="21"/>
        <v>0.64243608059250445</v>
      </c>
      <c r="AF15" s="238">
        <f ca="1">((Summary!$N$12*(AA15*AD15)*(A15-$D$3))+(Summary!$M$12*Z15*AC15*(AJ15-EOMONTH(EDATE(A15,-1),0))))/(AK15*AB15*AE15)</f>
        <v>0.99992357008170973</v>
      </c>
      <c r="AG15" s="88">
        <f>IF($A16="","",Summary!$Q$12)</f>
        <v>0</v>
      </c>
      <c r="AH15" s="88">
        <f>IF($A16="","",IF(Summary!$R$12="Y",(VLOOKUP($A15,Summary!$AD$6:$AF$9,3)+'Escalating commodity'!H28),'Escalating commodity'!H28))</f>
        <v>2.9000000000000001E-2</v>
      </c>
      <c r="AI15" s="88">
        <f t="shared" si="36"/>
        <v>2.9000000000000001E-2</v>
      </c>
      <c r="AJ15" s="236">
        <f t="shared" si="22"/>
        <v>37210</v>
      </c>
      <c r="AK15" s="58">
        <f t="shared" ca="1" si="23"/>
        <v>170</v>
      </c>
      <c r="AL15" s="26">
        <f ca="1">IF($A16="","",_xll.SPRDOPT(P15,X15,AI15,0,AB15,AE15,AF15,AK15,$AJ$2,0))</f>
        <v>2.3455816742052153E-3</v>
      </c>
      <c r="AM15" s="89">
        <f t="shared" si="24"/>
        <v>0</v>
      </c>
      <c r="AN15" s="89">
        <f t="shared" ca="1" si="25"/>
        <v>2.3455816742052153E-3</v>
      </c>
      <c r="AO15" s="3">
        <f t="shared" si="26"/>
        <v>30</v>
      </c>
      <c r="AP15" s="33">
        <f t="shared" si="27"/>
        <v>37196</v>
      </c>
      <c r="AQ15" s="58">
        <f t="shared" ca="1" si="28"/>
        <v>170</v>
      </c>
      <c r="AR15" s="38">
        <f>'ANR OK vs ML7'!AR15</f>
        <v>0.1</v>
      </c>
      <c r="AS15" s="35">
        <f t="shared" ca="1" si="29"/>
        <v>0.95559866134178195</v>
      </c>
      <c r="AT15" s="3">
        <f t="shared" si="30"/>
        <v>1</v>
      </c>
      <c r="AU15" s="3">
        <f t="shared" si="31"/>
        <v>30</v>
      </c>
      <c r="AW15" s="32">
        <f t="shared" ca="1" si="32"/>
        <v>2569.9600171596862</v>
      </c>
      <c r="AX15" s="32">
        <f t="shared" si="33"/>
        <v>0</v>
      </c>
      <c r="AY15" s="32">
        <f t="shared" ca="1" si="34"/>
        <v>2569.9600171596862</v>
      </c>
      <c r="BA15" s="32">
        <f ca="1">IF($A16="","",F15*Summary!$Q$12)</f>
        <v>0</v>
      </c>
      <c r="BC15" s="256">
        <f t="shared" ca="1" si="37"/>
        <v>0</v>
      </c>
    </row>
    <row r="16" spans="1:55">
      <c r="A16" s="67">
        <f t="shared" si="35"/>
        <v>37226</v>
      </c>
      <c r="B16" s="69">
        <f t="shared" si="38"/>
        <v>36522</v>
      </c>
      <c r="C16" s="71"/>
      <c r="D16" s="69">
        <f t="shared" si="0"/>
        <v>36522</v>
      </c>
      <c r="E16" s="70">
        <f t="shared" si="1"/>
        <v>1132182</v>
      </c>
      <c r="F16" s="70">
        <f t="shared" ca="1" si="2"/>
        <v>1073274.9430170353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0.25</v>
      </c>
      <c r="K16" s="64">
        <f t="shared" si="6"/>
        <v>0.25</v>
      </c>
      <c r="L16" s="63">
        <f t="shared" si="7"/>
        <v>0</v>
      </c>
      <c r="M16" s="64">
        <f t="shared" si="8"/>
        <v>0</v>
      </c>
      <c r="N16" s="65"/>
      <c r="O16" s="63">
        <f t="shared" si="9"/>
        <v>5.1349999999999998</v>
      </c>
      <c r="P16" s="63">
        <f t="shared" si="10"/>
        <v>5.1349999999999998</v>
      </c>
      <c r="Q16" s="66"/>
      <c r="R16" s="63">
        <f t="shared" si="11"/>
        <v>0.24</v>
      </c>
      <c r="S16" s="64">
        <f t="shared" si="12"/>
        <v>0.24</v>
      </c>
      <c r="T16" s="63">
        <f t="shared" si="13"/>
        <v>0</v>
      </c>
      <c r="U16" s="64">
        <f t="shared" si="14"/>
        <v>0</v>
      </c>
      <c r="V16" s="90">
        <f>IF($A17="","",IF(AND(MONTH(A16)&gt;3,MONTH(A16)&lt;11),(T16+R16+G16)*(((1/(1-Summary!$T$12))/(1-Summary!$W$12))-1),(T16+R16+G16)*((1/(1-Summary!$U$12))/(1-Summary!$X$12)-1)))</f>
        <v>0</v>
      </c>
      <c r="W16" s="63">
        <f t="shared" si="15"/>
        <v>5.125</v>
      </c>
      <c r="X16" s="63">
        <f t="shared" si="16"/>
        <v>5.125</v>
      </c>
      <c r="Y16" s="43"/>
      <c r="Z16" s="38">
        <f t="shared" si="17"/>
        <v>1.35</v>
      </c>
      <c r="AA16" s="38">
        <f t="shared" si="18"/>
        <v>0.56800000000000006</v>
      </c>
      <c r="AB16" s="38">
        <f t="shared" ca="1" si="19"/>
        <v>0.68226158473125254</v>
      </c>
      <c r="AC16" s="38">
        <f t="shared" si="20"/>
        <v>1.35</v>
      </c>
      <c r="AD16" s="38">
        <f t="shared" si="20"/>
        <v>0.56800000000000006</v>
      </c>
      <c r="AE16" s="38">
        <f t="shared" ca="1" si="21"/>
        <v>0.68226158473125254</v>
      </c>
      <c r="AF16" s="238">
        <f ca="1">((Summary!$N$12*(AA16*AD16)*(A16-$D$3))+(Summary!$M$12*Z16*AC16*(AJ16-EOMONTH(EDATE(A16,-1),0))))/(AK16*AB16*AE16)</f>
        <v>0.9999303436207807</v>
      </c>
      <c r="AG16" s="88">
        <f>IF($A17="","",Summary!$Q$12)</f>
        <v>0</v>
      </c>
      <c r="AH16" s="88">
        <f>IF($A17="","",IF(Summary!$R$12="Y",(VLOOKUP($A16,Summary!$AD$6:$AF$9,3)+'Escalating commodity'!H29),'Escalating commodity'!H29))</f>
        <v>2.9000000000000001E-2</v>
      </c>
      <c r="AI16" s="88">
        <f t="shared" si="36"/>
        <v>2.9000000000000001E-2</v>
      </c>
      <c r="AJ16" s="236">
        <f t="shared" si="22"/>
        <v>37240.5</v>
      </c>
      <c r="AK16" s="58">
        <f t="shared" ca="1" si="23"/>
        <v>200</v>
      </c>
      <c r="AL16" s="26">
        <f ca="1">IF($A17="","",_xll.SPRDOPT(P16,X16,AI16,0,AB16,AE16,AF16,AK16,$AJ$2,0))</f>
        <v>2.6764467191767102E-3</v>
      </c>
      <c r="AM16" s="89">
        <f t="shared" si="24"/>
        <v>0</v>
      </c>
      <c r="AN16" s="89">
        <f t="shared" ca="1" si="25"/>
        <v>2.6764467191767102E-3</v>
      </c>
      <c r="AO16" s="3">
        <f t="shared" si="26"/>
        <v>31</v>
      </c>
      <c r="AP16" s="33">
        <f t="shared" si="27"/>
        <v>37226</v>
      </c>
      <c r="AQ16" s="58">
        <f t="shared" ca="1" si="28"/>
        <v>200</v>
      </c>
      <c r="AR16" s="38">
        <f>'ANR OK vs ML7'!AR16</f>
        <v>0.1</v>
      </c>
      <c r="AS16" s="35">
        <f t="shared" ca="1" si="29"/>
        <v>0.94797032899042311</v>
      </c>
      <c r="AT16" s="3">
        <f t="shared" si="30"/>
        <v>1</v>
      </c>
      <c r="AU16" s="3">
        <f t="shared" si="31"/>
        <v>31</v>
      </c>
      <c r="AW16" s="32">
        <f t="shared" ca="1" si="32"/>
        <v>3030.2247994109262</v>
      </c>
      <c r="AX16" s="32">
        <f t="shared" si="33"/>
        <v>0</v>
      </c>
      <c r="AY16" s="32">
        <f t="shared" ca="1" si="34"/>
        <v>3030.2247994109262</v>
      </c>
      <c r="BA16" s="32">
        <f ca="1">IF($A17="","",F16*Summary!$Q$12)</f>
        <v>0</v>
      </c>
      <c r="BC16" s="256">
        <f t="shared" ca="1" si="37"/>
        <v>0</v>
      </c>
    </row>
    <row r="17" spans="1:55">
      <c r="A17" s="67">
        <f t="shared" si="35"/>
        <v>37257</v>
      </c>
      <c r="B17" s="69">
        <f t="shared" si="38"/>
        <v>36522</v>
      </c>
      <c r="C17" s="71"/>
      <c r="D17" s="69">
        <f t="shared" si="0"/>
        <v>36522</v>
      </c>
      <c r="E17" s="70">
        <f t="shared" si="1"/>
        <v>1132182</v>
      </c>
      <c r="F17" s="70">
        <f t="shared" ca="1" si="2"/>
        <v>1064422.8173934657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0.25</v>
      </c>
      <c r="K17" s="64">
        <f t="shared" si="6"/>
        <v>0.25</v>
      </c>
      <c r="L17" s="63">
        <f t="shared" si="7"/>
        <v>0</v>
      </c>
      <c r="M17" s="64">
        <f t="shared" si="8"/>
        <v>0</v>
      </c>
      <c r="N17" s="65"/>
      <c r="O17" s="63">
        <f t="shared" si="9"/>
        <v>5.1970000000000001</v>
      </c>
      <c r="P17" s="63">
        <f t="shared" si="10"/>
        <v>5.1970000000000001</v>
      </c>
      <c r="Q17" s="66"/>
      <c r="R17" s="63">
        <f t="shared" si="11"/>
        <v>0.24</v>
      </c>
      <c r="S17" s="64">
        <f t="shared" si="12"/>
        <v>0.24</v>
      </c>
      <c r="T17" s="63">
        <f t="shared" si="13"/>
        <v>0</v>
      </c>
      <c r="U17" s="64">
        <f t="shared" si="14"/>
        <v>0</v>
      </c>
      <c r="V17" s="90">
        <f>IF($A18="","",IF(AND(MONTH(A17)&gt;3,MONTH(A17)&lt;11),(T17+R17+G17)*(((1/(1-Summary!$T$12))/(1-Summary!$W$12))-1),(T17+R17+G17)*((1/(1-Summary!$U$12))/(1-Summary!$X$12)-1)))</f>
        <v>0</v>
      </c>
      <c r="W17" s="63">
        <f t="shared" si="15"/>
        <v>5.1870000000000003</v>
      </c>
      <c r="X17" s="63">
        <f t="shared" si="16"/>
        <v>5.1870000000000003</v>
      </c>
      <c r="Y17" s="43"/>
      <c r="Z17" s="38">
        <f t="shared" si="17"/>
        <v>1.35</v>
      </c>
      <c r="AA17" s="38">
        <f t="shared" si="18"/>
        <v>0.57499999999999996</v>
      </c>
      <c r="AB17" s="38">
        <f t="shared" ca="1" si="19"/>
        <v>0.67405136161515022</v>
      </c>
      <c r="AC17" s="38">
        <f t="shared" si="20"/>
        <v>1.35</v>
      </c>
      <c r="AD17" s="38">
        <f t="shared" si="20"/>
        <v>0.57499999999999996</v>
      </c>
      <c r="AE17" s="38">
        <f t="shared" ca="1" si="21"/>
        <v>0.67405136161515022</v>
      </c>
      <c r="AF17" s="238">
        <f ca="1">((Summary!$N$12*(AA17*AD17)*(A17-$D$3))+(Summary!$M$12*Z17*AC17*(AJ17-EOMONTH(EDATE(A17,-1),0))))/(AK17*AB17*AE17)</f>
        <v>0.99992691542703327</v>
      </c>
      <c r="AG17" s="88">
        <f>IF($A18="","",Summary!$Q$12)</f>
        <v>0</v>
      </c>
      <c r="AH17" s="88">
        <f>IF($A18="","",IF(Summary!$R$12="Y",(VLOOKUP($A17,Summary!$AD$6:$AF$9,3)+'Escalating commodity'!H30),'Escalating commodity'!H30))</f>
        <v>2.9000000000000001E-2</v>
      </c>
      <c r="AI17" s="88">
        <f t="shared" si="36"/>
        <v>2.9000000000000001E-2</v>
      </c>
      <c r="AJ17" s="236">
        <f t="shared" si="22"/>
        <v>37271.5</v>
      </c>
      <c r="AK17" s="58">
        <f t="shared" ca="1" si="23"/>
        <v>231</v>
      </c>
      <c r="AL17" s="26">
        <f ca="1">IF($A18="","",_xll.SPRDOPT(P17,X17,AI17,0,AB17,AE17,AF17,AK17,$AJ$2,0))</f>
        <v>3.0818999032221975E-3</v>
      </c>
      <c r="AM17" s="89">
        <f t="shared" si="24"/>
        <v>0</v>
      </c>
      <c r="AN17" s="89">
        <f t="shared" ca="1" si="25"/>
        <v>3.0818999032221975E-3</v>
      </c>
      <c r="AO17" s="3">
        <f t="shared" si="26"/>
        <v>31</v>
      </c>
      <c r="AP17" s="33">
        <f t="shared" si="27"/>
        <v>37257</v>
      </c>
      <c r="AQ17" s="58">
        <f t="shared" ca="1" si="28"/>
        <v>231</v>
      </c>
      <c r="AR17" s="38">
        <f>'ANR OK vs ML7'!AR17</f>
        <v>0.1</v>
      </c>
      <c r="AS17" s="35">
        <f t="shared" ca="1" si="29"/>
        <v>0.94015168709047281</v>
      </c>
      <c r="AT17" s="3">
        <f t="shared" si="30"/>
        <v>1</v>
      </c>
      <c r="AU17" s="3">
        <f t="shared" si="31"/>
        <v>31</v>
      </c>
      <c r="AW17" s="32">
        <f t="shared" ca="1" si="32"/>
        <v>3489.2715962299139</v>
      </c>
      <c r="AX17" s="32">
        <f t="shared" si="33"/>
        <v>0</v>
      </c>
      <c r="AY17" s="32">
        <f t="shared" ca="1" si="34"/>
        <v>3489.2715962299139</v>
      </c>
      <c r="BA17" s="32">
        <f ca="1">IF($A18="","",F17*Summary!$Q$12)</f>
        <v>0</v>
      </c>
      <c r="BC17" s="256">
        <f t="shared" ca="1" si="37"/>
        <v>0</v>
      </c>
    </row>
    <row r="18" spans="1:55">
      <c r="A18" s="67">
        <f t="shared" si="35"/>
        <v>37288</v>
      </c>
      <c r="B18" s="69">
        <f t="shared" si="38"/>
        <v>36522</v>
      </c>
      <c r="C18" s="71"/>
      <c r="D18" s="69">
        <f t="shared" si="0"/>
        <v>36522</v>
      </c>
      <c r="E18" s="70">
        <f t="shared" si="1"/>
        <v>1022616</v>
      </c>
      <c r="F18" s="70">
        <f t="shared" ca="1" si="2"/>
        <v>953484.63412973797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0.36</v>
      </c>
      <c r="K18" s="64">
        <f t="shared" si="6"/>
        <v>0.36</v>
      </c>
      <c r="L18" s="63">
        <f t="shared" si="7"/>
        <v>0</v>
      </c>
      <c r="M18" s="64">
        <f t="shared" si="8"/>
        <v>0</v>
      </c>
      <c r="N18" s="65"/>
      <c r="O18" s="63">
        <f t="shared" si="9"/>
        <v>5.1770000000000005</v>
      </c>
      <c r="P18" s="63">
        <f t="shared" si="10"/>
        <v>5.1770000000000005</v>
      </c>
      <c r="Q18" s="66"/>
      <c r="R18" s="63">
        <f t="shared" si="11"/>
        <v>0.35</v>
      </c>
      <c r="S18" s="64">
        <f t="shared" si="12"/>
        <v>0.35</v>
      </c>
      <c r="T18" s="63">
        <f t="shared" si="13"/>
        <v>0</v>
      </c>
      <c r="U18" s="64">
        <f t="shared" si="14"/>
        <v>0</v>
      </c>
      <c r="V18" s="90">
        <f>IF($A19="","",IF(AND(MONTH(A18)&gt;3,MONTH(A18)&lt;11),(T18+R18+G18)*(((1/(1-Summary!$T$12))/(1-Summary!$W$12))-1),(T18+R18+G18)*((1/(1-Summary!$U$12))/(1-Summary!$X$12)-1)))</f>
        <v>0</v>
      </c>
      <c r="W18" s="63">
        <f t="shared" si="15"/>
        <v>5.1669999999999998</v>
      </c>
      <c r="X18" s="63">
        <f t="shared" si="16"/>
        <v>5.1669999999999998</v>
      </c>
      <c r="Y18" s="43"/>
      <c r="Z18" s="38">
        <f t="shared" si="17"/>
        <v>1.35</v>
      </c>
      <c r="AA18" s="38">
        <f t="shared" si="18"/>
        <v>0.56999999999999995</v>
      </c>
      <c r="AB18" s="38">
        <f t="shared" ca="1" si="19"/>
        <v>0.65078842377464263</v>
      </c>
      <c r="AC18" s="38">
        <f t="shared" si="20"/>
        <v>1.35</v>
      </c>
      <c r="AD18" s="38">
        <f t="shared" si="20"/>
        <v>0.56999999999999995</v>
      </c>
      <c r="AE18" s="38">
        <f t="shared" ca="1" si="21"/>
        <v>0.65078842377464263</v>
      </c>
      <c r="AF18" s="238">
        <f ca="1">((Summary!$N$12*(AA18*AD18)*(A18-$D$3))+(Summary!$M$12*Z18*AC18*(AJ18-EOMONTH(EDATE(A18,-1),0))))/(AK18*AB18*AE18)</f>
        <v>0.99992299400614826</v>
      </c>
      <c r="AG18" s="88">
        <f>IF($A19="","",Summary!$Q$12)</f>
        <v>0</v>
      </c>
      <c r="AH18" s="88">
        <f>IF($A19="","",IF(Summary!$R$12="Y",(VLOOKUP($A18,Summary!$AD$6:$AF$9,3)+'Escalating commodity'!H31),'Escalating commodity'!H31))</f>
        <v>2.9000000000000001E-2</v>
      </c>
      <c r="AI18" s="88">
        <f t="shared" si="36"/>
        <v>2.9000000000000001E-2</v>
      </c>
      <c r="AJ18" s="236">
        <f t="shared" si="22"/>
        <v>37301</v>
      </c>
      <c r="AK18" s="58">
        <f t="shared" ca="1" si="23"/>
        <v>262</v>
      </c>
      <c r="AL18" s="26">
        <f ca="1">IF($A19="","",_xll.SPRDOPT(P18,X18,AI18,0,AB18,AE18,AF18,AK18,$AJ$2,0))</f>
        <v>3.3489170077901781E-3</v>
      </c>
      <c r="AM18" s="89">
        <f t="shared" si="24"/>
        <v>0</v>
      </c>
      <c r="AN18" s="89">
        <f t="shared" ca="1" si="25"/>
        <v>3.3489170077901781E-3</v>
      </c>
      <c r="AO18" s="3">
        <f t="shared" si="26"/>
        <v>28</v>
      </c>
      <c r="AP18" s="33">
        <f t="shared" si="27"/>
        <v>37288</v>
      </c>
      <c r="AQ18" s="58">
        <f t="shared" ca="1" si="28"/>
        <v>262</v>
      </c>
      <c r="AR18" s="38">
        <f>'ANR OK vs ML7'!AR18</f>
        <v>0.1</v>
      </c>
      <c r="AS18" s="35">
        <f t="shared" ca="1" si="29"/>
        <v>0.93239753155606597</v>
      </c>
      <c r="AT18" s="3">
        <f t="shared" si="30"/>
        <v>1</v>
      </c>
      <c r="AU18" s="3">
        <f t="shared" si="31"/>
        <v>28</v>
      </c>
      <c r="AW18" s="32">
        <f t="shared" ca="1" si="32"/>
        <v>3424.6561148383607</v>
      </c>
      <c r="AX18" s="32">
        <f t="shared" si="33"/>
        <v>0</v>
      </c>
      <c r="AY18" s="32">
        <f t="shared" ca="1" si="34"/>
        <v>3424.6561148383607</v>
      </c>
      <c r="BA18" s="32">
        <f ca="1">IF($A19="","",F18*Summary!$Q$12)</f>
        <v>0</v>
      </c>
      <c r="BC18" s="256">
        <f t="shared" ca="1" si="37"/>
        <v>0</v>
      </c>
    </row>
    <row r="19" spans="1:55">
      <c r="A19" s="67">
        <f t="shared" si="35"/>
        <v>37316</v>
      </c>
      <c r="B19" s="69">
        <f t="shared" si="38"/>
        <v>36522</v>
      </c>
      <c r="C19" s="71"/>
      <c r="D19" s="69">
        <f t="shared" si="0"/>
        <v>36522</v>
      </c>
      <c r="E19" s="70">
        <f t="shared" si="1"/>
        <v>1132182</v>
      </c>
      <c r="F19" s="70">
        <f t="shared" ca="1" si="2"/>
        <v>1047776.4314846448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0.36</v>
      </c>
      <c r="K19" s="64">
        <f t="shared" si="6"/>
        <v>0.36</v>
      </c>
      <c r="L19" s="63">
        <f t="shared" si="7"/>
        <v>0</v>
      </c>
      <c r="M19" s="64">
        <f t="shared" si="8"/>
        <v>0</v>
      </c>
      <c r="N19" s="65"/>
      <c r="O19" s="63">
        <f t="shared" si="9"/>
        <v>4.99</v>
      </c>
      <c r="P19" s="63">
        <f t="shared" si="10"/>
        <v>4.99</v>
      </c>
      <c r="Q19" s="66"/>
      <c r="R19" s="63">
        <f t="shared" si="11"/>
        <v>0.35</v>
      </c>
      <c r="S19" s="64">
        <f t="shared" si="12"/>
        <v>0.35</v>
      </c>
      <c r="T19" s="63">
        <f t="shared" si="13"/>
        <v>0</v>
      </c>
      <c r="U19" s="64">
        <f t="shared" si="14"/>
        <v>0</v>
      </c>
      <c r="V19" s="90">
        <f>IF($A20="","",IF(AND(MONTH(A19)&gt;3,MONTH(A19)&lt;11),(T19+R19+G19)*(((1/(1-Summary!$T$12))/(1-Summary!$W$12))-1),(T19+R19+G19)*((1/(1-Summary!$U$12))/(1-Summary!$X$12)-1)))</f>
        <v>0</v>
      </c>
      <c r="W19" s="63">
        <f t="shared" si="15"/>
        <v>4.9799999999999995</v>
      </c>
      <c r="X19" s="63">
        <f t="shared" si="16"/>
        <v>4.9799999999999995</v>
      </c>
      <c r="Y19" s="43"/>
      <c r="Z19" s="38">
        <f t="shared" si="17"/>
        <v>1</v>
      </c>
      <c r="AA19" s="38">
        <f t="shared" si="18"/>
        <v>0.52300000000000002</v>
      </c>
      <c r="AB19" s="38">
        <f t="shared" ca="1" si="19"/>
        <v>0.57264341374920646</v>
      </c>
      <c r="AC19" s="38">
        <f t="shared" si="20"/>
        <v>1</v>
      </c>
      <c r="AD19" s="38">
        <f t="shared" si="20"/>
        <v>0.52300000000000002</v>
      </c>
      <c r="AE19" s="38">
        <f t="shared" ca="1" si="21"/>
        <v>0.57264341374920646</v>
      </c>
      <c r="AF19" s="238">
        <f ca="1">((Summary!$N$12*(AA19*AD19)*(A19-$D$3))+(Summary!$M$12*Z19*AC19*(AJ19-EOMONTH(EDATE(A19,-1),0))))/(AK19*AB19*AE19)</f>
        <v>0.99991629915764157</v>
      </c>
      <c r="AG19" s="88">
        <f>IF($A20="","",Summary!$Q$12)</f>
        <v>0</v>
      </c>
      <c r="AH19" s="88">
        <f>IF($A20="","",IF(Summary!$R$12="Y",(VLOOKUP($A19,Summary!$AD$6:$AF$9,3)+'Escalating commodity'!H32),'Escalating commodity'!H32))</f>
        <v>2.9000000000000001E-2</v>
      </c>
      <c r="AI19" s="88">
        <f t="shared" si="36"/>
        <v>2.9000000000000001E-2</v>
      </c>
      <c r="AJ19" s="236">
        <f t="shared" si="22"/>
        <v>37330.5</v>
      </c>
      <c r="AK19" s="58">
        <f t="shared" ca="1" si="23"/>
        <v>290</v>
      </c>
      <c r="AL19" s="26">
        <f ca="1">IF($A20="","",_xll.SPRDOPT(P19,X19,AI19,0,AB19,AE19,AF19,AK19,$AJ$2,0))</f>
        <v>3.1430682951523389E-3</v>
      </c>
      <c r="AM19" s="89">
        <f t="shared" si="24"/>
        <v>0</v>
      </c>
      <c r="AN19" s="89">
        <f t="shared" ca="1" si="25"/>
        <v>3.1430682951523389E-3</v>
      </c>
      <c r="AO19" s="3">
        <f t="shared" si="26"/>
        <v>31</v>
      </c>
      <c r="AP19" s="33">
        <f t="shared" si="27"/>
        <v>37316</v>
      </c>
      <c r="AQ19" s="58">
        <f t="shared" ca="1" si="28"/>
        <v>290</v>
      </c>
      <c r="AR19" s="38">
        <f>'ANR OK vs ML7'!AR19</f>
        <v>0.1</v>
      </c>
      <c r="AS19" s="35">
        <f t="shared" ca="1" si="29"/>
        <v>0.92544876308283008</v>
      </c>
      <c r="AT19" s="3">
        <f t="shared" si="30"/>
        <v>1</v>
      </c>
      <c r="AU19" s="3">
        <f t="shared" si="31"/>
        <v>31</v>
      </c>
      <c r="AW19" s="32">
        <f t="shared" ca="1" si="32"/>
        <v>3558.5253485421654</v>
      </c>
      <c r="AX19" s="32">
        <f t="shared" si="33"/>
        <v>0</v>
      </c>
      <c r="AY19" s="32">
        <f t="shared" ca="1" si="34"/>
        <v>3558.5253485421654</v>
      </c>
      <c r="BA19" s="32">
        <f ca="1">IF($A20="","",F19*Summary!$Q$12)</f>
        <v>0</v>
      </c>
      <c r="BC19" s="256">
        <f t="shared" ca="1" si="37"/>
        <v>0</v>
      </c>
    </row>
    <row r="20" spans="1:55">
      <c r="A20" s="67">
        <f t="shared" si="35"/>
        <v>37347</v>
      </c>
      <c r="B20" s="69">
        <f t="shared" si="38"/>
        <v>36522</v>
      </c>
      <c r="C20" s="71"/>
      <c r="D20" s="69">
        <f t="shared" si="0"/>
        <v>36522</v>
      </c>
      <c r="E20" s="70">
        <f t="shared" si="1"/>
        <v>1095660</v>
      </c>
      <c r="F20" s="70">
        <f t="shared" ca="1" si="2"/>
        <v>1005614.1403909151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0.18</v>
      </c>
      <c r="K20" s="64">
        <f t="shared" si="6"/>
        <v>0.18</v>
      </c>
      <c r="L20" s="63">
        <f t="shared" si="7"/>
        <v>0</v>
      </c>
      <c r="M20" s="64">
        <f t="shared" si="8"/>
        <v>0</v>
      </c>
      <c r="N20" s="65"/>
      <c r="O20" s="63">
        <f t="shared" si="9"/>
        <v>4.4719999999999995</v>
      </c>
      <c r="P20" s="63">
        <f t="shared" si="10"/>
        <v>4.4719999999999995</v>
      </c>
      <c r="Q20" s="66"/>
      <c r="R20" s="63">
        <f t="shared" si="11"/>
        <v>0.17499999999999999</v>
      </c>
      <c r="S20" s="64">
        <f t="shared" si="12"/>
        <v>0.17499999999999999</v>
      </c>
      <c r="T20" s="63">
        <f t="shared" si="13"/>
        <v>0</v>
      </c>
      <c r="U20" s="64">
        <f t="shared" si="14"/>
        <v>0</v>
      </c>
      <c r="V20" s="90">
        <f>IF($A21="","",IF(AND(MONTH(A20)&gt;3,MONTH(A20)&lt;11),(T20+R20+G20)*(((1/(1-Summary!$T$12))/(1-Summary!$W$12))-1),(T20+R20+G20)*((1/(1-Summary!$U$12))/(1-Summary!$X$12)-1)))</f>
        <v>0</v>
      </c>
      <c r="W20" s="63">
        <f t="shared" si="15"/>
        <v>4.4669999999999996</v>
      </c>
      <c r="X20" s="63">
        <f t="shared" si="16"/>
        <v>4.4669999999999996</v>
      </c>
      <c r="Y20" s="43"/>
      <c r="Z20" s="38">
        <f t="shared" si="17"/>
        <v>0.45</v>
      </c>
      <c r="AA20" s="38">
        <f t="shared" si="18"/>
        <v>0.4</v>
      </c>
      <c r="AB20" s="38">
        <f t="shared" ca="1" si="19"/>
        <v>0.41226333718878178</v>
      </c>
      <c r="AC20" s="38">
        <f t="shared" si="20"/>
        <v>0.45</v>
      </c>
      <c r="AD20" s="38">
        <f t="shared" si="20"/>
        <v>0.4</v>
      </c>
      <c r="AE20" s="38">
        <f t="shared" ca="1" si="21"/>
        <v>0.41226333718878178</v>
      </c>
      <c r="AF20" s="238">
        <f ca="1">((Summary!$N$12*(AA20*AD20)*(A20-$D$3))+(Summary!$M$12*Z20*AC20*(AJ20-EOMONTH(EDATE(A20,-1),0))))/(AK20*AB20*AE20)</f>
        <v>0.99990556752050597</v>
      </c>
      <c r="AG20" s="88">
        <f>IF($A21="","",Summary!$Q$12)</f>
        <v>0</v>
      </c>
      <c r="AH20" s="88">
        <f>IF($A21="","",IF(Summary!$R$12="Y",(VLOOKUP($A20,Summary!$AD$6:$AF$9,3)+'Escalating commodity'!H33),'Escalating commodity'!H33))</f>
        <v>2.9000000000000001E-2</v>
      </c>
      <c r="AI20" s="88">
        <f t="shared" si="36"/>
        <v>2.9000000000000001E-2</v>
      </c>
      <c r="AJ20" s="236">
        <f t="shared" si="22"/>
        <v>37361</v>
      </c>
      <c r="AK20" s="58">
        <f t="shared" ca="1" si="23"/>
        <v>321</v>
      </c>
      <c r="AL20" s="26">
        <f ca="1">IF($A21="","",_xll.SPRDOPT(P20,X20,AI20,0,AB20,AE20,AF20,AK20,$AJ$2,0))</f>
        <v>1.9469775678598727E-3</v>
      </c>
      <c r="AM20" s="89">
        <f t="shared" si="24"/>
        <v>0</v>
      </c>
      <c r="AN20" s="89">
        <f t="shared" ca="1" si="25"/>
        <v>1.9469775678598727E-3</v>
      </c>
      <c r="AO20" s="3">
        <f t="shared" si="26"/>
        <v>30</v>
      </c>
      <c r="AP20" s="33">
        <f t="shared" si="27"/>
        <v>37347</v>
      </c>
      <c r="AQ20" s="58">
        <f t="shared" ca="1" si="28"/>
        <v>321</v>
      </c>
      <c r="AR20" s="38">
        <f>'ANR OK vs ML7'!AR20</f>
        <v>0.1</v>
      </c>
      <c r="AS20" s="35">
        <f t="shared" ca="1" si="29"/>
        <v>0.91781587389419628</v>
      </c>
      <c r="AT20" s="3">
        <f t="shared" si="30"/>
        <v>1</v>
      </c>
      <c r="AU20" s="3">
        <f t="shared" si="31"/>
        <v>30</v>
      </c>
      <c r="AW20" s="32">
        <f t="shared" ca="1" si="32"/>
        <v>2133.2254420013483</v>
      </c>
      <c r="AX20" s="32">
        <f t="shared" si="33"/>
        <v>0</v>
      </c>
      <c r="AY20" s="32">
        <f t="shared" ca="1" si="34"/>
        <v>2133.2254420013483</v>
      </c>
      <c r="BA20" s="32">
        <f ca="1">IF($A21="","",F20*Summary!$Q$12)</f>
        <v>0</v>
      </c>
      <c r="BC20" s="256">
        <f t="shared" ca="1" si="37"/>
        <v>0</v>
      </c>
    </row>
    <row r="21" spans="1:55">
      <c r="A21" s="67">
        <f t="shared" si="35"/>
        <v>37377</v>
      </c>
      <c r="B21" s="69">
        <f t="shared" si="38"/>
        <v>36522</v>
      </c>
      <c r="C21" s="71"/>
      <c r="D21" s="69">
        <f t="shared" si="0"/>
        <v>36522</v>
      </c>
      <c r="E21" s="70">
        <f t="shared" si="1"/>
        <v>1132182</v>
      </c>
      <c r="F21" s="70">
        <f t="shared" ca="1" si="2"/>
        <v>1030839.4304056078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0.18</v>
      </c>
      <c r="K21" s="64">
        <f t="shared" si="6"/>
        <v>0.18</v>
      </c>
      <c r="L21" s="63">
        <f t="shared" si="7"/>
        <v>0</v>
      </c>
      <c r="M21" s="64">
        <f t="shared" si="8"/>
        <v>0</v>
      </c>
      <c r="N21" s="65"/>
      <c r="O21" s="63">
        <f t="shared" si="9"/>
        <v>4.3920000000000003</v>
      </c>
      <c r="P21" s="63">
        <f t="shared" si="10"/>
        <v>4.3920000000000003</v>
      </c>
      <c r="Q21" s="66"/>
      <c r="R21" s="63">
        <f t="shared" si="11"/>
        <v>0.17499999999999999</v>
      </c>
      <c r="S21" s="64">
        <f t="shared" si="12"/>
        <v>0.17499999999999999</v>
      </c>
      <c r="T21" s="63">
        <f t="shared" si="13"/>
        <v>0</v>
      </c>
      <c r="U21" s="64">
        <f t="shared" si="14"/>
        <v>0</v>
      </c>
      <c r="V21" s="90">
        <f>IF($A22="","",IF(AND(MONTH(A21)&gt;3,MONTH(A21)&lt;11),(T21+R21+G21)*(((1/(1-Summary!$T$12))/(1-Summary!$W$12))-1),(T21+R21+G21)*((1/(1-Summary!$U$12))/(1-Summary!$X$12)-1)))</f>
        <v>0</v>
      </c>
      <c r="W21" s="63">
        <f t="shared" si="15"/>
        <v>4.3870000000000005</v>
      </c>
      <c r="X21" s="63">
        <f t="shared" si="16"/>
        <v>4.3870000000000005</v>
      </c>
      <c r="Y21" s="43"/>
      <c r="Z21" s="38">
        <f t="shared" si="17"/>
        <v>0.5</v>
      </c>
      <c r="AA21" s="38">
        <f t="shared" si="18"/>
        <v>0.35</v>
      </c>
      <c r="AB21" s="38">
        <f t="shared" ca="1" si="19"/>
        <v>0.36590830666833579</v>
      </c>
      <c r="AC21" s="38">
        <f t="shared" si="20"/>
        <v>0.5</v>
      </c>
      <c r="AD21" s="38">
        <f t="shared" si="20"/>
        <v>0.35</v>
      </c>
      <c r="AE21" s="38">
        <f t="shared" ca="1" si="21"/>
        <v>0.36590830666833579</v>
      </c>
      <c r="AF21" s="238">
        <f ca="1">((Summary!$N$12*(AA21*AD21)*(A21-$D$3))+(Summary!$M$12*Z21*AC21*(AJ21-EOMONTH(EDATE(A21,-1),0))))/(AK21*AB21*AE21)</f>
        <v>0.99990824555803814</v>
      </c>
      <c r="AG21" s="88">
        <f>IF($A22="","",Summary!$Q$12)</f>
        <v>0</v>
      </c>
      <c r="AH21" s="88">
        <f>IF($A22="","",IF(Summary!$R$12="Y",(VLOOKUP($A21,Summary!$AD$6:$AF$9,3)+'Escalating commodity'!H34),'Escalating commodity'!H34))</f>
        <v>2.9000000000000001E-2</v>
      </c>
      <c r="AI21" s="88">
        <f t="shared" si="36"/>
        <v>2.9000000000000001E-2</v>
      </c>
      <c r="AJ21" s="236">
        <f t="shared" si="22"/>
        <v>37391.5</v>
      </c>
      <c r="AK21" s="58">
        <f t="shared" ca="1" si="23"/>
        <v>351</v>
      </c>
      <c r="AL21" s="26">
        <f ca="1">IF($A22="","",_xll.SPRDOPT(P21,X21,AI21,0,AB21,AE21,AF21,AK21,$AJ$2,0))</f>
        <v>1.6522142960117212E-3</v>
      </c>
      <c r="AM21" s="89">
        <f t="shared" si="24"/>
        <v>0</v>
      </c>
      <c r="AN21" s="89">
        <f t="shared" ca="1" si="25"/>
        <v>1.6522142960117212E-3</v>
      </c>
      <c r="AO21" s="3">
        <f t="shared" si="26"/>
        <v>31</v>
      </c>
      <c r="AP21" s="33">
        <f t="shared" si="27"/>
        <v>37377</v>
      </c>
      <c r="AQ21" s="58">
        <f t="shared" ca="1" si="28"/>
        <v>351</v>
      </c>
      <c r="AR21" s="38">
        <f>'ANR OK vs ML7'!AR21</f>
        <v>0.1</v>
      </c>
      <c r="AS21" s="35">
        <f t="shared" ca="1" si="29"/>
        <v>0.91048915316230761</v>
      </c>
      <c r="AT21" s="3">
        <f t="shared" si="30"/>
        <v>1</v>
      </c>
      <c r="AU21" s="3">
        <f t="shared" si="31"/>
        <v>31</v>
      </c>
      <c r="AW21" s="32">
        <f t="shared" ca="1" si="32"/>
        <v>1870.6072860871425</v>
      </c>
      <c r="AX21" s="32">
        <f t="shared" si="33"/>
        <v>0</v>
      </c>
      <c r="AY21" s="32">
        <f t="shared" ca="1" si="34"/>
        <v>1870.6072860871425</v>
      </c>
      <c r="BA21" s="32">
        <f ca="1">IF($A22="","",F21*Summary!$Q$12)</f>
        <v>0</v>
      </c>
      <c r="BC21" s="256">
        <f t="shared" ca="1" si="37"/>
        <v>0</v>
      </c>
    </row>
    <row r="22" spans="1:55">
      <c r="A22" s="67">
        <f t="shared" si="35"/>
        <v>37408</v>
      </c>
      <c r="B22" s="69">
        <f t="shared" si="38"/>
        <v>36522</v>
      </c>
      <c r="C22" s="71"/>
      <c r="D22" s="69">
        <f t="shared" si="0"/>
        <v>36522</v>
      </c>
      <c r="E22" s="70">
        <f t="shared" si="1"/>
        <v>1095660</v>
      </c>
      <c r="F22" s="70">
        <f t="shared" ca="1" si="2"/>
        <v>989358.68047685479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0.18</v>
      </c>
      <c r="K22" s="64">
        <f t="shared" si="6"/>
        <v>0.18</v>
      </c>
      <c r="L22" s="63">
        <f t="shared" si="7"/>
        <v>0</v>
      </c>
      <c r="M22" s="64">
        <f t="shared" si="8"/>
        <v>0</v>
      </c>
      <c r="N22" s="65"/>
      <c r="O22" s="63">
        <f t="shared" si="9"/>
        <v>4.4319999999999995</v>
      </c>
      <c r="P22" s="63">
        <f t="shared" si="10"/>
        <v>4.4319999999999995</v>
      </c>
      <c r="Q22" s="66"/>
      <c r="R22" s="63">
        <f t="shared" si="11"/>
        <v>0.17499999999999999</v>
      </c>
      <c r="S22" s="64">
        <f t="shared" si="12"/>
        <v>0.17499999999999999</v>
      </c>
      <c r="T22" s="63">
        <f t="shared" si="13"/>
        <v>0</v>
      </c>
      <c r="U22" s="64">
        <f t="shared" si="14"/>
        <v>0</v>
      </c>
      <c r="V22" s="90">
        <f>IF($A23="","",IF(AND(MONTH(A22)&gt;3,MONTH(A22)&lt;11),(T22+R22+G22)*(((1/(1-Summary!$T$12))/(1-Summary!$W$12))-1),(T22+R22+G22)*((1/(1-Summary!$U$12))/(1-Summary!$X$12)-1)))</f>
        <v>0</v>
      </c>
      <c r="W22" s="63">
        <f t="shared" si="15"/>
        <v>4.4269999999999996</v>
      </c>
      <c r="X22" s="63">
        <f t="shared" si="16"/>
        <v>4.4269999999999996</v>
      </c>
      <c r="Y22" s="43"/>
      <c r="Z22" s="38">
        <f t="shared" si="17"/>
        <v>0.5</v>
      </c>
      <c r="AA22" s="38">
        <f t="shared" si="18"/>
        <v>0.35</v>
      </c>
      <c r="AB22" s="38">
        <f t="shared" ca="1" si="19"/>
        <v>0.36419422641630911</v>
      </c>
      <c r="AC22" s="38">
        <f t="shared" si="20"/>
        <v>0.5</v>
      </c>
      <c r="AD22" s="38">
        <f t="shared" si="20"/>
        <v>0.35</v>
      </c>
      <c r="AE22" s="38">
        <f t="shared" ca="1" si="21"/>
        <v>0.36419422641630911</v>
      </c>
      <c r="AF22" s="238">
        <f ca="1">((Summary!$N$12*(AA22*AD22)*(A22-$D$3))+(Summary!$M$12*Z22*AC22*(AJ22-EOMONTH(EDATE(A22,-1),0))))/(AK22*AB22*AE22)</f>
        <v>0.99990740119405908</v>
      </c>
      <c r="AG22" s="88">
        <f>IF($A23="","",Summary!$Q$12)</f>
        <v>0</v>
      </c>
      <c r="AH22" s="88">
        <f>IF($A23="","",IF(Summary!$R$12="Y",(VLOOKUP($A22,Summary!$AD$6:$AF$9,3)+'Escalating commodity'!H35),'Escalating commodity'!H35))</f>
        <v>2.9000000000000001E-2</v>
      </c>
      <c r="AI22" s="88">
        <f t="shared" si="36"/>
        <v>2.9000000000000001E-2</v>
      </c>
      <c r="AJ22" s="236">
        <f t="shared" si="22"/>
        <v>37422</v>
      </c>
      <c r="AK22" s="58">
        <f t="shared" ca="1" si="23"/>
        <v>382</v>
      </c>
      <c r="AL22" s="26">
        <f ca="1">IF($A23="","",_xll.SPRDOPT(P22,X22,AI22,0,AB22,AE22,AF22,AK22,$AJ$2,0))</f>
        <v>1.7861453551733901E-3</v>
      </c>
      <c r="AM22" s="89">
        <f t="shared" si="24"/>
        <v>0</v>
      </c>
      <c r="AN22" s="89">
        <f t="shared" ca="1" si="25"/>
        <v>1.7861453551733901E-3</v>
      </c>
      <c r="AO22" s="3">
        <f t="shared" si="26"/>
        <v>30</v>
      </c>
      <c r="AP22" s="33">
        <f t="shared" si="27"/>
        <v>37408</v>
      </c>
      <c r="AQ22" s="58">
        <f t="shared" ca="1" si="28"/>
        <v>382</v>
      </c>
      <c r="AR22" s="38">
        <f>'ANR OK vs ML7'!AR22</f>
        <v>0.1</v>
      </c>
      <c r="AS22" s="35">
        <f t="shared" ca="1" si="29"/>
        <v>0.90297964740599712</v>
      </c>
      <c r="AT22" s="3">
        <f t="shared" si="30"/>
        <v>1</v>
      </c>
      <c r="AU22" s="3">
        <f t="shared" si="31"/>
        <v>30</v>
      </c>
      <c r="AW22" s="32">
        <f t="shared" ca="1" si="32"/>
        <v>1957.0080198492767</v>
      </c>
      <c r="AX22" s="32">
        <f t="shared" si="33"/>
        <v>0</v>
      </c>
      <c r="AY22" s="32">
        <f t="shared" ca="1" si="34"/>
        <v>1957.0080198492767</v>
      </c>
      <c r="BA22" s="32">
        <f ca="1">IF($A23="","",F22*Summary!$Q$12)</f>
        <v>0</v>
      </c>
      <c r="BC22" s="256">
        <f t="shared" ca="1" si="37"/>
        <v>0</v>
      </c>
    </row>
    <row r="23" spans="1:55">
      <c r="A23" s="67">
        <f t="shared" si="35"/>
        <v>37438</v>
      </c>
      <c r="B23" s="69">
        <f t="shared" si="38"/>
        <v>36522</v>
      </c>
      <c r="C23" s="71"/>
      <c r="D23" s="69">
        <f t="shared" si="0"/>
        <v>36522</v>
      </c>
      <c r="E23" s="70">
        <f t="shared" si="1"/>
        <v>1132182</v>
      </c>
      <c r="F23" s="70">
        <f t="shared" ca="1" si="2"/>
        <v>1014176.2110198131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0.18</v>
      </c>
      <c r="K23" s="64">
        <f t="shared" si="6"/>
        <v>0.18</v>
      </c>
      <c r="L23" s="63">
        <f t="shared" si="7"/>
        <v>0</v>
      </c>
      <c r="M23" s="64">
        <f t="shared" si="8"/>
        <v>0</v>
      </c>
      <c r="N23" s="65"/>
      <c r="O23" s="63">
        <f t="shared" si="9"/>
        <v>4.4770000000000003</v>
      </c>
      <c r="P23" s="63">
        <f t="shared" si="10"/>
        <v>4.4770000000000003</v>
      </c>
      <c r="Q23" s="66"/>
      <c r="R23" s="63">
        <f t="shared" si="11"/>
        <v>0.17499999999999999</v>
      </c>
      <c r="S23" s="64">
        <f t="shared" si="12"/>
        <v>0.17499999999999999</v>
      </c>
      <c r="T23" s="63">
        <f t="shared" si="13"/>
        <v>0</v>
      </c>
      <c r="U23" s="64">
        <f t="shared" si="14"/>
        <v>0</v>
      </c>
      <c r="V23" s="90">
        <f>IF($A24="","",IF(AND(MONTH(A23)&gt;3,MONTH(A23)&lt;11),(T23+R23+G23)*(((1/(1-Summary!$T$12))/(1-Summary!$W$12))-1),(T23+R23+G23)*((1/(1-Summary!$U$12))/(1-Summary!$X$12)-1)))</f>
        <v>0</v>
      </c>
      <c r="W23" s="63">
        <f t="shared" si="15"/>
        <v>4.4720000000000004</v>
      </c>
      <c r="X23" s="63">
        <f t="shared" si="16"/>
        <v>4.4720000000000004</v>
      </c>
      <c r="Y23" s="43"/>
      <c r="Z23" s="38">
        <f t="shared" si="17"/>
        <v>0.55000000000000004</v>
      </c>
      <c r="AA23" s="38">
        <f t="shared" si="18"/>
        <v>0.35</v>
      </c>
      <c r="AB23" s="38">
        <f t="shared" ca="1" si="19"/>
        <v>0.36630286821445435</v>
      </c>
      <c r="AC23" s="38">
        <f t="shared" si="20"/>
        <v>0.55000000000000004</v>
      </c>
      <c r="AD23" s="38">
        <f t="shared" si="20"/>
        <v>0.35</v>
      </c>
      <c r="AE23" s="38">
        <f t="shared" ca="1" si="21"/>
        <v>0.36630286821445435</v>
      </c>
      <c r="AF23" s="238">
        <f ca="1">((Summary!$N$12*(AA23*AD23)*(A23-$D$3))+(Summary!$M$12*Z23*AC23*(AJ23-EOMONTH(EDATE(A23,-1),0))))/(AK23*AB23*AE23)</f>
        <v>0.99990848162803825</v>
      </c>
      <c r="AG23" s="88">
        <f>IF($A24="","",Summary!$Q$12)</f>
        <v>0</v>
      </c>
      <c r="AH23" s="88">
        <f>IF($A24="","",IF(Summary!$R$12="Y",(VLOOKUP($A23,Summary!$AD$6:$AF$9,3)+'Escalating commodity'!H36),'Escalating commodity'!H36))</f>
        <v>2.9000000000000001E-2</v>
      </c>
      <c r="AI23" s="88">
        <f t="shared" si="36"/>
        <v>2.9000000000000001E-2</v>
      </c>
      <c r="AJ23" s="236">
        <f t="shared" si="22"/>
        <v>37452.5</v>
      </c>
      <c r="AK23" s="58">
        <f t="shared" ca="1" si="23"/>
        <v>412</v>
      </c>
      <c r="AL23" s="26">
        <f ca="1">IF($A24="","",_xll.SPRDOPT(P23,X23,AI23,0,AB23,AE23,AF23,AK23,$AJ$2,0))</f>
        <v>1.907910257179922E-3</v>
      </c>
      <c r="AM23" s="89">
        <f t="shared" si="24"/>
        <v>0</v>
      </c>
      <c r="AN23" s="89">
        <f t="shared" ca="1" si="25"/>
        <v>1.907910257179922E-3</v>
      </c>
      <c r="AO23" s="3">
        <f t="shared" si="26"/>
        <v>31</v>
      </c>
      <c r="AP23" s="33">
        <f t="shared" si="27"/>
        <v>37438</v>
      </c>
      <c r="AQ23" s="58">
        <f t="shared" ca="1" si="28"/>
        <v>412</v>
      </c>
      <c r="AR23" s="38">
        <f>'ANR OK vs ML7'!AR23</f>
        <v>0.1</v>
      </c>
      <c r="AS23" s="35">
        <f t="shared" ca="1" si="29"/>
        <v>0.89577136098243315</v>
      </c>
      <c r="AT23" s="3">
        <f t="shared" si="30"/>
        <v>1</v>
      </c>
      <c r="AU23" s="3">
        <f t="shared" si="31"/>
        <v>31</v>
      </c>
      <c r="AW23" s="32">
        <f t="shared" ca="1" si="32"/>
        <v>2160.1016507944782</v>
      </c>
      <c r="AX23" s="32">
        <f t="shared" si="33"/>
        <v>0</v>
      </c>
      <c r="AY23" s="32">
        <f t="shared" ca="1" si="34"/>
        <v>2160.1016507944782</v>
      </c>
      <c r="BA23" s="32">
        <f ca="1">IF($A24="","",F23*Summary!$Q$12)</f>
        <v>0</v>
      </c>
      <c r="BC23" s="256">
        <f t="shared" ca="1" si="37"/>
        <v>0</v>
      </c>
    </row>
    <row r="24" spans="1:55">
      <c r="A24" s="67">
        <f t="shared" si="35"/>
        <v>37469</v>
      </c>
      <c r="B24" s="69">
        <f t="shared" si="38"/>
        <v>36522</v>
      </c>
      <c r="C24" s="71"/>
      <c r="D24" s="69">
        <f t="shared" si="0"/>
        <v>36522</v>
      </c>
      <c r="E24" s="70">
        <f t="shared" si="1"/>
        <v>1132182</v>
      </c>
      <c r="F24" s="70">
        <f t="shared" ca="1" si="2"/>
        <v>1005811.5181861703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0.18</v>
      </c>
      <c r="K24" s="64">
        <f t="shared" si="6"/>
        <v>0.18</v>
      </c>
      <c r="L24" s="63">
        <f t="shared" si="7"/>
        <v>0</v>
      </c>
      <c r="M24" s="64">
        <f t="shared" si="8"/>
        <v>0</v>
      </c>
      <c r="N24" s="65"/>
      <c r="O24" s="63">
        <f t="shared" si="9"/>
        <v>4.5019999999999998</v>
      </c>
      <c r="P24" s="63">
        <f t="shared" si="10"/>
        <v>4.5019999999999998</v>
      </c>
      <c r="Q24" s="66"/>
      <c r="R24" s="63">
        <f t="shared" si="11"/>
        <v>0.17499999999999999</v>
      </c>
      <c r="S24" s="64">
        <f t="shared" si="12"/>
        <v>0.17499999999999999</v>
      </c>
      <c r="T24" s="63">
        <f t="shared" si="13"/>
        <v>0</v>
      </c>
      <c r="U24" s="64">
        <f t="shared" si="14"/>
        <v>0</v>
      </c>
      <c r="V24" s="90">
        <f>IF($A25="","",IF(AND(MONTH(A24)&gt;3,MONTH(A24)&lt;11),(T24+R24+G24)*(((1/(1-Summary!$T$12))/(1-Summary!$W$12))-1),(T24+R24+G24)*((1/(1-Summary!$U$12))/(1-Summary!$X$12)-1)))</f>
        <v>0</v>
      </c>
      <c r="W24" s="63">
        <f t="shared" si="15"/>
        <v>4.4969999999999999</v>
      </c>
      <c r="X24" s="63">
        <f t="shared" si="16"/>
        <v>4.4969999999999999</v>
      </c>
      <c r="Y24" s="43"/>
      <c r="Z24" s="38">
        <f t="shared" si="17"/>
        <v>0.6</v>
      </c>
      <c r="AA24" s="38">
        <f t="shared" si="18"/>
        <v>0.35</v>
      </c>
      <c r="AB24" s="38">
        <f t="shared" ca="1" si="19"/>
        <v>0.36792996683691581</v>
      </c>
      <c r="AC24" s="38">
        <f t="shared" si="20"/>
        <v>0.6</v>
      </c>
      <c r="AD24" s="38">
        <f t="shared" si="20"/>
        <v>0.35</v>
      </c>
      <c r="AE24" s="38">
        <f t="shared" ca="1" si="21"/>
        <v>0.36792996683691581</v>
      </c>
      <c r="AF24" s="238">
        <f ca="1">((Summary!$N$12*(AA24*AD24)*(A24-$D$3))+(Summary!$M$12*Z24*AC24*(AJ24-EOMONTH(EDATE(A24,-1),0))))/(AK24*AB24*AE24)</f>
        <v>0.99990930465232619</v>
      </c>
      <c r="AG24" s="88">
        <f>IF($A25="","",Summary!$Q$12)</f>
        <v>0</v>
      </c>
      <c r="AH24" s="88">
        <f>IF($A25="","",IF(Summary!$R$12="Y",(VLOOKUP($A24,Summary!$AD$6:$AF$9,3)+'Escalating commodity'!H37),'Escalating commodity'!H37))</f>
        <v>2.9000000000000001E-2</v>
      </c>
      <c r="AI24" s="88">
        <f t="shared" si="36"/>
        <v>2.9000000000000001E-2</v>
      </c>
      <c r="AJ24" s="236">
        <f t="shared" si="22"/>
        <v>37483.5</v>
      </c>
      <c r="AK24" s="58">
        <f t="shared" ca="1" si="23"/>
        <v>443</v>
      </c>
      <c r="AL24" s="26">
        <f ca="1">IF($A25="","",_xll.SPRDOPT(P24,X24,AI24,0,AB24,AE24,AF24,AK24,$AJ$2,0))</f>
        <v>2.0196204531952242E-3</v>
      </c>
      <c r="AM24" s="89">
        <f t="shared" si="24"/>
        <v>0</v>
      </c>
      <c r="AN24" s="89">
        <f t="shared" ca="1" si="25"/>
        <v>2.0196204531952242E-3</v>
      </c>
      <c r="AO24" s="3">
        <f t="shared" si="26"/>
        <v>31</v>
      </c>
      <c r="AP24" s="33">
        <f t="shared" si="27"/>
        <v>37469</v>
      </c>
      <c r="AQ24" s="58">
        <f t="shared" ca="1" si="28"/>
        <v>443</v>
      </c>
      <c r="AR24" s="38">
        <f>'ANR OK vs ML7'!AR24</f>
        <v>0.1</v>
      </c>
      <c r="AS24" s="35">
        <f t="shared" ca="1" si="29"/>
        <v>0.8883832442011711</v>
      </c>
      <c r="AT24" s="3">
        <f t="shared" si="30"/>
        <v>1</v>
      </c>
      <c r="AU24" s="3">
        <f t="shared" si="31"/>
        <v>31</v>
      </c>
      <c r="AW24" s="32">
        <f t="shared" ca="1" si="32"/>
        <v>2286.5779239394751</v>
      </c>
      <c r="AX24" s="32">
        <f t="shared" si="33"/>
        <v>0</v>
      </c>
      <c r="AY24" s="32">
        <f t="shared" ca="1" si="34"/>
        <v>2286.5779239394751</v>
      </c>
      <c r="BA24" s="32">
        <f ca="1">IF($A25="","",F24*Summary!$Q$12)</f>
        <v>0</v>
      </c>
      <c r="BC24" s="256">
        <f t="shared" ca="1" si="37"/>
        <v>0</v>
      </c>
    </row>
    <row r="25" spans="1:55">
      <c r="A25" s="67">
        <f t="shared" si="35"/>
        <v>37500</v>
      </c>
      <c r="B25" s="69">
        <f t="shared" si="38"/>
        <v>36522</v>
      </c>
      <c r="C25" s="71"/>
      <c r="D25" s="69">
        <f t="shared" si="0"/>
        <v>36522</v>
      </c>
      <c r="E25" s="70">
        <f t="shared" si="1"/>
        <v>1095660</v>
      </c>
      <c r="F25" s="70">
        <f t="shared" ca="1" si="2"/>
        <v>965337.88589125173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0.18</v>
      </c>
      <c r="K25" s="64">
        <f t="shared" si="6"/>
        <v>0.18</v>
      </c>
      <c r="L25" s="63">
        <f t="shared" si="7"/>
        <v>0</v>
      </c>
      <c r="M25" s="64">
        <f t="shared" si="8"/>
        <v>0</v>
      </c>
      <c r="N25" s="65"/>
      <c r="O25" s="63">
        <f t="shared" si="9"/>
        <v>4.5069999999999997</v>
      </c>
      <c r="P25" s="63">
        <f t="shared" si="10"/>
        <v>4.5069999999999997</v>
      </c>
      <c r="Q25" s="66"/>
      <c r="R25" s="63">
        <f t="shared" si="11"/>
        <v>0.17499999999999999</v>
      </c>
      <c r="S25" s="64">
        <f t="shared" si="12"/>
        <v>0.17499999999999999</v>
      </c>
      <c r="T25" s="63">
        <f t="shared" si="13"/>
        <v>0</v>
      </c>
      <c r="U25" s="64">
        <f t="shared" si="14"/>
        <v>0</v>
      </c>
      <c r="V25" s="90">
        <f>IF($A26="","",IF(AND(MONTH(A25)&gt;3,MONTH(A25)&lt;11),(T25+R25+G25)*(((1/(1-Summary!$T$12))/(1-Summary!$W$12))-1),(T25+R25+G25)*((1/(1-Summary!$U$12))/(1-Summary!$X$12)-1)))</f>
        <v>0</v>
      </c>
      <c r="W25" s="63">
        <f t="shared" si="15"/>
        <v>4.5019999999999998</v>
      </c>
      <c r="X25" s="63">
        <f t="shared" si="16"/>
        <v>4.5019999999999998</v>
      </c>
      <c r="Y25" s="43"/>
      <c r="Z25" s="38">
        <f t="shared" si="17"/>
        <v>0.6</v>
      </c>
      <c r="AA25" s="38">
        <f t="shared" si="18"/>
        <v>0.35</v>
      </c>
      <c r="AB25" s="38">
        <f t="shared" ca="1" si="19"/>
        <v>0.36626608344461342</v>
      </c>
      <c r="AC25" s="38">
        <f t="shared" si="20"/>
        <v>0.6</v>
      </c>
      <c r="AD25" s="38">
        <f t="shared" si="20"/>
        <v>0.35</v>
      </c>
      <c r="AE25" s="38">
        <f t="shared" ca="1" si="21"/>
        <v>0.36626608344461342</v>
      </c>
      <c r="AF25" s="238">
        <f ca="1">((Summary!$N$12*(AA25*AD25)*(A25-$D$3))+(Summary!$M$12*Z25*AC25*(AJ25-EOMONTH(EDATE(A25,-1),0))))/(AK25*AB25*AE25)</f>
        <v>0.99990849223510903</v>
      </c>
      <c r="AG25" s="88">
        <f>IF($A26="","",Summary!$Q$12)</f>
        <v>0</v>
      </c>
      <c r="AH25" s="88">
        <f>IF($A26="","",IF(Summary!$R$12="Y",(VLOOKUP($A25,Summary!$AD$6:$AF$9,3)+'Escalating commodity'!H38),'Escalating commodity'!H38))</f>
        <v>2.9000000000000001E-2</v>
      </c>
      <c r="AI25" s="88">
        <f t="shared" si="36"/>
        <v>2.9000000000000001E-2</v>
      </c>
      <c r="AJ25" s="236">
        <f t="shared" si="22"/>
        <v>37514</v>
      </c>
      <c r="AK25" s="58">
        <f t="shared" ca="1" si="23"/>
        <v>474</v>
      </c>
      <c r="AL25" s="26">
        <f ca="1">IF($A26="","",_xll.SPRDOPT(P25,X25,AI25,0,AB25,AE25,AF25,AK25,$AJ$2,0))</f>
        <v>2.1269218573994227E-3</v>
      </c>
      <c r="AM25" s="89">
        <f t="shared" si="24"/>
        <v>0</v>
      </c>
      <c r="AN25" s="89">
        <f t="shared" ca="1" si="25"/>
        <v>2.1269218573994227E-3</v>
      </c>
      <c r="AO25" s="3">
        <f t="shared" si="26"/>
        <v>30</v>
      </c>
      <c r="AP25" s="33">
        <f t="shared" si="27"/>
        <v>37500</v>
      </c>
      <c r="AQ25" s="58">
        <f t="shared" ca="1" si="28"/>
        <v>474</v>
      </c>
      <c r="AR25" s="38">
        <f>'ANR OK vs ML7'!AR25</f>
        <v>0.1</v>
      </c>
      <c r="AS25" s="35">
        <f t="shared" ca="1" si="29"/>
        <v>0.88105606291299465</v>
      </c>
      <c r="AT25" s="3">
        <f t="shared" si="30"/>
        <v>1</v>
      </c>
      <c r="AU25" s="3">
        <f t="shared" si="31"/>
        <v>30</v>
      </c>
      <c r="AW25" s="32">
        <f t="shared" ca="1" si="32"/>
        <v>2330.3832022782512</v>
      </c>
      <c r="AX25" s="32">
        <f t="shared" si="33"/>
        <v>0</v>
      </c>
      <c r="AY25" s="32">
        <f t="shared" ca="1" si="34"/>
        <v>2330.3832022782512</v>
      </c>
      <c r="BA25" s="32">
        <f ca="1">IF($A26="","",F25*Summary!$Q$12)</f>
        <v>0</v>
      </c>
      <c r="BC25" s="256">
        <f t="shared" ca="1" si="37"/>
        <v>0</v>
      </c>
    </row>
    <row r="26" spans="1:55">
      <c r="A26" s="67">
        <f t="shared" si="35"/>
        <v>37530</v>
      </c>
      <c r="B26" s="69">
        <f t="shared" si="38"/>
        <v>36522</v>
      </c>
      <c r="C26" s="71"/>
      <c r="D26" s="69">
        <f t="shared" si="0"/>
        <v>36522</v>
      </c>
      <c r="E26" s="70">
        <f t="shared" si="1"/>
        <v>1132182</v>
      </c>
      <c r="F26" s="70">
        <f t="shared" ca="1" si="2"/>
        <v>989552.86771749286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0.18</v>
      </c>
      <c r="K26" s="64">
        <f t="shared" si="6"/>
        <v>0.18</v>
      </c>
      <c r="L26" s="63">
        <f t="shared" si="7"/>
        <v>0</v>
      </c>
      <c r="M26" s="64">
        <f t="shared" si="8"/>
        <v>0</v>
      </c>
      <c r="N26" s="65"/>
      <c r="O26" s="63">
        <f t="shared" si="9"/>
        <v>4.5170000000000003</v>
      </c>
      <c r="P26" s="63">
        <f t="shared" si="10"/>
        <v>4.5170000000000003</v>
      </c>
      <c r="Q26" s="66"/>
      <c r="R26" s="63">
        <f t="shared" si="11"/>
        <v>0.17499999999999999</v>
      </c>
      <c r="S26" s="64">
        <f t="shared" si="12"/>
        <v>0.17499999999999999</v>
      </c>
      <c r="T26" s="63">
        <f t="shared" si="13"/>
        <v>0</v>
      </c>
      <c r="U26" s="64">
        <f t="shared" si="14"/>
        <v>0</v>
      </c>
      <c r="V26" s="90">
        <f>IF($A27="","",IF(AND(MONTH(A26)&gt;3,MONTH(A26)&lt;11),(T26+R26+G26)*(((1/(1-Summary!$T$12))/(1-Summary!$W$12))-1),(T26+R26+G26)*((1/(1-Summary!$U$12))/(1-Summary!$X$12)-1)))</f>
        <v>0</v>
      </c>
      <c r="W26" s="63">
        <f t="shared" si="15"/>
        <v>4.5120000000000005</v>
      </c>
      <c r="X26" s="63">
        <f t="shared" si="16"/>
        <v>4.5120000000000005</v>
      </c>
      <c r="Y26" s="43"/>
      <c r="Z26" s="38">
        <f t="shared" si="17"/>
        <v>0.65</v>
      </c>
      <c r="AA26" s="38">
        <f t="shared" si="18"/>
        <v>0.35300000000000004</v>
      </c>
      <c r="AB26" s="38">
        <f t="shared" ca="1" si="19"/>
        <v>0.37128128375487329</v>
      </c>
      <c r="AC26" s="38">
        <f t="shared" si="20"/>
        <v>0.65</v>
      </c>
      <c r="AD26" s="38">
        <f t="shared" si="20"/>
        <v>0.35300000000000004</v>
      </c>
      <c r="AE26" s="38">
        <f t="shared" ca="1" si="21"/>
        <v>0.37128128375487329</v>
      </c>
      <c r="AF26" s="238">
        <f ca="1">((Summary!$N$12*(AA26*AD26)*(A26-$D$3))+(Summary!$M$12*Z26*AC26*(AJ26-EOMONTH(EDATE(A26,-1),0))))/(AK26*AB26*AE26)</f>
        <v>0.99990942587684006</v>
      </c>
      <c r="AG26" s="88">
        <f>IF($A27="","",Summary!$Q$12)</f>
        <v>0</v>
      </c>
      <c r="AH26" s="88">
        <f>IF($A27="","",IF(Summary!$R$12="Y",(VLOOKUP($A26,Summary!$AD$6:$AF$9,3)+'Escalating commodity'!H39),'Escalating commodity'!H39))</f>
        <v>2.9000000000000001E-2</v>
      </c>
      <c r="AI26" s="88">
        <f t="shared" si="36"/>
        <v>2.9000000000000001E-2</v>
      </c>
      <c r="AJ26" s="236">
        <f t="shared" si="22"/>
        <v>37544.5</v>
      </c>
      <c r="AK26" s="58">
        <f t="shared" ca="1" si="23"/>
        <v>504</v>
      </c>
      <c r="AL26" s="26">
        <f ca="1">IF($A27="","",_xll.SPRDOPT(P26,X26,AI26,0,AB26,AE26,AF26,AK26,$AJ$2,0))</f>
        <v>2.2460266050222215E-3</v>
      </c>
      <c r="AM26" s="89">
        <f t="shared" si="24"/>
        <v>0</v>
      </c>
      <c r="AN26" s="89">
        <f t="shared" ca="1" si="25"/>
        <v>2.2460266050222215E-3</v>
      </c>
      <c r="AO26" s="3">
        <f t="shared" si="26"/>
        <v>31</v>
      </c>
      <c r="AP26" s="33">
        <f t="shared" si="27"/>
        <v>37530</v>
      </c>
      <c r="AQ26" s="58">
        <f t="shared" ca="1" si="28"/>
        <v>504</v>
      </c>
      <c r="AR26" s="38">
        <f>'ANR OK vs ML7'!AR26</f>
        <v>0.1</v>
      </c>
      <c r="AS26" s="35">
        <f t="shared" ca="1" si="29"/>
        <v>0.87402278760613827</v>
      </c>
      <c r="AT26" s="3">
        <f t="shared" si="30"/>
        <v>1</v>
      </c>
      <c r="AU26" s="3">
        <f t="shared" si="31"/>
        <v>31</v>
      </c>
      <c r="AW26" s="32">
        <f t="shared" ca="1" si="32"/>
        <v>2542.9108937272686</v>
      </c>
      <c r="AX26" s="32">
        <f t="shared" si="33"/>
        <v>0</v>
      </c>
      <c r="AY26" s="32">
        <f t="shared" ca="1" si="34"/>
        <v>2542.9108937272686</v>
      </c>
      <c r="BA26" s="32">
        <f ca="1">IF($A27="","",F26*Summary!$Q$12)</f>
        <v>0</v>
      </c>
      <c r="BC26" s="256">
        <f t="shared" ca="1" si="37"/>
        <v>0</v>
      </c>
    </row>
    <row r="27" spans="1:55">
      <c r="A27" s="67">
        <f t="shared" si="35"/>
        <v>37561</v>
      </c>
      <c r="B27" s="69">
        <f t="shared" si="38"/>
        <v>36522</v>
      </c>
      <c r="C27" s="71"/>
      <c r="D27" s="69">
        <f t="shared" si="0"/>
        <v>36522</v>
      </c>
      <c r="E27" s="70">
        <f t="shared" si="1"/>
        <v>1095660</v>
      </c>
      <c r="F27" s="70">
        <f t="shared" ca="1" si="2"/>
        <v>949733.47990952106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0.26500000000000001</v>
      </c>
      <c r="K27" s="64">
        <f t="shared" si="6"/>
        <v>0.26500000000000001</v>
      </c>
      <c r="L27" s="63">
        <f t="shared" si="7"/>
        <v>0</v>
      </c>
      <c r="M27" s="64">
        <f t="shared" si="8"/>
        <v>0</v>
      </c>
      <c r="N27" s="65"/>
      <c r="O27" s="63">
        <f t="shared" si="9"/>
        <v>4.742</v>
      </c>
      <c r="P27" s="63">
        <f t="shared" si="10"/>
        <v>4.742</v>
      </c>
      <c r="Q27" s="66"/>
      <c r="R27" s="63">
        <f t="shared" si="11"/>
        <v>0.255</v>
      </c>
      <c r="S27" s="64">
        <f t="shared" si="12"/>
        <v>0.255</v>
      </c>
      <c r="T27" s="63">
        <f t="shared" si="13"/>
        <v>0</v>
      </c>
      <c r="U27" s="64">
        <f t="shared" si="14"/>
        <v>0</v>
      </c>
      <c r="V27" s="90">
        <f>IF($A28="","",IF(AND(MONTH(A27)&gt;3,MONTH(A27)&lt;11),(T27+R27+G27)*(((1/(1-Summary!$T$12))/(1-Summary!$W$12))-1),(T27+R27+G27)*((1/(1-Summary!$U$12))/(1-Summary!$X$12)-1)))</f>
        <v>0</v>
      </c>
      <c r="W27" s="63">
        <f t="shared" si="15"/>
        <v>4.7320000000000002</v>
      </c>
      <c r="X27" s="63">
        <f t="shared" si="16"/>
        <v>4.7320000000000002</v>
      </c>
      <c r="Y27" s="43"/>
      <c r="Z27" s="38">
        <f t="shared" si="17"/>
        <v>0.8</v>
      </c>
      <c r="AA27" s="38">
        <f t="shared" si="18"/>
        <v>0.35800000000000004</v>
      </c>
      <c r="AB27" s="38">
        <f t="shared" ca="1" si="19"/>
        <v>0.38255389700295767</v>
      </c>
      <c r="AC27" s="38">
        <f t="shared" si="20"/>
        <v>0.8</v>
      </c>
      <c r="AD27" s="38">
        <f t="shared" si="20"/>
        <v>0.35800000000000004</v>
      </c>
      <c r="AE27" s="38">
        <f t="shared" ca="1" si="21"/>
        <v>0.38255389700295767</v>
      </c>
      <c r="AF27" s="238">
        <f ca="1">((Summary!$N$12*(AA27*AD27)*(A27-$D$3))+(Summary!$M$12*Z27*AC27*(AJ27-EOMONTH(EDATE(A27,-1),0))))/(AK27*AB27*AE27)</f>
        <v>0.99991226117780074</v>
      </c>
      <c r="AG27" s="88">
        <f>IF($A28="","",Summary!$Q$12)</f>
        <v>0</v>
      </c>
      <c r="AH27" s="88">
        <f>IF($A28="","",IF(Summary!$R$12="Y",(VLOOKUP($A27,Summary!$AD$6:$AF$9,3)+'Escalating commodity'!H40),'Escalating commodity'!H40))</f>
        <v>2.9000000000000001E-2</v>
      </c>
      <c r="AI27" s="88">
        <f t="shared" si="36"/>
        <v>2.9000000000000001E-2</v>
      </c>
      <c r="AJ27" s="236">
        <f t="shared" si="22"/>
        <v>37575</v>
      </c>
      <c r="AK27" s="58">
        <f t="shared" ca="1" si="23"/>
        <v>535</v>
      </c>
      <c r="AL27" s="26">
        <f ca="1">IF($A28="","",_xll.SPRDOPT(P27,X27,AI27,0,AB27,AE27,AF27,AK27,$AJ$2,0))</f>
        <v>2.7242695452368883E-3</v>
      </c>
      <c r="AM27" s="89">
        <f t="shared" si="24"/>
        <v>0</v>
      </c>
      <c r="AN27" s="89">
        <f t="shared" ca="1" si="25"/>
        <v>2.7242695452368883E-3</v>
      </c>
      <c r="AO27" s="3">
        <f t="shared" si="26"/>
        <v>30</v>
      </c>
      <c r="AP27" s="33">
        <f t="shared" si="27"/>
        <v>37561</v>
      </c>
      <c r="AQ27" s="58">
        <f t="shared" ca="1" si="28"/>
        <v>535</v>
      </c>
      <c r="AR27" s="38">
        <f>'ANR OK vs ML7'!AR27</f>
        <v>0.1</v>
      </c>
      <c r="AS27" s="35">
        <f t="shared" ca="1" si="29"/>
        <v>0.8668140480710449</v>
      </c>
      <c r="AT27" s="3">
        <f t="shared" si="30"/>
        <v>1</v>
      </c>
      <c r="AU27" s="3">
        <f t="shared" si="31"/>
        <v>30</v>
      </c>
      <c r="AW27" s="32">
        <f t="shared" ca="1" si="32"/>
        <v>2984.8731699342488</v>
      </c>
      <c r="AX27" s="32">
        <f t="shared" si="33"/>
        <v>0</v>
      </c>
      <c r="AY27" s="32">
        <f t="shared" ca="1" si="34"/>
        <v>2984.8731699342488</v>
      </c>
      <c r="BA27" s="32">
        <f ca="1">IF($A28="","",F27*Summary!$Q$12)</f>
        <v>0</v>
      </c>
      <c r="BC27" s="256">
        <f t="shared" ca="1" si="37"/>
        <v>0</v>
      </c>
    </row>
    <row r="28" spans="1:55">
      <c r="A28" s="67">
        <f t="shared" si="35"/>
        <v>37591</v>
      </c>
      <c r="B28" s="69">
        <f t="shared" si="38"/>
        <v>36522</v>
      </c>
      <c r="C28" s="71"/>
      <c r="D28" s="69">
        <f t="shared" si="0"/>
        <v>36522</v>
      </c>
      <c r="E28" s="70">
        <f t="shared" si="1"/>
        <v>1132182</v>
      </c>
      <c r="F28" s="70">
        <f t="shared" ca="1" si="2"/>
        <v>973557.03360186273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0.255</v>
      </c>
      <c r="K28" s="64">
        <f t="shared" si="6"/>
        <v>0.255</v>
      </c>
      <c r="L28" s="63">
        <f t="shared" si="7"/>
        <v>0</v>
      </c>
      <c r="M28" s="64">
        <f t="shared" si="8"/>
        <v>0</v>
      </c>
      <c r="N28" s="65"/>
      <c r="O28" s="63">
        <f t="shared" si="9"/>
        <v>4.8620000000000001</v>
      </c>
      <c r="P28" s="63">
        <f t="shared" si="10"/>
        <v>4.8620000000000001</v>
      </c>
      <c r="Q28" s="66"/>
      <c r="R28" s="63">
        <f t="shared" si="11"/>
        <v>0.245</v>
      </c>
      <c r="S28" s="64">
        <f t="shared" si="12"/>
        <v>0.245</v>
      </c>
      <c r="T28" s="63">
        <f t="shared" si="13"/>
        <v>0</v>
      </c>
      <c r="U28" s="64">
        <f t="shared" si="14"/>
        <v>0</v>
      </c>
      <c r="V28" s="90">
        <f>IF($A29="","",IF(AND(MONTH(A28)&gt;3,MONTH(A28)&lt;11),(T28+R28+G28)*(((1/(1-Summary!$T$12))/(1-Summary!$W$12))-1),(T28+R28+G28)*((1/(1-Summary!$U$12))/(1-Summary!$X$12)-1)))</f>
        <v>0</v>
      </c>
      <c r="W28" s="63">
        <f t="shared" si="15"/>
        <v>4.8520000000000003</v>
      </c>
      <c r="X28" s="63">
        <f t="shared" si="16"/>
        <v>4.8520000000000003</v>
      </c>
      <c r="Y28" s="43"/>
      <c r="Z28" s="38">
        <f t="shared" si="17"/>
        <v>1.1000000000000001</v>
      </c>
      <c r="AA28" s="38">
        <f t="shared" si="18"/>
        <v>0.36300000000000004</v>
      </c>
      <c r="AB28" s="38">
        <f t="shared" ca="1" si="19"/>
        <v>0.40644422708966271</v>
      </c>
      <c r="AC28" s="38">
        <f t="shared" si="20"/>
        <v>1.1000000000000001</v>
      </c>
      <c r="AD28" s="38">
        <f t="shared" si="20"/>
        <v>0.36300000000000004</v>
      </c>
      <c r="AE28" s="38">
        <f t="shared" ca="1" si="21"/>
        <v>0.40644422708966271</v>
      </c>
      <c r="AF28" s="238">
        <f ca="1">((Summary!$N$12*(AA28*AD28)*(A28-$D$3))+(Summary!$M$12*Z28*AC28*(AJ28-EOMONTH(EDATE(A28,-1),0))))/(AK28*AB28*AE28)</f>
        <v>0.99992009401405813</v>
      </c>
      <c r="AG28" s="88">
        <f>IF($A29="","",Summary!$Q$12)</f>
        <v>0</v>
      </c>
      <c r="AH28" s="88">
        <f>IF($A29="","",IF(Summary!$R$12="Y",(VLOOKUP($A28,Summary!$AD$6:$AF$9,3)+'Escalating commodity'!H41),'Escalating commodity'!H41))</f>
        <v>2.9000000000000001E-2</v>
      </c>
      <c r="AI28" s="88">
        <f t="shared" si="36"/>
        <v>2.9000000000000001E-2</v>
      </c>
      <c r="AJ28" s="236">
        <f t="shared" si="22"/>
        <v>37605.5</v>
      </c>
      <c r="AK28" s="58">
        <f t="shared" ca="1" si="23"/>
        <v>565</v>
      </c>
      <c r="AL28" s="26">
        <f ca="1">IF($A29="","",_xll.SPRDOPT(P28,X28,AI28,0,AB28,AE28,AF28,AK28,$AJ$2,0))</f>
        <v>2.875613492961851E-3</v>
      </c>
      <c r="AM28" s="89">
        <f t="shared" si="24"/>
        <v>0</v>
      </c>
      <c r="AN28" s="89">
        <f t="shared" ca="1" si="25"/>
        <v>2.875613492961851E-3</v>
      </c>
      <c r="AO28" s="3">
        <f t="shared" si="26"/>
        <v>31</v>
      </c>
      <c r="AP28" s="33">
        <f t="shared" si="27"/>
        <v>37591</v>
      </c>
      <c r="AQ28" s="58">
        <f t="shared" ca="1" si="28"/>
        <v>565</v>
      </c>
      <c r="AR28" s="38">
        <f>'ANR OK vs ML7'!AR28</f>
        <v>0.1</v>
      </c>
      <c r="AS28" s="35">
        <f t="shared" ca="1" si="29"/>
        <v>0.85989446361261945</v>
      </c>
      <c r="AT28" s="3">
        <f t="shared" si="30"/>
        <v>1</v>
      </c>
      <c r="AU28" s="3">
        <f t="shared" si="31"/>
        <v>31</v>
      </c>
      <c r="AW28" s="32">
        <f t="shared" ca="1" si="32"/>
        <v>3255.7178356885343</v>
      </c>
      <c r="AX28" s="32">
        <f t="shared" si="33"/>
        <v>0</v>
      </c>
      <c r="AY28" s="32">
        <f t="shared" ca="1" si="34"/>
        <v>3255.7178356885343</v>
      </c>
      <c r="BA28" s="32">
        <f ca="1">IF($A29="","",F28*Summary!$Q$12)</f>
        <v>0</v>
      </c>
      <c r="BC28" s="256">
        <f t="shared" ca="1" si="37"/>
        <v>0</v>
      </c>
    </row>
    <row r="29" spans="1:55">
      <c r="A29" s="67">
        <f t="shared" si="35"/>
        <v>37622</v>
      </c>
      <c r="B29" s="69">
        <f t="shared" si="38"/>
        <v>36522</v>
      </c>
      <c r="C29" s="71"/>
      <c r="D29" s="69">
        <f t="shared" si="0"/>
        <v>36522</v>
      </c>
      <c r="E29" s="70">
        <f t="shared" si="1"/>
        <v>1132182</v>
      </c>
      <c r="F29" s="70">
        <f t="shared" ca="1" si="2"/>
        <v>965527.35842941573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0.27500000000000002</v>
      </c>
      <c r="K29" s="64">
        <f t="shared" si="6"/>
        <v>0.27500000000000002</v>
      </c>
      <c r="L29" s="63">
        <f t="shared" si="7"/>
        <v>0</v>
      </c>
      <c r="M29" s="64">
        <f t="shared" si="8"/>
        <v>0</v>
      </c>
      <c r="N29" s="65"/>
      <c r="O29" s="63">
        <f t="shared" si="9"/>
        <v>4.9260000000000002</v>
      </c>
      <c r="P29" s="63">
        <f t="shared" si="10"/>
        <v>4.9260000000000002</v>
      </c>
      <c r="Q29" s="66"/>
      <c r="R29" s="63">
        <f t="shared" si="11"/>
        <v>0.26500000000000001</v>
      </c>
      <c r="S29" s="64">
        <f t="shared" si="12"/>
        <v>0.26500000000000001</v>
      </c>
      <c r="T29" s="63">
        <f t="shared" si="13"/>
        <v>0</v>
      </c>
      <c r="U29" s="64">
        <f t="shared" si="14"/>
        <v>0</v>
      </c>
      <c r="V29" s="90">
        <f>IF($A30="","",IF(AND(MONTH(A29)&gt;3,MONTH(A29)&lt;11),(T29+R29+G29)*(((1/(1-Summary!$T$12))/(1-Summary!$W$12))-1),(T29+R29+G29)*((1/(1-Summary!$U$12))/(1-Summary!$X$12)-1)))</f>
        <v>0</v>
      </c>
      <c r="W29" s="63">
        <f t="shared" si="15"/>
        <v>4.9159999999999995</v>
      </c>
      <c r="X29" s="63">
        <f t="shared" si="16"/>
        <v>4.9159999999999995</v>
      </c>
      <c r="Y29" s="43"/>
      <c r="Z29" s="38">
        <f t="shared" si="17"/>
        <v>1.1000000000000001</v>
      </c>
      <c r="AA29" s="38">
        <f t="shared" si="18"/>
        <v>0.36799999999999999</v>
      </c>
      <c r="AB29" s="38">
        <f t="shared" ca="1" si="19"/>
        <v>0.4088023266590825</v>
      </c>
      <c r="AC29" s="38">
        <f t="shared" si="20"/>
        <v>1.1000000000000001</v>
      </c>
      <c r="AD29" s="38">
        <f t="shared" si="20"/>
        <v>0.36799999999999999</v>
      </c>
      <c r="AE29" s="38">
        <f t="shared" ca="1" si="21"/>
        <v>0.4088023266590825</v>
      </c>
      <c r="AF29" s="238">
        <f ca="1">((Summary!$N$12*(AA29*AD29)*(A29-$D$3))+(Summary!$M$12*Z29*AC29*(AJ29-EOMONTH(EDATE(A29,-1),0))))/(AK29*AB29*AE29)</f>
        <v>0.99991882972992563</v>
      </c>
      <c r="AG29" s="88">
        <f>IF($A30="","",Summary!$Q$12)</f>
        <v>0</v>
      </c>
      <c r="AH29" s="88">
        <f>IF($A30="","",IF(Summary!$R$12="Y",(VLOOKUP($A29,Summary!$AD$6:$AF$9,3)+'Escalating commodity'!H42),'Escalating commodity'!H42))</f>
        <v>2.9000000000000001E-2</v>
      </c>
      <c r="AI29" s="88">
        <f t="shared" si="36"/>
        <v>2.9000000000000001E-2</v>
      </c>
      <c r="AJ29" s="236">
        <f t="shared" si="22"/>
        <v>37636.5</v>
      </c>
      <c r="AK29" s="58">
        <f t="shared" ca="1" si="23"/>
        <v>596</v>
      </c>
      <c r="AL29" s="26">
        <f ca="1">IF($A30="","",_xll.SPRDOPT(P29,X29,AI29,0,AB29,AE29,AF29,AK29,$AJ$2,0))</f>
        <v>3.0981372776723304E-3</v>
      </c>
      <c r="AM29" s="89">
        <f t="shared" si="24"/>
        <v>0</v>
      </c>
      <c r="AN29" s="89">
        <f t="shared" ca="1" si="25"/>
        <v>3.0981372776723304E-3</v>
      </c>
      <c r="AO29" s="3">
        <f t="shared" si="26"/>
        <v>31</v>
      </c>
      <c r="AP29" s="33">
        <f t="shared" si="27"/>
        <v>37622</v>
      </c>
      <c r="AQ29" s="58">
        <f t="shared" ca="1" si="28"/>
        <v>596</v>
      </c>
      <c r="AR29" s="38">
        <f>'ANR OK vs ML7'!AR29</f>
        <v>0.1</v>
      </c>
      <c r="AS29" s="35">
        <f t="shared" ca="1" si="29"/>
        <v>0.85280225125414089</v>
      </c>
      <c r="AT29" s="3">
        <f t="shared" si="30"/>
        <v>1</v>
      </c>
      <c r="AU29" s="3">
        <f t="shared" si="31"/>
        <v>31</v>
      </c>
      <c r="AW29" s="32">
        <f t="shared" ca="1" si="32"/>
        <v>3507.6552593096144</v>
      </c>
      <c r="AX29" s="32">
        <f t="shared" si="33"/>
        <v>0</v>
      </c>
      <c r="AY29" s="32">
        <f t="shared" ca="1" si="34"/>
        <v>3507.6552593096144</v>
      </c>
      <c r="BA29" s="32">
        <f ca="1">IF($A30="","",F29*Summary!$Q$12)</f>
        <v>0</v>
      </c>
      <c r="BC29" s="256">
        <f t="shared" ca="1" si="37"/>
        <v>0</v>
      </c>
    </row>
    <row r="30" spans="1:55">
      <c r="A30" s="67">
        <f t="shared" si="35"/>
        <v>37653</v>
      </c>
      <c r="B30" s="69">
        <f t="shared" si="38"/>
        <v>36522</v>
      </c>
      <c r="C30" s="71"/>
      <c r="D30" s="69">
        <f t="shared" si="0"/>
        <v>36522</v>
      </c>
      <c r="E30" s="70">
        <f t="shared" si="1"/>
        <v>1022616</v>
      </c>
      <c r="F30" s="70">
        <f t="shared" ca="1" si="2"/>
        <v>864896.43499817676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0.33500000000000002</v>
      </c>
      <c r="K30" s="64">
        <f t="shared" si="6"/>
        <v>0.33500000000000002</v>
      </c>
      <c r="L30" s="63">
        <f t="shared" si="7"/>
        <v>0</v>
      </c>
      <c r="M30" s="64">
        <f t="shared" si="8"/>
        <v>0</v>
      </c>
      <c r="N30" s="65"/>
      <c r="O30" s="63">
        <f t="shared" si="9"/>
        <v>4.8310000000000004</v>
      </c>
      <c r="P30" s="63">
        <f t="shared" si="10"/>
        <v>4.8310000000000004</v>
      </c>
      <c r="Q30" s="66"/>
      <c r="R30" s="63">
        <f t="shared" si="11"/>
        <v>0.32500000000000001</v>
      </c>
      <c r="S30" s="64">
        <f t="shared" si="12"/>
        <v>0.32500000000000001</v>
      </c>
      <c r="T30" s="63">
        <f t="shared" si="13"/>
        <v>0</v>
      </c>
      <c r="U30" s="64">
        <f t="shared" si="14"/>
        <v>0</v>
      </c>
      <c r="V30" s="90">
        <f>IF($A31="","",IF(AND(MONTH(A30)&gt;3,MONTH(A30)&lt;11),(T30+R30+G30)*(((1/(1-Summary!$T$12))/(1-Summary!$W$12))-1),(T30+R30+G30)*((1/(1-Summary!$U$12))/(1-Summary!$X$12)-1)))</f>
        <v>0</v>
      </c>
      <c r="W30" s="63">
        <f t="shared" si="15"/>
        <v>4.8210000000000006</v>
      </c>
      <c r="X30" s="63">
        <f t="shared" si="16"/>
        <v>4.8210000000000006</v>
      </c>
      <c r="Y30" s="43"/>
      <c r="Z30" s="38">
        <f t="shared" si="17"/>
        <v>1.1000000000000001</v>
      </c>
      <c r="AA30" s="38">
        <f t="shared" si="18"/>
        <v>0.36</v>
      </c>
      <c r="AB30" s="38">
        <f t="shared" ca="1" si="19"/>
        <v>0.39601040696456752</v>
      </c>
      <c r="AC30" s="38">
        <f t="shared" si="20"/>
        <v>1.1000000000000001</v>
      </c>
      <c r="AD30" s="38">
        <f t="shared" si="20"/>
        <v>0.36</v>
      </c>
      <c r="AE30" s="38">
        <f t="shared" ca="1" si="21"/>
        <v>0.39601040696456752</v>
      </c>
      <c r="AF30" s="238">
        <f ca="1">((Summary!$N$12*(AA30*AD30)*(A30-$D$3))+(Summary!$M$12*Z30*AC30*(AJ30-EOMONTH(EDATE(A30,-1),0))))/(AK30*AB30*AE30)</f>
        <v>0.99991722791288018</v>
      </c>
      <c r="AG30" s="88">
        <f>IF($A31="","",Summary!$Q$12)</f>
        <v>0</v>
      </c>
      <c r="AH30" s="88">
        <f>IF($A31="","",IF(Summary!$R$12="Y",(VLOOKUP($A30,Summary!$AD$6:$AF$9,3)+'Escalating commodity'!H43),'Escalating commodity'!H43))</f>
        <v>2.9000000000000001E-2</v>
      </c>
      <c r="AI30" s="88">
        <f t="shared" si="36"/>
        <v>2.9000000000000001E-2</v>
      </c>
      <c r="AJ30" s="236">
        <f t="shared" si="22"/>
        <v>37666</v>
      </c>
      <c r="AK30" s="58">
        <f t="shared" ca="1" si="23"/>
        <v>627</v>
      </c>
      <c r="AL30" s="26">
        <f ca="1">IF($A31="","",_xll.SPRDOPT(P30,X30,AI30,0,AB30,AE30,AF30,AK30,$AJ$2,0))</f>
        <v>3.0598111570244932E-3</v>
      </c>
      <c r="AM30" s="89">
        <f t="shared" si="24"/>
        <v>0</v>
      </c>
      <c r="AN30" s="89">
        <f t="shared" ca="1" si="25"/>
        <v>3.0598111570244932E-3</v>
      </c>
      <c r="AO30" s="3">
        <f t="shared" si="26"/>
        <v>28</v>
      </c>
      <c r="AP30" s="33">
        <f t="shared" si="27"/>
        <v>37653</v>
      </c>
      <c r="AQ30" s="58">
        <f t="shared" ca="1" si="28"/>
        <v>627</v>
      </c>
      <c r="AR30" s="38">
        <f>'ANR OK vs ML7'!AR30</f>
        <v>0.1</v>
      </c>
      <c r="AS30" s="35">
        <f t="shared" ca="1" si="29"/>
        <v>0.84576853383692097</v>
      </c>
      <c r="AT30" s="3">
        <f t="shared" si="30"/>
        <v>1</v>
      </c>
      <c r="AU30" s="3">
        <f t="shared" si="31"/>
        <v>28</v>
      </c>
      <c r="AW30" s="32">
        <f t="shared" ca="1" si="32"/>
        <v>3129.0118461517591</v>
      </c>
      <c r="AX30" s="32">
        <f t="shared" si="33"/>
        <v>0</v>
      </c>
      <c r="AY30" s="32">
        <f t="shared" ca="1" si="34"/>
        <v>3129.0118461517591</v>
      </c>
      <c r="BA30" s="32">
        <f ca="1">IF($A31="","",F30*Summary!$Q$12)</f>
        <v>0</v>
      </c>
      <c r="BC30" s="256">
        <f t="shared" ca="1" si="37"/>
        <v>0</v>
      </c>
    </row>
    <row r="31" spans="1:55">
      <c r="A31" s="67">
        <f t="shared" si="35"/>
        <v>37681</v>
      </c>
      <c r="B31" s="69">
        <f t="shared" si="38"/>
        <v>36522</v>
      </c>
      <c r="C31" s="71"/>
      <c r="D31" s="69">
        <f t="shared" si="0"/>
        <v>36522</v>
      </c>
      <c r="E31" s="70">
        <f t="shared" si="1"/>
        <v>1132182</v>
      </c>
      <c r="F31" s="70">
        <f t="shared" ca="1" si="2"/>
        <v>950427.58721885609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0.33500000000000002</v>
      </c>
      <c r="K31" s="64">
        <f t="shared" si="6"/>
        <v>0.33500000000000002</v>
      </c>
      <c r="L31" s="63">
        <f t="shared" si="7"/>
        <v>0</v>
      </c>
      <c r="M31" s="64">
        <f t="shared" si="8"/>
        <v>0</v>
      </c>
      <c r="N31" s="65"/>
      <c r="O31" s="63">
        <f t="shared" si="9"/>
        <v>4.6429999999999998</v>
      </c>
      <c r="P31" s="63">
        <f t="shared" si="10"/>
        <v>4.6429999999999998</v>
      </c>
      <c r="Q31" s="66"/>
      <c r="R31" s="63">
        <f t="shared" si="11"/>
        <v>0.32500000000000001</v>
      </c>
      <c r="S31" s="64">
        <f t="shared" si="12"/>
        <v>0.32500000000000001</v>
      </c>
      <c r="T31" s="63">
        <f t="shared" si="13"/>
        <v>0</v>
      </c>
      <c r="U31" s="64">
        <f t="shared" si="14"/>
        <v>0</v>
      </c>
      <c r="V31" s="90">
        <f>IF($A32="","",IF(AND(MONTH(A31)&gt;3,MONTH(A31)&lt;11),(T31+R31+G31)*(((1/(1-Summary!$T$12))/(1-Summary!$W$12))-1),(T31+R31+G31)*((1/(1-Summary!$U$12))/(1-Summary!$X$12)-1)))</f>
        <v>0</v>
      </c>
      <c r="W31" s="63">
        <f t="shared" si="15"/>
        <v>4.633</v>
      </c>
      <c r="X31" s="63">
        <f t="shared" si="16"/>
        <v>4.633</v>
      </c>
      <c r="Y31" s="43"/>
      <c r="Z31" s="38">
        <f t="shared" si="17"/>
        <v>0.75</v>
      </c>
      <c r="AA31" s="38">
        <f t="shared" si="18"/>
        <v>0.33800000000000002</v>
      </c>
      <c r="AB31" s="38">
        <f t="shared" ca="1" si="19"/>
        <v>0.35739262306726582</v>
      </c>
      <c r="AC31" s="38">
        <f t="shared" si="20"/>
        <v>0.75</v>
      </c>
      <c r="AD31" s="38">
        <f t="shared" si="20"/>
        <v>0.33800000000000002</v>
      </c>
      <c r="AE31" s="38">
        <f t="shared" ca="1" si="21"/>
        <v>0.35739262306726582</v>
      </c>
      <c r="AF31" s="238">
        <f ca="1">((Summary!$N$12*(AA31*AD31)*(A31-$D$3))+(Summary!$M$12*Z31*AC31*(AJ31-EOMONTH(EDATE(A31,-1),0))))/(AK31*AB31*AE31)</f>
        <v>0.99991042129661112</v>
      </c>
      <c r="AG31" s="88">
        <f>IF($A32="","",Summary!$Q$12)</f>
        <v>0</v>
      </c>
      <c r="AH31" s="88">
        <f>IF($A32="","",IF(Summary!$R$12="Y",(VLOOKUP($A31,Summary!$AD$6:$AF$9,3)+'Escalating commodity'!H44),'Escalating commodity'!H44))</f>
        <v>2.9000000000000001E-2</v>
      </c>
      <c r="AI31" s="88">
        <f t="shared" si="36"/>
        <v>2.9000000000000001E-2</v>
      </c>
      <c r="AJ31" s="236">
        <f t="shared" si="22"/>
        <v>37695.5</v>
      </c>
      <c r="AK31" s="58">
        <f t="shared" ca="1" si="23"/>
        <v>655</v>
      </c>
      <c r="AL31" s="26">
        <f ca="1">IF($A32="","",_xll.SPRDOPT(P31,X31,AI31,0,AB31,AE31,AF31,AK31,$AJ$2,0))</f>
        <v>2.8318772333015829E-3</v>
      </c>
      <c r="AM31" s="89">
        <f t="shared" si="24"/>
        <v>0</v>
      </c>
      <c r="AN31" s="89">
        <f t="shared" ca="1" si="25"/>
        <v>2.8318772333015829E-3</v>
      </c>
      <c r="AO31" s="3">
        <f t="shared" si="26"/>
        <v>31</v>
      </c>
      <c r="AP31" s="33">
        <f t="shared" si="27"/>
        <v>37681</v>
      </c>
      <c r="AQ31" s="58">
        <f t="shared" ca="1" si="28"/>
        <v>655</v>
      </c>
      <c r="AR31" s="38">
        <f>'ANR OK vs ML7'!AR31</f>
        <v>0.1</v>
      </c>
      <c r="AS31" s="35">
        <f t="shared" ca="1" si="29"/>
        <v>0.83946537501820029</v>
      </c>
      <c r="AT31" s="3">
        <f t="shared" si="30"/>
        <v>1</v>
      </c>
      <c r="AU31" s="3">
        <f t="shared" si="31"/>
        <v>31</v>
      </c>
      <c r="AW31" s="32">
        <f t="shared" ca="1" si="32"/>
        <v>3206.2004297538529</v>
      </c>
      <c r="AX31" s="32">
        <f t="shared" si="33"/>
        <v>0</v>
      </c>
      <c r="AY31" s="32">
        <f t="shared" ca="1" si="34"/>
        <v>3206.2004297538529</v>
      </c>
      <c r="BA31" s="32">
        <f ca="1">IF($A32="","",F31*Summary!$Q$12)</f>
        <v>0</v>
      </c>
      <c r="BC31" s="256">
        <f t="shared" ca="1" si="37"/>
        <v>0</v>
      </c>
    </row>
    <row r="32" spans="1:55">
      <c r="A32" s="67">
        <f t="shared" si="35"/>
        <v>37712</v>
      </c>
      <c r="B32" s="69">
        <f t="shared" si="38"/>
        <v>36522</v>
      </c>
      <c r="C32" s="71"/>
      <c r="D32" s="69">
        <f t="shared" si="0"/>
        <v>36522</v>
      </c>
      <c r="E32" s="70">
        <f t="shared" si="1"/>
        <v>1095660</v>
      </c>
      <c r="F32" s="70">
        <f t="shared" ca="1" si="2"/>
        <v>912182.59201596514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0.20499999999999999</v>
      </c>
      <c r="K32" s="64">
        <f t="shared" si="6"/>
        <v>0.20499999999999999</v>
      </c>
      <c r="L32" s="63">
        <f t="shared" si="7"/>
        <v>0</v>
      </c>
      <c r="M32" s="64">
        <f t="shared" si="8"/>
        <v>0</v>
      </c>
      <c r="N32" s="65"/>
      <c r="O32" s="63">
        <f t="shared" si="9"/>
        <v>4.1849999999999996</v>
      </c>
      <c r="P32" s="63">
        <f t="shared" si="10"/>
        <v>4.1849999999999996</v>
      </c>
      <c r="Q32" s="66"/>
      <c r="R32" s="63">
        <f t="shared" si="11"/>
        <v>0.19500000000000001</v>
      </c>
      <c r="S32" s="64">
        <f t="shared" si="12"/>
        <v>0.19500000000000001</v>
      </c>
      <c r="T32" s="63">
        <f t="shared" si="13"/>
        <v>0</v>
      </c>
      <c r="U32" s="64">
        <f t="shared" si="14"/>
        <v>0</v>
      </c>
      <c r="V32" s="90">
        <f>IF($A33="","",IF(AND(MONTH(A32)&gt;3,MONTH(A32)&lt;11),(T32+R32+G32)*(((1/(1-Summary!$T$12))/(1-Summary!$W$12))-1),(T32+R32+G32)*((1/(1-Summary!$U$12))/(1-Summary!$X$12)-1)))</f>
        <v>0</v>
      </c>
      <c r="W32" s="63">
        <f t="shared" si="15"/>
        <v>4.1749999999999998</v>
      </c>
      <c r="X32" s="63">
        <f t="shared" si="16"/>
        <v>4.1749999999999998</v>
      </c>
      <c r="Y32" s="43"/>
      <c r="Z32" s="38">
        <f t="shared" si="17"/>
        <v>0.45</v>
      </c>
      <c r="AA32" s="38">
        <f t="shared" si="18"/>
        <v>0.32</v>
      </c>
      <c r="AB32" s="38">
        <f t="shared" ca="1" si="19"/>
        <v>0.32707356007880534</v>
      </c>
      <c r="AC32" s="38">
        <f t="shared" si="20"/>
        <v>0.45</v>
      </c>
      <c r="AD32" s="38">
        <f t="shared" si="20"/>
        <v>0.32</v>
      </c>
      <c r="AE32" s="38">
        <f t="shared" ca="1" si="21"/>
        <v>0.32707356007880534</v>
      </c>
      <c r="AF32" s="238">
        <f ca="1">((Summary!$N$12*(AA32*AD32)*(A32-$D$3))+(Summary!$M$12*Z32*AC32*(AJ32-EOMONTH(EDATE(A32,-1),0))))/(AK32*AB32*AE32)</f>
        <v>0.99990413905592768</v>
      </c>
      <c r="AG32" s="88">
        <f>IF($A33="","",Summary!$Q$12)</f>
        <v>0</v>
      </c>
      <c r="AH32" s="88">
        <f>IF($A33="","",IF(Summary!$R$12="Y",(VLOOKUP($A32,Summary!$AD$6:$AF$9,3)+'Escalating commodity'!H45),'Escalating commodity'!H45))</f>
        <v>2.9000000000000001E-2</v>
      </c>
      <c r="AI32" s="88">
        <f t="shared" si="36"/>
        <v>2.9000000000000001E-2</v>
      </c>
      <c r="AJ32" s="236">
        <f t="shared" si="22"/>
        <v>37726</v>
      </c>
      <c r="AK32" s="58">
        <f t="shared" ca="1" si="23"/>
        <v>686</v>
      </c>
      <c r="AL32" s="26">
        <f ca="1">IF($A33="","",_xll.SPRDOPT(P32,X32,AI32,0,AB32,AE32,AF32,AK32,$AJ$2,0))</f>
        <v>2.4353873707937818E-3</v>
      </c>
      <c r="AM32" s="89">
        <f t="shared" si="24"/>
        <v>0</v>
      </c>
      <c r="AN32" s="89">
        <f t="shared" ca="1" si="25"/>
        <v>2.4353873707937818E-3</v>
      </c>
      <c r="AO32" s="3">
        <f t="shared" si="26"/>
        <v>30</v>
      </c>
      <c r="AP32" s="33">
        <f t="shared" si="27"/>
        <v>37712</v>
      </c>
      <c r="AQ32" s="58">
        <f t="shared" ca="1" si="28"/>
        <v>686</v>
      </c>
      <c r="AR32" s="38">
        <f>'ANR OK vs ML7'!AR32</f>
        <v>0.1</v>
      </c>
      <c r="AS32" s="35">
        <f t="shared" ca="1" si="29"/>
        <v>0.83254165709797301</v>
      </c>
      <c r="AT32" s="3">
        <f t="shared" si="30"/>
        <v>1</v>
      </c>
      <c r="AU32" s="3">
        <f t="shared" si="31"/>
        <v>30</v>
      </c>
      <c r="AW32" s="32">
        <f t="shared" ca="1" si="32"/>
        <v>2668.356526683915</v>
      </c>
      <c r="AX32" s="32">
        <f t="shared" si="33"/>
        <v>0</v>
      </c>
      <c r="AY32" s="32">
        <f t="shared" ca="1" si="34"/>
        <v>2668.356526683915</v>
      </c>
      <c r="BA32" s="32">
        <f ca="1">IF($A33="","",F32*Summary!$Q$12)</f>
        <v>0</v>
      </c>
      <c r="BC32" s="256">
        <f t="shared" ca="1" si="37"/>
        <v>0</v>
      </c>
    </row>
    <row r="33" spans="1:55">
      <c r="A33" s="67">
        <f t="shared" si="35"/>
        <v>37742</v>
      </c>
      <c r="B33" s="69">
        <f t="shared" si="38"/>
        <v>36522</v>
      </c>
      <c r="C33" s="71"/>
      <c r="D33" s="69">
        <f t="shared" si="0"/>
        <v>36522</v>
      </c>
      <c r="E33" s="70">
        <f t="shared" si="1"/>
        <v>1132182</v>
      </c>
      <c r="F33" s="70">
        <f t="shared" ca="1" si="2"/>
        <v>935064.20187579864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0.20499999999999999</v>
      </c>
      <c r="K33" s="64">
        <f t="shared" si="6"/>
        <v>0.20499999999999999</v>
      </c>
      <c r="L33" s="63">
        <f t="shared" si="7"/>
        <v>0</v>
      </c>
      <c r="M33" s="64">
        <f t="shared" si="8"/>
        <v>0</v>
      </c>
      <c r="N33" s="65"/>
      <c r="O33" s="63">
        <f t="shared" si="9"/>
        <v>4.1449999999999996</v>
      </c>
      <c r="P33" s="63">
        <f t="shared" si="10"/>
        <v>4.1449999999999996</v>
      </c>
      <c r="Q33" s="66"/>
      <c r="R33" s="63">
        <f t="shared" si="11"/>
        <v>0.19500000000000001</v>
      </c>
      <c r="S33" s="64">
        <f t="shared" si="12"/>
        <v>0.19500000000000001</v>
      </c>
      <c r="T33" s="63">
        <f t="shared" si="13"/>
        <v>0</v>
      </c>
      <c r="U33" s="64">
        <f t="shared" si="14"/>
        <v>0</v>
      </c>
      <c r="V33" s="90">
        <f>IF($A34="","",IF(AND(MONTH(A33)&gt;3,MONTH(A33)&lt;11),(T33+R33+G33)*(((1/(1-Summary!$T$12))/(1-Summary!$W$12))-1),(T33+R33+G33)*((1/(1-Summary!$U$12))/(1-Summary!$X$12)-1)))</f>
        <v>0</v>
      </c>
      <c r="W33" s="63">
        <f t="shared" si="15"/>
        <v>4.1349999999999998</v>
      </c>
      <c r="X33" s="63">
        <f t="shared" si="16"/>
        <v>4.1349999999999998</v>
      </c>
      <c r="Y33" s="43"/>
      <c r="Z33" s="38">
        <f t="shared" si="17"/>
        <v>0.5</v>
      </c>
      <c r="AA33" s="38">
        <f t="shared" si="18"/>
        <v>0.318</v>
      </c>
      <c r="AB33" s="38">
        <f t="shared" ca="1" si="19"/>
        <v>0.32661482790904622</v>
      </c>
      <c r="AC33" s="38">
        <f t="shared" si="20"/>
        <v>0.5</v>
      </c>
      <c r="AD33" s="38">
        <f t="shared" si="20"/>
        <v>0.318</v>
      </c>
      <c r="AE33" s="38">
        <f t="shared" ca="1" si="21"/>
        <v>0.32661482790904622</v>
      </c>
      <c r="AF33" s="238">
        <f ca="1">((Summary!$N$12*(AA33*AD33)*(A33-$D$3))+(Summary!$M$12*Z33*AC33*(AJ33-EOMONTH(EDATE(A33,-1),0))))/(AK33*AB33*AE33)</f>
        <v>0.99990507325731193</v>
      </c>
      <c r="AG33" s="88">
        <f>IF($A34="","",Summary!$Q$12)</f>
        <v>0</v>
      </c>
      <c r="AH33" s="88">
        <f>IF($A34="","",IF(Summary!$R$12="Y",(VLOOKUP($A33,Summary!$AD$6:$AF$9,3)+'Escalating commodity'!H46),'Escalating commodity'!H46))</f>
        <v>2.9000000000000001E-2</v>
      </c>
      <c r="AI33" s="88">
        <f t="shared" si="36"/>
        <v>2.9000000000000001E-2</v>
      </c>
      <c r="AJ33" s="236">
        <f t="shared" si="22"/>
        <v>37756.5</v>
      </c>
      <c r="AK33" s="58">
        <f t="shared" ca="1" si="23"/>
        <v>716</v>
      </c>
      <c r="AL33" s="26">
        <f ca="1">IF($A34="","",_xll.SPRDOPT(P33,X33,AI33,0,AB33,AE33,AF33,AK33,$AJ$2,0))</f>
        <v>2.4495332278786017E-3</v>
      </c>
      <c r="AM33" s="89">
        <f t="shared" si="24"/>
        <v>0</v>
      </c>
      <c r="AN33" s="89">
        <f t="shared" ca="1" si="25"/>
        <v>2.4495332278786017E-3</v>
      </c>
      <c r="AO33" s="3">
        <f t="shared" si="26"/>
        <v>31</v>
      </c>
      <c r="AP33" s="33">
        <f t="shared" si="27"/>
        <v>37742</v>
      </c>
      <c r="AQ33" s="58">
        <f t="shared" ca="1" si="28"/>
        <v>716</v>
      </c>
      <c r="AR33" s="38">
        <f>'ANR OK vs ML7'!AR33</f>
        <v>0.1</v>
      </c>
      <c r="AS33" s="35">
        <f t="shared" ca="1" si="29"/>
        <v>0.825895661541871</v>
      </c>
      <c r="AT33" s="3">
        <f t="shared" si="30"/>
        <v>1</v>
      </c>
      <c r="AU33" s="3">
        <f t="shared" si="31"/>
        <v>31</v>
      </c>
      <c r="AW33" s="32">
        <f t="shared" ca="1" si="32"/>
        <v>2773.317429006051</v>
      </c>
      <c r="AX33" s="32">
        <f t="shared" si="33"/>
        <v>0</v>
      </c>
      <c r="AY33" s="32">
        <f t="shared" ca="1" si="34"/>
        <v>2773.317429006051</v>
      </c>
      <c r="BA33" s="32">
        <f ca="1">IF($A34="","",F33*Summary!$Q$12)</f>
        <v>0</v>
      </c>
      <c r="BC33" s="256">
        <f t="shared" ca="1" si="37"/>
        <v>0</v>
      </c>
    </row>
    <row r="34" spans="1:55">
      <c r="A34" s="67">
        <f t="shared" si="35"/>
        <v>37773</v>
      </c>
      <c r="B34" s="69">
        <f t="shared" si="38"/>
        <v>36522</v>
      </c>
      <c r="C34" s="71"/>
      <c r="D34" s="69">
        <f t="shared" si="0"/>
        <v>36522</v>
      </c>
      <c r="E34" s="70">
        <f t="shared" si="1"/>
        <v>1095660</v>
      </c>
      <c r="F34" s="70">
        <f t="shared" ca="1" si="2"/>
        <v>897437.42588986526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0.20499999999999999</v>
      </c>
      <c r="K34" s="64">
        <f t="shared" si="6"/>
        <v>0.20499999999999999</v>
      </c>
      <c r="L34" s="63">
        <f t="shared" si="7"/>
        <v>0</v>
      </c>
      <c r="M34" s="64">
        <f t="shared" si="8"/>
        <v>0</v>
      </c>
      <c r="N34" s="65"/>
      <c r="O34" s="63">
        <f t="shared" si="9"/>
        <v>4.1749999999999998</v>
      </c>
      <c r="P34" s="63">
        <f t="shared" si="10"/>
        <v>4.1749999999999998</v>
      </c>
      <c r="Q34" s="66"/>
      <c r="R34" s="63">
        <f t="shared" si="11"/>
        <v>0.19500000000000001</v>
      </c>
      <c r="S34" s="64">
        <f t="shared" si="12"/>
        <v>0.19500000000000001</v>
      </c>
      <c r="T34" s="63">
        <f t="shared" si="13"/>
        <v>0</v>
      </c>
      <c r="U34" s="64">
        <f t="shared" si="14"/>
        <v>0</v>
      </c>
      <c r="V34" s="90">
        <f>IF($A35="","",IF(AND(MONTH(A34)&gt;3,MONTH(A34)&lt;11),(T34+R34+G34)*(((1/(1-Summary!$T$12))/(1-Summary!$W$12))-1),(T34+R34+G34)*((1/(1-Summary!$U$12))/(1-Summary!$X$12)-1)))</f>
        <v>0</v>
      </c>
      <c r="W34" s="63">
        <f t="shared" si="15"/>
        <v>4.165</v>
      </c>
      <c r="X34" s="63">
        <f t="shared" si="16"/>
        <v>4.165</v>
      </c>
      <c r="Y34" s="43"/>
      <c r="Z34" s="38">
        <f t="shared" si="17"/>
        <v>0.5</v>
      </c>
      <c r="AA34" s="38">
        <f t="shared" si="18"/>
        <v>0.318</v>
      </c>
      <c r="AB34" s="38">
        <f t="shared" ca="1" si="19"/>
        <v>0.32600529721963267</v>
      </c>
      <c r="AC34" s="38">
        <f t="shared" si="20"/>
        <v>0.5</v>
      </c>
      <c r="AD34" s="38">
        <f t="shared" si="20"/>
        <v>0.318</v>
      </c>
      <c r="AE34" s="38">
        <f t="shared" ca="1" si="21"/>
        <v>0.32600529721963267</v>
      </c>
      <c r="AF34" s="238">
        <f ca="1">((Summary!$N$12*(AA34*AD34)*(A34-$D$3))+(Summary!$M$12*Z34*AC34*(AJ34-EOMONTH(EDATE(A34,-1),0))))/(AK34*AB34*AE34)</f>
        <v>0.99990472347207415</v>
      </c>
      <c r="AG34" s="88">
        <f>IF($A35="","",Summary!$Q$12)</f>
        <v>0</v>
      </c>
      <c r="AH34" s="88">
        <f>IF($A35="","",IF(Summary!$R$12="Y",(VLOOKUP($A34,Summary!$AD$6:$AF$9,3)+'Escalating commodity'!H47),'Escalating commodity'!H47))</f>
        <v>2.9000000000000001E-2</v>
      </c>
      <c r="AI34" s="88">
        <f t="shared" si="36"/>
        <v>2.9000000000000001E-2</v>
      </c>
      <c r="AJ34" s="236">
        <f t="shared" si="22"/>
        <v>37787</v>
      </c>
      <c r="AK34" s="58">
        <f t="shared" ca="1" si="23"/>
        <v>747</v>
      </c>
      <c r="AL34" s="26">
        <f ca="1">IF($A35="","",_xll.SPRDOPT(P34,X34,AI34,0,AB34,AE34,AF34,AK34,$AJ$2,0))</f>
        <v>2.5477196411588451E-3</v>
      </c>
      <c r="AM34" s="89">
        <f t="shared" si="24"/>
        <v>0</v>
      </c>
      <c r="AN34" s="89">
        <f t="shared" ca="1" si="25"/>
        <v>2.5477196411588451E-3</v>
      </c>
      <c r="AO34" s="3">
        <f t="shared" si="26"/>
        <v>30</v>
      </c>
      <c r="AP34" s="33">
        <f t="shared" si="27"/>
        <v>37773</v>
      </c>
      <c r="AQ34" s="58">
        <f t="shared" ca="1" si="28"/>
        <v>747</v>
      </c>
      <c r="AR34" s="38">
        <f>'ANR OK vs ML7'!AR34</f>
        <v>0.1</v>
      </c>
      <c r="AS34" s="35">
        <f t="shared" ca="1" si="29"/>
        <v>0.8190838635068044</v>
      </c>
      <c r="AT34" s="3">
        <f t="shared" si="30"/>
        <v>1</v>
      </c>
      <c r="AU34" s="3">
        <f t="shared" si="31"/>
        <v>30</v>
      </c>
      <c r="AW34" s="32">
        <f t="shared" ca="1" si="32"/>
        <v>2791.4345020321002</v>
      </c>
      <c r="AX34" s="32">
        <f t="shared" si="33"/>
        <v>0</v>
      </c>
      <c r="AY34" s="32">
        <f t="shared" ca="1" si="34"/>
        <v>2791.4345020321002</v>
      </c>
      <c r="BA34" s="32">
        <f ca="1">IF($A35="","",F34*Summary!$Q$12)</f>
        <v>0</v>
      </c>
      <c r="BC34" s="256">
        <f t="shared" ca="1" si="37"/>
        <v>0</v>
      </c>
    </row>
    <row r="35" spans="1:55">
      <c r="A35" s="67">
        <f t="shared" si="35"/>
        <v>37803</v>
      </c>
      <c r="B35" s="69">
        <f t="shared" si="38"/>
        <v>36522</v>
      </c>
      <c r="C35" s="71"/>
      <c r="D35" s="69">
        <f t="shared" si="0"/>
        <v>36522</v>
      </c>
      <c r="E35" s="70">
        <f t="shared" si="1"/>
        <v>1132182</v>
      </c>
      <c r="F35" s="70">
        <f t="shared" ca="1" si="2"/>
        <v>919949.1611855831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0.20499999999999999</v>
      </c>
      <c r="K35" s="64">
        <f t="shared" si="6"/>
        <v>0.20499999999999999</v>
      </c>
      <c r="L35" s="63">
        <f t="shared" si="7"/>
        <v>0</v>
      </c>
      <c r="M35" s="64">
        <f t="shared" si="8"/>
        <v>0</v>
      </c>
      <c r="N35" s="65"/>
      <c r="O35" s="63">
        <f t="shared" si="9"/>
        <v>4.2149999999999999</v>
      </c>
      <c r="P35" s="63">
        <f t="shared" si="10"/>
        <v>4.2149999999999999</v>
      </c>
      <c r="Q35" s="66"/>
      <c r="R35" s="63">
        <f t="shared" si="11"/>
        <v>0.19500000000000001</v>
      </c>
      <c r="S35" s="64">
        <f t="shared" si="12"/>
        <v>0.19500000000000001</v>
      </c>
      <c r="T35" s="63">
        <f t="shared" si="13"/>
        <v>0</v>
      </c>
      <c r="U35" s="64">
        <f t="shared" si="14"/>
        <v>0</v>
      </c>
      <c r="V35" s="90">
        <f>IF($A36="","",IF(AND(MONTH(A35)&gt;3,MONTH(A35)&lt;11),(T35+R35+G35)*(((1/(1-Summary!$T$12))/(1-Summary!$W$12))-1),(T35+R35+G35)*((1/(1-Summary!$U$12))/(1-Summary!$X$12)-1)))</f>
        <v>0</v>
      </c>
      <c r="W35" s="63">
        <f t="shared" si="15"/>
        <v>4.2050000000000001</v>
      </c>
      <c r="X35" s="63">
        <f t="shared" si="16"/>
        <v>4.2050000000000001</v>
      </c>
      <c r="Y35" s="43"/>
      <c r="Z35" s="38">
        <f t="shared" si="17"/>
        <v>0.55000000000000004</v>
      </c>
      <c r="AA35" s="38">
        <f t="shared" si="18"/>
        <v>0.318</v>
      </c>
      <c r="AB35" s="38">
        <f t="shared" ca="1" si="19"/>
        <v>0.32754934590466517</v>
      </c>
      <c r="AC35" s="38">
        <f t="shared" si="20"/>
        <v>0.55000000000000004</v>
      </c>
      <c r="AD35" s="38">
        <f t="shared" si="20"/>
        <v>0.318</v>
      </c>
      <c r="AE35" s="38">
        <f t="shared" ca="1" si="21"/>
        <v>0.32754934590466517</v>
      </c>
      <c r="AF35" s="238">
        <f ca="1">((Summary!$N$12*(AA35*AD35)*(A35-$D$3))+(Summary!$M$12*Z35*AC35*(AJ35-EOMONTH(EDATE(A35,-1),0))))/(AK35*AB35*AE35)</f>
        <v>0.99990562448270071</v>
      </c>
      <c r="AG35" s="88">
        <f>IF($A36="","",Summary!$Q$12)</f>
        <v>0</v>
      </c>
      <c r="AH35" s="88">
        <f>IF($A36="","",IF(Summary!$R$12="Y",(VLOOKUP($A35,Summary!$AD$6:$AF$9,3)+'Escalating commodity'!H48),'Escalating commodity'!H48))</f>
        <v>2.9000000000000001E-2</v>
      </c>
      <c r="AI35" s="88">
        <f t="shared" si="36"/>
        <v>2.9000000000000001E-2</v>
      </c>
      <c r="AJ35" s="236">
        <f t="shared" si="22"/>
        <v>37817.5</v>
      </c>
      <c r="AK35" s="58">
        <f t="shared" ca="1" si="23"/>
        <v>777</v>
      </c>
      <c r="AL35" s="26">
        <f ca="1">IF($A36="","",_xll.SPRDOPT(P35,X35,AI35,0,AB35,AE35,AF35,AK35,$AJ$2,0))</f>
        <v>2.6406769537965016E-3</v>
      </c>
      <c r="AM35" s="89">
        <f t="shared" si="24"/>
        <v>0</v>
      </c>
      <c r="AN35" s="89">
        <f t="shared" ca="1" si="25"/>
        <v>2.6406769537965016E-3</v>
      </c>
      <c r="AO35" s="3">
        <f t="shared" si="26"/>
        <v>31</v>
      </c>
      <c r="AP35" s="33">
        <f t="shared" si="27"/>
        <v>37803</v>
      </c>
      <c r="AQ35" s="58">
        <f t="shared" ca="1" si="28"/>
        <v>777</v>
      </c>
      <c r="AR35" s="38">
        <f>'ANR OK vs ML7'!AR35</f>
        <v>0.1</v>
      </c>
      <c r="AS35" s="35">
        <f t="shared" ca="1" si="29"/>
        <v>0.81254529853467294</v>
      </c>
      <c r="AT35" s="3">
        <f t="shared" si="30"/>
        <v>1</v>
      </c>
      <c r="AU35" s="3">
        <f t="shared" si="31"/>
        <v>31</v>
      </c>
      <c r="AW35" s="32">
        <f t="shared" ca="1" si="32"/>
        <v>2989.7269149032309</v>
      </c>
      <c r="AX35" s="32">
        <f t="shared" si="33"/>
        <v>0</v>
      </c>
      <c r="AY35" s="32">
        <f t="shared" ca="1" si="34"/>
        <v>2989.7269149032309</v>
      </c>
      <c r="BA35" s="32">
        <f ca="1">IF($A36="","",F35*Summary!$Q$12)</f>
        <v>0</v>
      </c>
      <c r="BC35" s="256">
        <f t="shared" ca="1" si="37"/>
        <v>0</v>
      </c>
    </row>
    <row r="36" spans="1:55">
      <c r="A36" s="67">
        <f t="shared" si="35"/>
        <v>37834</v>
      </c>
      <c r="B36" s="69">
        <f t="shared" si="38"/>
        <v>36522</v>
      </c>
      <c r="C36" s="71"/>
      <c r="D36" s="69">
        <f t="shared" si="0"/>
        <v>36522</v>
      </c>
      <c r="E36" s="70">
        <f t="shared" si="1"/>
        <v>1132182</v>
      </c>
      <c r="F36" s="70">
        <f t="shared" ca="1" si="2"/>
        <v>912361.63145231607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0.20499999999999999</v>
      </c>
      <c r="K36" s="64">
        <f t="shared" si="6"/>
        <v>0.20499999999999999</v>
      </c>
      <c r="L36" s="63">
        <f t="shared" si="7"/>
        <v>0</v>
      </c>
      <c r="M36" s="64">
        <f t="shared" si="8"/>
        <v>0</v>
      </c>
      <c r="N36" s="65"/>
      <c r="O36" s="63">
        <f t="shared" si="9"/>
        <v>4.2610000000000001</v>
      </c>
      <c r="P36" s="63">
        <f t="shared" si="10"/>
        <v>4.2610000000000001</v>
      </c>
      <c r="Q36" s="66"/>
      <c r="R36" s="63">
        <f t="shared" si="11"/>
        <v>0.19500000000000001</v>
      </c>
      <c r="S36" s="64">
        <f t="shared" si="12"/>
        <v>0.19500000000000001</v>
      </c>
      <c r="T36" s="63">
        <f t="shared" si="13"/>
        <v>0</v>
      </c>
      <c r="U36" s="64">
        <f t="shared" si="14"/>
        <v>0</v>
      </c>
      <c r="V36" s="90">
        <f>IF($A37="","",IF(AND(MONTH(A36)&gt;3,MONTH(A36)&lt;11),(T36+R36+G36)*(((1/(1-Summary!$T$12))/(1-Summary!$W$12))-1),(T36+R36+G36)*((1/(1-Summary!$U$12))/(1-Summary!$X$12)-1)))</f>
        <v>0</v>
      </c>
      <c r="W36" s="63">
        <f t="shared" si="15"/>
        <v>4.2510000000000003</v>
      </c>
      <c r="X36" s="63">
        <f t="shared" si="16"/>
        <v>4.2510000000000003</v>
      </c>
      <c r="Y36" s="43"/>
      <c r="Z36" s="38">
        <f t="shared" si="17"/>
        <v>0.6</v>
      </c>
      <c r="AA36" s="38">
        <f t="shared" si="18"/>
        <v>0.318</v>
      </c>
      <c r="AB36" s="38">
        <f t="shared" ca="1" si="19"/>
        <v>0.32886941794488272</v>
      </c>
      <c r="AC36" s="38">
        <f t="shared" si="20"/>
        <v>0.6</v>
      </c>
      <c r="AD36" s="38">
        <f t="shared" si="20"/>
        <v>0.318</v>
      </c>
      <c r="AE36" s="38">
        <f t="shared" ca="1" si="21"/>
        <v>0.32886941794488272</v>
      </c>
      <c r="AF36" s="238">
        <f ca="1">((Summary!$N$12*(AA36*AD36)*(A36-$D$3))+(Summary!$M$12*Z36*AC36*(AJ36-EOMONTH(EDATE(A36,-1),0))))/(AK36*AB36*AE36)</f>
        <v>0.99990638521990483</v>
      </c>
      <c r="AG36" s="88">
        <f>IF($A37="","",Summary!$Q$12)</f>
        <v>0</v>
      </c>
      <c r="AH36" s="88">
        <f>IF($A37="","",IF(Summary!$R$12="Y",(VLOOKUP($A36,Summary!$AD$6:$AF$9,3)+'Escalating commodity'!H49),'Escalating commodity'!H49))</f>
        <v>2.9000000000000001E-2</v>
      </c>
      <c r="AI36" s="88">
        <f t="shared" si="36"/>
        <v>2.9000000000000001E-2</v>
      </c>
      <c r="AJ36" s="236">
        <f t="shared" si="22"/>
        <v>37848.5</v>
      </c>
      <c r="AK36" s="58">
        <f t="shared" ca="1" si="23"/>
        <v>808</v>
      </c>
      <c r="AL36" s="26">
        <f ca="1">IF($A37="","",_xll.SPRDOPT(P36,X36,AI36,0,AB36,AE36,AF36,AK36,$AJ$2,0))</f>
        <v>2.7411802512992134E-3</v>
      </c>
      <c r="AM36" s="89">
        <f t="shared" si="24"/>
        <v>0</v>
      </c>
      <c r="AN36" s="89">
        <f t="shared" ca="1" si="25"/>
        <v>2.7411802512992134E-3</v>
      </c>
      <c r="AO36" s="3">
        <f t="shared" si="26"/>
        <v>31</v>
      </c>
      <c r="AP36" s="33">
        <f t="shared" si="27"/>
        <v>37834</v>
      </c>
      <c r="AQ36" s="58">
        <f t="shared" ca="1" si="28"/>
        <v>808</v>
      </c>
      <c r="AR36" s="38">
        <f>'ANR OK vs ML7'!AR36</f>
        <v>0.1</v>
      </c>
      <c r="AS36" s="35">
        <f t="shared" ca="1" si="29"/>
        <v>0.80584361123239556</v>
      </c>
      <c r="AT36" s="3">
        <f t="shared" si="30"/>
        <v>1</v>
      </c>
      <c r="AU36" s="3">
        <f t="shared" si="31"/>
        <v>31</v>
      </c>
      <c r="AW36" s="32">
        <f t="shared" ca="1" si="32"/>
        <v>3103.5149392764461</v>
      </c>
      <c r="AX36" s="32">
        <f t="shared" si="33"/>
        <v>0</v>
      </c>
      <c r="AY36" s="32">
        <f t="shared" ca="1" si="34"/>
        <v>3103.5149392764461</v>
      </c>
      <c r="BA36" s="32">
        <f ca="1">IF($A37="","",F36*Summary!$Q$12)</f>
        <v>0</v>
      </c>
      <c r="BC36" s="256">
        <f t="shared" ca="1" si="37"/>
        <v>0</v>
      </c>
    </row>
    <row r="37" spans="1:55">
      <c r="A37" s="67">
        <f t="shared" si="35"/>
        <v>37865</v>
      </c>
      <c r="B37" s="69">
        <f t="shared" si="38"/>
        <v>36522</v>
      </c>
      <c r="C37" s="71"/>
      <c r="D37" s="69">
        <f t="shared" si="0"/>
        <v>36522</v>
      </c>
      <c r="E37" s="70">
        <f t="shared" si="1"/>
        <v>1095660</v>
      </c>
      <c r="F37" s="70">
        <f t="shared" ca="1" si="2"/>
        <v>875648.40186235833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0.20499999999999999</v>
      </c>
      <c r="K37" s="64">
        <f t="shared" si="6"/>
        <v>0.20499999999999999</v>
      </c>
      <c r="L37" s="63">
        <f t="shared" si="7"/>
        <v>0</v>
      </c>
      <c r="M37" s="64">
        <f t="shared" si="8"/>
        <v>0</v>
      </c>
      <c r="N37" s="65"/>
      <c r="O37" s="63">
        <f t="shared" si="9"/>
        <v>4.2700000000000005</v>
      </c>
      <c r="P37" s="63">
        <f t="shared" si="10"/>
        <v>4.2700000000000005</v>
      </c>
      <c r="Q37" s="66"/>
      <c r="R37" s="63">
        <f t="shared" si="11"/>
        <v>0.19500000000000001</v>
      </c>
      <c r="S37" s="64">
        <f t="shared" si="12"/>
        <v>0.19500000000000001</v>
      </c>
      <c r="T37" s="63">
        <f t="shared" si="13"/>
        <v>0</v>
      </c>
      <c r="U37" s="64">
        <f t="shared" si="14"/>
        <v>0</v>
      </c>
      <c r="V37" s="90">
        <f>IF($A38="","",IF(AND(MONTH(A37)&gt;3,MONTH(A37)&lt;11),(T37+R37+G37)*(((1/(1-Summary!$T$12))/(1-Summary!$W$12))-1),(T37+R37+G37)*((1/(1-Summary!$U$12))/(1-Summary!$X$12)-1)))</f>
        <v>0</v>
      </c>
      <c r="W37" s="63">
        <f t="shared" si="15"/>
        <v>4.2600000000000007</v>
      </c>
      <c r="X37" s="63">
        <f t="shared" si="16"/>
        <v>4.2600000000000007</v>
      </c>
      <c r="Y37" s="43"/>
      <c r="Z37" s="38">
        <f t="shared" si="17"/>
        <v>0.6</v>
      </c>
      <c r="AA37" s="38">
        <f t="shared" si="18"/>
        <v>0.318</v>
      </c>
      <c r="AB37" s="38">
        <f t="shared" ca="1" si="19"/>
        <v>0.32814747113587894</v>
      </c>
      <c r="AC37" s="38">
        <f t="shared" si="20"/>
        <v>0.6</v>
      </c>
      <c r="AD37" s="38">
        <f t="shared" si="20"/>
        <v>0.318</v>
      </c>
      <c r="AE37" s="38">
        <f t="shared" ca="1" si="21"/>
        <v>0.32814747113587894</v>
      </c>
      <c r="AF37" s="238">
        <f ca="1">((Summary!$N$12*(AA37*AD37)*(A37-$D$3))+(Summary!$M$12*Z37*AC37*(AJ37-EOMONTH(EDATE(A37,-1),0))))/(AK37*AB37*AE37)</f>
        <v>0.99990597714340346</v>
      </c>
      <c r="AG37" s="88">
        <f>IF($A38="","",Summary!$Q$12)</f>
        <v>0</v>
      </c>
      <c r="AH37" s="88">
        <f>IF($A38="","",IF(Summary!$R$12="Y",(VLOOKUP($A37,Summary!$AD$6:$AF$9,3)+'Escalating commodity'!H50),'Escalating commodity'!H50))</f>
        <v>2.9000000000000001E-2</v>
      </c>
      <c r="AI37" s="88">
        <f t="shared" si="36"/>
        <v>2.9000000000000001E-2</v>
      </c>
      <c r="AJ37" s="236">
        <f t="shared" si="22"/>
        <v>37879</v>
      </c>
      <c r="AK37" s="58">
        <f t="shared" ca="1" si="23"/>
        <v>839</v>
      </c>
      <c r="AL37" s="26">
        <f ca="1">IF($A38="","",_xll.SPRDOPT(P37,X37,AI37,0,AB37,AE37,AF37,AK37,$AJ$2,0))</f>
        <v>2.8224721384715046E-3</v>
      </c>
      <c r="AM37" s="89">
        <f t="shared" si="24"/>
        <v>0</v>
      </c>
      <c r="AN37" s="89">
        <f t="shared" ca="1" si="25"/>
        <v>2.8224721384715046E-3</v>
      </c>
      <c r="AO37" s="3">
        <f t="shared" si="26"/>
        <v>30</v>
      </c>
      <c r="AP37" s="33">
        <f t="shared" si="27"/>
        <v>37865</v>
      </c>
      <c r="AQ37" s="58">
        <f t="shared" ca="1" si="28"/>
        <v>839</v>
      </c>
      <c r="AR37" s="38">
        <f>'ANR OK vs ML7'!AR37</f>
        <v>0.1</v>
      </c>
      <c r="AS37" s="35">
        <f t="shared" ca="1" si="29"/>
        <v>0.79919719791026256</v>
      </c>
      <c r="AT37" s="3">
        <f t="shared" si="30"/>
        <v>1</v>
      </c>
      <c r="AU37" s="3">
        <f t="shared" si="31"/>
        <v>30</v>
      </c>
      <c r="AW37" s="32">
        <f t="shared" ca="1" si="32"/>
        <v>3092.4698232376886</v>
      </c>
      <c r="AX37" s="32">
        <f t="shared" si="33"/>
        <v>0</v>
      </c>
      <c r="AY37" s="32">
        <f t="shared" ca="1" si="34"/>
        <v>3092.4698232376886</v>
      </c>
      <c r="BA37" s="32">
        <f ca="1">IF($A38="","",F37*Summary!$Q$12)</f>
        <v>0</v>
      </c>
      <c r="BC37" s="256">
        <f t="shared" ca="1" si="37"/>
        <v>0</v>
      </c>
    </row>
    <row r="38" spans="1:55">
      <c r="A38" s="67">
        <f t="shared" si="35"/>
        <v>37895</v>
      </c>
      <c r="B38" s="69">
        <f t="shared" si="38"/>
        <v>36522</v>
      </c>
      <c r="C38" s="71"/>
      <c r="D38" s="69">
        <f t="shared" si="0"/>
        <v>36522</v>
      </c>
      <c r="E38" s="70">
        <f t="shared" si="1"/>
        <v>1132182</v>
      </c>
      <c r="F38" s="70">
        <f t="shared" ca="1" si="2"/>
        <v>897613.57120583393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0.20499999999999999</v>
      </c>
      <c r="K38" s="64">
        <f t="shared" si="6"/>
        <v>0.20499999999999999</v>
      </c>
      <c r="L38" s="63">
        <f t="shared" si="7"/>
        <v>0</v>
      </c>
      <c r="M38" s="64">
        <f t="shared" si="8"/>
        <v>0</v>
      </c>
      <c r="N38" s="65"/>
      <c r="O38" s="63">
        <f t="shared" si="9"/>
        <v>4.2910000000000004</v>
      </c>
      <c r="P38" s="63">
        <f t="shared" si="10"/>
        <v>4.2910000000000004</v>
      </c>
      <c r="Q38" s="66"/>
      <c r="R38" s="63">
        <f t="shared" si="11"/>
        <v>0.19500000000000001</v>
      </c>
      <c r="S38" s="64">
        <f t="shared" si="12"/>
        <v>0.19500000000000001</v>
      </c>
      <c r="T38" s="63">
        <f t="shared" si="13"/>
        <v>0</v>
      </c>
      <c r="U38" s="64">
        <f t="shared" si="14"/>
        <v>0</v>
      </c>
      <c r="V38" s="90">
        <f>IF($A39="","",IF(AND(MONTH(A38)&gt;3,MONTH(A38)&lt;11),(T38+R38+G38)*(((1/(1-Summary!$T$12))/(1-Summary!$W$12))-1),(T38+R38+G38)*((1/(1-Summary!$U$12))/(1-Summary!$X$12)-1)))</f>
        <v>0</v>
      </c>
      <c r="W38" s="63">
        <f t="shared" si="15"/>
        <v>4.2810000000000006</v>
      </c>
      <c r="X38" s="63">
        <f t="shared" si="16"/>
        <v>4.2810000000000006</v>
      </c>
      <c r="Y38" s="43"/>
      <c r="Z38" s="38">
        <f t="shared" si="17"/>
        <v>0.65</v>
      </c>
      <c r="AA38" s="38">
        <f t="shared" si="18"/>
        <v>0.32</v>
      </c>
      <c r="AB38" s="38">
        <f t="shared" ca="1" si="19"/>
        <v>0.33174357185687026</v>
      </c>
      <c r="AC38" s="38">
        <f t="shared" si="20"/>
        <v>0.65</v>
      </c>
      <c r="AD38" s="38">
        <f t="shared" si="20"/>
        <v>0.32</v>
      </c>
      <c r="AE38" s="38">
        <f t="shared" ca="1" si="21"/>
        <v>0.33174357185687026</v>
      </c>
      <c r="AF38" s="238">
        <f ca="1">((Summary!$N$12*(AA38*AD38)*(A38-$D$3))+(Summary!$M$12*Z38*AC38*(AJ38-EOMONTH(EDATE(A38,-1),0))))/(AK38*AB38*AE38)</f>
        <v>0.99990684752461789</v>
      </c>
      <c r="AG38" s="88">
        <f>IF($A39="","",Summary!$Q$12)</f>
        <v>0</v>
      </c>
      <c r="AH38" s="88">
        <f>IF($A39="","",IF(Summary!$R$12="Y",(VLOOKUP($A38,Summary!$AD$6:$AF$9,3)+'Escalating commodity'!H51),'Escalating commodity'!H51))</f>
        <v>2.9000000000000001E-2</v>
      </c>
      <c r="AI38" s="88">
        <f t="shared" si="36"/>
        <v>2.9000000000000001E-2</v>
      </c>
      <c r="AJ38" s="236">
        <f t="shared" si="22"/>
        <v>37909.5</v>
      </c>
      <c r="AK38" s="58">
        <f t="shared" ca="1" si="23"/>
        <v>869</v>
      </c>
      <c r="AL38" s="26">
        <f ca="1">IF($A39="","",_xll.SPRDOPT(P38,X38,AI38,0,AB38,AE38,AF38,AK38,$AJ$2,0))</f>
        <v>2.925585426112199E-3</v>
      </c>
      <c r="AM38" s="89">
        <f t="shared" si="24"/>
        <v>0</v>
      </c>
      <c r="AN38" s="89">
        <f t="shared" ca="1" si="25"/>
        <v>2.925585426112199E-3</v>
      </c>
      <c r="AO38" s="3">
        <f t="shared" si="26"/>
        <v>31</v>
      </c>
      <c r="AP38" s="33">
        <f t="shared" si="27"/>
        <v>37895</v>
      </c>
      <c r="AQ38" s="58">
        <f t="shared" ca="1" si="28"/>
        <v>869</v>
      </c>
      <c r="AR38" s="38">
        <f>'ANR OK vs ML7'!AR38</f>
        <v>0.1</v>
      </c>
      <c r="AS38" s="35">
        <f t="shared" ca="1" si="29"/>
        <v>0.79281738378267264</v>
      </c>
      <c r="AT38" s="3">
        <f t="shared" si="30"/>
        <v>1</v>
      </c>
      <c r="AU38" s="3">
        <f t="shared" si="31"/>
        <v>31</v>
      </c>
      <c r="AW38" s="32">
        <f t="shared" ca="1" si="32"/>
        <v>3312.2951589065615</v>
      </c>
      <c r="AX38" s="32">
        <f t="shared" si="33"/>
        <v>0</v>
      </c>
      <c r="AY38" s="32">
        <f t="shared" ca="1" si="34"/>
        <v>3312.2951589065615</v>
      </c>
      <c r="BA38" s="32">
        <f ca="1">IF($A39="","",F38*Summary!$Q$12)</f>
        <v>0</v>
      </c>
      <c r="BC38" s="256">
        <f t="shared" ca="1" si="37"/>
        <v>0</v>
      </c>
    </row>
    <row r="39" spans="1:55">
      <c r="A39" s="67">
        <f t="shared" si="35"/>
        <v>37926</v>
      </c>
      <c r="B39" s="69">
        <f t="shared" si="38"/>
        <v>36522</v>
      </c>
      <c r="C39" s="71"/>
      <c r="D39" s="69">
        <f t="shared" si="0"/>
        <v>36522</v>
      </c>
      <c r="E39" s="70">
        <f t="shared" si="1"/>
        <v>1095660</v>
      </c>
      <c r="F39" s="70">
        <f t="shared" ca="1" si="2"/>
        <v>861493.80028749246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0.32</v>
      </c>
      <c r="K39" s="64">
        <f t="shared" si="6"/>
        <v>0.32</v>
      </c>
      <c r="L39" s="63">
        <f t="shared" si="7"/>
        <v>0</v>
      </c>
      <c r="M39" s="64">
        <f t="shared" si="8"/>
        <v>0</v>
      </c>
      <c r="N39" s="65"/>
      <c r="O39" s="63">
        <f t="shared" si="9"/>
        <v>4.5190000000000001</v>
      </c>
      <c r="P39" s="63">
        <f t="shared" si="10"/>
        <v>4.5190000000000001</v>
      </c>
      <c r="Q39" s="66"/>
      <c r="R39" s="63">
        <f t="shared" si="11"/>
        <v>0.31</v>
      </c>
      <c r="S39" s="64">
        <f t="shared" si="12"/>
        <v>0.31</v>
      </c>
      <c r="T39" s="63">
        <f t="shared" si="13"/>
        <v>0</v>
      </c>
      <c r="U39" s="64">
        <f t="shared" si="14"/>
        <v>0</v>
      </c>
      <c r="V39" s="90">
        <f>IF($A40="","",IF(AND(MONTH(A39)&gt;3,MONTH(A39)&lt;11),(T39+R39+G39)*(((1/(1-Summary!$T$12))/(1-Summary!$W$12))-1),(T39+R39+G39)*((1/(1-Summary!$U$12))/(1-Summary!$X$12)-1)))</f>
        <v>0</v>
      </c>
      <c r="W39" s="63">
        <f t="shared" si="15"/>
        <v>4.5089999999999995</v>
      </c>
      <c r="X39" s="63">
        <f t="shared" si="16"/>
        <v>4.5089999999999995</v>
      </c>
      <c r="Y39" s="43"/>
      <c r="Z39" s="38">
        <f t="shared" si="17"/>
        <v>0.8</v>
      </c>
      <c r="AA39" s="38">
        <f t="shared" si="18"/>
        <v>0.32</v>
      </c>
      <c r="AB39" s="38">
        <f t="shared" ca="1" si="19"/>
        <v>0.33642301414208342</v>
      </c>
      <c r="AC39" s="38">
        <f t="shared" si="20"/>
        <v>0.8</v>
      </c>
      <c r="AD39" s="38">
        <f t="shared" si="20"/>
        <v>0.32</v>
      </c>
      <c r="AE39" s="38">
        <f t="shared" ca="1" si="21"/>
        <v>0.33642301414208342</v>
      </c>
      <c r="AF39" s="238">
        <f ca="1">((Summary!$N$12*(AA39*AD39)*(A39-$D$3))+(Summary!$M$12*Z39*AC39*(AJ39-EOMONTH(EDATE(A39,-1),0))))/(AK39*AB39*AE39)</f>
        <v>0.99990942447851205</v>
      </c>
      <c r="AG39" s="88">
        <f>IF($A40="","",Summary!$Q$12)</f>
        <v>0</v>
      </c>
      <c r="AH39" s="88">
        <f>IF($A40="","",IF(Summary!$R$12="Y",(VLOOKUP($A39,Summary!$AD$6:$AF$9,3)+'Escalating commodity'!H52),'Escalating commodity'!H52))</f>
        <v>2.9000000000000001E-2</v>
      </c>
      <c r="AI39" s="88">
        <f t="shared" si="36"/>
        <v>2.9000000000000001E-2</v>
      </c>
      <c r="AJ39" s="236">
        <f t="shared" si="22"/>
        <v>37940</v>
      </c>
      <c r="AK39" s="58">
        <f t="shared" ca="1" si="23"/>
        <v>900</v>
      </c>
      <c r="AL39" s="26">
        <f ca="1">IF($A40="","",_xll.SPRDOPT(P39,X39,AI39,0,AB39,AE39,AF39,AK39,$AJ$2,0))</f>
        <v>3.1619096075306066E-3</v>
      </c>
      <c r="AM39" s="89">
        <f t="shared" si="24"/>
        <v>0</v>
      </c>
      <c r="AN39" s="89">
        <f t="shared" ca="1" si="25"/>
        <v>3.1619096075306066E-3</v>
      </c>
      <c r="AO39" s="3">
        <f t="shared" si="26"/>
        <v>30</v>
      </c>
      <c r="AP39" s="33">
        <f t="shared" si="27"/>
        <v>37926</v>
      </c>
      <c r="AQ39" s="58">
        <f t="shared" ca="1" si="28"/>
        <v>900</v>
      </c>
      <c r="AR39" s="38">
        <f>'ANR OK vs ML7'!AR39</f>
        <v>0.1</v>
      </c>
      <c r="AS39" s="35">
        <f t="shared" ca="1" si="29"/>
        <v>0.7862784077975763</v>
      </c>
      <c r="AT39" s="3">
        <f t="shared" si="30"/>
        <v>1</v>
      </c>
      <c r="AU39" s="3">
        <f t="shared" si="31"/>
        <v>30</v>
      </c>
      <c r="AW39" s="32">
        <f t="shared" ca="1" si="32"/>
        <v>3464.3778805869842</v>
      </c>
      <c r="AX39" s="32">
        <f t="shared" si="33"/>
        <v>0</v>
      </c>
      <c r="AY39" s="32">
        <f t="shared" ca="1" si="34"/>
        <v>3464.3778805869842</v>
      </c>
      <c r="BA39" s="32">
        <f ca="1">IF($A40="","",F39*Summary!$Q$12)</f>
        <v>0</v>
      </c>
      <c r="BC39" s="256">
        <f t="shared" ca="1" si="37"/>
        <v>0</v>
      </c>
    </row>
    <row r="40" spans="1:55">
      <c r="A40" s="67">
        <f t="shared" si="35"/>
        <v>37956</v>
      </c>
      <c r="B40" s="69">
        <f t="shared" si="38"/>
        <v>36522</v>
      </c>
      <c r="C40" s="71"/>
      <c r="D40" s="69">
        <f t="shared" si="0"/>
        <v>36522</v>
      </c>
      <c r="E40" s="70">
        <f t="shared" si="1"/>
        <v>1132182</v>
      </c>
      <c r="F40" s="70">
        <f t="shared" ca="1" si="2"/>
        <v>883103.90906108625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0.32</v>
      </c>
      <c r="K40" s="64">
        <f t="shared" si="6"/>
        <v>0.32</v>
      </c>
      <c r="L40" s="63">
        <f t="shared" si="7"/>
        <v>0</v>
      </c>
      <c r="M40" s="64">
        <f t="shared" si="8"/>
        <v>0</v>
      </c>
      <c r="N40" s="65"/>
      <c r="O40" s="63">
        <f t="shared" si="9"/>
        <v>4.6570000000000009</v>
      </c>
      <c r="P40" s="63">
        <f t="shared" si="10"/>
        <v>4.6570000000000009</v>
      </c>
      <c r="Q40" s="66"/>
      <c r="R40" s="63">
        <f t="shared" si="11"/>
        <v>0.31</v>
      </c>
      <c r="S40" s="64">
        <f t="shared" si="12"/>
        <v>0.31</v>
      </c>
      <c r="T40" s="63">
        <f t="shared" si="13"/>
        <v>0</v>
      </c>
      <c r="U40" s="64">
        <f t="shared" si="14"/>
        <v>0</v>
      </c>
      <c r="V40" s="90">
        <f>IF($A41="","",IF(AND(MONTH(A40)&gt;3,MONTH(A40)&lt;11),(T40+R40+G40)*(((1/(1-Summary!$T$12))/(1-Summary!$W$12))-1),(T40+R40+G40)*((1/(1-Summary!$U$12))/(1-Summary!$X$12)-1)))</f>
        <v>0</v>
      </c>
      <c r="W40" s="63">
        <f t="shared" si="15"/>
        <v>4.6470000000000002</v>
      </c>
      <c r="X40" s="63">
        <f t="shared" si="16"/>
        <v>4.6470000000000002</v>
      </c>
      <c r="Y40" s="43"/>
      <c r="Z40" s="38">
        <f t="shared" si="17"/>
        <v>1.1000000000000001</v>
      </c>
      <c r="AA40" s="38">
        <f t="shared" si="18"/>
        <v>0.32</v>
      </c>
      <c r="AB40" s="38">
        <f t="shared" ca="1" si="19"/>
        <v>0.35025244352259471</v>
      </c>
      <c r="AC40" s="38">
        <f t="shared" si="20"/>
        <v>1.1000000000000001</v>
      </c>
      <c r="AD40" s="38">
        <f t="shared" si="20"/>
        <v>0.32</v>
      </c>
      <c r="AE40" s="38">
        <f t="shared" ca="1" si="21"/>
        <v>0.35025244352259471</v>
      </c>
      <c r="AF40" s="238">
        <f ca="1">((Summary!$N$12*(AA40*AD40)*(A40-$D$3))+(Summary!$M$12*Z40*AC40*(AJ40-EOMONTH(EDATE(A40,-1),0))))/(AK40*AB40*AE40)</f>
        <v>0.99991643886285664</v>
      </c>
      <c r="AG40" s="88">
        <f>IF($A41="","",Summary!$Q$12)</f>
        <v>0</v>
      </c>
      <c r="AH40" s="88">
        <f>IF($A41="","",IF(Summary!$R$12="Y",(VLOOKUP($A40,Summary!$AD$6:$AF$9,3)+'Escalating commodity'!H53),'Escalating commodity'!H53))</f>
        <v>2.9000000000000001E-2</v>
      </c>
      <c r="AI40" s="88">
        <f t="shared" si="36"/>
        <v>2.9000000000000001E-2</v>
      </c>
      <c r="AJ40" s="236">
        <f t="shared" si="22"/>
        <v>37970.5</v>
      </c>
      <c r="AK40" s="58">
        <f t="shared" ca="1" si="23"/>
        <v>930</v>
      </c>
      <c r="AL40" s="26">
        <f ca="1">IF($A41="","",_xll.SPRDOPT(P40,X40,AI40,0,AB40,AE40,AF40,AK40,$AJ$2,0))</f>
        <v>3.2679663511665374E-3</v>
      </c>
      <c r="AM40" s="89">
        <f t="shared" si="24"/>
        <v>0</v>
      </c>
      <c r="AN40" s="89">
        <f t="shared" ca="1" si="25"/>
        <v>3.2679663511665374E-3</v>
      </c>
      <c r="AO40" s="3">
        <f t="shared" si="26"/>
        <v>31</v>
      </c>
      <c r="AP40" s="33">
        <f t="shared" si="27"/>
        <v>37956</v>
      </c>
      <c r="AQ40" s="58">
        <f t="shared" ca="1" si="28"/>
        <v>930</v>
      </c>
      <c r="AR40" s="38">
        <f>'ANR OK vs ML7'!AR40</f>
        <v>0.1</v>
      </c>
      <c r="AS40" s="35">
        <f t="shared" ca="1" si="29"/>
        <v>0.78000172150863223</v>
      </c>
      <c r="AT40" s="3">
        <f t="shared" si="30"/>
        <v>1</v>
      </c>
      <c r="AU40" s="3">
        <f t="shared" si="31"/>
        <v>31</v>
      </c>
      <c r="AW40" s="32">
        <f t="shared" ca="1" si="32"/>
        <v>3699.9326793964328</v>
      </c>
      <c r="AX40" s="32">
        <f t="shared" si="33"/>
        <v>0</v>
      </c>
      <c r="AY40" s="32">
        <f t="shared" ca="1" si="34"/>
        <v>3699.9326793964328</v>
      </c>
      <c r="BA40" s="32">
        <f ca="1">IF($A41="","",F40*Summary!$Q$12)</f>
        <v>0</v>
      </c>
      <c r="BC40" s="256">
        <f t="shared" ca="1" si="37"/>
        <v>0</v>
      </c>
    </row>
    <row r="41" spans="1:55">
      <c r="A41" s="67">
        <f t="shared" si="35"/>
        <v>37987</v>
      </c>
      <c r="B41" s="69">
        <f t="shared" si="38"/>
        <v>36522</v>
      </c>
      <c r="C41" s="71"/>
      <c r="D41" s="69">
        <f t="shared" si="0"/>
        <v>36522</v>
      </c>
      <c r="E41" s="70">
        <f t="shared" si="1"/>
        <v>1132182</v>
      </c>
      <c r="F41" s="70">
        <f t="shared" ca="1" si="2"/>
        <v>875820.2705185716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0.32</v>
      </c>
      <c r="K41" s="64">
        <f t="shared" si="6"/>
        <v>0.32</v>
      </c>
      <c r="L41" s="63">
        <f t="shared" si="7"/>
        <v>0</v>
      </c>
      <c r="M41" s="64">
        <f t="shared" si="8"/>
        <v>0</v>
      </c>
      <c r="N41" s="65"/>
      <c r="O41" s="63">
        <f t="shared" si="9"/>
        <v>4.7140000000000004</v>
      </c>
      <c r="P41" s="63">
        <f t="shared" si="10"/>
        <v>4.7140000000000004</v>
      </c>
      <c r="Q41" s="66"/>
      <c r="R41" s="63">
        <f t="shared" si="11"/>
        <v>0.31</v>
      </c>
      <c r="S41" s="64">
        <f t="shared" si="12"/>
        <v>0.31</v>
      </c>
      <c r="T41" s="63">
        <f t="shared" si="13"/>
        <v>0</v>
      </c>
      <c r="U41" s="64">
        <f t="shared" si="14"/>
        <v>0</v>
      </c>
      <c r="V41" s="90">
        <f>IF($A42="","",IF(AND(MONTH(A41)&gt;3,MONTH(A41)&lt;11),(T41+R41+G41)*(((1/(1-Summary!$T$12))/(1-Summary!$W$12))-1),(T41+R41+G41)*((1/(1-Summary!$U$12))/(1-Summary!$X$12)-1)))</f>
        <v>0</v>
      </c>
      <c r="W41" s="63">
        <f t="shared" si="15"/>
        <v>4.7039999999999997</v>
      </c>
      <c r="X41" s="63">
        <f t="shared" si="16"/>
        <v>4.7039999999999997</v>
      </c>
      <c r="Y41" s="43"/>
      <c r="Z41" s="38">
        <f t="shared" si="17"/>
        <v>1.1000000000000001</v>
      </c>
      <c r="AA41" s="38">
        <f t="shared" si="18"/>
        <v>0.32300000000000001</v>
      </c>
      <c r="AB41" s="38">
        <f t="shared" ca="1" si="19"/>
        <v>0.35207057813386372</v>
      </c>
      <c r="AC41" s="38">
        <f t="shared" si="20"/>
        <v>1.1000000000000001</v>
      </c>
      <c r="AD41" s="38">
        <f t="shared" si="20"/>
        <v>0.32300000000000001</v>
      </c>
      <c r="AE41" s="38">
        <f t="shared" ca="1" si="21"/>
        <v>0.35207057813386372</v>
      </c>
      <c r="AF41" s="238">
        <f ca="1">((Summary!$N$12*(AA41*AD41)*(A41-$D$3))+(Summary!$M$12*Z41*AC41*(AJ41-EOMONTH(EDATE(A41,-1),0))))/(AK41*AB41*AE41)</f>
        <v>0.99991574469361844</v>
      </c>
      <c r="AG41" s="88">
        <f>IF($A42="","",Summary!$Q$12)</f>
        <v>0</v>
      </c>
      <c r="AH41" s="88">
        <f>IF($A42="","",IF(Summary!$R$12="Y",(VLOOKUP($A41,Summary!$AD$6:$AF$9,3)+'Escalating commodity'!H54),'Escalating commodity'!H54))</f>
        <v>2.9000000000000001E-2</v>
      </c>
      <c r="AI41" s="88">
        <f t="shared" si="36"/>
        <v>2.9000000000000001E-2</v>
      </c>
      <c r="AJ41" s="236">
        <f t="shared" si="22"/>
        <v>38001.5</v>
      </c>
      <c r="AK41" s="58">
        <f t="shared" ca="1" si="23"/>
        <v>961</v>
      </c>
      <c r="AL41" s="26">
        <f ca="1">IF($A42="","",_xll.SPRDOPT(P41,X41,AI41,0,AB41,AE41,AF41,AK41,$AJ$2,0))</f>
        <v>3.4380665012615705E-3</v>
      </c>
      <c r="AM41" s="89">
        <f t="shared" si="24"/>
        <v>0</v>
      </c>
      <c r="AN41" s="89">
        <f t="shared" ca="1" si="25"/>
        <v>3.4380665012615705E-3</v>
      </c>
      <c r="AO41" s="3">
        <f t="shared" si="26"/>
        <v>31</v>
      </c>
      <c r="AP41" s="33">
        <f t="shared" si="27"/>
        <v>37987</v>
      </c>
      <c r="AQ41" s="58">
        <f t="shared" ca="1" si="28"/>
        <v>961</v>
      </c>
      <c r="AR41" s="38">
        <f>'ANR OK vs ML7'!AR41</f>
        <v>0.1</v>
      </c>
      <c r="AS41" s="35">
        <f t="shared" ca="1" si="29"/>
        <v>0.77356844616728726</v>
      </c>
      <c r="AT41" s="3">
        <f t="shared" si="30"/>
        <v>1</v>
      </c>
      <c r="AU41" s="3">
        <f t="shared" si="31"/>
        <v>31</v>
      </c>
      <c r="AW41" s="32">
        <f t="shared" ca="1" si="32"/>
        <v>3892.5170075313272</v>
      </c>
      <c r="AX41" s="32">
        <f t="shared" si="33"/>
        <v>0</v>
      </c>
      <c r="AY41" s="32">
        <f t="shared" ca="1" si="34"/>
        <v>3892.5170075313272</v>
      </c>
      <c r="BA41" s="32">
        <f ca="1">IF($A42="","",F41*Summary!$Q$12)</f>
        <v>0</v>
      </c>
      <c r="BC41" s="256">
        <f t="shared" ca="1" si="37"/>
        <v>0</v>
      </c>
    </row>
    <row r="42" spans="1:55">
      <c r="A42" s="67">
        <f t="shared" si="35"/>
        <v>38018</v>
      </c>
      <c r="B42" s="69">
        <f t="shared" si="38"/>
        <v>36522</v>
      </c>
      <c r="C42" s="71"/>
      <c r="D42" s="69">
        <f t="shared" si="0"/>
        <v>36522</v>
      </c>
      <c r="E42" s="70">
        <f t="shared" si="1"/>
        <v>1059138</v>
      </c>
      <c r="F42" s="70">
        <f t="shared" ca="1" si="2"/>
        <v>812558.20861100068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0.32</v>
      </c>
      <c r="K42" s="64">
        <f t="shared" si="6"/>
        <v>0.32</v>
      </c>
      <c r="L42" s="63">
        <f t="shared" si="7"/>
        <v>0</v>
      </c>
      <c r="M42" s="64">
        <f t="shared" si="8"/>
        <v>0</v>
      </c>
      <c r="N42" s="65"/>
      <c r="O42" s="63">
        <f t="shared" si="9"/>
        <v>4.5940000000000003</v>
      </c>
      <c r="P42" s="63">
        <f t="shared" si="10"/>
        <v>4.5940000000000003</v>
      </c>
      <c r="Q42" s="66"/>
      <c r="R42" s="63">
        <f t="shared" si="11"/>
        <v>0.31</v>
      </c>
      <c r="S42" s="64">
        <f t="shared" si="12"/>
        <v>0.31</v>
      </c>
      <c r="T42" s="63">
        <f t="shared" si="13"/>
        <v>0</v>
      </c>
      <c r="U42" s="64">
        <f t="shared" si="14"/>
        <v>0</v>
      </c>
      <c r="V42" s="90">
        <f>IF($A43="","",IF(AND(MONTH(A42)&gt;3,MONTH(A42)&lt;11),(T42+R42+G42)*(((1/(1-Summary!$T$12))/(1-Summary!$W$12))-1),(T42+R42+G42)*((1/(1-Summary!$U$12))/(1-Summary!$X$12)-1)))</f>
        <v>0</v>
      </c>
      <c r="W42" s="63">
        <f t="shared" si="15"/>
        <v>4.5839999999999996</v>
      </c>
      <c r="X42" s="63">
        <f t="shared" si="16"/>
        <v>4.5839999999999996</v>
      </c>
      <c r="Y42" s="43"/>
      <c r="Z42" s="38">
        <f t="shared" si="17"/>
        <v>1.1000000000000001</v>
      </c>
      <c r="AA42" s="38">
        <f t="shared" si="18"/>
        <v>0.31</v>
      </c>
      <c r="AB42" s="38">
        <f t="shared" ca="1" si="19"/>
        <v>0.3374660974608914</v>
      </c>
      <c r="AC42" s="38">
        <f t="shared" si="20"/>
        <v>1.1000000000000001</v>
      </c>
      <c r="AD42" s="38">
        <f t="shared" si="20"/>
        <v>0.31</v>
      </c>
      <c r="AE42" s="38">
        <f t="shared" ca="1" si="21"/>
        <v>0.3374660974608914</v>
      </c>
      <c r="AF42" s="238">
        <f ca="1">((Summary!$N$12*(AA42*AD42)*(A42-$D$3))+(Summary!$M$12*Z42*AC42*(AJ42-EOMONTH(EDATE(A42,-1),0))))/(AK42*AB42*AE42)</f>
        <v>0.9999155303556716</v>
      </c>
      <c r="AG42" s="88">
        <f>IF($A43="","",Summary!$Q$12)</f>
        <v>0</v>
      </c>
      <c r="AH42" s="88">
        <f>IF($A43="","",IF(Summary!$R$12="Y",(VLOOKUP($A42,Summary!$AD$6:$AF$9,3)+'Escalating commodity'!H55),'Escalating commodity'!H55))</f>
        <v>2.9000000000000001E-2</v>
      </c>
      <c r="AI42" s="88">
        <f t="shared" si="36"/>
        <v>2.9000000000000001E-2</v>
      </c>
      <c r="AJ42" s="236">
        <f t="shared" si="22"/>
        <v>38031.5</v>
      </c>
      <c r="AK42" s="58">
        <f t="shared" ca="1" si="23"/>
        <v>992</v>
      </c>
      <c r="AL42" s="26">
        <f ca="1">IF($A43="","",_xll.SPRDOPT(P42,X42,AI42,0,AB42,AE42,AF42,AK42,$AJ$2,0))</f>
        <v>3.2292452142188358E-3</v>
      </c>
      <c r="AM42" s="89">
        <f t="shared" si="24"/>
        <v>0</v>
      </c>
      <c r="AN42" s="89">
        <f t="shared" ca="1" si="25"/>
        <v>3.2292452142188358E-3</v>
      </c>
      <c r="AO42" s="3">
        <f t="shared" si="26"/>
        <v>29</v>
      </c>
      <c r="AP42" s="33">
        <f t="shared" si="27"/>
        <v>38018</v>
      </c>
      <c r="AQ42" s="58">
        <f t="shared" ca="1" si="28"/>
        <v>992</v>
      </c>
      <c r="AR42" s="38">
        <f>'ANR OK vs ML7'!AR42</f>
        <v>0.1</v>
      </c>
      <c r="AS42" s="35">
        <f t="shared" ca="1" si="29"/>
        <v>0.76718823100578082</v>
      </c>
      <c r="AT42" s="3">
        <f t="shared" si="30"/>
        <v>1</v>
      </c>
      <c r="AU42" s="3">
        <f t="shared" si="31"/>
        <v>29</v>
      </c>
      <c r="AW42" s="32">
        <f t="shared" ca="1" si="32"/>
        <v>3420.2163176973095</v>
      </c>
      <c r="AX42" s="32">
        <f t="shared" si="33"/>
        <v>0</v>
      </c>
      <c r="AY42" s="32">
        <f t="shared" ca="1" si="34"/>
        <v>3420.2163176973095</v>
      </c>
      <c r="BA42" s="32">
        <f ca="1">IF($A43="","",F42*Summary!$Q$12)</f>
        <v>0</v>
      </c>
      <c r="BC42" s="256">
        <f t="shared" ca="1" si="37"/>
        <v>0</v>
      </c>
    </row>
    <row r="43" spans="1:55">
      <c r="A43" s="67">
        <f t="shared" si="35"/>
        <v>38047</v>
      </c>
      <c r="B43" s="69">
        <f t="shared" si="38"/>
        <v>36522</v>
      </c>
      <c r="C43" s="71"/>
      <c r="D43" s="69">
        <f t="shared" si="0"/>
        <v>36522</v>
      </c>
      <c r="E43" s="70">
        <f t="shared" si="1"/>
        <v>1132182</v>
      </c>
      <c r="F43" s="70">
        <f t="shared" ca="1" si="2"/>
        <v>861893.12367433263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0.32</v>
      </c>
      <c r="K43" s="64">
        <f t="shared" si="6"/>
        <v>0.32</v>
      </c>
      <c r="L43" s="63">
        <f t="shared" si="7"/>
        <v>0</v>
      </c>
      <c r="M43" s="64">
        <f t="shared" si="8"/>
        <v>0</v>
      </c>
      <c r="N43" s="65"/>
      <c r="O43" s="63">
        <f t="shared" si="9"/>
        <v>4.4550000000000001</v>
      </c>
      <c r="P43" s="63">
        <f t="shared" si="10"/>
        <v>4.4550000000000001</v>
      </c>
      <c r="Q43" s="66"/>
      <c r="R43" s="63">
        <f t="shared" si="11"/>
        <v>0.31</v>
      </c>
      <c r="S43" s="64">
        <f t="shared" si="12"/>
        <v>0.31</v>
      </c>
      <c r="T43" s="63">
        <f t="shared" si="13"/>
        <v>0</v>
      </c>
      <c r="U43" s="64">
        <f t="shared" si="14"/>
        <v>0</v>
      </c>
      <c r="V43" s="90">
        <f>IF($A44="","",IF(AND(MONTH(A43)&gt;3,MONTH(A43)&lt;11),(T43+R43+G43)*(((1/(1-Summary!$T$12))/(1-Summary!$W$12))-1),(T43+R43+G43)*((1/(1-Summary!$U$12))/(1-Summary!$X$12)-1)))</f>
        <v>0</v>
      </c>
      <c r="W43" s="63">
        <f t="shared" si="15"/>
        <v>4.4449999999999994</v>
      </c>
      <c r="X43" s="63">
        <f t="shared" si="16"/>
        <v>4.4449999999999994</v>
      </c>
      <c r="Y43" s="43"/>
      <c r="Z43" s="38">
        <f t="shared" si="17"/>
        <v>0.75</v>
      </c>
      <c r="AA43" s="38">
        <f t="shared" si="18"/>
        <v>0.30299999999999999</v>
      </c>
      <c r="AB43" s="38">
        <f t="shared" ca="1" si="19"/>
        <v>0.31692008898328822</v>
      </c>
      <c r="AC43" s="38">
        <f t="shared" si="20"/>
        <v>0.75</v>
      </c>
      <c r="AD43" s="38">
        <f t="shared" si="20"/>
        <v>0.30299999999999999</v>
      </c>
      <c r="AE43" s="38">
        <f t="shared" ca="1" si="21"/>
        <v>0.31692008898328822</v>
      </c>
      <c r="AF43" s="238">
        <f ca="1">((Summary!$N$12*(AA43*AD43)*(A43-$D$3))+(Summary!$M$12*Z43*AC43*(AJ43-EOMONTH(EDATE(A43,-1),0))))/(AK43*AB43*AE43)</f>
        <v>0.9999085021535572</v>
      </c>
      <c r="AG43" s="88">
        <f>IF($A44="","",Summary!$Q$12)</f>
        <v>0</v>
      </c>
      <c r="AH43" s="88">
        <f>IF($A44="","",IF(Summary!$R$12="Y",(VLOOKUP($A43,Summary!$AD$6:$AF$9,3)+'Escalating commodity'!H56),'Escalating commodity'!H56))</f>
        <v>2.9000000000000001E-2</v>
      </c>
      <c r="AI43" s="88">
        <f t="shared" si="36"/>
        <v>2.9000000000000001E-2</v>
      </c>
      <c r="AJ43" s="236">
        <f t="shared" si="22"/>
        <v>38061.5</v>
      </c>
      <c r="AK43" s="58">
        <f t="shared" ca="1" si="23"/>
        <v>1021</v>
      </c>
      <c r="AL43" s="26">
        <f ca="1">IF($A44="","",_xll.SPRDOPT(P43,X43,AI43,0,AB43,AE43,AF43,AK43,$AJ$2,0))</f>
        <v>3.1539597577342655E-3</v>
      </c>
      <c r="AM43" s="89">
        <f t="shared" si="24"/>
        <v>0</v>
      </c>
      <c r="AN43" s="89">
        <f t="shared" ca="1" si="25"/>
        <v>3.1539597577342655E-3</v>
      </c>
      <c r="AO43" s="3">
        <f t="shared" si="26"/>
        <v>31</v>
      </c>
      <c r="AP43" s="33">
        <f t="shared" si="27"/>
        <v>38047</v>
      </c>
      <c r="AQ43" s="58">
        <f t="shared" ca="1" si="28"/>
        <v>1021</v>
      </c>
      <c r="AR43" s="38">
        <f>'ANR OK vs ML7'!AR43</f>
        <v>0.1</v>
      </c>
      <c r="AS43" s="35">
        <f t="shared" ca="1" si="29"/>
        <v>0.76126729066027599</v>
      </c>
      <c r="AT43" s="3">
        <f t="shared" si="30"/>
        <v>1</v>
      </c>
      <c r="AU43" s="3">
        <f t="shared" si="31"/>
        <v>31</v>
      </c>
      <c r="AW43" s="32">
        <f t="shared" ca="1" si="32"/>
        <v>3570.8564664310961</v>
      </c>
      <c r="AX43" s="32">
        <f t="shared" si="33"/>
        <v>0</v>
      </c>
      <c r="AY43" s="32">
        <f t="shared" ca="1" si="34"/>
        <v>3570.8564664310961</v>
      </c>
      <c r="BA43" s="32">
        <f ca="1">IF($A44="","",F43*Summary!$Q$12)</f>
        <v>0</v>
      </c>
      <c r="BC43" s="256">
        <f t="shared" ca="1" si="37"/>
        <v>0</v>
      </c>
    </row>
    <row r="44" spans="1:55">
      <c r="A44" s="67">
        <f t="shared" si="35"/>
        <v>38078</v>
      </c>
      <c r="B44" s="69">
        <f t="shared" si="38"/>
        <v>36522</v>
      </c>
      <c r="C44" s="71"/>
      <c r="D44" s="69">
        <f t="shared" si="0"/>
        <v>36522</v>
      </c>
      <c r="E44" s="70">
        <f t="shared" si="1"/>
        <v>1095660</v>
      </c>
      <c r="F44" s="70">
        <f t="shared" ca="1" si="2"/>
        <v>827210.73563803162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0.19500000000000001</v>
      </c>
      <c r="K44" s="64">
        <f t="shared" si="6"/>
        <v>0.19500000000000001</v>
      </c>
      <c r="L44" s="63">
        <f t="shared" si="7"/>
        <v>0</v>
      </c>
      <c r="M44" s="64">
        <f t="shared" si="8"/>
        <v>0</v>
      </c>
      <c r="N44" s="65"/>
      <c r="O44" s="63">
        <f t="shared" si="9"/>
        <v>4.1550000000000002</v>
      </c>
      <c r="P44" s="63">
        <f t="shared" si="10"/>
        <v>4.1550000000000002</v>
      </c>
      <c r="Q44" s="66"/>
      <c r="R44" s="63">
        <f t="shared" si="11"/>
        <v>0.185</v>
      </c>
      <c r="S44" s="64">
        <f t="shared" si="12"/>
        <v>0.185</v>
      </c>
      <c r="T44" s="63">
        <f t="shared" si="13"/>
        <v>0</v>
      </c>
      <c r="U44" s="64">
        <f t="shared" si="14"/>
        <v>0</v>
      </c>
      <c r="V44" s="90">
        <f>IF($A45="","",IF(AND(MONTH(A44)&gt;3,MONTH(A44)&lt;11),(T44+R44+G44)*(((1/(1-Summary!$T$12))/(1-Summary!$W$12))-1),(T44+R44+G44)*((1/(1-Summary!$U$12))/(1-Summary!$X$12)-1)))</f>
        <v>0</v>
      </c>
      <c r="W44" s="63">
        <f t="shared" si="15"/>
        <v>4.1449999999999996</v>
      </c>
      <c r="X44" s="63">
        <f t="shared" si="16"/>
        <v>4.1449999999999996</v>
      </c>
      <c r="Y44" s="43"/>
      <c r="Z44" s="38">
        <f t="shared" si="17"/>
        <v>0.45</v>
      </c>
      <c r="AA44" s="38">
        <f t="shared" si="18"/>
        <v>0.28999999999999998</v>
      </c>
      <c r="AB44" s="38">
        <f t="shared" ca="1" si="19"/>
        <v>0.29507168684953172</v>
      </c>
      <c r="AC44" s="38">
        <f t="shared" si="20"/>
        <v>0.45</v>
      </c>
      <c r="AD44" s="38">
        <f t="shared" si="20"/>
        <v>0.28999999999999998</v>
      </c>
      <c r="AE44" s="38">
        <f t="shared" ca="1" si="21"/>
        <v>0.29507168684953172</v>
      </c>
      <c r="AF44" s="238">
        <f ca="1">((Summary!$N$12*(AA44*AD44)*(A44-$D$3))+(Summary!$M$12*Z44*AC44*(AJ44-EOMONTH(EDATE(A44,-1),0))))/(AK44*AB44*AE44)</f>
        <v>0.99990331623629314</v>
      </c>
      <c r="AG44" s="88">
        <f>IF($A45="","",Summary!$Q$12)</f>
        <v>0</v>
      </c>
      <c r="AH44" s="88">
        <f>IF($A45="","",IF(Summary!$R$12="Y",(VLOOKUP($A44,Summary!$AD$6:$AF$9,3)+'Escalating commodity'!H57),'Escalating commodity'!H57))</f>
        <v>2.9000000000000001E-2</v>
      </c>
      <c r="AI44" s="88">
        <f t="shared" si="36"/>
        <v>2.9000000000000001E-2</v>
      </c>
      <c r="AJ44" s="236">
        <f t="shared" si="22"/>
        <v>38092</v>
      </c>
      <c r="AK44" s="58">
        <f t="shared" ca="1" si="23"/>
        <v>1052</v>
      </c>
      <c r="AL44" s="26">
        <f ca="1">IF($A45="","",_xll.SPRDOPT(P44,X44,AI44,0,AB44,AE44,AF44,AK44,$AJ$2,0))</f>
        <v>2.8316398553070513E-3</v>
      </c>
      <c r="AM44" s="89">
        <f t="shared" si="24"/>
        <v>0</v>
      </c>
      <c r="AN44" s="89">
        <f t="shared" ca="1" si="25"/>
        <v>2.8316398553070513E-3</v>
      </c>
      <c r="AO44" s="3">
        <f t="shared" si="26"/>
        <v>30</v>
      </c>
      <c r="AP44" s="33">
        <f t="shared" si="27"/>
        <v>38078</v>
      </c>
      <c r="AQ44" s="58">
        <f t="shared" ca="1" si="28"/>
        <v>1052</v>
      </c>
      <c r="AR44" s="38">
        <f>'ANR OK vs ML7'!AR44</f>
        <v>0.1</v>
      </c>
      <c r="AS44" s="35">
        <f t="shared" ca="1" si="29"/>
        <v>0.75498853260868481</v>
      </c>
      <c r="AT44" s="3">
        <f t="shared" si="30"/>
        <v>1</v>
      </c>
      <c r="AU44" s="3">
        <f t="shared" si="31"/>
        <v>30</v>
      </c>
      <c r="AW44" s="32">
        <f t="shared" ca="1" si="32"/>
        <v>3102.5145238657237</v>
      </c>
      <c r="AX44" s="32">
        <f t="shared" si="33"/>
        <v>0</v>
      </c>
      <c r="AY44" s="32">
        <f t="shared" ca="1" si="34"/>
        <v>3102.5145238657237</v>
      </c>
      <c r="BA44" s="32">
        <f ca="1">IF($A45="","",F44*Summary!$Q$12)</f>
        <v>0</v>
      </c>
      <c r="BC44" s="256">
        <f t="shared" ca="1" si="37"/>
        <v>0</v>
      </c>
    </row>
    <row r="45" spans="1:55">
      <c r="A45" s="67">
        <f t="shared" si="35"/>
        <v>38108</v>
      </c>
      <c r="B45" s="69">
        <f t="shared" si="38"/>
        <v>36522</v>
      </c>
      <c r="C45" s="71"/>
      <c r="D45" s="69">
        <f t="shared" si="0"/>
        <v>36522</v>
      </c>
      <c r="E45" s="70">
        <f t="shared" si="1"/>
        <v>1132182</v>
      </c>
      <c r="F45" s="70">
        <f t="shared" ca="1" si="2"/>
        <v>847960.87216815737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0.19500000000000001</v>
      </c>
      <c r="K45" s="64">
        <f t="shared" si="6"/>
        <v>0.19500000000000001</v>
      </c>
      <c r="L45" s="63">
        <f t="shared" si="7"/>
        <v>0</v>
      </c>
      <c r="M45" s="64">
        <f t="shared" si="8"/>
        <v>0</v>
      </c>
      <c r="N45" s="65"/>
      <c r="O45" s="63">
        <f t="shared" si="9"/>
        <v>4.125</v>
      </c>
      <c r="P45" s="63">
        <f t="shared" si="10"/>
        <v>4.125</v>
      </c>
      <c r="Q45" s="66"/>
      <c r="R45" s="63">
        <f t="shared" si="11"/>
        <v>0.185</v>
      </c>
      <c r="S45" s="64">
        <f t="shared" si="12"/>
        <v>0.185</v>
      </c>
      <c r="T45" s="63">
        <f t="shared" si="13"/>
        <v>0</v>
      </c>
      <c r="U45" s="64">
        <f t="shared" si="14"/>
        <v>0</v>
      </c>
      <c r="V45" s="90">
        <f>IF($A46="","",IF(AND(MONTH(A45)&gt;3,MONTH(A45)&lt;11),(T45+R45+G45)*(((1/(1-Summary!$T$12))/(1-Summary!$W$12))-1),(T45+R45+G45)*((1/(1-Summary!$U$12))/(1-Summary!$X$12)-1)))</f>
        <v>0</v>
      </c>
      <c r="W45" s="63">
        <f t="shared" si="15"/>
        <v>4.1150000000000002</v>
      </c>
      <c r="X45" s="63">
        <f t="shared" si="16"/>
        <v>4.1150000000000002</v>
      </c>
      <c r="Y45" s="43"/>
      <c r="Z45" s="38">
        <f t="shared" si="17"/>
        <v>0.5</v>
      </c>
      <c r="AA45" s="38">
        <f t="shared" si="18"/>
        <v>0.28800000000000003</v>
      </c>
      <c r="AB45" s="38">
        <f t="shared" ca="1" si="19"/>
        <v>0.29428215866652024</v>
      </c>
      <c r="AC45" s="38">
        <f t="shared" si="20"/>
        <v>0.5</v>
      </c>
      <c r="AD45" s="38">
        <f t="shared" si="20"/>
        <v>0.28800000000000003</v>
      </c>
      <c r="AE45" s="38">
        <f t="shared" ca="1" si="21"/>
        <v>0.29428215866652024</v>
      </c>
      <c r="AF45" s="238">
        <f ca="1">((Summary!$N$12*(AA45*AD45)*(A45-$D$3))+(Summary!$M$12*Z45*AC45*(AJ45-EOMONTH(EDATE(A45,-1),0))))/(AK45*AB45*AE45)</f>
        <v>0.99990413539101586</v>
      </c>
      <c r="AG45" s="88">
        <f>IF($A46="","",Summary!$Q$12)</f>
        <v>0</v>
      </c>
      <c r="AH45" s="88">
        <f>IF($A46="","",IF(Summary!$R$12="Y",(VLOOKUP($A45,Summary!$AD$6:$AF$9,3)+'Escalating commodity'!H58),'Escalating commodity'!H58))</f>
        <v>2.9000000000000001E-2</v>
      </c>
      <c r="AI45" s="88">
        <f t="shared" si="36"/>
        <v>2.9000000000000001E-2</v>
      </c>
      <c r="AJ45" s="236">
        <f t="shared" si="22"/>
        <v>38122.5</v>
      </c>
      <c r="AK45" s="58">
        <f t="shared" ca="1" si="23"/>
        <v>1082</v>
      </c>
      <c r="AL45" s="26">
        <f ca="1">IF($A46="","",_xll.SPRDOPT(P45,X45,AI45,0,AB45,AE45,AF45,AK45,$AJ$2,0))</f>
        <v>2.8277176128311786E-3</v>
      </c>
      <c r="AM45" s="89">
        <f t="shared" si="24"/>
        <v>0</v>
      </c>
      <c r="AN45" s="89">
        <f t="shared" ca="1" si="25"/>
        <v>2.8277176128311786E-3</v>
      </c>
      <c r="AO45" s="3">
        <f t="shared" si="26"/>
        <v>31</v>
      </c>
      <c r="AP45" s="33">
        <f t="shared" si="27"/>
        <v>38108</v>
      </c>
      <c r="AQ45" s="58">
        <f t="shared" ca="1" si="28"/>
        <v>1082</v>
      </c>
      <c r="AR45" s="38">
        <f>'ANR OK vs ML7'!AR45</f>
        <v>0.1</v>
      </c>
      <c r="AS45" s="35">
        <f t="shared" ca="1" si="29"/>
        <v>0.74896162645948916</v>
      </c>
      <c r="AT45" s="3">
        <f t="shared" si="30"/>
        <v>1</v>
      </c>
      <c r="AU45" s="3">
        <f t="shared" si="31"/>
        <v>31</v>
      </c>
      <c r="AW45" s="32">
        <f t="shared" ca="1" si="32"/>
        <v>3201.4909823304292</v>
      </c>
      <c r="AX45" s="32">
        <f t="shared" si="33"/>
        <v>0</v>
      </c>
      <c r="AY45" s="32">
        <f t="shared" ca="1" si="34"/>
        <v>3201.4909823304292</v>
      </c>
      <c r="BA45" s="32">
        <f ca="1">IF($A46="","",F45*Summary!$Q$12)</f>
        <v>0</v>
      </c>
      <c r="BC45" s="256">
        <f t="shared" ca="1" si="37"/>
        <v>0</v>
      </c>
    </row>
    <row r="46" spans="1:55">
      <c r="A46" s="67">
        <f t="shared" si="35"/>
        <v>38139</v>
      </c>
      <c r="B46" s="69">
        <f t="shared" si="38"/>
        <v>36522</v>
      </c>
      <c r="C46" s="71"/>
      <c r="D46" s="69">
        <f t="shared" si="0"/>
        <v>36522</v>
      </c>
      <c r="E46" s="70">
        <f t="shared" si="1"/>
        <v>1095660</v>
      </c>
      <c r="F46" s="70">
        <f t="shared" ca="1" si="2"/>
        <v>813839.11484079715</v>
      </c>
      <c r="G46" s="63">
        <f t="shared" si="3"/>
        <v>4</v>
      </c>
      <c r="H46" s="64">
        <f t="shared" si="4"/>
        <v>4</v>
      </c>
      <c r="I46" s="43"/>
      <c r="J46" s="63">
        <f t="shared" si="5"/>
        <v>0.19500000000000001</v>
      </c>
      <c r="K46" s="64">
        <f t="shared" si="6"/>
        <v>0.19500000000000001</v>
      </c>
      <c r="L46" s="63">
        <f t="shared" si="7"/>
        <v>0</v>
      </c>
      <c r="M46" s="64">
        <f t="shared" si="8"/>
        <v>0</v>
      </c>
      <c r="N46" s="65"/>
      <c r="O46" s="63">
        <f t="shared" si="9"/>
        <v>4.1950000000000003</v>
      </c>
      <c r="P46" s="63">
        <f t="shared" si="10"/>
        <v>4.1950000000000003</v>
      </c>
      <c r="Q46" s="66"/>
      <c r="R46" s="63">
        <f t="shared" si="11"/>
        <v>0.185</v>
      </c>
      <c r="S46" s="64">
        <f t="shared" si="12"/>
        <v>0.185</v>
      </c>
      <c r="T46" s="63">
        <f t="shared" si="13"/>
        <v>0</v>
      </c>
      <c r="U46" s="64">
        <f t="shared" si="14"/>
        <v>0</v>
      </c>
      <c r="V46" s="90">
        <f>IF($A47="","",IF(AND(MONTH(A46)&gt;3,MONTH(A46)&lt;11),(T46+R46+G46)*(((1/(1-Summary!$T$12))/(1-Summary!$W$12))-1),(T46+R46+G46)*((1/(1-Summary!$U$12))/(1-Summary!$X$12)-1)))</f>
        <v>0</v>
      </c>
      <c r="W46" s="63">
        <f t="shared" si="15"/>
        <v>4.1849999999999996</v>
      </c>
      <c r="X46" s="63">
        <f t="shared" si="16"/>
        <v>4.1849999999999996</v>
      </c>
      <c r="Y46" s="43"/>
      <c r="Z46" s="38">
        <f t="shared" si="17"/>
        <v>0.5</v>
      </c>
      <c r="AA46" s="38">
        <f t="shared" si="18"/>
        <v>0.28800000000000003</v>
      </c>
      <c r="AB46" s="38">
        <f t="shared" ca="1" si="19"/>
        <v>0.2939180075263304</v>
      </c>
      <c r="AC46" s="38">
        <f t="shared" si="20"/>
        <v>0.5</v>
      </c>
      <c r="AD46" s="38">
        <f t="shared" si="20"/>
        <v>0.28800000000000003</v>
      </c>
      <c r="AE46" s="38">
        <f t="shared" ca="1" si="21"/>
        <v>0.2939180075263304</v>
      </c>
      <c r="AF46" s="238">
        <f ca="1">((Summary!$N$12*(AA46*AD46)*(A46-$D$3))+(Summary!$M$12*Z46*AC46*(AJ46-EOMONTH(EDATE(A46,-1),0))))/(AK46*AB46*AE46)</f>
        <v>0.99990390017158226</v>
      </c>
      <c r="AG46" s="88">
        <f>IF($A47="","",Summary!$Q$12)</f>
        <v>0</v>
      </c>
      <c r="AH46" s="88">
        <f>IF($A47="","",IF(Summary!$R$12="Y",(VLOOKUP($A46,Summary!$AD$6:$AF$9,3)+'Escalating commodity'!H59),'Escalating commodity'!H59))</f>
        <v>2.9000000000000001E-2</v>
      </c>
      <c r="AI46" s="88">
        <f t="shared" si="36"/>
        <v>2.9000000000000001E-2</v>
      </c>
      <c r="AJ46" s="236">
        <f t="shared" si="22"/>
        <v>38153</v>
      </c>
      <c r="AK46" s="58">
        <f t="shared" ca="1" si="23"/>
        <v>1113</v>
      </c>
      <c r="AL46" s="26">
        <f ca="1">IF($A47="","",_xll.SPRDOPT(P46,X46,AI46,0,AB46,AE46,AF46,AK46,$AJ$2,0))</f>
        <v>2.9455481932944214E-3</v>
      </c>
      <c r="AM46" s="89">
        <f t="shared" si="24"/>
        <v>0</v>
      </c>
      <c r="AN46" s="89">
        <f t="shared" ca="1" si="25"/>
        <v>2.9455481932944214E-3</v>
      </c>
      <c r="AO46" s="3">
        <f t="shared" si="26"/>
        <v>30</v>
      </c>
      <c r="AP46" s="33">
        <f t="shared" si="27"/>
        <v>38139</v>
      </c>
      <c r="AQ46" s="58">
        <f t="shared" ca="1" si="28"/>
        <v>1113</v>
      </c>
      <c r="AR46" s="38">
        <f>'ANR OK vs ML7'!AR46</f>
        <v>0.1</v>
      </c>
      <c r="AS46" s="35">
        <f t="shared" ca="1" si="29"/>
        <v>0.742784362704486</v>
      </c>
      <c r="AT46" s="3">
        <f t="shared" si="30"/>
        <v>1</v>
      </c>
      <c r="AU46" s="3">
        <f t="shared" si="31"/>
        <v>30</v>
      </c>
      <c r="AW46" s="32">
        <f t="shared" ca="1" si="32"/>
        <v>3227.3193334649659</v>
      </c>
      <c r="AX46" s="32">
        <f t="shared" si="33"/>
        <v>0</v>
      </c>
      <c r="AY46" s="32">
        <f t="shared" ca="1" si="34"/>
        <v>3227.3193334649659</v>
      </c>
      <c r="BA46" s="32">
        <f ca="1">IF($A47="","",F46*Summary!$Q$12)</f>
        <v>0</v>
      </c>
      <c r="BC46" s="256">
        <f t="shared" ca="1" si="37"/>
        <v>0</v>
      </c>
    </row>
    <row r="47" spans="1:55">
      <c r="A47" s="67">
        <f t="shared" si="35"/>
        <v>38169</v>
      </c>
      <c r="B47" s="69">
        <f t="shared" si="38"/>
        <v>36522</v>
      </c>
      <c r="C47" s="71"/>
      <c r="D47" s="69">
        <f t="shared" si="0"/>
        <v>36522</v>
      </c>
      <c r="E47" s="70">
        <f t="shared" si="1"/>
        <v>1132182</v>
      </c>
      <c r="F47" s="70">
        <f t="shared" ca="1" si="2"/>
        <v>834253.83145285607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0.19500000000000001</v>
      </c>
      <c r="K47" s="64">
        <f t="shared" si="6"/>
        <v>0.19500000000000001</v>
      </c>
      <c r="L47" s="63">
        <f t="shared" si="7"/>
        <v>0</v>
      </c>
      <c r="M47" s="64">
        <f t="shared" si="8"/>
        <v>0</v>
      </c>
      <c r="N47" s="65"/>
      <c r="O47" s="63">
        <f t="shared" si="9"/>
        <v>4.25</v>
      </c>
      <c r="P47" s="63">
        <f t="shared" si="10"/>
        <v>4.25</v>
      </c>
      <c r="Q47" s="66"/>
      <c r="R47" s="63">
        <f t="shared" si="11"/>
        <v>0.185</v>
      </c>
      <c r="S47" s="64">
        <f t="shared" si="12"/>
        <v>0.185</v>
      </c>
      <c r="T47" s="63">
        <f t="shared" si="13"/>
        <v>0</v>
      </c>
      <c r="U47" s="64">
        <f t="shared" si="14"/>
        <v>0</v>
      </c>
      <c r="V47" s="90">
        <f>IF($A48="","",IF(AND(MONTH(A47)&gt;3,MONTH(A47)&lt;11),(T47+R47+G47)*(((1/(1-Summary!$T$12))/(1-Summary!$W$12))-1),(T47+R47+G47)*((1/(1-Summary!$U$12))/(1-Summary!$X$12)-1)))</f>
        <v>0</v>
      </c>
      <c r="W47" s="63">
        <f t="shared" si="15"/>
        <v>4.2399999999999993</v>
      </c>
      <c r="X47" s="63">
        <f t="shared" si="16"/>
        <v>4.2399999999999993</v>
      </c>
      <c r="Y47" s="43"/>
      <c r="Z47" s="38">
        <f t="shared" si="17"/>
        <v>0.55000000000000004</v>
      </c>
      <c r="AA47" s="38">
        <f t="shared" si="18"/>
        <v>0.28800000000000003</v>
      </c>
      <c r="AB47" s="38">
        <f t="shared" ca="1" si="19"/>
        <v>0.29515878847020399</v>
      </c>
      <c r="AC47" s="38">
        <f t="shared" si="20"/>
        <v>0.55000000000000004</v>
      </c>
      <c r="AD47" s="38">
        <f t="shared" si="20"/>
        <v>0.28800000000000003</v>
      </c>
      <c r="AE47" s="38">
        <f t="shared" ca="1" si="21"/>
        <v>0.29515878847020399</v>
      </c>
      <c r="AF47" s="238">
        <f ca="1">((Summary!$N$12*(AA47*AD47)*(A47-$D$3))+(Summary!$M$12*Z47*AC47*(AJ47-EOMONTH(EDATE(A47,-1),0))))/(AK47*AB47*AE47)</f>
        <v>0.99990470868251213</v>
      </c>
      <c r="AG47" s="88">
        <f>IF($A48="","",Summary!$Q$12)</f>
        <v>0</v>
      </c>
      <c r="AH47" s="88">
        <f>IF($A48="","",IF(Summary!$R$12="Y",(VLOOKUP($A47,Summary!$AD$6:$AF$9,3)+'Escalating commodity'!H60),'Escalating commodity'!H60))</f>
        <v>2.9000000000000001E-2</v>
      </c>
      <c r="AI47" s="88">
        <f t="shared" si="36"/>
        <v>2.9000000000000001E-2</v>
      </c>
      <c r="AJ47" s="236">
        <f t="shared" si="22"/>
        <v>38183.5</v>
      </c>
      <c r="AK47" s="58">
        <f t="shared" ca="1" si="23"/>
        <v>1143</v>
      </c>
      <c r="AL47" s="26">
        <f ca="1">IF($A48="","",_xll.SPRDOPT(P47,X47,AI47,0,AB47,AE47,AF47,AK47,$AJ$2,0))</f>
        <v>3.0402126119383338E-3</v>
      </c>
      <c r="AM47" s="89">
        <f t="shared" si="24"/>
        <v>0</v>
      </c>
      <c r="AN47" s="89">
        <f t="shared" ca="1" si="25"/>
        <v>3.0402126119383338E-3</v>
      </c>
      <c r="AO47" s="3">
        <f t="shared" si="26"/>
        <v>31</v>
      </c>
      <c r="AP47" s="33">
        <f t="shared" si="27"/>
        <v>38169</v>
      </c>
      <c r="AQ47" s="58">
        <f t="shared" ca="1" si="28"/>
        <v>1143</v>
      </c>
      <c r="AR47" s="38">
        <f>'ANR OK vs ML7'!AR47</f>
        <v>0.1</v>
      </c>
      <c r="AS47" s="35">
        <f t="shared" ca="1" si="29"/>
        <v>0.73685487973917274</v>
      </c>
      <c r="AT47" s="3">
        <f t="shared" si="30"/>
        <v>1</v>
      </c>
      <c r="AU47" s="3">
        <f t="shared" si="31"/>
        <v>31</v>
      </c>
      <c r="AW47" s="32">
        <f t="shared" ca="1" si="32"/>
        <v>3442.0739954095666</v>
      </c>
      <c r="AX47" s="32">
        <f t="shared" si="33"/>
        <v>0</v>
      </c>
      <c r="AY47" s="32">
        <f t="shared" ca="1" si="34"/>
        <v>3442.0739954095666</v>
      </c>
      <c r="BA47" s="32">
        <f ca="1">IF($A48="","",F47*Summary!$Q$12)</f>
        <v>0</v>
      </c>
      <c r="BC47" s="256">
        <f t="shared" ca="1" si="37"/>
        <v>0</v>
      </c>
    </row>
    <row r="48" spans="1:55">
      <c r="A48" s="67">
        <f t="shared" si="35"/>
        <v>38200</v>
      </c>
      <c r="B48" s="69">
        <f t="shared" si="38"/>
        <v>36522</v>
      </c>
      <c r="C48" s="71"/>
      <c r="D48" s="69">
        <f t="shared" si="0"/>
        <v>36522</v>
      </c>
      <c r="E48" s="70">
        <f t="shared" si="1"/>
        <v>1132182</v>
      </c>
      <c r="F48" s="70">
        <f t="shared" ca="1" si="2"/>
        <v>827373.09714892705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0.19500000000000001</v>
      </c>
      <c r="K48" s="64">
        <f t="shared" si="6"/>
        <v>0.19500000000000001</v>
      </c>
      <c r="L48" s="63">
        <f t="shared" si="7"/>
        <v>0</v>
      </c>
      <c r="M48" s="64">
        <f t="shared" si="8"/>
        <v>0</v>
      </c>
      <c r="N48" s="65"/>
      <c r="O48" s="63">
        <f t="shared" si="9"/>
        <v>4.306</v>
      </c>
      <c r="P48" s="63">
        <f t="shared" si="10"/>
        <v>4.306</v>
      </c>
      <c r="Q48" s="66"/>
      <c r="R48" s="63">
        <f t="shared" si="11"/>
        <v>0.185</v>
      </c>
      <c r="S48" s="64">
        <f t="shared" si="12"/>
        <v>0.185</v>
      </c>
      <c r="T48" s="63">
        <f t="shared" si="13"/>
        <v>0</v>
      </c>
      <c r="U48" s="64">
        <f t="shared" si="14"/>
        <v>0</v>
      </c>
      <c r="V48" s="90">
        <f>IF($A49="","",IF(AND(MONTH(A48)&gt;3,MONTH(A48)&lt;11),(T48+R48+G48)*(((1/(1-Summary!$T$12))/(1-Summary!$W$12))-1),(T48+R48+G48)*((1/(1-Summary!$U$12))/(1-Summary!$X$12)-1)))</f>
        <v>0</v>
      </c>
      <c r="W48" s="63">
        <f t="shared" si="15"/>
        <v>4.2959999999999994</v>
      </c>
      <c r="X48" s="63">
        <f t="shared" si="16"/>
        <v>4.2959999999999994</v>
      </c>
      <c r="Y48" s="43"/>
      <c r="Z48" s="38">
        <f t="shared" si="17"/>
        <v>0.6</v>
      </c>
      <c r="AA48" s="38">
        <f t="shared" si="18"/>
        <v>0.28800000000000003</v>
      </c>
      <c r="AB48" s="38">
        <f t="shared" ca="1" si="19"/>
        <v>0.2962560244573218</v>
      </c>
      <c r="AC48" s="38">
        <f t="shared" si="20"/>
        <v>0.6</v>
      </c>
      <c r="AD48" s="38">
        <f t="shared" si="20"/>
        <v>0.28800000000000003</v>
      </c>
      <c r="AE48" s="38">
        <f t="shared" ca="1" si="21"/>
        <v>0.2962560244573218</v>
      </c>
      <c r="AF48" s="238">
        <f ca="1">((Summary!$N$12*(AA48*AD48)*(A48-$D$3))+(Summary!$M$12*Z48*AC48*(AJ48-EOMONTH(EDATE(A48,-1),0))))/(AK48*AB48*AE48)</f>
        <v>0.99990541541471611</v>
      </c>
      <c r="AG48" s="88">
        <f>IF($A49="","",Summary!$Q$12)</f>
        <v>0</v>
      </c>
      <c r="AH48" s="88">
        <f>IF($A49="","",IF(Summary!$R$12="Y",(VLOOKUP($A48,Summary!$AD$6:$AF$9,3)+'Escalating commodity'!H61),'Escalating commodity'!H61))</f>
        <v>2.9000000000000001E-2</v>
      </c>
      <c r="AI48" s="88">
        <f t="shared" si="36"/>
        <v>2.9000000000000001E-2</v>
      </c>
      <c r="AJ48" s="236">
        <f t="shared" si="22"/>
        <v>38214.5</v>
      </c>
      <c r="AK48" s="58">
        <f t="shared" ca="1" si="23"/>
        <v>1174</v>
      </c>
      <c r="AL48" s="26">
        <f ca="1">IF($A49="","",_xll.SPRDOPT(P48,X48,AI48,0,AB48,AE48,AF48,AK48,$AJ$2,0))</f>
        <v>3.1385364797999818E-3</v>
      </c>
      <c r="AM48" s="89">
        <f t="shared" si="24"/>
        <v>0</v>
      </c>
      <c r="AN48" s="89">
        <f t="shared" ca="1" si="25"/>
        <v>3.1385364797999818E-3</v>
      </c>
      <c r="AO48" s="3">
        <f t="shared" si="26"/>
        <v>31</v>
      </c>
      <c r="AP48" s="33">
        <f t="shared" si="27"/>
        <v>38200</v>
      </c>
      <c r="AQ48" s="58">
        <f t="shared" ca="1" si="28"/>
        <v>1174</v>
      </c>
      <c r="AR48" s="38">
        <f>'ANR OK vs ML7'!AR48</f>
        <v>0.1</v>
      </c>
      <c r="AS48" s="35">
        <f t="shared" ca="1" si="29"/>
        <v>0.73077746965499102</v>
      </c>
      <c r="AT48" s="3">
        <f t="shared" si="30"/>
        <v>1</v>
      </c>
      <c r="AU48" s="3">
        <f t="shared" si="31"/>
        <v>31</v>
      </c>
      <c r="AW48" s="32">
        <f t="shared" ca="1" si="32"/>
        <v>3553.394508772903</v>
      </c>
      <c r="AX48" s="32">
        <f t="shared" si="33"/>
        <v>0</v>
      </c>
      <c r="AY48" s="32">
        <f t="shared" ca="1" si="34"/>
        <v>3553.394508772903</v>
      </c>
      <c r="BA48" s="32">
        <f ca="1">IF($A49="","",F48*Summary!$Q$12)</f>
        <v>0</v>
      </c>
      <c r="BC48" s="256">
        <f t="shared" ca="1" si="37"/>
        <v>0</v>
      </c>
    </row>
    <row r="49" spans="1:55">
      <c r="A49" s="67">
        <f t="shared" si="35"/>
        <v>38231</v>
      </c>
      <c r="B49" s="69">
        <f t="shared" si="38"/>
        <v>36522</v>
      </c>
      <c r="C49" s="71"/>
      <c r="D49" s="69">
        <f t="shared" si="0"/>
        <v>36522</v>
      </c>
      <c r="E49" s="70">
        <f t="shared" si="1"/>
        <v>1095660</v>
      </c>
      <c r="F49" s="70">
        <f t="shared" ca="1" si="2"/>
        <v>794079.78731976333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0.19500000000000001</v>
      </c>
      <c r="K49" s="64">
        <f t="shared" si="6"/>
        <v>0.19500000000000001</v>
      </c>
      <c r="L49" s="63">
        <f t="shared" si="7"/>
        <v>0</v>
      </c>
      <c r="M49" s="64">
        <f t="shared" si="8"/>
        <v>0</v>
      </c>
      <c r="N49" s="65"/>
      <c r="O49" s="63">
        <f t="shared" si="9"/>
        <v>4.32</v>
      </c>
      <c r="P49" s="63">
        <f t="shared" si="10"/>
        <v>4.32</v>
      </c>
      <c r="Q49" s="66"/>
      <c r="R49" s="63">
        <f t="shared" si="11"/>
        <v>0.185</v>
      </c>
      <c r="S49" s="64">
        <f t="shared" si="12"/>
        <v>0.185</v>
      </c>
      <c r="T49" s="63">
        <f t="shared" si="13"/>
        <v>0</v>
      </c>
      <c r="U49" s="64">
        <f t="shared" si="14"/>
        <v>0</v>
      </c>
      <c r="V49" s="90">
        <f>IF($A50="","",IF(AND(MONTH(A49)&gt;3,MONTH(A49)&lt;11),(T49+R49+G49)*(((1/(1-Summary!$T$12))/(1-Summary!$W$12))-1),(T49+R49+G49)*((1/(1-Summary!$U$12))/(1-Summary!$X$12)-1)))</f>
        <v>0</v>
      </c>
      <c r="W49" s="63">
        <f t="shared" si="15"/>
        <v>4.3099999999999996</v>
      </c>
      <c r="X49" s="63">
        <f t="shared" si="16"/>
        <v>4.3099999999999996</v>
      </c>
      <c r="Y49" s="43"/>
      <c r="Z49" s="38">
        <f t="shared" si="17"/>
        <v>0.6</v>
      </c>
      <c r="AA49" s="38">
        <f t="shared" si="18"/>
        <v>0.28800000000000003</v>
      </c>
      <c r="AB49" s="38">
        <f t="shared" ca="1" si="19"/>
        <v>0.29579411927191968</v>
      </c>
      <c r="AC49" s="38">
        <f t="shared" si="20"/>
        <v>0.6</v>
      </c>
      <c r="AD49" s="38">
        <f t="shared" si="20"/>
        <v>0.28800000000000003</v>
      </c>
      <c r="AE49" s="38">
        <f t="shared" ca="1" si="21"/>
        <v>0.29579411927191968</v>
      </c>
      <c r="AF49" s="238">
        <f ca="1">((Summary!$N$12*(AA49*AD49)*(A49-$D$3))+(Summary!$M$12*Z49*AC49*(AJ49-EOMONTH(EDATE(A49,-1),0))))/(AK49*AB49*AE49)</f>
        <v>0.99990512185927605</v>
      </c>
      <c r="AG49" s="88">
        <f>IF($A50="","",Summary!$Q$12)</f>
        <v>0</v>
      </c>
      <c r="AH49" s="88">
        <f>IF($A50="","",IF(Summary!$R$12="Y",(VLOOKUP($A49,Summary!$AD$6:$AF$9,3)+'Escalating commodity'!H62),'Escalating commodity'!H62))</f>
        <v>2.9000000000000001E-2</v>
      </c>
      <c r="AI49" s="88">
        <f t="shared" si="36"/>
        <v>2.9000000000000001E-2</v>
      </c>
      <c r="AJ49" s="236">
        <f t="shared" si="22"/>
        <v>38245</v>
      </c>
      <c r="AK49" s="58">
        <f t="shared" ca="1" si="23"/>
        <v>1205</v>
      </c>
      <c r="AL49" s="26">
        <f ca="1">IF($A50="","",_xll.SPRDOPT(P49,X49,AI49,0,AB49,AE49,AF49,AK49,$AJ$2,0))</f>
        <v>3.2099953852344244E-3</v>
      </c>
      <c r="AM49" s="89">
        <f t="shared" si="24"/>
        <v>0</v>
      </c>
      <c r="AN49" s="89">
        <f t="shared" ca="1" si="25"/>
        <v>3.2099953852344244E-3</v>
      </c>
      <c r="AO49" s="3">
        <f t="shared" si="26"/>
        <v>30</v>
      </c>
      <c r="AP49" s="33">
        <f t="shared" si="27"/>
        <v>38231</v>
      </c>
      <c r="AQ49" s="58">
        <f t="shared" ca="1" si="28"/>
        <v>1205</v>
      </c>
      <c r="AR49" s="38">
        <f>'ANR OK vs ML7'!AR49</f>
        <v>0.1</v>
      </c>
      <c r="AS49" s="35">
        <f t="shared" ca="1" si="29"/>
        <v>0.72475018465560792</v>
      </c>
      <c r="AT49" s="3">
        <f t="shared" si="30"/>
        <v>1</v>
      </c>
      <c r="AU49" s="3">
        <f t="shared" si="31"/>
        <v>30</v>
      </c>
      <c r="AW49" s="32">
        <f t="shared" ca="1" si="32"/>
        <v>3517.0635437859496</v>
      </c>
      <c r="AX49" s="32">
        <f t="shared" si="33"/>
        <v>0</v>
      </c>
      <c r="AY49" s="32">
        <f t="shared" ca="1" si="34"/>
        <v>3517.0635437859496</v>
      </c>
      <c r="BA49" s="32">
        <f ca="1">IF($A50="","",F49*Summary!$Q$12)</f>
        <v>0</v>
      </c>
      <c r="BC49" s="256">
        <f t="shared" ca="1" si="37"/>
        <v>0</v>
      </c>
    </row>
    <row r="50" spans="1:55">
      <c r="A50" s="67">
        <f t="shared" si="35"/>
        <v>38261</v>
      </c>
      <c r="B50" s="69">
        <f t="shared" si="38"/>
        <v>36522</v>
      </c>
      <c r="C50" s="71"/>
      <c r="D50" s="69">
        <f t="shared" si="0"/>
        <v>36522</v>
      </c>
      <c r="E50" s="70">
        <f t="shared" si="1"/>
        <v>1132182</v>
      </c>
      <c r="F50" s="70">
        <f t="shared" ca="1" si="2"/>
        <v>813998.85182512098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0.19500000000000001</v>
      </c>
      <c r="K50" s="64">
        <f t="shared" si="6"/>
        <v>0.19500000000000001</v>
      </c>
      <c r="L50" s="63">
        <f t="shared" si="7"/>
        <v>0</v>
      </c>
      <c r="M50" s="64">
        <f t="shared" si="8"/>
        <v>0</v>
      </c>
      <c r="N50" s="65"/>
      <c r="O50" s="63">
        <f t="shared" si="9"/>
        <v>4.3510000000000009</v>
      </c>
      <c r="P50" s="63">
        <f t="shared" si="10"/>
        <v>4.3510000000000009</v>
      </c>
      <c r="Q50" s="66"/>
      <c r="R50" s="63">
        <f t="shared" si="11"/>
        <v>0.185</v>
      </c>
      <c r="S50" s="64">
        <f t="shared" si="12"/>
        <v>0.185</v>
      </c>
      <c r="T50" s="63">
        <f t="shared" si="13"/>
        <v>0</v>
      </c>
      <c r="U50" s="64">
        <f t="shared" si="14"/>
        <v>0</v>
      </c>
      <c r="V50" s="90">
        <f>IF($A51="","",IF(AND(MONTH(A50)&gt;3,MONTH(A50)&lt;11),(T50+R50+G50)*(((1/(1-Summary!$T$12))/(1-Summary!$W$12))-1),(T50+R50+G50)*((1/(1-Summary!$U$12))/(1-Summary!$X$12)-1)))</f>
        <v>0</v>
      </c>
      <c r="W50" s="63">
        <f t="shared" si="15"/>
        <v>4.3410000000000002</v>
      </c>
      <c r="X50" s="63">
        <f t="shared" si="16"/>
        <v>4.3410000000000002</v>
      </c>
      <c r="Y50" s="43"/>
      <c r="Z50" s="38">
        <f t="shared" si="17"/>
        <v>0.65</v>
      </c>
      <c r="AA50" s="38">
        <f t="shared" si="18"/>
        <v>0.28800000000000003</v>
      </c>
      <c r="AB50" s="38">
        <f t="shared" ca="1" si="19"/>
        <v>0.29717636634253175</v>
      </c>
      <c r="AC50" s="38">
        <f t="shared" si="20"/>
        <v>0.65</v>
      </c>
      <c r="AD50" s="38">
        <f t="shared" si="20"/>
        <v>0.28800000000000003</v>
      </c>
      <c r="AE50" s="38">
        <f t="shared" ca="1" si="21"/>
        <v>0.29717636634253175</v>
      </c>
      <c r="AF50" s="238">
        <f ca="1">((Summary!$N$12*(AA50*AD50)*(A50-$D$3))+(Summary!$M$12*Z50*AC50*(AJ50-EOMONTH(EDATE(A50,-1),0))))/(AK50*AB50*AE50)</f>
        <v>0.99990600430738608</v>
      </c>
      <c r="AG50" s="88">
        <f>IF($A51="","",Summary!$Q$12)</f>
        <v>0</v>
      </c>
      <c r="AH50" s="88">
        <f>IF($A51="","",IF(Summary!$R$12="Y",(VLOOKUP($A50,Summary!$AD$6:$AF$9,3)+'Escalating commodity'!H63),'Escalating commodity'!H63))</f>
        <v>2.9000000000000001E-2</v>
      </c>
      <c r="AI50" s="88">
        <f t="shared" si="36"/>
        <v>2.9000000000000001E-2</v>
      </c>
      <c r="AJ50" s="236">
        <f t="shared" si="22"/>
        <v>38275.5</v>
      </c>
      <c r="AK50" s="58">
        <f t="shared" ca="1" si="23"/>
        <v>1235</v>
      </c>
      <c r="AL50" s="26">
        <f ca="1">IF($A51="","",_xll.SPRDOPT(P50,X50,AI50,0,AB50,AE50,AF50,AK50,$AJ$2,0))</f>
        <v>3.2826018258999314E-3</v>
      </c>
      <c r="AM50" s="89">
        <f t="shared" si="24"/>
        <v>0</v>
      </c>
      <c r="AN50" s="89">
        <f t="shared" ca="1" si="25"/>
        <v>3.2826018258999314E-3</v>
      </c>
      <c r="AO50" s="3">
        <f t="shared" si="26"/>
        <v>31</v>
      </c>
      <c r="AP50" s="33">
        <f t="shared" si="27"/>
        <v>38261</v>
      </c>
      <c r="AQ50" s="58">
        <f t="shared" ca="1" si="28"/>
        <v>1235</v>
      </c>
      <c r="AR50" s="38">
        <f>'ANR OK vs ML7'!AR50</f>
        <v>0.1</v>
      </c>
      <c r="AS50" s="35">
        <f t="shared" ca="1" si="29"/>
        <v>0.71896466453725727</v>
      </c>
      <c r="AT50" s="3">
        <f t="shared" si="30"/>
        <v>1</v>
      </c>
      <c r="AU50" s="3">
        <f t="shared" si="31"/>
        <v>31</v>
      </c>
      <c r="AW50" s="32">
        <f t="shared" ca="1" si="32"/>
        <v>3716.5027004510362</v>
      </c>
      <c r="AX50" s="32">
        <f t="shared" si="33"/>
        <v>0</v>
      </c>
      <c r="AY50" s="32">
        <f t="shared" ca="1" si="34"/>
        <v>3716.5027004510362</v>
      </c>
      <c r="BA50" s="32">
        <f ca="1">IF($A51="","",F50*Summary!$Q$12)</f>
        <v>0</v>
      </c>
      <c r="BC50" s="256">
        <f t="shared" ca="1" si="37"/>
        <v>0</v>
      </c>
    </row>
    <row r="51" spans="1:55">
      <c r="A51" s="67">
        <f t="shared" si="35"/>
        <v>38292</v>
      </c>
      <c r="B51" s="69">
        <f t="shared" si="38"/>
        <v>36522</v>
      </c>
      <c r="C51" s="71"/>
      <c r="D51" s="69">
        <f t="shared" si="0"/>
        <v>36522</v>
      </c>
      <c r="E51" s="70">
        <f t="shared" si="1"/>
        <v>1095660</v>
      </c>
      <c r="F51" s="70">
        <f t="shared" ca="1" si="2"/>
        <v>781243.71865994507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0.31</v>
      </c>
      <c r="K51" s="64">
        <f t="shared" si="6"/>
        <v>0.31</v>
      </c>
      <c r="L51" s="63">
        <f t="shared" si="7"/>
        <v>0</v>
      </c>
      <c r="M51" s="64">
        <f t="shared" si="8"/>
        <v>0</v>
      </c>
      <c r="N51" s="65"/>
      <c r="O51" s="63">
        <f t="shared" si="9"/>
        <v>4.5990000000000002</v>
      </c>
      <c r="P51" s="63">
        <f t="shared" si="10"/>
        <v>4.5990000000000002</v>
      </c>
      <c r="Q51" s="66"/>
      <c r="R51" s="63">
        <f t="shared" si="11"/>
        <v>0.3</v>
      </c>
      <c r="S51" s="64">
        <f t="shared" si="12"/>
        <v>0.3</v>
      </c>
      <c r="T51" s="63">
        <f t="shared" si="13"/>
        <v>0</v>
      </c>
      <c r="U51" s="64">
        <f t="shared" si="14"/>
        <v>0</v>
      </c>
      <c r="V51" s="90">
        <f>IF($A52="","",IF(AND(MONTH(A51)&gt;3,MONTH(A51)&lt;11),(T51+R51+G51)*(((1/(1-Summary!$T$12))/(1-Summary!$W$12))-1),(T51+R51+G51)*((1/(1-Summary!$U$12))/(1-Summary!$X$12)-1)))</f>
        <v>0</v>
      </c>
      <c r="W51" s="63">
        <f t="shared" si="15"/>
        <v>4.5890000000000004</v>
      </c>
      <c r="X51" s="63">
        <f t="shared" si="16"/>
        <v>4.5890000000000004</v>
      </c>
      <c r="Y51" s="43"/>
      <c r="Z51" s="38">
        <f t="shared" si="17"/>
        <v>0.8</v>
      </c>
      <c r="AA51" s="38">
        <f t="shared" si="18"/>
        <v>0.28800000000000003</v>
      </c>
      <c r="AB51" s="38">
        <f t="shared" ca="1" si="19"/>
        <v>0.30098580527377589</v>
      </c>
      <c r="AC51" s="38">
        <f t="shared" si="20"/>
        <v>0.8</v>
      </c>
      <c r="AD51" s="38">
        <f t="shared" si="20"/>
        <v>0.28800000000000003</v>
      </c>
      <c r="AE51" s="38">
        <f t="shared" ca="1" si="21"/>
        <v>0.30098580527377589</v>
      </c>
      <c r="AF51" s="238">
        <f ca="1">((Summary!$N$12*(AA51*AD51)*(A51-$D$3))+(Summary!$M$12*Z51*AC51*(AJ51-EOMONTH(EDATE(A51,-1),0))))/(AK51*AB51*AE51)</f>
        <v>0.99990837038624325</v>
      </c>
      <c r="AG51" s="88">
        <f>IF($A52="","",Summary!$Q$12)</f>
        <v>0</v>
      </c>
      <c r="AH51" s="88">
        <f>IF($A52="","",IF(Summary!$R$12="Y",(VLOOKUP($A51,Summary!$AD$6:$AF$9,3)+'Escalating commodity'!H64),'Escalating commodity'!H64))</f>
        <v>2.9000000000000001E-2</v>
      </c>
      <c r="AI51" s="88">
        <f t="shared" si="36"/>
        <v>2.9000000000000001E-2</v>
      </c>
      <c r="AJ51" s="236">
        <f t="shared" si="22"/>
        <v>38306</v>
      </c>
      <c r="AK51" s="58">
        <f t="shared" ca="1" si="23"/>
        <v>1266</v>
      </c>
      <c r="AL51" s="26">
        <f ca="1">IF($A52="","",_xll.SPRDOPT(P51,X51,AI51,0,AB51,AE51,AF51,AK51,$AJ$2,0))</f>
        <v>3.5343724379075445E-3</v>
      </c>
      <c r="AM51" s="89">
        <f t="shared" si="24"/>
        <v>0</v>
      </c>
      <c r="AN51" s="89">
        <f t="shared" ca="1" si="25"/>
        <v>3.5343724379075445E-3</v>
      </c>
      <c r="AO51" s="3">
        <f t="shared" si="26"/>
        <v>30</v>
      </c>
      <c r="AP51" s="33">
        <f t="shared" si="27"/>
        <v>38292</v>
      </c>
      <c r="AQ51" s="58">
        <f t="shared" ca="1" si="28"/>
        <v>1266</v>
      </c>
      <c r="AR51" s="38">
        <f>'ANR OK vs ML7'!AR51</f>
        <v>0.1</v>
      </c>
      <c r="AS51" s="35">
        <f t="shared" ca="1" si="29"/>
        <v>0.71303480884575965</v>
      </c>
      <c r="AT51" s="3">
        <f t="shared" si="30"/>
        <v>1</v>
      </c>
      <c r="AU51" s="3">
        <f t="shared" si="31"/>
        <v>30</v>
      </c>
      <c r="AW51" s="32">
        <f t="shared" ca="1" si="32"/>
        <v>3872.47050531778</v>
      </c>
      <c r="AX51" s="32">
        <f t="shared" si="33"/>
        <v>0</v>
      </c>
      <c r="AY51" s="32">
        <f t="shared" ca="1" si="34"/>
        <v>3872.47050531778</v>
      </c>
      <c r="BA51" s="32">
        <f ca="1">IF($A52="","",F51*Summary!$Q$12)</f>
        <v>0</v>
      </c>
      <c r="BC51" s="256">
        <f t="shared" ca="1" si="37"/>
        <v>0</v>
      </c>
    </row>
    <row r="52" spans="1:55">
      <c r="A52" s="67">
        <f t="shared" si="35"/>
        <v>38322</v>
      </c>
      <c r="B52" s="69">
        <f t="shared" si="38"/>
        <v>36522</v>
      </c>
      <c r="C52" s="71"/>
      <c r="D52" s="69">
        <f t="shared" si="0"/>
        <v>36522</v>
      </c>
      <c r="E52" s="70">
        <f t="shared" si="1"/>
        <v>1132182</v>
      </c>
      <c r="F52" s="70">
        <f t="shared" ca="1" si="2"/>
        <v>800840.79728464817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0.31</v>
      </c>
      <c r="K52" s="64">
        <f t="shared" si="6"/>
        <v>0.31</v>
      </c>
      <c r="L52" s="63">
        <f t="shared" si="7"/>
        <v>0</v>
      </c>
      <c r="M52" s="64">
        <f t="shared" si="8"/>
        <v>0</v>
      </c>
      <c r="N52" s="65"/>
      <c r="O52" s="63">
        <f t="shared" si="9"/>
        <v>4.7370000000000001</v>
      </c>
      <c r="P52" s="63">
        <f t="shared" si="10"/>
        <v>4.7370000000000001</v>
      </c>
      <c r="Q52" s="66"/>
      <c r="R52" s="63">
        <f t="shared" si="11"/>
        <v>0.3</v>
      </c>
      <c r="S52" s="64">
        <f t="shared" si="12"/>
        <v>0.3</v>
      </c>
      <c r="T52" s="63">
        <f t="shared" si="13"/>
        <v>0</v>
      </c>
      <c r="U52" s="64">
        <f t="shared" si="14"/>
        <v>0</v>
      </c>
      <c r="V52" s="90">
        <f>IF($A53="","",IF(AND(MONTH(A52)&gt;3,MONTH(A52)&lt;11),(T52+R52+G52)*(((1/(1-Summary!$T$12))/(1-Summary!$W$12))-1),(T52+R52+G52)*((1/(1-Summary!$U$12))/(1-Summary!$X$12)-1)))</f>
        <v>0</v>
      </c>
      <c r="W52" s="63">
        <f t="shared" si="15"/>
        <v>4.7270000000000003</v>
      </c>
      <c r="X52" s="63">
        <f t="shared" si="16"/>
        <v>4.7270000000000003</v>
      </c>
      <c r="Y52" s="43"/>
      <c r="Z52" s="38">
        <f t="shared" si="17"/>
        <v>1.1000000000000001</v>
      </c>
      <c r="AA52" s="38">
        <f t="shared" si="18"/>
        <v>0.28999999999999998</v>
      </c>
      <c r="AB52" s="38">
        <f t="shared" ca="1" si="19"/>
        <v>0.31406423322720561</v>
      </c>
      <c r="AC52" s="38">
        <f t="shared" si="20"/>
        <v>1.1000000000000001</v>
      </c>
      <c r="AD52" s="38">
        <f t="shared" si="20"/>
        <v>0.28999999999999998</v>
      </c>
      <c r="AE52" s="38">
        <f t="shared" ca="1" si="21"/>
        <v>0.31406423322720561</v>
      </c>
      <c r="AF52" s="238">
        <f ca="1">((Summary!$N$12*(AA52*AD52)*(A52-$D$3))+(Summary!$M$12*Z52*AC52*(AJ52-EOMONTH(EDATE(A52,-1),0))))/(AK52*AB52*AE52)</f>
        <v>0.999914671519885</v>
      </c>
      <c r="AG52" s="88">
        <f>IF($A53="","",Summary!$Q$12)</f>
        <v>0</v>
      </c>
      <c r="AH52" s="88">
        <f>IF($A53="","",IF(Summary!$R$12="Y",(VLOOKUP($A52,Summary!$AD$6:$AF$9,3)+'Escalating commodity'!H65),'Escalating commodity'!H65))</f>
        <v>2.9000000000000001E-2</v>
      </c>
      <c r="AI52" s="88">
        <f t="shared" si="36"/>
        <v>2.9000000000000001E-2</v>
      </c>
      <c r="AJ52" s="236">
        <f t="shared" si="22"/>
        <v>38336.5</v>
      </c>
      <c r="AK52" s="58">
        <f t="shared" ca="1" si="23"/>
        <v>1296</v>
      </c>
      <c r="AL52" s="26">
        <f ca="1">IF($A53="","",_xll.SPRDOPT(P52,X52,AI52,0,AB52,AE52,AF52,AK52,$AJ$2,0))</f>
        <v>3.6727902397271986E-3</v>
      </c>
      <c r="AM52" s="89">
        <f t="shared" si="24"/>
        <v>0</v>
      </c>
      <c r="AN52" s="89">
        <f t="shared" ca="1" si="25"/>
        <v>3.6727902397271986E-3</v>
      </c>
      <c r="AO52" s="3">
        <f t="shared" si="26"/>
        <v>31</v>
      </c>
      <c r="AP52" s="33">
        <f t="shared" si="27"/>
        <v>38322</v>
      </c>
      <c r="AQ52" s="58">
        <f t="shared" ca="1" si="28"/>
        <v>1296</v>
      </c>
      <c r="AR52" s="38">
        <f>'ANR OK vs ML7'!AR52</f>
        <v>0.1</v>
      </c>
      <c r="AS52" s="35">
        <f t="shared" ca="1" si="29"/>
        <v>0.70734280997635379</v>
      </c>
      <c r="AT52" s="3">
        <f t="shared" si="30"/>
        <v>1</v>
      </c>
      <c r="AU52" s="3">
        <f t="shared" si="31"/>
        <v>31</v>
      </c>
      <c r="AW52" s="32">
        <f t="shared" ca="1" si="32"/>
        <v>4158.2669991948187</v>
      </c>
      <c r="AX52" s="32">
        <f t="shared" si="33"/>
        <v>0</v>
      </c>
      <c r="AY52" s="32">
        <f t="shared" ca="1" si="34"/>
        <v>4158.2669991948187</v>
      </c>
      <c r="BA52" s="32">
        <f ca="1">IF($A53="","",F52*Summary!$Q$12)</f>
        <v>0</v>
      </c>
      <c r="BC52" s="256">
        <f t="shared" ca="1" si="37"/>
        <v>0</v>
      </c>
    </row>
    <row r="53" spans="1:55">
      <c r="A53" s="67">
        <f t="shared" si="35"/>
        <v>38353</v>
      </c>
      <c r="B53" s="69">
        <f t="shared" si="38"/>
        <v>36522</v>
      </c>
      <c r="C53" s="71"/>
      <c r="D53" s="69">
        <f t="shared" si="0"/>
        <v>36522</v>
      </c>
      <c r="E53" s="70">
        <f t="shared" si="1"/>
        <v>1132182</v>
      </c>
      <c r="F53" s="70">
        <f t="shared" ca="1" si="2"/>
        <v>794235.64602479001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0.31</v>
      </c>
      <c r="K53" s="64">
        <f t="shared" si="6"/>
        <v>0.31</v>
      </c>
      <c r="L53" s="63">
        <f t="shared" si="7"/>
        <v>0</v>
      </c>
      <c r="M53" s="64">
        <f t="shared" si="8"/>
        <v>0</v>
      </c>
      <c r="N53" s="65"/>
      <c r="O53" s="63">
        <f t="shared" si="9"/>
        <v>4.7240000000000002</v>
      </c>
      <c r="P53" s="63">
        <f t="shared" si="10"/>
        <v>4.7240000000000002</v>
      </c>
      <c r="Q53" s="66"/>
      <c r="R53" s="63">
        <f t="shared" si="11"/>
        <v>0.3</v>
      </c>
      <c r="S53" s="64">
        <f t="shared" si="12"/>
        <v>0.3</v>
      </c>
      <c r="T53" s="63">
        <f t="shared" si="13"/>
        <v>0</v>
      </c>
      <c r="U53" s="64">
        <f t="shared" si="14"/>
        <v>0</v>
      </c>
      <c r="V53" s="90">
        <f>IF($A54="","",IF(AND(MONTH(A53)&gt;3,MONTH(A53)&lt;11),(T53+R53+G53)*(((1/(1-Summary!$T$12))/(1-Summary!$W$12))-1),(T53+R53+G53)*((1/(1-Summary!$U$12))/(1-Summary!$X$12)-1)))</f>
        <v>0</v>
      </c>
      <c r="W53" s="63">
        <f t="shared" si="15"/>
        <v>4.7140000000000004</v>
      </c>
      <c r="X53" s="63">
        <f t="shared" si="16"/>
        <v>4.7140000000000004</v>
      </c>
      <c r="Y53" s="43"/>
      <c r="Z53" s="38">
        <f t="shared" si="17"/>
        <v>1.1000000000000001</v>
      </c>
      <c r="AA53" s="38">
        <f t="shared" si="18"/>
        <v>0.29300000000000004</v>
      </c>
      <c r="AB53" s="38">
        <f t="shared" ca="1" si="19"/>
        <v>0.31630219350913263</v>
      </c>
      <c r="AC53" s="38">
        <f t="shared" si="20"/>
        <v>1.1000000000000001</v>
      </c>
      <c r="AD53" s="38">
        <f t="shared" si="20"/>
        <v>0.29300000000000004</v>
      </c>
      <c r="AE53" s="38">
        <f t="shared" ca="1" si="21"/>
        <v>0.31630219350913263</v>
      </c>
      <c r="AF53" s="238">
        <f ca="1">((Summary!$N$12*(AA53*AD53)*(A53-$D$3))+(Summary!$M$12*Z53*AC53*(AJ53-EOMONTH(EDATE(A53,-1),0))))/(AK53*AB53*AE53)</f>
        <v>0.99991412673304281</v>
      </c>
      <c r="AG53" s="88">
        <f>IF($A54="","",Summary!$Q$12)</f>
        <v>0</v>
      </c>
      <c r="AH53" s="88">
        <f>IF($A54="","",IF(Summary!$R$12="Y",(VLOOKUP($A53,Summary!$AD$6:$AF$9,3)+'Escalating commodity'!H66),'Escalating commodity'!H66))</f>
        <v>2.9000000000000001E-2</v>
      </c>
      <c r="AI53" s="88">
        <f t="shared" si="36"/>
        <v>2.9000000000000001E-2</v>
      </c>
      <c r="AJ53" s="236">
        <f t="shared" si="22"/>
        <v>38367.5</v>
      </c>
      <c r="AK53" s="58">
        <f t="shared" ca="1" si="23"/>
        <v>1327</v>
      </c>
      <c r="AL53" s="26">
        <f ca="1">IF($A54="","",_xll.SPRDOPT(P53,X53,AI53,0,AB53,AE53,AF53,AK53,$AJ$2,0))</f>
        <v>3.7807567516029705E-3</v>
      </c>
      <c r="AM53" s="89">
        <f t="shared" si="24"/>
        <v>0</v>
      </c>
      <c r="AN53" s="89">
        <f t="shared" ca="1" si="25"/>
        <v>3.7807567516029705E-3</v>
      </c>
      <c r="AO53" s="3">
        <f t="shared" si="26"/>
        <v>31</v>
      </c>
      <c r="AP53" s="33">
        <f t="shared" si="27"/>
        <v>38353</v>
      </c>
      <c r="AQ53" s="58">
        <f t="shared" ca="1" si="28"/>
        <v>1327</v>
      </c>
      <c r="AR53" s="38">
        <f>'ANR OK vs ML7'!AR53</f>
        <v>0.1</v>
      </c>
      <c r="AS53" s="35">
        <f t="shared" ca="1" si="29"/>
        <v>0.70150880867633469</v>
      </c>
      <c r="AT53" s="3">
        <f t="shared" si="30"/>
        <v>1</v>
      </c>
      <c r="AU53" s="3">
        <f t="shared" si="31"/>
        <v>31</v>
      </c>
      <c r="AW53" s="32">
        <f t="shared" ca="1" si="32"/>
        <v>4280.5047405433543</v>
      </c>
      <c r="AX53" s="32">
        <f t="shared" si="33"/>
        <v>0</v>
      </c>
      <c r="AY53" s="32">
        <f t="shared" ca="1" si="34"/>
        <v>4280.5047405433543</v>
      </c>
      <c r="BA53" s="32">
        <f ca="1">IF($A54="","",F53*Summary!$Q$12)</f>
        <v>0</v>
      </c>
      <c r="BC53" s="256">
        <f t="shared" ca="1" si="37"/>
        <v>0</v>
      </c>
    </row>
    <row r="54" spans="1:55">
      <c r="A54" s="67">
        <f t="shared" si="35"/>
        <v>38384</v>
      </c>
      <c r="B54" s="69">
        <f t="shared" si="38"/>
        <v>36522</v>
      </c>
      <c r="C54" s="71"/>
      <c r="D54" s="69">
        <f t="shared" si="0"/>
        <v>36522</v>
      </c>
      <c r="E54" s="70">
        <f t="shared" si="1"/>
        <v>1022616</v>
      </c>
      <c r="F54" s="70">
        <f t="shared" ca="1" si="2"/>
        <v>711457.39455039229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0.31</v>
      </c>
      <c r="K54" s="64">
        <f t="shared" si="6"/>
        <v>0.31</v>
      </c>
      <c r="L54" s="63">
        <f t="shared" si="7"/>
        <v>0</v>
      </c>
      <c r="M54" s="64">
        <f t="shared" si="8"/>
        <v>0</v>
      </c>
      <c r="N54" s="65"/>
      <c r="O54" s="63">
        <f t="shared" si="9"/>
        <v>4.6040000000000001</v>
      </c>
      <c r="P54" s="63">
        <f t="shared" si="10"/>
        <v>4.6040000000000001</v>
      </c>
      <c r="Q54" s="66"/>
      <c r="R54" s="63">
        <f t="shared" si="11"/>
        <v>0.3</v>
      </c>
      <c r="S54" s="64">
        <f t="shared" si="12"/>
        <v>0.3</v>
      </c>
      <c r="T54" s="63">
        <f t="shared" si="13"/>
        <v>0</v>
      </c>
      <c r="U54" s="64">
        <f t="shared" si="14"/>
        <v>0</v>
      </c>
      <c r="V54" s="90">
        <f>IF($A55="","",IF(AND(MONTH(A54)&gt;3,MONTH(A54)&lt;11),(T54+R54+G54)*(((1/(1-Summary!$T$12))/(1-Summary!$W$12))-1),(T54+R54+G54)*((1/(1-Summary!$U$12))/(1-Summary!$X$12)-1)))</f>
        <v>0</v>
      </c>
      <c r="W54" s="63">
        <f t="shared" si="15"/>
        <v>4.5940000000000003</v>
      </c>
      <c r="X54" s="63">
        <f t="shared" si="16"/>
        <v>4.5940000000000003</v>
      </c>
      <c r="Y54" s="43"/>
      <c r="Z54" s="38">
        <f t="shared" si="17"/>
        <v>1.1000000000000001</v>
      </c>
      <c r="AA54" s="38">
        <f t="shared" si="18"/>
        <v>0.28499999999999998</v>
      </c>
      <c r="AB54" s="38">
        <f t="shared" ca="1" si="19"/>
        <v>0.30620097816300706</v>
      </c>
      <c r="AC54" s="38">
        <f t="shared" si="20"/>
        <v>1.1000000000000001</v>
      </c>
      <c r="AD54" s="38">
        <f t="shared" si="20"/>
        <v>0.28499999999999998</v>
      </c>
      <c r="AE54" s="38">
        <f t="shared" ca="1" si="21"/>
        <v>0.30620097816300706</v>
      </c>
      <c r="AF54" s="238">
        <f ca="1">((Summary!$N$12*(AA54*AD54)*(A54-$D$3))+(Summary!$M$12*Z54*AC54*(AJ54-EOMONTH(EDATE(A54,-1),0))))/(AK54*AB54*AE54)</f>
        <v>0.99991330455914795</v>
      </c>
      <c r="AG54" s="88">
        <f>IF($A55="","",Summary!$Q$12)</f>
        <v>0</v>
      </c>
      <c r="AH54" s="88">
        <f>IF($A55="","",IF(Summary!$R$12="Y",(VLOOKUP($A54,Summary!$AD$6:$AF$9,3)+'Escalating commodity'!H67),'Escalating commodity'!H67))</f>
        <v>2.9000000000000001E-2</v>
      </c>
      <c r="AI54" s="88">
        <f t="shared" si="36"/>
        <v>2.9000000000000001E-2</v>
      </c>
      <c r="AJ54" s="236">
        <f t="shared" si="22"/>
        <v>38397</v>
      </c>
      <c r="AK54" s="58">
        <f t="shared" ca="1" si="23"/>
        <v>1358</v>
      </c>
      <c r="AL54" s="26">
        <f ca="1">IF($A55="","",_xll.SPRDOPT(P54,X54,AI54,0,AB54,AE54,AF54,AK54,$AJ$2,0))</f>
        <v>3.6004168905272929E-3</v>
      </c>
      <c r="AM54" s="89">
        <f t="shared" si="24"/>
        <v>0</v>
      </c>
      <c r="AN54" s="89">
        <f t="shared" ca="1" si="25"/>
        <v>3.6004168905272929E-3</v>
      </c>
      <c r="AO54" s="3">
        <f t="shared" si="26"/>
        <v>28</v>
      </c>
      <c r="AP54" s="33">
        <f t="shared" si="27"/>
        <v>38384</v>
      </c>
      <c r="AQ54" s="58">
        <f t="shared" ca="1" si="28"/>
        <v>1358</v>
      </c>
      <c r="AR54" s="38">
        <f>'ANR OK vs ML7'!AR54</f>
        <v>0.1</v>
      </c>
      <c r="AS54" s="35">
        <f t="shared" ca="1" si="29"/>
        <v>0.69572292488127729</v>
      </c>
      <c r="AT54" s="3">
        <f t="shared" si="30"/>
        <v>1</v>
      </c>
      <c r="AU54" s="3">
        <f t="shared" si="31"/>
        <v>28</v>
      </c>
      <c r="AW54" s="32">
        <f t="shared" ca="1" si="32"/>
        <v>3681.8439189234582</v>
      </c>
      <c r="AX54" s="32">
        <f t="shared" si="33"/>
        <v>0</v>
      </c>
      <c r="AY54" s="32">
        <f t="shared" ca="1" si="34"/>
        <v>3681.8439189234582</v>
      </c>
      <c r="BA54" s="32">
        <f ca="1">IF($A55="","",F54*Summary!$Q$12)</f>
        <v>0</v>
      </c>
      <c r="BC54" s="256">
        <f t="shared" ca="1" si="37"/>
        <v>0</v>
      </c>
    </row>
    <row r="55" spans="1:55">
      <c r="A55" s="67">
        <f t="shared" si="35"/>
        <v>38412</v>
      </c>
      <c r="B55" s="69">
        <f t="shared" si="38"/>
        <v>36522</v>
      </c>
      <c r="C55" s="71"/>
      <c r="D55" s="69">
        <f t="shared" si="0"/>
        <v>36522</v>
      </c>
      <c r="E55" s="70">
        <f t="shared" si="1"/>
        <v>1132182</v>
      </c>
      <c r="F55" s="70">
        <f t="shared" ca="1" si="2"/>
        <v>781814.68618606159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0.31</v>
      </c>
      <c r="K55" s="64">
        <f t="shared" si="6"/>
        <v>0.31</v>
      </c>
      <c r="L55" s="63">
        <f t="shared" si="7"/>
        <v>0</v>
      </c>
      <c r="M55" s="64">
        <f t="shared" si="8"/>
        <v>0</v>
      </c>
      <c r="N55" s="65"/>
      <c r="O55" s="63">
        <f t="shared" si="9"/>
        <v>4.4649999999999999</v>
      </c>
      <c r="P55" s="63">
        <f t="shared" si="10"/>
        <v>4.4649999999999999</v>
      </c>
      <c r="Q55" s="66"/>
      <c r="R55" s="63">
        <f t="shared" si="11"/>
        <v>0.3</v>
      </c>
      <c r="S55" s="64">
        <f t="shared" si="12"/>
        <v>0.3</v>
      </c>
      <c r="T55" s="63">
        <f t="shared" si="13"/>
        <v>0</v>
      </c>
      <c r="U55" s="64">
        <f t="shared" si="14"/>
        <v>0</v>
      </c>
      <c r="V55" s="90">
        <f>IF($A56="","",IF(AND(MONTH(A55)&gt;3,MONTH(A55)&lt;11),(T55+R55+G55)*(((1/(1-Summary!$T$12))/(1-Summary!$W$12))-1),(T55+R55+G55)*((1/(1-Summary!$U$12))/(1-Summary!$X$12)-1)))</f>
        <v>0</v>
      </c>
      <c r="W55" s="63">
        <f t="shared" si="15"/>
        <v>4.4550000000000001</v>
      </c>
      <c r="X55" s="63">
        <f t="shared" si="16"/>
        <v>4.4550000000000001</v>
      </c>
      <c r="Y55" s="43"/>
      <c r="Z55" s="38">
        <f t="shared" si="17"/>
        <v>0.75</v>
      </c>
      <c r="AA55" s="38">
        <f t="shared" si="18"/>
        <v>0.28000000000000003</v>
      </c>
      <c r="AB55" s="38">
        <f t="shared" ca="1" si="19"/>
        <v>0.2911136377295816</v>
      </c>
      <c r="AC55" s="38">
        <f t="shared" si="20"/>
        <v>0.75</v>
      </c>
      <c r="AD55" s="38">
        <f t="shared" si="20"/>
        <v>0.28000000000000003</v>
      </c>
      <c r="AE55" s="38">
        <f t="shared" ca="1" si="21"/>
        <v>0.2911136377295816</v>
      </c>
      <c r="AF55" s="238">
        <f ca="1">((Summary!$N$12*(AA55*AD55)*(A55-$D$3))+(Summary!$M$12*Z55*AC55*(AJ55-EOMONTH(EDATE(A55,-1),0))))/(AK55*AB55*AE55)</f>
        <v>0.99990742276809363</v>
      </c>
      <c r="AG55" s="88">
        <f>IF($A56="","",Summary!$Q$12)</f>
        <v>0</v>
      </c>
      <c r="AH55" s="88">
        <f>IF($A56="","",IF(Summary!$R$12="Y",(VLOOKUP($A55,Summary!$AD$6:$AF$9,3)+'Escalating commodity'!H68),'Escalating commodity'!H68))</f>
        <v>2.9000000000000001E-2</v>
      </c>
      <c r="AI55" s="88">
        <f t="shared" si="36"/>
        <v>2.9000000000000001E-2</v>
      </c>
      <c r="AJ55" s="236">
        <f t="shared" si="22"/>
        <v>38426.5</v>
      </c>
      <c r="AK55" s="58">
        <f t="shared" ca="1" si="23"/>
        <v>1386</v>
      </c>
      <c r="AL55" s="26">
        <f ca="1">IF($A56="","",_xll.SPRDOPT(P55,X55,AI55,0,AB55,AE55,AF55,AK55,$AJ$2,0))</f>
        <v>3.5042642707706281E-3</v>
      </c>
      <c r="AM55" s="89">
        <f t="shared" si="24"/>
        <v>0</v>
      </c>
      <c r="AN55" s="89">
        <f t="shared" ca="1" si="25"/>
        <v>3.5042642707706281E-3</v>
      </c>
      <c r="AO55" s="3">
        <f t="shared" si="26"/>
        <v>31</v>
      </c>
      <c r="AP55" s="33">
        <f t="shared" si="27"/>
        <v>38412</v>
      </c>
      <c r="AQ55" s="58">
        <f t="shared" ca="1" si="28"/>
        <v>1386</v>
      </c>
      <c r="AR55" s="38">
        <f>'ANR OK vs ML7'!AR55</f>
        <v>0.1</v>
      </c>
      <c r="AS55" s="35">
        <f t="shared" ca="1" si="29"/>
        <v>0.69053799317253017</v>
      </c>
      <c r="AT55" s="3">
        <f t="shared" si="30"/>
        <v>1</v>
      </c>
      <c r="AU55" s="3">
        <f t="shared" si="31"/>
        <v>31</v>
      </c>
      <c r="AW55" s="32">
        <f t="shared" ca="1" si="32"/>
        <v>3967.4649306096312</v>
      </c>
      <c r="AX55" s="32">
        <f t="shared" si="33"/>
        <v>0</v>
      </c>
      <c r="AY55" s="32">
        <f t="shared" ca="1" si="34"/>
        <v>3967.4649306096312</v>
      </c>
      <c r="BA55" s="32">
        <f ca="1">IF($A56="","",F55*Summary!$Q$12)</f>
        <v>0</v>
      </c>
      <c r="BC55" s="256">
        <f t="shared" ca="1" si="37"/>
        <v>0</v>
      </c>
    </row>
    <row r="56" spans="1:55">
      <c r="A56" s="67">
        <f t="shared" si="35"/>
        <v>38443</v>
      </c>
      <c r="B56" s="69">
        <f t="shared" si="38"/>
        <v>36522</v>
      </c>
      <c r="C56" s="71"/>
      <c r="D56" s="69">
        <f t="shared" si="0"/>
        <v>36522</v>
      </c>
      <c r="E56" s="70">
        <f t="shared" si="1"/>
        <v>1095660</v>
      </c>
      <c r="F56" s="70">
        <f t="shared" ca="1" si="2"/>
        <v>750354.63670430088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0.18</v>
      </c>
      <c r="K56" s="64">
        <f t="shared" si="6"/>
        <v>0.18</v>
      </c>
      <c r="L56" s="63">
        <f t="shared" si="7"/>
        <v>0</v>
      </c>
      <c r="M56" s="64">
        <f t="shared" si="8"/>
        <v>0</v>
      </c>
      <c r="N56" s="65"/>
      <c r="O56" s="63">
        <f t="shared" si="9"/>
        <v>4.16</v>
      </c>
      <c r="P56" s="63">
        <f t="shared" si="10"/>
        <v>4.16</v>
      </c>
      <c r="Q56" s="66"/>
      <c r="R56" s="63">
        <f t="shared" si="11"/>
        <v>0.17</v>
      </c>
      <c r="S56" s="64">
        <f t="shared" si="12"/>
        <v>0.17</v>
      </c>
      <c r="T56" s="63">
        <f t="shared" si="13"/>
        <v>0</v>
      </c>
      <c r="U56" s="64">
        <f t="shared" si="14"/>
        <v>0</v>
      </c>
      <c r="V56" s="90">
        <f>IF($A57="","",IF(AND(MONTH(A56)&gt;3,MONTH(A56)&lt;11),(T56+R56+G56)*(((1/(1-Summary!$T$12))/(1-Summary!$W$12))-1),(T56+R56+G56)*((1/(1-Summary!$U$12))/(1-Summary!$X$12)-1)))</f>
        <v>0</v>
      </c>
      <c r="W56" s="63">
        <f t="shared" si="15"/>
        <v>4.1500000000000004</v>
      </c>
      <c r="X56" s="63">
        <f t="shared" si="16"/>
        <v>4.1500000000000004</v>
      </c>
      <c r="Y56" s="43"/>
      <c r="Z56" s="38">
        <f t="shared" si="17"/>
        <v>0.45</v>
      </c>
      <c r="AA56" s="38">
        <f t="shared" si="18"/>
        <v>0.27</v>
      </c>
      <c r="AB56" s="38">
        <f t="shared" ca="1" si="19"/>
        <v>0.27403477878890786</v>
      </c>
      <c r="AC56" s="38">
        <f t="shared" si="20"/>
        <v>0.45</v>
      </c>
      <c r="AD56" s="38">
        <f t="shared" si="20"/>
        <v>0.27</v>
      </c>
      <c r="AE56" s="38">
        <f t="shared" ca="1" si="21"/>
        <v>0.27403477878890786</v>
      </c>
      <c r="AF56" s="238">
        <f ca="1">((Summary!$N$12*(AA56*AD56)*(A56-$D$3))+(Summary!$M$12*Z56*AC56*(AJ56-EOMONTH(EDATE(A56,-1),0))))/(AK56*AB56*AE56)</f>
        <v>0.99990285453299865</v>
      </c>
      <c r="AG56" s="88">
        <f>IF($A57="","",Summary!$Q$12)</f>
        <v>0</v>
      </c>
      <c r="AH56" s="88">
        <f>IF($A57="","",IF(Summary!$R$12="Y",(VLOOKUP($A56,Summary!$AD$6:$AF$9,3)+'Escalating commodity'!H69),'Escalating commodity'!H69))</f>
        <v>2.9000000000000001E-2</v>
      </c>
      <c r="AI56" s="88">
        <f t="shared" si="36"/>
        <v>2.9000000000000001E-2</v>
      </c>
      <c r="AJ56" s="236">
        <f t="shared" si="22"/>
        <v>38457</v>
      </c>
      <c r="AK56" s="58">
        <f t="shared" ca="1" si="23"/>
        <v>1417</v>
      </c>
      <c r="AL56" s="26">
        <f ca="1">IF($A57="","",_xll.SPRDOPT(P56,X56,AI56,0,AB56,AE56,AF56,AK56,$AJ$2,0))</f>
        <v>3.1600441415642784E-3</v>
      </c>
      <c r="AM56" s="89">
        <f t="shared" si="24"/>
        <v>0</v>
      </c>
      <c r="AN56" s="89">
        <f t="shared" ca="1" si="25"/>
        <v>3.1600441415642784E-3</v>
      </c>
      <c r="AO56" s="3">
        <f t="shared" si="26"/>
        <v>30</v>
      </c>
      <c r="AP56" s="33">
        <f t="shared" si="27"/>
        <v>38443</v>
      </c>
      <c r="AQ56" s="58">
        <f t="shared" ca="1" si="28"/>
        <v>1417</v>
      </c>
      <c r="AR56" s="38">
        <f>'ANR OK vs ML7'!AR56</f>
        <v>0.1</v>
      </c>
      <c r="AS56" s="35">
        <f t="shared" ca="1" si="29"/>
        <v>0.68484259414809423</v>
      </c>
      <c r="AT56" s="3">
        <f t="shared" si="30"/>
        <v>1</v>
      </c>
      <c r="AU56" s="3">
        <f t="shared" si="31"/>
        <v>30</v>
      </c>
      <c r="AW56" s="32">
        <f t="shared" ca="1" si="32"/>
        <v>3462.3339641463172</v>
      </c>
      <c r="AX56" s="32">
        <f t="shared" si="33"/>
        <v>0</v>
      </c>
      <c r="AY56" s="32">
        <f t="shared" ca="1" si="34"/>
        <v>3462.3339641463172</v>
      </c>
      <c r="BA56" s="32">
        <f ca="1">IF($A57="","",F56*Summary!$Q$12)</f>
        <v>0</v>
      </c>
      <c r="BC56" s="256">
        <f t="shared" ca="1" si="37"/>
        <v>0</v>
      </c>
    </row>
    <row r="57" spans="1:55">
      <c r="A57" s="67">
        <f t="shared" si="35"/>
        <v>38473</v>
      </c>
      <c r="B57" s="69">
        <f t="shared" si="38"/>
        <v>36522</v>
      </c>
      <c r="C57" s="71"/>
      <c r="D57" s="69">
        <f t="shared" si="0"/>
        <v>36522</v>
      </c>
      <c r="E57" s="70">
        <f t="shared" si="1"/>
        <v>1132182</v>
      </c>
      <c r="F57" s="70">
        <f t="shared" ca="1" si="2"/>
        <v>769176.87931653927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0.18</v>
      </c>
      <c r="K57" s="64">
        <f t="shared" si="6"/>
        <v>0.18</v>
      </c>
      <c r="L57" s="63">
        <f t="shared" si="7"/>
        <v>0</v>
      </c>
      <c r="M57" s="64">
        <f t="shared" si="8"/>
        <v>0</v>
      </c>
      <c r="N57" s="65"/>
      <c r="O57" s="63">
        <f t="shared" si="9"/>
        <v>4.13</v>
      </c>
      <c r="P57" s="63">
        <f t="shared" si="10"/>
        <v>4.13</v>
      </c>
      <c r="Q57" s="66"/>
      <c r="R57" s="63">
        <f t="shared" si="11"/>
        <v>0.17</v>
      </c>
      <c r="S57" s="64">
        <f t="shared" si="12"/>
        <v>0.17</v>
      </c>
      <c r="T57" s="63">
        <f t="shared" si="13"/>
        <v>0</v>
      </c>
      <c r="U57" s="64">
        <f t="shared" si="14"/>
        <v>0</v>
      </c>
      <c r="V57" s="90">
        <f>IF($A58="","",IF(AND(MONTH(A57)&gt;3,MONTH(A57)&lt;11),(T57+R57+G57)*(((1/(1-Summary!$T$12))/(1-Summary!$W$12))-1),(T57+R57+G57)*((1/(1-Summary!$U$12))/(1-Summary!$X$12)-1)))</f>
        <v>0</v>
      </c>
      <c r="W57" s="63">
        <f t="shared" si="15"/>
        <v>4.12</v>
      </c>
      <c r="X57" s="63">
        <f t="shared" si="16"/>
        <v>4.12</v>
      </c>
      <c r="Y57" s="43"/>
      <c r="Z57" s="38">
        <f t="shared" si="17"/>
        <v>0.5</v>
      </c>
      <c r="AA57" s="38">
        <f t="shared" si="18"/>
        <v>0.26300000000000001</v>
      </c>
      <c r="AB57" s="38">
        <f t="shared" ca="1" si="19"/>
        <v>0.26813197505518394</v>
      </c>
      <c r="AC57" s="38">
        <f t="shared" si="20"/>
        <v>0.5</v>
      </c>
      <c r="AD57" s="38">
        <f t="shared" si="20"/>
        <v>0.26300000000000001</v>
      </c>
      <c r="AE57" s="38">
        <f t="shared" ca="1" si="21"/>
        <v>0.26813197505518394</v>
      </c>
      <c r="AF57" s="238">
        <f ca="1">((Summary!$N$12*(AA57*AD57)*(A57-$D$3))+(Summary!$M$12*Z57*AC57*(AJ57-EOMONTH(EDATE(A57,-1),0))))/(AK57*AB57*AE57)</f>
        <v>0.99990372482575318</v>
      </c>
      <c r="AG57" s="88">
        <f>IF($A58="","",Summary!$Q$12)</f>
        <v>0</v>
      </c>
      <c r="AH57" s="88">
        <f>IF($A58="","",IF(Summary!$R$12="Y",(VLOOKUP($A57,Summary!$AD$6:$AF$9,3)+'Escalating commodity'!H70),'Escalating commodity'!H70))</f>
        <v>2.9000000000000001E-2</v>
      </c>
      <c r="AI57" s="88">
        <f t="shared" si="36"/>
        <v>2.9000000000000001E-2</v>
      </c>
      <c r="AJ57" s="236">
        <f t="shared" si="22"/>
        <v>38487.5</v>
      </c>
      <c r="AK57" s="58">
        <f t="shared" ca="1" si="23"/>
        <v>1447</v>
      </c>
      <c r="AL57" s="26">
        <f ca="1">IF($A58="","",_xll.SPRDOPT(P57,X57,AI57,0,AB57,AE57,AF57,AK57,$AJ$2,0))</f>
        <v>3.0575917964991532E-3</v>
      </c>
      <c r="AM57" s="89">
        <f t="shared" si="24"/>
        <v>0</v>
      </c>
      <c r="AN57" s="89">
        <f t="shared" ca="1" si="25"/>
        <v>3.0575917964991532E-3</v>
      </c>
      <c r="AO57" s="3">
        <f t="shared" si="26"/>
        <v>31</v>
      </c>
      <c r="AP57" s="33">
        <f t="shared" si="27"/>
        <v>38473</v>
      </c>
      <c r="AQ57" s="58">
        <f t="shared" ca="1" si="28"/>
        <v>1447</v>
      </c>
      <c r="AR57" s="38">
        <f>'ANR OK vs ML7'!AR57</f>
        <v>0.1</v>
      </c>
      <c r="AS57" s="35">
        <f t="shared" ca="1" si="29"/>
        <v>0.67937564748118173</v>
      </c>
      <c r="AT57" s="3">
        <f t="shared" si="30"/>
        <v>1</v>
      </c>
      <c r="AU57" s="3">
        <f t="shared" si="31"/>
        <v>31</v>
      </c>
      <c r="AW57" s="32">
        <f t="shared" ca="1" si="32"/>
        <v>3461.7503953440041</v>
      </c>
      <c r="AX57" s="32">
        <f t="shared" si="33"/>
        <v>0</v>
      </c>
      <c r="AY57" s="32">
        <f t="shared" ca="1" si="34"/>
        <v>3461.7503953440041</v>
      </c>
      <c r="BA57" s="32">
        <f ca="1">IF($A58="","",F57*Summary!$Q$12)</f>
        <v>0</v>
      </c>
      <c r="BC57" s="256">
        <f t="shared" ca="1" si="37"/>
        <v>0</v>
      </c>
    </row>
    <row r="58" spans="1:55">
      <c r="A58" s="67">
        <f t="shared" si="35"/>
        <v>38504</v>
      </c>
      <c r="B58" s="69">
        <f t="shared" si="38"/>
        <v>36522</v>
      </c>
      <c r="C58" s="71"/>
      <c r="D58" s="69">
        <f t="shared" si="0"/>
        <v>36522</v>
      </c>
      <c r="E58" s="70">
        <f t="shared" si="1"/>
        <v>1095660</v>
      </c>
      <c r="F58" s="70">
        <f t="shared" ca="1" si="2"/>
        <v>738225.37237878679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0.18</v>
      </c>
      <c r="K58" s="64">
        <f t="shared" si="6"/>
        <v>0.18</v>
      </c>
      <c r="L58" s="63">
        <f t="shared" si="7"/>
        <v>0</v>
      </c>
      <c r="M58" s="64">
        <f t="shared" si="8"/>
        <v>0</v>
      </c>
      <c r="N58" s="65"/>
      <c r="O58" s="63">
        <f t="shared" si="9"/>
        <v>4.1999999999999993</v>
      </c>
      <c r="P58" s="63">
        <f t="shared" si="10"/>
        <v>4.1999999999999993</v>
      </c>
      <c r="Q58" s="66"/>
      <c r="R58" s="63">
        <f t="shared" si="11"/>
        <v>0.17</v>
      </c>
      <c r="S58" s="64">
        <f t="shared" si="12"/>
        <v>0.17</v>
      </c>
      <c r="T58" s="63">
        <f t="shared" si="13"/>
        <v>0</v>
      </c>
      <c r="U58" s="64">
        <f t="shared" si="14"/>
        <v>0</v>
      </c>
      <c r="V58" s="90">
        <f>IF($A59="","",IF(AND(MONTH(A58)&gt;3,MONTH(A58)&lt;11),(T58+R58+G58)*(((1/(1-Summary!$T$12))/(1-Summary!$W$12))-1),(T58+R58+G58)*((1/(1-Summary!$U$12))/(1-Summary!$X$12)-1)))</f>
        <v>0</v>
      </c>
      <c r="W58" s="63">
        <f t="shared" si="15"/>
        <v>4.1899999999999995</v>
      </c>
      <c r="X58" s="63">
        <f t="shared" si="16"/>
        <v>4.1899999999999995</v>
      </c>
      <c r="Y58" s="43"/>
      <c r="Z58" s="38">
        <f t="shared" si="17"/>
        <v>0.5</v>
      </c>
      <c r="AA58" s="38">
        <f t="shared" si="18"/>
        <v>0.25800000000000001</v>
      </c>
      <c r="AB58" s="38">
        <f t="shared" ca="1" si="19"/>
        <v>0.26295674356272941</v>
      </c>
      <c r="AC58" s="38">
        <f t="shared" si="20"/>
        <v>0.5</v>
      </c>
      <c r="AD58" s="38">
        <f t="shared" si="20"/>
        <v>0.25800000000000001</v>
      </c>
      <c r="AE58" s="38">
        <f t="shared" ca="1" si="21"/>
        <v>0.26295674356272941</v>
      </c>
      <c r="AF58" s="238">
        <f ca="1">((Summary!$N$12*(AA58*AD58)*(A58-$D$3))+(Summary!$M$12*Z58*AC58*(AJ58-EOMONTH(EDATE(A58,-1),0))))/(AK58*AB58*AE58)</f>
        <v>0.99990366934213537</v>
      </c>
      <c r="AG58" s="88">
        <f>IF($A59="","",Summary!$Q$12)</f>
        <v>0</v>
      </c>
      <c r="AH58" s="88">
        <f>IF($A59="","",IF(Summary!$R$12="Y",(VLOOKUP($A58,Summary!$AD$6:$AF$9,3)+'Escalating commodity'!H71),'Escalating commodity'!H71))</f>
        <v>2.9000000000000001E-2</v>
      </c>
      <c r="AI58" s="88">
        <f t="shared" si="36"/>
        <v>2.9000000000000001E-2</v>
      </c>
      <c r="AJ58" s="236">
        <f t="shared" si="22"/>
        <v>38518</v>
      </c>
      <c r="AK58" s="58">
        <f t="shared" ca="1" si="23"/>
        <v>1478</v>
      </c>
      <c r="AL58" s="26">
        <f ca="1">IF($A59="","",_xll.SPRDOPT(P58,X58,AI58,0,AB58,AE58,AF58,AK58,$AJ$2,0))</f>
        <v>3.0837420948090118E-3</v>
      </c>
      <c r="AM58" s="89">
        <f t="shared" si="24"/>
        <v>0</v>
      </c>
      <c r="AN58" s="89">
        <f t="shared" ca="1" si="25"/>
        <v>3.0837420948090118E-3</v>
      </c>
      <c r="AO58" s="3">
        <f t="shared" si="26"/>
        <v>30</v>
      </c>
      <c r="AP58" s="33">
        <f t="shared" si="27"/>
        <v>38504</v>
      </c>
      <c r="AQ58" s="58">
        <f t="shared" ca="1" si="28"/>
        <v>1478</v>
      </c>
      <c r="AR58" s="38">
        <f>'ANR OK vs ML7'!AR58</f>
        <v>0.1</v>
      </c>
      <c r="AS58" s="35">
        <f t="shared" ca="1" si="29"/>
        <v>0.67377231292443529</v>
      </c>
      <c r="AT58" s="3">
        <f t="shared" si="30"/>
        <v>1</v>
      </c>
      <c r="AU58" s="3">
        <f t="shared" si="31"/>
        <v>30</v>
      </c>
      <c r="AW58" s="32">
        <f t="shared" ca="1" si="32"/>
        <v>3378.7328635984418</v>
      </c>
      <c r="AX58" s="32">
        <f t="shared" si="33"/>
        <v>0</v>
      </c>
      <c r="AY58" s="32">
        <f t="shared" ca="1" si="34"/>
        <v>3378.7328635984418</v>
      </c>
      <c r="BA58" s="32">
        <f ca="1">IF($A59="","",F58*Summary!$Q$12)</f>
        <v>0</v>
      </c>
      <c r="BC58" s="256">
        <f t="shared" ca="1" si="37"/>
        <v>0</v>
      </c>
    </row>
    <row r="59" spans="1:55">
      <c r="A59" s="67">
        <f t="shared" si="35"/>
        <v>38534</v>
      </c>
      <c r="B59" s="69">
        <f t="shared" si="38"/>
        <v>36522</v>
      </c>
      <c r="C59" s="71"/>
      <c r="D59" s="69">
        <f t="shared" si="0"/>
        <v>36522</v>
      </c>
      <c r="E59" s="70">
        <f t="shared" si="1"/>
        <v>1132182</v>
      </c>
      <c r="F59" s="70">
        <f t="shared" ca="1" si="2"/>
        <v>756743.35891706322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0.18</v>
      </c>
      <c r="K59" s="64">
        <f t="shared" si="6"/>
        <v>0.18</v>
      </c>
      <c r="L59" s="63">
        <f t="shared" si="7"/>
        <v>0</v>
      </c>
      <c r="M59" s="64">
        <f t="shared" si="8"/>
        <v>0</v>
      </c>
      <c r="N59" s="65"/>
      <c r="O59" s="63">
        <f t="shared" si="9"/>
        <v>4.2549999999999999</v>
      </c>
      <c r="P59" s="63">
        <f t="shared" si="10"/>
        <v>4.2549999999999999</v>
      </c>
      <c r="Q59" s="66"/>
      <c r="R59" s="63">
        <f t="shared" si="11"/>
        <v>0.17</v>
      </c>
      <c r="S59" s="64">
        <f t="shared" si="12"/>
        <v>0.17</v>
      </c>
      <c r="T59" s="63">
        <f t="shared" si="13"/>
        <v>0</v>
      </c>
      <c r="U59" s="64">
        <f t="shared" si="14"/>
        <v>0</v>
      </c>
      <c r="V59" s="90">
        <f>IF($A60="","",IF(AND(MONTH(A59)&gt;3,MONTH(A59)&lt;11),(T59+R59+G59)*(((1/(1-Summary!$T$12))/(1-Summary!$W$12))-1),(T59+R59+G59)*((1/(1-Summary!$U$12))/(1-Summary!$X$12)-1)))</f>
        <v>0</v>
      </c>
      <c r="W59" s="63">
        <f t="shared" si="15"/>
        <v>4.2450000000000001</v>
      </c>
      <c r="X59" s="63">
        <f t="shared" si="16"/>
        <v>4.2450000000000001</v>
      </c>
      <c r="Y59" s="43"/>
      <c r="Z59" s="38">
        <f t="shared" si="17"/>
        <v>0.55000000000000004</v>
      </c>
      <c r="AA59" s="38">
        <f t="shared" si="18"/>
        <v>0.25800000000000001</v>
      </c>
      <c r="AB59" s="38">
        <f t="shared" ca="1" si="19"/>
        <v>0.26404051061661798</v>
      </c>
      <c r="AC59" s="38">
        <f t="shared" si="20"/>
        <v>0.55000000000000004</v>
      </c>
      <c r="AD59" s="38">
        <f t="shared" si="20"/>
        <v>0.25800000000000001</v>
      </c>
      <c r="AE59" s="38">
        <f t="shared" ca="1" si="21"/>
        <v>0.26404051061661798</v>
      </c>
      <c r="AF59" s="238">
        <f ca="1">((Summary!$N$12*(AA59*AD59)*(A59-$D$3))+(Summary!$M$12*Z59*AC59*(AJ59-EOMONTH(EDATE(A59,-1),0))))/(AK59*AB59*AE59)</f>
        <v>0.99990445979203668</v>
      </c>
      <c r="AG59" s="88">
        <f>IF($A60="","",Summary!$Q$12)</f>
        <v>0</v>
      </c>
      <c r="AH59" s="88">
        <f>IF($A60="","",IF(Summary!$R$12="Y",(VLOOKUP($A59,Summary!$AD$6:$AF$9,3)+'Escalating commodity'!H72),'Escalating commodity'!H72))</f>
        <v>2.9000000000000001E-2</v>
      </c>
      <c r="AI59" s="88">
        <f t="shared" si="36"/>
        <v>2.9000000000000001E-2</v>
      </c>
      <c r="AJ59" s="236">
        <f t="shared" si="22"/>
        <v>38548.5</v>
      </c>
      <c r="AK59" s="58">
        <f t="shared" ca="1" si="23"/>
        <v>1508</v>
      </c>
      <c r="AL59" s="26">
        <f ca="1">IF($A60="","",_xll.SPRDOPT(P59,X59,AI59,0,AB59,AE59,AF59,AK59,$AJ$2,0))</f>
        <v>3.1678918680449197E-3</v>
      </c>
      <c r="AM59" s="89">
        <f t="shared" si="24"/>
        <v>0</v>
      </c>
      <c r="AN59" s="89">
        <f t="shared" ca="1" si="25"/>
        <v>3.1678918680449197E-3</v>
      </c>
      <c r="AO59" s="3">
        <f t="shared" si="26"/>
        <v>31</v>
      </c>
      <c r="AP59" s="33">
        <f t="shared" si="27"/>
        <v>38534</v>
      </c>
      <c r="AQ59" s="58">
        <f t="shared" ca="1" si="28"/>
        <v>1508</v>
      </c>
      <c r="AR59" s="38">
        <f>'ANR OK vs ML7'!AR59</f>
        <v>0.1</v>
      </c>
      <c r="AS59" s="35">
        <f t="shared" ca="1" si="29"/>
        <v>0.66839373785933998</v>
      </c>
      <c r="AT59" s="3">
        <f t="shared" si="30"/>
        <v>1</v>
      </c>
      <c r="AU59" s="3">
        <f t="shared" si="31"/>
        <v>31</v>
      </c>
      <c r="AW59" s="32">
        <f t="shared" ca="1" si="32"/>
        <v>3586.6301509468335</v>
      </c>
      <c r="AX59" s="32">
        <f t="shared" si="33"/>
        <v>0</v>
      </c>
      <c r="AY59" s="32">
        <f t="shared" ca="1" si="34"/>
        <v>3586.6301509468335</v>
      </c>
      <c r="BA59" s="32">
        <f ca="1">IF($A60="","",F59*Summary!$Q$12)</f>
        <v>0</v>
      </c>
      <c r="BC59" s="256">
        <f t="shared" ca="1" si="37"/>
        <v>0</v>
      </c>
    </row>
    <row r="60" spans="1:55">
      <c r="A60" s="67">
        <f t="shared" si="35"/>
        <v>38565</v>
      </c>
      <c r="B60" s="69">
        <f t="shared" si="38"/>
        <v>36522</v>
      </c>
      <c r="C60" s="71"/>
      <c r="D60" s="69">
        <f t="shared" si="0"/>
        <v>36522</v>
      </c>
      <c r="E60" s="70">
        <f t="shared" si="1"/>
        <v>1132182</v>
      </c>
      <c r="F60" s="70">
        <f t="shared" ca="1" si="2"/>
        <v>750501.91321713384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0.18</v>
      </c>
      <c r="K60" s="64">
        <f t="shared" si="6"/>
        <v>0.18</v>
      </c>
      <c r="L60" s="63">
        <f t="shared" si="7"/>
        <v>0</v>
      </c>
      <c r="M60" s="64">
        <f t="shared" si="8"/>
        <v>0</v>
      </c>
      <c r="N60" s="65"/>
      <c r="O60" s="63">
        <f t="shared" si="9"/>
        <v>4.3109999999999999</v>
      </c>
      <c r="P60" s="63">
        <f t="shared" si="10"/>
        <v>4.3109999999999999</v>
      </c>
      <c r="Q60" s="66"/>
      <c r="R60" s="63">
        <f t="shared" si="11"/>
        <v>0.17</v>
      </c>
      <c r="S60" s="64">
        <f t="shared" si="12"/>
        <v>0.17</v>
      </c>
      <c r="T60" s="63">
        <f t="shared" si="13"/>
        <v>0</v>
      </c>
      <c r="U60" s="64">
        <f t="shared" si="14"/>
        <v>0</v>
      </c>
      <c r="V60" s="90">
        <f>IF($A61="","",IF(AND(MONTH(A60)&gt;3,MONTH(A60)&lt;11),(T60+R60+G60)*(((1/(1-Summary!$T$12))/(1-Summary!$W$12))-1),(T60+R60+G60)*((1/(1-Summary!$U$12))/(1-Summary!$X$12)-1)))</f>
        <v>0</v>
      </c>
      <c r="W60" s="63">
        <f t="shared" si="15"/>
        <v>4.3010000000000002</v>
      </c>
      <c r="X60" s="63">
        <f t="shared" si="16"/>
        <v>4.3010000000000002</v>
      </c>
      <c r="Y60" s="43"/>
      <c r="Z60" s="38">
        <f t="shared" si="17"/>
        <v>0.6</v>
      </c>
      <c r="AA60" s="38">
        <f t="shared" si="18"/>
        <v>0.25800000000000001</v>
      </c>
      <c r="AB60" s="38">
        <f t="shared" ca="1" si="19"/>
        <v>0.2650150608100233</v>
      </c>
      <c r="AC60" s="38">
        <f t="shared" si="20"/>
        <v>0.6</v>
      </c>
      <c r="AD60" s="38">
        <f t="shared" si="20"/>
        <v>0.25800000000000001</v>
      </c>
      <c r="AE60" s="38">
        <f t="shared" ca="1" si="21"/>
        <v>0.2650150608100233</v>
      </c>
      <c r="AF60" s="238">
        <f ca="1">((Summary!$N$12*(AA60*AD60)*(A60-$D$3))+(Summary!$M$12*Z60*AC60*(AJ60-EOMONTH(EDATE(A60,-1),0))))/(AK60*AB60*AE60)</f>
        <v>0.99990516243347138</v>
      </c>
      <c r="AG60" s="88">
        <f>IF($A61="","",Summary!$Q$12)</f>
        <v>0</v>
      </c>
      <c r="AH60" s="88">
        <f>IF($A61="","",IF(Summary!$R$12="Y",(VLOOKUP($A60,Summary!$AD$6:$AF$9,3)+'Escalating commodity'!H73),'Escalating commodity'!H73))</f>
        <v>2.9000000000000001E-2</v>
      </c>
      <c r="AI60" s="88">
        <f t="shared" si="36"/>
        <v>2.9000000000000001E-2</v>
      </c>
      <c r="AJ60" s="236">
        <f t="shared" si="22"/>
        <v>38579.5</v>
      </c>
      <c r="AK60" s="58">
        <f t="shared" ca="1" si="23"/>
        <v>1539</v>
      </c>
      <c r="AL60" s="26">
        <f ca="1">IF($A61="","",_xll.SPRDOPT(P60,X60,AI60,0,AB60,AE60,AF60,AK60,$AJ$2,0))</f>
        <v>3.2552762329376705E-3</v>
      </c>
      <c r="AM60" s="89">
        <f t="shared" si="24"/>
        <v>0</v>
      </c>
      <c r="AN60" s="89">
        <f t="shared" ca="1" si="25"/>
        <v>3.2552762329376705E-3</v>
      </c>
      <c r="AO60" s="3">
        <f t="shared" si="26"/>
        <v>31</v>
      </c>
      <c r="AP60" s="33">
        <f t="shared" si="27"/>
        <v>38565</v>
      </c>
      <c r="AQ60" s="58">
        <f t="shared" ca="1" si="28"/>
        <v>1539</v>
      </c>
      <c r="AR60" s="38">
        <f>'ANR OK vs ML7'!AR60</f>
        <v>0.1</v>
      </c>
      <c r="AS60" s="35">
        <f t="shared" ca="1" si="29"/>
        <v>0.66288097957495684</v>
      </c>
      <c r="AT60" s="3">
        <f t="shared" si="30"/>
        <v>1</v>
      </c>
      <c r="AU60" s="3">
        <f t="shared" si="31"/>
        <v>31</v>
      </c>
      <c r="AW60" s="32">
        <f t="shared" ca="1" si="32"/>
        <v>3685.5651559598377</v>
      </c>
      <c r="AX60" s="32">
        <f t="shared" si="33"/>
        <v>0</v>
      </c>
      <c r="AY60" s="32">
        <f t="shared" ca="1" si="34"/>
        <v>3685.5651559598377</v>
      </c>
      <c r="BA60" s="32">
        <f ca="1">IF($A61="","",F60*Summary!$Q$12)</f>
        <v>0</v>
      </c>
      <c r="BC60" s="256">
        <f t="shared" ca="1" si="37"/>
        <v>0</v>
      </c>
    </row>
    <row r="61" spans="1:55">
      <c r="A61" s="67">
        <f t="shared" si="35"/>
        <v>38596</v>
      </c>
      <c r="B61" s="69">
        <f t="shared" si="38"/>
        <v>36522</v>
      </c>
      <c r="C61" s="71"/>
      <c r="D61" s="69">
        <f t="shared" si="0"/>
        <v>36522</v>
      </c>
      <c r="E61" s="70">
        <f t="shared" si="1"/>
        <v>1095660</v>
      </c>
      <c r="F61" s="70">
        <f t="shared" ca="1" si="2"/>
        <v>720301.88277111063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0.18</v>
      </c>
      <c r="K61" s="64">
        <f t="shared" si="6"/>
        <v>0.18</v>
      </c>
      <c r="L61" s="63">
        <f t="shared" si="7"/>
        <v>0</v>
      </c>
      <c r="M61" s="64">
        <f t="shared" si="8"/>
        <v>0</v>
      </c>
      <c r="N61" s="65"/>
      <c r="O61" s="63">
        <f t="shared" si="9"/>
        <v>4.3249999999999993</v>
      </c>
      <c r="P61" s="63">
        <f t="shared" si="10"/>
        <v>4.3249999999999993</v>
      </c>
      <c r="Q61" s="66"/>
      <c r="R61" s="63">
        <f t="shared" si="11"/>
        <v>0.17</v>
      </c>
      <c r="S61" s="64">
        <f t="shared" si="12"/>
        <v>0.17</v>
      </c>
      <c r="T61" s="63">
        <f t="shared" si="13"/>
        <v>0</v>
      </c>
      <c r="U61" s="64">
        <f t="shared" si="14"/>
        <v>0</v>
      </c>
      <c r="V61" s="90">
        <f>IF($A62="","",IF(AND(MONTH(A61)&gt;3,MONTH(A61)&lt;11),(T61+R61+G61)*(((1/(1-Summary!$T$12))/(1-Summary!$W$12))-1),(T61+R61+G61)*((1/(1-Summary!$U$12))/(1-Summary!$X$12)-1)))</f>
        <v>0</v>
      </c>
      <c r="W61" s="63">
        <f t="shared" si="15"/>
        <v>4.3149999999999995</v>
      </c>
      <c r="X61" s="63">
        <f t="shared" si="16"/>
        <v>4.3149999999999995</v>
      </c>
      <c r="Y61" s="43"/>
      <c r="Z61" s="38">
        <f t="shared" si="17"/>
        <v>0.6</v>
      </c>
      <c r="AA61" s="38">
        <f t="shared" si="18"/>
        <v>0.25800000000000001</v>
      </c>
      <c r="AB61" s="38">
        <f t="shared" ca="1" si="19"/>
        <v>0.26466183687507566</v>
      </c>
      <c r="AC61" s="38">
        <f t="shared" si="20"/>
        <v>0.6</v>
      </c>
      <c r="AD61" s="38">
        <f t="shared" si="20"/>
        <v>0.25800000000000001</v>
      </c>
      <c r="AE61" s="38">
        <f t="shared" ca="1" si="21"/>
        <v>0.26466183687507566</v>
      </c>
      <c r="AF61" s="238">
        <f ca="1">((Summary!$N$12*(AA61*AD61)*(A61-$D$3))+(Summary!$M$12*Z61*AC61*(AJ61-EOMONTH(EDATE(A61,-1),0))))/(AK61*AB61*AE61)</f>
        <v>0.99990491033884954</v>
      </c>
      <c r="AG61" s="88">
        <f>IF($A62="","",Summary!$Q$12)</f>
        <v>0</v>
      </c>
      <c r="AH61" s="88">
        <f>IF($A62="","",IF(Summary!$R$12="Y",(VLOOKUP($A61,Summary!$AD$6:$AF$9,3)+'Escalating commodity'!H74),'Escalating commodity'!H74))</f>
        <v>2.9000000000000001E-2</v>
      </c>
      <c r="AI61" s="88">
        <f t="shared" si="36"/>
        <v>2.9000000000000001E-2</v>
      </c>
      <c r="AJ61" s="236">
        <f t="shared" si="22"/>
        <v>38610</v>
      </c>
      <c r="AK61" s="58">
        <f t="shared" ca="1" si="23"/>
        <v>1570</v>
      </c>
      <c r="AL61" s="26">
        <f ca="1">IF($A62="","",_xll.SPRDOPT(P61,X61,AI61,0,AB61,AE61,AF61,AK61,$AJ$2,0))</f>
        <v>3.3147853064653607E-3</v>
      </c>
      <c r="AM61" s="89">
        <f t="shared" si="24"/>
        <v>0</v>
      </c>
      <c r="AN61" s="89">
        <f t="shared" ca="1" si="25"/>
        <v>3.3147853064653607E-3</v>
      </c>
      <c r="AO61" s="3">
        <f t="shared" si="26"/>
        <v>30</v>
      </c>
      <c r="AP61" s="33">
        <f t="shared" si="27"/>
        <v>38596</v>
      </c>
      <c r="AQ61" s="58">
        <f t="shared" ca="1" si="28"/>
        <v>1570</v>
      </c>
      <c r="AR61" s="38">
        <f>'ANR OK vs ML7'!AR61</f>
        <v>0.1</v>
      </c>
      <c r="AS61" s="35">
        <f t="shared" ca="1" si="29"/>
        <v>0.65741368925680466</v>
      </c>
      <c r="AT61" s="3">
        <f t="shared" si="30"/>
        <v>1</v>
      </c>
      <c r="AU61" s="3">
        <f t="shared" si="31"/>
        <v>30</v>
      </c>
      <c r="AW61" s="32">
        <f t="shared" ca="1" si="32"/>
        <v>3631.8776688818371</v>
      </c>
      <c r="AX61" s="32">
        <f t="shared" si="33"/>
        <v>0</v>
      </c>
      <c r="AY61" s="32">
        <f t="shared" ca="1" si="34"/>
        <v>3631.8776688818371</v>
      </c>
      <c r="BA61" s="32">
        <f ca="1">IF($A62="","",F61*Summary!$Q$12)</f>
        <v>0</v>
      </c>
      <c r="BC61" s="256">
        <f t="shared" ca="1" si="37"/>
        <v>0</v>
      </c>
    </row>
    <row r="62" spans="1:55">
      <c r="A62" s="67">
        <f t="shared" si="35"/>
        <v>38626</v>
      </c>
      <c r="B62" s="69">
        <f t="shared" si="38"/>
        <v>36522</v>
      </c>
      <c r="C62" s="71"/>
      <c r="D62" s="69">
        <f t="shared" si="0"/>
        <v>36522</v>
      </c>
      <c r="E62" s="70">
        <f t="shared" si="1"/>
        <v>1132182</v>
      </c>
      <c r="F62" s="70">
        <f t="shared" ca="1" si="2"/>
        <v>738370.26820965181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0.18</v>
      </c>
      <c r="K62" s="64">
        <f t="shared" si="6"/>
        <v>0.18</v>
      </c>
      <c r="L62" s="63">
        <f t="shared" si="7"/>
        <v>0</v>
      </c>
      <c r="M62" s="64">
        <f t="shared" si="8"/>
        <v>0</v>
      </c>
      <c r="N62" s="65"/>
      <c r="O62" s="63">
        <f t="shared" si="9"/>
        <v>4.3559999999999999</v>
      </c>
      <c r="P62" s="63">
        <f t="shared" si="10"/>
        <v>4.3559999999999999</v>
      </c>
      <c r="Q62" s="66"/>
      <c r="R62" s="63">
        <f t="shared" si="11"/>
        <v>0.17</v>
      </c>
      <c r="S62" s="64">
        <f t="shared" si="12"/>
        <v>0.17</v>
      </c>
      <c r="T62" s="63">
        <f t="shared" si="13"/>
        <v>0</v>
      </c>
      <c r="U62" s="64">
        <f t="shared" si="14"/>
        <v>0</v>
      </c>
      <c r="V62" s="90">
        <f>IF($A63="","",IF(AND(MONTH(A62)&gt;3,MONTH(A62)&lt;11),(T62+R62+G62)*(((1/(1-Summary!$T$12))/(1-Summary!$W$12))-1),(T62+R62+G62)*((1/(1-Summary!$U$12))/(1-Summary!$X$12)-1)))</f>
        <v>0</v>
      </c>
      <c r="W62" s="63">
        <f t="shared" si="15"/>
        <v>4.3460000000000001</v>
      </c>
      <c r="X62" s="63">
        <f t="shared" si="16"/>
        <v>4.3460000000000001</v>
      </c>
      <c r="Y62" s="43"/>
      <c r="Z62" s="38">
        <f t="shared" si="17"/>
        <v>0.65</v>
      </c>
      <c r="AA62" s="38">
        <f t="shared" si="18"/>
        <v>0.25800000000000001</v>
      </c>
      <c r="AB62" s="38">
        <f t="shared" ca="1" si="19"/>
        <v>0.26589202930889072</v>
      </c>
      <c r="AC62" s="38">
        <f t="shared" si="20"/>
        <v>0.65</v>
      </c>
      <c r="AD62" s="38">
        <f t="shared" si="20"/>
        <v>0.25800000000000001</v>
      </c>
      <c r="AE62" s="38">
        <f t="shared" ca="1" si="21"/>
        <v>0.26589202930889072</v>
      </c>
      <c r="AF62" s="238">
        <f ca="1">((Summary!$N$12*(AA62*AD62)*(A62-$D$3))+(Summary!$M$12*Z62*AC62*(AJ62-EOMONTH(EDATE(A62,-1),0))))/(AK62*AB62*AE62)</f>
        <v>0.999905789323147</v>
      </c>
      <c r="AG62" s="88">
        <f>IF($A63="","",Summary!$Q$12)</f>
        <v>0</v>
      </c>
      <c r="AH62" s="88">
        <f>IF($A63="","",IF(Summary!$R$12="Y",(VLOOKUP($A62,Summary!$AD$6:$AF$9,3)+'Escalating commodity'!H75),'Escalating commodity'!H75))</f>
        <v>2.9000000000000001E-2</v>
      </c>
      <c r="AI62" s="88">
        <f t="shared" si="36"/>
        <v>2.9000000000000001E-2</v>
      </c>
      <c r="AJ62" s="236">
        <f t="shared" si="22"/>
        <v>38640.5</v>
      </c>
      <c r="AK62" s="58">
        <f t="shared" ca="1" si="23"/>
        <v>1600</v>
      </c>
      <c r="AL62" s="26">
        <f ca="1">IF($A63="","",_xll.SPRDOPT(P62,X62,AI62,0,AB62,AE62,AF62,AK62,$AJ$2,0))</f>
        <v>3.376392768513134E-3</v>
      </c>
      <c r="AM62" s="89">
        <f t="shared" si="24"/>
        <v>0</v>
      </c>
      <c r="AN62" s="89">
        <f t="shared" ca="1" si="25"/>
        <v>3.376392768513134E-3</v>
      </c>
      <c r="AO62" s="3">
        <f t="shared" si="26"/>
        <v>31</v>
      </c>
      <c r="AP62" s="33">
        <f t="shared" si="27"/>
        <v>38626</v>
      </c>
      <c r="AQ62" s="58">
        <f t="shared" ca="1" si="28"/>
        <v>1600</v>
      </c>
      <c r="AR62" s="38">
        <f>'ANR OK vs ML7'!AR62</f>
        <v>0.1</v>
      </c>
      <c r="AS62" s="35">
        <f t="shared" ca="1" si="29"/>
        <v>0.65216570145935182</v>
      </c>
      <c r="AT62" s="3">
        <f t="shared" si="30"/>
        <v>1</v>
      </c>
      <c r="AU62" s="3">
        <f t="shared" si="31"/>
        <v>31</v>
      </c>
      <c r="AW62" s="32">
        <f t="shared" ca="1" si="32"/>
        <v>3822.6911174407369</v>
      </c>
      <c r="AX62" s="32">
        <f t="shared" si="33"/>
        <v>0</v>
      </c>
      <c r="AY62" s="32">
        <f t="shared" ca="1" si="34"/>
        <v>3822.6911174407369</v>
      </c>
      <c r="BA62" s="32">
        <f ca="1">IF($A63="","",F62*Summary!$Q$12)</f>
        <v>0</v>
      </c>
      <c r="BC62" s="256">
        <f t="shared" ca="1" si="37"/>
        <v>0</v>
      </c>
    </row>
    <row r="63" spans="1:55">
      <c r="A63" s="67">
        <f t="shared" si="35"/>
        <v>38657</v>
      </c>
      <c r="B63" s="69">
        <f t="shared" si="38"/>
        <v>36522</v>
      </c>
      <c r="C63" s="71"/>
      <c r="D63" s="69">
        <f t="shared" si="0"/>
        <v>36522</v>
      </c>
      <c r="E63" s="70">
        <f t="shared" si="1"/>
        <v>1095660</v>
      </c>
      <c r="F63" s="70">
        <f t="shared" ca="1" si="2"/>
        <v>708658.41246662952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0.33500000000000002</v>
      </c>
      <c r="K63" s="64">
        <f t="shared" si="6"/>
        <v>0.33500000000000002</v>
      </c>
      <c r="L63" s="63">
        <f t="shared" si="7"/>
        <v>0</v>
      </c>
      <c r="M63" s="64">
        <f t="shared" si="8"/>
        <v>0</v>
      </c>
      <c r="N63" s="65"/>
      <c r="O63" s="63">
        <f t="shared" si="9"/>
        <v>4.6440000000000001</v>
      </c>
      <c r="P63" s="63">
        <f t="shared" si="10"/>
        <v>4.6440000000000001</v>
      </c>
      <c r="Q63" s="66"/>
      <c r="R63" s="63">
        <f t="shared" si="11"/>
        <v>0.32500000000000001</v>
      </c>
      <c r="S63" s="64">
        <f t="shared" si="12"/>
        <v>0.32500000000000001</v>
      </c>
      <c r="T63" s="63">
        <f t="shared" si="13"/>
        <v>0</v>
      </c>
      <c r="U63" s="64">
        <f t="shared" si="14"/>
        <v>0</v>
      </c>
      <c r="V63" s="90">
        <f>IF($A64="","",IF(AND(MONTH(A63)&gt;3,MONTH(A63)&lt;11),(T63+R63+G63)*(((1/(1-Summary!$T$12))/(1-Summary!$W$12))-1),(T63+R63+G63)*((1/(1-Summary!$U$12))/(1-Summary!$X$12)-1)))</f>
        <v>0</v>
      </c>
      <c r="W63" s="63">
        <f t="shared" si="15"/>
        <v>4.6340000000000003</v>
      </c>
      <c r="X63" s="63">
        <f t="shared" si="16"/>
        <v>4.6340000000000003</v>
      </c>
      <c r="Y63" s="43"/>
      <c r="Z63" s="38">
        <f t="shared" si="17"/>
        <v>0.8</v>
      </c>
      <c r="AA63" s="38">
        <f t="shared" si="18"/>
        <v>0.25800000000000001</v>
      </c>
      <c r="AB63" s="38">
        <f t="shared" ca="1" si="19"/>
        <v>0.2692411025566997</v>
      </c>
      <c r="AC63" s="38">
        <f t="shared" si="20"/>
        <v>0.8</v>
      </c>
      <c r="AD63" s="38">
        <f t="shared" si="20"/>
        <v>0.25800000000000001</v>
      </c>
      <c r="AE63" s="38">
        <f t="shared" ca="1" si="21"/>
        <v>0.2692411025566997</v>
      </c>
      <c r="AF63" s="238">
        <f ca="1">((Summary!$N$12*(AA63*AD63)*(A63-$D$3))+(Summary!$M$12*Z63*AC63*(AJ63-EOMONTH(EDATE(A63,-1),0))))/(AK63*AB63*AE63)</f>
        <v>0.99990811959843706</v>
      </c>
      <c r="AG63" s="88">
        <f>IF($A64="","",Summary!$Q$12)</f>
        <v>0</v>
      </c>
      <c r="AH63" s="88">
        <f>IF($A64="","",IF(Summary!$R$12="Y",(VLOOKUP($A63,Summary!$AD$6:$AF$9,3)+'Escalating commodity'!H76),'Escalating commodity'!H76))</f>
        <v>2.9000000000000001E-2</v>
      </c>
      <c r="AI63" s="88">
        <f t="shared" si="36"/>
        <v>2.9000000000000001E-2</v>
      </c>
      <c r="AJ63" s="236">
        <f t="shared" si="22"/>
        <v>38671</v>
      </c>
      <c r="AK63" s="58">
        <f t="shared" ca="1" si="23"/>
        <v>1631</v>
      </c>
      <c r="AL63" s="26">
        <f ca="1">IF($A64="","",_xll.SPRDOPT(P63,X63,AI63,0,AB63,AE63,AF63,AK63,$AJ$2,0))</f>
        <v>3.6569372470179606E-3</v>
      </c>
      <c r="AM63" s="89">
        <f t="shared" si="24"/>
        <v>0</v>
      </c>
      <c r="AN63" s="89">
        <f t="shared" ca="1" si="25"/>
        <v>3.6569372470179606E-3</v>
      </c>
      <c r="AO63" s="3">
        <f t="shared" si="26"/>
        <v>30</v>
      </c>
      <c r="AP63" s="33">
        <f t="shared" si="27"/>
        <v>38657</v>
      </c>
      <c r="AQ63" s="58">
        <f t="shared" ca="1" si="28"/>
        <v>1631</v>
      </c>
      <c r="AR63" s="38">
        <f>'ANR OK vs ML7'!AR63</f>
        <v>0.1</v>
      </c>
      <c r="AS63" s="35">
        <f t="shared" ca="1" si="29"/>
        <v>0.64678678829803915</v>
      </c>
      <c r="AT63" s="3">
        <f t="shared" si="30"/>
        <v>1</v>
      </c>
      <c r="AU63" s="3">
        <f t="shared" si="31"/>
        <v>30</v>
      </c>
      <c r="AW63" s="32">
        <f t="shared" ca="1" si="32"/>
        <v>4006.7598640676988</v>
      </c>
      <c r="AX63" s="32">
        <f t="shared" si="33"/>
        <v>0</v>
      </c>
      <c r="AY63" s="32">
        <f t="shared" ca="1" si="34"/>
        <v>4006.7598640676988</v>
      </c>
      <c r="BA63" s="32">
        <f ca="1">IF($A64="","",F63*Summary!$Q$12)</f>
        <v>0</v>
      </c>
      <c r="BC63" s="256">
        <f t="shared" ca="1" si="37"/>
        <v>0</v>
      </c>
    </row>
    <row r="64" spans="1:55">
      <c r="A64" s="67">
        <f t="shared" si="35"/>
        <v>38687</v>
      </c>
      <c r="B64" s="69">
        <f t="shared" si="38"/>
        <v>36522</v>
      </c>
      <c r="C64" s="71"/>
      <c r="D64" s="69">
        <f t="shared" si="0"/>
        <v>36522</v>
      </c>
      <c r="E64" s="70">
        <f t="shared" si="1"/>
        <v>1132182</v>
      </c>
      <c r="F64" s="70">
        <f t="shared" ca="1" si="2"/>
        <v>726434.72771302541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0.33500000000000002</v>
      </c>
      <c r="K64" s="64">
        <f t="shared" si="6"/>
        <v>0.33500000000000002</v>
      </c>
      <c r="L64" s="63">
        <f t="shared" si="7"/>
        <v>0</v>
      </c>
      <c r="M64" s="64">
        <f t="shared" si="8"/>
        <v>0</v>
      </c>
      <c r="N64" s="65"/>
      <c r="O64" s="63">
        <f t="shared" si="9"/>
        <v>4.782</v>
      </c>
      <c r="P64" s="63">
        <f t="shared" si="10"/>
        <v>4.782</v>
      </c>
      <c r="Q64" s="66"/>
      <c r="R64" s="63">
        <f t="shared" si="11"/>
        <v>0.32500000000000001</v>
      </c>
      <c r="S64" s="64">
        <f t="shared" si="12"/>
        <v>0.32500000000000001</v>
      </c>
      <c r="T64" s="63">
        <f t="shared" si="13"/>
        <v>0</v>
      </c>
      <c r="U64" s="64">
        <f t="shared" si="14"/>
        <v>0</v>
      </c>
      <c r="V64" s="90">
        <f>IF($A65="","",IF(AND(MONTH(A64)&gt;3,MONTH(A64)&lt;11),(T64+R64+G64)*(((1/(1-Summary!$T$12))/(1-Summary!$W$12))-1),(T64+R64+G64)*((1/(1-Summary!$U$12))/(1-Summary!$X$12)-1)))</f>
        <v>0</v>
      </c>
      <c r="W64" s="63">
        <f t="shared" si="15"/>
        <v>4.7720000000000002</v>
      </c>
      <c r="X64" s="63">
        <f t="shared" si="16"/>
        <v>4.7720000000000002</v>
      </c>
      <c r="Y64" s="43"/>
      <c r="Z64" s="38">
        <f t="shared" si="17"/>
        <v>1.1000000000000001</v>
      </c>
      <c r="AA64" s="38">
        <f t="shared" si="18"/>
        <v>0.26</v>
      </c>
      <c r="AB64" s="38">
        <f t="shared" ca="1" si="19"/>
        <v>0.28094855241298189</v>
      </c>
      <c r="AC64" s="38">
        <f t="shared" si="20"/>
        <v>1.1000000000000001</v>
      </c>
      <c r="AD64" s="38">
        <f t="shared" si="20"/>
        <v>0.26</v>
      </c>
      <c r="AE64" s="38">
        <f t="shared" ca="1" si="21"/>
        <v>0.28094855241298189</v>
      </c>
      <c r="AF64" s="238">
        <f ca="1">((Summary!$N$12*(AA64*AD64)*(A64-$D$3))+(Summary!$M$12*Z64*AC64*(AJ64-EOMONTH(EDATE(A64,-1),0))))/(AK64*AB64*AE64)</f>
        <v>0.99991430519685587</v>
      </c>
      <c r="AG64" s="88">
        <f>IF($A65="","",Summary!$Q$12)</f>
        <v>0</v>
      </c>
      <c r="AH64" s="88">
        <f>IF($A65="","",IF(Summary!$R$12="Y",(VLOOKUP($A64,Summary!$AD$6:$AF$9,3)+'Escalating commodity'!H77),'Escalating commodity'!H77))</f>
        <v>2.9000000000000001E-2</v>
      </c>
      <c r="AI64" s="88">
        <f t="shared" si="36"/>
        <v>2.9000000000000001E-2</v>
      </c>
      <c r="AJ64" s="236">
        <f t="shared" si="22"/>
        <v>38701.5</v>
      </c>
      <c r="AK64" s="58">
        <f t="shared" ca="1" si="23"/>
        <v>1661</v>
      </c>
      <c r="AL64" s="26">
        <f ca="1">IF($A65="","",_xll.SPRDOPT(P64,X64,AI64,0,AB64,AE64,AF64,AK64,$AJ$2,0))</f>
        <v>3.7929009832030278E-3</v>
      </c>
      <c r="AM64" s="89">
        <f t="shared" si="24"/>
        <v>0</v>
      </c>
      <c r="AN64" s="89">
        <f t="shared" ca="1" si="25"/>
        <v>3.7929009832030278E-3</v>
      </c>
      <c r="AO64" s="3">
        <f t="shared" si="26"/>
        <v>31</v>
      </c>
      <c r="AP64" s="33">
        <f t="shared" si="27"/>
        <v>38687</v>
      </c>
      <c r="AQ64" s="58">
        <f t="shared" ca="1" si="28"/>
        <v>1661</v>
      </c>
      <c r="AR64" s="38">
        <f>'ANR OK vs ML7'!AR64</f>
        <v>0.1</v>
      </c>
      <c r="AS64" s="35">
        <f t="shared" ca="1" si="29"/>
        <v>0.64162363269600242</v>
      </c>
      <c r="AT64" s="3">
        <f t="shared" si="30"/>
        <v>1</v>
      </c>
      <c r="AU64" s="3">
        <f t="shared" si="31"/>
        <v>31</v>
      </c>
      <c r="AW64" s="32">
        <f t="shared" ca="1" si="32"/>
        <v>4294.25422096477</v>
      </c>
      <c r="AX64" s="32">
        <f t="shared" si="33"/>
        <v>0</v>
      </c>
      <c r="AY64" s="32">
        <f t="shared" ca="1" si="34"/>
        <v>4294.25422096477</v>
      </c>
      <c r="BA64" s="32">
        <f ca="1">IF($A65="","",F64*Summary!$Q$12)</f>
        <v>0</v>
      </c>
      <c r="BC64" s="256">
        <f t="shared" ca="1" si="37"/>
        <v>0</v>
      </c>
    </row>
    <row r="65" spans="1:55">
      <c r="A65" s="67">
        <f t="shared" si="35"/>
        <v>38718</v>
      </c>
      <c r="B65" s="69">
        <f t="shared" si="38"/>
        <v>36522</v>
      </c>
      <c r="C65" s="71"/>
      <c r="D65" s="69">
        <f t="shared" si="0"/>
        <v>36522</v>
      </c>
      <c r="E65" s="70">
        <f t="shared" si="1"/>
        <v>1132182</v>
      </c>
      <c r="F65" s="70">
        <f t="shared" ca="1" si="2"/>
        <v>720443.26065337087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0.33500000000000002</v>
      </c>
      <c r="K65" s="64">
        <f t="shared" si="6"/>
        <v>0.33500000000000002</v>
      </c>
      <c r="L65" s="63">
        <f t="shared" si="7"/>
        <v>0</v>
      </c>
      <c r="M65" s="64">
        <f t="shared" si="8"/>
        <v>0</v>
      </c>
      <c r="N65" s="65"/>
      <c r="O65" s="63">
        <f t="shared" si="9"/>
        <v>4.7789999999999999</v>
      </c>
      <c r="P65" s="63">
        <f t="shared" si="10"/>
        <v>4.7789999999999999</v>
      </c>
      <c r="Q65" s="66"/>
      <c r="R65" s="63">
        <f t="shared" si="11"/>
        <v>0.32500000000000001</v>
      </c>
      <c r="S65" s="64">
        <f t="shared" si="12"/>
        <v>0.32500000000000001</v>
      </c>
      <c r="T65" s="63">
        <f t="shared" si="13"/>
        <v>0</v>
      </c>
      <c r="U65" s="64">
        <f t="shared" si="14"/>
        <v>0</v>
      </c>
      <c r="V65" s="90">
        <f>IF($A66="","",IF(AND(MONTH(A65)&gt;3,MONTH(A65)&lt;11),(T65+R65+G65)*(((1/(1-Summary!$T$12))/(1-Summary!$W$12))-1),(T65+R65+G65)*((1/(1-Summary!$U$12))/(1-Summary!$X$12)-1)))</f>
        <v>0</v>
      </c>
      <c r="W65" s="63">
        <f t="shared" si="15"/>
        <v>4.7690000000000001</v>
      </c>
      <c r="X65" s="63">
        <f t="shared" si="16"/>
        <v>4.7690000000000001</v>
      </c>
      <c r="Y65" s="43"/>
      <c r="Z65" s="38">
        <f t="shared" si="17"/>
        <v>1.1000000000000001</v>
      </c>
      <c r="AA65" s="38">
        <f t="shared" si="18"/>
        <v>0.26300000000000001</v>
      </c>
      <c r="AB65" s="38">
        <f t="shared" ca="1" si="19"/>
        <v>0.28336265701406554</v>
      </c>
      <c r="AC65" s="38">
        <f t="shared" si="20"/>
        <v>1.1000000000000001</v>
      </c>
      <c r="AD65" s="38">
        <f t="shared" si="20"/>
        <v>0.26300000000000001</v>
      </c>
      <c r="AE65" s="38">
        <f t="shared" ca="1" si="21"/>
        <v>0.28336265701406554</v>
      </c>
      <c r="AF65" s="238">
        <f ca="1">((Summary!$N$12*(AA65*AD65)*(A65-$D$3))+(Summary!$M$12*Z65*AC65*(AJ65-EOMONTH(EDATE(A65,-1),0))))/(AK65*AB65*AE65)</f>
        <v>0.99991380484318038</v>
      </c>
      <c r="AG65" s="88">
        <f>IF($A66="","",Summary!$Q$12)</f>
        <v>0</v>
      </c>
      <c r="AH65" s="88">
        <f>IF($A66="","",IF(Summary!$R$12="Y",(VLOOKUP($A65,Summary!$AD$6:$AF$9,3)+'Escalating commodity'!H78),'Escalating commodity'!H78))</f>
        <v>2.9000000000000001E-2</v>
      </c>
      <c r="AI65" s="88">
        <f t="shared" si="36"/>
        <v>2.9000000000000001E-2</v>
      </c>
      <c r="AJ65" s="236">
        <f t="shared" si="22"/>
        <v>38732.5</v>
      </c>
      <c r="AK65" s="58">
        <f t="shared" ca="1" si="23"/>
        <v>1692</v>
      </c>
      <c r="AL65" s="26">
        <f ca="1">IF($A66="","",_xll.SPRDOPT(P65,X65,AI65,0,AB65,AE65,AF65,AK65,$AJ$2,0))</f>
        <v>3.9051574893999991E-3</v>
      </c>
      <c r="AM65" s="89">
        <f t="shared" si="24"/>
        <v>0</v>
      </c>
      <c r="AN65" s="89">
        <f t="shared" ca="1" si="25"/>
        <v>3.9051574893999991E-3</v>
      </c>
      <c r="AO65" s="3">
        <f t="shared" si="26"/>
        <v>31</v>
      </c>
      <c r="AP65" s="33">
        <f t="shared" si="27"/>
        <v>38718</v>
      </c>
      <c r="AQ65" s="58">
        <f t="shared" ca="1" si="28"/>
        <v>1692</v>
      </c>
      <c r="AR65" s="38">
        <f>'ANR OK vs ML7'!AR65</f>
        <v>0.1</v>
      </c>
      <c r="AS65" s="35">
        <f t="shared" ca="1" si="29"/>
        <v>0.63633166810050934</v>
      </c>
      <c r="AT65" s="3">
        <f t="shared" si="30"/>
        <v>1</v>
      </c>
      <c r="AU65" s="3">
        <f t="shared" si="31"/>
        <v>31</v>
      </c>
      <c r="AW65" s="32">
        <f t="shared" ca="1" si="32"/>
        <v>4421.3490166638694</v>
      </c>
      <c r="AX65" s="32">
        <f t="shared" si="33"/>
        <v>0</v>
      </c>
      <c r="AY65" s="32">
        <f t="shared" ca="1" si="34"/>
        <v>4421.3490166638694</v>
      </c>
      <c r="BA65" s="32">
        <f ca="1">IF($A66="","",F65*Summary!$Q$12)</f>
        <v>0</v>
      </c>
      <c r="BC65" s="256">
        <f t="shared" ca="1" si="37"/>
        <v>0</v>
      </c>
    </row>
    <row r="66" spans="1:55">
      <c r="A66" s="67">
        <f t="shared" si="35"/>
        <v>38749</v>
      </c>
      <c r="B66" s="69">
        <f t="shared" si="38"/>
        <v>36522</v>
      </c>
      <c r="C66" s="71"/>
      <c r="D66" s="69">
        <f t="shared" si="0"/>
        <v>36522</v>
      </c>
      <c r="E66" s="70">
        <f t="shared" si="1"/>
        <v>1022616</v>
      </c>
      <c r="F66" s="70">
        <f t="shared" ca="1" si="2"/>
        <v>645355.93146852788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0.33500000000000002</v>
      </c>
      <c r="K66" s="64">
        <f t="shared" si="6"/>
        <v>0.33500000000000002</v>
      </c>
      <c r="L66" s="63">
        <f t="shared" si="7"/>
        <v>0</v>
      </c>
      <c r="M66" s="64">
        <f t="shared" si="8"/>
        <v>0</v>
      </c>
      <c r="N66" s="65"/>
      <c r="O66" s="63">
        <f t="shared" si="9"/>
        <v>4.6589999999999998</v>
      </c>
      <c r="P66" s="63">
        <f t="shared" si="10"/>
        <v>4.6589999999999998</v>
      </c>
      <c r="Q66" s="66"/>
      <c r="R66" s="63">
        <f t="shared" si="11"/>
        <v>0.32500000000000001</v>
      </c>
      <c r="S66" s="64">
        <f t="shared" si="12"/>
        <v>0.32500000000000001</v>
      </c>
      <c r="T66" s="63">
        <f t="shared" si="13"/>
        <v>0</v>
      </c>
      <c r="U66" s="64">
        <f t="shared" si="14"/>
        <v>0</v>
      </c>
      <c r="V66" s="90">
        <f>IF($A67="","",IF(AND(MONTH(A66)&gt;3,MONTH(A66)&lt;11),(T66+R66+G66)*(((1/(1-Summary!$T$12))/(1-Summary!$W$12))-1),(T66+R66+G66)*((1/(1-Summary!$U$12))/(1-Summary!$X$12)-1)))</f>
        <v>0</v>
      </c>
      <c r="W66" s="63">
        <f t="shared" si="15"/>
        <v>4.649</v>
      </c>
      <c r="X66" s="63">
        <f t="shared" si="16"/>
        <v>4.649</v>
      </c>
      <c r="Y66" s="43"/>
      <c r="Z66" s="38">
        <f t="shared" si="17"/>
        <v>1.1000000000000001</v>
      </c>
      <c r="AA66" s="38">
        <f t="shared" si="18"/>
        <v>0.255</v>
      </c>
      <c r="AB66" s="38">
        <f t="shared" ca="1" si="19"/>
        <v>0.27366846424586994</v>
      </c>
      <c r="AC66" s="38">
        <f t="shared" si="20"/>
        <v>1.1000000000000001</v>
      </c>
      <c r="AD66" s="38">
        <f t="shared" si="20"/>
        <v>0.255</v>
      </c>
      <c r="AE66" s="38">
        <f t="shared" ca="1" si="21"/>
        <v>0.27366846424586994</v>
      </c>
      <c r="AF66" s="238">
        <f ca="1">((Summary!$N$12*(AA66*AD66)*(A66-$D$3))+(Summary!$M$12*Z66*AC66*(AJ66-EOMONTH(EDATE(A66,-1),0))))/(AK66*AB66*AE66)</f>
        <v>0.99991312739697003</v>
      </c>
      <c r="AG66" s="88">
        <f>IF($A67="","",Summary!$Q$12)</f>
        <v>0</v>
      </c>
      <c r="AH66" s="88">
        <f>IF($A67="","",IF(Summary!$R$12="Y",(VLOOKUP($A66,Summary!$AD$6:$AF$9,3)+'Escalating commodity'!H79),'Escalating commodity'!H79))</f>
        <v>2.9000000000000001E-2</v>
      </c>
      <c r="AI66" s="88">
        <f t="shared" si="36"/>
        <v>2.9000000000000001E-2</v>
      </c>
      <c r="AJ66" s="236">
        <f t="shared" si="22"/>
        <v>38762</v>
      </c>
      <c r="AK66" s="58">
        <f t="shared" ca="1" si="23"/>
        <v>1723</v>
      </c>
      <c r="AL66" s="26">
        <f ca="1">IF($A67="","",_xll.SPRDOPT(P66,X66,AI66,0,AB66,AE66,AF66,AK66,$AJ$2,0))</f>
        <v>3.6906568973614842E-3</v>
      </c>
      <c r="AM66" s="89">
        <f t="shared" si="24"/>
        <v>0</v>
      </c>
      <c r="AN66" s="89">
        <f t="shared" ca="1" si="25"/>
        <v>3.6906568973614842E-3</v>
      </c>
      <c r="AO66" s="3">
        <f t="shared" si="26"/>
        <v>28</v>
      </c>
      <c r="AP66" s="33">
        <f t="shared" si="27"/>
        <v>38749</v>
      </c>
      <c r="AQ66" s="58">
        <f t="shared" ca="1" si="28"/>
        <v>1723</v>
      </c>
      <c r="AR66" s="38">
        <f>'ANR OK vs ML7'!AR66</f>
        <v>0.1</v>
      </c>
      <c r="AS66" s="35">
        <f t="shared" ca="1" si="29"/>
        <v>0.63108335041553021</v>
      </c>
      <c r="AT66" s="3">
        <f t="shared" si="30"/>
        <v>1</v>
      </c>
      <c r="AU66" s="3">
        <f t="shared" si="31"/>
        <v>28</v>
      </c>
      <c r="AW66" s="32">
        <f t="shared" ca="1" si="32"/>
        <v>3774.1247937522116</v>
      </c>
      <c r="AX66" s="32">
        <f t="shared" si="33"/>
        <v>0</v>
      </c>
      <c r="AY66" s="32">
        <f t="shared" ca="1" si="34"/>
        <v>3774.1247937522116</v>
      </c>
      <c r="BA66" s="32">
        <f ca="1">IF($A67="","",F66*Summary!$Q$12)</f>
        <v>0</v>
      </c>
      <c r="BC66" s="256">
        <f t="shared" ca="1" si="37"/>
        <v>0</v>
      </c>
    </row>
    <row r="67" spans="1:55">
      <c r="A67" s="67">
        <f t="shared" si="35"/>
        <v>38777</v>
      </c>
      <c r="B67" s="69">
        <f t="shared" si="38"/>
        <v>36522</v>
      </c>
      <c r="C67" s="71"/>
      <c r="D67" s="69">
        <f t="shared" si="0"/>
        <v>36522</v>
      </c>
      <c r="E67" s="70">
        <f t="shared" si="1"/>
        <v>1132182</v>
      </c>
      <c r="F67" s="70">
        <f t="shared" ca="1" si="2"/>
        <v>709176.33143476106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0.33500000000000002</v>
      </c>
      <c r="K67" s="64">
        <f t="shared" si="6"/>
        <v>0.33500000000000002</v>
      </c>
      <c r="L67" s="63">
        <f t="shared" si="7"/>
        <v>0</v>
      </c>
      <c r="M67" s="64">
        <f t="shared" si="8"/>
        <v>0</v>
      </c>
      <c r="N67" s="65"/>
      <c r="O67" s="63">
        <f t="shared" si="9"/>
        <v>4.5199999999999996</v>
      </c>
      <c r="P67" s="63">
        <f t="shared" si="10"/>
        <v>4.5199999999999996</v>
      </c>
      <c r="Q67" s="66"/>
      <c r="R67" s="63">
        <f t="shared" si="11"/>
        <v>0.32500000000000001</v>
      </c>
      <c r="S67" s="64">
        <f t="shared" si="12"/>
        <v>0.32500000000000001</v>
      </c>
      <c r="T67" s="63">
        <f t="shared" si="13"/>
        <v>0</v>
      </c>
      <c r="U67" s="64">
        <f t="shared" si="14"/>
        <v>0</v>
      </c>
      <c r="V67" s="90">
        <f>IF($A68="","",IF(AND(MONTH(A67)&gt;3,MONTH(A67)&lt;11),(T67+R67+G67)*(((1/(1-Summary!$T$12))/(1-Summary!$W$12))-1),(T67+R67+G67)*((1/(1-Summary!$U$12))/(1-Summary!$X$12)-1)))</f>
        <v>0</v>
      </c>
      <c r="W67" s="63">
        <f t="shared" si="15"/>
        <v>4.51</v>
      </c>
      <c r="X67" s="63">
        <f t="shared" si="16"/>
        <v>4.51</v>
      </c>
      <c r="Y67" s="43"/>
      <c r="Z67" s="38">
        <f t="shared" si="17"/>
        <v>0.75</v>
      </c>
      <c r="AA67" s="38">
        <f t="shared" si="18"/>
        <v>0.25</v>
      </c>
      <c r="AB67" s="38">
        <f t="shared" ca="1" si="19"/>
        <v>0.25983647056074827</v>
      </c>
      <c r="AC67" s="38">
        <f t="shared" si="20"/>
        <v>0.75</v>
      </c>
      <c r="AD67" s="38">
        <f t="shared" si="20"/>
        <v>0.25</v>
      </c>
      <c r="AE67" s="38">
        <f t="shared" ca="1" si="21"/>
        <v>0.25983647056074827</v>
      </c>
      <c r="AF67" s="238">
        <f ca="1">((Summary!$N$12*(AA67*AD67)*(A67-$D$3))+(Summary!$M$12*Z67*AC67*(AJ67-EOMONTH(EDATE(A67,-1),0))))/(AK67*AB67*AE67)</f>
        <v>0.99990737509912764</v>
      </c>
      <c r="AG67" s="88">
        <f>IF($A68="","",Summary!$Q$12)</f>
        <v>0</v>
      </c>
      <c r="AH67" s="88">
        <f>IF($A68="","",IF(Summary!$R$12="Y",(VLOOKUP($A67,Summary!$AD$6:$AF$9,3)+'Escalating commodity'!H80),'Escalating commodity'!H80))</f>
        <v>2.9000000000000001E-2</v>
      </c>
      <c r="AI67" s="88">
        <f t="shared" si="36"/>
        <v>2.9000000000000001E-2</v>
      </c>
      <c r="AJ67" s="236">
        <f t="shared" si="22"/>
        <v>38791.5</v>
      </c>
      <c r="AK67" s="58">
        <f t="shared" ca="1" si="23"/>
        <v>1751</v>
      </c>
      <c r="AL67" s="26">
        <f ca="1">IF($A68="","",_xll.SPRDOPT(P67,X67,AI67,0,AB67,AE67,AF67,AK67,$AJ$2,0))</f>
        <v>3.571555115350962E-3</v>
      </c>
      <c r="AM67" s="89">
        <f t="shared" si="24"/>
        <v>0</v>
      </c>
      <c r="AN67" s="89">
        <f t="shared" ca="1" si="25"/>
        <v>3.571555115350962E-3</v>
      </c>
      <c r="AO67" s="3">
        <f t="shared" si="26"/>
        <v>31</v>
      </c>
      <c r="AP67" s="33">
        <f t="shared" si="27"/>
        <v>38777</v>
      </c>
      <c r="AQ67" s="58">
        <f t="shared" ca="1" si="28"/>
        <v>1751</v>
      </c>
      <c r="AR67" s="38">
        <f>'ANR OK vs ML7'!AR67</f>
        <v>0.1</v>
      </c>
      <c r="AS67" s="35">
        <f t="shared" ca="1" si="29"/>
        <v>0.6263801503952201</v>
      </c>
      <c r="AT67" s="3">
        <f t="shared" si="30"/>
        <v>1</v>
      </c>
      <c r="AU67" s="3">
        <f t="shared" si="31"/>
        <v>31</v>
      </c>
      <c r="AW67" s="32">
        <f t="shared" ca="1" si="32"/>
        <v>4043.6504136082826</v>
      </c>
      <c r="AX67" s="32">
        <f t="shared" si="33"/>
        <v>0</v>
      </c>
      <c r="AY67" s="32">
        <f t="shared" ca="1" si="34"/>
        <v>4043.6504136082826</v>
      </c>
      <c r="BA67" s="32">
        <f ca="1">IF($A68="","",F67*Summary!$Q$12)</f>
        <v>0</v>
      </c>
      <c r="BC67" s="256">
        <f t="shared" ca="1" si="37"/>
        <v>0</v>
      </c>
    </row>
    <row r="68" spans="1:55">
      <c r="A68" s="67">
        <f t="shared" si="35"/>
        <v>38808</v>
      </c>
      <c r="B68" s="69">
        <f t="shared" si="38"/>
        <v>36522</v>
      </c>
      <c r="C68" s="71"/>
      <c r="D68" s="69">
        <f t="shared" si="0"/>
        <v>36522</v>
      </c>
      <c r="E68" s="70">
        <f t="shared" si="1"/>
        <v>1095660</v>
      </c>
      <c r="F68" s="70">
        <f t="shared" ca="1" si="2"/>
        <v>680639.23322921339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0.18</v>
      </c>
      <c r="K68" s="64">
        <f t="shared" si="6"/>
        <v>0.18</v>
      </c>
      <c r="L68" s="63">
        <f t="shared" si="7"/>
        <v>0</v>
      </c>
      <c r="M68" s="64">
        <f t="shared" si="8"/>
        <v>0</v>
      </c>
      <c r="N68" s="65"/>
      <c r="O68" s="63">
        <f t="shared" si="9"/>
        <v>4.1899999999999995</v>
      </c>
      <c r="P68" s="63">
        <f t="shared" si="10"/>
        <v>4.1899999999999995</v>
      </c>
      <c r="Q68" s="66"/>
      <c r="R68" s="63">
        <f t="shared" si="11"/>
        <v>0.17</v>
      </c>
      <c r="S68" s="64">
        <f t="shared" si="12"/>
        <v>0.17</v>
      </c>
      <c r="T68" s="63">
        <f t="shared" si="13"/>
        <v>0</v>
      </c>
      <c r="U68" s="64">
        <f t="shared" si="14"/>
        <v>0</v>
      </c>
      <c r="V68" s="90">
        <f>IF($A69="","",IF(AND(MONTH(A68)&gt;3,MONTH(A68)&lt;11),(T68+R68+G68)*(((1/(1-Summary!$T$12))/(1-Summary!$W$12))-1),(T68+R68+G68)*((1/(1-Summary!$U$12))/(1-Summary!$X$12)-1)))</f>
        <v>0</v>
      </c>
      <c r="W68" s="63">
        <f t="shared" si="15"/>
        <v>4.18</v>
      </c>
      <c r="X68" s="63">
        <f t="shared" si="16"/>
        <v>4.18</v>
      </c>
      <c r="Y68" s="43"/>
      <c r="Z68" s="38">
        <f t="shared" si="17"/>
        <v>0.45</v>
      </c>
      <c r="AA68" s="38">
        <f t="shared" si="18"/>
        <v>0.245</v>
      </c>
      <c r="AB68" s="38">
        <f t="shared" ca="1" si="19"/>
        <v>0.24852209060241742</v>
      </c>
      <c r="AC68" s="38">
        <f t="shared" si="20"/>
        <v>0.45</v>
      </c>
      <c r="AD68" s="38">
        <f t="shared" si="20"/>
        <v>0.245</v>
      </c>
      <c r="AE68" s="38">
        <f t="shared" ca="1" si="21"/>
        <v>0.24852209060241742</v>
      </c>
      <c r="AF68" s="238">
        <f ca="1">((Summary!$N$12*(AA68*AD68)*(A68-$D$3))+(Summary!$M$12*Z68*AC68*(AJ68-EOMONTH(EDATE(A68,-1),0))))/(AK68*AB68*AE68)</f>
        <v>0.99990275980622767</v>
      </c>
      <c r="AG68" s="88">
        <f>IF($A69="","",Summary!$Q$12)</f>
        <v>0</v>
      </c>
      <c r="AH68" s="88">
        <f>IF($A69="","",IF(Summary!$R$12="Y",(VLOOKUP($A68,Summary!$AD$6:$AF$9,3)+'Escalating commodity'!H81),'Escalating commodity'!H81))</f>
        <v>2.9000000000000001E-2</v>
      </c>
      <c r="AI68" s="88">
        <f t="shared" si="36"/>
        <v>2.9000000000000001E-2</v>
      </c>
      <c r="AJ68" s="236">
        <f t="shared" si="22"/>
        <v>38822</v>
      </c>
      <c r="AK68" s="58">
        <f t="shared" ca="1" si="23"/>
        <v>1782</v>
      </c>
      <c r="AL68" s="26">
        <f ca="1">IF($A69="","",_xll.SPRDOPT(P68,X68,AI68,0,AB68,AE68,AF68,AK68,$AJ$2,0))</f>
        <v>3.2645937086137715E-3</v>
      </c>
      <c r="AM68" s="89">
        <f t="shared" si="24"/>
        <v>0</v>
      </c>
      <c r="AN68" s="89">
        <f t="shared" ca="1" si="25"/>
        <v>3.2645937086137715E-3</v>
      </c>
      <c r="AO68" s="3">
        <f t="shared" si="26"/>
        <v>30</v>
      </c>
      <c r="AP68" s="33">
        <f t="shared" si="27"/>
        <v>38808</v>
      </c>
      <c r="AQ68" s="58">
        <f t="shared" ca="1" si="28"/>
        <v>1782</v>
      </c>
      <c r="AR68" s="38">
        <f>'ANR OK vs ML7'!AR68</f>
        <v>0.1</v>
      </c>
      <c r="AS68" s="35">
        <f t="shared" ca="1" si="29"/>
        <v>0.62121391054634956</v>
      </c>
      <c r="AT68" s="3">
        <f t="shared" si="30"/>
        <v>1</v>
      </c>
      <c r="AU68" s="3">
        <f t="shared" si="31"/>
        <v>30</v>
      </c>
      <c r="AW68" s="32">
        <f t="shared" ca="1" si="32"/>
        <v>3576.884742779765</v>
      </c>
      <c r="AX68" s="32">
        <f t="shared" si="33"/>
        <v>0</v>
      </c>
      <c r="AY68" s="32">
        <f t="shared" ca="1" si="34"/>
        <v>3576.884742779765</v>
      </c>
      <c r="BA68" s="32">
        <f ca="1">IF($A69="","",F68*Summary!$Q$12)</f>
        <v>0</v>
      </c>
      <c r="BC68" s="256">
        <f t="shared" ca="1" si="37"/>
        <v>0</v>
      </c>
    </row>
    <row r="69" spans="1:55">
      <c r="A69" s="67">
        <f t="shared" si="35"/>
        <v>38838</v>
      </c>
      <c r="B69" s="69">
        <f t="shared" si="38"/>
        <v>36522</v>
      </c>
      <c r="C69" s="71"/>
      <c r="D69" s="69">
        <f t="shared" si="0"/>
        <v>36522</v>
      </c>
      <c r="E69" s="70">
        <f t="shared" si="1"/>
        <v>1132182</v>
      </c>
      <c r="F69" s="70">
        <f t="shared" ca="1" si="2"/>
        <v>697712.70242974663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0.18</v>
      </c>
      <c r="K69" s="64">
        <f t="shared" si="6"/>
        <v>0.18</v>
      </c>
      <c r="L69" s="63">
        <f t="shared" si="7"/>
        <v>0</v>
      </c>
      <c r="M69" s="64">
        <f t="shared" si="8"/>
        <v>0</v>
      </c>
      <c r="N69" s="65"/>
      <c r="O69" s="63">
        <f t="shared" si="9"/>
        <v>4.16</v>
      </c>
      <c r="P69" s="63">
        <f t="shared" si="10"/>
        <v>4.16</v>
      </c>
      <c r="Q69" s="66"/>
      <c r="R69" s="63">
        <f t="shared" si="11"/>
        <v>0.17</v>
      </c>
      <c r="S69" s="64">
        <f t="shared" si="12"/>
        <v>0.17</v>
      </c>
      <c r="T69" s="63">
        <f t="shared" si="13"/>
        <v>0</v>
      </c>
      <c r="U69" s="64">
        <f t="shared" si="14"/>
        <v>0</v>
      </c>
      <c r="V69" s="90">
        <f>IF($A70="","",IF(AND(MONTH(A69)&gt;3,MONTH(A69)&lt;11),(T69+R69+G69)*(((1/(1-Summary!$T$12))/(1-Summary!$W$12))-1),(T69+R69+G69)*((1/(1-Summary!$U$12))/(1-Summary!$X$12)-1)))</f>
        <v>0</v>
      </c>
      <c r="W69" s="63">
        <f t="shared" si="15"/>
        <v>4.1500000000000004</v>
      </c>
      <c r="X69" s="63">
        <f t="shared" si="16"/>
        <v>4.1500000000000004</v>
      </c>
      <c r="Y69" s="43"/>
      <c r="Z69" s="38">
        <f t="shared" si="17"/>
        <v>0.5</v>
      </c>
      <c r="AA69" s="38">
        <f t="shared" si="18"/>
        <v>0.23800000000000002</v>
      </c>
      <c r="AB69" s="38">
        <f t="shared" ca="1" si="19"/>
        <v>0.24251552828005396</v>
      </c>
      <c r="AC69" s="38">
        <f t="shared" si="20"/>
        <v>0.5</v>
      </c>
      <c r="AD69" s="38">
        <f t="shared" si="20"/>
        <v>0.23800000000000002</v>
      </c>
      <c r="AE69" s="38">
        <f t="shared" ca="1" si="21"/>
        <v>0.24251552828005396</v>
      </c>
      <c r="AF69" s="238">
        <f ca="1">((Summary!$N$12*(AA69*AD69)*(A69-$D$3))+(Summary!$M$12*Z69*AC69*(AJ69-EOMONTH(EDATE(A69,-1),0))))/(AK69*AB69*AE69)</f>
        <v>0.9999036360882062</v>
      </c>
      <c r="AG69" s="88">
        <f>IF($A70="","",Summary!$Q$12)</f>
        <v>0</v>
      </c>
      <c r="AH69" s="88">
        <f>IF($A70="","",IF(Summary!$R$12="Y",(VLOOKUP($A69,Summary!$AD$6:$AF$9,3)+'Escalating commodity'!H82),'Escalating commodity'!H82))</f>
        <v>2.9000000000000001E-2</v>
      </c>
      <c r="AI69" s="88">
        <f t="shared" si="36"/>
        <v>2.9000000000000001E-2</v>
      </c>
      <c r="AJ69" s="236">
        <f t="shared" si="22"/>
        <v>38852.5</v>
      </c>
      <c r="AK69" s="58">
        <f t="shared" ca="1" si="23"/>
        <v>1812</v>
      </c>
      <c r="AL69" s="26">
        <f ca="1">IF($A70="","",_xll.SPRDOPT(P69,X69,AI69,0,AB69,AE69,AF69,AK69,$AJ$2,0))</f>
        <v>3.1385336204960944E-3</v>
      </c>
      <c r="AM69" s="89">
        <f t="shared" si="24"/>
        <v>0</v>
      </c>
      <c r="AN69" s="89">
        <f t="shared" ca="1" si="25"/>
        <v>3.1385336204960944E-3</v>
      </c>
      <c r="AO69" s="3">
        <f t="shared" si="26"/>
        <v>31</v>
      </c>
      <c r="AP69" s="33">
        <f t="shared" si="27"/>
        <v>38838</v>
      </c>
      <c r="AQ69" s="58">
        <f t="shared" ca="1" si="28"/>
        <v>1812</v>
      </c>
      <c r="AR69" s="38">
        <f>'ANR OK vs ML7'!AR69</f>
        <v>0.1</v>
      </c>
      <c r="AS69" s="35">
        <f t="shared" ca="1" si="29"/>
        <v>0.61625489756041574</v>
      </c>
      <c r="AT69" s="3">
        <f t="shared" si="30"/>
        <v>1</v>
      </c>
      <c r="AU69" s="3">
        <f t="shared" si="31"/>
        <v>31</v>
      </c>
      <c r="AW69" s="32">
        <f t="shared" ca="1" si="32"/>
        <v>3553.3912715205092</v>
      </c>
      <c r="AX69" s="32">
        <f t="shared" si="33"/>
        <v>0</v>
      </c>
      <c r="AY69" s="32">
        <f t="shared" ca="1" si="34"/>
        <v>3553.3912715205092</v>
      </c>
      <c r="BA69" s="32">
        <f ca="1">IF($A70="","",F69*Summary!$Q$12)</f>
        <v>0</v>
      </c>
      <c r="BC69" s="256">
        <f t="shared" ca="1" si="37"/>
        <v>0</v>
      </c>
    </row>
    <row r="70" spans="1:55">
      <c r="A70" s="67">
        <f t="shared" si="35"/>
        <v>38869</v>
      </c>
      <c r="B70" s="69">
        <f t="shared" si="38"/>
        <v>36522</v>
      </c>
      <c r="C70" s="71"/>
      <c r="D70" s="69">
        <f t="shared" si="0"/>
        <v>36522</v>
      </c>
      <c r="E70" s="70">
        <f t="shared" si="1"/>
        <v>1095660</v>
      </c>
      <c r="F70" s="70">
        <f t="shared" ca="1" si="2"/>
        <v>669636.8981114981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0.18</v>
      </c>
      <c r="K70" s="64">
        <f t="shared" si="6"/>
        <v>0.18</v>
      </c>
      <c r="L70" s="63">
        <f t="shared" si="7"/>
        <v>0</v>
      </c>
      <c r="M70" s="64">
        <f t="shared" si="8"/>
        <v>0</v>
      </c>
      <c r="N70" s="65"/>
      <c r="O70" s="63">
        <f t="shared" si="9"/>
        <v>4.2299999999999995</v>
      </c>
      <c r="P70" s="63">
        <f t="shared" si="10"/>
        <v>4.2299999999999995</v>
      </c>
      <c r="Q70" s="66"/>
      <c r="R70" s="63">
        <f t="shared" si="11"/>
        <v>0.17</v>
      </c>
      <c r="S70" s="64">
        <f t="shared" si="12"/>
        <v>0.17</v>
      </c>
      <c r="T70" s="63">
        <f t="shared" si="13"/>
        <v>0</v>
      </c>
      <c r="U70" s="64">
        <f t="shared" si="14"/>
        <v>0</v>
      </c>
      <c r="V70" s="90">
        <f>IF($A71="","",IF(AND(MONTH(A70)&gt;3,MONTH(A70)&lt;11),(T70+R70+G70)*(((1/(1-Summary!$T$12))/(1-Summary!$W$12))-1),(T70+R70+G70)*((1/(1-Summary!$U$12))/(1-Summary!$X$12)-1)))</f>
        <v>0</v>
      </c>
      <c r="W70" s="63">
        <f t="shared" si="15"/>
        <v>4.22</v>
      </c>
      <c r="X70" s="63">
        <f t="shared" si="16"/>
        <v>4.22</v>
      </c>
      <c r="Y70" s="43"/>
      <c r="Z70" s="38">
        <f t="shared" si="17"/>
        <v>0.5</v>
      </c>
      <c r="AA70" s="38">
        <f t="shared" si="18"/>
        <v>0.23800000000000002</v>
      </c>
      <c r="AB70" s="38">
        <f t="shared" ca="1" si="19"/>
        <v>0.24230035217053275</v>
      </c>
      <c r="AC70" s="38">
        <f t="shared" si="20"/>
        <v>0.5</v>
      </c>
      <c r="AD70" s="38">
        <f t="shared" si="20"/>
        <v>0.23800000000000002</v>
      </c>
      <c r="AE70" s="38">
        <f t="shared" ca="1" si="21"/>
        <v>0.24230035217053275</v>
      </c>
      <c r="AF70" s="238">
        <f ca="1">((Summary!$N$12*(AA70*AD70)*(A70-$D$3))+(Summary!$M$12*Z70*AC70*(AJ70-EOMONTH(EDATE(A70,-1),0))))/(AK70*AB70*AE70)</f>
        <v>0.99990346575486688</v>
      </c>
      <c r="AG70" s="88">
        <f>IF($A71="","",Summary!$Q$12)</f>
        <v>0</v>
      </c>
      <c r="AH70" s="88">
        <f>IF($A71="","",IF(Summary!$R$12="Y",(VLOOKUP($A70,Summary!$AD$6:$AF$9,3)+'Escalating commodity'!H83),'Escalating commodity'!H83))</f>
        <v>2.9000000000000001E-2</v>
      </c>
      <c r="AI70" s="88">
        <f t="shared" si="36"/>
        <v>2.9000000000000001E-2</v>
      </c>
      <c r="AJ70" s="236">
        <f t="shared" si="22"/>
        <v>38883</v>
      </c>
      <c r="AK70" s="58">
        <f t="shared" ca="1" si="23"/>
        <v>1843</v>
      </c>
      <c r="AL70" s="26">
        <f ca="1">IF($A71="","",_xll.SPRDOPT(P70,X70,AI70,0,AB70,AE70,AF70,AK70,$AJ$2,0))</f>
        <v>3.2405079326394866E-3</v>
      </c>
      <c r="AM70" s="89">
        <f t="shared" si="24"/>
        <v>0</v>
      </c>
      <c r="AN70" s="89">
        <f t="shared" ca="1" si="25"/>
        <v>3.2405079326394866E-3</v>
      </c>
      <c r="AO70" s="3">
        <f t="shared" si="26"/>
        <v>30</v>
      </c>
      <c r="AP70" s="33">
        <f t="shared" si="27"/>
        <v>38869</v>
      </c>
      <c r="AQ70" s="58">
        <f t="shared" ca="1" si="28"/>
        <v>1843</v>
      </c>
      <c r="AR70" s="38">
        <f>'ANR OK vs ML7'!AR70</f>
        <v>0.1</v>
      </c>
      <c r="AS70" s="35">
        <f t="shared" ca="1" si="29"/>
        <v>0.61117216847516387</v>
      </c>
      <c r="AT70" s="3">
        <f t="shared" si="30"/>
        <v>1</v>
      </c>
      <c r="AU70" s="3">
        <f t="shared" si="31"/>
        <v>30</v>
      </c>
      <c r="AW70" s="32">
        <f t="shared" ca="1" si="32"/>
        <v>3550.4949214757798</v>
      </c>
      <c r="AX70" s="32">
        <f t="shared" si="33"/>
        <v>0</v>
      </c>
      <c r="AY70" s="32">
        <f t="shared" ca="1" si="34"/>
        <v>3550.4949214757798</v>
      </c>
      <c r="BA70" s="32">
        <f ca="1">IF($A71="","",F70*Summary!$Q$12)</f>
        <v>0</v>
      </c>
      <c r="BC70" s="256">
        <f t="shared" ca="1" si="37"/>
        <v>0</v>
      </c>
    </row>
    <row r="71" spans="1:55">
      <c r="A71" s="67">
        <f t="shared" si="35"/>
        <v>38899</v>
      </c>
      <c r="B71" s="69">
        <f t="shared" si="38"/>
        <v>36522</v>
      </c>
      <c r="C71" s="71"/>
      <c r="D71" s="69">
        <f t="shared" si="0"/>
        <v>36522</v>
      </c>
      <c r="E71" s="70">
        <f t="shared" si="1"/>
        <v>1132182</v>
      </c>
      <c r="F71" s="70">
        <f t="shared" ca="1" si="2"/>
        <v>686434.37965132133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0.18</v>
      </c>
      <c r="K71" s="64">
        <f t="shared" si="6"/>
        <v>0.18</v>
      </c>
      <c r="L71" s="63">
        <f t="shared" si="7"/>
        <v>0</v>
      </c>
      <c r="M71" s="64">
        <f t="shared" si="8"/>
        <v>0</v>
      </c>
      <c r="N71" s="65"/>
      <c r="O71" s="63">
        <f t="shared" si="9"/>
        <v>4.2850000000000001</v>
      </c>
      <c r="P71" s="63">
        <f t="shared" si="10"/>
        <v>4.2850000000000001</v>
      </c>
      <c r="Q71" s="66"/>
      <c r="R71" s="63">
        <f t="shared" si="11"/>
        <v>0.17</v>
      </c>
      <c r="S71" s="64">
        <f t="shared" si="12"/>
        <v>0.17</v>
      </c>
      <c r="T71" s="63">
        <f t="shared" si="13"/>
        <v>0</v>
      </c>
      <c r="U71" s="64">
        <f t="shared" si="14"/>
        <v>0</v>
      </c>
      <c r="V71" s="90">
        <f>IF($A72="","",IF(AND(MONTH(A71)&gt;3,MONTH(A71)&lt;11),(T71+R71+G71)*(((1/(1-Summary!$T$12))/(1-Summary!$W$12))-1),(T71+R71+G71)*((1/(1-Summary!$U$12))/(1-Summary!$X$12)-1)))</f>
        <v>0</v>
      </c>
      <c r="W71" s="63">
        <f t="shared" si="15"/>
        <v>4.2750000000000004</v>
      </c>
      <c r="X71" s="63">
        <f t="shared" si="16"/>
        <v>4.2750000000000004</v>
      </c>
      <c r="Y71" s="43"/>
      <c r="Z71" s="38">
        <f t="shared" si="17"/>
        <v>0.55000000000000004</v>
      </c>
      <c r="AA71" s="38">
        <f t="shared" si="18"/>
        <v>0.23800000000000002</v>
      </c>
      <c r="AB71" s="38">
        <f t="shared" ca="1" si="19"/>
        <v>0.24326442256230199</v>
      </c>
      <c r="AC71" s="38">
        <f t="shared" si="20"/>
        <v>0.55000000000000004</v>
      </c>
      <c r="AD71" s="38">
        <f t="shared" si="20"/>
        <v>0.23800000000000002</v>
      </c>
      <c r="AE71" s="38">
        <f t="shared" ca="1" si="21"/>
        <v>0.24326442256230199</v>
      </c>
      <c r="AF71" s="238">
        <f ca="1">((Summary!$N$12*(AA71*AD71)*(A71-$D$3))+(Summary!$M$12*Z71*AC71*(AJ71-EOMONTH(EDATE(A71,-1),0))))/(AK71*AB71*AE71)</f>
        <v>0.9999042302117167</v>
      </c>
      <c r="AG71" s="88">
        <f>IF($A72="","",Summary!$Q$12)</f>
        <v>0</v>
      </c>
      <c r="AH71" s="88">
        <f>IF($A72="","",IF(Summary!$R$12="Y",(VLOOKUP($A71,Summary!$AD$6:$AF$9,3)+'Escalating commodity'!H84),'Escalating commodity'!H84))</f>
        <v>2.9000000000000001E-2</v>
      </c>
      <c r="AI71" s="88">
        <f t="shared" si="36"/>
        <v>2.9000000000000001E-2</v>
      </c>
      <c r="AJ71" s="236">
        <f t="shared" si="22"/>
        <v>38913.5</v>
      </c>
      <c r="AK71" s="58">
        <f t="shared" ca="1" si="23"/>
        <v>1873</v>
      </c>
      <c r="AL71" s="26">
        <f ca="1">IF($A72="","",_xll.SPRDOPT(P71,X71,AI71,0,AB71,AE71,AF71,AK71,$AJ$2,0))</f>
        <v>3.318979597311443E-3</v>
      </c>
      <c r="AM71" s="89">
        <f t="shared" si="24"/>
        <v>0</v>
      </c>
      <c r="AN71" s="89">
        <f t="shared" ca="1" si="25"/>
        <v>3.318979597311443E-3</v>
      </c>
      <c r="AO71" s="3">
        <f t="shared" si="26"/>
        <v>31</v>
      </c>
      <c r="AP71" s="33">
        <f t="shared" si="27"/>
        <v>38899</v>
      </c>
      <c r="AQ71" s="58">
        <f t="shared" ca="1" si="28"/>
        <v>1873</v>
      </c>
      <c r="AR71" s="38">
        <f>'ANR OK vs ML7'!AR71</f>
        <v>0.1</v>
      </c>
      <c r="AS71" s="35">
        <f t="shared" ca="1" si="29"/>
        <v>0.60629331649091867</v>
      </c>
      <c r="AT71" s="3">
        <f t="shared" si="30"/>
        <v>1</v>
      </c>
      <c r="AU71" s="3">
        <f t="shared" si="31"/>
        <v>31</v>
      </c>
      <c r="AW71" s="32">
        <f t="shared" ca="1" si="32"/>
        <v>3757.6889584432643</v>
      </c>
      <c r="AX71" s="32">
        <f t="shared" si="33"/>
        <v>0</v>
      </c>
      <c r="AY71" s="32">
        <f t="shared" ca="1" si="34"/>
        <v>3757.6889584432643</v>
      </c>
      <c r="BA71" s="32">
        <f ca="1">IF($A72="","",F71*Summary!$Q$12)</f>
        <v>0</v>
      </c>
      <c r="BC71" s="256">
        <f t="shared" ca="1" si="37"/>
        <v>0</v>
      </c>
    </row>
    <row r="72" spans="1:55">
      <c r="A72" s="67">
        <f t="shared" si="35"/>
        <v>38930</v>
      </c>
      <c r="B72" s="69">
        <f t="shared" si="38"/>
        <v>36522</v>
      </c>
      <c r="C72" s="71"/>
      <c r="D72" s="69">
        <f t="shared" si="0"/>
        <v>36522</v>
      </c>
      <c r="E72" s="70">
        <f t="shared" si="1"/>
        <v>1132182</v>
      </c>
      <c r="F72" s="70">
        <f t="shared" ca="1" si="2"/>
        <v>680772.82629023248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0.18</v>
      </c>
      <c r="K72" s="64">
        <f t="shared" si="6"/>
        <v>0.18</v>
      </c>
      <c r="L72" s="63">
        <f t="shared" si="7"/>
        <v>0</v>
      </c>
      <c r="M72" s="64">
        <f t="shared" si="8"/>
        <v>0</v>
      </c>
      <c r="N72" s="65"/>
      <c r="O72" s="63">
        <f t="shared" si="9"/>
        <v>4.3410000000000002</v>
      </c>
      <c r="P72" s="63">
        <f t="shared" si="10"/>
        <v>4.3410000000000002</v>
      </c>
      <c r="Q72" s="66"/>
      <c r="R72" s="63">
        <f t="shared" si="11"/>
        <v>0.17</v>
      </c>
      <c r="S72" s="64">
        <f t="shared" si="12"/>
        <v>0.17</v>
      </c>
      <c r="T72" s="63">
        <f t="shared" si="13"/>
        <v>0</v>
      </c>
      <c r="U72" s="64">
        <f t="shared" si="14"/>
        <v>0</v>
      </c>
      <c r="V72" s="90">
        <f>IF($A73="","",IF(AND(MONTH(A72)&gt;3,MONTH(A72)&lt;11),(T72+R72+G72)*(((1/(1-Summary!$T$12))/(1-Summary!$W$12))-1),(T72+R72+G72)*((1/(1-Summary!$U$12))/(1-Summary!$X$12)-1)))</f>
        <v>0</v>
      </c>
      <c r="W72" s="63">
        <f t="shared" si="15"/>
        <v>4.3310000000000004</v>
      </c>
      <c r="X72" s="63">
        <f t="shared" si="16"/>
        <v>4.3310000000000004</v>
      </c>
      <c r="Y72" s="43"/>
      <c r="Z72" s="38">
        <f t="shared" si="17"/>
        <v>0.6</v>
      </c>
      <c r="AA72" s="38">
        <f t="shared" si="18"/>
        <v>0.23800000000000002</v>
      </c>
      <c r="AB72" s="38">
        <f t="shared" ca="1" si="19"/>
        <v>0.24414016930629742</v>
      </c>
      <c r="AC72" s="38">
        <f t="shared" si="20"/>
        <v>0.6</v>
      </c>
      <c r="AD72" s="38">
        <f t="shared" si="20"/>
        <v>0.23800000000000002</v>
      </c>
      <c r="AE72" s="38">
        <f t="shared" ca="1" si="21"/>
        <v>0.24414016930629742</v>
      </c>
      <c r="AF72" s="238">
        <f ca="1">((Summary!$N$12*(AA72*AD72)*(A72-$D$3))+(Summary!$M$12*Z72*AC72*(AJ72-EOMONTH(EDATE(A72,-1),0))))/(AK72*AB72*AE72)</f>
        <v>0.99990491687052296</v>
      </c>
      <c r="AG72" s="88">
        <f>IF($A73="","",Summary!$Q$12)</f>
        <v>0</v>
      </c>
      <c r="AH72" s="88">
        <f>IF($A73="","",IF(Summary!$R$12="Y",(VLOOKUP($A72,Summary!$AD$6:$AF$9,3)+'Escalating commodity'!H85),'Escalating commodity'!H85))</f>
        <v>2.9000000000000001E-2</v>
      </c>
      <c r="AI72" s="88">
        <f t="shared" si="36"/>
        <v>2.9000000000000001E-2</v>
      </c>
      <c r="AJ72" s="236">
        <f t="shared" si="22"/>
        <v>38944.5</v>
      </c>
      <c r="AK72" s="58">
        <f t="shared" ca="1" si="23"/>
        <v>1904</v>
      </c>
      <c r="AL72" s="26">
        <f ca="1">IF($A73="","",_xll.SPRDOPT(P72,X72,AI72,0,AB72,AE72,AF72,AK72,$AJ$2,0))</f>
        <v>3.400413927823337E-3</v>
      </c>
      <c r="AM72" s="89">
        <f t="shared" si="24"/>
        <v>0</v>
      </c>
      <c r="AN72" s="89">
        <f t="shared" ca="1" si="25"/>
        <v>3.400413927823337E-3</v>
      </c>
      <c r="AO72" s="3">
        <f t="shared" si="26"/>
        <v>31</v>
      </c>
      <c r="AP72" s="33">
        <f t="shared" si="27"/>
        <v>38930</v>
      </c>
      <c r="AQ72" s="58">
        <f t="shared" ca="1" si="28"/>
        <v>1904</v>
      </c>
      <c r="AR72" s="38">
        <f>'ANR OK vs ML7'!AR72</f>
        <v>0.1</v>
      </c>
      <c r="AS72" s="35">
        <f t="shared" ca="1" si="29"/>
        <v>0.60129274824209578</v>
      </c>
      <c r="AT72" s="3">
        <f t="shared" si="30"/>
        <v>1</v>
      </c>
      <c r="AU72" s="3">
        <f t="shared" si="31"/>
        <v>31</v>
      </c>
      <c r="AW72" s="32">
        <f t="shared" ca="1" si="32"/>
        <v>3849.8874416308813</v>
      </c>
      <c r="AX72" s="32">
        <f t="shared" si="33"/>
        <v>0</v>
      </c>
      <c r="AY72" s="32">
        <f t="shared" ca="1" si="34"/>
        <v>3849.8874416308813</v>
      </c>
      <c r="BA72" s="32">
        <f ca="1">IF($A73="","",F72*Summary!$Q$12)</f>
        <v>0</v>
      </c>
      <c r="BC72" s="256">
        <f t="shared" ca="1" si="37"/>
        <v>0</v>
      </c>
    </row>
    <row r="73" spans="1:55">
      <c r="A73" s="67">
        <f t="shared" si="35"/>
        <v>38961</v>
      </c>
      <c r="B73" s="69">
        <f t="shared" si="38"/>
        <v>36522</v>
      </c>
      <c r="C73" s="71"/>
      <c r="D73" s="69">
        <f t="shared" si="0"/>
        <v>36522</v>
      </c>
      <c r="E73" s="70">
        <f t="shared" si="1"/>
        <v>1095660</v>
      </c>
      <c r="F73" s="70">
        <f t="shared" ca="1" si="2"/>
        <v>653378.67882875609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0.18</v>
      </c>
      <c r="K73" s="64">
        <f t="shared" si="6"/>
        <v>0.18</v>
      </c>
      <c r="L73" s="63">
        <f t="shared" si="7"/>
        <v>0</v>
      </c>
      <c r="M73" s="64">
        <f t="shared" si="8"/>
        <v>0</v>
      </c>
      <c r="N73" s="65"/>
      <c r="O73" s="63">
        <f t="shared" si="9"/>
        <v>4.3549999999999995</v>
      </c>
      <c r="P73" s="63">
        <f t="shared" si="10"/>
        <v>4.3549999999999995</v>
      </c>
      <c r="Q73" s="66"/>
      <c r="R73" s="63">
        <f t="shared" si="11"/>
        <v>0.17</v>
      </c>
      <c r="S73" s="64">
        <f t="shared" si="12"/>
        <v>0.17</v>
      </c>
      <c r="T73" s="63">
        <f t="shared" si="13"/>
        <v>0</v>
      </c>
      <c r="U73" s="64">
        <f t="shared" si="14"/>
        <v>0</v>
      </c>
      <c r="V73" s="90">
        <f>IF($A74="","",IF(AND(MONTH(A73)&gt;3,MONTH(A73)&lt;11),(T73+R73+G73)*(((1/(1-Summary!$T$12))/(1-Summary!$W$12))-1),(T73+R73+G73)*((1/(1-Summary!$U$12))/(1-Summary!$X$12)-1)))</f>
        <v>0</v>
      </c>
      <c r="W73" s="63">
        <f t="shared" si="15"/>
        <v>4.3449999999999998</v>
      </c>
      <c r="X73" s="63">
        <f t="shared" si="16"/>
        <v>4.3449999999999998</v>
      </c>
      <c r="Y73" s="43"/>
      <c r="Z73" s="38">
        <f t="shared" si="17"/>
        <v>0.6</v>
      </c>
      <c r="AA73" s="38">
        <f t="shared" si="18"/>
        <v>0.23800000000000002</v>
      </c>
      <c r="AB73" s="38">
        <f t="shared" ca="1" si="19"/>
        <v>0.24385235504179886</v>
      </c>
      <c r="AC73" s="38">
        <f t="shared" si="20"/>
        <v>0.6</v>
      </c>
      <c r="AD73" s="38">
        <f t="shared" si="20"/>
        <v>0.23800000000000002</v>
      </c>
      <c r="AE73" s="38">
        <f t="shared" ca="1" si="21"/>
        <v>0.24385235504179886</v>
      </c>
      <c r="AF73" s="238">
        <f ca="1">((Summary!$N$12*(AA73*AD73)*(A73-$D$3))+(Summary!$M$12*Z73*AC73*(AJ73-EOMONTH(EDATE(A73,-1),0))))/(AK73*AB73*AE73)</f>
        <v>0.99990469308999175</v>
      </c>
      <c r="AG73" s="88">
        <f>IF($A74="","",Summary!$Q$12)</f>
        <v>0</v>
      </c>
      <c r="AH73" s="88">
        <f>IF($A74="","",IF(Summary!$R$12="Y",(VLOOKUP($A73,Summary!$AD$6:$AF$9,3)+'Escalating commodity'!H86),'Escalating commodity'!H86))</f>
        <v>2.9000000000000001E-2</v>
      </c>
      <c r="AI73" s="88">
        <f t="shared" si="36"/>
        <v>2.9000000000000001E-2</v>
      </c>
      <c r="AJ73" s="236">
        <f t="shared" si="22"/>
        <v>38975</v>
      </c>
      <c r="AK73" s="58">
        <f t="shared" ca="1" si="23"/>
        <v>1935</v>
      </c>
      <c r="AL73" s="26">
        <f ca="1">IF($A74="","",_xll.SPRDOPT(P73,X73,AI73,0,AB73,AE73,AF73,AK73,$AJ$2,0))</f>
        <v>3.4529457268539093E-3</v>
      </c>
      <c r="AM73" s="89">
        <f t="shared" si="24"/>
        <v>0</v>
      </c>
      <c r="AN73" s="89">
        <f t="shared" ca="1" si="25"/>
        <v>3.4529457268539093E-3</v>
      </c>
      <c r="AO73" s="3">
        <f t="shared" si="26"/>
        <v>30</v>
      </c>
      <c r="AP73" s="33">
        <f t="shared" si="27"/>
        <v>38961</v>
      </c>
      <c r="AQ73" s="58">
        <f t="shared" ca="1" si="28"/>
        <v>1935</v>
      </c>
      <c r="AR73" s="38">
        <f>'ANR OK vs ML7'!AR73</f>
        <v>0.1</v>
      </c>
      <c r="AS73" s="35">
        <f t="shared" ca="1" si="29"/>
        <v>0.59633342353353791</v>
      </c>
      <c r="AT73" s="3">
        <f t="shared" si="30"/>
        <v>1</v>
      </c>
      <c r="AU73" s="3">
        <f t="shared" si="31"/>
        <v>30</v>
      </c>
      <c r="AW73" s="32">
        <f t="shared" ca="1" si="32"/>
        <v>3783.2545150847541</v>
      </c>
      <c r="AX73" s="32">
        <f t="shared" si="33"/>
        <v>0</v>
      </c>
      <c r="AY73" s="32">
        <f t="shared" ca="1" si="34"/>
        <v>3783.2545150847541</v>
      </c>
      <c r="BA73" s="32">
        <f ca="1">IF($A74="","",F73*Summary!$Q$12)</f>
        <v>0</v>
      </c>
      <c r="BC73" s="256">
        <f t="shared" ca="1" si="37"/>
        <v>0</v>
      </c>
    </row>
    <row r="74" spans="1:55">
      <c r="A74" s="67">
        <f t="shared" si="35"/>
        <v>38991</v>
      </c>
      <c r="B74" s="69">
        <f t="shared" si="38"/>
        <v>36522</v>
      </c>
      <c r="C74" s="71"/>
      <c r="D74" s="69">
        <f t="shared" ref="D74:D137" si="39">IF(A75&lt;&gt;"",B74+C74,"")</f>
        <v>36522</v>
      </c>
      <c r="E74" s="70">
        <f t="shared" ref="E74:E137" si="40">IF(A75="","",IF(AND(AT74=1,$H$3=1),D74*AO74,IF($H$3=2,D74,"N/A")))</f>
        <v>1132182</v>
      </c>
      <c r="F74" s="70">
        <f t="shared" ref="F74:F137" ca="1" si="41">IF(A75="","",E74*AS74)</f>
        <v>669768.33167956537</v>
      </c>
      <c r="G74" s="63">
        <f t="shared" ref="G74:G137" si="42">IF($A75="","",VLOOKUP($A74,Table,MATCH(G$4,Curves,0)))</f>
        <v>4.2060000000000004</v>
      </c>
      <c r="H74" s="64">
        <f t="shared" ref="H74:H137" si="43">IF(A75="","",G74)</f>
        <v>4.2060000000000004</v>
      </c>
      <c r="I74" s="43"/>
      <c r="J74" s="63">
        <f t="shared" ref="J74:J137" si="44">IF($A75="","",VLOOKUP($A74,Table,MATCH(J$4,Curves,0)))</f>
        <v>0.18</v>
      </c>
      <c r="K74" s="64">
        <f t="shared" ref="K74:K137" si="45">IF(A75="","",J74)</f>
        <v>0.18</v>
      </c>
      <c r="L74" s="63">
        <f t="shared" ref="L74:L137" si="46">IF($A75="","",VLOOKUP($A74,Table,MATCH(L$4,Curves,0)))</f>
        <v>0</v>
      </c>
      <c r="M74" s="64">
        <f t="shared" ref="M74:M137" si="47">IF(A75="","",L74)</f>
        <v>0</v>
      </c>
      <c r="N74" s="65"/>
      <c r="O74" s="63">
        <f t="shared" ref="O74:O137" si="48">IF(A75="","",L74+J74+G74)</f>
        <v>4.3860000000000001</v>
      </c>
      <c r="P74" s="63">
        <f t="shared" ref="P74:P137" si="49">IF(A75="","",M74+K74+H74)</f>
        <v>4.3860000000000001</v>
      </c>
      <c r="Q74" s="66"/>
      <c r="R74" s="63">
        <f t="shared" ref="R74:R137" si="50">IF($A75="","",VLOOKUP($A74,Table,MATCH(R$4,Curves,0)))</f>
        <v>0.17</v>
      </c>
      <c r="S74" s="64">
        <f t="shared" ref="S74:S137" si="51">IF(A75="","",R74)</f>
        <v>0.17</v>
      </c>
      <c r="T74" s="63">
        <f t="shared" ref="T74:T137" si="52">IF($A75="","",VLOOKUP($A74,Table,MATCH(T$4,Curves,0)))</f>
        <v>0</v>
      </c>
      <c r="U74" s="64">
        <f t="shared" ref="U74:U137" si="53">IF(A75="","",T74)</f>
        <v>0</v>
      </c>
      <c r="V74" s="90">
        <f>IF($A75="","",IF(AND(MONTH(A74)&gt;3,MONTH(A74)&lt;11),(T74+R74+G74)*(((1/(1-Summary!$T$12))/(1-Summary!$W$12))-1),(T74+R74+G74)*((1/(1-Summary!$U$12))/(1-Summary!$X$12)-1)))</f>
        <v>0</v>
      </c>
      <c r="W74" s="63">
        <f t="shared" ref="W74:W137" si="54">IF($A75="","",(T74+R74+G74+V74))</f>
        <v>4.3760000000000003</v>
      </c>
      <c r="X74" s="63">
        <f t="shared" ref="X74:X137" si="55">IF($A75="","",(U74+S74+H74+V74))</f>
        <v>4.3760000000000003</v>
      </c>
      <c r="Y74" s="43"/>
      <c r="Z74" s="38">
        <f t="shared" ref="Z74:Z137" si="56">IF($A75="","",VLOOKUP($A74,Table,MATCH(Z$4,Curves,0)))</f>
        <v>0.65</v>
      </c>
      <c r="AA74" s="38">
        <f t="shared" ref="AA74:AA137" si="57">IF($A75="","",VLOOKUP($A74,Table,MATCH(AA$4,Curves,0)))</f>
        <v>0.23800000000000002</v>
      </c>
      <c r="AB74" s="38">
        <f t="shared" ref="AB74:AB137" ca="1" si="58">SQRT((AA74^2*(A74-$D$3)+Z74^2*(DAY(EOMONTH(A74,0))/2))/AK74)</f>
        <v>0.24496024915100439</v>
      </c>
      <c r="AC74" s="38">
        <f t="shared" ref="AC74:AD137" si="59">IF($A75="","",VLOOKUP($A74,Table,MATCH(AC$4,Curves,0)))</f>
        <v>0.65</v>
      </c>
      <c r="AD74" s="38">
        <f t="shared" si="59"/>
        <v>0.23800000000000002</v>
      </c>
      <c r="AE74" s="38">
        <f t="shared" ref="AE74:AE137" ca="1" si="60">SQRT((AD74^2*(A74-$D$3)+AC74^2*(DAY(EOMONTH(A74,0))/2))/AK74)</f>
        <v>0.24496024915100439</v>
      </c>
      <c r="AF74" s="238">
        <f ca="1">((Summary!$N$12*(AA74*AD74)*(A74-$D$3))+(Summary!$M$12*Z74*AC74*(AJ74-EOMONTH(EDATE(A74,-1),0))))/(AK74*AB74*AE74)</f>
        <v>0.99990555398402914</v>
      </c>
      <c r="AG74" s="88">
        <f>IF($A75="","",Summary!$Q$12)</f>
        <v>0</v>
      </c>
      <c r="AH74" s="88">
        <f>IF($A75="","",IF(Summary!$R$12="Y",(VLOOKUP($A74,Summary!$AD$6:$AF$9,3)+'Escalating commodity'!H87),'Escalating commodity'!H87))</f>
        <v>2.9000000000000001E-2</v>
      </c>
      <c r="AI74" s="88">
        <f t="shared" si="36"/>
        <v>2.9000000000000001E-2</v>
      </c>
      <c r="AJ74" s="236">
        <f t="shared" ref="AJ74:AJ137" si="61">A74+DAY(EOMONTH(A74,0))/2-1</f>
        <v>39005.5</v>
      </c>
      <c r="AK74" s="58">
        <f t="shared" ref="AK74:AK137" ca="1" si="62">IF($A75="","",$A74-$E$1)</f>
        <v>1965</v>
      </c>
      <c r="AL74" s="26">
        <f ca="1">IF($A75="","",_xll.SPRDOPT(P74,X74,AI74,0,AB74,AE74,AF74,AK74,$AJ$2,0))</f>
        <v>3.5082159646689648E-3</v>
      </c>
      <c r="AM74" s="89">
        <f t="shared" ref="AM74:AM137" si="63">IF($A75="","",MAX(0,O74-W74-AI74))</f>
        <v>0</v>
      </c>
      <c r="AN74" s="89">
        <f t="shared" ref="AN74:AN137" ca="1" si="64">IF($A75="","",AL74-AM74)</f>
        <v>3.5082159646689648E-3</v>
      </c>
      <c r="AO74" s="3">
        <f t="shared" ref="AO74:AO137" si="65">IF(A75="","",A75-A74)</f>
        <v>31</v>
      </c>
      <c r="AP74" s="33">
        <f t="shared" ref="AP74:AP137" si="66">IF(A75="","",CHOOSE(F$3,A75+24,A74))</f>
        <v>38991</v>
      </c>
      <c r="AQ74" s="58">
        <f t="shared" ref="AQ74:AQ137" ca="1" si="67">IF(A75="","",AP74-$E$1)</f>
        <v>1965</v>
      </c>
      <c r="AR74" s="38">
        <f>'ANR OK vs ML7'!AR74</f>
        <v>0.1</v>
      </c>
      <c r="AS74" s="35">
        <f t="shared" ref="AS74:AS137" ca="1" si="68">IF(A75="","",1/(1+CHOOSE(F$3,(AR75+($I$3/10000))/2,(AR74+($I$3/10000))/2))^(2*AQ74/365.25))</f>
        <v>0.59157302596187311</v>
      </c>
      <c r="AT74" s="3">
        <f t="shared" ref="AT74:AT137" si="69">IF(A75="","",IF(AND(mthbeg&lt;=A74,mthend&gt;=A74),1,0))</f>
        <v>1</v>
      </c>
      <c r="AU74" s="3">
        <f t="shared" ref="AU74:AU137" si="70">IF(A75="","",AO74*AT74)</f>
        <v>31</v>
      </c>
      <c r="AW74" s="32">
        <f t="shared" ref="AW74:AX137" ca="1" si="71">IF($A75="","",AL74*$E74)</f>
        <v>3971.9389673108381</v>
      </c>
      <c r="AX74" s="32">
        <f t="shared" si="71"/>
        <v>0</v>
      </c>
      <c r="AY74" s="32">
        <f t="shared" ref="AY74:AY137" ca="1" si="72">IF($A75="","",AN74*$E74)</f>
        <v>3971.9389673108381</v>
      </c>
      <c r="BA74" s="32">
        <f ca="1">IF($A75="","",F74*Summary!$Q$12)</f>
        <v>0</v>
      </c>
      <c r="BC74" s="256">
        <f t="shared" ca="1" si="37"/>
        <v>0</v>
      </c>
    </row>
    <row r="75" spans="1:55">
      <c r="A75" s="67">
        <f t="shared" ref="A75:A138" si="73">IF(A74&lt;mthend,EDATE(A74,1),"")</f>
        <v>39022</v>
      </c>
      <c r="B75" s="69">
        <f t="shared" si="38"/>
        <v>36522</v>
      </c>
      <c r="C75" s="71"/>
      <c r="D75" s="69">
        <f t="shared" si="39"/>
        <v>36522</v>
      </c>
      <c r="E75" s="70">
        <f t="shared" si="40"/>
        <v>1095660</v>
      </c>
      <c r="F75" s="70">
        <f t="shared" ca="1" si="41"/>
        <v>642817.00263924501</v>
      </c>
      <c r="G75" s="63">
        <f t="shared" si="42"/>
        <v>4.3390000000000004</v>
      </c>
      <c r="H75" s="64">
        <f t="shared" si="43"/>
        <v>4.3390000000000004</v>
      </c>
      <c r="I75" s="43"/>
      <c r="J75" s="63">
        <f t="shared" si="44"/>
        <v>0.27500000000000002</v>
      </c>
      <c r="K75" s="64">
        <f t="shared" si="45"/>
        <v>0.27500000000000002</v>
      </c>
      <c r="L75" s="63">
        <f t="shared" si="46"/>
        <v>0</v>
      </c>
      <c r="M75" s="64">
        <f t="shared" si="47"/>
        <v>0</v>
      </c>
      <c r="N75" s="65"/>
      <c r="O75" s="63">
        <f t="shared" si="48"/>
        <v>4.6140000000000008</v>
      </c>
      <c r="P75" s="63">
        <f t="shared" si="49"/>
        <v>4.6140000000000008</v>
      </c>
      <c r="Q75" s="66"/>
      <c r="R75" s="63">
        <f t="shared" si="50"/>
        <v>0.26500000000000001</v>
      </c>
      <c r="S75" s="64">
        <f t="shared" si="51"/>
        <v>0.26500000000000001</v>
      </c>
      <c r="T75" s="63">
        <f t="shared" si="52"/>
        <v>0</v>
      </c>
      <c r="U75" s="64">
        <f t="shared" si="53"/>
        <v>0</v>
      </c>
      <c r="V75" s="90">
        <f>IF($A76="","",IF(AND(MONTH(A75)&gt;3,MONTH(A75)&lt;11),(T75+R75+G75)*(((1/(1-Summary!$T$12))/(1-Summary!$W$12))-1),(T75+R75+G75)*((1/(1-Summary!$U$12))/(1-Summary!$X$12)-1)))</f>
        <v>0</v>
      </c>
      <c r="W75" s="63">
        <f t="shared" si="54"/>
        <v>4.6040000000000001</v>
      </c>
      <c r="X75" s="63">
        <f t="shared" si="55"/>
        <v>4.6040000000000001</v>
      </c>
      <c r="Y75" s="43"/>
      <c r="Z75" s="38">
        <f t="shared" si="56"/>
        <v>0.8</v>
      </c>
      <c r="AA75" s="38">
        <f t="shared" si="57"/>
        <v>0.24</v>
      </c>
      <c r="AB75" s="38">
        <f t="shared" ca="1" si="58"/>
        <v>0.24987692361222116</v>
      </c>
      <c r="AC75" s="38">
        <f t="shared" si="59"/>
        <v>0.8</v>
      </c>
      <c r="AD75" s="38">
        <f t="shared" si="59"/>
        <v>0.24</v>
      </c>
      <c r="AE75" s="38">
        <f t="shared" ca="1" si="60"/>
        <v>0.24987692361222116</v>
      </c>
      <c r="AF75" s="238">
        <f ca="1">((Summary!$N$12*(AA75*AD75)*(A75-$D$3))+(Summary!$M$12*Z75*AC75*(AJ75-EOMONTH(EDATE(A75,-1),0))))/(AK75*AB75*AE75)</f>
        <v>0.99990770297334786</v>
      </c>
      <c r="AG75" s="88">
        <f>IF($A76="","",Summary!$Q$12)</f>
        <v>0</v>
      </c>
      <c r="AH75" s="88">
        <f>IF($A76="","",IF(Summary!$R$12="Y",(VLOOKUP($A75,Summary!$AD$6:$AF$9,3)+'Escalating commodity'!H88),'Escalating commodity'!H88))</f>
        <v>2.9000000000000001E-2</v>
      </c>
      <c r="AI75" s="88">
        <f t="shared" ref="AI75:AI138" si="74">IF($A76="","",AH75)</f>
        <v>2.9000000000000001E-2</v>
      </c>
      <c r="AJ75" s="236">
        <f t="shared" si="61"/>
        <v>39036</v>
      </c>
      <c r="AK75" s="58">
        <f t="shared" ca="1" si="62"/>
        <v>1996</v>
      </c>
      <c r="AL75" s="26">
        <f ca="1">IF($A76="","",_xll.SPRDOPT(P75,X75,AI75,0,AB75,AE75,AF75,AK75,$AJ$2,0))</f>
        <v>3.7776676119093758E-3</v>
      </c>
      <c r="AM75" s="89">
        <f t="shared" si="63"/>
        <v>0</v>
      </c>
      <c r="AN75" s="89">
        <f t="shared" ca="1" si="64"/>
        <v>3.7776676119093758E-3</v>
      </c>
      <c r="AO75" s="3">
        <f t="shared" si="65"/>
        <v>30</v>
      </c>
      <c r="AP75" s="33">
        <f t="shared" si="66"/>
        <v>39022</v>
      </c>
      <c r="AQ75" s="58">
        <f t="shared" ca="1" si="67"/>
        <v>1996</v>
      </c>
      <c r="AR75" s="38">
        <f>'ANR OK vs ML7'!AR75</f>
        <v>0.1</v>
      </c>
      <c r="AS75" s="35">
        <f t="shared" ca="1" si="68"/>
        <v>0.5866938672939096</v>
      </c>
      <c r="AT75" s="3">
        <f t="shared" si="69"/>
        <v>1</v>
      </c>
      <c r="AU75" s="3">
        <f t="shared" si="70"/>
        <v>30</v>
      </c>
      <c r="AW75" s="32">
        <f t="shared" ca="1" si="71"/>
        <v>4139.0392956646265</v>
      </c>
      <c r="AX75" s="32">
        <f t="shared" si="71"/>
        <v>0</v>
      </c>
      <c r="AY75" s="32">
        <f t="shared" ca="1" si="72"/>
        <v>4139.0392956646265</v>
      </c>
      <c r="BA75" s="32">
        <f ca="1">IF($A76="","",F75*Summary!$Q$12)</f>
        <v>0</v>
      </c>
      <c r="BC75" s="256">
        <f t="shared" ref="BC75:BC138" ca="1" si="75">IF(A76="","",AM75*F75)</f>
        <v>0</v>
      </c>
    </row>
    <row r="76" spans="1:55">
      <c r="A76" s="67">
        <f t="shared" si="73"/>
        <v>39052</v>
      </c>
      <c r="B76" s="69">
        <f t="shared" ref="B76:B139" si="76">IF(A76&lt;mthend,B75,"")</f>
        <v>36522</v>
      </c>
      <c r="C76" s="71"/>
      <c r="D76" s="69">
        <f t="shared" si="39"/>
        <v>36522</v>
      </c>
      <c r="E76" s="70">
        <f t="shared" si="40"/>
        <v>1132182</v>
      </c>
      <c r="F76" s="70">
        <f t="shared" ca="1" si="41"/>
        <v>658941.72152162564</v>
      </c>
      <c r="G76" s="63">
        <f t="shared" si="42"/>
        <v>4.4770000000000003</v>
      </c>
      <c r="H76" s="64">
        <f t="shared" si="43"/>
        <v>4.4770000000000003</v>
      </c>
      <c r="I76" s="43"/>
      <c r="J76" s="63">
        <f t="shared" si="44"/>
        <v>0.27500000000000002</v>
      </c>
      <c r="K76" s="64">
        <f t="shared" si="45"/>
        <v>0.27500000000000002</v>
      </c>
      <c r="L76" s="63">
        <f t="shared" si="46"/>
        <v>0</v>
      </c>
      <c r="M76" s="64">
        <f t="shared" si="47"/>
        <v>0</v>
      </c>
      <c r="N76" s="65"/>
      <c r="O76" s="63">
        <f t="shared" si="48"/>
        <v>4.7520000000000007</v>
      </c>
      <c r="P76" s="63">
        <f t="shared" si="49"/>
        <v>4.7520000000000007</v>
      </c>
      <c r="Q76" s="66"/>
      <c r="R76" s="63">
        <f t="shared" si="50"/>
        <v>0.26500000000000001</v>
      </c>
      <c r="S76" s="64">
        <f t="shared" si="51"/>
        <v>0.26500000000000001</v>
      </c>
      <c r="T76" s="63">
        <f t="shared" si="52"/>
        <v>0</v>
      </c>
      <c r="U76" s="64">
        <f t="shared" si="53"/>
        <v>0</v>
      </c>
      <c r="V76" s="90">
        <f>IF($A77="","",IF(AND(MONTH(A76)&gt;3,MONTH(A76)&lt;11),(T76+R76+G76)*(((1/(1-Summary!$T$12))/(1-Summary!$W$12))-1),(T76+R76+G76)*((1/(1-Summary!$U$12))/(1-Summary!$X$12)-1)))</f>
        <v>0</v>
      </c>
      <c r="W76" s="63">
        <f t="shared" si="54"/>
        <v>4.742</v>
      </c>
      <c r="X76" s="63">
        <f t="shared" si="55"/>
        <v>4.742</v>
      </c>
      <c r="Y76" s="43"/>
      <c r="Z76" s="38">
        <f t="shared" si="56"/>
        <v>1.1000000000000001</v>
      </c>
      <c r="AA76" s="38">
        <f t="shared" si="57"/>
        <v>0.245</v>
      </c>
      <c r="AB76" s="38">
        <f t="shared" ca="1" si="58"/>
        <v>0.26327131310503121</v>
      </c>
      <c r="AC76" s="38">
        <f t="shared" si="59"/>
        <v>1.1000000000000001</v>
      </c>
      <c r="AD76" s="38">
        <f t="shared" si="59"/>
        <v>0.245</v>
      </c>
      <c r="AE76" s="38">
        <f t="shared" ca="1" si="60"/>
        <v>0.26327131310503121</v>
      </c>
      <c r="AF76" s="238">
        <f ca="1">((Summary!$N$12*(AA76*AD76)*(A76-$D$3))+(Summary!$M$12*Z76*AC76*(AJ76-EOMONTH(EDATE(A76,-1),0))))/(AK76*AB76*AE76)</f>
        <v>0.99991335581972451</v>
      </c>
      <c r="AG76" s="88">
        <f>IF($A77="","",Summary!$Q$12)</f>
        <v>0</v>
      </c>
      <c r="AH76" s="88">
        <f>IF($A77="","",IF(Summary!$R$12="Y",(VLOOKUP($A76,Summary!$AD$6:$AF$9,3)+'Escalating commodity'!H89),'Escalating commodity'!H89))</f>
        <v>2.9000000000000001E-2</v>
      </c>
      <c r="AI76" s="88">
        <f t="shared" si="74"/>
        <v>2.9000000000000001E-2</v>
      </c>
      <c r="AJ76" s="236">
        <f t="shared" si="61"/>
        <v>39066.5</v>
      </c>
      <c r="AK76" s="58">
        <f t="shared" ca="1" si="62"/>
        <v>2026</v>
      </c>
      <c r="AL76" s="26">
        <f ca="1">IF($A77="","",_xll.SPRDOPT(P76,X76,AI76,0,AB76,AE76,AF76,AK76,$AJ$2,0))</f>
        <v>3.9884326251422159E-3</v>
      </c>
      <c r="AM76" s="89">
        <f t="shared" si="63"/>
        <v>0</v>
      </c>
      <c r="AN76" s="89">
        <f t="shared" ca="1" si="64"/>
        <v>3.9884326251422159E-3</v>
      </c>
      <c r="AO76" s="3">
        <f t="shared" si="65"/>
        <v>31</v>
      </c>
      <c r="AP76" s="33">
        <f t="shared" si="66"/>
        <v>39052</v>
      </c>
      <c r="AQ76" s="58">
        <f t="shared" ca="1" si="67"/>
        <v>2026</v>
      </c>
      <c r="AR76" s="38">
        <f>'ANR OK vs ML7'!AR76</f>
        <v>0.1</v>
      </c>
      <c r="AS76" s="35">
        <f t="shared" ca="1" si="68"/>
        <v>0.5820104201635653</v>
      </c>
      <c r="AT76" s="3">
        <f t="shared" si="69"/>
        <v>1</v>
      </c>
      <c r="AU76" s="3">
        <f t="shared" si="70"/>
        <v>31</v>
      </c>
      <c r="AW76" s="32">
        <f t="shared" ca="1" si="71"/>
        <v>4515.6316263987646</v>
      </c>
      <c r="AX76" s="32">
        <f t="shared" si="71"/>
        <v>0</v>
      </c>
      <c r="AY76" s="32">
        <f t="shared" ca="1" si="72"/>
        <v>4515.6316263987646</v>
      </c>
      <c r="BA76" s="32">
        <f ca="1">IF($A77="","",F76*Summary!$Q$12)</f>
        <v>0</v>
      </c>
      <c r="BC76" s="256">
        <f t="shared" ca="1" si="75"/>
        <v>0</v>
      </c>
    </row>
    <row r="77" spans="1:55">
      <c r="A77" s="67">
        <f t="shared" si="73"/>
        <v>39083</v>
      </c>
      <c r="B77" s="69">
        <f t="shared" si="76"/>
        <v>36522</v>
      </c>
      <c r="C77" s="71"/>
      <c r="D77" s="69">
        <f t="shared" si="39"/>
        <v>36522</v>
      </c>
      <c r="E77" s="70">
        <f t="shared" si="40"/>
        <v>1132182</v>
      </c>
      <c r="F77" s="70">
        <f t="shared" ca="1" si="41"/>
        <v>653506.92130060901</v>
      </c>
      <c r="G77" s="63">
        <f t="shared" si="42"/>
        <v>4.484</v>
      </c>
      <c r="H77" s="64">
        <f t="shared" si="43"/>
        <v>4.484</v>
      </c>
      <c r="I77" s="43"/>
      <c r="J77" s="63">
        <f t="shared" si="44"/>
        <v>0.27500000000000002</v>
      </c>
      <c r="K77" s="64">
        <f t="shared" si="45"/>
        <v>0.27500000000000002</v>
      </c>
      <c r="L77" s="63">
        <f t="shared" si="46"/>
        <v>0</v>
      </c>
      <c r="M77" s="64">
        <f t="shared" si="47"/>
        <v>0</v>
      </c>
      <c r="N77" s="65"/>
      <c r="O77" s="63">
        <f t="shared" si="48"/>
        <v>4.7590000000000003</v>
      </c>
      <c r="P77" s="63">
        <f t="shared" si="49"/>
        <v>4.7590000000000003</v>
      </c>
      <c r="Q77" s="66"/>
      <c r="R77" s="63">
        <f t="shared" si="50"/>
        <v>0.26500000000000001</v>
      </c>
      <c r="S77" s="64">
        <f t="shared" si="51"/>
        <v>0.26500000000000001</v>
      </c>
      <c r="T77" s="63">
        <f t="shared" si="52"/>
        <v>0</v>
      </c>
      <c r="U77" s="64">
        <f t="shared" si="53"/>
        <v>0</v>
      </c>
      <c r="V77" s="90">
        <f>IF($A78="","",IF(AND(MONTH(A77)&gt;3,MONTH(A77)&lt;11),(T77+R77+G77)*(((1/(1-Summary!$T$12))/(1-Summary!$W$12))-1),(T77+R77+G77)*((1/(1-Summary!$U$12))/(1-Summary!$X$12)-1)))</f>
        <v>0</v>
      </c>
      <c r="W77" s="63">
        <f t="shared" si="54"/>
        <v>4.7489999999999997</v>
      </c>
      <c r="X77" s="63">
        <f t="shared" si="55"/>
        <v>4.7489999999999997</v>
      </c>
      <c r="Y77" s="43"/>
      <c r="Z77" s="38">
        <f t="shared" si="56"/>
        <v>1.1000000000000001</v>
      </c>
      <c r="AA77" s="38">
        <f t="shared" si="57"/>
        <v>0.248</v>
      </c>
      <c r="AB77" s="38">
        <f t="shared" ca="1" si="58"/>
        <v>0.26580358709577279</v>
      </c>
      <c r="AC77" s="38">
        <f t="shared" si="59"/>
        <v>1.1000000000000001</v>
      </c>
      <c r="AD77" s="38">
        <f t="shared" si="59"/>
        <v>0.248</v>
      </c>
      <c r="AE77" s="38">
        <f t="shared" ca="1" si="60"/>
        <v>0.26580358709577279</v>
      </c>
      <c r="AF77" s="238">
        <f ca="1">((Summary!$N$12*(AA77*AD77)*(A77-$D$3))+(Summary!$M$12*Z77*AC77*(AJ77-EOMONTH(EDATE(A77,-1),0))))/(AK77*AB77*AE77)</f>
        <v>0.99991290509190134</v>
      </c>
      <c r="AG77" s="88">
        <f>IF($A78="","",Summary!$Q$12)</f>
        <v>0</v>
      </c>
      <c r="AH77" s="88">
        <f>IF($A78="","",IF(Summary!$R$12="Y",(VLOOKUP($A77,Summary!$AD$6:$AF$9,3)+'Escalating commodity'!H90),'Escalating commodity'!H90))</f>
        <v>2.9000000000000001E-2</v>
      </c>
      <c r="AI77" s="88">
        <f t="shared" si="74"/>
        <v>2.9000000000000001E-2</v>
      </c>
      <c r="AJ77" s="236">
        <f t="shared" si="61"/>
        <v>39097.5</v>
      </c>
      <c r="AK77" s="58">
        <f t="shared" ca="1" si="62"/>
        <v>2057</v>
      </c>
      <c r="AL77" s="26">
        <f ca="1">IF($A78="","",_xll.SPRDOPT(P77,X77,AI77,0,AB77,AE77,AF77,AK77,$AJ$2,0))</f>
        <v>4.1093114636149772E-3</v>
      </c>
      <c r="AM77" s="89">
        <f t="shared" si="63"/>
        <v>0</v>
      </c>
      <c r="AN77" s="89">
        <f t="shared" ca="1" si="64"/>
        <v>4.1093114636149772E-3</v>
      </c>
      <c r="AO77" s="3">
        <f t="shared" si="65"/>
        <v>31</v>
      </c>
      <c r="AP77" s="33">
        <f t="shared" si="66"/>
        <v>39083</v>
      </c>
      <c r="AQ77" s="58">
        <f t="shared" ca="1" si="67"/>
        <v>2057</v>
      </c>
      <c r="AR77" s="38">
        <f>'ANR OK vs ML7'!AR77</f>
        <v>0.1</v>
      </c>
      <c r="AS77" s="35">
        <f t="shared" ca="1" si="68"/>
        <v>0.57721013167548063</v>
      </c>
      <c r="AT77" s="3">
        <f t="shared" si="69"/>
        <v>1</v>
      </c>
      <c r="AU77" s="3">
        <f t="shared" si="70"/>
        <v>31</v>
      </c>
      <c r="AW77" s="32">
        <f t="shared" ca="1" si="71"/>
        <v>4652.4884714985319</v>
      </c>
      <c r="AX77" s="32">
        <f t="shared" si="71"/>
        <v>0</v>
      </c>
      <c r="AY77" s="32">
        <f t="shared" ca="1" si="72"/>
        <v>4652.4884714985319</v>
      </c>
      <c r="BA77" s="32">
        <f ca="1">IF($A78="","",F77*Summary!$Q$12)</f>
        <v>0</v>
      </c>
      <c r="BC77" s="256">
        <f t="shared" ca="1" si="75"/>
        <v>0</v>
      </c>
    </row>
    <row r="78" spans="1:55">
      <c r="A78" s="67">
        <f t="shared" si="73"/>
        <v>39114</v>
      </c>
      <c r="B78" s="69">
        <f t="shared" si="76"/>
        <v>36522</v>
      </c>
      <c r="C78" s="71"/>
      <c r="D78" s="69">
        <f t="shared" si="39"/>
        <v>36522</v>
      </c>
      <c r="E78" s="70">
        <f t="shared" si="40"/>
        <v>1022616</v>
      </c>
      <c r="F78" s="70">
        <f t="shared" ca="1" si="41"/>
        <v>585395.95128505165</v>
      </c>
      <c r="G78" s="63">
        <f t="shared" si="42"/>
        <v>4.3639999999999999</v>
      </c>
      <c r="H78" s="64">
        <f t="shared" si="43"/>
        <v>4.3639999999999999</v>
      </c>
      <c r="I78" s="43"/>
      <c r="J78" s="63">
        <f t="shared" si="44"/>
        <v>0.27500000000000002</v>
      </c>
      <c r="K78" s="64">
        <f t="shared" si="45"/>
        <v>0.27500000000000002</v>
      </c>
      <c r="L78" s="63">
        <f t="shared" si="46"/>
        <v>0</v>
      </c>
      <c r="M78" s="64">
        <f t="shared" si="47"/>
        <v>0</v>
      </c>
      <c r="N78" s="65"/>
      <c r="O78" s="63">
        <f t="shared" si="48"/>
        <v>4.6390000000000002</v>
      </c>
      <c r="P78" s="63">
        <f t="shared" si="49"/>
        <v>4.6390000000000002</v>
      </c>
      <c r="Q78" s="66"/>
      <c r="R78" s="63">
        <f t="shared" si="50"/>
        <v>0.26500000000000001</v>
      </c>
      <c r="S78" s="64">
        <f t="shared" si="51"/>
        <v>0.26500000000000001</v>
      </c>
      <c r="T78" s="63">
        <f t="shared" si="52"/>
        <v>0</v>
      </c>
      <c r="U78" s="64">
        <f t="shared" si="53"/>
        <v>0</v>
      </c>
      <c r="V78" s="90">
        <f>IF($A79="","",IF(AND(MONTH(A78)&gt;3,MONTH(A78)&lt;11),(T78+R78+G78)*(((1/(1-Summary!$T$12))/(1-Summary!$W$12))-1),(T78+R78+G78)*((1/(1-Summary!$U$12))/(1-Summary!$X$12)-1)))</f>
        <v>0</v>
      </c>
      <c r="W78" s="63">
        <f t="shared" si="54"/>
        <v>4.6289999999999996</v>
      </c>
      <c r="X78" s="63">
        <f t="shared" si="55"/>
        <v>4.6289999999999996</v>
      </c>
      <c r="Y78" s="43"/>
      <c r="Z78" s="38">
        <f t="shared" si="56"/>
        <v>1.1000000000000001</v>
      </c>
      <c r="AA78" s="38">
        <f t="shared" si="57"/>
        <v>0.23499999999999999</v>
      </c>
      <c r="AB78" s="38">
        <f t="shared" ca="1" si="58"/>
        <v>0.25172301359770949</v>
      </c>
      <c r="AC78" s="38">
        <f t="shared" si="59"/>
        <v>1.1000000000000001</v>
      </c>
      <c r="AD78" s="38">
        <f t="shared" si="59"/>
        <v>0.23499999999999999</v>
      </c>
      <c r="AE78" s="38">
        <f t="shared" ca="1" si="60"/>
        <v>0.25172301359770949</v>
      </c>
      <c r="AF78" s="238">
        <f ca="1">((Summary!$N$12*(AA78*AD78)*(A78-$D$3))+(Summary!$M$12*Z78*AC78*(AJ78-EOMONTH(EDATE(A78,-1),0))))/(AK78*AB78*AE78)</f>
        <v>0.99991280374649427</v>
      </c>
      <c r="AG78" s="88">
        <f>IF($A79="","",Summary!$Q$12)</f>
        <v>0</v>
      </c>
      <c r="AH78" s="88">
        <f>IF($A79="","",IF(Summary!$R$12="Y",(VLOOKUP($A78,Summary!$AD$6:$AF$9,3)+'Escalating commodity'!H91),'Escalating commodity'!H91))</f>
        <v>2.9000000000000001E-2</v>
      </c>
      <c r="AI78" s="88">
        <f t="shared" si="74"/>
        <v>2.9000000000000001E-2</v>
      </c>
      <c r="AJ78" s="236">
        <f t="shared" si="61"/>
        <v>39127</v>
      </c>
      <c r="AK78" s="58">
        <f t="shared" ca="1" si="62"/>
        <v>2088</v>
      </c>
      <c r="AL78" s="26">
        <f ca="1">IF($A79="","",_xll.SPRDOPT(P78,X78,AI78,0,AB78,AE78,AF78,AK78,$AJ$2,0))</f>
        <v>3.7496813512237492E-3</v>
      </c>
      <c r="AM78" s="89">
        <f t="shared" si="63"/>
        <v>0</v>
      </c>
      <c r="AN78" s="89">
        <f t="shared" ca="1" si="64"/>
        <v>3.7496813512237492E-3</v>
      </c>
      <c r="AO78" s="3">
        <f t="shared" si="65"/>
        <v>28</v>
      </c>
      <c r="AP78" s="33">
        <f t="shared" si="66"/>
        <v>39114</v>
      </c>
      <c r="AQ78" s="58">
        <f t="shared" ca="1" si="67"/>
        <v>2088</v>
      </c>
      <c r="AR78" s="38">
        <f>'ANR OK vs ML7'!AR78</f>
        <v>0.1</v>
      </c>
      <c r="AS78" s="35">
        <f t="shared" ca="1" si="68"/>
        <v>0.57244943486611954</v>
      </c>
      <c r="AT78" s="3">
        <f t="shared" si="69"/>
        <v>1</v>
      </c>
      <c r="AU78" s="3">
        <f t="shared" si="70"/>
        <v>28</v>
      </c>
      <c r="AW78" s="32">
        <f t="shared" ca="1" si="71"/>
        <v>3834.4841446630257</v>
      </c>
      <c r="AX78" s="32">
        <f t="shared" si="71"/>
        <v>0</v>
      </c>
      <c r="AY78" s="32">
        <f t="shared" ca="1" si="72"/>
        <v>3834.4841446630257</v>
      </c>
      <c r="BA78" s="32">
        <f ca="1">IF($A79="","",F78*Summary!$Q$12)</f>
        <v>0</v>
      </c>
      <c r="BC78" s="256">
        <f t="shared" ca="1" si="75"/>
        <v>0</v>
      </c>
    </row>
    <row r="79" spans="1:55">
      <c r="A79" s="67">
        <f t="shared" si="73"/>
        <v>39142</v>
      </c>
      <c r="B79" s="69">
        <f t="shared" si="76"/>
        <v>36522</v>
      </c>
      <c r="C79" s="71"/>
      <c r="D79" s="69">
        <f t="shared" si="39"/>
        <v>36522</v>
      </c>
      <c r="E79" s="70">
        <f t="shared" si="40"/>
        <v>1132182</v>
      </c>
      <c r="F79" s="70">
        <f t="shared" ca="1" si="41"/>
        <v>643286.80178767478</v>
      </c>
      <c r="G79" s="63">
        <f t="shared" si="42"/>
        <v>4.2249999999999996</v>
      </c>
      <c r="H79" s="64">
        <f t="shared" si="43"/>
        <v>4.2249999999999996</v>
      </c>
      <c r="I79" s="43"/>
      <c r="J79" s="63">
        <f t="shared" si="44"/>
        <v>0.27500000000000002</v>
      </c>
      <c r="K79" s="64">
        <f t="shared" si="45"/>
        <v>0.27500000000000002</v>
      </c>
      <c r="L79" s="63">
        <f t="shared" si="46"/>
        <v>0</v>
      </c>
      <c r="M79" s="64">
        <f t="shared" si="47"/>
        <v>0</v>
      </c>
      <c r="N79" s="65"/>
      <c r="O79" s="63">
        <f t="shared" si="48"/>
        <v>4.5</v>
      </c>
      <c r="P79" s="63">
        <f t="shared" si="49"/>
        <v>4.5</v>
      </c>
      <c r="Q79" s="66"/>
      <c r="R79" s="63">
        <f t="shared" si="50"/>
        <v>0.26500000000000001</v>
      </c>
      <c r="S79" s="64">
        <f t="shared" si="51"/>
        <v>0.26500000000000001</v>
      </c>
      <c r="T79" s="63">
        <f t="shared" si="52"/>
        <v>0</v>
      </c>
      <c r="U79" s="64">
        <f t="shared" si="53"/>
        <v>0</v>
      </c>
      <c r="V79" s="90">
        <f>IF($A80="","",IF(AND(MONTH(A79)&gt;3,MONTH(A79)&lt;11),(T79+R79+G79)*(((1/(1-Summary!$T$12))/(1-Summary!$W$12))-1),(T79+R79+G79)*((1/(1-Summary!$U$12))/(1-Summary!$X$12)-1)))</f>
        <v>0</v>
      </c>
      <c r="W79" s="63">
        <f t="shared" si="54"/>
        <v>4.4899999999999993</v>
      </c>
      <c r="X79" s="63">
        <f t="shared" si="55"/>
        <v>4.4899999999999993</v>
      </c>
      <c r="Y79" s="43"/>
      <c r="Z79" s="38">
        <f t="shared" si="56"/>
        <v>0.75</v>
      </c>
      <c r="AA79" s="38">
        <f t="shared" si="57"/>
        <v>0.22800000000000001</v>
      </c>
      <c r="AB79" s="38">
        <f t="shared" ca="1" si="58"/>
        <v>0.2369155110103133</v>
      </c>
      <c r="AC79" s="38">
        <f t="shared" si="59"/>
        <v>0.75</v>
      </c>
      <c r="AD79" s="38">
        <f t="shared" si="59"/>
        <v>0.22800000000000001</v>
      </c>
      <c r="AE79" s="38">
        <f t="shared" ca="1" si="60"/>
        <v>0.2369155110103133</v>
      </c>
      <c r="AF79" s="238">
        <f ca="1">((Summary!$N$12*(AA79*AD79)*(A79-$D$3))+(Summary!$M$12*Z79*AC79*(AJ79-EOMONTH(EDATE(A79,-1),0))))/(AK79*AB79*AE79)</f>
        <v>0.99990734093825506</v>
      </c>
      <c r="AG79" s="88">
        <f>IF($A80="","",Summary!$Q$12)</f>
        <v>0</v>
      </c>
      <c r="AH79" s="88">
        <f>IF($A80="","",IF(Summary!$R$12="Y",(VLOOKUP($A79,Summary!$AD$6:$AF$9,3)+'Escalating commodity'!H92),'Escalating commodity'!H92))</f>
        <v>2.9000000000000001E-2</v>
      </c>
      <c r="AI79" s="88">
        <f t="shared" si="74"/>
        <v>2.9000000000000001E-2</v>
      </c>
      <c r="AJ79" s="236">
        <f t="shared" si="61"/>
        <v>39156.5</v>
      </c>
      <c r="AK79" s="58">
        <f t="shared" ca="1" si="62"/>
        <v>2116</v>
      </c>
      <c r="AL79" s="26">
        <f ca="1">IF($A80="","",_xll.SPRDOPT(P79,X79,AI79,0,AB79,AE79,AF79,AK79,$AJ$2,0))</f>
        <v>3.5654676631800761E-3</v>
      </c>
      <c r="AM79" s="89">
        <f t="shared" si="63"/>
        <v>0</v>
      </c>
      <c r="AN79" s="89">
        <f t="shared" ca="1" si="64"/>
        <v>3.5654676631800761E-3</v>
      </c>
      <c r="AO79" s="3">
        <f t="shared" si="65"/>
        <v>31</v>
      </c>
      <c r="AP79" s="33">
        <f t="shared" si="66"/>
        <v>39142</v>
      </c>
      <c r="AQ79" s="58">
        <f t="shared" ca="1" si="67"/>
        <v>2116</v>
      </c>
      <c r="AR79" s="38">
        <f>'ANR OK vs ML7'!AR79</f>
        <v>0.1</v>
      </c>
      <c r="AS79" s="35">
        <f t="shared" ca="1" si="68"/>
        <v>0.56818320887249119</v>
      </c>
      <c r="AT79" s="3">
        <f t="shared" si="69"/>
        <v>1</v>
      </c>
      <c r="AU79" s="3">
        <f t="shared" si="70"/>
        <v>31</v>
      </c>
      <c r="AW79" s="32">
        <f t="shared" ca="1" si="71"/>
        <v>4036.7583098345449</v>
      </c>
      <c r="AX79" s="32">
        <f t="shared" si="71"/>
        <v>0</v>
      </c>
      <c r="AY79" s="32">
        <f t="shared" ca="1" si="72"/>
        <v>4036.7583098345449</v>
      </c>
      <c r="BA79" s="32">
        <f ca="1">IF($A80="","",F79*Summary!$Q$12)</f>
        <v>0</v>
      </c>
      <c r="BC79" s="256">
        <f t="shared" ca="1" si="75"/>
        <v>0</v>
      </c>
    </row>
    <row r="80" spans="1:55">
      <c r="A80" s="67">
        <f t="shared" si="73"/>
        <v>39173</v>
      </c>
      <c r="B80" s="69">
        <f t="shared" si="76"/>
        <v>36522</v>
      </c>
      <c r="C80" s="71"/>
      <c r="D80" s="69">
        <f t="shared" si="39"/>
        <v>36522</v>
      </c>
      <c r="E80" s="70">
        <f t="shared" si="40"/>
        <v>1095660</v>
      </c>
      <c r="F80" s="70">
        <f t="shared" ca="1" si="41"/>
        <v>617401.08363375987</v>
      </c>
      <c r="G80" s="63">
        <f t="shared" si="42"/>
        <v>4.05</v>
      </c>
      <c r="H80" s="64">
        <f t="shared" si="43"/>
        <v>4.05</v>
      </c>
      <c r="I80" s="43"/>
      <c r="J80" s="63">
        <f t="shared" si="44"/>
        <v>0.18</v>
      </c>
      <c r="K80" s="64">
        <f t="shared" si="45"/>
        <v>0.18</v>
      </c>
      <c r="L80" s="63">
        <f t="shared" si="46"/>
        <v>0</v>
      </c>
      <c r="M80" s="64">
        <f t="shared" si="47"/>
        <v>0</v>
      </c>
      <c r="N80" s="65"/>
      <c r="O80" s="63">
        <f t="shared" si="48"/>
        <v>4.2299999999999995</v>
      </c>
      <c r="P80" s="63">
        <f t="shared" si="49"/>
        <v>4.2299999999999995</v>
      </c>
      <c r="Q80" s="66"/>
      <c r="R80" s="63">
        <f t="shared" si="50"/>
        <v>0.17</v>
      </c>
      <c r="S80" s="64">
        <f t="shared" si="51"/>
        <v>0.17</v>
      </c>
      <c r="T80" s="63">
        <f t="shared" si="52"/>
        <v>0</v>
      </c>
      <c r="U80" s="64">
        <f t="shared" si="53"/>
        <v>0</v>
      </c>
      <c r="V80" s="90">
        <f>IF($A81="","",IF(AND(MONTH(A80)&gt;3,MONTH(A80)&lt;11),(T80+R80+G80)*(((1/(1-Summary!$T$12))/(1-Summary!$W$12))-1),(T80+R80+G80)*((1/(1-Summary!$U$12))/(1-Summary!$X$12)-1)))</f>
        <v>0</v>
      </c>
      <c r="W80" s="63">
        <f t="shared" si="54"/>
        <v>4.22</v>
      </c>
      <c r="X80" s="63">
        <f t="shared" si="55"/>
        <v>4.22</v>
      </c>
      <c r="Y80" s="43"/>
      <c r="Z80" s="38">
        <f t="shared" si="56"/>
        <v>0.45</v>
      </c>
      <c r="AA80" s="38">
        <f t="shared" si="57"/>
        <v>0.22800000000000001</v>
      </c>
      <c r="AB80" s="38">
        <f t="shared" ca="1" si="58"/>
        <v>0.23113411080465152</v>
      </c>
      <c r="AC80" s="38">
        <f t="shared" si="59"/>
        <v>0.45</v>
      </c>
      <c r="AD80" s="38">
        <f t="shared" si="59"/>
        <v>0.22800000000000001</v>
      </c>
      <c r="AE80" s="38">
        <f t="shared" ca="1" si="60"/>
        <v>0.23113411080465152</v>
      </c>
      <c r="AF80" s="238">
        <f ca="1">((Summary!$N$12*(AA80*AD80)*(A80-$D$3))+(Summary!$M$12*Z80*AC80*(AJ80-EOMONTH(EDATE(A80,-1),0))))/(AK80*AB80*AE80)</f>
        <v>0.99990264823276942</v>
      </c>
      <c r="AG80" s="88">
        <f>IF($A81="","",Summary!$Q$12)</f>
        <v>0</v>
      </c>
      <c r="AH80" s="88">
        <f>IF($A81="","",IF(Summary!$R$12="Y",(VLOOKUP($A80,Summary!$AD$6:$AF$9,3)+'Escalating commodity'!H93),'Escalating commodity'!H93))</f>
        <v>2.9000000000000001E-2</v>
      </c>
      <c r="AI80" s="88">
        <f t="shared" si="74"/>
        <v>2.9000000000000001E-2</v>
      </c>
      <c r="AJ80" s="236">
        <f t="shared" si="61"/>
        <v>39187</v>
      </c>
      <c r="AK80" s="58">
        <f t="shared" ca="1" si="62"/>
        <v>2147</v>
      </c>
      <c r="AL80" s="26">
        <f ca="1">IF($A81="","",_xll.SPRDOPT(P80,X80,AI80,0,AB80,AE80,AF80,AK80,$AJ$2,0))</f>
        <v>3.3989712636322174E-3</v>
      </c>
      <c r="AM80" s="89">
        <f t="shared" si="63"/>
        <v>0</v>
      </c>
      <c r="AN80" s="89">
        <f t="shared" ca="1" si="64"/>
        <v>3.3989712636322174E-3</v>
      </c>
      <c r="AO80" s="3">
        <f t="shared" si="65"/>
        <v>30</v>
      </c>
      <c r="AP80" s="33">
        <f t="shared" si="66"/>
        <v>39173</v>
      </c>
      <c r="AQ80" s="58">
        <f t="shared" ca="1" si="67"/>
        <v>2147</v>
      </c>
      <c r="AR80" s="38">
        <f>'ANR OK vs ML7'!AR80</f>
        <v>0.1</v>
      </c>
      <c r="AS80" s="35">
        <f t="shared" ca="1" si="68"/>
        <v>0.56349696405249794</v>
      </c>
      <c r="AT80" s="3">
        <f t="shared" si="69"/>
        <v>1</v>
      </c>
      <c r="AU80" s="3">
        <f t="shared" si="70"/>
        <v>30</v>
      </c>
      <c r="AW80" s="32">
        <f t="shared" ca="1" si="71"/>
        <v>3724.1168547112752</v>
      </c>
      <c r="AX80" s="32">
        <f t="shared" si="71"/>
        <v>0</v>
      </c>
      <c r="AY80" s="32">
        <f t="shared" ca="1" si="72"/>
        <v>3724.1168547112752</v>
      </c>
      <c r="BA80" s="32">
        <f ca="1">IF($A81="","",F80*Summary!$Q$12)</f>
        <v>0</v>
      </c>
      <c r="BC80" s="256">
        <f t="shared" ca="1" si="75"/>
        <v>0</v>
      </c>
    </row>
    <row r="81" spans="1:55">
      <c r="A81" s="67">
        <f t="shared" si="73"/>
        <v>39203</v>
      </c>
      <c r="B81" s="69">
        <f t="shared" si="76"/>
        <v>36522</v>
      </c>
      <c r="C81" s="71"/>
      <c r="D81" s="69">
        <f t="shared" si="39"/>
        <v>36522</v>
      </c>
      <c r="E81" s="70">
        <f t="shared" si="40"/>
        <v>1132182</v>
      </c>
      <c r="F81" s="70">
        <f t="shared" ca="1" si="41"/>
        <v>632888.25785347889</v>
      </c>
      <c r="G81" s="63">
        <f t="shared" si="42"/>
        <v>4.0199999999999996</v>
      </c>
      <c r="H81" s="64">
        <f t="shared" si="43"/>
        <v>4.0199999999999996</v>
      </c>
      <c r="I81" s="43"/>
      <c r="J81" s="63">
        <f t="shared" si="44"/>
        <v>0.18</v>
      </c>
      <c r="K81" s="64">
        <f t="shared" si="45"/>
        <v>0.18</v>
      </c>
      <c r="L81" s="63">
        <f t="shared" si="46"/>
        <v>0</v>
      </c>
      <c r="M81" s="64">
        <f t="shared" si="47"/>
        <v>0</v>
      </c>
      <c r="N81" s="65"/>
      <c r="O81" s="63">
        <f t="shared" si="48"/>
        <v>4.1999999999999993</v>
      </c>
      <c r="P81" s="63">
        <f t="shared" si="49"/>
        <v>4.1999999999999993</v>
      </c>
      <c r="Q81" s="66"/>
      <c r="R81" s="63">
        <f t="shared" si="50"/>
        <v>0.17</v>
      </c>
      <c r="S81" s="64">
        <f t="shared" si="51"/>
        <v>0.17</v>
      </c>
      <c r="T81" s="63">
        <f t="shared" si="52"/>
        <v>0</v>
      </c>
      <c r="U81" s="64">
        <f t="shared" si="53"/>
        <v>0</v>
      </c>
      <c r="V81" s="90">
        <f>IF($A82="","",IF(AND(MONTH(A81)&gt;3,MONTH(A81)&lt;11),(T81+R81+G81)*(((1/(1-Summary!$T$12))/(1-Summary!$W$12))-1),(T81+R81+G81)*((1/(1-Summary!$U$12))/(1-Summary!$X$12)-1)))</f>
        <v>0</v>
      </c>
      <c r="W81" s="63">
        <f t="shared" si="54"/>
        <v>4.1899999999999995</v>
      </c>
      <c r="X81" s="63">
        <f t="shared" si="55"/>
        <v>4.1899999999999995</v>
      </c>
      <c r="Y81" s="43"/>
      <c r="Z81" s="38">
        <f t="shared" si="56"/>
        <v>0.5</v>
      </c>
      <c r="AA81" s="38">
        <f t="shared" si="57"/>
        <v>0.22800000000000001</v>
      </c>
      <c r="AB81" s="38">
        <f t="shared" ca="1" si="58"/>
        <v>0.2319220799564731</v>
      </c>
      <c r="AC81" s="38">
        <f t="shared" si="59"/>
        <v>0.5</v>
      </c>
      <c r="AD81" s="38">
        <f t="shared" si="59"/>
        <v>0.22800000000000001</v>
      </c>
      <c r="AE81" s="38">
        <f t="shared" ca="1" si="60"/>
        <v>0.2319220799564731</v>
      </c>
      <c r="AF81" s="238">
        <f ca="1">((Summary!$N$12*(AA81*AD81)*(A81-$D$3))+(Summary!$M$12*Z81*AC81*(AJ81-EOMONTH(EDATE(A81,-1),0))))/(AK81*AB81*AE81)</f>
        <v>0.99990330924623394</v>
      </c>
      <c r="AG81" s="88">
        <f>IF($A82="","",Summary!$Q$12)</f>
        <v>0</v>
      </c>
      <c r="AH81" s="88">
        <f>IF($A82="","",IF(Summary!$R$12="Y",(VLOOKUP($A81,Summary!$AD$6:$AF$9,3)+'Escalating commodity'!H94),'Escalating commodity'!H94))</f>
        <v>2.9000000000000001E-2</v>
      </c>
      <c r="AI81" s="88">
        <f t="shared" si="74"/>
        <v>2.9000000000000001E-2</v>
      </c>
      <c r="AJ81" s="236">
        <f t="shared" si="61"/>
        <v>39217.5</v>
      </c>
      <c r="AK81" s="58">
        <f t="shared" ca="1" si="62"/>
        <v>2177</v>
      </c>
      <c r="AL81" s="26">
        <f ca="1">IF($A82="","",_xll.SPRDOPT(P81,X81,AI81,0,AB81,AE81,AF81,AK81,$AJ$2,0))</f>
        <v>3.3955901102029444E-3</v>
      </c>
      <c r="AM81" s="89">
        <f t="shared" si="63"/>
        <v>0</v>
      </c>
      <c r="AN81" s="89">
        <f t="shared" ca="1" si="64"/>
        <v>3.3955901102029444E-3</v>
      </c>
      <c r="AO81" s="3">
        <f t="shared" si="65"/>
        <v>31</v>
      </c>
      <c r="AP81" s="33">
        <f t="shared" si="66"/>
        <v>39203</v>
      </c>
      <c r="AQ81" s="58">
        <f t="shared" ca="1" si="67"/>
        <v>2177</v>
      </c>
      <c r="AR81" s="38">
        <f>'ANR OK vs ML7'!AR81</f>
        <v>0.1</v>
      </c>
      <c r="AS81" s="35">
        <f t="shared" ca="1" si="68"/>
        <v>0.55899869266026037</v>
      </c>
      <c r="AT81" s="3">
        <f t="shared" si="69"/>
        <v>1</v>
      </c>
      <c r="AU81" s="3">
        <f t="shared" si="70"/>
        <v>31</v>
      </c>
      <c r="AW81" s="32">
        <f t="shared" ca="1" si="71"/>
        <v>3844.4260021497898</v>
      </c>
      <c r="AX81" s="32">
        <f t="shared" si="71"/>
        <v>0</v>
      </c>
      <c r="AY81" s="32">
        <f t="shared" ca="1" si="72"/>
        <v>3844.4260021497898</v>
      </c>
      <c r="BA81" s="32">
        <f ca="1">IF($A82="","",F81*Summary!$Q$12)</f>
        <v>0</v>
      </c>
      <c r="BC81" s="256">
        <f t="shared" ca="1" si="75"/>
        <v>0</v>
      </c>
    </row>
    <row r="82" spans="1:55">
      <c r="A82" s="67">
        <f t="shared" si="73"/>
        <v>39234</v>
      </c>
      <c r="B82" s="69">
        <f t="shared" si="76"/>
        <v>36522</v>
      </c>
      <c r="C82" s="71"/>
      <c r="D82" s="69">
        <f t="shared" si="39"/>
        <v>36522</v>
      </c>
      <c r="E82" s="70">
        <f t="shared" si="40"/>
        <v>1095660</v>
      </c>
      <c r="F82" s="70">
        <f t="shared" ca="1" si="41"/>
        <v>607420.97479996341</v>
      </c>
      <c r="G82" s="63">
        <f t="shared" si="42"/>
        <v>4.09</v>
      </c>
      <c r="H82" s="64">
        <f t="shared" si="43"/>
        <v>4.09</v>
      </c>
      <c r="I82" s="43"/>
      <c r="J82" s="63">
        <f t="shared" si="44"/>
        <v>0.18</v>
      </c>
      <c r="K82" s="64">
        <f t="shared" si="45"/>
        <v>0.18</v>
      </c>
      <c r="L82" s="63">
        <f t="shared" si="46"/>
        <v>0</v>
      </c>
      <c r="M82" s="64">
        <f t="shared" si="47"/>
        <v>0</v>
      </c>
      <c r="N82" s="65"/>
      <c r="O82" s="63">
        <f t="shared" si="48"/>
        <v>4.2699999999999996</v>
      </c>
      <c r="P82" s="63">
        <f t="shared" si="49"/>
        <v>4.2699999999999996</v>
      </c>
      <c r="Q82" s="66"/>
      <c r="R82" s="63">
        <f t="shared" si="50"/>
        <v>0.17</v>
      </c>
      <c r="S82" s="64">
        <f t="shared" si="51"/>
        <v>0.17</v>
      </c>
      <c r="T82" s="63">
        <f t="shared" si="52"/>
        <v>0</v>
      </c>
      <c r="U82" s="64">
        <f t="shared" si="53"/>
        <v>0</v>
      </c>
      <c r="V82" s="90">
        <f>IF($A83="","",IF(AND(MONTH(A82)&gt;3,MONTH(A82)&lt;11),(T82+R82+G82)*(((1/(1-Summary!$T$12))/(1-Summary!$W$12))-1),(T82+R82+G82)*((1/(1-Summary!$U$12))/(1-Summary!$X$12)-1)))</f>
        <v>0</v>
      </c>
      <c r="W82" s="63">
        <f t="shared" si="54"/>
        <v>4.26</v>
      </c>
      <c r="X82" s="63">
        <f t="shared" si="55"/>
        <v>4.26</v>
      </c>
      <c r="Y82" s="43"/>
      <c r="Z82" s="38">
        <f t="shared" si="56"/>
        <v>0.5</v>
      </c>
      <c r="AA82" s="38">
        <f t="shared" si="57"/>
        <v>0.218</v>
      </c>
      <c r="AB82" s="38">
        <f t="shared" ca="1" si="58"/>
        <v>0.22190965079496211</v>
      </c>
      <c r="AC82" s="38">
        <f t="shared" si="59"/>
        <v>0.5</v>
      </c>
      <c r="AD82" s="38">
        <f t="shared" si="59"/>
        <v>0.218</v>
      </c>
      <c r="AE82" s="38">
        <f t="shared" ca="1" si="60"/>
        <v>0.22190965079496211</v>
      </c>
      <c r="AF82" s="238">
        <f ca="1">((Summary!$N$12*(AA82*AD82)*(A82-$D$3))+(Summary!$M$12*Z82*AC82*(AJ82-EOMONTH(EDATE(A82,-1),0))))/(AK82*AB82*AE82)</f>
        <v>0.9999034488937768</v>
      </c>
      <c r="AG82" s="88">
        <f>IF($A83="","",Summary!$Q$12)</f>
        <v>0</v>
      </c>
      <c r="AH82" s="88">
        <f>IF($A83="","",IF(Summary!$R$12="Y",(VLOOKUP($A82,Summary!$AD$6:$AF$9,3)+'Escalating commodity'!H95),'Escalating commodity'!H95))</f>
        <v>2.9000000000000001E-2</v>
      </c>
      <c r="AI82" s="88">
        <f t="shared" si="74"/>
        <v>2.9000000000000001E-2</v>
      </c>
      <c r="AJ82" s="236">
        <f t="shared" si="61"/>
        <v>39248</v>
      </c>
      <c r="AK82" s="58">
        <f t="shared" ca="1" si="62"/>
        <v>2208</v>
      </c>
      <c r="AL82" s="26">
        <f ca="1">IF($A83="","",_xll.SPRDOPT(P82,X82,AI82,0,AB82,AE82,AF82,AK82,$AJ$2,0))</f>
        <v>3.2883652512859032E-3</v>
      </c>
      <c r="AM82" s="89">
        <f t="shared" si="63"/>
        <v>0</v>
      </c>
      <c r="AN82" s="89">
        <f t="shared" ca="1" si="64"/>
        <v>3.2883652512859032E-3</v>
      </c>
      <c r="AO82" s="3">
        <f t="shared" si="65"/>
        <v>30</v>
      </c>
      <c r="AP82" s="33">
        <f t="shared" si="66"/>
        <v>39234</v>
      </c>
      <c r="AQ82" s="58">
        <f t="shared" ca="1" si="67"/>
        <v>2208</v>
      </c>
      <c r="AR82" s="38">
        <f>'ANR OK vs ML7'!AR82</f>
        <v>0.1</v>
      </c>
      <c r="AS82" s="35">
        <f t="shared" ca="1" si="68"/>
        <v>0.55438819962393759</v>
      </c>
      <c r="AT82" s="3">
        <f t="shared" si="69"/>
        <v>1</v>
      </c>
      <c r="AU82" s="3">
        <f t="shared" si="70"/>
        <v>30</v>
      </c>
      <c r="AW82" s="32">
        <f t="shared" ca="1" si="71"/>
        <v>3602.9302712239128</v>
      </c>
      <c r="AX82" s="32">
        <f t="shared" si="71"/>
        <v>0</v>
      </c>
      <c r="AY82" s="32">
        <f t="shared" ca="1" si="72"/>
        <v>3602.9302712239128</v>
      </c>
      <c r="BA82" s="32">
        <f ca="1">IF($A83="","",F82*Summary!$Q$12)</f>
        <v>0</v>
      </c>
      <c r="BC82" s="256">
        <f t="shared" ca="1" si="75"/>
        <v>0</v>
      </c>
    </row>
    <row r="83" spans="1:55">
      <c r="A83" s="67">
        <f t="shared" si="73"/>
        <v>39264</v>
      </c>
      <c r="B83" s="69">
        <f t="shared" si="76"/>
        <v>36522</v>
      </c>
      <c r="C83" s="71"/>
      <c r="D83" s="69">
        <f t="shared" si="39"/>
        <v>36522</v>
      </c>
      <c r="E83" s="70">
        <f t="shared" si="40"/>
        <v>1132182</v>
      </c>
      <c r="F83" s="70">
        <f t="shared" ca="1" si="41"/>
        <v>622657.80335567577</v>
      </c>
      <c r="G83" s="63">
        <f t="shared" si="42"/>
        <v>4.1449999999999996</v>
      </c>
      <c r="H83" s="64">
        <f t="shared" si="43"/>
        <v>4.1449999999999996</v>
      </c>
      <c r="I83" s="43"/>
      <c r="J83" s="63">
        <f t="shared" si="44"/>
        <v>0.18</v>
      </c>
      <c r="K83" s="64">
        <f t="shared" si="45"/>
        <v>0.18</v>
      </c>
      <c r="L83" s="63">
        <f t="shared" si="46"/>
        <v>0</v>
      </c>
      <c r="M83" s="64">
        <f t="shared" si="47"/>
        <v>0</v>
      </c>
      <c r="N83" s="65"/>
      <c r="O83" s="63">
        <f t="shared" si="48"/>
        <v>4.3249999999999993</v>
      </c>
      <c r="P83" s="63">
        <f t="shared" si="49"/>
        <v>4.3249999999999993</v>
      </c>
      <c r="Q83" s="66"/>
      <c r="R83" s="63">
        <f t="shared" si="50"/>
        <v>0.17</v>
      </c>
      <c r="S83" s="64">
        <f t="shared" si="51"/>
        <v>0.17</v>
      </c>
      <c r="T83" s="63">
        <f t="shared" si="52"/>
        <v>0</v>
      </c>
      <c r="U83" s="64">
        <f t="shared" si="53"/>
        <v>0</v>
      </c>
      <c r="V83" s="90">
        <f>IF($A84="","",IF(AND(MONTH(A83)&gt;3,MONTH(A83)&lt;11),(T83+R83+G83)*(((1/(1-Summary!$T$12))/(1-Summary!$W$12))-1),(T83+R83+G83)*((1/(1-Summary!$U$12))/(1-Summary!$X$12)-1)))</f>
        <v>0</v>
      </c>
      <c r="W83" s="63">
        <f t="shared" si="54"/>
        <v>4.3149999999999995</v>
      </c>
      <c r="X83" s="63">
        <f t="shared" si="55"/>
        <v>4.3149999999999995</v>
      </c>
      <c r="Y83" s="43"/>
      <c r="Z83" s="38">
        <f t="shared" si="56"/>
        <v>0.55000000000000004</v>
      </c>
      <c r="AA83" s="38">
        <f t="shared" si="57"/>
        <v>0.218</v>
      </c>
      <c r="AB83" s="38">
        <f t="shared" ca="1" si="58"/>
        <v>0.22280102689873618</v>
      </c>
      <c r="AC83" s="38">
        <f t="shared" si="59"/>
        <v>0.55000000000000004</v>
      </c>
      <c r="AD83" s="38">
        <f t="shared" si="59"/>
        <v>0.218</v>
      </c>
      <c r="AE83" s="38">
        <f t="shared" ca="1" si="60"/>
        <v>0.22280102689873618</v>
      </c>
      <c r="AF83" s="238">
        <f ca="1">((Summary!$N$12*(AA83*AD83)*(A83-$D$3))+(Summary!$M$12*Z83*AC83*(AJ83-EOMONTH(EDATE(A83,-1),0))))/(AK83*AB83*AE83)</f>
        <v>0.99990422048750238</v>
      </c>
      <c r="AG83" s="88">
        <f>IF($A84="","",Summary!$Q$12)</f>
        <v>0</v>
      </c>
      <c r="AH83" s="88">
        <f>IF($A84="","",IF(Summary!$R$12="Y",(VLOOKUP($A83,Summary!$AD$6:$AF$9,3)+'Escalating commodity'!H96),'Escalating commodity'!H96))</f>
        <v>2.9000000000000001E-2</v>
      </c>
      <c r="AI83" s="88">
        <f t="shared" si="74"/>
        <v>2.9000000000000001E-2</v>
      </c>
      <c r="AJ83" s="236">
        <f t="shared" si="61"/>
        <v>39278.5</v>
      </c>
      <c r="AK83" s="58">
        <f t="shared" ca="1" si="62"/>
        <v>2238</v>
      </c>
      <c r="AL83" s="26">
        <f ca="1">IF($A84="","",_xll.SPRDOPT(P83,X83,AI83,0,AB83,AE83,AF83,AK83,$AJ$2,0))</f>
        <v>3.3611507635751721E-3</v>
      </c>
      <c r="AM83" s="89">
        <f t="shared" si="63"/>
        <v>0</v>
      </c>
      <c r="AN83" s="89">
        <f t="shared" ca="1" si="64"/>
        <v>3.3611507635751721E-3</v>
      </c>
      <c r="AO83" s="3">
        <f t="shared" si="65"/>
        <v>31</v>
      </c>
      <c r="AP83" s="33">
        <f t="shared" si="66"/>
        <v>39264</v>
      </c>
      <c r="AQ83" s="58">
        <f t="shared" ca="1" si="67"/>
        <v>2238</v>
      </c>
      <c r="AR83" s="38">
        <f>'ANR OK vs ML7'!AR83</f>
        <v>0.1</v>
      </c>
      <c r="AS83" s="35">
        <f t="shared" ca="1" si="68"/>
        <v>0.54996264147961704</v>
      </c>
      <c r="AT83" s="3">
        <f t="shared" si="69"/>
        <v>1</v>
      </c>
      <c r="AU83" s="3">
        <f t="shared" si="70"/>
        <v>31</v>
      </c>
      <c r="AW83" s="32">
        <f t="shared" ca="1" si="71"/>
        <v>3805.4343938060656</v>
      </c>
      <c r="AX83" s="32">
        <f t="shared" si="71"/>
        <v>0</v>
      </c>
      <c r="AY83" s="32">
        <f t="shared" ca="1" si="72"/>
        <v>3805.4343938060656</v>
      </c>
      <c r="BA83" s="32">
        <f ca="1">IF($A84="","",F83*Summary!$Q$12)</f>
        <v>0</v>
      </c>
      <c r="BC83" s="256">
        <f t="shared" ca="1" si="75"/>
        <v>0</v>
      </c>
    </row>
    <row r="84" spans="1:55">
      <c r="A84" s="67">
        <f t="shared" si="73"/>
        <v>39295</v>
      </c>
      <c r="B84" s="69">
        <f t="shared" si="76"/>
        <v>36522</v>
      </c>
      <c r="C84" s="71"/>
      <c r="D84" s="69">
        <f t="shared" si="39"/>
        <v>36522</v>
      </c>
      <c r="E84" s="70">
        <f t="shared" si="40"/>
        <v>1132182</v>
      </c>
      <c r="F84" s="70">
        <f t="shared" ca="1" si="41"/>
        <v>617522.26457163761</v>
      </c>
      <c r="G84" s="63">
        <f t="shared" si="42"/>
        <v>4.2010000000000005</v>
      </c>
      <c r="H84" s="64">
        <f t="shared" si="43"/>
        <v>4.2010000000000005</v>
      </c>
      <c r="I84" s="43"/>
      <c r="J84" s="63">
        <f t="shared" si="44"/>
        <v>0.18</v>
      </c>
      <c r="K84" s="64">
        <f t="shared" si="45"/>
        <v>0.18</v>
      </c>
      <c r="L84" s="63">
        <f t="shared" si="46"/>
        <v>0</v>
      </c>
      <c r="M84" s="64">
        <f t="shared" si="47"/>
        <v>0</v>
      </c>
      <c r="N84" s="65"/>
      <c r="O84" s="63">
        <f t="shared" si="48"/>
        <v>4.3810000000000002</v>
      </c>
      <c r="P84" s="63">
        <f t="shared" si="49"/>
        <v>4.3810000000000002</v>
      </c>
      <c r="Q84" s="66"/>
      <c r="R84" s="63">
        <f t="shared" si="50"/>
        <v>0.17</v>
      </c>
      <c r="S84" s="64">
        <f t="shared" si="51"/>
        <v>0.17</v>
      </c>
      <c r="T84" s="63">
        <f t="shared" si="52"/>
        <v>0</v>
      </c>
      <c r="U84" s="64">
        <f t="shared" si="53"/>
        <v>0</v>
      </c>
      <c r="V84" s="90">
        <f>IF($A85="","",IF(AND(MONTH(A84)&gt;3,MONTH(A84)&lt;11),(T84+R84+G84)*(((1/(1-Summary!$T$12))/(1-Summary!$W$12))-1),(T84+R84+G84)*((1/(1-Summary!$U$12))/(1-Summary!$X$12)-1)))</f>
        <v>0</v>
      </c>
      <c r="W84" s="63">
        <f t="shared" si="54"/>
        <v>4.3710000000000004</v>
      </c>
      <c r="X84" s="63">
        <f t="shared" si="55"/>
        <v>4.3710000000000004</v>
      </c>
      <c r="Y84" s="43"/>
      <c r="Z84" s="38">
        <f t="shared" si="56"/>
        <v>0.6</v>
      </c>
      <c r="AA84" s="38">
        <f t="shared" si="57"/>
        <v>0.218</v>
      </c>
      <c r="AB84" s="38">
        <f t="shared" ca="1" si="58"/>
        <v>0.22361613996311913</v>
      </c>
      <c r="AC84" s="38">
        <f t="shared" si="59"/>
        <v>0.6</v>
      </c>
      <c r="AD84" s="38">
        <f t="shared" si="59"/>
        <v>0.218</v>
      </c>
      <c r="AE84" s="38">
        <f t="shared" ca="1" si="60"/>
        <v>0.22361613996311913</v>
      </c>
      <c r="AF84" s="238">
        <f ca="1">((Summary!$N$12*(AA84*AD84)*(A84-$D$3))+(Summary!$M$12*Z84*AC84*(AJ84-EOMONTH(EDATE(A84,-1),0))))/(AK84*AB84*AE84)</f>
        <v>0.99990491805532689</v>
      </c>
      <c r="AG84" s="88">
        <f>IF($A85="","",Summary!$Q$12)</f>
        <v>0</v>
      </c>
      <c r="AH84" s="88">
        <f>IF($A85="","",IF(Summary!$R$12="Y",(VLOOKUP($A84,Summary!$AD$6:$AF$9,3)+'Escalating commodity'!H97),'Escalating commodity'!H97))</f>
        <v>2.9000000000000001E-2</v>
      </c>
      <c r="AI84" s="88">
        <f t="shared" si="74"/>
        <v>2.9000000000000001E-2</v>
      </c>
      <c r="AJ84" s="236">
        <f t="shared" si="61"/>
        <v>39309.5</v>
      </c>
      <c r="AK84" s="58">
        <f t="shared" ca="1" si="62"/>
        <v>2269</v>
      </c>
      <c r="AL84" s="26">
        <f ca="1">IF($A85="","",_xll.SPRDOPT(P84,X84,AI84,0,AB84,AE84,AF84,AK84,$AJ$2,0))</f>
        <v>3.4366456100856507E-3</v>
      </c>
      <c r="AM84" s="89">
        <f t="shared" si="63"/>
        <v>0</v>
      </c>
      <c r="AN84" s="89">
        <f t="shared" ca="1" si="64"/>
        <v>3.4366456100856507E-3</v>
      </c>
      <c r="AO84" s="3">
        <f t="shared" si="65"/>
        <v>31</v>
      </c>
      <c r="AP84" s="33">
        <f t="shared" si="66"/>
        <v>39295</v>
      </c>
      <c r="AQ84" s="58">
        <f t="shared" ca="1" si="67"/>
        <v>2269</v>
      </c>
      <c r="AR84" s="38">
        <f>'ANR OK vs ML7'!AR84</f>
        <v>0.1</v>
      </c>
      <c r="AS84" s="35">
        <f t="shared" ca="1" si="68"/>
        <v>0.54542667572142789</v>
      </c>
      <c r="AT84" s="3">
        <f t="shared" si="69"/>
        <v>1</v>
      </c>
      <c r="AU84" s="3">
        <f t="shared" si="70"/>
        <v>31</v>
      </c>
      <c r="AW84" s="32">
        <f t="shared" ca="1" si="71"/>
        <v>3890.908300117992</v>
      </c>
      <c r="AX84" s="32">
        <f t="shared" si="71"/>
        <v>0</v>
      </c>
      <c r="AY84" s="32">
        <f t="shared" ca="1" si="72"/>
        <v>3890.908300117992</v>
      </c>
      <c r="BA84" s="32">
        <f ca="1">IF($A85="","",F84*Summary!$Q$12)</f>
        <v>0</v>
      </c>
      <c r="BC84" s="256">
        <f t="shared" ca="1" si="75"/>
        <v>0</v>
      </c>
    </row>
    <row r="85" spans="1:55">
      <c r="A85" s="67">
        <f t="shared" si="73"/>
        <v>39326</v>
      </c>
      <c r="B85" s="69">
        <f t="shared" si="76"/>
        <v>36522</v>
      </c>
      <c r="C85" s="71"/>
      <c r="D85" s="69">
        <f t="shared" si="39"/>
        <v>36522</v>
      </c>
      <c r="E85" s="70">
        <f t="shared" si="40"/>
        <v>1095660</v>
      </c>
      <c r="F85" s="70">
        <f t="shared" ca="1" si="41"/>
        <v>592673.30567795783</v>
      </c>
      <c r="G85" s="63">
        <f t="shared" si="42"/>
        <v>4.2149999999999999</v>
      </c>
      <c r="H85" s="64">
        <f t="shared" si="43"/>
        <v>4.2149999999999999</v>
      </c>
      <c r="I85" s="43"/>
      <c r="J85" s="63">
        <f t="shared" si="44"/>
        <v>0.18</v>
      </c>
      <c r="K85" s="64">
        <f t="shared" si="45"/>
        <v>0.18</v>
      </c>
      <c r="L85" s="63">
        <f t="shared" si="46"/>
        <v>0</v>
      </c>
      <c r="M85" s="64">
        <f t="shared" si="47"/>
        <v>0</v>
      </c>
      <c r="N85" s="65"/>
      <c r="O85" s="63">
        <f t="shared" si="48"/>
        <v>4.3949999999999996</v>
      </c>
      <c r="P85" s="63">
        <f t="shared" si="49"/>
        <v>4.3949999999999996</v>
      </c>
      <c r="Q85" s="66"/>
      <c r="R85" s="63">
        <f t="shared" si="50"/>
        <v>0.17</v>
      </c>
      <c r="S85" s="64">
        <f t="shared" si="51"/>
        <v>0.17</v>
      </c>
      <c r="T85" s="63">
        <f t="shared" si="52"/>
        <v>0</v>
      </c>
      <c r="U85" s="64">
        <f t="shared" si="53"/>
        <v>0</v>
      </c>
      <c r="V85" s="90">
        <f>IF($A86="","",IF(AND(MONTH(A85)&gt;3,MONTH(A85)&lt;11),(T85+R85+G85)*(((1/(1-Summary!$T$12))/(1-Summary!$W$12))-1),(T85+R85+G85)*((1/(1-Summary!$U$12))/(1-Summary!$X$12)-1)))</f>
        <v>0</v>
      </c>
      <c r="W85" s="63">
        <f t="shared" si="54"/>
        <v>4.3849999999999998</v>
      </c>
      <c r="X85" s="63">
        <f t="shared" si="55"/>
        <v>4.3849999999999998</v>
      </c>
      <c r="Y85" s="43"/>
      <c r="Z85" s="38">
        <f t="shared" si="56"/>
        <v>0.6</v>
      </c>
      <c r="AA85" s="38">
        <f t="shared" si="57"/>
        <v>0.218</v>
      </c>
      <c r="AB85" s="38">
        <f t="shared" ca="1" si="58"/>
        <v>0.22336626579600638</v>
      </c>
      <c r="AC85" s="38">
        <f t="shared" si="59"/>
        <v>0.6</v>
      </c>
      <c r="AD85" s="38">
        <f t="shared" si="59"/>
        <v>0.218</v>
      </c>
      <c r="AE85" s="38">
        <f t="shared" ca="1" si="60"/>
        <v>0.22336626579600638</v>
      </c>
      <c r="AF85" s="238">
        <f ca="1">((Summary!$N$12*(AA85*AD85)*(A85-$D$3))+(Summary!$M$12*Z85*AC85*(AJ85-EOMONTH(EDATE(A85,-1),0))))/(AK85*AB85*AE85)</f>
        <v>0.99990470577064483</v>
      </c>
      <c r="AG85" s="88">
        <f>IF($A86="","",Summary!$Q$12)</f>
        <v>0</v>
      </c>
      <c r="AH85" s="88">
        <f>IF($A86="","",IF(Summary!$R$12="Y",(VLOOKUP($A85,Summary!$AD$6:$AF$9,3)+'Escalating commodity'!H98),'Escalating commodity'!H98))</f>
        <v>2.9000000000000001E-2</v>
      </c>
      <c r="AI85" s="88">
        <f t="shared" si="74"/>
        <v>2.9000000000000001E-2</v>
      </c>
      <c r="AJ85" s="236">
        <f t="shared" si="61"/>
        <v>39340</v>
      </c>
      <c r="AK85" s="58">
        <f t="shared" ca="1" si="62"/>
        <v>2300</v>
      </c>
      <c r="AL85" s="26">
        <f ca="1">IF($A86="","",_xll.SPRDOPT(P85,X85,AI85,0,AB85,AE85,AF85,AK85,$AJ$2,0))</f>
        <v>3.4833786159917252E-3</v>
      </c>
      <c r="AM85" s="89">
        <f t="shared" si="63"/>
        <v>0</v>
      </c>
      <c r="AN85" s="89">
        <f t="shared" ca="1" si="64"/>
        <v>3.4833786159917252E-3</v>
      </c>
      <c r="AO85" s="3">
        <f t="shared" si="65"/>
        <v>30</v>
      </c>
      <c r="AP85" s="33">
        <f t="shared" si="66"/>
        <v>39326</v>
      </c>
      <c r="AQ85" s="58">
        <f t="shared" ca="1" si="67"/>
        <v>2300</v>
      </c>
      <c r="AR85" s="38">
        <f>'ANR OK vs ML7'!AR85</f>
        <v>0.1</v>
      </c>
      <c r="AS85" s="35">
        <f t="shared" ca="1" si="68"/>
        <v>0.5409281215686963</v>
      </c>
      <c r="AT85" s="3">
        <f t="shared" si="69"/>
        <v>1</v>
      </c>
      <c r="AU85" s="3">
        <f t="shared" si="70"/>
        <v>30</v>
      </c>
      <c r="AW85" s="32">
        <f t="shared" ca="1" si="71"/>
        <v>3816.5986143974937</v>
      </c>
      <c r="AX85" s="32">
        <f t="shared" si="71"/>
        <v>0</v>
      </c>
      <c r="AY85" s="32">
        <f t="shared" ca="1" si="72"/>
        <v>3816.5986143974937</v>
      </c>
      <c r="BA85" s="32">
        <f ca="1">IF($A86="","",F85*Summary!$Q$12)</f>
        <v>0</v>
      </c>
      <c r="BC85" s="256">
        <f t="shared" ca="1" si="75"/>
        <v>0</v>
      </c>
    </row>
    <row r="86" spans="1:55">
      <c r="A86" s="67">
        <f t="shared" si="73"/>
        <v>39356</v>
      </c>
      <c r="B86" s="69">
        <f t="shared" si="76"/>
        <v>36522</v>
      </c>
      <c r="C86" s="71"/>
      <c r="D86" s="69">
        <f t="shared" si="39"/>
        <v>36522</v>
      </c>
      <c r="E86" s="70">
        <f t="shared" si="40"/>
        <v>1132182</v>
      </c>
      <c r="F86" s="70">
        <f t="shared" ca="1" si="41"/>
        <v>607540.19688324782</v>
      </c>
      <c r="G86" s="63">
        <f t="shared" si="42"/>
        <v>4.2460000000000004</v>
      </c>
      <c r="H86" s="64">
        <f t="shared" si="43"/>
        <v>4.2460000000000004</v>
      </c>
      <c r="I86" s="43"/>
      <c r="J86" s="63">
        <f t="shared" si="44"/>
        <v>0.18</v>
      </c>
      <c r="K86" s="64">
        <f t="shared" si="45"/>
        <v>0.18</v>
      </c>
      <c r="L86" s="63">
        <f t="shared" si="46"/>
        <v>0</v>
      </c>
      <c r="M86" s="64">
        <f t="shared" si="47"/>
        <v>0</v>
      </c>
      <c r="N86" s="65"/>
      <c r="O86" s="63">
        <f t="shared" si="48"/>
        <v>4.4260000000000002</v>
      </c>
      <c r="P86" s="63">
        <f t="shared" si="49"/>
        <v>4.4260000000000002</v>
      </c>
      <c r="Q86" s="66"/>
      <c r="R86" s="63">
        <f t="shared" si="50"/>
        <v>0.17</v>
      </c>
      <c r="S86" s="64">
        <f t="shared" si="51"/>
        <v>0.17</v>
      </c>
      <c r="T86" s="63">
        <f t="shared" si="52"/>
        <v>0</v>
      </c>
      <c r="U86" s="64">
        <f t="shared" si="53"/>
        <v>0</v>
      </c>
      <c r="V86" s="90">
        <f>IF($A87="","",IF(AND(MONTH(A86)&gt;3,MONTH(A86)&lt;11),(T86+R86+G86)*(((1/(1-Summary!$T$12))/(1-Summary!$W$12))-1),(T86+R86+G86)*((1/(1-Summary!$U$12))/(1-Summary!$X$12)-1)))</f>
        <v>0</v>
      </c>
      <c r="W86" s="63">
        <f t="shared" si="54"/>
        <v>4.4160000000000004</v>
      </c>
      <c r="X86" s="63">
        <f t="shared" si="55"/>
        <v>4.4160000000000004</v>
      </c>
      <c r="Y86" s="43"/>
      <c r="Z86" s="38">
        <f t="shared" si="56"/>
        <v>0.65</v>
      </c>
      <c r="AA86" s="38">
        <f t="shared" si="57"/>
        <v>0.218</v>
      </c>
      <c r="AB86" s="38">
        <f t="shared" ca="1" si="58"/>
        <v>0.22439923993659197</v>
      </c>
      <c r="AC86" s="38">
        <f t="shared" si="59"/>
        <v>0.65</v>
      </c>
      <c r="AD86" s="38">
        <f t="shared" si="59"/>
        <v>0.218</v>
      </c>
      <c r="AE86" s="38">
        <f t="shared" ca="1" si="60"/>
        <v>0.22439923993659197</v>
      </c>
      <c r="AF86" s="238">
        <f ca="1">((Summary!$N$12*(AA86*AD86)*(A86-$D$3))+(Summary!$M$12*Z86*AC86*(AJ86-EOMONTH(EDATE(A86,-1),0))))/(AK86*AB86*AE86)</f>
        <v>0.99990558161307419</v>
      </c>
      <c r="AG86" s="88">
        <f>IF($A87="","",Summary!$Q$12)</f>
        <v>0</v>
      </c>
      <c r="AH86" s="88">
        <f>IF($A87="","",IF(Summary!$R$12="Y",(VLOOKUP($A86,Summary!$AD$6:$AF$9,3)+'Escalating commodity'!H99),'Escalating commodity'!H99))</f>
        <v>2.9000000000000001E-2</v>
      </c>
      <c r="AI86" s="88">
        <f t="shared" si="74"/>
        <v>2.9000000000000001E-2</v>
      </c>
      <c r="AJ86" s="236">
        <f t="shared" si="61"/>
        <v>39370.5</v>
      </c>
      <c r="AK86" s="58">
        <f t="shared" ca="1" si="62"/>
        <v>2330</v>
      </c>
      <c r="AL86" s="26">
        <f ca="1">IF($A87="","",_xll.SPRDOPT(P86,X86,AI86,0,AB86,AE86,AF86,AK86,$AJ$2,0))</f>
        <v>3.532818078216135E-3</v>
      </c>
      <c r="AM86" s="89">
        <f t="shared" si="63"/>
        <v>0</v>
      </c>
      <c r="AN86" s="89">
        <f t="shared" ca="1" si="64"/>
        <v>3.532818078216135E-3</v>
      </c>
      <c r="AO86" s="3">
        <f t="shared" si="65"/>
        <v>31</v>
      </c>
      <c r="AP86" s="33">
        <f t="shared" si="66"/>
        <v>39356</v>
      </c>
      <c r="AQ86" s="58">
        <f t="shared" ca="1" si="67"/>
        <v>2330</v>
      </c>
      <c r="AR86" s="38">
        <f>'ANR OK vs ML7'!AR86</f>
        <v>0.1</v>
      </c>
      <c r="AS86" s="35">
        <f t="shared" ca="1" si="68"/>
        <v>0.53661001224471672</v>
      </c>
      <c r="AT86" s="3">
        <f t="shared" si="69"/>
        <v>1</v>
      </c>
      <c r="AU86" s="3">
        <f t="shared" si="70"/>
        <v>31</v>
      </c>
      <c r="AW86" s="32">
        <f t="shared" ca="1" si="71"/>
        <v>3999.7930374309003</v>
      </c>
      <c r="AX86" s="32">
        <f t="shared" si="71"/>
        <v>0</v>
      </c>
      <c r="AY86" s="32">
        <f t="shared" ca="1" si="72"/>
        <v>3999.7930374309003</v>
      </c>
      <c r="BA86" s="32">
        <f ca="1">IF($A87="","",F86*Summary!$Q$12)</f>
        <v>0</v>
      </c>
      <c r="BC86" s="256">
        <f t="shared" ca="1" si="75"/>
        <v>0</v>
      </c>
    </row>
    <row r="87" spans="1:55">
      <c r="A87" s="67">
        <f t="shared" si="73"/>
        <v>39387</v>
      </c>
      <c r="B87" s="69">
        <f t="shared" si="76"/>
        <v>36522</v>
      </c>
      <c r="C87" s="71"/>
      <c r="D87" s="69">
        <f t="shared" si="39"/>
        <v>36522</v>
      </c>
      <c r="E87" s="70">
        <f t="shared" si="40"/>
        <v>1095660</v>
      </c>
      <c r="F87" s="70">
        <f t="shared" ca="1" si="41"/>
        <v>583092.91417825536</v>
      </c>
      <c r="G87" s="63">
        <f t="shared" si="42"/>
        <v>4.3790000000000004</v>
      </c>
      <c r="H87" s="64">
        <f t="shared" si="43"/>
        <v>4.3790000000000004</v>
      </c>
      <c r="I87" s="43"/>
      <c r="J87" s="63">
        <f t="shared" si="44"/>
        <v>0.27500000000000002</v>
      </c>
      <c r="K87" s="64">
        <f t="shared" si="45"/>
        <v>0.27500000000000002</v>
      </c>
      <c r="L87" s="63">
        <f t="shared" si="46"/>
        <v>0</v>
      </c>
      <c r="M87" s="64">
        <f t="shared" si="47"/>
        <v>0</v>
      </c>
      <c r="N87" s="65"/>
      <c r="O87" s="63">
        <f t="shared" si="48"/>
        <v>4.6540000000000008</v>
      </c>
      <c r="P87" s="63">
        <f t="shared" si="49"/>
        <v>4.6540000000000008</v>
      </c>
      <c r="Q87" s="66"/>
      <c r="R87" s="63">
        <f t="shared" si="50"/>
        <v>0.26500000000000001</v>
      </c>
      <c r="S87" s="64">
        <f t="shared" si="51"/>
        <v>0.26500000000000001</v>
      </c>
      <c r="T87" s="63">
        <f t="shared" si="52"/>
        <v>0</v>
      </c>
      <c r="U87" s="64">
        <f t="shared" si="53"/>
        <v>0</v>
      </c>
      <c r="V87" s="90">
        <f>IF($A88="","",IF(AND(MONTH(A87)&gt;3,MONTH(A87)&lt;11),(T87+R87+G87)*(((1/(1-Summary!$T$12))/(1-Summary!$W$12))-1),(T87+R87+G87)*((1/(1-Summary!$U$12))/(1-Summary!$X$12)-1)))</f>
        <v>0</v>
      </c>
      <c r="W87" s="63">
        <f t="shared" si="54"/>
        <v>4.6440000000000001</v>
      </c>
      <c r="X87" s="63">
        <f t="shared" si="55"/>
        <v>4.6440000000000001</v>
      </c>
      <c r="Y87" s="43"/>
      <c r="Z87" s="38">
        <f t="shared" si="56"/>
        <v>0.8</v>
      </c>
      <c r="AA87" s="38">
        <f t="shared" si="57"/>
        <v>0.218</v>
      </c>
      <c r="AB87" s="38">
        <f t="shared" ca="1" si="58"/>
        <v>0.22717878962743462</v>
      </c>
      <c r="AC87" s="38">
        <f t="shared" si="59"/>
        <v>0.8</v>
      </c>
      <c r="AD87" s="38">
        <f t="shared" si="59"/>
        <v>0.218</v>
      </c>
      <c r="AE87" s="38">
        <f t="shared" ca="1" si="60"/>
        <v>0.22717878962743462</v>
      </c>
      <c r="AF87" s="238">
        <f ca="1">((Summary!$N$12*(AA87*AD87)*(A87-$D$3))+(Summary!$M$12*Z87*AC87*(AJ87-EOMONTH(EDATE(A87,-1),0))))/(AK87*AB87*AE87)</f>
        <v>0.99990787843004669</v>
      </c>
      <c r="AG87" s="88">
        <f>IF($A88="","",Summary!$Q$12)</f>
        <v>0</v>
      </c>
      <c r="AH87" s="88">
        <f>IF($A88="","",IF(Summary!$R$12="Y",(VLOOKUP($A87,Summary!$AD$6:$AF$9,3)+'Escalating commodity'!H100),'Escalating commodity'!H100))</f>
        <v>2.9000000000000001E-2</v>
      </c>
      <c r="AI87" s="88">
        <f t="shared" si="74"/>
        <v>2.9000000000000001E-2</v>
      </c>
      <c r="AJ87" s="236">
        <f t="shared" si="61"/>
        <v>39401</v>
      </c>
      <c r="AK87" s="58">
        <f t="shared" ca="1" si="62"/>
        <v>2361</v>
      </c>
      <c r="AL87" s="26">
        <f ca="1">IF($A88="","",_xll.SPRDOPT(P87,X87,AI87,0,AB87,AE87,AF87,AK87,$AJ$2,0))</f>
        <v>3.7497632364427852E-3</v>
      </c>
      <c r="AM87" s="89">
        <f t="shared" si="63"/>
        <v>0</v>
      </c>
      <c r="AN87" s="89">
        <f t="shared" ca="1" si="64"/>
        <v>3.7497632364427852E-3</v>
      </c>
      <c r="AO87" s="3">
        <f t="shared" si="65"/>
        <v>30</v>
      </c>
      <c r="AP87" s="33">
        <f t="shared" si="66"/>
        <v>39387</v>
      </c>
      <c r="AQ87" s="58">
        <f t="shared" ca="1" si="67"/>
        <v>2361</v>
      </c>
      <c r="AR87" s="38">
        <f>'ANR OK vs ML7'!AR87</f>
        <v>0.1</v>
      </c>
      <c r="AS87" s="35">
        <f t="shared" ca="1" si="68"/>
        <v>0.53218417591064326</v>
      </c>
      <c r="AT87" s="3">
        <f t="shared" si="69"/>
        <v>1</v>
      </c>
      <c r="AU87" s="3">
        <f t="shared" si="70"/>
        <v>30</v>
      </c>
      <c r="AW87" s="32">
        <f t="shared" ca="1" si="71"/>
        <v>4108.4655876409024</v>
      </c>
      <c r="AX87" s="32">
        <f t="shared" si="71"/>
        <v>0</v>
      </c>
      <c r="AY87" s="32">
        <f t="shared" ca="1" si="72"/>
        <v>4108.4655876409024</v>
      </c>
      <c r="BA87" s="32">
        <f ca="1">IF($A88="","",F87*Summary!$Q$12)</f>
        <v>0</v>
      </c>
      <c r="BC87" s="256">
        <f t="shared" ca="1" si="75"/>
        <v>0</v>
      </c>
    </row>
    <row r="88" spans="1:55">
      <c r="A88" s="67">
        <f t="shared" si="73"/>
        <v>39417</v>
      </c>
      <c r="B88" s="69">
        <f t="shared" si="76"/>
        <v>36522</v>
      </c>
      <c r="C88" s="71"/>
      <c r="D88" s="69">
        <f t="shared" si="39"/>
        <v>36522</v>
      </c>
      <c r="E88" s="70">
        <f t="shared" si="40"/>
        <v>1132182</v>
      </c>
      <c r="F88" s="70">
        <f t="shared" ca="1" si="41"/>
        <v>597719.48641394533</v>
      </c>
      <c r="G88" s="63">
        <f t="shared" si="42"/>
        <v>4.5170000000000003</v>
      </c>
      <c r="H88" s="64">
        <f t="shared" si="43"/>
        <v>4.5170000000000003</v>
      </c>
      <c r="I88" s="43"/>
      <c r="J88" s="63">
        <f t="shared" si="44"/>
        <v>0.27500000000000002</v>
      </c>
      <c r="K88" s="64">
        <f t="shared" si="45"/>
        <v>0.27500000000000002</v>
      </c>
      <c r="L88" s="63">
        <f t="shared" si="46"/>
        <v>0</v>
      </c>
      <c r="M88" s="64">
        <f t="shared" si="47"/>
        <v>0</v>
      </c>
      <c r="N88" s="65"/>
      <c r="O88" s="63">
        <f t="shared" si="48"/>
        <v>4.7920000000000007</v>
      </c>
      <c r="P88" s="63">
        <f t="shared" si="49"/>
        <v>4.7920000000000007</v>
      </c>
      <c r="Q88" s="66"/>
      <c r="R88" s="63">
        <f t="shared" si="50"/>
        <v>0.26500000000000001</v>
      </c>
      <c r="S88" s="64">
        <f t="shared" si="51"/>
        <v>0.26500000000000001</v>
      </c>
      <c r="T88" s="63">
        <f t="shared" si="52"/>
        <v>0</v>
      </c>
      <c r="U88" s="64">
        <f t="shared" si="53"/>
        <v>0</v>
      </c>
      <c r="V88" s="90">
        <f>IF($A89="","",IF(AND(MONTH(A88)&gt;3,MONTH(A88)&lt;11),(T88+R88+G88)*(((1/(1-Summary!$T$12))/(1-Summary!$W$12))-1),(T88+R88+G88)*((1/(1-Summary!$U$12))/(1-Summary!$X$12)-1)))</f>
        <v>0</v>
      </c>
      <c r="W88" s="63">
        <f t="shared" si="54"/>
        <v>4.782</v>
      </c>
      <c r="X88" s="63">
        <f t="shared" si="55"/>
        <v>4.782</v>
      </c>
      <c r="Y88" s="43"/>
      <c r="Z88" s="38">
        <f t="shared" si="56"/>
        <v>1.1000000000000001</v>
      </c>
      <c r="AA88" s="38">
        <f t="shared" si="57"/>
        <v>0.218</v>
      </c>
      <c r="AB88" s="38">
        <f t="shared" ca="1" si="58"/>
        <v>0.23534628641532793</v>
      </c>
      <c r="AC88" s="38">
        <f t="shared" si="59"/>
        <v>1.1000000000000001</v>
      </c>
      <c r="AD88" s="38">
        <f t="shared" si="59"/>
        <v>0.218</v>
      </c>
      <c r="AE88" s="38">
        <f t="shared" ca="1" si="60"/>
        <v>0.23534628641532793</v>
      </c>
      <c r="AF88" s="238">
        <f ca="1">((Summary!$N$12*(AA88*AD88)*(A88-$D$3))+(Summary!$M$12*Z88*AC88*(AJ88-EOMONTH(EDATE(A88,-1),0))))/(AK88*AB88*AE88)</f>
        <v>0.99991416194138838</v>
      </c>
      <c r="AG88" s="88">
        <f>IF($A89="","",Summary!$Q$12)</f>
        <v>0</v>
      </c>
      <c r="AH88" s="88">
        <f>IF($A89="","",IF(Summary!$R$12="Y",(VLOOKUP($A88,Summary!$AD$6:$AF$9,3)+'Escalating commodity'!H101),'Escalating commodity'!H101))</f>
        <v>2.9000000000000001E-2</v>
      </c>
      <c r="AI88" s="88">
        <f t="shared" si="74"/>
        <v>2.9000000000000001E-2</v>
      </c>
      <c r="AJ88" s="236">
        <f t="shared" si="61"/>
        <v>39431.5</v>
      </c>
      <c r="AK88" s="58">
        <f t="shared" ca="1" si="62"/>
        <v>2391</v>
      </c>
      <c r="AL88" s="26">
        <f ca="1">IF($A89="","",_xll.SPRDOPT(P88,X88,AI88,0,AB88,AE88,AF88,AK88,$AJ$2,0))</f>
        <v>3.8342370450000496E-3</v>
      </c>
      <c r="AM88" s="89">
        <f t="shared" si="63"/>
        <v>0</v>
      </c>
      <c r="AN88" s="89">
        <f t="shared" ca="1" si="64"/>
        <v>3.8342370450000496E-3</v>
      </c>
      <c r="AO88" s="3">
        <f t="shared" si="65"/>
        <v>31</v>
      </c>
      <c r="AP88" s="33">
        <f t="shared" si="66"/>
        <v>39417</v>
      </c>
      <c r="AQ88" s="58">
        <f t="shared" ca="1" si="67"/>
        <v>2391</v>
      </c>
      <c r="AR88" s="38">
        <f>'ANR OK vs ML7'!AR88</f>
        <v>0.1</v>
      </c>
      <c r="AS88" s="35">
        <f t="shared" ca="1" si="68"/>
        <v>0.52793586756718025</v>
      </c>
      <c r="AT88" s="3">
        <f t="shared" si="69"/>
        <v>1</v>
      </c>
      <c r="AU88" s="3">
        <f t="shared" si="70"/>
        <v>31</v>
      </c>
      <c r="AW88" s="32">
        <f t="shared" ca="1" si="71"/>
        <v>4341.0541660822464</v>
      </c>
      <c r="AX88" s="32">
        <f t="shared" si="71"/>
        <v>0</v>
      </c>
      <c r="AY88" s="32">
        <f t="shared" ca="1" si="72"/>
        <v>4341.0541660822464</v>
      </c>
      <c r="BA88" s="32">
        <f ca="1">IF($A89="","",F88*Summary!$Q$12)</f>
        <v>0</v>
      </c>
      <c r="BC88" s="256">
        <f t="shared" ca="1" si="75"/>
        <v>0</v>
      </c>
    </row>
    <row r="89" spans="1:55">
      <c r="A89" s="67">
        <f t="shared" si="73"/>
        <v>39448</v>
      </c>
      <c r="B89" s="69">
        <f t="shared" si="76"/>
        <v>36522</v>
      </c>
      <c r="C89" s="71"/>
      <c r="D89" s="69">
        <f t="shared" si="39"/>
        <v>36522</v>
      </c>
      <c r="E89" s="70">
        <f t="shared" si="40"/>
        <v>1132182</v>
      </c>
      <c r="F89" s="70">
        <f t="shared" ca="1" si="41"/>
        <v>592789.63314958208</v>
      </c>
      <c r="G89" s="63">
        <f t="shared" si="42"/>
        <v>4.5339999999999998</v>
      </c>
      <c r="H89" s="64">
        <f t="shared" si="43"/>
        <v>4.5339999999999998</v>
      </c>
      <c r="I89" s="43"/>
      <c r="J89" s="63">
        <f t="shared" si="44"/>
        <v>0.27500000000000002</v>
      </c>
      <c r="K89" s="64">
        <f t="shared" si="45"/>
        <v>0.27500000000000002</v>
      </c>
      <c r="L89" s="63">
        <f t="shared" si="46"/>
        <v>0</v>
      </c>
      <c r="M89" s="64">
        <f t="shared" si="47"/>
        <v>0</v>
      </c>
      <c r="N89" s="65"/>
      <c r="O89" s="63">
        <f t="shared" si="48"/>
        <v>4.8090000000000002</v>
      </c>
      <c r="P89" s="63">
        <f t="shared" si="49"/>
        <v>4.8090000000000002</v>
      </c>
      <c r="Q89" s="66"/>
      <c r="R89" s="63">
        <f t="shared" si="50"/>
        <v>0.26500000000000001</v>
      </c>
      <c r="S89" s="64">
        <f t="shared" si="51"/>
        <v>0.26500000000000001</v>
      </c>
      <c r="T89" s="63">
        <f t="shared" si="52"/>
        <v>0</v>
      </c>
      <c r="U89" s="64">
        <f t="shared" si="53"/>
        <v>0</v>
      </c>
      <c r="V89" s="90">
        <f>IF($A90="","",IF(AND(MONTH(A89)&gt;3,MONTH(A89)&lt;11),(T89+R89+G89)*(((1/(1-Summary!$T$12))/(1-Summary!$W$12))-1),(T89+R89+G89)*((1/(1-Summary!$U$12))/(1-Summary!$X$12)-1)))</f>
        <v>0</v>
      </c>
      <c r="W89" s="63">
        <f t="shared" si="54"/>
        <v>4.7989999999999995</v>
      </c>
      <c r="X89" s="63">
        <f t="shared" si="55"/>
        <v>4.7989999999999995</v>
      </c>
      <c r="Y89" s="43"/>
      <c r="Z89" s="38">
        <f t="shared" si="56"/>
        <v>1.1000000000000001</v>
      </c>
      <c r="AA89" s="38">
        <f t="shared" si="57"/>
        <v>0.218</v>
      </c>
      <c r="AB89" s="38">
        <f t="shared" ca="1" si="58"/>
        <v>0.2351323502423065</v>
      </c>
      <c r="AC89" s="38">
        <f t="shared" si="59"/>
        <v>1.1000000000000001</v>
      </c>
      <c r="AD89" s="38">
        <f t="shared" si="59"/>
        <v>0.218</v>
      </c>
      <c r="AE89" s="38">
        <f t="shared" ca="1" si="60"/>
        <v>0.2351323502423065</v>
      </c>
      <c r="AF89" s="238">
        <f ca="1">((Summary!$N$12*(AA89*AD89)*(A89-$D$3))+(Summary!$M$12*Z89*AC89*(AJ89-EOMONTH(EDATE(A89,-1),0))))/(AK89*AB89*AE89)</f>
        <v>0.99991400613022663</v>
      </c>
      <c r="AG89" s="88">
        <f>IF($A90="","",Summary!$Q$12)</f>
        <v>0</v>
      </c>
      <c r="AH89" s="88">
        <f>IF($A90="","",IF(Summary!$R$12="Y",(VLOOKUP($A89,Summary!$AD$6:$AF$9,3)+'Escalating commodity'!H102),'Escalating commodity'!H102))</f>
        <v>2.9000000000000001E-2</v>
      </c>
      <c r="AI89" s="88">
        <f t="shared" si="74"/>
        <v>2.9000000000000001E-2</v>
      </c>
      <c r="AJ89" s="236">
        <f t="shared" si="61"/>
        <v>39462.5</v>
      </c>
      <c r="AK89" s="58">
        <f t="shared" ca="1" si="62"/>
        <v>2422</v>
      </c>
      <c r="AL89" s="26">
        <f ca="1">IF($A90="","",_xll.SPRDOPT(P89,X89,AI89,0,AB89,AE89,AF89,AK89,$AJ$2,0))</f>
        <v>3.8854742718902116E-3</v>
      </c>
      <c r="AM89" s="89">
        <f t="shared" si="63"/>
        <v>0</v>
      </c>
      <c r="AN89" s="89">
        <f t="shared" ca="1" si="64"/>
        <v>3.8854742718902116E-3</v>
      </c>
      <c r="AO89" s="3">
        <f t="shared" si="65"/>
        <v>31</v>
      </c>
      <c r="AP89" s="33">
        <f t="shared" si="66"/>
        <v>39448</v>
      </c>
      <c r="AQ89" s="58">
        <f t="shared" ca="1" si="67"/>
        <v>2422</v>
      </c>
      <c r="AR89" s="38">
        <f>'ANR OK vs ML7'!AR89</f>
        <v>0.1</v>
      </c>
      <c r="AS89" s="35">
        <f t="shared" ca="1" si="68"/>
        <v>0.52358157358938939</v>
      </c>
      <c r="AT89" s="3">
        <f t="shared" si="69"/>
        <v>1</v>
      </c>
      <c r="AU89" s="3">
        <f t="shared" si="70"/>
        <v>31</v>
      </c>
      <c r="AW89" s="32">
        <f t="shared" ca="1" si="71"/>
        <v>4399.0640320972034</v>
      </c>
      <c r="AX89" s="32">
        <f t="shared" si="71"/>
        <v>0</v>
      </c>
      <c r="AY89" s="32">
        <f t="shared" ca="1" si="72"/>
        <v>4399.0640320972034</v>
      </c>
      <c r="BA89" s="32">
        <f ca="1">IF($A90="","",F89*Summary!$Q$12)</f>
        <v>0</v>
      </c>
      <c r="BC89" s="256">
        <f t="shared" ca="1" si="75"/>
        <v>0</v>
      </c>
    </row>
    <row r="90" spans="1:55">
      <c r="A90" s="67">
        <f t="shared" si="73"/>
        <v>39479</v>
      </c>
      <c r="B90" s="69">
        <f t="shared" si="76"/>
        <v>36522</v>
      </c>
      <c r="C90" s="71"/>
      <c r="D90" s="69">
        <f t="shared" si="39"/>
        <v>36522</v>
      </c>
      <c r="E90" s="70">
        <f t="shared" si="40"/>
        <v>1059138</v>
      </c>
      <c r="F90" s="70">
        <f t="shared" ca="1" si="41"/>
        <v>549971.37952744251</v>
      </c>
      <c r="G90" s="63">
        <f t="shared" si="42"/>
        <v>4.4140000000000006</v>
      </c>
      <c r="H90" s="64">
        <f t="shared" si="43"/>
        <v>4.4140000000000006</v>
      </c>
      <c r="I90" s="43"/>
      <c r="J90" s="63">
        <f t="shared" si="44"/>
        <v>0.27500000000000002</v>
      </c>
      <c r="K90" s="64">
        <f t="shared" si="45"/>
        <v>0.27500000000000002</v>
      </c>
      <c r="L90" s="63">
        <f t="shared" si="46"/>
        <v>0</v>
      </c>
      <c r="M90" s="64">
        <f t="shared" si="47"/>
        <v>0</v>
      </c>
      <c r="N90" s="65"/>
      <c r="O90" s="63">
        <f t="shared" si="48"/>
        <v>4.6890000000000009</v>
      </c>
      <c r="P90" s="63">
        <f t="shared" si="49"/>
        <v>4.6890000000000009</v>
      </c>
      <c r="Q90" s="66"/>
      <c r="R90" s="63">
        <f t="shared" si="50"/>
        <v>0.26500000000000001</v>
      </c>
      <c r="S90" s="64">
        <f t="shared" si="51"/>
        <v>0.26500000000000001</v>
      </c>
      <c r="T90" s="63">
        <f t="shared" si="52"/>
        <v>0</v>
      </c>
      <c r="U90" s="64">
        <f t="shared" si="53"/>
        <v>0</v>
      </c>
      <c r="V90" s="90">
        <f>IF($A91="","",IF(AND(MONTH(A90)&gt;3,MONTH(A90)&lt;11),(T90+R90+G90)*(((1/(1-Summary!$T$12))/(1-Summary!$W$12))-1),(T90+R90+G90)*((1/(1-Summary!$U$12))/(1-Summary!$X$12)-1)))</f>
        <v>0</v>
      </c>
      <c r="W90" s="63">
        <f t="shared" si="54"/>
        <v>4.6790000000000003</v>
      </c>
      <c r="X90" s="63">
        <f t="shared" si="55"/>
        <v>4.6790000000000003</v>
      </c>
      <c r="Y90" s="43"/>
      <c r="Z90" s="38">
        <f t="shared" si="56"/>
        <v>1.1000000000000001</v>
      </c>
      <c r="AA90" s="38">
        <f t="shared" si="57"/>
        <v>0.218</v>
      </c>
      <c r="AB90" s="38">
        <f t="shared" ca="1" si="58"/>
        <v>0.23387141808198528</v>
      </c>
      <c r="AC90" s="38">
        <f t="shared" si="59"/>
        <v>1.1000000000000001</v>
      </c>
      <c r="AD90" s="38">
        <f t="shared" si="59"/>
        <v>0.218</v>
      </c>
      <c r="AE90" s="38">
        <f t="shared" ca="1" si="60"/>
        <v>0.23387141808198528</v>
      </c>
      <c r="AF90" s="238">
        <f ca="1">((Summary!$N$12*(AA90*AD90)*(A90-$D$3))+(Summary!$M$12*Z90*AC90*(AJ90-EOMONTH(EDATE(A90,-1),0))))/(AK90*AB90*AE90)</f>
        <v>0.99991307680134756</v>
      </c>
      <c r="AG90" s="88">
        <f>IF($A91="","",Summary!$Q$12)</f>
        <v>0</v>
      </c>
      <c r="AH90" s="88">
        <f>IF($A91="","",IF(Summary!$R$12="Y",(VLOOKUP($A90,Summary!$AD$6:$AF$9,3)+'Escalating commodity'!H103),'Escalating commodity'!H103))</f>
        <v>2.9000000000000001E-2</v>
      </c>
      <c r="AI90" s="88">
        <f t="shared" si="74"/>
        <v>2.9000000000000001E-2</v>
      </c>
      <c r="AJ90" s="236">
        <f t="shared" si="61"/>
        <v>39492.5</v>
      </c>
      <c r="AK90" s="58">
        <f t="shared" ca="1" si="62"/>
        <v>2453</v>
      </c>
      <c r="AL90" s="26">
        <f ca="1">IF($A91="","",_xll.SPRDOPT(P90,X90,AI90,0,AB90,AE90,AF90,AK90,$AJ$2,0))</f>
        <v>3.8205316164432804E-3</v>
      </c>
      <c r="AM90" s="89">
        <f t="shared" si="63"/>
        <v>0</v>
      </c>
      <c r="AN90" s="89">
        <f t="shared" ca="1" si="64"/>
        <v>3.8205316164432804E-3</v>
      </c>
      <c r="AO90" s="3">
        <f t="shared" si="65"/>
        <v>29</v>
      </c>
      <c r="AP90" s="33">
        <f t="shared" si="66"/>
        <v>39479</v>
      </c>
      <c r="AQ90" s="58">
        <f t="shared" ca="1" si="67"/>
        <v>2453</v>
      </c>
      <c r="AR90" s="38">
        <f>'ANR OK vs ML7'!AR90</f>
        <v>0.1</v>
      </c>
      <c r="AS90" s="35">
        <f t="shared" ca="1" si="68"/>
        <v>0.51926319282986966</v>
      </c>
      <c r="AT90" s="3">
        <f t="shared" si="69"/>
        <v>1</v>
      </c>
      <c r="AU90" s="3">
        <f t="shared" si="70"/>
        <v>29</v>
      </c>
      <c r="AW90" s="32">
        <f t="shared" ca="1" si="71"/>
        <v>4046.4702151765032</v>
      </c>
      <c r="AX90" s="32">
        <f t="shared" si="71"/>
        <v>0</v>
      </c>
      <c r="AY90" s="32">
        <f t="shared" ca="1" si="72"/>
        <v>4046.4702151765032</v>
      </c>
      <c r="BA90" s="32">
        <f ca="1">IF($A91="","",F90*Summary!$Q$12)</f>
        <v>0</v>
      </c>
      <c r="BC90" s="256">
        <f t="shared" ca="1" si="75"/>
        <v>0</v>
      </c>
    </row>
    <row r="91" spans="1:55">
      <c r="A91" s="67">
        <f t="shared" si="73"/>
        <v>39508</v>
      </c>
      <c r="B91" s="69">
        <f t="shared" si="76"/>
        <v>36522</v>
      </c>
      <c r="C91" s="71"/>
      <c r="D91" s="69">
        <f t="shared" si="39"/>
        <v>36522</v>
      </c>
      <c r="E91" s="70">
        <f t="shared" si="40"/>
        <v>1132182</v>
      </c>
      <c r="F91" s="70">
        <f t="shared" ca="1" si="41"/>
        <v>583363.19196464738</v>
      </c>
      <c r="G91" s="63">
        <f t="shared" si="42"/>
        <v>4.2750000000000004</v>
      </c>
      <c r="H91" s="64">
        <f t="shared" si="43"/>
        <v>4.2750000000000004</v>
      </c>
      <c r="I91" s="43"/>
      <c r="J91" s="63">
        <f t="shared" si="44"/>
        <v>0.27500000000000002</v>
      </c>
      <c r="K91" s="64">
        <f t="shared" si="45"/>
        <v>0.27500000000000002</v>
      </c>
      <c r="L91" s="63">
        <f t="shared" si="46"/>
        <v>0</v>
      </c>
      <c r="M91" s="64">
        <f t="shared" si="47"/>
        <v>0</v>
      </c>
      <c r="N91" s="65"/>
      <c r="O91" s="63">
        <f t="shared" si="48"/>
        <v>4.5500000000000007</v>
      </c>
      <c r="P91" s="63">
        <f t="shared" si="49"/>
        <v>4.5500000000000007</v>
      </c>
      <c r="Q91" s="66"/>
      <c r="R91" s="63">
        <f t="shared" si="50"/>
        <v>0.26500000000000001</v>
      </c>
      <c r="S91" s="64">
        <f t="shared" si="51"/>
        <v>0.26500000000000001</v>
      </c>
      <c r="T91" s="63">
        <f t="shared" si="52"/>
        <v>0</v>
      </c>
      <c r="U91" s="64">
        <f t="shared" si="53"/>
        <v>0</v>
      </c>
      <c r="V91" s="90">
        <f>IF($A92="","",IF(AND(MONTH(A91)&gt;3,MONTH(A91)&lt;11),(T91+R91+G91)*(((1/(1-Summary!$T$12))/(1-Summary!$W$12))-1),(T91+R91+G91)*((1/(1-Summary!$U$12))/(1-Summary!$X$12)-1)))</f>
        <v>0</v>
      </c>
      <c r="W91" s="63">
        <f t="shared" si="54"/>
        <v>4.54</v>
      </c>
      <c r="X91" s="63">
        <f t="shared" si="55"/>
        <v>4.54</v>
      </c>
      <c r="Y91" s="43"/>
      <c r="Z91" s="38">
        <f t="shared" si="56"/>
        <v>0.75</v>
      </c>
      <c r="AA91" s="38">
        <f t="shared" si="57"/>
        <v>0.20499999999999999</v>
      </c>
      <c r="AB91" s="38">
        <f t="shared" ca="1" si="58"/>
        <v>0.21343552659501844</v>
      </c>
      <c r="AC91" s="38">
        <f t="shared" si="59"/>
        <v>0.75</v>
      </c>
      <c r="AD91" s="38">
        <f t="shared" si="59"/>
        <v>0.20499999999999999</v>
      </c>
      <c r="AE91" s="38">
        <f t="shared" ca="1" si="60"/>
        <v>0.21343552659501844</v>
      </c>
      <c r="AF91" s="238">
        <f ca="1">((Summary!$N$12*(AA91*AD91)*(A91-$D$3))+(Summary!$M$12*Z91*AC91*(AJ91-EOMONTH(EDATE(A91,-1),0))))/(AK91*AB91*AE91)</f>
        <v>0.99990771114781007</v>
      </c>
      <c r="AG91" s="88">
        <f>IF($A92="","",Summary!$Q$12)</f>
        <v>0</v>
      </c>
      <c r="AH91" s="88">
        <f>IF($A92="","",IF(Summary!$R$12="Y",(VLOOKUP($A91,Summary!$AD$6:$AF$9,3)+'Escalating commodity'!H104),'Escalating commodity'!H104))</f>
        <v>2.9000000000000001E-2</v>
      </c>
      <c r="AI91" s="88">
        <f t="shared" si="74"/>
        <v>2.9000000000000001E-2</v>
      </c>
      <c r="AJ91" s="236">
        <f t="shared" si="61"/>
        <v>39522.5</v>
      </c>
      <c r="AK91" s="58">
        <f t="shared" ca="1" si="62"/>
        <v>2482</v>
      </c>
      <c r="AL91" s="26">
        <f ca="1">IF($A92="","",_xll.SPRDOPT(P91,X91,AI91,0,AB91,AE91,AF91,AK91,$AJ$2,0))</f>
        <v>3.4817351046556172E-3</v>
      </c>
      <c r="AM91" s="89">
        <f t="shared" si="63"/>
        <v>0</v>
      </c>
      <c r="AN91" s="89">
        <f t="shared" ca="1" si="64"/>
        <v>3.4817351046556172E-3</v>
      </c>
      <c r="AO91" s="3">
        <f t="shared" si="65"/>
        <v>31</v>
      </c>
      <c r="AP91" s="33">
        <f t="shared" si="66"/>
        <v>39508</v>
      </c>
      <c r="AQ91" s="58">
        <f t="shared" ca="1" si="67"/>
        <v>2482</v>
      </c>
      <c r="AR91" s="38">
        <f>'ANR OK vs ML7'!AR91</f>
        <v>0.1</v>
      </c>
      <c r="AS91" s="35">
        <f t="shared" ca="1" si="68"/>
        <v>0.51525566734380812</v>
      </c>
      <c r="AT91" s="3">
        <f t="shared" si="69"/>
        <v>1</v>
      </c>
      <c r="AU91" s="3">
        <f t="shared" si="70"/>
        <v>31</v>
      </c>
      <c r="AW91" s="32">
        <f t="shared" ca="1" si="71"/>
        <v>3941.9578142592059</v>
      </c>
      <c r="AX91" s="32">
        <f t="shared" si="71"/>
        <v>0</v>
      </c>
      <c r="AY91" s="32">
        <f t="shared" ca="1" si="72"/>
        <v>3941.9578142592059</v>
      </c>
      <c r="BA91" s="32">
        <f ca="1">IF($A92="","",F91*Summary!$Q$12)</f>
        <v>0</v>
      </c>
      <c r="BC91" s="256">
        <f t="shared" ca="1" si="75"/>
        <v>0</v>
      </c>
    </row>
    <row r="92" spans="1:55">
      <c r="A92" s="67">
        <f t="shared" si="73"/>
        <v>39539</v>
      </c>
      <c r="B92" s="69">
        <f t="shared" si="76"/>
        <v>36522</v>
      </c>
      <c r="C92" s="71"/>
      <c r="D92" s="69">
        <f t="shared" si="39"/>
        <v>36522</v>
      </c>
      <c r="E92" s="70">
        <f t="shared" si="40"/>
        <v>1095660</v>
      </c>
      <c r="F92" s="70">
        <f t="shared" ca="1" si="41"/>
        <v>559888.78657252621</v>
      </c>
      <c r="G92" s="63">
        <f t="shared" si="42"/>
        <v>4.0999999999999996</v>
      </c>
      <c r="H92" s="64">
        <f t="shared" si="43"/>
        <v>4.0999999999999996</v>
      </c>
      <c r="I92" s="43"/>
      <c r="J92" s="63">
        <f t="shared" si="44"/>
        <v>0.18</v>
      </c>
      <c r="K92" s="64">
        <f t="shared" si="45"/>
        <v>0.18</v>
      </c>
      <c r="L92" s="63">
        <f t="shared" si="46"/>
        <v>0</v>
      </c>
      <c r="M92" s="64">
        <f t="shared" si="47"/>
        <v>0</v>
      </c>
      <c r="N92" s="65"/>
      <c r="O92" s="63">
        <f t="shared" si="48"/>
        <v>4.2799999999999994</v>
      </c>
      <c r="P92" s="63">
        <f t="shared" si="49"/>
        <v>4.2799999999999994</v>
      </c>
      <c r="Q92" s="66"/>
      <c r="R92" s="63">
        <f t="shared" si="50"/>
        <v>0.17</v>
      </c>
      <c r="S92" s="64">
        <f t="shared" si="51"/>
        <v>0.17</v>
      </c>
      <c r="T92" s="63">
        <f t="shared" si="52"/>
        <v>0</v>
      </c>
      <c r="U92" s="64">
        <f t="shared" si="53"/>
        <v>0</v>
      </c>
      <c r="V92" s="90">
        <f>IF($A93="","",IF(AND(MONTH(A92)&gt;3,MONTH(A92)&lt;11),(T92+R92+G92)*(((1/(1-Summary!$T$12))/(1-Summary!$W$12))-1),(T92+R92+G92)*((1/(1-Summary!$U$12))/(1-Summary!$X$12)-1)))</f>
        <v>0</v>
      </c>
      <c r="W92" s="63">
        <f t="shared" si="54"/>
        <v>4.2699999999999996</v>
      </c>
      <c r="X92" s="63">
        <f t="shared" si="55"/>
        <v>4.2699999999999996</v>
      </c>
      <c r="Y92" s="43"/>
      <c r="Z92" s="38">
        <f t="shared" si="56"/>
        <v>0.45</v>
      </c>
      <c r="AA92" s="38">
        <f t="shared" si="57"/>
        <v>0.20499999999999999</v>
      </c>
      <c r="AB92" s="38">
        <f t="shared" ca="1" si="58"/>
        <v>0.20796739581923904</v>
      </c>
      <c r="AC92" s="38">
        <f t="shared" si="59"/>
        <v>0.45</v>
      </c>
      <c r="AD92" s="38">
        <f t="shared" si="59"/>
        <v>0.20499999999999999</v>
      </c>
      <c r="AE92" s="38">
        <f t="shared" ca="1" si="60"/>
        <v>0.20796739581923904</v>
      </c>
      <c r="AF92" s="238">
        <f ca="1">((Summary!$N$12*(AA92*AD92)*(A92-$D$3))+(Summary!$M$12*Z92*AC92*(AJ92-EOMONTH(EDATE(A92,-1),0))))/(AK92*AB92*AE92)</f>
        <v>0.99990279468774712</v>
      </c>
      <c r="AG92" s="88">
        <f>IF($A93="","",Summary!$Q$12)</f>
        <v>0</v>
      </c>
      <c r="AH92" s="88">
        <f>IF($A93="","",IF(Summary!$R$12="Y",(VLOOKUP($A92,Summary!$AD$6:$AF$9,3)+'Escalating commodity'!H105),'Escalating commodity'!H105))</f>
        <v>2.9000000000000001E-2</v>
      </c>
      <c r="AI92" s="88">
        <f t="shared" si="74"/>
        <v>2.9000000000000001E-2</v>
      </c>
      <c r="AJ92" s="236">
        <f t="shared" si="61"/>
        <v>39553</v>
      </c>
      <c r="AK92" s="58">
        <f t="shared" ca="1" si="62"/>
        <v>2513</v>
      </c>
      <c r="AL92" s="26">
        <f ca="1">IF($A93="","",_xll.SPRDOPT(P92,X92,AI92,0,AB92,AE92,AF92,AK92,$AJ$2,0))</f>
        <v>3.318375804995246E-3</v>
      </c>
      <c r="AM92" s="89">
        <f t="shared" si="63"/>
        <v>0</v>
      </c>
      <c r="AN92" s="89">
        <f t="shared" ca="1" si="64"/>
        <v>3.318375804995246E-3</v>
      </c>
      <c r="AO92" s="3">
        <f t="shared" si="65"/>
        <v>30</v>
      </c>
      <c r="AP92" s="33">
        <f t="shared" si="66"/>
        <v>39539</v>
      </c>
      <c r="AQ92" s="58">
        <f t="shared" ca="1" si="67"/>
        <v>2513</v>
      </c>
      <c r="AR92" s="38">
        <f>'ANR OK vs ML7'!AR92</f>
        <v>0.1</v>
      </c>
      <c r="AS92" s="35">
        <f t="shared" ca="1" si="68"/>
        <v>0.51100595674983684</v>
      </c>
      <c r="AT92" s="3">
        <f t="shared" si="69"/>
        <v>1</v>
      </c>
      <c r="AU92" s="3">
        <f t="shared" si="70"/>
        <v>30</v>
      </c>
      <c r="AW92" s="32">
        <f t="shared" ca="1" si="71"/>
        <v>3635.8116345010912</v>
      </c>
      <c r="AX92" s="32">
        <f t="shared" si="71"/>
        <v>0</v>
      </c>
      <c r="AY92" s="32">
        <f t="shared" ca="1" si="72"/>
        <v>3635.8116345010912</v>
      </c>
      <c r="BA92" s="32">
        <f ca="1">IF($A93="","",F92*Summary!$Q$12)</f>
        <v>0</v>
      </c>
      <c r="BC92" s="256">
        <f t="shared" ca="1" si="75"/>
        <v>0</v>
      </c>
    </row>
    <row r="93" spans="1:55">
      <c r="A93" s="67">
        <f t="shared" si="73"/>
        <v>39569</v>
      </c>
      <c r="B93" s="69">
        <f t="shared" si="76"/>
        <v>36522</v>
      </c>
      <c r="C93" s="71"/>
      <c r="D93" s="69">
        <f t="shared" si="39"/>
        <v>36522</v>
      </c>
      <c r="E93" s="70">
        <f t="shared" si="40"/>
        <v>1132182</v>
      </c>
      <c r="F93" s="70">
        <f t="shared" ca="1" si="41"/>
        <v>573933.29574358463</v>
      </c>
      <c r="G93" s="63">
        <f t="shared" si="42"/>
        <v>4.07</v>
      </c>
      <c r="H93" s="64">
        <f t="shared" si="43"/>
        <v>4.07</v>
      </c>
      <c r="I93" s="43"/>
      <c r="J93" s="63">
        <f t="shared" si="44"/>
        <v>0.18</v>
      </c>
      <c r="K93" s="64">
        <f t="shared" si="45"/>
        <v>0.18</v>
      </c>
      <c r="L93" s="63">
        <f t="shared" si="46"/>
        <v>0</v>
      </c>
      <c r="M93" s="64">
        <f t="shared" si="47"/>
        <v>0</v>
      </c>
      <c r="N93" s="65"/>
      <c r="O93" s="63">
        <f t="shared" si="48"/>
        <v>4.25</v>
      </c>
      <c r="P93" s="63">
        <f t="shared" si="49"/>
        <v>4.25</v>
      </c>
      <c r="Q93" s="66"/>
      <c r="R93" s="63">
        <f t="shared" si="50"/>
        <v>0.17</v>
      </c>
      <c r="S93" s="64">
        <f t="shared" si="51"/>
        <v>0.17</v>
      </c>
      <c r="T93" s="63">
        <f t="shared" si="52"/>
        <v>0</v>
      </c>
      <c r="U93" s="64">
        <f t="shared" si="53"/>
        <v>0</v>
      </c>
      <c r="V93" s="90">
        <f>IF($A94="","",IF(AND(MONTH(A93)&gt;3,MONTH(A93)&lt;11),(T93+R93+G93)*(((1/(1-Summary!$T$12))/(1-Summary!$W$12))-1),(T93+R93+G93)*((1/(1-Summary!$U$12))/(1-Summary!$X$12)-1)))</f>
        <v>0</v>
      </c>
      <c r="W93" s="63">
        <f t="shared" si="54"/>
        <v>4.24</v>
      </c>
      <c r="X93" s="63">
        <f t="shared" si="55"/>
        <v>4.24</v>
      </c>
      <c r="Y93" s="43"/>
      <c r="Z93" s="38">
        <f t="shared" si="56"/>
        <v>0.5</v>
      </c>
      <c r="AA93" s="38">
        <f t="shared" si="57"/>
        <v>0.20499999999999999</v>
      </c>
      <c r="AB93" s="38">
        <f t="shared" ca="1" si="58"/>
        <v>0.20872306186727355</v>
      </c>
      <c r="AC93" s="38">
        <f t="shared" si="59"/>
        <v>0.5</v>
      </c>
      <c r="AD93" s="38">
        <f t="shared" si="59"/>
        <v>0.20499999999999999</v>
      </c>
      <c r="AE93" s="38">
        <f t="shared" ca="1" si="60"/>
        <v>0.20872306186727355</v>
      </c>
      <c r="AF93" s="238">
        <f ca="1">((Summary!$N$12*(AA93*AD93)*(A93-$D$3))+(Summary!$M$12*Z93*AC93*(AJ93-EOMONTH(EDATE(A93,-1),0))))/(AK93*AB93*AE93)</f>
        <v>0.99990349771542764</v>
      </c>
      <c r="AG93" s="88">
        <f>IF($A94="","",Summary!$Q$12)</f>
        <v>0</v>
      </c>
      <c r="AH93" s="88">
        <f>IF($A94="","",IF(Summary!$R$12="Y",(VLOOKUP($A93,Summary!$AD$6:$AF$9,3)+'Escalating commodity'!H106),'Escalating commodity'!H106))</f>
        <v>2.9000000000000001E-2</v>
      </c>
      <c r="AI93" s="88">
        <f t="shared" si="74"/>
        <v>2.9000000000000001E-2</v>
      </c>
      <c r="AJ93" s="236">
        <f t="shared" si="61"/>
        <v>39583.5</v>
      </c>
      <c r="AK93" s="58">
        <f t="shared" ca="1" si="62"/>
        <v>2543</v>
      </c>
      <c r="AL93" s="26">
        <f ca="1">IF($A94="","",_xll.SPRDOPT(P93,X93,AI93,0,AB93,AE93,AF93,AK93,$AJ$2,0))</f>
        <v>3.3103050216574496E-3</v>
      </c>
      <c r="AM93" s="89">
        <f t="shared" si="63"/>
        <v>0</v>
      </c>
      <c r="AN93" s="89">
        <f t="shared" ca="1" si="64"/>
        <v>3.3103050216574496E-3</v>
      </c>
      <c r="AO93" s="3">
        <f t="shared" si="65"/>
        <v>31</v>
      </c>
      <c r="AP93" s="33">
        <f t="shared" si="66"/>
        <v>39569</v>
      </c>
      <c r="AQ93" s="58">
        <f t="shared" ca="1" si="67"/>
        <v>2543</v>
      </c>
      <c r="AR93" s="38">
        <f>'ANR OK vs ML7'!AR93</f>
        <v>0.1</v>
      </c>
      <c r="AS93" s="35">
        <f t="shared" ca="1" si="68"/>
        <v>0.5069267094368084</v>
      </c>
      <c r="AT93" s="3">
        <f t="shared" si="69"/>
        <v>1</v>
      </c>
      <c r="AU93" s="3">
        <f t="shared" si="70"/>
        <v>31</v>
      </c>
      <c r="AW93" s="32">
        <f t="shared" ca="1" si="71"/>
        <v>3747.8677600301748</v>
      </c>
      <c r="AX93" s="32">
        <f t="shared" si="71"/>
        <v>0</v>
      </c>
      <c r="AY93" s="32">
        <f t="shared" ca="1" si="72"/>
        <v>3747.8677600301748</v>
      </c>
      <c r="BA93" s="32">
        <f ca="1">IF($A94="","",F93*Summary!$Q$12)</f>
        <v>0</v>
      </c>
      <c r="BC93" s="256">
        <f t="shared" ca="1" si="75"/>
        <v>0</v>
      </c>
    </row>
    <row r="94" spans="1:55">
      <c r="A94" s="67">
        <f t="shared" si="73"/>
        <v>39600</v>
      </c>
      <c r="B94" s="69">
        <f t="shared" si="76"/>
        <v>36522</v>
      </c>
      <c r="C94" s="71"/>
      <c r="D94" s="69">
        <f t="shared" si="39"/>
        <v>36522</v>
      </c>
      <c r="E94" s="70">
        <f t="shared" si="40"/>
        <v>1095660</v>
      </c>
      <c r="F94" s="70">
        <f t="shared" ca="1" si="41"/>
        <v>550838.34728283645</v>
      </c>
      <c r="G94" s="63">
        <f t="shared" si="42"/>
        <v>4.1399999999999997</v>
      </c>
      <c r="H94" s="64">
        <f t="shared" si="43"/>
        <v>4.1399999999999997</v>
      </c>
      <c r="I94" s="43"/>
      <c r="J94" s="63">
        <f t="shared" si="44"/>
        <v>0.18</v>
      </c>
      <c r="K94" s="64">
        <f t="shared" si="45"/>
        <v>0.18</v>
      </c>
      <c r="L94" s="63">
        <f t="shared" si="46"/>
        <v>0</v>
      </c>
      <c r="M94" s="64">
        <f t="shared" si="47"/>
        <v>0</v>
      </c>
      <c r="N94" s="65"/>
      <c r="O94" s="63">
        <f t="shared" si="48"/>
        <v>4.3199999999999994</v>
      </c>
      <c r="P94" s="63">
        <f t="shared" si="49"/>
        <v>4.3199999999999994</v>
      </c>
      <c r="Q94" s="66"/>
      <c r="R94" s="63">
        <f t="shared" si="50"/>
        <v>0.17</v>
      </c>
      <c r="S94" s="64">
        <f t="shared" si="51"/>
        <v>0.17</v>
      </c>
      <c r="T94" s="63">
        <f t="shared" si="52"/>
        <v>0</v>
      </c>
      <c r="U94" s="64">
        <f t="shared" si="53"/>
        <v>0</v>
      </c>
      <c r="V94" s="90">
        <f>IF($A95="","",IF(AND(MONTH(A94)&gt;3,MONTH(A94)&lt;11),(T94+R94+G94)*(((1/(1-Summary!$T$12))/(1-Summary!$W$12))-1),(T94+R94+G94)*((1/(1-Summary!$U$12))/(1-Summary!$X$12)-1)))</f>
        <v>0</v>
      </c>
      <c r="W94" s="63">
        <f t="shared" si="54"/>
        <v>4.3099999999999996</v>
      </c>
      <c r="X94" s="63">
        <f t="shared" si="55"/>
        <v>4.3099999999999996</v>
      </c>
      <c r="Y94" s="43"/>
      <c r="Z94" s="38">
        <f t="shared" si="56"/>
        <v>0.5</v>
      </c>
      <c r="AA94" s="38">
        <f t="shared" si="57"/>
        <v>0.20499999999999999</v>
      </c>
      <c r="AB94" s="38">
        <f t="shared" ca="1" si="58"/>
        <v>0.2085622285690848</v>
      </c>
      <c r="AC94" s="38">
        <f t="shared" si="59"/>
        <v>0.5</v>
      </c>
      <c r="AD94" s="38">
        <f t="shared" si="59"/>
        <v>0.20499999999999999</v>
      </c>
      <c r="AE94" s="38">
        <f t="shared" ca="1" si="60"/>
        <v>0.2085622285690848</v>
      </c>
      <c r="AF94" s="238">
        <f ca="1">((Summary!$N$12*(AA94*AD94)*(A94-$D$3))+(Summary!$M$12*Z94*AC94*(AJ94-EOMONTH(EDATE(A94,-1),0))))/(AK94*AB94*AE94)</f>
        <v>0.99990334927962587</v>
      </c>
      <c r="AG94" s="88">
        <f>IF($A95="","",Summary!$Q$12)</f>
        <v>0</v>
      </c>
      <c r="AH94" s="88">
        <f>IF($A95="","",IF(Summary!$R$12="Y",(VLOOKUP($A94,Summary!$AD$6:$AF$9,3)+'Escalating commodity'!H107),'Escalating commodity'!H107))</f>
        <v>2.9000000000000001E-2</v>
      </c>
      <c r="AI94" s="88">
        <f t="shared" si="74"/>
        <v>2.9000000000000001E-2</v>
      </c>
      <c r="AJ94" s="236">
        <f t="shared" si="61"/>
        <v>39614</v>
      </c>
      <c r="AK94" s="58">
        <f t="shared" ca="1" si="62"/>
        <v>2574</v>
      </c>
      <c r="AL94" s="26">
        <f ca="1">IF($A95="","",_xll.SPRDOPT(P94,X94,AI94,0,AB94,AE94,AF94,AK94,$AJ$2,0))</f>
        <v>3.4040910553706713E-3</v>
      </c>
      <c r="AM94" s="89">
        <f t="shared" si="63"/>
        <v>0</v>
      </c>
      <c r="AN94" s="89">
        <f t="shared" ca="1" si="64"/>
        <v>3.4040910553706713E-3</v>
      </c>
      <c r="AO94" s="3">
        <f t="shared" si="65"/>
        <v>30</v>
      </c>
      <c r="AP94" s="33">
        <f t="shared" si="66"/>
        <v>39600</v>
      </c>
      <c r="AQ94" s="58">
        <f t="shared" ca="1" si="67"/>
        <v>2574</v>
      </c>
      <c r="AR94" s="38">
        <f>'ANR OK vs ML7'!AR94</f>
        <v>0.1</v>
      </c>
      <c r="AS94" s="35">
        <f t="shared" ca="1" si="68"/>
        <v>0.50274569417778914</v>
      </c>
      <c r="AT94" s="3">
        <f t="shared" si="69"/>
        <v>1</v>
      </c>
      <c r="AU94" s="3">
        <f t="shared" si="70"/>
        <v>30</v>
      </c>
      <c r="AW94" s="32">
        <f t="shared" ca="1" si="71"/>
        <v>3729.7264057274297</v>
      </c>
      <c r="AX94" s="32">
        <f t="shared" si="71"/>
        <v>0</v>
      </c>
      <c r="AY94" s="32">
        <f t="shared" ca="1" si="72"/>
        <v>3729.7264057274297</v>
      </c>
      <c r="BA94" s="32">
        <f ca="1">IF($A95="","",F94*Summary!$Q$12)</f>
        <v>0</v>
      </c>
      <c r="BC94" s="256">
        <f t="shared" ca="1" si="75"/>
        <v>0</v>
      </c>
    </row>
    <row r="95" spans="1:55">
      <c r="A95" s="67">
        <f t="shared" si="73"/>
        <v>39630</v>
      </c>
      <c r="B95" s="69">
        <f t="shared" si="76"/>
        <v>36522</v>
      </c>
      <c r="C95" s="71"/>
      <c r="D95" s="69">
        <f t="shared" si="39"/>
        <v>36522</v>
      </c>
      <c r="E95" s="70">
        <f t="shared" si="40"/>
        <v>1132182</v>
      </c>
      <c r="F95" s="70">
        <f t="shared" ca="1" si="41"/>
        <v>564655.83105053892</v>
      </c>
      <c r="G95" s="63">
        <f t="shared" si="42"/>
        <v>4.1950000000000003</v>
      </c>
      <c r="H95" s="64">
        <f t="shared" si="43"/>
        <v>4.1950000000000003</v>
      </c>
      <c r="I95" s="43"/>
      <c r="J95" s="63">
        <f t="shared" si="44"/>
        <v>0.18</v>
      </c>
      <c r="K95" s="64">
        <f t="shared" si="45"/>
        <v>0.18</v>
      </c>
      <c r="L95" s="63">
        <f t="shared" si="46"/>
        <v>0</v>
      </c>
      <c r="M95" s="64">
        <f t="shared" si="47"/>
        <v>0</v>
      </c>
      <c r="N95" s="65"/>
      <c r="O95" s="63">
        <f t="shared" si="48"/>
        <v>4.375</v>
      </c>
      <c r="P95" s="63">
        <f t="shared" si="49"/>
        <v>4.375</v>
      </c>
      <c r="Q95" s="66"/>
      <c r="R95" s="63">
        <f t="shared" si="50"/>
        <v>0.17</v>
      </c>
      <c r="S95" s="64">
        <f t="shared" si="51"/>
        <v>0.17</v>
      </c>
      <c r="T95" s="63">
        <f t="shared" si="52"/>
        <v>0</v>
      </c>
      <c r="U95" s="64">
        <f t="shared" si="53"/>
        <v>0</v>
      </c>
      <c r="V95" s="90">
        <f>IF($A96="","",IF(AND(MONTH(A95)&gt;3,MONTH(A95)&lt;11),(T95+R95+G95)*(((1/(1-Summary!$T$12))/(1-Summary!$W$12))-1),(T95+R95+G95)*((1/(1-Summary!$U$12))/(1-Summary!$X$12)-1)))</f>
        <v>0</v>
      </c>
      <c r="W95" s="63">
        <f t="shared" si="54"/>
        <v>4.3650000000000002</v>
      </c>
      <c r="X95" s="63">
        <f t="shared" si="55"/>
        <v>4.3650000000000002</v>
      </c>
      <c r="Y95" s="43"/>
      <c r="Z95" s="38">
        <f t="shared" si="56"/>
        <v>0.55000000000000004</v>
      </c>
      <c r="AA95" s="38">
        <f t="shared" si="57"/>
        <v>0.20300000000000001</v>
      </c>
      <c r="AB95" s="38">
        <f t="shared" ca="1" si="58"/>
        <v>0.20742569876202044</v>
      </c>
      <c r="AC95" s="38">
        <f t="shared" si="59"/>
        <v>0.55000000000000004</v>
      </c>
      <c r="AD95" s="38">
        <f t="shared" si="59"/>
        <v>0.20300000000000001</v>
      </c>
      <c r="AE95" s="38">
        <f t="shared" ca="1" si="60"/>
        <v>0.20742569876202044</v>
      </c>
      <c r="AF95" s="238">
        <f ca="1">((Summary!$N$12*(AA95*AD95)*(A95-$D$3))+(Summary!$M$12*Z95*AC95*(AJ95-EOMONTH(EDATE(A95,-1),0))))/(AK95*AB95*AE95)</f>
        <v>0.99990418495674604</v>
      </c>
      <c r="AG95" s="88">
        <f>IF($A96="","",Summary!$Q$12)</f>
        <v>0</v>
      </c>
      <c r="AH95" s="88">
        <f>IF($A96="","",IF(Summary!$R$12="Y",(VLOOKUP($A95,Summary!$AD$6:$AF$9,3)+'Escalating commodity'!H108),'Escalating commodity'!H108))</f>
        <v>2.9000000000000001E-2</v>
      </c>
      <c r="AI95" s="88">
        <f t="shared" si="74"/>
        <v>2.9000000000000001E-2</v>
      </c>
      <c r="AJ95" s="236">
        <f t="shared" si="61"/>
        <v>39644.5</v>
      </c>
      <c r="AK95" s="58">
        <f t="shared" ca="1" si="62"/>
        <v>2604</v>
      </c>
      <c r="AL95" s="26">
        <f ca="1">IF($A96="","",_xll.SPRDOPT(P95,X95,AI95,0,AB95,AE95,AF95,AK95,$AJ$2,0))</f>
        <v>3.4276706751778172E-3</v>
      </c>
      <c r="AM95" s="89">
        <f t="shared" si="63"/>
        <v>0</v>
      </c>
      <c r="AN95" s="89">
        <f t="shared" ca="1" si="64"/>
        <v>3.4276706751778172E-3</v>
      </c>
      <c r="AO95" s="3">
        <f t="shared" si="65"/>
        <v>31</v>
      </c>
      <c r="AP95" s="33">
        <f t="shared" si="66"/>
        <v>39630</v>
      </c>
      <c r="AQ95" s="58">
        <f t="shared" ca="1" si="67"/>
        <v>2604</v>
      </c>
      <c r="AR95" s="38">
        <f>'ANR OK vs ML7'!AR95</f>
        <v>0.1</v>
      </c>
      <c r="AS95" s="35">
        <f t="shared" ca="1" si="68"/>
        <v>0.49873238671038655</v>
      </c>
      <c r="AT95" s="3">
        <f t="shared" si="69"/>
        <v>1</v>
      </c>
      <c r="AU95" s="3">
        <f t="shared" si="70"/>
        <v>31</v>
      </c>
      <c r="AW95" s="32">
        <f t="shared" ca="1" si="71"/>
        <v>3880.7470403641714</v>
      </c>
      <c r="AX95" s="32">
        <f t="shared" si="71"/>
        <v>0</v>
      </c>
      <c r="AY95" s="32">
        <f t="shared" ca="1" si="72"/>
        <v>3880.7470403641714</v>
      </c>
      <c r="BA95" s="32">
        <f ca="1">IF($A96="","",F95*Summary!$Q$12)</f>
        <v>0</v>
      </c>
      <c r="BC95" s="256">
        <f t="shared" ca="1" si="75"/>
        <v>0</v>
      </c>
    </row>
    <row r="96" spans="1:55">
      <c r="A96" s="67">
        <f t="shared" si="73"/>
        <v>39661</v>
      </c>
      <c r="B96" s="69">
        <f t="shared" si="76"/>
        <v>36522</v>
      </c>
      <c r="C96" s="71"/>
      <c r="D96" s="69">
        <f t="shared" si="39"/>
        <v>36522</v>
      </c>
      <c r="E96" s="70">
        <f t="shared" si="40"/>
        <v>1132182</v>
      </c>
      <c r="F96" s="70">
        <f t="shared" ca="1" si="41"/>
        <v>559998.67923397862</v>
      </c>
      <c r="G96" s="63">
        <f t="shared" si="42"/>
        <v>4.2510000000000003</v>
      </c>
      <c r="H96" s="64">
        <f t="shared" si="43"/>
        <v>4.2510000000000003</v>
      </c>
      <c r="I96" s="43"/>
      <c r="J96" s="63">
        <f t="shared" si="44"/>
        <v>0.18</v>
      </c>
      <c r="K96" s="64">
        <f t="shared" si="45"/>
        <v>0.18</v>
      </c>
      <c r="L96" s="63">
        <f t="shared" si="46"/>
        <v>0</v>
      </c>
      <c r="M96" s="64">
        <f t="shared" si="47"/>
        <v>0</v>
      </c>
      <c r="N96" s="65"/>
      <c r="O96" s="63">
        <f t="shared" si="48"/>
        <v>4.431</v>
      </c>
      <c r="P96" s="63">
        <f t="shared" si="49"/>
        <v>4.431</v>
      </c>
      <c r="Q96" s="66"/>
      <c r="R96" s="63">
        <f t="shared" si="50"/>
        <v>0.17</v>
      </c>
      <c r="S96" s="64">
        <f t="shared" si="51"/>
        <v>0.17</v>
      </c>
      <c r="T96" s="63">
        <f t="shared" si="52"/>
        <v>0</v>
      </c>
      <c r="U96" s="64">
        <f t="shared" si="53"/>
        <v>0</v>
      </c>
      <c r="V96" s="90">
        <f>IF($A97="","",IF(AND(MONTH(A96)&gt;3,MONTH(A96)&lt;11),(T96+R96+G96)*(((1/(1-Summary!$T$12))/(1-Summary!$W$12))-1),(T96+R96+G96)*((1/(1-Summary!$U$12))/(1-Summary!$X$12)-1)))</f>
        <v>0</v>
      </c>
      <c r="W96" s="63">
        <f t="shared" si="54"/>
        <v>4.4210000000000003</v>
      </c>
      <c r="X96" s="63">
        <f t="shared" si="55"/>
        <v>4.4210000000000003</v>
      </c>
      <c r="Y96" s="43"/>
      <c r="Z96" s="38">
        <f t="shared" si="56"/>
        <v>0.6</v>
      </c>
      <c r="AA96" s="38">
        <f t="shared" si="57"/>
        <v>0.20300000000000001</v>
      </c>
      <c r="AB96" s="38">
        <f t="shared" ca="1" si="58"/>
        <v>0.20818810280130706</v>
      </c>
      <c r="AC96" s="38">
        <f t="shared" si="59"/>
        <v>0.6</v>
      </c>
      <c r="AD96" s="38">
        <f t="shared" si="59"/>
        <v>0.20300000000000001</v>
      </c>
      <c r="AE96" s="38">
        <f t="shared" ca="1" si="60"/>
        <v>0.20818810280130706</v>
      </c>
      <c r="AF96" s="238">
        <f ca="1">((Summary!$N$12*(AA96*AD96)*(A96-$D$3))+(Summary!$M$12*Z96*AC96*(AJ96-EOMONTH(EDATE(A96,-1),0))))/(AK96*AB96*AE96)</f>
        <v>0.99990488586839088</v>
      </c>
      <c r="AG96" s="88">
        <f>IF($A97="","",Summary!$Q$12)</f>
        <v>0</v>
      </c>
      <c r="AH96" s="88">
        <f>IF($A97="","",IF(Summary!$R$12="Y",(VLOOKUP($A96,Summary!$AD$6:$AF$9,3)+'Escalating commodity'!H109),'Escalating commodity'!H109))</f>
        <v>2.9000000000000001E-2</v>
      </c>
      <c r="AI96" s="88">
        <f t="shared" si="74"/>
        <v>2.9000000000000001E-2</v>
      </c>
      <c r="AJ96" s="236">
        <f t="shared" si="61"/>
        <v>39675.5</v>
      </c>
      <c r="AK96" s="58">
        <f t="shared" ca="1" si="62"/>
        <v>2635</v>
      </c>
      <c r="AL96" s="26">
        <f ca="1">IF($A97="","",_xll.SPRDOPT(P96,X96,AI96,0,AB96,AE96,AF96,AK96,$AJ$2,0))</f>
        <v>3.4991821074513846E-3</v>
      </c>
      <c r="AM96" s="89">
        <f t="shared" si="63"/>
        <v>0</v>
      </c>
      <c r="AN96" s="89">
        <f t="shared" ca="1" si="64"/>
        <v>3.4991821074513846E-3</v>
      </c>
      <c r="AO96" s="3">
        <f t="shared" si="65"/>
        <v>31</v>
      </c>
      <c r="AP96" s="33">
        <f t="shared" si="66"/>
        <v>39661</v>
      </c>
      <c r="AQ96" s="58">
        <f t="shared" ca="1" si="67"/>
        <v>2635</v>
      </c>
      <c r="AR96" s="38">
        <f>'ANR OK vs ML7'!AR96</f>
        <v>0.1</v>
      </c>
      <c r="AS96" s="35">
        <f t="shared" ca="1" si="68"/>
        <v>0.49461895634622222</v>
      </c>
      <c r="AT96" s="3">
        <f t="shared" si="69"/>
        <v>1</v>
      </c>
      <c r="AU96" s="3">
        <f t="shared" si="70"/>
        <v>31</v>
      </c>
      <c r="AW96" s="32">
        <f t="shared" ca="1" si="71"/>
        <v>3961.7109967785236</v>
      </c>
      <c r="AX96" s="32">
        <f t="shared" si="71"/>
        <v>0</v>
      </c>
      <c r="AY96" s="32">
        <f t="shared" ca="1" si="72"/>
        <v>3961.7109967785236</v>
      </c>
      <c r="BA96" s="32">
        <f ca="1">IF($A97="","",F96*Summary!$Q$12)</f>
        <v>0</v>
      </c>
      <c r="BC96" s="256">
        <f t="shared" ca="1" si="75"/>
        <v>0</v>
      </c>
    </row>
    <row r="97" spans="1:55">
      <c r="A97" s="67">
        <f t="shared" si="73"/>
        <v>39692</v>
      </c>
      <c r="B97" s="69">
        <f t="shared" si="76"/>
        <v>36522</v>
      </c>
      <c r="C97" s="71"/>
      <c r="D97" s="69">
        <f t="shared" si="39"/>
        <v>36522</v>
      </c>
      <c r="E97" s="70">
        <f t="shared" si="40"/>
        <v>1095660</v>
      </c>
      <c r="F97" s="70">
        <f t="shared" ca="1" si="41"/>
        <v>537464.45664938411</v>
      </c>
      <c r="G97" s="63">
        <f t="shared" si="42"/>
        <v>4.2649999999999997</v>
      </c>
      <c r="H97" s="64">
        <f t="shared" si="43"/>
        <v>4.2649999999999997</v>
      </c>
      <c r="I97" s="43"/>
      <c r="J97" s="63">
        <f t="shared" si="44"/>
        <v>0.18</v>
      </c>
      <c r="K97" s="64">
        <f t="shared" si="45"/>
        <v>0.18</v>
      </c>
      <c r="L97" s="63">
        <f t="shared" si="46"/>
        <v>0</v>
      </c>
      <c r="M97" s="64">
        <f t="shared" si="47"/>
        <v>0</v>
      </c>
      <c r="N97" s="65"/>
      <c r="O97" s="63">
        <f t="shared" si="48"/>
        <v>4.4449999999999994</v>
      </c>
      <c r="P97" s="63">
        <f t="shared" si="49"/>
        <v>4.4449999999999994</v>
      </c>
      <c r="Q97" s="66"/>
      <c r="R97" s="63">
        <f t="shared" si="50"/>
        <v>0.17</v>
      </c>
      <c r="S97" s="64">
        <f t="shared" si="51"/>
        <v>0.17</v>
      </c>
      <c r="T97" s="63">
        <f t="shared" si="52"/>
        <v>0</v>
      </c>
      <c r="U97" s="64">
        <f t="shared" si="53"/>
        <v>0</v>
      </c>
      <c r="V97" s="90">
        <f>IF($A98="","",IF(AND(MONTH(A97)&gt;3,MONTH(A97)&lt;11),(T97+R97+G97)*(((1/(1-Summary!$T$12))/(1-Summary!$W$12))-1),(T97+R97+G97)*((1/(1-Summary!$U$12))/(1-Summary!$X$12)-1)))</f>
        <v>0</v>
      </c>
      <c r="W97" s="63">
        <f t="shared" si="54"/>
        <v>4.4349999999999996</v>
      </c>
      <c r="X97" s="63">
        <f t="shared" si="55"/>
        <v>4.4349999999999996</v>
      </c>
      <c r="Y97" s="43"/>
      <c r="Z97" s="38">
        <f t="shared" si="56"/>
        <v>0.6</v>
      </c>
      <c r="AA97" s="38">
        <f t="shared" si="57"/>
        <v>0.20300000000000001</v>
      </c>
      <c r="AB97" s="38">
        <f t="shared" ca="1" si="58"/>
        <v>0.207966255954912</v>
      </c>
      <c r="AC97" s="38">
        <f t="shared" si="59"/>
        <v>0.6</v>
      </c>
      <c r="AD97" s="38">
        <f t="shared" si="59"/>
        <v>0.20300000000000001</v>
      </c>
      <c r="AE97" s="38">
        <f t="shared" ca="1" si="60"/>
        <v>0.207966255954912</v>
      </c>
      <c r="AF97" s="238">
        <f ca="1">((Summary!$N$12*(AA97*AD97)*(A97-$D$3))+(Summary!$M$12*Z97*AC97*(AJ97-EOMONTH(EDATE(A97,-1),0))))/(AK97*AB97*AE97)</f>
        <v>0.99990468325567783</v>
      </c>
      <c r="AG97" s="88">
        <f>IF($A98="","",Summary!$Q$12)</f>
        <v>0</v>
      </c>
      <c r="AH97" s="88">
        <f>IF($A98="","",IF(Summary!$R$12="Y",(VLOOKUP($A97,Summary!$AD$6:$AF$9,3)+'Escalating commodity'!H110),'Escalating commodity'!H110))</f>
        <v>2.9000000000000001E-2</v>
      </c>
      <c r="AI97" s="88">
        <f t="shared" si="74"/>
        <v>2.9000000000000001E-2</v>
      </c>
      <c r="AJ97" s="236">
        <f t="shared" si="61"/>
        <v>39706</v>
      </c>
      <c r="AK97" s="58">
        <f t="shared" ca="1" si="62"/>
        <v>2666</v>
      </c>
      <c r="AL97" s="26">
        <f ca="1">IF($A98="","",_xll.SPRDOPT(P97,X97,AI97,0,AB97,AE97,AF97,AK97,$AJ$2,0))</f>
        <v>3.5419441510676566E-3</v>
      </c>
      <c r="AM97" s="89">
        <f t="shared" si="63"/>
        <v>0</v>
      </c>
      <c r="AN97" s="89">
        <f t="shared" ca="1" si="64"/>
        <v>3.5419441510676566E-3</v>
      </c>
      <c r="AO97" s="3">
        <f t="shared" si="65"/>
        <v>30</v>
      </c>
      <c r="AP97" s="33">
        <f t="shared" si="66"/>
        <v>39692</v>
      </c>
      <c r="AQ97" s="58">
        <f t="shared" ca="1" si="67"/>
        <v>2666</v>
      </c>
      <c r="AR97" s="38">
        <f>'ANR OK vs ML7'!AR97</f>
        <v>0.1</v>
      </c>
      <c r="AS97" s="35">
        <f t="shared" ca="1" si="68"/>
        <v>0.49053945261247472</v>
      </c>
      <c r="AT97" s="3">
        <f t="shared" si="69"/>
        <v>1</v>
      </c>
      <c r="AU97" s="3">
        <f t="shared" si="70"/>
        <v>30</v>
      </c>
      <c r="AW97" s="32">
        <f t="shared" ca="1" si="71"/>
        <v>3880.7665285587887</v>
      </c>
      <c r="AX97" s="32">
        <f t="shared" si="71"/>
        <v>0</v>
      </c>
      <c r="AY97" s="32">
        <f t="shared" ca="1" si="72"/>
        <v>3880.7665285587887</v>
      </c>
      <c r="BA97" s="32">
        <f ca="1">IF($A98="","",F97*Summary!$Q$12)</f>
        <v>0</v>
      </c>
      <c r="BC97" s="256">
        <f t="shared" ca="1" si="75"/>
        <v>0</v>
      </c>
    </row>
    <row r="98" spans="1:55">
      <c r="A98" s="67">
        <f t="shared" si="73"/>
        <v>39722</v>
      </c>
      <c r="B98" s="69">
        <f t="shared" si="76"/>
        <v>36522</v>
      </c>
      <c r="C98" s="71"/>
      <c r="D98" s="69">
        <f t="shared" si="39"/>
        <v>36522</v>
      </c>
      <c r="E98" s="70">
        <f t="shared" si="40"/>
        <v>1132182</v>
      </c>
      <c r="F98" s="70">
        <f t="shared" ca="1" si="41"/>
        <v>550946.46356139868</v>
      </c>
      <c r="G98" s="63">
        <f t="shared" si="42"/>
        <v>4.2960000000000003</v>
      </c>
      <c r="H98" s="64">
        <f t="shared" si="43"/>
        <v>4.2960000000000003</v>
      </c>
      <c r="I98" s="43"/>
      <c r="J98" s="63">
        <f t="shared" si="44"/>
        <v>0.18</v>
      </c>
      <c r="K98" s="64">
        <f t="shared" si="45"/>
        <v>0.18</v>
      </c>
      <c r="L98" s="63">
        <f t="shared" si="46"/>
        <v>0</v>
      </c>
      <c r="M98" s="64">
        <f t="shared" si="47"/>
        <v>0</v>
      </c>
      <c r="N98" s="65"/>
      <c r="O98" s="63">
        <f t="shared" si="48"/>
        <v>4.476</v>
      </c>
      <c r="P98" s="63">
        <f t="shared" si="49"/>
        <v>4.476</v>
      </c>
      <c r="Q98" s="66"/>
      <c r="R98" s="63">
        <f t="shared" si="50"/>
        <v>0.17</v>
      </c>
      <c r="S98" s="64">
        <f t="shared" si="51"/>
        <v>0.17</v>
      </c>
      <c r="T98" s="63">
        <f t="shared" si="52"/>
        <v>0</v>
      </c>
      <c r="U98" s="64">
        <f t="shared" si="53"/>
        <v>0</v>
      </c>
      <c r="V98" s="90">
        <f>IF($A99="","",IF(AND(MONTH(A98)&gt;3,MONTH(A98)&lt;11),(T98+R98+G98)*(((1/(1-Summary!$T$12))/(1-Summary!$W$12))-1),(T98+R98+G98)*((1/(1-Summary!$U$12))/(1-Summary!$X$12)-1)))</f>
        <v>0</v>
      </c>
      <c r="W98" s="63">
        <f t="shared" si="54"/>
        <v>4.4660000000000002</v>
      </c>
      <c r="X98" s="63">
        <f t="shared" si="55"/>
        <v>4.4660000000000002</v>
      </c>
      <c r="Y98" s="43"/>
      <c r="Z98" s="38">
        <f t="shared" si="56"/>
        <v>0.65</v>
      </c>
      <c r="AA98" s="38">
        <f t="shared" si="57"/>
        <v>0.20300000000000001</v>
      </c>
      <c r="AB98" s="38">
        <f t="shared" ca="1" si="58"/>
        <v>0.2089338335695993</v>
      </c>
      <c r="AC98" s="38">
        <f t="shared" si="59"/>
        <v>0.65</v>
      </c>
      <c r="AD98" s="38">
        <f t="shared" si="59"/>
        <v>0.20300000000000001</v>
      </c>
      <c r="AE98" s="38">
        <f t="shared" ca="1" si="60"/>
        <v>0.2089338335695993</v>
      </c>
      <c r="AF98" s="238">
        <f ca="1">((Summary!$N$12*(AA98*AD98)*(A98-$D$3))+(Summary!$M$12*Z98*AC98*(AJ98-EOMONTH(EDATE(A98,-1),0))))/(AK98*AB98*AE98)</f>
        <v>0.99990556443377254</v>
      </c>
      <c r="AG98" s="88">
        <f>IF($A99="","",Summary!$Q$12)</f>
        <v>0</v>
      </c>
      <c r="AH98" s="88">
        <f>IF($A99="","",IF(Summary!$R$12="Y",(VLOOKUP($A98,Summary!$AD$6:$AF$9,3)+'Escalating commodity'!H111),'Escalating commodity'!H111))</f>
        <v>2.9000000000000001E-2</v>
      </c>
      <c r="AI98" s="88">
        <f t="shared" si="74"/>
        <v>2.9000000000000001E-2</v>
      </c>
      <c r="AJ98" s="236">
        <f t="shared" si="61"/>
        <v>39736.5</v>
      </c>
      <c r="AK98" s="58">
        <f t="shared" ca="1" si="62"/>
        <v>2696</v>
      </c>
      <c r="AL98" s="26">
        <f ca="1">IF($A99="","",_xll.SPRDOPT(P98,X98,AI98,0,AB98,AE98,AF98,AK98,$AJ$2,0))</f>
        <v>3.5873496540470146E-3</v>
      </c>
      <c r="AM98" s="89">
        <f t="shared" si="63"/>
        <v>0</v>
      </c>
      <c r="AN98" s="89">
        <f t="shared" ca="1" si="64"/>
        <v>3.5873496540470146E-3</v>
      </c>
      <c r="AO98" s="3">
        <f t="shared" si="65"/>
        <v>31</v>
      </c>
      <c r="AP98" s="33">
        <f t="shared" si="66"/>
        <v>39722</v>
      </c>
      <c r="AQ98" s="58">
        <f t="shared" ca="1" si="67"/>
        <v>2696</v>
      </c>
      <c r="AR98" s="38">
        <f>'ANR OK vs ML7'!AR98</f>
        <v>0.1</v>
      </c>
      <c r="AS98" s="35">
        <f t="shared" ca="1" si="68"/>
        <v>0.48662358486656621</v>
      </c>
      <c r="AT98" s="3">
        <f t="shared" si="69"/>
        <v>1</v>
      </c>
      <c r="AU98" s="3">
        <f t="shared" si="70"/>
        <v>31</v>
      </c>
      <c r="AW98" s="32">
        <f t="shared" ca="1" si="71"/>
        <v>4061.5327060182572</v>
      </c>
      <c r="AX98" s="32">
        <f t="shared" si="71"/>
        <v>0</v>
      </c>
      <c r="AY98" s="32">
        <f t="shared" ca="1" si="72"/>
        <v>4061.5327060182572</v>
      </c>
      <c r="BA98" s="32">
        <f ca="1">IF($A99="","",F98*Summary!$Q$12)</f>
        <v>0</v>
      </c>
      <c r="BC98" s="256">
        <f t="shared" ca="1" si="75"/>
        <v>0</v>
      </c>
    </row>
    <row r="99" spans="1:55">
      <c r="A99" s="67">
        <f t="shared" si="73"/>
        <v>39753</v>
      </c>
      <c r="B99" s="69">
        <f t="shared" si="76"/>
        <v>36522</v>
      </c>
      <c r="C99" s="71"/>
      <c r="D99" s="69">
        <f t="shared" si="39"/>
        <v>36522</v>
      </c>
      <c r="E99" s="70">
        <f t="shared" si="40"/>
        <v>1095660</v>
      </c>
      <c r="F99" s="70">
        <f t="shared" ca="1" si="41"/>
        <v>528776.50012671622</v>
      </c>
      <c r="G99" s="63">
        <f t="shared" si="42"/>
        <v>4.4290000000000003</v>
      </c>
      <c r="H99" s="64">
        <f t="shared" si="43"/>
        <v>4.4290000000000003</v>
      </c>
      <c r="I99" s="43"/>
      <c r="J99" s="63">
        <f t="shared" si="44"/>
        <v>0.27500000000000002</v>
      </c>
      <c r="K99" s="64">
        <f t="shared" si="45"/>
        <v>0.27500000000000002</v>
      </c>
      <c r="L99" s="63">
        <f t="shared" si="46"/>
        <v>0</v>
      </c>
      <c r="M99" s="64">
        <f t="shared" si="47"/>
        <v>0</v>
      </c>
      <c r="N99" s="65"/>
      <c r="O99" s="63">
        <f t="shared" si="48"/>
        <v>4.7040000000000006</v>
      </c>
      <c r="P99" s="63">
        <f t="shared" si="49"/>
        <v>4.7040000000000006</v>
      </c>
      <c r="Q99" s="66"/>
      <c r="R99" s="63">
        <f t="shared" si="50"/>
        <v>0.27500000000000002</v>
      </c>
      <c r="S99" s="64">
        <f t="shared" si="51"/>
        <v>0.27500000000000002</v>
      </c>
      <c r="T99" s="63">
        <f t="shared" si="52"/>
        <v>0</v>
      </c>
      <c r="U99" s="64">
        <f t="shared" si="53"/>
        <v>0</v>
      </c>
      <c r="V99" s="90">
        <f>IF($A100="","",IF(AND(MONTH(A99)&gt;3,MONTH(A99)&lt;11),(T99+R99+G99)*(((1/(1-Summary!$T$12))/(1-Summary!$W$12))-1),(T99+R99+G99)*((1/(1-Summary!$U$12))/(1-Summary!$X$12)-1)))</f>
        <v>0</v>
      </c>
      <c r="W99" s="63">
        <f t="shared" si="54"/>
        <v>4.7040000000000006</v>
      </c>
      <c r="X99" s="63">
        <f t="shared" si="55"/>
        <v>4.7040000000000006</v>
      </c>
      <c r="Y99" s="43"/>
      <c r="Z99" s="38">
        <f t="shared" si="56"/>
        <v>0.8</v>
      </c>
      <c r="AA99" s="38">
        <f t="shared" si="57"/>
        <v>0.20300000000000001</v>
      </c>
      <c r="AB99" s="38">
        <f t="shared" ca="1" si="58"/>
        <v>0.21152887158262337</v>
      </c>
      <c r="AC99" s="38">
        <f t="shared" si="59"/>
        <v>0.8</v>
      </c>
      <c r="AD99" s="38">
        <f t="shared" si="59"/>
        <v>0.20300000000000001</v>
      </c>
      <c r="AE99" s="38">
        <f t="shared" ca="1" si="60"/>
        <v>0.21152887158262337</v>
      </c>
      <c r="AF99" s="238">
        <f ca="1">((Summary!$N$12*(AA99*AD99)*(A99-$D$3))+(Summary!$M$12*Z99*AC99*(AJ99-EOMONTH(EDATE(A99,-1),0))))/(AK99*AB99*AE99)</f>
        <v>0.99990786768185114</v>
      </c>
      <c r="AG99" s="88">
        <f>IF($A100="","",Summary!$Q$12)</f>
        <v>0</v>
      </c>
      <c r="AH99" s="88">
        <f>IF($A100="","",IF(Summary!$R$12="Y",(VLOOKUP($A99,Summary!$AD$6:$AF$9,3)+'Escalating commodity'!H112),'Escalating commodity'!H112))</f>
        <v>2.9000000000000001E-2</v>
      </c>
      <c r="AI99" s="88">
        <f t="shared" si="74"/>
        <v>2.9000000000000001E-2</v>
      </c>
      <c r="AJ99" s="236">
        <f t="shared" si="61"/>
        <v>39767</v>
      </c>
      <c r="AK99" s="58">
        <f t="shared" ca="1" si="62"/>
        <v>2727</v>
      </c>
      <c r="AL99" s="26">
        <f ca="1">IF($A100="","",_xll.SPRDOPT(P99,X99,AI99,0,AB99,AE99,AF99,AK99,$AJ$2,0))</f>
        <v>3.3065119600129145E-3</v>
      </c>
      <c r="AM99" s="89">
        <f t="shared" si="63"/>
        <v>0</v>
      </c>
      <c r="AN99" s="89">
        <f t="shared" ca="1" si="64"/>
        <v>3.3065119600129145E-3</v>
      </c>
      <c r="AO99" s="3">
        <f t="shared" si="65"/>
        <v>30</v>
      </c>
      <c r="AP99" s="33">
        <f t="shared" si="66"/>
        <v>39753</v>
      </c>
      <c r="AQ99" s="58">
        <f t="shared" ca="1" si="67"/>
        <v>2727</v>
      </c>
      <c r="AR99" s="38">
        <f>'ANR OK vs ML7'!AR99</f>
        <v>0.1</v>
      </c>
      <c r="AS99" s="35">
        <f t="shared" ca="1" si="68"/>
        <v>0.48261002512341078</v>
      </c>
      <c r="AT99" s="3">
        <f t="shared" si="69"/>
        <v>1</v>
      </c>
      <c r="AU99" s="3">
        <f t="shared" si="70"/>
        <v>30</v>
      </c>
      <c r="AW99" s="32">
        <f t="shared" ca="1" si="71"/>
        <v>3622.8128941077498</v>
      </c>
      <c r="AX99" s="32">
        <f t="shared" si="71"/>
        <v>0</v>
      </c>
      <c r="AY99" s="32">
        <f t="shared" ca="1" si="72"/>
        <v>3622.8128941077498</v>
      </c>
      <c r="BA99" s="32">
        <f ca="1">IF($A100="","",F99*Summary!$Q$12)</f>
        <v>0</v>
      </c>
      <c r="BC99" s="256">
        <f t="shared" ca="1" si="75"/>
        <v>0</v>
      </c>
    </row>
    <row r="100" spans="1:55">
      <c r="A100" s="67">
        <f t="shared" si="73"/>
        <v>39783</v>
      </c>
      <c r="B100" s="69">
        <f t="shared" si="76"/>
        <v>36522</v>
      </c>
      <c r="C100" s="71"/>
      <c r="D100" s="69">
        <f t="shared" si="39"/>
        <v>36522</v>
      </c>
      <c r="E100" s="70">
        <f t="shared" si="40"/>
        <v>1132182</v>
      </c>
      <c r="F100" s="70">
        <f t="shared" ca="1" si="41"/>
        <v>542040.5743206864</v>
      </c>
      <c r="G100" s="63">
        <f t="shared" si="42"/>
        <v>4.5670000000000002</v>
      </c>
      <c r="H100" s="64">
        <f t="shared" si="43"/>
        <v>4.5670000000000002</v>
      </c>
      <c r="I100" s="43"/>
      <c r="J100" s="63">
        <f t="shared" si="44"/>
        <v>0.27500000000000002</v>
      </c>
      <c r="K100" s="64">
        <f t="shared" si="45"/>
        <v>0.27500000000000002</v>
      </c>
      <c r="L100" s="63">
        <f t="shared" si="46"/>
        <v>0</v>
      </c>
      <c r="M100" s="64">
        <f t="shared" si="47"/>
        <v>0</v>
      </c>
      <c r="N100" s="65"/>
      <c r="O100" s="63">
        <f t="shared" si="48"/>
        <v>4.8420000000000005</v>
      </c>
      <c r="P100" s="63">
        <f t="shared" si="49"/>
        <v>4.8420000000000005</v>
      </c>
      <c r="Q100" s="66"/>
      <c r="R100" s="63">
        <f t="shared" si="50"/>
        <v>0.27500000000000002</v>
      </c>
      <c r="S100" s="64">
        <f t="shared" si="51"/>
        <v>0.27500000000000002</v>
      </c>
      <c r="T100" s="63">
        <f t="shared" si="52"/>
        <v>0</v>
      </c>
      <c r="U100" s="64">
        <f t="shared" si="53"/>
        <v>0</v>
      </c>
      <c r="V100" s="90">
        <f>IF($A101="","",IF(AND(MONTH(A100)&gt;3,MONTH(A100)&lt;11),(T100+R100+G100)*(((1/(1-Summary!$T$12))/(1-Summary!$W$12))-1),(T100+R100+G100)*((1/(1-Summary!$U$12))/(1-Summary!$X$12)-1)))</f>
        <v>0</v>
      </c>
      <c r="W100" s="63">
        <f t="shared" si="54"/>
        <v>4.8420000000000005</v>
      </c>
      <c r="X100" s="63">
        <f t="shared" si="55"/>
        <v>4.8420000000000005</v>
      </c>
      <c r="Y100" s="43"/>
      <c r="Z100" s="38">
        <f t="shared" si="56"/>
        <v>1.1000000000000001</v>
      </c>
      <c r="AA100" s="38">
        <f t="shared" si="57"/>
        <v>0.20499999999999999</v>
      </c>
      <c r="AB100" s="38">
        <f t="shared" ca="1" si="58"/>
        <v>0.22100435989968187</v>
      </c>
      <c r="AC100" s="38">
        <f t="shared" si="59"/>
        <v>1.1000000000000001</v>
      </c>
      <c r="AD100" s="38">
        <f t="shared" si="59"/>
        <v>0.20499999999999999</v>
      </c>
      <c r="AE100" s="38">
        <f t="shared" ca="1" si="60"/>
        <v>0.22100435989968187</v>
      </c>
      <c r="AF100" s="238">
        <f ca="1">((Summary!$N$12*(AA100*AD100)*(A100-$D$3))+(Summary!$M$12*Z100*AC100*(AJ100-EOMONTH(EDATE(A100,-1),0))))/(AK100*AB100*AE100)</f>
        <v>0.99991392767485798</v>
      </c>
      <c r="AG100" s="88">
        <f>IF($A101="","",Summary!$Q$12)</f>
        <v>0</v>
      </c>
      <c r="AH100" s="88">
        <f>IF($A101="","",IF(Summary!$R$12="Y",(VLOOKUP($A100,Summary!$AD$6:$AF$9,3)+'Escalating commodity'!H113),'Escalating commodity'!H113))</f>
        <v>2.9000000000000001E-2</v>
      </c>
      <c r="AI100" s="88">
        <f t="shared" si="74"/>
        <v>2.9000000000000001E-2</v>
      </c>
      <c r="AJ100" s="236">
        <f t="shared" si="61"/>
        <v>39797.5</v>
      </c>
      <c r="AK100" s="58">
        <f t="shared" ca="1" si="62"/>
        <v>2757</v>
      </c>
      <c r="AL100" s="26">
        <f ca="1">IF($A101="","",_xll.SPRDOPT(P100,X100,AI100,0,AB100,AE100,AF100,AK100,$AJ$2,0))</f>
        <v>3.4216994255713978E-3</v>
      </c>
      <c r="AM100" s="89">
        <f t="shared" si="63"/>
        <v>0</v>
      </c>
      <c r="AN100" s="89">
        <f t="shared" ca="1" si="64"/>
        <v>3.4216994255713978E-3</v>
      </c>
      <c r="AO100" s="3">
        <f t="shared" si="65"/>
        <v>31</v>
      </c>
      <c r="AP100" s="33">
        <f t="shared" si="66"/>
        <v>39783</v>
      </c>
      <c r="AQ100" s="58">
        <f t="shared" ca="1" si="67"/>
        <v>2757</v>
      </c>
      <c r="AR100" s="38">
        <f>'ANR OK vs ML7'!AR100</f>
        <v>0.1</v>
      </c>
      <c r="AS100" s="35">
        <f t="shared" ca="1" si="68"/>
        <v>0.47875745623997412</v>
      </c>
      <c r="AT100" s="3">
        <f t="shared" si="69"/>
        <v>1</v>
      </c>
      <c r="AU100" s="3">
        <f t="shared" si="70"/>
        <v>31</v>
      </c>
      <c r="AW100" s="32">
        <f t="shared" ca="1" si="71"/>
        <v>3873.9864990422761</v>
      </c>
      <c r="AX100" s="32">
        <f t="shared" si="71"/>
        <v>0</v>
      </c>
      <c r="AY100" s="32">
        <f t="shared" ca="1" si="72"/>
        <v>3873.9864990422761</v>
      </c>
      <c r="BA100" s="32">
        <f ca="1">IF($A101="","",F100*Summary!$Q$12)</f>
        <v>0</v>
      </c>
      <c r="BC100" s="256">
        <f t="shared" ca="1" si="75"/>
        <v>0</v>
      </c>
    </row>
    <row r="101" spans="1:55">
      <c r="A101" s="67">
        <f t="shared" si="73"/>
        <v>39814</v>
      </c>
      <c r="B101" s="69">
        <f t="shared" si="76"/>
        <v>36522</v>
      </c>
      <c r="C101" s="71"/>
      <c r="D101" s="69">
        <f t="shared" si="39"/>
        <v>36522</v>
      </c>
      <c r="E101" s="70">
        <f t="shared" si="40"/>
        <v>1132182</v>
      </c>
      <c r="F101" s="70">
        <f t="shared" ca="1" si="41"/>
        <v>537569.94795586087</v>
      </c>
      <c r="G101" s="63">
        <f t="shared" si="42"/>
        <v>4.5890000000000004</v>
      </c>
      <c r="H101" s="64">
        <f t="shared" si="43"/>
        <v>4.5890000000000004</v>
      </c>
      <c r="I101" s="43"/>
      <c r="J101" s="63">
        <f t="shared" si="44"/>
        <v>0.27500000000000002</v>
      </c>
      <c r="K101" s="64">
        <f t="shared" si="45"/>
        <v>0.27500000000000002</v>
      </c>
      <c r="L101" s="63">
        <f t="shared" si="46"/>
        <v>0</v>
      </c>
      <c r="M101" s="64">
        <f t="shared" si="47"/>
        <v>0</v>
      </c>
      <c r="N101" s="65"/>
      <c r="O101" s="63">
        <f t="shared" si="48"/>
        <v>4.8640000000000008</v>
      </c>
      <c r="P101" s="63">
        <f t="shared" si="49"/>
        <v>4.8640000000000008</v>
      </c>
      <c r="Q101" s="66"/>
      <c r="R101" s="63">
        <f t="shared" si="50"/>
        <v>0.27500000000000002</v>
      </c>
      <c r="S101" s="64">
        <f t="shared" si="51"/>
        <v>0.27500000000000002</v>
      </c>
      <c r="T101" s="63">
        <f t="shared" si="52"/>
        <v>0</v>
      </c>
      <c r="U101" s="64">
        <f t="shared" si="53"/>
        <v>0</v>
      </c>
      <c r="V101" s="90">
        <f>IF($A102="","",IF(AND(MONTH(A101)&gt;3,MONTH(A101)&lt;11),(T101+R101+G101)*(((1/(1-Summary!$T$12))/(1-Summary!$W$12))-1),(T101+R101+G101)*((1/(1-Summary!$U$12))/(1-Summary!$X$12)-1)))</f>
        <v>0</v>
      </c>
      <c r="W101" s="63">
        <f t="shared" si="54"/>
        <v>4.8640000000000008</v>
      </c>
      <c r="X101" s="63">
        <f t="shared" si="55"/>
        <v>4.8640000000000008</v>
      </c>
      <c r="Y101" s="43"/>
      <c r="Z101" s="38">
        <f t="shared" si="56"/>
        <v>1.1000000000000001</v>
      </c>
      <c r="AA101" s="38">
        <f t="shared" si="57"/>
        <v>0.20499999999999999</v>
      </c>
      <c r="AB101" s="38">
        <f t="shared" ca="1" si="58"/>
        <v>0.22083278290538946</v>
      </c>
      <c r="AC101" s="38">
        <f t="shared" si="59"/>
        <v>1.1000000000000001</v>
      </c>
      <c r="AD101" s="38">
        <f t="shared" si="59"/>
        <v>0.20499999999999999</v>
      </c>
      <c r="AE101" s="38">
        <f t="shared" ca="1" si="60"/>
        <v>0.22083278290538946</v>
      </c>
      <c r="AF101" s="238">
        <f ca="1">((Summary!$N$12*(AA101*AD101)*(A101-$D$3))+(Summary!$M$12*Z101*AC101*(AJ101-EOMONTH(EDATE(A101,-1),0))))/(AK101*AB101*AE101)</f>
        <v>0.99991379422190885</v>
      </c>
      <c r="AG101" s="88">
        <f>IF($A102="","",Summary!$Q$12)</f>
        <v>0</v>
      </c>
      <c r="AH101" s="88">
        <f>IF($A102="","",IF(Summary!$R$12="Y",(VLOOKUP($A101,Summary!$AD$6:$AF$9,3)+'Escalating commodity'!H114),'Escalating commodity'!H114))</f>
        <v>2.9000000000000001E-2</v>
      </c>
      <c r="AI101" s="88">
        <f t="shared" si="74"/>
        <v>2.9000000000000001E-2</v>
      </c>
      <c r="AJ101" s="236">
        <f t="shared" si="61"/>
        <v>39828.5</v>
      </c>
      <c r="AK101" s="58">
        <f t="shared" ca="1" si="62"/>
        <v>2788</v>
      </c>
      <c r="AL101" s="26">
        <f ca="1">IF($A102="","",_xll.SPRDOPT(P101,X101,AI101,0,AB101,AE101,AF101,AK101,$AJ$2,0))</f>
        <v>3.4685777447883287E-3</v>
      </c>
      <c r="AM101" s="89">
        <f t="shared" si="63"/>
        <v>0</v>
      </c>
      <c r="AN101" s="89">
        <f t="shared" ca="1" si="64"/>
        <v>3.4685777447883287E-3</v>
      </c>
      <c r="AO101" s="3">
        <f t="shared" si="65"/>
        <v>31</v>
      </c>
      <c r="AP101" s="33">
        <f t="shared" si="66"/>
        <v>39814</v>
      </c>
      <c r="AQ101" s="58">
        <f t="shared" ca="1" si="67"/>
        <v>2788</v>
      </c>
      <c r="AR101" s="38">
        <f>'ANR OK vs ML7'!AR101</f>
        <v>0.1</v>
      </c>
      <c r="AS101" s="35">
        <f t="shared" ca="1" si="68"/>
        <v>0.4748087745219946</v>
      </c>
      <c r="AT101" s="3">
        <f t="shared" si="69"/>
        <v>1</v>
      </c>
      <c r="AU101" s="3">
        <f t="shared" si="70"/>
        <v>31</v>
      </c>
      <c r="AW101" s="32">
        <f t="shared" ca="1" si="71"/>
        <v>3927.0612882499395</v>
      </c>
      <c r="AX101" s="32">
        <f t="shared" si="71"/>
        <v>0</v>
      </c>
      <c r="AY101" s="32">
        <f t="shared" ca="1" si="72"/>
        <v>3927.0612882499395</v>
      </c>
      <c r="BA101" s="32">
        <f ca="1">IF($A102="","",F101*Summary!$Q$12)</f>
        <v>0</v>
      </c>
      <c r="BC101" s="256">
        <f t="shared" ca="1" si="75"/>
        <v>0</v>
      </c>
    </row>
    <row r="102" spans="1:55">
      <c r="A102" s="67">
        <f t="shared" si="73"/>
        <v>39845</v>
      </c>
      <c r="B102" s="69">
        <f t="shared" si="76"/>
        <v>36522</v>
      </c>
      <c r="C102" s="71"/>
      <c r="D102" s="69">
        <f t="shared" si="39"/>
        <v>36522</v>
      </c>
      <c r="E102" s="70">
        <f t="shared" si="40"/>
        <v>1022616</v>
      </c>
      <c r="F102" s="70">
        <f t="shared" ca="1" si="41"/>
        <v>481542.36903807934</v>
      </c>
      <c r="G102" s="63">
        <f t="shared" si="42"/>
        <v>4.4690000000000003</v>
      </c>
      <c r="H102" s="64">
        <f t="shared" si="43"/>
        <v>4.4690000000000003</v>
      </c>
      <c r="I102" s="43"/>
      <c r="J102" s="63">
        <f t="shared" si="44"/>
        <v>0.27500000000000002</v>
      </c>
      <c r="K102" s="64">
        <f t="shared" si="45"/>
        <v>0.27500000000000002</v>
      </c>
      <c r="L102" s="63">
        <f t="shared" si="46"/>
        <v>0</v>
      </c>
      <c r="M102" s="64">
        <f t="shared" si="47"/>
        <v>0</v>
      </c>
      <c r="N102" s="65"/>
      <c r="O102" s="63">
        <f t="shared" si="48"/>
        <v>4.7440000000000007</v>
      </c>
      <c r="P102" s="63">
        <f t="shared" si="49"/>
        <v>4.7440000000000007</v>
      </c>
      <c r="Q102" s="66"/>
      <c r="R102" s="63">
        <f t="shared" si="50"/>
        <v>0.27500000000000002</v>
      </c>
      <c r="S102" s="64">
        <f t="shared" si="51"/>
        <v>0.27500000000000002</v>
      </c>
      <c r="T102" s="63">
        <f t="shared" si="52"/>
        <v>0</v>
      </c>
      <c r="U102" s="64">
        <f t="shared" si="53"/>
        <v>0</v>
      </c>
      <c r="V102" s="90">
        <f>IF($A103="","",IF(AND(MONTH(A102)&gt;3,MONTH(A102)&lt;11),(T102+R102+G102)*(((1/(1-Summary!$T$12))/(1-Summary!$W$12))-1),(T102+R102+G102)*((1/(1-Summary!$U$12))/(1-Summary!$X$12)-1)))</f>
        <v>0</v>
      </c>
      <c r="W102" s="63">
        <f t="shared" si="54"/>
        <v>4.7440000000000007</v>
      </c>
      <c r="X102" s="63">
        <f t="shared" si="55"/>
        <v>4.7440000000000007</v>
      </c>
      <c r="Y102" s="43"/>
      <c r="Z102" s="38">
        <f t="shared" si="56"/>
        <v>1.1000000000000001</v>
      </c>
      <c r="AA102" s="38">
        <f t="shared" si="57"/>
        <v>0.20300000000000001</v>
      </c>
      <c r="AB102" s="38">
        <f t="shared" ca="1" si="58"/>
        <v>0.21733117915552824</v>
      </c>
      <c r="AC102" s="38">
        <f t="shared" si="59"/>
        <v>1.1000000000000001</v>
      </c>
      <c r="AD102" s="38">
        <f t="shared" si="59"/>
        <v>0.20300000000000001</v>
      </c>
      <c r="AE102" s="38">
        <f t="shared" ca="1" si="60"/>
        <v>0.21733117915552824</v>
      </c>
      <c r="AF102" s="238">
        <f ca="1">((Summary!$N$12*(AA102*AD102)*(A102-$D$3))+(Summary!$M$12*Z102*AC102*(AJ102-EOMONTH(EDATE(A102,-1),0))))/(AK102*AB102*AE102)</f>
        <v>0.99991272255266983</v>
      </c>
      <c r="AG102" s="88">
        <f>IF($A103="","",Summary!$Q$12)</f>
        <v>0</v>
      </c>
      <c r="AH102" s="88">
        <f>IF($A103="","",IF(Summary!$R$12="Y",(VLOOKUP($A102,Summary!$AD$6:$AF$9,3)+'Escalating commodity'!H115),'Escalating commodity'!H115))</f>
        <v>2.9000000000000001E-2</v>
      </c>
      <c r="AI102" s="88">
        <f t="shared" si="74"/>
        <v>2.9000000000000001E-2</v>
      </c>
      <c r="AJ102" s="236">
        <f t="shared" si="61"/>
        <v>39858</v>
      </c>
      <c r="AK102" s="58">
        <f t="shared" ca="1" si="62"/>
        <v>2819</v>
      </c>
      <c r="AL102" s="26">
        <f ca="1">IF($A103="","",_xll.SPRDOPT(P102,X102,AI102,0,AB102,AE102,AF102,AK102,$AJ$2,0))</f>
        <v>3.3551032985777371E-3</v>
      </c>
      <c r="AM102" s="89">
        <f t="shared" si="63"/>
        <v>0</v>
      </c>
      <c r="AN102" s="89">
        <f t="shared" ca="1" si="64"/>
        <v>3.3551032985777371E-3</v>
      </c>
      <c r="AO102" s="3">
        <f t="shared" si="65"/>
        <v>28</v>
      </c>
      <c r="AP102" s="33">
        <f t="shared" si="66"/>
        <v>39845</v>
      </c>
      <c r="AQ102" s="58">
        <f t="shared" ca="1" si="67"/>
        <v>2819</v>
      </c>
      <c r="AR102" s="38">
        <f>'ANR OK vs ML7'!AR102</f>
        <v>0.1</v>
      </c>
      <c r="AS102" s="35">
        <f t="shared" ca="1" si="68"/>
        <v>0.47089266062537583</v>
      </c>
      <c r="AT102" s="3">
        <f t="shared" si="69"/>
        <v>1</v>
      </c>
      <c r="AU102" s="3">
        <f t="shared" si="70"/>
        <v>28</v>
      </c>
      <c r="AW102" s="32">
        <f t="shared" ca="1" si="71"/>
        <v>3430.9823147783713</v>
      </c>
      <c r="AX102" s="32">
        <f t="shared" si="71"/>
        <v>0</v>
      </c>
      <c r="AY102" s="32">
        <f t="shared" ca="1" si="72"/>
        <v>3430.9823147783713</v>
      </c>
      <c r="BA102" s="32">
        <f ca="1">IF($A103="","",F102*Summary!$Q$12)</f>
        <v>0</v>
      </c>
      <c r="BC102" s="256">
        <f t="shared" ca="1" si="75"/>
        <v>0</v>
      </c>
    </row>
    <row r="103" spans="1:55">
      <c r="A103" s="67">
        <f t="shared" si="73"/>
        <v>39873</v>
      </c>
      <c r="B103" s="69">
        <f t="shared" si="76"/>
        <v>36522</v>
      </c>
      <c r="C103" s="71"/>
      <c r="D103" s="69">
        <f t="shared" si="39"/>
        <v>36522</v>
      </c>
      <c r="E103" s="70">
        <f t="shared" si="40"/>
        <v>1132182</v>
      </c>
      <c r="F103" s="70">
        <f t="shared" ca="1" si="41"/>
        <v>529162.95342283207</v>
      </c>
      <c r="G103" s="63">
        <f t="shared" si="42"/>
        <v>4.33</v>
      </c>
      <c r="H103" s="64">
        <f t="shared" si="43"/>
        <v>4.33</v>
      </c>
      <c r="I103" s="43"/>
      <c r="J103" s="63">
        <f t="shared" si="44"/>
        <v>0.27500000000000002</v>
      </c>
      <c r="K103" s="64">
        <f t="shared" si="45"/>
        <v>0.27500000000000002</v>
      </c>
      <c r="L103" s="63">
        <f t="shared" si="46"/>
        <v>0</v>
      </c>
      <c r="M103" s="64">
        <f t="shared" si="47"/>
        <v>0</v>
      </c>
      <c r="N103" s="65"/>
      <c r="O103" s="63">
        <f t="shared" si="48"/>
        <v>4.6050000000000004</v>
      </c>
      <c r="P103" s="63">
        <f t="shared" si="49"/>
        <v>4.6050000000000004</v>
      </c>
      <c r="Q103" s="66"/>
      <c r="R103" s="63">
        <f t="shared" si="50"/>
        <v>0.27500000000000002</v>
      </c>
      <c r="S103" s="64">
        <f t="shared" si="51"/>
        <v>0.27500000000000002</v>
      </c>
      <c r="T103" s="63">
        <f t="shared" si="52"/>
        <v>0</v>
      </c>
      <c r="U103" s="64">
        <f t="shared" si="53"/>
        <v>0</v>
      </c>
      <c r="V103" s="90">
        <f>IF($A104="","",IF(AND(MONTH(A103)&gt;3,MONTH(A103)&lt;11),(T103+R103+G103)*(((1/(1-Summary!$T$12))/(1-Summary!$W$12))-1),(T103+R103+G103)*((1/(1-Summary!$U$12))/(1-Summary!$X$12)-1)))</f>
        <v>0</v>
      </c>
      <c r="W103" s="63">
        <f t="shared" si="54"/>
        <v>4.6050000000000004</v>
      </c>
      <c r="X103" s="63">
        <f t="shared" si="55"/>
        <v>4.6050000000000004</v>
      </c>
      <c r="Y103" s="43"/>
      <c r="Z103" s="38">
        <f t="shared" si="56"/>
        <v>0.75</v>
      </c>
      <c r="AA103" s="38">
        <f t="shared" si="57"/>
        <v>0.193</v>
      </c>
      <c r="AB103" s="38">
        <f t="shared" ca="1" si="58"/>
        <v>0.20080965548989368</v>
      </c>
      <c r="AC103" s="38">
        <f t="shared" si="59"/>
        <v>0.75</v>
      </c>
      <c r="AD103" s="38">
        <f t="shared" si="59"/>
        <v>0.193</v>
      </c>
      <c r="AE103" s="38">
        <f t="shared" ca="1" si="60"/>
        <v>0.20080965548989368</v>
      </c>
      <c r="AF103" s="238">
        <f ca="1">((Summary!$N$12*(AA103*AD103)*(A103-$D$3))+(Summary!$M$12*Z103*AC103*(AJ103-EOMONTH(EDATE(A103,-1),0))))/(AK103*AB103*AE103)</f>
        <v>0.99990759447183253</v>
      </c>
      <c r="AG103" s="88">
        <f>IF($A104="","",Summary!$Q$12)</f>
        <v>0</v>
      </c>
      <c r="AH103" s="88">
        <f>IF($A104="","",IF(Summary!$R$12="Y",(VLOOKUP($A103,Summary!$AD$6:$AF$9,3)+'Escalating commodity'!H116),'Escalating commodity'!H116))</f>
        <v>2.9000000000000001E-2</v>
      </c>
      <c r="AI103" s="88">
        <f t="shared" si="74"/>
        <v>2.9000000000000001E-2</v>
      </c>
      <c r="AJ103" s="236">
        <f t="shared" si="61"/>
        <v>39887.5</v>
      </c>
      <c r="AK103" s="58">
        <f t="shared" ca="1" si="62"/>
        <v>2847</v>
      </c>
      <c r="AL103" s="26">
        <f ca="1">IF($A104="","",_xll.SPRDOPT(P103,X103,AI103,0,AB103,AE103,AF103,AK103,$AJ$2,0))</f>
        <v>3.0959147847798366E-3</v>
      </c>
      <c r="AM103" s="89">
        <f t="shared" si="63"/>
        <v>0</v>
      </c>
      <c r="AN103" s="89">
        <f t="shared" ca="1" si="64"/>
        <v>3.0959147847798366E-3</v>
      </c>
      <c r="AO103" s="3">
        <f t="shared" si="65"/>
        <v>31</v>
      </c>
      <c r="AP103" s="33">
        <f t="shared" si="66"/>
        <v>39873</v>
      </c>
      <c r="AQ103" s="58">
        <f t="shared" ca="1" si="67"/>
        <v>2847</v>
      </c>
      <c r="AR103" s="38">
        <f>'ANR OK vs ML7'!AR103</f>
        <v>0.1</v>
      </c>
      <c r="AS103" s="35">
        <f t="shared" ca="1" si="68"/>
        <v>0.4673832947554652</v>
      </c>
      <c r="AT103" s="3">
        <f t="shared" si="69"/>
        <v>1</v>
      </c>
      <c r="AU103" s="3">
        <f t="shared" si="70"/>
        <v>31</v>
      </c>
      <c r="AW103" s="32">
        <f t="shared" ca="1" si="71"/>
        <v>3505.1389928616049</v>
      </c>
      <c r="AX103" s="32">
        <f t="shared" si="71"/>
        <v>0</v>
      </c>
      <c r="AY103" s="32">
        <f t="shared" ca="1" si="72"/>
        <v>3505.1389928616049</v>
      </c>
      <c r="BA103" s="32">
        <f ca="1">IF($A104="","",F103*Summary!$Q$12)</f>
        <v>0</v>
      </c>
      <c r="BC103" s="256">
        <f t="shared" ca="1" si="75"/>
        <v>0</v>
      </c>
    </row>
    <row r="104" spans="1:55">
      <c r="A104" s="67">
        <f t="shared" si="73"/>
        <v>39904</v>
      </c>
      <c r="B104" s="69">
        <f t="shared" si="76"/>
        <v>36522</v>
      </c>
      <c r="C104" s="71"/>
      <c r="D104" s="69">
        <f t="shared" si="39"/>
        <v>36522</v>
      </c>
      <c r="E104" s="70">
        <f t="shared" si="40"/>
        <v>1095660</v>
      </c>
      <c r="F104" s="70">
        <f t="shared" ca="1" si="41"/>
        <v>507869.55360220623</v>
      </c>
      <c r="G104" s="63">
        <f t="shared" si="42"/>
        <v>4.1550000000000002</v>
      </c>
      <c r="H104" s="64">
        <f t="shared" si="43"/>
        <v>4.1550000000000002</v>
      </c>
      <c r="I104" s="43"/>
      <c r="J104" s="63">
        <f t="shared" si="44"/>
        <v>0.18</v>
      </c>
      <c r="K104" s="64">
        <f t="shared" si="45"/>
        <v>0.18</v>
      </c>
      <c r="L104" s="63">
        <f t="shared" si="46"/>
        <v>0</v>
      </c>
      <c r="M104" s="64">
        <f t="shared" si="47"/>
        <v>0</v>
      </c>
      <c r="N104" s="65"/>
      <c r="O104" s="63">
        <f t="shared" si="48"/>
        <v>4.335</v>
      </c>
      <c r="P104" s="63">
        <f t="shared" si="49"/>
        <v>4.335</v>
      </c>
      <c r="Q104" s="66"/>
      <c r="R104" s="63">
        <f t="shared" si="50"/>
        <v>0.18</v>
      </c>
      <c r="S104" s="64">
        <f t="shared" si="51"/>
        <v>0.18</v>
      </c>
      <c r="T104" s="63">
        <f t="shared" si="52"/>
        <v>0</v>
      </c>
      <c r="U104" s="64">
        <f t="shared" si="53"/>
        <v>0</v>
      </c>
      <c r="V104" s="90">
        <f>IF($A105="","",IF(AND(MONTH(A104)&gt;3,MONTH(A104)&lt;11),(T104+R104+G104)*(((1/(1-Summary!$T$12))/(1-Summary!$W$12))-1),(T104+R104+G104)*((1/(1-Summary!$U$12))/(1-Summary!$X$12)-1)))</f>
        <v>0</v>
      </c>
      <c r="W104" s="63">
        <f t="shared" si="54"/>
        <v>4.335</v>
      </c>
      <c r="X104" s="63">
        <f t="shared" si="55"/>
        <v>4.335</v>
      </c>
      <c r="Y104" s="43"/>
      <c r="Z104" s="38">
        <f t="shared" si="56"/>
        <v>0.45</v>
      </c>
      <c r="AA104" s="38">
        <f t="shared" si="57"/>
        <v>0.19</v>
      </c>
      <c r="AB104" s="38">
        <f t="shared" ca="1" si="58"/>
        <v>0.19278994751748416</v>
      </c>
      <c r="AC104" s="38">
        <f t="shared" si="59"/>
        <v>0.45</v>
      </c>
      <c r="AD104" s="38">
        <f t="shared" si="59"/>
        <v>0.19</v>
      </c>
      <c r="AE104" s="38">
        <f t="shared" ca="1" si="60"/>
        <v>0.19278994751748416</v>
      </c>
      <c r="AF104" s="238">
        <f ca="1">((Summary!$N$12*(AA104*AD104)*(A104-$D$3))+(Summary!$M$12*Z104*AC104*(AJ104-EOMONTH(EDATE(A104,-1),0))))/(AK104*AB104*AE104)</f>
        <v>0.99990283959711856</v>
      </c>
      <c r="AG104" s="88">
        <f>IF($A105="","",Summary!$Q$12)</f>
        <v>0</v>
      </c>
      <c r="AH104" s="88">
        <f>IF($A105="","",IF(Summary!$R$12="Y",(VLOOKUP($A104,Summary!$AD$6:$AF$9,3)+'Escalating commodity'!H117),'Escalating commodity'!H117))</f>
        <v>2.9000000000000001E-2</v>
      </c>
      <c r="AI104" s="88">
        <f t="shared" si="74"/>
        <v>2.9000000000000001E-2</v>
      </c>
      <c r="AJ104" s="236">
        <f t="shared" si="61"/>
        <v>39918</v>
      </c>
      <c r="AK104" s="58">
        <f t="shared" ca="1" si="62"/>
        <v>2878</v>
      </c>
      <c r="AL104" s="26">
        <f ca="1">IF($A105="","",_xll.SPRDOPT(P104,X104,AI104,0,AB104,AE104,AF104,AK104,$AJ$2,0))</f>
        <v>2.8606974397932597E-3</v>
      </c>
      <c r="AM104" s="89">
        <f t="shared" si="63"/>
        <v>0</v>
      </c>
      <c r="AN104" s="89">
        <f t="shared" ca="1" si="64"/>
        <v>2.8606974397932597E-3</v>
      </c>
      <c r="AO104" s="3">
        <f t="shared" si="65"/>
        <v>30</v>
      </c>
      <c r="AP104" s="33">
        <f t="shared" si="66"/>
        <v>39904</v>
      </c>
      <c r="AQ104" s="58">
        <f t="shared" ca="1" si="67"/>
        <v>2878</v>
      </c>
      <c r="AR104" s="38">
        <f>'ANR OK vs ML7'!AR104</f>
        <v>0.1</v>
      </c>
      <c r="AS104" s="35">
        <f t="shared" ca="1" si="68"/>
        <v>0.46352842451326709</v>
      </c>
      <c r="AT104" s="3">
        <f t="shared" si="69"/>
        <v>1</v>
      </c>
      <c r="AU104" s="3">
        <f t="shared" si="70"/>
        <v>30</v>
      </c>
      <c r="AW104" s="32">
        <f t="shared" ca="1" si="71"/>
        <v>3134.3517568838829</v>
      </c>
      <c r="AX104" s="32">
        <f t="shared" si="71"/>
        <v>0</v>
      </c>
      <c r="AY104" s="32">
        <f t="shared" ca="1" si="72"/>
        <v>3134.3517568838829</v>
      </c>
      <c r="BA104" s="32">
        <f ca="1">IF($A105="","",F104*Summary!$Q$12)</f>
        <v>0</v>
      </c>
      <c r="BC104" s="256">
        <f t="shared" ca="1" si="75"/>
        <v>0</v>
      </c>
    </row>
    <row r="105" spans="1:55">
      <c r="A105" s="67">
        <f t="shared" si="73"/>
        <v>39934</v>
      </c>
      <c r="B105" s="69">
        <f t="shared" si="76"/>
        <v>36522</v>
      </c>
      <c r="C105" s="71"/>
      <c r="D105" s="69">
        <f t="shared" si="39"/>
        <v>36522</v>
      </c>
      <c r="E105" s="70">
        <f t="shared" si="40"/>
        <v>1132182</v>
      </c>
      <c r="F105" s="70">
        <f t="shared" ca="1" si="41"/>
        <v>520609.18828382279</v>
      </c>
      <c r="G105" s="63">
        <f t="shared" si="42"/>
        <v>4.125</v>
      </c>
      <c r="H105" s="64">
        <f t="shared" si="43"/>
        <v>4.125</v>
      </c>
      <c r="I105" s="43"/>
      <c r="J105" s="63">
        <f t="shared" si="44"/>
        <v>0.18</v>
      </c>
      <c r="K105" s="64">
        <f t="shared" si="45"/>
        <v>0.18</v>
      </c>
      <c r="L105" s="63">
        <f t="shared" si="46"/>
        <v>0</v>
      </c>
      <c r="M105" s="64">
        <f t="shared" si="47"/>
        <v>0</v>
      </c>
      <c r="N105" s="65"/>
      <c r="O105" s="63">
        <f t="shared" si="48"/>
        <v>4.3049999999999997</v>
      </c>
      <c r="P105" s="63">
        <f t="shared" si="49"/>
        <v>4.3049999999999997</v>
      </c>
      <c r="Q105" s="66"/>
      <c r="R105" s="63">
        <f t="shared" si="50"/>
        <v>0.18</v>
      </c>
      <c r="S105" s="64">
        <f t="shared" si="51"/>
        <v>0.18</v>
      </c>
      <c r="T105" s="63">
        <f t="shared" si="52"/>
        <v>0</v>
      </c>
      <c r="U105" s="64">
        <f t="shared" si="53"/>
        <v>0</v>
      </c>
      <c r="V105" s="90">
        <f>IF($A106="","",IF(AND(MONTH(A105)&gt;3,MONTH(A105)&lt;11),(T105+R105+G105)*(((1/(1-Summary!$T$12))/(1-Summary!$W$12))-1),(T105+R105+G105)*((1/(1-Summary!$U$12))/(1-Summary!$X$12)-1)))</f>
        <v>0</v>
      </c>
      <c r="W105" s="63">
        <f t="shared" si="54"/>
        <v>4.3049999999999997</v>
      </c>
      <c r="X105" s="63">
        <f t="shared" si="55"/>
        <v>4.3049999999999997</v>
      </c>
      <c r="Y105" s="43"/>
      <c r="Z105" s="38">
        <f t="shared" si="56"/>
        <v>0.5</v>
      </c>
      <c r="AA105" s="38">
        <f t="shared" si="57"/>
        <v>0.19</v>
      </c>
      <c r="AB105" s="38">
        <f t="shared" ca="1" si="58"/>
        <v>0.19350696364567158</v>
      </c>
      <c r="AC105" s="38">
        <f t="shared" si="59"/>
        <v>0.5</v>
      </c>
      <c r="AD105" s="38">
        <f t="shared" si="59"/>
        <v>0.19</v>
      </c>
      <c r="AE105" s="38">
        <f t="shared" ca="1" si="60"/>
        <v>0.19350696364567158</v>
      </c>
      <c r="AF105" s="238">
        <f ca="1">((Summary!$N$12*(AA105*AD105)*(A105-$D$3))+(Summary!$M$12*Z105*AC105*(AJ105-EOMONTH(EDATE(A105,-1),0))))/(AK105*AB105*AE105)</f>
        <v>0.99990355864042479</v>
      </c>
      <c r="AG105" s="88">
        <f>IF($A106="","",Summary!$Q$12)</f>
        <v>0</v>
      </c>
      <c r="AH105" s="88">
        <f>IF($A106="","",IF(Summary!$R$12="Y",(VLOOKUP($A105,Summary!$AD$6:$AF$9,3)+'Escalating commodity'!H118),'Escalating commodity'!H118))</f>
        <v>2.9000000000000001E-2</v>
      </c>
      <c r="AI105" s="88">
        <f t="shared" si="74"/>
        <v>2.9000000000000001E-2</v>
      </c>
      <c r="AJ105" s="236">
        <f t="shared" si="61"/>
        <v>39948.5</v>
      </c>
      <c r="AK105" s="58">
        <f t="shared" ca="1" si="62"/>
        <v>2908</v>
      </c>
      <c r="AL105" s="26">
        <f ca="1">IF($A106="","",_xll.SPRDOPT(P105,X105,AI105,0,AB105,AE105,AF105,AK105,$AJ$2,0))</f>
        <v>2.8479804094972624E-3</v>
      </c>
      <c r="AM105" s="89">
        <f t="shared" si="63"/>
        <v>0</v>
      </c>
      <c r="AN105" s="89">
        <f t="shared" ca="1" si="64"/>
        <v>2.8479804094972624E-3</v>
      </c>
      <c r="AO105" s="3">
        <f t="shared" si="65"/>
        <v>31</v>
      </c>
      <c r="AP105" s="33">
        <f t="shared" si="66"/>
        <v>39934</v>
      </c>
      <c r="AQ105" s="58">
        <f t="shared" ca="1" si="67"/>
        <v>2908</v>
      </c>
      <c r="AR105" s="38">
        <f>'ANR OK vs ML7'!AR105</f>
        <v>0.1</v>
      </c>
      <c r="AS105" s="35">
        <f t="shared" ca="1" si="68"/>
        <v>0.45982817981898916</v>
      </c>
      <c r="AT105" s="3">
        <f t="shared" si="69"/>
        <v>1</v>
      </c>
      <c r="AU105" s="3">
        <f t="shared" si="70"/>
        <v>31</v>
      </c>
      <c r="AW105" s="32">
        <f t="shared" ca="1" si="71"/>
        <v>3224.4321559854297</v>
      </c>
      <c r="AX105" s="32">
        <f t="shared" si="71"/>
        <v>0</v>
      </c>
      <c r="AY105" s="32">
        <f t="shared" ca="1" si="72"/>
        <v>3224.4321559854297</v>
      </c>
      <c r="BA105" s="32">
        <f ca="1">IF($A106="","",F105*Summary!$Q$12)</f>
        <v>0</v>
      </c>
      <c r="BC105" s="256">
        <f t="shared" ca="1" si="75"/>
        <v>0</v>
      </c>
    </row>
    <row r="106" spans="1:55">
      <c r="A106" s="67">
        <f t="shared" si="73"/>
        <v>39965</v>
      </c>
      <c r="B106" s="69">
        <f t="shared" si="76"/>
        <v>36522</v>
      </c>
      <c r="C106" s="71"/>
      <c r="D106" s="69">
        <f t="shared" si="39"/>
        <v>36522</v>
      </c>
      <c r="E106" s="70">
        <f t="shared" si="40"/>
        <v>1095660</v>
      </c>
      <c r="F106" s="70">
        <f t="shared" ca="1" si="41"/>
        <v>499659.99007424794</v>
      </c>
      <c r="G106" s="63">
        <f t="shared" si="42"/>
        <v>4.1950000000000003</v>
      </c>
      <c r="H106" s="64">
        <f t="shared" si="43"/>
        <v>4.1950000000000003</v>
      </c>
      <c r="I106" s="43"/>
      <c r="J106" s="63">
        <f t="shared" si="44"/>
        <v>0.18</v>
      </c>
      <c r="K106" s="64">
        <f t="shared" si="45"/>
        <v>0.18</v>
      </c>
      <c r="L106" s="63">
        <f t="shared" si="46"/>
        <v>0</v>
      </c>
      <c r="M106" s="64">
        <f t="shared" si="47"/>
        <v>0</v>
      </c>
      <c r="N106" s="65"/>
      <c r="O106" s="63">
        <f t="shared" si="48"/>
        <v>4.375</v>
      </c>
      <c r="P106" s="63">
        <f t="shared" si="49"/>
        <v>4.375</v>
      </c>
      <c r="Q106" s="66"/>
      <c r="R106" s="63">
        <f t="shared" si="50"/>
        <v>0.18</v>
      </c>
      <c r="S106" s="64">
        <f t="shared" si="51"/>
        <v>0.18</v>
      </c>
      <c r="T106" s="63">
        <f t="shared" si="52"/>
        <v>0</v>
      </c>
      <c r="U106" s="64">
        <f t="shared" si="53"/>
        <v>0</v>
      </c>
      <c r="V106" s="90">
        <f>IF($A107="","",IF(AND(MONTH(A106)&gt;3,MONTH(A106)&lt;11),(T106+R106+G106)*(((1/(1-Summary!$T$12))/(1-Summary!$W$12))-1),(T106+R106+G106)*((1/(1-Summary!$U$12))/(1-Summary!$X$12)-1)))</f>
        <v>0</v>
      </c>
      <c r="W106" s="63">
        <f t="shared" si="54"/>
        <v>4.375</v>
      </c>
      <c r="X106" s="63">
        <f t="shared" si="55"/>
        <v>4.375</v>
      </c>
      <c r="Y106" s="43"/>
      <c r="Z106" s="38">
        <f t="shared" si="56"/>
        <v>0.5</v>
      </c>
      <c r="AA106" s="38">
        <f t="shared" si="57"/>
        <v>0.19</v>
      </c>
      <c r="AB106" s="38">
        <f t="shared" ca="1" si="58"/>
        <v>0.19336035604071808</v>
      </c>
      <c r="AC106" s="38">
        <f t="shared" si="59"/>
        <v>0.5</v>
      </c>
      <c r="AD106" s="38">
        <f t="shared" si="59"/>
        <v>0.19</v>
      </c>
      <c r="AE106" s="38">
        <f t="shared" ca="1" si="60"/>
        <v>0.19336035604071808</v>
      </c>
      <c r="AF106" s="238">
        <f ca="1">((Summary!$N$12*(AA106*AD106)*(A106-$D$3))+(Summary!$M$12*Z106*AC106*(AJ106-EOMONTH(EDATE(A106,-1),0))))/(AK106*AB106*AE106)</f>
        <v>0.9999034126897457</v>
      </c>
      <c r="AG106" s="88">
        <f>IF($A107="","",Summary!$Q$12)</f>
        <v>0</v>
      </c>
      <c r="AH106" s="88">
        <f>IF($A107="","",IF(Summary!$R$12="Y",(VLOOKUP($A106,Summary!$AD$6:$AF$9,3)+'Escalating commodity'!H119),'Escalating commodity'!H119))</f>
        <v>2.9000000000000001E-2</v>
      </c>
      <c r="AI106" s="88">
        <f t="shared" si="74"/>
        <v>2.9000000000000001E-2</v>
      </c>
      <c r="AJ106" s="236">
        <f t="shared" si="61"/>
        <v>39979</v>
      </c>
      <c r="AK106" s="58">
        <f t="shared" ca="1" si="62"/>
        <v>2939</v>
      </c>
      <c r="AL106" s="26">
        <f ca="1">IF($A107="","",_xll.SPRDOPT(P106,X106,AI106,0,AB106,AE106,AF106,AK106,$AJ$2,0))</f>
        <v>2.9334334881639286E-3</v>
      </c>
      <c r="AM106" s="89">
        <f t="shared" si="63"/>
        <v>0</v>
      </c>
      <c r="AN106" s="89">
        <f t="shared" ca="1" si="64"/>
        <v>2.9334334881639286E-3</v>
      </c>
      <c r="AO106" s="3">
        <f t="shared" si="65"/>
        <v>30</v>
      </c>
      <c r="AP106" s="33">
        <f t="shared" si="66"/>
        <v>39965</v>
      </c>
      <c r="AQ106" s="58">
        <f t="shared" ca="1" si="67"/>
        <v>2939</v>
      </c>
      <c r="AR106" s="38">
        <f>'ANR OK vs ML7'!AR106</f>
        <v>0.1</v>
      </c>
      <c r="AS106" s="35">
        <f t="shared" ca="1" si="68"/>
        <v>0.45603562243236767</v>
      </c>
      <c r="AT106" s="3">
        <f t="shared" si="69"/>
        <v>1</v>
      </c>
      <c r="AU106" s="3">
        <f t="shared" si="70"/>
        <v>30</v>
      </c>
      <c r="AW106" s="32">
        <f t="shared" ca="1" si="71"/>
        <v>3214.04573564169</v>
      </c>
      <c r="AX106" s="32">
        <f t="shared" si="71"/>
        <v>0</v>
      </c>
      <c r="AY106" s="32">
        <f t="shared" ca="1" si="72"/>
        <v>3214.04573564169</v>
      </c>
      <c r="BA106" s="32">
        <f ca="1">IF($A107="","",F106*Summary!$Q$12)</f>
        <v>0</v>
      </c>
      <c r="BC106" s="256">
        <f t="shared" ca="1" si="75"/>
        <v>0</v>
      </c>
    </row>
    <row r="107" spans="1:55">
      <c r="A107" s="67">
        <f t="shared" si="73"/>
        <v>39995</v>
      </c>
      <c r="B107" s="69">
        <f t="shared" si="76"/>
        <v>36522</v>
      </c>
      <c r="C107" s="71"/>
      <c r="D107" s="69">
        <f t="shared" si="39"/>
        <v>36522</v>
      </c>
      <c r="E107" s="70">
        <f t="shared" si="40"/>
        <v>1132182</v>
      </c>
      <c r="F107" s="70">
        <f t="shared" ca="1" si="41"/>
        <v>512193.69226887077</v>
      </c>
      <c r="G107" s="63">
        <f t="shared" si="42"/>
        <v>4.25</v>
      </c>
      <c r="H107" s="64">
        <f t="shared" si="43"/>
        <v>4.25</v>
      </c>
      <c r="I107" s="43"/>
      <c r="J107" s="63">
        <f t="shared" si="44"/>
        <v>0.18</v>
      </c>
      <c r="K107" s="64">
        <f t="shared" si="45"/>
        <v>0.18</v>
      </c>
      <c r="L107" s="63">
        <f t="shared" si="46"/>
        <v>0</v>
      </c>
      <c r="M107" s="64">
        <f t="shared" si="47"/>
        <v>0</v>
      </c>
      <c r="N107" s="65"/>
      <c r="O107" s="63">
        <f t="shared" si="48"/>
        <v>4.43</v>
      </c>
      <c r="P107" s="63">
        <f t="shared" si="49"/>
        <v>4.43</v>
      </c>
      <c r="Q107" s="66"/>
      <c r="R107" s="63">
        <f t="shared" si="50"/>
        <v>0.18</v>
      </c>
      <c r="S107" s="64">
        <f t="shared" si="51"/>
        <v>0.18</v>
      </c>
      <c r="T107" s="63">
        <f t="shared" si="52"/>
        <v>0</v>
      </c>
      <c r="U107" s="64">
        <f t="shared" si="53"/>
        <v>0</v>
      </c>
      <c r="V107" s="90">
        <f>IF($A108="","",IF(AND(MONTH(A107)&gt;3,MONTH(A107)&lt;11),(T107+R107+G107)*(((1/(1-Summary!$T$12))/(1-Summary!$W$12))-1),(T107+R107+G107)*((1/(1-Summary!$U$12))/(1-Summary!$X$12)-1)))</f>
        <v>0</v>
      </c>
      <c r="W107" s="63">
        <f t="shared" si="54"/>
        <v>4.43</v>
      </c>
      <c r="X107" s="63">
        <f t="shared" si="55"/>
        <v>4.43</v>
      </c>
      <c r="Y107" s="43"/>
      <c r="Z107" s="38">
        <f t="shared" si="56"/>
        <v>0.55000000000000004</v>
      </c>
      <c r="AA107" s="38">
        <f t="shared" si="57"/>
        <v>0.19</v>
      </c>
      <c r="AB107" s="38">
        <f t="shared" ca="1" si="58"/>
        <v>0.19414271660016474</v>
      </c>
      <c r="AC107" s="38">
        <f t="shared" si="59"/>
        <v>0.55000000000000004</v>
      </c>
      <c r="AD107" s="38">
        <f t="shared" si="59"/>
        <v>0.19</v>
      </c>
      <c r="AE107" s="38">
        <f t="shared" ca="1" si="60"/>
        <v>0.19414271660016474</v>
      </c>
      <c r="AF107" s="238">
        <f ca="1">((Summary!$N$12*(AA107*AD107)*(A107-$D$3))+(Summary!$M$12*Z107*AC107*(AJ107-EOMONTH(EDATE(A107,-1),0))))/(AK107*AB107*AE107)</f>
        <v>0.99990418990981245</v>
      </c>
      <c r="AG107" s="88">
        <f>IF($A108="","",Summary!$Q$12)</f>
        <v>0</v>
      </c>
      <c r="AH107" s="88">
        <f>IF($A108="","",IF(Summary!$R$12="Y",(VLOOKUP($A107,Summary!$AD$6:$AF$9,3)+'Escalating commodity'!H120),'Escalating commodity'!H120))</f>
        <v>2.9000000000000001E-2</v>
      </c>
      <c r="AI107" s="88">
        <f t="shared" si="74"/>
        <v>2.9000000000000001E-2</v>
      </c>
      <c r="AJ107" s="236">
        <f t="shared" si="61"/>
        <v>40009.5</v>
      </c>
      <c r="AK107" s="58">
        <f t="shared" ca="1" si="62"/>
        <v>2969</v>
      </c>
      <c r="AL107" s="26">
        <f ca="1">IF($A108="","",_xll.SPRDOPT(P107,X107,AI107,0,AB107,AE107,AF107,AK107,$AJ$2,0))</f>
        <v>2.9963590589516219E-3</v>
      </c>
      <c r="AM107" s="89">
        <f t="shared" si="63"/>
        <v>0</v>
      </c>
      <c r="AN107" s="89">
        <f t="shared" ca="1" si="64"/>
        <v>2.9963590589516219E-3</v>
      </c>
      <c r="AO107" s="3">
        <f t="shared" si="65"/>
        <v>31</v>
      </c>
      <c r="AP107" s="33">
        <f t="shared" si="66"/>
        <v>39995</v>
      </c>
      <c r="AQ107" s="58">
        <f t="shared" ca="1" si="67"/>
        <v>2969</v>
      </c>
      <c r="AR107" s="38">
        <f>'ANR OK vs ML7'!AR107</f>
        <v>0.1</v>
      </c>
      <c r="AS107" s="35">
        <f t="shared" ca="1" si="68"/>
        <v>0.45239519111668508</v>
      </c>
      <c r="AT107" s="3">
        <f t="shared" si="69"/>
        <v>1</v>
      </c>
      <c r="AU107" s="3">
        <f t="shared" si="70"/>
        <v>31</v>
      </c>
      <c r="AW107" s="32">
        <f t="shared" ca="1" si="71"/>
        <v>3392.4237920819651</v>
      </c>
      <c r="AX107" s="32">
        <f t="shared" si="71"/>
        <v>0</v>
      </c>
      <c r="AY107" s="32">
        <f t="shared" ca="1" si="72"/>
        <v>3392.4237920819651</v>
      </c>
      <c r="BA107" s="32">
        <f ca="1">IF($A108="","",F107*Summary!$Q$12)</f>
        <v>0</v>
      </c>
      <c r="BC107" s="256">
        <f t="shared" ca="1" si="75"/>
        <v>0</v>
      </c>
    </row>
    <row r="108" spans="1:55">
      <c r="A108" s="67">
        <f t="shared" si="73"/>
        <v>40026</v>
      </c>
      <c r="B108" s="69">
        <f t="shared" si="76"/>
        <v>36522</v>
      </c>
      <c r="C108" s="71"/>
      <c r="D108" s="69">
        <f t="shared" si="39"/>
        <v>36522</v>
      </c>
      <c r="E108" s="70">
        <f t="shared" si="40"/>
        <v>1132182</v>
      </c>
      <c r="F108" s="70">
        <f t="shared" ca="1" si="41"/>
        <v>507969.23614319379</v>
      </c>
      <c r="G108" s="63">
        <f t="shared" si="42"/>
        <v>4.306</v>
      </c>
      <c r="H108" s="64">
        <f t="shared" si="43"/>
        <v>4.306</v>
      </c>
      <c r="I108" s="43"/>
      <c r="J108" s="63">
        <f t="shared" si="44"/>
        <v>0.18</v>
      </c>
      <c r="K108" s="64">
        <f t="shared" si="45"/>
        <v>0.18</v>
      </c>
      <c r="L108" s="63">
        <f t="shared" si="46"/>
        <v>0</v>
      </c>
      <c r="M108" s="64">
        <f t="shared" si="47"/>
        <v>0</v>
      </c>
      <c r="N108" s="65"/>
      <c r="O108" s="63">
        <f t="shared" si="48"/>
        <v>4.4859999999999998</v>
      </c>
      <c r="P108" s="63">
        <f t="shared" si="49"/>
        <v>4.4859999999999998</v>
      </c>
      <c r="Q108" s="66"/>
      <c r="R108" s="63">
        <f t="shared" si="50"/>
        <v>0.18</v>
      </c>
      <c r="S108" s="64">
        <f t="shared" si="51"/>
        <v>0.18</v>
      </c>
      <c r="T108" s="63">
        <f t="shared" si="52"/>
        <v>0</v>
      </c>
      <c r="U108" s="64">
        <f t="shared" si="53"/>
        <v>0</v>
      </c>
      <c r="V108" s="90">
        <f>IF($A109="","",IF(AND(MONTH(A108)&gt;3,MONTH(A108)&lt;11),(T108+R108+G108)*(((1/(1-Summary!$T$12))/(1-Summary!$W$12))-1),(T108+R108+G108)*((1/(1-Summary!$U$12))/(1-Summary!$X$12)-1)))</f>
        <v>0</v>
      </c>
      <c r="W108" s="63">
        <f t="shared" si="54"/>
        <v>4.4859999999999998</v>
      </c>
      <c r="X108" s="63">
        <f t="shared" si="55"/>
        <v>4.4859999999999998</v>
      </c>
      <c r="Y108" s="43"/>
      <c r="Z108" s="38">
        <f t="shared" si="56"/>
        <v>0.6</v>
      </c>
      <c r="AA108" s="38">
        <f t="shared" si="57"/>
        <v>0.19</v>
      </c>
      <c r="AB108" s="38">
        <f t="shared" ca="1" si="58"/>
        <v>0.19486414070663011</v>
      </c>
      <c r="AC108" s="38">
        <f t="shared" si="59"/>
        <v>0.6</v>
      </c>
      <c r="AD108" s="38">
        <f t="shared" si="59"/>
        <v>0.19</v>
      </c>
      <c r="AE108" s="38">
        <f t="shared" ca="1" si="60"/>
        <v>0.19486414070663011</v>
      </c>
      <c r="AF108" s="238">
        <f ca="1">((Summary!$N$12*(AA108*AD108)*(A108-$D$3))+(Summary!$M$12*Z108*AC108*(AJ108-EOMONTH(EDATE(A108,-1),0))))/(AK108*AB108*AE108)</f>
        <v>0.9999048983418497</v>
      </c>
      <c r="AG108" s="88">
        <f>IF($A109="","",Summary!$Q$12)</f>
        <v>0</v>
      </c>
      <c r="AH108" s="88">
        <f>IF($A109="","",IF(Summary!$R$12="Y",(VLOOKUP($A108,Summary!$AD$6:$AF$9,3)+'Escalating commodity'!H121),'Escalating commodity'!H121))</f>
        <v>2.9000000000000001E-2</v>
      </c>
      <c r="AI108" s="88">
        <f t="shared" si="74"/>
        <v>2.9000000000000001E-2</v>
      </c>
      <c r="AJ108" s="236">
        <f t="shared" si="61"/>
        <v>40040.5</v>
      </c>
      <c r="AK108" s="58">
        <f t="shared" ca="1" si="62"/>
        <v>3000</v>
      </c>
      <c r="AL108" s="26">
        <f ca="1">IF($A109="","",_xll.SPRDOPT(P108,X108,AI108,0,AB108,AE108,AF108,AK108,$AJ$2,0))</f>
        <v>3.061489683981785E-3</v>
      </c>
      <c r="AM108" s="89">
        <f t="shared" si="63"/>
        <v>0</v>
      </c>
      <c r="AN108" s="89">
        <f t="shared" ca="1" si="64"/>
        <v>3.061489683981785E-3</v>
      </c>
      <c r="AO108" s="3">
        <f t="shared" si="65"/>
        <v>31</v>
      </c>
      <c r="AP108" s="33">
        <f t="shared" si="66"/>
        <v>40026</v>
      </c>
      <c r="AQ108" s="58">
        <f t="shared" ca="1" si="67"/>
        <v>3000</v>
      </c>
      <c r="AR108" s="38">
        <f>'ANR OK vs ML7'!AR108</f>
        <v>0.1</v>
      </c>
      <c r="AS108" s="35">
        <f t="shared" ca="1" si="68"/>
        <v>0.44866393931646481</v>
      </c>
      <c r="AT108" s="3">
        <f t="shared" si="69"/>
        <v>1</v>
      </c>
      <c r="AU108" s="3">
        <f t="shared" si="70"/>
        <v>31</v>
      </c>
      <c r="AW108" s="32">
        <f t="shared" ca="1" si="71"/>
        <v>3466.1635133898653</v>
      </c>
      <c r="AX108" s="32">
        <f t="shared" si="71"/>
        <v>0</v>
      </c>
      <c r="AY108" s="32">
        <f t="shared" ca="1" si="72"/>
        <v>3466.1635133898653</v>
      </c>
      <c r="BA108" s="32">
        <f ca="1">IF($A109="","",F108*Summary!$Q$12)</f>
        <v>0</v>
      </c>
      <c r="BC108" s="256">
        <f t="shared" ca="1" si="75"/>
        <v>0</v>
      </c>
    </row>
    <row r="109" spans="1:55">
      <c r="A109" s="67">
        <f t="shared" si="73"/>
        <v>40057</v>
      </c>
      <c r="B109" s="69">
        <f t="shared" si="76"/>
        <v>36522</v>
      </c>
      <c r="C109" s="71"/>
      <c r="D109" s="69">
        <f t="shared" si="39"/>
        <v>36522</v>
      </c>
      <c r="E109" s="70">
        <f t="shared" si="40"/>
        <v>1095660</v>
      </c>
      <c r="F109" s="70">
        <f t="shared" ca="1" si="41"/>
        <v>487528.66680286051</v>
      </c>
      <c r="G109" s="63">
        <f t="shared" si="42"/>
        <v>4.32</v>
      </c>
      <c r="H109" s="64">
        <f t="shared" si="43"/>
        <v>4.32</v>
      </c>
      <c r="I109" s="43"/>
      <c r="J109" s="63">
        <f t="shared" si="44"/>
        <v>0.18</v>
      </c>
      <c r="K109" s="64">
        <f t="shared" si="45"/>
        <v>0.18</v>
      </c>
      <c r="L109" s="63">
        <f t="shared" si="46"/>
        <v>0</v>
      </c>
      <c r="M109" s="64">
        <f t="shared" si="47"/>
        <v>0</v>
      </c>
      <c r="N109" s="65"/>
      <c r="O109" s="63">
        <f t="shared" si="48"/>
        <v>4.5</v>
      </c>
      <c r="P109" s="63">
        <f t="shared" si="49"/>
        <v>4.5</v>
      </c>
      <c r="Q109" s="66"/>
      <c r="R109" s="63">
        <f t="shared" si="50"/>
        <v>0.18</v>
      </c>
      <c r="S109" s="64">
        <f t="shared" si="51"/>
        <v>0.18</v>
      </c>
      <c r="T109" s="63">
        <f t="shared" si="52"/>
        <v>0</v>
      </c>
      <c r="U109" s="64">
        <f t="shared" si="53"/>
        <v>0</v>
      </c>
      <c r="V109" s="90">
        <f>IF($A110="","",IF(AND(MONTH(A109)&gt;3,MONTH(A109)&lt;11),(T109+R109+G109)*(((1/(1-Summary!$T$12))/(1-Summary!$W$12))-1),(T109+R109+G109)*((1/(1-Summary!$U$12))/(1-Summary!$X$12)-1)))</f>
        <v>0</v>
      </c>
      <c r="W109" s="63">
        <f t="shared" si="54"/>
        <v>4.5</v>
      </c>
      <c r="X109" s="63">
        <f t="shared" si="55"/>
        <v>4.5</v>
      </c>
      <c r="Y109" s="43"/>
      <c r="Z109" s="38">
        <f t="shared" si="56"/>
        <v>0.6</v>
      </c>
      <c r="AA109" s="38">
        <f t="shared" si="57"/>
        <v>0.19</v>
      </c>
      <c r="AB109" s="38">
        <f t="shared" ca="1" si="58"/>
        <v>0.19466252976596748</v>
      </c>
      <c r="AC109" s="38">
        <f t="shared" si="59"/>
        <v>0.6</v>
      </c>
      <c r="AD109" s="38">
        <f t="shared" si="59"/>
        <v>0.19</v>
      </c>
      <c r="AE109" s="38">
        <f t="shared" ca="1" si="60"/>
        <v>0.19466252976596748</v>
      </c>
      <c r="AF109" s="238">
        <f ca="1">((Summary!$N$12*(AA109*AD109)*(A109-$D$3))+(Summary!$M$12*Z109*AC109*(AJ109-EOMONTH(EDATE(A109,-1),0))))/(AK109*AB109*AE109)</f>
        <v>0.99990470157206646</v>
      </c>
      <c r="AG109" s="88">
        <f>IF($A110="","",Summary!$Q$12)</f>
        <v>0</v>
      </c>
      <c r="AH109" s="88">
        <f>IF($A110="","",IF(Summary!$R$12="Y",(VLOOKUP($A109,Summary!$AD$6:$AF$9,3)+'Escalating commodity'!H122),'Escalating commodity'!H122))</f>
        <v>2.9000000000000001E-2</v>
      </c>
      <c r="AI109" s="88">
        <f t="shared" si="74"/>
        <v>2.9000000000000001E-2</v>
      </c>
      <c r="AJ109" s="236">
        <f t="shared" si="61"/>
        <v>40071</v>
      </c>
      <c r="AK109" s="58">
        <f t="shared" ca="1" si="62"/>
        <v>3031</v>
      </c>
      <c r="AL109" s="26">
        <f ca="1">IF($A110="","",_xll.SPRDOPT(P109,X109,AI109,0,AB109,AE109,AF109,AK109,$AJ$2,0))</f>
        <v>3.0978195760392284E-3</v>
      </c>
      <c r="AM109" s="89">
        <f t="shared" si="63"/>
        <v>0</v>
      </c>
      <c r="AN109" s="89">
        <f t="shared" ca="1" si="64"/>
        <v>3.0978195760392284E-3</v>
      </c>
      <c r="AO109" s="3">
        <f t="shared" si="65"/>
        <v>30</v>
      </c>
      <c r="AP109" s="33">
        <f t="shared" si="66"/>
        <v>40057</v>
      </c>
      <c r="AQ109" s="58">
        <f t="shared" ca="1" si="67"/>
        <v>3031</v>
      </c>
      <c r="AR109" s="38">
        <f>'ANR OK vs ML7'!AR109</f>
        <v>0.1</v>
      </c>
      <c r="AS109" s="35">
        <f t="shared" ca="1" si="68"/>
        <v>0.44496346202550108</v>
      </c>
      <c r="AT109" s="3">
        <f t="shared" si="69"/>
        <v>1</v>
      </c>
      <c r="AU109" s="3">
        <f t="shared" si="70"/>
        <v>30</v>
      </c>
      <c r="AW109" s="32">
        <f t="shared" ca="1" si="71"/>
        <v>3394.1569966831412</v>
      </c>
      <c r="AX109" s="32">
        <f t="shared" si="71"/>
        <v>0</v>
      </c>
      <c r="AY109" s="32">
        <f t="shared" ca="1" si="72"/>
        <v>3394.1569966831412</v>
      </c>
      <c r="BA109" s="32">
        <f ca="1">IF($A110="","",F109*Summary!$Q$12)</f>
        <v>0</v>
      </c>
      <c r="BC109" s="256">
        <f t="shared" ca="1" si="75"/>
        <v>0</v>
      </c>
    </row>
    <row r="110" spans="1:55">
      <c r="A110" s="67">
        <f t="shared" si="73"/>
        <v>40087</v>
      </c>
      <c r="B110" s="69">
        <f t="shared" si="76"/>
        <v>36522</v>
      </c>
      <c r="C110" s="71"/>
      <c r="D110" s="69">
        <f t="shared" si="39"/>
        <v>36522</v>
      </c>
      <c r="E110" s="70">
        <f t="shared" si="40"/>
        <v>1132182</v>
      </c>
      <c r="F110" s="70">
        <f t="shared" ca="1" si="41"/>
        <v>499758.06127597124</v>
      </c>
      <c r="G110" s="63">
        <f t="shared" si="42"/>
        <v>4.351</v>
      </c>
      <c r="H110" s="64">
        <f t="shared" si="43"/>
        <v>4.351</v>
      </c>
      <c r="I110" s="43"/>
      <c r="J110" s="63">
        <f t="shared" si="44"/>
        <v>0.18</v>
      </c>
      <c r="K110" s="64">
        <f t="shared" si="45"/>
        <v>0.18</v>
      </c>
      <c r="L110" s="63">
        <f t="shared" si="46"/>
        <v>0</v>
      </c>
      <c r="M110" s="64">
        <f t="shared" si="47"/>
        <v>0</v>
      </c>
      <c r="N110" s="65"/>
      <c r="O110" s="63">
        <f t="shared" si="48"/>
        <v>4.5309999999999997</v>
      </c>
      <c r="P110" s="63">
        <f t="shared" si="49"/>
        <v>4.5309999999999997</v>
      </c>
      <c r="Q110" s="66"/>
      <c r="R110" s="63">
        <f t="shared" si="50"/>
        <v>0.18</v>
      </c>
      <c r="S110" s="64">
        <f t="shared" si="51"/>
        <v>0.18</v>
      </c>
      <c r="T110" s="63">
        <f t="shared" si="52"/>
        <v>0</v>
      </c>
      <c r="U110" s="64">
        <f t="shared" si="53"/>
        <v>0</v>
      </c>
      <c r="V110" s="90">
        <f>IF($A111="","",IF(AND(MONTH(A110)&gt;3,MONTH(A110)&lt;11),(T110+R110+G110)*(((1/(1-Summary!$T$12))/(1-Summary!$W$12))-1),(T110+R110+G110)*((1/(1-Summary!$U$12))/(1-Summary!$X$12)-1)))</f>
        <v>0</v>
      </c>
      <c r="W110" s="63">
        <f t="shared" si="54"/>
        <v>4.5309999999999997</v>
      </c>
      <c r="X110" s="63">
        <f t="shared" si="55"/>
        <v>4.5309999999999997</v>
      </c>
      <c r="Y110" s="43"/>
      <c r="Z110" s="38">
        <f t="shared" si="56"/>
        <v>0.65</v>
      </c>
      <c r="AA110" s="38">
        <f t="shared" si="57"/>
        <v>0.19</v>
      </c>
      <c r="AB110" s="38">
        <f t="shared" ca="1" si="58"/>
        <v>0.19557916237500539</v>
      </c>
      <c r="AC110" s="38">
        <f t="shared" si="59"/>
        <v>0.65</v>
      </c>
      <c r="AD110" s="38">
        <f t="shared" si="59"/>
        <v>0.19</v>
      </c>
      <c r="AE110" s="38">
        <f t="shared" ca="1" si="60"/>
        <v>0.19557916237500539</v>
      </c>
      <c r="AF110" s="238">
        <f ca="1">((Summary!$N$12*(AA110*AD110)*(A110-$D$3))+(Summary!$M$12*Z110*AC110*(AJ110-EOMONTH(EDATE(A110,-1),0))))/(AK110*AB110*AE110)</f>
        <v>0.99990559306566618</v>
      </c>
      <c r="AG110" s="88">
        <f>IF($A111="","",Summary!$Q$12)</f>
        <v>0</v>
      </c>
      <c r="AH110" s="88">
        <f>IF($A111="","",IF(Summary!$R$12="Y",(VLOOKUP($A110,Summary!$AD$6:$AF$9,3)+'Escalating commodity'!H123),'Escalating commodity'!H123))</f>
        <v>2.9000000000000001E-2</v>
      </c>
      <c r="AI110" s="88">
        <f t="shared" si="74"/>
        <v>2.9000000000000001E-2</v>
      </c>
      <c r="AJ110" s="236">
        <f t="shared" si="61"/>
        <v>40101.5</v>
      </c>
      <c r="AK110" s="58">
        <f t="shared" ca="1" si="62"/>
        <v>3061</v>
      </c>
      <c r="AL110" s="26">
        <f ca="1">IF($A111="","",_xll.SPRDOPT(P110,X110,AI110,0,AB110,AE110,AF110,AK110,$AJ$2,0))</f>
        <v>3.1375758086256596E-3</v>
      </c>
      <c r="AM110" s="89">
        <f t="shared" si="63"/>
        <v>0</v>
      </c>
      <c r="AN110" s="89">
        <f t="shared" ca="1" si="64"/>
        <v>3.1375758086256596E-3</v>
      </c>
      <c r="AO110" s="3">
        <f t="shared" si="65"/>
        <v>31</v>
      </c>
      <c r="AP110" s="33">
        <f t="shared" si="66"/>
        <v>40087</v>
      </c>
      <c r="AQ110" s="58">
        <f t="shared" ca="1" si="67"/>
        <v>3061</v>
      </c>
      <c r="AR110" s="38">
        <f>'ANR OK vs ML7'!AR110</f>
        <v>0.1</v>
      </c>
      <c r="AS110" s="35">
        <f t="shared" ca="1" si="68"/>
        <v>0.44141141731273881</v>
      </c>
      <c r="AT110" s="3">
        <f t="shared" si="69"/>
        <v>1</v>
      </c>
      <c r="AU110" s="3">
        <f t="shared" si="70"/>
        <v>31</v>
      </c>
      <c r="AW110" s="32">
        <f t="shared" ca="1" si="71"/>
        <v>3552.3068541614166</v>
      </c>
      <c r="AX110" s="32">
        <f t="shared" si="71"/>
        <v>0</v>
      </c>
      <c r="AY110" s="32">
        <f t="shared" ca="1" si="72"/>
        <v>3552.3068541614166</v>
      </c>
      <c r="BA110" s="32">
        <f ca="1">IF($A111="","",F110*Summary!$Q$12)</f>
        <v>0</v>
      </c>
      <c r="BC110" s="256">
        <f t="shared" ca="1" si="75"/>
        <v>0</v>
      </c>
    </row>
    <row r="111" spans="1:55">
      <c r="A111" s="67">
        <f t="shared" si="73"/>
        <v>40118</v>
      </c>
      <c r="B111" s="69">
        <f t="shared" si="76"/>
        <v>36522</v>
      </c>
      <c r="C111" s="71"/>
      <c r="D111" s="69">
        <f t="shared" si="39"/>
        <v>36522</v>
      </c>
      <c r="E111" s="70">
        <f t="shared" si="40"/>
        <v>1095660</v>
      </c>
      <c r="F111" s="70">
        <f t="shared" ca="1" si="41"/>
        <v>479647.90779017558</v>
      </c>
      <c r="G111" s="63">
        <f t="shared" si="42"/>
        <v>4.484</v>
      </c>
      <c r="H111" s="64">
        <f t="shared" si="43"/>
        <v>4.484</v>
      </c>
      <c r="I111" s="43"/>
      <c r="J111" s="63">
        <f t="shared" si="44"/>
        <v>0.27500000000000002</v>
      </c>
      <c r="K111" s="64">
        <f t="shared" si="45"/>
        <v>0.27500000000000002</v>
      </c>
      <c r="L111" s="63">
        <f t="shared" si="46"/>
        <v>0</v>
      </c>
      <c r="M111" s="64">
        <f t="shared" si="47"/>
        <v>0</v>
      </c>
      <c r="N111" s="65"/>
      <c r="O111" s="63">
        <f t="shared" si="48"/>
        <v>4.7590000000000003</v>
      </c>
      <c r="P111" s="63">
        <f t="shared" si="49"/>
        <v>4.7590000000000003</v>
      </c>
      <c r="Q111" s="66"/>
      <c r="R111" s="63">
        <f t="shared" si="50"/>
        <v>0.27500000000000002</v>
      </c>
      <c r="S111" s="64">
        <f t="shared" si="51"/>
        <v>0.27500000000000002</v>
      </c>
      <c r="T111" s="63">
        <f t="shared" si="52"/>
        <v>0</v>
      </c>
      <c r="U111" s="64">
        <f t="shared" si="53"/>
        <v>0</v>
      </c>
      <c r="V111" s="90">
        <f>IF($A112="","",IF(AND(MONTH(A111)&gt;3,MONTH(A111)&lt;11),(T111+R111+G111)*(((1/(1-Summary!$T$12))/(1-Summary!$W$12))-1),(T111+R111+G111)*((1/(1-Summary!$U$12))/(1-Summary!$X$12)-1)))</f>
        <v>0</v>
      </c>
      <c r="W111" s="63">
        <f t="shared" si="54"/>
        <v>4.7590000000000003</v>
      </c>
      <c r="X111" s="63">
        <f t="shared" si="55"/>
        <v>4.7590000000000003</v>
      </c>
      <c r="Y111" s="43"/>
      <c r="Z111" s="38">
        <f t="shared" si="56"/>
        <v>0.8</v>
      </c>
      <c r="AA111" s="38">
        <f t="shared" si="57"/>
        <v>0.19</v>
      </c>
      <c r="AB111" s="38">
        <f t="shared" ca="1" si="58"/>
        <v>0.1980314667849499</v>
      </c>
      <c r="AC111" s="38">
        <f t="shared" si="59"/>
        <v>0.8</v>
      </c>
      <c r="AD111" s="38">
        <f t="shared" si="59"/>
        <v>0.19</v>
      </c>
      <c r="AE111" s="38">
        <f t="shared" ca="1" si="60"/>
        <v>0.1980314667849499</v>
      </c>
      <c r="AF111" s="238">
        <f ca="1">((Summary!$N$12*(AA111*AD111)*(A111-$D$3))+(Summary!$M$12*Z111*AC111*(AJ111-EOMONTH(EDATE(A111,-1),0))))/(AK111*AB111*AE111)</f>
        <v>0.99990791704911763</v>
      </c>
      <c r="AG111" s="88">
        <f>IF($A112="","",Summary!$Q$12)</f>
        <v>0</v>
      </c>
      <c r="AH111" s="88">
        <f>IF($A112="","",IF(Summary!$R$12="Y",(VLOOKUP($A111,Summary!$AD$6:$AF$9,3)+'Escalating commodity'!H124),'Escalating commodity'!H124))</f>
        <v>2.9000000000000001E-2</v>
      </c>
      <c r="AI111" s="88">
        <f t="shared" si="74"/>
        <v>2.9000000000000001E-2</v>
      </c>
      <c r="AJ111" s="236">
        <f t="shared" si="61"/>
        <v>40132</v>
      </c>
      <c r="AK111" s="58">
        <f t="shared" ca="1" si="62"/>
        <v>3092</v>
      </c>
      <c r="AL111" s="26">
        <f ca="1">IF($A112="","",_xll.SPRDOPT(P111,X111,AI111,0,AB111,AE111,AF111,AK111,$AJ$2,0))</f>
        <v>3.3411282601206946E-3</v>
      </c>
      <c r="AM111" s="89">
        <f t="shared" si="63"/>
        <v>0</v>
      </c>
      <c r="AN111" s="89">
        <f t="shared" ca="1" si="64"/>
        <v>3.3411282601206946E-3</v>
      </c>
      <c r="AO111" s="3">
        <f t="shared" si="65"/>
        <v>30</v>
      </c>
      <c r="AP111" s="33">
        <f t="shared" si="66"/>
        <v>40118</v>
      </c>
      <c r="AQ111" s="58">
        <f t="shared" ca="1" si="67"/>
        <v>3092</v>
      </c>
      <c r="AR111" s="38">
        <f>'ANR OK vs ML7'!AR111</f>
        <v>0.1</v>
      </c>
      <c r="AS111" s="35">
        <f t="shared" ca="1" si="68"/>
        <v>0.43777075716022817</v>
      </c>
      <c r="AT111" s="3">
        <f t="shared" si="69"/>
        <v>1</v>
      </c>
      <c r="AU111" s="3">
        <f t="shared" si="70"/>
        <v>30</v>
      </c>
      <c r="AW111" s="32">
        <f t="shared" ca="1" si="71"/>
        <v>3660.7405894838403</v>
      </c>
      <c r="AX111" s="32">
        <f t="shared" si="71"/>
        <v>0</v>
      </c>
      <c r="AY111" s="32">
        <f t="shared" ca="1" si="72"/>
        <v>3660.7405894838403</v>
      </c>
      <c r="BA111" s="32">
        <f ca="1">IF($A112="","",F111*Summary!$Q$12)</f>
        <v>0</v>
      </c>
      <c r="BC111" s="256">
        <f t="shared" ca="1" si="75"/>
        <v>0</v>
      </c>
    </row>
    <row r="112" spans="1:55">
      <c r="A112" s="67">
        <f t="shared" si="73"/>
        <v>40148</v>
      </c>
      <c r="B112" s="69">
        <f t="shared" si="76"/>
        <v>36522</v>
      </c>
      <c r="C112" s="71"/>
      <c r="D112" s="69">
        <f t="shared" si="39"/>
        <v>36522</v>
      </c>
      <c r="E112" s="70">
        <f t="shared" si="40"/>
        <v>1132182</v>
      </c>
      <c r="F112" s="70">
        <f t="shared" ca="1" si="41"/>
        <v>491679.61766076699</v>
      </c>
      <c r="G112" s="63">
        <f t="shared" si="42"/>
        <v>4.6219999999999999</v>
      </c>
      <c r="H112" s="64">
        <f t="shared" si="43"/>
        <v>4.6219999999999999</v>
      </c>
      <c r="I112" s="43"/>
      <c r="J112" s="63">
        <f t="shared" si="44"/>
        <v>0.27500000000000002</v>
      </c>
      <c r="K112" s="64">
        <f t="shared" si="45"/>
        <v>0.27500000000000002</v>
      </c>
      <c r="L112" s="63">
        <f t="shared" si="46"/>
        <v>0</v>
      </c>
      <c r="M112" s="64">
        <f t="shared" si="47"/>
        <v>0</v>
      </c>
      <c r="N112" s="65"/>
      <c r="O112" s="63">
        <f t="shared" si="48"/>
        <v>4.8970000000000002</v>
      </c>
      <c r="P112" s="63">
        <f t="shared" si="49"/>
        <v>4.8970000000000002</v>
      </c>
      <c r="Q112" s="66"/>
      <c r="R112" s="63">
        <f t="shared" si="50"/>
        <v>0.27500000000000002</v>
      </c>
      <c r="S112" s="64">
        <f t="shared" si="51"/>
        <v>0.27500000000000002</v>
      </c>
      <c r="T112" s="63">
        <f t="shared" si="52"/>
        <v>0</v>
      </c>
      <c r="U112" s="64">
        <f t="shared" si="53"/>
        <v>0</v>
      </c>
      <c r="V112" s="90">
        <f>IF($A113="","",IF(AND(MONTH(A112)&gt;3,MONTH(A112)&lt;11),(T112+R112+G112)*(((1/(1-Summary!$T$12))/(1-Summary!$W$12))-1),(T112+R112+G112)*((1/(1-Summary!$U$12))/(1-Summary!$X$12)-1)))</f>
        <v>0</v>
      </c>
      <c r="W112" s="63">
        <f t="shared" si="54"/>
        <v>4.8970000000000002</v>
      </c>
      <c r="X112" s="63">
        <f t="shared" si="55"/>
        <v>4.8970000000000002</v>
      </c>
      <c r="Y112" s="43"/>
      <c r="Z112" s="38">
        <f t="shared" si="56"/>
        <v>1.1000000000000001</v>
      </c>
      <c r="AA112" s="38">
        <f t="shared" si="57"/>
        <v>0.19</v>
      </c>
      <c r="AB112" s="38">
        <f t="shared" ca="1" si="58"/>
        <v>0.20522897011135161</v>
      </c>
      <c r="AC112" s="38">
        <f t="shared" si="59"/>
        <v>1.1000000000000001</v>
      </c>
      <c r="AD112" s="38">
        <f t="shared" si="59"/>
        <v>0.19</v>
      </c>
      <c r="AE112" s="38">
        <f t="shared" ca="1" si="60"/>
        <v>0.20522897011135161</v>
      </c>
      <c r="AF112" s="238">
        <f ca="1">((Summary!$N$12*(AA112*AD112)*(A112-$D$3))+(Summary!$M$12*Z112*AC112*(AJ112-EOMONTH(EDATE(A112,-1),0))))/(AK112*AB112*AE112)</f>
        <v>0.99991426286718987</v>
      </c>
      <c r="AG112" s="88">
        <f>IF($A113="","",Summary!$Q$12)</f>
        <v>0</v>
      </c>
      <c r="AH112" s="88">
        <f>IF($A113="","",IF(Summary!$R$12="Y",(VLOOKUP($A112,Summary!$AD$6:$AF$9,3)+'Escalating commodity'!H125),'Escalating commodity'!H125))</f>
        <v>2.9000000000000001E-2</v>
      </c>
      <c r="AI112" s="88">
        <f t="shared" si="74"/>
        <v>2.9000000000000001E-2</v>
      </c>
      <c r="AJ112" s="236">
        <f t="shared" si="61"/>
        <v>40162.5</v>
      </c>
      <c r="AK112" s="58">
        <f t="shared" ca="1" si="62"/>
        <v>3122</v>
      </c>
      <c r="AL112" s="26">
        <f ca="1">IF($A113="","",_xll.SPRDOPT(P112,X112,AI112,0,AB112,AE112,AF112,AK112,$AJ$2,0))</f>
        <v>3.4045856255811996E-3</v>
      </c>
      <c r="AM112" s="89">
        <f t="shared" si="63"/>
        <v>0</v>
      </c>
      <c r="AN112" s="89">
        <f t="shared" ca="1" si="64"/>
        <v>3.4045856255811996E-3</v>
      </c>
      <c r="AO112" s="3">
        <f t="shared" si="65"/>
        <v>31</v>
      </c>
      <c r="AP112" s="33">
        <f t="shared" si="66"/>
        <v>40148</v>
      </c>
      <c r="AQ112" s="58">
        <f t="shared" ca="1" si="67"/>
        <v>3122</v>
      </c>
      <c r="AR112" s="38">
        <f>'ANR OK vs ML7'!AR112</f>
        <v>0.1</v>
      </c>
      <c r="AS112" s="35">
        <f t="shared" ca="1" si="68"/>
        <v>0.43427613021649081</v>
      </c>
      <c r="AT112" s="3">
        <f t="shared" si="69"/>
        <v>1</v>
      </c>
      <c r="AU112" s="3">
        <f t="shared" si="70"/>
        <v>31</v>
      </c>
      <c r="AW112" s="32">
        <f t="shared" ca="1" si="71"/>
        <v>3854.6105627417737</v>
      </c>
      <c r="AX112" s="32">
        <f t="shared" si="71"/>
        <v>0</v>
      </c>
      <c r="AY112" s="32">
        <f t="shared" ca="1" si="72"/>
        <v>3854.6105627417737</v>
      </c>
      <c r="BA112" s="32">
        <f ca="1">IF($A113="","",F112*Summary!$Q$12)</f>
        <v>0</v>
      </c>
      <c r="BC112" s="256">
        <f t="shared" ca="1" si="75"/>
        <v>0</v>
      </c>
    </row>
    <row r="113" spans="1:55">
      <c r="A113" s="67">
        <f t="shared" si="73"/>
        <v>40179</v>
      </c>
      <c r="B113" s="69">
        <f t="shared" si="76"/>
        <v>36522</v>
      </c>
      <c r="C113" s="71"/>
      <c r="D113" s="69">
        <f t="shared" si="39"/>
        <v>36522</v>
      </c>
      <c r="E113" s="70">
        <f t="shared" si="40"/>
        <v>1132182</v>
      </c>
      <c r="F113" s="70">
        <f t="shared" ca="1" si="41"/>
        <v>487624.35691849451</v>
      </c>
      <c r="G113" s="63">
        <f t="shared" si="42"/>
        <v>4.649</v>
      </c>
      <c r="H113" s="64">
        <f t="shared" si="43"/>
        <v>4.649</v>
      </c>
      <c r="I113" s="43"/>
      <c r="J113" s="63">
        <f t="shared" si="44"/>
        <v>0.27500000000000002</v>
      </c>
      <c r="K113" s="64">
        <f t="shared" si="45"/>
        <v>0.27500000000000002</v>
      </c>
      <c r="L113" s="63">
        <f t="shared" si="46"/>
        <v>0</v>
      </c>
      <c r="M113" s="64">
        <f t="shared" si="47"/>
        <v>0</v>
      </c>
      <c r="N113" s="65"/>
      <c r="O113" s="63">
        <f t="shared" si="48"/>
        <v>4.9240000000000004</v>
      </c>
      <c r="P113" s="63">
        <f t="shared" si="49"/>
        <v>4.9240000000000004</v>
      </c>
      <c r="Q113" s="66"/>
      <c r="R113" s="63">
        <f t="shared" si="50"/>
        <v>0.27500000000000002</v>
      </c>
      <c r="S113" s="64">
        <f t="shared" si="51"/>
        <v>0.27500000000000002</v>
      </c>
      <c r="T113" s="63">
        <f t="shared" si="52"/>
        <v>0</v>
      </c>
      <c r="U113" s="64">
        <f t="shared" si="53"/>
        <v>0</v>
      </c>
      <c r="V113" s="90">
        <f>IF($A114="","",IF(AND(MONTH(A113)&gt;3,MONTH(A113)&lt;11),(T113+R113+G113)*(((1/(1-Summary!$T$12))/(1-Summary!$W$12))-1),(T113+R113+G113)*((1/(1-Summary!$U$12))/(1-Summary!$X$12)-1)))</f>
        <v>0</v>
      </c>
      <c r="W113" s="63">
        <f t="shared" si="54"/>
        <v>4.9240000000000004</v>
      </c>
      <c r="X113" s="63">
        <f t="shared" si="55"/>
        <v>4.9240000000000004</v>
      </c>
      <c r="Y113" s="43"/>
      <c r="Z113" s="38">
        <f t="shared" si="56"/>
        <v>1.1000000000000001</v>
      </c>
      <c r="AA113" s="38">
        <f t="shared" si="57"/>
        <v>0.19</v>
      </c>
      <c r="AB113" s="38">
        <f t="shared" ca="1" si="58"/>
        <v>0.20508474496304122</v>
      </c>
      <c r="AC113" s="38">
        <f t="shared" si="59"/>
        <v>1.1000000000000001</v>
      </c>
      <c r="AD113" s="38">
        <f t="shared" si="59"/>
        <v>0.19</v>
      </c>
      <c r="AE113" s="38">
        <f t="shared" ca="1" si="60"/>
        <v>0.20508474496304122</v>
      </c>
      <c r="AF113" s="238">
        <f ca="1">((Summary!$N$12*(AA113*AD113)*(A113-$D$3))+(Summary!$M$12*Z113*AC113*(AJ113-EOMONTH(EDATE(A113,-1),0))))/(AK113*AB113*AE113)</f>
        <v>0.99991414250639454</v>
      </c>
      <c r="AG113" s="88">
        <f>IF($A114="","",Summary!$Q$12)</f>
        <v>0</v>
      </c>
      <c r="AH113" s="88">
        <f>IF($A114="","",IF(Summary!$R$12="Y",(VLOOKUP($A113,Summary!$AD$6:$AF$9,3)+'Escalating commodity'!H126),'Escalating commodity'!H126))</f>
        <v>2.9000000000000001E-2</v>
      </c>
      <c r="AI113" s="88">
        <f t="shared" si="74"/>
        <v>2.9000000000000001E-2</v>
      </c>
      <c r="AJ113" s="236">
        <f t="shared" si="61"/>
        <v>40193.5</v>
      </c>
      <c r="AK113" s="58">
        <f t="shared" ca="1" si="62"/>
        <v>3153</v>
      </c>
      <c r="AL113" s="26">
        <f ca="1">IF($A114="","",_xll.SPRDOPT(P113,X113,AI113,0,AB113,AE113,AF113,AK113,$AJ$2,0))</f>
        <v>3.4523899977265474E-3</v>
      </c>
      <c r="AM113" s="89">
        <f t="shared" si="63"/>
        <v>0</v>
      </c>
      <c r="AN113" s="89">
        <f t="shared" ca="1" si="64"/>
        <v>3.4523899977265474E-3</v>
      </c>
      <c r="AO113" s="3">
        <f t="shared" si="65"/>
        <v>31</v>
      </c>
      <c r="AP113" s="33">
        <f t="shared" si="66"/>
        <v>40179</v>
      </c>
      <c r="AQ113" s="58">
        <f t="shared" ca="1" si="67"/>
        <v>3153</v>
      </c>
      <c r="AR113" s="38">
        <f>'ANR OK vs ML7'!AR113</f>
        <v>0.1</v>
      </c>
      <c r="AS113" s="35">
        <f t="shared" ca="1" si="68"/>
        <v>0.43069432027579885</v>
      </c>
      <c r="AT113" s="3">
        <f t="shared" si="69"/>
        <v>1</v>
      </c>
      <c r="AU113" s="3">
        <f t="shared" si="70"/>
        <v>31</v>
      </c>
      <c r="AW113" s="32">
        <f t="shared" ca="1" si="71"/>
        <v>3908.7338124060379</v>
      </c>
      <c r="AX113" s="32">
        <f t="shared" si="71"/>
        <v>0</v>
      </c>
      <c r="AY113" s="32">
        <f t="shared" ca="1" si="72"/>
        <v>3908.7338124060379</v>
      </c>
      <c r="BA113" s="32">
        <f ca="1">IF($A114="","",F113*Summary!$Q$12)</f>
        <v>0</v>
      </c>
      <c r="BC113" s="256">
        <f t="shared" ca="1" si="75"/>
        <v>0</v>
      </c>
    </row>
    <row r="114" spans="1:55">
      <c r="A114" s="67">
        <f t="shared" si="73"/>
        <v>40210</v>
      </c>
      <c r="B114" s="69">
        <f t="shared" si="76"/>
        <v>36522</v>
      </c>
      <c r="C114" s="71"/>
      <c r="D114" s="69">
        <f t="shared" si="39"/>
        <v>36522</v>
      </c>
      <c r="E114" s="70">
        <f t="shared" si="40"/>
        <v>1022616</v>
      </c>
      <c r="F114" s="70">
        <f t="shared" ca="1" si="41"/>
        <v>436802.29693658743</v>
      </c>
      <c r="G114" s="63">
        <f t="shared" si="42"/>
        <v>4.5289999999999999</v>
      </c>
      <c r="H114" s="64">
        <f t="shared" si="43"/>
        <v>4.5289999999999999</v>
      </c>
      <c r="I114" s="43"/>
      <c r="J114" s="63">
        <f t="shared" si="44"/>
        <v>0.27500000000000002</v>
      </c>
      <c r="K114" s="64">
        <f t="shared" si="45"/>
        <v>0.27500000000000002</v>
      </c>
      <c r="L114" s="63">
        <f t="shared" si="46"/>
        <v>0</v>
      </c>
      <c r="M114" s="64">
        <f t="shared" si="47"/>
        <v>0</v>
      </c>
      <c r="N114" s="65"/>
      <c r="O114" s="63">
        <f t="shared" si="48"/>
        <v>4.8040000000000003</v>
      </c>
      <c r="P114" s="63">
        <f t="shared" si="49"/>
        <v>4.8040000000000003</v>
      </c>
      <c r="Q114" s="66"/>
      <c r="R114" s="63">
        <f t="shared" si="50"/>
        <v>0.27500000000000002</v>
      </c>
      <c r="S114" s="64">
        <f t="shared" si="51"/>
        <v>0.27500000000000002</v>
      </c>
      <c r="T114" s="63">
        <f t="shared" si="52"/>
        <v>0</v>
      </c>
      <c r="U114" s="64">
        <f t="shared" si="53"/>
        <v>0</v>
      </c>
      <c r="V114" s="90">
        <f>IF($A115="","",IF(AND(MONTH(A114)&gt;3,MONTH(A114)&lt;11),(T114+R114+G114)*(((1/(1-Summary!$T$12))/(1-Summary!$W$12))-1),(T114+R114+G114)*((1/(1-Summary!$U$12))/(1-Summary!$X$12)-1)))</f>
        <v>0</v>
      </c>
      <c r="W114" s="63">
        <f t="shared" si="54"/>
        <v>4.8040000000000003</v>
      </c>
      <c r="X114" s="63">
        <f t="shared" si="55"/>
        <v>4.8040000000000003</v>
      </c>
      <c r="Y114" s="43"/>
      <c r="Z114" s="38">
        <f t="shared" si="56"/>
        <v>1.1000000000000001</v>
      </c>
      <c r="AA114" s="38">
        <f t="shared" si="57"/>
        <v>0.185</v>
      </c>
      <c r="AB114" s="38">
        <f t="shared" ca="1" si="58"/>
        <v>0.19888715598696391</v>
      </c>
      <c r="AC114" s="38">
        <f t="shared" si="59"/>
        <v>1.1000000000000001</v>
      </c>
      <c r="AD114" s="38">
        <f t="shared" si="59"/>
        <v>0.185</v>
      </c>
      <c r="AE114" s="38">
        <f t="shared" ca="1" si="60"/>
        <v>0.19888715598696391</v>
      </c>
      <c r="AF114" s="238">
        <f ca="1">((Summary!$N$12*(AA114*AD114)*(A114-$D$3))+(Summary!$M$12*Z114*AC114*(AJ114-EOMONTH(EDATE(A114,-1),0))))/(AK114*AB114*AE114)</f>
        <v>0.99991345014207389</v>
      </c>
      <c r="AG114" s="88">
        <f>IF($A115="","",Summary!$Q$12)</f>
        <v>0</v>
      </c>
      <c r="AH114" s="88">
        <f>IF($A115="","",IF(Summary!$R$12="Y",(VLOOKUP($A114,Summary!$AD$6:$AF$9,3)+'Escalating commodity'!H127),'Escalating commodity'!H127))</f>
        <v>2.9000000000000001E-2</v>
      </c>
      <c r="AI114" s="88">
        <f t="shared" si="74"/>
        <v>2.9000000000000001E-2</v>
      </c>
      <c r="AJ114" s="236">
        <f t="shared" si="61"/>
        <v>40223</v>
      </c>
      <c r="AK114" s="58">
        <f t="shared" ca="1" si="62"/>
        <v>3184</v>
      </c>
      <c r="AL114" s="26">
        <f ca="1">IF($A115="","",_xll.SPRDOPT(P114,X114,AI114,0,AB114,AE114,AF114,AK114,$AJ$2,0))</f>
        <v>3.2597565667622508E-3</v>
      </c>
      <c r="AM114" s="89">
        <f t="shared" si="63"/>
        <v>0</v>
      </c>
      <c r="AN114" s="89">
        <f t="shared" ca="1" si="64"/>
        <v>3.2597565667622508E-3</v>
      </c>
      <c r="AO114" s="3">
        <f t="shared" si="65"/>
        <v>28</v>
      </c>
      <c r="AP114" s="33">
        <f t="shared" si="66"/>
        <v>40210</v>
      </c>
      <c r="AQ114" s="58">
        <f t="shared" ca="1" si="67"/>
        <v>3184</v>
      </c>
      <c r="AR114" s="38">
        <f>'ANR OK vs ML7'!AR114</f>
        <v>0.1</v>
      </c>
      <c r="AS114" s="35">
        <f t="shared" ca="1" si="68"/>
        <v>0.42714205228217378</v>
      </c>
      <c r="AT114" s="3">
        <f t="shared" si="69"/>
        <v>1</v>
      </c>
      <c r="AU114" s="3">
        <f t="shared" si="70"/>
        <v>28</v>
      </c>
      <c r="AW114" s="32">
        <f t="shared" ca="1" si="71"/>
        <v>3333.4792212761458</v>
      </c>
      <c r="AX114" s="32">
        <f t="shared" si="71"/>
        <v>0</v>
      </c>
      <c r="AY114" s="32">
        <f t="shared" ca="1" si="72"/>
        <v>3333.4792212761458</v>
      </c>
      <c r="BA114" s="32">
        <f ca="1">IF($A115="","",F114*Summary!$Q$12)</f>
        <v>0</v>
      </c>
      <c r="BC114" s="256">
        <f t="shared" ca="1" si="75"/>
        <v>0</v>
      </c>
    </row>
    <row r="115" spans="1:55">
      <c r="A115" s="67">
        <f t="shared" si="73"/>
        <v>40238</v>
      </c>
      <c r="B115" s="69">
        <f t="shared" si="76"/>
        <v>36522</v>
      </c>
      <c r="C115" s="71"/>
      <c r="D115" s="69">
        <f t="shared" si="39"/>
        <v>36522</v>
      </c>
      <c r="E115" s="70">
        <f t="shared" si="40"/>
        <v>1132182</v>
      </c>
      <c r="F115" s="70">
        <f t="shared" ca="1" si="41"/>
        <v>479998.45573414845</v>
      </c>
      <c r="G115" s="63">
        <f t="shared" si="42"/>
        <v>4.3899999999999997</v>
      </c>
      <c r="H115" s="64">
        <f t="shared" si="43"/>
        <v>4.3899999999999997</v>
      </c>
      <c r="I115" s="43"/>
      <c r="J115" s="63">
        <f t="shared" si="44"/>
        <v>0.27500000000000002</v>
      </c>
      <c r="K115" s="64">
        <f t="shared" si="45"/>
        <v>0.27500000000000002</v>
      </c>
      <c r="L115" s="63">
        <f t="shared" si="46"/>
        <v>0</v>
      </c>
      <c r="M115" s="64">
        <f t="shared" si="47"/>
        <v>0</v>
      </c>
      <c r="N115" s="65"/>
      <c r="O115" s="63">
        <f t="shared" si="48"/>
        <v>4.665</v>
      </c>
      <c r="P115" s="63">
        <f t="shared" si="49"/>
        <v>4.665</v>
      </c>
      <c r="Q115" s="66"/>
      <c r="R115" s="63">
        <f t="shared" si="50"/>
        <v>0.27500000000000002</v>
      </c>
      <c r="S115" s="64">
        <f t="shared" si="51"/>
        <v>0.27500000000000002</v>
      </c>
      <c r="T115" s="63">
        <f t="shared" si="52"/>
        <v>0</v>
      </c>
      <c r="U115" s="64">
        <f t="shared" si="53"/>
        <v>0</v>
      </c>
      <c r="V115" s="90">
        <f>IF($A116="","",IF(AND(MONTH(A115)&gt;3,MONTH(A115)&lt;11),(T115+R115+G115)*(((1/(1-Summary!$T$12))/(1-Summary!$W$12))-1),(T115+R115+G115)*((1/(1-Summary!$U$12))/(1-Summary!$X$12)-1)))</f>
        <v>0</v>
      </c>
      <c r="W115" s="63">
        <f t="shared" si="54"/>
        <v>4.665</v>
      </c>
      <c r="X115" s="63">
        <f t="shared" si="55"/>
        <v>4.665</v>
      </c>
      <c r="Y115" s="43"/>
      <c r="Z115" s="38">
        <f t="shared" si="56"/>
        <v>0.75</v>
      </c>
      <c r="AA115" s="38">
        <f t="shared" si="57"/>
        <v>0.183</v>
      </c>
      <c r="AB115" s="38">
        <f t="shared" ca="1" si="58"/>
        <v>0.19029938643021441</v>
      </c>
      <c r="AC115" s="38">
        <f t="shared" si="59"/>
        <v>0.75</v>
      </c>
      <c r="AD115" s="38">
        <f t="shared" si="59"/>
        <v>0.183</v>
      </c>
      <c r="AE115" s="38">
        <f t="shared" ca="1" si="60"/>
        <v>0.19029938643021441</v>
      </c>
      <c r="AF115" s="238">
        <f ca="1">((Summary!$N$12*(AA115*AD115)*(A115-$D$3))+(Summary!$M$12*Z115*AC115*(AJ115-EOMONTH(EDATE(A115,-1),0))))/(AK115*AB115*AE115)</f>
        <v>0.99990749555702041</v>
      </c>
      <c r="AG115" s="88">
        <f>IF($A116="","",Summary!$Q$12)</f>
        <v>0</v>
      </c>
      <c r="AH115" s="88">
        <f>IF($A116="","",IF(Summary!$R$12="Y",(VLOOKUP($A115,Summary!$AD$6:$AF$9,3)+'Escalating commodity'!H128),'Escalating commodity'!H128))</f>
        <v>2.9000000000000001E-2</v>
      </c>
      <c r="AI115" s="88">
        <f t="shared" si="74"/>
        <v>2.9000000000000001E-2</v>
      </c>
      <c r="AJ115" s="236">
        <f t="shared" si="61"/>
        <v>40252.5</v>
      </c>
      <c r="AK115" s="58">
        <f t="shared" ca="1" si="62"/>
        <v>3212</v>
      </c>
      <c r="AL115" s="26">
        <f ca="1">IF($A116="","",_xll.SPRDOPT(P115,X115,AI115,0,AB115,AE115,AF115,AK115,$AJ$2,0))</f>
        <v>3.1804642825339936E-3</v>
      </c>
      <c r="AM115" s="89">
        <f t="shared" si="63"/>
        <v>0</v>
      </c>
      <c r="AN115" s="89">
        <f t="shared" ca="1" si="64"/>
        <v>3.1804642825339936E-3</v>
      </c>
      <c r="AO115" s="3">
        <f t="shared" si="65"/>
        <v>31</v>
      </c>
      <c r="AP115" s="33">
        <f t="shared" si="66"/>
        <v>40238</v>
      </c>
      <c r="AQ115" s="58">
        <f t="shared" ca="1" si="67"/>
        <v>3212</v>
      </c>
      <c r="AR115" s="38">
        <f>'ANR OK vs ML7'!AR115</f>
        <v>0.1</v>
      </c>
      <c r="AS115" s="35">
        <f t="shared" ca="1" si="68"/>
        <v>0.42395874138093387</v>
      </c>
      <c r="AT115" s="3">
        <f t="shared" si="69"/>
        <v>1</v>
      </c>
      <c r="AU115" s="3">
        <f t="shared" si="70"/>
        <v>31</v>
      </c>
      <c r="AW115" s="32">
        <f t="shared" ca="1" si="71"/>
        <v>3600.8644123279018</v>
      </c>
      <c r="AX115" s="32">
        <f t="shared" si="71"/>
        <v>0</v>
      </c>
      <c r="AY115" s="32">
        <f t="shared" ca="1" si="72"/>
        <v>3600.8644123279018</v>
      </c>
      <c r="BA115" s="32">
        <f ca="1">IF($A116="","",F115*Summary!$Q$12)</f>
        <v>0</v>
      </c>
      <c r="BC115" s="256">
        <f t="shared" ca="1" si="75"/>
        <v>0</v>
      </c>
    </row>
    <row r="116" spans="1:55">
      <c r="A116" s="67">
        <f t="shared" si="73"/>
        <v>40269</v>
      </c>
      <c r="B116" s="69">
        <f t="shared" si="76"/>
        <v>36522</v>
      </c>
      <c r="C116" s="71"/>
      <c r="D116" s="69">
        <f t="shared" si="39"/>
        <v>36522</v>
      </c>
      <c r="E116" s="70">
        <f t="shared" si="40"/>
        <v>1095660</v>
      </c>
      <c r="F116" s="70">
        <f t="shared" ca="1" si="41"/>
        <v>460683.42439055542</v>
      </c>
      <c r="G116" s="63">
        <f t="shared" si="42"/>
        <v>4.2149999999999999</v>
      </c>
      <c r="H116" s="64">
        <f t="shared" si="43"/>
        <v>4.2149999999999999</v>
      </c>
      <c r="I116" s="43"/>
      <c r="J116" s="63">
        <f t="shared" si="44"/>
        <v>0.18</v>
      </c>
      <c r="K116" s="64">
        <f t="shared" si="45"/>
        <v>0.18</v>
      </c>
      <c r="L116" s="63">
        <f t="shared" si="46"/>
        <v>0</v>
      </c>
      <c r="M116" s="64">
        <f t="shared" si="47"/>
        <v>0</v>
      </c>
      <c r="N116" s="65"/>
      <c r="O116" s="63">
        <f t="shared" si="48"/>
        <v>4.3949999999999996</v>
      </c>
      <c r="P116" s="63">
        <f t="shared" si="49"/>
        <v>4.3949999999999996</v>
      </c>
      <c r="Q116" s="66"/>
      <c r="R116" s="63">
        <f t="shared" si="50"/>
        <v>0.18</v>
      </c>
      <c r="S116" s="64">
        <f t="shared" si="51"/>
        <v>0.18</v>
      </c>
      <c r="T116" s="63">
        <f t="shared" si="52"/>
        <v>0</v>
      </c>
      <c r="U116" s="64">
        <f t="shared" si="53"/>
        <v>0</v>
      </c>
      <c r="V116" s="90">
        <f>IF($A117="","",IF(AND(MONTH(A116)&gt;3,MONTH(A116)&lt;11),(T116+R116+G116)*(((1/(1-Summary!$T$12))/(1-Summary!$W$12))-1),(T116+R116+G116)*((1/(1-Summary!$U$12))/(1-Summary!$X$12)-1)))</f>
        <v>0</v>
      </c>
      <c r="W116" s="63">
        <f t="shared" si="54"/>
        <v>4.3949999999999996</v>
      </c>
      <c r="X116" s="63">
        <f t="shared" si="55"/>
        <v>4.3949999999999996</v>
      </c>
      <c r="Y116" s="43"/>
      <c r="Z116" s="38">
        <f t="shared" si="56"/>
        <v>0.45</v>
      </c>
      <c r="AA116" s="38">
        <f t="shared" si="57"/>
        <v>0.183</v>
      </c>
      <c r="AB116" s="38">
        <f t="shared" ca="1" si="58"/>
        <v>0.18556928435747999</v>
      </c>
      <c r="AC116" s="38">
        <f t="shared" si="59"/>
        <v>0.45</v>
      </c>
      <c r="AD116" s="38">
        <f t="shared" si="59"/>
        <v>0.183</v>
      </c>
      <c r="AE116" s="38">
        <f t="shared" ca="1" si="60"/>
        <v>0.18556928435747999</v>
      </c>
      <c r="AF116" s="238">
        <f ca="1">((Summary!$N$12*(AA116*AD116)*(A116-$D$3))+(Summary!$M$12*Z116*AC116*(AJ116-EOMONTH(EDATE(A116,-1),0))))/(AK116*AB116*AE116)</f>
        <v>0.99990271992639845</v>
      </c>
      <c r="AG116" s="88">
        <f>IF($A117="","",Summary!$Q$12)</f>
        <v>0</v>
      </c>
      <c r="AH116" s="88">
        <f>IF($A117="","",IF(Summary!$R$12="Y",(VLOOKUP($A116,Summary!$AD$6:$AF$9,3)+'Escalating commodity'!H129),'Escalating commodity'!H129))</f>
        <v>2.9000000000000001E-2</v>
      </c>
      <c r="AI116" s="88">
        <f t="shared" si="74"/>
        <v>2.9000000000000001E-2</v>
      </c>
      <c r="AJ116" s="236">
        <f t="shared" si="61"/>
        <v>40283</v>
      </c>
      <c r="AK116" s="58">
        <f t="shared" ca="1" si="62"/>
        <v>3243</v>
      </c>
      <c r="AL116" s="26">
        <f ca="1">IF($A117="","",_xll.SPRDOPT(P116,X116,AI116,0,AB116,AE116,AF116,AK116,$AJ$2,0))</f>
        <v>3.0059488024728048E-3</v>
      </c>
      <c r="AM116" s="89">
        <f t="shared" si="63"/>
        <v>0</v>
      </c>
      <c r="AN116" s="89">
        <f t="shared" ca="1" si="64"/>
        <v>3.0059488024728048E-3</v>
      </c>
      <c r="AO116" s="3">
        <f t="shared" si="65"/>
        <v>30</v>
      </c>
      <c r="AP116" s="33">
        <f t="shared" si="66"/>
        <v>40269</v>
      </c>
      <c r="AQ116" s="58">
        <f t="shared" ca="1" si="67"/>
        <v>3243</v>
      </c>
      <c r="AR116" s="38">
        <f>'ANR OK vs ML7'!AR116</f>
        <v>0.1</v>
      </c>
      <c r="AS116" s="35">
        <f t="shared" ca="1" si="68"/>
        <v>0.42046202689753703</v>
      </c>
      <c r="AT116" s="3">
        <f t="shared" si="69"/>
        <v>1</v>
      </c>
      <c r="AU116" s="3">
        <f t="shared" si="70"/>
        <v>30</v>
      </c>
      <c r="AW116" s="32">
        <f t="shared" ca="1" si="71"/>
        <v>3293.4978649173531</v>
      </c>
      <c r="AX116" s="32">
        <f t="shared" si="71"/>
        <v>0</v>
      </c>
      <c r="AY116" s="32">
        <f t="shared" ca="1" si="72"/>
        <v>3293.4978649173531</v>
      </c>
      <c r="BA116" s="32">
        <f ca="1">IF($A117="","",F116*Summary!$Q$12)</f>
        <v>0</v>
      </c>
      <c r="BC116" s="256">
        <f t="shared" ca="1" si="75"/>
        <v>0</v>
      </c>
    </row>
    <row r="117" spans="1:55">
      <c r="A117" s="67">
        <f t="shared" si="73"/>
        <v>40299</v>
      </c>
      <c r="B117" s="69">
        <f t="shared" si="76"/>
        <v>36522</v>
      </c>
      <c r="C117" s="71"/>
      <c r="D117" s="69">
        <f t="shared" si="39"/>
        <v>36522</v>
      </c>
      <c r="E117" s="70">
        <f t="shared" si="40"/>
        <v>1132182</v>
      </c>
      <c r="F117" s="70">
        <f t="shared" ca="1" si="41"/>
        <v>472239.42039186077</v>
      </c>
      <c r="G117" s="63">
        <f t="shared" si="42"/>
        <v>4.1849999999999996</v>
      </c>
      <c r="H117" s="64">
        <f t="shared" si="43"/>
        <v>4.1849999999999996</v>
      </c>
      <c r="I117" s="43"/>
      <c r="J117" s="63">
        <f t="shared" si="44"/>
        <v>0.18</v>
      </c>
      <c r="K117" s="64">
        <f t="shared" si="45"/>
        <v>0.18</v>
      </c>
      <c r="L117" s="63">
        <f t="shared" si="46"/>
        <v>0</v>
      </c>
      <c r="M117" s="64">
        <f t="shared" si="47"/>
        <v>0</v>
      </c>
      <c r="N117" s="65"/>
      <c r="O117" s="63">
        <f t="shared" si="48"/>
        <v>4.3649999999999993</v>
      </c>
      <c r="P117" s="63">
        <f t="shared" si="49"/>
        <v>4.3649999999999993</v>
      </c>
      <c r="Q117" s="66"/>
      <c r="R117" s="63">
        <f t="shared" si="50"/>
        <v>0.18</v>
      </c>
      <c r="S117" s="64">
        <f t="shared" si="51"/>
        <v>0.18</v>
      </c>
      <c r="T117" s="63">
        <f t="shared" si="52"/>
        <v>0</v>
      </c>
      <c r="U117" s="64">
        <f t="shared" si="53"/>
        <v>0</v>
      </c>
      <c r="V117" s="90">
        <f>IF($A118="","",IF(AND(MONTH(A117)&gt;3,MONTH(A117)&lt;11),(T117+R117+G117)*(((1/(1-Summary!$T$12))/(1-Summary!$W$12))-1),(T117+R117+G117)*((1/(1-Summary!$U$12))/(1-Summary!$X$12)-1)))</f>
        <v>0</v>
      </c>
      <c r="W117" s="63">
        <f t="shared" si="54"/>
        <v>4.3649999999999993</v>
      </c>
      <c r="X117" s="63">
        <f t="shared" si="55"/>
        <v>4.3649999999999993</v>
      </c>
      <c r="Y117" s="43"/>
      <c r="Z117" s="38">
        <f t="shared" si="56"/>
        <v>0.5</v>
      </c>
      <c r="AA117" s="38">
        <f t="shared" si="57"/>
        <v>0.183</v>
      </c>
      <c r="AB117" s="38">
        <f t="shared" ca="1" si="58"/>
        <v>0.18623415641165267</v>
      </c>
      <c r="AC117" s="38">
        <f t="shared" si="59"/>
        <v>0.5</v>
      </c>
      <c r="AD117" s="38">
        <f t="shared" si="59"/>
        <v>0.183</v>
      </c>
      <c r="AE117" s="38">
        <f t="shared" ca="1" si="60"/>
        <v>0.18623415641165267</v>
      </c>
      <c r="AF117" s="238">
        <f ca="1">((Summary!$N$12*(AA117*AD117)*(A117-$D$3))+(Summary!$M$12*Z117*AC117*(AJ117-EOMONTH(EDATE(A117,-1),0))))/(AK117*AB117*AE117)</f>
        <v>0.99990341355598056</v>
      </c>
      <c r="AG117" s="88">
        <f>IF($A118="","",Summary!$Q$12)</f>
        <v>0</v>
      </c>
      <c r="AH117" s="88">
        <f>IF($A118="","",IF(Summary!$R$12="Y",(VLOOKUP($A117,Summary!$AD$6:$AF$9,3)+'Escalating commodity'!H130),'Escalating commodity'!H130))</f>
        <v>2.9000000000000001E-2</v>
      </c>
      <c r="AI117" s="88">
        <f t="shared" si="74"/>
        <v>2.9000000000000001E-2</v>
      </c>
      <c r="AJ117" s="236">
        <f t="shared" si="61"/>
        <v>40313.5</v>
      </c>
      <c r="AK117" s="58">
        <f t="shared" ca="1" si="62"/>
        <v>3273</v>
      </c>
      <c r="AL117" s="26">
        <f ca="1">IF($A118="","",_xll.SPRDOPT(P117,X117,AI117,0,AB117,AE117,AF117,AK117,$AJ$2,0))</f>
        <v>2.9907271379905134E-3</v>
      </c>
      <c r="AM117" s="89">
        <f t="shared" si="63"/>
        <v>0</v>
      </c>
      <c r="AN117" s="89">
        <f t="shared" ca="1" si="64"/>
        <v>2.9907271379905134E-3</v>
      </c>
      <c r="AO117" s="3">
        <f t="shared" si="65"/>
        <v>31</v>
      </c>
      <c r="AP117" s="33">
        <f t="shared" si="66"/>
        <v>40299</v>
      </c>
      <c r="AQ117" s="58">
        <f t="shared" ca="1" si="67"/>
        <v>3273</v>
      </c>
      <c r="AR117" s="38">
        <f>'ANR OK vs ML7'!AR117</f>
        <v>0.1</v>
      </c>
      <c r="AS117" s="35">
        <f t="shared" ca="1" si="68"/>
        <v>0.41710557171184559</v>
      </c>
      <c r="AT117" s="3">
        <f t="shared" si="69"/>
        <v>1</v>
      </c>
      <c r="AU117" s="3">
        <f t="shared" si="70"/>
        <v>31</v>
      </c>
      <c r="AW117" s="32">
        <f t="shared" ca="1" si="71"/>
        <v>3386.0474325443756</v>
      </c>
      <c r="AX117" s="32">
        <f t="shared" si="71"/>
        <v>0</v>
      </c>
      <c r="AY117" s="32">
        <f t="shared" ca="1" si="72"/>
        <v>3386.0474325443756</v>
      </c>
      <c r="BA117" s="32">
        <f ca="1">IF($A118="","",F117*Summary!$Q$12)</f>
        <v>0</v>
      </c>
      <c r="BC117" s="256">
        <f t="shared" ca="1" si="75"/>
        <v>0</v>
      </c>
    </row>
    <row r="118" spans="1:55">
      <c r="A118" s="67">
        <f t="shared" si="73"/>
        <v>40330</v>
      </c>
      <c r="B118" s="69">
        <f t="shared" si="76"/>
        <v>36522</v>
      </c>
      <c r="C118" s="71"/>
      <c r="D118" s="69">
        <f t="shared" si="39"/>
        <v>36522</v>
      </c>
      <c r="E118" s="70">
        <f t="shared" si="40"/>
        <v>1095660</v>
      </c>
      <c r="F118" s="70">
        <f t="shared" ca="1" si="41"/>
        <v>453236.61090865516</v>
      </c>
      <c r="G118" s="63">
        <f t="shared" si="42"/>
        <v>4.2549999999999999</v>
      </c>
      <c r="H118" s="64">
        <f t="shared" si="43"/>
        <v>4.2549999999999999</v>
      </c>
      <c r="I118" s="43"/>
      <c r="J118" s="63">
        <f t="shared" si="44"/>
        <v>0.18</v>
      </c>
      <c r="K118" s="64">
        <f t="shared" si="45"/>
        <v>0.18</v>
      </c>
      <c r="L118" s="63">
        <f t="shared" si="46"/>
        <v>0</v>
      </c>
      <c r="M118" s="64">
        <f t="shared" si="47"/>
        <v>0</v>
      </c>
      <c r="N118" s="65"/>
      <c r="O118" s="63">
        <f t="shared" si="48"/>
        <v>4.4349999999999996</v>
      </c>
      <c r="P118" s="63">
        <f t="shared" si="49"/>
        <v>4.4349999999999996</v>
      </c>
      <c r="Q118" s="66"/>
      <c r="R118" s="63">
        <f t="shared" si="50"/>
        <v>0.18</v>
      </c>
      <c r="S118" s="64">
        <f t="shared" si="51"/>
        <v>0.18</v>
      </c>
      <c r="T118" s="63">
        <f t="shared" si="52"/>
        <v>0</v>
      </c>
      <c r="U118" s="64">
        <f t="shared" si="53"/>
        <v>0</v>
      </c>
      <c r="V118" s="90">
        <f>IF($A119="","",IF(AND(MONTH(A118)&gt;3,MONTH(A118)&lt;11),(T118+R118+G118)*(((1/(1-Summary!$T$12))/(1-Summary!$W$12))-1),(T118+R118+G118)*((1/(1-Summary!$U$12))/(1-Summary!$X$12)-1)))</f>
        <v>0</v>
      </c>
      <c r="W118" s="63">
        <f t="shared" si="54"/>
        <v>4.4349999999999996</v>
      </c>
      <c r="X118" s="63">
        <f t="shared" si="55"/>
        <v>4.4349999999999996</v>
      </c>
      <c r="Y118" s="43"/>
      <c r="Z118" s="38">
        <f t="shared" si="56"/>
        <v>0.5</v>
      </c>
      <c r="AA118" s="38">
        <f t="shared" si="57"/>
        <v>0.183</v>
      </c>
      <c r="AB118" s="38">
        <f t="shared" ca="1" si="58"/>
        <v>0.18610245508683179</v>
      </c>
      <c r="AC118" s="38">
        <f t="shared" si="59"/>
        <v>0.5</v>
      </c>
      <c r="AD118" s="38">
        <f t="shared" si="59"/>
        <v>0.183</v>
      </c>
      <c r="AE118" s="38">
        <f t="shared" ca="1" si="60"/>
        <v>0.18610245508683179</v>
      </c>
      <c r="AF118" s="238">
        <f ca="1">((Summary!$N$12*(AA118*AD118)*(A118-$D$3))+(Summary!$M$12*Z118*AC118*(AJ118-EOMONTH(EDATE(A118,-1),0))))/(AK118*AB118*AE118)</f>
        <v>0.99990327707985449</v>
      </c>
      <c r="AG118" s="88">
        <f>IF($A119="","",Summary!$Q$12)</f>
        <v>0</v>
      </c>
      <c r="AH118" s="88">
        <f>IF($A119="","",IF(Summary!$R$12="Y",(VLOOKUP($A118,Summary!$AD$6:$AF$9,3)+'Escalating commodity'!H131),'Escalating commodity'!H131))</f>
        <v>2.9000000000000001E-2</v>
      </c>
      <c r="AI118" s="88">
        <f t="shared" si="74"/>
        <v>2.9000000000000001E-2</v>
      </c>
      <c r="AJ118" s="236">
        <f t="shared" si="61"/>
        <v>40344</v>
      </c>
      <c r="AK118" s="58">
        <f t="shared" ca="1" si="62"/>
        <v>3304</v>
      </c>
      <c r="AL118" s="26">
        <f ca="1">IF($A119="","",_xll.SPRDOPT(P118,X118,AI118,0,AB118,AE118,AF118,AK118,$AJ$2,0))</f>
        <v>3.0761250908246454E-3</v>
      </c>
      <c r="AM118" s="89">
        <f t="shared" si="63"/>
        <v>0</v>
      </c>
      <c r="AN118" s="89">
        <f t="shared" ca="1" si="64"/>
        <v>3.0761250908246454E-3</v>
      </c>
      <c r="AO118" s="3">
        <f t="shared" si="65"/>
        <v>30</v>
      </c>
      <c r="AP118" s="33">
        <f t="shared" si="66"/>
        <v>40330</v>
      </c>
      <c r="AQ118" s="58">
        <f t="shared" ca="1" si="67"/>
        <v>3304</v>
      </c>
      <c r="AR118" s="38">
        <f>'ANR OK vs ML7'!AR118</f>
        <v>0.1</v>
      </c>
      <c r="AS118" s="35">
        <f t="shared" ca="1" si="68"/>
        <v>0.41366538060041907</v>
      </c>
      <c r="AT118" s="3">
        <f t="shared" si="69"/>
        <v>1</v>
      </c>
      <c r="AU118" s="3">
        <f t="shared" si="70"/>
        <v>30</v>
      </c>
      <c r="AW118" s="32">
        <f t="shared" ca="1" si="71"/>
        <v>3370.3872170129312</v>
      </c>
      <c r="AX118" s="32">
        <f t="shared" si="71"/>
        <v>0</v>
      </c>
      <c r="AY118" s="32">
        <f t="shared" ca="1" si="72"/>
        <v>3370.3872170129312</v>
      </c>
      <c r="BA118" s="32">
        <f ca="1">IF($A119="","",F118*Summary!$Q$12)</f>
        <v>0</v>
      </c>
      <c r="BC118" s="256">
        <f t="shared" ca="1" si="75"/>
        <v>0</v>
      </c>
    </row>
    <row r="119" spans="1:55">
      <c r="A119" s="67">
        <f t="shared" si="73"/>
        <v>40360</v>
      </c>
      <c r="B119" s="69">
        <f t="shared" si="76"/>
        <v>36522</v>
      </c>
      <c r="C119" s="71"/>
      <c r="D119" s="69">
        <f t="shared" si="39"/>
        <v>36522</v>
      </c>
      <c r="E119" s="70">
        <f t="shared" si="40"/>
        <v>1132182</v>
      </c>
      <c r="F119" s="70">
        <f t="shared" ca="1" si="41"/>
        <v>464605.80759775778</v>
      </c>
      <c r="G119" s="63">
        <f t="shared" si="42"/>
        <v>4.3099999999999996</v>
      </c>
      <c r="H119" s="64">
        <f t="shared" si="43"/>
        <v>4.3099999999999996</v>
      </c>
      <c r="I119" s="43"/>
      <c r="J119" s="63">
        <f t="shared" si="44"/>
        <v>0.18</v>
      </c>
      <c r="K119" s="64">
        <f t="shared" si="45"/>
        <v>0.18</v>
      </c>
      <c r="L119" s="63">
        <f t="shared" si="46"/>
        <v>0</v>
      </c>
      <c r="M119" s="64">
        <f t="shared" si="47"/>
        <v>0</v>
      </c>
      <c r="N119" s="65"/>
      <c r="O119" s="63">
        <f t="shared" si="48"/>
        <v>4.4899999999999993</v>
      </c>
      <c r="P119" s="63">
        <f t="shared" si="49"/>
        <v>4.4899999999999993</v>
      </c>
      <c r="Q119" s="66"/>
      <c r="R119" s="63">
        <f t="shared" si="50"/>
        <v>0.18</v>
      </c>
      <c r="S119" s="64">
        <f t="shared" si="51"/>
        <v>0.18</v>
      </c>
      <c r="T119" s="63">
        <f t="shared" si="52"/>
        <v>0</v>
      </c>
      <c r="U119" s="64">
        <f t="shared" si="53"/>
        <v>0</v>
      </c>
      <c r="V119" s="90">
        <f>IF($A120="","",IF(AND(MONTH(A119)&gt;3,MONTH(A119)&lt;11),(T119+R119+G119)*(((1/(1-Summary!$T$12))/(1-Summary!$W$12))-1),(T119+R119+G119)*((1/(1-Summary!$U$12))/(1-Summary!$X$12)-1)))</f>
        <v>0</v>
      </c>
      <c r="W119" s="63">
        <f t="shared" si="54"/>
        <v>4.4899999999999993</v>
      </c>
      <c r="X119" s="63">
        <f t="shared" si="55"/>
        <v>4.4899999999999993</v>
      </c>
      <c r="Y119" s="43"/>
      <c r="Z119" s="38">
        <f t="shared" si="56"/>
        <v>0.55000000000000004</v>
      </c>
      <c r="AA119" s="38">
        <f t="shared" si="57"/>
        <v>0.183</v>
      </c>
      <c r="AB119" s="38">
        <f t="shared" ca="1" si="58"/>
        <v>0.18682983814775286</v>
      </c>
      <c r="AC119" s="38">
        <f t="shared" si="59"/>
        <v>0.55000000000000004</v>
      </c>
      <c r="AD119" s="38">
        <f t="shared" si="59"/>
        <v>0.183</v>
      </c>
      <c r="AE119" s="38">
        <f t="shared" ca="1" si="60"/>
        <v>0.18682983814775286</v>
      </c>
      <c r="AF119" s="238">
        <f ca="1">((Summary!$N$12*(AA119*AD119)*(A119-$D$3))+(Summary!$M$12*Z119*AC119*(AJ119-EOMONTH(EDATE(A119,-1),0))))/(AK119*AB119*AE119)</f>
        <v>0.99990402901613451</v>
      </c>
      <c r="AG119" s="88">
        <f>IF($A120="","",Summary!$Q$12)</f>
        <v>0</v>
      </c>
      <c r="AH119" s="88">
        <f>IF($A120="","",IF(Summary!$R$12="Y",(VLOOKUP($A119,Summary!$AD$6:$AF$9,3)+'Escalating commodity'!H132),'Escalating commodity'!H132))</f>
        <v>2.9000000000000001E-2</v>
      </c>
      <c r="AI119" s="88">
        <f t="shared" si="74"/>
        <v>2.9000000000000001E-2</v>
      </c>
      <c r="AJ119" s="236">
        <f t="shared" si="61"/>
        <v>40374.5</v>
      </c>
      <c r="AK119" s="58">
        <f t="shared" ca="1" si="62"/>
        <v>3334</v>
      </c>
      <c r="AL119" s="26">
        <f ca="1">IF($A120="","",_xll.SPRDOPT(P119,X119,AI119,0,AB119,AE119,AF119,AK119,$AJ$2,0))</f>
        <v>3.1384164533841998E-3</v>
      </c>
      <c r="AM119" s="89">
        <f t="shared" si="63"/>
        <v>0</v>
      </c>
      <c r="AN119" s="89">
        <f t="shared" ca="1" si="64"/>
        <v>3.1384164533841998E-3</v>
      </c>
      <c r="AO119" s="3">
        <f t="shared" si="65"/>
        <v>31</v>
      </c>
      <c r="AP119" s="33">
        <f t="shared" si="66"/>
        <v>40360</v>
      </c>
      <c r="AQ119" s="58">
        <f t="shared" ca="1" si="67"/>
        <v>3334</v>
      </c>
      <c r="AR119" s="38">
        <f>'ANR OK vs ML7'!AR119</f>
        <v>0.1</v>
      </c>
      <c r="AS119" s="35">
        <f t="shared" ca="1" si="68"/>
        <v>0.41036318153597018</v>
      </c>
      <c r="AT119" s="3">
        <f t="shared" si="69"/>
        <v>1</v>
      </c>
      <c r="AU119" s="3">
        <f t="shared" si="70"/>
        <v>31</v>
      </c>
      <c r="AW119" s="32">
        <f t="shared" ca="1" si="71"/>
        <v>3553.2586170254299</v>
      </c>
      <c r="AX119" s="32">
        <f t="shared" si="71"/>
        <v>0</v>
      </c>
      <c r="AY119" s="32">
        <f t="shared" ca="1" si="72"/>
        <v>3553.2586170254299</v>
      </c>
      <c r="BA119" s="32">
        <f ca="1">IF($A120="","",F119*Summary!$Q$12)</f>
        <v>0</v>
      </c>
      <c r="BC119" s="256">
        <f t="shared" ca="1" si="75"/>
        <v>0</v>
      </c>
    </row>
    <row r="120" spans="1:55">
      <c r="A120" s="67">
        <f t="shared" si="73"/>
        <v>40391</v>
      </c>
      <c r="B120" s="69">
        <f t="shared" si="76"/>
        <v>36522</v>
      </c>
      <c r="C120" s="71"/>
      <c r="D120" s="69">
        <f t="shared" si="39"/>
        <v>36522</v>
      </c>
      <c r="E120" s="70">
        <f t="shared" si="40"/>
        <v>1132182</v>
      </c>
      <c r="F120" s="70">
        <f t="shared" ca="1" si="41"/>
        <v>460773.8454327471</v>
      </c>
      <c r="G120" s="63">
        <f t="shared" si="42"/>
        <v>4.3660000000000005</v>
      </c>
      <c r="H120" s="64">
        <f t="shared" si="43"/>
        <v>4.3660000000000005</v>
      </c>
      <c r="I120" s="43"/>
      <c r="J120" s="63">
        <f t="shared" si="44"/>
        <v>0.18</v>
      </c>
      <c r="K120" s="64">
        <f t="shared" si="45"/>
        <v>0.18</v>
      </c>
      <c r="L120" s="63">
        <f t="shared" si="46"/>
        <v>0</v>
      </c>
      <c r="M120" s="64">
        <f t="shared" si="47"/>
        <v>0</v>
      </c>
      <c r="N120" s="65"/>
      <c r="O120" s="63">
        <f t="shared" si="48"/>
        <v>4.5460000000000003</v>
      </c>
      <c r="P120" s="63">
        <f t="shared" si="49"/>
        <v>4.5460000000000003</v>
      </c>
      <c r="Q120" s="66"/>
      <c r="R120" s="63">
        <f t="shared" si="50"/>
        <v>0.18</v>
      </c>
      <c r="S120" s="64">
        <f t="shared" si="51"/>
        <v>0.18</v>
      </c>
      <c r="T120" s="63">
        <f t="shared" si="52"/>
        <v>0</v>
      </c>
      <c r="U120" s="64">
        <f t="shared" si="53"/>
        <v>0</v>
      </c>
      <c r="V120" s="90">
        <f>IF($A121="","",IF(AND(MONTH(A120)&gt;3,MONTH(A120)&lt;11),(T120+R120+G120)*(((1/(1-Summary!$T$12))/(1-Summary!$W$12))-1),(T120+R120+G120)*((1/(1-Summary!$U$12))/(1-Summary!$X$12)-1)))</f>
        <v>0</v>
      </c>
      <c r="W120" s="63">
        <f t="shared" si="54"/>
        <v>4.5460000000000003</v>
      </c>
      <c r="X120" s="63">
        <f t="shared" si="55"/>
        <v>4.5460000000000003</v>
      </c>
      <c r="Y120" s="43"/>
      <c r="Z120" s="38">
        <f t="shared" si="56"/>
        <v>0.6</v>
      </c>
      <c r="AA120" s="38">
        <f t="shared" si="57"/>
        <v>0.183</v>
      </c>
      <c r="AB120" s="38">
        <f t="shared" ca="1" si="58"/>
        <v>0.18750253014637622</v>
      </c>
      <c r="AC120" s="38">
        <f t="shared" si="59"/>
        <v>0.6</v>
      </c>
      <c r="AD120" s="38">
        <f t="shared" si="59"/>
        <v>0.183</v>
      </c>
      <c r="AE120" s="38">
        <f t="shared" ca="1" si="60"/>
        <v>0.18750253014637622</v>
      </c>
      <c r="AF120" s="238">
        <f ca="1">((Summary!$N$12*(AA120*AD120)*(A120-$D$3))+(Summary!$M$12*Z120*AC120*(AJ120-EOMONTH(EDATE(A120,-1),0))))/(AK120*AB120*AE120)</f>
        <v>0.99990471666319491</v>
      </c>
      <c r="AG120" s="88">
        <f>IF($A121="","",Summary!$Q$12)</f>
        <v>0</v>
      </c>
      <c r="AH120" s="88">
        <f>IF($A121="","",IF(Summary!$R$12="Y",(VLOOKUP($A120,Summary!$AD$6:$AF$9,3)+'Escalating commodity'!H133),'Escalating commodity'!H133))</f>
        <v>2.9000000000000001E-2</v>
      </c>
      <c r="AI120" s="88">
        <f t="shared" si="74"/>
        <v>2.9000000000000001E-2</v>
      </c>
      <c r="AJ120" s="236">
        <f t="shared" si="61"/>
        <v>40405.5</v>
      </c>
      <c r="AK120" s="58">
        <f t="shared" ca="1" si="62"/>
        <v>3365</v>
      </c>
      <c r="AL120" s="26">
        <f ca="1">IF($A121="","",_xll.SPRDOPT(P120,X120,AI120,0,AB120,AE120,AF120,AK120,$AJ$2,0))</f>
        <v>3.2028633011007279E-3</v>
      </c>
      <c r="AM120" s="89">
        <f t="shared" si="63"/>
        <v>0</v>
      </c>
      <c r="AN120" s="89">
        <f t="shared" ca="1" si="64"/>
        <v>3.2028633011007279E-3</v>
      </c>
      <c r="AO120" s="3">
        <f t="shared" si="65"/>
        <v>31</v>
      </c>
      <c r="AP120" s="33">
        <f t="shared" si="66"/>
        <v>40391</v>
      </c>
      <c r="AQ120" s="58">
        <f t="shared" ca="1" si="67"/>
        <v>3365</v>
      </c>
      <c r="AR120" s="38">
        <f>'ANR OK vs ML7'!AR120</f>
        <v>0.1</v>
      </c>
      <c r="AS120" s="35">
        <f t="shared" ca="1" si="68"/>
        <v>0.40697860011265602</v>
      </c>
      <c r="AT120" s="3">
        <f t="shared" si="69"/>
        <v>1</v>
      </c>
      <c r="AU120" s="3">
        <f t="shared" si="70"/>
        <v>31</v>
      </c>
      <c r="AW120" s="32">
        <f t="shared" ca="1" si="71"/>
        <v>3626.2241779668243</v>
      </c>
      <c r="AX120" s="32">
        <f t="shared" si="71"/>
        <v>0</v>
      </c>
      <c r="AY120" s="32">
        <f t="shared" ca="1" si="72"/>
        <v>3626.2241779668243</v>
      </c>
      <c r="BA120" s="32">
        <f ca="1">IF($A121="","",F120*Summary!$Q$12)</f>
        <v>0</v>
      </c>
      <c r="BC120" s="256">
        <f t="shared" ca="1" si="75"/>
        <v>0</v>
      </c>
    </row>
    <row r="121" spans="1:55">
      <c r="A121" s="67">
        <f t="shared" si="73"/>
        <v>40422</v>
      </c>
      <c r="B121" s="69">
        <f t="shared" si="76"/>
        <v>36522</v>
      </c>
      <c r="C121" s="71"/>
      <c r="D121" s="69">
        <f t="shared" si="39"/>
        <v>36522</v>
      </c>
      <c r="E121" s="70">
        <f t="shared" si="40"/>
        <v>1095660</v>
      </c>
      <c r="F121" s="70">
        <f t="shared" ca="1" si="41"/>
        <v>442232.40814160171</v>
      </c>
      <c r="G121" s="63">
        <f t="shared" si="42"/>
        <v>4.38</v>
      </c>
      <c r="H121" s="64">
        <f t="shared" si="43"/>
        <v>4.38</v>
      </c>
      <c r="I121" s="43"/>
      <c r="J121" s="63">
        <f t="shared" si="44"/>
        <v>0.18</v>
      </c>
      <c r="K121" s="64">
        <f t="shared" si="45"/>
        <v>0.18</v>
      </c>
      <c r="L121" s="63">
        <f t="shared" si="46"/>
        <v>0</v>
      </c>
      <c r="M121" s="64">
        <f t="shared" si="47"/>
        <v>0</v>
      </c>
      <c r="N121" s="65"/>
      <c r="O121" s="63">
        <f t="shared" si="48"/>
        <v>4.5599999999999996</v>
      </c>
      <c r="P121" s="63">
        <f t="shared" si="49"/>
        <v>4.5599999999999996</v>
      </c>
      <c r="Q121" s="66"/>
      <c r="R121" s="63">
        <f t="shared" si="50"/>
        <v>0.18</v>
      </c>
      <c r="S121" s="64">
        <f t="shared" si="51"/>
        <v>0.18</v>
      </c>
      <c r="T121" s="63">
        <f t="shared" si="52"/>
        <v>0</v>
      </c>
      <c r="U121" s="64">
        <f t="shared" si="53"/>
        <v>0</v>
      </c>
      <c r="V121" s="90">
        <f>IF($A122="","",IF(AND(MONTH(A121)&gt;3,MONTH(A121)&lt;11),(T121+R121+G121)*(((1/(1-Summary!$T$12))/(1-Summary!$W$12))-1),(T121+R121+G121)*((1/(1-Summary!$U$12))/(1-Summary!$X$12)-1)))</f>
        <v>0</v>
      </c>
      <c r="W121" s="63">
        <f t="shared" si="54"/>
        <v>4.5599999999999996</v>
      </c>
      <c r="X121" s="63">
        <f t="shared" si="55"/>
        <v>4.5599999999999996</v>
      </c>
      <c r="Y121" s="43"/>
      <c r="Z121" s="38">
        <f t="shared" si="56"/>
        <v>0.6</v>
      </c>
      <c r="AA121" s="38">
        <f t="shared" si="57"/>
        <v>0.183</v>
      </c>
      <c r="AB121" s="38">
        <f t="shared" ca="1" si="58"/>
        <v>0.18732049357848604</v>
      </c>
      <c r="AC121" s="38">
        <f t="shared" si="59"/>
        <v>0.6</v>
      </c>
      <c r="AD121" s="38">
        <f t="shared" si="59"/>
        <v>0.183</v>
      </c>
      <c r="AE121" s="38">
        <f t="shared" ca="1" si="60"/>
        <v>0.18732049357848604</v>
      </c>
      <c r="AF121" s="238">
        <f ca="1">((Summary!$N$12*(AA121*AD121)*(A121-$D$3))+(Summary!$M$12*Z121*AC121*(AJ121-EOMONTH(EDATE(A121,-1),0))))/(AK121*AB121*AE121)</f>
        <v>0.99990453164093673</v>
      </c>
      <c r="AG121" s="88">
        <f>IF($A122="","",Summary!$Q$12)</f>
        <v>0</v>
      </c>
      <c r="AH121" s="88">
        <f>IF($A122="","",IF(Summary!$R$12="Y",(VLOOKUP($A121,Summary!$AD$6:$AF$9,3)+'Escalating commodity'!H134),'Escalating commodity'!H134))</f>
        <v>2.9000000000000001E-2</v>
      </c>
      <c r="AI121" s="88">
        <f t="shared" si="74"/>
        <v>2.9000000000000001E-2</v>
      </c>
      <c r="AJ121" s="236">
        <f t="shared" si="61"/>
        <v>40436</v>
      </c>
      <c r="AK121" s="58">
        <f t="shared" ca="1" si="62"/>
        <v>3396</v>
      </c>
      <c r="AL121" s="26">
        <f ca="1">IF($A122="","",_xll.SPRDOPT(P121,X121,AI121,0,AB121,AE121,AF121,AK121,$AJ$2,0))</f>
        <v>3.2378563744878235E-3</v>
      </c>
      <c r="AM121" s="89">
        <f t="shared" si="63"/>
        <v>0</v>
      </c>
      <c r="AN121" s="89">
        <f t="shared" ca="1" si="64"/>
        <v>3.2378563744878235E-3</v>
      </c>
      <c r="AO121" s="3">
        <f t="shared" si="65"/>
        <v>30</v>
      </c>
      <c r="AP121" s="33">
        <f t="shared" si="66"/>
        <v>40422</v>
      </c>
      <c r="AQ121" s="58">
        <f t="shared" ca="1" si="67"/>
        <v>3396</v>
      </c>
      <c r="AR121" s="38">
        <f>'ANR OK vs ML7'!AR121</f>
        <v>0.1</v>
      </c>
      <c r="AS121" s="35">
        <f t="shared" ca="1" si="68"/>
        <v>0.40362193394082263</v>
      </c>
      <c r="AT121" s="3">
        <f t="shared" si="69"/>
        <v>1</v>
      </c>
      <c r="AU121" s="3">
        <f t="shared" si="70"/>
        <v>30</v>
      </c>
      <c r="AW121" s="32">
        <f t="shared" ca="1" si="71"/>
        <v>3547.5897152713287</v>
      </c>
      <c r="AX121" s="32">
        <f t="shared" si="71"/>
        <v>0</v>
      </c>
      <c r="AY121" s="32">
        <f t="shared" ca="1" si="72"/>
        <v>3547.5897152713287</v>
      </c>
      <c r="BA121" s="32">
        <f ca="1">IF($A122="","",F121*Summary!$Q$12)</f>
        <v>0</v>
      </c>
      <c r="BC121" s="256">
        <f t="shared" ca="1" si="75"/>
        <v>0</v>
      </c>
    </row>
    <row r="122" spans="1:55">
      <c r="A122" s="67">
        <f t="shared" si="73"/>
        <v>40452</v>
      </c>
      <c r="B122" s="69">
        <f t="shared" si="76"/>
        <v>36522</v>
      </c>
      <c r="C122" s="71"/>
      <c r="D122" s="69">
        <f t="shared" si="39"/>
        <v>36522</v>
      </c>
      <c r="E122" s="70">
        <f t="shared" si="40"/>
        <v>1132182</v>
      </c>
      <c r="F122" s="70">
        <f t="shared" ca="1" si="41"/>
        <v>453325.57032101508</v>
      </c>
      <c r="G122" s="63">
        <f t="shared" si="42"/>
        <v>4.4110000000000005</v>
      </c>
      <c r="H122" s="64">
        <f t="shared" si="43"/>
        <v>4.4110000000000005</v>
      </c>
      <c r="I122" s="43"/>
      <c r="J122" s="63">
        <f t="shared" si="44"/>
        <v>0.18</v>
      </c>
      <c r="K122" s="64">
        <f t="shared" si="45"/>
        <v>0.18</v>
      </c>
      <c r="L122" s="63">
        <f t="shared" si="46"/>
        <v>0</v>
      </c>
      <c r="M122" s="64">
        <f t="shared" si="47"/>
        <v>0</v>
      </c>
      <c r="N122" s="65"/>
      <c r="O122" s="63">
        <f t="shared" si="48"/>
        <v>4.5910000000000002</v>
      </c>
      <c r="P122" s="63">
        <f t="shared" si="49"/>
        <v>4.5910000000000002</v>
      </c>
      <c r="Q122" s="66"/>
      <c r="R122" s="63">
        <f t="shared" si="50"/>
        <v>0.18</v>
      </c>
      <c r="S122" s="64">
        <f t="shared" si="51"/>
        <v>0.18</v>
      </c>
      <c r="T122" s="63">
        <f t="shared" si="52"/>
        <v>0</v>
      </c>
      <c r="U122" s="64">
        <f t="shared" si="53"/>
        <v>0</v>
      </c>
      <c r="V122" s="90">
        <f>IF($A123="","",IF(AND(MONTH(A122)&gt;3,MONTH(A122)&lt;11),(T122+R122+G122)*(((1/(1-Summary!$T$12))/(1-Summary!$W$12))-1),(T122+R122+G122)*((1/(1-Summary!$U$12))/(1-Summary!$X$12)-1)))</f>
        <v>0</v>
      </c>
      <c r="W122" s="63">
        <f t="shared" si="54"/>
        <v>4.5910000000000002</v>
      </c>
      <c r="X122" s="63">
        <f t="shared" si="55"/>
        <v>4.5910000000000002</v>
      </c>
      <c r="Y122" s="43"/>
      <c r="Z122" s="38">
        <f t="shared" si="56"/>
        <v>0.65</v>
      </c>
      <c r="AA122" s="38">
        <f t="shared" si="57"/>
        <v>0.183</v>
      </c>
      <c r="AB122" s="38">
        <f t="shared" ca="1" si="58"/>
        <v>0.18817614262659255</v>
      </c>
      <c r="AC122" s="38">
        <f t="shared" si="59"/>
        <v>0.65</v>
      </c>
      <c r="AD122" s="38">
        <f t="shared" si="59"/>
        <v>0.183</v>
      </c>
      <c r="AE122" s="38">
        <f t="shared" ca="1" si="60"/>
        <v>0.18817614262659255</v>
      </c>
      <c r="AF122" s="238">
        <f ca="1">((Summary!$N$12*(AA122*AD122)*(A122-$D$3))+(Summary!$M$12*Z122*AC122*(AJ122-EOMONTH(EDATE(A122,-1),0))))/(AK122*AB122*AE122)</f>
        <v>0.99990539811247459</v>
      </c>
      <c r="AG122" s="88">
        <f>IF($A123="","",Summary!$Q$12)</f>
        <v>0</v>
      </c>
      <c r="AH122" s="88">
        <f>IF($A123="","",IF(Summary!$R$12="Y",(VLOOKUP($A122,Summary!$AD$6:$AF$9,3)+'Escalating commodity'!H135),'Escalating commodity'!H135))</f>
        <v>2.9000000000000001E-2</v>
      </c>
      <c r="AI122" s="88">
        <f t="shared" si="74"/>
        <v>2.9000000000000001E-2</v>
      </c>
      <c r="AJ122" s="236">
        <f t="shared" si="61"/>
        <v>40466.5</v>
      </c>
      <c r="AK122" s="58">
        <f t="shared" ca="1" si="62"/>
        <v>3426</v>
      </c>
      <c r="AL122" s="26">
        <f ca="1">IF($A123="","",_xll.SPRDOPT(P122,X122,AI122,0,AB122,AE122,AF122,AK122,$AJ$2,0))</f>
        <v>3.2763750375187292E-3</v>
      </c>
      <c r="AM122" s="89">
        <f t="shared" si="63"/>
        <v>0</v>
      </c>
      <c r="AN122" s="89">
        <f t="shared" ca="1" si="64"/>
        <v>3.2763750375187292E-3</v>
      </c>
      <c r="AO122" s="3">
        <f t="shared" si="65"/>
        <v>31</v>
      </c>
      <c r="AP122" s="33">
        <f t="shared" si="66"/>
        <v>40452</v>
      </c>
      <c r="AQ122" s="58">
        <f t="shared" ca="1" si="67"/>
        <v>3426</v>
      </c>
      <c r="AR122" s="38">
        <f>'ANR OK vs ML7'!AR122</f>
        <v>0.1</v>
      </c>
      <c r="AS122" s="35">
        <f t="shared" ca="1" si="68"/>
        <v>0.4003999094854141</v>
      </c>
      <c r="AT122" s="3">
        <f t="shared" si="69"/>
        <v>1</v>
      </c>
      <c r="AU122" s="3">
        <f t="shared" si="70"/>
        <v>31</v>
      </c>
      <c r="AW122" s="32">
        <f t="shared" ca="1" si="71"/>
        <v>3709.4528427280297</v>
      </c>
      <c r="AX122" s="32">
        <f t="shared" si="71"/>
        <v>0</v>
      </c>
      <c r="AY122" s="32">
        <f t="shared" ca="1" si="72"/>
        <v>3709.4528427280297</v>
      </c>
      <c r="BA122" s="32">
        <f ca="1">IF($A123="","",F122*Summary!$Q$12)</f>
        <v>0</v>
      </c>
      <c r="BC122" s="256">
        <f t="shared" ca="1" si="75"/>
        <v>0</v>
      </c>
    </row>
    <row r="123" spans="1:55">
      <c r="A123" s="67">
        <f t="shared" si="73"/>
        <v>40483</v>
      </c>
      <c r="B123" s="69">
        <f t="shared" si="76"/>
        <v>36522</v>
      </c>
      <c r="C123" s="71"/>
      <c r="D123" s="69">
        <f t="shared" si="39"/>
        <v>36522</v>
      </c>
      <c r="E123" s="70">
        <f t="shared" si="40"/>
        <v>1095660</v>
      </c>
      <c r="F123" s="70">
        <f t="shared" ca="1" si="41"/>
        <v>435083.84996753937</v>
      </c>
      <c r="G123" s="63">
        <f t="shared" si="42"/>
        <v>4.5440000000000005</v>
      </c>
      <c r="H123" s="64">
        <f t="shared" si="43"/>
        <v>4.5440000000000005</v>
      </c>
      <c r="I123" s="43"/>
      <c r="J123" s="63">
        <f t="shared" si="44"/>
        <v>0.27500000000000002</v>
      </c>
      <c r="K123" s="64">
        <f t="shared" si="45"/>
        <v>0.27500000000000002</v>
      </c>
      <c r="L123" s="63">
        <f t="shared" si="46"/>
        <v>0</v>
      </c>
      <c r="M123" s="64">
        <f t="shared" si="47"/>
        <v>0</v>
      </c>
      <c r="N123" s="65"/>
      <c r="O123" s="63">
        <f t="shared" si="48"/>
        <v>4.8190000000000008</v>
      </c>
      <c r="P123" s="63">
        <f t="shared" si="49"/>
        <v>4.8190000000000008</v>
      </c>
      <c r="Q123" s="66"/>
      <c r="R123" s="63">
        <f t="shared" si="50"/>
        <v>0.27500000000000002</v>
      </c>
      <c r="S123" s="64">
        <f t="shared" si="51"/>
        <v>0.27500000000000002</v>
      </c>
      <c r="T123" s="63">
        <f t="shared" si="52"/>
        <v>0</v>
      </c>
      <c r="U123" s="64">
        <f t="shared" si="53"/>
        <v>0</v>
      </c>
      <c r="V123" s="90">
        <f>IF($A124="","",IF(AND(MONTH(A123)&gt;3,MONTH(A123)&lt;11),(T123+R123+G123)*(((1/(1-Summary!$T$12))/(1-Summary!$W$12))-1),(T123+R123+G123)*((1/(1-Summary!$U$12))/(1-Summary!$X$12)-1)))</f>
        <v>0</v>
      </c>
      <c r="W123" s="63">
        <f t="shared" si="54"/>
        <v>4.8190000000000008</v>
      </c>
      <c r="X123" s="63">
        <f t="shared" si="55"/>
        <v>4.8190000000000008</v>
      </c>
      <c r="Y123" s="43"/>
      <c r="Z123" s="38">
        <f t="shared" si="56"/>
        <v>0.8</v>
      </c>
      <c r="AA123" s="38">
        <f t="shared" si="57"/>
        <v>0.183</v>
      </c>
      <c r="AB123" s="38">
        <f t="shared" ca="1" si="58"/>
        <v>0.19046170627258027</v>
      </c>
      <c r="AC123" s="38">
        <f t="shared" si="59"/>
        <v>0.8</v>
      </c>
      <c r="AD123" s="38">
        <f t="shared" si="59"/>
        <v>0.183</v>
      </c>
      <c r="AE123" s="38">
        <f t="shared" ca="1" si="60"/>
        <v>0.19046170627258027</v>
      </c>
      <c r="AF123" s="238">
        <f ca="1">((Summary!$N$12*(AA123*AD123)*(A123-$D$3))+(Summary!$M$12*Z123*AC123*(AJ123-EOMONTH(EDATE(A123,-1),0))))/(AK123*AB123*AE123)</f>
        <v>0.9999076551994811</v>
      </c>
      <c r="AG123" s="88">
        <f>IF($A124="","",Summary!$Q$12)</f>
        <v>0</v>
      </c>
      <c r="AH123" s="88">
        <f>IF($A124="","",IF(Summary!$R$12="Y",(VLOOKUP($A123,Summary!$AD$6:$AF$9,3)+'Escalating commodity'!H136),'Escalating commodity'!H136))</f>
        <v>2.9000000000000001E-2</v>
      </c>
      <c r="AI123" s="88">
        <f t="shared" si="74"/>
        <v>2.9000000000000001E-2</v>
      </c>
      <c r="AJ123" s="236">
        <f t="shared" si="61"/>
        <v>40497</v>
      </c>
      <c r="AK123" s="58">
        <f t="shared" ca="1" si="62"/>
        <v>3457</v>
      </c>
      <c r="AL123" s="26">
        <f ca="1">IF($A124="","",_xll.SPRDOPT(P123,X123,AI123,0,AB123,AE123,AF123,AK123,$AJ$2,0))</f>
        <v>3.4821074311856132E-3</v>
      </c>
      <c r="AM123" s="89">
        <f t="shared" si="63"/>
        <v>0</v>
      </c>
      <c r="AN123" s="89">
        <f t="shared" ca="1" si="64"/>
        <v>3.4821074311856132E-3</v>
      </c>
      <c r="AO123" s="3">
        <f t="shared" si="65"/>
        <v>30</v>
      </c>
      <c r="AP123" s="33">
        <f t="shared" si="66"/>
        <v>40483</v>
      </c>
      <c r="AQ123" s="58">
        <f t="shared" ca="1" si="67"/>
        <v>3457</v>
      </c>
      <c r="AR123" s="38">
        <f>'ANR OK vs ML7'!AR123</f>
        <v>0.1</v>
      </c>
      <c r="AS123" s="35">
        <f t="shared" ca="1" si="68"/>
        <v>0.39709750284535289</v>
      </c>
      <c r="AT123" s="3">
        <f t="shared" si="69"/>
        <v>1</v>
      </c>
      <c r="AU123" s="3">
        <f t="shared" si="70"/>
        <v>30</v>
      </c>
      <c r="AW123" s="32">
        <f t="shared" ca="1" si="71"/>
        <v>3815.205828052829</v>
      </c>
      <c r="AX123" s="32">
        <f t="shared" si="71"/>
        <v>0</v>
      </c>
      <c r="AY123" s="32">
        <f t="shared" ca="1" si="72"/>
        <v>3815.205828052829</v>
      </c>
      <c r="BA123" s="32">
        <f ca="1">IF($A124="","",F123*Summary!$Q$12)</f>
        <v>0</v>
      </c>
      <c r="BC123" s="256">
        <f t="shared" ca="1" si="75"/>
        <v>0</v>
      </c>
    </row>
    <row r="124" spans="1:55">
      <c r="A124" s="67">
        <f t="shared" si="73"/>
        <v>40513</v>
      </c>
      <c r="B124" s="69">
        <f t="shared" si="76"/>
        <v>36522</v>
      </c>
      <c r="C124" s="71"/>
      <c r="D124" s="69">
        <f t="shared" si="39"/>
        <v>36522</v>
      </c>
      <c r="E124" s="70">
        <f t="shared" si="40"/>
        <v>1132182</v>
      </c>
      <c r="F124" s="70">
        <f t="shared" ca="1" si="41"/>
        <v>445997.69440878177</v>
      </c>
      <c r="G124" s="63">
        <f t="shared" si="42"/>
        <v>4.6820000000000004</v>
      </c>
      <c r="H124" s="64">
        <f t="shared" si="43"/>
        <v>4.6820000000000004</v>
      </c>
      <c r="I124" s="43"/>
      <c r="J124" s="63">
        <f t="shared" si="44"/>
        <v>0.27500000000000002</v>
      </c>
      <c r="K124" s="64">
        <f t="shared" si="45"/>
        <v>0.27500000000000002</v>
      </c>
      <c r="L124" s="63">
        <f t="shared" si="46"/>
        <v>0</v>
      </c>
      <c r="M124" s="64">
        <f t="shared" si="47"/>
        <v>0</v>
      </c>
      <c r="N124" s="65"/>
      <c r="O124" s="63">
        <f t="shared" si="48"/>
        <v>4.9570000000000007</v>
      </c>
      <c r="P124" s="63">
        <f t="shared" si="49"/>
        <v>4.9570000000000007</v>
      </c>
      <c r="Q124" s="66"/>
      <c r="R124" s="63">
        <f t="shared" si="50"/>
        <v>0.27500000000000002</v>
      </c>
      <c r="S124" s="64">
        <f t="shared" si="51"/>
        <v>0.27500000000000002</v>
      </c>
      <c r="T124" s="63">
        <f t="shared" si="52"/>
        <v>0</v>
      </c>
      <c r="U124" s="64">
        <f t="shared" si="53"/>
        <v>0</v>
      </c>
      <c r="V124" s="90">
        <f>IF($A125="","",IF(AND(MONTH(A124)&gt;3,MONTH(A124)&lt;11),(T124+R124+G124)*(((1/(1-Summary!$T$12))/(1-Summary!$W$12))-1),(T124+R124+G124)*((1/(1-Summary!$U$12))/(1-Summary!$X$12)-1)))</f>
        <v>0</v>
      </c>
      <c r="W124" s="63">
        <f t="shared" si="54"/>
        <v>4.9570000000000007</v>
      </c>
      <c r="X124" s="63">
        <f t="shared" si="55"/>
        <v>4.9570000000000007</v>
      </c>
      <c r="Y124" s="43"/>
      <c r="Z124" s="38">
        <f t="shared" si="56"/>
        <v>1.1000000000000001</v>
      </c>
      <c r="AA124" s="38">
        <f t="shared" si="57"/>
        <v>0.183</v>
      </c>
      <c r="AB124" s="38">
        <f t="shared" ca="1" si="58"/>
        <v>0.19717290091048437</v>
      </c>
      <c r="AC124" s="38">
        <f t="shared" si="59"/>
        <v>1.1000000000000001</v>
      </c>
      <c r="AD124" s="38">
        <f t="shared" si="59"/>
        <v>0.183</v>
      </c>
      <c r="AE124" s="38">
        <f t="shared" ca="1" si="60"/>
        <v>0.19717290091048437</v>
      </c>
      <c r="AF124" s="238">
        <f ca="1">((Summary!$N$12*(AA124*AD124)*(A124-$D$3))+(Summary!$M$12*Z124*AC124*(AJ124-EOMONTH(EDATE(A124,-1),0))))/(AK124*AB124*AE124)</f>
        <v>0.99991383472940087</v>
      </c>
      <c r="AG124" s="88">
        <f>IF($A125="","",Summary!$Q$12)</f>
        <v>0</v>
      </c>
      <c r="AH124" s="88">
        <f>IF($A125="","",IF(Summary!$R$12="Y",(VLOOKUP($A124,Summary!$AD$6:$AF$9,3)+'Escalating commodity'!H137),'Escalating commodity'!H137))</f>
        <v>2.9000000000000001E-2</v>
      </c>
      <c r="AI124" s="88">
        <f t="shared" si="74"/>
        <v>2.9000000000000001E-2</v>
      </c>
      <c r="AJ124" s="236">
        <f t="shared" si="61"/>
        <v>40527.5</v>
      </c>
      <c r="AK124" s="58">
        <f t="shared" ca="1" si="62"/>
        <v>3487</v>
      </c>
      <c r="AL124" s="26">
        <f ca="1">IF($A125="","",_xll.SPRDOPT(P124,X124,AI124,0,AB124,AE124,AF124,AK124,$AJ$2,0))</f>
        <v>3.5446508560039447E-3</v>
      </c>
      <c r="AM124" s="89">
        <f t="shared" si="63"/>
        <v>0</v>
      </c>
      <c r="AN124" s="89">
        <f t="shared" ca="1" si="64"/>
        <v>3.5446508560039447E-3</v>
      </c>
      <c r="AO124" s="3">
        <f t="shared" si="65"/>
        <v>31</v>
      </c>
      <c r="AP124" s="33">
        <f t="shared" si="66"/>
        <v>40513</v>
      </c>
      <c r="AQ124" s="58">
        <f t="shared" ca="1" si="67"/>
        <v>3487</v>
      </c>
      <c r="AR124" s="38">
        <f>'ANR OK vs ML7'!AR124</f>
        <v>0.1</v>
      </c>
      <c r="AS124" s="35">
        <f t="shared" ca="1" si="68"/>
        <v>0.39392756147755553</v>
      </c>
      <c r="AT124" s="3">
        <f t="shared" si="69"/>
        <v>1</v>
      </c>
      <c r="AU124" s="3">
        <f t="shared" si="70"/>
        <v>31</v>
      </c>
      <c r="AW124" s="32">
        <f t="shared" ca="1" si="71"/>
        <v>4013.189895452258</v>
      </c>
      <c r="AX124" s="32">
        <f t="shared" si="71"/>
        <v>0</v>
      </c>
      <c r="AY124" s="32">
        <f t="shared" ca="1" si="72"/>
        <v>4013.189895452258</v>
      </c>
      <c r="BA124" s="32">
        <f ca="1">IF($A125="","",F124*Summary!$Q$12)</f>
        <v>0</v>
      </c>
      <c r="BC124" s="256">
        <f t="shared" ca="1" si="75"/>
        <v>0</v>
      </c>
    </row>
    <row r="125" spans="1:55">
      <c r="A125" s="67">
        <f t="shared" si="73"/>
        <v>40544</v>
      </c>
      <c r="B125" s="69">
        <f t="shared" si="76"/>
        <v>36522</v>
      </c>
      <c r="C125" s="71"/>
      <c r="D125" s="69">
        <f t="shared" si="39"/>
        <v>36522</v>
      </c>
      <c r="E125" s="70">
        <f t="shared" si="40"/>
        <v>1132182</v>
      </c>
      <c r="F125" s="70">
        <f t="shared" ca="1" si="41"/>
        <v>442319.20769443561</v>
      </c>
      <c r="G125" s="63">
        <f t="shared" si="42"/>
        <v>4.7140000000000004</v>
      </c>
      <c r="H125" s="64">
        <f t="shared" si="43"/>
        <v>4.7140000000000004</v>
      </c>
      <c r="I125" s="43"/>
      <c r="J125" s="63">
        <f t="shared" si="44"/>
        <v>0.27500000000000002</v>
      </c>
      <c r="K125" s="64">
        <f t="shared" si="45"/>
        <v>0.27500000000000002</v>
      </c>
      <c r="L125" s="63">
        <f t="shared" si="46"/>
        <v>0</v>
      </c>
      <c r="M125" s="64">
        <f t="shared" si="47"/>
        <v>0</v>
      </c>
      <c r="N125" s="65"/>
      <c r="O125" s="63">
        <f t="shared" si="48"/>
        <v>4.9890000000000008</v>
      </c>
      <c r="P125" s="63">
        <f t="shared" si="49"/>
        <v>4.9890000000000008</v>
      </c>
      <c r="Q125" s="66"/>
      <c r="R125" s="63">
        <f t="shared" si="50"/>
        <v>0.27500000000000002</v>
      </c>
      <c r="S125" s="64">
        <f t="shared" si="51"/>
        <v>0.27500000000000002</v>
      </c>
      <c r="T125" s="63">
        <f t="shared" si="52"/>
        <v>0</v>
      </c>
      <c r="U125" s="64">
        <f t="shared" si="53"/>
        <v>0</v>
      </c>
      <c r="V125" s="90">
        <f>IF($A126="","",IF(AND(MONTH(A125)&gt;3,MONTH(A125)&lt;11),(T125+R125+G125)*(((1/(1-Summary!$T$12))/(1-Summary!$W$12))-1),(T125+R125+G125)*((1/(1-Summary!$U$12))/(1-Summary!$X$12)-1)))</f>
        <v>0</v>
      </c>
      <c r="W125" s="63">
        <f t="shared" si="54"/>
        <v>4.9890000000000008</v>
      </c>
      <c r="X125" s="63">
        <f t="shared" si="55"/>
        <v>4.9890000000000008</v>
      </c>
      <c r="Y125" s="43"/>
      <c r="Z125" s="38">
        <f t="shared" si="56"/>
        <v>1.1000000000000001</v>
      </c>
      <c r="AA125" s="38">
        <f t="shared" si="57"/>
        <v>0.183</v>
      </c>
      <c r="AB125" s="38">
        <f t="shared" ca="1" si="58"/>
        <v>0.19705246355723099</v>
      </c>
      <c r="AC125" s="38">
        <f t="shared" si="59"/>
        <v>1.1000000000000001</v>
      </c>
      <c r="AD125" s="38">
        <f t="shared" si="59"/>
        <v>0.183</v>
      </c>
      <c r="AE125" s="38">
        <f t="shared" ca="1" si="60"/>
        <v>0.19705246355723099</v>
      </c>
      <c r="AF125" s="238">
        <f ca="1">((Summary!$N$12*(AA125*AD125)*(A125-$D$3))+(Summary!$M$12*Z125*AC125*(AJ125-EOMONTH(EDATE(A125,-1),0))))/(AK125*AB125*AE125)</f>
        <v>0.99991372958770663</v>
      </c>
      <c r="AG125" s="88">
        <f>IF($A126="","",Summary!$Q$12)</f>
        <v>0</v>
      </c>
      <c r="AH125" s="88">
        <f>IF($A126="","",IF(Summary!$R$12="Y",(VLOOKUP($A125,Summary!$AD$6:$AF$9,3)+'Escalating commodity'!H138),'Escalating commodity'!H138))</f>
        <v>2.9000000000000001E-2</v>
      </c>
      <c r="AI125" s="88">
        <f t="shared" si="74"/>
        <v>2.9000000000000001E-2</v>
      </c>
      <c r="AJ125" s="236">
        <f t="shared" si="61"/>
        <v>40558.5</v>
      </c>
      <c r="AK125" s="58">
        <f t="shared" ca="1" si="62"/>
        <v>3518</v>
      </c>
      <c r="AL125" s="26">
        <f ca="1">IF($A126="","",_xll.SPRDOPT(P125,X125,AI125,0,AB125,AE125,AF125,AK125,$AJ$2,0))</f>
        <v>3.5957602699388108E-3</v>
      </c>
      <c r="AM125" s="89">
        <f t="shared" si="63"/>
        <v>0</v>
      </c>
      <c r="AN125" s="89">
        <f t="shared" ca="1" si="64"/>
        <v>3.5957602699388108E-3</v>
      </c>
      <c r="AO125" s="3">
        <f t="shared" si="65"/>
        <v>31</v>
      </c>
      <c r="AP125" s="33">
        <f t="shared" si="66"/>
        <v>40544</v>
      </c>
      <c r="AQ125" s="58">
        <f t="shared" ca="1" si="67"/>
        <v>3518</v>
      </c>
      <c r="AR125" s="38">
        <f>'ANR OK vs ML7'!AR125</f>
        <v>0.1</v>
      </c>
      <c r="AS125" s="35">
        <f t="shared" ca="1" si="68"/>
        <v>0.39067853727972679</v>
      </c>
      <c r="AT125" s="3">
        <f t="shared" si="69"/>
        <v>1</v>
      </c>
      <c r="AU125" s="3">
        <f t="shared" si="70"/>
        <v>31</v>
      </c>
      <c r="AW125" s="32">
        <f t="shared" ca="1" si="71"/>
        <v>4071.0550539398628</v>
      </c>
      <c r="AX125" s="32">
        <f t="shared" si="71"/>
        <v>0</v>
      </c>
      <c r="AY125" s="32">
        <f t="shared" ca="1" si="72"/>
        <v>4071.0550539398628</v>
      </c>
      <c r="BA125" s="32">
        <f ca="1">IF($A126="","",F125*Summary!$Q$12)</f>
        <v>0</v>
      </c>
      <c r="BC125" s="256">
        <f t="shared" ca="1" si="75"/>
        <v>0</v>
      </c>
    </row>
    <row r="126" spans="1:55">
      <c r="A126" s="67">
        <f t="shared" si="73"/>
        <v>40575</v>
      </c>
      <c r="B126" s="69">
        <f t="shared" si="76"/>
        <v>36522</v>
      </c>
      <c r="C126" s="71"/>
      <c r="D126" s="69">
        <f t="shared" si="39"/>
        <v>36522</v>
      </c>
      <c r="E126" s="70">
        <f t="shared" si="40"/>
        <v>1022616</v>
      </c>
      <c r="F126" s="70">
        <f t="shared" ca="1" si="41"/>
        <v>396219.02220195072</v>
      </c>
      <c r="G126" s="63">
        <f t="shared" si="42"/>
        <v>4.5940000000000003</v>
      </c>
      <c r="H126" s="64">
        <f t="shared" si="43"/>
        <v>4.5940000000000003</v>
      </c>
      <c r="I126" s="43"/>
      <c r="J126" s="63">
        <f t="shared" si="44"/>
        <v>0.27500000000000002</v>
      </c>
      <c r="K126" s="64">
        <f t="shared" si="45"/>
        <v>0.27500000000000002</v>
      </c>
      <c r="L126" s="63">
        <f t="shared" si="46"/>
        <v>0</v>
      </c>
      <c r="M126" s="64">
        <f t="shared" si="47"/>
        <v>0</v>
      </c>
      <c r="N126" s="65"/>
      <c r="O126" s="63">
        <f t="shared" si="48"/>
        <v>4.8690000000000007</v>
      </c>
      <c r="P126" s="63">
        <f t="shared" si="49"/>
        <v>4.8690000000000007</v>
      </c>
      <c r="Q126" s="66"/>
      <c r="R126" s="63">
        <f t="shared" si="50"/>
        <v>0.27500000000000002</v>
      </c>
      <c r="S126" s="64">
        <f t="shared" si="51"/>
        <v>0.27500000000000002</v>
      </c>
      <c r="T126" s="63">
        <f t="shared" si="52"/>
        <v>0</v>
      </c>
      <c r="U126" s="64">
        <f t="shared" si="53"/>
        <v>0</v>
      </c>
      <c r="V126" s="90">
        <f>IF($A127="","",IF(AND(MONTH(A126)&gt;3,MONTH(A126)&lt;11),(T126+R126+G126)*(((1/(1-Summary!$T$12))/(1-Summary!$W$12))-1),(T126+R126+G126)*((1/(1-Summary!$U$12))/(1-Summary!$X$12)-1)))</f>
        <v>0</v>
      </c>
      <c r="W126" s="63">
        <f t="shared" si="54"/>
        <v>4.8690000000000007</v>
      </c>
      <c r="X126" s="63">
        <f t="shared" si="55"/>
        <v>4.8690000000000007</v>
      </c>
      <c r="Y126" s="43"/>
      <c r="Z126" s="38">
        <f t="shared" si="56"/>
        <v>1.1000000000000001</v>
      </c>
      <c r="AA126" s="38">
        <f t="shared" si="57"/>
        <v>0.183</v>
      </c>
      <c r="AB126" s="38">
        <f t="shared" ca="1" si="58"/>
        <v>0.19563131579992946</v>
      </c>
      <c r="AC126" s="38">
        <f t="shared" si="59"/>
        <v>1.1000000000000001</v>
      </c>
      <c r="AD126" s="38">
        <f t="shared" si="59"/>
        <v>0.183</v>
      </c>
      <c r="AE126" s="38">
        <f t="shared" ca="1" si="60"/>
        <v>0.19563131579992946</v>
      </c>
      <c r="AF126" s="238">
        <f ca="1">((Summary!$N$12*(AA126*AD126)*(A126-$D$3))+(Summary!$M$12*Z126*AC126*(AJ126-EOMONTH(EDATE(A126,-1),0))))/(AK126*AB126*AE126)</f>
        <v>0.99991247184356147</v>
      </c>
      <c r="AG126" s="88">
        <f>IF($A127="","",Summary!$Q$12)</f>
        <v>0</v>
      </c>
      <c r="AH126" s="88">
        <f>IF($A127="","",IF(Summary!$R$12="Y",(VLOOKUP($A126,Summary!$AD$6:$AF$9,3)+'Escalating commodity'!H139),'Escalating commodity'!H139))</f>
        <v>2.9000000000000001E-2</v>
      </c>
      <c r="AI126" s="88">
        <f t="shared" si="74"/>
        <v>2.9000000000000001E-2</v>
      </c>
      <c r="AJ126" s="236">
        <f t="shared" si="61"/>
        <v>40588</v>
      </c>
      <c r="AK126" s="58">
        <f t="shared" ca="1" si="62"/>
        <v>3549</v>
      </c>
      <c r="AL126" s="26">
        <f ca="1">IF($A127="","",_xll.SPRDOPT(P126,X126,AI126,0,AB126,AE126,AF126,AK126,$AJ$2,0))</f>
        <v>3.5240835125581113E-3</v>
      </c>
      <c r="AM126" s="89">
        <f t="shared" si="63"/>
        <v>0</v>
      </c>
      <c r="AN126" s="89">
        <f t="shared" ca="1" si="64"/>
        <v>3.5240835125581113E-3</v>
      </c>
      <c r="AO126" s="3">
        <f t="shared" si="65"/>
        <v>28</v>
      </c>
      <c r="AP126" s="33">
        <f t="shared" si="66"/>
        <v>40575</v>
      </c>
      <c r="AQ126" s="58">
        <f t="shared" ca="1" si="67"/>
        <v>3549</v>
      </c>
      <c r="AR126" s="38">
        <f>'ANR OK vs ML7'!AR126</f>
        <v>0.1</v>
      </c>
      <c r="AS126" s="35">
        <f t="shared" ca="1" si="68"/>
        <v>0.38745631028846678</v>
      </c>
      <c r="AT126" s="3">
        <f t="shared" si="69"/>
        <v>1</v>
      </c>
      <c r="AU126" s="3">
        <f t="shared" si="70"/>
        <v>28</v>
      </c>
      <c r="AW126" s="32">
        <f t="shared" ca="1" si="71"/>
        <v>3603.7841852781257</v>
      </c>
      <c r="AX126" s="32">
        <f t="shared" si="71"/>
        <v>0</v>
      </c>
      <c r="AY126" s="32">
        <f t="shared" ca="1" si="72"/>
        <v>3603.7841852781257</v>
      </c>
      <c r="BA126" s="32">
        <f ca="1">IF($A127="","",F126*Summary!$Q$12)</f>
        <v>0</v>
      </c>
      <c r="BC126" s="256">
        <f t="shared" ca="1" si="75"/>
        <v>0</v>
      </c>
    </row>
    <row r="127" spans="1:55">
      <c r="A127" s="67">
        <f t="shared" si="73"/>
        <v>40603</v>
      </c>
      <c r="B127" s="69">
        <f t="shared" si="76"/>
        <v>36522</v>
      </c>
      <c r="C127" s="71"/>
      <c r="D127" s="69">
        <f t="shared" si="39"/>
        <v>36522</v>
      </c>
      <c r="E127" s="70">
        <f t="shared" si="40"/>
        <v>1132182</v>
      </c>
      <c r="F127" s="70">
        <f t="shared" ca="1" si="41"/>
        <v>435401.82852344424</v>
      </c>
      <c r="G127" s="63">
        <f t="shared" si="42"/>
        <v>4.4550000000000001</v>
      </c>
      <c r="H127" s="64">
        <f t="shared" si="43"/>
        <v>4.4550000000000001</v>
      </c>
      <c r="I127" s="43"/>
      <c r="J127" s="63">
        <f t="shared" si="44"/>
        <v>0.27500000000000002</v>
      </c>
      <c r="K127" s="64">
        <f t="shared" si="45"/>
        <v>0.27500000000000002</v>
      </c>
      <c r="L127" s="63">
        <f t="shared" si="46"/>
        <v>0</v>
      </c>
      <c r="M127" s="64">
        <f t="shared" si="47"/>
        <v>0</v>
      </c>
      <c r="N127" s="65"/>
      <c r="O127" s="63">
        <f t="shared" si="48"/>
        <v>4.7300000000000004</v>
      </c>
      <c r="P127" s="63">
        <f t="shared" si="49"/>
        <v>4.7300000000000004</v>
      </c>
      <c r="Q127" s="66"/>
      <c r="R127" s="63">
        <f t="shared" si="50"/>
        <v>0.27500000000000002</v>
      </c>
      <c r="S127" s="64">
        <f t="shared" si="51"/>
        <v>0.27500000000000002</v>
      </c>
      <c r="T127" s="63">
        <f t="shared" si="52"/>
        <v>0</v>
      </c>
      <c r="U127" s="64">
        <f t="shared" si="53"/>
        <v>0</v>
      </c>
      <c r="V127" s="90">
        <f>IF($A128="","",IF(AND(MONTH(A127)&gt;3,MONTH(A127)&lt;11),(T127+R127+G127)*(((1/(1-Summary!$T$12))/(1-Summary!$W$12))-1),(T127+R127+G127)*((1/(1-Summary!$U$12))/(1-Summary!$X$12)-1)))</f>
        <v>0</v>
      </c>
      <c r="W127" s="63">
        <f t="shared" si="54"/>
        <v>4.7300000000000004</v>
      </c>
      <c r="X127" s="63">
        <f t="shared" si="55"/>
        <v>4.7300000000000004</v>
      </c>
      <c r="Y127" s="43"/>
      <c r="Z127" s="38">
        <f t="shared" si="56"/>
        <v>0.75</v>
      </c>
      <c r="AA127" s="38">
        <f t="shared" si="57"/>
        <v>0.18</v>
      </c>
      <c r="AB127" s="38">
        <f t="shared" ca="1" si="58"/>
        <v>0.18667218713963701</v>
      </c>
      <c r="AC127" s="38">
        <f t="shared" si="59"/>
        <v>0.75</v>
      </c>
      <c r="AD127" s="38">
        <f t="shared" si="59"/>
        <v>0.18</v>
      </c>
      <c r="AE127" s="38">
        <f t="shared" ca="1" si="60"/>
        <v>0.18667218713963701</v>
      </c>
      <c r="AF127" s="238">
        <f ca="1">((Summary!$N$12*(AA127*AD127)*(A127-$D$3))+(Summary!$M$12*Z127*AC127*(AJ127-EOMONTH(EDATE(A127,-1),0))))/(AK127*AB127*AE127)</f>
        <v>0.99990699481210599</v>
      </c>
      <c r="AG127" s="88">
        <f>IF($A128="","",Summary!$Q$12)</f>
        <v>0</v>
      </c>
      <c r="AH127" s="88">
        <f>IF($A128="","",IF(Summary!$R$12="Y",(VLOOKUP($A127,Summary!$AD$6:$AF$9,3)+'Escalating commodity'!H140),'Escalating commodity'!H140))</f>
        <v>2.9000000000000001E-2</v>
      </c>
      <c r="AI127" s="88">
        <f t="shared" si="74"/>
        <v>2.9000000000000001E-2</v>
      </c>
      <c r="AJ127" s="236">
        <f t="shared" si="61"/>
        <v>40617.5</v>
      </c>
      <c r="AK127" s="58">
        <f t="shared" ca="1" si="62"/>
        <v>3577</v>
      </c>
      <c r="AL127" s="26">
        <f ca="1">IF($A128="","",_xll.SPRDOPT(P127,X127,AI127,0,AB127,AE127,AF127,AK127,$AJ$2,0))</f>
        <v>3.4097871119946888E-3</v>
      </c>
      <c r="AM127" s="89">
        <f t="shared" si="63"/>
        <v>0</v>
      </c>
      <c r="AN127" s="89">
        <f t="shared" ca="1" si="64"/>
        <v>3.4097871119946888E-3</v>
      </c>
      <c r="AO127" s="3">
        <f t="shared" si="65"/>
        <v>31</v>
      </c>
      <c r="AP127" s="33">
        <f t="shared" si="66"/>
        <v>40603</v>
      </c>
      <c r="AQ127" s="58">
        <f t="shared" ca="1" si="67"/>
        <v>3577</v>
      </c>
      <c r="AR127" s="38">
        <f>'ANR OK vs ML7'!AR127</f>
        <v>0.1</v>
      </c>
      <c r="AS127" s="35">
        <f t="shared" ca="1" si="68"/>
        <v>0.38456876060866912</v>
      </c>
      <c r="AT127" s="3">
        <f t="shared" si="69"/>
        <v>1</v>
      </c>
      <c r="AU127" s="3">
        <f t="shared" si="70"/>
        <v>31</v>
      </c>
      <c r="AW127" s="32">
        <f t="shared" ca="1" si="71"/>
        <v>3860.4995920323709</v>
      </c>
      <c r="AX127" s="32">
        <f t="shared" si="71"/>
        <v>0</v>
      </c>
      <c r="AY127" s="32">
        <f t="shared" ca="1" si="72"/>
        <v>3860.4995920323709</v>
      </c>
      <c r="BA127" s="32">
        <f ca="1">IF($A128="","",F127*Summary!$Q$12)</f>
        <v>0</v>
      </c>
      <c r="BC127" s="256">
        <f t="shared" ca="1" si="75"/>
        <v>0</v>
      </c>
    </row>
    <row r="128" spans="1:55">
      <c r="A128" s="67">
        <f t="shared" si="73"/>
        <v>40634</v>
      </c>
      <c r="B128" s="69">
        <f t="shared" si="76"/>
        <v>36522</v>
      </c>
      <c r="C128" s="71"/>
      <c r="D128" s="69">
        <f t="shared" si="39"/>
        <v>36522</v>
      </c>
      <c r="E128" s="70">
        <f t="shared" si="40"/>
        <v>1095660</v>
      </c>
      <c r="F128" s="70">
        <f t="shared" ca="1" si="41"/>
        <v>417881.35556249396</v>
      </c>
      <c r="G128" s="63">
        <f t="shared" si="42"/>
        <v>4.28</v>
      </c>
      <c r="H128" s="64">
        <f t="shared" si="43"/>
        <v>4.28</v>
      </c>
      <c r="I128" s="43"/>
      <c r="J128" s="63">
        <f t="shared" si="44"/>
        <v>0.18</v>
      </c>
      <c r="K128" s="64">
        <f t="shared" si="45"/>
        <v>0.18</v>
      </c>
      <c r="L128" s="63">
        <f t="shared" si="46"/>
        <v>0</v>
      </c>
      <c r="M128" s="64">
        <f t="shared" si="47"/>
        <v>0</v>
      </c>
      <c r="N128" s="65"/>
      <c r="O128" s="63">
        <f t="shared" si="48"/>
        <v>4.46</v>
      </c>
      <c r="P128" s="63">
        <f t="shared" si="49"/>
        <v>4.46</v>
      </c>
      <c r="Q128" s="66"/>
      <c r="R128" s="63">
        <f t="shared" si="50"/>
        <v>0.18</v>
      </c>
      <c r="S128" s="64">
        <f t="shared" si="51"/>
        <v>0.18</v>
      </c>
      <c r="T128" s="63">
        <f t="shared" si="52"/>
        <v>0</v>
      </c>
      <c r="U128" s="64">
        <f t="shared" si="53"/>
        <v>0</v>
      </c>
      <c r="V128" s="90">
        <f>IF($A129="","",IF(AND(MONTH(A128)&gt;3,MONTH(A128)&lt;11),(T128+R128+G128)*(((1/(1-Summary!$T$12))/(1-Summary!$W$12))-1),(T128+R128+G128)*((1/(1-Summary!$U$12))/(1-Summary!$X$12)-1)))</f>
        <v>0</v>
      </c>
      <c r="W128" s="63">
        <f t="shared" si="54"/>
        <v>4.46</v>
      </c>
      <c r="X128" s="63">
        <f t="shared" si="55"/>
        <v>4.46</v>
      </c>
      <c r="Y128" s="43"/>
      <c r="Z128" s="38">
        <f t="shared" si="56"/>
        <v>0.45</v>
      </c>
      <c r="AA128" s="38">
        <f t="shared" si="57"/>
        <v>0.18</v>
      </c>
      <c r="AB128" s="38">
        <f t="shared" ca="1" si="58"/>
        <v>0.18234818124065244</v>
      </c>
      <c r="AC128" s="38">
        <f t="shared" si="59"/>
        <v>0.45</v>
      </c>
      <c r="AD128" s="38">
        <f t="shared" si="59"/>
        <v>0.18</v>
      </c>
      <c r="AE128" s="38">
        <f t="shared" ca="1" si="60"/>
        <v>0.18234818124065244</v>
      </c>
      <c r="AF128" s="238">
        <f ca="1">((Summary!$N$12*(AA128*AD128)*(A128-$D$3))+(Summary!$M$12*Z128*AC128*(AJ128-EOMONTH(EDATE(A128,-1),0))))/(AK128*AB128*AE128)</f>
        <v>0.99990253190196476</v>
      </c>
      <c r="AG128" s="88">
        <f>IF($A129="","",Summary!$Q$12)</f>
        <v>0</v>
      </c>
      <c r="AH128" s="88">
        <f>IF($A129="","",IF(Summary!$R$12="Y",(VLOOKUP($A128,Summary!$AD$6:$AF$9,3)+'Escalating commodity'!H141),'Escalating commodity'!H141))</f>
        <v>2.9000000000000001E-2</v>
      </c>
      <c r="AI128" s="88">
        <f t="shared" si="74"/>
        <v>2.9000000000000001E-2</v>
      </c>
      <c r="AJ128" s="236">
        <f t="shared" si="61"/>
        <v>40648</v>
      </c>
      <c r="AK128" s="58">
        <f t="shared" ca="1" si="62"/>
        <v>3608</v>
      </c>
      <c r="AL128" s="26">
        <f ca="1">IF($A129="","",_xll.SPRDOPT(P128,X128,AI128,0,AB128,AE128,AF128,AK128,$AJ$2,0))</f>
        <v>3.2251451640429932E-3</v>
      </c>
      <c r="AM128" s="89">
        <f t="shared" si="63"/>
        <v>0</v>
      </c>
      <c r="AN128" s="89">
        <f t="shared" ca="1" si="64"/>
        <v>3.2251451640429932E-3</v>
      </c>
      <c r="AO128" s="3">
        <f t="shared" si="65"/>
        <v>30</v>
      </c>
      <c r="AP128" s="33">
        <f t="shared" si="66"/>
        <v>40634</v>
      </c>
      <c r="AQ128" s="58">
        <f t="shared" ca="1" si="67"/>
        <v>3608</v>
      </c>
      <c r="AR128" s="38">
        <f>'ANR OK vs ML7'!AR128</f>
        <v>0.1</v>
      </c>
      <c r="AS128" s="35">
        <f t="shared" ca="1" si="68"/>
        <v>0.38139692565439459</v>
      </c>
      <c r="AT128" s="3">
        <f t="shared" si="69"/>
        <v>1</v>
      </c>
      <c r="AU128" s="3">
        <f t="shared" si="70"/>
        <v>30</v>
      </c>
      <c r="AW128" s="32">
        <f t="shared" ca="1" si="71"/>
        <v>3533.662550435346</v>
      </c>
      <c r="AX128" s="32">
        <f t="shared" si="71"/>
        <v>0</v>
      </c>
      <c r="AY128" s="32">
        <f t="shared" ca="1" si="72"/>
        <v>3533.662550435346</v>
      </c>
      <c r="BA128" s="32">
        <f ca="1">IF($A129="","",F128*Summary!$Q$12)</f>
        <v>0</v>
      </c>
      <c r="BC128" s="256">
        <f t="shared" ca="1" si="75"/>
        <v>0</v>
      </c>
    </row>
    <row r="129" spans="1:55">
      <c r="A129" s="67">
        <f t="shared" si="73"/>
        <v>40664</v>
      </c>
      <c r="B129" s="69">
        <f t="shared" si="76"/>
        <v>36522</v>
      </c>
      <c r="C129" s="71"/>
      <c r="D129" s="69">
        <f t="shared" si="39"/>
        <v>36522</v>
      </c>
      <c r="E129" s="70">
        <f t="shared" si="40"/>
        <v>1132182</v>
      </c>
      <c r="F129" s="70">
        <f t="shared" ca="1" si="41"/>
        <v>428363.68468099582</v>
      </c>
      <c r="G129" s="63">
        <f t="shared" si="42"/>
        <v>4.25</v>
      </c>
      <c r="H129" s="64">
        <f t="shared" si="43"/>
        <v>4.25</v>
      </c>
      <c r="I129" s="43"/>
      <c r="J129" s="63">
        <f t="shared" si="44"/>
        <v>0.18</v>
      </c>
      <c r="K129" s="64">
        <f t="shared" si="45"/>
        <v>0.18</v>
      </c>
      <c r="L129" s="63">
        <f t="shared" si="46"/>
        <v>0</v>
      </c>
      <c r="M129" s="64">
        <f t="shared" si="47"/>
        <v>0</v>
      </c>
      <c r="N129" s="65"/>
      <c r="O129" s="63">
        <f t="shared" si="48"/>
        <v>4.43</v>
      </c>
      <c r="P129" s="63">
        <f t="shared" si="49"/>
        <v>4.43</v>
      </c>
      <c r="Q129" s="66"/>
      <c r="R129" s="63">
        <f t="shared" si="50"/>
        <v>0.18</v>
      </c>
      <c r="S129" s="64">
        <f t="shared" si="51"/>
        <v>0.18</v>
      </c>
      <c r="T129" s="63">
        <f t="shared" si="52"/>
        <v>0</v>
      </c>
      <c r="U129" s="64">
        <f t="shared" si="53"/>
        <v>0</v>
      </c>
      <c r="V129" s="90">
        <f>IF($A130="","",IF(AND(MONTH(A129)&gt;3,MONTH(A129)&lt;11),(T129+R129+G129)*(((1/(1-Summary!$T$12))/(1-Summary!$W$12))-1),(T129+R129+G129)*((1/(1-Summary!$U$12))/(1-Summary!$X$12)-1)))</f>
        <v>0</v>
      </c>
      <c r="W129" s="63">
        <f t="shared" si="54"/>
        <v>4.43</v>
      </c>
      <c r="X129" s="63">
        <f t="shared" si="55"/>
        <v>4.43</v>
      </c>
      <c r="Y129" s="43"/>
      <c r="Z129" s="38">
        <f t="shared" si="56"/>
        <v>0.5</v>
      </c>
      <c r="AA129" s="38">
        <f t="shared" si="57"/>
        <v>0.18</v>
      </c>
      <c r="AB129" s="38">
        <f t="shared" ca="1" si="58"/>
        <v>0.18295915302806107</v>
      </c>
      <c r="AC129" s="38">
        <f t="shared" si="59"/>
        <v>0.5</v>
      </c>
      <c r="AD129" s="38">
        <f t="shared" si="59"/>
        <v>0.18</v>
      </c>
      <c r="AE129" s="38">
        <f t="shared" ca="1" si="60"/>
        <v>0.18295915302806107</v>
      </c>
      <c r="AF129" s="238">
        <f ca="1">((Summary!$N$12*(AA129*AD129)*(A129-$D$3))+(Summary!$M$12*Z129*AC129*(AJ129-EOMONTH(EDATE(A129,-1),0))))/(AK129*AB129*AE129)</f>
        <v>0.99990318200406292</v>
      </c>
      <c r="AG129" s="88">
        <f>IF($A130="","",Summary!$Q$12)</f>
        <v>0</v>
      </c>
      <c r="AH129" s="88">
        <f>IF($A130="","",IF(Summary!$R$12="Y",(VLOOKUP($A129,Summary!$AD$6:$AF$9,3)+'Escalating commodity'!H142),'Escalating commodity'!H142))</f>
        <v>2.9000000000000001E-2</v>
      </c>
      <c r="AI129" s="88">
        <f t="shared" si="74"/>
        <v>2.9000000000000001E-2</v>
      </c>
      <c r="AJ129" s="236">
        <f t="shared" si="61"/>
        <v>40678.5</v>
      </c>
      <c r="AK129" s="58">
        <f t="shared" ca="1" si="62"/>
        <v>3638</v>
      </c>
      <c r="AL129" s="26">
        <f ca="1">IF($A130="","",_xll.SPRDOPT(P129,X129,AI129,0,AB129,AE129,AF129,AK129,$AJ$2,0))</f>
        <v>3.207596053760281E-3</v>
      </c>
      <c r="AM129" s="89">
        <f t="shared" si="63"/>
        <v>0</v>
      </c>
      <c r="AN129" s="89">
        <f t="shared" ca="1" si="64"/>
        <v>3.207596053760281E-3</v>
      </c>
      <c r="AO129" s="3">
        <f t="shared" si="65"/>
        <v>31</v>
      </c>
      <c r="AP129" s="33">
        <f t="shared" si="66"/>
        <v>40664</v>
      </c>
      <c r="AQ129" s="58">
        <f t="shared" ca="1" si="67"/>
        <v>3638</v>
      </c>
      <c r="AR129" s="38">
        <f>'ANR OK vs ML7'!AR129</f>
        <v>0.1</v>
      </c>
      <c r="AS129" s="35">
        <f t="shared" ca="1" si="68"/>
        <v>0.3783523185150407</v>
      </c>
      <c r="AT129" s="3">
        <f t="shared" si="69"/>
        <v>1</v>
      </c>
      <c r="AU129" s="3">
        <f t="shared" si="70"/>
        <v>31</v>
      </c>
      <c r="AW129" s="32">
        <f t="shared" ca="1" si="71"/>
        <v>3631.5825153384226</v>
      </c>
      <c r="AX129" s="32">
        <f t="shared" si="71"/>
        <v>0</v>
      </c>
      <c r="AY129" s="32">
        <f t="shared" ca="1" si="72"/>
        <v>3631.5825153384226</v>
      </c>
      <c r="BA129" s="32">
        <f ca="1">IF($A130="","",F129*Summary!$Q$12)</f>
        <v>0</v>
      </c>
      <c r="BC129" s="256">
        <f t="shared" ca="1" si="75"/>
        <v>0</v>
      </c>
    </row>
    <row r="130" spans="1:55">
      <c r="A130" s="67">
        <f t="shared" si="73"/>
        <v>40695</v>
      </c>
      <c r="B130" s="69">
        <f t="shared" si="76"/>
        <v>36522</v>
      </c>
      <c r="C130" s="71"/>
      <c r="D130" s="69">
        <f t="shared" si="39"/>
        <v>36522</v>
      </c>
      <c r="E130" s="70">
        <f t="shared" si="40"/>
        <v>1095660</v>
      </c>
      <c r="F130" s="70">
        <f t="shared" ca="1" si="41"/>
        <v>411126.42506645044</v>
      </c>
      <c r="G130" s="63">
        <f t="shared" si="42"/>
        <v>4.32</v>
      </c>
      <c r="H130" s="64">
        <f t="shared" si="43"/>
        <v>4.32</v>
      </c>
      <c r="I130" s="43"/>
      <c r="J130" s="63">
        <f t="shared" si="44"/>
        <v>0.18</v>
      </c>
      <c r="K130" s="64">
        <f t="shared" si="45"/>
        <v>0.18</v>
      </c>
      <c r="L130" s="63">
        <f t="shared" si="46"/>
        <v>0</v>
      </c>
      <c r="M130" s="64">
        <f t="shared" si="47"/>
        <v>0</v>
      </c>
      <c r="N130" s="65"/>
      <c r="O130" s="63">
        <f t="shared" si="48"/>
        <v>4.5</v>
      </c>
      <c r="P130" s="63">
        <f t="shared" si="49"/>
        <v>4.5</v>
      </c>
      <c r="Q130" s="66"/>
      <c r="R130" s="63">
        <f t="shared" si="50"/>
        <v>0.18</v>
      </c>
      <c r="S130" s="64">
        <f t="shared" si="51"/>
        <v>0.18</v>
      </c>
      <c r="T130" s="63">
        <f t="shared" si="52"/>
        <v>0</v>
      </c>
      <c r="U130" s="64">
        <f t="shared" si="53"/>
        <v>0</v>
      </c>
      <c r="V130" s="90">
        <f>IF($A131="","",IF(AND(MONTH(A130)&gt;3,MONTH(A130)&lt;11),(T130+R130+G130)*(((1/(1-Summary!$T$12))/(1-Summary!$W$12))-1),(T130+R130+G130)*((1/(1-Summary!$U$12))/(1-Summary!$X$12)-1)))</f>
        <v>0</v>
      </c>
      <c r="W130" s="63">
        <f t="shared" si="54"/>
        <v>4.5</v>
      </c>
      <c r="X130" s="63">
        <f t="shared" si="55"/>
        <v>4.5</v>
      </c>
      <c r="Y130" s="43"/>
      <c r="Z130" s="38">
        <f t="shared" si="56"/>
        <v>0.5</v>
      </c>
      <c r="AA130" s="38">
        <f t="shared" si="57"/>
        <v>0.18</v>
      </c>
      <c r="AB130" s="38">
        <f t="shared" ca="1" si="58"/>
        <v>0.18284120871469822</v>
      </c>
      <c r="AC130" s="38">
        <f t="shared" si="59"/>
        <v>0.5</v>
      </c>
      <c r="AD130" s="38">
        <f t="shared" si="59"/>
        <v>0.18</v>
      </c>
      <c r="AE130" s="38">
        <f t="shared" ca="1" si="60"/>
        <v>0.18284120871469822</v>
      </c>
      <c r="AF130" s="238">
        <f ca="1">((Summary!$N$12*(AA130*AD130)*(A130-$D$3))+(Summary!$M$12*Z130*AC130*(AJ130-EOMONTH(EDATE(A130,-1),0))))/(AK130*AB130*AE130)</f>
        <v>0.99990305728122097</v>
      </c>
      <c r="AG130" s="88">
        <f>IF($A131="","",Summary!$Q$12)</f>
        <v>0</v>
      </c>
      <c r="AH130" s="88">
        <f>IF($A131="","",IF(Summary!$R$12="Y",(VLOOKUP($A130,Summary!$AD$6:$AF$9,3)+'Escalating commodity'!H143),'Escalating commodity'!H143))</f>
        <v>2.9000000000000001E-2</v>
      </c>
      <c r="AI130" s="88">
        <f t="shared" si="74"/>
        <v>2.9000000000000001E-2</v>
      </c>
      <c r="AJ130" s="236">
        <f t="shared" si="61"/>
        <v>40709</v>
      </c>
      <c r="AK130" s="58">
        <f t="shared" ca="1" si="62"/>
        <v>3669</v>
      </c>
      <c r="AL130" s="26">
        <f ca="1">IF($A131="","",_xll.SPRDOPT(P130,X130,AI130,0,AB130,AE130,AF130,AK130,$AJ$2,0))</f>
        <v>3.2947192342208421E-3</v>
      </c>
      <c r="AM130" s="89">
        <f t="shared" si="63"/>
        <v>0</v>
      </c>
      <c r="AN130" s="89">
        <f t="shared" ca="1" si="64"/>
        <v>3.2947192342208421E-3</v>
      </c>
      <c r="AO130" s="3">
        <f t="shared" si="65"/>
        <v>30</v>
      </c>
      <c r="AP130" s="33">
        <f t="shared" si="66"/>
        <v>40695</v>
      </c>
      <c r="AQ130" s="58">
        <f t="shared" ca="1" si="67"/>
        <v>3669</v>
      </c>
      <c r="AR130" s="38">
        <f>'ANR OK vs ML7'!AR130</f>
        <v>0.1</v>
      </c>
      <c r="AS130" s="35">
        <f t="shared" ca="1" si="68"/>
        <v>0.37523175534969827</v>
      </c>
      <c r="AT130" s="3">
        <f t="shared" si="69"/>
        <v>1</v>
      </c>
      <c r="AU130" s="3">
        <f t="shared" si="70"/>
        <v>30</v>
      </c>
      <c r="AW130" s="32">
        <f t="shared" ca="1" si="71"/>
        <v>3609.8920761664081</v>
      </c>
      <c r="AX130" s="32">
        <f t="shared" si="71"/>
        <v>0</v>
      </c>
      <c r="AY130" s="32">
        <f t="shared" ca="1" si="72"/>
        <v>3609.8920761664081</v>
      </c>
      <c r="BA130" s="32">
        <f ca="1">IF($A131="","",F130*Summary!$Q$12)</f>
        <v>0</v>
      </c>
      <c r="BC130" s="256">
        <f t="shared" ca="1" si="75"/>
        <v>0</v>
      </c>
    </row>
    <row r="131" spans="1:55">
      <c r="A131" s="67">
        <f t="shared" si="73"/>
        <v>40725</v>
      </c>
      <c r="B131" s="69">
        <f t="shared" si="76"/>
        <v>36522</v>
      </c>
      <c r="C131" s="71"/>
      <c r="D131" s="69">
        <f t="shared" si="39"/>
        <v>36522</v>
      </c>
      <c r="E131" s="70">
        <f t="shared" si="40"/>
        <v>1132182</v>
      </c>
      <c r="F131" s="70">
        <f t="shared" ca="1" si="41"/>
        <v>421439.3103854392</v>
      </c>
      <c r="G131" s="63">
        <f t="shared" si="42"/>
        <v>4.375</v>
      </c>
      <c r="H131" s="64">
        <f t="shared" si="43"/>
        <v>4.375</v>
      </c>
      <c r="I131" s="43"/>
      <c r="J131" s="63">
        <f t="shared" si="44"/>
        <v>0.18</v>
      </c>
      <c r="K131" s="64">
        <f t="shared" si="45"/>
        <v>0.18</v>
      </c>
      <c r="L131" s="63">
        <f t="shared" si="46"/>
        <v>0</v>
      </c>
      <c r="M131" s="64">
        <f t="shared" si="47"/>
        <v>0</v>
      </c>
      <c r="N131" s="65"/>
      <c r="O131" s="63">
        <f t="shared" si="48"/>
        <v>4.5549999999999997</v>
      </c>
      <c r="P131" s="63">
        <f t="shared" si="49"/>
        <v>4.5549999999999997</v>
      </c>
      <c r="Q131" s="66"/>
      <c r="R131" s="63">
        <f t="shared" si="50"/>
        <v>0.18</v>
      </c>
      <c r="S131" s="64">
        <f t="shared" si="51"/>
        <v>0.18</v>
      </c>
      <c r="T131" s="63">
        <f t="shared" si="52"/>
        <v>0</v>
      </c>
      <c r="U131" s="64">
        <f t="shared" si="53"/>
        <v>0</v>
      </c>
      <c r="V131" s="90">
        <f>IF($A132="","",IF(AND(MONTH(A131)&gt;3,MONTH(A131)&lt;11),(T131+R131+G131)*(((1/(1-Summary!$T$12))/(1-Summary!$W$12))-1),(T131+R131+G131)*((1/(1-Summary!$U$12))/(1-Summary!$X$12)-1)))</f>
        <v>0</v>
      </c>
      <c r="W131" s="63">
        <f t="shared" si="54"/>
        <v>4.5549999999999997</v>
      </c>
      <c r="X131" s="63">
        <f t="shared" si="55"/>
        <v>4.5549999999999997</v>
      </c>
      <c r="Y131" s="43"/>
      <c r="Z131" s="38">
        <f t="shared" si="56"/>
        <v>0.55000000000000004</v>
      </c>
      <c r="AA131" s="38">
        <f t="shared" si="57"/>
        <v>0.18</v>
      </c>
      <c r="AB131" s="38">
        <f t="shared" ca="1" si="58"/>
        <v>0.18351112075547349</v>
      </c>
      <c r="AC131" s="38">
        <f t="shared" si="59"/>
        <v>0.55000000000000004</v>
      </c>
      <c r="AD131" s="38">
        <f t="shared" si="59"/>
        <v>0.18</v>
      </c>
      <c r="AE131" s="38">
        <f t="shared" ca="1" si="60"/>
        <v>0.18351112075547349</v>
      </c>
      <c r="AF131" s="238">
        <f ca="1">((Summary!$N$12*(AA131*AD131)*(A131-$D$3))+(Summary!$M$12*Z131*AC131*(AJ131-EOMONTH(EDATE(A131,-1),0))))/(AK131*AB131*AE131)</f>
        <v>0.99990376398575109</v>
      </c>
      <c r="AG131" s="88">
        <f>IF($A132="","",Summary!$Q$12)</f>
        <v>0</v>
      </c>
      <c r="AH131" s="88">
        <f>IF($A132="","",IF(Summary!$R$12="Y",(VLOOKUP($A131,Summary!$AD$6:$AF$9,3)+'Escalating commodity'!H144),'Escalating commodity'!H144))</f>
        <v>2.9000000000000001E-2</v>
      </c>
      <c r="AI131" s="88">
        <f t="shared" si="74"/>
        <v>2.9000000000000001E-2</v>
      </c>
      <c r="AJ131" s="236">
        <f t="shared" si="61"/>
        <v>40739.5</v>
      </c>
      <c r="AK131" s="58">
        <f t="shared" ca="1" si="62"/>
        <v>3699</v>
      </c>
      <c r="AL131" s="26">
        <f ca="1">IF($A132="","",_xll.SPRDOPT(P131,X131,AI131,0,AB131,AE131,AF131,AK131,$AJ$2,0))</f>
        <v>3.3579046101968671E-3</v>
      </c>
      <c r="AM131" s="89">
        <f t="shared" si="63"/>
        <v>0</v>
      </c>
      <c r="AN131" s="89">
        <f t="shared" ca="1" si="64"/>
        <v>3.3579046101968671E-3</v>
      </c>
      <c r="AO131" s="3">
        <f t="shared" si="65"/>
        <v>31</v>
      </c>
      <c r="AP131" s="33">
        <f t="shared" si="66"/>
        <v>40725</v>
      </c>
      <c r="AQ131" s="58">
        <f t="shared" ca="1" si="67"/>
        <v>3699</v>
      </c>
      <c r="AR131" s="38">
        <f>'ANR OK vs ML7'!AR131</f>
        <v>0.1</v>
      </c>
      <c r="AS131" s="35">
        <f t="shared" ca="1" si="68"/>
        <v>0.3722363633986755</v>
      </c>
      <c r="AT131" s="3">
        <f t="shared" si="69"/>
        <v>1</v>
      </c>
      <c r="AU131" s="3">
        <f t="shared" si="70"/>
        <v>31</v>
      </c>
      <c r="AW131" s="32">
        <f t="shared" ca="1" si="71"/>
        <v>3801.7591573819095</v>
      </c>
      <c r="AX131" s="32">
        <f t="shared" si="71"/>
        <v>0</v>
      </c>
      <c r="AY131" s="32">
        <f t="shared" ca="1" si="72"/>
        <v>3801.7591573819095</v>
      </c>
      <c r="BA131" s="32">
        <f ca="1">IF($A132="","",F131*Summary!$Q$12)</f>
        <v>0</v>
      </c>
      <c r="BC131" s="256">
        <f t="shared" ca="1" si="75"/>
        <v>0</v>
      </c>
    </row>
    <row r="132" spans="1:55">
      <c r="A132" s="67">
        <f t="shared" si="73"/>
        <v>40756</v>
      </c>
      <c r="B132" s="69">
        <f t="shared" si="76"/>
        <v>36522</v>
      </c>
      <c r="C132" s="71"/>
      <c r="D132" s="69">
        <f t="shared" si="39"/>
        <v>36522</v>
      </c>
      <c r="E132" s="70">
        <f t="shared" si="40"/>
        <v>1132182</v>
      </c>
      <c r="F132" s="70">
        <f t="shared" ca="1" si="41"/>
        <v>417963.37559117726</v>
      </c>
      <c r="G132" s="63">
        <f t="shared" si="42"/>
        <v>4.431</v>
      </c>
      <c r="H132" s="64">
        <f t="shared" si="43"/>
        <v>4.431</v>
      </c>
      <c r="I132" s="43"/>
      <c r="J132" s="63">
        <f t="shared" si="44"/>
        <v>0.18</v>
      </c>
      <c r="K132" s="64">
        <f t="shared" si="45"/>
        <v>0.18</v>
      </c>
      <c r="L132" s="63">
        <f t="shared" si="46"/>
        <v>0</v>
      </c>
      <c r="M132" s="64">
        <f t="shared" si="47"/>
        <v>0</v>
      </c>
      <c r="N132" s="65"/>
      <c r="O132" s="63">
        <f t="shared" si="48"/>
        <v>4.6109999999999998</v>
      </c>
      <c r="P132" s="63">
        <f t="shared" si="49"/>
        <v>4.6109999999999998</v>
      </c>
      <c r="Q132" s="66"/>
      <c r="R132" s="63">
        <f t="shared" si="50"/>
        <v>0.18</v>
      </c>
      <c r="S132" s="64">
        <f t="shared" si="51"/>
        <v>0.18</v>
      </c>
      <c r="T132" s="63">
        <f t="shared" si="52"/>
        <v>0</v>
      </c>
      <c r="U132" s="64">
        <f t="shared" si="53"/>
        <v>0</v>
      </c>
      <c r="V132" s="90">
        <f>IF($A133="","",IF(AND(MONTH(A132)&gt;3,MONTH(A132)&lt;11),(T132+R132+G132)*(((1/(1-Summary!$T$12))/(1-Summary!$W$12))-1),(T132+R132+G132)*((1/(1-Summary!$U$12))/(1-Summary!$X$12)-1)))</f>
        <v>0</v>
      </c>
      <c r="W132" s="63">
        <f t="shared" si="54"/>
        <v>4.6109999999999998</v>
      </c>
      <c r="X132" s="63">
        <f t="shared" si="55"/>
        <v>4.6109999999999998</v>
      </c>
      <c r="Y132" s="43"/>
      <c r="Z132" s="38">
        <f t="shared" si="56"/>
        <v>0.6</v>
      </c>
      <c r="AA132" s="38">
        <f t="shared" si="57"/>
        <v>0.18</v>
      </c>
      <c r="AB132" s="38">
        <f t="shared" ca="1" si="58"/>
        <v>0.18413219403286479</v>
      </c>
      <c r="AC132" s="38">
        <f t="shared" si="59"/>
        <v>0.6</v>
      </c>
      <c r="AD132" s="38">
        <f t="shared" si="59"/>
        <v>0.18</v>
      </c>
      <c r="AE132" s="38">
        <f t="shared" ca="1" si="60"/>
        <v>0.18413219403286479</v>
      </c>
      <c r="AF132" s="238">
        <f ca="1">((Summary!$N$12*(AA132*AD132)*(A132-$D$3))+(Summary!$M$12*Z132*AC132*(AJ132-EOMONTH(EDATE(A132,-1),0))))/(AK132*AB132*AE132)</f>
        <v>0.99990441230891836</v>
      </c>
      <c r="AG132" s="88">
        <f>IF($A133="","",Summary!$Q$12)</f>
        <v>0</v>
      </c>
      <c r="AH132" s="88">
        <f>IF($A133="","",IF(Summary!$R$12="Y",(VLOOKUP($A132,Summary!$AD$6:$AF$9,3)+'Escalating commodity'!H145),'Escalating commodity'!H145))</f>
        <v>2.9000000000000001E-2</v>
      </c>
      <c r="AI132" s="88">
        <f t="shared" si="74"/>
        <v>2.9000000000000001E-2</v>
      </c>
      <c r="AJ132" s="236">
        <f t="shared" si="61"/>
        <v>40770.5</v>
      </c>
      <c r="AK132" s="58">
        <f t="shared" ca="1" si="62"/>
        <v>3730</v>
      </c>
      <c r="AL132" s="26">
        <f ca="1">IF($A133="","",_xll.SPRDOPT(P132,X132,AI132,0,AB132,AE132,AF132,AK132,$AJ$2,0))</f>
        <v>3.423248423945785E-3</v>
      </c>
      <c r="AM132" s="89">
        <f t="shared" si="63"/>
        <v>0</v>
      </c>
      <c r="AN132" s="89">
        <f t="shared" ca="1" si="64"/>
        <v>3.423248423945785E-3</v>
      </c>
      <c r="AO132" s="3">
        <f t="shared" si="65"/>
        <v>31</v>
      </c>
      <c r="AP132" s="33">
        <f t="shared" si="66"/>
        <v>40756</v>
      </c>
      <c r="AQ132" s="58">
        <f t="shared" ca="1" si="67"/>
        <v>3730</v>
      </c>
      <c r="AR132" s="38">
        <f>'ANR OK vs ML7'!AR132</f>
        <v>0.1</v>
      </c>
      <c r="AS132" s="35">
        <f t="shared" ca="1" si="68"/>
        <v>0.36916624322871877</v>
      </c>
      <c r="AT132" s="3">
        <f t="shared" si="69"/>
        <v>1</v>
      </c>
      <c r="AU132" s="3">
        <f t="shared" si="70"/>
        <v>31</v>
      </c>
      <c r="AW132" s="32">
        <f t="shared" ca="1" si="71"/>
        <v>3875.7402471197865</v>
      </c>
      <c r="AX132" s="32">
        <f t="shared" si="71"/>
        <v>0</v>
      </c>
      <c r="AY132" s="32">
        <f t="shared" ca="1" si="72"/>
        <v>3875.7402471197865</v>
      </c>
      <c r="BA132" s="32">
        <f ca="1">IF($A133="","",F132*Summary!$Q$12)</f>
        <v>0</v>
      </c>
      <c r="BC132" s="256">
        <f t="shared" ca="1" si="75"/>
        <v>0</v>
      </c>
    </row>
    <row r="133" spans="1:55">
      <c r="A133" s="67">
        <f t="shared" si="73"/>
        <v>40787</v>
      </c>
      <c r="B133" s="69">
        <f t="shared" si="76"/>
        <v>36522</v>
      </c>
      <c r="C133" s="71"/>
      <c r="D133" s="69">
        <f t="shared" si="39"/>
        <v>36522</v>
      </c>
      <c r="E133" s="70">
        <f t="shared" si="40"/>
        <v>1095660</v>
      </c>
      <c r="F133" s="70">
        <f t="shared" ca="1" si="41"/>
        <v>401144.62210650201</v>
      </c>
      <c r="G133" s="63">
        <f t="shared" si="42"/>
        <v>4.4450000000000003</v>
      </c>
      <c r="H133" s="64">
        <f t="shared" si="43"/>
        <v>4.4450000000000003</v>
      </c>
      <c r="I133" s="43"/>
      <c r="J133" s="63">
        <f t="shared" si="44"/>
        <v>0.18</v>
      </c>
      <c r="K133" s="64">
        <f t="shared" si="45"/>
        <v>0.18</v>
      </c>
      <c r="L133" s="63">
        <f t="shared" si="46"/>
        <v>0</v>
      </c>
      <c r="M133" s="64">
        <f t="shared" si="47"/>
        <v>0</v>
      </c>
      <c r="N133" s="65"/>
      <c r="O133" s="63">
        <f t="shared" si="48"/>
        <v>4.625</v>
      </c>
      <c r="P133" s="63">
        <f t="shared" si="49"/>
        <v>4.625</v>
      </c>
      <c r="Q133" s="66"/>
      <c r="R133" s="63">
        <f t="shared" si="50"/>
        <v>0.18</v>
      </c>
      <c r="S133" s="64">
        <f t="shared" si="51"/>
        <v>0.18</v>
      </c>
      <c r="T133" s="63">
        <f t="shared" si="52"/>
        <v>0</v>
      </c>
      <c r="U133" s="64">
        <f t="shared" si="53"/>
        <v>0</v>
      </c>
      <c r="V133" s="90">
        <f>IF($A134="","",IF(AND(MONTH(A133)&gt;3,MONTH(A133)&lt;11),(T133+R133+G133)*(((1/(1-Summary!$T$12))/(1-Summary!$W$12))-1),(T133+R133+G133)*((1/(1-Summary!$U$12))/(1-Summary!$X$12)-1)))</f>
        <v>0</v>
      </c>
      <c r="W133" s="63">
        <f t="shared" si="54"/>
        <v>4.625</v>
      </c>
      <c r="X133" s="63">
        <f t="shared" si="55"/>
        <v>4.625</v>
      </c>
      <c r="Y133" s="43"/>
      <c r="Z133" s="38">
        <f t="shared" si="56"/>
        <v>0.6</v>
      </c>
      <c r="AA133" s="38">
        <f t="shared" si="57"/>
        <v>0.18</v>
      </c>
      <c r="AB133" s="38">
        <f t="shared" ca="1" si="58"/>
        <v>0.18396848394300067</v>
      </c>
      <c r="AC133" s="38">
        <f t="shared" si="59"/>
        <v>0.6</v>
      </c>
      <c r="AD133" s="38">
        <f t="shared" si="59"/>
        <v>0.18</v>
      </c>
      <c r="AE133" s="38">
        <f t="shared" ca="1" si="60"/>
        <v>0.18396848394300067</v>
      </c>
      <c r="AF133" s="238">
        <f ca="1">((Summary!$N$12*(AA133*AD133)*(A133-$D$3))+(Summary!$M$12*Z133*AC133*(AJ133-EOMONTH(EDATE(A133,-1),0))))/(AK133*AB133*AE133)</f>
        <v>0.99990424232139818</v>
      </c>
      <c r="AG133" s="88">
        <f>IF($A134="","",Summary!$Q$12)</f>
        <v>0</v>
      </c>
      <c r="AH133" s="88">
        <f>IF($A134="","",IF(Summary!$R$12="Y",(VLOOKUP($A133,Summary!$AD$6:$AF$9,3)+'Escalating commodity'!H146),'Escalating commodity'!H146))</f>
        <v>2.9000000000000001E-2</v>
      </c>
      <c r="AI133" s="88">
        <f t="shared" si="74"/>
        <v>2.9000000000000001E-2</v>
      </c>
      <c r="AJ133" s="236">
        <f t="shared" si="61"/>
        <v>40801</v>
      </c>
      <c r="AK133" s="58">
        <f t="shared" ca="1" si="62"/>
        <v>3761</v>
      </c>
      <c r="AL133" s="26">
        <f ca="1">IF($A134="","",_xll.SPRDOPT(P133,X133,AI133,0,AB133,AE133,AF133,AK133,$AJ$2,0))</f>
        <v>3.4578129199573371E-3</v>
      </c>
      <c r="AM133" s="89">
        <f t="shared" si="63"/>
        <v>0</v>
      </c>
      <c r="AN133" s="89">
        <f t="shared" ca="1" si="64"/>
        <v>3.4578129199573371E-3</v>
      </c>
      <c r="AO133" s="3">
        <f t="shared" si="65"/>
        <v>30</v>
      </c>
      <c r="AP133" s="33">
        <f t="shared" si="66"/>
        <v>40787</v>
      </c>
      <c r="AQ133" s="58">
        <f t="shared" ca="1" si="67"/>
        <v>3761</v>
      </c>
      <c r="AR133" s="38">
        <f>'ANR OK vs ML7'!AR133</f>
        <v>0.1</v>
      </c>
      <c r="AS133" s="35">
        <f t="shared" ca="1" si="68"/>
        <v>0.3661214447059325</v>
      </c>
      <c r="AT133" s="3">
        <f t="shared" si="69"/>
        <v>1</v>
      </c>
      <c r="AU133" s="3">
        <f t="shared" si="70"/>
        <v>30</v>
      </c>
      <c r="AW133" s="32">
        <f t="shared" ca="1" si="71"/>
        <v>3788.5873038804561</v>
      </c>
      <c r="AX133" s="32">
        <f t="shared" si="71"/>
        <v>0</v>
      </c>
      <c r="AY133" s="32">
        <f t="shared" ca="1" si="72"/>
        <v>3788.5873038804561</v>
      </c>
      <c r="BA133" s="32">
        <f ca="1">IF($A134="","",F133*Summary!$Q$12)</f>
        <v>0</v>
      </c>
      <c r="BC133" s="256">
        <f t="shared" ca="1" si="75"/>
        <v>0</v>
      </c>
    </row>
    <row r="134" spans="1:55">
      <c r="A134" s="67">
        <f t="shared" si="73"/>
        <v>40817</v>
      </c>
      <c r="B134" s="69">
        <f t="shared" si="76"/>
        <v>36522</v>
      </c>
      <c r="C134" s="71"/>
      <c r="D134" s="69">
        <f t="shared" si="39"/>
        <v>36522</v>
      </c>
      <c r="E134" s="70">
        <f t="shared" si="40"/>
        <v>1132182</v>
      </c>
      <c r="F134" s="70">
        <f t="shared" ca="1" si="41"/>
        <v>411207.11926524033</v>
      </c>
      <c r="G134" s="63">
        <f t="shared" si="42"/>
        <v>4.476</v>
      </c>
      <c r="H134" s="64">
        <f t="shared" si="43"/>
        <v>4.476</v>
      </c>
      <c r="I134" s="43"/>
      <c r="J134" s="63">
        <f t="shared" si="44"/>
        <v>0.18</v>
      </c>
      <c r="K134" s="64">
        <f t="shared" si="45"/>
        <v>0.18</v>
      </c>
      <c r="L134" s="63">
        <f t="shared" si="46"/>
        <v>0</v>
      </c>
      <c r="M134" s="64">
        <f t="shared" si="47"/>
        <v>0</v>
      </c>
      <c r="N134" s="65"/>
      <c r="O134" s="63">
        <f t="shared" si="48"/>
        <v>4.6559999999999997</v>
      </c>
      <c r="P134" s="63">
        <f t="shared" si="49"/>
        <v>4.6559999999999997</v>
      </c>
      <c r="Q134" s="66"/>
      <c r="R134" s="63">
        <f t="shared" si="50"/>
        <v>0.18</v>
      </c>
      <c r="S134" s="64">
        <f t="shared" si="51"/>
        <v>0.18</v>
      </c>
      <c r="T134" s="63">
        <f t="shared" si="52"/>
        <v>0</v>
      </c>
      <c r="U134" s="64">
        <f t="shared" si="53"/>
        <v>0</v>
      </c>
      <c r="V134" s="90">
        <f>IF($A135="","",IF(AND(MONTH(A134)&gt;3,MONTH(A134)&lt;11),(T134+R134+G134)*(((1/(1-Summary!$T$12))/(1-Summary!$W$12))-1),(T134+R134+G134)*((1/(1-Summary!$U$12))/(1-Summary!$X$12)-1)))</f>
        <v>0</v>
      </c>
      <c r="W134" s="63">
        <f t="shared" si="54"/>
        <v>4.6559999999999997</v>
      </c>
      <c r="X134" s="63">
        <f t="shared" si="55"/>
        <v>4.6559999999999997</v>
      </c>
      <c r="Y134" s="43"/>
      <c r="Z134" s="38">
        <f t="shared" si="56"/>
        <v>0.65</v>
      </c>
      <c r="AA134" s="38">
        <f t="shared" si="57"/>
        <v>0.18</v>
      </c>
      <c r="AB134" s="38">
        <f t="shared" ca="1" si="58"/>
        <v>0.18475928431786934</v>
      </c>
      <c r="AC134" s="38">
        <f t="shared" si="59"/>
        <v>0.65</v>
      </c>
      <c r="AD134" s="38">
        <f t="shared" si="59"/>
        <v>0.18</v>
      </c>
      <c r="AE134" s="38">
        <f t="shared" ca="1" si="60"/>
        <v>0.18475928431786934</v>
      </c>
      <c r="AF134" s="238">
        <f ca="1">((Summary!$N$12*(AA134*AD134)*(A134-$D$3))+(Summary!$M$12*Z134*AC134*(AJ134-EOMONTH(EDATE(A134,-1),0))))/(AK134*AB134*AE134)</f>
        <v>0.99990506048433059</v>
      </c>
      <c r="AG134" s="88">
        <f>IF($A135="","",Summary!$Q$12)</f>
        <v>0</v>
      </c>
      <c r="AH134" s="88">
        <f>IF($A135="","",IF(Summary!$R$12="Y",(VLOOKUP($A134,Summary!$AD$6:$AF$9,3)+'Escalating commodity'!H147),'Escalating commodity'!H147))</f>
        <v>2.9000000000000001E-2</v>
      </c>
      <c r="AI134" s="88">
        <f t="shared" si="74"/>
        <v>2.9000000000000001E-2</v>
      </c>
      <c r="AJ134" s="236">
        <f t="shared" si="61"/>
        <v>40831.5</v>
      </c>
      <c r="AK134" s="58">
        <f t="shared" ca="1" si="62"/>
        <v>3791</v>
      </c>
      <c r="AL134" s="26">
        <f ca="1">IF($A135="","",_xll.SPRDOPT(P134,X134,AI134,0,AB134,AE134,AF134,AK134,$AJ$2,0))</f>
        <v>3.4962571211938284E-3</v>
      </c>
      <c r="AM134" s="89">
        <f t="shared" si="63"/>
        <v>0</v>
      </c>
      <c r="AN134" s="89">
        <f t="shared" ca="1" si="64"/>
        <v>3.4962571211938284E-3</v>
      </c>
      <c r="AO134" s="3">
        <f t="shared" si="65"/>
        <v>31</v>
      </c>
      <c r="AP134" s="33">
        <f t="shared" si="66"/>
        <v>40817</v>
      </c>
      <c r="AQ134" s="58">
        <f t="shared" ca="1" si="67"/>
        <v>3791</v>
      </c>
      <c r="AR134" s="38">
        <f>'ANR OK vs ML7'!AR134</f>
        <v>0.1</v>
      </c>
      <c r="AS134" s="35">
        <f t="shared" ca="1" si="68"/>
        <v>0.36319877834591996</v>
      </c>
      <c r="AT134" s="3">
        <f t="shared" si="69"/>
        <v>1</v>
      </c>
      <c r="AU134" s="3">
        <f t="shared" si="70"/>
        <v>31</v>
      </c>
      <c r="AW134" s="32">
        <f t="shared" ca="1" si="71"/>
        <v>3958.3993799874711</v>
      </c>
      <c r="AX134" s="32">
        <f t="shared" si="71"/>
        <v>0</v>
      </c>
      <c r="AY134" s="32">
        <f t="shared" ca="1" si="72"/>
        <v>3958.3993799874711</v>
      </c>
      <c r="BA134" s="32">
        <f ca="1">IF($A135="","",F134*Summary!$Q$12)</f>
        <v>0</v>
      </c>
      <c r="BC134" s="256">
        <f t="shared" ca="1" si="75"/>
        <v>0</v>
      </c>
    </row>
    <row r="135" spans="1:55">
      <c r="A135" s="67">
        <f t="shared" si="73"/>
        <v>40848</v>
      </c>
      <c r="B135" s="69">
        <f t="shared" si="76"/>
        <v>36522</v>
      </c>
      <c r="C135" s="71"/>
      <c r="D135" s="69">
        <f t="shared" si="39"/>
        <v>36522</v>
      </c>
      <c r="E135" s="70">
        <f t="shared" si="40"/>
        <v>1095660</v>
      </c>
      <c r="F135" s="70">
        <f t="shared" ca="1" si="41"/>
        <v>394660.23603585828</v>
      </c>
      <c r="G135" s="63">
        <f t="shared" si="42"/>
        <v>4.609</v>
      </c>
      <c r="H135" s="64">
        <f t="shared" si="43"/>
        <v>4.609</v>
      </c>
      <c r="I135" s="43"/>
      <c r="J135" s="63">
        <f t="shared" si="44"/>
        <v>0.27500000000000002</v>
      </c>
      <c r="K135" s="64">
        <f t="shared" si="45"/>
        <v>0.27500000000000002</v>
      </c>
      <c r="L135" s="63">
        <f t="shared" si="46"/>
        <v>0</v>
      </c>
      <c r="M135" s="64">
        <f t="shared" si="47"/>
        <v>0</v>
      </c>
      <c r="N135" s="65"/>
      <c r="O135" s="63">
        <f t="shared" si="48"/>
        <v>4.8840000000000003</v>
      </c>
      <c r="P135" s="63">
        <f t="shared" si="49"/>
        <v>4.8840000000000003</v>
      </c>
      <c r="Q135" s="66"/>
      <c r="R135" s="63">
        <f t="shared" si="50"/>
        <v>0.27500000000000002</v>
      </c>
      <c r="S135" s="64">
        <f t="shared" si="51"/>
        <v>0.27500000000000002</v>
      </c>
      <c r="T135" s="63">
        <f t="shared" si="52"/>
        <v>0</v>
      </c>
      <c r="U135" s="64">
        <f t="shared" si="53"/>
        <v>0</v>
      </c>
      <c r="V135" s="90">
        <f>IF($A136="","",IF(AND(MONTH(A135)&gt;3,MONTH(A135)&lt;11),(T135+R135+G135)*(((1/(1-Summary!$T$12))/(1-Summary!$W$12))-1),(T135+R135+G135)*((1/(1-Summary!$U$12))/(1-Summary!$X$12)-1)))</f>
        <v>0</v>
      </c>
      <c r="W135" s="63">
        <f t="shared" si="54"/>
        <v>4.8840000000000003</v>
      </c>
      <c r="X135" s="63">
        <f t="shared" si="55"/>
        <v>4.8840000000000003</v>
      </c>
      <c r="Y135" s="43"/>
      <c r="Z135" s="38">
        <f t="shared" si="56"/>
        <v>0.8</v>
      </c>
      <c r="AA135" s="38">
        <f t="shared" si="57"/>
        <v>0.18</v>
      </c>
      <c r="AB135" s="38">
        <f t="shared" ca="1" si="58"/>
        <v>0.18686961009590092</v>
      </c>
      <c r="AC135" s="38">
        <f t="shared" si="59"/>
        <v>0.8</v>
      </c>
      <c r="AD135" s="38">
        <f t="shared" si="59"/>
        <v>0.18</v>
      </c>
      <c r="AE135" s="38">
        <f t="shared" ca="1" si="60"/>
        <v>0.18686961009590092</v>
      </c>
      <c r="AF135" s="238">
        <f ca="1">((Summary!$N$12*(AA135*AD135)*(A135-$D$3))+(Summary!$M$12*Z135*AC135*(AJ135-EOMONTH(EDATE(A135,-1),0))))/(AK135*AB135*AE135)</f>
        <v>0.99990719288623542</v>
      </c>
      <c r="AG135" s="88">
        <f>IF($A136="","",Summary!$Q$12)</f>
        <v>0</v>
      </c>
      <c r="AH135" s="88">
        <f>IF($A136="","",IF(Summary!$R$12="Y",(VLOOKUP($A135,Summary!$AD$6:$AF$9,3)+'Escalating commodity'!H148),'Escalating commodity'!H148))</f>
        <v>2.9000000000000001E-2</v>
      </c>
      <c r="AI135" s="88">
        <f t="shared" si="74"/>
        <v>2.9000000000000001E-2</v>
      </c>
      <c r="AJ135" s="236">
        <f t="shared" si="61"/>
        <v>40862</v>
      </c>
      <c r="AK135" s="58">
        <f t="shared" ca="1" si="62"/>
        <v>3822</v>
      </c>
      <c r="AL135" s="26">
        <f ca="1">IF($A136="","",_xll.SPRDOPT(P135,X135,AI135,0,AB135,AE135,AF135,AK135,$AJ$2,0))</f>
        <v>3.7086704041510085E-3</v>
      </c>
      <c r="AM135" s="89">
        <f t="shared" si="63"/>
        <v>0</v>
      </c>
      <c r="AN135" s="89">
        <f t="shared" ca="1" si="64"/>
        <v>3.7086704041510085E-3</v>
      </c>
      <c r="AO135" s="3">
        <f t="shared" si="65"/>
        <v>30</v>
      </c>
      <c r="AP135" s="33">
        <f t="shared" si="66"/>
        <v>40848</v>
      </c>
      <c r="AQ135" s="58">
        <f t="shared" ca="1" si="67"/>
        <v>3822</v>
      </c>
      <c r="AR135" s="38">
        <f>'ANR OK vs ML7'!AR135</f>
        <v>0.1</v>
      </c>
      <c r="AS135" s="35">
        <f t="shared" ca="1" si="68"/>
        <v>0.3602031981051223</v>
      </c>
      <c r="AT135" s="3">
        <f t="shared" si="69"/>
        <v>1</v>
      </c>
      <c r="AU135" s="3">
        <f t="shared" si="70"/>
        <v>30</v>
      </c>
      <c r="AW135" s="32">
        <f t="shared" ca="1" si="71"/>
        <v>4063.4418150120941</v>
      </c>
      <c r="AX135" s="32">
        <f t="shared" si="71"/>
        <v>0</v>
      </c>
      <c r="AY135" s="32">
        <f t="shared" ca="1" si="72"/>
        <v>4063.4418150120941</v>
      </c>
      <c r="BA135" s="32">
        <f ca="1">IF($A136="","",F135*Summary!$Q$12)</f>
        <v>0</v>
      </c>
      <c r="BC135" s="256">
        <f t="shared" ca="1" si="75"/>
        <v>0</v>
      </c>
    </row>
    <row r="136" spans="1:55">
      <c r="A136" s="67">
        <f t="shared" si="73"/>
        <v>40878</v>
      </c>
      <c r="B136" s="69">
        <f t="shared" si="76"/>
        <v>36522</v>
      </c>
      <c r="C136" s="71"/>
      <c r="D136" s="69">
        <f t="shared" si="39"/>
        <v>36522</v>
      </c>
      <c r="E136" s="70">
        <f t="shared" si="40"/>
        <v>1132182</v>
      </c>
      <c r="F136" s="70">
        <f t="shared" ca="1" si="41"/>
        <v>404560.075856529</v>
      </c>
      <c r="G136" s="63">
        <f t="shared" si="42"/>
        <v>4.7469999999999999</v>
      </c>
      <c r="H136" s="64">
        <f t="shared" si="43"/>
        <v>4.7469999999999999</v>
      </c>
      <c r="I136" s="43"/>
      <c r="J136" s="63">
        <f t="shared" si="44"/>
        <v>0.27500000000000002</v>
      </c>
      <c r="K136" s="64">
        <f t="shared" si="45"/>
        <v>0.27500000000000002</v>
      </c>
      <c r="L136" s="63">
        <f t="shared" si="46"/>
        <v>0</v>
      </c>
      <c r="M136" s="64">
        <f t="shared" si="47"/>
        <v>0</v>
      </c>
      <c r="N136" s="65"/>
      <c r="O136" s="63">
        <f t="shared" si="48"/>
        <v>5.0220000000000002</v>
      </c>
      <c r="P136" s="63">
        <f t="shared" si="49"/>
        <v>5.0220000000000002</v>
      </c>
      <c r="Q136" s="66"/>
      <c r="R136" s="63">
        <f t="shared" si="50"/>
        <v>0.27500000000000002</v>
      </c>
      <c r="S136" s="64">
        <f t="shared" si="51"/>
        <v>0.27500000000000002</v>
      </c>
      <c r="T136" s="63">
        <f t="shared" si="52"/>
        <v>0</v>
      </c>
      <c r="U136" s="64">
        <f t="shared" si="53"/>
        <v>0</v>
      </c>
      <c r="V136" s="90">
        <f>IF($A137="","",IF(AND(MONTH(A136)&gt;3,MONTH(A136)&lt;11),(T136+R136+G136)*(((1/(1-Summary!$T$12))/(1-Summary!$W$12))-1),(T136+R136+G136)*((1/(1-Summary!$U$12))/(1-Summary!$X$12)-1)))</f>
        <v>0</v>
      </c>
      <c r="W136" s="63">
        <f t="shared" si="54"/>
        <v>5.0220000000000002</v>
      </c>
      <c r="X136" s="63">
        <f t="shared" si="55"/>
        <v>5.0220000000000002</v>
      </c>
      <c r="Y136" s="43"/>
      <c r="Z136" s="38">
        <f t="shared" si="56"/>
        <v>1.1000000000000001</v>
      </c>
      <c r="AA136" s="38">
        <f t="shared" si="57"/>
        <v>0.18</v>
      </c>
      <c r="AB136" s="38">
        <f t="shared" ca="1" si="58"/>
        <v>0.19307332930277593</v>
      </c>
      <c r="AC136" s="38">
        <f t="shared" si="59"/>
        <v>1.1000000000000001</v>
      </c>
      <c r="AD136" s="38">
        <f t="shared" si="59"/>
        <v>0.18</v>
      </c>
      <c r="AE136" s="38">
        <f t="shared" ca="1" si="60"/>
        <v>0.19307332930277593</v>
      </c>
      <c r="AF136" s="238">
        <f ca="1">((Summary!$N$12*(AA136*AD136)*(A136-$D$3))+(Summary!$M$12*Z136*AC136*(AJ136-EOMONTH(EDATE(A136,-1),0))))/(AK136*AB136*AE136)</f>
        <v>0.99991306129441548</v>
      </c>
      <c r="AG136" s="88">
        <f>IF($A137="","",Summary!$Q$12)</f>
        <v>0</v>
      </c>
      <c r="AH136" s="88">
        <f>IF($A137="","",IF(Summary!$R$12="Y",(VLOOKUP($A136,Summary!$AD$6:$AF$9,3)+'Escalating commodity'!H149),'Escalating commodity'!H149))</f>
        <v>2.9000000000000001E-2</v>
      </c>
      <c r="AI136" s="88">
        <f t="shared" si="74"/>
        <v>2.9000000000000001E-2</v>
      </c>
      <c r="AJ136" s="236">
        <f t="shared" si="61"/>
        <v>40892.5</v>
      </c>
      <c r="AK136" s="58">
        <f t="shared" ca="1" si="62"/>
        <v>3852</v>
      </c>
      <c r="AL136" s="26">
        <f ca="1">IF($A137="","",_xll.SPRDOPT(P136,X136,AI136,0,AB136,AE136,AF136,AK136,$AJ$2,0))</f>
        <v>3.7732988692137787E-3</v>
      </c>
      <c r="AM136" s="89">
        <f t="shared" si="63"/>
        <v>0</v>
      </c>
      <c r="AN136" s="89">
        <f t="shared" ca="1" si="64"/>
        <v>3.7732988692137787E-3</v>
      </c>
      <c r="AO136" s="3">
        <f t="shared" si="65"/>
        <v>31</v>
      </c>
      <c r="AP136" s="33">
        <f t="shared" si="66"/>
        <v>40878</v>
      </c>
      <c r="AQ136" s="58">
        <f t="shared" ca="1" si="67"/>
        <v>3852</v>
      </c>
      <c r="AR136" s="38">
        <f>'ANR OK vs ML7'!AR136</f>
        <v>0.1</v>
      </c>
      <c r="AS136" s="35">
        <f t="shared" ca="1" si="68"/>
        <v>0.35732777579623154</v>
      </c>
      <c r="AT136" s="3">
        <f t="shared" si="69"/>
        <v>1</v>
      </c>
      <c r="AU136" s="3">
        <f t="shared" si="70"/>
        <v>31</v>
      </c>
      <c r="AW136" s="32">
        <f t="shared" ca="1" si="71"/>
        <v>4272.0610603441946</v>
      </c>
      <c r="AX136" s="32">
        <f t="shared" si="71"/>
        <v>0</v>
      </c>
      <c r="AY136" s="32">
        <f t="shared" ca="1" si="72"/>
        <v>4272.0610603441946</v>
      </c>
      <c r="BA136" s="32">
        <f ca="1">IF($A137="","",F136*Summary!$Q$12)</f>
        <v>0</v>
      </c>
      <c r="BC136" s="256">
        <f t="shared" ca="1" si="75"/>
        <v>0</v>
      </c>
    </row>
    <row r="137" spans="1:55">
      <c r="A137" s="67">
        <f t="shared" si="73"/>
        <v>40909</v>
      </c>
      <c r="B137" s="69">
        <f t="shared" si="76"/>
        <v>36522</v>
      </c>
      <c r="C137" s="71"/>
      <c r="D137" s="69">
        <f t="shared" si="39"/>
        <v>36522</v>
      </c>
      <c r="E137" s="70">
        <f t="shared" si="40"/>
        <v>1132182</v>
      </c>
      <c r="F137" s="70">
        <f t="shared" ca="1" si="41"/>
        <v>401223.35711818247</v>
      </c>
      <c r="G137" s="63">
        <f t="shared" si="42"/>
        <v>4.7890000000000006</v>
      </c>
      <c r="H137" s="64">
        <f t="shared" si="43"/>
        <v>4.7890000000000006</v>
      </c>
      <c r="I137" s="43"/>
      <c r="J137" s="63">
        <f t="shared" si="44"/>
        <v>0.27500000000000002</v>
      </c>
      <c r="K137" s="64">
        <f t="shared" si="45"/>
        <v>0.27500000000000002</v>
      </c>
      <c r="L137" s="63">
        <f t="shared" si="46"/>
        <v>0</v>
      </c>
      <c r="M137" s="64">
        <f t="shared" si="47"/>
        <v>0</v>
      </c>
      <c r="N137" s="65"/>
      <c r="O137" s="63">
        <f t="shared" si="48"/>
        <v>5.0640000000000009</v>
      </c>
      <c r="P137" s="63">
        <f t="shared" si="49"/>
        <v>5.0640000000000009</v>
      </c>
      <c r="Q137" s="66"/>
      <c r="R137" s="63">
        <f t="shared" si="50"/>
        <v>0.27500000000000002</v>
      </c>
      <c r="S137" s="64">
        <f t="shared" si="51"/>
        <v>0.27500000000000002</v>
      </c>
      <c r="T137" s="63">
        <f t="shared" si="52"/>
        <v>0</v>
      </c>
      <c r="U137" s="64">
        <f t="shared" si="53"/>
        <v>0</v>
      </c>
      <c r="V137" s="90">
        <f>IF($A138="","",IF(AND(MONTH(A137)&gt;3,MONTH(A137)&lt;11),(T137+R137+G137)*(((1/(1-Summary!$T$12))/(1-Summary!$W$12))-1),(T137+R137+G137)*((1/(1-Summary!$U$12))/(1-Summary!$X$12)-1)))</f>
        <v>0</v>
      </c>
      <c r="W137" s="63">
        <f t="shared" si="54"/>
        <v>5.0640000000000009</v>
      </c>
      <c r="X137" s="63">
        <f t="shared" si="55"/>
        <v>5.0640000000000009</v>
      </c>
      <c r="Y137" s="43"/>
      <c r="Z137" s="38">
        <f t="shared" si="56"/>
        <v>1.1000000000000001</v>
      </c>
      <c r="AA137" s="38">
        <f t="shared" si="57"/>
        <v>0.18</v>
      </c>
      <c r="AB137" s="38">
        <f t="shared" ca="1" si="58"/>
        <v>0.19297246537389742</v>
      </c>
      <c r="AC137" s="38">
        <f t="shared" si="59"/>
        <v>1.1000000000000001</v>
      </c>
      <c r="AD137" s="38">
        <f t="shared" si="59"/>
        <v>0.18</v>
      </c>
      <c r="AE137" s="38">
        <f t="shared" ca="1" si="60"/>
        <v>0.19297246537389742</v>
      </c>
      <c r="AF137" s="238">
        <f ca="1">((Summary!$N$12*(AA137*AD137)*(A137-$D$3))+(Summary!$M$12*Z137*AC137*(AJ137-EOMONTH(EDATE(A137,-1),0))))/(AK137*AB137*AE137)</f>
        <v>0.99991297056777262</v>
      </c>
      <c r="AG137" s="88">
        <f>IF($A138="","",Summary!$Q$12)</f>
        <v>0</v>
      </c>
      <c r="AH137" s="88">
        <f>IF($A138="","",IF(Summary!$R$12="Y",(VLOOKUP($A137,Summary!$AD$6:$AF$9,3)+'Escalating commodity'!H150),'Escalating commodity'!H150))</f>
        <v>2.9000000000000001E-2</v>
      </c>
      <c r="AI137" s="88">
        <f t="shared" si="74"/>
        <v>2.9000000000000001E-2</v>
      </c>
      <c r="AJ137" s="236">
        <f t="shared" si="61"/>
        <v>40923.5</v>
      </c>
      <c r="AK137" s="58">
        <f t="shared" ca="1" si="62"/>
        <v>3883</v>
      </c>
      <c r="AL137" s="26">
        <f ca="1">IF($A138="","",_xll.SPRDOPT(P137,X137,AI137,0,AB137,AE137,AF137,AK137,$AJ$2,0))</f>
        <v>3.8340141574979558E-3</v>
      </c>
      <c r="AM137" s="89">
        <f t="shared" si="63"/>
        <v>0</v>
      </c>
      <c r="AN137" s="89">
        <f t="shared" ca="1" si="64"/>
        <v>3.8340141574979558E-3</v>
      </c>
      <c r="AO137" s="3">
        <f t="shared" si="65"/>
        <v>31</v>
      </c>
      <c r="AP137" s="33">
        <f t="shared" si="66"/>
        <v>40909</v>
      </c>
      <c r="AQ137" s="58">
        <f t="shared" ca="1" si="67"/>
        <v>3883</v>
      </c>
      <c r="AR137" s="38">
        <f>'ANR OK vs ML7'!AR137</f>
        <v>0.1</v>
      </c>
      <c r="AS137" s="35">
        <f t="shared" ca="1" si="68"/>
        <v>0.35438061823821831</v>
      </c>
      <c r="AT137" s="3">
        <f t="shared" si="69"/>
        <v>1</v>
      </c>
      <c r="AU137" s="3">
        <f t="shared" si="70"/>
        <v>31</v>
      </c>
      <c r="AW137" s="32">
        <f t="shared" ca="1" si="71"/>
        <v>4340.8018168643503</v>
      </c>
      <c r="AX137" s="32">
        <f t="shared" si="71"/>
        <v>0</v>
      </c>
      <c r="AY137" s="32">
        <f t="shared" ca="1" si="72"/>
        <v>4340.8018168643503</v>
      </c>
      <c r="BA137" s="32">
        <f ca="1">IF($A138="","",F137*Summary!$Q$12)</f>
        <v>0</v>
      </c>
      <c r="BC137" s="256">
        <f t="shared" ca="1" si="75"/>
        <v>0</v>
      </c>
    </row>
    <row r="138" spans="1:55">
      <c r="A138" s="67">
        <f t="shared" si="73"/>
        <v>40940</v>
      </c>
      <c r="B138" s="69">
        <f t="shared" si="76"/>
        <v>36522</v>
      </c>
      <c r="C138" s="71"/>
      <c r="D138" s="69">
        <f t="shared" ref="D138:D201" si="77">IF(A139&lt;&gt;"",B138+C138,"")</f>
        <v>36522</v>
      </c>
      <c r="E138" s="70">
        <f t="shared" ref="E138:E201" si="78">IF(A139="","",IF(AND(AT138=1,$H$3=1),D138*AO138,IF($H$3=2,D138,"N/A")))</f>
        <v>1059138</v>
      </c>
      <c r="F138" s="70">
        <f t="shared" ref="F138:F201" ca="1" si="79">IF(A139="","",E138*AS138)</f>
        <v>372242.27765339101</v>
      </c>
      <c r="G138" s="63">
        <f t="shared" ref="G138:G201" si="80">IF($A139="","",VLOOKUP($A138,Table,MATCH(G$4,Curves,0)))</f>
        <v>4.6690000000000005</v>
      </c>
      <c r="H138" s="64">
        <f t="shared" ref="H138:H201" si="81">IF(A139="","",G138)</f>
        <v>4.6690000000000005</v>
      </c>
      <c r="I138" s="43"/>
      <c r="J138" s="63">
        <f t="shared" ref="J138:J201" si="82">IF($A139="","",VLOOKUP($A138,Table,MATCH(J$4,Curves,0)))</f>
        <v>0.27500000000000002</v>
      </c>
      <c r="K138" s="64">
        <f t="shared" ref="K138:K201" si="83">IF(A139="","",J138)</f>
        <v>0.27500000000000002</v>
      </c>
      <c r="L138" s="63">
        <f t="shared" ref="L138:L201" si="84">IF($A139="","",VLOOKUP($A138,Table,MATCH(L$4,Curves,0)))</f>
        <v>0</v>
      </c>
      <c r="M138" s="64">
        <f t="shared" ref="M138:M201" si="85">IF(A139="","",L138)</f>
        <v>0</v>
      </c>
      <c r="N138" s="65"/>
      <c r="O138" s="63">
        <f t="shared" ref="O138:O201" si="86">IF(A139="","",L138+J138+G138)</f>
        <v>4.9440000000000008</v>
      </c>
      <c r="P138" s="63">
        <f t="shared" ref="P138:P201" si="87">IF(A139="","",M138+K138+H138)</f>
        <v>4.9440000000000008</v>
      </c>
      <c r="Q138" s="66"/>
      <c r="R138" s="63">
        <f t="shared" ref="R138:R201" si="88">IF($A139="","",VLOOKUP($A138,Table,MATCH(R$4,Curves,0)))</f>
        <v>0.27500000000000002</v>
      </c>
      <c r="S138" s="64">
        <f t="shared" ref="S138:S201" si="89">IF(A139="","",R138)</f>
        <v>0.27500000000000002</v>
      </c>
      <c r="T138" s="63">
        <f t="shared" ref="T138:T201" si="90">IF($A139="","",VLOOKUP($A138,Table,MATCH(T$4,Curves,0)))</f>
        <v>0</v>
      </c>
      <c r="U138" s="64">
        <f t="shared" ref="U138:U201" si="91">IF(A139="","",T138)</f>
        <v>0</v>
      </c>
      <c r="V138" s="90">
        <f>IF($A139="","",IF(AND(MONTH(A138)&gt;3,MONTH(A138)&lt;11),(T138+R138+G138)*(((1/(1-Summary!$T$12))/(1-Summary!$W$12))-1),(T138+R138+G138)*((1/(1-Summary!$U$12))/(1-Summary!$X$12)-1)))</f>
        <v>0</v>
      </c>
      <c r="W138" s="63">
        <f t="shared" ref="W138:W201" si="92">IF($A139="","",(T138+R138+G138+V138))</f>
        <v>4.9440000000000008</v>
      </c>
      <c r="X138" s="63">
        <f t="shared" ref="X138:X201" si="93">IF($A139="","",(U138+S138+H138+V138))</f>
        <v>4.9440000000000008</v>
      </c>
      <c r="Y138" s="43"/>
      <c r="Z138" s="38">
        <f t="shared" ref="Z138:Z201" si="94">IF($A139="","",VLOOKUP($A138,Table,MATCH(Z$4,Curves,0)))</f>
        <v>1.1000000000000001</v>
      </c>
      <c r="AA138" s="38">
        <f t="shared" ref="AA138:AA201" si="95">IF($A139="","",VLOOKUP($A138,Table,MATCH(AA$4,Curves,0)))</f>
        <v>0.17499999999999999</v>
      </c>
      <c r="AB138" s="38">
        <f t="shared" ref="AB138:AB201" ca="1" si="96">SQRT((AA138^2*(A138-$D$3)+Z138^2*(DAY(EOMONTH(A138,0))/2))/AK138)</f>
        <v>0.18739117093749233</v>
      </c>
      <c r="AC138" s="38">
        <f t="shared" ref="AC138:AD201" si="97">IF($A139="","",VLOOKUP($A138,Table,MATCH(AC$4,Curves,0)))</f>
        <v>1.1000000000000001</v>
      </c>
      <c r="AD138" s="38">
        <f t="shared" si="97"/>
        <v>0.17499999999999999</v>
      </c>
      <c r="AE138" s="38">
        <f t="shared" ref="AE138:AE201" ca="1" si="98">SQRT((AD138^2*(A138-$D$3)+AC138^2*(DAY(EOMONTH(A138,0))/2))/AK138)</f>
        <v>0.18739117093749233</v>
      </c>
      <c r="AF138" s="238">
        <f ca="1">((Summary!$N$12*(AA138*AD138)*(A138-$D$3))+(Summary!$M$12*Z138*AC138*(AJ138-EOMONTH(EDATE(A138,-1),0))))/(AK138*AB138*AE138)</f>
        <v>0.99991276539628138</v>
      </c>
      <c r="AG138" s="88">
        <f>IF($A139="","",Summary!$Q$12)</f>
        <v>0</v>
      </c>
      <c r="AH138" s="88">
        <f>IF($A139="","",IF(Summary!$R$12="Y",(VLOOKUP($A138,Summary!$AD$6:$AF$9,3)+'Escalating commodity'!H151),'Escalating commodity'!H151))</f>
        <v>2.9000000000000001E-2</v>
      </c>
      <c r="AI138" s="88">
        <f t="shared" si="74"/>
        <v>2.9000000000000001E-2</v>
      </c>
      <c r="AJ138" s="236">
        <f t="shared" ref="AJ138:AJ201" si="99">A138+DAY(EOMONTH(A138,0))/2-1</f>
        <v>40953.5</v>
      </c>
      <c r="AK138" s="58">
        <f t="shared" ref="AK138:AK201" ca="1" si="100">IF($A139="","",$A138-$E$1)</f>
        <v>3914</v>
      </c>
      <c r="AL138" s="26">
        <f ca="1">IF($A139="","",_xll.SPRDOPT(P138,X138,AI138,0,AB138,AE138,AF138,AK138,$AJ$2,0))</f>
        <v>3.6087440118148587E-3</v>
      </c>
      <c r="AM138" s="89">
        <f t="shared" ref="AM138:AM201" si="101">IF($A139="","",MAX(0,O138-W138-AI138))</f>
        <v>0</v>
      </c>
      <c r="AN138" s="89">
        <f t="shared" ref="AN138:AN201" ca="1" si="102">IF($A139="","",AL138-AM138)</f>
        <v>3.6087440118148587E-3</v>
      </c>
      <c r="AO138" s="3">
        <f t="shared" ref="AO138:AO201" si="103">IF(A139="","",A139-A138)</f>
        <v>29</v>
      </c>
      <c r="AP138" s="33">
        <f t="shared" ref="AP138:AP201" si="104">IF(A139="","",CHOOSE(F$3,A139+24,A138))</f>
        <v>40940</v>
      </c>
      <c r="AQ138" s="58">
        <f t="shared" ref="AQ138:AQ201" ca="1" si="105">IF(A139="","",AP138-$E$1)</f>
        <v>3914</v>
      </c>
      <c r="AR138" s="38">
        <f>'ANR OK vs ML7'!AR138</f>
        <v>0.1</v>
      </c>
      <c r="AS138" s="35">
        <f t="shared" ref="AS138:AS201" ca="1" si="106">IF(A139="","",1/(1+CHOOSE(F$3,(AR139+($I$3/10000))/2,(AR138+($I$3/10000))/2))^(2*AQ138/365.25))</f>
        <v>0.351457768159948</v>
      </c>
      <c r="AT138" s="3">
        <f t="shared" ref="AT138:AT201" si="107">IF(A139="","",IF(AND(mthbeg&lt;=A138,mthend&gt;=A138),1,0))</f>
        <v>1</v>
      </c>
      <c r="AU138" s="3">
        <f t="shared" ref="AU138:AU201" si="108">IF(A139="","",AO138*AT138)</f>
        <v>29</v>
      </c>
      <c r="AW138" s="32">
        <f t="shared" ref="AW138:AX201" ca="1" si="109">IF($A139="","",AL138*$E138)</f>
        <v>3822.1579151855658</v>
      </c>
      <c r="AX138" s="32">
        <f t="shared" si="109"/>
        <v>0</v>
      </c>
      <c r="AY138" s="32">
        <f t="shared" ref="AY138:AY201" ca="1" si="110">IF($A139="","",AN138*$E138)</f>
        <v>3822.1579151855658</v>
      </c>
      <c r="BA138" s="32">
        <f ca="1">IF($A139="","",F138*Summary!$Q$12)</f>
        <v>0</v>
      </c>
      <c r="BC138" s="256">
        <f t="shared" ca="1" si="75"/>
        <v>0</v>
      </c>
    </row>
    <row r="139" spans="1:55">
      <c r="A139" s="67">
        <f t="shared" ref="A139:A202" si="111">IF(A138&lt;mthend,EDATE(A138,1),"")</f>
        <v>40969</v>
      </c>
      <c r="B139" s="69">
        <f t="shared" si="76"/>
        <v>36522</v>
      </c>
      <c r="C139" s="71"/>
      <c r="D139" s="69">
        <f t="shared" si="77"/>
        <v>36522</v>
      </c>
      <c r="E139" s="70">
        <f t="shared" si="78"/>
        <v>1132182</v>
      </c>
      <c r="F139" s="70">
        <f t="shared" ca="1" si="79"/>
        <v>394843.17068037041</v>
      </c>
      <c r="G139" s="63">
        <f t="shared" si="80"/>
        <v>4.53</v>
      </c>
      <c r="H139" s="64">
        <f t="shared" si="81"/>
        <v>4.53</v>
      </c>
      <c r="I139" s="43"/>
      <c r="J139" s="63">
        <f t="shared" si="82"/>
        <v>0.27500000000000002</v>
      </c>
      <c r="K139" s="64">
        <f t="shared" si="83"/>
        <v>0.27500000000000002</v>
      </c>
      <c r="L139" s="63">
        <f t="shared" si="84"/>
        <v>0</v>
      </c>
      <c r="M139" s="64">
        <f t="shared" si="85"/>
        <v>0</v>
      </c>
      <c r="N139" s="65"/>
      <c r="O139" s="63">
        <f t="shared" si="86"/>
        <v>4.8050000000000006</v>
      </c>
      <c r="P139" s="63">
        <f t="shared" si="87"/>
        <v>4.8050000000000006</v>
      </c>
      <c r="Q139" s="66"/>
      <c r="R139" s="63">
        <f t="shared" si="88"/>
        <v>0.27500000000000002</v>
      </c>
      <c r="S139" s="64">
        <f t="shared" si="89"/>
        <v>0.27500000000000002</v>
      </c>
      <c r="T139" s="63">
        <f t="shared" si="90"/>
        <v>0</v>
      </c>
      <c r="U139" s="64">
        <f t="shared" si="91"/>
        <v>0</v>
      </c>
      <c r="V139" s="90">
        <f>IF($A140="","",IF(AND(MONTH(A139)&gt;3,MONTH(A139)&lt;11),(T139+R139+G139)*(((1/(1-Summary!$T$12))/(1-Summary!$W$12))-1),(T139+R139+G139)*((1/(1-Summary!$U$12))/(1-Summary!$X$12)-1)))</f>
        <v>0</v>
      </c>
      <c r="W139" s="63">
        <f t="shared" si="92"/>
        <v>4.8050000000000006</v>
      </c>
      <c r="X139" s="63">
        <f t="shared" si="93"/>
        <v>4.8050000000000006</v>
      </c>
      <c r="Y139" s="43"/>
      <c r="Z139" s="38">
        <f t="shared" si="94"/>
        <v>0.75</v>
      </c>
      <c r="AA139" s="38">
        <f t="shared" si="95"/>
        <v>0.17</v>
      </c>
      <c r="AB139" s="38">
        <f t="shared" ca="1" si="96"/>
        <v>0.17640444014441065</v>
      </c>
      <c r="AC139" s="38">
        <f t="shared" si="97"/>
        <v>0.75</v>
      </c>
      <c r="AD139" s="38">
        <f t="shared" si="97"/>
        <v>0.17</v>
      </c>
      <c r="AE139" s="38">
        <f t="shared" ca="1" si="98"/>
        <v>0.17640444014441065</v>
      </c>
      <c r="AF139" s="238">
        <f ca="1">((Summary!$N$12*(AA139*AD139)*(A139-$D$3))+(Summary!$M$12*Z139*AC139*(AJ139-EOMONTH(EDATE(A139,-1),0))))/(AK139*AB139*AE139)</f>
        <v>0.99990710572545216</v>
      </c>
      <c r="AG139" s="88">
        <f>IF($A140="","",Summary!$Q$12)</f>
        <v>0</v>
      </c>
      <c r="AH139" s="88">
        <f>IF($A140="","",IF(Summary!$R$12="Y",(VLOOKUP($A139,Summary!$AD$6:$AF$9,3)+'Escalating commodity'!H152),'Escalating commodity'!H152))</f>
        <v>2.9000000000000001E-2</v>
      </c>
      <c r="AI139" s="88">
        <f t="shared" ref="AI139:AI202" si="112">IF($A140="","",AH139)</f>
        <v>2.9000000000000001E-2</v>
      </c>
      <c r="AJ139" s="236">
        <f t="shared" si="99"/>
        <v>40983.5</v>
      </c>
      <c r="AK139" s="58">
        <f t="shared" ca="1" si="100"/>
        <v>3943</v>
      </c>
      <c r="AL139" s="26">
        <f ca="1">IF($A140="","",_xll.SPRDOPT(P139,X139,AI139,0,AB139,AE139,AF139,AK139,$AJ$2,0))</f>
        <v>3.4397621413014903E-3</v>
      </c>
      <c r="AM139" s="89">
        <f t="shared" si="101"/>
        <v>0</v>
      </c>
      <c r="AN139" s="89">
        <f t="shared" ca="1" si="102"/>
        <v>3.4397621413014903E-3</v>
      </c>
      <c r="AO139" s="3">
        <f t="shared" si="103"/>
        <v>31</v>
      </c>
      <c r="AP139" s="33">
        <f t="shared" si="104"/>
        <v>40969</v>
      </c>
      <c r="AQ139" s="58">
        <f t="shared" ca="1" si="105"/>
        <v>3943</v>
      </c>
      <c r="AR139" s="38">
        <f>'ANR OK vs ML7'!AR139</f>
        <v>0.1</v>
      </c>
      <c r="AS139" s="35">
        <f t="shared" ca="1" si="106"/>
        <v>0.34874531716664847</v>
      </c>
      <c r="AT139" s="3">
        <f t="shared" si="107"/>
        <v>1</v>
      </c>
      <c r="AU139" s="3">
        <f t="shared" si="108"/>
        <v>31</v>
      </c>
      <c r="AW139" s="32">
        <f t="shared" ca="1" si="109"/>
        <v>3894.4367806630039</v>
      </c>
      <c r="AX139" s="32">
        <f t="shared" si="109"/>
        <v>0</v>
      </c>
      <c r="AY139" s="32">
        <f t="shared" ca="1" si="110"/>
        <v>3894.4367806630039</v>
      </c>
      <c r="BA139" s="32">
        <f ca="1">IF($A140="","",F139*Summary!$Q$12)</f>
        <v>0</v>
      </c>
      <c r="BC139" s="256">
        <f t="shared" ref="BC139:BC173" ca="1" si="113">IF(A140="","",AM139*F139)</f>
        <v>0</v>
      </c>
    </row>
    <row r="140" spans="1:55">
      <c r="A140" s="67">
        <f t="shared" si="111"/>
        <v>41000</v>
      </c>
      <c r="B140" s="69">
        <f t="shared" ref="B140:B203" si="114">IF(A140&lt;mthend,B139,"")</f>
        <v>36522</v>
      </c>
      <c r="C140" s="71"/>
      <c r="D140" s="69">
        <f t="shared" si="77"/>
        <v>36522</v>
      </c>
      <c r="E140" s="70">
        <f t="shared" si="78"/>
        <v>1095660</v>
      </c>
      <c r="F140" s="70">
        <f t="shared" ca="1" si="79"/>
        <v>378954.76911076426</v>
      </c>
      <c r="G140" s="63">
        <f t="shared" si="80"/>
        <v>4.3550000000000004</v>
      </c>
      <c r="H140" s="64">
        <f t="shared" si="81"/>
        <v>4.3550000000000004</v>
      </c>
      <c r="I140" s="43"/>
      <c r="J140" s="63">
        <f t="shared" si="82"/>
        <v>0.18</v>
      </c>
      <c r="K140" s="64">
        <f t="shared" si="83"/>
        <v>0.18</v>
      </c>
      <c r="L140" s="63">
        <f t="shared" si="84"/>
        <v>0</v>
      </c>
      <c r="M140" s="64">
        <f t="shared" si="85"/>
        <v>0</v>
      </c>
      <c r="N140" s="65"/>
      <c r="O140" s="63">
        <f t="shared" si="86"/>
        <v>4.5350000000000001</v>
      </c>
      <c r="P140" s="63">
        <f t="shared" si="87"/>
        <v>4.5350000000000001</v>
      </c>
      <c r="Q140" s="66"/>
      <c r="R140" s="63">
        <f t="shared" si="88"/>
        <v>0.18</v>
      </c>
      <c r="S140" s="64">
        <f t="shared" si="89"/>
        <v>0.18</v>
      </c>
      <c r="T140" s="63">
        <f t="shared" si="90"/>
        <v>0</v>
      </c>
      <c r="U140" s="64">
        <f t="shared" si="91"/>
        <v>0</v>
      </c>
      <c r="V140" s="90">
        <f>IF($A141="","",IF(AND(MONTH(A140)&gt;3,MONTH(A140)&lt;11),(T140+R140+G140)*(((1/(1-Summary!$T$12))/(1-Summary!$W$12))-1),(T140+R140+G140)*((1/(1-Summary!$U$12))/(1-Summary!$X$12)-1)))</f>
        <v>0</v>
      </c>
      <c r="W140" s="63">
        <f t="shared" si="92"/>
        <v>4.5350000000000001</v>
      </c>
      <c r="X140" s="63">
        <f t="shared" si="93"/>
        <v>4.5350000000000001</v>
      </c>
      <c r="Y140" s="43"/>
      <c r="Z140" s="38">
        <f t="shared" si="94"/>
        <v>0.45</v>
      </c>
      <c r="AA140" s="38">
        <f t="shared" si="95"/>
        <v>0.17</v>
      </c>
      <c r="AB140" s="38">
        <f t="shared" ca="1" si="96"/>
        <v>0.1722545079257867</v>
      </c>
      <c r="AC140" s="38">
        <f t="shared" si="97"/>
        <v>0.45</v>
      </c>
      <c r="AD140" s="38">
        <f t="shared" si="97"/>
        <v>0.17</v>
      </c>
      <c r="AE140" s="38">
        <f t="shared" ca="1" si="98"/>
        <v>0.1722545079257867</v>
      </c>
      <c r="AF140" s="238">
        <f ca="1">((Summary!$N$12*(AA140*AD140)*(A140-$D$3))+(Summary!$M$12*Z140*AC140*(AJ140-EOMONTH(EDATE(A140,-1),0))))/(AK140*AB140*AE140)</f>
        <v>0.99990257600814147</v>
      </c>
      <c r="AG140" s="88">
        <f>IF($A141="","",Summary!$Q$12)</f>
        <v>0</v>
      </c>
      <c r="AH140" s="88">
        <f>IF($A141="","",IF(Summary!$R$12="Y",(VLOOKUP($A140,Summary!$AD$6:$AF$9,3)+'Escalating commodity'!H153),'Escalating commodity'!H153))</f>
        <v>2.9000000000000001E-2</v>
      </c>
      <c r="AI140" s="88">
        <f t="shared" si="112"/>
        <v>2.9000000000000001E-2</v>
      </c>
      <c r="AJ140" s="236">
        <f t="shared" si="99"/>
        <v>41014</v>
      </c>
      <c r="AK140" s="58">
        <f t="shared" ca="1" si="100"/>
        <v>3974</v>
      </c>
      <c r="AL140" s="26">
        <f ca="1">IF($A141="","",_xll.SPRDOPT(P140,X140,AI140,0,AB140,AE140,AF140,AK140,$AJ$2,0))</f>
        <v>3.2571177345260618E-3</v>
      </c>
      <c r="AM140" s="89">
        <f t="shared" si="101"/>
        <v>0</v>
      </c>
      <c r="AN140" s="89">
        <f t="shared" ca="1" si="102"/>
        <v>3.2571177345260618E-3</v>
      </c>
      <c r="AO140" s="3">
        <f t="shared" si="103"/>
        <v>30</v>
      </c>
      <c r="AP140" s="33">
        <f t="shared" si="104"/>
        <v>41000</v>
      </c>
      <c r="AQ140" s="58">
        <f t="shared" ca="1" si="105"/>
        <v>3974</v>
      </c>
      <c r="AR140" s="38">
        <f>'ANR OK vs ML7'!AR140</f>
        <v>0.1</v>
      </c>
      <c r="AS140" s="35">
        <f t="shared" ca="1" si="106"/>
        <v>0.34586894575941829</v>
      </c>
      <c r="AT140" s="3">
        <f t="shared" si="107"/>
        <v>1</v>
      </c>
      <c r="AU140" s="3">
        <f t="shared" si="108"/>
        <v>30</v>
      </c>
      <c r="AW140" s="32">
        <f t="shared" ca="1" si="109"/>
        <v>3568.6936170108247</v>
      </c>
      <c r="AX140" s="32">
        <f t="shared" si="109"/>
        <v>0</v>
      </c>
      <c r="AY140" s="32">
        <f t="shared" ca="1" si="110"/>
        <v>3568.6936170108247</v>
      </c>
      <c r="BA140" s="32">
        <f ca="1">IF($A141="","",F140*Summary!$Q$12)</f>
        <v>0</v>
      </c>
      <c r="BC140" s="256">
        <f t="shared" ca="1" si="113"/>
        <v>0</v>
      </c>
    </row>
    <row r="141" spans="1:55">
      <c r="A141" s="67">
        <f t="shared" si="111"/>
        <v>41030</v>
      </c>
      <c r="B141" s="69">
        <f t="shared" si="114"/>
        <v>36522</v>
      </c>
      <c r="C141" s="71"/>
      <c r="D141" s="69">
        <f t="shared" si="77"/>
        <v>36522</v>
      </c>
      <c r="E141" s="70">
        <f t="shared" si="78"/>
        <v>1132182</v>
      </c>
      <c r="F141" s="70">
        <f t="shared" ca="1" si="79"/>
        <v>388460.64573810954</v>
      </c>
      <c r="G141" s="63">
        <f t="shared" si="80"/>
        <v>4.3250000000000002</v>
      </c>
      <c r="H141" s="64">
        <f t="shared" si="81"/>
        <v>4.3250000000000002</v>
      </c>
      <c r="I141" s="43"/>
      <c r="J141" s="63">
        <f t="shared" si="82"/>
        <v>0.18</v>
      </c>
      <c r="K141" s="64">
        <f t="shared" si="83"/>
        <v>0.18</v>
      </c>
      <c r="L141" s="63">
        <f t="shared" si="84"/>
        <v>0</v>
      </c>
      <c r="M141" s="64">
        <f t="shared" si="85"/>
        <v>0</v>
      </c>
      <c r="N141" s="65"/>
      <c r="O141" s="63">
        <f t="shared" si="86"/>
        <v>4.5049999999999999</v>
      </c>
      <c r="P141" s="63">
        <f t="shared" si="87"/>
        <v>4.5049999999999999</v>
      </c>
      <c r="Q141" s="66"/>
      <c r="R141" s="63">
        <f t="shared" si="88"/>
        <v>0.18</v>
      </c>
      <c r="S141" s="64">
        <f t="shared" si="89"/>
        <v>0.18</v>
      </c>
      <c r="T141" s="63">
        <f t="shared" si="90"/>
        <v>0</v>
      </c>
      <c r="U141" s="64">
        <f t="shared" si="91"/>
        <v>0</v>
      </c>
      <c r="V141" s="90">
        <f>IF($A142="","",IF(AND(MONTH(A141)&gt;3,MONTH(A141)&lt;11),(T141+R141+G141)*(((1/(1-Summary!$T$12))/(1-Summary!$W$12))-1),(T141+R141+G141)*((1/(1-Summary!$U$12))/(1-Summary!$X$12)-1)))</f>
        <v>0</v>
      </c>
      <c r="W141" s="63">
        <f t="shared" si="92"/>
        <v>4.5049999999999999</v>
      </c>
      <c r="X141" s="63">
        <f t="shared" si="93"/>
        <v>4.5049999999999999</v>
      </c>
      <c r="Y141" s="43"/>
      <c r="Z141" s="38">
        <f t="shared" si="94"/>
        <v>0.5</v>
      </c>
      <c r="AA141" s="38">
        <f t="shared" si="95"/>
        <v>0.17</v>
      </c>
      <c r="AB141" s="38">
        <f t="shared" ca="1" si="96"/>
        <v>0.17284386017443606</v>
      </c>
      <c r="AC141" s="38">
        <f t="shared" si="97"/>
        <v>0.5</v>
      </c>
      <c r="AD141" s="38">
        <f t="shared" si="97"/>
        <v>0.17</v>
      </c>
      <c r="AE141" s="38">
        <f t="shared" ca="1" si="98"/>
        <v>0.17284386017443606</v>
      </c>
      <c r="AF141" s="238">
        <f ca="1">((Summary!$N$12*(AA141*AD141)*(A141-$D$3))+(Summary!$M$12*Z141*AC141*(AJ141-EOMONTH(EDATE(A141,-1),0))))/(AK141*AB141*AE141)</f>
        <v>0.99990323943838588</v>
      </c>
      <c r="AG141" s="88">
        <f>IF($A142="","",Summary!$Q$12)</f>
        <v>0</v>
      </c>
      <c r="AH141" s="88">
        <f>IF($A142="","",IF(Summary!$R$12="Y",(VLOOKUP($A141,Summary!$AD$6:$AF$9,3)+'Escalating commodity'!H154),'Escalating commodity'!H154))</f>
        <v>2.9000000000000001E-2</v>
      </c>
      <c r="AI141" s="88">
        <f t="shared" si="112"/>
        <v>2.9000000000000001E-2</v>
      </c>
      <c r="AJ141" s="236">
        <f t="shared" si="99"/>
        <v>41044.5</v>
      </c>
      <c r="AK141" s="58">
        <f t="shared" ca="1" si="100"/>
        <v>4004</v>
      </c>
      <c r="AL141" s="26">
        <f ca="1">IF($A142="","",_xll.SPRDOPT(P141,X141,AI141,0,AB141,AE141,AF141,AK141,$AJ$2,0))</f>
        <v>3.2380269616854619E-3</v>
      </c>
      <c r="AM141" s="89">
        <f t="shared" si="101"/>
        <v>0</v>
      </c>
      <c r="AN141" s="89">
        <f t="shared" ca="1" si="102"/>
        <v>3.2380269616854619E-3</v>
      </c>
      <c r="AO141" s="3">
        <f t="shared" si="103"/>
        <v>31</v>
      </c>
      <c r="AP141" s="33">
        <f t="shared" si="104"/>
        <v>41030</v>
      </c>
      <c r="AQ141" s="58">
        <f t="shared" ca="1" si="105"/>
        <v>4004</v>
      </c>
      <c r="AR141" s="38">
        <f>'ANR OK vs ML7'!AR141</f>
        <v>0.1</v>
      </c>
      <c r="AS141" s="35">
        <f t="shared" ca="1" si="106"/>
        <v>0.34310795061051097</v>
      </c>
      <c r="AT141" s="3">
        <f t="shared" si="107"/>
        <v>1</v>
      </c>
      <c r="AU141" s="3">
        <f t="shared" si="108"/>
        <v>31</v>
      </c>
      <c r="AW141" s="32">
        <f t="shared" ca="1" si="109"/>
        <v>3666.0358415349697</v>
      </c>
      <c r="AX141" s="32">
        <f t="shared" si="109"/>
        <v>0</v>
      </c>
      <c r="AY141" s="32">
        <f t="shared" ca="1" si="110"/>
        <v>3666.0358415349697</v>
      </c>
      <c r="BA141" s="32">
        <f ca="1">IF($A142="","",F141*Summary!$Q$12)</f>
        <v>0</v>
      </c>
      <c r="BC141" s="256">
        <f t="shared" ca="1" si="113"/>
        <v>0</v>
      </c>
    </row>
    <row r="142" spans="1:55">
      <c r="A142" s="67">
        <f t="shared" si="111"/>
        <v>41061</v>
      </c>
      <c r="B142" s="69">
        <f t="shared" si="114"/>
        <v>36522</v>
      </c>
      <c r="C142" s="71"/>
      <c r="D142" s="69">
        <f t="shared" si="77"/>
        <v>36522</v>
      </c>
      <c r="E142" s="70">
        <f t="shared" si="78"/>
        <v>1095660</v>
      </c>
      <c r="F142" s="70">
        <f t="shared" ca="1" si="79"/>
        <v>372829.07555585139</v>
      </c>
      <c r="G142" s="63">
        <f t="shared" si="80"/>
        <v>4.3949999999999996</v>
      </c>
      <c r="H142" s="64">
        <f t="shared" si="81"/>
        <v>4.3949999999999996</v>
      </c>
      <c r="I142" s="43"/>
      <c r="J142" s="63">
        <f t="shared" si="82"/>
        <v>0.18</v>
      </c>
      <c r="K142" s="64">
        <f t="shared" si="83"/>
        <v>0.18</v>
      </c>
      <c r="L142" s="63">
        <f t="shared" si="84"/>
        <v>0</v>
      </c>
      <c r="M142" s="64">
        <f t="shared" si="85"/>
        <v>0</v>
      </c>
      <c r="N142" s="65"/>
      <c r="O142" s="63">
        <f t="shared" si="86"/>
        <v>4.5749999999999993</v>
      </c>
      <c r="P142" s="63">
        <f t="shared" si="87"/>
        <v>4.5749999999999993</v>
      </c>
      <c r="Q142" s="66"/>
      <c r="R142" s="63">
        <f t="shared" si="88"/>
        <v>0.18</v>
      </c>
      <c r="S142" s="64">
        <f t="shared" si="89"/>
        <v>0.18</v>
      </c>
      <c r="T142" s="63">
        <f t="shared" si="90"/>
        <v>0</v>
      </c>
      <c r="U142" s="64">
        <f t="shared" si="91"/>
        <v>0</v>
      </c>
      <c r="V142" s="90">
        <f>IF($A143="","",IF(AND(MONTH(A142)&gt;3,MONTH(A142)&lt;11),(T142+R142+G142)*(((1/(1-Summary!$T$12))/(1-Summary!$W$12))-1),(T142+R142+G142)*((1/(1-Summary!$U$12))/(1-Summary!$X$12)-1)))</f>
        <v>0</v>
      </c>
      <c r="W142" s="63">
        <f t="shared" si="92"/>
        <v>4.5749999999999993</v>
      </c>
      <c r="X142" s="63">
        <f t="shared" si="93"/>
        <v>4.5749999999999993</v>
      </c>
      <c r="Y142" s="43"/>
      <c r="Z142" s="38">
        <f t="shared" si="94"/>
        <v>0.5</v>
      </c>
      <c r="AA142" s="38">
        <f t="shared" si="95"/>
        <v>0.17</v>
      </c>
      <c r="AB142" s="38">
        <f t="shared" ca="1" si="96"/>
        <v>0.17273253995514465</v>
      </c>
      <c r="AC142" s="38">
        <f t="shared" si="97"/>
        <v>0.5</v>
      </c>
      <c r="AD142" s="38">
        <f t="shared" si="97"/>
        <v>0.17</v>
      </c>
      <c r="AE142" s="38">
        <f t="shared" ca="1" si="98"/>
        <v>0.17273253995514465</v>
      </c>
      <c r="AF142" s="238">
        <f ca="1">((Summary!$N$12*(AA142*AD142)*(A142-$D$3))+(Summary!$M$12*Z142*AC142*(AJ142-EOMONTH(EDATE(A142,-1),0))))/(AK142*AB142*AE142)</f>
        <v>0.99990311486630168</v>
      </c>
      <c r="AG142" s="88">
        <f>IF($A143="","",Summary!$Q$12)</f>
        <v>0</v>
      </c>
      <c r="AH142" s="88">
        <f>IF($A143="","",IF(Summary!$R$12="Y",(VLOOKUP($A142,Summary!$AD$6:$AF$9,3)+'Escalating commodity'!H155),'Escalating commodity'!H155))</f>
        <v>2.9000000000000001E-2</v>
      </c>
      <c r="AI142" s="88">
        <f t="shared" si="112"/>
        <v>2.9000000000000001E-2</v>
      </c>
      <c r="AJ142" s="236">
        <f t="shared" si="99"/>
        <v>41075</v>
      </c>
      <c r="AK142" s="58">
        <f t="shared" ca="1" si="100"/>
        <v>4035</v>
      </c>
      <c r="AL142" s="26">
        <f ca="1">IF($A143="","",_xll.SPRDOPT(P142,X142,AI142,0,AB142,AE142,AF142,AK142,$AJ$2,0))</f>
        <v>3.3229878576162587E-3</v>
      </c>
      <c r="AM142" s="89">
        <f t="shared" si="101"/>
        <v>0</v>
      </c>
      <c r="AN142" s="89">
        <f t="shared" ca="1" si="102"/>
        <v>3.3229878576162587E-3</v>
      </c>
      <c r="AO142" s="3">
        <f t="shared" si="103"/>
        <v>30</v>
      </c>
      <c r="AP142" s="33">
        <f t="shared" si="104"/>
        <v>41061</v>
      </c>
      <c r="AQ142" s="58">
        <f t="shared" ca="1" si="105"/>
        <v>4035</v>
      </c>
      <c r="AR142" s="38">
        <f>'ANR OK vs ML7'!AR142</f>
        <v>0.1</v>
      </c>
      <c r="AS142" s="35">
        <f t="shared" ca="1" si="106"/>
        <v>0.3402780749099642</v>
      </c>
      <c r="AT142" s="3">
        <f t="shared" si="107"/>
        <v>1</v>
      </c>
      <c r="AU142" s="3">
        <f t="shared" si="108"/>
        <v>30</v>
      </c>
      <c r="AW142" s="32">
        <f t="shared" ca="1" si="109"/>
        <v>3640.8648760758301</v>
      </c>
      <c r="AX142" s="32">
        <f t="shared" si="109"/>
        <v>0</v>
      </c>
      <c r="AY142" s="32">
        <f t="shared" ca="1" si="110"/>
        <v>3640.8648760758301</v>
      </c>
      <c r="BA142" s="32">
        <f ca="1">IF($A143="","",F142*Summary!$Q$12)</f>
        <v>0</v>
      </c>
      <c r="BC142" s="256">
        <f t="shared" ca="1" si="113"/>
        <v>0</v>
      </c>
    </row>
    <row r="143" spans="1:55">
      <c r="A143" s="67">
        <f t="shared" si="111"/>
        <v>41091</v>
      </c>
      <c r="B143" s="69">
        <f t="shared" si="114"/>
        <v>36522</v>
      </c>
      <c r="C143" s="71"/>
      <c r="D143" s="69">
        <f t="shared" si="77"/>
        <v>36522</v>
      </c>
      <c r="E143" s="70">
        <f t="shared" si="78"/>
        <v>1132182</v>
      </c>
      <c r="F143" s="70">
        <f t="shared" ca="1" si="79"/>
        <v>382181.29245402478</v>
      </c>
      <c r="G143" s="63">
        <f t="shared" si="80"/>
        <v>4.45</v>
      </c>
      <c r="H143" s="64">
        <f t="shared" si="81"/>
        <v>4.45</v>
      </c>
      <c r="I143" s="43"/>
      <c r="J143" s="63">
        <f t="shared" si="82"/>
        <v>0.18</v>
      </c>
      <c r="K143" s="64">
        <f t="shared" si="83"/>
        <v>0.18</v>
      </c>
      <c r="L143" s="63">
        <f t="shared" si="84"/>
        <v>0</v>
      </c>
      <c r="M143" s="64">
        <f t="shared" si="85"/>
        <v>0</v>
      </c>
      <c r="N143" s="65"/>
      <c r="O143" s="63">
        <f t="shared" si="86"/>
        <v>4.63</v>
      </c>
      <c r="P143" s="63">
        <f t="shared" si="87"/>
        <v>4.63</v>
      </c>
      <c r="Q143" s="66"/>
      <c r="R143" s="63">
        <f t="shared" si="88"/>
        <v>0.18</v>
      </c>
      <c r="S143" s="64">
        <f t="shared" si="89"/>
        <v>0.18</v>
      </c>
      <c r="T143" s="63">
        <f t="shared" si="90"/>
        <v>0</v>
      </c>
      <c r="U143" s="64">
        <f t="shared" si="91"/>
        <v>0</v>
      </c>
      <c r="V143" s="90">
        <f>IF($A144="","",IF(AND(MONTH(A143)&gt;3,MONTH(A143)&lt;11),(T143+R143+G143)*(((1/(1-Summary!$T$12))/(1-Summary!$W$12))-1),(T143+R143+G143)*((1/(1-Summary!$U$12))/(1-Summary!$X$12)-1)))</f>
        <v>0</v>
      </c>
      <c r="W143" s="63">
        <f t="shared" si="92"/>
        <v>4.63</v>
      </c>
      <c r="X143" s="63">
        <f t="shared" si="93"/>
        <v>4.63</v>
      </c>
      <c r="Y143" s="43"/>
      <c r="Z143" s="38">
        <f t="shared" si="94"/>
        <v>0.55000000000000004</v>
      </c>
      <c r="AA143" s="38">
        <f t="shared" si="95"/>
        <v>0.17</v>
      </c>
      <c r="AB143" s="38">
        <f t="shared" ca="1" si="96"/>
        <v>0.17337979555165894</v>
      </c>
      <c r="AC143" s="38">
        <f t="shared" si="97"/>
        <v>0.55000000000000004</v>
      </c>
      <c r="AD143" s="38">
        <f t="shared" si="97"/>
        <v>0.17</v>
      </c>
      <c r="AE143" s="38">
        <f t="shared" ca="1" si="98"/>
        <v>0.17337979555165894</v>
      </c>
      <c r="AF143" s="238">
        <f ca="1">((Summary!$N$12*(AA143*AD143)*(A143-$D$3))+(Summary!$M$12*Z143*AC143*(AJ143-EOMONTH(EDATE(A143,-1),0))))/(AK143*AB143*AE143)</f>
        <v>0.99990383706851682</v>
      </c>
      <c r="AG143" s="88">
        <f>IF($A144="","",Summary!$Q$12)</f>
        <v>0</v>
      </c>
      <c r="AH143" s="88">
        <f>IF($A144="","",IF(Summary!$R$12="Y",(VLOOKUP($A143,Summary!$AD$6:$AF$9,3)+'Escalating commodity'!H156),'Escalating commodity'!H156))</f>
        <v>2.9000000000000001E-2</v>
      </c>
      <c r="AI143" s="88">
        <f t="shared" si="112"/>
        <v>2.9000000000000001E-2</v>
      </c>
      <c r="AJ143" s="236">
        <f t="shared" si="99"/>
        <v>41105.5</v>
      </c>
      <c r="AK143" s="58">
        <f t="shared" ca="1" si="100"/>
        <v>4065</v>
      </c>
      <c r="AL143" s="26">
        <f ca="1">IF($A144="","",_xll.SPRDOPT(P143,X143,AI143,0,AB143,AE143,AF143,AK143,$AJ$2,0))</f>
        <v>3.3838524216813562E-3</v>
      </c>
      <c r="AM143" s="89">
        <f t="shared" si="101"/>
        <v>0</v>
      </c>
      <c r="AN143" s="89">
        <f t="shared" ca="1" si="102"/>
        <v>3.3838524216813562E-3</v>
      </c>
      <c r="AO143" s="3">
        <f t="shared" si="103"/>
        <v>31</v>
      </c>
      <c r="AP143" s="33">
        <f t="shared" si="104"/>
        <v>41091</v>
      </c>
      <c r="AQ143" s="58">
        <f t="shared" ca="1" si="105"/>
        <v>4065</v>
      </c>
      <c r="AR143" s="38">
        <f>'ANR OK vs ML7'!AR143</f>
        <v>0.1</v>
      </c>
      <c r="AS143" s="35">
        <f t="shared" ca="1" si="106"/>
        <v>0.33756171044410244</v>
      </c>
      <c r="AT143" s="3">
        <f t="shared" si="107"/>
        <v>1</v>
      </c>
      <c r="AU143" s="3">
        <f t="shared" si="108"/>
        <v>31</v>
      </c>
      <c r="AW143" s="32">
        <f t="shared" ca="1" si="109"/>
        <v>3831.1368024840413</v>
      </c>
      <c r="AX143" s="32">
        <f t="shared" si="109"/>
        <v>0</v>
      </c>
      <c r="AY143" s="32">
        <f t="shared" ca="1" si="110"/>
        <v>3831.1368024840413</v>
      </c>
      <c r="BA143" s="32">
        <f ca="1">IF($A144="","",F143*Summary!$Q$12)</f>
        <v>0</v>
      </c>
      <c r="BC143" s="256">
        <f t="shared" ca="1" si="113"/>
        <v>0</v>
      </c>
    </row>
    <row r="144" spans="1:55">
      <c r="A144" s="67">
        <f t="shared" si="111"/>
        <v>41122</v>
      </c>
      <c r="B144" s="69">
        <f t="shared" si="114"/>
        <v>36522</v>
      </c>
      <c r="C144" s="71"/>
      <c r="D144" s="69">
        <f t="shared" si="77"/>
        <v>36522</v>
      </c>
      <c r="E144" s="70">
        <f t="shared" si="78"/>
        <v>1132182</v>
      </c>
      <c r="F144" s="70">
        <f t="shared" ca="1" si="79"/>
        <v>379029.14878963336</v>
      </c>
      <c r="G144" s="63">
        <f t="shared" si="80"/>
        <v>4.5060000000000002</v>
      </c>
      <c r="H144" s="64">
        <f t="shared" si="81"/>
        <v>4.5060000000000002</v>
      </c>
      <c r="I144" s="43"/>
      <c r="J144" s="63">
        <f t="shared" si="82"/>
        <v>0.18</v>
      </c>
      <c r="K144" s="64">
        <f t="shared" si="83"/>
        <v>0.18</v>
      </c>
      <c r="L144" s="63">
        <f t="shared" si="84"/>
        <v>0</v>
      </c>
      <c r="M144" s="64">
        <f t="shared" si="85"/>
        <v>0</v>
      </c>
      <c r="N144" s="65"/>
      <c r="O144" s="63">
        <f t="shared" si="86"/>
        <v>4.6859999999999999</v>
      </c>
      <c r="P144" s="63">
        <f t="shared" si="87"/>
        <v>4.6859999999999999</v>
      </c>
      <c r="Q144" s="66"/>
      <c r="R144" s="63">
        <f t="shared" si="88"/>
        <v>0.18</v>
      </c>
      <c r="S144" s="64">
        <f t="shared" si="89"/>
        <v>0.18</v>
      </c>
      <c r="T144" s="63">
        <f t="shared" si="90"/>
        <v>0</v>
      </c>
      <c r="U144" s="64">
        <f t="shared" si="91"/>
        <v>0</v>
      </c>
      <c r="V144" s="90">
        <f>IF($A145="","",IF(AND(MONTH(A144)&gt;3,MONTH(A144)&lt;11),(T144+R144+G144)*(((1/(1-Summary!$T$12))/(1-Summary!$W$12))-1),(T144+R144+G144)*((1/(1-Summary!$U$12))/(1-Summary!$X$12)-1)))</f>
        <v>0</v>
      </c>
      <c r="W144" s="63">
        <f t="shared" si="92"/>
        <v>4.6859999999999999</v>
      </c>
      <c r="X144" s="63">
        <f t="shared" si="93"/>
        <v>4.6859999999999999</v>
      </c>
      <c r="Y144" s="43"/>
      <c r="Z144" s="38">
        <f t="shared" si="94"/>
        <v>0.6</v>
      </c>
      <c r="AA144" s="38">
        <f t="shared" si="95"/>
        <v>0.17</v>
      </c>
      <c r="AB144" s="38">
        <f t="shared" ca="1" si="96"/>
        <v>0.17398091950430225</v>
      </c>
      <c r="AC144" s="38">
        <f t="shared" si="97"/>
        <v>0.6</v>
      </c>
      <c r="AD144" s="38">
        <f t="shared" si="97"/>
        <v>0.17</v>
      </c>
      <c r="AE144" s="38">
        <f t="shared" ca="1" si="98"/>
        <v>0.17398091950430225</v>
      </c>
      <c r="AF144" s="238">
        <f ca="1">((Summary!$N$12*(AA144*AD144)*(A144-$D$3))+(Summary!$M$12*Z144*AC144*(AJ144-EOMONTH(EDATE(A144,-1),0))))/(AK144*AB144*AE144)</f>
        <v>0.99990450060613023</v>
      </c>
      <c r="AG144" s="88">
        <f>IF($A145="","",Summary!$Q$12)</f>
        <v>0</v>
      </c>
      <c r="AH144" s="88">
        <f>IF($A145="","",IF(Summary!$R$12="Y",(VLOOKUP($A144,Summary!$AD$6:$AF$9,3)+'Escalating commodity'!H157),'Escalating commodity'!H157))</f>
        <v>2.9000000000000001E-2</v>
      </c>
      <c r="AI144" s="88">
        <f t="shared" si="112"/>
        <v>2.9000000000000001E-2</v>
      </c>
      <c r="AJ144" s="236">
        <f t="shared" si="99"/>
        <v>41136.5</v>
      </c>
      <c r="AK144" s="58">
        <f t="shared" ca="1" si="100"/>
        <v>4096</v>
      </c>
      <c r="AL144" s="26">
        <f ca="1">IF($A145="","",_xll.SPRDOPT(P144,X144,AI144,0,AB144,AE144,AF144,AK144,$AJ$2,0))</f>
        <v>3.4467893554760501E-3</v>
      </c>
      <c r="AM144" s="89">
        <f t="shared" si="101"/>
        <v>0</v>
      </c>
      <c r="AN144" s="89">
        <f t="shared" ca="1" si="102"/>
        <v>3.4467893554760501E-3</v>
      </c>
      <c r="AO144" s="3">
        <f t="shared" si="103"/>
        <v>31</v>
      </c>
      <c r="AP144" s="33">
        <f t="shared" si="104"/>
        <v>41122</v>
      </c>
      <c r="AQ144" s="58">
        <f t="shared" ca="1" si="105"/>
        <v>4096</v>
      </c>
      <c r="AR144" s="38">
        <f>'ANR OK vs ML7'!AR144</f>
        <v>0.1</v>
      </c>
      <c r="AS144" s="35">
        <f t="shared" ca="1" si="106"/>
        <v>0.334777578860672</v>
      </c>
      <c r="AT144" s="3">
        <f t="shared" si="107"/>
        <v>1</v>
      </c>
      <c r="AU144" s="3">
        <f t="shared" si="108"/>
        <v>31</v>
      </c>
      <c r="AW144" s="32">
        <f t="shared" ca="1" si="109"/>
        <v>3902.3928660615852</v>
      </c>
      <c r="AX144" s="32">
        <f t="shared" si="109"/>
        <v>0</v>
      </c>
      <c r="AY144" s="32">
        <f t="shared" ca="1" si="110"/>
        <v>3902.3928660615852</v>
      </c>
      <c r="BA144" s="32">
        <f ca="1">IF($A145="","",F144*Summary!$Q$12)</f>
        <v>0</v>
      </c>
      <c r="BC144" s="256">
        <f t="shared" ca="1" si="113"/>
        <v>0</v>
      </c>
    </row>
    <row r="145" spans="1:55">
      <c r="A145" s="67">
        <f t="shared" si="111"/>
        <v>41153</v>
      </c>
      <c r="B145" s="69">
        <f t="shared" si="114"/>
        <v>36522</v>
      </c>
      <c r="C145" s="71"/>
      <c r="D145" s="69">
        <f t="shared" si="77"/>
        <v>36522</v>
      </c>
      <c r="E145" s="70">
        <f t="shared" si="78"/>
        <v>1095660</v>
      </c>
      <c r="F145" s="70">
        <f t="shared" ca="1" si="79"/>
        <v>363777.09995166404</v>
      </c>
      <c r="G145" s="63">
        <f t="shared" si="80"/>
        <v>4.5199999999999996</v>
      </c>
      <c r="H145" s="64">
        <f t="shared" si="81"/>
        <v>4.5199999999999996</v>
      </c>
      <c r="I145" s="43"/>
      <c r="J145" s="63">
        <f t="shared" si="82"/>
        <v>0.18</v>
      </c>
      <c r="K145" s="64">
        <f t="shared" si="83"/>
        <v>0.18</v>
      </c>
      <c r="L145" s="63">
        <f t="shared" si="84"/>
        <v>0</v>
      </c>
      <c r="M145" s="64">
        <f t="shared" si="85"/>
        <v>0</v>
      </c>
      <c r="N145" s="65"/>
      <c r="O145" s="63">
        <f t="shared" si="86"/>
        <v>4.6999999999999993</v>
      </c>
      <c r="P145" s="63">
        <f t="shared" si="87"/>
        <v>4.6999999999999993</v>
      </c>
      <c r="Q145" s="66"/>
      <c r="R145" s="63">
        <f t="shared" si="88"/>
        <v>0.18</v>
      </c>
      <c r="S145" s="64">
        <f t="shared" si="89"/>
        <v>0.18</v>
      </c>
      <c r="T145" s="63">
        <f t="shared" si="90"/>
        <v>0</v>
      </c>
      <c r="U145" s="64">
        <f t="shared" si="91"/>
        <v>0</v>
      </c>
      <c r="V145" s="90">
        <f>IF($A146="","",IF(AND(MONTH(A145)&gt;3,MONTH(A145)&lt;11),(T145+R145+G145)*(((1/(1-Summary!$T$12))/(1-Summary!$W$12))-1),(T145+R145+G145)*((1/(1-Summary!$U$12))/(1-Summary!$X$12)-1)))</f>
        <v>0</v>
      </c>
      <c r="W145" s="63">
        <f t="shared" si="92"/>
        <v>4.6999999999999993</v>
      </c>
      <c r="X145" s="63">
        <f t="shared" si="93"/>
        <v>4.6999999999999993</v>
      </c>
      <c r="Y145" s="43"/>
      <c r="Z145" s="38">
        <f t="shared" si="94"/>
        <v>0.6</v>
      </c>
      <c r="AA145" s="38">
        <f t="shared" si="95"/>
        <v>0.17</v>
      </c>
      <c r="AB145" s="38">
        <f t="shared" ca="1" si="96"/>
        <v>0.17382594504650589</v>
      </c>
      <c r="AC145" s="38">
        <f t="shared" si="97"/>
        <v>0.6</v>
      </c>
      <c r="AD145" s="38">
        <f t="shared" si="97"/>
        <v>0.17</v>
      </c>
      <c r="AE145" s="38">
        <f t="shared" ca="1" si="98"/>
        <v>0.17382594504650589</v>
      </c>
      <c r="AF145" s="238">
        <f ca="1">((Summary!$N$12*(AA145*AD145)*(A145-$D$3))+(Summary!$M$12*Z145*AC145*(AJ145-EOMONTH(EDATE(A145,-1),0))))/(AK145*AB145*AE145)</f>
        <v>0.99990433042072446</v>
      </c>
      <c r="AG145" s="88">
        <f>IF($A146="","",Summary!$Q$12)</f>
        <v>0</v>
      </c>
      <c r="AH145" s="88">
        <f>IF($A146="","",IF(Summary!$R$12="Y",(VLOOKUP($A145,Summary!$AD$6:$AF$9,3)+'Escalating commodity'!H158),'Escalating commodity'!H158))</f>
        <v>2.9000000000000001E-2</v>
      </c>
      <c r="AI145" s="88">
        <f t="shared" si="112"/>
        <v>2.9000000000000001E-2</v>
      </c>
      <c r="AJ145" s="236">
        <f t="shared" si="99"/>
        <v>41167</v>
      </c>
      <c r="AK145" s="58">
        <f t="shared" ca="1" si="100"/>
        <v>4127</v>
      </c>
      <c r="AL145" s="26">
        <f ca="1">IF($A146="","",_xll.SPRDOPT(P145,X145,AI145,0,AB145,AE145,AF145,AK145,$AJ$2,0))</f>
        <v>3.4796349095874424E-3</v>
      </c>
      <c r="AM145" s="89">
        <f t="shared" si="101"/>
        <v>0</v>
      </c>
      <c r="AN145" s="89">
        <f t="shared" ca="1" si="102"/>
        <v>3.4796349095874424E-3</v>
      </c>
      <c r="AO145" s="3">
        <f t="shared" si="103"/>
        <v>30</v>
      </c>
      <c r="AP145" s="33">
        <f t="shared" si="104"/>
        <v>41153</v>
      </c>
      <c r="AQ145" s="58">
        <f t="shared" ca="1" si="105"/>
        <v>4127</v>
      </c>
      <c r="AR145" s="38">
        <f>'ANR OK vs ML7'!AR145</f>
        <v>0.1</v>
      </c>
      <c r="AS145" s="35">
        <f t="shared" ca="1" si="106"/>
        <v>0.33201641015612876</v>
      </c>
      <c r="AT145" s="3">
        <f t="shared" si="107"/>
        <v>1</v>
      </c>
      <c r="AU145" s="3">
        <f t="shared" si="108"/>
        <v>30</v>
      </c>
      <c r="AW145" s="32">
        <f t="shared" ca="1" si="109"/>
        <v>3812.4967850385769</v>
      </c>
      <c r="AX145" s="32">
        <f t="shared" si="109"/>
        <v>0</v>
      </c>
      <c r="AY145" s="32">
        <f t="shared" ca="1" si="110"/>
        <v>3812.4967850385769</v>
      </c>
      <c r="BA145" s="32">
        <f ca="1">IF($A146="","",F145*Summary!$Q$12)</f>
        <v>0</v>
      </c>
      <c r="BC145" s="256">
        <f t="shared" ca="1" si="113"/>
        <v>0</v>
      </c>
    </row>
    <row r="146" spans="1:55">
      <c r="A146" s="67">
        <f t="shared" si="111"/>
        <v>41183</v>
      </c>
      <c r="B146" s="69">
        <f t="shared" si="114"/>
        <v>36522</v>
      </c>
      <c r="C146" s="71"/>
      <c r="D146" s="69">
        <f t="shared" si="77"/>
        <v>36522</v>
      </c>
      <c r="E146" s="70">
        <f t="shared" si="78"/>
        <v>1132182</v>
      </c>
      <c r="F146" s="70">
        <f t="shared" ca="1" si="79"/>
        <v>372902.25290885824</v>
      </c>
      <c r="G146" s="63">
        <f t="shared" si="80"/>
        <v>4.5510000000000002</v>
      </c>
      <c r="H146" s="64">
        <f t="shared" si="81"/>
        <v>4.5510000000000002</v>
      </c>
      <c r="I146" s="43"/>
      <c r="J146" s="63">
        <f t="shared" si="82"/>
        <v>0.18</v>
      </c>
      <c r="K146" s="64">
        <f t="shared" si="83"/>
        <v>0.18</v>
      </c>
      <c r="L146" s="63">
        <f t="shared" si="84"/>
        <v>0</v>
      </c>
      <c r="M146" s="64">
        <f t="shared" si="85"/>
        <v>0</v>
      </c>
      <c r="N146" s="65"/>
      <c r="O146" s="63">
        <f t="shared" si="86"/>
        <v>4.7309999999999999</v>
      </c>
      <c r="P146" s="63">
        <f t="shared" si="87"/>
        <v>4.7309999999999999</v>
      </c>
      <c r="Q146" s="66"/>
      <c r="R146" s="63">
        <f t="shared" si="88"/>
        <v>0.18</v>
      </c>
      <c r="S146" s="64">
        <f t="shared" si="89"/>
        <v>0.18</v>
      </c>
      <c r="T146" s="63">
        <f t="shared" si="90"/>
        <v>0</v>
      </c>
      <c r="U146" s="64">
        <f t="shared" si="91"/>
        <v>0</v>
      </c>
      <c r="V146" s="90">
        <f>IF($A147="","",IF(AND(MONTH(A146)&gt;3,MONTH(A146)&lt;11),(T146+R146+G146)*(((1/(1-Summary!$T$12))/(1-Summary!$W$12))-1),(T146+R146+G146)*((1/(1-Summary!$U$12))/(1-Summary!$X$12)-1)))</f>
        <v>0</v>
      </c>
      <c r="W146" s="63">
        <f t="shared" si="92"/>
        <v>4.7309999999999999</v>
      </c>
      <c r="X146" s="63">
        <f t="shared" si="93"/>
        <v>4.7309999999999999</v>
      </c>
      <c r="Y146" s="43"/>
      <c r="Z146" s="38">
        <f t="shared" si="94"/>
        <v>0.65</v>
      </c>
      <c r="AA146" s="38">
        <f t="shared" si="95"/>
        <v>0.17</v>
      </c>
      <c r="AB146" s="38">
        <f t="shared" ca="1" si="96"/>
        <v>0.17459182956865119</v>
      </c>
      <c r="AC146" s="38">
        <f t="shared" si="97"/>
        <v>0.65</v>
      </c>
      <c r="AD146" s="38">
        <f t="shared" si="97"/>
        <v>0.17</v>
      </c>
      <c r="AE146" s="38">
        <f t="shared" ca="1" si="98"/>
        <v>0.17459182956865119</v>
      </c>
      <c r="AF146" s="238">
        <f ca="1">((Summary!$N$12*(AA146*AD146)*(A146-$D$3))+(Summary!$M$12*Z146*AC146*(AJ146-EOMONTH(EDATE(A146,-1),0))))/(AK146*AB146*AE146)</f>
        <v>0.99990516809579311</v>
      </c>
      <c r="AG146" s="88">
        <f>IF($A147="","",Summary!$Q$12)</f>
        <v>0</v>
      </c>
      <c r="AH146" s="88">
        <f>IF($A147="","",IF(Summary!$R$12="Y",(VLOOKUP($A146,Summary!$AD$6:$AF$9,3)+'Escalating commodity'!H159),'Escalating commodity'!H159))</f>
        <v>2.9000000000000001E-2</v>
      </c>
      <c r="AI146" s="88">
        <f t="shared" si="112"/>
        <v>2.9000000000000001E-2</v>
      </c>
      <c r="AJ146" s="236">
        <f t="shared" si="99"/>
        <v>41197.5</v>
      </c>
      <c r="AK146" s="58">
        <f t="shared" ca="1" si="100"/>
        <v>4157</v>
      </c>
      <c r="AL146" s="26">
        <f ca="1">IF($A147="","",_xll.SPRDOPT(P146,X146,AI146,0,AB146,AE146,AF146,AK146,$AJ$2,0))</f>
        <v>3.5158643434076292E-3</v>
      </c>
      <c r="AM146" s="89">
        <f t="shared" si="101"/>
        <v>0</v>
      </c>
      <c r="AN146" s="89">
        <f t="shared" ca="1" si="102"/>
        <v>3.5158643434076292E-3</v>
      </c>
      <c r="AO146" s="3">
        <f t="shared" si="103"/>
        <v>31</v>
      </c>
      <c r="AP146" s="33">
        <f t="shared" si="104"/>
        <v>41183</v>
      </c>
      <c r="AQ146" s="58">
        <f t="shared" ca="1" si="105"/>
        <v>4157</v>
      </c>
      <c r="AR146" s="38">
        <f>'ANR OK vs ML7'!AR146</f>
        <v>0.1</v>
      </c>
      <c r="AS146" s="35">
        <f t="shared" ca="1" si="106"/>
        <v>0.32936599672919925</v>
      </c>
      <c r="AT146" s="3">
        <f t="shared" si="107"/>
        <v>1</v>
      </c>
      <c r="AU146" s="3">
        <f t="shared" si="108"/>
        <v>31</v>
      </c>
      <c r="AW146" s="32">
        <f t="shared" ca="1" si="109"/>
        <v>3980.5983240479363</v>
      </c>
      <c r="AX146" s="32">
        <f t="shared" si="109"/>
        <v>0</v>
      </c>
      <c r="AY146" s="32">
        <f t="shared" ca="1" si="110"/>
        <v>3980.5983240479363</v>
      </c>
      <c r="BA146" s="32">
        <f ca="1">IF($A147="","",F146*Summary!$Q$12)</f>
        <v>0</v>
      </c>
      <c r="BC146" s="256">
        <f t="shared" ca="1" si="113"/>
        <v>0</v>
      </c>
    </row>
    <row r="147" spans="1:55">
      <c r="A147" s="67">
        <f t="shared" si="111"/>
        <v>41214</v>
      </c>
      <c r="B147" s="69">
        <f t="shared" si="114"/>
        <v>36522</v>
      </c>
      <c r="C147" s="71"/>
      <c r="D147" s="69">
        <f t="shared" si="77"/>
        <v>36522</v>
      </c>
      <c r="E147" s="70">
        <f t="shared" si="78"/>
        <v>1095660</v>
      </c>
      <c r="F147" s="70">
        <f t="shared" ca="1" si="79"/>
        <v>357896.74900152854</v>
      </c>
      <c r="G147" s="63">
        <f t="shared" si="80"/>
        <v>4.6840000000000002</v>
      </c>
      <c r="H147" s="64">
        <f t="shared" si="81"/>
        <v>4.6840000000000002</v>
      </c>
      <c r="I147" s="43"/>
      <c r="J147" s="63">
        <f t="shared" si="82"/>
        <v>0.27500000000000002</v>
      </c>
      <c r="K147" s="64">
        <f t="shared" si="83"/>
        <v>0.27500000000000002</v>
      </c>
      <c r="L147" s="63">
        <f t="shared" si="84"/>
        <v>0</v>
      </c>
      <c r="M147" s="64">
        <f t="shared" si="85"/>
        <v>0</v>
      </c>
      <c r="N147" s="65"/>
      <c r="O147" s="63">
        <f t="shared" si="86"/>
        <v>4.9590000000000005</v>
      </c>
      <c r="P147" s="63">
        <f t="shared" si="87"/>
        <v>4.9590000000000005</v>
      </c>
      <c r="Q147" s="66"/>
      <c r="R147" s="63">
        <f t="shared" si="88"/>
        <v>0.27500000000000002</v>
      </c>
      <c r="S147" s="64">
        <f t="shared" si="89"/>
        <v>0.27500000000000002</v>
      </c>
      <c r="T147" s="63">
        <f t="shared" si="90"/>
        <v>0</v>
      </c>
      <c r="U147" s="64">
        <f t="shared" si="91"/>
        <v>0</v>
      </c>
      <c r="V147" s="90">
        <f>IF($A148="","",IF(AND(MONTH(A147)&gt;3,MONTH(A147)&lt;11),(T147+R147+G147)*(((1/(1-Summary!$T$12))/(1-Summary!$W$12))-1),(T147+R147+G147)*((1/(1-Summary!$U$12))/(1-Summary!$X$12)-1)))</f>
        <v>0</v>
      </c>
      <c r="W147" s="63">
        <f t="shared" si="92"/>
        <v>4.9590000000000005</v>
      </c>
      <c r="X147" s="63">
        <f t="shared" si="93"/>
        <v>4.9590000000000005</v>
      </c>
      <c r="Y147" s="43"/>
      <c r="Z147" s="38">
        <f t="shared" si="94"/>
        <v>0.8</v>
      </c>
      <c r="AA147" s="38">
        <f t="shared" si="95"/>
        <v>0.17</v>
      </c>
      <c r="AB147" s="38">
        <f t="shared" ca="1" si="96"/>
        <v>0.17663285164117143</v>
      </c>
      <c r="AC147" s="38">
        <f t="shared" si="97"/>
        <v>0.8</v>
      </c>
      <c r="AD147" s="38">
        <f t="shared" si="97"/>
        <v>0.17</v>
      </c>
      <c r="AE147" s="38">
        <f t="shared" ca="1" si="98"/>
        <v>0.17663285164117143</v>
      </c>
      <c r="AF147" s="238">
        <f ca="1">((Summary!$N$12*(AA147*AD147)*(A147-$D$3))+(Summary!$M$12*Z147*AC147*(AJ147-EOMONTH(EDATE(A147,-1),0))))/(AK147*AB147*AE147)</f>
        <v>0.99990734719555263</v>
      </c>
      <c r="AG147" s="88">
        <f>IF($A148="","",Summary!$Q$12)</f>
        <v>0</v>
      </c>
      <c r="AH147" s="88">
        <f>IF($A148="","",IF(Summary!$R$12="Y",(VLOOKUP($A147,Summary!$AD$6:$AF$9,3)+'Escalating commodity'!H160),'Escalating commodity'!H160))</f>
        <v>2.9000000000000001E-2</v>
      </c>
      <c r="AI147" s="88">
        <f t="shared" si="112"/>
        <v>2.9000000000000001E-2</v>
      </c>
      <c r="AJ147" s="236">
        <f t="shared" si="99"/>
        <v>41228</v>
      </c>
      <c r="AK147" s="58">
        <f t="shared" ca="1" si="100"/>
        <v>4188</v>
      </c>
      <c r="AL147" s="26">
        <f ca="1">IF($A148="","",_xll.SPRDOPT(P147,X147,AI147,0,AB147,AE147,AF147,AK147,$AJ$2,0))</f>
        <v>3.7232645310538298E-3</v>
      </c>
      <c r="AM147" s="89">
        <f t="shared" si="101"/>
        <v>0</v>
      </c>
      <c r="AN147" s="89">
        <f t="shared" ca="1" si="102"/>
        <v>3.7232645310538298E-3</v>
      </c>
      <c r="AO147" s="3">
        <f t="shared" si="103"/>
        <v>30</v>
      </c>
      <c r="AP147" s="33">
        <f t="shared" si="104"/>
        <v>41214</v>
      </c>
      <c r="AQ147" s="58">
        <f t="shared" ca="1" si="105"/>
        <v>4188</v>
      </c>
      <c r="AR147" s="38">
        <f>'ANR OK vs ML7'!AR147</f>
        <v>0.1</v>
      </c>
      <c r="AS147" s="35">
        <f t="shared" ca="1" si="106"/>
        <v>0.32664946151317792</v>
      </c>
      <c r="AT147" s="3">
        <f t="shared" si="107"/>
        <v>1</v>
      </c>
      <c r="AU147" s="3">
        <f t="shared" si="108"/>
        <v>30</v>
      </c>
      <c r="AW147" s="32">
        <f t="shared" ca="1" si="109"/>
        <v>4079.4320160944394</v>
      </c>
      <c r="AX147" s="32">
        <f t="shared" si="109"/>
        <v>0</v>
      </c>
      <c r="AY147" s="32">
        <f t="shared" ca="1" si="110"/>
        <v>4079.4320160944394</v>
      </c>
      <c r="BA147" s="32">
        <f ca="1">IF($A148="","",F147*Summary!$Q$12)</f>
        <v>0</v>
      </c>
      <c r="BC147" s="256">
        <f t="shared" ca="1" si="113"/>
        <v>0</v>
      </c>
    </row>
    <row r="148" spans="1:55">
      <c r="A148" s="67">
        <f t="shared" si="111"/>
        <v>41244</v>
      </c>
      <c r="B148" s="69">
        <f t="shared" si="114"/>
        <v>36522</v>
      </c>
      <c r="C148" s="71"/>
      <c r="D148" s="69">
        <f t="shared" si="77"/>
        <v>36522</v>
      </c>
      <c r="E148" s="70">
        <f t="shared" si="78"/>
        <v>1132182</v>
      </c>
      <c r="F148" s="70">
        <f t="shared" ca="1" si="79"/>
        <v>366874.39651687641</v>
      </c>
      <c r="G148" s="63">
        <f t="shared" si="80"/>
        <v>4.8220000000000001</v>
      </c>
      <c r="H148" s="64">
        <f t="shared" si="81"/>
        <v>4.8220000000000001</v>
      </c>
      <c r="I148" s="43"/>
      <c r="J148" s="63">
        <f t="shared" si="82"/>
        <v>0.27500000000000002</v>
      </c>
      <c r="K148" s="64">
        <f t="shared" si="83"/>
        <v>0.27500000000000002</v>
      </c>
      <c r="L148" s="63">
        <f t="shared" si="84"/>
        <v>0</v>
      </c>
      <c r="M148" s="64">
        <f t="shared" si="85"/>
        <v>0</v>
      </c>
      <c r="N148" s="65"/>
      <c r="O148" s="63">
        <f t="shared" si="86"/>
        <v>5.0970000000000004</v>
      </c>
      <c r="P148" s="63">
        <f t="shared" si="87"/>
        <v>5.0970000000000004</v>
      </c>
      <c r="Q148" s="66"/>
      <c r="R148" s="63">
        <f t="shared" si="88"/>
        <v>0.27500000000000002</v>
      </c>
      <c r="S148" s="64">
        <f t="shared" si="89"/>
        <v>0.27500000000000002</v>
      </c>
      <c r="T148" s="63">
        <f t="shared" si="90"/>
        <v>0</v>
      </c>
      <c r="U148" s="64">
        <f t="shared" si="91"/>
        <v>0</v>
      </c>
      <c r="V148" s="90">
        <f>IF($A149="","",IF(AND(MONTH(A148)&gt;3,MONTH(A148)&lt;11),(T148+R148+G148)*(((1/(1-Summary!$T$12))/(1-Summary!$W$12))-1),(T148+R148+G148)*((1/(1-Summary!$U$12))/(1-Summary!$X$12)-1)))</f>
        <v>0</v>
      </c>
      <c r="W148" s="63">
        <f t="shared" si="92"/>
        <v>5.0970000000000004</v>
      </c>
      <c r="X148" s="63">
        <f t="shared" si="93"/>
        <v>5.0970000000000004</v>
      </c>
      <c r="Y148" s="43"/>
      <c r="Z148" s="38">
        <f t="shared" si="94"/>
        <v>1.1000000000000001</v>
      </c>
      <c r="AA148" s="38">
        <f t="shared" si="95"/>
        <v>0.17</v>
      </c>
      <c r="AB148" s="38">
        <f t="shared" ca="1" si="96"/>
        <v>0.18262878111827113</v>
      </c>
      <c r="AC148" s="38">
        <f t="shared" si="97"/>
        <v>1.1000000000000001</v>
      </c>
      <c r="AD148" s="38">
        <f t="shared" si="97"/>
        <v>0.17</v>
      </c>
      <c r="AE148" s="38">
        <f t="shared" ca="1" si="98"/>
        <v>0.18262878111827113</v>
      </c>
      <c r="AF148" s="238">
        <f ca="1">((Summary!$N$12*(AA148*AD148)*(A148-$D$3))+(Summary!$M$12*Z148*AC148*(AJ148-EOMONTH(EDATE(A148,-1),0))))/(AK148*AB148*AE148)</f>
        <v>0.99991333128619342</v>
      </c>
      <c r="AG148" s="88">
        <f>IF($A149="","",Summary!$Q$12)</f>
        <v>0</v>
      </c>
      <c r="AH148" s="88">
        <f>IF($A149="","",IF(Summary!$R$12="Y",(VLOOKUP($A148,Summary!$AD$6:$AF$9,3)+'Escalating commodity'!H161),'Escalating commodity'!H161))</f>
        <v>2.9000000000000001E-2</v>
      </c>
      <c r="AI148" s="88">
        <f t="shared" si="112"/>
        <v>2.9000000000000001E-2</v>
      </c>
      <c r="AJ148" s="236">
        <f t="shared" si="99"/>
        <v>41258.5</v>
      </c>
      <c r="AK148" s="58">
        <f t="shared" ca="1" si="100"/>
        <v>4218</v>
      </c>
      <c r="AL148" s="26">
        <f ca="1">IF($A149="","",_xll.SPRDOPT(P148,X148,AI148,0,AB148,AE148,AF148,AK148,$AJ$2,0))</f>
        <v>3.7822774546882529E-3</v>
      </c>
      <c r="AM148" s="89">
        <f t="shared" si="101"/>
        <v>0</v>
      </c>
      <c r="AN148" s="89">
        <f t="shared" ca="1" si="102"/>
        <v>3.7822774546882529E-3</v>
      </c>
      <c r="AO148" s="3">
        <f t="shared" si="103"/>
        <v>31</v>
      </c>
      <c r="AP148" s="33">
        <f t="shared" si="104"/>
        <v>41244</v>
      </c>
      <c r="AQ148" s="58">
        <f t="shared" ca="1" si="105"/>
        <v>4218</v>
      </c>
      <c r="AR148" s="38">
        <f>'ANR OK vs ML7'!AR148</f>
        <v>0.1</v>
      </c>
      <c r="AS148" s="35">
        <f t="shared" ca="1" si="106"/>
        <v>0.32404189124794108</v>
      </c>
      <c r="AT148" s="3">
        <f t="shared" si="107"/>
        <v>1</v>
      </c>
      <c r="AU148" s="3">
        <f t="shared" si="108"/>
        <v>31</v>
      </c>
      <c r="AW148" s="32">
        <f t="shared" ca="1" si="109"/>
        <v>4282.2264532038553</v>
      </c>
      <c r="AX148" s="32">
        <f t="shared" si="109"/>
        <v>0</v>
      </c>
      <c r="AY148" s="32">
        <f t="shared" ca="1" si="110"/>
        <v>4282.2264532038553</v>
      </c>
      <c r="BA148" s="32">
        <f ca="1">IF($A149="","",F148*Summary!$Q$12)</f>
        <v>0</v>
      </c>
      <c r="BC148" s="256">
        <f t="shared" ca="1" si="113"/>
        <v>0</v>
      </c>
    </row>
    <row r="149" spans="1:55">
      <c r="A149" s="67">
        <f t="shared" si="111"/>
        <v>41275</v>
      </c>
      <c r="B149" s="69">
        <f t="shared" si="114"/>
        <v>36522</v>
      </c>
      <c r="C149" s="71"/>
      <c r="D149" s="69">
        <f t="shared" si="77"/>
        <v>36522</v>
      </c>
      <c r="E149" s="70">
        <f t="shared" si="78"/>
        <v>1132182</v>
      </c>
      <c r="F149" s="70">
        <f t="shared" ca="1" si="79"/>
        <v>363848.50062023941</v>
      </c>
      <c r="G149" s="63">
        <f t="shared" si="80"/>
        <v>4.8690000000000007</v>
      </c>
      <c r="H149" s="64">
        <f t="shared" si="81"/>
        <v>4.8690000000000007</v>
      </c>
      <c r="I149" s="43"/>
      <c r="J149" s="63">
        <f t="shared" si="82"/>
        <v>0.27500000000000002</v>
      </c>
      <c r="K149" s="64">
        <f t="shared" si="83"/>
        <v>0.27500000000000002</v>
      </c>
      <c r="L149" s="63">
        <f t="shared" si="84"/>
        <v>0</v>
      </c>
      <c r="M149" s="64">
        <f t="shared" si="85"/>
        <v>0</v>
      </c>
      <c r="N149" s="65"/>
      <c r="O149" s="63">
        <f t="shared" si="86"/>
        <v>5.144000000000001</v>
      </c>
      <c r="P149" s="63">
        <f t="shared" si="87"/>
        <v>5.144000000000001</v>
      </c>
      <c r="Q149" s="66"/>
      <c r="R149" s="63">
        <f t="shared" si="88"/>
        <v>0.27500000000000002</v>
      </c>
      <c r="S149" s="64">
        <f t="shared" si="89"/>
        <v>0.27500000000000002</v>
      </c>
      <c r="T149" s="63">
        <f t="shared" si="90"/>
        <v>0</v>
      </c>
      <c r="U149" s="64">
        <f t="shared" si="91"/>
        <v>0</v>
      </c>
      <c r="V149" s="90">
        <f>IF($A150="","",IF(AND(MONTH(A149)&gt;3,MONTH(A149)&lt;11),(T149+R149+G149)*(((1/(1-Summary!$T$12))/(1-Summary!$W$12))-1),(T149+R149+G149)*((1/(1-Summary!$U$12))/(1-Summary!$X$12)-1)))</f>
        <v>0</v>
      </c>
      <c r="W149" s="63">
        <f t="shared" si="92"/>
        <v>5.144000000000001</v>
      </c>
      <c r="X149" s="63">
        <f t="shared" si="93"/>
        <v>5.144000000000001</v>
      </c>
      <c r="Y149" s="43"/>
      <c r="Z149" s="38">
        <f t="shared" si="94"/>
        <v>1.1000000000000001</v>
      </c>
      <c r="AA149" s="38">
        <f t="shared" si="95"/>
        <v>0.17</v>
      </c>
      <c r="AB149" s="38">
        <f t="shared" ca="1" si="96"/>
        <v>0.18253980760458821</v>
      </c>
      <c r="AC149" s="38">
        <f t="shared" si="97"/>
        <v>1.1000000000000001</v>
      </c>
      <c r="AD149" s="38">
        <f t="shared" si="97"/>
        <v>0.17</v>
      </c>
      <c r="AE149" s="38">
        <f t="shared" ca="1" si="98"/>
        <v>0.18253980760458821</v>
      </c>
      <c r="AF149" s="238">
        <f ca="1">((Summary!$N$12*(AA149*AD149)*(A149-$D$3))+(Summary!$M$12*Z149*AC149*(AJ149-EOMONTH(EDATE(A149,-1),0))))/(AK149*AB149*AE149)</f>
        <v>0.99991324692753236</v>
      </c>
      <c r="AG149" s="88">
        <f>IF($A150="","",Summary!$Q$12)</f>
        <v>0</v>
      </c>
      <c r="AH149" s="88">
        <f>IF($A150="","",IF(Summary!$R$12="Y",(VLOOKUP($A149,Summary!$AD$6:$AF$9,3)+'Escalating commodity'!H162),'Escalating commodity'!H162))</f>
        <v>2.9000000000000001E-2</v>
      </c>
      <c r="AI149" s="88">
        <f t="shared" si="112"/>
        <v>2.9000000000000001E-2</v>
      </c>
      <c r="AJ149" s="236">
        <f t="shared" si="99"/>
        <v>41289.5</v>
      </c>
      <c r="AK149" s="58">
        <f t="shared" ca="1" si="100"/>
        <v>4249</v>
      </c>
      <c r="AL149" s="26">
        <f ca="1">IF($A150="","",_xll.SPRDOPT(P149,X149,AI149,0,AB149,AE149,AF149,AK149,$AJ$2,0))</f>
        <v>3.8453934807972448E-3</v>
      </c>
      <c r="AM149" s="89">
        <f t="shared" si="101"/>
        <v>0</v>
      </c>
      <c r="AN149" s="89">
        <f t="shared" ca="1" si="102"/>
        <v>3.8453934807972448E-3</v>
      </c>
      <c r="AO149" s="3">
        <f t="shared" si="103"/>
        <v>31</v>
      </c>
      <c r="AP149" s="33">
        <f t="shared" si="104"/>
        <v>41275</v>
      </c>
      <c r="AQ149" s="58">
        <f t="shared" ca="1" si="105"/>
        <v>4249</v>
      </c>
      <c r="AR149" s="38">
        <f>'ANR OK vs ML7'!AR149</f>
        <v>0.1</v>
      </c>
      <c r="AS149" s="35">
        <f t="shared" ca="1" si="106"/>
        <v>0.32136926803308957</v>
      </c>
      <c r="AT149" s="3">
        <f t="shared" si="107"/>
        <v>1</v>
      </c>
      <c r="AU149" s="3">
        <f t="shared" si="108"/>
        <v>31</v>
      </c>
      <c r="AW149" s="32">
        <f t="shared" ca="1" si="109"/>
        <v>4353.6852818759862</v>
      </c>
      <c r="AX149" s="32">
        <f t="shared" si="109"/>
        <v>0</v>
      </c>
      <c r="AY149" s="32">
        <f t="shared" ca="1" si="110"/>
        <v>4353.6852818759862</v>
      </c>
      <c r="BA149" s="32">
        <f ca="1">IF($A150="","",F149*Summary!$Q$12)</f>
        <v>0</v>
      </c>
      <c r="BC149" s="256">
        <f t="shared" ca="1" si="113"/>
        <v>0</v>
      </c>
    </row>
    <row r="150" spans="1:55">
      <c r="A150" s="67">
        <f t="shared" si="111"/>
        <v>41306</v>
      </c>
      <c r="B150" s="69">
        <f t="shared" si="114"/>
        <v>36522</v>
      </c>
      <c r="C150" s="71"/>
      <c r="D150" s="69">
        <f t="shared" si="77"/>
        <v>36522</v>
      </c>
      <c r="E150" s="70">
        <f t="shared" si="78"/>
        <v>1022616</v>
      </c>
      <c r="F150" s="70">
        <f t="shared" ca="1" si="79"/>
        <v>325926.8298495161</v>
      </c>
      <c r="G150" s="63">
        <f t="shared" si="80"/>
        <v>4.7490000000000006</v>
      </c>
      <c r="H150" s="64">
        <f t="shared" si="81"/>
        <v>4.7490000000000006</v>
      </c>
      <c r="I150" s="43"/>
      <c r="J150" s="63">
        <f t="shared" si="82"/>
        <v>0.27500000000000002</v>
      </c>
      <c r="K150" s="64">
        <f t="shared" si="83"/>
        <v>0.27500000000000002</v>
      </c>
      <c r="L150" s="63">
        <f t="shared" si="84"/>
        <v>0</v>
      </c>
      <c r="M150" s="64">
        <f t="shared" si="85"/>
        <v>0</v>
      </c>
      <c r="N150" s="65"/>
      <c r="O150" s="63">
        <f t="shared" si="86"/>
        <v>5.0240000000000009</v>
      </c>
      <c r="P150" s="63">
        <f t="shared" si="87"/>
        <v>5.0240000000000009</v>
      </c>
      <c r="Q150" s="66"/>
      <c r="R150" s="63">
        <f t="shared" si="88"/>
        <v>0.27500000000000002</v>
      </c>
      <c r="S150" s="64">
        <f t="shared" si="89"/>
        <v>0.27500000000000002</v>
      </c>
      <c r="T150" s="63">
        <f t="shared" si="90"/>
        <v>0</v>
      </c>
      <c r="U150" s="64">
        <f t="shared" si="91"/>
        <v>0</v>
      </c>
      <c r="V150" s="90">
        <f>IF($A151="","",IF(AND(MONTH(A150)&gt;3,MONTH(A150)&lt;11),(T150+R150+G150)*(((1/(1-Summary!$T$12))/(1-Summary!$W$12))-1),(T150+R150+G150)*((1/(1-Summary!$U$12))/(1-Summary!$X$12)-1)))</f>
        <v>0</v>
      </c>
      <c r="W150" s="63">
        <f t="shared" si="92"/>
        <v>5.0240000000000009</v>
      </c>
      <c r="X150" s="63">
        <f t="shared" si="93"/>
        <v>5.0240000000000009</v>
      </c>
      <c r="Y150" s="43"/>
      <c r="Z150" s="38">
        <f t="shared" si="94"/>
        <v>1.1000000000000001</v>
      </c>
      <c r="AA150" s="38">
        <f t="shared" si="95"/>
        <v>0.17</v>
      </c>
      <c r="AB150" s="38">
        <f t="shared" ca="1" si="96"/>
        <v>0.181286227446219</v>
      </c>
      <c r="AC150" s="38">
        <f t="shared" si="97"/>
        <v>1.1000000000000001</v>
      </c>
      <c r="AD150" s="38">
        <f t="shared" si="97"/>
        <v>0.17</v>
      </c>
      <c r="AE150" s="38">
        <f t="shared" ca="1" si="98"/>
        <v>0.181286227446219</v>
      </c>
      <c r="AF150" s="238">
        <f ca="1">((Summary!$N$12*(AA150*AD150)*(A150-$D$3))+(Summary!$M$12*Z150*AC150*(AJ150-EOMONTH(EDATE(A150,-1),0))))/(AK150*AB150*AE150)</f>
        <v>0.99991204314774074</v>
      </c>
      <c r="AG150" s="88">
        <f>IF($A151="","",Summary!$Q$12)</f>
        <v>0</v>
      </c>
      <c r="AH150" s="88">
        <f>IF($A151="","",IF(Summary!$R$12="Y",(VLOOKUP($A150,Summary!$AD$6:$AF$9,3)+'Escalating commodity'!H163),'Escalating commodity'!H163))</f>
        <v>2.9000000000000001E-2</v>
      </c>
      <c r="AI150" s="88">
        <f t="shared" si="112"/>
        <v>2.9000000000000001E-2</v>
      </c>
      <c r="AJ150" s="236">
        <f t="shared" si="99"/>
        <v>41319</v>
      </c>
      <c r="AK150" s="58">
        <f t="shared" ca="1" si="100"/>
        <v>4280</v>
      </c>
      <c r="AL150" s="26">
        <f ca="1">IF($A151="","",_xll.SPRDOPT(P150,X150,AI150,0,AB150,AE150,AF150,AK150,$AJ$2,0))</f>
        <v>3.7690882901361619E-3</v>
      </c>
      <c r="AM150" s="89">
        <f t="shared" si="101"/>
        <v>0</v>
      </c>
      <c r="AN150" s="89">
        <f t="shared" ca="1" si="102"/>
        <v>3.7690882901361619E-3</v>
      </c>
      <c r="AO150" s="3">
        <f t="shared" si="103"/>
        <v>28</v>
      </c>
      <c r="AP150" s="33">
        <f t="shared" si="104"/>
        <v>41306</v>
      </c>
      <c r="AQ150" s="58">
        <f t="shared" ca="1" si="105"/>
        <v>4280</v>
      </c>
      <c r="AR150" s="38">
        <f>'ANR OK vs ML7'!AR150</f>
        <v>0.1</v>
      </c>
      <c r="AS150" s="35">
        <f t="shared" ca="1" si="106"/>
        <v>0.3187186880016703</v>
      </c>
      <c r="AT150" s="3">
        <f t="shared" si="107"/>
        <v>1</v>
      </c>
      <c r="AU150" s="3">
        <f t="shared" si="108"/>
        <v>28</v>
      </c>
      <c r="AW150" s="32">
        <f t="shared" ca="1" si="109"/>
        <v>3854.3299909058815</v>
      </c>
      <c r="AX150" s="32">
        <f t="shared" si="109"/>
        <v>0</v>
      </c>
      <c r="AY150" s="32">
        <f t="shared" ca="1" si="110"/>
        <v>3854.3299909058815</v>
      </c>
      <c r="BA150" s="32">
        <f ca="1">IF($A151="","",F150*Summary!$Q$12)</f>
        <v>0</v>
      </c>
      <c r="BC150" s="256">
        <f t="shared" ca="1" si="113"/>
        <v>0</v>
      </c>
    </row>
    <row r="151" spans="1:55">
      <c r="A151" s="67">
        <f t="shared" si="111"/>
        <v>41334</v>
      </c>
      <c r="B151" s="69">
        <f t="shared" si="114"/>
        <v>36522</v>
      </c>
      <c r="C151" s="71"/>
      <c r="D151" s="69">
        <f t="shared" si="77"/>
        <v>36522</v>
      </c>
      <c r="E151" s="70">
        <f t="shared" si="78"/>
        <v>1132182</v>
      </c>
      <c r="F151" s="70">
        <f t="shared" ca="1" si="79"/>
        <v>358158.31580392545</v>
      </c>
      <c r="G151" s="63">
        <f t="shared" si="80"/>
        <v>4.6100000000000003</v>
      </c>
      <c r="H151" s="64">
        <f t="shared" si="81"/>
        <v>4.6100000000000003</v>
      </c>
      <c r="I151" s="43"/>
      <c r="J151" s="63">
        <f t="shared" si="82"/>
        <v>0.27500000000000002</v>
      </c>
      <c r="K151" s="64">
        <f t="shared" si="83"/>
        <v>0.27500000000000002</v>
      </c>
      <c r="L151" s="63">
        <f t="shared" si="84"/>
        <v>0</v>
      </c>
      <c r="M151" s="64">
        <f t="shared" si="85"/>
        <v>0</v>
      </c>
      <c r="N151" s="65"/>
      <c r="O151" s="63">
        <f t="shared" si="86"/>
        <v>4.8850000000000007</v>
      </c>
      <c r="P151" s="63">
        <f t="shared" si="87"/>
        <v>4.8850000000000007</v>
      </c>
      <c r="Q151" s="66"/>
      <c r="R151" s="63">
        <f t="shared" si="88"/>
        <v>0.27500000000000002</v>
      </c>
      <c r="S151" s="64">
        <f t="shared" si="89"/>
        <v>0.27500000000000002</v>
      </c>
      <c r="T151" s="63">
        <f t="shared" si="90"/>
        <v>0</v>
      </c>
      <c r="U151" s="64">
        <f t="shared" si="91"/>
        <v>0</v>
      </c>
      <c r="V151" s="90">
        <f>IF($A152="","",IF(AND(MONTH(A151)&gt;3,MONTH(A151)&lt;11),(T151+R151+G151)*(((1/(1-Summary!$T$12))/(1-Summary!$W$12))-1),(T151+R151+G151)*((1/(1-Summary!$U$12))/(1-Summary!$X$12)-1)))</f>
        <v>0</v>
      </c>
      <c r="W151" s="63">
        <f t="shared" si="92"/>
        <v>4.8850000000000007</v>
      </c>
      <c r="X151" s="63">
        <f t="shared" si="93"/>
        <v>4.8850000000000007</v>
      </c>
      <c r="Y151" s="43"/>
      <c r="Z151" s="38">
        <f t="shared" si="94"/>
        <v>0.75</v>
      </c>
      <c r="AA151" s="38">
        <f t="shared" si="95"/>
        <v>0.17</v>
      </c>
      <c r="AB151" s="38">
        <f t="shared" ca="1" si="96"/>
        <v>0.17587086007729316</v>
      </c>
      <c r="AC151" s="38">
        <f t="shared" si="97"/>
        <v>0.75</v>
      </c>
      <c r="AD151" s="38">
        <f t="shared" si="97"/>
        <v>0.17</v>
      </c>
      <c r="AE151" s="38">
        <f t="shared" ca="1" si="98"/>
        <v>0.17587086007729316</v>
      </c>
      <c r="AF151" s="238">
        <f ca="1">((Summary!$N$12*(AA151*AD151)*(A151-$D$3))+(Summary!$M$12*Z151*AC151*(AJ151-EOMONTH(EDATE(A151,-1),0))))/(AK151*AB151*AE151)</f>
        <v>0.99990654320844086</v>
      </c>
      <c r="AG151" s="88">
        <f>IF($A152="","",Summary!$Q$12)</f>
        <v>0</v>
      </c>
      <c r="AH151" s="88">
        <f>IF($A152="","",IF(Summary!$R$12="Y",(VLOOKUP($A151,Summary!$AD$6:$AF$9,3)+'Escalating commodity'!H164),'Escalating commodity'!H164))</f>
        <v>2.9000000000000001E-2</v>
      </c>
      <c r="AI151" s="88">
        <f t="shared" si="112"/>
        <v>2.9000000000000001E-2</v>
      </c>
      <c r="AJ151" s="236">
        <f t="shared" si="99"/>
        <v>41348.5</v>
      </c>
      <c r="AK151" s="58">
        <f t="shared" ca="1" si="100"/>
        <v>4308</v>
      </c>
      <c r="AL151" s="26">
        <f ca="1">IF($A152="","",_xll.SPRDOPT(P151,X151,AI151,0,AB151,AE151,AF151,AK151,$AJ$2,0))</f>
        <v>3.7316560783923966E-3</v>
      </c>
      <c r="AM151" s="89">
        <f t="shared" si="101"/>
        <v>0</v>
      </c>
      <c r="AN151" s="89">
        <f t="shared" ca="1" si="102"/>
        <v>3.7316560783923966E-3</v>
      </c>
      <c r="AO151" s="3">
        <f t="shared" si="103"/>
        <v>31</v>
      </c>
      <c r="AP151" s="33">
        <f t="shared" si="104"/>
        <v>41334</v>
      </c>
      <c r="AQ151" s="58">
        <f t="shared" ca="1" si="105"/>
        <v>4308</v>
      </c>
      <c r="AR151" s="38">
        <f>'ANR OK vs ML7'!AR151</f>
        <v>0.1</v>
      </c>
      <c r="AS151" s="35">
        <f t="shared" ca="1" si="106"/>
        <v>0.31634341104515479</v>
      </c>
      <c r="AT151" s="3">
        <f t="shared" si="107"/>
        <v>1</v>
      </c>
      <c r="AU151" s="3">
        <f t="shared" si="108"/>
        <v>31</v>
      </c>
      <c r="AW151" s="32">
        <f t="shared" ca="1" si="109"/>
        <v>4224.9138421464604</v>
      </c>
      <c r="AX151" s="32">
        <f t="shared" si="109"/>
        <v>0</v>
      </c>
      <c r="AY151" s="32">
        <f t="shared" ca="1" si="110"/>
        <v>4224.9138421464604</v>
      </c>
      <c r="BA151" s="32">
        <f ca="1">IF($A152="","",F151*Summary!$Q$12)</f>
        <v>0</v>
      </c>
      <c r="BC151" s="256">
        <f t="shared" ca="1" si="113"/>
        <v>0</v>
      </c>
    </row>
    <row r="152" spans="1:55">
      <c r="A152" s="67">
        <f t="shared" si="111"/>
        <v>41365</v>
      </c>
      <c r="B152" s="69">
        <f t="shared" si="114"/>
        <v>36522</v>
      </c>
      <c r="C152" s="71"/>
      <c r="D152" s="69">
        <f t="shared" si="77"/>
        <v>36522</v>
      </c>
      <c r="E152" s="70">
        <f t="shared" si="78"/>
        <v>1095660</v>
      </c>
      <c r="F152" s="70">
        <f t="shared" ca="1" si="79"/>
        <v>343746.10465391132</v>
      </c>
      <c r="G152" s="63">
        <f t="shared" si="80"/>
        <v>4.4349999999999996</v>
      </c>
      <c r="H152" s="64">
        <f t="shared" si="81"/>
        <v>4.4349999999999996</v>
      </c>
      <c r="I152" s="43"/>
      <c r="J152" s="63">
        <f t="shared" si="82"/>
        <v>0.18</v>
      </c>
      <c r="K152" s="64">
        <f t="shared" si="83"/>
        <v>0.18</v>
      </c>
      <c r="L152" s="63">
        <f t="shared" si="84"/>
        <v>0</v>
      </c>
      <c r="M152" s="64">
        <f t="shared" si="85"/>
        <v>0</v>
      </c>
      <c r="N152" s="65"/>
      <c r="O152" s="63">
        <f t="shared" si="86"/>
        <v>4.6149999999999993</v>
      </c>
      <c r="P152" s="63">
        <f t="shared" si="87"/>
        <v>4.6149999999999993</v>
      </c>
      <c r="Q152" s="66"/>
      <c r="R152" s="63">
        <f t="shared" si="88"/>
        <v>0.18</v>
      </c>
      <c r="S152" s="64">
        <f t="shared" si="89"/>
        <v>0.18</v>
      </c>
      <c r="T152" s="63">
        <f t="shared" si="90"/>
        <v>0</v>
      </c>
      <c r="U152" s="64">
        <f t="shared" si="91"/>
        <v>0</v>
      </c>
      <c r="V152" s="90">
        <f>IF($A153="","",IF(AND(MONTH(A152)&gt;3,MONTH(A152)&lt;11),(T152+R152+G152)*(((1/(1-Summary!$T$12))/(1-Summary!$W$12))-1),(T152+R152+G152)*((1/(1-Summary!$U$12))/(1-Summary!$X$12)-1)))</f>
        <v>0</v>
      </c>
      <c r="W152" s="63">
        <f t="shared" si="92"/>
        <v>4.6149999999999993</v>
      </c>
      <c r="X152" s="63">
        <f t="shared" si="93"/>
        <v>4.6149999999999993</v>
      </c>
      <c r="Y152" s="43"/>
      <c r="Z152" s="38">
        <f t="shared" si="94"/>
        <v>0.45</v>
      </c>
      <c r="AA152" s="38">
        <f t="shared" si="95"/>
        <v>0.17</v>
      </c>
      <c r="AB152" s="38">
        <f t="shared" ca="1" si="96"/>
        <v>0.1720659949392305</v>
      </c>
      <c r="AC152" s="38">
        <f t="shared" si="97"/>
        <v>0.45</v>
      </c>
      <c r="AD152" s="38">
        <f t="shared" si="97"/>
        <v>0.17</v>
      </c>
      <c r="AE152" s="38">
        <f t="shared" ca="1" si="98"/>
        <v>0.1720659949392305</v>
      </c>
      <c r="AF152" s="238">
        <f ca="1">((Summary!$N$12*(AA152*AD152)*(A152-$D$3))+(Summary!$M$12*Z152*AC152*(AJ152-EOMONTH(EDATE(A152,-1),0))))/(AK152*AB152*AE152)</f>
        <v>0.99990236448485359</v>
      </c>
      <c r="AG152" s="88">
        <f>IF($A153="","",Summary!$Q$12)</f>
        <v>0</v>
      </c>
      <c r="AH152" s="88">
        <f>IF($A153="","",IF(Summary!$R$12="Y",(VLOOKUP($A152,Summary!$AD$6:$AF$9,3)+'Escalating commodity'!H165),'Escalating commodity'!H165))</f>
        <v>2.9000000000000001E-2</v>
      </c>
      <c r="AI152" s="88">
        <f t="shared" si="112"/>
        <v>2.9000000000000001E-2</v>
      </c>
      <c r="AJ152" s="236">
        <f t="shared" si="99"/>
        <v>41379</v>
      </c>
      <c r="AK152" s="58">
        <f t="shared" ca="1" si="100"/>
        <v>4339</v>
      </c>
      <c r="AL152" s="26">
        <f ca="1">IF($A153="","",_xll.SPRDOPT(P152,X152,AI152,0,AB152,AE152,AF152,AK152,$AJ$2,0))</f>
        <v>3.5372876067165659E-3</v>
      </c>
      <c r="AM152" s="89">
        <f t="shared" si="101"/>
        <v>0</v>
      </c>
      <c r="AN152" s="89">
        <f t="shared" ca="1" si="102"/>
        <v>3.5372876067165659E-3</v>
      </c>
      <c r="AO152" s="3">
        <f t="shared" si="103"/>
        <v>30</v>
      </c>
      <c r="AP152" s="33">
        <f t="shared" si="104"/>
        <v>41365</v>
      </c>
      <c r="AQ152" s="58">
        <f t="shared" ca="1" si="105"/>
        <v>4339</v>
      </c>
      <c r="AR152" s="38">
        <f>'ANR OK vs ML7'!AR152</f>
        <v>0.1</v>
      </c>
      <c r="AS152" s="35">
        <f t="shared" ca="1" si="106"/>
        <v>0.31373428312972212</v>
      </c>
      <c r="AT152" s="3">
        <f t="shared" si="107"/>
        <v>1</v>
      </c>
      <c r="AU152" s="3">
        <f t="shared" si="108"/>
        <v>30</v>
      </c>
      <c r="AW152" s="32">
        <f t="shared" ca="1" si="109"/>
        <v>3875.6645391750726</v>
      </c>
      <c r="AX152" s="32">
        <f t="shared" si="109"/>
        <v>0</v>
      </c>
      <c r="AY152" s="32">
        <f t="shared" ca="1" si="110"/>
        <v>3875.6645391750726</v>
      </c>
      <c r="BA152" s="32">
        <f ca="1">IF($A153="","",F152*Summary!$Q$12)</f>
        <v>0</v>
      </c>
      <c r="BC152" s="256">
        <f t="shared" ca="1" si="113"/>
        <v>0</v>
      </c>
    </row>
    <row r="153" spans="1:55">
      <c r="A153" s="67">
        <f t="shared" si="111"/>
        <v>41395</v>
      </c>
      <c r="B153" s="69">
        <f t="shared" si="114"/>
        <v>36522</v>
      </c>
      <c r="C153" s="71"/>
      <c r="D153" s="69">
        <f t="shared" si="77"/>
        <v>36522</v>
      </c>
      <c r="E153" s="70">
        <f t="shared" si="78"/>
        <v>1132182</v>
      </c>
      <c r="F153" s="70">
        <f t="shared" ca="1" si="79"/>
        <v>352368.79086429515</v>
      </c>
      <c r="G153" s="63">
        <f t="shared" si="80"/>
        <v>4.4050000000000002</v>
      </c>
      <c r="H153" s="64">
        <f t="shared" si="81"/>
        <v>4.4050000000000002</v>
      </c>
      <c r="I153" s="43"/>
      <c r="J153" s="63">
        <f t="shared" si="82"/>
        <v>0.18</v>
      </c>
      <c r="K153" s="64">
        <f t="shared" si="83"/>
        <v>0.18</v>
      </c>
      <c r="L153" s="63">
        <f t="shared" si="84"/>
        <v>0</v>
      </c>
      <c r="M153" s="64">
        <f t="shared" si="85"/>
        <v>0</v>
      </c>
      <c r="N153" s="65"/>
      <c r="O153" s="63">
        <f t="shared" si="86"/>
        <v>4.585</v>
      </c>
      <c r="P153" s="63">
        <f t="shared" si="87"/>
        <v>4.585</v>
      </c>
      <c r="Q153" s="66"/>
      <c r="R153" s="63">
        <f t="shared" si="88"/>
        <v>0.18</v>
      </c>
      <c r="S153" s="64">
        <f t="shared" si="89"/>
        <v>0.18</v>
      </c>
      <c r="T153" s="63">
        <f t="shared" si="90"/>
        <v>0</v>
      </c>
      <c r="U153" s="64">
        <f t="shared" si="91"/>
        <v>0</v>
      </c>
      <c r="V153" s="90">
        <f>IF($A154="","",IF(AND(MONTH(A153)&gt;3,MONTH(A153)&lt;11),(T153+R153+G153)*(((1/(1-Summary!$T$12))/(1-Summary!$W$12))-1),(T153+R153+G153)*((1/(1-Summary!$U$12))/(1-Summary!$X$12)-1)))</f>
        <v>0</v>
      </c>
      <c r="W153" s="63">
        <f t="shared" si="92"/>
        <v>4.585</v>
      </c>
      <c r="X153" s="63">
        <f t="shared" si="93"/>
        <v>4.585</v>
      </c>
      <c r="Y153" s="43"/>
      <c r="Z153" s="38">
        <f t="shared" si="94"/>
        <v>0.5</v>
      </c>
      <c r="AA153" s="38">
        <f t="shared" si="95"/>
        <v>0.17</v>
      </c>
      <c r="AB153" s="38">
        <f t="shared" ca="1" si="96"/>
        <v>0.17260806885466767</v>
      </c>
      <c r="AC153" s="38">
        <f t="shared" si="97"/>
        <v>0.5</v>
      </c>
      <c r="AD153" s="38">
        <f t="shared" si="97"/>
        <v>0.17</v>
      </c>
      <c r="AE153" s="38">
        <f t="shared" ca="1" si="98"/>
        <v>0.17260806885466767</v>
      </c>
      <c r="AF153" s="238">
        <f ca="1">((Summary!$N$12*(AA153*AD153)*(A153-$D$3))+(Summary!$M$12*Z153*AC153*(AJ153-EOMONTH(EDATE(A153,-1),0))))/(AK153*AB153*AE153)</f>
        <v>0.9999029769221317</v>
      </c>
      <c r="AG153" s="88">
        <f>IF($A154="","",Summary!$Q$12)</f>
        <v>0</v>
      </c>
      <c r="AH153" s="88">
        <f>IF($A154="","",IF(Summary!$R$12="Y",(VLOOKUP($A153,Summary!$AD$6:$AF$9,3)+'Escalating commodity'!H166),'Escalating commodity'!H166))</f>
        <v>2.9000000000000001E-2</v>
      </c>
      <c r="AI153" s="88">
        <f t="shared" si="112"/>
        <v>2.9000000000000001E-2</v>
      </c>
      <c r="AJ153" s="236">
        <f t="shared" si="99"/>
        <v>41409.5</v>
      </c>
      <c r="AK153" s="58">
        <f t="shared" ca="1" si="100"/>
        <v>4369</v>
      </c>
      <c r="AL153" s="26">
        <f ca="1">IF($A154="","",_xll.SPRDOPT(P153,X153,AI153,0,AB153,AE153,AF153,AK153,$AJ$2,0))</f>
        <v>3.5161802818197557E-3</v>
      </c>
      <c r="AM153" s="89">
        <f t="shared" si="101"/>
        <v>0</v>
      </c>
      <c r="AN153" s="89">
        <f t="shared" ca="1" si="102"/>
        <v>3.5161802818197557E-3</v>
      </c>
      <c r="AO153" s="3">
        <f t="shared" si="103"/>
        <v>31</v>
      </c>
      <c r="AP153" s="33">
        <f t="shared" si="104"/>
        <v>41395</v>
      </c>
      <c r="AQ153" s="58">
        <f t="shared" ca="1" si="105"/>
        <v>4369</v>
      </c>
      <c r="AR153" s="38">
        <f>'ANR OK vs ML7'!AR153</f>
        <v>0.1</v>
      </c>
      <c r="AS153" s="35">
        <f t="shared" ca="1" si="106"/>
        <v>0.31122981187149695</v>
      </c>
      <c r="AT153" s="3">
        <f t="shared" si="107"/>
        <v>1</v>
      </c>
      <c r="AU153" s="3">
        <f t="shared" si="108"/>
        <v>31</v>
      </c>
      <c r="AW153" s="32">
        <f t="shared" ca="1" si="109"/>
        <v>3980.9560238312547</v>
      </c>
      <c r="AX153" s="32">
        <f t="shared" si="109"/>
        <v>0</v>
      </c>
      <c r="AY153" s="32">
        <f t="shared" ca="1" si="110"/>
        <v>3980.9560238312547</v>
      </c>
      <c r="BA153" s="32">
        <f ca="1">IF($A154="","",F153*Summary!$Q$12)</f>
        <v>0</v>
      </c>
      <c r="BC153" s="256">
        <f t="shared" ca="1" si="113"/>
        <v>0</v>
      </c>
    </row>
    <row r="154" spans="1:55">
      <c r="A154" s="67">
        <f t="shared" si="111"/>
        <v>41426</v>
      </c>
      <c r="B154" s="69">
        <f t="shared" si="114"/>
        <v>36522</v>
      </c>
      <c r="C154" s="71"/>
      <c r="D154" s="69">
        <f t="shared" si="77"/>
        <v>36522</v>
      </c>
      <c r="E154" s="70">
        <f t="shared" si="78"/>
        <v>1095660</v>
      </c>
      <c r="F154" s="70">
        <f t="shared" ca="1" si="79"/>
        <v>338189.54891311401</v>
      </c>
      <c r="G154" s="63">
        <f t="shared" si="80"/>
        <v>4.4749999999999996</v>
      </c>
      <c r="H154" s="64">
        <f t="shared" si="81"/>
        <v>4.4749999999999996</v>
      </c>
      <c r="I154" s="43"/>
      <c r="J154" s="63">
        <f t="shared" si="82"/>
        <v>0.18</v>
      </c>
      <c r="K154" s="64">
        <f t="shared" si="83"/>
        <v>0.18</v>
      </c>
      <c r="L154" s="63">
        <f t="shared" si="84"/>
        <v>0</v>
      </c>
      <c r="M154" s="64">
        <f t="shared" si="85"/>
        <v>0</v>
      </c>
      <c r="N154" s="65"/>
      <c r="O154" s="63">
        <f t="shared" si="86"/>
        <v>4.6549999999999994</v>
      </c>
      <c r="P154" s="63">
        <f t="shared" si="87"/>
        <v>4.6549999999999994</v>
      </c>
      <c r="Q154" s="66"/>
      <c r="R154" s="63">
        <f t="shared" si="88"/>
        <v>0.18</v>
      </c>
      <c r="S154" s="64">
        <f t="shared" si="89"/>
        <v>0.18</v>
      </c>
      <c r="T154" s="63">
        <f t="shared" si="90"/>
        <v>0</v>
      </c>
      <c r="U154" s="64">
        <f t="shared" si="91"/>
        <v>0</v>
      </c>
      <c r="V154" s="90">
        <f>IF($A155="","",IF(AND(MONTH(A154)&gt;3,MONTH(A154)&lt;11),(T154+R154+G154)*(((1/(1-Summary!$T$12))/(1-Summary!$W$12))-1),(T154+R154+G154)*((1/(1-Summary!$U$12))/(1-Summary!$X$12)-1)))</f>
        <v>0</v>
      </c>
      <c r="W154" s="63">
        <f t="shared" si="92"/>
        <v>4.6549999999999994</v>
      </c>
      <c r="X154" s="63">
        <f t="shared" si="93"/>
        <v>4.6549999999999994</v>
      </c>
      <c r="Y154" s="43"/>
      <c r="Z154" s="38">
        <f t="shared" si="94"/>
        <v>0.5</v>
      </c>
      <c r="AA154" s="38">
        <f t="shared" si="95"/>
        <v>0.17</v>
      </c>
      <c r="AB154" s="38">
        <f t="shared" ca="1" si="96"/>
        <v>0.17250750971795667</v>
      </c>
      <c r="AC154" s="38">
        <f t="shared" si="97"/>
        <v>0.5</v>
      </c>
      <c r="AD154" s="38">
        <f t="shared" si="97"/>
        <v>0.17</v>
      </c>
      <c r="AE154" s="38">
        <f t="shared" ca="1" si="98"/>
        <v>0.17250750971795667</v>
      </c>
      <c r="AF154" s="238">
        <f ca="1">((Summary!$N$12*(AA154*AD154)*(A154-$D$3))+(Summary!$M$12*Z154*AC154*(AJ154-EOMONTH(EDATE(A154,-1),0))))/(AK154*AB154*AE154)</f>
        <v>0.9999028639311921</v>
      </c>
      <c r="AG154" s="88">
        <f>IF($A155="","",Summary!$Q$12)</f>
        <v>0</v>
      </c>
      <c r="AH154" s="88">
        <f>IF($A155="","",IF(Summary!$R$12="Y",(VLOOKUP($A154,Summary!$AD$6:$AF$9,3)+'Escalating commodity'!H167),'Escalating commodity'!H167))</f>
        <v>2.9000000000000001E-2</v>
      </c>
      <c r="AI154" s="88">
        <f t="shared" si="112"/>
        <v>2.9000000000000001E-2</v>
      </c>
      <c r="AJ154" s="236">
        <f t="shared" si="99"/>
        <v>41440</v>
      </c>
      <c r="AK154" s="58">
        <f t="shared" ca="1" si="100"/>
        <v>4400</v>
      </c>
      <c r="AL154" s="26">
        <f ca="1">IF($A155="","",_xll.SPRDOPT(P154,X154,AI154,0,AB154,AE154,AF154,AK154,$AJ$2,0))</f>
        <v>3.6041010377831639E-3</v>
      </c>
      <c r="AM154" s="89">
        <f t="shared" si="101"/>
        <v>0</v>
      </c>
      <c r="AN154" s="89">
        <f t="shared" ca="1" si="102"/>
        <v>3.6041010377831639E-3</v>
      </c>
      <c r="AO154" s="3">
        <f t="shared" si="103"/>
        <v>30</v>
      </c>
      <c r="AP154" s="33">
        <f t="shared" si="104"/>
        <v>41426</v>
      </c>
      <c r="AQ154" s="58">
        <f t="shared" ca="1" si="105"/>
        <v>4400</v>
      </c>
      <c r="AR154" s="38">
        <f>'ANR OK vs ML7'!AR154</f>
        <v>0.1</v>
      </c>
      <c r="AS154" s="35">
        <f t="shared" ca="1" si="106"/>
        <v>0.30866285974947888</v>
      </c>
      <c r="AT154" s="3">
        <f t="shared" si="107"/>
        <v>1</v>
      </c>
      <c r="AU154" s="3">
        <f t="shared" si="108"/>
        <v>30</v>
      </c>
      <c r="AW154" s="32">
        <f t="shared" ca="1" si="109"/>
        <v>3948.8693430575013</v>
      </c>
      <c r="AX154" s="32">
        <f t="shared" si="109"/>
        <v>0</v>
      </c>
      <c r="AY154" s="32">
        <f t="shared" ca="1" si="110"/>
        <v>3948.8693430575013</v>
      </c>
      <c r="BA154" s="32">
        <f ca="1">IF($A155="","",F154*Summary!$Q$12)</f>
        <v>0</v>
      </c>
      <c r="BC154" s="256">
        <f t="shared" ca="1" si="113"/>
        <v>0</v>
      </c>
    </row>
    <row r="155" spans="1:55">
      <c r="A155" s="67">
        <f t="shared" si="111"/>
        <v>41456</v>
      </c>
      <c r="B155" s="69">
        <f t="shared" si="114"/>
        <v>36522</v>
      </c>
      <c r="C155" s="71"/>
      <c r="D155" s="69">
        <f t="shared" si="77"/>
        <v>36522</v>
      </c>
      <c r="E155" s="70">
        <f t="shared" si="78"/>
        <v>1132182</v>
      </c>
      <c r="F155" s="70">
        <f t="shared" ca="1" si="79"/>
        <v>346672.85191038012</v>
      </c>
      <c r="G155" s="63">
        <f t="shared" si="80"/>
        <v>4.53</v>
      </c>
      <c r="H155" s="64">
        <f t="shared" si="81"/>
        <v>4.53</v>
      </c>
      <c r="I155" s="43"/>
      <c r="J155" s="63">
        <f t="shared" si="82"/>
        <v>0.18</v>
      </c>
      <c r="K155" s="64">
        <f t="shared" si="83"/>
        <v>0.18</v>
      </c>
      <c r="L155" s="63">
        <f t="shared" si="84"/>
        <v>0</v>
      </c>
      <c r="M155" s="64">
        <f t="shared" si="85"/>
        <v>0</v>
      </c>
      <c r="N155" s="65"/>
      <c r="O155" s="63">
        <f t="shared" si="86"/>
        <v>4.71</v>
      </c>
      <c r="P155" s="63">
        <f t="shared" si="87"/>
        <v>4.71</v>
      </c>
      <c r="Q155" s="66"/>
      <c r="R155" s="63">
        <f t="shared" si="88"/>
        <v>0.18</v>
      </c>
      <c r="S155" s="64">
        <f t="shared" si="89"/>
        <v>0.18</v>
      </c>
      <c r="T155" s="63">
        <f t="shared" si="90"/>
        <v>0</v>
      </c>
      <c r="U155" s="64">
        <f t="shared" si="91"/>
        <v>0</v>
      </c>
      <c r="V155" s="90">
        <f>IF($A156="","",IF(AND(MONTH(A155)&gt;3,MONTH(A155)&lt;11),(T155+R155+G155)*(((1/(1-Summary!$T$12))/(1-Summary!$W$12))-1),(T155+R155+G155)*((1/(1-Summary!$U$12))/(1-Summary!$X$12)-1)))</f>
        <v>0</v>
      </c>
      <c r="W155" s="63">
        <f t="shared" si="92"/>
        <v>4.71</v>
      </c>
      <c r="X155" s="63">
        <f t="shared" si="93"/>
        <v>4.71</v>
      </c>
      <c r="Y155" s="43"/>
      <c r="Z155" s="38">
        <f t="shared" si="94"/>
        <v>0.55000000000000004</v>
      </c>
      <c r="AA155" s="38">
        <f t="shared" si="95"/>
        <v>0.17</v>
      </c>
      <c r="AB155" s="38">
        <f t="shared" ca="1" si="96"/>
        <v>0.17310381936834818</v>
      </c>
      <c r="AC155" s="38">
        <f t="shared" si="97"/>
        <v>0.55000000000000004</v>
      </c>
      <c r="AD155" s="38">
        <f t="shared" si="97"/>
        <v>0.17</v>
      </c>
      <c r="AE155" s="38">
        <f t="shared" ca="1" si="98"/>
        <v>0.17310381936834818</v>
      </c>
      <c r="AF155" s="238">
        <f ca="1">((Summary!$N$12*(AA155*AD155)*(A155-$D$3))+(Summary!$M$12*Z155*AC155*(AJ155-EOMONTH(EDATE(A155,-1),0))))/(AK155*AB155*AE155)</f>
        <v>0.99990353215741656</v>
      </c>
      <c r="AG155" s="88">
        <f>IF($A156="","",Summary!$Q$12)</f>
        <v>0</v>
      </c>
      <c r="AH155" s="88">
        <f>IF($A156="","",IF(Summary!$R$12="Y",(VLOOKUP($A155,Summary!$AD$6:$AF$9,3)+'Escalating commodity'!H168),'Escalating commodity'!H168))</f>
        <v>2.9000000000000001E-2</v>
      </c>
      <c r="AI155" s="88">
        <f t="shared" si="112"/>
        <v>2.9000000000000001E-2</v>
      </c>
      <c r="AJ155" s="236">
        <f t="shared" si="99"/>
        <v>41470.5</v>
      </c>
      <c r="AK155" s="58">
        <f t="shared" ca="1" si="100"/>
        <v>4430</v>
      </c>
      <c r="AL155" s="26">
        <f ca="1">IF($A156="","",_xll.SPRDOPT(P155,X155,AI155,0,AB155,AE155,AF155,AK155,$AJ$2,0))</f>
        <v>3.6669318610957208E-3</v>
      </c>
      <c r="AM155" s="89">
        <f t="shared" si="101"/>
        <v>0</v>
      </c>
      <c r="AN155" s="89">
        <f t="shared" ca="1" si="102"/>
        <v>3.6669318610957208E-3</v>
      </c>
      <c r="AO155" s="3">
        <f t="shared" si="103"/>
        <v>31</v>
      </c>
      <c r="AP155" s="33">
        <f t="shared" si="104"/>
        <v>41456</v>
      </c>
      <c r="AQ155" s="58">
        <f t="shared" ca="1" si="105"/>
        <v>4430</v>
      </c>
      <c r="AR155" s="38">
        <f>'ANR OK vs ML7'!AR155</f>
        <v>0.1</v>
      </c>
      <c r="AS155" s="35">
        <f t="shared" ca="1" si="106"/>
        <v>0.30619887254026307</v>
      </c>
      <c r="AT155" s="3">
        <f t="shared" si="107"/>
        <v>1</v>
      </c>
      <c r="AU155" s="3">
        <f t="shared" si="108"/>
        <v>31</v>
      </c>
      <c r="AW155" s="32">
        <f t="shared" ca="1" si="109"/>
        <v>4151.6342483590752</v>
      </c>
      <c r="AX155" s="32">
        <f t="shared" si="109"/>
        <v>0</v>
      </c>
      <c r="AY155" s="32">
        <f t="shared" ca="1" si="110"/>
        <v>4151.6342483590752</v>
      </c>
      <c r="BA155" s="32">
        <f ca="1">IF($A156="","",F155*Summary!$Q$12)</f>
        <v>0</v>
      </c>
      <c r="BC155" s="256">
        <f t="shared" ca="1" si="113"/>
        <v>0</v>
      </c>
    </row>
    <row r="156" spans="1:55">
      <c r="A156" s="67">
        <f t="shared" si="111"/>
        <v>41487</v>
      </c>
      <c r="B156" s="69">
        <f t="shared" si="114"/>
        <v>36522</v>
      </c>
      <c r="C156" s="71"/>
      <c r="D156" s="69">
        <f t="shared" si="77"/>
        <v>36522</v>
      </c>
      <c r="E156" s="70">
        <f t="shared" si="78"/>
        <v>1132182</v>
      </c>
      <c r="F156" s="70">
        <f t="shared" ca="1" si="79"/>
        <v>343813.57372135879</v>
      </c>
      <c r="G156" s="63">
        <f t="shared" si="80"/>
        <v>4.5860000000000003</v>
      </c>
      <c r="H156" s="64">
        <f t="shared" si="81"/>
        <v>4.5860000000000003</v>
      </c>
      <c r="I156" s="43"/>
      <c r="J156" s="63">
        <f t="shared" si="82"/>
        <v>0.18</v>
      </c>
      <c r="K156" s="64">
        <f t="shared" si="83"/>
        <v>0.18</v>
      </c>
      <c r="L156" s="63">
        <f t="shared" si="84"/>
        <v>0</v>
      </c>
      <c r="M156" s="64">
        <f t="shared" si="85"/>
        <v>0</v>
      </c>
      <c r="N156" s="65"/>
      <c r="O156" s="63">
        <f t="shared" si="86"/>
        <v>4.766</v>
      </c>
      <c r="P156" s="63">
        <f t="shared" si="87"/>
        <v>4.766</v>
      </c>
      <c r="Q156" s="66"/>
      <c r="R156" s="63">
        <f t="shared" si="88"/>
        <v>0.18</v>
      </c>
      <c r="S156" s="64">
        <f t="shared" si="89"/>
        <v>0.18</v>
      </c>
      <c r="T156" s="63">
        <f t="shared" si="90"/>
        <v>0</v>
      </c>
      <c r="U156" s="64">
        <f t="shared" si="91"/>
        <v>0</v>
      </c>
      <c r="V156" s="90">
        <f>IF($A157="","",IF(AND(MONTH(A156)&gt;3,MONTH(A156)&lt;11),(T156+R156+G156)*(((1/(1-Summary!$T$12))/(1-Summary!$W$12))-1),(T156+R156+G156)*((1/(1-Summary!$U$12))/(1-Summary!$X$12)-1)))</f>
        <v>0</v>
      </c>
      <c r="W156" s="63">
        <f t="shared" si="92"/>
        <v>4.766</v>
      </c>
      <c r="X156" s="63">
        <f t="shared" si="93"/>
        <v>4.766</v>
      </c>
      <c r="Y156" s="43"/>
      <c r="Z156" s="38">
        <f t="shared" si="94"/>
        <v>0.6</v>
      </c>
      <c r="AA156" s="38">
        <f t="shared" si="95"/>
        <v>0.17</v>
      </c>
      <c r="AB156" s="38">
        <f t="shared" ca="1" si="96"/>
        <v>0.17365862773491639</v>
      </c>
      <c r="AC156" s="38">
        <f t="shared" si="97"/>
        <v>0.6</v>
      </c>
      <c r="AD156" s="38">
        <f t="shared" si="97"/>
        <v>0.17</v>
      </c>
      <c r="AE156" s="38">
        <f t="shared" ca="1" si="98"/>
        <v>0.17365862773491639</v>
      </c>
      <c r="AF156" s="238">
        <f ca="1">((Summary!$N$12*(AA156*AD156)*(A156-$D$3))+(Summary!$M$12*Z156*AC156*(AJ156-EOMONTH(EDATE(A156,-1),0))))/(AK156*AB156*AE156)</f>
        <v>0.99990414771823477</v>
      </c>
      <c r="AG156" s="88">
        <f>IF($A157="","",Summary!$Q$12)</f>
        <v>0</v>
      </c>
      <c r="AH156" s="88">
        <f>IF($A157="","",IF(Summary!$R$12="Y",(VLOOKUP($A156,Summary!$AD$6:$AF$9,3)+'Escalating commodity'!H169),'Escalating commodity'!H169))</f>
        <v>2.9000000000000001E-2</v>
      </c>
      <c r="AI156" s="88">
        <f t="shared" si="112"/>
        <v>2.9000000000000001E-2</v>
      </c>
      <c r="AJ156" s="236">
        <f t="shared" si="99"/>
        <v>41501.5</v>
      </c>
      <c r="AK156" s="58">
        <f t="shared" ca="1" si="100"/>
        <v>4461</v>
      </c>
      <c r="AL156" s="26">
        <f ca="1">IF($A157="","",_xll.SPRDOPT(P156,X156,AI156,0,AB156,AE156,AF156,AK156,$AJ$2,0))</f>
        <v>3.7318787757570845E-3</v>
      </c>
      <c r="AM156" s="89">
        <f t="shared" si="101"/>
        <v>0</v>
      </c>
      <c r="AN156" s="89">
        <f t="shared" ca="1" si="102"/>
        <v>3.7318787757570845E-3</v>
      </c>
      <c r="AO156" s="3">
        <f t="shared" si="103"/>
        <v>31</v>
      </c>
      <c r="AP156" s="33">
        <f t="shared" si="104"/>
        <v>41487</v>
      </c>
      <c r="AQ156" s="58">
        <f t="shared" ca="1" si="105"/>
        <v>4461</v>
      </c>
      <c r="AR156" s="38">
        <f>'ANR OK vs ML7'!AR156</f>
        <v>0.1</v>
      </c>
      <c r="AS156" s="35">
        <f t="shared" ca="1" si="106"/>
        <v>0.30367341445223361</v>
      </c>
      <c r="AT156" s="3">
        <f t="shared" si="107"/>
        <v>1</v>
      </c>
      <c r="AU156" s="3">
        <f t="shared" si="108"/>
        <v>31</v>
      </c>
      <c r="AW156" s="32">
        <f t="shared" ca="1" si="109"/>
        <v>4225.1659760942075</v>
      </c>
      <c r="AX156" s="32">
        <f t="shared" si="109"/>
        <v>0</v>
      </c>
      <c r="AY156" s="32">
        <f t="shared" ca="1" si="110"/>
        <v>4225.1659760942075</v>
      </c>
      <c r="BA156" s="32">
        <f ca="1">IF($A157="","",F156*Summary!$Q$12)</f>
        <v>0</v>
      </c>
      <c r="BC156" s="256">
        <f t="shared" ca="1" si="113"/>
        <v>0</v>
      </c>
    </row>
    <row r="157" spans="1:55">
      <c r="A157" s="67">
        <f t="shared" si="111"/>
        <v>41518</v>
      </c>
      <c r="B157" s="69">
        <f t="shared" si="114"/>
        <v>36522</v>
      </c>
      <c r="C157" s="71"/>
      <c r="D157" s="69">
        <f t="shared" si="77"/>
        <v>36522</v>
      </c>
      <c r="E157" s="70">
        <f t="shared" si="78"/>
        <v>1095660</v>
      </c>
      <c r="F157" s="70">
        <f t="shared" ca="1" si="79"/>
        <v>329978.59180954436</v>
      </c>
      <c r="G157" s="63">
        <f t="shared" si="80"/>
        <v>4.5999999999999996</v>
      </c>
      <c r="H157" s="64">
        <f t="shared" si="81"/>
        <v>4.5999999999999996</v>
      </c>
      <c r="I157" s="43"/>
      <c r="J157" s="63">
        <f t="shared" si="82"/>
        <v>0.18</v>
      </c>
      <c r="K157" s="64">
        <f t="shared" si="83"/>
        <v>0.18</v>
      </c>
      <c r="L157" s="63">
        <f t="shared" si="84"/>
        <v>0</v>
      </c>
      <c r="M157" s="64">
        <f t="shared" si="85"/>
        <v>0</v>
      </c>
      <c r="N157" s="65"/>
      <c r="O157" s="63">
        <f t="shared" si="86"/>
        <v>4.7799999999999994</v>
      </c>
      <c r="P157" s="63">
        <f t="shared" si="87"/>
        <v>4.7799999999999994</v>
      </c>
      <c r="Q157" s="66"/>
      <c r="R157" s="63">
        <f t="shared" si="88"/>
        <v>0.18</v>
      </c>
      <c r="S157" s="64">
        <f t="shared" si="89"/>
        <v>0.18</v>
      </c>
      <c r="T157" s="63">
        <f t="shared" si="90"/>
        <v>0</v>
      </c>
      <c r="U157" s="64">
        <f t="shared" si="91"/>
        <v>0</v>
      </c>
      <c r="V157" s="90">
        <f>IF($A158="","",IF(AND(MONTH(A157)&gt;3,MONTH(A157)&lt;11),(T157+R157+G157)*(((1/(1-Summary!$T$12))/(1-Summary!$W$12))-1),(T157+R157+G157)*((1/(1-Summary!$U$12))/(1-Summary!$X$12)-1)))</f>
        <v>0</v>
      </c>
      <c r="W157" s="63">
        <f t="shared" si="92"/>
        <v>4.7799999999999994</v>
      </c>
      <c r="X157" s="63">
        <f t="shared" si="93"/>
        <v>4.7799999999999994</v>
      </c>
      <c r="Y157" s="43"/>
      <c r="Z157" s="38">
        <f t="shared" si="94"/>
        <v>0.6</v>
      </c>
      <c r="AA157" s="38">
        <f t="shared" si="95"/>
        <v>0.17</v>
      </c>
      <c r="AB157" s="38">
        <f t="shared" ca="1" si="96"/>
        <v>0.17351821458429095</v>
      </c>
      <c r="AC157" s="38">
        <f t="shared" si="97"/>
        <v>0.6</v>
      </c>
      <c r="AD157" s="38">
        <f t="shared" si="97"/>
        <v>0.17</v>
      </c>
      <c r="AE157" s="38">
        <f t="shared" ca="1" si="98"/>
        <v>0.17351821458429095</v>
      </c>
      <c r="AF157" s="238">
        <f ca="1">((Summary!$N$12*(AA157*AD157)*(A157-$D$3))+(Summary!$M$12*Z157*AC157*(AJ157-EOMONTH(EDATE(A157,-1),0))))/(AK157*AB157*AE157)</f>
        <v>0.9999039926741824</v>
      </c>
      <c r="AG157" s="88">
        <f>IF($A158="","",Summary!$Q$12)</f>
        <v>0</v>
      </c>
      <c r="AH157" s="88">
        <f>IF($A158="","",IF(Summary!$R$12="Y",(VLOOKUP($A157,Summary!$AD$6:$AF$9,3)+'Escalating commodity'!H170),'Escalating commodity'!H170))</f>
        <v>2.9000000000000001E-2</v>
      </c>
      <c r="AI157" s="88">
        <f t="shared" si="112"/>
        <v>2.9000000000000001E-2</v>
      </c>
      <c r="AJ157" s="236">
        <f t="shared" si="99"/>
        <v>41532</v>
      </c>
      <c r="AK157" s="58">
        <f t="shared" ca="1" si="100"/>
        <v>4492</v>
      </c>
      <c r="AL157" s="26">
        <f ca="1">IF($A158="","",_xll.SPRDOPT(P157,X157,AI157,0,AB157,AE157,AF157,AK157,$AJ$2,0))</f>
        <v>3.7650426199432804E-3</v>
      </c>
      <c r="AM157" s="89">
        <f t="shared" si="101"/>
        <v>0</v>
      </c>
      <c r="AN157" s="89">
        <f t="shared" ca="1" si="102"/>
        <v>3.7650426199432804E-3</v>
      </c>
      <c r="AO157" s="3">
        <f t="shared" si="103"/>
        <v>30</v>
      </c>
      <c r="AP157" s="33">
        <f t="shared" si="104"/>
        <v>41518</v>
      </c>
      <c r="AQ157" s="58">
        <f t="shared" ca="1" si="105"/>
        <v>4492</v>
      </c>
      <c r="AR157" s="38">
        <f>'ANR OK vs ML7'!AR157</f>
        <v>0.1</v>
      </c>
      <c r="AS157" s="35">
        <f t="shared" ca="1" si="106"/>
        <v>0.30116878576341599</v>
      </c>
      <c r="AT157" s="3">
        <f t="shared" si="107"/>
        <v>1</v>
      </c>
      <c r="AU157" s="3">
        <f t="shared" si="108"/>
        <v>30</v>
      </c>
      <c r="AW157" s="32">
        <f t="shared" ca="1" si="109"/>
        <v>4125.2065969670548</v>
      </c>
      <c r="AX157" s="32">
        <f t="shared" si="109"/>
        <v>0</v>
      </c>
      <c r="AY157" s="32">
        <f t="shared" ca="1" si="110"/>
        <v>4125.2065969670548</v>
      </c>
      <c r="BA157" s="32">
        <f ca="1">IF($A158="","",F157*Summary!$Q$12)</f>
        <v>0</v>
      </c>
      <c r="BC157" s="256">
        <f t="shared" ca="1" si="113"/>
        <v>0</v>
      </c>
    </row>
    <row r="158" spans="1:55">
      <c r="A158" s="67">
        <f t="shared" si="111"/>
        <v>41548</v>
      </c>
      <c r="B158" s="69">
        <f t="shared" si="114"/>
        <v>36522</v>
      </c>
      <c r="C158" s="71"/>
      <c r="D158" s="69">
        <f t="shared" si="77"/>
        <v>36522</v>
      </c>
      <c r="E158" s="70">
        <f t="shared" si="78"/>
        <v>1132182</v>
      </c>
      <c r="F158" s="70">
        <f t="shared" ca="1" si="79"/>
        <v>338255.92736272182</v>
      </c>
      <c r="G158" s="63">
        <f t="shared" si="80"/>
        <v>4.6310000000000002</v>
      </c>
      <c r="H158" s="64">
        <f t="shared" si="81"/>
        <v>4.6310000000000002</v>
      </c>
      <c r="I158" s="43"/>
      <c r="J158" s="63">
        <f t="shared" si="82"/>
        <v>0.18</v>
      </c>
      <c r="K158" s="64">
        <f t="shared" si="83"/>
        <v>0.18</v>
      </c>
      <c r="L158" s="63">
        <f t="shared" si="84"/>
        <v>0</v>
      </c>
      <c r="M158" s="64">
        <f t="shared" si="85"/>
        <v>0</v>
      </c>
      <c r="N158" s="65"/>
      <c r="O158" s="63">
        <f t="shared" si="86"/>
        <v>4.8109999999999999</v>
      </c>
      <c r="P158" s="63">
        <f t="shared" si="87"/>
        <v>4.8109999999999999</v>
      </c>
      <c r="Q158" s="66"/>
      <c r="R158" s="63">
        <f t="shared" si="88"/>
        <v>0.18</v>
      </c>
      <c r="S158" s="64">
        <f t="shared" si="89"/>
        <v>0.18</v>
      </c>
      <c r="T158" s="63">
        <f t="shared" si="90"/>
        <v>0</v>
      </c>
      <c r="U158" s="64">
        <f t="shared" si="91"/>
        <v>0</v>
      </c>
      <c r="V158" s="90">
        <f>IF($A159="","",IF(AND(MONTH(A158)&gt;3,MONTH(A158)&lt;11),(T158+R158+G158)*(((1/(1-Summary!$T$12))/(1-Summary!$W$12))-1),(T158+R158+G158)*((1/(1-Summary!$U$12))/(1-Summary!$X$12)-1)))</f>
        <v>0</v>
      </c>
      <c r="W158" s="63">
        <f t="shared" si="92"/>
        <v>4.8109999999999999</v>
      </c>
      <c r="X158" s="63">
        <f t="shared" si="93"/>
        <v>4.8109999999999999</v>
      </c>
      <c r="Y158" s="43"/>
      <c r="Z158" s="38">
        <f t="shared" si="94"/>
        <v>0.65</v>
      </c>
      <c r="AA158" s="38">
        <f t="shared" si="95"/>
        <v>0.17</v>
      </c>
      <c r="AB158" s="38">
        <f t="shared" ca="1" si="96"/>
        <v>0.17422568317437101</v>
      </c>
      <c r="AC158" s="38">
        <f t="shared" si="97"/>
        <v>0.65</v>
      </c>
      <c r="AD158" s="38">
        <f t="shared" si="97"/>
        <v>0.17</v>
      </c>
      <c r="AE158" s="38">
        <f t="shared" ca="1" si="98"/>
        <v>0.17422568317437101</v>
      </c>
      <c r="AF158" s="238">
        <f ca="1">((Summary!$N$12*(AA158*AD158)*(A158-$D$3))+(Summary!$M$12*Z158*AC158*(AJ158-EOMONTH(EDATE(A158,-1),0))))/(AK158*AB158*AE158)</f>
        <v>0.99990477093501562</v>
      </c>
      <c r="AG158" s="88">
        <f>IF($A159="","",Summary!$Q$12)</f>
        <v>0</v>
      </c>
      <c r="AH158" s="88">
        <f>IF($A159="","",IF(Summary!$R$12="Y",(VLOOKUP($A158,Summary!$AD$6:$AF$9,3)+'Escalating commodity'!H171),'Escalating commodity'!H171))</f>
        <v>2.9000000000000001E-2</v>
      </c>
      <c r="AI158" s="88">
        <f t="shared" si="112"/>
        <v>2.9000000000000001E-2</v>
      </c>
      <c r="AJ158" s="236">
        <f t="shared" si="99"/>
        <v>41562.5</v>
      </c>
      <c r="AK158" s="58">
        <f t="shared" ca="1" si="100"/>
        <v>4522</v>
      </c>
      <c r="AL158" s="26">
        <f ca="1">IF($A159="","",_xll.SPRDOPT(P158,X158,AI158,0,AB158,AE158,AF158,AK158,$AJ$2,0))</f>
        <v>3.8020610041125183E-3</v>
      </c>
      <c r="AM158" s="89">
        <f t="shared" si="101"/>
        <v>0</v>
      </c>
      <c r="AN158" s="89">
        <f t="shared" ca="1" si="102"/>
        <v>3.8020610041125183E-3</v>
      </c>
      <c r="AO158" s="3">
        <f t="shared" si="103"/>
        <v>31</v>
      </c>
      <c r="AP158" s="33">
        <f t="shared" si="104"/>
        <v>41548</v>
      </c>
      <c r="AQ158" s="58">
        <f t="shared" ca="1" si="105"/>
        <v>4522</v>
      </c>
      <c r="AR158" s="38">
        <f>'ANR OK vs ML7'!AR158</f>
        <v>0.1</v>
      </c>
      <c r="AS158" s="35">
        <f t="shared" ca="1" si="106"/>
        <v>0.29876462208613264</v>
      </c>
      <c r="AT158" s="3">
        <f t="shared" si="107"/>
        <v>1</v>
      </c>
      <c r="AU158" s="3">
        <f t="shared" si="108"/>
        <v>31</v>
      </c>
      <c r="AW158" s="32">
        <f t="shared" ca="1" si="109"/>
        <v>4304.6250317581189</v>
      </c>
      <c r="AX158" s="32">
        <f t="shared" si="109"/>
        <v>0</v>
      </c>
      <c r="AY158" s="32">
        <f t="shared" ca="1" si="110"/>
        <v>4304.6250317581189</v>
      </c>
      <c r="BA158" s="32">
        <f ca="1">IF($A159="","",F158*Summary!$Q$12)</f>
        <v>0</v>
      </c>
      <c r="BC158" s="256">
        <f t="shared" ca="1" si="113"/>
        <v>0</v>
      </c>
    </row>
    <row r="159" spans="1:55">
      <c r="A159" s="67">
        <f t="shared" si="111"/>
        <v>41579</v>
      </c>
      <c r="B159" s="69">
        <f t="shared" si="114"/>
        <v>36522</v>
      </c>
      <c r="C159" s="71"/>
      <c r="D159" s="69">
        <f t="shared" si="77"/>
        <v>36522</v>
      </c>
      <c r="E159" s="70">
        <f t="shared" si="78"/>
        <v>1095660</v>
      </c>
      <c r="F159" s="70">
        <f t="shared" ca="1" si="79"/>
        <v>324644.58390709694</v>
      </c>
      <c r="G159" s="63">
        <f t="shared" si="80"/>
        <v>4.7640000000000002</v>
      </c>
      <c r="H159" s="64">
        <f t="shared" si="81"/>
        <v>4.7640000000000002</v>
      </c>
      <c r="I159" s="43"/>
      <c r="J159" s="63">
        <f t="shared" si="82"/>
        <v>0.27500000000000002</v>
      </c>
      <c r="K159" s="64">
        <f t="shared" si="83"/>
        <v>0.27500000000000002</v>
      </c>
      <c r="L159" s="63">
        <f t="shared" si="84"/>
        <v>0</v>
      </c>
      <c r="M159" s="64">
        <f t="shared" si="85"/>
        <v>0</v>
      </c>
      <c r="N159" s="65"/>
      <c r="O159" s="63">
        <f t="shared" si="86"/>
        <v>5.0390000000000006</v>
      </c>
      <c r="P159" s="63">
        <f t="shared" si="87"/>
        <v>5.0390000000000006</v>
      </c>
      <c r="Q159" s="66"/>
      <c r="R159" s="63">
        <f t="shared" si="88"/>
        <v>0.27500000000000002</v>
      </c>
      <c r="S159" s="64">
        <f t="shared" si="89"/>
        <v>0.27500000000000002</v>
      </c>
      <c r="T159" s="63">
        <f t="shared" si="90"/>
        <v>0</v>
      </c>
      <c r="U159" s="64">
        <f t="shared" si="91"/>
        <v>0</v>
      </c>
      <c r="V159" s="90">
        <f>IF($A160="","",IF(AND(MONTH(A159)&gt;3,MONTH(A159)&lt;11),(T159+R159+G159)*(((1/(1-Summary!$T$12))/(1-Summary!$W$12))-1),(T159+R159+G159)*((1/(1-Summary!$U$12))/(1-Summary!$X$12)-1)))</f>
        <v>0</v>
      </c>
      <c r="W159" s="63">
        <f t="shared" si="92"/>
        <v>5.0390000000000006</v>
      </c>
      <c r="X159" s="63">
        <f t="shared" si="93"/>
        <v>5.0390000000000006</v>
      </c>
      <c r="Y159" s="43"/>
      <c r="Z159" s="38">
        <f t="shared" si="94"/>
        <v>0.8</v>
      </c>
      <c r="AA159" s="38">
        <f t="shared" si="95"/>
        <v>0.17</v>
      </c>
      <c r="AB159" s="38">
        <f t="shared" ca="1" si="96"/>
        <v>0.17611032721959655</v>
      </c>
      <c r="AC159" s="38">
        <f t="shared" si="97"/>
        <v>0.8</v>
      </c>
      <c r="AD159" s="38">
        <f t="shared" si="97"/>
        <v>0.17</v>
      </c>
      <c r="AE159" s="38">
        <f t="shared" ca="1" si="98"/>
        <v>0.17611032721959655</v>
      </c>
      <c r="AF159" s="238">
        <f ca="1">((Summary!$N$12*(AA159*AD159)*(A159-$D$3))+(Summary!$M$12*Z159*AC159*(AJ159-EOMONTH(EDATE(A159,-1),0))))/(AK159*AB159*AE159)</f>
        <v>0.99990679835649765</v>
      </c>
      <c r="AG159" s="88">
        <f>IF($A160="","",Summary!$Q$12)</f>
        <v>0</v>
      </c>
      <c r="AH159" s="88">
        <f>IF($A160="","",IF(Summary!$R$12="Y",(VLOOKUP($A159,Summary!$AD$6:$AF$9,3)+'Escalating commodity'!H172),'Escalating commodity'!H172))</f>
        <v>2.9000000000000001E-2</v>
      </c>
      <c r="AI159" s="88">
        <f t="shared" si="112"/>
        <v>2.9000000000000001E-2</v>
      </c>
      <c r="AJ159" s="236">
        <f t="shared" si="99"/>
        <v>41593</v>
      </c>
      <c r="AK159" s="58">
        <f t="shared" ca="1" si="100"/>
        <v>4553</v>
      </c>
      <c r="AL159" s="26">
        <f ca="1">IF($A160="","",_xll.SPRDOPT(P159,X159,AI159,0,AB159,AE159,AF159,AK159,$AJ$2,0))</f>
        <v>4.0189213559598536E-3</v>
      </c>
      <c r="AM159" s="89">
        <f t="shared" si="101"/>
        <v>0</v>
      </c>
      <c r="AN159" s="89">
        <f t="shared" ca="1" si="102"/>
        <v>4.0189213559598536E-3</v>
      </c>
      <c r="AO159" s="3">
        <f t="shared" si="103"/>
        <v>30</v>
      </c>
      <c r="AP159" s="33">
        <f t="shared" si="104"/>
        <v>41579</v>
      </c>
      <c r="AQ159" s="58">
        <f t="shared" ca="1" si="105"/>
        <v>4553</v>
      </c>
      <c r="AR159" s="38">
        <f>'ANR OK vs ML7'!AR159</f>
        <v>0.1</v>
      </c>
      <c r="AS159" s="35">
        <f t="shared" ca="1" si="106"/>
        <v>0.29630047999114412</v>
      </c>
      <c r="AT159" s="3">
        <f t="shared" si="107"/>
        <v>1</v>
      </c>
      <c r="AU159" s="3">
        <f t="shared" si="108"/>
        <v>30</v>
      </c>
      <c r="AW159" s="32">
        <f t="shared" ca="1" si="109"/>
        <v>4403.3713728709736</v>
      </c>
      <c r="AX159" s="32">
        <f t="shared" si="109"/>
        <v>0</v>
      </c>
      <c r="AY159" s="32">
        <f t="shared" ca="1" si="110"/>
        <v>4403.3713728709736</v>
      </c>
      <c r="BA159" s="32">
        <f ca="1">IF($A160="","",F159*Summary!$Q$12)</f>
        <v>0</v>
      </c>
      <c r="BC159" s="256">
        <f t="shared" ca="1" si="113"/>
        <v>0</v>
      </c>
    </row>
    <row r="160" spans="1:55">
      <c r="A160" s="67">
        <f t="shared" si="111"/>
        <v>41609</v>
      </c>
      <c r="B160" s="69">
        <f t="shared" si="114"/>
        <v>36522</v>
      </c>
      <c r="C160" s="71"/>
      <c r="D160" s="69">
        <f t="shared" si="77"/>
        <v>36522</v>
      </c>
      <c r="E160" s="70">
        <f t="shared" si="78"/>
        <v>1132182</v>
      </c>
      <c r="F160" s="70">
        <f t="shared" ca="1" si="79"/>
        <v>332788.11874002236</v>
      </c>
      <c r="G160" s="63">
        <f t="shared" si="80"/>
        <v>4.9020000000000001</v>
      </c>
      <c r="H160" s="64">
        <f t="shared" si="81"/>
        <v>4.9020000000000001</v>
      </c>
      <c r="I160" s="43"/>
      <c r="J160" s="63">
        <f t="shared" si="82"/>
        <v>0.27500000000000002</v>
      </c>
      <c r="K160" s="64">
        <f t="shared" si="83"/>
        <v>0.27500000000000002</v>
      </c>
      <c r="L160" s="63">
        <f t="shared" si="84"/>
        <v>0</v>
      </c>
      <c r="M160" s="64">
        <f t="shared" si="85"/>
        <v>0</v>
      </c>
      <c r="N160" s="65"/>
      <c r="O160" s="63">
        <f t="shared" si="86"/>
        <v>5.1770000000000005</v>
      </c>
      <c r="P160" s="63">
        <f t="shared" si="87"/>
        <v>5.1770000000000005</v>
      </c>
      <c r="Q160" s="66"/>
      <c r="R160" s="63">
        <f t="shared" si="88"/>
        <v>0.27500000000000002</v>
      </c>
      <c r="S160" s="64">
        <f t="shared" si="89"/>
        <v>0.27500000000000002</v>
      </c>
      <c r="T160" s="63">
        <f t="shared" si="90"/>
        <v>0</v>
      </c>
      <c r="U160" s="64">
        <f t="shared" si="91"/>
        <v>0</v>
      </c>
      <c r="V160" s="90">
        <f>IF($A161="","",IF(AND(MONTH(A160)&gt;3,MONTH(A160)&lt;11),(T160+R160+G160)*(((1/(1-Summary!$T$12))/(1-Summary!$W$12))-1),(T160+R160+G160)*((1/(1-Summary!$U$12))/(1-Summary!$X$12)-1)))</f>
        <v>0</v>
      </c>
      <c r="W160" s="63">
        <f t="shared" si="92"/>
        <v>5.1770000000000005</v>
      </c>
      <c r="X160" s="63">
        <f t="shared" si="93"/>
        <v>5.1770000000000005</v>
      </c>
      <c r="Y160" s="43"/>
      <c r="Z160" s="38">
        <f t="shared" si="94"/>
        <v>1.1000000000000001</v>
      </c>
      <c r="AA160" s="38">
        <f t="shared" si="95"/>
        <v>0.17</v>
      </c>
      <c r="AB160" s="38">
        <f t="shared" ca="1" si="96"/>
        <v>0.18165517756123148</v>
      </c>
      <c r="AC160" s="38">
        <f t="shared" si="97"/>
        <v>1.1000000000000001</v>
      </c>
      <c r="AD160" s="38">
        <f t="shared" si="97"/>
        <v>0.17</v>
      </c>
      <c r="AE160" s="38">
        <f t="shared" ca="1" si="98"/>
        <v>0.18165517756123148</v>
      </c>
      <c r="AF160" s="238">
        <f ca="1">((Summary!$N$12*(AA160*AD160)*(A160-$D$3))+(Summary!$M$12*Z160*AC160*(AJ160-EOMONTH(EDATE(A160,-1),0))))/(AK160*AB160*AE160)</f>
        <v>0.99991240142667659</v>
      </c>
      <c r="AG160" s="88">
        <f>IF($A161="","",Summary!$Q$12)</f>
        <v>0</v>
      </c>
      <c r="AH160" s="88">
        <f>IF($A161="","",IF(Summary!$R$12="Y",(VLOOKUP($A160,Summary!$AD$6:$AF$9,3)+'Escalating commodity'!H173),'Escalating commodity'!H173))</f>
        <v>2.9000000000000001E-2</v>
      </c>
      <c r="AI160" s="88">
        <f t="shared" si="112"/>
        <v>2.9000000000000001E-2</v>
      </c>
      <c r="AJ160" s="236">
        <f t="shared" si="99"/>
        <v>41623.5</v>
      </c>
      <c r="AK160" s="58">
        <f t="shared" ca="1" si="100"/>
        <v>4583</v>
      </c>
      <c r="AL160" s="26">
        <f ca="1">IF($A161="","",_xll.SPRDOPT(P160,X160,AI160,0,AB160,AE160,AF160,AK160,$AJ$2,0))</f>
        <v>4.0818138393119568E-3</v>
      </c>
      <c r="AM160" s="89">
        <f t="shared" si="101"/>
        <v>0</v>
      </c>
      <c r="AN160" s="89">
        <f t="shared" ca="1" si="102"/>
        <v>4.0818138393119568E-3</v>
      </c>
      <c r="AO160" s="3">
        <f t="shared" si="103"/>
        <v>31</v>
      </c>
      <c r="AP160" s="33">
        <f t="shared" si="104"/>
        <v>41609</v>
      </c>
      <c r="AQ160" s="58">
        <f t="shared" ca="1" si="105"/>
        <v>4583</v>
      </c>
      <c r="AR160" s="38">
        <f>'ANR OK vs ML7'!AR160</f>
        <v>0.1</v>
      </c>
      <c r="AS160" s="35">
        <f t="shared" ca="1" si="106"/>
        <v>0.29393517892001669</v>
      </c>
      <c r="AT160" s="3">
        <f t="shared" si="107"/>
        <v>1</v>
      </c>
      <c r="AU160" s="3">
        <f t="shared" si="108"/>
        <v>31</v>
      </c>
      <c r="AW160" s="32">
        <f t="shared" ca="1" si="109"/>
        <v>4621.3561562198902</v>
      </c>
      <c r="AX160" s="32">
        <f t="shared" si="109"/>
        <v>0</v>
      </c>
      <c r="AY160" s="32">
        <f t="shared" ca="1" si="110"/>
        <v>4621.3561562198902</v>
      </c>
      <c r="BA160" s="32">
        <f ca="1">IF($A161="","",F160*Summary!$Q$12)</f>
        <v>0</v>
      </c>
      <c r="BC160" s="256">
        <f t="shared" ca="1" si="113"/>
        <v>0</v>
      </c>
    </row>
    <row r="161" spans="1:55">
      <c r="A161" s="67">
        <f t="shared" si="111"/>
        <v>41640</v>
      </c>
      <c r="B161" s="69">
        <f t="shared" si="114"/>
        <v>36522</v>
      </c>
      <c r="C161" s="71"/>
      <c r="D161" s="69">
        <f t="shared" si="77"/>
        <v>36522</v>
      </c>
      <c r="E161" s="70">
        <f t="shared" si="78"/>
        <v>1132182</v>
      </c>
      <c r="F161" s="70">
        <f t="shared" ca="1" si="79"/>
        <v>330043.35864636255</v>
      </c>
      <c r="G161" s="63">
        <f t="shared" si="80"/>
        <v>4.9540000000000006</v>
      </c>
      <c r="H161" s="64">
        <f t="shared" si="81"/>
        <v>4.9540000000000006</v>
      </c>
      <c r="I161" s="43"/>
      <c r="J161" s="63">
        <f t="shared" si="82"/>
        <v>0.27500000000000002</v>
      </c>
      <c r="K161" s="64">
        <f t="shared" si="83"/>
        <v>0.27500000000000002</v>
      </c>
      <c r="L161" s="63">
        <f t="shared" si="84"/>
        <v>0</v>
      </c>
      <c r="M161" s="64">
        <f t="shared" si="85"/>
        <v>0</v>
      </c>
      <c r="N161" s="65"/>
      <c r="O161" s="63">
        <f t="shared" si="86"/>
        <v>5.229000000000001</v>
      </c>
      <c r="P161" s="63">
        <f t="shared" si="87"/>
        <v>5.229000000000001</v>
      </c>
      <c r="Q161" s="66"/>
      <c r="R161" s="63">
        <f t="shared" si="88"/>
        <v>0.27500000000000002</v>
      </c>
      <c r="S161" s="64">
        <f t="shared" si="89"/>
        <v>0.27500000000000002</v>
      </c>
      <c r="T161" s="63">
        <f t="shared" si="90"/>
        <v>0</v>
      </c>
      <c r="U161" s="64">
        <f t="shared" si="91"/>
        <v>0</v>
      </c>
      <c r="V161" s="90">
        <f>IF($A162="","",IF(AND(MONTH(A161)&gt;3,MONTH(A161)&lt;11),(T161+R161+G161)*(((1/(1-Summary!$T$12))/(1-Summary!$W$12))-1),(T161+R161+G161)*((1/(1-Summary!$U$12))/(1-Summary!$X$12)-1)))</f>
        <v>0</v>
      </c>
      <c r="W161" s="63">
        <f t="shared" si="92"/>
        <v>5.229000000000001</v>
      </c>
      <c r="X161" s="63">
        <f t="shared" si="93"/>
        <v>5.229000000000001</v>
      </c>
      <c r="Y161" s="43"/>
      <c r="Z161" s="38">
        <f t="shared" si="94"/>
        <v>1.1000000000000001</v>
      </c>
      <c r="AA161" s="38">
        <f t="shared" si="95"/>
        <v>0.17</v>
      </c>
      <c r="AB161" s="38">
        <f t="shared" ca="1" si="96"/>
        <v>0.18157936644865785</v>
      </c>
      <c r="AC161" s="38">
        <f t="shared" si="97"/>
        <v>1.1000000000000001</v>
      </c>
      <c r="AD161" s="38">
        <f t="shared" si="97"/>
        <v>0.17</v>
      </c>
      <c r="AE161" s="38">
        <f t="shared" ca="1" si="98"/>
        <v>0.18157936644865785</v>
      </c>
      <c r="AF161" s="238">
        <f ca="1">((Summary!$N$12*(AA161*AD161)*(A161-$D$3))+(Summary!$M$12*Z161*AC161*(AJ161-EOMONTH(EDATE(A161,-1),0))))/(AK161*AB161*AE161)</f>
        <v>0.99991232839343069</v>
      </c>
      <c r="AG161" s="88">
        <f>IF($A162="","",Summary!$Q$12)</f>
        <v>0</v>
      </c>
      <c r="AH161" s="88">
        <f>IF($A162="","",IF(Summary!$R$12="Y",(VLOOKUP($A161,Summary!$AD$6:$AF$9,3)+'Escalating commodity'!H174),'Escalating commodity'!H174))</f>
        <v>2.9000000000000001E-2</v>
      </c>
      <c r="AI161" s="88">
        <f t="shared" si="112"/>
        <v>2.9000000000000001E-2</v>
      </c>
      <c r="AJ161" s="236">
        <f t="shared" si="99"/>
        <v>41654.5</v>
      </c>
      <c r="AK161" s="58">
        <f t="shared" ca="1" si="100"/>
        <v>4614</v>
      </c>
      <c r="AL161" s="26">
        <f ca="1">IF($A162="","",_xll.SPRDOPT(P161,X161,AI161,0,AB161,AE161,AF161,AK161,$AJ$2,0))</f>
        <v>4.1516353472368997E-3</v>
      </c>
      <c r="AM161" s="89">
        <f t="shared" si="101"/>
        <v>0</v>
      </c>
      <c r="AN161" s="89">
        <f t="shared" ca="1" si="102"/>
        <v>4.1516353472368997E-3</v>
      </c>
      <c r="AO161" s="3">
        <f t="shared" si="103"/>
        <v>31</v>
      </c>
      <c r="AP161" s="33">
        <f t="shared" si="104"/>
        <v>41640</v>
      </c>
      <c r="AQ161" s="58">
        <f t="shared" ca="1" si="105"/>
        <v>4614</v>
      </c>
      <c r="AR161" s="38">
        <f>'ANR OK vs ML7'!AR161</f>
        <v>0.1</v>
      </c>
      <c r="AS161" s="35">
        <f t="shared" ca="1" si="106"/>
        <v>0.29151086896485068</v>
      </c>
      <c r="AT161" s="3">
        <f t="shared" si="107"/>
        <v>1</v>
      </c>
      <c r="AU161" s="3">
        <f t="shared" si="108"/>
        <v>31</v>
      </c>
      <c r="AW161" s="32">
        <f t="shared" ca="1" si="109"/>
        <v>4700.4068107053672</v>
      </c>
      <c r="AX161" s="32">
        <f t="shared" si="109"/>
        <v>0</v>
      </c>
      <c r="AY161" s="32">
        <f t="shared" ca="1" si="110"/>
        <v>4700.4068107053672</v>
      </c>
      <c r="BA161" s="32">
        <f ca="1">IF($A162="","",F161*Summary!$Q$12)</f>
        <v>0</v>
      </c>
      <c r="BC161" s="256">
        <f t="shared" ca="1" si="113"/>
        <v>0</v>
      </c>
    </row>
    <row r="162" spans="1:55">
      <c r="A162" s="67">
        <f t="shared" si="111"/>
        <v>41671</v>
      </c>
      <c r="B162" s="69">
        <f t="shared" si="114"/>
        <v>36522</v>
      </c>
      <c r="C162" s="71"/>
      <c r="D162" s="69">
        <f t="shared" si="77"/>
        <v>36522</v>
      </c>
      <c r="E162" s="70">
        <f t="shared" si="78"/>
        <v>1022616</v>
      </c>
      <c r="F162" s="70">
        <f t="shared" ca="1" si="79"/>
        <v>295644.98799122492</v>
      </c>
      <c r="G162" s="63">
        <f t="shared" si="80"/>
        <v>4.8340000000000005</v>
      </c>
      <c r="H162" s="64">
        <f t="shared" si="81"/>
        <v>4.8340000000000005</v>
      </c>
      <c r="I162" s="43"/>
      <c r="J162" s="63">
        <f t="shared" si="82"/>
        <v>0.27500000000000002</v>
      </c>
      <c r="K162" s="64">
        <f t="shared" si="83"/>
        <v>0.27500000000000002</v>
      </c>
      <c r="L162" s="63">
        <f t="shared" si="84"/>
        <v>0</v>
      </c>
      <c r="M162" s="64">
        <f t="shared" si="85"/>
        <v>0</v>
      </c>
      <c r="N162" s="65"/>
      <c r="O162" s="63">
        <f t="shared" si="86"/>
        <v>5.1090000000000009</v>
      </c>
      <c r="P162" s="63">
        <f t="shared" si="87"/>
        <v>5.1090000000000009</v>
      </c>
      <c r="Q162" s="66"/>
      <c r="R162" s="63">
        <f t="shared" si="88"/>
        <v>0.27500000000000002</v>
      </c>
      <c r="S162" s="64">
        <f t="shared" si="89"/>
        <v>0.27500000000000002</v>
      </c>
      <c r="T162" s="63">
        <f t="shared" si="90"/>
        <v>0</v>
      </c>
      <c r="U162" s="64">
        <f t="shared" si="91"/>
        <v>0</v>
      </c>
      <c r="V162" s="90">
        <f>IF($A163="","",IF(AND(MONTH(A162)&gt;3,MONTH(A162)&lt;11),(T162+R162+G162)*(((1/(1-Summary!$T$12))/(1-Summary!$W$12))-1),(T162+R162+G162)*((1/(1-Summary!$U$12))/(1-Summary!$X$12)-1)))</f>
        <v>0</v>
      </c>
      <c r="W162" s="63">
        <f t="shared" si="92"/>
        <v>5.1090000000000009</v>
      </c>
      <c r="X162" s="63">
        <f t="shared" si="93"/>
        <v>5.1090000000000009</v>
      </c>
      <c r="Y162" s="43"/>
      <c r="Z162" s="38">
        <f t="shared" si="94"/>
        <v>1.1000000000000001</v>
      </c>
      <c r="AA162" s="38">
        <f t="shared" si="95"/>
        <v>0.17</v>
      </c>
      <c r="AB162" s="38">
        <f t="shared" ca="1" si="96"/>
        <v>0.18042492601898405</v>
      </c>
      <c r="AC162" s="38">
        <f t="shared" si="97"/>
        <v>1.1000000000000001</v>
      </c>
      <c r="AD162" s="38">
        <f t="shared" si="97"/>
        <v>0.17</v>
      </c>
      <c r="AE162" s="38">
        <f t="shared" ca="1" si="98"/>
        <v>0.18042492601898405</v>
      </c>
      <c r="AF162" s="238">
        <f ca="1">((Summary!$N$12*(AA162*AD162)*(A162-$D$3))+(Summary!$M$12*Z162*AC162*(AJ162-EOMONTH(EDATE(A162,-1),0))))/(AK162*AB162*AE162)</f>
        <v>0.99991120300722069</v>
      </c>
      <c r="AG162" s="88">
        <f>IF($A163="","",Summary!$Q$12)</f>
        <v>0</v>
      </c>
      <c r="AH162" s="88">
        <f>IF($A163="","",IF(Summary!$R$12="Y",(VLOOKUP($A162,Summary!$AD$6:$AF$9,3)+'Escalating commodity'!H175),'Escalating commodity'!H175))</f>
        <v>2.9000000000000001E-2</v>
      </c>
      <c r="AI162" s="88">
        <f t="shared" si="112"/>
        <v>2.9000000000000001E-2</v>
      </c>
      <c r="AJ162" s="236">
        <f t="shared" si="99"/>
        <v>41684</v>
      </c>
      <c r="AK162" s="58">
        <f t="shared" ca="1" si="100"/>
        <v>4645</v>
      </c>
      <c r="AL162" s="26">
        <f ca="1">IF($A163="","",_xll.SPRDOPT(P162,X162,AI162,0,AB162,AE162,AF162,AK162,$AJ$2,0))</f>
        <v>4.0698272949692624E-3</v>
      </c>
      <c r="AM162" s="89">
        <f t="shared" si="101"/>
        <v>0</v>
      </c>
      <c r="AN162" s="89">
        <f t="shared" ca="1" si="102"/>
        <v>4.0698272949692624E-3</v>
      </c>
      <c r="AO162" s="3">
        <f t="shared" si="103"/>
        <v>28</v>
      </c>
      <c r="AP162" s="33">
        <f t="shared" si="104"/>
        <v>41671</v>
      </c>
      <c r="AQ162" s="58">
        <f t="shared" ca="1" si="105"/>
        <v>4645</v>
      </c>
      <c r="AR162" s="38">
        <f>'ANR OK vs ML7'!AR162</f>
        <v>0.1</v>
      </c>
      <c r="AS162" s="35">
        <f t="shared" ca="1" si="106"/>
        <v>0.28910655416229053</v>
      </c>
      <c r="AT162" s="3">
        <f t="shared" si="107"/>
        <v>1</v>
      </c>
      <c r="AU162" s="3">
        <f t="shared" si="108"/>
        <v>28</v>
      </c>
      <c r="AW162" s="32">
        <f t="shared" ca="1" si="109"/>
        <v>4161.8705090722869</v>
      </c>
      <c r="AX162" s="32">
        <f t="shared" si="109"/>
        <v>0</v>
      </c>
      <c r="AY162" s="32">
        <f t="shared" ca="1" si="110"/>
        <v>4161.8705090722869</v>
      </c>
      <c r="BA162" s="32">
        <f ca="1">IF($A163="","",F162*Summary!$Q$12)</f>
        <v>0</v>
      </c>
      <c r="BC162" s="256">
        <f t="shared" ca="1" si="113"/>
        <v>0</v>
      </c>
    </row>
    <row r="163" spans="1:55">
      <c r="A163" s="67">
        <f t="shared" si="111"/>
        <v>41699</v>
      </c>
      <c r="B163" s="69">
        <f t="shared" si="114"/>
        <v>36522</v>
      </c>
      <c r="C163" s="71"/>
      <c r="D163" s="69">
        <f t="shared" si="77"/>
        <v>36522</v>
      </c>
      <c r="E163" s="70">
        <f t="shared" si="78"/>
        <v>1132182</v>
      </c>
      <c r="F163" s="70">
        <f t="shared" ca="1" si="79"/>
        <v>324881.8485538559</v>
      </c>
      <c r="G163" s="63">
        <f t="shared" si="80"/>
        <v>4.6950000000000003</v>
      </c>
      <c r="H163" s="64">
        <f t="shared" si="81"/>
        <v>4.6950000000000003</v>
      </c>
      <c r="I163" s="43"/>
      <c r="J163" s="63">
        <f t="shared" si="82"/>
        <v>0.27500000000000002</v>
      </c>
      <c r="K163" s="64">
        <f t="shared" si="83"/>
        <v>0.27500000000000002</v>
      </c>
      <c r="L163" s="63">
        <f t="shared" si="84"/>
        <v>0</v>
      </c>
      <c r="M163" s="64">
        <f t="shared" si="85"/>
        <v>0</v>
      </c>
      <c r="N163" s="65"/>
      <c r="O163" s="63">
        <f t="shared" si="86"/>
        <v>4.9700000000000006</v>
      </c>
      <c r="P163" s="63">
        <f t="shared" si="87"/>
        <v>4.9700000000000006</v>
      </c>
      <c r="Q163" s="66"/>
      <c r="R163" s="63">
        <f t="shared" si="88"/>
        <v>0.27500000000000002</v>
      </c>
      <c r="S163" s="64">
        <f t="shared" si="89"/>
        <v>0.27500000000000002</v>
      </c>
      <c r="T163" s="63">
        <f t="shared" si="90"/>
        <v>0</v>
      </c>
      <c r="U163" s="64">
        <f t="shared" si="91"/>
        <v>0</v>
      </c>
      <c r="V163" s="90">
        <f>IF($A164="","",IF(AND(MONTH(A163)&gt;3,MONTH(A163)&lt;11),(T163+R163+G163)*(((1/(1-Summary!$T$12))/(1-Summary!$W$12))-1),(T163+R163+G163)*((1/(1-Summary!$U$12))/(1-Summary!$X$12)-1)))</f>
        <v>0</v>
      </c>
      <c r="W163" s="63">
        <f t="shared" si="92"/>
        <v>4.9700000000000006</v>
      </c>
      <c r="X163" s="63">
        <f t="shared" si="93"/>
        <v>4.9700000000000006</v>
      </c>
      <c r="Y163" s="43"/>
      <c r="Z163" s="38">
        <f t="shared" si="94"/>
        <v>0.75</v>
      </c>
      <c r="AA163" s="38">
        <f t="shared" si="95"/>
        <v>0.17</v>
      </c>
      <c r="AB163" s="38">
        <f t="shared" ca="1" si="96"/>
        <v>0.17541937155562332</v>
      </c>
      <c r="AC163" s="38">
        <f t="shared" si="97"/>
        <v>0.75</v>
      </c>
      <c r="AD163" s="38">
        <f t="shared" si="97"/>
        <v>0.17</v>
      </c>
      <c r="AE163" s="38">
        <f t="shared" ca="1" si="98"/>
        <v>0.17541937155562332</v>
      </c>
      <c r="AF163" s="238">
        <f ca="1">((Summary!$N$12*(AA163*AD163)*(A163-$D$3))+(Summary!$M$12*Z163*AC163*(AJ163-EOMONTH(EDATE(A163,-1),0))))/(AK163*AB163*AE163)</f>
        <v>0.99990606322021969</v>
      </c>
      <c r="AG163" s="88">
        <f>IF($A164="","",Summary!$Q$12)</f>
        <v>0</v>
      </c>
      <c r="AH163" s="88">
        <f>IF($A164="","",IF(Summary!$R$12="Y",(VLOOKUP($A163,Summary!$AD$6:$AF$9,3)+'Escalating commodity'!H176),'Escalating commodity'!H176))</f>
        <v>2.9000000000000001E-2</v>
      </c>
      <c r="AI163" s="88">
        <f t="shared" si="112"/>
        <v>2.9000000000000001E-2</v>
      </c>
      <c r="AJ163" s="236">
        <f t="shared" si="99"/>
        <v>41713.5</v>
      </c>
      <c r="AK163" s="58">
        <f t="shared" ca="1" si="100"/>
        <v>4673</v>
      </c>
      <c r="AL163" s="26">
        <f ca="1">IF($A164="","",_xll.SPRDOPT(P163,X163,AI163,0,AB163,AE163,AF163,AK163,$AJ$2,0))</f>
        <v>4.0277100902192248E-3</v>
      </c>
      <c r="AM163" s="89">
        <f t="shared" si="101"/>
        <v>0</v>
      </c>
      <c r="AN163" s="89">
        <f t="shared" ca="1" si="102"/>
        <v>4.0277100902192248E-3</v>
      </c>
      <c r="AO163" s="3">
        <f t="shared" si="103"/>
        <v>31</v>
      </c>
      <c r="AP163" s="33">
        <f t="shared" si="104"/>
        <v>41699</v>
      </c>
      <c r="AQ163" s="58">
        <f t="shared" ca="1" si="105"/>
        <v>4673</v>
      </c>
      <c r="AR163" s="38">
        <f>'ANR OK vs ML7'!AR163</f>
        <v>0.1</v>
      </c>
      <c r="AS163" s="35">
        <f t="shared" ca="1" si="106"/>
        <v>0.2869519640427563</v>
      </c>
      <c r="AT163" s="3">
        <f t="shared" si="107"/>
        <v>1</v>
      </c>
      <c r="AU163" s="3">
        <f t="shared" si="108"/>
        <v>31</v>
      </c>
      <c r="AW163" s="32">
        <f t="shared" ca="1" si="109"/>
        <v>4560.1008653645822</v>
      </c>
      <c r="AX163" s="32">
        <f t="shared" si="109"/>
        <v>0</v>
      </c>
      <c r="AY163" s="32">
        <f t="shared" ca="1" si="110"/>
        <v>4560.1008653645822</v>
      </c>
      <c r="BA163" s="32">
        <f ca="1">IF($A164="","",F163*Summary!$Q$12)</f>
        <v>0</v>
      </c>
      <c r="BC163" s="256">
        <f t="shared" ca="1" si="113"/>
        <v>0</v>
      </c>
    </row>
    <row r="164" spans="1:55">
      <c r="A164" s="67">
        <f t="shared" si="111"/>
        <v>41730</v>
      </c>
      <c r="B164" s="69">
        <f t="shared" si="114"/>
        <v>36522</v>
      </c>
      <c r="C164" s="71"/>
      <c r="D164" s="69">
        <f t="shared" si="77"/>
        <v>36522</v>
      </c>
      <c r="E164" s="70">
        <f t="shared" si="78"/>
        <v>1095660</v>
      </c>
      <c r="F164" s="70">
        <f t="shared" ca="1" si="79"/>
        <v>311808.6750616944</v>
      </c>
      <c r="G164" s="63">
        <f t="shared" si="80"/>
        <v>4.5199999999999996</v>
      </c>
      <c r="H164" s="64">
        <f t="shared" si="81"/>
        <v>4.5199999999999996</v>
      </c>
      <c r="I164" s="43"/>
      <c r="J164" s="63">
        <f t="shared" si="82"/>
        <v>0.18</v>
      </c>
      <c r="K164" s="64">
        <f t="shared" si="83"/>
        <v>0.18</v>
      </c>
      <c r="L164" s="63">
        <f t="shared" si="84"/>
        <v>0</v>
      </c>
      <c r="M164" s="64">
        <f t="shared" si="85"/>
        <v>0</v>
      </c>
      <c r="N164" s="65"/>
      <c r="O164" s="63">
        <f t="shared" si="86"/>
        <v>4.6999999999999993</v>
      </c>
      <c r="P164" s="63">
        <f t="shared" si="87"/>
        <v>4.6999999999999993</v>
      </c>
      <c r="Q164" s="66"/>
      <c r="R164" s="63">
        <f t="shared" si="88"/>
        <v>0.18</v>
      </c>
      <c r="S164" s="64">
        <f t="shared" si="89"/>
        <v>0.18</v>
      </c>
      <c r="T164" s="63">
        <f t="shared" si="90"/>
        <v>0</v>
      </c>
      <c r="U164" s="64">
        <f t="shared" si="91"/>
        <v>0</v>
      </c>
      <c r="V164" s="90">
        <f>IF($A165="","",IF(AND(MONTH(A164)&gt;3,MONTH(A164)&lt;11),(T164+R164+G164)*(((1/(1-Summary!$T$12))/(1-Summary!$W$12))-1),(T164+R164+G164)*((1/(1-Summary!$U$12))/(1-Summary!$X$12)-1)))</f>
        <v>0</v>
      </c>
      <c r="W164" s="63">
        <f t="shared" si="92"/>
        <v>4.6999999999999993</v>
      </c>
      <c r="X164" s="63">
        <f t="shared" si="93"/>
        <v>4.6999999999999993</v>
      </c>
      <c r="Y164" s="43"/>
      <c r="Z164" s="38">
        <f t="shared" si="94"/>
        <v>0.45</v>
      </c>
      <c r="AA164" s="38">
        <f t="shared" si="95"/>
        <v>0.17</v>
      </c>
      <c r="AB164" s="38">
        <f t="shared" ca="1" si="96"/>
        <v>0.17190657564008227</v>
      </c>
      <c r="AC164" s="38">
        <f t="shared" si="97"/>
        <v>0.45</v>
      </c>
      <c r="AD164" s="38">
        <f t="shared" si="97"/>
        <v>0.17</v>
      </c>
      <c r="AE164" s="38">
        <f t="shared" ca="1" si="98"/>
        <v>0.17190657564008227</v>
      </c>
      <c r="AF164" s="238">
        <f ca="1">((Summary!$N$12*(AA164*AD164)*(A164-$D$3))+(Summary!$M$12*Z164*AC164*(AJ164-EOMONTH(EDATE(A164,-1),0))))/(AK164*AB164*AE164)</f>
        <v>0.99990218506316009</v>
      </c>
      <c r="AG164" s="88">
        <f>IF($A165="","",Summary!$Q$12)</f>
        <v>0</v>
      </c>
      <c r="AH164" s="88">
        <f>IF($A165="","",IF(Summary!$R$12="Y",(VLOOKUP($A164,Summary!$AD$6:$AF$9,3)+'Escalating commodity'!H177),'Escalating commodity'!H177))</f>
        <v>2.9000000000000001E-2</v>
      </c>
      <c r="AI164" s="88">
        <f t="shared" si="112"/>
        <v>2.9000000000000001E-2</v>
      </c>
      <c r="AJ164" s="236">
        <f t="shared" si="99"/>
        <v>41744</v>
      </c>
      <c r="AK164" s="58">
        <f t="shared" ca="1" si="100"/>
        <v>4704</v>
      </c>
      <c r="AL164" s="26">
        <f ca="1">IF($A165="","",_xll.SPRDOPT(P164,X164,AI164,0,AB164,AE164,AF164,AK164,$AJ$2,0))</f>
        <v>3.8221462848361948E-3</v>
      </c>
      <c r="AM164" s="89">
        <f t="shared" si="101"/>
        <v>0</v>
      </c>
      <c r="AN164" s="89">
        <f t="shared" ca="1" si="102"/>
        <v>3.8221462848361948E-3</v>
      </c>
      <c r="AO164" s="3">
        <f t="shared" si="103"/>
        <v>30</v>
      </c>
      <c r="AP164" s="33">
        <f t="shared" si="104"/>
        <v>41730</v>
      </c>
      <c r="AQ164" s="58">
        <f t="shared" ca="1" si="105"/>
        <v>4704</v>
      </c>
      <c r="AR164" s="38">
        <f>'ANR OK vs ML7'!AR164</f>
        <v>0.1</v>
      </c>
      <c r="AS164" s="35">
        <f t="shared" ca="1" si="106"/>
        <v>0.28458525004261759</v>
      </c>
      <c r="AT164" s="3">
        <f t="shared" si="107"/>
        <v>1</v>
      </c>
      <c r="AU164" s="3">
        <f t="shared" si="108"/>
        <v>30</v>
      </c>
      <c r="AW164" s="32">
        <f t="shared" ca="1" si="109"/>
        <v>4187.7727984436251</v>
      </c>
      <c r="AX164" s="32">
        <f t="shared" si="109"/>
        <v>0</v>
      </c>
      <c r="AY164" s="32">
        <f t="shared" ca="1" si="110"/>
        <v>4187.7727984436251</v>
      </c>
      <c r="BA164" s="32">
        <f ca="1">IF($A165="","",F164*Summary!$Q$12)</f>
        <v>0</v>
      </c>
      <c r="BC164" s="256">
        <f t="shared" ca="1" si="113"/>
        <v>0</v>
      </c>
    </row>
    <row r="165" spans="1:55">
      <c r="A165" s="67">
        <f t="shared" si="111"/>
        <v>41760</v>
      </c>
      <c r="B165" s="69">
        <f t="shared" si="114"/>
        <v>36522</v>
      </c>
      <c r="C165" s="71"/>
      <c r="D165" s="69">
        <f t="shared" si="77"/>
        <v>36522</v>
      </c>
      <c r="E165" s="70">
        <f t="shared" si="78"/>
        <v>1132182</v>
      </c>
      <c r="F165" s="70">
        <f t="shared" ca="1" si="79"/>
        <v>319630.22802282393</v>
      </c>
      <c r="G165" s="63">
        <f t="shared" si="80"/>
        <v>4.49</v>
      </c>
      <c r="H165" s="64">
        <f t="shared" si="81"/>
        <v>4.49</v>
      </c>
      <c r="I165" s="43"/>
      <c r="J165" s="63">
        <f t="shared" si="82"/>
        <v>0.18</v>
      </c>
      <c r="K165" s="64">
        <f t="shared" si="83"/>
        <v>0.18</v>
      </c>
      <c r="L165" s="63">
        <f t="shared" si="84"/>
        <v>0</v>
      </c>
      <c r="M165" s="64">
        <f t="shared" si="85"/>
        <v>0</v>
      </c>
      <c r="N165" s="65"/>
      <c r="O165" s="63">
        <f t="shared" si="86"/>
        <v>4.67</v>
      </c>
      <c r="P165" s="63">
        <f t="shared" si="87"/>
        <v>4.67</v>
      </c>
      <c r="Q165" s="66"/>
      <c r="R165" s="63">
        <f t="shared" si="88"/>
        <v>0.18</v>
      </c>
      <c r="S165" s="64">
        <f t="shared" si="89"/>
        <v>0.18</v>
      </c>
      <c r="T165" s="63">
        <f t="shared" si="90"/>
        <v>0</v>
      </c>
      <c r="U165" s="64">
        <f t="shared" si="91"/>
        <v>0</v>
      </c>
      <c r="V165" s="90">
        <f>IF($A166="","",IF(AND(MONTH(A165)&gt;3,MONTH(A165)&lt;11),(T165+R165+G165)*(((1/(1-Summary!$T$12))/(1-Summary!$W$12))-1),(T165+R165+G165)*((1/(1-Summary!$U$12))/(1-Summary!$X$12)-1)))</f>
        <v>0</v>
      </c>
      <c r="W165" s="63">
        <f t="shared" si="92"/>
        <v>4.67</v>
      </c>
      <c r="X165" s="63">
        <f t="shared" si="93"/>
        <v>4.67</v>
      </c>
      <c r="Y165" s="43"/>
      <c r="Z165" s="38">
        <f t="shared" si="94"/>
        <v>0.5</v>
      </c>
      <c r="AA165" s="38">
        <f t="shared" si="95"/>
        <v>0.17</v>
      </c>
      <c r="AB165" s="38">
        <f t="shared" ca="1" si="96"/>
        <v>0.17240838569379738</v>
      </c>
      <c r="AC165" s="38">
        <f t="shared" si="97"/>
        <v>0.5</v>
      </c>
      <c r="AD165" s="38">
        <f t="shared" si="97"/>
        <v>0.17</v>
      </c>
      <c r="AE165" s="38">
        <f t="shared" ca="1" si="98"/>
        <v>0.17240838569379738</v>
      </c>
      <c r="AF165" s="238">
        <f ca="1">((Summary!$N$12*(AA165*AD165)*(A165-$D$3))+(Summary!$M$12*Z165*AC165*(AJ165-EOMONTH(EDATE(A165,-1),0))))/(AK165*AB165*AE165)</f>
        <v>0.99990275376377336</v>
      </c>
      <c r="AG165" s="88">
        <f>IF($A166="","",Summary!$Q$12)</f>
        <v>0</v>
      </c>
      <c r="AH165" s="88">
        <f>IF($A166="","",IF(Summary!$R$12="Y",(VLOOKUP($A165,Summary!$AD$6:$AF$9,3)+'Escalating commodity'!H178),'Escalating commodity'!H178))</f>
        <v>2.9000000000000001E-2</v>
      </c>
      <c r="AI165" s="88">
        <f t="shared" si="112"/>
        <v>2.9000000000000001E-2</v>
      </c>
      <c r="AJ165" s="236">
        <f t="shared" si="99"/>
        <v>41774.5</v>
      </c>
      <c r="AK165" s="58">
        <f t="shared" ca="1" si="100"/>
        <v>4734</v>
      </c>
      <c r="AL165" s="26">
        <f ca="1">IF($A166="","",_xll.SPRDOPT(P165,X165,AI165,0,AB165,AE165,AF165,AK165,$AJ$2,0))</f>
        <v>3.7991645264901716E-3</v>
      </c>
      <c r="AM165" s="89">
        <f t="shared" si="101"/>
        <v>0</v>
      </c>
      <c r="AN165" s="89">
        <f t="shared" ca="1" si="102"/>
        <v>3.7991645264901716E-3</v>
      </c>
      <c r="AO165" s="3">
        <f t="shared" si="103"/>
        <v>31</v>
      </c>
      <c r="AP165" s="33">
        <f t="shared" si="104"/>
        <v>41760</v>
      </c>
      <c r="AQ165" s="58">
        <f t="shared" ca="1" si="105"/>
        <v>4734</v>
      </c>
      <c r="AR165" s="38">
        <f>'ANR OK vs ML7'!AR165</f>
        <v>0.1</v>
      </c>
      <c r="AS165" s="35">
        <f t="shared" ca="1" si="106"/>
        <v>0.28231346905605631</v>
      </c>
      <c r="AT165" s="3">
        <f t="shared" si="107"/>
        <v>1</v>
      </c>
      <c r="AU165" s="3">
        <f t="shared" si="108"/>
        <v>31</v>
      </c>
      <c r="AW165" s="32">
        <f t="shared" ca="1" si="109"/>
        <v>4301.3456919306955</v>
      </c>
      <c r="AX165" s="32">
        <f t="shared" si="109"/>
        <v>0</v>
      </c>
      <c r="AY165" s="32">
        <f t="shared" ca="1" si="110"/>
        <v>4301.3456919306955</v>
      </c>
      <c r="BA165" s="32">
        <f ca="1">IF($A166="","",F165*Summary!$Q$12)</f>
        <v>0</v>
      </c>
      <c r="BC165" s="256">
        <f t="shared" ca="1" si="113"/>
        <v>0</v>
      </c>
    </row>
    <row r="166" spans="1:55">
      <c r="A166" s="67">
        <f t="shared" si="111"/>
        <v>41791</v>
      </c>
      <c r="B166" s="69">
        <f t="shared" si="114"/>
        <v>36522</v>
      </c>
      <c r="C166" s="71"/>
      <c r="D166" s="69">
        <f t="shared" si="77"/>
        <v>36522</v>
      </c>
      <c r="E166" s="70">
        <f t="shared" si="78"/>
        <v>1095660</v>
      </c>
      <c r="F166" s="70">
        <f t="shared" ca="1" si="79"/>
        <v>306768.37857545837</v>
      </c>
      <c r="G166" s="63">
        <f t="shared" si="80"/>
        <v>4.5599999999999996</v>
      </c>
      <c r="H166" s="64">
        <f t="shared" si="81"/>
        <v>4.5599999999999996</v>
      </c>
      <c r="I166" s="43"/>
      <c r="J166" s="63">
        <f t="shared" si="82"/>
        <v>0.18</v>
      </c>
      <c r="K166" s="64">
        <f t="shared" si="83"/>
        <v>0.18</v>
      </c>
      <c r="L166" s="63">
        <f t="shared" si="84"/>
        <v>0</v>
      </c>
      <c r="M166" s="64">
        <f t="shared" si="85"/>
        <v>0</v>
      </c>
      <c r="N166" s="65"/>
      <c r="O166" s="63">
        <f t="shared" si="86"/>
        <v>4.7399999999999993</v>
      </c>
      <c r="P166" s="63">
        <f t="shared" si="87"/>
        <v>4.7399999999999993</v>
      </c>
      <c r="Q166" s="66"/>
      <c r="R166" s="63">
        <f t="shared" si="88"/>
        <v>0.18</v>
      </c>
      <c r="S166" s="64">
        <f t="shared" si="89"/>
        <v>0.18</v>
      </c>
      <c r="T166" s="63">
        <f t="shared" si="90"/>
        <v>0</v>
      </c>
      <c r="U166" s="64">
        <f t="shared" si="91"/>
        <v>0</v>
      </c>
      <c r="V166" s="90">
        <f>IF($A167="","",IF(AND(MONTH(A166)&gt;3,MONTH(A166)&lt;11),(T166+R166+G166)*(((1/(1-Summary!$T$12))/(1-Summary!$W$12))-1),(T166+R166+G166)*((1/(1-Summary!$U$12))/(1-Summary!$X$12)-1)))</f>
        <v>0</v>
      </c>
      <c r="W166" s="63">
        <f t="shared" si="92"/>
        <v>4.7399999999999993</v>
      </c>
      <c r="X166" s="63">
        <f t="shared" si="93"/>
        <v>4.7399999999999993</v>
      </c>
      <c r="Y166" s="43"/>
      <c r="Z166" s="38">
        <f t="shared" si="94"/>
        <v>0.5</v>
      </c>
      <c r="AA166" s="38">
        <f t="shared" si="95"/>
        <v>0.17</v>
      </c>
      <c r="AB166" s="38">
        <f t="shared" ca="1" si="96"/>
        <v>0.17231672442109361</v>
      </c>
      <c r="AC166" s="38">
        <f t="shared" si="97"/>
        <v>0.5</v>
      </c>
      <c r="AD166" s="38">
        <f t="shared" si="97"/>
        <v>0.17</v>
      </c>
      <c r="AE166" s="38">
        <f t="shared" ca="1" si="98"/>
        <v>0.17231672442109361</v>
      </c>
      <c r="AF166" s="238">
        <f ca="1">((Summary!$N$12*(AA166*AD166)*(A166-$D$3))+(Summary!$M$12*Z166*AC166*(AJ166-EOMONTH(EDATE(A166,-1),0))))/(AK166*AB166*AE166)</f>
        <v>0.99990265041268689</v>
      </c>
      <c r="AG166" s="88">
        <f>IF($A167="","",Summary!$Q$12)</f>
        <v>0</v>
      </c>
      <c r="AH166" s="88">
        <f>IF($A167="","",IF(Summary!$R$12="Y",(VLOOKUP($A166,Summary!$AD$6:$AF$9,3)+'Escalating commodity'!H179),'Escalating commodity'!H179))</f>
        <v>2.9000000000000001E-2</v>
      </c>
      <c r="AI166" s="88">
        <f t="shared" si="112"/>
        <v>2.9000000000000001E-2</v>
      </c>
      <c r="AJ166" s="236">
        <f t="shared" si="99"/>
        <v>41805</v>
      </c>
      <c r="AK166" s="58">
        <f t="shared" ca="1" si="100"/>
        <v>4765</v>
      </c>
      <c r="AL166" s="26">
        <f ca="1">IF($A167="","",_xll.SPRDOPT(P166,X166,AI166,0,AB166,AE166,AF166,AK166,$AJ$2,0))</f>
        <v>3.8899685208476503E-3</v>
      </c>
      <c r="AM166" s="89">
        <f t="shared" si="101"/>
        <v>0</v>
      </c>
      <c r="AN166" s="89">
        <f t="shared" ca="1" si="102"/>
        <v>3.8899685208476503E-3</v>
      </c>
      <c r="AO166" s="3">
        <f t="shared" si="103"/>
        <v>30</v>
      </c>
      <c r="AP166" s="33">
        <f t="shared" si="104"/>
        <v>41791</v>
      </c>
      <c r="AQ166" s="58">
        <f t="shared" ca="1" si="105"/>
        <v>4765</v>
      </c>
      <c r="AR166" s="38">
        <f>'ANR OK vs ML7'!AR166</f>
        <v>0.1</v>
      </c>
      <c r="AS166" s="35">
        <f t="shared" ca="1" si="106"/>
        <v>0.27998501229894163</v>
      </c>
      <c r="AT166" s="3">
        <f t="shared" si="107"/>
        <v>1</v>
      </c>
      <c r="AU166" s="3">
        <f t="shared" si="108"/>
        <v>30</v>
      </c>
      <c r="AW166" s="32">
        <f t="shared" ca="1" si="109"/>
        <v>4262.0829095519366</v>
      </c>
      <c r="AX166" s="32">
        <f t="shared" si="109"/>
        <v>0</v>
      </c>
      <c r="AY166" s="32">
        <f t="shared" ca="1" si="110"/>
        <v>4262.0829095519366</v>
      </c>
      <c r="BA166" s="32">
        <f ca="1">IF($A167="","",F166*Summary!$Q$12)</f>
        <v>0</v>
      </c>
      <c r="BC166" s="256">
        <f t="shared" ca="1" si="113"/>
        <v>0</v>
      </c>
    </row>
    <row r="167" spans="1:55">
      <c r="A167" s="67">
        <f t="shared" si="111"/>
        <v>41821</v>
      </c>
      <c r="B167" s="69">
        <f t="shared" si="114"/>
        <v>36522</v>
      </c>
      <c r="C167" s="71"/>
      <c r="D167" s="69">
        <f t="shared" si="77"/>
        <v>36522</v>
      </c>
      <c r="E167" s="70">
        <f t="shared" si="78"/>
        <v>1132182</v>
      </c>
      <c r="F167" s="70">
        <f t="shared" ca="1" si="79"/>
        <v>314463.49840928928</v>
      </c>
      <c r="G167" s="63">
        <f t="shared" si="80"/>
        <v>4.6150000000000002</v>
      </c>
      <c r="H167" s="64">
        <f t="shared" si="81"/>
        <v>4.6150000000000002</v>
      </c>
      <c r="I167" s="43"/>
      <c r="J167" s="63">
        <f t="shared" si="82"/>
        <v>0.18</v>
      </c>
      <c r="K167" s="64">
        <f t="shared" si="83"/>
        <v>0.18</v>
      </c>
      <c r="L167" s="63">
        <f t="shared" si="84"/>
        <v>0</v>
      </c>
      <c r="M167" s="64">
        <f t="shared" si="85"/>
        <v>0</v>
      </c>
      <c r="N167" s="65"/>
      <c r="O167" s="63">
        <f t="shared" si="86"/>
        <v>4.7949999999999999</v>
      </c>
      <c r="P167" s="63">
        <f t="shared" si="87"/>
        <v>4.7949999999999999</v>
      </c>
      <c r="Q167" s="66"/>
      <c r="R167" s="63">
        <f t="shared" si="88"/>
        <v>0.18</v>
      </c>
      <c r="S167" s="64">
        <f t="shared" si="89"/>
        <v>0.18</v>
      </c>
      <c r="T167" s="63">
        <f t="shared" si="90"/>
        <v>0</v>
      </c>
      <c r="U167" s="64">
        <f t="shared" si="91"/>
        <v>0</v>
      </c>
      <c r="V167" s="90">
        <f>IF($A168="","",IF(AND(MONTH(A167)&gt;3,MONTH(A167)&lt;11),(T167+R167+G167)*(((1/(1-Summary!$T$12))/(1-Summary!$W$12))-1),(T167+R167+G167)*((1/(1-Summary!$U$12))/(1-Summary!$X$12)-1)))</f>
        <v>0</v>
      </c>
      <c r="W167" s="63">
        <f t="shared" si="92"/>
        <v>4.7949999999999999</v>
      </c>
      <c r="X167" s="63">
        <f t="shared" si="93"/>
        <v>4.7949999999999999</v>
      </c>
      <c r="Y167" s="43"/>
      <c r="Z167" s="38">
        <f t="shared" si="94"/>
        <v>0.55000000000000004</v>
      </c>
      <c r="AA167" s="38">
        <f t="shared" si="95"/>
        <v>0.17</v>
      </c>
      <c r="AB167" s="38">
        <f t="shared" ca="1" si="96"/>
        <v>0.1728695132553415</v>
      </c>
      <c r="AC167" s="38">
        <f t="shared" si="97"/>
        <v>0.55000000000000004</v>
      </c>
      <c r="AD167" s="38">
        <f t="shared" si="97"/>
        <v>0.17</v>
      </c>
      <c r="AE167" s="38">
        <f t="shared" ca="1" si="98"/>
        <v>0.1728695132553415</v>
      </c>
      <c r="AF167" s="238">
        <f ca="1">((Summary!$N$12*(AA167*AD167)*(A167-$D$3))+(Summary!$M$12*Z167*AC167*(AJ167-EOMONTH(EDATE(A167,-1),0))))/(AK167*AB167*AE167)</f>
        <v>0.99990327213827035</v>
      </c>
      <c r="AG167" s="88">
        <f>IF($A168="","",Summary!$Q$12)</f>
        <v>0</v>
      </c>
      <c r="AH167" s="88">
        <f>IF($A168="","",IF(Summary!$R$12="Y",(VLOOKUP($A167,Summary!$AD$6:$AF$9,3)+'Escalating commodity'!H180),'Escalating commodity'!H180))</f>
        <v>2.9000000000000001E-2</v>
      </c>
      <c r="AI167" s="88">
        <f t="shared" si="112"/>
        <v>2.9000000000000001E-2</v>
      </c>
      <c r="AJ167" s="236">
        <f t="shared" si="99"/>
        <v>41835.5</v>
      </c>
      <c r="AK167" s="58">
        <f t="shared" ca="1" si="100"/>
        <v>4795</v>
      </c>
      <c r="AL167" s="26">
        <f ca="1">IF($A168="","",_xll.SPRDOPT(P167,X167,AI167,0,AB167,AE167,AF167,AK167,$AJ$2,0))</f>
        <v>3.9547362526584362E-3</v>
      </c>
      <c r="AM167" s="89">
        <f t="shared" si="101"/>
        <v>0</v>
      </c>
      <c r="AN167" s="89">
        <f t="shared" ca="1" si="102"/>
        <v>3.9547362526584362E-3</v>
      </c>
      <c r="AO167" s="3">
        <f t="shared" si="103"/>
        <v>31</v>
      </c>
      <c r="AP167" s="33">
        <f t="shared" si="104"/>
        <v>41821</v>
      </c>
      <c r="AQ167" s="58">
        <f t="shared" ca="1" si="105"/>
        <v>4795</v>
      </c>
      <c r="AR167" s="38">
        <f>'ANR OK vs ML7'!AR167</f>
        <v>0.1</v>
      </c>
      <c r="AS167" s="35">
        <f t="shared" ca="1" si="106"/>
        <v>0.27774995399086833</v>
      </c>
      <c r="AT167" s="3">
        <f t="shared" si="107"/>
        <v>1</v>
      </c>
      <c r="AU167" s="3">
        <f t="shared" si="108"/>
        <v>31</v>
      </c>
      <c r="AW167" s="32">
        <f t="shared" ca="1" si="109"/>
        <v>4477.4812000073334</v>
      </c>
      <c r="AX167" s="32">
        <f t="shared" si="109"/>
        <v>0</v>
      </c>
      <c r="AY167" s="32">
        <f t="shared" ca="1" si="110"/>
        <v>4477.4812000073334</v>
      </c>
      <c r="BA167" s="32">
        <f ca="1">IF($A168="","",F167*Summary!$Q$12)</f>
        <v>0</v>
      </c>
      <c r="BC167" s="256">
        <f t="shared" ca="1" si="113"/>
        <v>0</v>
      </c>
    </row>
    <row r="168" spans="1:55">
      <c r="A168" s="67">
        <f t="shared" si="111"/>
        <v>41852</v>
      </c>
      <c r="B168" s="69">
        <f t="shared" si="114"/>
        <v>36522</v>
      </c>
      <c r="C168" s="71"/>
      <c r="D168" s="69">
        <f t="shared" si="77"/>
        <v>36522</v>
      </c>
      <c r="E168" s="70">
        <f t="shared" si="78"/>
        <v>1132182</v>
      </c>
      <c r="F168" s="70">
        <f t="shared" ca="1" si="79"/>
        <v>311869.87558220531</v>
      </c>
      <c r="G168" s="63">
        <f t="shared" si="80"/>
        <v>4.6710000000000003</v>
      </c>
      <c r="H168" s="64">
        <f t="shared" si="81"/>
        <v>4.6710000000000003</v>
      </c>
      <c r="I168" s="43"/>
      <c r="J168" s="63">
        <f t="shared" si="82"/>
        <v>0.18</v>
      </c>
      <c r="K168" s="64">
        <f t="shared" si="83"/>
        <v>0.18</v>
      </c>
      <c r="L168" s="63">
        <f t="shared" si="84"/>
        <v>0</v>
      </c>
      <c r="M168" s="64">
        <f t="shared" si="85"/>
        <v>0</v>
      </c>
      <c r="N168" s="65"/>
      <c r="O168" s="63">
        <f t="shared" si="86"/>
        <v>4.851</v>
      </c>
      <c r="P168" s="63">
        <f t="shared" si="87"/>
        <v>4.851</v>
      </c>
      <c r="Q168" s="66"/>
      <c r="R168" s="63">
        <f t="shared" si="88"/>
        <v>0.18</v>
      </c>
      <c r="S168" s="64">
        <f t="shared" si="89"/>
        <v>0.18</v>
      </c>
      <c r="T168" s="63">
        <f t="shared" si="90"/>
        <v>0</v>
      </c>
      <c r="U168" s="64">
        <f t="shared" si="91"/>
        <v>0</v>
      </c>
      <c r="V168" s="90">
        <f>IF($A169="","",IF(AND(MONTH(A168)&gt;3,MONTH(A168)&lt;11),(T168+R168+G168)*(((1/(1-Summary!$T$12))/(1-Summary!$W$12))-1),(T168+R168+G168)*((1/(1-Summary!$U$12))/(1-Summary!$X$12)-1)))</f>
        <v>0</v>
      </c>
      <c r="W168" s="63">
        <f t="shared" si="92"/>
        <v>4.851</v>
      </c>
      <c r="X168" s="63">
        <f t="shared" si="93"/>
        <v>4.851</v>
      </c>
      <c r="Y168" s="43"/>
      <c r="Z168" s="38">
        <f t="shared" si="94"/>
        <v>0.6</v>
      </c>
      <c r="AA168" s="38">
        <f t="shared" si="95"/>
        <v>0.17</v>
      </c>
      <c r="AB168" s="38">
        <f t="shared" ca="1" si="96"/>
        <v>0.17338461709593367</v>
      </c>
      <c r="AC168" s="38">
        <f t="shared" si="97"/>
        <v>0.6</v>
      </c>
      <c r="AD168" s="38">
        <f t="shared" si="97"/>
        <v>0.17</v>
      </c>
      <c r="AE168" s="38">
        <f t="shared" ca="1" si="98"/>
        <v>0.17338461709593367</v>
      </c>
      <c r="AF168" s="238">
        <f ca="1">((Summary!$N$12*(AA168*AD168)*(A168-$D$3))+(Summary!$M$12*Z168*AC168*(AJ168-EOMONTH(EDATE(A168,-1),0))))/(AK168*AB168*AE168)</f>
        <v>0.99990384614589289</v>
      </c>
      <c r="AG168" s="88">
        <f>IF($A169="","",Summary!$Q$12)</f>
        <v>0</v>
      </c>
      <c r="AH168" s="88">
        <f>IF($A169="","",IF(Summary!$R$12="Y",(VLOOKUP($A168,Summary!$AD$6:$AF$9,3)+'Escalating commodity'!H181),'Escalating commodity'!H181))</f>
        <v>2.9000000000000001E-2</v>
      </c>
      <c r="AI168" s="88">
        <f t="shared" si="112"/>
        <v>2.9000000000000001E-2</v>
      </c>
      <c r="AJ168" s="236">
        <f t="shared" si="99"/>
        <v>41866.5</v>
      </c>
      <c r="AK168" s="58">
        <f t="shared" ca="1" si="100"/>
        <v>4826</v>
      </c>
      <c r="AL168" s="26">
        <f ca="1">IF($A169="","",_xll.SPRDOPT(P168,X168,AI168,0,AB168,AE168,AF168,AK168,$AJ$2,0))</f>
        <v>4.0216629444913207E-3</v>
      </c>
      <c r="AM168" s="89">
        <f t="shared" si="101"/>
        <v>0</v>
      </c>
      <c r="AN168" s="89">
        <f t="shared" ca="1" si="102"/>
        <v>4.0216629444913207E-3</v>
      </c>
      <c r="AO168" s="3">
        <f t="shared" si="103"/>
        <v>31</v>
      </c>
      <c r="AP168" s="33">
        <f t="shared" si="104"/>
        <v>41852</v>
      </c>
      <c r="AQ168" s="58">
        <f t="shared" ca="1" si="105"/>
        <v>4826</v>
      </c>
      <c r="AR168" s="38">
        <f>'ANR OK vs ML7'!AR168</f>
        <v>0.1</v>
      </c>
      <c r="AS168" s="35">
        <f t="shared" ca="1" si="106"/>
        <v>0.27545913605957817</v>
      </c>
      <c r="AT168" s="3">
        <f t="shared" si="107"/>
        <v>1</v>
      </c>
      <c r="AU168" s="3">
        <f t="shared" si="108"/>
        <v>31</v>
      </c>
      <c r="AW168" s="32">
        <f t="shared" ca="1" si="109"/>
        <v>4553.2543958200722</v>
      </c>
      <c r="AX168" s="32">
        <f t="shared" si="109"/>
        <v>0</v>
      </c>
      <c r="AY168" s="32">
        <f t="shared" ca="1" si="110"/>
        <v>4553.2543958200722</v>
      </c>
      <c r="BA168" s="32">
        <f ca="1">IF($A169="","",F168*Summary!$Q$12)</f>
        <v>0</v>
      </c>
      <c r="BC168" s="256">
        <f t="shared" ca="1" si="113"/>
        <v>0</v>
      </c>
    </row>
    <row r="169" spans="1:55">
      <c r="A169" s="67">
        <f t="shared" si="111"/>
        <v>41883</v>
      </c>
      <c r="B169" s="69">
        <f t="shared" si="114"/>
        <v>36522</v>
      </c>
      <c r="C169" s="71"/>
      <c r="D169" s="69">
        <f t="shared" si="77"/>
        <v>36522</v>
      </c>
      <c r="E169" s="70">
        <f t="shared" si="78"/>
        <v>1095660</v>
      </c>
      <c r="F169" s="70">
        <f t="shared" ca="1" si="79"/>
        <v>299320.30099497159</v>
      </c>
      <c r="G169" s="63">
        <f t="shared" si="80"/>
        <v>4.6849999999999996</v>
      </c>
      <c r="H169" s="64">
        <f t="shared" si="81"/>
        <v>4.6849999999999996</v>
      </c>
      <c r="I169" s="43"/>
      <c r="J169" s="63">
        <f t="shared" si="82"/>
        <v>0.18</v>
      </c>
      <c r="K169" s="64">
        <f t="shared" si="83"/>
        <v>0.18</v>
      </c>
      <c r="L169" s="63">
        <f t="shared" si="84"/>
        <v>0</v>
      </c>
      <c r="M169" s="64">
        <f t="shared" si="85"/>
        <v>0</v>
      </c>
      <c r="N169" s="65"/>
      <c r="O169" s="63">
        <f t="shared" si="86"/>
        <v>4.8649999999999993</v>
      </c>
      <c r="P169" s="63">
        <f t="shared" si="87"/>
        <v>4.8649999999999993</v>
      </c>
      <c r="Q169" s="66"/>
      <c r="R169" s="63">
        <f t="shared" si="88"/>
        <v>0.18</v>
      </c>
      <c r="S169" s="64">
        <f t="shared" si="89"/>
        <v>0.18</v>
      </c>
      <c r="T169" s="63">
        <f t="shared" si="90"/>
        <v>0</v>
      </c>
      <c r="U169" s="64">
        <f t="shared" si="91"/>
        <v>0</v>
      </c>
      <c r="V169" s="90">
        <f>IF($A170="","",IF(AND(MONTH(A169)&gt;3,MONTH(A169)&lt;11),(T169+R169+G169)*(((1/(1-Summary!$T$12))/(1-Summary!$W$12))-1),(T169+R169+G169)*((1/(1-Summary!$U$12))/(1-Summary!$X$12)-1)))</f>
        <v>0</v>
      </c>
      <c r="W169" s="63">
        <f t="shared" si="92"/>
        <v>4.8649999999999993</v>
      </c>
      <c r="X169" s="63">
        <f t="shared" si="93"/>
        <v>4.8649999999999993</v>
      </c>
      <c r="Y169" s="43"/>
      <c r="Z169" s="38">
        <f t="shared" si="94"/>
        <v>0.6</v>
      </c>
      <c r="AA169" s="38">
        <f t="shared" si="95"/>
        <v>0.17</v>
      </c>
      <c r="AB169" s="38">
        <f t="shared" ca="1" si="96"/>
        <v>0.17325630603476228</v>
      </c>
      <c r="AC169" s="38">
        <f t="shared" si="97"/>
        <v>0.6</v>
      </c>
      <c r="AD169" s="38">
        <f t="shared" si="97"/>
        <v>0.17</v>
      </c>
      <c r="AE169" s="38">
        <f t="shared" ca="1" si="98"/>
        <v>0.17325630603476228</v>
      </c>
      <c r="AF169" s="238">
        <f ca="1">((Summary!$N$12*(AA169*AD169)*(A169-$D$3))+(Summary!$M$12*Z169*AC169*(AJ169-EOMONTH(EDATE(A169,-1),0))))/(AK169*AB169*AE169)</f>
        <v>0.99990370380023641</v>
      </c>
      <c r="AG169" s="88">
        <f>IF($A170="","",Summary!$Q$12)</f>
        <v>0</v>
      </c>
      <c r="AH169" s="88">
        <f>IF($A170="","",IF(Summary!$R$12="Y",(VLOOKUP($A169,Summary!$AD$6:$AF$9,3)+'Escalating commodity'!H182),'Escalating commodity'!H182))</f>
        <v>2.9000000000000001E-2</v>
      </c>
      <c r="AI169" s="88">
        <f t="shared" si="112"/>
        <v>2.9000000000000001E-2</v>
      </c>
      <c r="AJ169" s="236">
        <f t="shared" si="99"/>
        <v>41897</v>
      </c>
      <c r="AK169" s="58">
        <f t="shared" ca="1" si="100"/>
        <v>4857</v>
      </c>
      <c r="AL169" s="26">
        <f ca="1">IF($A170="","",_xll.SPRDOPT(P169,X169,AI169,0,AB169,AE169,AF169,AK169,$AJ$2,0))</f>
        <v>4.0551814038987527E-3</v>
      </c>
      <c r="AM169" s="89">
        <f t="shared" si="101"/>
        <v>0</v>
      </c>
      <c r="AN169" s="89">
        <f t="shared" ca="1" si="102"/>
        <v>4.0551814038987527E-3</v>
      </c>
      <c r="AO169" s="3">
        <f t="shared" si="103"/>
        <v>30</v>
      </c>
      <c r="AP169" s="33">
        <f t="shared" si="104"/>
        <v>41883</v>
      </c>
      <c r="AQ169" s="58">
        <f t="shared" ca="1" si="105"/>
        <v>4857</v>
      </c>
      <c r="AR169" s="38">
        <f>'ANR OK vs ML7'!AR169</f>
        <v>0.1</v>
      </c>
      <c r="AS169" s="35">
        <f t="shared" ca="1" si="106"/>
        <v>0.27318721226929121</v>
      </c>
      <c r="AT169" s="3">
        <f t="shared" si="107"/>
        <v>1</v>
      </c>
      <c r="AU169" s="3">
        <f t="shared" si="108"/>
        <v>30</v>
      </c>
      <c r="AW169" s="32">
        <f t="shared" ca="1" si="109"/>
        <v>4443.1000569957077</v>
      </c>
      <c r="AX169" s="32">
        <f t="shared" si="109"/>
        <v>0</v>
      </c>
      <c r="AY169" s="32">
        <f t="shared" ca="1" si="110"/>
        <v>4443.1000569957077</v>
      </c>
      <c r="BA169" s="32">
        <f ca="1">IF($A170="","",F169*Summary!$Q$12)</f>
        <v>0</v>
      </c>
      <c r="BC169" s="256">
        <f t="shared" ca="1" si="113"/>
        <v>0</v>
      </c>
    </row>
    <row r="170" spans="1:55" ht="12" customHeight="1">
      <c r="A170" s="67">
        <f t="shared" si="111"/>
        <v>41913</v>
      </c>
      <c r="B170" s="69">
        <f t="shared" si="114"/>
        <v>36522</v>
      </c>
      <c r="C170" s="71"/>
      <c r="D170" s="69">
        <f t="shared" si="77"/>
        <v>36522</v>
      </c>
      <c r="E170" s="70">
        <f t="shared" si="78"/>
        <v>1132182</v>
      </c>
      <c r="F170" s="70">
        <f t="shared" ca="1" si="79"/>
        <v>306828.58980736654</v>
      </c>
      <c r="G170" s="63">
        <f t="shared" si="80"/>
        <v>4.7160000000000002</v>
      </c>
      <c r="H170" s="64">
        <f t="shared" si="81"/>
        <v>4.7160000000000002</v>
      </c>
      <c r="I170" s="43"/>
      <c r="J170" s="63">
        <f t="shared" si="82"/>
        <v>0.18</v>
      </c>
      <c r="K170" s="64">
        <f t="shared" si="83"/>
        <v>0.18</v>
      </c>
      <c r="L170" s="63">
        <f t="shared" si="84"/>
        <v>0</v>
      </c>
      <c r="M170" s="64">
        <f t="shared" si="85"/>
        <v>0</v>
      </c>
      <c r="N170" s="65"/>
      <c r="O170" s="63">
        <f t="shared" si="86"/>
        <v>4.8959999999999999</v>
      </c>
      <c r="P170" s="63">
        <f t="shared" si="87"/>
        <v>4.8959999999999999</v>
      </c>
      <c r="Q170" s="66"/>
      <c r="R170" s="63">
        <f t="shared" si="88"/>
        <v>0.18</v>
      </c>
      <c r="S170" s="64">
        <f t="shared" si="89"/>
        <v>0.18</v>
      </c>
      <c r="T170" s="63">
        <f t="shared" si="90"/>
        <v>0</v>
      </c>
      <c r="U170" s="64">
        <f t="shared" si="91"/>
        <v>0</v>
      </c>
      <c r="V170" s="90">
        <f>IF($A171="","",IF(AND(MONTH(A170)&gt;3,MONTH(A170)&lt;11),(T170+R170+G170)*(((1/(1-Summary!$T$12))/(1-Summary!$W$12))-1),(T170+R170+G170)*((1/(1-Summary!$U$12))/(1-Summary!$X$12)-1)))</f>
        <v>0</v>
      </c>
      <c r="W170" s="63">
        <f t="shared" si="92"/>
        <v>4.8959999999999999</v>
      </c>
      <c r="X170" s="63">
        <f t="shared" si="93"/>
        <v>4.8959999999999999</v>
      </c>
      <c r="Y170" s="43"/>
      <c r="Z170" s="38">
        <f t="shared" si="94"/>
        <v>0.65</v>
      </c>
      <c r="AA170" s="38">
        <f t="shared" si="95"/>
        <v>0.17</v>
      </c>
      <c r="AB170" s="38">
        <f t="shared" ca="1" si="96"/>
        <v>0.17391362348770287</v>
      </c>
      <c r="AC170" s="38">
        <f t="shared" si="97"/>
        <v>0.65</v>
      </c>
      <c r="AD170" s="38">
        <f t="shared" si="97"/>
        <v>0.17</v>
      </c>
      <c r="AE170" s="38">
        <f t="shared" ca="1" si="98"/>
        <v>0.17391362348770287</v>
      </c>
      <c r="AF170" s="238">
        <f ca="1">((Summary!$N$12*(AA170*AD170)*(A170-$D$3))+(Summary!$M$12*Z170*AC170*(AJ170-EOMONTH(EDATE(A170,-1),0))))/(AK170*AB170*AE170)</f>
        <v>0.99990443046046029</v>
      </c>
      <c r="AG170" s="88">
        <f>IF($A171="","",Summary!$Q$12)</f>
        <v>0</v>
      </c>
      <c r="AH170" s="88">
        <f>IF($A171="","",IF(Summary!$R$12="Y",(VLOOKUP($A170,Summary!$AD$6:$AF$9,3)+'Escalating commodity'!H183),'Escalating commodity'!H183))</f>
        <v>2.9000000000000001E-2</v>
      </c>
      <c r="AI170" s="88">
        <f t="shared" si="112"/>
        <v>2.9000000000000001E-2</v>
      </c>
      <c r="AJ170" s="236">
        <f t="shared" si="99"/>
        <v>41927.5</v>
      </c>
      <c r="AK170" s="58">
        <f t="shared" ca="1" si="100"/>
        <v>4887</v>
      </c>
      <c r="AL170" s="26">
        <f ca="1">IF($A171="","",_xll.SPRDOPT(P170,X170,AI170,0,AB170,AE170,AF170,AK170,$AJ$2,0))</f>
        <v>4.0930081310779146E-3</v>
      </c>
      <c r="AM170" s="89">
        <f t="shared" si="101"/>
        <v>0</v>
      </c>
      <c r="AN170" s="89">
        <f t="shared" ca="1" si="102"/>
        <v>4.0930081310779146E-3</v>
      </c>
      <c r="AO170" s="3">
        <f t="shared" si="103"/>
        <v>31</v>
      </c>
      <c r="AP170" s="33">
        <f t="shared" si="104"/>
        <v>41913</v>
      </c>
      <c r="AQ170" s="58">
        <f t="shared" ca="1" si="105"/>
        <v>4887</v>
      </c>
      <c r="AR170" s="38">
        <f>'ANR OK vs ML7'!AR170</f>
        <v>0.1</v>
      </c>
      <c r="AS170" s="35">
        <f t="shared" ca="1" si="106"/>
        <v>0.27100641929245167</v>
      </c>
      <c r="AT170" s="3">
        <f t="shared" si="107"/>
        <v>1</v>
      </c>
      <c r="AU170" s="3">
        <f t="shared" si="108"/>
        <v>31</v>
      </c>
      <c r="AW170" s="32">
        <f t="shared" ca="1" si="109"/>
        <v>4634.030131860055</v>
      </c>
      <c r="AX170" s="32">
        <f t="shared" si="109"/>
        <v>0</v>
      </c>
      <c r="AY170" s="32">
        <f t="shared" ca="1" si="110"/>
        <v>4634.030131860055</v>
      </c>
      <c r="BA170" s="32">
        <f ca="1">IF($A171="","",F170*Summary!$Q$12)</f>
        <v>0</v>
      </c>
      <c r="BC170" s="256">
        <f t="shared" ca="1" si="113"/>
        <v>0</v>
      </c>
    </row>
    <row r="171" spans="1:55" ht="12" customHeight="1">
      <c r="A171" s="67">
        <f t="shared" si="111"/>
        <v>41944</v>
      </c>
      <c r="B171" s="69">
        <f t="shared" si="114"/>
        <v>36522</v>
      </c>
      <c r="C171" s="71"/>
      <c r="D171" s="69">
        <f t="shared" si="77"/>
        <v>36522</v>
      </c>
      <c r="E171" s="70">
        <f t="shared" si="78"/>
        <v>1095660</v>
      </c>
      <c r="F171" s="70">
        <f t="shared" ca="1" si="79"/>
        <v>294481.8754410143</v>
      </c>
      <c r="G171" s="63">
        <f t="shared" si="80"/>
        <v>4.8490000000000002</v>
      </c>
      <c r="H171" s="64">
        <f t="shared" si="81"/>
        <v>4.8490000000000002</v>
      </c>
      <c r="I171" s="43"/>
      <c r="J171" s="328">
        <f>J159</f>
        <v>0.27500000000000002</v>
      </c>
      <c r="K171" s="64">
        <f t="shared" si="83"/>
        <v>0.27500000000000002</v>
      </c>
      <c r="L171" s="63">
        <f t="shared" si="84"/>
        <v>0</v>
      </c>
      <c r="M171" s="64">
        <f t="shared" si="85"/>
        <v>0</v>
      </c>
      <c r="N171" s="65"/>
      <c r="O171" s="63">
        <f t="shared" si="86"/>
        <v>5.1240000000000006</v>
      </c>
      <c r="P171" s="63">
        <f t="shared" si="87"/>
        <v>5.1240000000000006</v>
      </c>
      <c r="Q171" s="66"/>
      <c r="R171" s="328">
        <f>R159</f>
        <v>0.27500000000000002</v>
      </c>
      <c r="S171" s="64">
        <f t="shared" si="89"/>
        <v>0.27500000000000002</v>
      </c>
      <c r="T171" s="63">
        <f t="shared" si="90"/>
        <v>0</v>
      </c>
      <c r="U171" s="64">
        <f t="shared" si="91"/>
        <v>0</v>
      </c>
      <c r="V171" s="90">
        <f>IF($A172="","",IF(AND(MONTH(A171)&gt;3,MONTH(A171)&lt;11),(T171+R171+G171)*(((1/(1-Summary!$T$12))/(1-Summary!$W$12))-1),(T171+R171+G171)*((1/(1-Summary!$U$12))/(1-Summary!$X$12)-1)))</f>
        <v>0</v>
      </c>
      <c r="W171" s="63">
        <f t="shared" si="92"/>
        <v>5.1240000000000006</v>
      </c>
      <c r="X171" s="63">
        <f t="shared" si="93"/>
        <v>5.1240000000000006</v>
      </c>
      <c r="Y171" s="43"/>
      <c r="Z171" s="38">
        <f t="shared" si="94"/>
        <v>0.8</v>
      </c>
      <c r="AA171" s="38">
        <f t="shared" si="95"/>
        <v>0.17</v>
      </c>
      <c r="AB171" s="38">
        <f t="shared" ca="1" si="96"/>
        <v>0.17566413801891734</v>
      </c>
      <c r="AC171" s="38">
        <f t="shared" si="97"/>
        <v>0.8</v>
      </c>
      <c r="AD171" s="38">
        <f t="shared" si="97"/>
        <v>0.17</v>
      </c>
      <c r="AE171" s="38">
        <f t="shared" ca="1" si="98"/>
        <v>0.17566413801891734</v>
      </c>
      <c r="AF171" s="238">
        <f ca="1">((Summary!$N$12*(AA171*AD171)*(A171-$D$3))+(Summary!$M$12*Z171*AC171*(AJ171-EOMONTH(EDATE(A171,-1),0))))/(AK171*AB171*AE171)</f>
        <v>0.99990632581505845</v>
      </c>
      <c r="AG171" s="88">
        <f>IF($A172="","",Summary!$Q$12)</f>
        <v>0</v>
      </c>
      <c r="AH171" s="88">
        <f>IF($A172="","",IF(Summary!$R$12="Y",(VLOOKUP($A171,Summary!$AD$6:$AF$9,3)+'Escalating commodity'!H184),'Escalating commodity'!H184))</f>
        <v>2.9000000000000001E-2</v>
      </c>
      <c r="AI171" s="88">
        <f t="shared" si="112"/>
        <v>2.9000000000000001E-2</v>
      </c>
      <c r="AJ171" s="236">
        <f t="shared" si="99"/>
        <v>41958</v>
      </c>
      <c r="AK171" s="58">
        <f t="shared" ca="1" si="100"/>
        <v>4918</v>
      </c>
      <c r="AL171" s="26">
        <f ca="1">IF($A172="","",_xll.SPRDOPT(P171,X171,AI171,0,AB171,AE171,AF171,AK171,$AJ$2,0))</f>
        <v>4.3189947014205532E-3</v>
      </c>
      <c r="AM171" s="89">
        <f t="shared" si="101"/>
        <v>0</v>
      </c>
      <c r="AN171" s="89">
        <f t="shared" ca="1" si="102"/>
        <v>4.3189947014205532E-3</v>
      </c>
      <c r="AO171" s="3">
        <f t="shared" si="103"/>
        <v>30</v>
      </c>
      <c r="AP171" s="33">
        <f t="shared" si="104"/>
        <v>41944</v>
      </c>
      <c r="AQ171" s="58">
        <f t="shared" ca="1" si="105"/>
        <v>4918</v>
      </c>
      <c r="AR171" s="38">
        <f>'ANR OK vs ML7'!AR171</f>
        <v>0.1</v>
      </c>
      <c r="AS171" s="35">
        <f t="shared" ca="1" si="106"/>
        <v>0.26877122048903335</v>
      </c>
      <c r="AT171" s="3">
        <f t="shared" si="107"/>
        <v>1</v>
      </c>
      <c r="AU171" s="3">
        <f t="shared" si="108"/>
        <v>30</v>
      </c>
      <c r="AW171" s="32">
        <f t="shared" ca="1" si="109"/>
        <v>4732.149734558443</v>
      </c>
      <c r="AX171" s="32">
        <f t="shared" si="109"/>
        <v>0</v>
      </c>
      <c r="AY171" s="32">
        <f t="shared" ca="1" si="110"/>
        <v>4732.149734558443</v>
      </c>
      <c r="BA171" s="32">
        <f ca="1">IF($A172="","",F171*Summary!$Q$12)</f>
        <v>0</v>
      </c>
      <c r="BC171" s="256">
        <f t="shared" ca="1" si="113"/>
        <v>0</v>
      </c>
    </row>
    <row r="172" spans="1:55" ht="12" customHeight="1">
      <c r="A172" s="67">
        <f t="shared" si="111"/>
        <v>41974</v>
      </c>
      <c r="B172" s="69">
        <f t="shared" si="114"/>
        <v>36522</v>
      </c>
      <c r="C172" s="71"/>
      <c r="D172" s="69">
        <f t="shared" si="77"/>
        <v>36522</v>
      </c>
      <c r="E172" s="70">
        <f t="shared" si="78"/>
        <v>1132182</v>
      </c>
      <c r="F172" s="70">
        <f t="shared" ca="1" si="79"/>
        <v>301868.79494990519</v>
      </c>
      <c r="G172" s="63">
        <f t="shared" si="80"/>
        <v>4.9870000000000001</v>
      </c>
      <c r="H172" s="64">
        <f t="shared" si="81"/>
        <v>4.9870000000000001</v>
      </c>
      <c r="I172" s="43"/>
      <c r="J172" s="328">
        <f>J160</f>
        <v>0.27500000000000002</v>
      </c>
      <c r="K172" s="64">
        <f t="shared" si="83"/>
        <v>0.27500000000000002</v>
      </c>
      <c r="L172" s="63">
        <f t="shared" si="84"/>
        <v>0</v>
      </c>
      <c r="M172" s="64">
        <f t="shared" si="85"/>
        <v>0</v>
      </c>
      <c r="N172" s="65"/>
      <c r="O172" s="63">
        <f t="shared" si="86"/>
        <v>5.2620000000000005</v>
      </c>
      <c r="P172" s="63">
        <f t="shared" si="87"/>
        <v>5.2620000000000005</v>
      </c>
      <c r="Q172" s="66"/>
      <c r="R172" s="328">
        <f>R160</f>
        <v>0.27500000000000002</v>
      </c>
      <c r="S172" s="64">
        <f t="shared" si="89"/>
        <v>0.27500000000000002</v>
      </c>
      <c r="T172" s="63">
        <f t="shared" si="90"/>
        <v>0</v>
      </c>
      <c r="U172" s="64">
        <f t="shared" si="91"/>
        <v>0</v>
      </c>
      <c r="V172" s="90">
        <f>IF($A173="","",IF(AND(MONTH(A172)&gt;3,MONTH(A172)&lt;11),(T172+R172+G172)*(((1/(1-Summary!$T$12))/(1-Summary!$W$12))-1),(T172+R172+G172)*((1/(1-Summary!$U$12))/(1-Summary!$X$12)-1)))</f>
        <v>0</v>
      </c>
      <c r="W172" s="63">
        <f t="shared" si="92"/>
        <v>5.2620000000000005</v>
      </c>
      <c r="X172" s="63">
        <f t="shared" si="93"/>
        <v>5.2620000000000005</v>
      </c>
      <c r="Y172" s="43"/>
      <c r="Z172" s="38">
        <f t="shared" si="94"/>
        <v>1.1000000000000001</v>
      </c>
      <c r="AA172" s="38">
        <f t="shared" si="95"/>
        <v>0.17</v>
      </c>
      <c r="AB172" s="38">
        <f t="shared" ca="1" si="96"/>
        <v>0.18082107486574198</v>
      </c>
      <c r="AC172" s="38">
        <f t="shared" si="97"/>
        <v>1.1000000000000001</v>
      </c>
      <c r="AD172" s="38">
        <f t="shared" si="97"/>
        <v>0.17</v>
      </c>
      <c r="AE172" s="38">
        <f t="shared" ca="1" si="98"/>
        <v>0.18082107486574198</v>
      </c>
      <c r="AF172" s="238">
        <f ca="1">((Summary!$N$12*(AA172*AD172)*(A172-$D$3))+(Summary!$M$12*Z172*AC172*(AJ172-EOMONTH(EDATE(A172,-1),0))))/(AK172*AB172*AE172)</f>
        <v>0.99991159282511999</v>
      </c>
      <c r="AG172" s="88">
        <f>IF($A173="","",Summary!$Q$12)</f>
        <v>0</v>
      </c>
      <c r="AH172" s="88">
        <f>IF($A173="","",IF(Summary!$R$12="Y",(VLOOKUP($A172,Summary!$AD$6:$AF$9,3)+'Escalating commodity'!H185),'Escalating commodity'!H185))</f>
        <v>2.9000000000000001E-2</v>
      </c>
      <c r="AI172" s="88">
        <f t="shared" si="112"/>
        <v>2.9000000000000001E-2</v>
      </c>
      <c r="AJ172" s="236">
        <f t="shared" si="99"/>
        <v>41988.5</v>
      </c>
      <c r="AK172" s="58">
        <f t="shared" ca="1" si="100"/>
        <v>4948</v>
      </c>
      <c r="AL172" s="26">
        <f ca="1">IF($A173="","",_xll.SPRDOPT(P172,X172,AI172,0,AB172,AE172,AF172,AK172,$AJ$2,0))</f>
        <v>4.3856722949182775E-3</v>
      </c>
      <c r="AM172" s="89">
        <f t="shared" si="101"/>
        <v>0</v>
      </c>
      <c r="AN172" s="89">
        <f t="shared" ca="1" si="102"/>
        <v>4.3856722949182775E-3</v>
      </c>
      <c r="AO172" s="3">
        <f t="shared" si="103"/>
        <v>31</v>
      </c>
      <c r="AP172" s="33">
        <f t="shared" si="104"/>
        <v>41974</v>
      </c>
      <c r="AQ172" s="58">
        <f t="shared" ca="1" si="105"/>
        <v>4948</v>
      </c>
      <c r="AR172" s="38">
        <f>'ANR OK vs ML7'!AR172</f>
        <v>0.1</v>
      </c>
      <c r="AS172" s="35">
        <f t="shared" ca="1" si="106"/>
        <v>0.26662567939598508</v>
      </c>
      <c r="AT172" s="3">
        <f t="shared" si="107"/>
        <v>1</v>
      </c>
      <c r="AU172" s="3">
        <f t="shared" si="108"/>
        <v>31</v>
      </c>
      <c r="AW172" s="32">
        <f t="shared" ca="1" si="109"/>
        <v>4965.3792302051652</v>
      </c>
      <c r="AX172" s="32">
        <f t="shared" si="109"/>
        <v>0</v>
      </c>
      <c r="AY172" s="32">
        <f t="shared" ca="1" si="110"/>
        <v>4965.3792302051652</v>
      </c>
      <c r="BA172" s="32">
        <f ca="1">IF($A173="","",F172*Summary!$Q$12)</f>
        <v>0</v>
      </c>
      <c r="BC172" s="256">
        <f t="shared" ca="1" si="113"/>
        <v>0</v>
      </c>
    </row>
    <row r="173" spans="1:55" ht="12" customHeight="1">
      <c r="A173" s="67">
        <f t="shared" si="111"/>
        <v>42005</v>
      </c>
      <c r="B173" s="69">
        <f t="shared" si="114"/>
        <v>36522</v>
      </c>
      <c r="C173" s="71"/>
      <c r="D173" s="69">
        <f t="shared" si="77"/>
        <v>36522</v>
      </c>
      <c r="E173" s="70">
        <f t="shared" si="78"/>
        <v>1132182</v>
      </c>
      <c r="F173" s="70">
        <f t="shared" ca="1" si="79"/>
        <v>299379.05034893606</v>
      </c>
      <c r="G173" s="63">
        <f t="shared" si="80"/>
        <v>5.0440000000000005</v>
      </c>
      <c r="H173" s="64">
        <f t="shared" si="81"/>
        <v>5.0440000000000005</v>
      </c>
      <c r="I173" s="43"/>
      <c r="J173" s="328">
        <f>J161</f>
        <v>0.27500000000000002</v>
      </c>
      <c r="K173" s="64">
        <f t="shared" si="83"/>
        <v>0.27500000000000002</v>
      </c>
      <c r="L173" s="63">
        <f t="shared" si="84"/>
        <v>0</v>
      </c>
      <c r="M173" s="64">
        <f t="shared" si="85"/>
        <v>0</v>
      </c>
      <c r="N173" s="65"/>
      <c r="O173" s="63">
        <f t="shared" si="86"/>
        <v>5.3190000000000008</v>
      </c>
      <c r="P173" s="63">
        <f t="shared" si="87"/>
        <v>5.3190000000000008</v>
      </c>
      <c r="Q173" s="66"/>
      <c r="R173" s="328">
        <f>R161</f>
        <v>0.27500000000000002</v>
      </c>
      <c r="S173" s="64">
        <f t="shared" si="89"/>
        <v>0.27500000000000002</v>
      </c>
      <c r="T173" s="63">
        <f t="shared" si="90"/>
        <v>0</v>
      </c>
      <c r="U173" s="64">
        <f t="shared" si="91"/>
        <v>0</v>
      </c>
      <c r="V173" s="90">
        <f>IF($A174="","",IF(AND(MONTH(A173)&gt;3,MONTH(A173)&lt;11),(T173+R173+G173)*(((1/(1-Summary!$T$12))/(1-Summary!$W$12))-1),(T173+R173+G173)*((1/(1-Summary!$U$12))/(1-Summary!$X$12)-1)))</f>
        <v>0</v>
      </c>
      <c r="W173" s="63">
        <f t="shared" si="92"/>
        <v>5.3190000000000008</v>
      </c>
      <c r="X173" s="63">
        <f t="shared" si="93"/>
        <v>5.3190000000000008</v>
      </c>
      <c r="Y173" s="43"/>
      <c r="Z173" s="38">
        <f t="shared" si="94"/>
        <v>1.1000000000000001</v>
      </c>
      <c r="AA173" s="38">
        <f t="shared" si="95"/>
        <v>0.17</v>
      </c>
      <c r="AB173" s="38">
        <f t="shared" ca="1" si="96"/>
        <v>0.18075570537359381</v>
      </c>
      <c r="AC173" s="38">
        <f t="shared" si="97"/>
        <v>1.1000000000000001</v>
      </c>
      <c r="AD173" s="38">
        <f t="shared" si="97"/>
        <v>0.17</v>
      </c>
      <c r="AE173" s="38">
        <f t="shared" ca="1" si="98"/>
        <v>0.18075570537359381</v>
      </c>
      <c r="AF173" s="238">
        <f ca="1">((Summary!$N$12*(AA173*AD173)*(A173-$D$3))+(Summary!$M$12*Z173*AC173*(AJ173-EOMONTH(EDATE(A173,-1),0))))/(AK173*AB173*AE173)</f>
        <v>0.99991152898074076</v>
      </c>
      <c r="AG173" s="88">
        <f>IF($A174="","",Summary!$Q$12)</f>
        <v>0</v>
      </c>
      <c r="AH173" s="88">
        <f>IF($A174="","",IF(Summary!$R$12="Y",(VLOOKUP($A173,Summary!$AD$6:$AF$9,3)+'Escalating commodity'!H186),'Escalating commodity'!H186))</f>
        <v>0</v>
      </c>
      <c r="AI173" s="88">
        <f t="shared" si="112"/>
        <v>0</v>
      </c>
      <c r="AJ173" s="236">
        <f t="shared" si="99"/>
        <v>42019.5</v>
      </c>
      <c r="AK173" s="58">
        <f t="shared" ca="1" si="100"/>
        <v>4979</v>
      </c>
      <c r="AL173" s="26">
        <f ca="1">IF($A174="","",_xll.SPRDOPT(P173,X173,AI173,0,AB173,AE173,AF173,AK173,$AJ$2,0))</f>
        <v>5.6028597247541889E-3</v>
      </c>
      <c r="AM173" s="89">
        <f t="shared" si="101"/>
        <v>0</v>
      </c>
      <c r="AN173" s="89">
        <f t="shared" ca="1" si="102"/>
        <v>5.6028597247541889E-3</v>
      </c>
      <c r="AO173" s="3">
        <f t="shared" si="103"/>
        <v>31</v>
      </c>
      <c r="AP173" s="33">
        <f t="shared" si="104"/>
        <v>42005</v>
      </c>
      <c r="AQ173" s="58">
        <f t="shared" ca="1" si="105"/>
        <v>4979</v>
      </c>
      <c r="AR173" s="38">
        <f>'ANR OK vs ML7'!AR173</f>
        <v>0.1</v>
      </c>
      <c r="AS173" s="35">
        <f t="shared" ca="1" si="106"/>
        <v>0.26442661193071082</v>
      </c>
      <c r="AT173" s="3">
        <f t="shared" si="107"/>
        <v>1</v>
      </c>
      <c r="AU173" s="3">
        <f t="shared" si="108"/>
        <v>31</v>
      </c>
      <c r="AW173" s="32">
        <f t="shared" ca="1" si="109"/>
        <v>6343.4569288916473</v>
      </c>
      <c r="AX173" s="32">
        <f t="shared" si="109"/>
        <v>0</v>
      </c>
      <c r="AY173" s="32">
        <f t="shared" ca="1" si="110"/>
        <v>6343.4569288916473</v>
      </c>
      <c r="BA173" s="32">
        <f ca="1">IF($A174="","",F173*Summary!$Q$12)</f>
        <v>0</v>
      </c>
      <c r="BC173" s="256">
        <f t="shared" ca="1" si="113"/>
        <v>0</v>
      </c>
    </row>
    <row r="174" spans="1:55" ht="12" customHeight="1">
      <c r="A174" s="67">
        <f t="shared" si="111"/>
        <v>42036</v>
      </c>
      <c r="B174" s="69">
        <f t="shared" si="114"/>
        <v>36522</v>
      </c>
      <c r="C174" s="71"/>
      <c r="D174" s="69">
        <f t="shared" si="77"/>
        <v>36522</v>
      </c>
      <c r="E174" s="70">
        <f t="shared" si="78"/>
        <v>1022616</v>
      </c>
      <c r="F174" s="70">
        <f t="shared" ca="1" si="79"/>
        <v>268176.63021079847</v>
      </c>
      <c r="G174" s="63">
        <f t="shared" si="80"/>
        <v>4.9240000000000004</v>
      </c>
      <c r="H174" s="64">
        <f t="shared" si="81"/>
        <v>4.9240000000000004</v>
      </c>
      <c r="I174" s="43"/>
      <c r="J174" s="328">
        <f>J162</f>
        <v>0.27500000000000002</v>
      </c>
      <c r="K174" s="64">
        <f t="shared" si="83"/>
        <v>0.27500000000000002</v>
      </c>
      <c r="L174" s="63">
        <f t="shared" si="84"/>
        <v>0</v>
      </c>
      <c r="M174" s="64">
        <f t="shared" si="85"/>
        <v>0</v>
      </c>
      <c r="N174" s="65"/>
      <c r="O174" s="63">
        <f t="shared" si="86"/>
        <v>5.1990000000000007</v>
      </c>
      <c r="P174" s="63">
        <f t="shared" si="87"/>
        <v>5.1990000000000007</v>
      </c>
      <c r="Q174" s="66"/>
      <c r="R174" s="328">
        <f>R162</f>
        <v>0.27500000000000002</v>
      </c>
      <c r="S174" s="64">
        <f t="shared" si="89"/>
        <v>0.27500000000000002</v>
      </c>
      <c r="T174" s="63">
        <f t="shared" si="90"/>
        <v>0</v>
      </c>
      <c r="U174" s="64">
        <f t="shared" si="91"/>
        <v>0</v>
      </c>
      <c r="V174" s="90">
        <f>IF($A175="","",IF(AND(MONTH(A174)&gt;3,MONTH(A174)&lt;11),(T174+R174+G174)*(((1/(1-Summary!$T$12))/(1-Summary!$W$12))-1),(T174+R174+G174)*((1/(1-Summary!$U$12))/(1-Summary!$X$12)-1)))</f>
        <v>0</v>
      </c>
      <c r="W174" s="63">
        <f t="shared" si="92"/>
        <v>5.1990000000000007</v>
      </c>
      <c r="X174" s="63">
        <f t="shared" si="93"/>
        <v>5.1990000000000007</v>
      </c>
      <c r="Y174" s="43"/>
      <c r="Z174" s="38">
        <f t="shared" si="94"/>
        <v>1.1000000000000001</v>
      </c>
      <c r="AA174" s="38">
        <f t="shared" si="95"/>
        <v>0.17</v>
      </c>
      <c r="AB174" s="38">
        <f t="shared" ca="1" si="96"/>
        <v>0.17968585361130676</v>
      </c>
      <c r="AC174" s="38">
        <f t="shared" si="97"/>
        <v>1.1000000000000001</v>
      </c>
      <c r="AD174" s="38">
        <f t="shared" si="97"/>
        <v>0.17</v>
      </c>
      <c r="AE174" s="38">
        <f t="shared" ca="1" si="98"/>
        <v>0.17968585361130676</v>
      </c>
      <c r="AF174" s="238">
        <f ca="1">((Summary!$N$12*(AA174*AD174)*(A174-$D$3))+(Summary!$M$12*Z174*AC174*(AJ174-EOMONTH(EDATE(A174,-1),0))))/(AK174*AB174*AE174)</f>
        <v>0.99991047244060405</v>
      </c>
      <c r="AG174" s="88">
        <f>IF($A175="","",Summary!$Q$12)</f>
        <v>0</v>
      </c>
      <c r="AH174" s="88">
        <f>IF($A175="","",IF(Summary!$R$12="Y",(VLOOKUP($A174,Summary!$AD$6:$AF$9,3)+'Escalating commodity'!H187),'Escalating commodity'!H187))</f>
        <v>0</v>
      </c>
      <c r="AI174" s="88">
        <f t="shared" si="112"/>
        <v>0</v>
      </c>
      <c r="AJ174" s="236">
        <f t="shared" si="99"/>
        <v>42049</v>
      </c>
      <c r="AK174" s="58">
        <f t="shared" ca="1" si="100"/>
        <v>5010</v>
      </c>
      <c r="AL174" s="26">
        <f ca="1">IF($A175="","",_xll.SPRDOPT(P174,X174,AI174,0,AB174,AE174,AF174,AK174,$AJ$2,0))</f>
        <v>5.5261803649241589E-3</v>
      </c>
      <c r="AM174" s="89">
        <f t="shared" si="101"/>
        <v>0</v>
      </c>
      <c r="AN174" s="89">
        <f t="shared" ca="1" si="102"/>
        <v>5.5261803649241589E-3</v>
      </c>
      <c r="AO174" s="3">
        <f t="shared" si="103"/>
        <v>28</v>
      </c>
      <c r="AP174" s="33">
        <f t="shared" si="104"/>
        <v>42036</v>
      </c>
      <c r="AQ174" s="58">
        <f t="shared" ca="1" si="105"/>
        <v>5010</v>
      </c>
      <c r="AR174" s="38">
        <f>'ANR OK vs ML7'!AR174</f>
        <v>0.1</v>
      </c>
      <c r="AS174" s="35">
        <f t="shared" ca="1" si="106"/>
        <v>0.26224568186963482</v>
      </c>
      <c r="AT174" s="3">
        <f t="shared" si="107"/>
        <v>1</v>
      </c>
      <c r="AU174" s="3">
        <f t="shared" si="108"/>
        <v>28</v>
      </c>
      <c r="AW174" s="32">
        <f t="shared" ca="1" si="109"/>
        <v>5651.1604600572837</v>
      </c>
      <c r="AX174" s="32">
        <f t="shared" si="109"/>
        <v>0</v>
      </c>
      <c r="AY174" s="32">
        <f t="shared" ca="1" si="110"/>
        <v>5651.1604600572837</v>
      </c>
      <c r="BA174" s="32">
        <f ca="1">IF($A175="","",F174*Summary!$Q$12)</f>
        <v>0</v>
      </c>
    </row>
    <row r="175" spans="1:55" ht="12" customHeight="1">
      <c r="A175" s="67">
        <f t="shared" si="111"/>
        <v>42064</v>
      </c>
      <c r="B175" s="69">
        <f t="shared" si="114"/>
        <v>36522</v>
      </c>
      <c r="C175" s="71"/>
      <c r="D175" s="69">
        <f t="shared" si="77"/>
        <v>36522</v>
      </c>
      <c r="E175" s="70">
        <f t="shared" si="78"/>
        <v>1132182</v>
      </c>
      <c r="F175" s="70">
        <f t="shared" ca="1" si="79"/>
        <v>294697.09584393172</v>
      </c>
      <c r="G175" s="63">
        <f t="shared" si="80"/>
        <v>4.7850000000000001</v>
      </c>
      <c r="H175" s="64">
        <f t="shared" si="81"/>
        <v>4.7850000000000001</v>
      </c>
      <c r="I175" s="43"/>
      <c r="J175" s="328">
        <f>J163</f>
        <v>0.27500000000000002</v>
      </c>
      <c r="K175" s="64">
        <f t="shared" si="83"/>
        <v>0.27500000000000002</v>
      </c>
      <c r="L175" s="63">
        <f t="shared" si="84"/>
        <v>0</v>
      </c>
      <c r="M175" s="64">
        <f t="shared" si="85"/>
        <v>0</v>
      </c>
      <c r="N175" s="65"/>
      <c r="O175" s="63">
        <f t="shared" si="86"/>
        <v>5.0600000000000005</v>
      </c>
      <c r="P175" s="63">
        <f t="shared" si="87"/>
        <v>5.0600000000000005</v>
      </c>
      <c r="Q175" s="66"/>
      <c r="R175" s="328">
        <f>R163</f>
        <v>0.27500000000000002</v>
      </c>
      <c r="S175" s="64">
        <f t="shared" si="89"/>
        <v>0.27500000000000002</v>
      </c>
      <c r="T175" s="63">
        <f t="shared" si="90"/>
        <v>0</v>
      </c>
      <c r="U175" s="64">
        <f t="shared" si="91"/>
        <v>0</v>
      </c>
      <c r="V175" s="90">
        <f>IF($A176="","",IF(AND(MONTH(A175)&gt;3,MONTH(A175)&lt;11),(T175+R175+G175)*(((1/(1-Summary!$T$12))/(1-Summary!$W$12))-1),(T175+R175+G175)*((1/(1-Summary!$U$12))/(1-Summary!$X$12)-1)))</f>
        <v>0</v>
      </c>
      <c r="W175" s="63">
        <f t="shared" si="92"/>
        <v>5.0600000000000005</v>
      </c>
      <c r="X175" s="63">
        <f t="shared" si="93"/>
        <v>5.0600000000000005</v>
      </c>
      <c r="Y175" s="43"/>
      <c r="Z175" s="38">
        <f t="shared" si="94"/>
        <v>0.75</v>
      </c>
      <c r="AA175" s="38">
        <f t="shared" si="95"/>
        <v>0.17</v>
      </c>
      <c r="AB175" s="38">
        <f t="shared" ca="1" si="96"/>
        <v>0.17503237946918254</v>
      </c>
      <c r="AC175" s="38">
        <f t="shared" si="97"/>
        <v>0.75</v>
      </c>
      <c r="AD175" s="38">
        <f t="shared" si="97"/>
        <v>0.17</v>
      </c>
      <c r="AE175" s="38">
        <f t="shared" ca="1" si="98"/>
        <v>0.17503237946918254</v>
      </c>
      <c r="AF175" s="238">
        <f ca="1">((Summary!$N$12*(AA175*AD175)*(A175-$D$3))+(Summary!$M$12*Z175*AC175*(AJ175-EOMONTH(EDATE(A175,-1),0))))/(AK175*AB175*AE175)</f>
        <v>0.99990564883992661</v>
      </c>
      <c r="AG175" s="88">
        <f>IF($A176="","",Summary!$Q$12)</f>
        <v>0</v>
      </c>
      <c r="AH175" s="88">
        <f>IF($A176="","",IF(Summary!$R$12="Y",(VLOOKUP($A175,Summary!$AD$6:$AF$9,3)+'Escalating commodity'!H188),'Escalating commodity'!H188))</f>
        <v>0</v>
      </c>
      <c r="AI175" s="88">
        <f t="shared" si="112"/>
        <v>0</v>
      </c>
      <c r="AJ175" s="236">
        <f t="shared" si="99"/>
        <v>42078.5</v>
      </c>
      <c r="AK175" s="58">
        <f t="shared" ca="1" si="100"/>
        <v>5038</v>
      </c>
      <c r="AL175" s="26">
        <f ca="1">IF($A176="","",_xll.SPRDOPT(P175,X175,AI175,0,AB175,AE175,AF175,AK175,$AJ$2,0))</f>
        <v>5.5368367706165669E-3</v>
      </c>
      <c r="AM175" s="89">
        <f t="shared" si="101"/>
        <v>0</v>
      </c>
      <c r="AN175" s="89">
        <f t="shared" ca="1" si="102"/>
        <v>5.5368367706165669E-3</v>
      </c>
      <c r="AO175" s="3">
        <f t="shared" si="103"/>
        <v>31</v>
      </c>
      <c r="AP175" s="33">
        <f t="shared" si="104"/>
        <v>42064</v>
      </c>
      <c r="AQ175" s="58">
        <f t="shared" ca="1" si="105"/>
        <v>5038</v>
      </c>
      <c r="AR175" s="38">
        <f>'ANR OK vs ML7'!AR175</f>
        <v>0.1</v>
      </c>
      <c r="AS175" s="35">
        <f t="shared" ca="1" si="106"/>
        <v>0.26029127458653445</v>
      </c>
      <c r="AT175" s="3">
        <f t="shared" si="107"/>
        <v>1</v>
      </c>
      <c r="AU175" s="3">
        <f t="shared" si="108"/>
        <v>31</v>
      </c>
      <c r="AW175" s="32">
        <f t="shared" ca="1" si="109"/>
        <v>6268.7069286302058</v>
      </c>
      <c r="AX175" s="32">
        <f t="shared" si="109"/>
        <v>0</v>
      </c>
      <c r="AY175" s="32">
        <f t="shared" ca="1" si="110"/>
        <v>6268.7069286302058</v>
      </c>
      <c r="BA175" s="32">
        <f ca="1">IF($A176="","",F175*Summary!$Q$12)</f>
        <v>0</v>
      </c>
    </row>
    <row r="176" spans="1:55" ht="12" customHeight="1">
      <c r="A176" s="67">
        <f t="shared" si="111"/>
        <v>42095</v>
      </c>
      <c r="B176" s="69" t="str">
        <f t="shared" si="114"/>
        <v/>
      </c>
      <c r="C176" s="71"/>
      <c r="D176" s="69" t="str">
        <f t="shared" si="77"/>
        <v/>
      </c>
      <c r="E176" s="70" t="str">
        <f t="shared" si="78"/>
        <v/>
      </c>
      <c r="F176" s="70" t="str">
        <f t="shared" si="79"/>
        <v/>
      </c>
      <c r="G176" s="63" t="str">
        <f t="shared" si="80"/>
        <v/>
      </c>
      <c r="H176" s="64" t="str">
        <f t="shared" si="81"/>
        <v/>
      </c>
      <c r="I176" s="43"/>
      <c r="J176" s="63" t="str">
        <f t="shared" si="82"/>
        <v/>
      </c>
      <c r="K176" s="64" t="str">
        <f t="shared" si="83"/>
        <v/>
      </c>
      <c r="L176" s="63" t="str">
        <f t="shared" si="84"/>
        <v/>
      </c>
      <c r="M176" s="64" t="str">
        <f t="shared" si="85"/>
        <v/>
      </c>
      <c r="N176" s="65"/>
      <c r="O176" s="63" t="str">
        <f t="shared" si="86"/>
        <v/>
      </c>
      <c r="P176" s="63" t="str">
        <f t="shared" si="87"/>
        <v/>
      </c>
      <c r="Q176" s="66"/>
      <c r="R176" s="63" t="str">
        <f t="shared" si="88"/>
        <v/>
      </c>
      <c r="S176" s="64" t="str">
        <f t="shared" si="89"/>
        <v/>
      </c>
      <c r="T176" s="63" t="str">
        <f t="shared" si="90"/>
        <v/>
      </c>
      <c r="U176" s="64" t="str">
        <f t="shared" si="91"/>
        <v/>
      </c>
      <c r="V176" s="90" t="str">
        <f>IF($A177="","",IF(AND(MONTH(A176)&gt;3,MONTH(A176)&lt;11),(T176+R176+G176)*(((1/(1-Summary!$T$12))/(1-Summary!$W$12))-1),(T176+R176+G176)*((1/(1-Summary!$U$12))/(1-Summary!$X$12)-1)))</f>
        <v/>
      </c>
      <c r="W176" s="63" t="str">
        <f t="shared" si="92"/>
        <v/>
      </c>
      <c r="X176" s="63" t="str">
        <f t="shared" si="93"/>
        <v/>
      </c>
      <c r="Y176" s="43"/>
      <c r="Z176" s="38" t="str">
        <f t="shared" si="94"/>
        <v/>
      </c>
      <c r="AA176" s="38" t="str">
        <f t="shared" si="95"/>
        <v/>
      </c>
      <c r="AB176" s="38" t="e">
        <f t="shared" si="96"/>
        <v>#VALUE!</v>
      </c>
      <c r="AC176" s="38" t="str">
        <f t="shared" si="97"/>
        <v/>
      </c>
      <c r="AD176" s="38" t="str">
        <f t="shared" si="97"/>
        <v/>
      </c>
      <c r="AE176" s="38" t="e">
        <f t="shared" si="98"/>
        <v>#VALUE!</v>
      </c>
      <c r="AF176" s="238" t="e">
        <f>((Summary!$N$12*(AA176*AD176)*(A176-$D$3))+(Summary!$M$12*Z176*AC176*(AJ176-EOMONTH(EDATE(A176,-1),0))))/(AK176*AB176*AE176)</f>
        <v>#VALUE!</v>
      </c>
      <c r="AG176" s="88" t="str">
        <f>IF($A177="","",Summary!$Q$12)</f>
        <v/>
      </c>
      <c r="AH176" s="88" t="str">
        <f>IF($A177="","",IF(Summary!$R$12="Y",(VLOOKUP($A176,Summary!$AD$6:$AF$9,3)+'Escalating commodity'!H189),'Escalating commodity'!H189))</f>
        <v/>
      </c>
      <c r="AI176" s="88" t="str">
        <f t="shared" si="112"/>
        <v/>
      </c>
      <c r="AJ176" s="236">
        <f t="shared" si="99"/>
        <v>42109</v>
      </c>
      <c r="AK176" s="58" t="str">
        <f t="shared" si="100"/>
        <v/>
      </c>
      <c r="AL176" s="26" t="str">
        <f>IF($A177="","",_xll.SPRDOPT(P176,X176,AI176,0,AB176,AE176,AF176,AK176,$AJ$2,0))</f>
        <v/>
      </c>
      <c r="AM176" s="89" t="str">
        <f t="shared" si="101"/>
        <v/>
      </c>
      <c r="AN176" s="89" t="str">
        <f t="shared" si="102"/>
        <v/>
      </c>
      <c r="AO176" s="3" t="str">
        <f t="shared" si="103"/>
        <v/>
      </c>
      <c r="AP176" s="33" t="str">
        <f t="shared" si="104"/>
        <v/>
      </c>
      <c r="AQ176" s="58" t="str">
        <f t="shared" si="105"/>
        <v/>
      </c>
      <c r="AR176" s="38">
        <f>'ANR OK vs ML7'!AR176</f>
        <v>0.1</v>
      </c>
      <c r="AS176" s="35" t="str">
        <f t="shared" si="106"/>
        <v/>
      </c>
      <c r="AT176" s="3" t="str">
        <f t="shared" si="107"/>
        <v/>
      </c>
      <c r="AU176" s="3" t="str">
        <f t="shared" si="108"/>
        <v/>
      </c>
      <c r="AW176" s="32" t="str">
        <f t="shared" si="109"/>
        <v/>
      </c>
      <c r="AX176" s="32" t="str">
        <f t="shared" si="109"/>
        <v/>
      </c>
      <c r="AY176" s="32" t="str">
        <f t="shared" si="110"/>
        <v/>
      </c>
      <c r="BA176" s="32" t="str">
        <f>IF($A177="","",F176*Summary!$Q$12)</f>
        <v/>
      </c>
    </row>
    <row r="177" spans="1:53" ht="12" customHeight="1">
      <c r="A177" s="67" t="str">
        <f t="shared" si="111"/>
        <v/>
      </c>
      <c r="B177" s="69" t="str">
        <f t="shared" si="114"/>
        <v/>
      </c>
      <c r="C177" s="71"/>
      <c r="D177" s="69" t="str">
        <f t="shared" si="77"/>
        <v/>
      </c>
      <c r="E177" s="70" t="str">
        <f t="shared" si="78"/>
        <v/>
      </c>
      <c r="F177" s="70" t="str">
        <f t="shared" si="79"/>
        <v/>
      </c>
      <c r="G177" s="63" t="str">
        <f t="shared" si="80"/>
        <v/>
      </c>
      <c r="H177" s="64" t="str">
        <f t="shared" si="81"/>
        <v/>
      </c>
      <c r="I177" s="43"/>
      <c r="J177" s="63" t="str">
        <f t="shared" si="82"/>
        <v/>
      </c>
      <c r="K177" s="64" t="str">
        <f t="shared" si="83"/>
        <v/>
      </c>
      <c r="L177" s="63" t="str">
        <f t="shared" si="84"/>
        <v/>
      </c>
      <c r="M177" s="64" t="str">
        <f t="shared" si="85"/>
        <v/>
      </c>
      <c r="N177" s="65"/>
      <c r="O177" s="63" t="str">
        <f t="shared" si="86"/>
        <v/>
      </c>
      <c r="P177" s="63" t="str">
        <f t="shared" si="87"/>
        <v/>
      </c>
      <c r="Q177" s="66"/>
      <c r="R177" s="63" t="str">
        <f t="shared" si="88"/>
        <v/>
      </c>
      <c r="S177" s="64" t="str">
        <f t="shared" si="89"/>
        <v/>
      </c>
      <c r="T177" s="63" t="str">
        <f t="shared" si="90"/>
        <v/>
      </c>
      <c r="U177" s="64" t="str">
        <f t="shared" si="91"/>
        <v/>
      </c>
      <c r="V177" s="90" t="str">
        <f>IF($A178="","",IF(AND(MONTH(A177)&gt;3,MONTH(A177)&lt;11),(T177+R177+G177)*(((1/(1-Summary!$T$12))/(1-Summary!$W$12))-1),(T177+R177+G177)*((1/(1-Summary!$U$12))/(1-Summary!$X$12)-1)))</f>
        <v/>
      </c>
      <c r="W177" s="63" t="str">
        <f t="shared" si="92"/>
        <v/>
      </c>
      <c r="X177" s="63" t="str">
        <f t="shared" si="93"/>
        <v/>
      </c>
      <c r="Y177" s="43"/>
      <c r="Z177" s="38" t="str">
        <f t="shared" si="94"/>
        <v/>
      </c>
      <c r="AA177" s="38" t="str">
        <f t="shared" si="95"/>
        <v/>
      </c>
      <c r="AB177" s="38" t="e">
        <f t="shared" si="96"/>
        <v>#VALUE!</v>
      </c>
      <c r="AC177" s="38" t="str">
        <f t="shared" si="97"/>
        <v/>
      </c>
      <c r="AD177" s="38" t="str">
        <f t="shared" si="97"/>
        <v/>
      </c>
      <c r="AE177" s="38" t="e">
        <f t="shared" si="98"/>
        <v>#VALUE!</v>
      </c>
      <c r="AF177" s="238" t="e">
        <f>((Summary!$N$12*(AA177*AD177)*(A177-$D$3))+(Summary!$M$12*Z177*AC177*(AJ177-EOMONTH(EDATE(A177,-1),0))))/(AK177*AB177*AE177)</f>
        <v>#VALUE!</v>
      </c>
      <c r="AG177" s="88" t="str">
        <f>IF($A178="","",Summary!$Q$12)</f>
        <v/>
      </c>
      <c r="AH177" s="88" t="str">
        <f>IF($A178="","",IF(Summary!$R$12="Y",(VLOOKUP($A177,Summary!$AD$6:$AF$9,3)+'Escalating commodity'!H190),'Escalating commodity'!H190))</f>
        <v/>
      </c>
      <c r="AI177" s="88" t="str">
        <f t="shared" si="112"/>
        <v/>
      </c>
      <c r="AJ177" s="236" t="e">
        <f t="shared" si="99"/>
        <v>#VALUE!</v>
      </c>
      <c r="AK177" s="58" t="str">
        <f t="shared" si="100"/>
        <v/>
      </c>
      <c r="AL177" s="26" t="str">
        <f>IF($A178="","",_xll.SPRDOPT(P177,X177,AI177,0,AB177,AE177,AF177,AK177,$AJ$2,0))</f>
        <v/>
      </c>
      <c r="AM177" s="89" t="str">
        <f t="shared" si="101"/>
        <v/>
      </c>
      <c r="AN177" s="89" t="str">
        <f t="shared" si="102"/>
        <v/>
      </c>
      <c r="AO177" s="3" t="str">
        <f t="shared" si="103"/>
        <v/>
      </c>
      <c r="AP177" s="33" t="str">
        <f t="shared" si="104"/>
        <v/>
      </c>
      <c r="AQ177" s="58" t="str">
        <f t="shared" si="105"/>
        <v/>
      </c>
      <c r="AR177" s="38">
        <f>'ANR OK vs ML7'!AR177</f>
        <v>0.1</v>
      </c>
      <c r="AS177" s="35" t="str">
        <f t="shared" si="106"/>
        <v/>
      </c>
      <c r="AT177" s="3" t="str">
        <f t="shared" si="107"/>
        <v/>
      </c>
      <c r="AU177" s="3" t="str">
        <f t="shared" si="108"/>
        <v/>
      </c>
      <c r="AW177" s="32" t="str">
        <f t="shared" si="109"/>
        <v/>
      </c>
      <c r="AX177" s="32" t="str">
        <f t="shared" si="109"/>
        <v/>
      </c>
      <c r="AY177" s="32" t="str">
        <f t="shared" si="110"/>
        <v/>
      </c>
      <c r="BA177" s="32" t="str">
        <f>IF($A178="","",F177*Summary!$Q$12)</f>
        <v/>
      </c>
    </row>
    <row r="178" spans="1:53" ht="12" customHeight="1">
      <c r="A178" s="67" t="str">
        <f t="shared" si="111"/>
        <v/>
      </c>
      <c r="B178" s="69" t="str">
        <f t="shared" si="114"/>
        <v/>
      </c>
      <c r="C178" s="71"/>
      <c r="D178" s="69" t="str">
        <f t="shared" si="77"/>
        <v/>
      </c>
      <c r="E178" s="70" t="str">
        <f t="shared" si="78"/>
        <v/>
      </c>
      <c r="F178" s="70" t="str">
        <f t="shared" si="79"/>
        <v/>
      </c>
      <c r="G178" s="63" t="str">
        <f t="shared" si="80"/>
        <v/>
      </c>
      <c r="H178" s="64" t="str">
        <f t="shared" si="81"/>
        <v/>
      </c>
      <c r="I178" s="43"/>
      <c r="J178" s="63" t="str">
        <f t="shared" si="82"/>
        <v/>
      </c>
      <c r="K178" s="64" t="str">
        <f t="shared" si="83"/>
        <v/>
      </c>
      <c r="L178" s="63" t="str">
        <f t="shared" si="84"/>
        <v/>
      </c>
      <c r="M178" s="64" t="str">
        <f t="shared" si="85"/>
        <v/>
      </c>
      <c r="N178" s="65"/>
      <c r="O178" s="63" t="str">
        <f t="shared" si="86"/>
        <v/>
      </c>
      <c r="P178" s="63" t="str">
        <f t="shared" si="87"/>
        <v/>
      </c>
      <c r="Q178" s="66"/>
      <c r="R178" s="63" t="str">
        <f t="shared" si="88"/>
        <v/>
      </c>
      <c r="S178" s="64" t="str">
        <f t="shared" si="89"/>
        <v/>
      </c>
      <c r="T178" s="63" t="str">
        <f t="shared" si="90"/>
        <v/>
      </c>
      <c r="U178" s="64" t="str">
        <f t="shared" si="91"/>
        <v/>
      </c>
      <c r="V178" s="90" t="str">
        <f>IF($A179="","",IF(AND(MONTH(A178)&gt;3,MONTH(A178)&lt;11),(T178+R178+G178)*(((1/(1-Summary!$T$12))/(1-Summary!$W$12))-1),(T178+R178+G178)*((1/(1-Summary!$U$12))/(1-Summary!$X$12)-1)))</f>
        <v/>
      </c>
      <c r="W178" s="63" t="str">
        <f t="shared" si="92"/>
        <v/>
      </c>
      <c r="X178" s="63" t="str">
        <f t="shared" si="93"/>
        <v/>
      </c>
      <c r="Y178" s="43"/>
      <c r="Z178" s="38" t="str">
        <f t="shared" si="94"/>
        <v/>
      </c>
      <c r="AA178" s="38" t="str">
        <f t="shared" si="95"/>
        <v/>
      </c>
      <c r="AB178" s="38" t="e">
        <f t="shared" si="96"/>
        <v>#VALUE!</v>
      </c>
      <c r="AC178" s="38" t="str">
        <f t="shared" si="97"/>
        <v/>
      </c>
      <c r="AD178" s="38" t="str">
        <f t="shared" si="97"/>
        <v/>
      </c>
      <c r="AE178" s="38" t="e">
        <f t="shared" si="98"/>
        <v>#VALUE!</v>
      </c>
      <c r="AF178" s="238" t="e">
        <f>((Summary!$N$12*(AA178*AD178)*(A178-$D$3))+(Summary!$M$12*Z178*AC178*(AJ178-EOMONTH(EDATE(A178,-1),0))))/(AK178*AB178*AE178)</f>
        <v>#VALUE!</v>
      </c>
      <c r="AG178" s="88" t="str">
        <f>IF($A179="","",Summary!$Q$12)</f>
        <v/>
      </c>
      <c r="AH178" s="88" t="str">
        <f>IF($A179="","",IF(Summary!$R$12="Y",(VLOOKUP($A178,Summary!$AD$6:$AF$9,3)+'Escalating commodity'!H191),'Escalating commodity'!H191))</f>
        <v/>
      </c>
      <c r="AI178" s="88" t="str">
        <f t="shared" si="112"/>
        <v/>
      </c>
      <c r="AJ178" s="236" t="e">
        <f t="shared" si="99"/>
        <v>#VALUE!</v>
      </c>
      <c r="AK178" s="58" t="str">
        <f t="shared" si="100"/>
        <v/>
      </c>
      <c r="AL178" s="26" t="str">
        <f>IF($A179="","",_xll.SPRDOPT(P178,X178,AI178,0,AB178,AE178,AF178,AK178,$AJ$2,0))</f>
        <v/>
      </c>
      <c r="AM178" s="89" t="str">
        <f t="shared" si="101"/>
        <v/>
      </c>
      <c r="AN178" s="89" t="str">
        <f t="shared" si="102"/>
        <v/>
      </c>
      <c r="AO178" s="3" t="str">
        <f t="shared" si="103"/>
        <v/>
      </c>
      <c r="AP178" s="33" t="str">
        <f t="shared" si="104"/>
        <v/>
      </c>
      <c r="AQ178" s="58" t="str">
        <f t="shared" si="105"/>
        <v/>
      </c>
      <c r="AR178" s="38">
        <f>'ANR OK vs ML7'!AR178</f>
        <v>0.1</v>
      </c>
      <c r="AS178" s="35" t="str">
        <f t="shared" si="106"/>
        <v/>
      </c>
      <c r="AT178" s="3" t="str">
        <f t="shared" si="107"/>
        <v/>
      </c>
      <c r="AU178" s="3" t="str">
        <f t="shared" si="108"/>
        <v/>
      </c>
      <c r="AW178" s="32" t="str">
        <f t="shared" si="109"/>
        <v/>
      </c>
      <c r="AX178" s="32" t="str">
        <f t="shared" si="109"/>
        <v/>
      </c>
      <c r="AY178" s="32" t="str">
        <f t="shared" si="110"/>
        <v/>
      </c>
      <c r="BA178" s="32" t="str">
        <f>IF($A179="","",F178*Summary!$Q$12)</f>
        <v/>
      </c>
    </row>
    <row r="179" spans="1:53" ht="12" customHeight="1">
      <c r="A179" s="67" t="str">
        <f t="shared" si="111"/>
        <v/>
      </c>
      <c r="B179" s="69" t="str">
        <f t="shared" si="114"/>
        <v/>
      </c>
      <c r="C179" s="71"/>
      <c r="D179" s="69" t="str">
        <f t="shared" si="77"/>
        <v/>
      </c>
      <c r="E179" s="70" t="str">
        <f t="shared" si="78"/>
        <v/>
      </c>
      <c r="F179" s="70" t="str">
        <f t="shared" si="79"/>
        <v/>
      </c>
      <c r="G179" s="63" t="str">
        <f t="shared" si="80"/>
        <v/>
      </c>
      <c r="H179" s="64" t="str">
        <f t="shared" si="81"/>
        <v/>
      </c>
      <c r="I179" s="43"/>
      <c r="J179" s="63" t="str">
        <f t="shared" si="82"/>
        <v/>
      </c>
      <c r="K179" s="64" t="str">
        <f t="shared" si="83"/>
        <v/>
      </c>
      <c r="L179" s="63" t="str">
        <f t="shared" si="84"/>
        <v/>
      </c>
      <c r="M179" s="64" t="str">
        <f t="shared" si="85"/>
        <v/>
      </c>
      <c r="N179" s="65"/>
      <c r="O179" s="63" t="str">
        <f t="shared" si="86"/>
        <v/>
      </c>
      <c r="P179" s="63" t="str">
        <f t="shared" si="87"/>
        <v/>
      </c>
      <c r="Q179" s="66"/>
      <c r="R179" s="63" t="str">
        <f t="shared" si="88"/>
        <v/>
      </c>
      <c r="S179" s="64" t="str">
        <f t="shared" si="89"/>
        <v/>
      </c>
      <c r="T179" s="63" t="str">
        <f t="shared" si="90"/>
        <v/>
      </c>
      <c r="U179" s="64" t="str">
        <f t="shared" si="91"/>
        <v/>
      </c>
      <c r="V179" s="90" t="str">
        <f>IF($A180="","",IF(AND(MONTH(A179)&gt;3,MONTH(A179)&lt;11),(T179+R179+G179)*(((1/(1-Summary!$T$12))/(1-Summary!$W$12))-1),(T179+R179+G179)*((1/(1-Summary!$U$12))/(1-Summary!$X$12)-1)))</f>
        <v/>
      </c>
      <c r="W179" s="63" t="str">
        <f t="shared" si="92"/>
        <v/>
      </c>
      <c r="X179" s="63" t="str">
        <f t="shared" si="93"/>
        <v/>
      </c>
      <c r="Y179" s="43"/>
      <c r="Z179" s="38" t="str">
        <f t="shared" si="94"/>
        <v/>
      </c>
      <c r="AA179" s="38" t="str">
        <f t="shared" si="95"/>
        <v/>
      </c>
      <c r="AB179" s="38" t="e">
        <f t="shared" si="96"/>
        <v>#VALUE!</v>
      </c>
      <c r="AC179" s="38" t="str">
        <f t="shared" si="97"/>
        <v/>
      </c>
      <c r="AD179" s="38" t="str">
        <f t="shared" si="97"/>
        <v/>
      </c>
      <c r="AE179" s="38" t="e">
        <f t="shared" si="98"/>
        <v>#VALUE!</v>
      </c>
      <c r="AF179" s="238" t="e">
        <f>((Summary!$N$12*(AA179*AD179)*(A179-$D$3))+(Summary!$M$12*Z179*AC179*(AJ179-EOMONTH(EDATE(A179,-1),0))))/(AK179*AB179*AE179)</f>
        <v>#VALUE!</v>
      </c>
      <c r="AG179" s="88" t="str">
        <f>IF($A180="","",Summary!$Q$12)</f>
        <v/>
      </c>
      <c r="AH179" s="88" t="str">
        <f>IF($A180="","",IF(Summary!$R$12="Y",(VLOOKUP($A179,Summary!$AD$6:$AF$9,3)+'Escalating commodity'!H192),'Escalating commodity'!H192))</f>
        <v/>
      </c>
      <c r="AI179" s="88" t="str">
        <f t="shared" si="112"/>
        <v/>
      </c>
      <c r="AJ179" s="236" t="e">
        <f t="shared" si="99"/>
        <v>#VALUE!</v>
      </c>
      <c r="AK179" s="58" t="str">
        <f t="shared" si="100"/>
        <v/>
      </c>
      <c r="AL179" s="26" t="str">
        <f>IF($A180="","",_xll.SPRDOPT(P179,X179,AI179,0,AB179,AE179,AF179,AK179,$AJ$2,0))</f>
        <v/>
      </c>
      <c r="AM179" s="89" t="str">
        <f t="shared" si="101"/>
        <v/>
      </c>
      <c r="AN179" s="89" t="str">
        <f t="shared" si="102"/>
        <v/>
      </c>
      <c r="AO179" s="3" t="str">
        <f t="shared" si="103"/>
        <v/>
      </c>
      <c r="AP179" s="33" t="str">
        <f t="shared" si="104"/>
        <v/>
      </c>
      <c r="AQ179" s="58" t="str">
        <f t="shared" si="105"/>
        <v/>
      </c>
      <c r="AR179" s="38">
        <f>'ANR OK vs ML7'!AR179</f>
        <v>0.1</v>
      </c>
      <c r="AS179" s="35" t="str">
        <f t="shared" si="106"/>
        <v/>
      </c>
      <c r="AT179" s="3" t="str">
        <f t="shared" si="107"/>
        <v/>
      </c>
      <c r="AU179" s="3" t="str">
        <f t="shared" si="108"/>
        <v/>
      </c>
      <c r="AW179" s="32" t="str">
        <f t="shared" si="109"/>
        <v/>
      </c>
      <c r="AX179" s="32" t="str">
        <f t="shared" si="109"/>
        <v/>
      </c>
      <c r="AY179" s="32" t="str">
        <f t="shared" si="110"/>
        <v/>
      </c>
      <c r="BA179" s="32" t="str">
        <f>IF($A180="","",F179*Summary!$Q$12)</f>
        <v/>
      </c>
    </row>
    <row r="180" spans="1:53" ht="12" customHeight="1">
      <c r="A180" s="67" t="str">
        <f t="shared" si="111"/>
        <v/>
      </c>
      <c r="B180" s="69" t="str">
        <f t="shared" si="114"/>
        <v/>
      </c>
      <c r="C180" s="71"/>
      <c r="D180" s="69" t="str">
        <f t="shared" si="77"/>
        <v/>
      </c>
      <c r="E180" s="70" t="str">
        <f t="shared" si="78"/>
        <v/>
      </c>
      <c r="F180" s="70" t="str">
        <f t="shared" si="79"/>
        <v/>
      </c>
      <c r="G180" s="63" t="str">
        <f t="shared" si="80"/>
        <v/>
      </c>
      <c r="H180" s="64" t="str">
        <f t="shared" si="81"/>
        <v/>
      </c>
      <c r="I180" s="43"/>
      <c r="J180" s="63" t="str">
        <f t="shared" si="82"/>
        <v/>
      </c>
      <c r="K180" s="64" t="str">
        <f t="shared" si="83"/>
        <v/>
      </c>
      <c r="L180" s="63" t="str">
        <f t="shared" si="84"/>
        <v/>
      </c>
      <c r="M180" s="64" t="str">
        <f t="shared" si="85"/>
        <v/>
      </c>
      <c r="N180" s="65"/>
      <c r="O180" s="63" t="str">
        <f t="shared" si="86"/>
        <v/>
      </c>
      <c r="P180" s="63" t="str">
        <f t="shared" si="87"/>
        <v/>
      </c>
      <c r="Q180" s="66"/>
      <c r="R180" s="63" t="str">
        <f t="shared" si="88"/>
        <v/>
      </c>
      <c r="S180" s="64" t="str">
        <f t="shared" si="89"/>
        <v/>
      </c>
      <c r="T180" s="63" t="str">
        <f t="shared" si="90"/>
        <v/>
      </c>
      <c r="U180" s="64" t="str">
        <f t="shared" si="91"/>
        <v/>
      </c>
      <c r="V180" s="90" t="str">
        <f>IF($A181="","",IF(AND(MONTH(A180)&gt;3,MONTH(A180)&lt;11),(T180+R180+G180)*(((1/(1-Summary!$T$12))/(1-Summary!$W$12))-1),(T180+R180+G180)*((1/(1-Summary!$U$12))/(1-Summary!$X$12)-1)))</f>
        <v/>
      </c>
      <c r="W180" s="63" t="str">
        <f t="shared" si="92"/>
        <v/>
      </c>
      <c r="X180" s="63" t="str">
        <f t="shared" si="93"/>
        <v/>
      </c>
      <c r="Y180" s="43"/>
      <c r="Z180" s="38" t="str">
        <f t="shared" si="94"/>
        <v/>
      </c>
      <c r="AA180" s="38" t="str">
        <f t="shared" si="95"/>
        <v/>
      </c>
      <c r="AB180" s="38" t="e">
        <f t="shared" si="96"/>
        <v>#VALUE!</v>
      </c>
      <c r="AC180" s="38" t="str">
        <f t="shared" si="97"/>
        <v/>
      </c>
      <c r="AD180" s="38" t="str">
        <f t="shared" si="97"/>
        <v/>
      </c>
      <c r="AE180" s="38" t="e">
        <f t="shared" si="98"/>
        <v>#VALUE!</v>
      </c>
      <c r="AF180" s="238" t="e">
        <f>((Summary!$N$12*(AA180*AD180)*(A180-$D$3))+(Summary!$M$12*Z180*AC180*(AJ180-EOMONTH(EDATE(A180,-1),0))))/(AK180*AB180*AE180)</f>
        <v>#VALUE!</v>
      </c>
      <c r="AG180" s="88" t="str">
        <f>IF($A181="","",Summary!$Q$12)</f>
        <v/>
      </c>
      <c r="AH180" s="88" t="str">
        <f>IF($A181="","",IF(Summary!$R$12="Y",(VLOOKUP($A180,Summary!$AD$6:$AF$9,3)+'Escalating commodity'!H193),'Escalating commodity'!H193))</f>
        <v/>
      </c>
      <c r="AI180" s="88" t="str">
        <f t="shared" si="112"/>
        <v/>
      </c>
      <c r="AJ180" s="236" t="e">
        <f t="shared" si="99"/>
        <v>#VALUE!</v>
      </c>
      <c r="AK180" s="58" t="str">
        <f t="shared" si="100"/>
        <v/>
      </c>
      <c r="AL180" s="26" t="str">
        <f>IF($A181="","",_xll.SPRDOPT(P180,X180,AI180,0,AB180,AE180,AF180,AK180,$AJ$2,0))</f>
        <v/>
      </c>
      <c r="AM180" s="89" t="str">
        <f t="shared" si="101"/>
        <v/>
      </c>
      <c r="AN180" s="89" t="str">
        <f t="shared" si="102"/>
        <v/>
      </c>
      <c r="AO180" s="3" t="str">
        <f t="shared" si="103"/>
        <v/>
      </c>
      <c r="AP180" s="33" t="str">
        <f t="shared" si="104"/>
        <v/>
      </c>
      <c r="AQ180" s="58" t="str">
        <f t="shared" si="105"/>
        <v/>
      </c>
      <c r="AR180" s="38">
        <f>'ANR OK vs ML7'!AR180</f>
        <v>0.1</v>
      </c>
      <c r="AS180" s="35" t="str">
        <f t="shared" si="106"/>
        <v/>
      </c>
      <c r="AT180" s="3" t="str">
        <f t="shared" si="107"/>
        <v/>
      </c>
      <c r="AU180" s="3" t="str">
        <f t="shared" si="108"/>
        <v/>
      </c>
      <c r="AW180" s="32" t="str">
        <f t="shared" si="109"/>
        <v/>
      </c>
      <c r="AX180" s="32" t="str">
        <f t="shared" si="109"/>
        <v/>
      </c>
      <c r="AY180" s="32" t="str">
        <f t="shared" si="110"/>
        <v/>
      </c>
      <c r="BA180" s="32" t="str">
        <f>IF($A181="","",F180*Summary!$Q$12)</f>
        <v/>
      </c>
    </row>
    <row r="181" spans="1:53" ht="12" customHeight="1">
      <c r="A181" s="67" t="str">
        <f t="shared" si="111"/>
        <v/>
      </c>
      <c r="B181" s="69" t="str">
        <f t="shared" si="114"/>
        <v/>
      </c>
      <c r="C181" s="71"/>
      <c r="D181" s="69" t="str">
        <f t="shared" si="77"/>
        <v/>
      </c>
      <c r="E181" s="70" t="str">
        <f t="shared" si="78"/>
        <v/>
      </c>
      <c r="F181" s="70" t="str">
        <f t="shared" si="79"/>
        <v/>
      </c>
      <c r="G181" s="63" t="str">
        <f t="shared" si="80"/>
        <v/>
      </c>
      <c r="H181" s="64" t="str">
        <f t="shared" si="81"/>
        <v/>
      </c>
      <c r="I181" s="43"/>
      <c r="J181" s="63" t="str">
        <f t="shared" si="82"/>
        <v/>
      </c>
      <c r="K181" s="64" t="str">
        <f t="shared" si="83"/>
        <v/>
      </c>
      <c r="L181" s="63" t="str">
        <f t="shared" si="84"/>
        <v/>
      </c>
      <c r="M181" s="64" t="str">
        <f t="shared" si="85"/>
        <v/>
      </c>
      <c r="N181" s="65"/>
      <c r="O181" s="63" t="str">
        <f t="shared" si="86"/>
        <v/>
      </c>
      <c r="P181" s="63" t="str">
        <f t="shared" si="87"/>
        <v/>
      </c>
      <c r="Q181" s="66"/>
      <c r="R181" s="63" t="str">
        <f t="shared" si="88"/>
        <v/>
      </c>
      <c r="S181" s="64" t="str">
        <f t="shared" si="89"/>
        <v/>
      </c>
      <c r="T181" s="63" t="str">
        <f t="shared" si="90"/>
        <v/>
      </c>
      <c r="U181" s="64" t="str">
        <f t="shared" si="91"/>
        <v/>
      </c>
      <c r="V181" s="90" t="str">
        <f>IF($A182="","",IF(AND(MONTH(A181)&gt;3,MONTH(A181)&lt;11),(T181+R181+G181)*(((1/(1-Summary!$T$12))/(1-Summary!$W$12))-1),(T181+R181+G181)*((1/(1-Summary!$U$12))/(1-Summary!$X$12)-1)))</f>
        <v/>
      </c>
      <c r="W181" s="63" t="str">
        <f t="shared" si="92"/>
        <v/>
      </c>
      <c r="X181" s="63" t="str">
        <f t="shared" si="93"/>
        <v/>
      </c>
      <c r="Y181" s="43"/>
      <c r="Z181" s="38" t="str">
        <f t="shared" si="94"/>
        <v/>
      </c>
      <c r="AA181" s="38" t="str">
        <f t="shared" si="95"/>
        <v/>
      </c>
      <c r="AB181" s="38" t="e">
        <f t="shared" si="96"/>
        <v>#VALUE!</v>
      </c>
      <c r="AC181" s="38" t="str">
        <f t="shared" si="97"/>
        <v/>
      </c>
      <c r="AD181" s="38" t="str">
        <f t="shared" si="97"/>
        <v/>
      </c>
      <c r="AE181" s="38" t="e">
        <f t="shared" si="98"/>
        <v>#VALUE!</v>
      </c>
      <c r="AF181" s="238" t="e">
        <f>((Summary!$N$12*(AA181*AD181)*(A181-$D$3))+(Summary!$M$12*Z181*AC181*(AJ181-EOMONTH(EDATE(A181,-1),0))))/(AK181*AB181*AE181)</f>
        <v>#VALUE!</v>
      </c>
      <c r="AG181" s="88" t="str">
        <f>IF($A182="","",Summary!$Q$12)</f>
        <v/>
      </c>
      <c r="AH181" s="88" t="str">
        <f>IF($A182="","",IF(Summary!$R$12="Y",(VLOOKUP($A181,Summary!$AD$6:$AF$9,3)+'Escalating commodity'!H194),'Escalating commodity'!H194))</f>
        <v/>
      </c>
      <c r="AI181" s="88" t="str">
        <f t="shared" si="112"/>
        <v/>
      </c>
      <c r="AJ181" s="236" t="e">
        <f t="shared" si="99"/>
        <v>#VALUE!</v>
      </c>
      <c r="AK181" s="58" t="str">
        <f t="shared" si="100"/>
        <v/>
      </c>
      <c r="AL181" s="26" t="str">
        <f>IF($A182="","",_xll.SPRDOPT(P181,X181,AI181,0,AB181,AE181,AF181,AK181,$AJ$2,0))</f>
        <v/>
      </c>
      <c r="AM181" s="89" t="str">
        <f t="shared" si="101"/>
        <v/>
      </c>
      <c r="AN181" s="89" t="str">
        <f t="shared" si="102"/>
        <v/>
      </c>
      <c r="AO181" s="3" t="str">
        <f t="shared" si="103"/>
        <v/>
      </c>
      <c r="AP181" s="33" t="str">
        <f t="shared" si="104"/>
        <v/>
      </c>
      <c r="AQ181" s="58" t="str">
        <f t="shared" si="105"/>
        <v/>
      </c>
      <c r="AR181" s="38">
        <f>'ANR OK vs ML7'!AR181</f>
        <v>0.1</v>
      </c>
      <c r="AS181" s="35" t="str">
        <f t="shared" si="106"/>
        <v/>
      </c>
      <c r="AT181" s="3" t="str">
        <f t="shared" si="107"/>
        <v/>
      </c>
      <c r="AU181" s="3" t="str">
        <f t="shared" si="108"/>
        <v/>
      </c>
      <c r="AW181" s="32" t="str">
        <f t="shared" si="109"/>
        <v/>
      </c>
      <c r="AX181" s="32" t="str">
        <f t="shared" si="109"/>
        <v/>
      </c>
      <c r="AY181" s="32" t="str">
        <f t="shared" si="110"/>
        <v/>
      </c>
      <c r="BA181" s="32" t="str">
        <f>IF($A182="","",F181*Summary!$Q$12)</f>
        <v/>
      </c>
    </row>
    <row r="182" spans="1:53" ht="12" customHeight="1">
      <c r="A182" s="67" t="str">
        <f t="shared" si="111"/>
        <v/>
      </c>
      <c r="B182" s="69" t="str">
        <f t="shared" si="114"/>
        <v/>
      </c>
      <c r="C182" s="71"/>
      <c r="D182" s="69" t="str">
        <f t="shared" si="77"/>
        <v/>
      </c>
      <c r="E182" s="70" t="str">
        <f t="shared" si="78"/>
        <v/>
      </c>
      <c r="F182" s="70" t="str">
        <f t="shared" si="79"/>
        <v/>
      </c>
      <c r="G182" s="63" t="str">
        <f t="shared" si="80"/>
        <v/>
      </c>
      <c r="H182" s="64" t="str">
        <f t="shared" si="81"/>
        <v/>
      </c>
      <c r="I182" s="43"/>
      <c r="J182" s="63" t="str">
        <f t="shared" si="82"/>
        <v/>
      </c>
      <c r="K182" s="64" t="str">
        <f t="shared" si="83"/>
        <v/>
      </c>
      <c r="L182" s="63" t="str">
        <f t="shared" si="84"/>
        <v/>
      </c>
      <c r="M182" s="64" t="str">
        <f t="shared" si="85"/>
        <v/>
      </c>
      <c r="N182" s="65"/>
      <c r="O182" s="63" t="str">
        <f t="shared" si="86"/>
        <v/>
      </c>
      <c r="P182" s="63" t="str">
        <f t="shared" si="87"/>
        <v/>
      </c>
      <c r="Q182" s="66"/>
      <c r="R182" s="63" t="str">
        <f t="shared" si="88"/>
        <v/>
      </c>
      <c r="S182" s="64" t="str">
        <f t="shared" si="89"/>
        <v/>
      </c>
      <c r="T182" s="63" t="str">
        <f t="shared" si="90"/>
        <v/>
      </c>
      <c r="U182" s="64" t="str">
        <f t="shared" si="91"/>
        <v/>
      </c>
      <c r="V182" s="90" t="str">
        <f>IF($A183="","",IF(AND(MONTH(A182)&gt;3,MONTH(A182)&lt;11),(T182+R182+G182)*(((1/(1-Summary!$T$12))/(1-Summary!$W$12))-1),(T182+R182+G182)*((1/(1-Summary!$U$12))/(1-Summary!$X$12)-1)))</f>
        <v/>
      </c>
      <c r="W182" s="63" t="str">
        <f t="shared" si="92"/>
        <v/>
      </c>
      <c r="X182" s="63" t="str">
        <f t="shared" si="93"/>
        <v/>
      </c>
      <c r="Y182" s="43"/>
      <c r="Z182" s="38" t="str">
        <f t="shared" si="94"/>
        <v/>
      </c>
      <c r="AA182" s="38" t="str">
        <f t="shared" si="95"/>
        <v/>
      </c>
      <c r="AB182" s="38" t="e">
        <f t="shared" si="96"/>
        <v>#VALUE!</v>
      </c>
      <c r="AC182" s="38" t="str">
        <f t="shared" si="97"/>
        <v/>
      </c>
      <c r="AD182" s="38" t="str">
        <f t="shared" si="97"/>
        <v/>
      </c>
      <c r="AE182" s="38" t="e">
        <f t="shared" si="98"/>
        <v>#VALUE!</v>
      </c>
      <c r="AF182" s="238" t="e">
        <f>((Summary!$N$12*(AA182*AD182)*(A182-$D$3))+(Summary!$M$12*Z182*AC182*(AJ182-EOMONTH(EDATE(A182,-1),0))))/(AK182*AB182*AE182)</f>
        <v>#VALUE!</v>
      </c>
      <c r="AG182" s="88" t="str">
        <f>IF($A183="","",Summary!$Q$12)</f>
        <v/>
      </c>
      <c r="AH182" s="88" t="str">
        <f>IF($A183="","",IF(Summary!$R$12="Y",(VLOOKUP($A182,Summary!$AD$6:$AF$9,3)+'Escalating commodity'!H195),'Escalating commodity'!H195))</f>
        <v/>
      </c>
      <c r="AI182" s="88" t="str">
        <f t="shared" si="112"/>
        <v/>
      </c>
      <c r="AJ182" s="236" t="e">
        <f t="shared" si="99"/>
        <v>#VALUE!</v>
      </c>
      <c r="AK182" s="58" t="str">
        <f t="shared" si="100"/>
        <v/>
      </c>
      <c r="AL182" s="26" t="str">
        <f>IF($A183="","",_xll.SPRDOPT(P182,X182,AI182,0,AB182,AE182,AF182,AK182,$AJ$2,0))</f>
        <v/>
      </c>
      <c r="AM182" s="89" t="str">
        <f t="shared" si="101"/>
        <v/>
      </c>
      <c r="AN182" s="89" t="str">
        <f t="shared" si="102"/>
        <v/>
      </c>
      <c r="AO182" s="3" t="str">
        <f t="shared" si="103"/>
        <v/>
      </c>
      <c r="AP182" s="33" t="str">
        <f t="shared" si="104"/>
        <v/>
      </c>
      <c r="AQ182" s="58" t="str">
        <f t="shared" si="105"/>
        <v/>
      </c>
      <c r="AR182" s="38">
        <f>'ANR OK vs ML7'!AR182</f>
        <v>0.1</v>
      </c>
      <c r="AS182" s="35" t="str">
        <f t="shared" si="106"/>
        <v/>
      </c>
      <c r="AT182" s="3" t="str">
        <f t="shared" si="107"/>
        <v/>
      </c>
      <c r="AU182" s="3" t="str">
        <f t="shared" si="108"/>
        <v/>
      </c>
      <c r="AW182" s="32" t="str">
        <f t="shared" si="109"/>
        <v/>
      </c>
      <c r="AX182" s="32" t="str">
        <f t="shared" si="109"/>
        <v/>
      </c>
      <c r="AY182" s="32" t="str">
        <f t="shared" si="110"/>
        <v/>
      </c>
      <c r="BA182" s="32" t="str">
        <f>IF($A183="","",F182*Summary!$Q$12)</f>
        <v/>
      </c>
    </row>
    <row r="183" spans="1:53" ht="12" customHeight="1">
      <c r="A183" s="67" t="str">
        <f t="shared" si="111"/>
        <v/>
      </c>
      <c r="B183" s="69" t="str">
        <f t="shared" si="114"/>
        <v/>
      </c>
      <c r="C183" s="71"/>
      <c r="D183" s="69" t="str">
        <f t="shared" si="77"/>
        <v/>
      </c>
      <c r="E183" s="70" t="str">
        <f t="shared" si="78"/>
        <v/>
      </c>
      <c r="F183" s="70" t="str">
        <f t="shared" si="79"/>
        <v/>
      </c>
      <c r="G183" s="63" t="str">
        <f t="shared" si="80"/>
        <v/>
      </c>
      <c r="H183" s="64" t="str">
        <f t="shared" si="81"/>
        <v/>
      </c>
      <c r="I183" s="43"/>
      <c r="J183" s="63" t="str">
        <f t="shared" si="82"/>
        <v/>
      </c>
      <c r="K183" s="64" t="str">
        <f t="shared" si="83"/>
        <v/>
      </c>
      <c r="L183" s="63" t="str">
        <f t="shared" si="84"/>
        <v/>
      </c>
      <c r="M183" s="64" t="str">
        <f t="shared" si="85"/>
        <v/>
      </c>
      <c r="N183" s="65"/>
      <c r="O183" s="63" t="str">
        <f t="shared" si="86"/>
        <v/>
      </c>
      <c r="P183" s="63" t="str">
        <f t="shared" si="87"/>
        <v/>
      </c>
      <c r="Q183" s="66"/>
      <c r="R183" s="63" t="str">
        <f t="shared" si="88"/>
        <v/>
      </c>
      <c r="S183" s="64" t="str">
        <f t="shared" si="89"/>
        <v/>
      </c>
      <c r="T183" s="63" t="str">
        <f t="shared" si="90"/>
        <v/>
      </c>
      <c r="U183" s="64" t="str">
        <f t="shared" si="91"/>
        <v/>
      </c>
      <c r="V183" s="90" t="str">
        <f>IF($A184="","",IF(AND(MONTH(A183)&gt;3,MONTH(A183)&lt;11),(T183+R183+G183)*(((1/(1-Summary!$T$12))/(1-Summary!$W$12))-1),(T183+R183+G183)*((1/(1-Summary!$U$12))/(1-Summary!$X$12)-1)))</f>
        <v/>
      </c>
      <c r="W183" s="63" t="str">
        <f t="shared" si="92"/>
        <v/>
      </c>
      <c r="X183" s="63" t="str">
        <f t="shared" si="93"/>
        <v/>
      </c>
      <c r="Y183" s="43"/>
      <c r="Z183" s="38" t="str">
        <f t="shared" si="94"/>
        <v/>
      </c>
      <c r="AA183" s="38" t="str">
        <f t="shared" si="95"/>
        <v/>
      </c>
      <c r="AB183" s="38" t="e">
        <f t="shared" si="96"/>
        <v>#VALUE!</v>
      </c>
      <c r="AC183" s="38" t="str">
        <f t="shared" si="97"/>
        <v/>
      </c>
      <c r="AD183" s="38" t="str">
        <f t="shared" si="97"/>
        <v/>
      </c>
      <c r="AE183" s="38" t="e">
        <f t="shared" si="98"/>
        <v>#VALUE!</v>
      </c>
      <c r="AF183" s="238" t="e">
        <f>((Summary!$N$12*(AA183*AD183)*(A183-$D$3))+(Summary!$M$12*Z183*AC183*(AJ183-EOMONTH(EDATE(A183,-1),0))))/(AK183*AB183*AE183)</f>
        <v>#VALUE!</v>
      </c>
      <c r="AG183" s="88" t="str">
        <f>IF($A184="","",Summary!$Q$12)</f>
        <v/>
      </c>
      <c r="AH183" s="88" t="str">
        <f>IF($A184="","",IF(Summary!$R$12="Y",(VLOOKUP($A183,Summary!$AD$6:$AF$9,3)+'Escalating commodity'!H196),'Escalating commodity'!H196))</f>
        <v/>
      </c>
      <c r="AI183" s="88" t="str">
        <f t="shared" si="112"/>
        <v/>
      </c>
      <c r="AJ183" s="236" t="e">
        <f t="shared" si="99"/>
        <v>#VALUE!</v>
      </c>
      <c r="AK183" s="58" t="str">
        <f t="shared" si="100"/>
        <v/>
      </c>
      <c r="AL183" s="26" t="str">
        <f>IF($A184="","",_xll.SPRDOPT(P183,X183,AI183,0,AB183,AE183,AF183,AK183,$AJ$2,0))</f>
        <v/>
      </c>
      <c r="AM183" s="89" t="str">
        <f t="shared" si="101"/>
        <v/>
      </c>
      <c r="AN183" s="89" t="str">
        <f t="shared" si="102"/>
        <v/>
      </c>
      <c r="AO183" s="3" t="str">
        <f t="shared" si="103"/>
        <v/>
      </c>
      <c r="AP183" s="33" t="str">
        <f t="shared" si="104"/>
        <v/>
      </c>
      <c r="AQ183" s="58" t="str">
        <f t="shared" si="105"/>
        <v/>
      </c>
      <c r="AR183" s="38">
        <f>'ANR OK vs ML7'!AR183</f>
        <v>0.1</v>
      </c>
      <c r="AS183" s="35" t="str">
        <f t="shared" si="106"/>
        <v/>
      </c>
      <c r="AT183" s="3" t="str">
        <f t="shared" si="107"/>
        <v/>
      </c>
      <c r="AU183" s="3" t="str">
        <f t="shared" si="108"/>
        <v/>
      </c>
      <c r="AW183" s="32" t="str">
        <f t="shared" si="109"/>
        <v/>
      </c>
      <c r="AX183" s="32" t="str">
        <f t="shared" si="109"/>
        <v/>
      </c>
      <c r="AY183" s="32" t="str">
        <f t="shared" si="110"/>
        <v/>
      </c>
      <c r="BA183" s="32" t="str">
        <f>IF($A184="","",F183*Summary!$Q$12)</f>
        <v/>
      </c>
    </row>
    <row r="184" spans="1:53" ht="12" customHeight="1">
      <c r="A184" s="67" t="str">
        <f t="shared" si="111"/>
        <v/>
      </c>
      <c r="B184" s="69" t="str">
        <f t="shared" si="114"/>
        <v/>
      </c>
      <c r="C184" s="71"/>
      <c r="D184" s="69" t="str">
        <f t="shared" si="77"/>
        <v/>
      </c>
      <c r="E184" s="70" t="str">
        <f t="shared" si="78"/>
        <v/>
      </c>
      <c r="F184" s="70" t="str">
        <f t="shared" si="79"/>
        <v/>
      </c>
      <c r="G184" s="63" t="str">
        <f t="shared" si="80"/>
        <v/>
      </c>
      <c r="H184" s="64" t="str">
        <f t="shared" si="81"/>
        <v/>
      </c>
      <c r="I184" s="43"/>
      <c r="J184" s="63" t="str">
        <f t="shared" si="82"/>
        <v/>
      </c>
      <c r="K184" s="64" t="str">
        <f t="shared" si="83"/>
        <v/>
      </c>
      <c r="L184" s="63" t="str">
        <f t="shared" si="84"/>
        <v/>
      </c>
      <c r="M184" s="64" t="str">
        <f t="shared" si="85"/>
        <v/>
      </c>
      <c r="N184" s="65"/>
      <c r="O184" s="63" t="str">
        <f t="shared" si="86"/>
        <v/>
      </c>
      <c r="P184" s="63" t="str">
        <f t="shared" si="87"/>
        <v/>
      </c>
      <c r="Q184" s="66"/>
      <c r="R184" s="63" t="str">
        <f t="shared" si="88"/>
        <v/>
      </c>
      <c r="S184" s="64" t="str">
        <f t="shared" si="89"/>
        <v/>
      </c>
      <c r="T184" s="63" t="str">
        <f t="shared" si="90"/>
        <v/>
      </c>
      <c r="U184" s="64" t="str">
        <f t="shared" si="91"/>
        <v/>
      </c>
      <c r="V184" s="90" t="str">
        <f>IF($A185="","",IF(AND(MONTH(A184)&gt;3,MONTH(A184)&lt;11),(T184+R184+G184)*(((1/(1-Summary!$T$12))/(1-Summary!$W$12))-1),(T184+R184+G184)*((1/(1-Summary!$U$12))/(1-Summary!$X$12)-1)))</f>
        <v/>
      </c>
      <c r="W184" s="63" t="str">
        <f t="shared" si="92"/>
        <v/>
      </c>
      <c r="X184" s="63" t="str">
        <f t="shared" si="93"/>
        <v/>
      </c>
      <c r="Y184" s="43"/>
      <c r="Z184" s="38" t="str">
        <f t="shared" si="94"/>
        <v/>
      </c>
      <c r="AA184" s="38" t="str">
        <f t="shared" si="95"/>
        <v/>
      </c>
      <c r="AB184" s="38" t="e">
        <f t="shared" si="96"/>
        <v>#VALUE!</v>
      </c>
      <c r="AC184" s="38" t="str">
        <f t="shared" si="97"/>
        <v/>
      </c>
      <c r="AD184" s="38" t="str">
        <f t="shared" si="97"/>
        <v/>
      </c>
      <c r="AE184" s="38" t="e">
        <f t="shared" si="98"/>
        <v>#VALUE!</v>
      </c>
      <c r="AF184" s="238" t="e">
        <f>((Summary!$N$12*(AA184*AD184)*(A184-$D$3))+(Summary!$M$12*Z184*AC184*(AJ184-EOMONTH(EDATE(A184,-1),0))))/(AK184*AB184*AE184)</f>
        <v>#VALUE!</v>
      </c>
      <c r="AG184" s="88" t="str">
        <f>IF($A185="","",Summary!$Q$12)</f>
        <v/>
      </c>
      <c r="AH184" s="88" t="str">
        <f>IF($A185="","",IF(Summary!$R$12="Y",(VLOOKUP($A184,Summary!$AD$6:$AF$9,3)+'Escalating commodity'!H197),'Escalating commodity'!H197))</f>
        <v/>
      </c>
      <c r="AI184" s="88" t="str">
        <f t="shared" si="112"/>
        <v/>
      </c>
      <c r="AJ184" s="236" t="e">
        <f t="shared" si="99"/>
        <v>#VALUE!</v>
      </c>
      <c r="AK184" s="58" t="str">
        <f t="shared" si="100"/>
        <v/>
      </c>
      <c r="AL184" s="26" t="str">
        <f>IF($A185="","",_xll.SPRDOPT(P184,X184,AI184,0,AB184,AE184,AF184,AK184,$AJ$2,0))</f>
        <v/>
      </c>
      <c r="AM184" s="89" t="str">
        <f t="shared" si="101"/>
        <v/>
      </c>
      <c r="AN184" s="89" t="str">
        <f t="shared" si="102"/>
        <v/>
      </c>
      <c r="AO184" s="3" t="str">
        <f t="shared" si="103"/>
        <v/>
      </c>
      <c r="AP184" s="33" t="str">
        <f t="shared" si="104"/>
        <v/>
      </c>
      <c r="AQ184" s="58" t="str">
        <f t="shared" si="105"/>
        <v/>
      </c>
      <c r="AR184" s="38">
        <f>'ANR OK vs ML7'!AR184</f>
        <v>0.1</v>
      </c>
      <c r="AS184" s="35" t="str">
        <f t="shared" si="106"/>
        <v/>
      </c>
      <c r="AT184" s="3" t="str">
        <f t="shared" si="107"/>
        <v/>
      </c>
      <c r="AU184" s="3" t="str">
        <f t="shared" si="108"/>
        <v/>
      </c>
      <c r="AW184" s="32" t="str">
        <f t="shared" si="109"/>
        <v/>
      </c>
      <c r="AX184" s="32" t="str">
        <f t="shared" si="109"/>
        <v/>
      </c>
      <c r="AY184" s="32" t="str">
        <f t="shared" si="110"/>
        <v/>
      </c>
      <c r="BA184" s="32" t="str">
        <f>IF($A185="","",F184*Summary!$Q$12)</f>
        <v/>
      </c>
    </row>
    <row r="185" spans="1:53" ht="12" customHeight="1">
      <c r="A185" s="67" t="str">
        <f t="shared" si="111"/>
        <v/>
      </c>
      <c r="B185" s="69" t="str">
        <f t="shared" si="114"/>
        <v/>
      </c>
      <c r="C185" s="71"/>
      <c r="D185" s="69" t="str">
        <f t="shared" si="77"/>
        <v/>
      </c>
      <c r="E185" s="70" t="str">
        <f t="shared" si="78"/>
        <v/>
      </c>
      <c r="F185" s="70" t="str">
        <f t="shared" si="79"/>
        <v/>
      </c>
      <c r="G185" s="63" t="str">
        <f t="shared" si="80"/>
        <v/>
      </c>
      <c r="H185" s="64" t="str">
        <f t="shared" si="81"/>
        <v/>
      </c>
      <c r="I185" s="43"/>
      <c r="J185" s="63" t="str">
        <f t="shared" si="82"/>
        <v/>
      </c>
      <c r="K185" s="64" t="str">
        <f t="shared" si="83"/>
        <v/>
      </c>
      <c r="L185" s="63" t="str">
        <f t="shared" si="84"/>
        <v/>
      </c>
      <c r="M185" s="64" t="str">
        <f t="shared" si="85"/>
        <v/>
      </c>
      <c r="N185" s="65"/>
      <c r="O185" s="63" t="str">
        <f t="shared" si="86"/>
        <v/>
      </c>
      <c r="P185" s="63" t="str">
        <f t="shared" si="87"/>
        <v/>
      </c>
      <c r="Q185" s="66"/>
      <c r="R185" s="63" t="str">
        <f t="shared" si="88"/>
        <v/>
      </c>
      <c r="S185" s="64" t="str">
        <f t="shared" si="89"/>
        <v/>
      </c>
      <c r="T185" s="63" t="str">
        <f t="shared" si="90"/>
        <v/>
      </c>
      <c r="U185" s="64" t="str">
        <f t="shared" si="91"/>
        <v/>
      </c>
      <c r="V185" s="90" t="str">
        <f>IF($A186="","",IF(AND(MONTH(A185)&gt;3,MONTH(A185)&lt;11),(T185+R185+G185)*(((1/(1-Summary!$T$12))/(1-Summary!$W$12))-1),(T185+R185+G185)*((1/(1-Summary!$U$12))/(1-Summary!$X$12)-1)))</f>
        <v/>
      </c>
      <c r="W185" s="63" t="str">
        <f t="shared" si="92"/>
        <v/>
      </c>
      <c r="X185" s="63" t="str">
        <f t="shared" si="93"/>
        <v/>
      </c>
      <c r="Y185" s="43"/>
      <c r="Z185" s="38" t="str">
        <f t="shared" si="94"/>
        <v/>
      </c>
      <c r="AA185" s="38" t="str">
        <f t="shared" si="95"/>
        <v/>
      </c>
      <c r="AB185" s="38" t="e">
        <f t="shared" si="96"/>
        <v>#VALUE!</v>
      </c>
      <c r="AC185" s="38" t="str">
        <f t="shared" si="97"/>
        <v/>
      </c>
      <c r="AD185" s="38" t="str">
        <f t="shared" si="97"/>
        <v/>
      </c>
      <c r="AE185" s="38" t="e">
        <f t="shared" si="98"/>
        <v>#VALUE!</v>
      </c>
      <c r="AF185" s="238" t="e">
        <f>((Summary!$N$12*(AA185*AD185)*(A185-$D$3))+(Summary!$M$12*Z185*AC185*(AJ185-EOMONTH(EDATE(A185,-1),0))))/(AK185*AB185*AE185)</f>
        <v>#VALUE!</v>
      </c>
      <c r="AG185" s="88" t="str">
        <f>IF($A186="","",Summary!$Q$12)</f>
        <v/>
      </c>
      <c r="AH185" s="88" t="str">
        <f>IF($A186="","",IF(Summary!$R$12="Y",(VLOOKUP($A185,Summary!$AD$6:$AF$9,3)+'Escalating commodity'!H198),'Escalating commodity'!H198))</f>
        <v/>
      </c>
      <c r="AI185" s="88" t="str">
        <f t="shared" si="112"/>
        <v/>
      </c>
      <c r="AJ185" s="236" t="e">
        <f t="shared" si="99"/>
        <v>#VALUE!</v>
      </c>
      <c r="AK185" s="58" t="str">
        <f t="shared" si="100"/>
        <v/>
      </c>
      <c r="AL185" s="26" t="str">
        <f>IF($A186="","",_xll.SPRDOPT(P185,X185,AI185,0,AB185,AE185,AF185,AK185,$AJ$2,0))</f>
        <v/>
      </c>
      <c r="AM185" s="89" t="str">
        <f t="shared" si="101"/>
        <v/>
      </c>
      <c r="AN185" s="89" t="str">
        <f t="shared" si="102"/>
        <v/>
      </c>
      <c r="AO185" s="3" t="str">
        <f t="shared" si="103"/>
        <v/>
      </c>
      <c r="AP185" s="33" t="str">
        <f t="shared" si="104"/>
        <v/>
      </c>
      <c r="AQ185" s="58" t="str">
        <f t="shared" si="105"/>
        <v/>
      </c>
      <c r="AR185" s="38">
        <f>'ANR OK vs ML7'!AR185</f>
        <v>0.1</v>
      </c>
      <c r="AS185" s="35" t="str">
        <f t="shared" si="106"/>
        <v/>
      </c>
      <c r="AT185" s="3" t="str">
        <f t="shared" si="107"/>
        <v/>
      </c>
      <c r="AU185" s="3" t="str">
        <f t="shared" si="108"/>
        <v/>
      </c>
      <c r="AW185" s="32" t="str">
        <f t="shared" si="109"/>
        <v/>
      </c>
      <c r="AX185" s="32" t="str">
        <f t="shared" si="109"/>
        <v/>
      </c>
      <c r="AY185" s="32" t="str">
        <f t="shared" si="110"/>
        <v/>
      </c>
      <c r="BA185" s="32" t="str">
        <f>IF($A186="","",F185*Summary!$Q$12)</f>
        <v/>
      </c>
    </row>
    <row r="186" spans="1:53" ht="12" customHeight="1">
      <c r="A186" s="67" t="str">
        <f t="shared" si="111"/>
        <v/>
      </c>
      <c r="B186" s="69" t="str">
        <f t="shared" si="114"/>
        <v/>
      </c>
      <c r="C186" s="71"/>
      <c r="D186" s="69" t="str">
        <f t="shared" si="77"/>
        <v/>
      </c>
      <c r="E186" s="70" t="str">
        <f t="shared" si="78"/>
        <v/>
      </c>
      <c r="F186" s="70" t="str">
        <f t="shared" si="79"/>
        <v/>
      </c>
      <c r="G186" s="63" t="str">
        <f t="shared" si="80"/>
        <v/>
      </c>
      <c r="H186" s="64" t="str">
        <f t="shared" si="81"/>
        <v/>
      </c>
      <c r="I186" s="43"/>
      <c r="J186" s="63" t="str">
        <f t="shared" si="82"/>
        <v/>
      </c>
      <c r="K186" s="64" t="str">
        <f t="shared" si="83"/>
        <v/>
      </c>
      <c r="L186" s="63" t="str">
        <f t="shared" si="84"/>
        <v/>
      </c>
      <c r="M186" s="64" t="str">
        <f t="shared" si="85"/>
        <v/>
      </c>
      <c r="N186" s="65"/>
      <c r="O186" s="63" t="str">
        <f t="shared" si="86"/>
        <v/>
      </c>
      <c r="P186" s="63" t="str">
        <f t="shared" si="87"/>
        <v/>
      </c>
      <c r="Q186" s="66"/>
      <c r="R186" s="63" t="str">
        <f t="shared" si="88"/>
        <v/>
      </c>
      <c r="S186" s="64" t="str">
        <f t="shared" si="89"/>
        <v/>
      </c>
      <c r="T186" s="63" t="str">
        <f t="shared" si="90"/>
        <v/>
      </c>
      <c r="U186" s="64" t="str">
        <f t="shared" si="91"/>
        <v/>
      </c>
      <c r="V186" s="90" t="str">
        <f>IF($A187="","",IF(AND(MONTH(A186)&gt;3,MONTH(A186)&lt;11),(T186+R186+G186)*(((1/(1-Summary!$T$12))/(1-Summary!$W$12))-1),(T186+R186+G186)*((1/(1-Summary!$U$12))/(1-Summary!$X$12)-1)))</f>
        <v/>
      </c>
      <c r="W186" s="63" t="str">
        <f t="shared" si="92"/>
        <v/>
      </c>
      <c r="X186" s="63" t="str">
        <f t="shared" si="93"/>
        <v/>
      </c>
      <c r="Y186" s="43"/>
      <c r="Z186" s="38" t="str">
        <f t="shared" si="94"/>
        <v/>
      </c>
      <c r="AA186" s="38" t="str">
        <f t="shared" si="95"/>
        <v/>
      </c>
      <c r="AB186" s="38" t="e">
        <f t="shared" si="96"/>
        <v>#VALUE!</v>
      </c>
      <c r="AC186" s="38" t="str">
        <f t="shared" si="97"/>
        <v/>
      </c>
      <c r="AD186" s="38" t="str">
        <f t="shared" si="97"/>
        <v/>
      </c>
      <c r="AE186" s="38" t="e">
        <f t="shared" si="98"/>
        <v>#VALUE!</v>
      </c>
      <c r="AF186" s="238" t="e">
        <f>((Summary!$N$12*(AA186*AD186)*(A186-$D$3))+(Summary!$M$12*Z186*AC186*(AJ186-EOMONTH(EDATE(A186,-1),0))))/(AK186*AB186*AE186)</f>
        <v>#VALUE!</v>
      </c>
      <c r="AG186" s="88" t="str">
        <f>IF($A187="","",Summary!$Q$12)</f>
        <v/>
      </c>
      <c r="AH186" s="88" t="str">
        <f>IF($A187="","",IF(Summary!$R$12="Y",(VLOOKUP($A186,Summary!$AD$6:$AF$9,3)+'Escalating commodity'!H199),'Escalating commodity'!H199))</f>
        <v/>
      </c>
      <c r="AI186" s="88" t="str">
        <f t="shared" si="112"/>
        <v/>
      </c>
      <c r="AJ186" s="236" t="e">
        <f t="shared" si="99"/>
        <v>#VALUE!</v>
      </c>
      <c r="AK186" s="58" t="str">
        <f t="shared" si="100"/>
        <v/>
      </c>
      <c r="AL186" s="26" t="str">
        <f>IF($A187="","",_xll.SPRDOPT(P186,X186,AI186,0,AB186,AE186,AF186,AK186,$AJ$2,0))</f>
        <v/>
      </c>
      <c r="AM186" s="89" t="str">
        <f t="shared" si="101"/>
        <v/>
      </c>
      <c r="AN186" s="89" t="str">
        <f t="shared" si="102"/>
        <v/>
      </c>
      <c r="AO186" s="3" t="str">
        <f t="shared" si="103"/>
        <v/>
      </c>
      <c r="AP186" s="33" t="str">
        <f t="shared" si="104"/>
        <v/>
      </c>
      <c r="AQ186" s="58" t="str">
        <f t="shared" si="105"/>
        <v/>
      </c>
      <c r="AR186" s="38">
        <f>'ANR OK vs ML7'!AR186</f>
        <v>0.1</v>
      </c>
      <c r="AS186" s="35" t="str">
        <f t="shared" si="106"/>
        <v/>
      </c>
      <c r="AT186" s="3" t="str">
        <f t="shared" si="107"/>
        <v/>
      </c>
      <c r="AU186" s="3" t="str">
        <f t="shared" si="108"/>
        <v/>
      </c>
      <c r="AW186" s="32" t="str">
        <f t="shared" si="109"/>
        <v/>
      </c>
      <c r="AX186" s="32" t="str">
        <f t="shared" si="109"/>
        <v/>
      </c>
      <c r="AY186" s="32" t="str">
        <f t="shared" si="110"/>
        <v/>
      </c>
      <c r="BA186" s="32" t="str">
        <f>IF($A187="","",F186*Summary!$Q$12)</f>
        <v/>
      </c>
    </row>
    <row r="187" spans="1:53" ht="12" customHeight="1">
      <c r="A187" s="67" t="str">
        <f t="shared" si="111"/>
        <v/>
      </c>
      <c r="B187" s="69" t="str">
        <f t="shared" si="114"/>
        <v/>
      </c>
      <c r="C187" s="71"/>
      <c r="D187" s="69" t="str">
        <f t="shared" si="77"/>
        <v/>
      </c>
      <c r="E187" s="70" t="str">
        <f t="shared" si="78"/>
        <v/>
      </c>
      <c r="F187" s="70" t="str">
        <f t="shared" si="79"/>
        <v/>
      </c>
      <c r="G187" s="63" t="str">
        <f t="shared" si="80"/>
        <v/>
      </c>
      <c r="H187" s="64" t="str">
        <f t="shared" si="81"/>
        <v/>
      </c>
      <c r="I187" s="43"/>
      <c r="J187" s="63" t="str">
        <f t="shared" si="82"/>
        <v/>
      </c>
      <c r="K187" s="64" t="str">
        <f t="shared" si="83"/>
        <v/>
      </c>
      <c r="L187" s="63" t="str">
        <f t="shared" si="84"/>
        <v/>
      </c>
      <c r="M187" s="64" t="str">
        <f t="shared" si="85"/>
        <v/>
      </c>
      <c r="N187" s="65"/>
      <c r="O187" s="63" t="str">
        <f t="shared" si="86"/>
        <v/>
      </c>
      <c r="P187" s="63" t="str">
        <f t="shared" si="87"/>
        <v/>
      </c>
      <c r="Q187" s="66"/>
      <c r="R187" s="63" t="str">
        <f t="shared" si="88"/>
        <v/>
      </c>
      <c r="S187" s="64" t="str">
        <f t="shared" si="89"/>
        <v/>
      </c>
      <c r="T187" s="63" t="str">
        <f t="shared" si="90"/>
        <v/>
      </c>
      <c r="U187" s="64" t="str">
        <f t="shared" si="91"/>
        <v/>
      </c>
      <c r="V187" s="90" t="str">
        <f>IF($A188="","",IF(AND(MONTH(A187)&gt;3,MONTH(A187)&lt;11),(T187+R187+G187)*(((1/(1-Summary!$T$12))/(1-Summary!$W$12))-1),(T187+R187+G187)*((1/(1-Summary!$U$12))/(1-Summary!$X$12)-1)))</f>
        <v/>
      </c>
      <c r="W187" s="63" t="str">
        <f t="shared" si="92"/>
        <v/>
      </c>
      <c r="X187" s="63" t="str">
        <f t="shared" si="93"/>
        <v/>
      </c>
      <c r="Y187" s="43"/>
      <c r="Z187" s="38" t="str">
        <f t="shared" si="94"/>
        <v/>
      </c>
      <c r="AA187" s="38" t="str">
        <f t="shared" si="95"/>
        <v/>
      </c>
      <c r="AB187" s="38" t="e">
        <f t="shared" si="96"/>
        <v>#VALUE!</v>
      </c>
      <c r="AC187" s="38" t="str">
        <f t="shared" si="97"/>
        <v/>
      </c>
      <c r="AD187" s="38" t="str">
        <f t="shared" si="97"/>
        <v/>
      </c>
      <c r="AE187" s="38" t="e">
        <f t="shared" si="98"/>
        <v>#VALUE!</v>
      </c>
      <c r="AF187" s="238" t="e">
        <f>((Summary!$N$12*(AA187*AD187)*(A187-$D$3))+(Summary!$M$12*Z187*AC187*(AJ187-EOMONTH(EDATE(A187,-1),0))))/(AK187*AB187*AE187)</f>
        <v>#VALUE!</v>
      </c>
      <c r="AG187" s="88" t="str">
        <f>IF($A188="","",Summary!$Q$12)</f>
        <v/>
      </c>
      <c r="AH187" s="88" t="str">
        <f>IF($A188="","",IF(Summary!$R$12="Y",(VLOOKUP($A187,Summary!$AD$6:$AF$9,3)+'Escalating commodity'!H200),'Escalating commodity'!H200))</f>
        <v/>
      </c>
      <c r="AI187" s="88" t="str">
        <f t="shared" si="112"/>
        <v/>
      </c>
      <c r="AJ187" s="236" t="e">
        <f t="shared" si="99"/>
        <v>#VALUE!</v>
      </c>
      <c r="AK187" s="58" t="str">
        <f t="shared" si="100"/>
        <v/>
      </c>
      <c r="AL187" s="26" t="str">
        <f>IF($A188="","",_xll.SPRDOPT(P187,X187,AI187,0,AB187,AE187,AF187,AK187,$AJ$2,0))</f>
        <v/>
      </c>
      <c r="AM187" s="89" t="str">
        <f t="shared" si="101"/>
        <v/>
      </c>
      <c r="AN187" s="89" t="str">
        <f t="shared" si="102"/>
        <v/>
      </c>
      <c r="AO187" s="3" t="str">
        <f t="shared" si="103"/>
        <v/>
      </c>
      <c r="AP187" s="33" t="str">
        <f t="shared" si="104"/>
        <v/>
      </c>
      <c r="AQ187" s="58" t="str">
        <f t="shared" si="105"/>
        <v/>
      </c>
      <c r="AR187" s="38">
        <f>'ANR OK vs ML7'!AR187</f>
        <v>0.1</v>
      </c>
      <c r="AS187" s="35" t="str">
        <f t="shared" si="106"/>
        <v/>
      </c>
      <c r="AT187" s="3" t="str">
        <f t="shared" si="107"/>
        <v/>
      </c>
      <c r="AU187" s="3" t="str">
        <f t="shared" si="108"/>
        <v/>
      </c>
      <c r="AW187" s="32" t="str">
        <f t="shared" si="109"/>
        <v/>
      </c>
      <c r="AX187" s="32" t="str">
        <f t="shared" si="109"/>
        <v/>
      </c>
      <c r="AY187" s="32" t="str">
        <f t="shared" si="110"/>
        <v/>
      </c>
      <c r="BA187" s="32" t="str">
        <f>IF($A188="","",F187*Summary!$Q$12)</f>
        <v/>
      </c>
    </row>
    <row r="188" spans="1:53" ht="12" customHeight="1">
      <c r="A188" s="67" t="str">
        <f t="shared" si="111"/>
        <v/>
      </c>
      <c r="B188" s="69" t="str">
        <f t="shared" si="114"/>
        <v/>
      </c>
      <c r="C188" s="71"/>
      <c r="D188" s="69" t="str">
        <f t="shared" si="77"/>
        <v/>
      </c>
      <c r="E188" s="70" t="str">
        <f t="shared" si="78"/>
        <v/>
      </c>
      <c r="F188" s="70" t="str">
        <f t="shared" si="79"/>
        <v/>
      </c>
      <c r="G188" s="63" t="str">
        <f t="shared" si="80"/>
        <v/>
      </c>
      <c r="H188" s="64" t="str">
        <f t="shared" si="81"/>
        <v/>
      </c>
      <c r="I188" s="43"/>
      <c r="J188" s="63" t="str">
        <f t="shared" si="82"/>
        <v/>
      </c>
      <c r="K188" s="64" t="str">
        <f t="shared" si="83"/>
        <v/>
      </c>
      <c r="L188" s="63" t="str">
        <f t="shared" si="84"/>
        <v/>
      </c>
      <c r="M188" s="64" t="str">
        <f t="shared" si="85"/>
        <v/>
      </c>
      <c r="N188" s="65"/>
      <c r="O188" s="63" t="str">
        <f t="shared" si="86"/>
        <v/>
      </c>
      <c r="P188" s="63" t="str">
        <f t="shared" si="87"/>
        <v/>
      </c>
      <c r="Q188" s="66"/>
      <c r="R188" s="63" t="str">
        <f t="shared" si="88"/>
        <v/>
      </c>
      <c r="S188" s="64" t="str">
        <f t="shared" si="89"/>
        <v/>
      </c>
      <c r="T188" s="63" t="str">
        <f t="shared" si="90"/>
        <v/>
      </c>
      <c r="U188" s="64" t="str">
        <f t="shared" si="91"/>
        <v/>
      </c>
      <c r="V188" s="90" t="str">
        <f>IF($A189="","",IF(AND(MONTH(A188)&gt;3,MONTH(A188)&lt;11),(T188+R188+G188)*(((1/(1-Summary!$T$12))/(1-Summary!$W$12))-1),(T188+R188+G188)*((1/(1-Summary!$U$12))/(1-Summary!$X$12)-1)))</f>
        <v/>
      </c>
      <c r="W188" s="63" t="str">
        <f t="shared" si="92"/>
        <v/>
      </c>
      <c r="X188" s="63" t="str">
        <f t="shared" si="93"/>
        <v/>
      </c>
      <c r="Y188" s="43"/>
      <c r="Z188" s="38" t="str">
        <f t="shared" si="94"/>
        <v/>
      </c>
      <c r="AA188" s="38" t="str">
        <f t="shared" si="95"/>
        <v/>
      </c>
      <c r="AB188" s="38" t="e">
        <f t="shared" si="96"/>
        <v>#VALUE!</v>
      </c>
      <c r="AC188" s="38" t="str">
        <f t="shared" si="97"/>
        <v/>
      </c>
      <c r="AD188" s="38" t="str">
        <f t="shared" si="97"/>
        <v/>
      </c>
      <c r="AE188" s="38" t="e">
        <f t="shared" si="98"/>
        <v>#VALUE!</v>
      </c>
      <c r="AF188" s="238" t="e">
        <f>((Summary!$N$12*(AA188*AD188)*(A188-$D$3))+(Summary!$M$12*Z188*AC188*(AJ188-EOMONTH(EDATE(A188,-1),0))))/(AK188*AB188*AE188)</f>
        <v>#VALUE!</v>
      </c>
      <c r="AG188" s="88" t="str">
        <f>IF($A189="","",Summary!$Q$12)</f>
        <v/>
      </c>
      <c r="AH188" s="88" t="str">
        <f>IF($A189="","",IF(Summary!$R$12="Y",(VLOOKUP($A188,Summary!$AD$6:$AF$9,3)+'Escalating commodity'!H201),'Escalating commodity'!H201))</f>
        <v/>
      </c>
      <c r="AI188" s="88" t="str">
        <f t="shared" si="112"/>
        <v/>
      </c>
      <c r="AJ188" s="236" t="e">
        <f t="shared" si="99"/>
        <v>#VALUE!</v>
      </c>
      <c r="AK188" s="58" t="str">
        <f t="shared" si="100"/>
        <v/>
      </c>
      <c r="AL188" s="26" t="str">
        <f>IF($A189="","",_xll.SPRDOPT(P188,X188,AI188,0,AB188,AE188,AF188,AK188,$AJ$2,0))</f>
        <v/>
      </c>
      <c r="AM188" s="89" t="str">
        <f t="shared" si="101"/>
        <v/>
      </c>
      <c r="AN188" s="89" t="str">
        <f t="shared" si="102"/>
        <v/>
      </c>
      <c r="AO188" s="3" t="str">
        <f t="shared" si="103"/>
        <v/>
      </c>
      <c r="AP188" s="33" t="str">
        <f t="shared" si="104"/>
        <v/>
      </c>
      <c r="AQ188" s="58" t="str">
        <f t="shared" si="105"/>
        <v/>
      </c>
      <c r="AR188" s="38">
        <f>'ANR OK vs ML7'!AR188</f>
        <v>0.1</v>
      </c>
      <c r="AS188" s="35" t="str">
        <f t="shared" si="106"/>
        <v/>
      </c>
      <c r="AT188" s="3" t="str">
        <f t="shared" si="107"/>
        <v/>
      </c>
      <c r="AU188" s="3" t="str">
        <f t="shared" si="108"/>
        <v/>
      </c>
      <c r="AW188" s="32" t="str">
        <f t="shared" si="109"/>
        <v/>
      </c>
      <c r="AX188" s="32" t="str">
        <f t="shared" si="109"/>
        <v/>
      </c>
      <c r="AY188" s="32" t="str">
        <f t="shared" si="110"/>
        <v/>
      </c>
      <c r="BA188" s="32" t="str">
        <f>IF($A189="","",F188*Summary!$Q$12)</f>
        <v/>
      </c>
    </row>
    <row r="189" spans="1:53" ht="12" customHeight="1">
      <c r="A189" s="67" t="str">
        <f t="shared" si="111"/>
        <v/>
      </c>
      <c r="B189" s="69" t="str">
        <f t="shared" si="114"/>
        <v/>
      </c>
      <c r="C189" s="71"/>
      <c r="D189" s="69" t="str">
        <f t="shared" si="77"/>
        <v/>
      </c>
      <c r="E189" s="70" t="str">
        <f t="shared" si="78"/>
        <v/>
      </c>
      <c r="F189" s="70" t="str">
        <f t="shared" si="79"/>
        <v/>
      </c>
      <c r="G189" s="63" t="str">
        <f t="shared" si="80"/>
        <v/>
      </c>
      <c r="H189" s="64" t="str">
        <f t="shared" si="81"/>
        <v/>
      </c>
      <c r="I189" s="43"/>
      <c r="J189" s="63" t="str">
        <f t="shared" si="82"/>
        <v/>
      </c>
      <c r="K189" s="64" t="str">
        <f t="shared" si="83"/>
        <v/>
      </c>
      <c r="L189" s="63" t="str">
        <f t="shared" si="84"/>
        <v/>
      </c>
      <c r="M189" s="64" t="str">
        <f t="shared" si="85"/>
        <v/>
      </c>
      <c r="N189" s="65"/>
      <c r="O189" s="63" t="str">
        <f t="shared" si="86"/>
        <v/>
      </c>
      <c r="P189" s="63" t="str">
        <f t="shared" si="87"/>
        <v/>
      </c>
      <c r="Q189" s="66"/>
      <c r="R189" s="63" t="str">
        <f t="shared" si="88"/>
        <v/>
      </c>
      <c r="S189" s="64" t="str">
        <f t="shared" si="89"/>
        <v/>
      </c>
      <c r="T189" s="63" t="str">
        <f t="shared" si="90"/>
        <v/>
      </c>
      <c r="U189" s="64" t="str">
        <f t="shared" si="91"/>
        <v/>
      </c>
      <c r="V189" s="90" t="str">
        <f>IF($A190="","",IF(AND(MONTH(A189)&gt;3,MONTH(A189)&lt;11),(T189+R189+G189)*(((1/(1-Summary!$T$12))/(1-Summary!$W$12))-1),(T189+R189+G189)*((1/(1-Summary!$U$12))/(1-Summary!$X$12)-1)))</f>
        <v/>
      </c>
      <c r="W189" s="63" t="str">
        <f t="shared" si="92"/>
        <v/>
      </c>
      <c r="X189" s="63" t="str">
        <f t="shared" si="93"/>
        <v/>
      </c>
      <c r="Y189" s="43"/>
      <c r="Z189" s="38" t="str">
        <f t="shared" si="94"/>
        <v/>
      </c>
      <c r="AA189" s="38" t="str">
        <f t="shared" si="95"/>
        <v/>
      </c>
      <c r="AB189" s="38" t="e">
        <f t="shared" si="96"/>
        <v>#VALUE!</v>
      </c>
      <c r="AC189" s="38" t="str">
        <f t="shared" si="97"/>
        <v/>
      </c>
      <c r="AD189" s="38" t="str">
        <f t="shared" si="97"/>
        <v/>
      </c>
      <c r="AE189" s="38" t="e">
        <f t="shared" si="98"/>
        <v>#VALUE!</v>
      </c>
      <c r="AF189" s="238" t="e">
        <f>((Summary!$N$12*(AA189*AD189)*(A189-$D$3))+(Summary!$M$12*Z189*AC189*(AJ189-EOMONTH(EDATE(A189,-1),0))))/(AK189*AB189*AE189)</f>
        <v>#VALUE!</v>
      </c>
      <c r="AG189" s="88" t="str">
        <f>IF($A190="","",Summary!$Q$12)</f>
        <v/>
      </c>
      <c r="AH189" s="88" t="str">
        <f>IF($A190="","",IF(Summary!$R$12="Y",(VLOOKUP($A189,Summary!$AD$6:$AF$9,3)+'Escalating commodity'!H202),'Escalating commodity'!H202))</f>
        <v/>
      </c>
      <c r="AI189" s="88" t="str">
        <f t="shared" si="112"/>
        <v/>
      </c>
      <c r="AJ189" s="236" t="e">
        <f t="shared" si="99"/>
        <v>#VALUE!</v>
      </c>
      <c r="AK189" s="58" t="str">
        <f t="shared" si="100"/>
        <v/>
      </c>
      <c r="AL189" s="26" t="str">
        <f>IF($A190="","",_xll.SPRDOPT(P189,X189,AI189,0,AB189,AE189,AF189,AK189,$AJ$2,0))</f>
        <v/>
      </c>
      <c r="AM189" s="89" t="str">
        <f t="shared" si="101"/>
        <v/>
      </c>
      <c r="AN189" s="89" t="str">
        <f t="shared" si="102"/>
        <v/>
      </c>
      <c r="AO189" s="3" t="str">
        <f t="shared" si="103"/>
        <v/>
      </c>
      <c r="AP189" s="33" t="str">
        <f t="shared" si="104"/>
        <v/>
      </c>
      <c r="AQ189" s="58" t="str">
        <f t="shared" si="105"/>
        <v/>
      </c>
      <c r="AR189" s="38">
        <f>'ANR OK vs ML7'!AR189</f>
        <v>0.1</v>
      </c>
      <c r="AS189" s="35" t="str">
        <f t="shared" si="106"/>
        <v/>
      </c>
      <c r="AT189" s="3" t="str">
        <f t="shared" si="107"/>
        <v/>
      </c>
      <c r="AU189" s="3" t="str">
        <f t="shared" si="108"/>
        <v/>
      </c>
      <c r="AW189" s="32" t="str">
        <f t="shared" si="109"/>
        <v/>
      </c>
      <c r="AX189" s="32" t="str">
        <f t="shared" si="109"/>
        <v/>
      </c>
      <c r="AY189" s="32" t="str">
        <f t="shared" si="110"/>
        <v/>
      </c>
      <c r="BA189" s="32" t="str">
        <f>IF($A190="","",F189*Summary!$Q$12)</f>
        <v/>
      </c>
    </row>
    <row r="190" spans="1:53" ht="12" customHeight="1">
      <c r="A190" s="67" t="str">
        <f t="shared" si="111"/>
        <v/>
      </c>
      <c r="B190" s="69" t="str">
        <f t="shared" si="114"/>
        <v/>
      </c>
      <c r="C190" s="71"/>
      <c r="D190" s="69" t="str">
        <f t="shared" si="77"/>
        <v/>
      </c>
      <c r="E190" s="70" t="str">
        <f t="shared" si="78"/>
        <v/>
      </c>
      <c r="F190" s="70" t="str">
        <f t="shared" si="79"/>
        <v/>
      </c>
      <c r="G190" s="63" t="str">
        <f t="shared" si="80"/>
        <v/>
      </c>
      <c r="H190" s="64" t="str">
        <f t="shared" si="81"/>
        <v/>
      </c>
      <c r="I190" s="43"/>
      <c r="J190" s="63" t="str">
        <f t="shared" si="82"/>
        <v/>
      </c>
      <c r="K190" s="64" t="str">
        <f t="shared" si="83"/>
        <v/>
      </c>
      <c r="L190" s="63" t="str">
        <f t="shared" si="84"/>
        <v/>
      </c>
      <c r="M190" s="64" t="str">
        <f t="shared" si="85"/>
        <v/>
      </c>
      <c r="N190" s="65"/>
      <c r="O190" s="63" t="str">
        <f t="shared" si="86"/>
        <v/>
      </c>
      <c r="P190" s="63" t="str">
        <f t="shared" si="87"/>
        <v/>
      </c>
      <c r="Q190" s="66"/>
      <c r="R190" s="63" t="str">
        <f t="shared" si="88"/>
        <v/>
      </c>
      <c r="S190" s="64" t="str">
        <f t="shared" si="89"/>
        <v/>
      </c>
      <c r="T190" s="63" t="str">
        <f t="shared" si="90"/>
        <v/>
      </c>
      <c r="U190" s="64" t="str">
        <f t="shared" si="91"/>
        <v/>
      </c>
      <c r="V190" s="90" t="str">
        <f>IF($A191="","",IF(AND(MONTH(A190)&gt;3,MONTH(A190)&lt;11),(T190+R190+G190)*(((1/(1-Summary!$T$12))/(1-Summary!$W$12))-1),(T190+R190+G190)*((1/(1-Summary!$U$12))/(1-Summary!$X$12)-1)))</f>
        <v/>
      </c>
      <c r="W190" s="63" t="str">
        <f t="shared" si="92"/>
        <v/>
      </c>
      <c r="X190" s="63" t="str">
        <f t="shared" si="93"/>
        <v/>
      </c>
      <c r="Y190" s="43"/>
      <c r="Z190" s="38" t="str">
        <f t="shared" si="94"/>
        <v/>
      </c>
      <c r="AA190" s="38" t="str">
        <f t="shared" si="95"/>
        <v/>
      </c>
      <c r="AB190" s="38" t="e">
        <f t="shared" si="96"/>
        <v>#VALUE!</v>
      </c>
      <c r="AC190" s="38" t="str">
        <f t="shared" si="97"/>
        <v/>
      </c>
      <c r="AD190" s="38" t="str">
        <f t="shared" si="97"/>
        <v/>
      </c>
      <c r="AE190" s="38" t="e">
        <f t="shared" si="98"/>
        <v>#VALUE!</v>
      </c>
      <c r="AF190" s="238" t="e">
        <f>((Summary!$N$12*(AA190*AD190)*(A190-$D$3))+(Summary!$M$12*Z190*AC190*(AJ190-EOMONTH(EDATE(A190,-1),0))))/(AK190*AB190*AE190)</f>
        <v>#VALUE!</v>
      </c>
      <c r="AG190" s="88" t="str">
        <f>IF($A191="","",Summary!$Q$12)</f>
        <v/>
      </c>
      <c r="AH190" s="88" t="str">
        <f>IF($A191="","",IF(Summary!$R$12="Y",(VLOOKUP($A190,Summary!$AD$6:$AF$9,3)+'Escalating commodity'!H203),'Escalating commodity'!H203))</f>
        <v/>
      </c>
      <c r="AI190" s="88" t="str">
        <f t="shared" si="112"/>
        <v/>
      </c>
      <c r="AJ190" s="236" t="e">
        <f t="shared" si="99"/>
        <v>#VALUE!</v>
      </c>
      <c r="AK190" s="58" t="str">
        <f t="shared" si="100"/>
        <v/>
      </c>
      <c r="AL190" s="26" t="str">
        <f>IF($A191="","",_xll.SPRDOPT(P190,X190,AI190,0,AB190,AE190,AF190,AK190,$AJ$2,0))</f>
        <v/>
      </c>
      <c r="AM190" s="89" t="str">
        <f t="shared" si="101"/>
        <v/>
      </c>
      <c r="AN190" s="89" t="str">
        <f t="shared" si="102"/>
        <v/>
      </c>
      <c r="AO190" s="3" t="str">
        <f t="shared" si="103"/>
        <v/>
      </c>
      <c r="AP190" s="33" t="str">
        <f t="shared" si="104"/>
        <v/>
      </c>
      <c r="AQ190" s="58" t="str">
        <f t="shared" si="105"/>
        <v/>
      </c>
      <c r="AR190" s="38">
        <f>'ANR OK vs ML7'!AR190</f>
        <v>0.1</v>
      </c>
      <c r="AS190" s="35" t="str">
        <f t="shared" si="106"/>
        <v/>
      </c>
      <c r="AT190" s="3" t="str">
        <f t="shared" si="107"/>
        <v/>
      </c>
      <c r="AU190" s="3" t="str">
        <f t="shared" si="108"/>
        <v/>
      </c>
      <c r="AW190" s="32" t="str">
        <f t="shared" si="109"/>
        <v/>
      </c>
      <c r="AX190" s="32" t="str">
        <f t="shared" si="109"/>
        <v/>
      </c>
      <c r="AY190" s="32" t="str">
        <f t="shared" si="110"/>
        <v/>
      </c>
      <c r="BA190" s="32" t="str">
        <f>IF($A191="","",F190*Summary!$Q$12)</f>
        <v/>
      </c>
    </row>
    <row r="191" spans="1:53" ht="12" customHeight="1">
      <c r="A191" s="67" t="str">
        <f t="shared" si="111"/>
        <v/>
      </c>
      <c r="B191" s="69" t="str">
        <f t="shared" si="114"/>
        <v/>
      </c>
      <c r="C191" s="71"/>
      <c r="D191" s="69" t="str">
        <f t="shared" si="77"/>
        <v/>
      </c>
      <c r="E191" s="70" t="str">
        <f t="shared" si="78"/>
        <v/>
      </c>
      <c r="F191" s="70" t="str">
        <f t="shared" si="79"/>
        <v/>
      </c>
      <c r="G191" s="63" t="str">
        <f t="shared" si="80"/>
        <v/>
      </c>
      <c r="H191" s="64" t="str">
        <f t="shared" si="81"/>
        <v/>
      </c>
      <c r="I191" s="43"/>
      <c r="J191" s="63" t="str">
        <f t="shared" si="82"/>
        <v/>
      </c>
      <c r="K191" s="64" t="str">
        <f t="shared" si="83"/>
        <v/>
      </c>
      <c r="L191" s="63" t="str">
        <f t="shared" si="84"/>
        <v/>
      </c>
      <c r="M191" s="64" t="str">
        <f t="shared" si="85"/>
        <v/>
      </c>
      <c r="N191" s="65"/>
      <c r="O191" s="63" t="str">
        <f t="shared" si="86"/>
        <v/>
      </c>
      <c r="P191" s="63" t="str">
        <f t="shared" si="87"/>
        <v/>
      </c>
      <c r="Q191" s="66"/>
      <c r="R191" s="63" t="str">
        <f t="shared" si="88"/>
        <v/>
      </c>
      <c r="S191" s="64" t="str">
        <f t="shared" si="89"/>
        <v/>
      </c>
      <c r="T191" s="63" t="str">
        <f t="shared" si="90"/>
        <v/>
      </c>
      <c r="U191" s="64" t="str">
        <f t="shared" si="91"/>
        <v/>
      </c>
      <c r="V191" s="90" t="str">
        <f>IF($A192="","",IF(AND(MONTH(A191)&gt;3,MONTH(A191)&lt;11),(T191+R191+G191)*(((1/(1-Summary!$T$12))/(1-Summary!$W$12))-1),(T191+R191+G191)*((1/(1-Summary!$U$12))/(1-Summary!$X$12)-1)))</f>
        <v/>
      </c>
      <c r="W191" s="63" t="str">
        <f t="shared" si="92"/>
        <v/>
      </c>
      <c r="X191" s="63" t="str">
        <f t="shared" si="93"/>
        <v/>
      </c>
      <c r="Y191" s="43"/>
      <c r="Z191" s="38" t="str">
        <f t="shared" si="94"/>
        <v/>
      </c>
      <c r="AA191" s="38" t="str">
        <f t="shared" si="95"/>
        <v/>
      </c>
      <c r="AB191" s="38" t="e">
        <f t="shared" si="96"/>
        <v>#VALUE!</v>
      </c>
      <c r="AC191" s="38" t="str">
        <f t="shared" si="97"/>
        <v/>
      </c>
      <c r="AD191" s="38" t="str">
        <f t="shared" si="97"/>
        <v/>
      </c>
      <c r="AE191" s="38" t="e">
        <f t="shared" si="98"/>
        <v>#VALUE!</v>
      </c>
      <c r="AF191" s="238" t="e">
        <f>((Summary!$N$12*(AA191*AD191)*(A191-$D$3))+(Summary!$M$12*Z191*AC191*(AJ191-EOMONTH(EDATE(A191,-1),0))))/(AK191*AB191*AE191)</f>
        <v>#VALUE!</v>
      </c>
      <c r="AG191" s="88" t="str">
        <f>IF($A192="","",Summary!$Q$12)</f>
        <v/>
      </c>
      <c r="AH191" s="88" t="str">
        <f>IF($A192="","",IF(Summary!$R$12="Y",(VLOOKUP($A191,Summary!$AD$6:$AF$9,3)+'Escalating commodity'!H204),'Escalating commodity'!H204))</f>
        <v/>
      </c>
      <c r="AI191" s="88" t="str">
        <f t="shared" si="112"/>
        <v/>
      </c>
      <c r="AJ191" s="236" t="e">
        <f t="shared" si="99"/>
        <v>#VALUE!</v>
      </c>
      <c r="AK191" s="58" t="str">
        <f t="shared" si="100"/>
        <v/>
      </c>
      <c r="AL191" s="26" t="str">
        <f>IF($A192="","",_xll.SPRDOPT(P191,X191,AI191,0,AB191,AE191,AF191,AK191,$AJ$2,0))</f>
        <v/>
      </c>
      <c r="AM191" s="89" t="str">
        <f t="shared" si="101"/>
        <v/>
      </c>
      <c r="AN191" s="89" t="str">
        <f t="shared" si="102"/>
        <v/>
      </c>
      <c r="AO191" s="3" t="str">
        <f t="shared" si="103"/>
        <v/>
      </c>
      <c r="AP191" s="33" t="str">
        <f t="shared" si="104"/>
        <v/>
      </c>
      <c r="AQ191" s="58" t="str">
        <f t="shared" si="105"/>
        <v/>
      </c>
      <c r="AR191" s="38">
        <f>'ANR OK vs ML7'!AR191</f>
        <v>0.1</v>
      </c>
      <c r="AS191" s="35" t="str">
        <f t="shared" si="106"/>
        <v/>
      </c>
      <c r="AT191" s="3" t="str">
        <f t="shared" si="107"/>
        <v/>
      </c>
      <c r="AU191" s="3" t="str">
        <f t="shared" si="108"/>
        <v/>
      </c>
      <c r="AW191" s="32" t="str">
        <f t="shared" si="109"/>
        <v/>
      </c>
      <c r="AX191" s="32" t="str">
        <f t="shared" si="109"/>
        <v/>
      </c>
      <c r="AY191" s="32" t="str">
        <f t="shared" si="110"/>
        <v/>
      </c>
      <c r="BA191" s="32" t="str">
        <f>IF($A192="","",F191*Summary!$Q$12)</f>
        <v/>
      </c>
    </row>
    <row r="192" spans="1:53" ht="12" customHeight="1">
      <c r="A192" s="67" t="str">
        <f t="shared" si="111"/>
        <v/>
      </c>
      <c r="B192" s="69" t="str">
        <f t="shared" si="114"/>
        <v/>
      </c>
      <c r="C192" s="71"/>
      <c r="D192" s="69" t="str">
        <f t="shared" si="77"/>
        <v/>
      </c>
      <c r="E192" s="70" t="str">
        <f t="shared" si="78"/>
        <v/>
      </c>
      <c r="F192" s="70" t="str">
        <f t="shared" si="79"/>
        <v/>
      </c>
      <c r="G192" s="63" t="str">
        <f t="shared" si="80"/>
        <v/>
      </c>
      <c r="H192" s="64" t="str">
        <f t="shared" si="81"/>
        <v/>
      </c>
      <c r="I192" s="43"/>
      <c r="J192" s="63" t="str">
        <f t="shared" si="82"/>
        <v/>
      </c>
      <c r="K192" s="64" t="str">
        <f t="shared" si="83"/>
        <v/>
      </c>
      <c r="L192" s="63" t="str">
        <f t="shared" si="84"/>
        <v/>
      </c>
      <c r="M192" s="64" t="str">
        <f t="shared" si="85"/>
        <v/>
      </c>
      <c r="N192" s="65"/>
      <c r="O192" s="63" t="str">
        <f t="shared" si="86"/>
        <v/>
      </c>
      <c r="P192" s="63" t="str">
        <f t="shared" si="87"/>
        <v/>
      </c>
      <c r="Q192" s="66"/>
      <c r="R192" s="63" t="str">
        <f t="shared" si="88"/>
        <v/>
      </c>
      <c r="S192" s="64" t="str">
        <f t="shared" si="89"/>
        <v/>
      </c>
      <c r="T192" s="63" t="str">
        <f t="shared" si="90"/>
        <v/>
      </c>
      <c r="U192" s="64" t="str">
        <f t="shared" si="91"/>
        <v/>
      </c>
      <c r="V192" s="90" t="str">
        <f>IF($A193="","",IF(AND(MONTH(A192)&gt;3,MONTH(A192)&lt;11),(T192+R192+G192)*(((1/(1-Summary!$T$12))/(1-Summary!$W$12))-1),(T192+R192+G192)*((1/(1-Summary!$U$12))/(1-Summary!$X$12)-1)))</f>
        <v/>
      </c>
      <c r="W192" s="63" t="str">
        <f t="shared" si="92"/>
        <v/>
      </c>
      <c r="X192" s="63" t="str">
        <f t="shared" si="93"/>
        <v/>
      </c>
      <c r="Y192" s="43"/>
      <c r="Z192" s="38" t="str">
        <f t="shared" si="94"/>
        <v/>
      </c>
      <c r="AA192" s="38" t="str">
        <f t="shared" si="95"/>
        <v/>
      </c>
      <c r="AB192" s="38" t="e">
        <f t="shared" si="96"/>
        <v>#VALUE!</v>
      </c>
      <c r="AC192" s="38" t="str">
        <f t="shared" si="97"/>
        <v/>
      </c>
      <c r="AD192" s="38" t="str">
        <f t="shared" si="97"/>
        <v/>
      </c>
      <c r="AE192" s="38" t="e">
        <f t="shared" si="98"/>
        <v>#VALUE!</v>
      </c>
      <c r="AF192" s="238" t="e">
        <f>((Summary!$N$12*(AA192*AD192)*(A192-$D$3))+(Summary!$M$12*Z192*AC192*(AJ192-EOMONTH(EDATE(A192,-1),0))))/(AK192*AB192*AE192)</f>
        <v>#VALUE!</v>
      </c>
      <c r="AG192" s="88" t="str">
        <f>IF($A193="","",Summary!$Q$12)</f>
        <v/>
      </c>
      <c r="AH192" s="88" t="str">
        <f>IF($A193="","",IF(Summary!$R$12="Y",(VLOOKUP($A192,Summary!$AD$6:$AF$9,3)+'Escalating commodity'!H205),'Escalating commodity'!H205))</f>
        <v/>
      </c>
      <c r="AI192" s="88" t="str">
        <f t="shared" si="112"/>
        <v/>
      </c>
      <c r="AJ192" s="236" t="e">
        <f t="shared" si="99"/>
        <v>#VALUE!</v>
      </c>
      <c r="AK192" s="58" t="str">
        <f t="shared" si="100"/>
        <v/>
      </c>
      <c r="AL192" s="26" t="str">
        <f>IF($A193="","",_xll.SPRDOPT(P192,X192,AI192,0,AB192,AE192,AF192,AK192,$AJ$2,0))</f>
        <v/>
      </c>
      <c r="AM192" s="89" t="str">
        <f t="shared" si="101"/>
        <v/>
      </c>
      <c r="AN192" s="89" t="str">
        <f t="shared" si="102"/>
        <v/>
      </c>
      <c r="AO192" s="3" t="str">
        <f t="shared" si="103"/>
        <v/>
      </c>
      <c r="AP192" s="33" t="str">
        <f t="shared" si="104"/>
        <v/>
      </c>
      <c r="AQ192" s="58" t="str">
        <f t="shared" si="105"/>
        <v/>
      </c>
      <c r="AR192" s="38">
        <f>'ANR OK vs ML7'!AR192</f>
        <v>0.1</v>
      </c>
      <c r="AS192" s="35" t="str">
        <f t="shared" si="106"/>
        <v/>
      </c>
      <c r="AT192" s="3" t="str">
        <f t="shared" si="107"/>
        <v/>
      </c>
      <c r="AU192" s="3" t="str">
        <f t="shared" si="108"/>
        <v/>
      </c>
      <c r="AW192" s="32" t="str">
        <f t="shared" si="109"/>
        <v/>
      </c>
      <c r="AX192" s="32" t="str">
        <f t="shared" si="109"/>
        <v/>
      </c>
      <c r="AY192" s="32" t="str">
        <f t="shared" si="110"/>
        <v/>
      </c>
      <c r="BA192" s="32" t="str">
        <f>IF($A193="","",F192*Summary!$Q$12)</f>
        <v/>
      </c>
    </row>
    <row r="193" spans="1:53" ht="12" customHeight="1">
      <c r="A193" s="67" t="str">
        <f t="shared" si="111"/>
        <v/>
      </c>
      <c r="B193" s="69" t="str">
        <f t="shared" si="114"/>
        <v/>
      </c>
      <c r="C193" s="71"/>
      <c r="D193" s="69" t="str">
        <f t="shared" si="77"/>
        <v/>
      </c>
      <c r="E193" s="70" t="str">
        <f t="shared" si="78"/>
        <v/>
      </c>
      <c r="F193" s="70" t="str">
        <f t="shared" si="79"/>
        <v/>
      </c>
      <c r="G193" s="63" t="str">
        <f t="shared" si="80"/>
        <v/>
      </c>
      <c r="H193" s="64" t="str">
        <f t="shared" si="81"/>
        <v/>
      </c>
      <c r="I193" s="43"/>
      <c r="J193" s="63" t="str">
        <f t="shared" si="82"/>
        <v/>
      </c>
      <c r="K193" s="64" t="str">
        <f t="shared" si="83"/>
        <v/>
      </c>
      <c r="L193" s="63" t="str">
        <f t="shared" si="84"/>
        <v/>
      </c>
      <c r="M193" s="64" t="str">
        <f t="shared" si="85"/>
        <v/>
      </c>
      <c r="N193" s="65"/>
      <c r="O193" s="63" t="str">
        <f t="shared" si="86"/>
        <v/>
      </c>
      <c r="P193" s="63" t="str">
        <f t="shared" si="87"/>
        <v/>
      </c>
      <c r="Q193" s="66"/>
      <c r="R193" s="63" t="str">
        <f t="shared" si="88"/>
        <v/>
      </c>
      <c r="S193" s="64" t="str">
        <f t="shared" si="89"/>
        <v/>
      </c>
      <c r="T193" s="63" t="str">
        <f t="shared" si="90"/>
        <v/>
      </c>
      <c r="U193" s="64" t="str">
        <f t="shared" si="91"/>
        <v/>
      </c>
      <c r="V193" s="90" t="str">
        <f>IF($A194="","",IF(AND(MONTH(A193)&gt;3,MONTH(A193)&lt;11),(T193+R193+G193)*(((1/(1-Summary!$T$12))/(1-Summary!$W$12))-1),(T193+R193+G193)*((1/(1-Summary!$U$12))/(1-Summary!$X$12)-1)))</f>
        <v/>
      </c>
      <c r="W193" s="63" t="str">
        <f t="shared" si="92"/>
        <v/>
      </c>
      <c r="X193" s="63" t="str">
        <f t="shared" si="93"/>
        <v/>
      </c>
      <c r="Y193" s="43"/>
      <c r="Z193" s="38" t="str">
        <f t="shared" si="94"/>
        <v/>
      </c>
      <c r="AA193" s="38" t="str">
        <f t="shared" si="95"/>
        <v/>
      </c>
      <c r="AB193" s="38" t="e">
        <f t="shared" si="96"/>
        <v>#VALUE!</v>
      </c>
      <c r="AC193" s="38" t="str">
        <f t="shared" si="97"/>
        <v/>
      </c>
      <c r="AD193" s="38" t="str">
        <f t="shared" si="97"/>
        <v/>
      </c>
      <c r="AE193" s="38" t="e">
        <f t="shared" si="98"/>
        <v>#VALUE!</v>
      </c>
      <c r="AF193" s="238" t="e">
        <f>((Summary!$N$12*(AA193*AD193)*(A193-$D$3))+(Summary!$M$12*Z193*AC193*(AJ193-EOMONTH(EDATE(A193,-1),0))))/(AK193*AB193*AE193)</f>
        <v>#VALUE!</v>
      </c>
      <c r="AG193" s="88" t="str">
        <f>IF($A194="","",Summary!$Q$12)</f>
        <v/>
      </c>
      <c r="AH193" s="88" t="str">
        <f>IF($A194="","",IF(Summary!$R$12="Y",(VLOOKUP($A193,Summary!$AD$6:$AF$9,3)+'Escalating commodity'!H206),'Escalating commodity'!H206))</f>
        <v/>
      </c>
      <c r="AI193" s="88" t="str">
        <f t="shared" si="112"/>
        <v/>
      </c>
      <c r="AJ193" s="236" t="e">
        <f t="shared" si="99"/>
        <v>#VALUE!</v>
      </c>
      <c r="AK193" s="58" t="str">
        <f t="shared" si="100"/>
        <v/>
      </c>
      <c r="AL193" s="26" t="str">
        <f>IF($A194="","",_xll.SPRDOPT(P193,X193,AI193,0,AB193,AE193,AF193,AK193,$AJ$2,0))</f>
        <v/>
      </c>
      <c r="AM193" s="89" t="str">
        <f t="shared" si="101"/>
        <v/>
      </c>
      <c r="AN193" s="89" t="str">
        <f t="shared" si="102"/>
        <v/>
      </c>
      <c r="AO193" s="3" t="str">
        <f t="shared" si="103"/>
        <v/>
      </c>
      <c r="AP193" s="33" t="str">
        <f t="shared" si="104"/>
        <v/>
      </c>
      <c r="AQ193" s="58" t="str">
        <f t="shared" si="105"/>
        <v/>
      </c>
      <c r="AR193" s="38">
        <f>'ANR OK vs ML7'!AR193</f>
        <v>0.1</v>
      </c>
      <c r="AS193" s="35" t="str">
        <f t="shared" si="106"/>
        <v/>
      </c>
      <c r="AT193" s="3" t="str">
        <f t="shared" si="107"/>
        <v/>
      </c>
      <c r="AU193" s="3" t="str">
        <f t="shared" si="108"/>
        <v/>
      </c>
      <c r="AW193" s="32" t="str">
        <f t="shared" si="109"/>
        <v/>
      </c>
      <c r="AX193" s="32" t="str">
        <f t="shared" si="109"/>
        <v/>
      </c>
      <c r="AY193" s="32" t="str">
        <f t="shared" si="110"/>
        <v/>
      </c>
      <c r="BA193" s="32" t="str">
        <f>IF($A194="","",F193*Summary!$Q$12)</f>
        <v/>
      </c>
    </row>
    <row r="194" spans="1:53" ht="12" customHeight="1">
      <c r="A194" s="67" t="str">
        <f t="shared" si="111"/>
        <v/>
      </c>
      <c r="B194" s="69" t="str">
        <f t="shared" si="114"/>
        <v/>
      </c>
      <c r="C194" s="71"/>
      <c r="D194" s="69" t="str">
        <f t="shared" si="77"/>
        <v/>
      </c>
      <c r="E194" s="70" t="str">
        <f t="shared" si="78"/>
        <v/>
      </c>
      <c r="F194" s="70" t="str">
        <f t="shared" si="79"/>
        <v/>
      </c>
      <c r="G194" s="63" t="str">
        <f t="shared" si="80"/>
        <v/>
      </c>
      <c r="H194" s="64" t="str">
        <f t="shared" si="81"/>
        <v/>
      </c>
      <c r="I194" s="43"/>
      <c r="J194" s="63" t="str">
        <f t="shared" si="82"/>
        <v/>
      </c>
      <c r="K194" s="64" t="str">
        <f t="shared" si="83"/>
        <v/>
      </c>
      <c r="L194" s="63" t="str">
        <f t="shared" si="84"/>
        <v/>
      </c>
      <c r="M194" s="64" t="str">
        <f t="shared" si="85"/>
        <v/>
      </c>
      <c r="N194" s="65"/>
      <c r="O194" s="63" t="str">
        <f t="shared" si="86"/>
        <v/>
      </c>
      <c r="P194" s="63" t="str">
        <f t="shared" si="87"/>
        <v/>
      </c>
      <c r="Q194" s="66"/>
      <c r="R194" s="63" t="str">
        <f t="shared" si="88"/>
        <v/>
      </c>
      <c r="S194" s="64" t="str">
        <f t="shared" si="89"/>
        <v/>
      </c>
      <c r="T194" s="63" t="str">
        <f t="shared" si="90"/>
        <v/>
      </c>
      <c r="U194" s="64" t="str">
        <f t="shared" si="91"/>
        <v/>
      </c>
      <c r="V194" s="90" t="str">
        <f>IF($A195="","",IF(AND(MONTH(A194)&gt;3,MONTH(A194)&lt;11),(T194+R194+G194)*(((1/(1-Summary!$T$12))/(1-Summary!$W$12))-1),(T194+R194+G194)*((1/(1-Summary!$U$12))/(1-Summary!$X$12)-1)))</f>
        <v/>
      </c>
      <c r="W194" s="63" t="str">
        <f t="shared" si="92"/>
        <v/>
      </c>
      <c r="X194" s="63" t="str">
        <f t="shared" si="93"/>
        <v/>
      </c>
      <c r="Y194" s="43"/>
      <c r="Z194" s="38" t="str">
        <f t="shared" si="94"/>
        <v/>
      </c>
      <c r="AA194" s="38" t="str">
        <f t="shared" si="95"/>
        <v/>
      </c>
      <c r="AB194" s="38" t="e">
        <f t="shared" si="96"/>
        <v>#VALUE!</v>
      </c>
      <c r="AC194" s="38" t="str">
        <f t="shared" si="97"/>
        <v/>
      </c>
      <c r="AD194" s="38" t="str">
        <f t="shared" si="97"/>
        <v/>
      </c>
      <c r="AE194" s="38" t="e">
        <f t="shared" si="98"/>
        <v>#VALUE!</v>
      </c>
      <c r="AF194" s="238" t="e">
        <f>((Summary!$N$12*(AA194*AD194)*(A194-$D$3))+(Summary!$M$12*Z194*AC194*(AJ194-EOMONTH(EDATE(A194,-1),0))))/(AK194*AB194*AE194)</f>
        <v>#VALUE!</v>
      </c>
      <c r="AG194" s="88" t="str">
        <f>IF($A195="","",Summary!$Q$12)</f>
        <v/>
      </c>
      <c r="AH194" s="88" t="str">
        <f>IF($A195="","",IF(Summary!$R$12="Y",(VLOOKUP($A194,Summary!$AD$6:$AF$9,3)+'Escalating commodity'!H207),'Escalating commodity'!H207))</f>
        <v/>
      </c>
      <c r="AI194" s="88" t="str">
        <f t="shared" si="112"/>
        <v/>
      </c>
      <c r="AJ194" s="236" t="e">
        <f t="shared" si="99"/>
        <v>#VALUE!</v>
      </c>
      <c r="AK194" s="58" t="str">
        <f t="shared" si="100"/>
        <v/>
      </c>
      <c r="AL194" s="26" t="str">
        <f>IF($A195="","",_xll.SPRDOPT(P194,X194,AI194,0,AB194,AE194,AF194,AK194,$AJ$2,0))</f>
        <v/>
      </c>
      <c r="AM194" s="89" t="str">
        <f t="shared" si="101"/>
        <v/>
      </c>
      <c r="AN194" s="89" t="str">
        <f t="shared" si="102"/>
        <v/>
      </c>
      <c r="AO194" s="3" t="str">
        <f t="shared" si="103"/>
        <v/>
      </c>
      <c r="AP194" s="33" t="str">
        <f t="shared" si="104"/>
        <v/>
      </c>
      <c r="AQ194" s="58" t="str">
        <f t="shared" si="105"/>
        <v/>
      </c>
      <c r="AR194" s="38">
        <f>'ANR OK vs ML7'!AR194</f>
        <v>0.1</v>
      </c>
      <c r="AS194" s="35" t="str">
        <f t="shared" si="106"/>
        <v/>
      </c>
      <c r="AT194" s="3" t="str">
        <f t="shared" si="107"/>
        <v/>
      </c>
      <c r="AU194" s="3" t="str">
        <f t="shared" si="108"/>
        <v/>
      </c>
      <c r="AW194" s="32" t="str">
        <f t="shared" si="109"/>
        <v/>
      </c>
      <c r="AX194" s="32" t="str">
        <f t="shared" si="109"/>
        <v/>
      </c>
      <c r="AY194" s="32" t="str">
        <f t="shared" si="110"/>
        <v/>
      </c>
      <c r="BA194" s="32" t="str">
        <f>IF($A195="","",F194*Summary!$Q$12)</f>
        <v/>
      </c>
    </row>
    <row r="195" spans="1:53" ht="12" customHeight="1">
      <c r="A195" s="67" t="str">
        <f t="shared" si="111"/>
        <v/>
      </c>
      <c r="B195" s="69" t="str">
        <f t="shared" si="114"/>
        <v/>
      </c>
      <c r="C195" s="71"/>
      <c r="D195" s="69" t="str">
        <f t="shared" si="77"/>
        <v/>
      </c>
      <c r="E195" s="70" t="str">
        <f t="shared" si="78"/>
        <v/>
      </c>
      <c r="F195" s="70" t="str">
        <f t="shared" si="79"/>
        <v/>
      </c>
      <c r="G195" s="63" t="str">
        <f t="shared" si="80"/>
        <v/>
      </c>
      <c r="H195" s="64" t="str">
        <f t="shared" si="81"/>
        <v/>
      </c>
      <c r="I195" s="43"/>
      <c r="J195" s="63" t="str">
        <f t="shared" si="82"/>
        <v/>
      </c>
      <c r="K195" s="64" t="str">
        <f t="shared" si="83"/>
        <v/>
      </c>
      <c r="L195" s="63" t="str">
        <f t="shared" si="84"/>
        <v/>
      </c>
      <c r="M195" s="64" t="str">
        <f t="shared" si="85"/>
        <v/>
      </c>
      <c r="N195" s="65"/>
      <c r="O195" s="63" t="str">
        <f t="shared" si="86"/>
        <v/>
      </c>
      <c r="P195" s="63" t="str">
        <f t="shared" si="87"/>
        <v/>
      </c>
      <c r="Q195" s="66"/>
      <c r="R195" s="63" t="str">
        <f t="shared" si="88"/>
        <v/>
      </c>
      <c r="S195" s="64" t="str">
        <f t="shared" si="89"/>
        <v/>
      </c>
      <c r="T195" s="63" t="str">
        <f t="shared" si="90"/>
        <v/>
      </c>
      <c r="U195" s="64" t="str">
        <f t="shared" si="91"/>
        <v/>
      </c>
      <c r="V195" s="90" t="str">
        <f>IF($A196="","",IF(AND(MONTH(A195)&gt;3,MONTH(A195)&lt;11),(T195+R195+G195)*(((1/(1-Summary!$T$12))/(1-Summary!$W$12))-1),(T195+R195+G195)*((1/(1-Summary!$U$12))/(1-Summary!$X$12)-1)))</f>
        <v/>
      </c>
      <c r="W195" s="63" t="str">
        <f t="shared" si="92"/>
        <v/>
      </c>
      <c r="X195" s="63" t="str">
        <f t="shared" si="93"/>
        <v/>
      </c>
      <c r="Y195" s="43"/>
      <c r="Z195" s="38" t="str">
        <f t="shared" si="94"/>
        <v/>
      </c>
      <c r="AA195" s="38" t="str">
        <f t="shared" si="95"/>
        <v/>
      </c>
      <c r="AB195" s="38" t="e">
        <f t="shared" si="96"/>
        <v>#VALUE!</v>
      </c>
      <c r="AC195" s="38" t="str">
        <f t="shared" si="97"/>
        <v/>
      </c>
      <c r="AD195" s="38" t="str">
        <f t="shared" si="97"/>
        <v/>
      </c>
      <c r="AE195" s="38" t="e">
        <f t="shared" si="98"/>
        <v>#VALUE!</v>
      </c>
      <c r="AF195" s="238" t="e">
        <f>((Summary!$N$12*(AA195*AD195)*(A195-$D$3))+(Summary!$M$12*Z195*AC195*(AJ195-EOMONTH(EDATE(A195,-1),0))))/(AK195*AB195*AE195)</f>
        <v>#VALUE!</v>
      </c>
      <c r="AG195" s="88" t="str">
        <f>IF($A196="","",Summary!$Q$12)</f>
        <v/>
      </c>
      <c r="AH195" s="88" t="str">
        <f>IF($A196="","",IF(Summary!$R$12="Y",(VLOOKUP($A195,Summary!$AD$6:$AF$9,3)+'Escalating commodity'!H208),'Escalating commodity'!H208))</f>
        <v/>
      </c>
      <c r="AI195" s="88" t="str">
        <f t="shared" si="112"/>
        <v/>
      </c>
      <c r="AJ195" s="236" t="e">
        <f t="shared" si="99"/>
        <v>#VALUE!</v>
      </c>
      <c r="AK195" s="58" t="str">
        <f t="shared" si="100"/>
        <v/>
      </c>
      <c r="AL195" s="26" t="str">
        <f>IF($A196="","",_xll.SPRDOPT(P195,X195,AI195,0,AB195,AE195,AF195,AK195,$AJ$2,0))</f>
        <v/>
      </c>
      <c r="AM195" s="89" t="str">
        <f t="shared" si="101"/>
        <v/>
      </c>
      <c r="AN195" s="89" t="str">
        <f t="shared" si="102"/>
        <v/>
      </c>
      <c r="AO195" s="3" t="str">
        <f t="shared" si="103"/>
        <v/>
      </c>
      <c r="AP195" s="33" t="str">
        <f t="shared" si="104"/>
        <v/>
      </c>
      <c r="AQ195" s="58" t="str">
        <f t="shared" si="105"/>
        <v/>
      </c>
      <c r="AR195" s="38">
        <f>'ANR OK vs ML7'!AR195</f>
        <v>0.1</v>
      </c>
      <c r="AS195" s="35" t="str">
        <f t="shared" si="106"/>
        <v/>
      </c>
      <c r="AT195" s="3" t="str">
        <f t="shared" si="107"/>
        <v/>
      </c>
      <c r="AU195" s="3" t="str">
        <f t="shared" si="108"/>
        <v/>
      </c>
      <c r="AW195" s="32" t="str">
        <f t="shared" si="109"/>
        <v/>
      </c>
      <c r="AX195" s="32" t="str">
        <f t="shared" si="109"/>
        <v/>
      </c>
      <c r="AY195" s="32" t="str">
        <f t="shared" si="110"/>
        <v/>
      </c>
      <c r="BA195" s="32" t="str">
        <f>IF($A196="","",F195*Summary!$Q$12)</f>
        <v/>
      </c>
    </row>
    <row r="196" spans="1:53" ht="12" customHeight="1">
      <c r="A196" s="67" t="str">
        <f t="shared" si="111"/>
        <v/>
      </c>
      <c r="B196" s="69" t="str">
        <f t="shared" si="114"/>
        <v/>
      </c>
      <c r="C196" s="71"/>
      <c r="D196" s="69" t="str">
        <f t="shared" si="77"/>
        <v/>
      </c>
      <c r="E196" s="70" t="str">
        <f t="shared" si="78"/>
        <v/>
      </c>
      <c r="F196" s="70" t="str">
        <f t="shared" si="79"/>
        <v/>
      </c>
      <c r="G196" s="63" t="str">
        <f t="shared" si="80"/>
        <v/>
      </c>
      <c r="H196" s="64" t="str">
        <f t="shared" si="81"/>
        <v/>
      </c>
      <c r="I196" s="43"/>
      <c r="J196" s="63" t="str">
        <f t="shared" si="82"/>
        <v/>
      </c>
      <c r="K196" s="64" t="str">
        <f t="shared" si="83"/>
        <v/>
      </c>
      <c r="L196" s="63" t="str">
        <f t="shared" si="84"/>
        <v/>
      </c>
      <c r="M196" s="64" t="str">
        <f t="shared" si="85"/>
        <v/>
      </c>
      <c r="N196" s="65"/>
      <c r="O196" s="63" t="str">
        <f t="shared" si="86"/>
        <v/>
      </c>
      <c r="P196" s="63" t="str">
        <f t="shared" si="87"/>
        <v/>
      </c>
      <c r="Q196" s="66"/>
      <c r="R196" s="63" t="str">
        <f t="shared" si="88"/>
        <v/>
      </c>
      <c r="S196" s="64" t="str">
        <f t="shared" si="89"/>
        <v/>
      </c>
      <c r="T196" s="63" t="str">
        <f t="shared" si="90"/>
        <v/>
      </c>
      <c r="U196" s="64" t="str">
        <f t="shared" si="91"/>
        <v/>
      </c>
      <c r="V196" s="90" t="str">
        <f>IF($A197="","",IF(AND(MONTH(A196)&gt;3,MONTH(A196)&lt;11),(T196+R196+G196)*(((1/(1-Summary!$T$12))/(1-Summary!$W$12))-1),(T196+R196+G196)*((1/(1-Summary!$U$12))/(1-Summary!$X$12)-1)))</f>
        <v/>
      </c>
      <c r="W196" s="63" t="str">
        <f t="shared" si="92"/>
        <v/>
      </c>
      <c r="X196" s="63" t="str">
        <f t="shared" si="93"/>
        <v/>
      </c>
      <c r="Y196" s="43"/>
      <c r="Z196" s="38" t="str">
        <f t="shared" si="94"/>
        <v/>
      </c>
      <c r="AA196" s="38" t="str">
        <f t="shared" si="95"/>
        <v/>
      </c>
      <c r="AB196" s="38" t="e">
        <f t="shared" si="96"/>
        <v>#VALUE!</v>
      </c>
      <c r="AC196" s="38" t="str">
        <f t="shared" si="97"/>
        <v/>
      </c>
      <c r="AD196" s="38" t="str">
        <f t="shared" si="97"/>
        <v/>
      </c>
      <c r="AE196" s="38" t="e">
        <f t="shared" si="98"/>
        <v>#VALUE!</v>
      </c>
      <c r="AF196" s="238" t="e">
        <f>((Summary!$N$12*(AA196*AD196)*(A196-$D$3))+(Summary!$M$12*Z196*AC196*(AJ196-EOMONTH(EDATE(A196,-1),0))))/(AK196*AB196*AE196)</f>
        <v>#VALUE!</v>
      </c>
      <c r="AG196" s="88" t="str">
        <f>IF($A197="","",Summary!$Q$12)</f>
        <v/>
      </c>
      <c r="AH196" s="88" t="str">
        <f>IF($A197="","",IF(Summary!$R$12="Y",(VLOOKUP($A196,Summary!$AD$6:$AF$9,3)+'Escalating commodity'!H209),'Escalating commodity'!H209))</f>
        <v/>
      </c>
      <c r="AI196" s="88" t="str">
        <f t="shared" si="112"/>
        <v/>
      </c>
      <c r="AJ196" s="236" t="e">
        <f t="shared" si="99"/>
        <v>#VALUE!</v>
      </c>
      <c r="AK196" s="58" t="str">
        <f t="shared" si="100"/>
        <v/>
      </c>
      <c r="AL196" s="26" t="str">
        <f>IF($A197="","",_xll.SPRDOPT(P196,X196,AI196,0,AB196,AE196,AF196,AK196,$AJ$2,0))</f>
        <v/>
      </c>
      <c r="AM196" s="89" t="str">
        <f t="shared" si="101"/>
        <v/>
      </c>
      <c r="AN196" s="89" t="str">
        <f t="shared" si="102"/>
        <v/>
      </c>
      <c r="AO196" s="3" t="str">
        <f t="shared" si="103"/>
        <v/>
      </c>
      <c r="AP196" s="33" t="str">
        <f t="shared" si="104"/>
        <v/>
      </c>
      <c r="AQ196" s="58" t="str">
        <f t="shared" si="105"/>
        <v/>
      </c>
      <c r="AR196" s="38">
        <f>'ANR OK vs ML7'!AR196</f>
        <v>0.1</v>
      </c>
      <c r="AS196" s="35" t="str">
        <f t="shared" si="106"/>
        <v/>
      </c>
      <c r="AT196" s="3" t="str">
        <f t="shared" si="107"/>
        <v/>
      </c>
      <c r="AU196" s="3" t="str">
        <f t="shared" si="108"/>
        <v/>
      </c>
      <c r="AW196" s="32" t="str">
        <f t="shared" si="109"/>
        <v/>
      </c>
      <c r="AX196" s="32" t="str">
        <f t="shared" si="109"/>
        <v/>
      </c>
      <c r="AY196" s="32" t="str">
        <f t="shared" si="110"/>
        <v/>
      </c>
      <c r="BA196" s="32" t="str">
        <f>IF($A197="","",F196*Summary!$Q$12)</f>
        <v/>
      </c>
    </row>
    <row r="197" spans="1:53" ht="12" customHeight="1">
      <c r="A197" s="67" t="str">
        <f t="shared" si="111"/>
        <v/>
      </c>
      <c r="B197" s="69" t="str">
        <f t="shared" si="114"/>
        <v/>
      </c>
      <c r="C197" s="71"/>
      <c r="D197" s="69" t="str">
        <f t="shared" si="77"/>
        <v/>
      </c>
      <c r="E197" s="70" t="str">
        <f t="shared" si="78"/>
        <v/>
      </c>
      <c r="F197" s="70" t="str">
        <f t="shared" si="79"/>
        <v/>
      </c>
      <c r="G197" s="63" t="str">
        <f t="shared" si="80"/>
        <v/>
      </c>
      <c r="H197" s="64" t="str">
        <f t="shared" si="81"/>
        <v/>
      </c>
      <c r="I197" s="43"/>
      <c r="J197" s="63" t="str">
        <f t="shared" si="82"/>
        <v/>
      </c>
      <c r="K197" s="64" t="str">
        <f t="shared" si="83"/>
        <v/>
      </c>
      <c r="L197" s="63" t="str">
        <f t="shared" si="84"/>
        <v/>
      </c>
      <c r="M197" s="64" t="str">
        <f t="shared" si="85"/>
        <v/>
      </c>
      <c r="N197" s="65"/>
      <c r="O197" s="63" t="str">
        <f t="shared" si="86"/>
        <v/>
      </c>
      <c r="P197" s="63" t="str">
        <f t="shared" si="87"/>
        <v/>
      </c>
      <c r="Q197" s="66"/>
      <c r="R197" s="63" t="str">
        <f t="shared" si="88"/>
        <v/>
      </c>
      <c r="S197" s="64" t="str">
        <f t="shared" si="89"/>
        <v/>
      </c>
      <c r="T197" s="63" t="str">
        <f t="shared" si="90"/>
        <v/>
      </c>
      <c r="U197" s="64" t="str">
        <f t="shared" si="91"/>
        <v/>
      </c>
      <c r="V197" s="90" t="str">
        <f>IF($A198="","",IF(AND(MONTH(A197)&gt;3,MONTH(A197)&lt;11),(T197+R197+G197)*(((1/(1-Summary!$T$12))/(1-Summary!$W$12))-1),(T197+R197+G197)*((1/(1-Summary!$U$12))/(1-Summary!$X$12)-1)))</f>
        <v/>
      </c>
      <c r="W197" s="63" t="str">
        <f t="shared" si="92"/>
        <v/>
      </c>
      <c r="X197" s="63" t="str">
        <f t="shared" si="93"/>
        <v/>
      </c>
      <c r="Y197" s="43"/>
      <c r="Z197" s="38" t="str">
        <f t="shared" si="94"/>
        <v/>
      </c>
      <c r="AA197" s="38" t="str">
        <f t="shared" si="95"/>
        <v/>
      </c>
      <c r="AB197" s="38" t="e">
        <f t="shared" si="96"/>
        <v>#VALUE!</v>
      </c>
      <c r="AC197" s="38" t="str">
        <f t="shared" si="97"/>
        <v/>
      </c>
      <c r="AD197" s="38" t="str">
        <f t="shared" si="97"/>
        <v/>
      </c>
      <c r="AE197" s="38" t="e">
        <f t="shared" si="98"/>
        <v>#VALUE!</v>
      </c>
      <c r="AF197" s="238" t="e">
        <f>((Summary!$N$12*(AA197*AD197)*(A197-$D$3))+(Summary!$M$12*Z197*AC197*(AJ197-EOMONTH(EDATE(A197,-1),0))))/(AK197*AB197*AE197)</f>
        <v>#VALUE!</v>
      </c>
      <c r="AG197" s="88" t="str">
        <f>IF($A198="","",Summary!$Q$12)</f>
        <v/>
      </c>
      <c r="AH197" s="88" t="str">
        <f>IF($A198="","",IF(Summary!$R$12="Y",(VLOOKUP($A197,Summary!$AD$6:$AF$9,3)+'Escalating commodity'!H210),'Escalating commodity'!H210))</f>
        <v/>
      </c>
      <c r="AI197" s="88" t="str">
        <f t="shared" si="112"/>
        <v/>
      </c>
      <c r="AJ197" s="236" t="e">
        <f t="shared" si="99"/>
        <v>#VALUE!</v>
      </c>
      <c r="AK197" s="58" t="str">
        <f t="shared" si="100"/>
        <v/>
      </c>
      <c r="AL197" s="26" t="str">
        <f>IF($A198="","",_xll.SPRDOPT(P197,X197,AI197,0,AB197,AE197,AF197,AK197,$AJ$2,0))</f>
        <v/>
      </c>
      <c r="AM197" s="89" t="str">
        <f t="shared" si="101"/>
        <v/>
      </c>
      <c r="AN197" s="89" t="str">
        <f t="shared" si="102"/>
        <v/>
      </c>
      <c r="AO197" s="3" t="str">
        <f t="shared" si="103"/>
        <v/>
      </c>
      <c r="AP197" s="33" t="str">
        <f t="shared" si="104"/>
        <v/>
      </c>
      <c r="AQ197" s="58" t="str">
        <f t="shared" si="105"/>
        <v/>
      </c>
      <c r="AR197" s="38">
        <f>'ANR OK vs ML7'!AR197</f>
        <v>0.1</v>
      </c>
      <c r="AS197" s="35" t="str">
        <f t="shared" si="106"/>
        <v/>
      </c>
      <c r="AT197" s="3" t="str">
        <f t="shared" si="107"/>
        <v/>
      </c>
      <c r="AU197" s="3" t="str">
        <f t="shared" si="108"/>
        <v/>
      </c>
      <c r="AW197" s="32" t="str">
        <f t="shared" si="109"/>
        <v/>
      </c>
      <c r="AX197" s="32" t="str">
        <f t="shared" si="109"/>
        <v/>
      </c>
      <c r="AY197" s="32" t="str">
        <f t="shared" si="110"/>
        <v/>
      </c>
      <c r="BA197" s="32" t="str">
        <f>IF($A198="","",F197*Summary!$Q$12)</f>
        <v/>
      </c>
    </row>
    <row r="198" spans="1:53" ht="12" customHeight="1">
      <c r="A198" s="67" t="str">
        <f t="shared" si="111"/>
        <v/>
      </c>
      <c r="B198" s="69" t="str">
        <f t="shared" si="114"/>
        <v/>
      </c>
      <c r="C198" s="71"/>
      <c r="D198" s="69" t="str">
        <f t="shared" si="77"/>
        <v/>
      </c>
      <c r="E198" s="70" t="str">
        <f t="shared" si="78"/>
        <v/>
      </c>
      <c r="F198" s="70" t="str">
        <f t="shared" si="79"/>
        <v/>
      </c>
      <c r="G198" s="63" t="str">
        <f t="shared" si="80"/>
        <v/>
      </c>
      <c r="H198" s="64" t="str">
        <f t="shared" si="81"/>
        <v/>
      </c>
      <c r="I198" s="43"/>
      <c r="J198" s="63" t="str">
        <f t="shared" si="82"/>
        <v/>
      </c>
      <c r="K198" s="64" t="str">
        <f t="shared" si="83"/>
        <v/>
      </c>
      <c r="L198" s="63" t="str">
        <f t="shared" si="84"/>
        <v/>
      </c>
      <c r="M198" s="64" t="str">
        <f t="shared" si="85"/>
        <v/>
      </c>
      <c r="N198" s="65"/>
      <c r="O198" s="63" t="str">
        <f t="shared" si="86"/>
        <v/>
      </c>
      <c r="P198" s="63" t="str">
        <f t="shared" si="87"/>
        <v/>
      </c>
      <c r="Q198" s="66"/>
      <c r="R198" s="63" t="str">
        <f t="shared" si="88"/>
        <v/>
      </c>
      <c r="S198" s="64" t="str">
        <f t="shared" si="89"/>
        <v/>
      </c>
      <c r="T198" s="63" t="str">
        <f t="shared" si="90"/>
        <v/>
      </c>
      <c r="U198" s="64" t="str">
        <f t="shared" si="91"/>
        <v/>
      </c>
      <c r="V198" s="90" t="str">
        <f>IF($A199="","",IF(AND(MONTH(A198)&gt;3,MONTH(A198)&lt;11),(T198+R198+G198)*(((1/(1-Summary!$T$12))/(1-Summary!$W$12))-1),(T198+R198+G198)*((1/(1-Summary!$U$12))/(1-Summary!$X$12)-1)))</f>
        <v/>
      </c>
      <c r="W198" s="63" t="str">
        <f t="shared" si="92"/>
        <v/>
      </c>
      <c r="X198" s="63" t="str">
        <f t="shared" si="93"/>
        <v/>
      </c>
      <c r="Y198" s="43"/>
      <c r="Z198" s="38" t="str">
        <f t="shared" si="94"/>
        <v/>
      </c>
      <c r="AA198" s="38" t="str">
        <f t="shared" si="95"/>
        <v/>
      </c>
      <c r="AB198" s="38" t="e">
        <f t="shared" si="96"/>
        <v>#VALUE!</v>
      </c>
      <c r="AC198" s="38" t="str">
        <f t="shared" si="97"/>
        <v/>
      </c>
      <c r="AD198" s="38" t="str">
        <f t="shared" si="97"/>
        <v/>
      </c>
      <c r="AE198" s="38" t="e">
        <f t="shared" si="98"/>
        <v>#VALUE!</v>
      </c>
      <c r="AF198" s="238" t="e">
        <f>((Summary!$N$12*(AA198*AD198)*(A198-$D$3))+(Summary!$M$12*Z198*AC198*(AJ198-EOMONTH(EDATE(A198,-1),0))))/(AK198*AB198*AE198)</f>
        <v>#VALUE!</v>
      </c>
      <c r="AG198" s="88" t="str">
        <f>IF($A199="","",Summary!$Q$12)</f>
        <v/>
      </c>
      <c r="AH198" s="88" t="str">
        <f>IF($A199="","",IF(Summary!$R$12="Y",(VLOOKUP($A198,Summary!$AD$6:$AF$9,3)+'Escalating commodity'!H211),'Escalating commodity'!H211))</f>
        <v/>
      </c>
      <c r="AI198" s="88" t="str">
        <f t="shared" si="112"/>
        <v/>
      </c>
      <c r="AJ198" s="236" t="e">
        <f t="shared" si="99"/>
        <v>#VALUE!</v>
      </c>
      <c r="AK198" s="58" t="str">
        <f t="shared" si="100"/>
        <v/>
      </c>
      <c r="AL198" s="26" t="str">
        <f>IF($A199="","",_xll.SPRDOPT(P198,X198,AI198,0,AB198,AE198,AF198,AK198,$AJ$2,0))</f>
        <v/>
      </c>
      <c r="AM198" s="89" t="str">
        <f t="shared" si="101"/>
        <v/>
      </c>
      <c r="AN198" s="89" t="str">
        <f t="shared" si="102"/>
        <v/>
      </c>
      <c r="AO198" s="3" t="str">
        <f t="shared" si="103"/>
        <v/>
      </c>
      <c r="AP198" s="33" t="str">
        <f t="shared" si="104"/>
        <v/>
      </c>
      <c r="AQ198" s="58" t="str">
        <f t="shared" si="105"/>
        <v/>
      </c>
      <c r="AR198" s="38">
        <f>'ANR OK vs ML7'!AR198</f>
        <v>0.1</v>
      </c>
      <c r="AS198" s="35" t="str">
        <f t="shared" si="106"/>
        <v/>
      </c>
      <c r="AT198" s="3" t="str">
        <f t="shared" si="107"/>
        <v/>
      </c>
      <c r="AU198" s="3" t="str">
        <f t="shared" si="108"/>
        <v/>
      </c>
      <c r="AW198" s="32" t="str">
        <f t="shared" si="109"/>
        <v/>
      </c>
      <c r="AX198" s="32" t="str">
        <f t="shared" si="109"/>
        <v/>
      </c>
      <c r="AY198" s="32" t="str">
        <f t="shared" si="110"/>
        <v/>
      </c>
      <c r="BA198" s="32" t="str">
        <f>IF($A199="","",F198*Summary!$Q$12)</f>
        <v/>
      </c>
    </row>
    <row r="199" spans="1:53" ht="12" customHeight="1">
      <c r="A199" s="67" t="str">
        <f t="shared" si="111"/>
        <v/>
      </c>
      <c r="B199" s="69" t="str">
        <f t="shared" si="114"/>
        <v/>
      </c>
      <c r="C199" s="71"/>
      <c r="D199" s="69" t="str">
        <f t="shared" si="77"/>
        <v/>
      </c>
      <c r="E199" s="70" t="str">
        <f t="shared" si="78"/>
        <v/>
      </c>
      <c r="F199" s="70" t="str">
        <f t="shared" si="79"/>
        <v/>
      </c>
      <c r="G199" s="63" t="str">
        <f t="shared" si="80"/>
        <v/>
      </c>
      <c r="H199" s="64" t="str">
        <f t="shared" si="81"/>
        <v/>
      </c>
      <c r="I199" s="43"/>
      <c r="J199" s="63" t="str">
        <f t="shared" si="82"/>
        <v/>
      </c>
      <c r="K199" s="64" t="str">
        <f t="shared" si="83"/>
        <v/>
      </c>
      <c r="L199" s="63" t="str">
        <f t="shared" si="84"/>
        <v/>
      </c>
      <c r="M199" s="64" t="str">
        <f t="shared" si="85"/>
        <v/>
      </c>
      <c r="N199" s="65"/>
      <c r="O199" s="63" t="str">
        <f t="shared" si="86"/>
        <v/>
      </c>
      <c r="P199" s="63" t="str">
        <f t="shared" si="87"/>
        <v/>
      </c>
      <c r="Q199" s="66"/>
      <c r="R199" s="63" t="str">
        <f t="shared" si="88"/>
        <v/>
      </c>
      <c r="S199" s="64" t="str">
        <f t="shared" si="89"/>
        <v/>
      </c>
      <c r="T199" s="63" t="str">
        <f t="shared" si="90"/>
        <v/>
      </c>
      <c r="U199" s="64" t="str">
        <f t="shared" si="91"/>
        <v/>
      </c>
      <c r="V199" s="90" t="str">
        <f>IF($A200="","",IF(AND(MONTH(A199)&gt;3,MONTH(A199)&lt;11),(T199+R199+G199)*(((1/(1-Summary!$T$12))/(1-Summary!$W$12))-1),(T199+R199+G199)*((1/(1-Summary!$U$12))/(1-Summary!$X$12)-1)))</f>
        <v/>
      </c>
      <c r="W199" s="63" t="str">
        <f t="shared" si="92"/>
        <v/>
      </c>
      <c r="X199" s="63" t="str">
        <f t="shared" si="93"/>
        <v/>
      </c>
      <c r="Y199" s="43"/>
      <c r="Z199" s="38" t="str">
        <f t="shared" si="94"/>
        <v/>
      </c>
      <c r="AA199" s="38" t="str">
        <f t="shared" si="95"/>
        <v/>
      </c>
      <c r="AB199" s="38" t="e">
        <f t="shared" si="96"/>
        <v>#VALUE!</v>
      </c>
      <c r="AC199" s="38" t="str">
        <f t="shared" si="97"/>
        <v/>
      </c>
      <c r="AD199" s="38" t="str">
        <f t="shared" si="97"/>
        <v/>
      </c>
      <c r="AE199" s="38" t="e">
        <f t="shared" si="98"/>
        <v>#VALUE!</v>
      </c>
      <c r="AF199" s="238" t="e">
        <f>((Summary!$N$12*(AA199*AD199)*(A199-$D$3))+(Summary!$M$12*Z199*AC199*(AJ199-EOMONTH(EDATE(A199,-1),0))))/(AK199*AB199*AE199)</f>
        <v>#VALUE!</v>
      </c>
      <c r="AG199" s="88" t="str">
        <f>IF($A200="","",Summary!$Q$12)</f>
        <v/>
      </c>
      <c r="AH199" s="88" t="str">
        <f>IF($A200="","",IF(Summary!$R$12="Y",(VLOOKUP($A199,Summary!$AD$6:$AF$9,3)+'Escalating commodity'!H212),'Escalating commodity'!H212))</f>
        <v/>
      </c>
      <c r="AI199" s="88" t="str">
        <f t="shared" si="112"/>
        <v/>
      </c>
      <c r="AJ199" s="236" t="e">
        <f t="shared" si="99"/>
        <v>#VALUE!</v>
      </c>
      <c r="AK199" s="58" t="str">
        <f t="shared" si="100"/>
        <v/>
      </c>
      <c r="AL199" s="26" t="str">
        <f>IF($A200="","",_xll.SPRDOPT(P199,X199,AI199,0,AB199,AE199,AF199,AK199,$AJ$2,0))</f>
        <v/>
      </c>
      <c r="AM199" s="89" t="str">
        <f t="shared" si="101"/>
        <v/>
      </c>
      <c r="AN199" s="89" t="str">
        <f t="shared" si="102"/>
        <v/>
      </c>
      <c r="AO199" s="3" t="str">
        <f t="shared" si="103"/>
        <v/>
      </c>
      <c r="AP199" s="33" t="str">
        <f t="shared" si="104"/>
        <v/>
      </c>
      <c r="AQ199" s="58" t="str">
        <f t="shared" si="105"/>
        <v/>
      </c>
      <c r="AR199" s="38">
        <f>'ANR OK vs ML7'!AR199</f>
        <v>0.1</v>
      </c>
      <c r="AS199" s="35" t="str">
        <f t="shared" si="106"/>
        <v/>
      </c>
      <c r="AT199" s="3" t="str">
        <f t="shared" si="107"/>
        <v/>
      </c>
      <c r="AU199" s="3" t="str">
        <f t="shared" si="108"/>
        <v/>
      </c>
      <c r="AW199" s="32" t="str">
        <f t="shared" si="109"/>
        <v/>
      </c>
      <c r="AX199" s="32" t="str">
        <f t="shared" si="109"/>
        <v/>
      </c>
      <c r="AY199" s="32" t="str">
        <f t="shared" si="110"/>
        <v/>
      </c>
      <c r="BA199" s="32" t="str">
        <f>IF($A200="","",F199*Summary!$Q$12)</f>
        <v/>
      </c>
    </row>
    <row r="200" spans="1:53" ht="12" customHeight="1">
      <c r="A200" s="67" t="str">
        <f t="shared" si="111"/>
        <v/>
      </c>
      <c r="B200" s="69" t="str">
        <f t="shared" si="114"/>
        <v/>
      </c>
      <c r="C200" s="71"/>
      <c r="D200" s="69" t="str">
        <f t="shared" si="77"/>
        <v/>
      </c>
      <c r="E200" s="70" t="str">
        <f t="shared" si="78"/>
        <v/>
      </c>
      <c r="F200" s="70" t="str">
        <f t="shared" si="79"/>
        <v/>
      </c>
      <c r="G200" s="63" t="str">
        <f t="shared" si="80"/>
        <v/>
      </c>
      <c r="H200" s="64" t="str">
        <f t="shared" si="81"/>
        <v/>
      </c>
      <c r="I200" s="43"/>
      <c r="J200" s="63" t="str">
        <f t="shared" si="82"/>
        <v/>
      </c>
      <c r="K200" s="64" t="str">
        <f t="shared" si="83"/>
        <v/>
      </c>
      <c r="L200" s="63" t="str">
        <f t="shared" si="84"/>
        <v/>
      </c>
      <c r="M200" s="64" t="str">
        <f t="shared" si="85"/>
        <v/>
      </c>
      <c r="N200" s="65"/>
      <c r="O200" s="63" t="str">
        <f t="shared" si="86"/>
        <v/>
      </c>
      <c r="P200" s="63" t="str">
        <f t="shared" si="87"/>
        <v/>
      </c>
      <c r="Q200" s="66"/>
      <c r="R200" s="63" t="str">
        <f t="shared" si="88"/>
        <v/>
      </c>
      <c r="S200" s="64" t="str">
        <f t="shared" si="89"/>
        <v/>
      </c>
      <c r="T200" s="63" t="str">
        <f t="shared" si="90"/>
        <v/>
      </c>
      <c r="U200" s="64" t="str">
        <f t="shared" si="91"/>
        <v/>
      </c>
      <c r="V200" s="90" t="str">
        <f>IF($A201="","",IF(AND(MONTH(A200)&gt;3,MONTH(A200)&lt;11),(T200+R200+G200)*(((1/(1-Summary!$T$12))/(1-Summary!$W$12))-1),(T200+R200+G200)*((1/(1-Summary!$U$12))/(1-Summary!$X$12)-1)))</f>
        <v/>
      </c>
      <c r="W200" s="63" t="str">
        <f t="shared" si="92"/>
        <v/>
      </c>
      <c r="X200" s="63" t="str">
        <f t="shared" si="93"/>
        <v/>
      </c>
      <c r="Y200" s="43"/>
      <c r="Z200" s="38" t="str">
        <f t="shared" si="94"/>
        <v/>
      </c>
      <c r="AA200" s="38" t="str">
        <f t="shared" si="95"/>
        <v/>
      </c>
      <c r="AB200" s="38" t="e">
        <f t="shared" si="96"/>
        <v>#VALUE!</v>
      </c>
      <c r="AC200" s="38" t="str">
        <f t="shared" si="97"/>
        <v/>
      </c>
      <c r="AD200" s="38" t="str">
        <f t="shared" si="97"/>
        <v/>
      </c>
      <c r="AE200" s="38" t="e">
        <f t="shared" si="98"/>
        <v>#VALUE!</v>
      </c>
      <c r="AF200" s="238" t="e">
        <f>((Summary!$N$12*(AA200*AD200)*(A200-$D$3))+(Summary!$M$12*Z200*AC200*(AJ200-EOMONTH(EDATE(A200,-1),0))))/(AK200*AB200*AE200)</f>
        <v>#VALUE!</v>
      </c>
      <c r="AG200" s="88" t="str">
        <f>IF($A201="","",Summary!$Q$12)</f>
        <v/>
      </c>
      <c r="AH200" s="88" t="str">
        <f>IF($A201="","",IF(Summary!$R$12="Y",(VLOOKUP($A200,Summary!$AD$6:$AF$9,3)+'Escalating commodity'!H213),'Escalating commodity'!H213))</f>
        <v/>
      </c>
      <c r="AI200" s="88" t="str">
        <f t="shared" si="112"/>
        <v/>
      </c>
      <c r="AJ200" s="236" t="e">
        <f t="shared" si="99"/>
        <v>#VALUE!</v>
      </c>
      <c r="AK200" s="58" t="str">
        <f t="shared" si="100"/>
        <v/>
      </c>
      <c r="AL200" s="26" t="str">
        <f>IF($A201="","",_xll.SPRDOPT(P200,X200,AI200,0,AB200,AE200,AF200,AK200,$AJ$2,0))</f>
        <v/>
      </c>
      <c r="AM200" s="89" t="str">
        <f t="shared" si="101"/>
        <v/>
      </c>
      <c r="AN200" s="89" t="str">
        <f t="shared" si="102"/>
        <v/>
      </c>
      <c r="AO200" s="3" t="str">
        <f t="shared" si="103"/>
        <v/>
      </c>
      <c r="AP200" s="33" t="str">
        <f t="shared" si="104"/>
        <v/>
      </c>
      <c r="AQ200" s="58" t="str">
        <f t="shared" si="105"/>
        <v/>
      </c>
      <c r="AR200" s="38">
        <f>'ANR OK vs ML7'!AR200</f>
        <v>0.1</v>
      </c>
      <c r="AS200" s="35" t="str">
        <f t="shared" si="106"/>
        <v/>
      </c>
      <c r="AT200" s="3" t="str">
        <f t="shared" si="107"/>
        <v/>
      </c>
      <c r="AU200" s="3" t="str">
        <f t="shared" si="108"/>
        <v/>
      </c>
      <c r="AW200" s="32" t="str">
        <f t="shared" si="109"/>
        <v/>
      </c>
      <c r="AX200" s="32" t="str">
        <f t="shared" si="109"/>
        <v/>
      </c>
      <c r="AY200" s="32" t="str">
        <f t="shared" si="110"/>
        <v/>
      </c>
      <c r="BA200" s="32" t="str">
        <f>IF($A201="","",F200*Summary!$Q$12)</f>
        <v/>
      </c>
    </row>
    <row r="201" spans="1:53" ht="12" customHeight="1">
      <c r="A201" s="67" t="str">
        <f t="shared" si="111"/>
        <v/>
      </c>
      <c r="B201" s="69" t="str">
        <f t="shared" si="114"/>
        <v/>
      </c>
      <c r="C201" s="71"/>
      <c r="D201" s="69" t="str">
        <f t="shared" si="77"/>
        <v/>
      </c>
      <c r="E201" s="70" t="str">
        <f t="shared" si="78"/>
        <v/>
      </c>
      <c r="F201" s="70" t="str">
        <f t="shared" si="79"/>
        <v/>
      </c>
      <c r="G201" s="63" t="str">
        <f t="shared" si="80"/>
        <v/>
      </c>
      <c r="H201" s="64" t="str">
        <f t="shared" si="81"/>
        <v/>
      </c>
      <c r="I201" s="43"/>
      <c r="J201" s="63" t="str">
        <f t="shared" si="82"/>
        <v/>
      </c>
      <c r="K201" s="64" t="str">
        <f t="shared" si="83"/>
        <v/>
      </c>
      <c r="L201" s="63" t="str">
        <f t="shared" si="84"/>
        <v/>
      </c>
      <c r="M201" s="64" t="str">
        <f t="shared" si="85"/>
        <v/>
      </c>
      <c r="N201" s="65"/>
      <c r="O201" s="63" t="str">
        <f t="shared" si="86"/>
        <v/>
      </c>
      <c r="P201" s="63" t="str">
        <f t="shared" si="87"/>
        <v/>
      </c>
      <c r="Q201" s="66"/>
      <c r="R201" s="63" t="str">
        <f t="shared" si="88"/>
        <v/>
      </c>
      <c r="S201" s="64" t="str">
        <f t="shared" si="89"/>
        <v/>
      </c>
      <c r="T201" s="63" t="str">
        <f t="shared" si="90"/>
        <v/>
      </c>
      <c r="U201" s="64" t="str">
        <f t="shared" si="91"/>
        <v/>
      </c>
      <c r="V201" s="90" t="str">
        <f>IF($A202="","",IF(AND(MONTH(A201)&gt;3,MONTH(A201)&lt;11),(T201+R201+G201)*(((1/(1-Summary!$T$12))/(1-Summary!$W$12))-1),(T201+R201+G201)*((1/(1-Summary!$U$12))/(1-Summary!$X$12)-1)))</f>
        <v/>
      </c>
      <c r="W201" s="63" t="str">
        <f t="shared" si="92"/>
        <v/>
      </c>
      <c r="X201" s="63" t="str">
        <f t="shared" si="93"/>
        <v/>
      </c>
      <c r="Y201" s="43"/>
      <c r="Z201" s="38" t="str">
        <f t="shared" si="94"/>
        <v/>
      </c>
      <c r="AA201" s="38" t="str">
        <f t="shared" si="95"/>
        <v/>
      </c>
      <c r="AB201" s="38" t="e">
        <f t="shared" si="96"/>
        <v>#VALUE!</v>
      </c>
      <c r="AC201" s="38" t="str">
        <f t="shared" si="97"/>
        <v/>
      </c>
      <c r="AD201" s="38" t="str">
        <f t="shared" si="97"/>
        <v/>
      </c>
      <c r="AE201" s="38" t="e">
        <f t="shared" si="98"/>
        <v>#VALUE!</v>
      </c>
      <c r="AF201" s="238" t="e">
        <f>((Summary!$N$12*(AA201*AD201)*(A201-$D$3))+(Summary!$M$12*Z201*AC201*(AJ201-EOMONTH(EDATE(A201,-1),0))))/(AK201*AB201*AE201)</f>
        <v>#VALUE!</v>
      </c>
      <c r="AG201" s="88" t="str">
        <f>IF($A202="","",Summary!$Q$12)</f>
        <v/>
      </c>
      <c r="AH201" s="88" t="str">
        <f>IF($A202="","",IF(Summary!$R$12="Y",(VLOOKUP($A201,Summary!$AD$6:$AF$9,3)+'Escalating commodity'!H214),'Escalating commodity'!H214))</f>
        <v/>
      </c>
      <c r="AI201" s="88" t="str">
        <f t="shared" si="112"/>
        <v/>
      </c>
      <c r="AJ201" s="236" t="e">
        <f t="shared" si="99"/>
        <v>#VALUE!</v>
      </c>
      <c r="AK201" s="58" t="str">
        <f t="shared" si="100"/>
        <v/>
      </c>
      <c r="AL201" s="26" t="str">
        <f>IF($A202="","",_xll.SPRDOPT(P201,X201,AI201,0,AB201,AE201,AF201,AK201,$AJ$2,0))</f>
        <v/>
      </c>
      <c r="AM201" s="89" t="str">
        <f t="shared" si="101"/>
        <v/>
      </c>
      <c r="AN201" s="89" t="str">
        <f t="shared" si="102"/>
        <v/>
      </c>
      <c r="AO201" s="3" t="str">
        <f t="shared" si="103"/>
        <v/>
      </c>
      <c r="AP201" s="33" t="str">
        <f t="shared" si="104"/>
        <v/>
      </c>
      <c r="AQ201" s="58" t="str">
        <f t="shared" si="105"/>
        <v/>
      </c>
      <c r="AR201" s="38">
        <f>'ANR OK vs ML7'!AR201</f>
        <v>0.1</v>
      </c>
      <c r="AS201" s="35" t="str">
        <f t="shared" si="106"/>
        <v/>
      </c>
      <c r="AT201" s="3" t="str">
        <f t="shared" si="107"/>
        <v/>
      </c>
      <c r="AU201" s="3" t="str">
        <f t="shared" si="108"/>
        <v/>
      </c>
      <c r="AW201" s="32" t="str">
        <f t="shared" si="109"/>
        <v/>
      </c>
      <c r="AX201" s="32" t="str">
        <f t="shared" si="109"/>
        <v/>
      </c>
      <c r="AY201" s="32" t="str">
        <f t="shared" si="110"/>
        <v/>
      </c>
      <c r="BA201" s="32" t="str">
        <f>IF($A202="","",F201*Summary!$Q$12)</f>
        <v/>
      </c>
    </row>
    <row r="202" spans="1:53" ht="12" customHeight="1">
      <c r="A202" s="67" t="str">
        <f t="shared" si="111"/>
        <v/>
      </c>
      <c r="B202" s="69" t="str">
        <f t="shared" si="114"/>
        <v/>
      </c>
      <c r="C202" s="71"/>
      <c r="D202" s="69" t="str">
        <f t="shared" ref="D202:D265" si="115">IF(A203&lt;&gt;"",B202+C202,"")</f>
        <v/>
      </c>
      <c r="E202" s="70" t="str">
        <f t="shared" ref="E202:E265" si="116">IF(A203="","",IF(AND(AT202=1,$H$3=1),D202*AO202,IF($H$3=2,D202,"N/A")))</f>
        <v/>
      </c>
      <c r="F202" s="70" t="str">
        <f t="shared" ref="F202:F265" si="117">IF(A203="","",E202*AS202)</f>
        <v/>
      </c>
      <c r="G202" s="63" t="str">
        <f t="shared" ref="G202:G265" si="118">IF($A203="","",VLOOKUP($A202,Table,MATCH(G$4,Curves,0)))</f>
        <v/>
      </c>
      <c r="H202" s="64" t="str">
        <f t="shared" ref="H202:H265" si="119">IF(A203="","",G202)</f>
        <v/>
      </c>
      <c r="I202" s="43"/>
      <c r="J202" s="63" t="str">
        <f t="shared" ref="J202:J265" si="120">IF($A203="","",VLOOKUP($A202,Table,MATCH(J$4,Curves,0)))</f>
        <v/>
      </c>
      <c r="K202" s="64" t="str">
        <f t="shared" ref="K202:K265" si="121">IF(A203="","",J202)</f>
        <v/>
      </c>
      <c r="L202" s="63" t="str">
        <f t="shared" ref="L202:L265" si="122">IF($A203="","",VLOOKUP($A202,Table,MATCH(L$4,Curves,0)))</f>
        <v/>
      </c>
      <c r="M202" s="64" t="str">
        <f t="shared" ref="M202:M265" si="123">IF(A203="","",L202)</f>
        <v/>
      </c>
      <c r="N202" s="65"/>
      <c r="O202" s="63" t="str">
        <f t="shared" ref="O202:O265" si="124">IF(A203="","",L202+J202+G202)</f>
        <v/>
      </c>
      <c r="P202" s="63" t="str">
        <f t="shared" ref="P202:P265" si="125">IF(A203="","",M202+K202+H202)</f>
        <v/>
      </c>
      <c r="Q202" s="66"/>
      <c r="R202" s="63" t="str">
        <f t="shared" ref="R202:R265" si="126">IF($A203="","",VLOOKUP($A202,Table,MATCH(R$4,Curves,0)))</f>
        <v/>
      </c>
      <c r="S202" s="64" t="str">
        <f t="shared" ref="S202:S265" si="127">IF(A203="","",R202)</f>
        <v/>
      </c>
      <c r="T202" s="63" t="str">
        <f t="shared" ref="T202:T265" si="128">IF($A203="","",VLOOKUP($A202,Table,MATCH(T$4,Curves,0)))</f>
        <v/>
      </c>
      <c r="U202" s="64" t="str">
        <f t="shared" ref="U202:U265" si="129">IF(A203="","",T202)</f>
        <v/>
      </c>
      <c r="V202" s="90" t="str">
        <f>IF($A203="","",IF(AND(MONTH(A202)&gt;3,MONTH(A202)&lt;11),(T202+R202+G202)*(((1/(1-Summary!$T$12))/(1-Summary!$W$12))-1),(T202+R202+G202)*((1/(1-Summary!$U$12))/(1-Summary!$X$12)-1)))</f>
        <v/>
      </c>
      <c r="W202" s="63" t="str">
        <f t="shared" ref="W202:W265" si="130">IF($A203="","",(T202+R202+G202+V202))</f>
        <v/>
      </c>
      <c r="X202" s="63" t="str">
        <f t="shared" ref="X202:X265" si="131">IF($A203="","",(U202+S202+H202+V202))</f>
        <v/>
      </c>
      <c r="Y202" s="43"/>
      <c r="Z202" s="38" t="str">
        <f t="shared" ref="Z202:Z265" si="132">IF($A203="","",VLOOKUP($A202,Table,MATCH(Z$4,Curves,0)))</f>
        <v/>
      </c>
      <c r="AA202" s="38" t="str">
        <f t="shared" ref="AA202:AA265" si="133">IF($A203="","",VLOOKUP($A202,Table,MATCH(AA$4,Curves,0)))</f>
        <v/>
      </c>
      <c r="AB202" s="38" t="e">
        <f t="shared" ref="AB202:AB265" si="134">SQRT((AA202^2*(A202-$D$3)+Z202^2*(DAY(EOMONTH(A202,0))/2))/AK202)</f>
        <v>#VALUE!</v>
      </c>
      <c r="AC202" s="38" t="str">
        <f t="shared" ref="AC202:AD265" si="135">IF($A203="","",VLOOKUP($A202,Table,MATCH(AC$4,Curves,0)))</f>
        <v/>
      </c>
      <c r="AD202" s="38" t="str">
        <f t="shared" si="135"/>
        <v/>
      </c>
      <c r="AE202" s="38" t="e">
        <f t="shared" ref="AE202:AE265" si="136">SQRT((AD202^2*(A202-$D$3)+AC202^2*(DAY(EOMONTH(A202,0))/2))/AK202)</f>
        <v>#VALUE!</v>
      </c>
      <c r="AF202" s="238" t="e">
        <f>((Summary!$N$12*(AA202*AD202)*(A202-$D$3))+(Summary!$M$12*Z202*AC202*(AJ202-EOMONTH(EDATE(A202,-1),0))))/(AK202*AB202*AE202)</f>
        <v>#VALUE!</v>
      </c>
      <c r="AG202" s="88" t="str">
        <f>IF($A203="","",Summary!$Q$12)</f>
        <v/>
      </c>
      <c r="AH202" s="88" t="str">
        <f>IF($A203="","",IF(Summary!$R$12="Y",(VLOOKUP($A202,Summary!$AD$6:$AF$9,3)+'Escalating commodity'!H215),'Escalating commodity'!H215))</f>
        <v/>
      </c>
      <c r="AI202" s="88" t="str">
        <f t="shared" si="112"/>
        <v/>
      </c>
      <c r="AJ202" s="236" t="e">
        <f t="shared" ref="AJ202:AJ265" si="137">A202+DAY(EOMONTH(A202,0))/2-1</f>
        <v>#VALUE!</v>
      </c>
      <c r="AK202" s="58" t="str">
        <f t="shared" ref="AK202:AK265" si="138">IF($A203="","",$A202-$E$1)</f>
        <v/>
      </c>
      <c r="AL202" s="26" t="str">
        <f>IF($A203="","",_xll.SPRDOPT(P202,X202,AI202,0,AB202,AE202,AF202,AK202,$AJ$2,0))</f>
        <v/>
      </c>
      <c r="AM202" s="89" t="str">
        <f t="shared" ref="AM202:AM265" si="139">IF($A203="","",MAX(0,O202-W202-AI202))</f>
        <v/>
      </c>
      <c r="AN202" s="89" t="str">
        <f t="shared" ref="AN202:AN265" si="140">IF($A203="","",AL202-AM202)</f>
        <v/>
      </c>
      <c r="AO202" s="3" t="str">
        <f t="shared" ref="AO202:AO265" si="141">IF(A203="","",A203-A202)</f>
        <v/>
      </c>
      <c r="AP202" s="33" t="str">
        <f t="shared" ref="AP202:AP265" si="142">IF(A203="","",CHOOSE(F$3,A203+24,A202))</f>
        <v/>
      </c>
      <c r="AQ202" s="58" t="str">
        <f t="shared" ref="AQ202:AQ265" si="143">IF(A203="","",AP202-$E$1)</f>
        <v/>
      </c>
      <c r="AR202" s="38">
        <f>'ANR OK vs ML7'!AR202</f>
        <v>0.1</v>
      </c>
      <c r="AS202" s="35" t="str">
        <f t="shared" ref="AS202:AS265" si="144">IF(A203="","",1/(1+CHOOSE(F$3,(AR203+($I$3/10000))/2,(AR202+($I$3/10000))/2))^(2*AQ202/365.25))</f>
        <v/>
      </c>
      <c r="AT202" s="3" t="str">
        <f t="shared" ref="AT202:AT265" si="145">IF(A203="","",IF(AND(mthbeg&lt;=A202,mthend&gt;=A202),1,0))</f>
        <v/>
      </c>
      <c r="AU202" s="3" t="str">
        <f t="shared" ref="AU202:AU265" si="146">IF(A203="","",AO202*AT202)</f>
        <v/>
      </c>
      <c r="AW202" s="32" t="str">
        <f t="shared" ref="AW202:AX265" si="147">IF($A203="","",AL202*$E202)</f>
        <v/>
      </c>
      <c r="AX202" s="32" t="str">
        <f t="shared" si="147"/>
        <v/>
      </c>
      <c r="AY202" s="32" t="str">
        <f t="shared" ref="AY202:AY265" si="148">IF($A203="","",AN202*$E202)</f>
        <v/>
      </c>
      <c r="BA202" s="32" t="str">
        <f>IF($A203="","",F202*Summary!$Q$12)</f>
        <v/>
      </c>
    </row>
    <row r="203" spans="1:53" ht="12" customHeight="1">
      <c r="A203" s="67" t="str">
        <f t="shared" ref="A203:A266" si="149">IF(A202&lt;mthend,EDATE(A202,1),"")</f>
        <v/>
      </c>
      <c r="B203" s="69" t="str">
        <f t="shared" si="114"/>
        <v/>
      </c>
      <c r="C203" s="71"/>
      <c r="D203" s="69" t="str">
        <f t="shared" si="115"/>
        <v/>
      </c>
      <c r="E203" s="70" t="str">
        <f t="shared" si="116"/>
        <v/>
      </c>
      <c r="F203" s="70" t="str">
        <f t="shared" si="117"/>
        <v/>
      </c>
      <c r="G203" s="63" t="str">
        <f t="shared" si="118"/>
        <v/>
      </c>
      <c r="H203" s="64" t="str">
        <f t="shared" si="119"/>
        <v/>
      </c>
      <c r="I203" s="43"/>
      <c r="J203" s="63" t="str">
        <f t="shared" si="120"/>
        <v/>
      </c>
      <c r="K203" s="64" t="str">
        <f t="shared" si="121"/>
        <v/>
      </c>
      <c r="L203" s="63" t="str">
        <f t="shared" si="122"/>
        <v/>
      </c>
      <c r="M203" s="64" t="str">
        <f t="shared" si="123"/>
        <v/>
      </c>
      <c r="N203" s="65"/>
      <c r="O203" s="63" t="str">
        <f t="shared" si="124"/>
        <v/>
      </c>
      <c r="P203" s="63" t="str">
        <f t="shared" si="125"/>
        <v/>
      </c>
      <c r="Q203" s="66"/>
      <c r="R203" s="63" t="str">
        <f t="shared" si="126"/>
        <v/>
      </c>
      <c r="S203" s="64" t="str">
        <f t="shared" si="127"/>
        <v/>
      </c>
      <c r="T203" s="63" t="str">
        <f t="shared" si="128"/>
        <v/>
      </c>
      <c r="U203" s="64" t="str">
        <f t="shared" si="129"/>
        <v/>
      </c>
      <c r="V203" s="90" t="str">
        <f>IF($A204="","",IF(AND(MONTH(A203)&gt;3,MONTH(A203)&lt;11),(T203+R203+G203)*(((1/(1-Summary!$T$12))/(1-Summary!$W$12))-1),(T203+R203+G203)*((1/(1-Summary!$U$12))/(1-Summary!$X$12)-1)))</f>
        <v/>
      </c>
      <c r="W203" s="63" t="str">
        <f t="shared" si="130"/>
        <v/>
      </c>
      <c r="X203" s="63" t="str">
        <f t="shared" si="131"/>
        <v/>
      </c>
      <c r="Y203" s="43"/>
      <c r="Z203" s="38" t="str">
        <f t="shared" si="132"/>
        <v/>
      </c>
      <c r="AA203" s="38" t="str">
        <f t="shared" si="133"/>
        <v/>
      </c>
      <c r="AB203" s="38" t="e">
        <f t="shared" si="134"/>
        <v>#VALUE!</v>
      </c>
      <c r="AC203" s="38" t="str">
        <f t="shared" si="135"/>
        <v/>
      </c>
      <c r="AD203" s="38" t="str">
        <f t="shared" si="135"/>
        <v/>
      </c>
      <c r="AE203" s="38" t="e">
        <f t="shared" si="136"/>
        <v>#VALUE!</v>
      </c>
      <c r="AF203" s="238" t="e">
        <f>((Summary!$N$12*(AA203*AD203)*(A203-$D$3))+(Summary!$M$12*Z203*AC203*(AJ203-EOMONTH(EDATE(A203,-1),0))))/(AK203*AB203*AE203)</f>
        <v>#VALUE!</v>
      </c>
      <c r="AG203" s="88" t="str">
        <f>IF($A204="","",Summary!$Q$12)</f>
        <v/>
      </c>
      <c r="AH203" s="88" t="str">
        <f>IF($A204="","",IF(Summary!$R$12="Y",(VLOOKUP($A203,Summary!$AD$6:$AF$9,3)+'Escalating commodity'!H216),'Escalating commodity'!H216))</f>
        <v/>
      </c>
      <c r="AI203" s="88" t="str">
        <f t="shared" ref="AI203:AI266" si="150">IF($A204="","",AH203)</f>
        <v/>
      </c>
      <c r="AJ203" s="236" t="e">
        <f t="shared" si="137"/>
        <v>#VALUE!</v>
      </c>
      <c r="AK203" s="58" t="str">
        <f t="shared" si="138"/>
        <v/>
      </c>
      <c r="AL203" s="26" t="str">
        <f>IF($A204="","",_xll.SPRDOPT(P203,X203,AI203,0,AB203,AE203,AF203,AK203,$AJ$2,0))</f>
        <v/>
      </c>
      <c r="AM203" s="89" t="str">
        <f t="shared" si="139"/>
        <v/>
      </c>
      <c r="AN203" s="89" t="str">
        <f t="shared" si="140"/>
        <v/>
      </c>
      <c r="AO203" s="3" t="str">
        <f t="shared" si="141"/>
        <v/>
      </c>
      <c r="AP203" s="33" t="str">
        <f t="shared" si="142"/>
        <v/>
      </c>
      <c r="AQ203" s="58" t="str">
        <f t="shared" si="143"/>
        <v/>
      </c>
      <c r="AR203" s="38">
        <f>'ANR OK vs ML7'!AR203</f>
        <v>0.1</v>
      </c>
      <c r="AS203" s="35" t="str">
        <f t="shared" si="144"/>
        <v/>
      </c>
      <c r="AT203" s="3" t="str">
        <f t="shared" si="145"/>
        <v/>
      </c>
      <c r="AU203" s="3" t="str">
        <f t="shared" si="146"/>
        <v/>
      </c>
      <c r="AW203" s="32" t="str">
        <f t="shared" si="147"/>
        <v/>
      </c>
      <c r="AX203" s="32" t="str">
        <f t="shared" si="147"/>
        <v/>
      </c>
      <c r="AY203" s="32" t="str">
        <f t="shared" si="148"/>
        <v/>
      </c>
      <c r="BA203" s="32" t="str">
        <f>IF($A204="","",F203*Summary!$Q$12)</f>
        <v/>
      </c>
    </row>
    <row r="204" spans="1:53" ht="12" customHeight="1">
      <c r="A204" s="67" t="str">
        <f t="shared" si="149"/>
        <v/>
      </c>
      <c r="B204" s="69" t="str">
        <f t="shared" ref="B204:B267" si="151">IF(A204&lt;mthend,B203,"")</f>
        <v/>
      </c>
      <c r="C204" s="71"/>
      <c r="D204" s="69" t="str">
        <f t="shared" si="115"/>
        <v/>
      </c>
      <c r="E204" s="70" t="str">
        <f t="shared" si="116"/>
        <v/>
      </c>
      <c r="F204" s="70" t="str">
        <f t="shared" si="117"/>
        <v/>
      </c>
      <c r="G204" s="63" t="str">
        <f t="shared" si="118"/>
        <v/>
      </c>
      <c r="H204" s="64" t="str">
        <f t="shared" si="119"/>
        <v/>
      </c>
      <c r="I204" s="43"/>
      <c r="J204" s="63" t="str">
        <f t="shared" si="120"/>
        <v/>
      </c>
      <c r="K204" s="64" t="str">
        <f t="shared" si="121"/>
        <v/>
      </c>
      <c r="L204" s="63" t="str">
        <f t="shared" si="122"/>
        <v/>
      </c>
      <c r="M204" s="64" t="str">
        <f t="shared" si="123"/>
        <v/>
      </c>
      <c r="N204" s="65"/>
      <c r="O204" s="63" t="str">
        <f t="shared" si="124"/>
        <v/>
      </c>
      <c r="P204" s="63" t="str">
        <f t="shared" si="125"/>
        <v/>
      </c>
      <c r="Q204" s="66"/>
      <c r="R204" s="63" t="str">
        <f t="shared" si="126"/>
        <v/>
      </c>
      <c r="S204" s="64" t="str">
        <f t="shared" si="127"/>
        <v/>
      </c>
      <c r="T204" s="63" t="str">
        <f t="shared" si="128"/>
        <v/>
      </c>
      <c r="U204" s="64" t="str">
        <f t="shared" si="129"/>
        <v/>
      </c>
      <c r="V204" s="90" t="str">
        <f>IF($A205="","",IF(AND(MONTH(A204)&gt;3,MONTH(A204)&lt;11),(T204+R204+G204)*(((1/(1-Summary!$T$12))/(1-Summary!$W$12))-1),(T204+R204+G204)*((1/(1-Summary!$U$12))/(1-Summary!$X$12)-1)))</f>
        <v/>
      </c>
      <c r="W204" s="63" t="str">
        <f t="shared" si="130"/>
        <v/>
      </c>
      <c r="X204" s="63" t="str">
        <f t="shared" si="131"/>
        <v/>
      </c>
      <c r="Y204" s="43"/>
      <c r="Z204" s="38" t="str">
        <f t="shared" si="132"/>
        <v/>
      </c>
      <c r="AA204" s="38" t="str">
        <f t="shared" si="133"/>
        <v/>
      </c>
      <c r="AB204" s="38" t="e">
        <f t="shared" si="134"/>
        <v>#VALUE!</v>
      </c>
      <c r="AC204" s="38" t="str">
        <f t="shared" si="135"/>
        <v/>
      </c>
      <c r="AD204" s="38" t="str">
        <f t="shared" si="135"/>
        <v/>
      </c>
      <c r="AE204" s="38" t="e">
        <f t="shared" si="136"/>
        <v>#VALUE!</v>
      </c>
      <c r="AF204" s="238" t="e">
        <f>((Summary!$N$12*(AA204*AD204)*(A204-$D$3))+(Summary!$M$12*Z204*AC204*(AJ204-EOMONTH(EDATE(A204,-1),0))))/(AK204*AB204*AE204)</f>
        <v>#VALUE!</v>
      </c>
      <c r="AG204" s="88" t="str">
        <f>IF($A205="","",Summary!$Q$12)</f>
        <v/>
      </c>
      <c r="AH204" s="88" t="str">
        <f>IF($A205="","",IF(Summary!$R$12="Y",(VLOOKUP($A204,Summary!$AD$6:$AF$9,3)+'Escalating commodity'!H217),'Escalating commodity'!H217))</f>
        <v/>
      </c>
      <c r="AI204" s="88" t="str">
        <f t="shared" si="150"/>
        <v/>
      </c>
      <c r="AJ204" s="236" t="e">
        <f t="shared" si="137"/>
        <v>#VALUE!</v>
      </c>
      <c r="AK204" s="58" t="str">
        <f t="shared" si="138"/>
        <v/>
      </c>
      <c r="AL204" s="26" t="str">
        <f>IF($A205="","",_xll.SPRDOPT(P204,X204,AI204,0,AB204,AE204,AF204,AK204,$AJ$2,0))</f>
        <v/>
      </c>
      <c r="AM204" s="89" t="str">
        <f t="shared" si="139"/>
        <v/>
      </c>
      <c r="AN204" s="89" t="str">
        <f t="shared" si="140"/>
        <v/>
      </c>
      <c r="AO204" s="3" t="str">
        <f t="shared" si="141"/>
        <v/>
      </c>
      <c r="AP204" s="33" t="str">
        <f t="shared" si="142"/>
        <v/>
      </c>
      <c r="AQ204" s="58" t="str">
        <f t="shared" si="143"/>
        <v/>
      </c>
      <c r="AR204" s="38">
        <f>'ANR OK vs ML7'!AR204</f>
        <v>0.1</v>
      </c>
      <c r="AS204" s="35" t="str">
        <f t="shared" si="144"/>
        <v/>
      </c>
      <c r="AT204" s="3" t="str">
        <f t="shared" si="145"/>
        <v/>
      </c>
      <c r="AU204" s="3" t="str">
        <f t="shared" si="146"/>
        <v/>
      </c>
      <c r="AW204" s="32" t="str">
        <f t="shared" si="147"/>
        <v/>
      </c>
      <c r="AX204" s="32" t="str">
        <f t="shared" si="147"/>
        <v/>
      </c>
      <c r="AY204" s="32" t="str">
        <f t="shared" si="148"/>
        <v/>
      </c>
      <c r="BA204" s="32" t="str">
        <f>IF($A205="","",F204*Summary!$Q$12)</f>
        <v/>
      </c>
    </row>
    <row r="205" spans="1:53" ht="12" customHeight="1">
      <c r="A205" s="67" t="str">
        <f t="shared" si="149"/>
        <v/>
      </c>
      <c r="B205" s="69" t="str">
        <f t="shared" si="151"/>
        <v/>
      </c>
      <c r="C205" s="71"/>
      <c r="D205" s="69" t="str">
        <f t="shared" si="115"/>
        <v/>
      </c>
      <c r="E205" s="70" t="str">
        <f t="shared" si="116"/>
        <v/>
      </c>
      <c r="F205" s="70" t="str">
        <f t="shared" si="117"/>
        <v/>
      </c>
      <c r="G205" s="63" t="str">
        <f t="shared" si="118"/>
        <v/>
      </c>
      <c r="H205" s="64" t="str">
        <f t="shared" si="119"/>
        <v/>
      </c>
      <c r="I205" s="43"/>
      <c r="J205" s="63" t="str">
        <f t="shared" si="120"/>
        <v/>
      </c>
      <c r="K205" s="64" t="str">
        <f t="shared" si="121"/>
        <v/>
      </c>
      <c r="L205" s="63" t="str">
        <f t="shared" si="122"/>
        <v/>
      </c>
      <c r="M205" s="64" t="str">
        <f t="shared" si="123"/>
        <v/>
      </c>
      <c r="N205" s="65"/>
      <c r="O205" s="63" t="str">
        <f t="shared" si="124"/>
        <v/>
      </c>
      <c r="P205" s="63" t="str">
        <f t="shared" si="125"/>
        <v/>
      </c>
      <c r="Q205" s="66"/>
      <c r="R205" s="63" t="str">
        <f t="shared" si="126"/>
        <v/>
      </c>
      <c r="S205" s="64" t="str">
        <f t="shared" si="127"/>
        <v/>
      </c>
      <c r="T205" s="63" t="str">
        <f t="shared" si="128"/>
        <v/>
      </c>
      <c r="U205" s="64" t="str">
        <f t="shared" si="129"/>
        <v/>
      </c>
      <c r="V205" s="90" t="str">
        <f>IF($A206="","",IF(AND(MONTH(A205)&gt;3,MONTH(A205)&lt;11),(T205+R205+G205)*(((1/(1-Summary!$T$12))/(1-Summary!$W$12))-1),(T205+R205+G205)*((1/(1-Summary!$U$12))/(1-Summary!$X$12)-1)))</f>
        <v/>
      </c>
      <c r="W205" s="63" t="str">
        <f t="shared" si="130"/>
        <v/>
      </c>
      <c r="X205" s="63" t="str">
        <f t="shared" si="131"/>
        <v/>
      </c>
      <c r="Y205" s="43"/>
      <c r="Z205" s="38" t="str">
        <f t="shared" si="132"/>
        <v/>
      </c>
      <c r="AA205" s="38" t="str">
        <f t="shared" si="133"/>
        <v/>
      </c>
      <c r="AB205" s="38" t="e">
        <f t="shared" si="134"/>
        <v>#VALUE!</v>
      </c>
      <c r="AC205" s="38" t="str">
        <f t="shared" si="135"/>
        <v/>
      </c>
      <c r="AD205" s="38" t="str">
        <f t="shared" si="135"/>
        <v/>
      </c>
      <c r="AE205" s="38" t="e">
        <f t="shared" si="136"/>
        <v>#VALUE!</v>
      </c>
      <c r="AF205" s="238" t="e">
        <f>((Summary!$N$12*(AA205*AD205)*(A205-$D$3))+(Summary!$M$12*Z205*AC205*(AJ205-EOMONTH(EDATE(A205,-1),0))))/(AK205*AB205*AE205)</f>
        <v>#VALUE!</v>
      </c>
      <c r="AG205" s="88" t="str">
        <f>IF($A206="","",Summary!$Q$12)</f>
        <v/>
      </c>
      <c r="AH205" s="88" t="str">
        <f>IF($A206="","",IF(Summary!$R$12="Y",(VLOOKUP($A205,Summary!$AD$6:$AF$9,3)+'Escalating commodity'!H218),'Escalating commodity'!H218))</f>
        <v/>
      </c>
      <c r="AI205" s="88" t="str">
        <f t="shared" si="150"/>
        <v/>
      </c>
      <c r="AJ205" s="236" t="e">
        <f t="shared" si="137"/>
        <v>#VALUE!</v>
      </c>
      <c r="AK205" s="58" t="str">
        <f t="shared" si="138"/>
        <v/>
      </c>
      <c r="AL205" s="26" t="str">
        <f>IF($A206="","",_xll.SPRDOPT(P205,X205,AI205,0,AB205,AE205,AF205,AK205,$AJ$2,0))</f>
        <v/>
      </c>
      <c r="AM205" s="89" t="str">
        <f t="shared" si="139"/>
        <v/>
      </c>
      <c r="AN205" s="89" t="str">
        <f t="shared" si="140"/>
        <v/>
      </c>
      <c r="AO205" s="3" t="str">
        <f t="shared" si="141"/>
        <v/>
      </c>
      <c r="AP205" s="33" t="str">
        <f t="shared" si="142"/>
        <v/>
      </c>
      <c r="AQ205" s="58" t="str">
        <f t="shared" si="143"/>
        <v/>
      </c>
      <c r="AR205" s="38">
        <f>'ANR OK vs ML7'!AR205</f>
        <v>0.1</v>
      </c>
      <c r="AS205" s="35" t="str">
        <f t="shared" si="144"/>
        <v/>
      </c>
      <c r="AT205" s="3" t="str">
        <f t="shared" si="145"/>
        <v/>
      </c>
      <c r="AU205" s="3" t="str">
        <f t="shared" si="146"/>
        <v/>
      </c>
      <c r="AW205" s="32" t="str">
        <f t="shared" si="147"/>
        <v/>
      </c>
      <c r="AX205" s="32" t="str">
        <f t="shared" si="147"/>
        <v/>
      </c>
      <c r="AY205" s="32" t="str">
        <f t="shared" si="148"/>
        <v/>
      </c>
      <c r="BA205" s="32" t="str">
        <f>IF($A206="","",F205*Summary!$Q$12)</f>
        <v/>
      </c>
    </row>
    <row r="206" spans="1:53" ht="12" customHeight="1">
      <c r="A206" s="67" t="str">
        <f t="shared" si="149"/>
        <v/>
      </c>
      <c r="B206" s="69" t="str">
        <f t="shared" si="151"/>
        <v/>
      </c>
      <c r="C206" s="71"/>
      <c r="D206" s="69" t="str">
        <f t="shared" si="115"/>
        <v/>
      </c>
      <c r="E206" s="70" t="str">
        <f t="shared" si="116"/>
        <v/>
      </c>
      <c r="F206" s="70" t="str">
        <f t="shared" si="117"/>
        <v/>
      </c>
      <c r="G206" s="63" t="str">
        <f t="shared" si="118"/>
        <v/>
      </c>
      <c r="H206" s="64" t="str">
        <f t="shared" si="119"/>
        <v/>
      </c>
      <c r="I206" s="43"/>
      <c r="J206" s="63" t="str">
        <f t="shared" si="120"/>
        <v/>
      </c>
      <c r="K206" s="64" t="str">
        <f t="shared" si="121"/>
        <v/>
      </c>
      <c r="L206" s="63" t="str">
        <f t="shared" si="122"/>
        <v/>
      </c>
      <c r="M206" s="64" t="str">
        <f t="shared" si="123"/>
        <v/>
      </c>
      <c r="N206" s="65"/>
      <c r="O206" s="63" t="str">
        <f t="shared" si="124"/>
        <v/>
      </c>
      <c r="P206" s="63" t="str">
        <f t="shared" si="125"/>
        <v/>
      </c>
      <c r="Q206" s="66"/>
      <c r="R206" s="63" t="str">
        <f t="shared" si="126"/>
        <v/>
      </c>
      <c r="S206" s="64" t="str">
        <f t="shared" si="127"/>
        <v/>
      </c>
      <c r="T206" s="63" t="str">
        <f t="shared" si="128"/>
        <v/>
      </c>
      <c r="U206" s="64" t="str">
        <f t="shared" si="129"/>
        <v/>
      </c>
      <c r="V206" s="90" t="str">
        <f>IF($A207="","",IF(AND(MONTH(A206)&gt;3,MONTH(A206)&lt;11),(T206+R206+G206)*(((1/(1-Summary!$T$12))/(1-Summary!$W$12))-1),(T206+R206+G206)*((1/(1-Summary!$U$12))/(1-Summary!$X$12)-1)))</f>
        <v/>
      </c>
      <c r="W206" s="63" t="str">
        <f t="shared" si="130"/>
        <v/>
      </c>
      <c r="X206" s="63" t="str">
        <f t="shared" si="131"/>
        <v/>
      </c>
      <c r="Y206" s="43"/>
      <c r="Z206" s="38" t="str">
        <f t="shared" si="132"/>
        <v/>
      </c>
      <c r="AA206" s="38" t="str">
        <f t="shared" si="133"/>
        <v/>
      </c>
      <c r="AB206" s="38" t="e">
        <f t="shared" si="134"/>
        <v>#VALUE!</v>
      </c>
      <c r="AC206" s="38" t="str">
        <f t="shared" si="135"/>
        <v/>
      </c>
      <c r="AD206" s="38" t="str">
        <f t="shared" si="135"/>
        <v/>
      </c>
      <c r="AE206" s="38" t="e">
        <f t="shared" si="136"/>
        <v>#VALUE!</v>
      </c>
      <c r="AF206" s="238" t="e">
        <f>((Summary!$N$12*(AA206*AD206)*(A206-$D$3))+(Summary!$M$12*Z206*AC206*(AJ206-EOMONTH(EDATE(A206,-1),0))))/(AK206*AB206*AE206)</f>
        <v>#VALUE!</v>
      </c>
      <c r="AG206" s="88" t="str">
        <f>IF($A207="","",Summary!$Q$12)</f>
        <v/>
      </c>
      <c r="AH206" s="88" t="str">
        <f>IF($A207="","",IF(Summary!$R$12="Y",(VLOOKUP($A206,Summary!$AD$6:$AF$9,3)+'Escalating commodity'!H219),'Escalating commodity'!H219))</f>
        <v/>
      </c>
      <c r="AI206" s="88" t="str">
        <f t="shared" si="150"/>
        <v/>
      </c>
      <c r="AJ206" s="236" t="e">
        <f t="shared" si="137"/>
        <v>#VALUE!</v>
      </c>
      <c r="AK206" s="58" t="str">
        <f t="shared" si="138"/>
        <v/>
      </c>
      <c r="AL206" s="26" t="str">
        <f>IF($A207="","",_xll.SPRDOPT(P206,X206,AI206,0,AB206,AE206,AF206,AK206,$AJ$2,0))</f>
        <v/>
      </c>
      <c r="AM206" s="89" t="str">
        <f t="shared" si="139"/>
        <v/>
      </c>
      <c r="AN206" s="89" t="str">
        <f t="shared" si="140"/>
        <v/>
      </c>
      <c r="AO206" s="3" t="str">
        <f t="shared" si="141"/>
        <v/>
      </c>
      <c r="AP206" s="33" t="str">
        <f t="shared" si="142"/>
        <v/>
      </c>
      <c r="AQ206" s="58" t="str">
        <f t="shared" si="143"/>
        <v/>
      </c>
      <c r="AR206" s="38">
        <f>'ANR OK vs ML7'!AR206</f>
        <v>0.1</v>
      </c>
      <c r="AS206" s="35" t="str">
        <f t="shared" si="144"/>
        <v/>
      </c>
      <c r="AT206" s="3" t="str">
        <f t="shared" si="145"/>
        <v/>
      </c>
      <c r="AU206" s="3" t="str">
        <f t="shared" si="146"/>
        <v/>
      </c>
      <c r="AW206" s="32" t="str">
        <f t="shared" si="147"/>
        <v/>
      </c>
      <c r="AX206" s="32" t="str">
        <f t="shared" si="147"/>
        <v/>
      </c>
      <c r="AY206" s="32" t="str">
        <f t="shared" si="148"/>
        <v/>
      </c>
      <c r="BA206" s="32" t="str">
        <f>IF($A207="","",F206*Summary!$Q$12)</f>
        <v/>
      </c>
    </row>
    <row r="207" spans="1:53" ht="12" customHeight="1">
      <c r="A207" s="67" t="str">
        <f t="shared" si="149"/>
        <v/>
      </c>
      <c r="B207" s="69" t="str">
        <f t="shared" si="151"/>
        <v/>
      </c>
      <c r="C207" s="71"/>
      <c r="D207" s="69" t="str">
        <f t="shared" si="115"/>
        <v/>
      </c>
      <c r="E207" s="70" t="str">
        <f t="shared" si="116"/>
        <v/>
      </c>
      <c r="F207" s="70" t="str">
        <f t="shared" si="117"/>
        <v/>
      </c>
      <c r="G207" s="63" t="str">
        <f t="shared" si="118"/>
        <v/>
      </c>
      <c r="H207" s="64" t="str">
        <f t="shared" si="119"/>
        <v/>
      </c>
      <c r="I207" s="43"/>
      <c r="J207" s="63" t="str">
        <f t="shared" si="120"/>
        <v/>
      </c>
      <c r="K207" s="64" t="str">
        <f t="shared" si="121"/>
        <v/>
      </c>
      <c r="L207" s="63" t="str">
        <f t="shared" si="122"/>
        <v/>
      </c>
      <c r="M207" s="64" t="str">
        <f t="shared" si="123"/>
        <v/>
      </c>
      <c r="N207" s="65"/>
      <c r="O207" s="63" t="str">
        <f t="shared" si="124"/>
        <v/>
      </c>
      <c r="P207" s="63" t="str">
        <f t="shared" si="125"/>
        <v/>
      </c>
      <c r="Q207" s="66"/>
      <c r="R207" s="63" t="str">
        <f t="shared" si="126"/>
        <v/>
      </c>
      <c r="S207" s="64" t="str">
        <f t="shared" si="127"/>
        <v/>
      </c>
      <c r="T207" s="63" t="str">
        <f t="shared" si="128"/>
        <v/>
      </c>
      <c r="U207" s="64" t="str">
        <f t="shared" si="129"/>
        <v/>
      </c>
      <c r="V207" s="90" t="str">
        <f>IF($A208="","",IF(AND(MONTH(A207)&gt;3,MONTH(A207)&lt;11),(T207+R207+G207)*(((1/(1-Summary!$T$12))/(1-Summary!$W$12))-1),(T207+R207+G207)*((1/(1-Summary!$U$12))/(1-Summary!$X$12)-1)))</f>
        <v/>
      </c>
      <c r="W207" s="63" t="str">
        <f t="shared" si="130"/>
        <v/>
      </c>
      <c r="X207" s="63" t="str">
        <f t="shared" si="131"/>
        <v/>
      </c>
      <c r="Y207" s="43"/>
      <c r="Z207" s="38" t="str">
        <f t="shared" si="132"/>
        <v/>
      </c>
      <c r="AA207" s="38" t="str">
        <f t="shared" si="133"/>
        <v/>
      </c>
      <c r="AB207" s="38" t="e">
        <f t="shared" si="134"/>
        <v>#VALUE!</v>
      </c>
      <c r="AC207" s="38" t="str">
        <f t="shared" si="135"/>
        <v/>
      </c>
      <c r="AD207" s="38" t="str">
        <f t="shared" si="135"/>
        <v/>
      </c>
      <c r="AE207" s="38" t="e">
        <f t="shared" si="136"/>
        <v>#VALUE!</v>
      </c>
      <c r="AF207" s="238" t="e">
        <f>((Summary!$N$12*(AA207*AD207)*(A207-$D$3))+(Summary!$M$12*Z207*AC207*(AJ207-EOMONTH(EDATE(A207,-1),0))))/(AK207*AB207*AE207)</f>
        <v>#VALUE!</v>
      </c>
      <c r="AG207" s="88" t="str">
        <f>IF($A208="","",Summary!$Q$12)</f>
        <v/>
      </c>
      <c r="AH207" s="88" t="str">
        <f>IF($A208="","",IF(Summary!$R$12="Y",(VLOOKUP($A207,Summary!$AD$6:$AF$9,3)+'Escalating commodity'!H220),'Escalating commodity'!H220))</f>
        <v/>
      </c>
      <c r="AI207" s="88" t="str">
        <f t="shared" si="150"/>
        <v/>
      </c>
      <c r="AJ207" s="236" t="e">
        <f t="shared" si="137"/>
        <v>#VALUE!</v>
      </c>
      <c r="AK207" s="58" t="str">
        <f t="shared" si="138"/>
        <v/>
      </c>
      <c r="AL207" s="26" t="str">
        <f>IF($A208="","",_xll.SPRDOPT(P207,X207,AI207,0,AB207,AE207,AF207,AK207,$AJ$2,0))</f>
        <v/>
      </c>
      <c r="AM207" s="89" t="str">
        <f t="shared" si="139"/>
        <v/>
      </c>
      <c r="AN207" s="89" t="str">
        <f t="shared" si="140"/>
        <v/>
      </c>
      <c r="AO207" s="3" t="str">
        <f t="shared" si="141"/>
        <v/>
      </c>
      <c r="AP207" s="33" t="str">
        <f t="shared" si="142"/>
        <v/>
      </c>
      <c r="AQ207" s="58" t="str">
        <f t="shared" si="143"/>
        <v/>
      </c>
      <c r="AR207" s="38">
        <f>'ANR OK vs ML7'!AR207</f>
        <v>0.1</v>
      </c>
      <c r="AS207" s="35" t="str">
        <f t="shared" si="144"/>
        <v/>
      </c>
      <c r="AT207" s="3" t="str">
        <f t="shared" si="145"/>
        <v/>
      </c>
      <c r="AU207" s="3" t="str">
        <f t="shared" si="146"/>
        <v/>
      </c>
      <c r="AW207" s="32" t="str">
        <f t="shared" si="147"/>
        <v/>
      </c>
      <c r="AX207" s="32" t="str">
        <f t="shared" si="147"/>
        <v/>
      </c>
      <c r="AY207" s="32" t="str">
        <f t="shared" si="148"/>
        <v/>
      </c>
      <c r="BA207" s="32" t="str">
        <f>IF($A208="","",F207*Summary!$Q$12)</f>
        <v/>
      </c>
    </row>
    <row r="208" spans="1:53" ht="12" customHeight="1">
      <c r="A208" s="67" t="str">
        <f t="shared" si="149"/>
        <v/>
      </c>
      <c r="B208" s="69" t="str">
        <f t="shared" si="151"/>
        <v/>
      </c>
      <c r="C208" s="71"/>
      <c r="D208" s="69" t="str">
        <f t="shared" si="115"/>
        <v/>
      </c>
      <c r="E208" s="70" t="str">
        <f t="shared" si="116"/>
        <v/>
      </c>
      <c r="F208" s="70" t="str">
        <f t="shared" si="117"/>
        <v/>
      </c>
      <c r="G208" s="63" t="str">
        <f t="shared" si="118"/>
        <v/>
      </c>
      <c r="H208" s="64" t="str">
        <f t="shared" si="119"/>
        <v/>
      </c>
      <c r="I208" s="43"/>
      <c r="J208" s="63" t="str">
        <f t="shared" si="120"/>
        <v/>
      </c>
      <c r="K208" s="64" t="str">
        <f t="shared" si="121"/>
        <v/>
      </c>
      <c r="L208" s="63" t="str">
        <f t="shared" si="122"/>
        <v/>
      </c>
      <c r="M208" s="64" t="str">
        <f t="shared" si="123"/>
        <v/>
      </c>
      <c r="N208" s="65"/>
      <c r="O208" s="63" t="str">
        <f t="shared" si="124"/>
        <v/>
      </c>
      <c r="P208" s="63" t="str">
        <f t="shared" si="125"/>
        <v/>
      </c>
      <c r="Q208" s="66"/>
      <c r="R208" s="63" t="str">
        <f t="shared" si="126"/>
        <v/>
      </c>
      <c r="S208" s="64" t="str">
        <f t="shared" si="127"/>
        <v/>
      </c>
      <c r="T208" s="63" t="str">
        <f t="shared" si="128"/>
        <v/>
      </c>
      <c r="U208" s="64" t="str">
        <f t="shared" si="129"/>
        <v/>
      </c>
      <c r="V208" s="90" t="str">
        <f>IF($A209="","",IF(AND(MONTH(A208)&gt;3,MONTH(A208)&lt;11),(T208+R208+G208)*(((1/(1-Summary!$T$12))/(1-Summary!$W$12))-1),(T208+R208+G208)*((1/(1-Summary!$U$12))/(1-Summary!$X$12)-1)))</f>
        <v/>
      </c>
      <c r="W208" s="63" t="str">
        <f t="shared" si="130"/>
        <v/>
      </c>
      <c r="X208" s="63" t="str">
        <f t="shared" si="131"/>
        <v/>
      </c>
      <c r="Y208" s="43"/>
      <c r="Z208" s="38" t="str">
        <f t="shared" si="132"/>
        <v/>
      </c>
      <c r="AA208" s="38" t="str">
        <f t="shared" si="133"/>
        <v/>
      </c>
      <c r="AB208" s="38" t="e">
        <f t="shared" si="134"/>
        <v>#VALUE!</v>
      </c>
      <c r="AC208" s="38" t="str">
        <f t="shared" si="135"/>
        <v/>
      </c>
      <c r="AD208" s="38" t="str">
        <f t="shared" si="135"/>
        <v/>
      </c>
      <c r="AE208" s="38" t="e">
        <f t="shared" si="136"/>
        <v>#VALUE!</v>
      </c>
      <c r="AF208" s="238" t="e">
        <f>((Summary!$N$12*(AA208*AD208)*(A208-$D$3))+(Summary!$M$12*Z208*AC208*(AJ208-EOMONTH(EDATE(A208,-1),0))))/(AK208*AB208*AE208)</f>
        <v>#VALUE!</v>
      </c>
      <c r="AG208" s="88" t="str">
        <f>IF($A209="","",Summary!$Q$12)</f>
        <v/>
      </c>
      <c r="AH208" s="88" t="str">
        <f>IF($A209="","",IF(Summary!$R$12="Y",(VLOOKUP($A208,Summary!$AD$6:$AF$9,3)+'Escalating commodity'!H221),'Escalating commodity'!H221))</f>
        <v/>
      </c>
      <c r="AI208" s="88" t="str">
        <f t="shared" si="150"/>
        <v/>
      </c>
      <c r="AJ208" s="236" t="e">
        <f t="shared" si="137"/>
        <v>#VALUE!</v>
      </c>
      <c r="AK208" s="58" t="str">
        <f t="shared" si="138"/>
        <v/>
      </c>
      <c r="AL208" s="26" t="str">
        <f>IF($A209="","",_xll.SPRDOPT(P208,X208,AI208,0,AB208,AE208,AF208,AK208,$AJ$2,0))</f>
        <v/>
      </c>
      <c r="AM208" s="89" t="str">
        <f t="shared" si="139"/>
        <v/>
      </c>
      <c r="AN208" s="89" t="str">
        <f t="shared" si="140"/>
        <v/>
      </c>
      <c r="AO208" s="3" t="str">
        <f t="shared" si="141"/>
        <v/>
      </c>
      <c r="AP208" s="33" t="str">
        <f t="shared" si="142"/>
        <v/>
      </c>
      <c r="AQ208" s="58" t="str">
        <f t="shared" si="143"/>
        <v/>
      </c>
      <c r="AR208" s="38">
        <f>'ANR OK vs ML7'!AR208</f>
        <v>0.1</v>
      </c>
      <c r="AS208" s="35" t="str">
        <f t="shared" si="144"/>
        <v/>
      </c>
      <c r="AT208" s="3" t="str">
        <f t="shared" si="145"/>
        <v/>
      </c>
      <c r="AU208" s="3" t="str">
        <f t="shared" si="146"/>
        <v/>
      </c>
      <c r="AW208" s="32" t="str">
        <f t="shared" si="147"/>
        <v/>
      </c>
      <c r="AX208" s="32" t="str">
        <f t="shared" si="147"/>
        <v/>
      </c>
      <c r="AY208" s="32" t="str">
        <f t="shared" si="148"/>
        <v/>
      </c>
      <c r="BA208" s="32" t="str">
        <f>IF($A209="","",F208*Summary!$Q$12)</f>
        <v/>
      </c>
    </row>
    <row r="209" spans="1:53" ht="12" customHeight="1">
      <c r="A209" s="67" t="str">
        <f t="shared" si="149"/>
        <v/>
      </c>
      <c r="B209" s="69" t="str">
        <f t="shared" si="151"/>
        <v/>
      </c>
      <c r="C209" s="71"/>
      <c r="D209" s="69" t="str">
        <f t="shared" si="115"/>
        <v/>
      </c>
      <c r="E209" s="70" t="str">
        <f t="shared" si="116"/>
        <v/>
      </c>
      <c r="F209" s="70" t="str">
        <f t="shared" si="117"/>
        <v/>
      </c>
      <c r="G209" s="63" t="str">
        <f t="shared" si="118"/>
        <v/>
      </c>
      <c r="H209" s="64" t="str">
        <f t="shared" si="119"/>
        <v/>
      </c>
      <c r="I209" s="43"/>
      <c r="J209" s="63" t="str">
        <f t="shared" si="120"/>
        <v/>
      </c>
      <c r="K209" s="64" t="str">
        <f t="shared" si="121"/>
        <v/>
      </c>
      <c r="L209" s="63" t="str">
        <f t="shared" si="122"/>
        <v/>
      </c>
      <c r="M209" s="64" t="str">
        <f t="shared" si="123"/>
        <v/>
      </c>
      <c r="N209" s="65"/>
      <c r="O209" s="63" t="str">
        <f t="shared" si="124"/>
        <v/>
      </c>
      <c r="P209" s="63" t="str">
        <f t="shared" si="125"/>
        <v/>
      </c>
      <c r="Q209" s="66"/>
      <c r="R209" s="63" t="str">
        <f t="shared" si="126"/>
        <v/>
      </c>
      <c r="S209" s="64" t="str">
        <f t="shared" si="127"/>
        <v/>
      </c>
      <c r="T209" s="63" t="str">
        <f t="shared" si="128"/>
        <v/>
      </c>
      <c r="U209" s="64" t="str">
        <f t="shared" si="129"/>
        <v/>
      </c>
      <c r="V209" s="90" t="str">
        <f>IF($A210="","",IF(AND(MONTH(A209)&gt;3,MONTH(A209)&lt;11),(T209+R209+G209)*(((1/(1-Summary!$T$12))/(1-Summary!$W$12))-1),(T209+R209+G209)*((1/(1-Summary!$U$12))/(1-Summary!$X$12)-1)))</f>
        <v/>
      </c>
      <c r="W209" s="63" t="str">
        <f t="shared" si="130"/>
        <v/>
      </c>
      <c r="X209" s="63" t="str">
        <f t="shared" si="131"/>
        <v/>
      </c>
      <c r="Y209" s="43"/>
      <c r="Z209" s="38" t="str">
        <f t="shared" si="132"/>
        <v/>
      </c>
      <c r="AA209" s="38" t="str">
        <f t="shared" si="133"/>
        <v/>
      </c>
      <c r="AB209" s="38" t="e">
        <f t="shared" si="134"/>
        <v>#VALUE!</v>
      </c>
      <c r="AC209" s="38" t="str">
        <f t="shared" si="135"/>
        <v/>
      </c>
      <c r="AD209" s="38" t="str">
        <f t="shared" si="135"/>
        <v/>
      </c>
      <c r="AE209" s="38" t="e">
        <f t="shared" si="136"/>
        <v>#VALUE!</v>
      </c>
      <c r="AF209" s="238" t="e">
        <f>((Summary!$N$12*(AA209*AD209)*(A209-$D$3))+(Summary!$M$12*Z209*AC209*(AJ209-EOMONTH(EDATE(A209,-1),0))))/(AK209*AB209*AE209)</f>
        <v>#VALUE!</v>
      </c>
      <c r="AG209" s="88" t="str">
        <f>IF($A210="","",Summary!$Q$12)</f>
        <v/>
      </c>
      <c r="AH209" s="88" t="str">
        <f>IF($A210="","",IF(Summary!$R$12="Y",(VLOOKUP($A209,Summary!$AD$6:$AF$9,3)+'Escalating commodity'!H222),'Escalating commodity'!H222))</f>
        <v/>
      </c>
      <c r="AI209" s="88" t="str">
        <f t="shared" si="150"/>
        <v/>
      </c>
      <c r="AJ209" s="236" t="e">
        <f t="shared" si="137"/>
        <v>#VALUE!</v>
      </c>
      <c r="AK209" s="58" t="str">
        <f t="shared" si="138"/>
        <v/>
      </c>
      <c r="AL209" s="26" t="str">
        <f>IF($A210="","",_xll.SPRDOPT(P209,X209,AI209,0,AB209,AE209,AF209,AK209,$AJ$2,0))</f>
        <v/>
      </c>
      <c r="AM209" s="89" t="str">
        <f t="shared" si="139"/>
        <v/>
      </c>
      <c r="AN209" s="89" t="str">
        <f t="shared" si="140"/>
        <v/>
      </c>
      <c r="AO209" s="3" t="str">
        <f t="shared" si="141"/>
        <v/>
      </c>
      <c r="AP209" s="33" t="str">
        <f t="shared" si="142"/>
        <v/>
      </c>
      <c r="AQ209" s="58" t="str">
        <f t="shared" si="143"/>
        <v/>
      </c>
      <c r="AR209" s="38">
        <f>'ANR OK vs ML7'!AR209</f>
        <v>0.1</v>
      </c>
      <c r="AS209" s="35" t="str">
        <f t="shared" si="144"/>
        <v/>
      </c>
      <c r="AT209" s="3" t="str">
        <f t="shared" si="145"/>
        <v/>
      </c>
      <c r="AU209" s="3" t="str">
        <f t="shared" si="146"/>
        <v/>
      </c>
      <c r="AW209" s="32" t="str">
        <f t="shared" si="147"/>
        <v/>
      </c>
      <c r="AX209" s="32" t="str">
        <f t="shared" si="147"/>
        <v/>
      </c>
      <c r="AY209" s="32" t="str">
        <f t="shared" si="148"/>
        <v/>
      </c>
      <c r="BA209" s="32" t="str">
        <f>IF($A210="","",F209*Summary!$Q$12)</f>
        <v/>
      </c>
    </row>
    <row r="210" spans="1:53" ht="12" customHeight="1">
      <c r="A210" s="67" t="str">
        <f t="shared" si="149"/>
        <v/>
      </c>
      <c r="B210" s="69" t="str">
        <f t="shared" si="151"/>
        <v/>
      </c>
      <c r="C210" s="71"/>
      <c r="D210" s="69" t="str">
        <f t="shared" si="115"/>
        <v/>
      </c>
      <c r="E210" s="70" t="str">
        <f t="shared" si="116"/>
        <v/>
      </c>
      <c r="F210" s="70" t="str">
        <f t="shared" si="117"/>
        <v/>
      </c>
      <c r="G210" s="63" t="str">
        <f t="shared" si="118"/>
        <v/>
      </c>
      <c r="H210" s="64" t="str">
        <f t="shared" si="119"/>
        <v/>
      </c>
      <c r="I210" s="43"/>
      <c r="J210" s="63" t="str">
        <f t="shared" si="120"/>
        <v/>
      </c>
      <c r="K210" s="64" t="str">
        <f t="shared" si="121"/>
        <v/>
      </c>
      <c r="L210" s="63" t="str">
        <f t="shared" si="122"/>
        <v/>
      </c>
      <c r="M210" s="64" t="str">
        <f t="shared" si="123"/>
        <v/>
      </c>
      <c r="N210" s="65"/>
      <c r="O210" s="63" t="str">
        <f t="shared" si="124"/>
        <v/>
      </c>
      <c r="P210" s="63" t="str">
        <f t="shared" si="125"/>
        <v/>
      </c>
      <c r="Q210" s="66"/>
      <c r="R210" s="63" t="str">
        <f t="shared" si="126"/>
        <v/>
      </c>
      <c r="S210" s="64" t="str">
        <f t="shared" si="127"/>
        <v/>
      </c>
      <c r="T210" s="63" t="str">
        <f t="shared" si="128"/>
        <v/>
      </c>
      <c r="U210" s="64" t="str">
        <f t="shared" si="129"/>
        <v/>
      </c>
      <c r="V210" s="90" t="str">
        <f>IF($A211="","",IF(AND(MONTH(A210)&gt;3,MONTH(A210)&lt;11),(T210+R210+G210)*(((1/(1-Summary!$T$12))/(1-Summary!$W$12))-1),(T210+R210+G210)*((1/(1-Summary!$U$12))/(1-Summary!$X$12)-1)))</f>
        <v/>
      </c>
      <c r="W210" s="63" t="str">
        <f t="shared" si="130"/>
        <v/>
      </c>
      <c r="X210" s="63" t="str">
        <f t="shared" si="131"/>
        <v/>
      </c>
      <c r="Y210" s="43"/>
      <c r="Z210" s="38" t="str">
        <f t="shared" si="132"/>
        <v/>
      </c>
      <c r="AA210" s="38" t="str">
        <f t="shared" si="133"/>
        <v/>
      </c>
      <c r="AB210" s="38" t="e">
        <f t="shared" si="134"/>
        <v>#VALUE!</v>
      </c>
      <c r="AC210" s="38" t="str">
        <f t="shared" si="135"/>
        <v/>
      </c>
      <c r="AD210" s="38" t="str">
        <f t="shared" si="135"/>
        <v/>
      </c>
      <c r="AE210" s="38" t="e">
        <f t="shared" si="136"/>
        <v>#VALUE!</v>
      </c>
      <c r="AF210" s="238" t="e">
        <f>((Summary!$N$12*(AA210*AD210)*(A210-$D$3))+(Summary!$M$12*Z210*AC210*(AJ210-EOMONTH(EDATE(A210,-1),0))))/(AK210*AB210*AE210)</f>
        <v>#VALUE!</v>
      </c>
      <c r="AG210" s="88" t="str">
        <f>IF($A211="","",Summary!$Q$12)</f>
        <v/>
      </c>
      <c r="AH210" s="88" t="str">
        <f>IF($A211="","",IF(Summary!$R$12="Y",(VLOOKUP($A210,Summary!$AD$6:$AF$9,3)+'Escalating commodity'!H223),'Escalating commodity'!H223))</f>
        <v/>
      </c>
      <c r="AI210" s="88" t="str">
        <f t="shared" si="150"/>
        <v/>
      </c>
      <c r="AJ210" s="236" t="e">
        <f t="shared" si="137"/>
        <v>#VALUE!</v>
      </c>
      <c r="AK210" s="58" t="str">
        <f t="shared" si="138"/>
        <v/>
      </c>
      <c r="AL210" s="26" t="str">
        <f>IF($A211="","",_xll.SPRDOPT(P210,X210,AI210,0,AB210,AE210,AF210,AK210,$AJ$2,0))</f>
        <v/>
      </c>
      <c r="AM210" s="89" t="str">
        <f t="shared" si="139"/>
        <v/>
      </c>
      <c r="AN210" s="89" t="str">
        <f t="shared" si="140"/>
        <v/>
      </c>
      <c r="AO210" s="3" t="str">
        <f t="shared" si="141"/>
        <v/>
      </c>
      <c r="AP210" s="33" t="str">
        <f t="shared" si="142"/>
        <v/>
      </c>
      <c r="AQ210" s="58" t="str">
        <f t="shared" si="143"/>
        <v/>
      </c>
      <c r="AR210" s="38">
        <f>'ANR OK vs ML7'!AR210</f>
        <v>0.1</v>
      </c>
      <c r="AS210" s="35" t="str">
        <f t="shared" si="144"/>
        <v/>
      </c>
      <c r="AT210" s="3" t="str">
        <f t="shared" si="145"/>
        <v/>
      </c>
      <c r="AU210" s="3" t="str">
        <f t="shared" si="146"/>
        <v/>
      </c>
      <c r="AW210" s="32" t="str">
        <f t="shared" si="147"/>
        <v/>
      </c>
      <c r="AX210" s="32" t="str">
        <f t="shared" si="147"/>
        <v/>
      </c>
      <c r="AY210" s="32" t="str">
        <f t="shared" si="148"/>
        <v/>
      </c>
      <c r="BA210" s="32" t="str">
        <f>IF($A211="","",F210*Summary!$Q$12)</f>
        <v/>
      </c>
    </row>
    <row r="211" spans="1:53" ht="12" customHeight="1">
      <c r="A211" s="67" t="str">
        <f t="shared" si="149"/>
        <v/>
      </c>
      <c r="B211" s="69" t="str">
        <f t="shared" si="151"/>
        <v/>
      </c>
      <c r="C211" s="71"/>
      <c r="D211" s="69" t="str">
        <f t="shared" si="115"/>
        <v/>
      </c>
      <c r="E211" s="70" t="str">
        <f t="shared" si="116"/>
        <v/>
      </c>
      <c r="F211" s="70" t="str">
        <f t="shared" si="117"/>
        <v/>
      </c>
      <c r="G211" s="63" t="str">
        <f t="shared" si="118"/>
        <v/>
      </c>
      <c r="H211" s="64" t="str">
        <f t="shared" si="119"/>
        <v/>
      </c>
      <c r="I211" s="43"/>
      <c r="J211" s="63" t="str">
        <f t="shared" si="120"/>
        <v/>
      </c>
      <c r="K211" s="64" t="str">
        <f t="shared" si="121"/>
        <v/>
      </c>
      <c r="L211" s="63" t="str">
        <f t="shared" si="122"/>
        <v/>
      </c>
      <c r="M211" s="64" t="str">
        <f t="shared" si="123"/>
        <v/>
      </c>
      <c r="N211" s="65"/>
      <c r="O211" s="63" t="str">
        <f t="shared" si="124"/>
        <v/>
      </c>
      <c r="P211" s="63" t="str">
        <f t="shared" si="125"/>
        <v/>
      </c>
      <c r="Q211" s="66"/>
      <c r="R211" s="63" t="str">
        <f t="shared" si="126"/>
        <v/>
      </c>
      <c r="S211" s="64" t="str">
        <f t="shared" si="127"/>
        <v/>
      </c>
      <c r="T211" s="63" t="str">
        <f t="shared" si="128"/>
        <v/>
      </c>
      <c r="U211" s="64" t="str">
        <f t="shared" si="129"/>
        <v/>
      </c>
      <c r="V211" s="90" t="str">
        <f>IF($A212="","",IF(AND(MONTH(A211)&gt;3,MONTH(A211)&lt;11),(T211+R211+G211)*(((1/(1-Summary!$T$12))/(1-Summary!$W$12))-1),(T211+R211+G211)*((1/(1-Summary!$U$12))/(1-Summary!$X$12)-1)))</f>
        <v/>
      </c>
      <c r="W211" s="63" t="str">
        <f t="shared" si="130"/>
        <v/>
      </c>
      <c r="X211" s="63" t="str">
        <f t="shared" si="131"/>
        <v/>
      </c>
      <c r="Y211" s="43"/>
      <c r="Z211" s="38" t="str">
        <f t="shared" si="132"/>
        <v/>
      </c>
      <c r="AA211" s="38" t="str">
        <f t="shared" si="133"/>
        <v/>
      </c>
      <c r="AB211" s="38" t="e">
        <f t="shared" si="134"/>
        <v>#VALUE!</v>
      </c>
      <c r="AC211" s="38" t="str">
        <f t="shared" si="135"/>
        <v/>
      </c>
      <c r="AD211" s="38" t="str">
        <f t="shared" si="135"/>
        <v/>
      </c>
      <c r="AE211" s="38" t="e">
        <f t="shared" si="136"/>
        <v>#VALUE!</v>
      </c>
      <c r="AF211" s="238" t="e">
        <f>((Summary!$N$12*(AA211*AD211)*(A211-$D$3))+(Summary!$M$12*Z211*AC211*(AJ211-EOMONTH(EDATE(A211,-1),0))))/(AK211*AB211*AE211)</f>
        <v>#VALUE!</v>
      </c>
      <c r="AG211" s="88" t="str">
        <f>IF($A212="","",Summary!$Q$12)</f>
        <v/>
      </c>
      <c r="AH211" s="88" t="str">
        <f>IF($A212="","",IF(Summary!$R$12="Y",(VLOOKUP($A211,Summary!$AD$6:$AF$9,3)+'Escalating commodity'!H224),'Escalating commodity'!H224))</f>
        <v/>
      </c>
      <c r="AI211" s="88" t="str">
        <f t="shared" si="150"/>
        <v/>
      </c>
      <c r="AJ211" s="236" t="e">
        <f t="shared" si="137"/>
        <v>#VALUE!</v>
      </c>
      <c r="AK211" s="58" t="str">
        <f t="shared" si="138"/>
        <v/>
      </c>
      <c r="AL211" s="26" t="str">
        <f>IF($A212="","",_xll.SPRDOPT(P211,X211,AI211,0,AB211,AE211,AF211,AK211,$AJ$2,0))</f>
        <v/>
      </c>
      <c r="AM211" s="89" t="str">
        <f t="shared" si="139"/>
        <v/>
      </c>
      <c r="AN211" s="89" t="str">
        <f t="shared" si="140"/>
        <v/>
      </c>
      <c r="AO211" s="3" t="str">
        <f t="shared" si="141"/>
        <v/>
      </c>
      <c r="AP211" s="33" t="str">
        <f t="shared" si="142"/>
        <v/>
      </c>
      <c r="AQ211" s="58" t="str">
        <f t="shared" si="143"/>
        <v/>
      </c>
      <c r="AR211" s="38">
        <f>'ANR OK vs ML7'!AR211</f>
        <v>0.1</v>
      </c>
      <c r="AS211" s="35" t="str">
        <f t="shared" si="144"/>
        <v/>
      </c>
      <c r="AT211" s="3" t="str">
        <f t="shared" si="145"/>
        <v/>
      </c>
      <c r="AU211" s="3" t="str">
        <f t="shared" si="146"/>
        <v/>
      </c>
      <c r="AW211" s="32" t="str">
        <f t="shared" si="147"/>
        <v/>
      </c>
      <c r="AX211" s="32" t="str">
        <f t="shared" si="147"/>
        <v/>
      </c>
      <c r="AY211" s="32" t="str">
        <f t="shared" si="148"/>
        <v/>
      </c>
      <c r="BA211" s="32" t="str">
        <f>IF($A212="","",F211*Summary!$Q$12)</f>
        <v/>
      </c>
    </row>
    <row r="212" spans="1:53" ht="12" customHeight="1">
      <c r="A212" s="67" t="str">
        <f t="shared" si="149"/>
        <v/>
      </c>
      <c r="B212" s="69" t="str">
        <f t="shared" si="151"/>
        <v/>
      </c>
      <c r="C212" s="71"/>
      <c r="D212" s="69" t="str">
        <f t="shared" si="115"/>
        <v/>
      </c>
      <c r="E212" s="70" t="str">
        <f t="shared" si="116"/>
        <v/>
      </c>
      <c r="F212" s="70" t="str">
        <f t="shared" si="117"/>
        <v/>
      </c>
      <c r="G212" s="63" t="str">
        <f t="shared" si="118"/>
        <v/>
      </c>
      <c r="H212" s="64" t="str">
        <f t="shared" si="119"/>
        <v/>
      </c>
      <c r="I212" s="43"/>
      <c r="J212" s="63" t="str">
        <f t="shared" si="120"/>
        <v/>
      </c>
      <c r="K212" s="64" t="str">
        <f t="shared" si="121"/>
        <v/>
      </c>
      <c r="L212" s="63" t="str">
        <f t="shared" si="122"/>
        <v/>
      </c>
      <c r="M212" s="64" t="str">
        <f t="shared" si="123"/>
        <v/>
      </c>
      <c r="N212" s="65"/>
      <c r="O212" s="63" t="str">
        <f t="shared" si="124"/>
        <v/>
      </c>
      <c r="P212" s="63" t="str">
        <f t="shared" si="125"/>
        <v/>
      </c>
      <c r="Q212" s="66"/>
      <c r="R212" s="63" t="str">
        <f t="shared" si="126"/>
        <v/>
      </c>
      <c r="S212" s="64" t="str">
        <f t="shared" si="127"/>
        <v/>
      </c>
      <c r="T212" s="63" t="str">
        <f t="shared" si="128"/>
        <v/>
      </c>
      <c r="U212" s="64" t="str">
        <f t="shared" si="129"/>
        <v/>
      </c>
      <c r="V212" s="90" t="str">
        <f>IF($A213="","",IF(AND(MONTH(A212)&gt;3,MONTH(A212)&lt;11),(T212+R212+G212)*(((1/(1-Summary!$T$12))/(1-Summary!$W$12))-1),(T212+R212+G212)*((1/(1-Summary!$U$12))/(1-Summary!$X$12)-1)))</f>
        <v/>
      </c>
      <c r="W212" s="63" t="str">
        <f t="shared" si="130"/>
        <v/>
      </c>
      <c r="X212" s="63" t="str">
        <f t="shared" si="131"/>
        <v/>
      </c>
      <c r="Y212" s="43"/>
      <c r="Z212" s="38" t="str">
        <f t="shared" si="132"/>
        <v/>
      </c>
      <c r="AA212" s="38" t="str">
        <f t="shared" si="133"/>
        <v/>
      </c>
      <c r="AB212" s="38" t="e">
        <f t="shared" si="134"/>
        <v>#VALUE!</v>
      </c>
      <c r="AC212" s="38" t="str">
        <f t="shared" si="135"/>
        <v/>
      </c>
      <c r="AD212" s="38" t="str">
        <f t="shared" si="135"/>
        <v/>
      </c>
      <c r="AE212" s="38" t="e">
        <f t="shared" si="136"/>
        <v>#VALUE!</v>
      </c>
      <c r="AF212" s="238" t="e">
        <f>((Summary!$N$12*(AA212*AD212)*(A212-$D$3))+(Summary!$M$12*Z212*AC212*(AJ212-EOMONTH(EDATE(A212,-1),0))))/(AK212*AB212*AE212)</f>
        <v>#VALUE!</v>
      </c>
      <c r="AG212" s="88" t="str">
        <f>IF($A213="","",Summary!$Q$12)</f>
        <v/>
      </c>
      <c r="AH212" s="88" t="str">
        <f>IF($A213="","",IF(Summary!$R$12="Y",(VLOOKUP($A212,Summary!$AD$6:$AF$9,3)+'Escalating commodity'!H225),'Escalating commodity'!H225))</f>
        <v/>
      </c>
      <c r="AI212" s="88" t="str">
        <f t="shared" si="150"/>
        <v/>
      </c>
      <c r="AJ212" s="236" t="e">
        <f t="shared" si="137"/>
        <v>#VALUE!</v>
      </c>
      <c r="AK212" s="58" t="str">
        <f t="shared" si="138"/>
        <v/>
      </c>
      <c r="AL212" s="26" t="str">
        <f>IF($A213="","",_xll.SPRDOPT(P212,X212,AI212,0,AB212,AE212,AF212,AK212,$AJ$2,0))</f>
        <v/>
      </c>
      <c r="AM212" s="89" t="str">
        <f t="shared" si="139"/>
        <v/>
      </c>
      <c r="AN212" s="89" t="str">
        <f t="shared" si="140"/>
        <v/>
      </c>
      <c r="AO212" s="3" t="str">
        <f t="shared" si="141"/>
        <v/>
      </c>
      <c r="AP212" s="33" t="str">
        <f t="shared" si="142"/>
        <v/>
      </c>
      <c r="AQ212" s="58" t="str">
        <f t="shared" si="143"/>
        <v/>
      </c>
      <c r="AR212" s="38">
        <f>'ANR OK vs ML7'!AR212</f>
        <v>0.1</v>
      </c>
      <c r="AS212" s="35" t="str">
        <f t="shared" si="144"/>
        <v/>
      </c>
      <c r="AT212" s="3" t="str">
        <f t="shared" si="145"/>
        <v/>
      </c>
      <c r="AU212" s="3" t="str">
        <f t="shared" si="146"/>
        <v/>
      </c>
      <c r="AW212" s="32" t="str">
        <f t="shared" si="147"/>
        <v/>
      </c>
      <c r="AX212" s="32" t="str">
        <f t="shared" si="147"/>
        <v/>
      </c>
      <c r="AY212" s="32" t="str">
        <f t="shared" si="148"/>
        <v/>
      </c>
      <c r="BA212" s="32" t="str">
        <f>IF($A213="","",F212*Summary!$Q$12)</f>
        <v/>
      </c>
    </row>
    <row r="213" spans="1:53" ht="12" customHeight="1">
      <c r="A213" s="67" t="str">
        <f t="shared" si="149"/>
        <v/>
      </c>
      <c r="B213" s="69" t="str">
        <f t="shared" si="151"/>
        <v/>
      </c>
      <c r="C213" s="71"/>
      <c r="D213" s="69" t="str">
        <f t="shared" si="115"/>
        <v/>
      </c>
      <c r="E213" s="70" t="str">
        <f t="shared" si="116"/>
        <v/>
      </c>
      <c r="F213" s="70" t="str">
        <f t="shared" si="117"/>
        <v/>
      </c>
      <c r="G213" s="63" t="str">
        <f t="shared" si="118"/>
        <v/>
      </c>
      <c r="H213" s="64" t="str">
        <f t="shared" si="119"/>
        <v/>
      </c>
      <c r="I213" s="43"/>
      <c r="J213" s="63" t="str">
        <f t="shared" si="120"/>
        <v/>
      </c>
      <c r="K213" s="64" t="str">
        <f t="shared" si="121"/>
        <v/>
      </c>
      <c r="L213" s="63" t="str">
        <f t="shared" si="122"/>
        <v/>
      </c>
      <c r="M213" s="64" t="str">
        <f t="shared" si="123"/>
        <v/>
      </c>
      <c r="N213" s="65"/>
      <c r="O213" s="63" t="str">
        <f t="shared" si="124"/>
        <v/>
      </c>
      <c r="P213" s="63" t="str">
        <f t="shared" si="125"/>
        <v/>
      </c>
      <c r="Q213" s="66"/>
      <c r="R213" s="63" t="str">
        <f t="shared" si="126"/>
        <v/>
      </c>
      <c r="S213" s="64" t="str">
        <f t="shared" si="127"/>
        <v/>
      </c>
      <c r="T213" s="63" t="str">
        <f t="shared" si="128"/>
        <v/>
      </c>
      <c r="U213" s="64" t="str">
        <f t="shared" si="129"/>
        <v/>
      </c>
      <c r="V213" s="90" t="str">
        <f>IF($A214="","",IF(AND(MONTH(A213)&gt;3,MONTH(A213)&lt;11),(T213+R213+G213)*(((1/(1-Summary!$T$12))/(1-Summary!$W$12))-1),(T213+R213+G213)*((1/(1-Summary!$U$12))/(1-Summary!$X$12)-1)))</f>
        <v/>
      </c>
      <c r="W213" s="63" t="str">
        <f t="shared" si="130"/>
        <v/>
      </c>
      <c r="X213" s="63" t="str">
        <f t="shared" si="131"/>
        <v/>
      </c>
      <c r="Y213" s="43"/>
      <c r="Z213" s="38" t="str">
        <f t="shared" si="132"/>
        <v/>
      </c>
      <c r="AA213" s="38" t="str">
        <f t="shared" si="133"/>
        <v/>
      </c>
      <c r="AB213" s="38" t="e">
        <f t="shared" si="134"/>
        <v>#VALUE!</v>
      </c>
      <c r="AC213" s="38" t="str">
        <f t="shared" si="135"/>
        <v/>
      </c>
      <c r="AD213" s="38" t="str">
        <f t="shared" si="135"/>
        <v/>
      </c>
      <c r="AE213" s="38" t="e">
        <f t="shared" si="136"/>
        <v>#VALUE!</v>
      </c>
      <c r="AF213" s="238" t="e">
        <f>((Summary!$N$12*(AA213*AD213)*(A213-$D$3))+(Summary!$M$12*Z213*AC213*(AJ213-EOMONTH(EDATE(A213,-1),0))))/(AK213*AB213*AE213)</f>
        <v>#VALUE!</v>
      </c>
      <c r="AG213" s="88" t="str">
        <f>IF($A214="","",Summary!$Q$12)</f>
        <v/>
      </c>
      <c r="AH213" s="88" t="str">
        <f>IF($A214="","",IF(Summary!$R$12="Y",(VLOOKUP($A213,Summary!$AD$6:$AF$9,3)+'Escalating commodity'!H226),'Escalating commodity'!H226))</f>
        <v/>
      </c>
      <c r="AI213" s="88" t="str">
        <f t="shared" si="150"/>
        <v/>
      </c>
      <c r="AJ213" s="236" t="e">
        <f t="shared" si="137"/>
        <v>#VALUE!</v>
      </c>
      <c r="AK213" s="58" t="str">
        <f t="shared" si="138"/>
        <v/>
      </c>
      <c r="AL213" s="26" t="str">
        <f>IF($A214="","",_xll.SPRDOPT(P213,X213,AI213,0,AB213,AE213,AF213,AK213,$AJ$2,0))</f>
        <v/>
      </c>
      <c r="AM213" s="89" t="str">
        <f t="shared" si="139"/>
        <v/>
      </c>
      <c r="AN213" s="89" t="str">
        <f t="shared" si="140"/>
        <v/>
      </c>
      <c r="AO213" s="3" t="str">
        <f t="shared" si="141"/>
        <v/>
      </c>
      <c r="AP213" s="33" t="str">
        <f t="shared" si="142"/>
        <v/>
      </c>
      <c r="AQ213" s="58" t="str">
        <f t="shared" si="143"/>
        <v/>
      </c>
      <c r="AR213" s="38">
        <f>'ANR OK vs ML7'!AR213</f>
        <v>0.1</v>
      </c>
      <c r="AS213" s="35" t="str">
        <f t="shared" si="144"/>
        <v/>
      </c>
      <c r="AT213" s="3" t="str">
        <f t="shared" si="145"/>
        <v/>
      </c>
      <c r="AU213" s="3" t="str">
        <f t="shared" si="146"/>
        <v/>
      </c>
      <c r="AW213" s="32" t="str">
        <f t="shared" si="147"/>
        <v/>
      </c>
      <c r="AX213" s="32" t="str">
        <f t="shared" si="147"/>
        <v/>
      </c>
      <c r="AY213" s="32" t="str">
        <f t="shared" si="148"/>
        <v/>
      </c>
      <c r="BA213" s="32" t="str">
        <f>IF($A214="","",F213*Summary!$Q$12)</f>
        <v/>
      </c>
    </row>
    <row r="214" spans="1:53" ht="12" customHeight="1">
      <c r="A214" s="67" t="str">
        <f t="shared" si="149"/>
        <v/>
      </c>
      <c r="B214" s="69" t="str">
        <f t="shared" si="151"/>
        <v/>
      </c>
      <c r="C214" s="71"/>
      <c r="D214" s="69" t="str">
        <f t="shared" si="115"/>
        <v/>
      </c>
      <c r="E214" s="70" t="str">
        <f t="shared" si="116"/>
        <v/>
      </c>
      <c r="F214" s="70" t="str">
        <f t="shared" si="117"/>
        <v/>
      </c>
      <c r="G214" s="63" t="str">
        <f t="shared" si="118"/>
        <v/>
      </c>
      <c r="H214" s="64" t="str">
        <f t="shared" si="119"/>
        <v/>
      </c>
      <c r="I214" s="43"/>
      <c r="J214" s="63" t="str">
        <f t="shared" si="120"/>
        <v/>
      </c>
      <c r="K214" s="64" t="str">
        <f t="shared" si="121"/>
        <v/>
      </c>
      <c r="L214" s="63" t="str">
        <f t="shared" si="122"/>
        <v/>
      </c>
      <c r="M214" s="64" t="str">
        <f t="shared" si="123"/>
        <v/>
      </c>
      <c r="N214" s="65"/>
      <c r="O214" s="63" t="str">
        <f t="shared" si="124"/>
        <v/>
      </c>
      <c r="P214" s="63" t="str">
        <f t="shared" si="125"/>
        <v/>
      </c>
      <c r="Q214" s="66"/>
      <c r="R214" s="63" t="str">
        <f t="shared" si="126"/>
        <v/>
      </c>
      <c r="S214" s="64" t="str">
        <f t="shared" si="127"/>
        <v/>
      </c>
      <c r="T214" s="63" t="str">
        <f t="shared" si="128"/>
        <v/>
      </c>
      <c r="U214" s="64" t="str">
        <f t="shared" si="129"/>
        <v/>
      </c>
      <c r="V214" s="90" t="str">
        <f>IF($A215="","",IF(AND(MONTH(A214)&gt;3,MONTH(A214)&lt;11),(T214+R214+G214)*(((1/(1-Summary!$T$12))/(1-Summary!$W$12))-1),(T214+R214+G214)*((1/(1-Summary!$U$12))/(1-Summary!$X$12)-1)))</f>
        <v/>
      </c>
      <c r="W214" s="63" t="str">
        <f t="shared" si="130"/>
        <v/>
      </c>
      <c r="X214" s="63" t="str">
        <f t="shared" si="131"/>
        <v/>
      </c>
      <c r="Y214" s="43"/>
      <c r="Z214" s="38" t="str">
        <f t="shared" si="132"/>
        <v/>
      </c>
      <c r="AA214" s="38" t="str">
        <f t="shared" si="133"/>
        <v/>
      </c>
      <c r="AB214" s="38" t="e">
        <f t="shared" si="134"/>
        <v>#VALUE!</v>
      </c>
      <c r="AC214" s="38" t="str">
        <f t="shared" si="135"/>
        <v/>
      </c>
      <c r="AD214" s="38" t="str">
        <f t="shared" si="135"/>
        <v/>
      </c>
      <c r="AE214" s="38" t="e">
        <f t="shared" si="136"/>
        <v>#VALUE!</v>
      </c>
      <c r="AF214" s="238" t="e">
        <f>((Summary!$N$12*(AA214*AD214)*(A214-$D$3))+(Summary!$M$12*Z214*AC214*(AJ214-EOMONTH(EDATE(A214,-1),0))))/(AK214*AB214*AE214)</f>
        <v>#VALUE!</v>
      </c>
      <c r="AG214" s="88" t="str">
        <f>IF($A215="","",Summary!$Q$12)</f>
        <v/>
      </c>
      <c r="AH214" s="88" t="str">
        <f>IF($A215="","",IF(Summary!$R$12="Y",(VLOOKUP($A214,Summary!$AD$6:$AF$9,3)+'Escalating commodity'!H227),'Escalating commodity'!H227))</f>
        <v/>
      </c>
      <c r="AI214" s="88" t="str">
        <f t="shared" si="150"/>
        <v/>
      </c>
      <c r="AJ214" s="236" t="e">
        <f t="shared" si="137"/>
        <v>#VALUE!</v>
      </c>
      <c r="AK214" s="58" t="str">
        <f t="shared" si="138"/>
        <v/>
      </c>
      <c r="AL214" s="26" t="str">
        <f>IF($A215="","",_xll.SPRDOPT(P214,X214,AI214,0,AB214,AE214,AF214,AK214,$AJ$2,0))</f>
        <v/>
      </c>
      <c r="AM214" s="89" t="str">
        <f t="shared" si="139"/>
        <v/>
      </c>
      <c r="AN214" s="89" t="str">
        <f t="shared" si="140"/>
        <v/>
      </c>
      <c r="AO214" s="3" t="str">
        <f t="shared" si="141"/>
        <v/>
      </c>
      <c r="AP214" s="33" t="str">
        <f t="shared" si="142"/>
        <v/>
      </c>
      <c r="AQ214" s="58" t="str">
        <f t="shared" si="143"/>
        <v/>
      </c>
      <c r="AR214" s="38">
        <f>'ANR OK vs ML7'!AR214</f>
        <v>0.1</v>
      </c>
      <c r="AS214" s="35" t="str">
        <f t="shared" si="144"/>
        <v/>
      </c>
      <c r="AT214" s="3" t="str">
        <f t="shared" si="145"/>
        <v/>
      </c>
      <c r="AU214" s="3" t="str">
        <f t="shared" si="146"/>
        <v/>
      </c>
      <c r="AW214" s="32" t="str">
        <f t="shared" si="147"/>
        <v/>
      </c>
      <c r="AX214" s="32" t="str">
        <f t="shared" si="147"/>
        <v/>
      </c>
      <c r="AY214" s="32" t="str">
        <f t="shared" si="148"/>
        <v/>
      </c>
      <c r="BA214" s="32" t="str">
        <f>IF($A215="","",F214*Summary!$Q$12)</f>
        <v/>
      </c>
    </row>
    <row r="215" spans="1:53" ht="12" customHeight="1">
      <c r="A215" s="67" t="str">
        <f t="shared" si="149"/>
        <v/>
      </c>
      <c r="B215" s="69" t="str">
        <f t="shared" si="151"/>
        <v/>
      </c>
      <c r="C215" s="71"/>
      <c r="D215" s="69" t="str">
        <f t="shared" si="115"/>
        <v/>
      </c>
      <c r="E215" s="70" t="str">
        <f t="shared" si="116"/>
        <v/>
      </c>
      <c r="F215" s="70" t="str">
        <f t="shared" si="117"/>
        <v/>
      </c>
      <c r="G215" s="63" t="str">
        <f t="shared" si="118"/>
        <v/>
      </c>
      <c r="H215" s="64" t="str">
        <f t="shared" si="119"/>
        <v/>
      </c>
      <c r="I215" s="43"/>
      <c r="J215" s="63" t="str">
        <f t="shared" si="120"/>
        <v/>
      </c>
      <c r="K215" s="64" t="str">
        <f t="shared" si="121"/>
        <v/>
      </c>
      <c r="L215" s="63" t="str">
        <f t="shared" si="122"/>
        <v/>
      </c>
      <c r="M215" s="64" t="str">
        <f t="shared" si="123"/>
        <v/>
      </c>
      <c r="N215" s="65"/>
      <c r="O215" s="63" t="str">
        <f t="shared" si="124"/>
        <v/>
      </c>
      <c r="P215" s="63" t="str">
        <f t="shared" si="125"/>
        <v/>
      </c>
      <c r="Q215" s="66"/>
      <c r="R215" s="63" t="str">
        <f t="shared" si="126"/>
        <v/>
      </c>
      <c r="S215" s="64" t="str">
        <f t="shared" si="127"/>
        <v/>
      </c>
      <c r="T215" s="63" t="str">
        <f t="shared" si="128"/>
        <v/>
      </c>
      <c r="U215" s="64" t="str">
        <f t="shared" si="129"/>
        <v/>
      </c>
      <c r="V215" s="90" t="str">
        <f>IF($A216="","",IF(AND(MONTH(A215)&gt;3,MONTH(A215)&lt;11),(T215+R215+G215)*(((1/(1-Summary!$T$12))/(1-Summary!$W$12))-1),(T215+R215+G215)*((1/(1-Summary!$U$12))/(1-Summary!$X$12)-1)))</f>
        <v/>
      </c>
      <c r="W215" s="63" t="str">
        <f t="shared" si="130"/>
        <v/>
      </c>
      <c r="X215" s="63" t="str">
        <f t="shared" si="131"/>
        <v/>
      </c>
      <c r="Y215" s="43"/>
      <c r="Z215" s="38" t="str">
        <f t="shared" si="132"/>
        <v/>
      </c>
      <c r="AA215" s="38" t="str">
        <f t="shared" si="133"/>
        <v/>
      </c>
      <c r="AB215" s="38" t="e">
        <f t="shared" si="134"/>
        <v>#VALUE!</v>
      </c>
      <c r="AC215" s="38" t="str">
        <f t="shared" si="135"/>
        <v/>
      </c>
      <c r="AD215" s="38" t="str">
        <f t="shared" si="135"/>
        <v/>
      </c>
      <c r="AE215" s="38" t="e">
        <f t="shared" si="136"/>
        <v>#VALUE!</v>
      </c>
      <c r="AF215" s="238" t="e">
        <f>((Summary!$N$12*(AA215*AD215)*(A215-$D$3))+(Summary!$M$12*Z215*AC215*(AJ215-EOMONTH(EDATE(A215,-1),0))))/(AK215*AB215*AE215)</f>
        <v>#VALUE!</v>
      </c>
      <c r="AG215" s="88" t="str">
        <f>IF($A216="","",Summary!$Q$12)</f>
        <v/>
      </c>
      <c r="AH215" s="88" t="str">
        <f>IF($A216="","",IF(Summary!$R$12="Y",(VLOOKUP($A215,Summary!$AD$6:$AF$9,3)+'Escalating commodity'!H228),'Escalating commodity'!H228))</f>
        <v/>
      </c>
      <c r="AI215" s="88" t="str">
        <f t="shared" si="150"/>
        <v/>
      </c>
      <c r="AJ215" s="236" t="e">
        <f t="shared" si="137"/>
        <v>#VALUE!</v>
      </c>
      <c r="AK215" s="58" t="str">
        <f t="shared" si="138"/>
        <v/>
      </c>
      <c r="AL215" s="26" t="str">
        <f>IF($A216="","",_xll.SPRDOPT(P215,X215,AI215,0,AB215,AE215,AF215,AK215,$AJ$2,0))</f>
        <v/>
      </c>
      <c r="AM215" s="89" t="str">
        <f t="shared" si="139"/>
        <v/>
      </c>
      <c r="AN215" s="89" t="str">
        <f t="shared" si="140"/>
        <v/>
      </c>
      <c r="AO215" s="3" t="str">
        <f t="shared" si="141"/>
        <v/>
      </c>
      <c r="AP215" s="33" t="str">
        <f t="shared" si="142"/>
        <v/>
      </c>
      <c r="AQ215" s="58" t="str">
        <f t="shared" si="143"/>
        <v/>
      </c>
      <c r="AR215" s="38">
        <f>'ANR OK vs ML7'!AR215</f>
        <v>0.1</v>
      </c>
      <c r="AS215" s="35" t="str">
        <f t="shared" si="144"/>
        <v/>
      </c>
      <c r="AT215" s="3" t="str">
        <f t="shared" si="145"/>
        <v/>
      </c>
      <c r="AU215" s="3" t="str">
        <f t="shared" si="146"/>
        <v/>
      </c>
      <c r="AW215" s="32" t="str">
        <f t="shared" si="147"/>
        <v/>
      </c>
      <c r="AX215" s="32" t="str">
        <f t="shared" si="147"/>
        <v/>
      </c>
      <c r="AY215" s="32" t="str">
        <f t="shared" si="148"/>
        <v/>
      </c>
      <c r="BA215" s="32" t="str">
        <f>IF($A216="","",F215*Summary!$Q$12)</f>
        <v/>
      </c>
    </row>
    <row r="216" spans="1:53" ht="12" customHeight="1">
      <c r="A216" s="67" t="str">
        <f t="shared" si="149"/>
        <v/>
      </c>
      <c r="B216" s="69" t="str">
        <f t="shared" si="151"/>
        <v/>
      </c>
      <c r="C216" s="71"/>
      <c r="D216" s="69" t="str">
        <f t="shared" si="115"/>
        <v/>
      </c>
      <c r="E216" s="70" t="str">
        <f t="shared" si="116"/>
        <v/>
      </c>
      <c r="F216" s="70" t="str">
        <f t="shared" si="117"/>
        <v/>
      </c>
      <c r="G216" s="63" t="str">
        <f t="shared" si="118"/>
        <v/>
      </c>
      <c r="H216" s="64" t="str">
        <f t="shared" si="119"/>
        <v/>
      </c>
      <c r="I216" s="43"/>
      <c r="J216" s="63" t="str">
        <f t="shared" si="120"/>
        <v/>
      </c>
      <c r="K216" s="64" t="str">
        <f t="shared" si="121"/>
        <v/>
      </c>
      <c r="L216" s="63" t="str">
        <f t="shared" si="122"/>
        <v/>
      </c>
      <c r="M216" s="64" t="str">
        <f t="shared" si="123"/>
        <v/>
      </c>
      <c r="N216" s="65"/>
      <c r="O216" s="63" t="str">
        <f t="shared" si="124"/>
        <v/>
      </c>
      <c r="P216" s="63" t="str">
        <f t="shared" si="125"/>
        <v/>
      </c>
      <c r="Q216" s="66"/>
      <c r="R216" s="63" t="str">
        <f t="shared" si="126"/>
        <v/>
      </c>
      <c r="S216" s="64" t="str">
        <f t="shared" si="127"/>
        <v/>
      </c>
      <c r="T216" s="63" t="str">
        <f t="shared" si="128"/>
        <v/>
      </c>
      <c r="U216" s="64" t="str">
        <f t="shared" si="129"/>
        <v/>
      </c>
      <c r="V216" s="90" t="str">
        <f>IF($A217="","",IF(AND(MONTH(A216)&gt;3,MONTH(A216)&lt;11),(T216+R216+G216)*(((1/(1-Summary!$T$12))/(1-Summary!$W$12))-1),(T216+R216+G216)*((1/(1-Summary!$U$12))/(1-Summary!$X$12)-1)))</f>
        <v/>
      </c>
      <c r="W216" s="63" t="str">
        <f t="shared" si="130"/>
        <v/>
      </c>
      <c r="X216" s="63" t="str">
        <f t="shared" si="131"/>
        <v/>
      </c>
      <c r="Y216" s="43"/>
      <c r="Z216" s="38" t="str">
        <f t="shared" si="132"/>
        <v/>
      </c>
      <c r="AA216" s="38" t="str">
        <f t="shared" si="133"/>
        <v/>
      </c>
      <c r="AB216" s="38" t="e">
        <f t="shared" si="134"/>
        <v>#VALUE!</v>
      </c>
      <c r="AC216" s="38" t="str">
        <f t="shared" si="135"/>
        <v/>
      </c>
      <c r="AD216" s="38" t="str">
        <f t="shared" si="135"/>
        <v/>
      </c>
      <c r="AE216" s="38" t="e">
        <f t="shared" si="136"/>
        <v>#VALUE!</v>
      </c>
      <c r="AF216" s="238" t="e">
        <f>((Summary!$N$12*(AA216*AD216)*(A216-$D$3))+(Summary!$M$12*Z216*AC216*(AJ216-EOMONTH(EDATE(A216,-1),0))))/(AK216*AB216*AE216)</f>
        <v>#VALUE!</v>
      </c>
      <c r="AG216" s="88" t="str">
        <f>IF($A217="","",Summary!$Q$12)</f>
        <v/>
      </c>
      <c r="AH216" s="88" t="str">
        <f>IF($A217="","",IF(Summary!$R$12="Y",(VLOOKUP($A216,Summary!$AD$6:$AF$9,3)+'Escalating commodity'!H229),'Escalating commodity'!H229))</f>
        <v/>
      </c>
      <c r="AI216" s="88" t="str">
        <f t="shared" si="150"/>
        <v/>
      </c>
      <c r="AJ216" s="236" t="e">
        <f t="shared" si="137"/>
        <v>#VALUE!</v>
      </c>
      <c r="AK216" s="58" t="str">
        <f t="shared" si="138"/>
        <v/>
      </c>
      <c r="AL216" s="26" t="str">
        <f>IF($A217="","",_xll.SPRDOPT(P216,X216,AI216,0,AB216,AE216,AF216,AK216,$AJ$2,0))</f>
        <v/>
      </c>
      <c r="AM216" s="89" t="str">
        <f t="shared" si="139"/>
        <v/>
      </c>
      <c r="AN216" s="89" t="str">
        <f t="shared" si="140"/>
        <v/>
      </c>
      <c r="AO216" s="3" t="str">
        <f t="shared" si="141"/>
        <v/>
      </c>
      <c r="AP216" s="33" t="str">
        <f t="shared" si="142"/>
        <v/>
      </c>
      <c r="AQ216" s="58" t="str">
        <f t="shared" si="143"/>
        <v/>
      </c>
      <c r="AR216" s="38">
        <f>'ANR OK vs ML7'!AR216</f>
        <v>0.1</v>
      </c>
      <c r="AS216" s="35" t="str">
        <f t="shared" si="144"/>
        <v/>
      </c>
      <c r="AT216" s="3" t="str">
        <f t="shared" si="145"/>
        <v/>
      </c>
      <c r="AU216" s="3" t="str">
        <f t="shared" si="146"/>
        <v/>
      </c>
      <c r="AW216" s="32" t="str">
        <f t="shared" si="147"/>
        <v/>
      </c>
      <c r="AX216" s="32" t="str">
        <f t="shared" si="147"/>
        <v/>
      </c>
      <c r="AY216" s="32" t="str">
        <f t="shared" si="148"/>
        <v/>
      </c>
      <c r="BA216" s="32" t="str">
        <f>IF($A217="","",F216*Summary!$Q$12)</f>
        <v/>
      </c>
    </row>
    <row r="217" spans="1:53" ht="12" customHeight="1">
      <c r="A217" s="67" t="str">
        <f t="shared" si="149"/>
        <v/>
      </c>
      <c r="B217" s="69" t="str">
        <f t="shared" si="151"/>
        <v/>
      </c>
      <c r="C217" s="71"/>
      <c r="D217" s="69" t="str">
        <f t="shared" si="115"/>
        <v/>
      </c>
      <c r="E217" s="70" t="str">
        <f t="shared" si="116"/>
        <v/>
      </c>
      <c r="F217" s="70" t="str">
        <f t="shared" si="117"/>
        <v/>
      </c>
      <c r="G217" s="63" t="str">
        <f t="shared" si="118"/>
        <v/>
      </c>
      <c r="H217" s="64" t="str">
        <f t="shared" si="119"/>
        <v/>
      </c>
      <c r="I217" s="43"/>
      <c r="J217" s="63" t="str">
        <f t="shared" si="120"/>
        <v/>
      </c>
      <c r="K217" s="64" t="str">
        <f t="shared" si="121"/>
        <v/>
      </c>
      <c r="L217" s="63" t="str">
        <f t="shared" si="122"/>
        <v/>
      </c>
      <c r="M217" s="64" t="str">
        <f t="shared" si="123"/>
        <v/>
      </c>
      <c r="N217" s="65"/>
      <c r="O217" s="63" t="str">
        <f t="shared" si="124"/>
        <v/>
      </c>
      <c r="P217" s="63" t="str">
        <f t="shared" si="125"/>
        <v/>
      </c>
      <c r="Q217" s="66"/>
      <c r="R217" s="63" t="str">
        <f t="shared" si="126"/>
        <v/>
      </c>
      <c r="S217" s="64" t="str">
        <f t="shared" si="127"/>
        <v/>
      </c>
      <c r="T217" s="63" t="str">
        <f t="shared" si="128"/>
        <v/>
      </c>
      <c r="U217" s="64" t="str">
        <f t="shared" si="129"/>
        <v/>
      </c>
      <c r="V217" s="90" t="str">
        <f>IF($A218="","",IF(AND(MONTH(A217)&gt;3,MONTH(A217)&lt;11),(T217+R217+G217)*(((1/(1-Summary!$T$12))/(1-Summary!$W$12))-1),(T217+R217+G217)*((1/(1-Summary!$U$12))/(1-Summary!$X$12)-1)))</f>
        <v/>
      </c>
      <c r="W217" s="63" t="str">
        <f t="shared" si="130"/>
        <v/>
      </c>
      <c r="X217" s="63" t="str">
        <f t="shared" si="131"/>
        <v/>
      </c>
      <c r="Y217" s="43"/>
      <c r="Z217" s="38" t="str">
        <f t="shared" si="132"/>
        <v/>
      </c>
      <c r="AA217" s="38" t="str">
        <f t="shared" si="133"/>
        <v/>
      </c>
      <c r="AB217" s="38" t="e">
        <f t="shared" si="134"/>
        <v>#VALUE!</v>
      </c>
      <c r="AC217" s="38" t="str">
        <f t="shared" si="135"/>
        <v/>
      </c>
      <c r="AD217" s="38" t="str">
        <f t="shared" si="135"/>
        <v/>
      </c>
      <c r="AE217" s="38" t="e">
        <f t="shared" si="136"/>
        <v>#VALUE!</v>
      </c>
      <c r="AF217" s="238" t="e">
        <f>((Summary!$N$12*(AA217*AD217)*(A217-$D$3))+(Summary!$M$12*Z217*AC217*(AJ217-EOMONTH(EDATE(A217,-1),0))))/(AK217*AB217*AE217)</f>
        <v>#VALUE!</v>
      </c>
      <c r="AG217" s="88" t="str">
        <f>IF($A218="","",Summary!$Q$12)</f>
        <v/>
      </c>
      <c r="AH217" s="88" t="str">
        <f>IF($A218="","",IF(Summary!$R$12="Y",(VLOOKUP($A217,Summary!$AD$6:$AF$9,3)+'Escalating commodity'!H230),'Escalating commodity'!H230))</f>
        <v/>
      </c>
      <c r="AI217" s="88" t="str">
        <f t="shared" si="150"/>
        <v/>
      </c>
      <c r="AJ217" s="236" t="e">
        <f t="shared" si="137"/>
        <v>#VALUE!</v>
      </c>
      <c r="AK217" s="58" t="str">
        <f t="shared" si="138"/>
        <v/>
      </c>
      <c r="AL217" s="26" t="str">
        <f>IF($A218="","",_xll.SPRDOPT(P217,X217,AI217,0,AB217,AE217,AF217,AK217,$AJ$2,0))</f>
        <v/>
      </c>
      <c r="AM217" s="89" t="str">
        <f t="shared" si="139"/>
        <v/>
      </c>
      <c r="AN217" s="89" t="str">
        <f t="shared" si="140"/>
        <v/>
      </c>
      <c r="AO217" s="3" t="str">
        <f t="shared" si="141"/>
        <v/>
      </c>
      <c r="AP217" s="33" t="str">
        <f t="shared" si="142"/>
        <v/>
      </c>
      <c r="AQ217" s="58" t="str">
        <f t="shared" si="143"/>
        <v/>
      </c>
      <c r="AR217" s="38">
        <f>'ANR OK vs ML7'!AR217</f>
        <v>0.1</v>
      </c>
      <c r="AS217" s="35" t="str">
        <f t="shared" si="144"/>
        <v/>
      </c>
      <c r="AT217" s="3" t="str">
        <f t="shared" si="145"/>
        <v/>
      </c>
      <c r="AU217" s="3" t="str">
        <f t="shared" si="146"/>
        <v/>
      </c>
      <c r="AW217" s="32" t="str">
        <f t="shared" si="147"/>
        <v/>
      </c>
      <c r="AX217" s="32" t="str">
        <f t="shared" si="147"/>
        <v/>
      </c>
      <c r="AY217" s="32" t="str">
        <f t="shared" si="148"/>
        <v/>
      </c>
      <c r="BA217" s="32" t="str">
        <f>IF($A218="","",F217*Summary!$Q$12)</f>
        <v/>
      </c>
    </row>
    <row r="218" spans="1:53" ht="12" customHeight="1">
      <c r="A218" s="67" t="str">
        <f t="shared" si="149"/>
        <v/>
      </c>
      <c r="B218" s="69" t="str">
        <f t="shared" si="151"/>
        <v/>
      </c>
      <c r="C218" s="71"/>
      <c r="D218" s="69" t="str">
        <f t="shared" si="115"/>
        <v/>
      </c>
      <c r="E218" s="70" t="str">
        <f t="shared" si="116"/>
        <v/>
      </c>
      <c r="F218" s="70" t="str">
        <f t="shared" si="117"/>
        <v/>
      </c>
      <c r="G218" s="63" t="str">
        <f t="shared" si="118"/>
        <v/>
      </c>
      <c r="H218" s="64" t="str">
        <f t="shared" si="119"/>
        <v/>
      </c>
      <c r="I218" s="43"/>
      <c r="J218" s="63" t="str">
        <f t="shared" si="120"/>
        <v/>
      </c>
      <c r="K218" s="64" t="str">
        <f t="shared" si="121"/>
        <v/>
      </c>
      <c r="L218" s="63" t="str">
        <f t="shared" si="122"/>
        <v/>
      </c>
      <c r="M218" s="64" t="str">
        <f t="shared" si="123"/>
        <v/>
      </c>
      <c r="N218" s="65"/>
      <c r="O218" s="63" t="str">
        <f t="shared" si="124"/>
        <v/>
      </c>
      <c r="P218" s="63" t="str">
        <f t="shared" si="125"/>
        <v/>
      </c>
      <c r="Q218" s="66"/>
      <c r="R218" s="63" t="str">
        <f t="shared" si="126"/>
        <v/>
      </c>
      <c r="S218" s="64" t="str">
        <f t="shared" si="127"/>
        <v/>
      </c>
      <c r="T218" s="63" t="str">
        <f t="shared" si="128"/>
        <v/>
      </c>
      <c r="U218" s="64" t="str">
        <f t="shared" si="129"/>
        <v/>
      </c>
      <c r="V218" s="90" t="str">
        <f>IF($A219="","",IF(AND(MONTH(A218)&gt;3,MONTH(A218)&lt;11),(T218+R218+G218)*(((1/(1-Summary!$T$12))/(1-Summary!$W$12))-1),(T218+R218+G218)*((1/(1-Summary!$U$12))/(1-Summary!$X$12)-1)))</f>
        <v/>
      </c>
      <c r="W218" s="63" t="str">
        <f t="shared" si="130"/>
        <v/>
      </c>
      <c r="X218" s="63" t="str">
        <f t="shared" si="131"/>
        <v/>
      </c>
      <c r="Y218" s="43"/>
      <c r="Z218" s="38" t="str">
        <f t="shared" si="132"/>
        <v/>
      </c>
      <c r="AA218" s="38" t="str">
        <f t="shared" si="133"/>
        <v/>
      </c>
      <c r="AB218" s="38" t="e">
        <f t="shared" si="134"/>
        <v>#VALUE!</v>
      </c>
      <c r="AC218" s="38" t="str">
        <f t="shared" si="135"/>
        <v/>
      </c>
      <c r="AD218" s="38" t="str">
        <f t="shared" si="135"/>
        <v/>
      </c>
      <c r="AE218" s="38" t="e">
        <f t="shared" si="136"/>
        <v>#VALUE!</v>
      </c>
      <c r="AF218" s="238" t="e">
        <f>((Summary!$N$12*(AA218*AD218)*(A218-$D$3))+(Summary!$M$12*Z218*AC218*(AJ218-EOMONTH(EDATE(A218,-1),0))))/(AK218*AB218*AE218)</f>
        <v>#VALUE!</v>
      </c>
      <c r="AG218" s="88" t="str">
        <f>IF($A219="","",Summary!$Q$12)</f>
        <v/>
      </c>
      <c r="AH218" s="88" t="str">
        <f>IF($A219="","",IF(Summary!$R$12="Y",(VLOOKUP($A218,Summary!$AD$6:$AF$9,3)+'Escalating commodity'!H231),'Escalating commodity'!H231))</f>
        <v/>
      </c>
      <c r="AI218" s="88" t="str">
        <f t="shared" si="150"/>
        <v/>
      </c>
      <c r="AJ218" s="236" t="e">
        <f t="shared" si="137"/>
        <v>#VALUE!</v>
      </c>
      <c r="AK218" s="58" t="str">
        <f t="shared" si="138"/>
        <v/>
      </c>
      <c r="AL218" s="26" t="str">
        <f>IF($A219="","",_xll.SPRDOPT(P218,X218,AI218,0,AB218,AE218,AF218,AK218,$AJ$2,0))</f>
        <v/>
      </c>
      <c r="AM218" s="89" t="str">
        <f t="shared" si="139"/>
        <v/>
      </c>
      <c r="AN218" s="89" t="str">
        <f t="shared" si="140"/>
        <v/>
      </c>
      <c r="AO218" s="3" t="str">
        <f t="shared" si="141"/>
        <v/>
      </c>
      <c r="AP218" s="33" t="str">
        <f t="shared" si="142"/>
        <v/>
      </c>
      <c r="AQ218" s="58" t="str">
        <f t="shared" si="143"/>
        <v/>
      </c>
      <c r="AR218" s="38">
        <f>'ANR OK vs ML7'!AR218</f>
        <v>0.1</v>
      </c>
      <c r="AS218" s="35" t="str">
        <f t="shared" si="144"/>
        <v/>
      </c>
      <c r="AT218" s="3" t="str">
        <f t="shared" si="145"/>
        <v/>
      </c>
      <c r="AU218" s="3" t="str">
        <f t="shared" si="146"/>
        <v/>
      </c>
      <c r="AW218" s="32" t="str">
        <f t="shared" si="147"/>
        <v/>
      </c>
      <c r="AX218" s="32" t="str">
        <f t="shared" si="147"/>
        <v/>
      </c>
      <c r="AY218" s="32" t="str">
        <f t="shared" si="148"/>
        <v/>
      </c>
      <c r="BA218" s="32" t="str">
        <f>IF($A219="","",F218*Summary!$Q$12)</f>
        <v/>
      </c>
    </row>
    <row r="219" spans="1:53" ht="12" customHeight="1">
      <c r="A219" s="67" t="str">
        <f t="shared" si="149"/>
        <v/>
      </c>
      <c r="B219" s="69" t="str">
        <f t="shared" si="151"/>
        <v/>
      </c>
      <c r="C219" s="71"/>
      <c r="D219" s="69" t="str">
        <f t="shared" si="115"/>
        <v/>
      </c>
      <c r="E219" s="70" t="str">
        <f t="shared" si="116"/>
        <v/>
      </c>
      <c r="F219" s="70" t="str">
        <f t="shared" si="117"/>
        <v/>
      </c>
      <c r="G219" s="63" t="str">
        <f t="shared" si="118"/>
        <v/>
      </c>
      <c r="H219" s="64" t="str">
        <f t="shared" si="119"/>
        <v/>
      </c>
      <c r="I219" s="43"/>
      <c r="J219" s="63" t="str">
        <f t="shared" si="120"/>
        <v/>
      </c>
      <c r="K219" s="64" t="str">
        <f t="shared" si="121"/>
        <v/>
      </c>
      <c r="L219" s="63" t="str">
        <f t="shared" si="122"/>
        <v/>
      </c>
      <c r="M219" s="64" t="str">
        <f t="shared" si="123"/>
        <v/>
      </c>
      <c r="N219" s="65"/>
      <c r="O219" s="63" t="str">
        <f t="shared" si="124"/>
        <v/>
      </c>
      <c r="P219" s="63" t="str">
        <f t="shared" si="125"/>
        <v/>
      </c>
      <c r="Q219" s="66"/>
      <c r="R219" s="63" t="str">
        <f t="shared" si="126"/>
        <v/>
      </c>
      <c r="S219" s="64" t="str">
        <f t="shared" si="127"/>
        <v/>
      </c>
      <c r="T219" s="63" t="str">
        <f t="shared" si="128"/>
        <v/>
      </c>
      <c r="U219" s="64" t="str">
        <f t="shared" si="129"/>
        <v/>
      </c>
      <c r="V219" s="90" t="str">
        <f>IF($A220="","",IF(AND(MONTH(A219)&gt;3,MONTH(A219)&lt;11),(T219+R219+G219)*(((1/(1-Summary!$T$12))/(1-Summary!$W$12))-1),(T219+R219+G219)*((1/(1-Summary!$U$12))/(1-Summary!$X$12)-1)))</f>
        <v/>
      </c>
      <c r="W219" s="63" t="str">
        <f t="shared" si="130"/>
        <v/>
      </c>
      <c r="X219" s="63" t="str">
        <f t="shared" si="131"/>
        <v/>
      </c>
      <c r="Y219" s="43"/>
      <c r="Z219" s="38" t="str">
        <f t="shared" si="132"/>
        <v/>
      </c>
      <c r="AA219" s="38" t="str">
        <f t="shared" si="133"/>
        <v/>
      </c>
      <c r="AB219" s="38" t="e">
        <f t="shared" si="134"/>
        <v>#VALUE!</v>
      </c>
      <c r="AC219" s="38" t="str">
        <f t="shared" si="135"/>
        <v/>
      </c>
      <c r="AD219" s="38" t="str">
        <f t="shared" si="135"/>
        <v/>
      </c>
      <c r="AE219" s="38" t="e">
        <f t="shared" si="136"/>
        <v>#VALUE!</v>
      </c>
      <c r="AF219" s="238" t="e">
        <f>((Summary!$N$12*(AA219*AD219)*(A219-$D$3))+(Summary!$M$12*Z219*AC219*(AJ219-EOMONTH(EDATE(A219,-1),0))))/(AK219*AB219*AE219)</f>
        <v>#VALUE!</v>
      </c>
      <c r="AG219" s="88" t="str">
        <f>IF($A220="","",Summary!$Q$12)</f>
        <v/>
      </c>
      <c r="AH219" s="88" t="str">
        <f>IF($A220="","",IF(Summary!$R$12="Y",(VLOOKUP($A219,Summary!$AD$6:$AF$9,3)+'Escalating commodity'!H232),'Escalating commodity'!H232))</f>
        <v/>
      </c>
      <c r="AI219" s="88" t="str">
        <f t="shared" si="150"/>
        <v/>
      </c>
      <c r="AJ219" s="236" t="e">
        <f t="shared" si="137"/>
        <v>#VALUE!</v>
      </c>
      <c r="AK219" s="58" t="str">
        <f t="shared" si="138"/>
        <v/>
      </c>
      <c r="AL219" s="26" t="str">
        <f>IF($A220="","",_xll.SPRDOPT(P219,X219,AI219,0,AB219,AE219,AF219,AK219,$AJ$2,0))</f>
        <v/>
      </c>
      <c r="AM219" s="89" t="str">
        <f t="shared" si="139"/>
        <v/>
      </c>
      <c r="AN219" s="89" t="str">
        <f t="shared" si="140"/>
        <v/>
      </c>
      <c r="AO219" s="3" t="str">
        <f t="shared" si="141"/>
        <v/>
      </c>
      <c r="AP219" s="33" t="str">
        <f t="shared" si="142"/>
        <v/>
      </c>
      <c r="AQ219" s="58" t="str">
        <f t="shared" si="143"/>
        <v/>
      </c>
      <c r="AR219" s="38">
        <f>'ANR OK vs ML7'!AR219</f>
        <v>0.1</v>
      </c>
      <c r="AS219" s="35" t="str">
        <f t="shared" si="144"/>
        <v/>
      </c>
      <c r="AT219" s="3" t="str">
        <f t="shared" si="145"/>
        <v/>
      </c>
      <c r="AU219" s="3" t="str">
        <f t="shared" si="146"/>
        <v/>
      </c>
      <c r="AW219" s="32" t="str">
        <f t="shared" si="147"/>
        <v/>
      </c>
      <c r="AX219" s="32" t="str">
        <f t="shared" si="147"/>
        <v/>
      </c>
      <c r="AY219" s="32" t="str">
        <f t="shared" si="148"/>
        <v/>
      </c>
      <c r="BA219" s="32" t="str">
        <f>IF($A220="","",F219*Summary!$Q$12)</f>
        <v/>
      </c>
    </row>
    <row r="220" spans="1:53" ht="12" customHeight="1">
      <c r="A220" s="67" t="str">
        <f t="shared" si="149"/>
        <v/>
      </c>
      <c r="B220" s="69" t="str">
        <f t="shared" si="151"/>
        <v/>
      </c>
      <c r="C220" s="71"/>
      <c r="D220" s="69" t="str">
        <f t="shared" si="115"/>
        <v/>
      </c>
      <c r="E220" s="70" t="str">
        <f t="shared" si="116"/>
        <v/>
      </c>
      <c r="F220" s="70" t="str">
        <f t="shared" si="117"/>
        <v/>
      </c>
      <c r="G220" s="63" t="str">
        <f t="shared" si="118"/>
        <v/>
      </c>
      <c r="H220" s="64" t="str">
        <f t="shared" si="119"/>
        <v/>
      </c>
      <c r="I220" s="43"/>
      <c r="J220" s="63" t="str">
        <f t="shared" si="120"/>
        <v/>
      </c>
      <c r="K220" s="64" t="str">
        <f t="shared" si="121"/>
        <v/>
      </c>
      <c r="L220" s="63" t="str">
        <f t="shared" si="122"/>
        <v/>
      </c>
      <c r="M220" s="64" t="str">
        <f t="shared" si="123"/>
        <v/>
      </c>
      <c r="N220" s="65"/>
      <c r="O220" s="63" t="str">
        <f t="shared" si="124"/>
        <v/>
      </c>
      <c r="P220" s="63" t="str">
        <f t="shared" si="125"/>
        <v/>
      </c>
      <c r="Q220" s="66"/>
      <c r="R220" s="63" t="str">
        <f t="shared" si="126"/>
        <v/>
      </c>
      <c r="S220" s="64" t="str">
        <f t="shared" si="127"/>
        <v/>
      </c>
      <c r="T220" s="63" t="str">
        <f t="shared" si="128"/>
        <v/>
      </c>
      <c r="U220" s="64" t="str">
        <f t="shared" si="129"/>
        <v/>
      </c>
      <c r="V220" s="90" t="str">
        <f>IF($A221="","",IF(AND(MONTH(A220)&gt;3,MONTH(A220)&lt;11),(T220+R220+G220)*(((1/(1-Summary!$T$12))/(1-Summary!$W$12))-1),(T220+R220+G220)*((1/(1-Summary!$U$12))/(1-Summary!$X$12)-1)))</f>
        <v/>
      </c>
      <c r="W220" s="63" t="str">
        <f t="shared" si="130"/>
        <v/>
      </c>
      <c r="X220" s="63" t="str">
        <f t="shared" si="131"/>
        <v/>
      </c>
      <c r="Y220" s="43"/>
      <c r="Z220" s="38" t="str">
        <f t="shared" si="132"/>
        <v/>
      </c>
      <c r="AA220" s="38" t="str">
        <f t="shared" si="133"/>
        <v/>
      </c>
      <c r="AB220" s="38" t="e">
        <f t="shared" si="134"/>
        <v>#VALUE!</v>
      </c>
      <c r="AC220" s="38" t="str">
        <f t="shared" si="135"/>
        <v/>
      </c>
      <c r="AD220" s="38" t="str">
        <f t="shared" si="135"/>
        <v/>
      </c>
      <c r="AE220" s="38" t="e">
        <f t="shared" si="136"/>
        <v>#VALUE!</v>
      </c>
      <c r="AF220" s="238" t="e">
        <f>((Summary!$N$12*(AA220*AD220)*(A220-$D$3))+(Summary!$M$12*Z220*AC220*(AJ220-EOMONTH(EDATE(A220,-1),0))))/(AK220*AB220*AE220)</f>
        <v>#VALUE!</v>
      </c>
      <c r="AG220" s="88" t="str">
        <f>IF($A221="","",Summary!$Q$12)</f>
        <v/>
      </c>
      <c r="AH220" s="88" t="str">
        <f>IF($A221="","",IF(Summary!$R$12="Y",(VLOOKUP($A220,Summary!$AD$6:$AF$9,3)+'Escalating commodity'!H233),'Escalating commodity'!H233))</f>
        <v/>
      </c>
      <c r="AI220" s="88" t="str">
        <f t="shared" si="150"/>
        <v/>
      </c>
      <c r="AJ220" s="236" t="e">
        <f t="shared" si="137"/>
        <v>#VALUE!</v>
      </c>
      <c r="AK220" s="58" t="str">
        <f t="shared" si="138"/>
        <v/>
      </c>
      <c r="AL220" s="26" t="str">
        <f>IF($A221="","",_xll.SPRDOPT(P220,X220,AI220,0,AB220,AE220,AF220,AK220,$AJ$2,0))</f>
        <v/>
      </c>
      <c r="AM220" s="89" t="str">
        <f t="shared" si="139"/>
        <v/>
      </c>
      <c r="AN220" s="89" t="str">
        <f t="shared" si="140"/>
        <v/>
      </c>
      <c r="AO220" s="3" t="str">
        <f t="shared" si="141"/>
        <v/>
      </c>
      <c r="AP220" s="33" t="str">
        <f t="shared" si="142"/>
        <v/>
      </c>
      <c r="AQ220" s="58" t="str">
        <f t="shared" si="143"/>
        <v/>
      </c>
      <c r="AR220" s="38">
        <f>'ANR OK vs ML7'!AR220</f>
        <v>0.1</v>
      </c>
      <c r="AS220" s="35" t="str">
        <f t="shared" si="144"/>
        <v/>
      </c>
      <c r="AT220" s="3" t="str">
        <f t="shared" si="145"/>
        <v/>
      </c>
      <c r="AU220" s="3" t="str">
        <f t="shared" si="146"/>
        <v/>
      </c>
      <c r="AW220" s="32" t="str">
        <f t="shared" si="147"/>
        <v/>
      </c>
      <c r="AX220" s="32" t="str">
        <f t="shared" si="147"/>
        <v/>
      </c>
      <c r="AY220" s="32" t="str">
        <f t="shared" si="148"/>
        <v/>
      </c>
      <c r="BA220" s="32" t="str">
        <f>IF($A221="","",F220*Summary!$Q$12)</f>
        <v/>
      </c>
    </row>
    <row r="221" spans="1:53" ht="12" customHeight="1">
      <c r="A221" s="67" t="str">
        <f t="shared" si="149"/>
        <v/>
      </c>
      <c r="B221" s="69" t="str">
        <f t="shared" si="151"/>
        <v/>
      </c>
      <c r="C221" s="71"/>
      <c r="D221" s="69" t="str">
        <f t="shared" si="115"/>
        <v/>
      </c>
      <c r="E221" s="70" t="str">
        <f t="shared" si="116"/>
        <v/>
      </c>
      <c r="F221" s="70" t="str">
        <f t="shared" si="117"/>
        <v/>
      </c>
      <c r="G221" s="63" t="str">
        <f t="shared" si="118"/>
        <v/>
      </c>
      <c r="H221" s="64" t="str">
        <f t="shared" si="119"/>
        <v/>
      </c>
      <c r="I221" s="43"/>
      <c r="J221" s="63" t="str">
        <f t="shared" si="120"/>
        <v/>
      </c>
      <c r="K221" s="64" t="str">
        <f t="shared" si="121"/>
        <v/>
      </c>
      <c r="L221" s="63" t="str">
        <f t="shared" si="122"/>
        <v/>
      </c>
      <c r="M221" s="64" t="str">
        <f t="shared" si="123"/>
        <v/>
      </c>
      <c r="N221" s="65"/>
      <c r="O221" s="63" t="str">
        <f t="shared" si="124"/>
        <v/>
      </c>
      <c r="P221" s="63" t="str">
        <f t="shared" si="125"/>
        <v/>
      </c>
      <c r="Q221" s="66"/>
      <c r="R221" s="63" t="str">
        <f t="shared" si="126"/>
        <v/>
      </c>
      <c r="S221" s="64" t="str">
        <f t="shared" si="127"/>
        <v/>
      </c>
      <c r="T221" s="63" t="str">
        <f t="shared" si="128"/>
        <v/>
      </c>
      <c r="U221" s="64" t="str">
        <f t="shared" si="129"/>
        <v/>
      </c>
      <c r="V221" s="90" t="str">
        <f>IF($A222="","",IF(AND(MONTH(A221)&gt;3,MONTH(A221)&lt;11),(T221+R221+G221)*(((1/(1-Summary!$T$12))/(1-Summary!$W$12))-1),(T221+R221+G221)*((1/(1-Summary!$U$12))/(1-Summary!$X$12)-1)))</f>
        <v/>
      </c>
      <c r="W221" s="63" t="str">
        <f t="shared" si="130"/>
        <v/>
      </c>
      <c r="X221" s="63" t="str">
        <f t="shared" si="131"/>
        <v/>
      </c>
      <c r="Y221" s="43"/>
      <c r="Z221" s="38" t="str">
        <f t="shared" si="132"/>
        <v/>
      </c>
      <c r="AA221" s="38" t="str">
        <f t="shared" si="133"/>
        <v/>
      </c>
      <c r="AB221" s="38" t="e">
        <f t="shared" si="134"/>
        <v>#VALUE!</v>
      </c>
      <c r="AC221" s="38" t="str">
        <f t="shared" si="135"/>
        <v/>
      </c>
      <c r="AD221" s="38" t="str">
        <f t="shared" si="135"/>
        <v/>
      </c>
      <c r="AE221" s="38" t="e">
        <f t="shared" si="136"/>
        <v>#VALUE!</v>
      </c>
      <c r="AF221" s="238" t="e">
        <f>((Summary!$N$12*(AA221*AD221)*(A221-$D$3))+(Summary!$M$12*Z221*AC221*(AJ221-EOMONTH(EDATE(A221,-1),0))))/(AK221*AB221*AE221)</f>
        <v>#VALUE!</v>
      </c>
      <c r="AG221" s="88" t="str">
        <f>IF($A222="","",Summary!$Q$12)</f>
        <v/>
      </c>
      <c r="AH221" s="88" t="str">
        <f>IF($A222="","",IF(Summary!$R$12="Y",(VLOOKUP($A221,Summary!$AD$6:$AF$9,3)+'Escalating commodity'!H234),'Escalating commodity'!H234))</f>
        <v/>
      </c>
      <c r="AI221" s="88" t="str">
        <f t="shared" si="150"/>
        <v/>
      </c>
      <c r="AJ221" s="236" t="e">
        <f t="shared" si="137"/>
        <v>#VALUE!</v>
      </c>
      <c r="AK221" s="58" t="str">
        <f t="shared" si="138"/>
        <v/>
      </c>
      <c r="AL221" s="26" t="str">
        <f>IF($A222="","",_xll.SPRDOPT(P221,X221,AI221,0,AB221,AE221,AF221,AK221,$AJ$2,0))</f>
        <v/>
      </c>
      <c r="AM221" s="89" t="str">
        <f t="shared" si="139"/>
        <v/>
      </c>
      <c r="AN221" s="89" t="str">
        <f t="shared" si="140"/>
        <v/>
      </c>
      <c r="AO221" s="3" t="str">
        <f t="shared" si="141"/>
        <v/>
      </c>
      <c r="AP221" s="33" t="str">
        <f t="shared" si="142"/>
        <v/>
      </c>
      <c r="AQ221" s="58" t="str">
        <f t="shared" si="143"/>
        <v/>
      </c>
      <c r="AR221" s="38">
        <f>'ANR OK vs ML7'!AR221</f>
        <v>0.1</v>
      </c>
      <c r="AS221" s="35" t="str">
        <f t="shared" si="144"/>
        <v/>
      </c>
      <c r="AT221" s="3" t="str">
        <f t="shared" si="145"/>
        <v/>
      </c>
      <c r="AU221" s="3" t="str">
        <f t="shared" si="146"/>
        <v/>
      </c>
      <c r="AW221" s="32" t="str">
        <f t="shared" si="147"/>
        <v/>
      </c>
      <c r="AX221" s="32" t="str">
        <f t="shared" si="147"/>
        <v/>
      </c>
      <c r="AY221" s="32" t="str">
        <f t="shared" si="148"/>
        <v/>
      </c>
      <c r="BA221" s="32" t="str">
        <f>IF($A222="","",F221*Summary!$Q$12)</f>
        <v/>
      </c>
    </row>
    <row r="222" spans="1:53" ht="12" customHeight="1">
      <c r="A222" s="67" t="str">
        <f t="shared" si="149"/>
        <v/>
      </c>
      <c r="B222" s="69" t="str">
        <f t="shared" si="151"/>
        <v/>
      </c>
      <c r="C222" s="71"/>
      <c r="D222" s="69" t="str">
        <f t="shared" si="115"/>
        <v/>
      </c>
      <c r="E222" s="70" t="str">
        <f t="shared" si="116"/>
        <v/>
      </c>
      <c r="F222" s="70" t="str">
        <f t="shared" si="117"/>
        <v/>
      </c>
      <c r="G222" s="63" t="str">
        <f t="shared" si="118"/>
        <v/>
      </c>
      <c r="H222" s="64" t="str">
        <f t="shared" si="119"/>
        <v/>
      </c>
      <c r="I222" s="43"/>
      <c r="J222" s="63" t="str">
        <f t="shared" si="120"/>
        <v/>
      </c>
      <c r="K222" s="64" t="str">
        <f t="shared" si="121"/>
        <v/>
      </c>
      <c r="L222" s="63" t="str">
        <f t="shared" si="122"/>
        <v/>
      </c>
      <c r="M222" s="64" t="str">
        <f t="shared" si="123"/>
        <v/>
      </c>
      <c r="N222" s="65"/>
      <c r="O222" s="63" t="str">
        <f t="shared" si="124"/>
        <v/>
      </c>
      <c r="P222" s="63" t="str">
        <f t="shared" si="125"/>
        <v/>
      </c>
      <c r="Q222" s="66"/>
      <c r="R222" s="63" t="str">
        <f t="shared" si="126"/>
        <v/>
      </c>
      <c r="S222" s="64" t="str">
        <f t="shared" si="127"/>
        <v/>
      </c>
      <c r="T222" s="63" t="str">
        <f t="shared" si="128"/>
        <v/>
      </c>
      <c r="U222" s="64" t="str">
        <f t="shared" si="129"/>
        <v/>
      </c>
      <c r="V222" s="90" t="str">
        <f>IF($A223="","",IF(AND(MONTH(A222)&gt;3,MONTH(A222)&lt;11),(T222+R222+G222)*(((1/(1-Summary!$T$12))/(1-Summary!$W$12))-1),(T222+R222+G222)*((1/(1-Summary!$U$12))/(1-Summary!$X$12)-1)))</f>
        <v/>
      </c>
      <c r="W222" s="63" t="str">
        <f t="shared" si="130"/>
        <v/>
      </c>
      <c r="X222" s="63" t="str">
        <f t="shared" si="131"/>
        <v/>
      </c>
      <c r="Y222" s="43"/>
      <c r="Z222" s="38" t="str">
        <f t="shared" si="132"/>
        <v/>
      </c>
      <c r="AA222" s="38" t="str">
        <f t="shared" si="133"/>
        <v/>
      </c>
      <c r="AB222" s="38" t="e">
        <f t="shared" si="134"/>
        <v>#VALUE!</v>
      </c>
      <c r="AC222" s="38" t="str">
        <f t="shared" si="135"/>
        <v/>
      </c>
      <c r="AD222" s="38" t="str">
        <f t="shared" si="135"/>
        <v/>
      </c>
      <c r="AE222" s="38" t="e">
        <f t="shared" si="136"/>
        <v>#VALUE!</v>
      </c>
      <c r="AF222" s="238" t="e">
        <f>((Summary!$N$12*(AA222*AD222)*(A222-$D$3))+(Summary!$M$12*Z222*AC222*(AJ222-EOMONTH(EDATE(A222,-1),0))))/(AK222*AB222*AE222)</f>
        <v>#VALUE!</v>
      </c>
      <c r="AG222" s="88" t="str">
        <f>IF($A223="","",Summary!$Q$12)</f>
        <v/>
      </c>
      <c r="AH222" s="88" t="str">
        <f>IF($A223="","",IF(Summary!$R$12="Y",(VLOOKUP($A222,Summary!$AD$6:$AF$9,3)+'Escalating commodity'!H235),'Escalating commodity'!H235))</f>
        <v/>
      </c>
      <c r="AI222" s="88" t="str">
        <f t="shared" si="150"/>
        <v/>
      </c>
      <c r="AJ222" s="236" t="e">
        <f t="shared" si="137"/>
        <v>#VALUE!</v>
      </c>
      <c r="AK222" s="58" t="str">
        <f t="shared" si="138"/>
        <v/>
      </c>
      <c r="AL222" s="26" t="str">
        <f>IF($A223="","",_xll.SPRDOPT(P222,X222,AI222,0,AB222,AE222,AF222,AK222,$AJ$2,0))</f>
        <v/>
      </c>
      <c r="AM222" s="89" t="str">
        <f t="shared" si="139"/>
        <v/>
      </c>
      <c r="AN222" s="89" t="str">
        <f t="shared" si="140"/>
        <v/>
      </c>
      <c r="AO222" s="3" t="str">
        <f t="shared" si="141"/>
        <v/>
      </c>
      <c r="AP222" s="33" t="str">
        <f t="shared" si="142"/>
        <v/>
      </c>
      <c r="AQ222" s="58" t="str">
        <f t="shared" si="143"/>
        <v/>
      </c>
      <c r="AR222" s="38">
        <f>'ANR OK vs ML7'!AR222</f>
        <v>0.1</v>
      </c>
      <c r="AS222" s="35" t="str">
        <f t="shared" si="144"/>
        <v/>
      </c>
      <c r="AT222" s="3" t="str">
        <f t="shared" si="145"/>
        <v/>
      </c>
      <c r="AU222" s="3" t="str">
        <f t="shared" si="146"/>
        <v/>
      </c>
      <c r="AW222" s="32" t="str">
        <f t="shared" si="147"/>
        <v/>
      </c>
      <c r="AX222" s="32" t="str">
        <f t="shared" si="147"/>
        <v/>
      </c>
      <c r="AY222" s="32" t="str">
        <f t="shared" si="148"/>
        <v/>
      </c>
      <c r="BA222" s="32" t="str">
        <f>IF($A223="","",F222*Summary!$Q$12)</f>
        <v/>
      </c>
    </row>
    <row r="223" spans="1:53" ht="12" customHeight="1">
      <c r="A223" s="67" t="str">
        <f t="shared" si="149"/>
        <v/>
      </c>
      <c r="B223" s="69" t="str">
        <f t="shared" si="151"/>
        <v/>
      </c>
      <c r="C223" s="71"/>
      <c r="D223" s="69" t="str">
        <f t="shared" si="115"/>
        <v/>
      </c>
      <c r="E223" s="70" t="str">
        <f t="shared" si="116"/>
        <v/>
      </c>
      <c r="F223" s="70" t="str">
        <f t="shared" si="117"/>
        <v/>
      </c>
      <c r="G223" s="63" t="str">
        <f t="shared" si="118"/>
        <v/>
      </c>
      <c r="H223" s="64" t="str">
        <f t="shared" si="119"/>
        <v/>
      </c>
      <c r="I223" s="43"/>
      <c r="J223" s="63" t="str">
        <f t="shared" si="120"/>
        <v/>
      </c>
      <c r="K223" s="64" t="str">
        <f t="shared" si="121"/>
        <v/>
      </c>
      <c r="L223" s="63" t="str">
        <f t="shared" si="122"/>
        <v/>
      </c>
      <c r="M223" s="64" t="str">
        <f t="shared" si="123"/>
        <v/>
      </c>
      <c r="N223" s="65"/>
      <c r="O223" s="63" t="str">
        <f t="shared" si="124"/>
        <v/>
      </c>
      <c r="P223" s="63" t="str">
        <f t="shared" si="125"/>
        <v/>
      </c>
      <c r="Q223" s="66"/>
      <c r="R223" s="63" t="str">
        <f t="shared" si="126"/>
        <v/>
      </c>
      <c r="S223" s="64" t="str">
        <f t="shared" si="127"/>
        <v/>
      </c>
      <c r="T223" s="63" t="str">
        <f t="shared" si="128"/>
        <v/>
      </c>
      <c r="U223" s="64" t="str">
        <f t="shared" si="129"/>
        <v/>
      </c>
      <c r="V223" s="90" t="str">
        <f>IF($A224="","",IF(AND(MONTH(A223)&gt;3,MONTH(A223)&lt;11),(T223+R223+G223)*(((1/(1-Summary!$T$12))/(1-Summary!$W$12))-1),(T223+R223+G223)*((1/(1-Summary!$U$12))/(1-Summary!$X$12)-1)))</f>
        <v/>
      </c>
      <c r="W223" s="63" t="str">
        <f t="shared" si="130"/>
        <v/>
      </c>
      <c r="X223" s="63" t="str">
        <f t="shared" si="131"/>
        <v/>
      </c>
      <c r="Y223" s="43"/>
      <c r="Z223" s="38" t="str">
        <f t="shared" si="132"/>
        <v/>
      </c>
      <c r="AA223" s="38" t="str">
        <f t="shared" si="133"/>
        <v/>
      </c>
      <c r="AB223" s="38" t="e">
        <f t="shared" si="134"/>
        <v>#VALUE!</v>
      </c>
      <c r="AC223" s="38" t="str">
        <f t="shared" si="135"/>
        <v/>
      </c>
      <c r="AD223" s="38" t="str">
        <f t="shared" si="135"/>
        <v/>
      </c>
      <c r="AE223" s="38" t="e">
        <f t="shared" si="136"/>
        <v>#VALUE!</v>
      </c>
      <c r="AF223" s="238" t="e">
        <f>((Summary!$N$12*(AA223*AD223)*(A223-$D$3))+(Summary!$M$12*Z223*AC223*(AJ223-EOMONTH(EDATE(A223,-1),0))))/(AK223*AB223*AE223)</f>
        <v>#VALUE!</v>
      </c>
      <c r="AG223" s="88" t="str">
        <f>IF($A224="","",Summary!$Q$12)</f>
        <v/>
      </c>
      <c r="AH223" s="88" t="str">
        <f>IF($A224="","",IF(Summary!$R$12="Y",(VLOOKUP($A223,Summary!$AD$6:$AF$9,3)+'Escalating commodity'!H236),'Escalating commodity'!H236))</f>
        <v/>
      </c>
      <c r="AI223" s="88" t="str">
        <f t="shared" si="150"/>
        <v/>
      </c>
      <c r="AJ223" s="236" t="e">
        <f t="shared" si="137"/>
        <v>#VALUE!</v>
      </c>
      <c r="AK223" s="58" t="str">
        <f t="shared" si="138"/>
        <v/>
      </c>
      <c r="AL223" s="26" t="str">
        <f>IF($A224="","",_xll.SPRDOPT(P223,X223,AI223,0,AB223,AE223,AF223,AK223,$AJ$2,0))</f>
        <v/>
      </c>
      <c r="AM223" s="89" t="str">
        <f t="shared" si="139"/>
        <v/>
      </c>
      <c r="AN223" s="89" t="str">
        <f t="shared" si="140"/>
        <v/>
      </c>
      <c r="AO223" s="3" t="str">
        <f t="shared" si="141"/>
        <v/>
      </c>
      <c r="AP223" s="33" t="str">
        <f t="shared" si="142"/>
        <v/>
      </c>
      <c r="AQ223" s="58" t="str">
        <f t="shared" si="143"/>
        <v/>
      </c>
      <c r="AR223" s="38">
        <f>'ANR OK vs ML7'!AR223</f>
        <v>0.1</v>
      </c>
      <c r="AS223" s="35" t="str">
        <f t="shared" si="144"/>
        <v/>
      </c>
      <c r="AT223" s="3" t="str">
        <f t="shared" si="145"/>
        <v/>
      </c>
      <c r="AU223" s="3" t="str">
        <f t="shared" si="146"/>
        <v/>
      </c>
      <c r="AW223" s="32" t="str">
        <f t="shared" si="147"/>
        <v/>
      </c>
      <c r="AX223" s="32" t="str">
        <f t="shared" si="147"/>
        <v/>
      </c>
      <c r="AY223" s="32" t="str">
        <f t="shared" si="148"/>
        <v/>
      </c>
      <c r="BA223" s="32" t="str">
        <f>IF($A224="","",F223*Summary!$Q$12)</f>
        <v/>
      </c>
    </row>
    <row r="224" spans="1:53" ht="12" customHeight="1">
      <c r="A224" s="67" t="str">
        <f t="shared" si="149"/>
        <v/>
      </c>
      <c r="B224" s="69" t="str">
        <f t="shared" si="151"/>
        <v/>
      </c>
      <c r="C224" s="71"/>
      <c r="D224" s="69" t="str">
        <f t="shared" si="115"/>
        <v/>
      </c>
      <c r="E224" s="70" t="str">
        <f t="shared" si="116"/>
        <v/>
      </c>
      <c r="F224" s="70" t="str">
        <f t="shared" si="117"/>
        <v/>
      </c>
      <c r="G224" s="63" t="str">
        <f t="shared" si="118"/>
        <v/>
      </c>
      <c r="H224" s="64" t="str">
        <f t="shared" si="119"/>
        <v/>
      </c>
      <c r="I224" s="43"/>
      <c r="J224" s="63" t="str">
        <f t="shared" si="120"/>
        <v/>
      </c>
      <c r="K224" s="64" t="str">
        <f t="shared" si="121"/>
        <v/>
      </c>
      <c r="L224" s="63" t="str">
        <f t="shared" si="122"/>
        <v/>
      </c>
      <c r="M224" s="64" t="str">
        <f t="shared" si="123"/>
        <v/>
      </c>
      <c r="N224" s="65"/>
      <c r="O224" s="63" t="str">
        <f t="shared" si="124"/>
        <v/>
      </c>
      <c r="P224" s="63" t="str">
        <f t="shared" si="125"/>
        <v/>
      </c>
      <c r="Q224" s="66"/>
      <c r="R224" s="63" t="str">
        <f t="shared" si="126"/>
        <v/>
      </c>
      <c r="S224" s="64" t="str">
        <f t="shared" si="127"/>
        <v/>
      </c>
      <c r="T224" s="63" t="str">
        <f t="shared" si="128"/>
        <v/>
      </c>
      <c r="U224" s="64" t="str">
        <f t="shared" si="129"/>
        <v/>
      </c>
      <c r="V224" s="90" t="str">
        <f>IF($A225="","",IF(AND(MONTH(A224)&gt;3,MONTH(A224)&lt;11),(T224+R224+G224)*(((1/(1-Summary!$T$12))/(1-Summary!$W$12))-1),(T224+R224+G224)*((1/(1-Summary!$U$12))/(1-Summary!$X$12)-1)))</f>
        <v/>
      </c>
      <c r="W224" s="63" t="str">
        <f t="shared" si="130"/>
        <v/>
      </c>
      <c r="X224" s="63" t="str">
        <f t="shared" si="131"/>
        <v/>
      </c>
      <c r="Y224" s="43"/>
      <c r="Z224" s="38" t="str">
        <f t="shared" si="132"/>
        <v/>
      </c>
      <c r="AA224" s="38" t="str">
        <f t="shared" si="133"/>
        <v/>
      </c>
      <c r="AB224" s="38" t="e">
        <f t="shared" si="134"/>
        <v>#VALUE!</v>
      </c>
      <c r="AC224" s="38" t="str">
        <f t="shared" si="135"/>
        <v/>
      </c>
      <c r="AD224" s="38" t="str">
        <f t="shared" si="135"/>
        <v/>
      </c>
      <c r="AE224" s="38" t="e">
        <f t="shared" si="136"/>
        <v>#VALUE!</v>
      </c>
      <c r="AF224" s="238" t="e">
        <f>((Summary!$N$12*(AA224*AD224)*(A224-$D$3))+(Summary!$M$12*Z224*AC224*(AJ224-EOMONTH(EDATE(A224,-1),0))))/(AK224*AB224*AE224)</f>
        <v>#VALUE!</v>
      </c>
      <c r="AG224" s="88" t="str">
        <f>IF($A225="","",Summary!$Q$12)</f>
        <v/>
      </c>
      <c r="AH224" s="88" t="str">
        <f>IF($A225="","",IF(Summary!$R$12="Y",(VLOOKUP($A224,Summary!$AD$6:$AF$9,3)+'Escalating commodity'!H237),'Escalating commodity'!H237))</f>
        <v/>
      </c>
      <c r="AI224" s="88" t="str">
        <f t="shared" si="150"/>
        <v/>
      </c>
      <c r="AJ224" s="236" t="e">
        <f t="shared" si="137"/>
        <v>#VALUE!</v>
      </c>
      <c r="AK224" s="58" t="str">
        <f t="shared" si="138"/>
        <v/>
      </c>
      <c r="AL224" s="26" t="str">
        <f>IF($A225="","",_xll.SPRDOPT(P224,X224,AI224,0,AB224,AE224,AF224,AK224,$AJ$2,0))</f>
        <v/>
      </c>
      <c r="AM224" s="89" t="str">
        <f t="shared" si="139"/>
        <v/>
      </c>
      <c r="AN224" s="89" t="str">
        <f t="shared" si="140"/>
        <v/>
      </c>
      <c r="AO224" s="3" t="str">
        <f t="shared" si="141"/>
        <v/>
      </c>
      <c r="AP224" s="33" t="str">
        <f t="shared" si="142"/>
        <v/>
      </c>
      <c r="AQ224" s="58" t="str">
        <f t="shared" si="143"/>
        <v/>
      </c>
      <c r="AR224" s="38">
        <f>'ANR OK vs ML7'!AR224</f>
        <v>0.1</v>
      </c>
      <c r="AS224" s="35" t="str">
        <f t="shared" si="144"/>
        <v/>
      </c>
      <c r="AT224" s="3" t="str">
        <f t="shared" si="145"/>
        <v/>
      </c>
      <c r="AU224" s="3" t="str">
        <f t="shared" si="146"/>
        <v/>
      </c>
      <c r="AW224" s="32" t="str">
        <f t="shared" si="147"/>
        <v/>
      </c>
      <c r="AX224" s="32" t="str">
        <f t="shared" si="147"/>
        <v/>
      </c>
      <c r="AY224" s="32" t="str">
        <f t="shared" si="148"/>
        <v/>
      </c>
      <c r="BA224" s="32" t="str">
        <f>IF($A225="","",F224*Summary!$Q$12)</f>
        <v/>
      </c>
    </row>
    <row r="225" spans="1:53" ht="12" customHeight="1">
      <c r="A225" s="67" t="str">
        <f t="shared" si="149"/>
        <v/>
      </c>
      <c r="B225" s="69" t="str">
        <f t="shared" si="151"/>
        <v/>
      </c>
      <c r="C225" s="71"/>
      <c r="D225" s="69" t="str">
        <f t="shared" si="115"/>
        <v/>
      </c>
      <c r="E225" s="70" t="str">
        <f t="shared" si="116"/>
        <v/>
      </c>
      <c r="F225" s="70" t="str">
        <f t="shared" si="117"/>
        <v/>
      </c>
      <c r="G225" s="63" t="str">
        <f t="shared" si="118"/>
        <v/>
      </c>
      <c r="H225" s="64" t="str">
        <f t="shared" si="119"/>
        <v/>
      </c>
      <c r="I225" s="43"/>
      <c r="J225" s="63" t="str">
        <f t="shared" si="120"/>
        <v/>
      </c>
      <c r="K225" s="64" t="str">
        <f t="shared" si="121"/>
        <v/>
      </c>
      <c r="L225" s="63" t="str">
        <f t="shared" si="122"/>
        <v/>
      </c>
      <c r="M225" s="64" t="str">
        <f t="shared" si="123"/>
        <v/>
      </c>
      <c r="N225" s="65"/>
      <c r="O225" s="63" t="str">
        <f t="shared" si="124"/>
        <v/>
      </c>
      <c r="P225" s="63" t="str">
        <f t="shared" si="125"/>
        <v/>
      </c>
      <c r="Q225" s="66"/>
      <c r="R225" s="63" t="str">
        <f t="shared" si="126"/>
        <v/>
      </c>
      <c r="S225" s="64" t="str">
        <f t="shared" si="127"/>
        <v/>
      </c>
      <c r="T225" s="63" t="str">
        <f t="shared" si="128"/>
        <v/>
      </c>
      <c r="U225" s="64" t="str">
        <f t="shared" si="129"/>
        <v/>
      </c>
      <c r="V225" s="90" t="str">
        <f>IF($A226="","",IF(AND(MONTH(A225)&gt;3,MONTH(A225)&lt;11),(T225+R225+G225)*(((1/(1-Summary!$T$12))/(1-Summary!$W$12))-1),(T225+R225+G225)*((1/(1-Summary!$U$12))/(1-Summary!$X$12)-1)))</f>
        <v/>
      </c>
      <c r="W225" s="63" t="str">
        <f t="shared" si="130"/>
        <v/>
      </c>
      <c r="X225" s="63" t="str">
        <f t="shared" si="131"/>
        <v/>
      </c>
      <c r="Y225" s="43"/>
      <c r="Z225" s="38" t="str">
        <f t="shared" si="132"/>
        <v/>
      </c>
      <c r="AA225" s="38" t="str">
        <f t="shared" si="133"/>
        <v/>
      </c>
      <c r="AB225" s="38" t="e">
        <f t="shared" si="134"/>
        <v>#VALUE!</v>
      </c>
      <c r="AC225" s="38" t="str">
        <f t="shared" si="135"/>
        <v/>
      </c>
      <c r="AD225" s="38" t="str">
        <f t="shared" si="135"/>
        <v/>
      </c>
      <c r="AE225" s="38" t="e">
        <f t="shared" si="136"/>
        <v>#VALUE!</v>
      </c>
      <c r="AF225" s="238" t="e">
        <f>((Summary!$N$12*(AA225*AD225)*(A225-$D$3))+(Summary!$M$12*Z225*AC225*(AJ225-EOMONTH(EDATE(A225,-1),0))))/(AK225*AB225*AE225)</f>
        <v>#VALUE!</v>
      </c>
      <c r="AG225" s="88" t="str">
        <f>IF($A226="","",Summary!$Q$12)</f>
        <v/>
      </c>
      <c r="AH225" s="88" t="str">
        <f>IF($A226="","",IF(Summary!$R$12="Y",(VLOOKUP($A225,Summary!$AD$6:$AF$9,3)+'Escalating commodity'!H238),'Escalating commodity'!H238))</f>
        <v/>
      </c>
      <c r="AI225" s="88" t="str">
        <f t="shared" si="150"/>
        <v/>
      </c>
      <c r="AJ225" s="236" t="e">
        <f t="shared" si="137"/>
        <v>#VALUE!</v>
      </c>
      <c r="AK225" s="58" t="str">
        <f t="shared" si="138"/>
        <v/>
      </c>
      <c r="AL225" s="26" t="str">
        <f>IF($A226="","",_xll.SPRDOPT(P225,X225,AI225,0,AB225,AE225,AF225,AK225,$AJ$2,0))</f>
        <v/>
      </c>
      <c r="AM225" s="89" t="str">
        <f t="shared" si="139"/>
        <v/>
      </c>
      <c r="AN225" s="89" t="str">
        <f t="shared" si="140"/>
        <v/>
      </c>
      <c r="AO225" s="3" t="str">
        <f t="shared" si="141"/>
        <v/>
      </c>
      <c r="AP225" s="33" t="str">
        <f t="shared" si="142"/>
        <v/>
      </c>
      <c r="AQ225" s="58" t="str">
        <f t="shared" si="143"/>
        <v/>
      </c>
      <c r="AR225" s="38">
        <f>'ANR OK vs ML7'!AR225</f>
        <v>0.1</v>
      </c>
      <c r="AS225" s="35" t="str">
        <f t="shared" si="144"/>
        <v/>
      </c>
      <c r="AT225" s="3" t="str">
        <f t="shared" si="145"/>
        <v/>
      </c>
      <c r="AU225" s="3" t="str">
        <f t="shared" si="146"/>
        <v/>
      </c>
      <c r="AW225" s="32" t="str">
        <f t="shared" si="147"/>
        <v/>
      </c>
      <c r="AX225" s="32" t="str">
        <f t="shared" si="147"/>
        <v/>
      </c>
      <c r="AY225" s="32" t="str">
        <f t="shared" si="148"/>
        <v/>
      </c>
      <c r="BA225" s="32" t="str">
        <f>IF($A226="","",F225*Summary!$Q$12)</f>
        <v/>
      </c>
    </row>
    <row r="226" spans="1:53" ht="12" customHeight="1">
      <c r="A226" s="67" t="str">
        <f t="shared" si="149"/>
        <v/>
      </c>
      <c r="B226" s="69" t="str">
        <f t="shared" si="151"/>
        <v/>
      </c>
      <c r="C226" s="71"/>
      <c r="D226" s="69" t="str">
        <f t="shared" si="115"/>
        <v/>
      </c>
      <c r="E226" s="70" t="str">
        <f t="shared" si="116"/>
        <v/>
      </c>
      <c r="F226" s="70" t="str">
        <f t="shared" si="117"/>
        <v/>
      </c>
      <c r="G226" s="63" t="str">
        <f t="shared" si="118"/>
        <v/>
      </c>
      <c r="H226" s="64" t="str">
        <f t="shared" si="119"/>
        <v/>
      </c>
      <c r="I226" s="43"/>
      <c r="J226" s="63" t="str">
        <f t="shared" si="120"/>
        <v/>
      </c>
      <c r="K226" s="64" t="str">
        <f t="shared" si="121"/>
        <v/>
      </c>
      <c r="L226" s="63" t="str">
        <f t="shared" si="122"/>
        <v/>
      </c>
      <c r="M226" s="64" t="str">
        <f t="shared" si="123"/>
        <v/>
      </c>
      <c r="N226" s="65"/>
      <c r="O226" s="63" t="str">
        <f t="shared" si="124"/>
        <v/>
      </c>
      <c r="P226" s="63" t="str">
        <f t="shared" si="125"/>
        <v/>
      </c>
      <c r="Q226" s="66"/>
      <c r="R226" s="63" t="str">
        <f t="shared" si="126"/>
        <v/>
      </c>
      <c r="S226" s="64" t="str">
        <f t="shared" si="127"/>
        <v/>
      </c>
      <c r="T226" s="63" t="str">
        <f t="shared" si="128"/>
        <v/>
      </c>
      <c r="U226" s="64" t="str">
        <f t="shared" si="129"/>
        <v/>
      </c>
      <c r="V226" s="90" t="str">
        <f>IF($A227="","",IF(AND(MONTH(A226)&gt;3,MONTH(A226)&lt;11),(T226+R226+G226)*(((1/(1-Summary!$T$12))/(1-Summary!$W$12))-1),(T226+R226+G226)*((1/(1-Summary!$U$12))/(1-Summary!$X$12)-1)))</f>
        <v/>
      </c>
      <c r="W226" s="63" t="str">
        <f t="shared" si="130"/>
        <v/>
      </c>
      <c r="X226" s="63" t="str">
        <f t="shared" si="131"/>
        <v/>
      </c>
      <c r="Y226" s="43"/>
      <c r="Z226" s="38" t="str">
        <f t="shared" si="132"/>
        <v/>
      </c>
      <c r="AA226" s="38" t="str">
        <f t="shared" si="133"/>
        <v/>
      </c>
      <c r="AB226" s="38" t="e">
        <f t="shared" si="134"/>
        <v>#VALUE!</v>
      </c>
      <c r="AC226" s="38" t="str">
        <f t="shared" si="135"/>
        <v/>
      </c>
      <c r="AD226" s="38" t="str">
        <f t="shared" si="135"/>
        <v/>
      </c>
      <c r="AE226" s="38" t="e">
        <f t="shared" si="136"/>
        <v>#VALUE!</v>
      </c>
      <c r="AF226" s="238" t="e">
        <f>((Summary!$N$12*(AA226*AD226)*(A226-$D$3))+(Summary!$M$12*Z226*AC226*(AJ226-EOMONTH(EDATE(A226,-1),0))))/(AK226*AB226*AE226)</f>
        <v>#VALUE!</v>
      </c>
      <c r="AG226" s="88" t="str">
        <f>IF($A227="","",Summary!$Q$12)</f>
        <v/>
      </c>
      <c r="AH226" s="88" t="str">
        <f>IF($A227="","",IF(Summary!$R$12="Y",(VLOOKUP($A226,Summary!$AD$6:$AF$9,3)+'Escalating commodity'!H239),'Escalating commodity'!H239))</f>
        <v/>
      </c>
      <c r="AI226" s="88" t="str">
        <f t="shared" si="150"/>
        <v/>
      </c>
      <c r="AJ226" s="236" t="e">
        <f t="shared" si="137"/>
        <v>#VALUE!</v>
      </c>
      <c r="AK226" s="58" t="str">
        <f t="shared" si="138"/>
        <v/>
      </c>
      <c r="AL226" s="26" t="str">
        <f>IF($A227="","",_xll.SPRDOPT(P226,X226,AI226,0,AB226,AE226,AF226,AK226,$AJ$2,0))</f>
        <v/>
      </c>
      <c r="AM226" s="89" t="str">
        <f t="shared" si="139"/>
        <v/>
      </c>
      <c r="AN226" s="89" t="str">
        <f t="shared" si="140"/>
        <v/>
      </c>
      <c r="AO226" s="3" t="str">
        <f t="shared" si="141"/>
        <v/>
      </c>
      <c r="AP226" s="33" t="str">
        <f t="shared" si="142"/>
        <v/>
      </c>
      <c r="AQ226" s="58" t="str">
        <f t="shared" si="143"/>
        <v/>
      </c>
      <c r="AR226" s="38">
        <f>'ANR OK vs ML7'!AR226</f>
        <v>0.1</v>
      </c>
      <c r="AS226" s="35" t="str">
        <f t="shared" si="144"/>
        <v/>
      </c>
      <c r="AT226" s="3" t="str">
        <f t="shared" si="145"/>
        <v/>
      </c>
      <c r="AU226" s="3" t="str">
        <f t="shared" si="146"/>
        <v/>
      </c>
      <c r="AW226" s="32" t="str">
        <f t="shared" si="147"/>
        <v/>
      </c>
      <c r="AX226" s="32" t="str">
        <f t="shared" si="147"/>
        <v/>
      </c>
      <c r="AY226" s="32" t="str">
        <f t="shared" si="148"/>
        <v/>
      </c>
      <c r="BA226" s="32" t="str">
        <f>IF($A227="","",F226*Summary!$Q$12)</f>
        <v/>
      </c>
    </row>
    <row r="227" spans="1:53" ht="12" customHeight="1">
      <c r="A227" s="67" t="str">
        <f t="shared" si="149"/>
        <v/>
      </c>
      <c r="B227" s="69" t="str">
        <f t="shared" si="151"/>
        <v/>
      </c>
      <c r="C227" s="71"/>
      <c r="D227" s="69" t="str">
        <f t="shared" si="115"/>
        <v/>
      </c>
      <c r="E227" s="70" t="str">
        <f t="shared" si="116"/>
        <v/>
      </c>
      <c r="F227" s="70" t="str">
        <f t="shared" si="117"/>
        <v/>
      </c>
      <c r="G227" s="63" t="str">
        <f t="shared" si="118"/>
        <v/>
      </c>
      <c r="H227" s="64" t="str">
        <f t="shared" si="119"/>
        <v/>
      </c>
      <c r="I227" s="43"/>
      <c r="J227" s="63" t="str">
        <f t="shared" si="120"/>
        <v/>
      </c>
      <c r="K227" s="64" t="str">
        <f t="shared" si="121"/>
        <v/>
      </c>
      <c r="L227" s="63" t="str">
        <f t="shared" si="122"/>
        <v/>
      </c>
      <c r="M227" s="64" t="str">
        <f t="shared" si="123"/>
        <v/>
      </c>
      <c r="N227" s="65"/>
      <c r="O227" s="63" t="str">
        <f t="shared" si="124"/>
        <v/>
      </c>
      <c r="P227" s="63" t="str">
        <f t="shared" si="125"/>
        <v/>
      </c>
      <c r="Q227" s="66"/>
      <c r="R227" s="63" t="str">
        <f t="shared" si="126"/>
        <v/>
      </c>
      <c r="S227" s="64" t="str">
        <f t="shared" si="127"/>
        <v/>
      </c>
      <c r="T227" s="63" t="str">
        <f t="shared" si="128"/>
        <v/>
      </c>
      <c r="U227" s="64" t="str">
        <f t="shared" si="129"/>
        <v/>
      </c>
      <c r="V227" s="90" t="str">
        <f>IF($A228="","",IF(AND(MONTH(A227)&gt;3,MONTH(A227)&lt;11),(T227+R227+G227)*(((1/(1-Summary!$T$12))/(1-Summary!$W$12))-1),(T227+R227+G227)*((1/(1-Summary!$U$12))/(1-Summary!$X$12)-1)))</f>
        <v/>
      </c>
      <c r="W227" s="63" t="str">
        <f t="shared" si="130"/>
        <v/>
      </c>
      <c r="X227" s="63" t="str">
        <f t="shared" si="131"/>
        <v/>
      </c>
      <c r="Y227" s="43"/>
      <c r="Z227" s="38" t="str">
        <f t="shared" si="132"/>
        <v/>
      </c>
      <c r="AA227" s="38" t="str">
        <f t="shared" si="133"/>
        <v/>
      </c>
      <c r="AB227" s="38" t="e">
        <f t="shared" si="134"/>
        <v>#VALUE!</v>
      </c>
      <c r="AC227" s="38" t="str">
        <f t="shared" si="135"/>
        <v/>
      </c>
      <c r="AD227" s="38" t="str">
        <f t="shared" si="135"/>
        <v/>
      </c>
      <c r="AE227" s="38" t="e">
        <f t="shared" si="136"/>
        <v>#VALUE!</v>
      </c>
      <c r="AF227" s="238" t="e">
        <f>((Summary!$N$12*(AA227*AD227)*(A227-$D$3))+(Summary!$M$12*Z227*AC227*(AJ227-EOMONTH(EDATE(A227,-1),0))))/(AK227*AB227*AE227)</f>
        <v>#VALUE!</v>
      </c>
      <c r="AG227" s="88" t="str">
        <f>IF($A228="","",Summary!$Q$12)</f>
        <v/>
      </c>
      <c r="AH227" s="88" t="str">
        <f>IF($A228="","",IF(Summary!$R$12="Y",(VLOOKUP($A227,Summary!$AD$6:$AF$9,3)+'Escalating commodity'!H240),'Escalating commodity'!H240))</f>
        <v/>
      </c>
      <c r="AI227" s="88" t="str">
        <f t="shared" si="150"/>
        <v/>
      </c>
      <c r="AJ227" s="236" t="e">
        <f t="shared" si="137"/>
        <v>#VALUE!</v>
      </c>
      <c r="AK227" s="58" t="str">
        <f t="shared" si="138"/>
        <v/>
      </c>
      <c r="AL227" s="26" t="str">
        <f>IF($A228="","",_xll.SPRDOPT(P227,X227,AI227,0,AB227,AE227,AF227,AK227,$AJ$2,0))</f>
        <v/>
      </c>
      <c r="AM227" s="89" t="str">
        <f t="shared" si="139"/>
        <v/>
      </c>
      <c r="AN227" s="89" t="str">
        <f t="shared" si="140"/>
        <v/>
      </c>
      <c r="AO227" s="3" t="str">
        <f t="shared" si="141"/>
        <v/>
      </c>
      <c r="AP227" s="33" t="str">
        <f t="shared" si="142"/>
        <v/>
      </c>
      <c r="AQ227" s="58" t="str">
        <f t="shared" si="143"/>
        <v/>
      </c>
      <c r="AR227" s="38">
        <f>'ANR OK vs ML7'!AR227</f>
        <v>0.1</v>
      </c>
      <c r="AS227" s="35" t="str">
        <f t="shared" si="144"/>
        <v/>
      </c>
      <c r="AT227" s="3" t="str">
        <f t="shared" si="145"/>
        <v/>
      </c>
      <c r="AU227" s="3" t="str">
        <f t="shared" si="146"/>
        <v/>
      </c>
      <c r="AW227" s="32" t="str">
        <f t="shared" si="147"/>
        <v/>
      </c>
      <c r="AX227" s="32" t="str">
        <f t="shared" si="147"/>
        <v/>
      </c>
      <c r="AY227" s="32" t="str">
        <f t="shared" si="148"/>
        <v/>
      </c>
      <c r="BA227" s="32" t="str">
        <f>IF($A228="","",F227*Summary!$Q$12)</f>
        <v/>
      </c>
    </row>
    <row r="228" spans="1:53" ht="12" customHeight="1">
      <c r="A228" s="67" t="str">
        <f t="shared" si="149"/>
        <v/>
      </c>
      <c r="B228" s="69" t="str">
        <f t="shared" si="151"/>
        <v/>
      </c>
      <c r="C228" s="71"/>
      <c r="D228" s="69" t="str">
        <f t="shared" si="115"/>
        <v/>
      </c>
      <c r="E228" s="70" t="str">
        <f t="shared" si="116"/>
        <v/>
      </c>
      <c r="F228" s="70" t="str">
        <f t="shared" si="117"/>
        <v/>
      </c>
      <c r="G228" s="63" t="str">
        <f t="shared" si="118"/>
        <v/>
      </c>
      <c r="H228" s="64" t="str">
        <f t="shared" si="119"/>
        <v/>
      </c>
      <c r="I228" s="43"/>
      <c r="J228" s="63" t="str">
        <f t="shared" si="120"/>
        <v/>
      </c>
      <c r="K228" s="64" t="str">
        <f t="shared" si="121"/>
        <v/>
      </c>
      <c r="L228" s="63" t="str">
        <f t="shared" si="122"/>
        <v/>
      </c>
      <c r="M228" s="64" t="str">
        <f t="shared" si="123"/>
        <v/>
      </c>
      <c r="N228" s="65"/>
      <c r="O228" s="63" t="str">
        <f t="shared" si="124"/>
        <v/>
      </c>
      <c r="P228" s="63" t="str">
        <f t="shared" si="125"/>
        <v/>
      </c>
      <c r="Q228" s="66"/>
      <c r="R228" s="63" t="str">
        <f t="shared" si="126"/>
        <v/>
      </c>
      <c r="S228" s="64" t="str">
        <f t="shared" si="127"/>
        <v/>
      </c>
      <c r="T228" s="63" t="str">
        <f t="shared" si="128"/>
        <v/>
      </c>
      <c r="U228" s="64" t="str">
        <f t="shared" si="129"/>
        <v/>
      </c>
      <c r="V228" s="90" t="str">
        <f>IF($A229="","",IF(AND(MONTH(A228)&gt;3,MONTH(A228)&lt;11),(T228+R228+G228)*(((1/(1-Summary!$T$12))/(1-Summary!$W$12))-1),(T228+R228+G228)*((1/(1-Summary!$U$12))/(1-Summary!$X$12)-1)))</f>
        <v/>
      </c>
      <c r="W228" s="63" t="str">
        <f t="shared" si="130"/>
        <v/>
      </c>
      <c r="X228" s="63" t="str">
        <f t="shared" si="131"/>
        <v/>
      </c>
      <c r="Y228" s="43"/>
      <c r="Z228" s="38" t="str">
        <f t="shared" si="132"/>
        <v/>
      </c>
      <c r="AA228" s="38" t="str">
        <f t="shared" si="133"/>
        <v/>
      </c>
      <c r="AB228" s="38" t="e">
        <f t="shared" si="134"/>
        <v>#VALUE!</v>
      </c>
      <c r="AC228" s="38" t="str">
        <f t="shared" si="135"/>
        <v/>
      </c>
      <c r="AD228" s="38" t="str">
        <f t="shared" si="135"/>
        <v/>
      </c>
      <c r="AE228" s="38" t="e">
        <f t="shared" si="136"/>
        <v>#VALUE!</v>
      </c>
      <c r="AF228" s="238" t="e">
        <f>((Summary!$N$12*(AA228*AD228)*(A228-$D$3))+(Summary!$M$12*Z228*AC228*(AJ228-EOMONTH(EDATE(A228,-1),0))))/(AK228*AB228*AE228)</f>
        <v>#VALUE!</v>
      </c>
      <c r="AG228" s="88" t="str">
        <f>IF($A229="","",Summary!$Q$12)</f>
        <v/>
      </c>
      <c r="AH228" s="88" t="str">
        <f>IF($A229="","",IF(Summary!$R$12="Y",(VLOOKUP($A228,Summary!$AD$6:$AF$9,3)+'Escalating commodity'!H241),'Escalating commodity'!H241))</f>
        <v/>
      </c>
      <c r="AI228" s="88" t="str">
        <f t="shared" si="150"/>
        <v/>
      </c>
      <c r="AJ228" s="236" t="e">
        <f t="shared" si="137"/>
        <v>#VALUE!</v>
      </c>
      <c r="AK228" s="58" t="str">
        <f t="shared" si="138"/>
        <v/>
      </c>
      <c r="AL228" s="26" t="str">
        <f>IF($A229="","",_xll.SPRDOPT(P228,X228,AI228,0,AB228,AE228,AF228,AK228,$AJ$2,0))</f>
        <v/>
      </c>
      <c r="AM228" s="89" t="str">
        <f t="shared" si="139"/>
        <v/>
      </c>
      <c r="AN228" s="89" t="str">
        <f t="shared" si="140"/>
        <v/>
      </c>
      <c r="AO228" s="3" t="str">
        <f t="shared" si="141"/>
        <v/>
      </c>
      <c r="AP228" s="33" t="str">
        <f t="shared" si="142"/>
        <v/>
      </c>
      <c r="AQ228" s="58" t="str">
        <f t="shared" si="143"/>
        <v/>
      </c>
      <c r="AR228" s="38">
        <f>'ANR OK vs ML7'!AR228</f>
        <v>0.1</v>
      </c>
      <c r="AS228" s="35" t="str">
        <f t="shared" si="144"/>
        <v/>
      </c>
      <c r="AT228" s="3" t="str">
        <f t="shared" si="145"/>
        <v/>
      </c>
      <c r="AU228" s="3" t="str">
        <f t="shared" si="146"/>
        <v/>
      </c>
      <c r="AW228" s="32" t="str">
        <f t="shared" si="147"/>
        <v/>
      </c>
      <c r="AX228" s="32" t="str">
        <f t="shared" si="147"/>
        <v/>
      </c>
      <c r="AY228" s="32" t="str">
        <f t="shared" si="148"/>
        <v/>
      </c>
      <c r="BA228" s="32" t="str">
        <f>IF($A229="","",F228*Summary!$Q$12)</f>
        <v/>
      </c>
    </row>
    <row r="229" spans="1:53" ht="12" customHeight="1">
      <c r="A229" s="67" t="str">
        <f t="shared" si="149"/>
        <v/>
      </c>
      <c r="B229" s="69" t="str">
        <f t="shared" si="151"/>
        <v/>
      </c>
      <c r="C229" s="71"/>
      <c r="D229" s="69" t="str">
        <f t="shared" si="115"/>
        <v/>
      </c>
      <c r="E229" s="70" t="str">
        <f t="shared" si="116"/>
        <v/>
      </c>
      <c r="F229" s="70" t="str">
        <f t="shared" si="117"/>
        <v/>
      </c>
      <c r="G229" s="63" t="str">
        <f t="shared" si="118"/>
        <v/>
      </c>
      <c r="H229" s="64" t="str">
        <f t="shared" si="119"/>
        <v/>
      </c>
      <c r="I229" s="43"/>
      <c r="J229" s="63" t="str">
        <f t="shared" si="120"/>
        <v/>
      </c>
      <c r="K229" s="64" t="str">
        <f t="shared" si="121"/>
        <v/>
      </c>
      <c r="L229" s="63" t="str">
        <f t="shared" si="122"/>
        <v/>
      </c>
      <c r="M229" s="64" t="str">
        <f t="shared" si="123"/>
        <v/>
      </c>
      <c r="N229" s="65"/>
      <c r="O229" s="63" t="str">
        <f t="shared" si="124"/>
        <v/>
      </c>
      <c r="P229" s="63" t="str">
        <f t="shared" si="125"/>
        <v/>
      </c>
      <c r="Q229" s="66"/>
      <c r="R229" s="63" t="str">
        <f t="shared" si="126"/>
        <v/>
      </c>
      <c r="S229" s="64" t="str">
        <f t="shared" si="127"/>
        <v/>
      </c>
      <c r="T229" s="63" t="str">
        <f t="shared" si="128"/>
        <v/>
      </c>
      <c r="U229" s="64" t="str">
        <f t="shared" si="129"/>
        <v/>
      </c>
      <c r="V229" s="90" t="str">
        <f>IF($A230="","",IF(AND(MONTH(A229)&gt;3,MONTH(A229)&lt;11),(T229+R229+G229)*(((1/(1-Summary!$T$12))/(1-Summary!$W$12))-1),(T229+R229+G229)*((1/(1-Summary!$U$12))/(1-Summary!$X$12)-1)))</f>
        <v/>
      </c>
      <c r="W229" s="63" t="str">
        <f t="shared" si="130"/>
        <v/>
      </c>
      <c r="X229" s="63" t="str">
        <f t="shared" si="131"/>
        <v/>
      </c>
      <c r="Y229" s="43"/>
      <c r="Z229" s="38" t="str">
        <f t="shared" si="132"/>
        <v/>
      </c>
      <c r="AA229" s="38" t="str">
        <f t="shared" si="133"/>
        <v/>
      </c>
      <c r="AB229" s="38" t="e">
        <f t="shared" si="134"/>
        <v>#VALUE!</v>
      </c>
      <c r="AC229" s="38" t="str">
        <f t="shared" si="135"/>
        <v/>
      </c>
      <c r="AD229" s="38" t="str">
        <f t="shared" si="135"/>
        <v/>
      </c>
      <c r="AE229" s="38" t="e">
        <f t="shared" si="136"/>
        <v>#VALUE!</v>
      </c>
      <c r="AF229" s="238" t="e">
        <f>((Summary!$N$12*(AA229*AD229)*(A229-$D$3))+(Summary!$M$12*Z229*AC229*(AJ229-EOMONTH(EDATE(A229,-1),0))))/(AK229*AB229*AE229)</f>
        <v>#VALUE!</v>
      </c>
      <c r="AG229" s="88" t="str">
        <f>IF($A230="","",Summary!$Q$12)</f>
        <v/>
      </c>
      <c r="AH229" s="88" t="str">
        <f>IF($A230="","",IF(Summary!$R$12="Y",(VLOOKUP($A229,Summary!$AD$6:$AF$9,3)+'Escalating commodity'!H242),'Escalating commodity'!H242))</f>
        <v/>
      </c>
      <c r="AI229" s="88" t="str">
        <f t="shared" si="150"/>
        <v/>
      </c>
      <c r="AJ229" s="236" t="e">
        <f t="shared" si="137"/>
        <v>#VALUE!</v>
      </c>
      <c r="AK229" s="58" t="str">
        <f t="shared" si="138"/>
        <v/>
      </c>
      <c r="AL229" s="26" t="str">
        <f>IF($A230="","",_xll.SPRDOPT(P229,X229,AI229,0,AB229,AE229,AF229,AK229,$AJ$2,0))</f>
        <v/>
      </c>
      <c r="AM229" s="89" t="str">
        <f t="shared" si="139"/>
        <v/>
      </c>
      <c r="AN229" s="89" t="str">
        <f t="shared" si="140"/>
        <v/>
      </c>
      <c r="AO229" s="3" t="str">
        <f t="shared" si="141"/>
        <v/>
      </c>
      <c r="AP229" s="33" t="str">
        <f t="shared" si="142"/>
        <v/>
      </c>
      <c r="AQ229" s="58" t="str">
        <f t="shared" si="143"/>
        <v/>
      </c>
      <c r="AR229" s="38">
        <f>'ANR OK vs ML7'!AR229</f>
        <v>0.1</v>
      </c>
      <c r="AS229" s="35" t="str">
        <f t="shared" si="144"/>
        <v/>
      </c>
      <c r="AT229" s="3" t="str">
        <f t="shared" si="145"/>
        <v/>
      </c>
      <c r="AU229" s="3" t="str">
        <f t="shared" si="146"/>
        <v/>
      </c>
      <c r="AW229" s="32" t="str">
        <f t="shared" si="147"/>
        <v/>
      </c>
      <c r="AX229" s="32" t="str">
        <f t="shared" si="147"/>
        <v/>
      </c>
      <c r="AY229" s="32" t="str">
        <f t="shared" si="148"/>
        <v/>
      </c>
      <c r="BA229" s="32" t="str">
        <f>IF($A230="","",F229*Summary!$Q$12)</f>
        <v/>
      </c>
    </row>
    <row r="230" spans="1:53" ht="12" customHeight="1">
      <c r="A230" s="67" t="str">
        <f t="shared" si="149"/>
        <v/>
      </c>
      <c r="B230" s="69" t="str">
        <f t="shared" si="151"/>
        <v/>
      </c>
      <c r="C230" s="71"/>
      <c r="D230" s="69" t="str">
        <f t="shared" si="115"/>
        <v/>
      </c>
      <c r="E230" s="70" t="str">
        <f t="shared" si="116"/>
        <v/>
      </c>
      <c r="F230" s="70" t="str">
        <f t="shared" si="117"/>
        <v/>
      </c>
      <c r="G230" s="63" t="str">
        <f t="shared" si="118"/>
        <v/>
      </c>
      <c r="H230" s="64" t="str">
        <f t="shared" si="119"/>
        <v/>
      </c>
      <c r="I230" s="43"/>
      <c r="J230" s="63" t="str">
        <f t="shared" si="120"/>
        <v/>
      </c>
      <c r="K230" s="64" t="str">
        <f t="shared" si="121"/>
        <v/>
      </c>
      <c r="L230" s="63" t="str">
        <f t="shared" si="122"/>
        <v/>
      </c>
      <c r="M230" s="64" t="str">
        <f t="shared" si="123"/>
        <v/>
      </c>
      <c r="N230" s="65"/>
      <c r="O230" s="63" t="str">
        <f t="shared" si="124"/>
        <v/>
      </c>
      <c r="P230" s="63" t="str">
        <f t="shared" si="125"/>
        <v/>
      </c>
      <c r="Q230" s="66"/>
      <c r="R230" s="63" t="str">
        <f t="shared" si="126"/>
        <v/>
      </c>
      <c r="S230" s="64" t="str">
        <f t="shared" si="127"/>
        <v/>
      </c>
      <c r="T230" s="63" t="str">
        <f t="shared" si="128"/>
        <v/>
      </c>
      <c r="U230" s="64" t="str">
        <f t="shared" si="129"/>
        <v/>
      </c>
      <c r="V230" s="90" t="str">
        <f>IF($A231="","",IF(AND(MONTH(A230)&gt;3,MONTH(A230)&lt;11),(T230+R230+G230)*(((1/(1-Summary!$T$12))/(1-Summary!$W$12))-1),(T230+R230+G230)*((1/(1-Summary!$U$12))/(1-Summary!$X$12)-1)))</f>
        <v/>
      </c>
      <c r="W230" s="63" t="str">
        <f t="shared" si="130"/>
        <v/>
      </c>
      <c r="X230" s="63" t="str">
        <f t="shared" si="131"/>
        <v/>
      </c>
      <c r="Y230" s="43"/>
      <c r="Z230" s="38" t="str">
        <f t="shared" si="132"/>
        <v/>
      </c>
      <c r="AA230" s="38" t="str">
        <f t="shared" si="133"/>
        <v/>
      </c>
      <c r="AB230" s="38" t="e">
        <f t="shared" si="134"/>
        <v>#VALUE!</v>
      </c>
      <c r="AC230" s="38" t="str">
        <f t="shared" si="135"/>
        <v/>
      </c>
      <c r="AD230" s="38" t="str">
        <f t="shared" si="135"/>
        <v/>
      </c>
      <c r="AE230" s="38" t="e">
        <f t="shared" si="136"/>
        <v>#VALUE!</v>
      </c>
      <c r="AF230" s="238" t="e">
        <f>((Summary!$N$12*(AA230*AD230)*(A230-$D$3))+(Summary!$M$12*Z230*AC230*(AJ230-EOMONTH(EDATE(A230,-1),0))))/(AK230*AB230*AE230)</f>
        <v>#VALUE!</v>
      </c>
      <c r="AG230" s="88" t="str">
        <f>IF($A231="","",Summary!$Q$12)</f>
        <v/>
      </c>
      <c r="AH230" s="88" t="str">
        <f>IF($A231="","",IF(Summary!$R$12="Y",(VLOOKUP($A230,Summary!$AD$6:$AF$9,3)+'Escalating commodity'!H243),'Escalating commodity'!H243))</f>
        <v/>
      </c>
      <c r="AI230" s="88" t="str">
        <f t="shared" si="150"/>
        <v/>
      </c>
      <c r="AJ230" s="236" t="e">
        <f t="shared" si="137"/>
        <v>#VALUE!</v>
      </c>
      <c r="AK230" s="58" t="str">
        <f t="shared" si="138"/>
        <v/>
      </c>
      <c r="AL230" s="26" t="str">
        <f>IF($A231="","",_xll.SPRDOPT(P230,X230,AI230,0,AB230,AE230,AF230,AK230,$AJ$2,0))</f>
        <v/>
      </c>
      <c r="AM230" s="89" t="str">
        <f t="shared" si="139"/>
        <v/>
      </c>
      <c r="AN230" s="89" t="str">
        <f t="shared" si="140"/>
        <v/>
      </c>
      <c r="AO230" s="3" t="str">
        <f t="shared" si="141"/>
        <v/>
      </c>
      <c r="AP230" s="33" t="str">
        <f t="shared" si="142"/>
        <v/>
      </c>
      <c r="AQ230" s="58" t="str">
        <f t="shared" si="143"/>
        <v/>
      </c>
      <c r="AR230" s="38">
        <f>'ANR OK vs ML7'!AR230</f>
        <v>0.1</v>
      </c>
      <c r="AS230" s="35" t="str">
        <f t="shared" si="144"/>
        <v/>
      </c>
      <c r="AT230" s="3" t="str">
        <f t="shared" si="145"/>
        <v/>
      </c>
      <c r="AU230" s="3" t="str">
        <f t="shared" si="146"/>
        <v/>
      </c>
      <c r="AW230" s="32" t="str">
        <f t="shared" si="147"/>
        <v/>
      </c>
      <c r="AX230" s="32" t="str">
        <f t="shared" si="147"/>
        <v/>
      </c>
      <c r="AY230" s="32" t="str">
        <f t="shared" si="148"/>
        <v/>
      </c>
      <c r="BA230" s="32" t="str">
        <f>IF($A231="","",F230*Summary!$Q$12)</f>
        <v/>
      </c>
    </row>
    <row r="231" spans="1:53" ht="12" customHeight="1">
      <c r="A231" s="67" t="str">
        <f t="shared" si="149"/>
        <v/>
      </c>
      <c r="B231" s="69" t="str">
        <f t="shared" si="151"/>
        <v/>
      </c>
      <c r="C231" s="71"/>
      <c r="D231" s="69" t="str">
        <f t="shared" si="115"/>
        <v/>
      </c>
      <c r="E231" s="70" t="str">
        <f t="shared" si="116"/>
        <v/>
      </c>
      <c r="F231" s="70" t="str">
        <f t="shared" si="117"/>
        <v/>
      </c>
      <c r="G231" s="63" t="str">
        <f t="shared" si="118"/>
        <v/>
      </c>
      <c r="H231" s="64" t="str">
        <f t="shared" si="119"/>
        <v/>
      </c>
      <c r="I231" s="43"/>
      <c r="J231" s="63" t="str">
        <f t="shared" si="120"/>
        <v/>
      </c>
      <c r="K231" s="64" t="str">
        <f t="shared" si="121"/>
        <v/>
      </c>
      <c r="L231" s="63" t="str">
        <f t="shared" si="122"/>
        <v/>
      </c>
      <c r="M231" s="64" t="str">
        <f t="shared" si="123"/>
        <v/>
      </c>
      <c r="N231" s="65"/>
      <c r="O231" s="63" t="str">
        <f t="shared" si="124"/>
        <v/>
      </c>
      <c r="P231" s="63" t="str">
        <f t="shared" si="125"/>
        <v/>
      </c>
      <c r="Q231" s="66"/>
      <c r="R231" s="63" t="str">
        <f t="shared" si="126"/>
        <v/>
      </c>
      <c r="S231" s="64" t="str">
        <f t="shared" si="127"/>
        <v/>
      </c>
      <c r="T231" s="63" t="str">
        <f t="shared" si="128"/>
        <v/>
      </c>
      <c r="U231" s="64" t="str">
        <f t="shared" si="129"/>
        <v/>
      </c>
      <c r="V231" s="90" t="str">
        <f>IF($A232="","",IF(AND(MONTH(A231)&gt;3,MONTH(A231)&lt;11),(T231+R231+G231)*(((1/(1-Summary!$T$12))/(1-Summary!$W$12))-1),(T231+R231+G231)*((1/(1-Summary!$U$12))/(1-Summary!$X$12)-1)))</f>
        <v/>
      </c>
      <c r="W231" s="63" t="str">
        <f t="shared" si="130"/>
        <v/>
      </c>
      <c r="X231" s="63" t="str">
        <f t="shared" si="131"/>
        <v/>
      </c>
      <c r="Y231" s="43"/>
      <c r="Z231" s="38" t="str">
        <f t="shared" si="132"/>
        <v/>
      </c>
      <c r="AA231" s="38" t="str">
        <f t="shared" si="133"/>
        <v/>
      </c>
      <c r="AB231" s="38" t="e">
        <f t="shared" si="134"/>
        <v>#VALUE!</v>
      </c>
      <c r="AC231" s="38" t="str">
        <f t="shared" si="135"/>
        <v/>
      </c>
      <c r="AD231" s="38" t="str">
        <f t="shared" si="135"/>
        <v/>
      </c>
      <c r="AE231" s="38" t="e">
        <f t="shared" si="136"/>
        <v>#VALUE!</v>
      </c>
      <c r="AF231" s="238" t="e">
        <f>((Summary!$N$12*(AA231*AD231)*(A231-$D$3))+(Summary!$M$12*Z231*AC231*(AJ231-EOMONTH(EDATE(A231,-1),0))))/(AK231*AB231*AE231)</f>
        <v>#VALUE!</v>
      </c>
      <c r="AG231" s="88" t="str">
        <f>IF($A232="","",Summary!$Q$12)</f>
        <v/>
      </c>
      <c r="AH231" s="88" t="str">
        <f>IF($A232="","",IF(Summary!$R$12="Y",(VLOOKUP($A231,Summary!$AD$6:$AF$9,3)+'Escalating commodity'!H244),'Escalating commodity'!H244))</f>
        <v/>
      </c>
      <c r="AI231" s="88" t="str">
        <f t="shared" si="150"/>
        <v/>
      </c>
      <c r="AJ231" s="236" t="e">
        <f t="shared" si="137"/>
        <v>#VALUE!</v>
      </c>
      <c r="AK231" s="58" t="str">
        <f t="shared" si="138"/>
        <v/>
      </c>
      <c r="AL231" s="26" t="str">
        <f>IF($A232="","",_xll.SPRDOPT(P231,X231,AI231,0,AB231,AE231,AF231,AK231,$AJ$2,0))</f>
        <v/>
      </c>
      <c r="AM231" s="89" t="str">
        <f t="shared" si="139"/>
        <v/>
      </c>
      <c r="AN231" s="89" t="str">
        <f t="shared" si="140"/>
        <v/>
      </c>
      <c r="AO231" s="3" t="str">
        <f t="shared" si="141"/>
        <v/>
      </c>
      <c r="AP231" s="33" t="str">
        <f t="shared" si="142"/>
        <v/>
      </c>
      <c r="AQ231" s="58" t="str">
        <f t="shared" si="143"/>
        <v/>
      </c>
      <c r="AR231" s="38">
        <f>'ANR OK vs ML7'!AR231</f>
        <v>0.1</v>
      </c>
      <c r="AS231" s="35" t="str">
        <f t="shared" si="144"/>
        <v/>
      </c>
      <c r="AT231" s="3" t="str">
        <f t="shared" si="145"/>
        <v/>
      </c>
      <c r="AU231" s="3" t="str">
        <f t="shared" si="146"/>
        <v/>
      </c>
      <c r="AW231" s="32" t="str">
        <f t="shared" si="147"/>
        <v/>
      </c>
      <c r="AX231" s="32" t="str">
        <f t="shared" si="147"/>
        <v/>
      </c>
      <c r="AY231" s="32" t="str">
        <f t="shared" si="148"/>
        <v/>
      </c>
      <c r="BA231" s="32" t="str">
        <f>IF($A232="","",F231*Summary!$Q$12)</f>
        <v/>
      </c>
    </row>
    <row r="232" spans="1:53" ht="12" customHeight="1">
      <c r="A232" s="67" t="str">
        <f t="shared" si="149"/>
        <v/>
      </c>
      <c r="B232" s="69" t="str">
        <f t="shared" si="151"/>
        <v/>
      </c>
      <c r="C232" s="71"/>
      <c r="D232" s="69" t="str">
        <f t="shared" si="115"/>
        <v/>
      </c>
      <c r="E232" s="70" t="str">
        <f t="shared" si="116"/>
        <v/>
      </c>
      <c r="F232" s="70" t="str">
        <f t="shared" si="117"/>
        <v/>
      </c>
      <c r="G232" s="63" t="str">
        <f t="shared" si="118"/>
        <v/>
      </c>
      <c r="H232" s="64" t="str">
        <f t="shared" si="119"/>
        <v/>
      </c>
      <c r="I232" s="43"/>
      <c r="J232" s="63" t="str">
        <f t="shared" si="120"/>
        <v/>
      </c>
      <c r="K232" s="64" t="str">
        <f t="shared" si="121"/>
        <v/>
      </c>
      <c r="L232" s="63" t="str">
        <f t="shared" si="122"/>
        <v/>
      </c>
      <c r="M232" s="64" t="str">
        <f t="shared" si="123"/>
        <v/>
      </c>
      <c r="N232" s="65"/>
      <c r="O232" s="63" t="str">
        <f t="shared" si="124"/>
        <v/>
      </c>
      <c r="P232" s="63" t="str">
        <f t="shared" si="125"/>
        <v/>
      </c>
      <c r="Q232" s="66"/>
      <c r="R232" s="63" t="str">
        <f t="shared" si="126"/>
        <v/>
      </c>
      <c r="S232" s="64" t="str">
        <f t="shared" si="127"/>
        <v/>
      </c>
      <c r="T232" s="63" t="str">
        <f t="shared" si="128"/>
        <v/>
      </c>
      <c r="U232" s="64" t="str">
        <f t="shared" si="129"/>
        <v/>
      </c>
      <c r="V232" s="90" t="str">
        <f>IF($A233="","",IF(AND(MONTH(A232)&gt;3,MONTH(A232)&lt;11),(T232+R232+G232)*(((1/(1-Summary!$T$12))/(1-Summary!$W$12))-1),(T232+R232+G232)*((1/(1-Summary!$U$12))/(1-Summary!$X$12)-1)))</f>
        <v/>
      </c>
      <c r="W232" s="63" t="str">
        <f t="shared" si="130"/>
        <v/>
      </c>
      <c r="X232" s="63" t="str">
        <f t="shared" si="131"/>
        <v/>
      </c>
      <c r="Y232" s="43"/>
      <c r="Z232" s="38" t="str">
        <f t="shared" si="132"/>
        <v/>
      </c>
      <c r="AA232" s="38" t="str">
        <f t="shared" si="133"/>
        <v/>
      </c>
      <c r="AB232" s="38" t="e">
        <f t="shared" si="134"/>
        <v>#VALUE!</v>
      </c>
      <c r="AC232" s="38" t="str">
        <f t="shared" si="135"/>
        <v/>
      </c>
      <c r="AD232" s="38" t="str">
        <f t="shared" si="135"/>
        <v/>
      </c>
      <c r="AE232" s="38" t="e">
        <f t="shared" si="136"/>
        <v>#VALUE!</v>
      </c>
      <c r="AF232" s="238" t="e">
        <f>((Summary!$N$12*(AA232*AD232)*(A232-$D$3))+(Summary!$M$12*Z232*AC232*(AJ232-EOMONTH(EDATE(A232,-1),0))))/(AK232*AB232*AE232)</f>
        <v>#VALUE!</v>
      </c>
      <c r="AG232" s="88" t="str">
        <f>IF($A233="","",Summary!$Q$12)</f>
        <v/>
      </c>
      <c r="AH232" s="88" t="str">
        <f>IF($A233="","",IF(Summary!$R$12="Y",(VLOOKUP($A232,Summary!$AD$6:$AF$9,3)+'Escalating commodity'!H245),'Escalating commodity'!H245))</f>
        <v/>
      </c>
      <c r="AI232" s="88" t="str">
        <f t="shared" si="150"/>
        <v/>
      </c>
      <c r="AJ232" s="236" t="e">
        <f t="shared" si="137"/>
        <v>#VALUE!</v>
      </c>
      <c r="AK232" s="58" t="str">
        <f t="shared" si="138"/>
        <v/>
      </c>
      <c r="AL232" s="26" t="str">
        <f>IF($A233="","",_xll.SPRDOPT(P232,X232,AI232,0,AB232,AE232,AF232,AK232,$AJ$2,0))</f>
        <v/>
      </c>
      <c r="AM232" s="89" t="str">
        <f t="shared" si="139"/>
        <v/>
      </c>
      <c r="AN232" s="89" t="str">
        <f t="shared" si="140"/>
        <v/>
      </c>
      <c r="AO232" s="3" t="str">
        <f t="shared" si="141"/>
        <v/>
      </c>
      <c r="AP232" s="33" t="str">
        <f t="shared" si="142"/>
        <v/>
      </c>
      <c r="AQ232" s="58" t="str">
        <f t="shared" si="143"/>
        <v/>
      </c>
      <c r="AR232" s="38">
        <f>'ANR OK vs ML7'!AR232</f>
        <v>0.1</v>
      </c>
      <c r="AS232" s="35" t="str">
        <f t="shared" si="144"/>
        <v/>
      </c>
      <c r="AT232" s="3" t="str">
        <f t="shared" si="145"/>
        <v/>
      </c>
      <c r="AU232" s="3" t="str">
        <f t="shared" si="146"/>
        <v/>
      </c>
      <c r="AW232" s="32" t="str">
        <f t="shared" si="147"/>
        <v/>
      </c>
      <c r="AX232" s="32" t="str">
        <f t="shared" si="147"/>
        <v/>
      </c>
      <c r="AY232" s="32" t="str">
        <f t="shared" si="148"/>
        <v/>
      </c>
      <c r="BA232" s="32" t="str">
        <f>IF($A233="","",F232*Summary!$Q$12)</f>
        <v/>
      </c>
    </row>
    <row r="233" spans="1:53" ht="12" customHeight="1">
      <c r="A233" s="67" t="str">
        <f t="shared" si="149"/>
        <v/>
      </c>
      <c r="B233" s="69" t="str">
        <f t="shared" si="151"/>
        <v/>
      </c>
      <c r="C233" s="71"/>
      <c r="D233" s="69" t="str">
        <f t="shared" si="115"/>
        <v/>
      </c>
      <c r="E233" s="70" t="str">
        <f t="shared" si="116"/>
        <v/>
      </c>
      <c r="F233" s="70" t="str">
        <f t="shared" si="117"/>
        <v/>
      </c>
      <c r="G233" s="63" t="str">
        <f t="shared" si="118"/>
        <v/>
      </c>
      <c r="H233" s="64" t="str">
        <f t="shared" si="119"/>
        <v/>
      </c>
      <c r="I233" s="43"/>
      <c r="J233" s="63" t="str">
        <f t="shared" si="120"/>
        <v/>
      </c>
      <c r="K233" s="64" t="str">
        <f t="shared" si="121"/>
        <v/>
      </c>
      <c r="L233" s="63" t="str">
        <f t="shared" si="122"/>
        <v/>
      </c>
      <c r="M233" s="64" t="str">
        <f t="shared" si="123"/>
        <v/>
      </c>
      <c r="N233" s="65"/>
      <c r="O233" s="63" t="str">
        <f t="shared" si="124"/>
        <v/>
      </c>
      <c r="P233" s="63" t="str">
        <f t="shared" si="125"/>
        <v/>
      </c>
      <c r="Q233" s="66"/>
      <c r="R233" s="63" t="str">
        <f t="shared" si="126"/>
        <v/>
      </c>
      <c r="S233" s="64" t="str">
        <f t="shared" si="127"/>
        <v/>
      </c>
      <c r="T233" s="63" t="str">
        <f t="shared" si="128"/>
        <v/>
      </c>
      <c r="U233" s="64" t="str">
        <f t="shared" si="129"/>
        <v/>
      </c>
      <c r="V233" s="90" t="str">
        <f>IF($A234="","",IF(AND(MONTH(A233)&gt;3,MONTH(A233)&lt;11),(T233+R233+G233)*(((1/(1-Summary!$T$12))/(1-Summary!$W$12))-1),(T233+R233+G233)*((1/(1-Summary!$U$12))/(1-Summary!$X$12)-1)))</f>
        <v/>
      </c>
      <c r="W233" s="63" t="str">
        <f t="shared" si="130"/>
        <v/>
      </c>
      <c r="X233" s="63" t="str">
        <f t="shared" si="131"/>
        <v/>
      </c>
      <c r="Y233" s="43"/>
      <c r="Z233" s="38" t="str">
        <f t="shared" si="132"/>
        <v/>
      </c>
      <c r="AA233" s="38" t="str">
        <f t="shared" si="133"/>
        <v/>
      </c>
      <c r="AB233" s="38" t="e">
        <f t="shared" si="134"/>
        <v>#VALUE!</v>
      </c>
      <c r="AC233" s="38" t="str">
        <f t="shared" si="135"/>
        <v/>
      </c>
      <c r="AD233" s="38" t="str">
        <f t="shared" si="135"/>
        <v/>
      </c>
      <c r="AE233" s="38" t="e">
        <f t="shared" si="136"/>
        <v>#VALUE!</v>
      </c>
      <c r="AF233" s="238" t="e">
        <f>((Summary!$N$12*(AA233*AD233)*(A233-$D$3))+(Summary!$M$12*Z233*AC233*(AJ233-EOMONTH(EDATE(A233,-1),0))))/(AK233*AB233*AE233)</f>
        <v>#VALUE!</v>
      </c>
      <c r="AG233" s="88" t="str">
        <f>IF($A234="","",Summary!$Q$12)</f>
        <v/>
      </c>
      <c r="AH233" s="88" t="str">
        <f>IF($A234="","",IF(Summary!$R$12="Y",(VLOOKUP($A233,Summary!$AD$6:$AF$9,3)+'Escalating commodity'!H246),'Escalating commodity'!H246))</f>
        <v/>
      </c>
      <c r="AI233" s="88" t="str">
        <f t="shared" si="150"/>
        <v/>
      </c>
      <c r="AJ233" s="236" t="e">
        <f t="shared" si="137"/>
        <v>#VALUE!</v>
      </c>
      <c r="AK233" s="58" t="str">
        <f t="shared" si="138"/>
        <v/>
      </c>
      <c r="AL233" s="26" t="str">
        <f>IF($A234="","",_xll.SPRDOPT(P233,X233,AI233,0,AB233,AE233,AF233,AK233,$AJ$2,0))</f>
        <v/>
      </c>
      <c r="AM233" s="89" t="str">
        <f t="shared" si="139"/>
        <v/>
      </c>
      <c r="AN233" s="89" t="str">
        <f t="shared" si="140"/>
        <v/>
      </c>
      <c r="AO233" s="3" t="str">
        <f t="shared" si="141"/>
        <v/>
      </c>
      <c r="AP233" s="33" t="str">
        <f t="shared" si="142"/>
        <v/>
      </c>
      <c r="AQ233" s="58" t="str">
        <f t="shared" si="143"/>
        <v/>
      </c>
      <c r="AR233" s="38">
        <f>'ANR OK vs ML7'!AR233</f>
        <v>0.1</v>
      </c>
      <c r="AS233" s="35" t="str">
        <f t="shared" si="144"/>
        <v/>
      </c>
      <c r="AT233" s="3" t="str">
        <f t="shared" si="145"/>
        <v/>
      </c>
      <c r="AU233" s="3" t="str">
        <f t="shared" si="146"/>
        <v/>
      </c>
      <c r="AW233" s="32" t="str">
        <f t="shared" si="147"/>
        <v/>
      </c>
      <c r="AX233" s="32" t="str">
        <f t="shared" si="147"/>
        <v/>
      </c>
      <c r="AY233" s="32" t="str">
        <f t="shared" si="148"/>
        <v/>
      </c>
      <c r="BA233" s="32" t="str">
        <f>IF($A234="","",F233*Summary!$Q$12)</f>
        <v/>
      </c>
    </row>
    <row r="234" spans="1:53" ht="12" customHeight="1">
      <c r="A234" s="67" t="str">
        <f t="shared" si="149"/>
        <v/>
      </c>
      <c r="B234" s="69" t="str">
        <f t="shared" si="151"/>
        <v/>
      </c>
      <c r="C234" s="71"/>
      <c r="D234" s="69" t="str">
        <f t="shared" si="115"/>
        <v/>
      </c>
      <c r="E234" s="70" t="str">
        <f t="shared" si="116"/>
        <v/>
      </c>
      <c r="F234" s="70" t="str">
        <f t="shared" si="117"/>
        <v/>
      </c>
      <c r="G234" s="63" t="str">
        <f t="shared" si="118"/>
        <v/>
      </c>
      <c r="H234" s="64" t="str">
        <f t="shared" si="119"/>
        <v/>
      </c>
      <c r="I234" s="43"/>
      <c r="J234" s="63" t="str">
        <f t="shared" si="120"/>
        <v/>
      </c>
      <c r="K234" s="64" t="str">
        <f t="shared" si="121"/>
        <v/>
      </c>
      <c r="L234" s="63" t="str">
        <f t="shared" si="122"/>
        <v/>
      </c>
      <c r="M234" s="64" t="str">
        <f t="shared" si="123"/>
        <v/>
      </c>
      <c r="N234" s="65"/>
      <c r="O234" s="63" t="str">
        <f t="shared" si="124"/>
        <v/>
      </c>
      <c r="P234" s="63" t="str">
        <f t="shared" si="125"/>
        <v/>
      </c>
      <c r="Q234" s="66"/>
      <c r="R234" s="63" t="str">
        <f t="shared" si="126"/>
        <v/>
      </c>
      <c r="S234" s="64" t="str">
        <f t="shared" si="127"/>
        <v/>
      </c>
      <c r="T234" s="63" t="str">
        <f t="shared" si="128"/>
        <v/>
      </c>
      <c r="U234" s="64" t="str">
        <f t="shared" si="129"/>
        <v/>
      </c>
      <c r="V234" s="90" t="str">
        <f>IF($A235="","",IF(AND(MONTH(A234)&gt;3,MONTH(A234)&lt;11),(T234+R234+G234)*(((1/(1-Summary!$T$12))/(1-Summary!$W$12))-1),(T234+R234+G234)*((1/(1-Summary!$U$12))/(1-Summary!$X$12)-1)))</f>
        <v/>
      </c>
      <c r="W234" s="63" t="str">
        <f t="shared" si="130"/>
        <v/>
      </c>
      <c r="X234" s="63" t="str">
        <f t="shared" si="131"/>
        <v/>
      </c>
      <c r="Y234" s="43"/>
      <c r="Z234" s="38" t="str">
        <f t="shared" si="132"/>
        <v/>
      </c>
      <c r="AA234" s="38" t="str">
        <f t="shared" si="133"/>
        <v/>
      </c>
      <c r="AB234" s="38" t="e">
        <f t="shared" si="134"/>
        <v>#VALUE!</v>
      </c>
      <c r="AC234" s="38" t="str">
        <f t="shared" si="135"/>
        <v/>
      </c>
      <c r="AD234" s="38" t="str">
        <f t="shared" si="135"/>
        <v/>
      </c>
      <c r="AE234" s="38" t="e">
        <f t="shared" si="136"/>
        <v>#VALUE!</v>
      </c>
      <c r="AF234" s="238" t="e">
        <f>((Summary!$N$12*(AA234*AD234)*(A234-$D$3))+(Summary!$M$12*Z234*AC234*(AJ234-EOMONTH(EDATE(A234,-1),0))))/(AK234*AB234*AE234)</f>
        <v>#VALUE!</v>
      </c>
      <c r="AG234" s="88" t="str">
        <f>IF($A235="","",Summary!$Q$12)</f>
        <v/>
      </c>
      <c r="AH234" s="88" t="str">
        <f>IF($A235="","",IF(Summary!$R$12="Y",(VLOOKUP($A234,Summary!$AD$6:$AF$9,3)+'Escalating commodity'!H247),'Escalating commodity'!H247))</f>
        <v/>
      </c>
      <c r="AI234" s="88" t="str">
        <f t="shared" si="150"/>
        <v/>
      </c>
      <c r="AJ234" s="236" t="e">
        <f t="shared" si="137"/>
        <v>#VALUE!</v>
      </c>
      <c r="AK234" s="58" t="str">
        <f t="shared" si="138"/>
        <v/>
      </c>
      <c r="AL234" s="26" t="str">
        <f>IF($A235="","",_xll.SPRDOPT(P234,X234,AI234,0,AB234,AE234,AF234,AK234,$AJ$2,0))</f>
        <v/>
      </c>
      <c r="AM234" s="89" t="str">
        <f t="shared" si="139"/>
        <v/>
      </c>
      <c r="AN234" s="89" t="str">
        <f t="shared" si="140"/>
        <v/>
      </c>
      <c r="AO234" s="3" t="str">
        <f t="shared" si="141"/>
        <v/>
      </c>
      <c r="AP234" s="33" t="str">
        <f t="shared" si="142"/>
        <v/>
      </c>
      <c r="AQ234" s="58" t="str">
        <f t="shared" si="143"/>
        <v/>
      </c>
      <c r="AR234" s="38">
        <f>'ANR OK vs ML7'!AR234</f>
        <v>0.1</v>
      </c>
      <c r="AS234" s="35" t="str">
        <f t="shared" si="144"/>
        <v/>
      </c>
      <c r="AT234" s="3" t="str">
        <f t="shared" si="145"/>
        <v/>
      </c>
      <c r="AU234" s="3" t="str">
        <f t="shared" si="146"/>
        <v/>
      </c>
      <c r="AW234" s="32" t="str">
        <f t="shared" si="147"/>
        <v/>
      </c>
      <c r="AX234" s="32" t="str">
        <f t="shared" si="147"/>
        <v/>
      </c>
      <c r="AY234" s="32" t="str">
        <f t="shared" si="148"/>
        <v/>
      </c>
      <c r="BA234" s="32" t="str">
        <f>IF($A235="","",F234*Summary!$Q$12)</f>
        <v/>
      </c>
    </row>
    <row r="235" spans="1:53" ht="12" customHeight="1">
      <c r="A235" s="67" t="str">
        <f t="shared" si="149"/>
        <v/>
      </c>
      <c r="B235" s="69" t="str">
        <f t="shared" si="151"/>
        <v/>
      </c>
      <c r="C235" s="71"/>
      <c r="D235" s="69" t="str">
        <f t="shared" si="115"/>
        <v/>
      </c>
      <c r="E235" s="70" t="str">
        <f t="shared" si="116"/>
        <v/>
      </c>
      <c r="F235" s="70" t="str">
        <f t="shared" si="117"/>
        <v/>
      </c>
      <c r="G235" s="63" t="str">
        <f t="shared" si="118"/>
        <v/>
      </c>
      <c r="H235" s="64" t="str">
        <f t="shared" si="119"/>
        <v/>
      </c>
      <c r="I235" s="43"/>
      <c r="J235" s="63" t="str">
        <f t="shared" si="120"/>
        <v/>
      </c>
      <c r="K235" s="64" t="str">
        <f t="shared" si="121"/>
        <v/>
      </c>
      <c r="L235" s="63" t="str">
        <f t="shared" si="122"/>
        <v/>
      </c>
      <c r="M235" s="64" t="str">
        <f t="shared" si="123"/>
        <v/>
      </c>
      <c r="N235" s="65"/>
      <c r="O235" s="63" t="str">
        <f t="shared" si="124"/>
        <v/>
      </c>
      <c r="P235" s="63" t="str">
        <f t="shared" si="125"/>
        <v/>
      </c>
      <c r="Q235" s="66"/>
      <c r="R235" s="63" t="str">
        <f t="shared" si="126"/>
        <v/>
      </c>
      <c r="S235" s="64" t="str">
        <f t="shared" si="127"/>
        <v/>
      </c>
      <c r="T235" s="63" t="str">
        <f t="shared" si="128"/>
        <v/>
      </c>
      <c r="U235" s="64" t="str">
        <f t="shared" si="129"/>
        <v/>
      </c>
      <c r="V235" s="90" t="str">
        <f>IF($A236="","",IF(AND(MONTH(A235)&gt;3,MONTH(A235)&lt;11),(T235+R235+G235)*(((1/(1-Summary!$T$12))/(1-Summary!$W$12))-1),(T235+R235+G235)*((1/(1-Summary!$U$12))/(1-Summary!$X$12)-1)))</f>
        <v/>
      </c>
      <c r="W235" s="63" t="str">
        <f t="shared" si="130"/>
        <v/>
      </c>
      <c r="X235" s="63" t="str">
        <f t="shared" si="131"/>
        <v/>
      </c>
      <c r="Y235" s="43"/>
      <c r="Z235" s="38" t="str">
        <f t="shared" si="132"/>
        <v/>
      </c>
      <c r="AA235" s="38" t="str">
        <f t="shared" si="133"/>
        <v/>
      </c>
      <c r="AB235" s="38" t="e">
        <f t="shared" si="134"/>
        <v>#VALUE!</v>
      </c>
      <c r="AC235" s="38" t="str">
        <f t="shared" si="135"/>
        <v/>
      </c>
      <c r="AD235" s="38" t="str">
        <f t="shared" si="135"/>
        <v/>
      </c>
      <c r="AE235" s="38" t="e">
        <f t="shared" si="136"/>
        <v>#VALUE!</v>
      </c>
      <c r="AF235" s="238" t="e">
        <f>((Summary!$N$12*(AA235*AD235)*(A235-$D$3))+(Summary!$M$12*Z235*AC235*(AJ235-EOMONTH(EDATE(A235,-1),0))))/(AK235*AB235*AE235)</f>
        <v>#VALUE!</v>
      </c>
      <c r="AG235" s="88" t="str">
        <f>IF($A236="","",Summary!$Q$12)</f>
        <v/>
      </c>
      <c r="AH235" s="88" t="str">
        <f>IF($A236="","",IF(Summary!$R$12="Y",(VLOOKUP($A235,Summary!$AD$6:$AF$9,3)+'Escalating commodity'!H248),'Escalating commodity'!H248))</f>
        <v/>
      </c>
      <c r="AI235" s="88" t="str">
        <f t="shared" si="150"/>
        <v/>
      </c>
      <c r="AJ235" s="236" t="e">
        <f t="shared" si="137"/>
        <v>#VALUE!</v>
      </c>
      <c r="AK235" s="58" t="str">
        <f t="shared" si="138"/>
        <v/>
      </c>
      <c r="AL235" s="26" t="str">
        <f>IF($A236="","",_xll.SPRDOPT(P235,X235,AI235,0,AB235,AE235,AF235,AK235,$AJ$2,0))</f>
        <v/>
      </c>
      <c r="AM235" s="89" t="str">
        <f t="shared" si="139"/>
        <v/>
      </c>
      <c r="AN235" s="89" t="str">
        <f t="shared" si="140"/>
        <v/>
      </c>
      <c r="AO235" s="3" t="str">
        <f t="shared" si="141"/>
        <v/>
      </c>
      <c r="AP235" s="33" t="str">
        <f t="shared" si="142"/>
        <v/>
      </c>
      <c r="AQ235" s="58" t="str">
        <f t="shared" si="143"/>
        <v/>
      </c>
      <c r="AR235" s="38">
        <f>'ANR OK vs ML7'!AR235</f>
        <v>0.1</v>
      </c>
      <c r="AS235" s="35" t="str">
        <f t="shared" si="144"/>
        <v/>
      </c>
      <c r="AT235" s="3" t="str">
        <f t="shared" si="145"/>
        <v/>
      </c>
      <c r="AU235" s="3" t="str">
        <f t="shared" si="146"/>
        <v/>
      </c>
      <c r="AW235" s="32" t="str">
        <f t="shared" si="147"/>
        <v/>
      </c>
      <c r="AX235" s="32" t="str">
        <f t="shared" si="147"/>
        <v/>
      </c>
      <c r="AY235" s="32" t="str">
        <f t="shared" si="148"/>
        <v/>
      </c>
      <c r="BA235" s="32" t="str">
        <f>IF($A236="","",F235*Summary!$Q$12)</f>
        <v/>
      </c>
    </row>
    <row r="236" spans="1:53" ht="12" customHeight="1">
      <c r="A236" s="67" t="str">
        <f t="shared" si="149"/>
        <v/>
      </c>
      <c r="B236" s="69" t="str">
        <f t="shared" si="151"/>
        <v/>
      </c>
      <c r="C236" s="71"/>
      <c r="D236" s="69" t="str">
        <f t="shared" si="115"/>
        <v/>
      </c>
      <c r="E236" s="70" t="str">
        <f t="shared" si="116"/>
        <v/>
      </c>
      <c r="F236" s="70" t="str">
        <f t="shared" si="117"/>
        <v/>
      </c>
      <c r="G236" s="63" t="str">
        <f t="shared" si="118"/>
        <v/>
      </c>
      <c r="H236" s="64" t="str">
        <f t="shared" si="119"/>
        <v/>
      </c>
      <c r="I236" s="43"/>
      <c r="J236" s="63" t="str">
        <f t="shared" si="120"/>
        <v/>
      </c>
      <c r="K236" s="64" t="str">
        <f t="shared" si="121"/>
        <v/>
      </c>
      <c r="L236" s="63" t="str">
        <f t="shared" si="122"/>
        <v/>
      </c>
      <c r="M236" s="64" t="str">
        <f t="shared" si="123"/>
        <v/>
      </c>
      <c r="N236" s="65"/>
      <c r="O236" s="63" t="str">
        <f t="shared" si="124"/>
        <v/>
      </c>
      <c r="P236" s="63" t="str">
        <f t="shared" si="125"/>
        <v/>
      </c>
      <c r="Q236" s="66"/>
      <c r="R236" s="63" t="str">
        <f t="shared" si="126"/>
        <v/>
      </c>
      <c r="S236" s="64" t="str">
        <f t="shared" si="127"/>
        <v/>
      </c>
      <c r="T236" s="63" t="str">
        <f t="shared" si="128"/>
        <v/>
      </c>
      <c r="U236" s="64" t="str">
        <f t="shared" si="129"/>
        <v/>
      </c>
      <c r="V236" s="90" t="str">
        <f>IF($A237="","",IF(AND(MONTH(A236)&gt;3,MONTH(A236)&lt;11),(T236+R236+G236)*(((1/(1-Summary!$T$12))/(1-Summary!$W$12))-1),(T236+R236+G236)*((1/(1-Summary!$U$12))/(1-Summary!$X$12)-1)))</f>
        <v/>
      </c>
      <c r="W236" s="63" t="str">
        <f t="shared" si="130"/>
        <v/>
      </c>
      <c r="X236" s="63" t="str">
        <f t="shared" si="131"/>
        <v/>
      </c>
      <c r="Y236" s="43"/>
      <c r="Z236" s="38" t="str">
        <f t="shared" si="132"/>
        <v/>
      </c>
      <c r="AA236" s="38" t="str">
        <f t="shared" si="133"/>
        <v/>
      </c>
      <c r="AB236" s="38" t="e">
        <f t="shared" si="134"/>
        <v>#VALUE!</v>
      </c>
      <c r="AC236" s="38" t="str">
        <f t="shared" si="135"/>
        <v/>
      </c>
      <c r="AD236" s="38" t="str">
        <f t="shared" si="135"/>
        <v/>
      </c>
      <c r="AE236" s="38" t="e">
        <f t="shared" si="136"/>
        <v>#VALUE!</v>
      </c>
      <c r="AF236" s="238" t="e">
        <f>((Summary!$N$12*(AA236*AD236)*(A236-$D$3))+(Summary!$M$12*Z236*AC236*(AJ236-EOMONTH(EDATE(A236,-1),0))))/(AK236*AB236*AE236)</f>
        <v>#VALUE!</v>
      </c>
      <c r="AG236" s="88" t="str">
        <f>IF($A237="","",Summary!$Q$12)</f>
        <v/>
      </c>
      <c r="AH236" s="88" t="str">
        <f>IF($A237="","",IF(Summary!$R$12="Y",(VLOOKUP($A236,Summary!$AD$6:$AF$9,3)+'Escalating commodity'!H249),'Escalating commodity'!H249))</f>
        <v/>
      </c>
      <c r="AI236" s="88" t="str">
        <f t="shared" si="150"/>
        <v/>
      </c>
      <c r="AJ236" s="236" t="e">
        <f t="shared" si="137"/>
        <v>#VALUE!</v>
      </c>
      <c r="AK236" s="58" t="str">
        <f t="shared" si="138"/>
        <v/>
      </c>
      <c r="AL236" s="26" t="str">
        <f>IF($A237="","",_xll.SPRDOPT(P236,X236,AI236,0,AB236,AE236,AF236,AK236,$AJ$2,0))</f>
        <v/>
      </c>
      <c r="AM236" s="89" t="str">
        <f t="shared" si="139"/>
        <v/>
      </c>
      <c r="AN236" s="89" t="str">
        <f t="shared" si="140"/>
        <v/>
      </c>
      <c r="AO236" s="3" t="str">
        <f t="shared" si="141"/>
        <v/>
      </c>
      <c r="AP236" s="33" t="str">
        <f t="shared" si="142"/>
        <v/>
      </c>
      <c r="AQ236" s="58" t="str">
        <f t="shared" si="143"/>
        <v/>
      </c>
      <c r="AR236" s="38">
        <f>'ANR OK vs ML7'!AR236</f>
        <v>0.1</v>
      </c>
      <c r="AS236" s="35" t="str">
        <f t="shared" si="144"/>
        <v/>
      </c>
      <c r="AT236" s="3" t="str">
        <f t="shared" si="145"/>
        <v/>
      </c>
      <c r="AU236" s="3" t="str">
        <f t="shared" si="146"/>
        <v/>
      </c>
      <c r="AW236" s="32" t="str">
        <f t="shared" si="147"/>
        <v/>
      </c>
      <c r="AX236" s="32" t="str">
        <f t="shared" si="147"/>
        <v/>
      </c>
      <c r="AY236" s="32" t="str">
        <f t="shared" si="148"/>
        <v/>
      </c>
      <c r="BA236" s="32" t="str">
        <f>IF($A237="","",F236*Summary!$Q$12)</f>
        <v/>
      </c>
    </row>
    <row r="237" spans="1:53" ht="12" customHeight="1">
      <c r="A237" s="67" t="str">
        <f t="shared" si="149"/>
        <v/>
      </c>
      <c r="B237" s="69" t="str">
        <f t="shared" si="151"/>
        <v/>
      </c>
      <c r="C237" s="71"/>
      <c r="D237" s="69" t="str">
        <f t="shared" si="115"/>
        <v/>
      </c>
      <c r="E237" s="70" t="str">
        <f t="shared" si="116"/>
        <v/>
      </c>
      <c r="F237" s="70" t="str">
        <f t="shared" si="117"/>
        <v/>
      </c>
      <c r="G237" s="63" t="str">
        <f t="shared" si="118"/>
        <v/>
      </c>
      <c r="H237" s="64" t="str">
        <f t="shared" si="119"/>
        <v/>
      </c>
      <c r="I237" s="43"/>
      <c r="J237" s="63" t="str">
        <f t="shared" si="120"/>
        <v/>
      </c>
      <c r="K237" s="64" t="str">
        <f t="shared" si="121"/>
        <v/>
      </c>
      <c r="L237" s="63" t="str">
        <f t="shared" si="122"/>
        <v/>
      </c>
      <c r="M237" s="64" t="str">
        <f t="shared" si="123"/>
        <v/>
      </c>
      <c r="N237" s="65"/>
      <c r="O237" s="63" t="str">
        <f t="shared" si="124"/>
        <v/>
      </c>
      <c r="P237" s="63" t="str">
        <f t="shared" si="125"/>
        <v/>
      </c>
      <c r="Q237" s="66"/>
      <c r="R237" s="63" t="str">
        <f t="shared" si="126"/>
        <v/>
      </c>
      <c r="S237" s="64" t="str">
        <f t="shared" si="127"/>
        <v/>
      </c>
      <c r="T237" s="63" t="str">
        <f t="shared" si="128"/>
        <v/>
      </c>
      <c r="U237" s="64" t="str">
        <f t="shared" si="129"/>
        <v/>
      </c>
      <c r="V237" s="90" t="str">
        <f>IF($A238="","",IF(AND(MONTH(A237)&gt;3,MONTH(A237)&lt;11),(T237+R237+G237)*(((1/(1-Summary!$T$12))/(1-Summary!$W$12))-1),(T237+R237+G237)*((1/(1-Summary!$U$12))/(1-Summary!$X$12)-1)))</f>
        <v/>
      </c>
      <c r="W237" s="63" t="str">
        <f t="shared" si="130"/>
        <v/>
      </c>
      <c r="X237" s="63" t="str">
        <f t="shared" si="131"/>
        <v/>
      </c>
      <c r="Y237" s="43"/>
      <c r="Z237" s="38" t="str">
        <f t="shared" si="132"/>
        <v/>
      </c>
      <c r="AA237" s="38" t="str">
        <f t="shared" si="133"/>
        <v/>
      </c>
      <c r="AB237" s="38" t="e">
        <f t="shared" si="134"/>
        <v>#VALUE!</v>
      </c>
      <c r="AC237" s="38" t="str">
        <f t="shared" si="135"/>
        <v/>
      </c>
      <c r="AD237" s="38" t="str">
        <f t="shared" si="135"/>
        <v/>
      </c>
      <c r="AE237" s="38" t="e">
        <f t="shared" si="136"/>
        <v>#VALUE!</v>
      </c>
      <c r="AF237" s="238" t="e">
        <f>((Summary!$N$12*(AA237*AD237)*(A237-$D$3))+(Summary!$M$12*Z237*AC237*(AJ237-EOMONTH(EDATE(A237,-1),0))))/(AK237*AB237*AE237)</f>
        <v>#VALUE!</v>
      </c>
      <c r="AG237" s="88" t="str">
        <f>IF($A238="","",Summary!$Q$12)</f>
        <v/>
      </c>
      <c r="AH237" s="88" t="str">
        <f>IF($A238="","",IF(Summary!$R$12="Y",(VLOOKUP($A237,Summary!$AD$6:$AF$9,3)+'Escalating commodity'!H250),'Escalating commodity'!H250))</f>
        <v/>
      </c>
      <c r="AI237" s="88" t="str">
        <f t="shared" si="150"/>
        <v/>
      </c>
      <c r="AJ237" s="236" t="e">
        <f t="shared" si="137"/>
        <v>#VALUE!</v>
      </c>
      <c r="AK237" s="58" t="str">
        <f t="shared" si="138"/>
        <v/>
      </c>
      <c r="AL237" s="26" t="str">
        <f>IF($A238="","",_xll.SPRDOPT(P237,X237,AI237,0,AB237,AE237,AF237,AK237,$AJ$2,0))</f>
        <v/>
      </c>
      <c r="AM237" s="89" t="str">
        <f t="shared" si="139"/>
        <v/>
      </c>
      <c r="AN237" s="89" t="str">
        <f t="shared" si="140"/>
        <v/>
      </c>
      <c r="AO237" s="3" t="str">
        <f t="shared" si="141"/>
        <v/>
      </c>
      <c r="AP237" s="33" t="str">
        <f t="shared" si="142"/>
        <v/>
      </c>
      <c r="AQ237" s="58" t="str">
        <f t="shared" si="143"/>
        <v/>
      </c>
      <c r="AR237" s="38">
        <f>'ANR OK vs ML7'!AR237</f>
        <v>0.1</v>
      </c>
      <c r="AS237" s="35" t="str">
        <f t="shared" si="144"/>
        <v/>
      </c>
      <c r="AT237" s="3" t="str">
        <f t="shared" si="145"/>
        <v/>
      </c>
      <c r="AU237" s="3" t="str">
        <f t="shared" si="146"/>
        <v/>
      </c>
      <c r="AW237" s="32" t="str">
        <f t="shared" si="147"/>
        <v/>
      </c>
      <c r="AX237" s="32" t="str">
        <f t="shared" si="147"/>
        <v/>
      </c>
      <c r="AY237" s="32" t="str">
        <f t="shared" si="148"/>
        <v/>
      </c>
      <c r="BA237" s="32" t="str">
        <f>IF($A238="","",F237*Summary!$Q$12)</f>
        <v/>
      </c>
    </row>
    <row r="238" spans="1:53" ht="12" customHeight="1">
      <c r="A238" s="67" t="str">
        <f t="shared" si="149"/>
        <v/>
      </c>
      <c r="B238" s="69" t="str">
        <f t="shared" si="151"/>
        <v/>
      </c>
      <c r="C238" s="71"/>
      <c r="D238" s="69" t="str">
        <f t="shared" si="115"/>
        <v/>
      </c>
      <c r="E238" s="70" t="str">
        <f t="shared" si="116"/>
        <v/>
      </c>
      <c r="F238" s="70" t="str">
        <f t="shared" si="117"/>
        <v/>
      </c>
      <c r="G238" s="63" t="str">
        <f t="shared" si="118"/>
        <v/>
      </c>
      <c r="H238" s="64" t="str">
        <f t="shared" si="119"/>
        <v/>
      </c>
      <c r="I238" s="43"/>
      <c r="J238" s="63" t="str">
        <f t="shared" si="120"/>
        <v/>
      </c>
      <c r="K238" s="64" t="str">
        <f t="shared" si="121"/>
        <v/>
      </c>
      <c r="L238" s="63" t="str">
        <f t="shared" si="122"/>
        <v/>
      </c>
      <c r="M238" s="64" t="str">
        <f t="shared" si="123"/>
        <v/>
      </c>
      <c r="N238" s="65"/>
      <c r="O238" s="63" t="str">
        <f t="shared" si="124"/>
        <v/>
      </c>
      <c r="P238" s="63" t="str">
        <f t="shared" si="125"/>
        <v/>
      </c>
      <c r="Q238" s="66"/>
      <c r="R238" s="63" t="str">
        <f t="shared" si="126"/>
        <v/>
      </c>
      <c r="S238" s="64" t="str">
        <f t="shared" si="127"/>
        <v/>
      </c>
      <c r="T238" s="63" t="str">
        <f t="shared" si="128"/>
        <v/>
      </c>
      <c r="U238" s="64" t="str">
        <f t="shared" si="129"/>
        <v/>
      </c>
      <c r="V238" s="90" t="str">
        <f>IF($A239="","",IF(AND(MONTH(A238)&gt;3,MONTH(A238)&lt;11),(T238+R238+G238)*(((1/(1-Summary!$T$12))/(1-Summary!$W$12))-1),(T238+R238+G238)*((1/(1-Summary!$U$12))/(1-Summary!$X$12)-1)))</f>
        <v/>
      </c>
      <c r="W238" s="63" t="str">
        <f t="shared" si="130"/>
        <v/>
      </c>
      <c r="X238" s="63" t="str">
        <f t="shared" si="131"/>
        <v/>
      </c>
      <c r="Y238" s="43"/>
      <c r="Z238" s="38" t="str">
        <f t="shared" si="132"/>
        <v/>
      </c>
      <c r="AA238" s="38" t="str">
        <f t="shared" si="133"/>
        <v/>
      </c>
      <c r="AB238" s="38" t="e">
        <f t="shared" si="134"/>
        <v>#VALUE!</v>
      </c>
      <c r="AC238" s="38" t="str">
        <f t="shared" si="135"/>
        <v/>
      </c>
      <c r="AD238" s="38" t="str">
        <f t="shared" si="135"/>
        <v/>
      </c>
      <c r="AE238" s="38" t="e">
        <f t="shared" si="136"/>
        <v>#VALUE!</v>
      </c>
      <c r="AF238" s="238" t="e">
        <f>((Summary!$N$12*(AA238*AD238)*(A238-$D$3))+(Summary!$M$12*Z238*AC238*(AJ238-EOMONTH(EDATE(A238,-1),0))))/(AK238*AB238*AE238)</f>
        <v>#VALUE!</v>
      </c>
      <c r="AG238" s="88" t="str">
        <f>IF($A239="","",Summary!$Q$12)</f>
        <v/>
      </c>
      <c r="AH238" s="88" t="str">
        <f>IF($A239="","",IF(Summary!$R$12="Y",(VLOOKUP($A238,Summary!$AD$6:$AF$9,3)+'Escalating commodity'!H251),'Escalating commodity'!H251))</f>
        <v/>
      </c>
      <c r="AI238" s="88" t="str">
        <f t="shared" si="150"/>
        <v/>
      </c>
      <c r="AJ238" s="236" t="e">
        <f t="shared" si="137"/>
        <v>#VALUE!</v>
      </c>
      <c r="AK238" s="58" t="str">
        <f t="shared" si="138"/>
        <v/>
      </c>
      <c r="AL238" s="26" t="str">
        <f>IF($A239="","",_xll.SPRDOPT(P238,X238,AI238,0,AB238,AE238,AF238,AK238,$AJ$2,0))</f>
        <v/>
      </c>
      <c r="AM238" s="89" t="str">
        <f t="shared" si="139"/>
        <v/>
      </c>
      <c r="AN238" s="89" t="str">
        <f t="shared" si="140"/>
        <v/>
      </c>
      <c r="AO238" s="3" t="str">
        <f t="shared" si="141"/>
        <v/>
      </c>
      <c r="AP238" s="33" t="str">
        <f t="shared" si="142"/>
        <v/>
      </c>
      <c r="AQ238" s="58" t="str">
        <f t="shared" si="143"/>
        <v/>
      </c>
      <c r="AR238" s="38">
        <f>'ANR OK vs ML7'!AR238</f>
        <v>0.1</v>
      </c>
      <c r="AS238" s="35" t="str">
        <f t="shared" si="144"/>
        <v/>
      </c>
      <c r="AT238" s="3" t="str">
        <f t="shared" si="145"/>
        <v/>
      </c>
      <c r="AU238" s="3" t="str">
        <f t="shared" si="146"/>
        <v/>
      </c>
      <c r="AW238" s="32" t="str">
        <f t="shared" si="147"/>
        <v/>
      </c>
      <c r="AX238" s="32" t="str">
        <f t="shared" si="147"/>
        <v/>
      </c>
      <c r="AY238" s="32" t="str">
        <f t="shared" si="148"/>
        <v/>
      </c>
      <c r="BA238" s="32" t="str">
        <f>IF($A239="","",F238*Summary!$Q$12)</f>
        <v/>
      </c>
    </row>
    <row r="239" spans="1:53" ht="12" customHeight="1">
      <c r="A239" s="67" t="str">
        <f t="shared" si="149"/>
        <v/>
      </c>
      <c r="B239" s="69" t="str">
        <f t="shared" si="151"/>
        <v/>
      </c>
      <c r="C239" s="71"/>
      <c r="D239" s="69" t="str">
        <f t="shared" si="115"/>
        <v/>
      </c>
      <c r="E239" s="70" t="str">
        <f t="shared" si="116"/>
        <v/>
      </c>
      <c r="F239" s="70" t="str">
        <f t="shared" si="117"/>
        <v/>
      </c>
      <c r="G239" s="63" t="str">
        <f t="shared" si="118"/>
        <v/>
      </c>
      <c r="H239" s="64" t="str">
        <f t="shared" si="119"/>
        <v/>
      </c>
      <c r="I239" s="43"/>
      <c r="J239" s="63" t="str">
        <f t="shared" si="120"/>
        <v/>
      </c>
      <c r="K239" s="64" t="str">
        <f t="shared" si="121"/>
        <v/>
      </c>
      <c r="L239" s="63" t="str">
        <f t="shared" si="122"/>
        <v/>
      </c>
      <c r="M239" s="64" t="str">
        <f t="shared" si="123"/>
        <v/>
      </c>
      <c r="N239" s="65"/>
      <c r="O239" s="63" t="str">
        <f t="shared" si="124"/>
        <v/>
      </c>
      <c r="P239" s="63" t="str">
        <f t="shared" si="125"/>
        <v/>
      </c>
      <c r="Q239" s="66"/>
      <c r="R239" s="63" t="str">
        <f t="shared" si="126"/>
        <v/>
      </c>
      <c r="S239" s="64" t="str">
        <f t="shared" si="127"/>
        <v/>
      </c>
      <c r="T239" s="63" t="str">
        <f t="shared" si="128"/>
        <v/>
      </c>
      <c r="U239" s="64" t="str">
        <f t="shared" si="129"/>
        <v/>
      </c>
      <c r="V239" s="90" t="str">
        <f>IF($A240="","",IF(AND(MONTH(A239)&gt;3,MONTH(A239)&lt;11),(T239+R239+G239)*(((1/(1-Summary!$T$12))/(1-Summary!$W$12))-1),(T239+R239+G239)*((1/(1-Summary!$U$12))/(1-Summary!$X$12)-1)))</f>
        <v/>
      </c>
      <c r="W239" s="63" t="str">
        <f t="shared" si="130"/>
        <v/>
      </c>
      <c r="X239" s="63" t="str">
        <f t="shared" si="131"/>
        <v/>
      </c>
      <c r="Y239" s="43"/>
      <c r="Z239" s="38" t="str">
        <f t="shared" si="132"/>
        <v/>
      </c>
      <c r="AA239" s="38" t="str">
        <f t="shared" si="133"/>
        <v/>
      </c>
      <c r="AB239" s="38" t="e">
        <f t="shared" si="134"/>
        <v>#VALUE!</v>
      </c>
      <c r="AC239" s="38" t="str">
        <f t="shared" si="135"/>
        <v/>
      </c>
      <c r="AD239" s="38" t="str">
        <f t="shared" si="135"/>
        <v/>
      </c>
      <c r="AE239" s="38" t="e">
        <f t="shared" si="136"/>
        <v>#VALUE!</v>
      </c>
      <c r="AF239" s="238" t="e">
        <f>((Summary!$N$12*(AA239*AD239)*(A239-$D$3))+(Summary!$M$12*Z239*AC239*(AJ239-EOMONTH(EDATE(A239,-1),0))))/(AK239*AB239*AE239)</f>
        <v>#VALUE!</v>
      </c>
      <c r="AG239" s="88" t="str">
        <f>IF($A240="","",Summary!$Q$12)</f>
        <v/>
      </c>
      <c r="AH239" s="88" t="str">
        <f>IF($A240="","",IF(Summary!$R$12="Y",(VLOOKUP($A239,Summary!$AD$6:$AF$9,3)+'Escalating commodity'!H252),'Escalating commodity'!H252))</f>
        <v/>
      </c>
      <c r="AI239" s="88" t="str">
        <f t="shared" si="150"/>
        <v/>
      </c>
      <c r="AJ239" s="236" t="e">
        <f t="shared" si="137"/>
        <v>#VALUE!</v>
      </c>
      <c r="AK239" s="58" t="str">
        <f t="shared" si="138"/>
        <v/>
      </c>
      <c r="AL239" s="26" t="str">
        <f>IF($A240="","",_xll.SPRDOPT(P239,X239,AI239,0,AB239,AE239,AF239,AK239,$AJ$2,0))</f>
        <v/>
      </c>
      <c r="AM239" s="89" t="str">
        <f t="shared" si="139"/>
        <v/>
      </c>
      <c r="AN239" s="89" t="str">
        <f t="shared" si="140"/>
        <v/>
      </c>
      <c r="AO239" s="3" t="str">
        <f t="shared" si="141"/>
        <v/>
      </c>
      <c r="AP239" s="33" t="str">
        <f t="shared" si="142"/>
        <v/>
      </c>
      <c r="AQ239" s="58" t="str">
        <f t="shared" si="143"/>
        <v/>
      </c>
      <c r="AR239" s="38">
        <f>'ANR OK vs ML7'!AR239</f>
        <v>0.1</v>
      </c>
      <c r="AS239" s="35" t="str">
        <f t="shared" si="144"/>
        <v/>
      </c>
      <c r="AT239" s="3" t="str">
        <f t="shared" si="145"/>
        <v/>
      </c>
      <c r="AU239" s="3" t="str">
        <f t="shared" si="146"/>
        <v/>
      </c>
      <c r="AW239" s="32" t="str">
        <f t="shared" si="147"/>
        <v/>
      </c>
      <c r="AX239" s="32" t="str">
        <f t="shared" si="147"/>
        <v/>
      </c>
      <c r="AY239" s="32" t="str">
        <f t="shared" si="148"/>
        <v/>
      </c>
      <c r="BA239" s="32" t="str">
        <f>IF($A240="","",F239*Summary!$Q$12)</f>
        <v/>
      </c>
    </row>
    <row r="240" spans="1:53" ht="12" customHeight="1">
      <c r="A240" s="67" t="str">
        <f t="shared" si="149"/>
        <v/>
      </c>
      <c r="B240" s="69" t="str">
        <f t="shared" si="151"/>
        <v/>
      </c>
      <c r="C240" s="71"/>
      <c r="D240" s="69" t="str">
        <f t="shared" si="115"/>
        <v/>
      </c>
      <c r="E240" s="70" t="str">
        <f t="shared" si="116"/>
        <v/>
      </c>
      <c r="F240" s="70" t="str">
        <f t="shared" si="117"/>
        <v/>
      </c>
      <c r="G240" s="63" t="str">
        <f t="shared" si="118"/>
        <v/>
      </c>
      <c r="H240" s="64" t="str">
        <f t="shared" si="119"/>
        <v/>
      </c>
      <c r="I240" s="43"/>
      <c r="J240" s="63" t="str">
        <f t="shared" si="120"/>
        <v/>
      </c>
      <c r="K240" s="64" t="str">
        <f t="shared" si="121"/>
        <v/>
      </c>
      <c r="L240" s="63" t="str">
        <f t="shared" si="122"/>
        <v/>
      </c>
      <c r="M240" s="64" t="str">
        <f t="shared" si="123"/>
        <v/>
      </c>
      <c r="N240" s="65"/>
      <c r="O240" s="63" t="str">
        <f t="shared" si="124"/>
        <v/>
      </c>
      <c r="P240" s="63" t="str">
        <f t="shared" si="125"/>
        <v/>
      </c>
      <c r="Q240" s="66"/>
      <c r="R240" s="63" t="str">
        <f t="shared" si="126"/>
        <v/>
      </c>
      <c r="S240" s="64" t="str">
        <f t="shared" si="127"/>
        <v/>
      </c>
      <c r="T240" s="63" t="str">
        <f t="shared" si="128"/>
        <v/>
      </c>
      <c r="U240" s="64" t="str">
        <f t="shared" si="129"/>
        <v/>
      </c>
      <c r="V240" s="90" t="str">
        <f>IF($A241="","",IF(AND(MONTH(A240)&gt;3,MONTH(A240)&lt;11),(T240+R240+G240)*(((1/(1-Summary!$T$12))/(1-Summary!$W$12))-1),(T240+R240+G240)*((1/(1-Summary!$U$12))/(1-Summary!$X$12)-1)))</f>
        <v/>
      </c>
      <c r="W240" s="63" t="str">
        <f t="shared" si="130"/>
        <v/>
      </c>
      <c r="X240" s="63" t="str">
        <f t="shared" si="131"/>
        <v/>
      </c>
      <c r="Y240" s="43"/>
      <c r="Z240" s="38" t="str">
        <f t="shared" si="132"/>
        <v/>
      </c>
      <c r="AA240" s="38" t="str">
        <f t="shared" si="133"/>
        <v/>
      </c>
      <c r="AB240" s="38" t="e">
        <f t="shared" si="134"/>
        <v>#VALUE!</v>
      </c>
      <c r="AC240" s="38" t="str">
        <f t="shared" si="135"/>
        <v/>
      </c>
      <c r="AD240" s="38" t="str">
        <f t="shared" si="135"/>
        <v/>
      </c>
      <c r="AE240" s="38" t="e">
        <f t="shared" si="136"/>
        <v>#VALUE!</v>
      </c>
      <c r="AF240" s="238" t="e">
        <f>((Summary!$N$12*(AA240*AD240)*(A240-$D$3))+(Summary!$M$12*Z240*AC240*(AJ240-EOMONTH(EDATE(A240,-1),0))))/(AK240*AB240*AE240)</f>
        <v>#VALUE!</v>
      </c>
      <c r="AG240" s="88" t="str">
        <f>IF($A241="","",Summary!$Q$12)</f>
        <v/>
      </c>
      <c r="AH240" s="88" t="str">
        <f>IF($A241="","",IF(Summary!$R$12="Y",(VLOOKUP($A240,Summary!$AD$6:$AF$9,3)+'Escalating commodity'!H253),'Escalating commodity'!H253))</f>
        <v/>
      </c>
      <c r="AI240" s="88" t="str">
        <f t="shared" si="150"/>
        <v/>
      </c>
      <c r="AJ240" s="236" t="e">
        <f t="shared" si="137"/>
        <v>#VALUE!</v>
      </c>
      <c r="AK240" s="58" t="str">
        <f t="shared" si="138"/>
        <v/>
      </c>
      <c r="AL240" s="26" t="str">
        <f>IF($A241="","",_xll.SPRDOPT(P240,X240,AI240,0,AB240,AE240,AF240,AK240,$AJ$2,0))</f>
        <v/>
      </c>
      <c r="AM240" s="89" t="str">
        <f t="shared" si="139"/>
        <v/>
      </c>
      <c r="AN240" s="89" t="str">
        <f t="shared" si="140"/>
        <v/>
      </c>
      <c r="AO240" s="3" t="str">
        <f t="shared" si="141"/>
        <v/>
      </c>
      <c r="AP240" s="33" t="str">
        <f t="shared" si="142"/>
        <v/>
      </c>
      <c r="AQ240" s="58" t="str">
        <f t="shared" si="143"/>
        <v/>
      </c>
      <c r="AR240" s="38">
        <f>'ANR OK vs ML7'!AR240</f>
        <v>0.1</v>
      </c>
      <c r="AS240" s="35" t="str">
        <f t="shared" si="144"/>
        <v/>
      </c>
      <c r="AT240" s="3" t="str">
        <f t="shared" si="145"/>
        <v/>
      </c>
      <c r="AU240" s="3" t="str">
        <f t="shared" si="146"/>
        <v/>
      </c>
      <c r="AW240" s="32" t="str">
        <f t="shared" si="147"/>
        <v/>
      </c>
      <c r="AX240" s="32" t="str">
        <f t="shared" si="147"/>
        <v/>
      </c>
      <c r="AY240" s="32" t="str">
        <f t="shared" si="148"/>
        <v/>
      </c>
      <c r="BA240" s="32" t="str">
        <f>IF($A241="","",F240*Summary!$Q$12)</f>
        <v/>
      </c>
    </row>
    <row r="241" spans="1:53" ht="12" customHeight="1">
      <c r="A241" s="67" t="str">
        <f t="shared" si="149"/>
        <v/>
      </c>
      <c r="B241" s="69" t="str">
        <f t="shared" si="151"/>
        <v/>
      </c>
      <c r="C241" s="71"/>
      <c r="D241" s="69" t="str">
        <f t="shared" si="115"/>
        <v/>
      </c>
      <c r="E241" s="70" t="str">
        <f t="shared" si="116"/>
        <v/>
      </c>
      <c r="F241" s="70" t="str">
        <f t="shared" si="117"/>
        <v/>
      </c>
      <c r="G241" s="63" t="str">
        <f t="shared" si="118"/>
        <v/>
      </c>
      <c r="H241" s="64" t="str">
        <f t="shared" si="119"/>
        <v/>
      </c>
      <c r="I241" s="43"/>
      <c r="J241" s="63" t="str">
        <f t="shared" si="120"/>
        <v/>
      </c>
      <c r="K241" s="64" t="str">
        <f t="shared" si="121"/>
        <v/>
      </c>
      <c r="L241" s="63" t="str">
        <f t="shared" si="122"/>
        <v/>
      </c>
      <c r="M241" s="64" t="str">
        <f t="shared" si="123"/>
        <v/>
      </c>
      <c r="N241" s="65"/>
      <c r="O241" s="63" t="str">
        <f t="shared" si="124"/>
        <v/>
      </c>
      <c r="P241" s="63" t="str">
        <f t="shared" si="125"/>
        <v/>
      </c>
      <c r="Q241" s="66"/>
      <c r="R241" s="63" t="str">
        <f t="shared" si="126"/>
        <v/>
      </c>
      <c r="S241" s="64" t="str">
        <f t="shared" si="127"/>
        <v/>
      </c>
      <c r="T241" s="63" t="str">
        <f t="shared" si="128"/>
        <v/>
      </c>
      <c r="U241" s="64" t="str">
        <f t="shared" si="129"/>
        <v/>
      </c>
      <c r="V241" s="90" t="str">
        <f>IF($A242="","",IF(AND(MONTH(A241)&gt;3,MONTH(A241)&lt;11),(T241+R241+G241)*(((1/(1-Summary!$T$12))/(1-Summary!$W$12))-1),(T241+R241+G241)*((1/(1-Summary!$U$12))/(1-Summary!$X$12)-1)))</f>
        <v/>
      </c>
      <c r="W241" s="63" t="str">
        <f t="shared" si="130"/>
        <v/>
      </c>
      <c r="X241" s="63" t="str">
        <f t="shared" si="131"/>
        <v/>
      </c>
      <c r="Y241" s="43"/>
      <c r="Z241" s="38" t="str">
        <f t="shared" si="132"/>
        <v/>
      </c>
      <c r="AA241" s="38" t="str">
        <f t="shared" si="133"/>
        <v/>
      </c>
      <c r="AB241" s="38" t="e">
        <f t="shared" si="134"/>
        <v>#VALUE!</v>
      </c>
      <c r="AC241" s="38" t="str">
        <f t="shared" si="135"/>
        <v/>
      </c>
      <c r="AD241" s="38" t="str">
        <f t="shared" si="135"/>
        <v/>
      </c>
      <c r="AE241" s="38" t="e">
        <f t="shared" si="136"/>
        <v>#VALUE!</v>
      </c>
      <c r="AF241" s="238" t="e">
        <f>((Summary!$N$12*(AA241*AD241)*(A241-$D$3))+(Summary!$M$12*Z241*AC241*(AJ241-EOMONTH(EDATE(A241,-1),0))))/(AK241*AB241*AE241)</f>
        <v>#VALUE!</v>
      </c>
      <c r="AG241" s="88" t="str">
        <f>IF($A242="","",Summary!$Q$12)</f>
        <v/>
      </c>
      <c r="AH241" s="88" t="str">
        <f>IF($A242="","",IF(Summary!$R$12="Y",(VLOOKUP($A241,Summary!$AD$6:$AF$9,3)+'Escalating commodity'!H254),'Escalating commodity'!H254))</f>
        <v/>
      </c>
      <c r="AI241" s="88" t="str">
        <f t="shared" si="150"/>
        <v/>
      </c>
      <c r="AJ241" s="236" t="e">
        <f t="shared" si="137"/>
        <v>#VALUE!</v>
      </c>
      <c r="AK241" s="58" t="str">
        <f t="shared" si="138"/>
        <v/>
      </c>
      <c r="AL241" s="26" t="str">
        <f>IF($A242="","",_xll.SPRDOPT(P241,X241,AI241,0,AB241,AE241,AF241,AK241,$AJ$2,0))</f>
        <v/>
      </c>
      <c r="AM241" s="89" t="str">
        <f t="shared" si="139"/>
        <v/>
      </c>
      <c r="AN241" s="89" t="str">
        <f t="shared" si="140"/>
        <v/>
      </c>
      <c r="AO241" s="3" t="str">
        <f t="shared" si="141"/>
        <v/>
      </c>
      <c r="AP241" s="33" t="str">
        <f t="shared" si="142"/>
        <v/>
      </c>
      <c r="AQ241" s="58" t="str">
        <f t="shared" si="143"/>
        <v/>
      </c>
      <c r="AR241" s="38">
        <f>'ANR OK vs ML7'!AR241</f>
        <v>0.1</v>
      </c>
      <c r="AS241" s="35" t="str">
        <f t="shared" si="144"/>
        <v/>
      </c>
      <c r="AT241" s="3" t="str">
        <f t="shared" si="145"/>
        <v/>
      </c>
      <c r="AU241" s="3" t="str">
        <f t="shared" si="146"/>
        <v/>
      </c>
      <c r="AW241" s="32" t="str">
        <f t="shared" si="147"/>
        <v/>
      </c>
      <c r="AX241" s="32" t="str">
        <f t="shared" si="147"/>
        <v/>
      </c>
      <c r="AY241" s="32" t="str">
        <f t="shared" si="148"/>
        <v/>
      </c>
      <c r="BA241" s="32" t="str">
        <f>IF($A242="","",F241*Summary!$Q$12)</f>
        <v/>
      </c>
    </row>
    <row r="242" spans="1:53" ht="12" customHeight="1">
      <c r="A242" s="67" t="str">
        <f t="shared" si="149"/>
        <v/>
      </c>
      <c r="B242" s="69" t="str">
        <f t="shared" si="151"/>
        <v/>
      </c>
      <c r="C242" s="71"/>
      <c r="D242" s="69" t="str">
        <f t="shared" si="115"/>
        <v/>
      </c>
      <c r="E242" s="70" t="str">
        <f t="shared" si="116"/>
        <v/>
      </c>
      <c r="F242" s="70" t="str">
        <f t="shared" si="117"/>
        <v/>
      </c>
      <c r="G242" s="63" t="str">
        <f t="shared" si="118"/>
        <v/>
      </c>
      <c r="H242" s="64" t="str">
        <f t="shared" si="119"/>
        <v/>
      </c>
      <c r="I242" s="43"/>
      <c r="J242" s="63" t="str">
        <f t="shared" si="120"/>
        <v/>
      </c>
      <c r="K242" s="64" t="str">
        <f t="shared" si="121"/>
        <v/>
      </c>
      <c r="L242" s="63" t="str">
        <f t="shared" si="122"/>
        <v/>
      </c>
      <c r="M242" s="64" t="str">
        <f t="shared" si="123"/>
        <v/>
      </c>
      <c r="N242" s="65"/>
      <c r="O242" s="63" t="str">
        <f t="shared" si="124"/>
        <v/>
      </c>
      <c r="P242" s="63" t="str">
        <f t="shared" si="125"/>
        <v/>
      </c>
      <c r="Q242" s="66"/>
      <c r="R242" s="63" t="str">
        <f t="shared" si="126"/>
        <v/>
      </c>
      <c r="S242" s="64" t="str">
        <f t="shared" si="127"/>
        <v/>
      </c>
      <c r="T242" s="63" t="str">
        <f t="shared" si="128"/>
        <v/>
      </c>
      <c r="U242" s="64" t="str">
        <f t="shared" si="129"/>
        <v/>
      </c>
      <c r="V242" s="90" t="str">
        <f>IF($A243="","",IF(AND(MONTH(A242)&gt;3,MONTH(A242)&lt;11),(T242+R242+G242)*(((1/(1-Summary!$T$12))/(1-Summary!$W$12))-1),(T242+R242+G242)*((1/(1-Summary!$U$12))/(1-Summary!$X$12)-1)))</f>
        <v/>
      </c>
      <c r="W242" s="63" t="str">
        <f t="shared" si="130"/>
        <v/>
      </c>
      <c r="X242" s="63" t="str">
        <f t="shared" si="131"/>
        <v/>
      </c>
      <c r="Y242" s="43"/>
      <c r="Z242" s="38" t="str">
        <f t="shared" si="132"/>
        <v/>
      </c>
      <c r="AA242" s="38" t="str">
        <f t="shared" si="133"/>
        <v/>
      </c>
      <c r="AB242" s="38" t="e">
        <f t="shared" si="134"/>
        <v>#VALUE!</v>
      </c>
      <c r="AC242" s="38" t="str">
        <f t="shared" si="135"/>
        <v/>
      </c>
      <c r="AD242" s="38" t="str">
        <f t="shared" si="135"/>
        <v/>
      </c>
      <c r="AE242" s="38" t="e">
        <f t="shared" si="136"/>
        <v>#VALUE!</v>
      </c>
      <c r="AF242" s="238" t="e">
        <f>((Summary!$N$12*(AA242*AD242)*(A242-$D$3))+(Summary!$M$12*Z242*AC242*(AJ242-EOMONTH(EDATE(A242,-1),0))))/(AK242*AB242*AE242)</f>
        <v>#VALUE!</v>
      </c>
      <c r="AG242" s="88" t="str">
        <f>IF($A243="","",Summary!$Q$12)</f>
        <v/>
      </c>
      <c r="AH242" s="88" t="str">
        <f>IF($A243="","",IF(Summary!$R$12="Y",(VLOOKUP($A242,Summary!$AD$6:$AF$9,3)+'Escalating commodity'!H255),'Escalating commodity'!H255))</f>
        <v/>
      </c>
      <c r="AI242" s="88" t="str">
        <f t="shared" si="150"/>
        <v/>
      </c>
      <c r="AJ242" s="236" t="e">
        <f t="shared" si="137"/>
        <v>#VALUE!</v>
      </c>
      <c r="AK242" s="58" t="str">
        <f t="shared" si="138"/>
        <v/>
      </c>
      <c r="AL242" s="26" t="str">
        <f>IF($A243="","",_xll.SPRDOPT(P242,X242,AI242,0,AB242,AE242,AF242,AK242,$AJ$2,0))</f>
        <v/>
      </c>
      <c r="AM242" s="89" t="str">
        <f t="shared" si="139"/>
        <v/>
      </c>
      <c r="AN242" s="89" t="str">
        <f t="shared" si="140"/>
        <v/>
      </c>
      <c r="AO242" s="3" t="str">
        <f t="shared" si="141"/>
        <v/>
      </c>
      <c r="AP242" s="33" t="str">
        <f t="shared" si="142"/>
        <v/>
      </c>
      <c r="AQ242" s="58" t="str">
        <f t="shared" si="143"/>
        <v/>
      </c>
      <c r="AR242" s="38">
        <f>'ANR OK vs ML7'!AR242</f>
        <v>0.1</v>
      </c>
      <c r="AS242" s="35" t="str">
        <f t="shared" si="144"/>
        <v/>
      </c>
      <c r="AT242" s="3" t="str">
        <f t="shared" si="145"/>
        <v/>
      </c>
      <c r="AU242" s="3" t="str">
        <f t="shared" si="146"/>
        <v/>
      </c>
      <c r="AW242" s="32" t="str">
        <f t="shared" si="147"/>
        <v/>
      </c>
      <c r="AX242" s="32" t="str">
        <f t="shared" si="147"/>
        <v/>
      </c>
      <c r="AY242" s="32" t="str">
        <f t="shared" si="148"/>
        <v/>
      </c>
      <c r="BA242" s="32" t="str">
        <f>IF($A243="","",F242*Summary!$Q$12)</f>
        <v/>
      </c>
    </row>
    <row r="243" spans="1:53" ht="12" customHeight="1">
      <c r="A243" s="67" t="str">
        <f t="shared" si="149"/>
        <v/>
      </c>
      <c r="B243" s="69" t="str">
        <f t="shared" si="151"/>
        <v/>
      </c>
      <c r="C243" s="71"/>
      <c r="D243" s="69" t="str">
        <f t="shared" si="115"/>
        <v/>
      </c>
      <c r="E243" s="70" t="str">
        <f t="shared" si="116"/>
        <v/>
      </c>
      <c r="F243" s="70" t="str">
        <f t="shared" si="117"/>
        <v/>
      </c>
      <c r="G243" s="63" t="str">
        <f t="shared" si="118"/>
        <v/>
      </c>
      <c r="H243" s="64" t="str">
        <f t="shared" si="119"/>
        <v/>
      </c>
      <c r="I243" s="43"/>
      <c r="J243" s="63" t="str">
        <f t="shared" si="120"/>
        <v/>
      </c>
      <c r="K243" s="64" t="str">
        <f t="shared" si="121"/>
        <v/>
      </c>
      <c r="L243" s="63" t="str">
        <f t="shared" si="122"/>
        <v/>
      </c>
      <c r="M243" s="64" t="str">
        <f t="shared" si="123"/>
        <v/>
      </c>
      <c r="N243" s="65"/>
      <c r="O243" s="63" t="str">
        <f t="shared" si="124"/>
        <v/>
      </c>
      <c r="P243" s="63" t="str">
        <f t="shared" si="125"/>
        <v/>
      </c>
      <c r="Q243" s="66"/>
      <c r="R243" s="63" t="str">
        <f t="shared" si="126"/>
        <v/>
      </c>
      <c r="S243" s="64" t="str">
        <f t="shared" si="127"/>
        <v/>
      </c>
      <c r="T243" s="63" t="str">
        <f t="shared" si="128"/>
        <v/>
      </c>
      <c r="U243" s="64" t="str">
        <f t="shared" si="129"/>
        <v/>
      </c>
      <c r="V243" s="90" t="str">
        <f>IF($A244="","",IF(AND(MONTH(A243)&gt;3,MONTH(A243)&lt;11),(T243+R243+G243)*(((1/(1-Summary!$T$12))/(1-Summary!$W$12))-1),(T243+R243+G243)*((1/(1-Summary!$U$12))/(1-Summary!$X$12)-1)))</f>
        <v/>
      </c>
      <c r="W243" s="63" t="str">
        <f t="shared" si="130"/>
        <v/>
      </c>
      <c r="X243" s="63" t="str">
        <f t="shared" si="131"/>
        <v/>
      </c>
      <c r="Y243" s="43"/>
      <c r="Z243" s="38" t="str">
        <f t="shared" si="132"/>
        <v/>
      </c>
      <c r="AA243" s="38" t="str">
        <f t="shared" si="133"/>
        <v/>
      </c>
      <c r="AB243" s="38" t="e">
        <f t="shared" si="134"/>
        <v>#VALUE!</v>
      </c>
      <c r="AC243" s="38" t="str">
        <f t="shared" si="135"/>
        <v/>
      </c>
      <c r="AD243" s="38" t="str">
        <f t="shared" si="135"/>
        <v/>
      </c>
      <c r="AE243" s="38" t="e">
        <f t="shared" si="136"/>
        <v>#VALUE!</v>
      </c>
      <c r="AF243" s="238" t="e">
        <f>((Summary!$N$12*(AA243*AD243)*(A243-$D$3))+(Summary!$M$12*Z243*AC243*(AJ243-EOMONTH(EDATE(A243,-1),0))))/(AK243*AB243*AE243)</f>
        <v>#VALUE!</v>
      </c>
      <c r="AG243" s="88" t="str">
        <f>IF($A244="","",Summary!$Q$12)</f>
        <v/>
      </c>
      <c r="AH243" s="88" t="str">
        <f>IF($A244="","",IF(Summary!$R$12="Y",(VLOOKUP($A243,Summary!$AD$6:$AF$9,3)+'Escalating commodity'!H256),'Escalating commodity'!H256))</f>
        <v/>
      </c>
      <c r="AI243" s="88" t="str">
        <f t="shared" si="150"/>
        <v/>
      </c>
      <c r="AJ243" s="236" t="e">
        <f t="shared" si="137"/>
        <v>#VALUE!</v>
      </c>
      <c r="AK243" s="58" t="str">
        <f t="shared" si="138"/>
        <v/>
      </c>
      <c r="AL243" s="26" t="str">
        <f>IF($A244="","",_xll.SPRDOPT(P243,X243,AI243,0,AB243,AE243,AF243,AK243,$AJ$2,0))</f>
        <v/>
      </c>
      <c r="AM243" s="89" t="str">
        <f t="shared" si="139"/>
        <v/>
      </c>
      <c r="AN243" s="89" t="str">
        <f t="shared" si="140"/>
        <v/>
      </c>
      <c r="AO243" s="3" t="str">
        <f t="shared" si="141"/>
        <v/>
      </c>
      <c r="AP243" s="33" t="str">
        <f t="shared" si="142"/>
        <v/>
      </c>
      <c r="AQ243" s="58" t="str">
        <f t="shared" si="143"/>
        <v/>
      </c>
      <c r="AR243" s="38">
        <f>'ANR OK vs ML7'!AR243</f>
        <v>0.1</v>
      </c>
      <c r="AS243" s="35" t="str">
        <f t="shared" si="144"/>
        <v/>
      </c>
      <c r="AT243" s="3" t="str">
        <f t="shared" si="145"/>
        <v/>
      </c>
      <c r="AU243" s="3" t="str">
        <f t="shared" si="146"/>
        <v/>
      </c>
      <c r="AW243" s="32" t="str">
        <f t="shared" si="147"/>
        <v/>
      </c>
      <c r="AX243" s="32" t="str">
        <f t="shared" si="147"/>
        <v/>
      </c>
      <c r="AY243" s="32" t="str">
        <f t="shared" si="148"/>
        <v/>
      </c>
      <c r="BA243" s="32" t="str">
        <f>IF($A244="","",F243*Summary!$Q$12)</f>
        <v/>
      </c>
    </row>
    <row r="244" spans="1:53" ht="12" customHeight="1">
      <c r="A244" s="67" t="str">
        <f t="shared" si="149"/>
        <v/>
      </c>
      <c r="B244" s="69" t="str">
        <f t="shared" si="151"/>
        <v/>
      </c>
      <c r="C244" s="71"/>
      <c r="D244" s="69" t="str">
        <f t="shared" si="115"/>
        <v/>
      </c>
      <c r="E244" s="70" t="str">
        <f t="shared" si="116"/>
        <v/>
      </c>
      <c r="F244" s="70" t="str">
        <f t="shared" si="117"/>
        <v/>
      </c>
      <c r="G244" s="63" t="str">
        <f t="shared" si="118"/>
        <v/>
      </c>
      <c r="H244" s="64" t="str">
        <f t="shared" si="119"/>
        <v/>
      </c>
      <c r="I244" s="43"/>
      <c r="J244" s="63" t="str">
        <f t="shared" si="120"/>
        <v/>
      </c>
      <c r="K244" s="64" t="str">
        <f t="shared" si="121"/>
        <v/>
      </c>
      <c r="L244" s="63" t="str">
        <f t="shared" si="122"/>
        <v/>
      </c>
      <c r="M244" s="64" t="str">
        <f t="shared" si="123"/>
        <v/>
      </c>
      <c r="N244" s="65"/>
      <c r="O244" s="63" t="str">
        <f t="shared" si="124"/>
        <v/>
      </c>
      <c r="P244" s="63" t="str">
        <f t="shared" si="125"/>
        <v/>
      </c>
      <c r="Q244" s="66"/>
      <c r="R244" s="63" t="str">
        <f t="shared" si="126"/>
        <v/>
      </c>
      <c r="S244" s="64" t="str">
        <f t="shared" si="127"/>
        <v/>
      </c>
      <c r="T244" s="63" t="str">
        <f t="shared" si="128"/>
        <v/>
      </c>
      <c r="U244" s="64" t="str">
        <f t="shared" si="129"/>
        <v/>
      </c>
      <c r="V244" s="90" t="str">
        <f>IF($A245="","",IF(AND(MONTH(A244)&gt;3,MONTH(A244)&lt;11),(T244+R244+G244)*(((1/(1-Summary!$T$12))/(1-Summary!$W$12))-1),(T244+R244+G244)*((1/(1-Summary!$U$12))/(1-Summary!$X$12)-1)))</f>
        <v/>
      </c>
      <c r="W244" s="63" t="str">
        <f t="shared" si="130"/>
        <v/>
      </c>
      <c r="X244" s="63" t="str">
        <f t="shared" si="131"/>
        <v/>
      </c>
      <c r="Y244" s="43"/>
      <c r="Z244" s="38" t="str">
        <f t="shared" si="132"/>
        <v/>
      </c>
      <c r="AA244" s="38" t="str">
        <f t="shared" si="133"/>
        <v/>
      </c>
      <c r="AB244" s="38" t="e">
        <f t="shared" si="134"/>
        <v>#VALUE!</v>
      </c>
      <c r="AC244" s="38" t="str">
        <f t="shared" si="135"/>
        <v/>
      </c>
      <c r="AD244" s="38" t="str">
        <f t="shared" si="135"/>
        <v/>
      </c>
      <c r="AE244" s="38" t="e">
        <f t="shared" si="136"/>
        <v>#VALUE!</v>
      </c>
      <c r="AF244" s="238" t="e">
        <f>((Summary!$N$12*(AA244*AD244)*(A244-$D$3))+(Summary!$M$12*Z244*AC244*(AJ244-EOMONTH(EDATE(A244,-1),0))))/(AK244*AB244*AE244)</f>
        <v>#VALUE!</v>
      </c>
      <c r="AG244" s="88" t="str">
        <f>IF($A245="","",Summary!$Q$12)</f>
        <v/>
      </c>
      <c r="AH244" s="88" t="str">
        <f>IF($A245="","",IF(Summary!$R$12="Y",(VLOOKUP($A244,Summary!$AD$6:$AF$9,3)+'Escalating commodity'!H257),'Escalating commodity'!H257))</f>
        <v/>
      </c>
      <c r="AI244" s="88" t="str">
        <f t="shared" si="150"/>
        <v/>
      </c>
      <c r="AJ244" s="236" t="e">
        <f t="shared" si="137"/>
        <v>#VALUE!</v>
      </c>
      <c r="AK244" s="58" t="str">
        <f t="shared" si="138"/>
        <v/>
      </c>
      <c r="AL244" s="26" t="str">
        <f>IF($A245="","",_xll.SPRDOPT(P244,X244,AI244,0,AB244,AE244,AF244,AK244,$AJ$2,0))</f>
        <v/>
      </c>
      <c r="AM244" s="89" t="str">
        <f t="shared" si="139"/>
        <v/>
      </c>
      <c r="AN244" s="89" t="str">
        <f t="shared" si="140"/>
        <v/>
      </c>
      <c r="AO244" s="3" t="str">
        <f t="shared" si="141"/>
        <v/>
      </c>
      <c r="AP244" s="33" t="str">
        <f t="shared" si="142"/>
        <v/>
      </c>
      <c r="AQ244" s="58" t="str">
        <f t="shared" si="143"/>
        <v/>
      </c>
      <c r="AR244" s="38">
        <f>'ANR OK vs ML7'!AR244</f>
        <v>0.1</v>
      </c>
      <c r="AS244" s="35" t="str">
        <f t="shared" si="144"/>
        <v/>
      </c>
      <c r="AT244" s="3" t="str">
        <f t="shared" si="145"/>
        <v/>
      </c>
      <c r="AU244" s="3" t="str">
        <f t="shared" si="146"/>
        <v/>
      </c>
      <c r="AW244" s="32" t="str">
        <f t="shared" si="147"/>
        <v/>
      </c>
      <c r="AX244" s="32" t="str">
        <f t="shared" si="147"/>
        <v/>
      </c>
      <c r="AY244" s="32" t="str">
        <f t="shared" si="148"/>
        <v/>
      </c>
      <c r="BA244" s="32" t="str">
        <f>IF($A245="","",F244*Summary!$Q$12)</f>
        <v/>
      </c>
    </row>
    <row r="245" spans="1:53" ht="12" customHeight="1">
      <c r="A245" s="67" t="str">
        <f t="shared" si="149"/>
        <v/>
      </c>
      <c r="B245" s="69" t="str">
        <f t="shared" si="151"/>
        <v/>
      </c>
      <c r="C245" s="71"/>
      <c r="D245" s="69" t="str">
        <f t="shared" si="115"/>
        <v/>
      </c>
      <c r="E245" s="70" t="str">
        <f t="shared" si="116"/>
        <v/>
      </c>
      <c r="F245" s="70" t="str">
        <f t="shared" si="117"/>
        <v/>
      </c>
      <c r="G245" s="63" t="str">
        <f t="shared" si="118"/>
        <v/>
      </c>
      <c r="H245" s="64" t="str">
        <f t="shared" si="119"/>
        <v/>
      </c>
      <c r="I245" s="43"/>
      <c r="J245" s="63" t="str">
        <f t="shared" si="120"/>
        <v/>
      </c>
      <c r="K245" s="64" t="str">
        <f t="shared" si="121"/>
        <v/>
      </c>
      <c r="L245" s="63" t="str">
        <f t="shared" si="122"/>
        <v/>
      </c>
      <c r="M245" s="64" t="str">
        <f t="shared" si="123"/>
        <v/>
      </c>
      <c r="N245" s="65"/>
      <c r="O245" s="63" t="str">
        <f t="shared" si="124"/>
        <v/>
      </c>
      <c r="P245" s="63" t="str">
        <f t="shared" si="125"/>
        <v/>
      </c>
      <c r="Q245" s="66"/>
      <c r="R245" s="63" t="str">
        <f t="shared" si="126"/>
        <v/>
      </c>
      <c r="S245" s="64" t="str">
        <f t="shared" si="127"/>
        <v/>
      </c>
      <c r="T245" s="63" t="str">
        <f t="shared" si="128"/>
        <v/>
      </c>
      <c r="U245" s="64" t="str">
        <f t="shared" si="129"/>
        <v/>
      </c>
      <c r="V245" s="90" t="str">
        <f>IF($A246="","",IF(AND(MONTH(A245)&gt;3,MONTH(A245)&lt;11),(T245+R245+G245)*(((1/(1-Summary!$T$12))/(1-Summary!$W$12))-1),(T245+R245+G245)*((1/(1-Summary!$U$12))/(1-Summary!$X$12)-1)))</f>
        <v/>
      </c>
      <c r="W245" s="63" t="str">
        <f t="shared" si="130"/>
        <v/>
      </c>
      <c r="X245" s="63" t="str">
        <f t="shared" si="131"/>
        <v/>
      </c>
      <c r="Y245" s="43"/>
      <c r="Z245" s="38" t="str">
        <f t="shared" si="132"/>
        <v/>
      </c>
      <c r="AA245" s="38" t="str">
        <f t="shared" si="133"/>
        <v/>
      </c>
      <c r="AB245" s="38" t="e">
        <f t="shared" si="134"/>
        <v>#VALUE!</v>
      </c>
      <c r="AC245" s="38" t="str">
        <f t="shared" si="135"/>
        <v/>
      </c>
      <c r="AD245" s="38" t="str">
        <f t="shared" si="135"/>
        <v/>
      </c>
      <c r="AE245" s="38" t="e">
        <f t="shared" si="136"/>
        <v>#VALUE!</v>
      </c>
      <c r="AF245" s="238" t="e">
        <f>((Summary!$N$12*(AA245*AD245)*(A245-$D$3))+(Summary!$M$12*Z245*AC245*(AJ245-EOMONTH(EDATE(A245,-1),0))))/(AK245*AB245*AE245)</f>
        <v>#VALUE!</v>
      </c>
      <c r="AG245" s="88" t="str">
        <f>IF($A246="","",Summary!$Q$12)</f>
        <v/>
      </c>
      <c r="AH245" s="88" t="str">
        <f>IF($A246="","",IF(Summary!$R$12="Y",(VLOOKUP($A245,Summary!$AD$6:$AF$9,3)+'Escalating commodity'!H258),'Escalating commodity'!H258))</f>
        <v/>
      </c>
      <c r="AI245" s="88" t="str">
        <f t="shared" si="150"/>
        <v/>
      </c>
      <c r="AJ245" s="236" t="e">
        <f t="shared" si="137"/>
        <v>#VALUE!</v>
      </c>
      <c r="AK245" s="58" t="str">
        <f t="shared" si="138"/>
        <v/>
      </c>
      <c r="AL245" s="26" t="str">
        <f>IF($A246="","",_xll.SPRDOPT(P245,X245,AI245,0,AB245,AE245,AF245,AK245,$AJ$2,0))</f>
        <v/>
      </c>
      <c r="AM245" s="89" t="str">
        <f t="shared" si="139"/>
        <v/>
      </c>
      <c r="AN245" s="89" t="str">
        <f t="shared" si="140"/>
        <v/>
      </c>
      <c r="AO245" s="3" t="str">
        <f t="shared" si="141"/>
        <v/>
      </c>
      <c r="AP245" s="33" t="str">
        <f t="shared" si="142"/>
        <v/>
      </c>
      <c r="AQ245" s="58" t="str">
        <f t="shared" si="143"/>
        <v/>
      </c>
      <c r="AR245" s="38">
        <f>'ANR OK vs ML7'!AR245</f>
        <v>0.1</v>
      </c>
      <c r="AS245" s="35" t="str">
        <f t="shared" si="144"/>
        <v/>
      </c>
      <c r="AT245" s="3" t="str">
        <f t="shared" si="145"/>
        <v/>
      </c>
      <c r="AU245" s="3" t="str">
        <f t="shared" si="146"/>
        <v/>
      </c>
      <c r="AW245" s="32" t="str">
        <f t="shared" si="147"/>
        <v/>
      </c>
      <c r="AX245" s="32" t="str">
        <f t="shared" si="147"/>
        <v/>
      </c>
      <c r="AY245" s="32" t="str">
        <f t="shared" si="148"/>
        <v/>
      </c>
      <c r="BA245" s="32" t="str">
        <f>IF($A246="","",F245*Summary!$Q$12)</f>
        <v/>
      </c>
    </row>
    <row r="246" spans="1:53" ht="12" customHeight="1">
      <c r="A246" s="67" t="str">
        <f t="shared" si="149"/>
        <v/>
      </c>
      <c r="B246" s="69" t="str">
        <f t="shared" si="151"/>
        <v/>
      </c>
      <c r="C246" s="71"/>
      <c r="D246" s="69" t="str">
        <f t="shared" si="115"/>
        <v/>
      </c>
      <c r="E246" s="70" t="str">
        <f t="shared" si="116"/>
        <v/>
      </c>
      <c r="F246" s="70" t="str">
        <f t="shared" si="117"/>
        <v/>
      </c>
      <c r="G246" s="63" t="str">
        <f t="shared" si="118"/>
        <v/>
      </c>
      <c r="H246" s="64" t="str">
        <f t="shared" si="119"/>
        <v/>
      </c>
      <c r="I246" s="43"/>
      <c r="J246" s="63" t="str">
        <f t="shared" si="120"/>
        <v/>
      </c>
      <c r="K246" s="64" t="str">
        <f t="shared" si="121"/>
        <v/>
      </c>
      <c r="L246" s="63" t="str">
        <f t="shared" si="122"/>
        <v/>
      </c>
      <c r="M246" s="64" t="str">
        <f t="shared" si="123"/>
        <v/>
      </c>
      <c r="N246" s="65"/>
      <c r="O246" s="63" t="str">
        <f t="shared" si="124"/>
        <v/>
      </c>
      <c r="P246" s="63" t="str">
        <f t="shared" si="125"/>
        <v/>
      </c>
      <c r="Q246" s="66"/>
      <c r="R246" s="63" t="str">
        <f t="shared" si="126"/>
        <v/>
      </c>
      <c r="S246" s="64" t="str">
        <f t="shared" si="127"/>
        <v/>
      </c>
      <c r="T246" s="63" t="str">
        <f t="shared" si="128"/>
        <v/>
      </c>
      <c r="U246" s="64" t="str">
        <f t="shared" si="129"/>
        <v/>
      </c>
      <c r="V246" s="90" t="str">
        <f>IF($A247="","",IF(AND(MONTH(A246)&gt;3,MONTH(A246)&lt;11),(T246+R246+G246)*(((1/(1-Summary!$T$12))/(1-Summary!$W$12))-1),(T246+R246+G246)*((1/(1-Summary!$U$12))/(1-Summary!$X$12)-1)))</f>
        <v/>
      </c>
      <c r="W246" s="63" t="str">
        <f t="shared" si="130"/>
        <v/>
      </c>
      <c r="X246" s="63" t="str">
        <f t="shared" si="131"/>
        <v/>
      </c>
      <c r="Y246" s="43"/>
      <c r="Z246" s="38" t="str">
        <f t="shared" si="132"/>
        <v/>
      </c>
      <c r="AA246" s="38" t="str">
        <f t="shared" si="133"/>
        <v/>
      </c>
      <c r="AB246" s="38" t="e">
        <f t="shared" si="134"/>
        <v>#VALUE!</v>
      </c>
      <c r="AC246" s="38" t="str">
        <f t="shared" si="135"/>
        <v/>
      </c>
      <c r="AD246" s="38" t="str">
        <f t="shared" si="135"/>
        <v/>
      </c>
      <c r="AE246" s="38" t="e">
        <f t="shared" si="136"/>
        <v>#VALUE!</v>
      </c>
      <c r="AF246" s="238" t="e">
        <f>((Summary!$N$12*(AA246*AD246)*(A246-$D$3))+(Summary!$M$12*Z246*AC246*(AJ246-EOMONTH(EDATE(A246,-1),0))))/(AK246*AB246*AE246)</f>
        <v>#VALUE!</v>
      </c>
      <c r="AG246" s="88" t="str">
        <f>IF($A247="","",Summary!$Q$12)</f>
        <v/>
      </c>
      <c r="AH246" s="88" t="str">
        <f>IF($A247="","",IF(Summary!$R$12="Y",(VLOOKUP($A246,Summary!$AD$6:$AF$9,3)+'Escalating commodity'!H259),'Escalating commodity'!H259))</f>
        <v/>
      </c>
      <c r="AI246" s="88" t="str">
        <f t="shared" si="150"/>
        <v/>
      </c>
      <c r="AJ246" s="236" t="e">
        <f t="shared" si="137"/>
        <v>#VALUE!</v>
      </c>
      <c r="AK246" s="58" t="str">
        <f t="shared" si="138"/>
        <v/>
      </c>
      <c r="AL246" s="26" t="str">
        <f>IF($A247="","",_xll.SPRDOPT(P246,X246,AI246,0,AB246,AE246,AF246,AK246,$AJ$2,0))</f>
        <v/>
      </c>
      <c r="AM246" s="89" t="str">
        <f t="shared" si="139"/>
        <v/>
      </c>
      <c r="AN246" s="89" t="str">
        <f t="shared" si="140"/>
        <v/>
      </c>
      <c r="AO246" s="3" t="str">
        <f t="shared" si="141"/>
        <v/>
      </c>
      <c r="AP246" s="33" t="str">
        <f t="shared" si="142"/>
        <v/>
      </c>
      <c r="AQ246" s="58" t="str">
        <f t="shared" si="143"/>
        <v/>
      </c>
      <c r="AR246" s="38">
        <f>'ANR OK vs ML7'!AR246</f>
        <v>0.1</v>
      </c>
      <c r="AS246" s="35" t="str">
        <f t="shared" si="144"/>
        <v/>
      </c>
      <c r="AT246" s="3" t="str">
        <f t="shared" si="145"/>
        <v/>
      </c>
      <c r="AU246" s="3" t="str">
        <f t="shared" si="146"/>
        <v/>
      </c>
      <c r="AW246" s="32" t="str">
        <f t="shared" si="147"/>
        <v/>
      </c>
      <c r="AX246" s="32" t="str">
        <f t="shared" si="147"/>
        <v/>
      </c>
      <c r="AY246" s="32" t="str">
        <f t="shared" si="148"/>
        <v/>
      </c>
      <c r="BA246" s="32" t="str">
        <f>IF($A247="","",F246*Summary!$Q$12)</f>
        <v/>
      </c>
    </row>
    <row r="247" spans="1:53" ht="12" customHeight="1">
      <c r="A247" s="67" t="str">
        <f t="shared" si="149"/>
        <v/>
      </c>
      <c r="B247" s="69" t="str">
        <f t="shared" si="151"/>
        <v/>
      </c>
      <c r="C247" s="71"/>
      <c r="D247" s="69" t="str">
        <f t="shared" si="115"/>
        <v/>
      </c>
      <c r="E247" s="70" t="str">
        <f t="shared" si="116"/>
        <v/>
      </c>
      <c r="F247" s="70" t="str">
        <f t="shared" si="117"/>
        <v/>
      </c>
      <c r="G247" s="63" t="str">
        <f t="shared" si="118"/>
        <v/>
      </c>
      <c r="H247" s="64" t="str">
        <f t="shared" si="119"/>
        <v/>
      </c>
      <c r="I247" s="43"/>
      <c r="J247" s="63" t="str">
        <f t="shared" si="120"/>
        <v/>
      </c>
      <c r="K247" s="64" t="str">
        <f t="shared" si="121"/>
        <v/>
      </c>
      <c r="L247" s="63" t="str">
        <f t="shared" si="122"/>
        <v/>
      </c>
      <c r="M247" s="64" t="str">
        <f t="shared" si="123"/>
        <v/>
      </c>
      <c r="N247" s="65"/>
      <c r="O247" s="63" t="str">
        <f t="shared" si="124"/>
        <v/>
      </c>
      <c r="P247" s="63" t="str">
        <f t="shared" si="125"/>
        <v/>
      </c>
      <c r="Q247" s="66"/>
      <c r="R247" s="63" t="str">
        <f t="shared" si="126"/>
        <v/>
      </c>
      <c r="S247" s="64" t="str">
        <f t="shared" si="127"/>
        <v/>
      </c>
      <c r="T247" s="63" t="str">
        <f t="shared" si="128"/>
        <v/>
      </c>
      <c r="U247" s="64" t="str">
        <f t="shared" si="129"/>
        <v/>
      </c>
      <c r="V247" s="90" t="str">
        <f>IF($A248="","",IF(AND(MONTH(A247)&gt;3,MONTH(A247)&lt;11),(T247+R247+G247)*(((1/(1-Summary!$T$12))/(1-Summary!$W$12))-1),(T247+R247+G247)*((1/(1-Summary!$U$12))/(1-Summary!$X$12)-1)))</f>
        <v/>
      </c>
      <c r="W247" s="63" t="str">
        <f t="shared" si="130"/>
        <v/>
      </c>
      <c r="X247" s="63" t="str">
        <f t="shared" si="131"/>
        <v/>
      </c>
      <c r="Y247" s="43"/>
      <c r="Z247" s="38" t="str">
        <f t="shared" si="132"/>
        <v/>
      </c>
      <c r="AA247" s="38" t="str">
        <f t="shared" si="133"/>
        <v/>
      </c>
      <c r="AB247" s="38" t="e">
        <f t="shared" si="134"/>
        <v>#VALUE!</v>
      </c>
      <c r="AC247" s="38" t="str">
        <f t="shared" si="135"/>
        <v/>
      </c>
      <c r="AD247" s="38" t="str">
        <f t="shared" si="135"/>
        <v/>
      </c>
      <c r="AE247" s="38" t="e">
        <f t="shared" si="136"/>
        <v>#VALUE!</v>
      </c>
      <c r="AF247" s="238" t="e">
        <f>((Summary!$N$12*(AA247*AD247)*(A247-$D$3))+(Summary!$M$12*Z247*AC247*(AJ247-EOMONTH(EDATE(A247,-1),0))))/(AK247*AB247*AE247)</f>
        <v>#VALUE!</v>
      </c>
      <c r="AG247" s="88" t="str">
        <f>IF($A248="","",Summary!$Q$12)</f>
        <v/>
      </c>
      <c r="AH247" s="88" t="str">
        <f>IF($A248="","",IF(Summary!$R$12="Y",(VLOOKUP($A247,Summary!$AD$6:$AF$9,3)+'Escalating commodity'!H260),'Escalating commodity'!H260))</f>
        <v/>
      </c>
      <c r="AI247" s="88" t="str">
        <f t="shared" si="150"/>
        <v/>
      </c>
      <c r="AJ247" s="236" t="e">
        <f t="shared" si="137"/>
        <v>#VALUE!</v>
      </c>
      <c r="AK247" s="58" t="str">
        <f t="shared" si="138"/>
        <v/>
      </c>
      <c r="AL247" s="26" t="str">
        <f>IF($A248="","",_xll.SPRDOPT(P247,X247,AI247,0,AB247,AE247,AF247,AK247,$AJ$2,0))</f>
        <v/>
      </c>
      <c r="AM247" s="89" t="str">
        <f t="shared" si="139"/>
        <v/>
      </c>
      <c r="AN247" s="89" t="str">
        <f t="shared" si="140"/>
        <v/>
      </c>
      <c r="AO247" s="3" t="str">
        <f t="shared" si="141"/>
        <v/>
      </c>
      <c r="AP247" s="33" t="str">
        <f t="shared" si="142"/>
        <v/>
      </c>
      <c r="AQ247" s="58" t="str">
        <f t="shared" si="143"/>
        <v/>
      </c>
      <c r="AR247" s="38">
        <f>'ANR OK vs ML7'!AR247</f>
        <v>0.1</v>
      </c>
      <c r="AS247" s="35" t="str">
        <f t="shared" si="144"/>
        <v/>
      </c>
      <c r="AT247" s="3" t="str">
        <f t="shared" si="145"/>
        <v/>
      </c>
      <c r="AU247" s="3" t="str">
        <f t="shared" si="146"/>
        <v/>
      </c>
      <c r="AW247" s="32" t="str">
        <f t="shared" si="147"/>
        <v/>
      </c>
      <c r="AX247" s="32" t="str">
        <f t="shared" si="147"/>
        <v/>
      </c>
      <c r="AY247" s="32" t="str">
        <f t="shared" si="148"/>
        <v/>
      </c>
      <c r="BA247" s="32" t="str">
        <f>IF($A248="","",F247*Summary!$Q$12)</f>
        <v/>
      </c>
    </row>
    <row r="248" spans="1:53" ht="12" customHeight="1">
      <c r="A248" s="67" t="str">
        <f t="shared" si="149"/>
        <v/>
      </c>
      <c r="B248" s="69" t="str">
        <f t="shared" si="151"/>
        <v/>
      </c>
      <c r="C248" s="71"/>
      <c r="D248" s="69" t="str">
        <f t="shared" si="115"/>
        <v/>
      </c>
      <c r="E248" s="70" t="str">
        <f t="shared" si="116"/>
        <v/>
      </c>
      <c r="F248" s="70" t="str">
        <f t="shared" si="117"/>
        <v/>
      </c>
      <c r="G248" s="63" t="str">
        <f t="shared" si="118"/>
        <v/>
      </c>
      <c r="H248" s="64" t="str">
        <f t="shared" si="119"/>
        <v/>
      </c>
      <c r="I248" s="43"/>
      <c r="J248" s="63" t="str">
        <f t="shared" si="120"/>
        <v/>
      </c>
      <c r="K248" s="64" t="str">
        <f t="shared" si="121"/>
        <v/>
      </c>
      <c r="L248" s="63" t="str">
        <f t="shared" si="122"/>
        <v/>
      </c>
      <c r="M248" s="64" t="str">
        <f t="shared" si="123"/>
        <v/>
      </c>
      <c r="N248" s="65"/>
      <c r="O248" s="63" t="str">
        <f t="shared" si="124"/>
        <v/>
      </c>
      <c r="P248" s="63" t="str">
        <f t="shared" si="125"/>
        <v/>
      </c>
      <c r="Q248" s="66"/>
      <c r="R248" s="63" t="str">
        <f t="shared" si="126"/>
        <v/>
      </c>
      <c r="S248" s="64" t="str">
        <f t="shared" si="127"/>
        <v/>
      </c>
      <c r="T248" s="63" t="str">
        <f t="shared" si="128"/>
        <v/>
      </c>
      <c r="U248" s="64" t="str">
        <f t="shared" si="129"/>
        <v/>
      </c>
      <c r="V248" s="90" t="str">
        <f>IF($A249="","",IF(AND(MONTH(A248)&gt;3,MONTH(A248)&lt;11),(T248+R248+G248)*(((1/(1-Summary!$T$12))/(1-Summary!$W$12))-1),(T248+R248+G248)*((1/(1-Summary!$U$12))/(1-Summary!$X$12)-1)))</f>
        <v/>
      </c>
      <c r="W248" s="63" t="str">
        <f t="shared" si="130"/>
        <v/>
      </c>
      <c r="X248" s="63" t="str">
        <f t="shared" si="131"/>
        <v/>
      </c>
      <c r="Y248" s="43"/>
      <c r="Z248" s="38" t="str">
        <f t="shared" si="132"/>
        <v/>
      </c>
      <c r="AA248" s="38" t="str">
        <f t="shared" si="133"/>
        <v/>
      </c>
      <c r="AB248" s="38" t="e">
        <f t="shared" si="134"/>
        <v>#VALUE!</v>
      </c>
      <c r="AC248" s="38" t="str">
        <f t="shared" si="135"/>
        <v/>
      </c>
      <c r="AD248" s="38" t="str">
        <f t="shared" si="135"/>
        <v/>
      </c>
      <c r="AE248" s="38" t="e">
        <f t="shared" si="136"/>
        <v>#VALUE!</v>
      </c>
      <c r="AF248" s="238" t="e">
        <f>((Summary!$N$12*(AA248*AD248)*(A248-$D$3))+(Summary!$M$12*Z248*AC248*(AJ248-EOMONTH(EDATE(A248,-1),0))))/(AK248*AB248*AE248)</f>
        <v>#VALUE!</v>
      </c>
      <c r="AG248" s="88" t="str">
        <f>IF($A249="","",Summary!$Q$12)</f>
        <v/>
      </c>
      <c r="AH248" s="88" t="str">
        <f>IF($A249="","",IF(Summary!$R$12="Y",(VLOOKUP($A248,Summary!$AD$6:$AF$9,3)+'Escalating commodity'!H261),'Escalating commodity'!H261))</f>
        <v/>
      </c>
      <c r="AI248" s="88" t="str">
        <f t="shared" si="150"/>
        <v/>
      </c>
      <c r="AJ248" s="236" t="e">
        <f t="shared" si="137"/>
        <v>#VALUE!</v>
      </c>
      <c r="AK248" s="58" t="str">
        <f t="shared" si="138"/>
        <v/>
      </c>
      <c r="AL248" s="26" t="str">
        <f>IF($A249="","",_xll.SPRDOPT(P248,X248,AI248,0,AB248,AE248,AF248,AK248,$AJ$2,0))</f>
        <v/>
      </c>
      <c r="AM248" s="89" t="str">
        <f t="shared" si="139"/>
        <v/>
      </c>
      <c r="AN248" s="89" t="str">
        <f t="shared" si="140"/>
        <v/>
      </c>
      <c r="AO248" s="3" t="str">
        <f t="shared" si="141"/>
        <v/>
      </c>
      <c r="AP248" s="33" t="str">
        <f t="shared" si="142"/>
        <v/>
      </c>
      <c r="AQ248" s="58" t="str">
        <f t="shared" si="143"/>
        <v/>
      </c>
      <c r="AR248" s="38">
        <f>'ANR OK vs ML7'!AR248</f>
        <v>0.1</v>
      </c>
      <c r="AS248" s="35" t="str">
        <f t="shared" si="144"/>
        <v/>
      </c>
      <c r="AT248" s="3" t="str">
        <f t="shared" si="145"/>
        <v/>
      </c>
      <c r="AU248" s="3" t="str">
        <f t="shared" si="146"/>
        <v/>
      </c>
      <c r="AW248" s="32" t="str">
        <f t="shared" si="147"/>
        <v/>
      </c>
      <c r="AX248" s="32" t="str">
        <f t="shared" si="147"/>
        <v/>
      </c>
      <c r="AY248" s="32" t="str">
        <f t="shared" si="148"/>
        <v/>
      </c>
      <c r="BA248" s="32" t="str">
        <f>IF($A249="","",F248*Summary!$Q$12)</f>
        <v/>
      </c>
    </row>
    <row r="249" spans="1:53" ht="12" customHeight="1">
      <c r="A249" s="67" t="str">
        <f t="shared" si="149"/>
        <v/>
      </c>
      <c r="B249" s="69" t="str">
        <f t="shared" si="151"/>
        <v/>
      </c>
      <c r="C249" s="71"/>
      <c r="D249" s="69" t="str">
        <f t="shared" si="115"/>
        <v/>
      </c>
      <c r="E249" s="70" t="str">
        <f t="shared" si="116"/>
        <v/>
      </c>
      <c r="F249" s="70" t="str">
        <f t="shared" si="117"/>
        <v/>
      </c>
      <c r="G249" s="63" t="str">
        <f t="shared" si="118"/>
        <v/>
      </c>
      <c r="H249" s="64" t="str">
        <f t="shared" si="119"/>
        <v/>
      </c>
      <c r="I249" s="43"/>
      <c r="J249" s="63" t="str">
        <f t="shared" si="120"/>
        <v/>
      </c>
      <c r="K249" s="64" t="str">
        <f t="shared" si="121"/>
        <v/>
      </c>
      <c r="L249" s="63" t="str">
        <f t="shared" si="122"/>
        <v/>
      </c>
      <c r="M249" s="64" t="str">
        <f t="shared" si="123"/>
        <v/>
      </c>
      <c r="N249" s="65"/>
      <c r="O249" s="63" t="str">
        <f t="shared" si="124"/>
        <v/>
      </c>
      <c r="P249" s="63" t="str">
        <f t="shared" si="125"/>
        <v/>
      </c>
      <c r="Q249" s="66"/>
      <c r="R249" s="63" t="str">
        <f t="shared" si="126"/>
        <v/>
      </c>
      <c r="S249" s="64" t="str">
        <f t="shared" si="127"/>
        <v/>
      </c>
      <c r="T249" s="63" t="str">
        <f t="shared" si="128"/>
        <v/>
      </c>
      <c r="U249" s="64" t="str">
        <f t="shared" si="129"/>
        <v/>
      </c>
      <c r="V249" s="90" t="str">
        <f>IF($A250="","",IF(AND(MONTH(A249)&gt;3,MONTH(A249)&lt;11),(T249+R249+G249)*(((1/(1-Summary!$T$12))/(1-Summary!$W$12))-1),(T249+R249+G249)*((1/(1-Summary!$U$12))/(1-Summary!$X$12)-1)))</f>
        <v/>
      </c>
      <c r="W249" s="63" t="str">
        <f t="shared" si="130"/>
        <v/>
      </c>
      <c r="X249" s="63" t="str">
        <f t="shared" si="131"/>
        <v/>
      </c>
      <c r="Y249" s="43"/>
      <c r="Z249" s="38" t="str">
        <f t="shared" si="132"/>
        <v/>
      </c>
      <c r="AA249" s="38" t="str">
        <f t="shared" si="133"/>
        <v/>
      </c>
      <c r="AB249" s="38" t="e">
        <f t="shared" si="134"/>
        <v>#VALUE!</v>
      </c>
      <c r="AC249" s="38" t="str">
        <f t="shared" si="135"/>
        <v/>
      </c>
      <c r="AD249" s="38" t="str">
        <f t="shared" si="135"/>
        <v/>
      </c>
      <c r="AE249" s="38" t="e">
        <f t="shared" si="136"/>
        <v>#VALUE!</v>
      </c>
      <c r="AF249" s="238" t="e">
        <f>((Summary!$N$12*(AA249*AD249)*(A249-$D$3))+(Summary!$M$12*Z249*AC249*(AJ249-EOMONTH(EDATE(A249,-1),0))))/(AK249*AB249*AE249)</f>
        <v>#VALUE!</v>
      </c>
      <c r="AG249" s="88" t="str">
        <f>IF($A250="","",Summary!$Q$12)</f>
        <v/>
      </c>
      <c r="AH249" s="88" t="str">
        <f>IF($A250="","",IF(Summary!$R$12="Y",(VLOOKUP($A249,Summary!$AD$6:$AF$9,3)+'Escalating commodity'!H262),'Escalating commodity'!H262))</f>
        <v/>
      </c>
      <c r="AI249" s="88" t="str">
        <f t="shared" si="150"/>
        <v/>
      </c>
      <c r="AJ249" s="236" t="e">
        <f t="shared" si="137"/>
        <v>#VALUE!</v>
      </c>
      <c r="AK249" s="58" t="str">
        <f t="shared" si="138"/>
        <v/>
      </c>
      <c r="AL249" s="26" t="str">
        <f>IF($A250="","",_xll.SPRDOPT(P249,X249,AI249,0,AB249,AE249,AF249,AK249,$AJ$2,0))</f>
        <v/>
      </c>
      <c r="AM249" s="89" t="str">
        <f t="shared" si="139"/>
        <v/>
      </c>
      <c r="AN249" s="89" t="str">
        <f t="shared" si="140"/>
        <v/>
      </c>
      <c r="AO249" s="3" t="str">
        <f t="shared" si="141"/>
        <v/>
      </c>
      <c r="AP249" s="33" t="str">
        <f t="shared" si="142"/>
        <v/>
      </c>
      <c r="AQ249" s="58" t="str">
        <f t="shared" si="143"/>
        <v/>
      </c>
      <c r="AR249" s="38">
        <f>'ANR OK vs ML7'!AR249</f>
        <v>0.1</v>
      </c>
      <c r="AS249" s="35" t="str">
        <f t="shared" si="144"/>
        <v/>
      </c>
      <c r="AT249" s="3" t="str">
        <f t="shared" si="145"/>
        <v/>
      </c>
      <c r="AU249" s="3" t="str">
        <f t="shared" si="146"/>
        <v/>
      </c>
      <c r="AW249" s="32" t="str">
        <f t="shared" si="147"/>
        <v/>
      </c>
      <c r="AX249" s="32" t="str">
        <f t="shared" si="147"/>
        <v/>
      </c>
      <c r="AY249" s="32" t="str">
        <f t="shared" si="148"/>
        <v/>
      </c>
      <c r="BA249" s="32" t="str">
        <f>IF($A250="","",F249*Summary!$Q$12)</f>
        <v/>
      </c>
    </row>
    <row r="250" spans="1:53" ht="12" customHeight="1">
      <c r="A250" s="67" t="str">
        <f t="shared" si="149"/>
        <v/>
      </c>
      <c r="B250" s="69" t="str">
        <f t="shared" si="151"/>
        <v/>
      </c>
      <c r="C250" s="71"/>
      <c r="D250" s="69" t="str">
        <f t="shared" si="115"/>
        <v/>
      </c>
      <c r="E250" s="70" t="str">
        <f t="shared" si="116"/>
        <v/>
      </c>
      <c r="F250" s="70" t="str">
        <f t="shared" si="117"/>
        <v/>
      </c>
      <c r="G250" s="63" t="str">
        <f t="shared" si="118"/>
        <v/>
      </c>
      <c r="H250" s="64" t="str">
        <f t="shared" si="119"/>
        <v/>
      </c>
      <c r="I250" s="43"/>
      <c r="J250" s="63" t="str">
        <f t="shared" si="120"/>
        <v/>
      </c>
      <c r="K250" s="64" t="str">
        <f t="shared" si="121"/>
        <v/>
      </c>
      <c r="L250" s="63" t="str">
        <f t="shared" si="122"/>
        <v/>
      </c>
      <c r="M250" s="64" t="str">
        <f t="shared" si="123"/>
        <v/>
      </c>
      <c r="N250" s="65"/>
      <c r="O250" s="63" t="str">
        <f t="shared" si="124"/>
        <v/>
      </c>
      <c r="P250" s="63" t="str">
        <f t="shared" si="125"/>
        <v/>
      </c>
      <c r="Q250" s="66"/>
      <c r="R250" s="63" t="str">
        <f t="shared" si="126"/>
        <v/>
      </c>
      <c r="S250" s="64" t="str">
        <f t="shared" si="127"/>
        <v/>
      </c>
      <c r="T250" s="63" t="str">
        <f t="shared" si="128"/>
        <v/>
      </c>
      <c r="U250" s="64" t="str">
        <f t="shared" si="129"/>
        <v/>
      </c>
      <c r="V250" s="90" t="str">
        <f>IF($A251="","",IF(AND(MONTH(A250)&gt;3,MONTH(A250)&lt;11),(T250+R250+G250)*(((1/(1-Summary!$T$12))/(1-Summary!$W$12))-1),(T250+R250+G250)*((1/(1-Summary!$U$12))/(1-Summary!$X$12)-1)))</f>
        <v/>
      </c>
      <c r="W250" s="63" t="str">
        <f t="shared" si="130"/>
        <v/>
      </c>
      <c r="X250" s="63" t="str">
        <f t="shared" si="131"/>
        <v/>
      </c>
      <c r="Y250" s="43"/>
      <c r="Z250" s="38" t="str">
        <f t="shared" si="132"/>
        <v/>
      </c>
      <c r="AA250" s="38" t="str">
        <f t="shared" si="133"/>
        <v/>
      </c>
      <c r="AB250" s="38" t="e">
        <f t="shared" si="134"/>
        <v>#VALUE!</v>
      </c>
      <c r="AC250" s="38" t="str">
        <f t="shared" si="135"/>
        <v/>
      </c>
      <c r="AD250" s="38" t="str">
        <f t="shared" si="135"/>
        <v/>
      </c>
      <c r="AE250" s="38" t="e">
        <f t="shared" si="136"/>
        <v>#VALUE!</v>
      </c>
      <c r="AF250" s="238" t="e">
        <f>((Summary!$N$12*(AA250*AD250)*(A250-$D$3))+(Summary!$M$12*Z250*AC250*(AJ250-EOMONTH(EDATE(A250,-1),0))))/(AK250*AB250*AE250)</f>
        <v>#VALUE!</v>
      </c>
      <c r="AG250" s="88" t="str">
        <f>IF($A251="","",Summary!$Q$12)</f>
        <v/>
      </c>
      <c r="AH250" s="88" t="str">
        <f>IF($A251="","",IF(Summary!$R$12="Y",(VLOOKUP($A250,Summary!$AD$6:$AF$9,3)+'Escalating commodity'!H263),'Escalating commodity'!H263))</f>
        <v/>
      </c>
      <c r="AI250" s="88" t="str">
        <f t="shared" si="150"/>
        <v/>
      </c>
      <c r="AJ250" s="236" t="e">
        <f t="shared" si="137"/>
        <v>#VALUE!</v>
      </c>
      <c r="AK250" s="58" t="str">
        <f t="shared" si="138"/>
        <v/>
      </c>
      <c r="AL250" s="26" t="str">
        <f>IF($A251="","",_xll.SPRDOPT(P250,X250,AI250,0,AB250,AE250,AF250,AK250,$AJ$2,0))</f>
        <v/>
      </c>
      <c r="AM250" s="89" t="str">
        <f t="shared" si="139"/>
        <v/>
      </c>
      <c r="AN250" s="89" t="str">
        <f t="shared" si="140"/>
        <v/>
      </c>
      <c r="AO250" s="3" t="str">
        <f t="shared" si="141"/>
        <v/>
      </c>
      <c r="AP250" s="33" t="str">
        <f t="shared" si="142"/>
        <v/>
      </c>
      <c r="AQ250" s="58" t="str">
        <f t="shared" si="143"/>
        <v/>
      </c>
      <c r="AR250" s="38">
        <f>'ANR OK vs ML7'!AR250</f>
        <v>0.1</v>
      </c>
      <c r="AS250" s="35" t="str">
        <f t="shared" si="144"/>
        <v/>
      </c>
      <c r="AT250" s="3" t="str">
        <f t="shared" si="145"/>
        <v/>
      </c>
      <c r="AU250" s="3" t="str">
        <f t="shared" si="146"/>
        <v/>
      </c>
      <c r="AW250" s="32" t="str">
        <f t="shared" si="147"/>
        <v/>
      </c>
      <c r="AX250" s="32" t="str">
        <f t="shared" si="147"/>
        <v/>
      </c>
      <c r="AY250" s="32" t="str">
        <f t="shared" si="148"/>
        <v/>
      </c>
      <c r="BA250" s="32" t="str">
        <f>IF($A251="","",F250*Summary!$Q$12)</f>
        <v/>
      </c>
    </row>
    <row r="251" spans="1:53" ht="12" customHeight="1">
      <c r="A251" s="67" t="str">
        <f t="shared" si="149"/>
        <v/>
      </c>
      <c r="B251" s="69" t="str">
        <f t="shared" si="151"/>
        <v/>
      </c>
      <c r="C251" s="71"/>
      <c r="D251" s="69" t="str">
        <f t="shared" si="115"/>
        <v/>
      </c>
      <c r="E251" s="70" t="str">
        <f t="shared" si="116"/>
        <v/>
      </c>
      <c r="F251" s="70" t="str">
        <f t="shared" si="117"/>
        <v/>
      </c>
      <c r="G251" s="63" t="str">
        <f t="shared" si="118"/>
        <v/>
      </c>
      <c r="H251" s="64" t="str">
        <f t="shared" si="119"/>
        <v/>
      </c>
      <c r="I251" s="43"/>
      <c r="J251" s="63" t="str">
        <f t="shared" si="120"/>
        <v/>
      </c>
      <c r="K251" s="64" t="str">
        <f t="shared" si="121"/>
        <v/>
      </c>
      <c r="L251" s="63" t="str">
        <f t="shared" si="122"/>
        <v/>
      </c>
      <c r="M251" s="64" t="str">
        <f t="shared" si="123"/>
        <v/>
      </c>
      <c r="N251" s="65"/>
      <c r="O251" s="63" t="str">
        <f t="shared" si="124"/>
        <v/>
      </c>
      <c r="P251" s="63" t="str">
        <f t="shared" si="125"/>
        <v/>
      </c>
      <c r="Q251" s="66"/>
      <c r="R251" s="63" t="str">
        <f t="shared" si="126"/>
        <v/>
      </c>
      <c r="S251" s="64" t="str">
        <f t="shared" si="127"/>
        <v/>
      </c>
      <c r="T251" s="63" t="str">
        <f t="shared" si="128"/>
        <v/>
      </c>
      <c r="U251" s="64" t="str">
        <f t="shared" si="129"/>
        <v/>
      </c>
      <c r="V251" s="90" t="str">
        <f>IF($A252="","",IF(AND(MONTH(A251)&gt;3,MONTH(A251)&lt;11),(T251+R251+G251)*(((1/(1-Summary!$T$12))/(1-Summary!$W$12))-1),(T251+R251+G251)*((1/(1-Summary!$U$12))/(1-Summary!$X$12)-1)))</f>
        <v/>
      </c>
      <c r="W251" s="63" t="str">
        <f t="shared" si="130"/>
        <v/>
      </c>
      <c r="X251" s="63" t="str">
        <f t="shared" si="131"/>
        <v/>
      </c>
      <c r="Y251" s="43"/>
      <c r="Z251" s="38" t="str">
        <f t="shared" si="132"/>
        <v/>
      </c>
      <c r="AA251" s="38" t="str">
        <f t="shared" si="133"/>
        <v/>
      </c>
      <c r="AB251" s="38" t="e">
        <f t="shared" si="134"/>
        <v>#VALUE!</v>
      </c>
      <c r="AC251" s="38" t="str">
        <f t="shared" si="135"/>
        <v/>
      </c>
      <c r="AD251" s="38" t="str">
        <f t="shared" si="135"/>
        <v/>
      </c>
      <c r="AE251" s="38" t="e">
        <f t="shared" si="136"/>
        <v>#VALUE!</v>
      </c>
      <c r="AF251" s="238" t="e">
        <f>((Summary!$N$12*(AA251*AD251)*(A251-$D$3))+(Summary!$M$12*Z251*AC251*(AJ251-EOMONTH(EDATE(A251,-1),0))))/(AK251*AB251*AE251)</f>
        <v>#VALUE!</v>
      </c>
      <c r="AG251" s="88" t="str">
        <f>IF($A252="","",Summary!$Q$12)</f>
        <v/>
      </c>
      <c r="AH251" s="88" t="str">
        <f>IF($A252="","",IF(Summary!$R$12="Y",(VLOOKUP($A251,Summary!$AD$6:$AF$9,3)+'Escalating commodity'!H264),'Escalating commodity'!H264))</f>
        <v/>
      </c>
      <c r="AI251" s="88" t="str">
        <f t="shared" si="150"/>
        <v/>
      </c>
      <c r="AJ251" s="236" t="e">
        <f t="shared" si="137"/>
        <v>#VALUE!</v>
      </c>
      <c r="AK251" s="58" t="str">
        <f t="shared" si="138"/>
        <v/>
      </c>
      <c r="AL251" s="26" t="str">
        <f>IF($A252="","",_xll.SPRDOPT(P251,X251,AI251,0,AB251,AE251,AF251,AK251,$AJ$2,0))</f>
        <v/>
      </c>
      <c r="AM251" s="89" t="str">
        <f t="shared" si="139"/>
        <v/>
      </c>
      <c r="AN251" s="89" t="str">
        <f t="shared" si="140"/>
        <v/>
      </c>
      <c r="AO251" s="3" t="str">
        <f t="shared" si="141"/>
        <v/>
      </c>
      <c r="AP251" s="33" t="str">
        <f t="shared" si="142"/>
        <v/>
      </c>
      <c r="AQ251" s="58" t="str">
        <f t="shared" si="143"/>
        <v/>
      </c>
      <c r="AR251" s="38">
        <f>'ANR OK vs ML7'!AR251</f>
        <v>0.1</v>
      </c>
      <c r="AS251" s="35" t="str">
        <f t="shared" si="144"/>
        <v/>
      </c>
      <c r="AT251" s="3" t="str">
        <f t="shared" si="145"/>
        <v/>
      </c>
      <c r="AU251" s="3" t="str">
        <f t="shared" si="146"/>
        <v/>
      </c>
      <c r="AW251" s="32" t="str">
        <f t="shared" si="147"/>
        <v/>
      </c>
      <c r="AX251" s="32" t="str">
        <f t="shared" si="147"/>
        <v/>
      </c>
      <c r="AY251" s="32" t="str">
        <f t="shared" si="148"/>
        <v/>
      </c>
      <c r="BA251" s="32" t="str">
        <f>IF($A252="","",F251*Summary!$Q$12)</f>
        <v/>
      </c>
    </row>
    <row r="252" spans="1:53" ht="12" customHeight="1">
      <c r="A252" s="67" t="str">
        <f t="shared" si="149"/>
        <v/>
      </c>
      <c r="B252" s="69" t="str">
        <f t="shared" si="151"/>
        <v/>
      </c>
      <c r="C252" s="71"/>
      <c r="D252" s="69" t="str">
        <f t="shared" si="115"/>
        <v/>
      </c>
      <c r="E252" s="70" t="str">
        <f t="shared" si="116"/>
        <v/>
      </c>
      <c r="F252" s="70" t="str">
        <f t="shared" si="117"/>
        <v/>
      </c>
      <c r="G252" s="63" t="str">
        <f t="shared" si="118"/>
        <v/>
      </c>
      <c r="H252" s="64" t="str">
        <f t="shared" si="119"/>
        <v/>
      </c>
      <c r="I252" s="43"/>
      <c r="J252" s="63" t="str">
        <f t="shared" si="120"/>
        <v/>
      </c>
      <c r="K252" s="64" t="str">
        <f t="shared" si="121"/>
        <v/>
      </c>
      <c r="L252" s="63" t="str">
        <f t="shared" si="122"/>
        <v/>
      </c>
      <c r="M252" s="64" t="str">
        <f t="shared" si="123"/>
        <v/>
      </c>
      <c r="N252" s="65"/>
      <c r="O252" s="63" t="str">
        <f t="shared" si="124"/>
        <v/>
      </c>
      <c r="P252" s="63" t="str">
        <f t="shared" si="125"/>
        <v/>
      </c>
      <c r="Q252" s="66"/>
      <c r="R252" s="63" t="str">
        <f t="shared" si="126"/>
        <v/>
      </c>
      <c r="S252" s="64" t="str">
        <f t="shared" si="127"/>
        <v/>
      </c>
      <c r="T252" s="63" t="str">
        <f t="shared" si="128"/>
        <v/>
      </c>
      <c r="U252" s="64" t="str">
        <f t="shared" si="129"/>
        <v/>
      </c>
      <c r="V252" s="90" t="str">
        <f>IF($A253="","",IF(AND(MONTH(A252)&gt;3,MONTH(A252)&lt;11),(T252+R252+G252)*(((1/(1-Summary!$T$12))/(1-Summary!$W$12))-1),(T252+R252+G252)*((1/(1-Summary!$U$12))/(1-Summary!$X$12)-1)))</f>
        <v/>
      </c>
      <c r="W252" s="63" t="str">
        <f t="shared" si="130"/>
        <v/>
      </c>
      <c r="X252" s="63" t="str">
        <f t="shared" si="131"/>
        <v/>
      </c>
      <c r="Y252" s="43"/>
      <c r="Z252" s="38" t="str">
        <f t="shared" si="132"/>
        <v/>
      </c>
      <c r="AA252" s="38" t="str">
        <f t="shared" si="133"/>
        <v/>
      </c>
      <c r="AB252" s="38" t="e">
        <f t="shared" si="134"/>
        <v>#VALUE!</v>
      </c>
      <c r="AC252" s="38" t="str">
        <f t="shared" si="135"/>
        <v/>
      </c>
      <c r="AD252" s="38" t="str">
        <f t="shared" si="135"/>
        <v/>
      </c>
      <c r="AE252" s="38" t="e">
        <f t="shared" si="136"/>
        <v>#VALUE!</v>
      </c>
      <c r="AF252" s="238" t="e">
        <f>((Summary!$N$12*(AA252*AD252)*(A252-$D$3))+(Summary!$M$12*Z252*AC252*(AJ252-EOMONTH(EDATE(A252,-1),0))))/(AK252*AB252*AE252)</f>
        <v>#VALUE!</v>
      </c>
      <c r="AG252" s="88" t="str">
        <f>IF($A253="","",Summary!$Q$12)</f>
        <v/>
      </c>
      <c r="AH252" s="88" t="str">
        <f>IF($A253="","",IF(Summary!$R$12="Y",(VLOOKUP($A252,Summary!$AD$6:$AF$9,3)+'Escalating commodity'!H265),'Escalating commodity'!H265))</f>
        <v/>
      </c>
      <c r="AI252" s="88" t="str">
        <f t="shared" si="150"/>
        <v/>
      </c>
      <c r="AJ252" s="236" t="e">
        <f t="shared" si="137"/>
        <v>#VALUE!</v>
      </c>
      <c r="AK252" s="58" t="str">
        <f t="shared" si="138"/>
        <v/>
      </c>
      <c r="AL252" s="26" t="str">
        <f>IF($A253="","",_xll.SPRDOPT(P252,X252,AI252,0,AB252,AE252,AF252,AK252,$AJ$2,0))</f>
        <v/>
      </c>
      <c r="AM252" s="89" t="str">
        <f t="shared" si="139"/>
        <v/>
      </c>
      <c r="AN252" s="89" t="str">
        <f t="shared" si="140"/>
        <v/>
      </c>
      <c r="AO252" s="3" t="str">
        <f t="shared" si="141"/>
        <v/>
      </c>
      <c r="AP252" s="33" t="str">
        <f t="shared" si="142"/>
        <v/>
      </c>
      <c r="AQ252" s="58" t="str">
        <f t="shared" si="143"/>
        <v/>
      </c>
      <c r="AR252" s="38">
        <f>'ANR OK vs ML7'!AR252</f>
        <v>0.1</v>
      </c>
      <c r="AS252" s="35" t="str">
        <f t="shared" si="144"/>
        <v/>
      </c>
      <c r="AT252" s="3" t="str">
        <f t="shared" si="145"/>
        <v/>
      </c>
      <c r="AU252" s="3" t="str">
        <f t="shared" si="146"/>
        <v/>
      </c>
      <c r="AW252" s="32" t="str">
        <f t="shared" si="147"/>
        <v/>
      </c>
      <c r="AX252" s="32" t="str">
        <f t="shared" si="147"/>
        <v/>
      </c>
      <c r="AY252" s="32" t="str">
        <f t="shared" si="148"/>
        <v/>
      </c>
      <c r="BA252" s="32" t="str">
        <f>IF($A253="","",F252*Summary!$Q$12)</f>
        <v/>
      </c>
    </row>
    <row r="253" spans="1:53" ht="12" customHeight="1">
      <c r="A253" s="67" t="str">
        <f t="shared" si="149"/>
        <v/>
      </c>
      <c r="B253" s="69" t="str">
        <f t="shared" si="151"/>
        <v/>
      </c>
      <c r="C253" s="71"/>
      <c r="D253" s="69" t="str">
        <f t="shared" si="115"/>
        <v/>
      </c>
      <c r="E253" s="70" t="str">
        <f t="shared" si="116"/>
        <v/>
      </c>
      <c r="F253" s="70" t="str">
        <f t="shared" si="117"/>
        <v/>
      </c>
      <c r="G253" s="63" t="str">
        <f t="shared" si="118"/>
        <v/>
      </c>
      <c r="H253" s="64" t="str">
        <f t="shared" si="119"/>
        <v/>
      </c>
      <c r="I253" s="43"/>
      <c r="J253" s="63" t="str">
        <f t="shared" si="120"/>
        <v/>
      </c>
      <c r="K253" s="64" t="str">
        <f t="shared" si="121"/>
        <v/>
      </c>
      <c r="L253" s="63" t="str">
        <f t="shared" si="122"/>
        <v/>
      </c>
      <c r="M253" s="64" t="str">
        <f t="shared" si="123"/>
        <v/>
      </c>
      <c r="N253" s="65"/>
      <c r="O253" s="63" t="str">
        <f t="shared" si="124"/>
        <v/>
      </c>
      <c r="P253" s="63" t="str">
        <f t="shared" si="125"/>
        <v/>
      </c>
      <c r="Q253" s="66"/>
      <c r="R253" s="63" t="str">
        <f t="shared" si="126"/>
        <v/>
      </c>
      <c r="S253" s="64" t="str">
        <f t="shared" si="127"/>
        <v/>
      </c>
      <c r="T253" s="63" t="str">
        <f t="shared" si="128"/>
        <v/>
      </c>
      <c r="U253" s="64" t="str">
        <f t="shared" si="129"/>
        <v/>
      </c>
      <c r="V253" s="90" t="str">
        <f>IF($A254="","",IF(AND(MONTH(A253)&gt;3,MONTH(A253)&lt;11),(T253+R253+G253)*(((1/(1-Summary!$T$12))/(1-Summary!$W$12))-1),(T253+R253+G253)*((1/(1-Summary!$U$12))/(1-Summary!$X$12)-1)))</f>
        <v/>
      </c>
      <c r="W253" s="63" t="str">
        <f t="shared" si="130"/>
        <v/>
      </c>
      <c r="X253" s="63" t="str">
        <f t="shared" si="131"/>
        <v/>
      </c>
      <c r="Y253" s="43"/>
      <c r="Z253" s="38" t="str">
        <f t="shared" si="132"/>
        <v/>
      </c>
      <c r="AA253" s="38" t="str">
        <f t="shared" si="133"/>
        <v/>
      </c>
      <c r="AB253" s="38" t="e">
        <f t="shared" si="134"/>
        <v>#VALUE!</v>
      </c>
      <c r="AC253" s="38" t="str">
        <f t="shared" si="135"/>
        <v/>
      </c>
      <c r="AD253" s="38" t="str">
        <f t="shared" si="135"/>
        <v/>
      </c>
      <c r="AE253" s="38" t="e">
        <f t="shared" si="136"/>
        <v>#VALUE!</v>
      </c>
      <c r="AF253" s="238" t="e">
        <f>((Summary!$N$12*(AA253*AD253)*(A253-$D$3))+(Summary!$M$12*Z253*AC253*(AJ253-EOMONTH(EDATE(A253,-1),0))))/(AK253*AB253*AE253)</f>
        <v>#VALUE!</v>
      </c>
      <c r="AG253" s="88" t="str">
        <f>IF($A254="","",Summary!$Q$12)</f>
        <v/>
      </c>
      <c r="AH253" s="88" t="str">
        <f>IF($A254="","",IF(Summary!$R$12="Y",(VLOOKUP($A253,Summary!$AD$6:$AF$9,3)+'Escalating commodity'!H266),'Escalating commodity'!H266))</f>
        <v/>
      </c>
      <c r="AI253" s="88" t="str">
        <f t="shared" si="150"/>
        <v/>
      </c>
      <c r="AJ253" s="236" t="e">
        <f t="shared" si="137"/>
        <v>#VALUE!</v>
      </c>
      <c r="AK253" s="58" t="str">
        <f t="shared" si="138"/>
        <v/>
      </c>
      <c r="AL253" s="26" t="str">
        <f>IF($A254="","",_xll.SPRDOPT(P253,X253,AI253,0,AB253,AE253,AF253,AK253,$AJ$2,0))</f>
        <v/>
      </c>
      <c r="AM253" s="89" t="str">
        <f t="shared" si="139"/>
        <v/>
      </c>
      <c r="AN253" s="89" t="str">
        <f t="shared" si="140"/>
        <v/>
      </c>
      <c r="AO253" s="3" t="str">
        <f t="shared" si="141"/>
        <v/>
      </c>
      <c r="AP253" s="33" t="str">
        <f t="shared" si="142"/>
        <v/>
      </c>
      <c r="AQ253" s="58" t="str">
        <f t="shared" si="143"/>
        <v/>
      </c>
      <c r="AR253" s="38">
        <f>'ANR OK vs ML7'!AR253</f>
        <v>0.1</v>
      </c>
      <c r="AS253" s="35" t="str">
        <f t="shared" si="144"/>
        <v/>
      </c>
      <c r="AT253" s="3" t="str">
        <f t="shared" si="145"/>
        <v/>
      </c>
      <c r="AU253" s="3" t="str">
        <f t="shared" si="146"/>
        <v/>
      </c>
      <c r="AW253" s="32" t="str">
        <f t="shared" si="147"/>
        <v/>
      </c>
      <c r="AX253" s="32" t="str">
        <f t="shared" si="147"/>
        <v/>
      </c>
      <c r="AY253" s="32" t="str">
        <f t="shared" si="148"/>
        <v/>
      </c>
      <c r="BA253" s="32" t="str">
        <f>IF($A254="","",F253*Summary!$Q$12)</f>
        <v/>
      </c>
    </row>
    <row r="254" spans="1:53" ht="12" customHeight="1">
      <c r="A254" s="67" t="str">
        <f t="shared" si="149"/>
        <v/>
      </c>
      <c r="B254" s="69" t="str">
        <f t="shared" si="151"/>
        <v/>
      </c>
      <c r="C254" s="71"/>
      <c r="D254" s="69" t="str">
        <f t="shared" si="115"/>
        <v/>
      </c>
      <c r="E254" s="70" t="str">
        <f t="shared" si="116"/>
        <v/>
      </c>
      <c r="F254" s="70" t="str">
        <f t="shared" si="117"/>
        <v/>
      </c>
      <c r="G254" s="63" t="str">
        <f t="shared" si="118"/>
        <v/>
      </c>
      <c r="H254" s="64" t="str">
        <f t="shared" si="119"/>
        <v/>
      </c>
      <c r="I254" s="43"/>
      <c r="J254" s="63" t="str">
        <f t="shared" si="120"/>
        <v/>
      </c>
      <c r="K254" s="64" t="str">
        <f t="shared" si="121"/>
        <v/>
      </c>
      <c r="L254" s="63" t="str">
        <f t="shared" si="122"/>
        <v/>
      </c>
      <c r="M254" s="64" t="str">
        <f t="shared" si="123"/>
        <v/>
      </c>
      <c r="N254" s="65"/>
      <c r="O254" s="63" t="str">
        <f t="shared" si="124"/>
        <v/>
      </c>
      <c r="P254" s="63" t="str">
        <f t="shared" si="125"/>
        <v/>
      </c>
      <c r="Q254" s="66"/>
      <c r="R254" s="63" t="str">
        <f t="shared" si="126"/>
        <v/>
      </c>
      <c r="S254" s="64" t="str">
        <f t="shared" si="127"/>
        <v/>
      </c>
      <c r="T254" s="63" t="str">
        <f t="shared" si="128"/>
        <v/>
      </c>
      <c r="U254" s="64" t="str">
        <f t="shared" si="129"/>
        <v/>
      </c>
      <c r="V254" s="90" t="str">
        <f>IF($A255="","",IF(AND(MONTH(A254)&gt;3,MONTH(A254)&lt;11),(T254+R254+G254)*(((1/(1-Summary!$T$12))/(1-Summary!$W$12))-1),(T254+R254+G254)*((1/(1-Summary!$U$12))/(1-Summary!$X$12)-1)))</f>
        <v/>
      </c>
      <c r="W254" s="63" t="str">
        <f t="shared" si="130"/>
        <v/>
      </c>
      <c r="X254" s="63" t="str">
        <f t="shared" si="131"/>
        <v/>
      </c>
      <c r="Y254" s="43"/>
      <c r="Z254" s="38" t="str">
        <f t="shared" si="132"/>
        <v/>
      </c>
      <c r="AA254" s="38" t="str">
        <f t="shared" si="133"/>
        <v/>
      </c>
      <c r="AB254" s="38" t="e">
        <f t="shared" si="134"/>
        <v>#VALUE!</v>
      </c>
      <c r="AC254" s="38" t="str">
        <f t="shared" si="135"/>
        <v/>
      </c>
      <c r="AD254" s="38" t="str">
        <f t="shared" si="135"/>
        <v/>
      </c>
      <c r="AE254" s="38" t="e">
        <f t="shared" si="136"/>
        <v>#VALUE!</v>
      </c>
      <c r="AF254" s="238" t="e">
        <f>((Summary!$N$12*(AA254*AD254)*(A254-$D$3))+(Summary!$M$12*Z254*AC254*(AJ254-EOMONTH(EDATE(A254,-1),0))))/(AK254*AB254*AE254)</f>
        <v>#VALUE!</v>
      </c>
      <c r="AG254" s="88" t="str">
        <f>IF($A255="","",Summary!$Q$12)</f>
        <v/>
      </c>
      <c r="AH254" s="88" t="str">
        <f>IF($A255="","",IF(Summary!$R$12="Y",(VLOOKUP($A254,Summary!$AD$6:$AF$9,3)+'Escalating commodity'!H267),'Escalating commodity'!H267))</f>
        <v/>
      </c>
      <c r="AI254" s="88" t="str">
        <f t="shared" si="150"/>
        <v/>
      </c>
      <c r="AJ254" s="236" t="e">
        <f t="shared" si="137"/>
        <v>#VALUE!</v>
      </c>
      <c r="AK254" s="58" t="str">
        <f t="shared" si="138"/>
        <v/>
      </c>
      <c r="AL254" s="26" t="str">
        <f>IF($A255="","",_xll.SPRDOPT(P254,X254,AI254,0,AB254,AE254,AF254,AK254,$AJ$2,0))</f>
        <v/>
      </c>
      <c r="AM254" s="89" t="str">
        <f t="shared" si="139"/>
        <v/>
      </c>
      <c r="AN254" s="89" t="str">
        <f t="shared" si="140"/>
        <v/>
      </c>
      <c r="AO254" s="3" t="str">
        <f t="shared" si="141"/>
        <v/>
      </c>
      <c r="AP254" s="33" t="str">
        <f t="shared" si="142"/>
        <v/>
      </c>
      <c r="AQ254" s="58" t="str">
        <f t="shared" si="143"/>
        <v/>
      </c>
      <c r="AR254" s="38">
        <f>'ANR OK vs ML7'!AR254</f>
        <v>0.1</v>
      </c>
      <c r="AS254" s="35" t="str">
        <f t="shared" si="144"/>
        <v/>
      </c>
      <c r="AT254" s="3" t="str">
        <f t="shared" si="145"/>
        <v/>
      </c>
      <c r="AU254" s="3" t="str">
        <f t="shared" si="146"/>
        <v/>
      </c>
      <c r="AW254" s="32" t="str">
        <f t="shared" si="147"/>
        <v/>
      </c>
      <c r="AX254" s="32" t="str">
        <f t="shared" si="147"/>
        <v/>
      </c>
      <c r="AY254" s="32" t="str">
        <f t="shared" si="148"/>
        <v/>
      </c>
      <c r="BA254" s="32" t="str">
        <f>IF($A255="","",F254*Summary!$Q$12)</f>
        <v/>
      </c>
    </row>
    <row r="255" spans="1:53" ht="12" customHeight="1">
      <c r="A255" s="67" t="str">
        <f t="shared" si="149"/>
        <v/>
      </c>
      <c r="B255" s="69" t="str">
        <f t="shared" si="151"/>
        <v/>
      </c>
      <c r="C255" s="71"/>
      <c r="D255" s="69" t="str">
        <f t="shared" si="115"/>
        <v/>
      </c>
      <c r="E255" s="70" t="str">
        <f t="shared" si="116"/>
        <v/>
      </c>
      <c r="F255" s="70" t="str">
        <f t="shared" si="117"/>
        <v/>
      </c>
      <c r="G255" s="63" t="str">
        <f t="shared" si="118"/>
        <v/>
      </c>
      <c r="H255" s="64" t="str">
        <f t="shared" si="119"/>
        <v/>
      </c>
      <c r="I255" s="43"/>
      <c r="J255" s="63" t="str">
        <f t="shared" si="120"/>
        <v/>
      </c>
      <c r="K255" s="64" t="str">
        <f t="shared" si="121"/>
        <v/>
      </c>
      <c r="L255" s="63" t="str">
        <f t="shared" si="122"/>
        <v/>
      </c>
      <c r="M255" s="64" t="str">
        <f t="shared" si="123"/>
        <v/>
      </c>
      <c r="N255" s="65"/>
      <c r="O255" s="63" t="str">
        <f t="shared" si="124"/>
        <v/>
      </c>
      <c r="P255" s="63" t="str">
        <f t="shared" si="125"/>
        <v/>
      </c>
      <c r="Q255" s="66"/>
      <c r="R255" s="63" t="str">
        <f t="shared" si="126"/>
        <v/>
      </c>
      <c r="S255" s="64" t="str">
        <f t="shared" si="127"/>
        <v/>
      </c>
      <c r="T255" s="63" t="str">
        <f t="shared" si="128"/>
        <v/>
      </c>
      <c r="U255" s="64" t="str">
        <f t="shared" si="129"/>
        <v/>
      </c>
      <c r="V255" s="90" t="str">
        <f>IF($A256="","",IF(AND(MONTH(A255)&gt;3,MONTH(A255)&lt;11),(T255+R255+G255)*(((1/(1-Summary!$T$12))/(1-Summary!$W$12))-1),(T255+R255+G255)*((1/(1-Summary!$U$12))/(1-Summary!$X$12)-1)))</f>
        <v/>
      </c>
      <c r="W255" s="63" t="str">
        <f t="shared" si="130"/>
        <v/>
      </c>
      <c r="X255" s="63" t="str">
        <f t="shared" si="131"/>
        <v/>
      </c>
      <c r="Y255" s="43"/>
      <c r="Z255" s="38" t="str">
        <f t="shared" si="132"/>
        <v/>
      </c>
      <c r="AA255" s="38" t="str">
        <f t="shared" si="133"/>
        <v/>
      </c>
      <c r="AB255" s="38" t="e">
        <f t="shared" si="134"/>
        <v>#VALUE!</v>
      </c>
      <c r="AC255" s="38" t="str">
        <f t="shared" si="135"/>
        <v/>
      </c>
      <c r="AD255" s="38" t="str">
        <f t="shared" si="135"/>
        <v/>
      </c>
      <c r="AE255" s="38" t="e">
        <f t="shared" si="136"/>
        <v>#VALUE!</v>
      </c>
      <c r="AF255" s="238" t="e">
        <f>((Summary!$N$12*(AA255*AD255)*(A255-$D$3))+(Summary!$M$12*Z255*AC255*(AJ255-EOMONTH(EDATE(A255,-1),0))))/(AK255*AB255*AE255)</f>
        <v>#VALUE!</v>
      </c>
      <c r="AG255" s="88" t="str">
        <f>IF($A256="","",Summary!$Q$12)</f>
        <v/>
      </c>
      <c r="AH255" s="88" t="str">
        <f>IF($A256="","",IF(Summary!$R$12="Y",(VLOOKUP($A255,Summary!$AD$6:$AF$9,3)+'Escalating commodity'!H268),'Escalating commodity'!H268))</f>
        <v/>
      </c>
      <c r="AI255" s="88" t="str">
        <f t="shared" si="150"/>
        <v/>
      </c>
      <c r="AJ255" s="236" t="e">
        <f t="shared" si="137"/>
        <v>#VALUE!</v>
      </c>
      <c r="AK255" s="58" t="str">
        <f t="shared" si="138"/>
        <v/>
      </c>
      <c r="AL255" s="26" t="str">
        <f>IF($A256="","",_xll.SPRDOPT(P255,X255,AI255,0,AB255,AE255,AF255,AK255,$AJ$2,0))</f>
        <v/>
      </c>
      <c r="AM255" s="89" t="str">
        <f t="shared" si="139"/>
        <v/>
      </c>
      <c r="AN255" s="89" t="str">
        <f t="shared" si="140"/>
        <v/>
      </c>
      <c r="AO255" s="3" t="str">
        <f t="shared" si="141"/>
        <v/>
      </c>
      <c r="AP255" s="33" t="str">
        <f t="shared" si="142"/>
        <v/>
      </c>
      <c r="AQ255" s="58" t="str">
        <f t="shared" si="143"/>
        <v/>
      </c>
      <c r="AR255" s="38">
        <f>'ANR OK vs ML7'!AR255</f>
        <v>0.1</v>
      </c>
      <c r="AS255" s="35" t="str">
        <f t="shared" si="144"/>
        <v/>
      </c>
      <c r="AT255" s="3" t="str">
        <f t="shared" si="145"/>
        <v/>
      </c>
      <c r="AU255" s="3" t="str">
        <f t="shared" si="146"/>
        <v/>
      </c>
      <c r="AW255" s="32" t="str">
        <f t="shared" si="147"/>
        <v/>
      </c>
      <c r="AX255" s="32" t="str">
        <f t="shared" si="147"/>
        <v/>
      </c>
      <c r="AY255" s="32" t="str">
        <f t="shared" si="148"/>
        <v/>
      </c>
      <c r="BA255" s="32" t="str">
        <f>IF($A256="","",F255*Summary!$Q$12)</f>
        <v/>
      </c>
    </row>
    <row r="256" spans="1:53" ht="12" customHeight="1">
      <c r="A256" s="67" t="str">
        <f t="shared" si="149"/>
        <v/>
      </c>
      <c r="B256" s="69" t="str">
        <f t="shared" si="151"/>
        <v/>
      </c>
      <c r="C256" s="71"/>
      <c r="D256" s="69" t="str">
        <f t="shared" si="115"/>
        <v/>
      </c>
      <c r="E256" s="70" t="str">
        <f t="shared" si="116"/>
        <v/>
      </c>
      <c r="F256" s="70" t="str">
        <f t="shared" si="117"/>
        <v/>
      </c>
      <c r="G256" s="63" t="str">
        <f t="shared" si="118"/>
        <v/>
      </c>
      <c r="H256" s="64" t="str">
        <f t="shared" si="119"/>
        <v/>
      </c>
      <c r="I256" s="43"/>
      <c r="J256" s="63" t="str">
        <f t="shared" si="120"/>
        <v/>
      </c>
      <c r="K256" s="64" t="str">
        <f t="shared" si="121"/>
        <v/>
      </c>
      <c r="L256" s="63" t="str">
        <f t="shared" si="122"/>
        <v/>
      </c>
      <c r="M256" s="64" t="str">
        <f t="shared" si="123"/>
        <v/>
      </c>
      <c r="N256" s="65"/>
      <c r="O256" s="63" t="str">
        <f t="shared" si="124"/>
        <v/>
      </c>
      <c r="P256" s="63" t="str">
        <f t="shared" si="125"/>
        <v/>
      </c>
      <c r="Q256" s="66"/>
      <c r="R256" s="63" t="str">
        <f t="shared" si="126"/>
        <v/>
      </c>
      <c r="S256" s="64" t="str">
        <f t="shared" si="127"/>
        <v/>
      </c>
      <c r="T256" s="63" t="str">
        <f t="shared" si="128"/>
        <v/>
      </c>
      <c r="U256" s="64" t="str">
        <f t="shared" si="129"/>
        <v/>
      </c>
      <c r="V256" s="90" t="str">
        <f>IF($A257="","",IF(AND(MONTH(A256)&gt;3,MONTH(A256)&lt;11),(T256+R256+G256)*(((1/(1-Summary!$T$12))/(1-Summary!$W$12))-1),(T256+R256+G256)*((1/(1-Summary!$U$12))/(1-Summary!$X$12)-1)))</f>
        <v/>
      </c>
      <c r="W256" s="63" t="str">
        <f t="shared" si="130"/>
        <v/>
      </c>
      <c r="X256" s="63" t="str">
        <f t="shared" si="131"/>
        <v/>
      </c>
      <c r="Y256" s="43"/>
      <c r="Z256" s="38" t="str">
        <f t="shared" si="132"/>
        <v/>
      </c>
      <c r="AA256" s="38" t="str">
        <f t="shared" si="133"/>
        <v/>
      </c>
      <c r="AB256" s="38" t="e">
        <f t="shared" si="134"/>
        <v>#VALUE!</v>
      </c>
      <c r="AC256" s="38" t="str">
        <f t="shared" si="135"/>
        <v/>
      </c>
      <c r="AD256" s="38" t="str">
        <f t="shared" si="135"/>
        <v/>
      </c>
      <c r="AE256" s="38" t="e">
        <f t="shared" si="136"/>
        <v>#VALUE!</v>
      </c>
      <c r="AF256" s="238" t="e">
        <f>((Summary!$N$12*(AA256*AD256)*(A256-$D$3))+(Summary!$M$12*Z256*AC256*(AJ256-EOMONTH(EDATE(A256,-1),0))))/(AK256*AB256*AE256)</f>
        <v>#VALUE!</v>
      </c>
      <c r="AG256" s="88" t="str">
        <f>IF($A257="","",Summary!$Q$12)</f>
        <v/>
      </c>
      <c r="AH256" s="88" t="str">
        <f>IF($A257="","",IF(Summary!$R$12="Y",(VLOOKUP($A256,Summary!$AD$6:$AF$9,3)+'Escalating commodity'!H269),'Escalating commodity'!H269))</f>
        <v/>
      </c>
      <c r="AI256" s="88" t="str">
        <f t="shared" si="150"/>
        <v/>
      </c>
      <c r="AJ256" s="236" t="e">
        <f t="shared" si="137"/>
        <v>#VALUE!</v>
      </c>
      <c r="AK256" s="58" t="str">
        <f t="shared" si="138"/>
        <v/>
      </c>
      <c r="AL256" s="26" t="str">
        <f>IF($A257="","",_xll.SPRDOPT(P256,X256,AI256,0,AB256,AE256,AF256,AK256,$AJ$2,0))</f>
        <v/>
      </c>
      <c r="AM256" s="89" t="str">
        <f t="shared" si="139"/>
        <v/>
      </c>
      <c r="AN256" s="89" t="str">
        <f t="shared" si="140"/>
        <v/>
      </c>
      <c r="AO256" s="3" t="str">
        <f t="shared" si="141"/>
        <v/>
      </c>
      <c r="AP256" s="33" t="str">
        <f t="shared" si="142"/>
        <v/>
      </c>
      <c r="AQ256" s="58" t="str">
        <f t="shared" si="143"/>
        <v/>
      </c>
      <c r="AR256" s="38">
        <f>'ANR OK vs ML7'!AR256</f>
        <v>0.1</v>
      </c>
      <c r="AS256" s="35" t="str">
        <f t="shared" si="144"/>
        <v/>
      </c>
      <c r="AT256" s="3" t="str">
        <f t="shared" si="145"/>
        <v/>
      </c>
      <c r="AU256" s="3" t="str">
        <f t="shared" si="146"/>
        <v/>
      </c>
      <c r="AW256" s="32" t="str">
        <f t="shared" si="147"/>
        <v/>
      </c>
      <c r="AX256" s="32" t="str">
        <f t="shared" si="147"/>
        <v/>
      </c>
      <c r="AY256" s="32" t="str">
        <f t="shared" si="148"/>
        <v/>
      </c>
      <c r="BA256" s="32" t="str">
        <f>IF($A257="","",F256*Summary!$Q$12)</f>
        <v/>
      </c>
    </row>
    <row r="257" spans="1:53" ht="12" customHeight="1">
      <c r="A257" s="67" t="str">
        <f t="shared" si="149"/>
        <v/>
      </c>
      <c r="B257" s="69" t="str">
        <f t="shared" si="151"/>
        <v/>
      </c>
      <c r="C257" s="71"/>
      <c r="D257" s="69" t="str">
        <f t="shared" si="115"/>
        <v/>
      </c>
      <c r="E257" s="70" t="str">
        <f t="shared" si="116"/>
        <v/>
      </c>
      <c r="F257" s="70" t="str">
        <f t="shared" si="117"/>
        <v/>
      </c>
      <c r="G257" s="63" t="str">
        <f t="shared" si="118"/>
        <v/>
      </c>
      <c r="H257" s="64" t="str">
        <f t="shared" si="119"/>
        <v/>
      </c>
      <c r="I257" s="43"/>
      <c r="J257" s="63" t="str">
        <f t="shared" si="120"/>
        <v/>
      </c>
      <c r="K257" s="64" t="str">
        <f t="shared" si="121"/>
        <v/>
      </c>
      <c r="L257" s="63" t="str">
        <f t="shared" si="122"/>
        <v/>
      </c>
      <c r="M257" s="64" t="str">
        <f t="shared" si="123"/>
        <v/>
      </c>
      <c r="N257" s="65"/>
      <c r="O257" s="63" t="str">
        <f t="shared" si="124"/>
        <v/>
      </c>
      <c r="P257" s="63" t="str">
        <f t="shared" si="125"/>
        <v/>
      </c>
      <c r="Q257" s="66"/>
      <c r="R257" s="63" t="str">
        <f t="shared" si="126"/>
        <v/>
      </c>
      <c r="S257" s="64" t="str">
        <f t="shared" si="127"/>
        <v/>
      </c>
      <c r="T257" s="63" t="str">
        <f t="shared" si="128"/>
        <v/>
      </c>
      <c r="U257" s="64" t="str">
        <f t="shared" si="129"/>
        <v/>
      </c>
      <c r="V257" s="90" t="str">
        <f>IF($A258="","",IF(AND(MONTH(A257)&gt;3,MONTH(A257)&lt;11),(T257+R257+G257)*(((1/(1-Summary!$T$12))/(1-Summary!$W$12))-1),(T257+R257+G257)*((1/(1-Summary!$U$12))/(1-Summary!$X$12)-1)))</f>
        <v/>
      </c>
      <c r="W257" s="63" t="str">
        <f t="shared" si="130"/>
        <v/>
      </c>
      <c r="X257" s="63" t="str">
        <f t="shared" si="131"/>
        <v/>
      </c>
      <c r="Y257" s="43"/>
      <c r="Z257" s="38" t="str">
        <f t="shared" si="132"/>
        <v/>
      </c>
      <c r="AA257" s="38" t="str">
        <f t="shared" si="133"/>
        <v/>
      </c>
      <c r="AB257" s="38" t="e">
        <f t="shared" si="134"/>
        <v>#VALUE!</v>
      </c>
      <c r="AC257" s="38" t="str">
        <f t="shared" si="135"/>
        <v/>
      </c>
      <c r="AD257" s="38" t="str">
        <f t="shared" si="135"/>
        <v/>
      </c>
      <c r="AE257" s="38" t="e">
        <f t="shared" si="136"/>
        <v>#VALUE!</v>
      </c>
      <c r="AF257" s="238" t="e">
        <f>((Summary!$N$12*(AA257*AD257)*(A257-$D$3))+(Summary!$M$12*Z257*AC257*(AJ257-EOMONTH(EDATE(A257,-1),0))))/(AK257*AB257*AE257)</f>
        <v>#VALUE!</v>
      </c>
      <c r="AG257" s="88" t="str">
        <f>IF($A258="","",Summary!$Q$12)</f>
        <v/>
      </c>
      <c r="AH257" s="88" t="str">
        <f>IF($A258="","",IF(Summary!$R$12="Y",(VLOOKUP($A257,Summary!$AD$6:$AF$9,3)+'Escalating commodity'!H270),'Escalating commodity'!H270))</f>
        <v/>
      </c>
      <c r="AI257" s="88" t="str">
        <f t="shared" si="150"/>
        <v/>
      </c>
      <c r="AJ257" s="236" t="e">
        <f t="shared" si="137"/>
        <v>#VALUE!</v>
      </c>
      <c r="AK257" s="58" t="str">
        <f t="shared" si="138"/>
        <v/>
      </c>
      <c r="AL257" s="26" t="str">
        <f>IF($A258="","",_xll.SPRDOPT(P257,X257,AI257,0,AB257,AE257,AF257,AK257,$AJ$2,0))</f>
        <v/>
      </c>
      <c r="AM257" s="89" t="str">
        <f t="shared" si="139"/>
        <v/>
      </c>
      <c r="AN257" s="89" t="str">
        <f t="shared" si="140"/>
        <v/>
      </c>
      <c r="AO257" s="3" t="str">
        <f t="shared" si="141"/>
        <v/>
      </c>
      <c r="AP257" s="33" t="str">
        <f t="shared" si="142"/>
        <v/>
      </c>
      <c r="AQ257" s="58" t="str">
        <f t="shared" si="143"/>
        <v/>
      </c>
      <c r="AR257" s="38">
        <f>'ANR OK vs ML7'!AR257</f>
        <v>0.1</v>
      </c>
      <c r="AS257" s="35" t="str">
        <f t="shared" si="144"/>
        <v/>
      </c>
      <c r="AT257" s="3" t="str">
        <f t="shared" si="145"/>
        <v/>
      </c>
      <c r="AU257" s="3" t="str">
        <f t="shared" si="146"/>
        <v/>
      </c>
      <c r="AW257" s="32" t="str">
        <f t="shared" si="147"/>
        <v/>
      </c>
      <c r="AX257" s="32" t="str">
        <f t="shared" si="147"/>
        <v/>
      </c>
      <c r="AY257" s="32" t="str">
        <f t="shared" si="148"/>
        <v/>
      </c>
      <c r="BA257" s="32" t="str">
        <f>IF($A258="","",F257*Summary!$Q$12)</f>
        <v/>
      </c>
    </row>
    <row r="258" spans="1:53" ht="12" customHeight="1">
      <c r="A258" s="67" t="str">
        <f t="shared" si="149"/>
        <v/>
      </c>
      <c r="B258" s="69" t="str">
        <f t="shared" si="151"/>
        <v/>
      </c>
      <c r="C258" s="71"/>
      <c r="D258" s="69" t="str">
        <f t="shared" si="115"/>
        <v/>
      </c>
      <c r="E258" s="70" t="str">
        <f t="shared" si="116"/>
        <v/>
      </c>
      <c r="F258" s="70" t="str">
        <f t="shared" si="117"/>
        <v/>
      </c>
      <c r="G258" s="63" t="str">
        <f t="shared" si="118"/>
        <v/>
      </c>
      <c r="H258" s="64" t="str">
        <f t="shared" si="119"/>
        <v/>
      </c>
      <c r="I258" s="43"/>
      <c r="J258" s="63" t="str">
        <f t="shared" si="120"/>
        <v/>
      </c>
      <c r="K258" s="64" t="str">
        <f t="shared" si="121"/>
        <v/>
      </c>
      <c r="L258" s="63" t="str">
        <f t="shared" si="122"/>
        <v/>
      </c>
      <c r="M258" s="64" t="str">
        <f t="shared" si="123"/>
        <v/>
      </c>
      <c r="N258" s="65"/>
      <c r="O258" s="63" t="str">
        <f t="shared" si="124"/>
        <v/>
      </c>
      <c r="P258" s="63" t="str">
        <f t="shared" si="125"/>
        <v/>
      </c>
      <c r="Q258" s="66"/>
      <c r="R258" s="63" t="str">
        <f t="shared" si="126"/>
        <v/>
      </c>
      <c r="S258" s="64" t="str">
        <f t="shared" si="127"/>
        <v/>
      </c>
      <c r="T258" s="63" t="str">
        <f t="shared" si="128"/>
        <v/>
      </c>
      <c r="U258" s="64" t="str">
        <f t="shared" si="129"/>
        <v/>
      </c>
      <c r="V258" s="90" t="str">
        <f>IF($A259="","",IF(AND(MONTH(A258)&gt;3,MONTH(A258)&lt;11),(T258+R258+G258)*(((1/(1-Summary!$T$12))/(1-Summary!$W$12))-1),(T258+R258+G258)*((1/(1-Summary!$U$12))/(1-Summary!$X$12)-1)))</f>
        <v/>
      </c>
      <c r="W258" s="63" t="str">
        <f t="shared" si="130"/>
        <v/>
      </c>
      <c r="X258" s="63" t="str">
        <f t="shared" si="131"/>
        <v/>
      </c>
      <c r="Y258" s="43"/>
      <c r="Z258" s="38" t="str">
        <f t="shared" si="132"/>
        <v/>
      </c>
      <c r="AA258" s="38" t="str">
        <f t="shared" si="133"/>
        <v/>
      </c>
      <c r="AB258" s="38" t="e">
        <f t="shared" si="134"/>
        <v>#VALUE!</v>
      </c>
      <c r="AC258" s="38" t="str">
        <f t="shared" si="135"/>
        <v/>
      </c>
      <c r="AD258" s="38" t="str">
        <f t="shared" si="135"/>
        <v/>
      </c>
      <c r="AE258" s="38" t="e">
        <f t="shared" si="136"/>
        <v>#VALUE!</v>
      </c>
      <c r="AF258" s="238" t="e">
        <f>((Summary!$N$12*(AA258*AD258)*(A258-$D$3))+(Summary!$M$12*Z258*AC258*(AJ258-EOMONTH(EDATE(A258,-1),0))))/(AK258*AB258*AE258)</f>
        <v>#VALUE!</v>
      </c>
      <c r="AG258" s="88" t="str">
        <f>IF($A259="","",Summary!$Q$12)</f>
        <v/>
      </c>
      <c r="AH258" s="88" t="str">
        <f>IF($A259="","",IF(Summary!$R$12="Y",(VLOOKUP($A258,Summary!$AD$6:$AF$9,3)+'Escalating commodity'!H271),'Escalating commodity'!H271))</f>
        <v/>
      </c>
      <c r="AI258" s="88" t="str">
        <f t="shared" si="150"/>
        <v/>
      </c>
      <c r="AJ258" s="236" t="e">
        <f t="shared" si="137"/>
        <v>#VALUE!</v>
      </c>
      <c r="AK258" s="58" t="str">
        <f t="shared" si="138"/>
        <v/>
      </c>
      <c r="AL258" s="26" t="str">
        <f>IF($A259="","",_xll.SPRDOPT(P258,X258,AI258,0,AB258,AE258,AF258,AK258,$AJ$2,0))</f>
        <v/>
      </c>
      <c r="AM258" s="89" t="str">
        <f t="shared" si="139"/>
        <v/>
      </c>
      <c r="AN258" s="89" t="str">
        <f t="shared" si="140"/>
        <v/>
      </c>
      <c r="AO258" s="3" t="str">
        <f t="shared" si="141"/>
        <v/>
      </c>
      <c r="AP258" s="33" t="str">
        <f t="shared" si="142"/>
        <v/>
      </c>
      <c r="AQ258" s="58" t="str">
        <f t="shared" si="143"/>
        <v/>
      </c>
      <c r="AR258" s="38">
        <f>'ANR OK vs ML7'!AR258</f>
        <v>0.1</v>
      </c>
      <c r="AS258" s="35" t="str">
        <f t="shared" si="144"/>
        <v/>
      </c>
      <c r="AT258" s="3" t="str">
        <f t="shared" si="145"/>
        <v/>
      </c>
      <c r="AU258" s="3" t="str">
        <f t="shared" si="146"/>
        <v/>
      </c>
      <c r="AW258" s="32" t="str">
        <f t="shared" si="147"/>
        <v/>
      </c>
      <c r="AX258" s="32" t="str">
        <f t="shared" si="147"/>
        <v/>
      </c>
      <c r="AY258" s="32" t="str">
        <f t="shared" si="148"/>
        <v/>
      </c>
      <c r="BA258" s="32" t="str">
        <f>IF($A259="","",F258*Summary!$Q$12)</f>
        <v/>
      </c>
    </row>
    <row r="259" spans="1:53" ht="12" customHeight="1">
      <c r="A259" s="67" t="str">
        <f t="shared" si="149"/>
        <v/>
      </c>
      <c r="B259" s="69" t="str">
        <f t="shared" si="151"/>
        <v/>
      </c>
      <c r="C259" s="71"/>
      <c r="D259" s="69" t="str">
        <f t="shared" si="115"/>
        <v/>
      </c>
      <c r="E259" s="70" t="str">
        <f t="shared" si="116"/>
        <v/>
      </c>
      <c r="F259" s="70" t="str">
        <f t="shared" si="117"/>
        <v/>
      </c>
      <c r="G259" s="63" t="str">
        <f t="shared" si="118"/>
        <v/>
      </c>
      <c r="H259" s="64" t="str">
        <f t="shared" si="119"/>
        <v/>
      </c>
      <c r="I259" s="43"/>
      <c r="J259" s="63" t="str">
        <f t="shared" si="120"/>
        <v/>
      </c>
      <c r="K259" s="64" t="str">
        <f t="shared" si="121"/>
        <v/>
      </c>
      <c r="L259" s="63" t="str">
        <f t="shared" si="122"/>
        <v/>
      </c>
      <c r="M259" s="64" t="str">
        <f t="shared" si="123"/>
        <v/>
      </c>
      <c r="N259" s="65"/>
      <c r="O259" s="63" t="str">
        <f t="shared" si="124"/>
        <v/>
      </c>
      <c r="P259" s="63" t="str">
        <f t="shared" si="125"/>
        <v/>
      </c>
      <c r="Q259" s="66"/>
      <c r="R259" s="63" t="str">
        <f t="shared" si="126"/>
        <v/>
      </c>
      <c r="S259" s="64" t="str">
        <f t="shared" si="127"/>
        <v/>
      </c>
      <c r="T259" s="63" t="str">
        <f t="shared" si="128"/>
        <v/>
      </c>
      <c r="U259" s="64" t="str">
        <f t="shared" si="129"/>
        <v/>
      </c>
      <c r="V259" s="90" t="str">
        <f>IF($A260="","",IF(AND(MONTH(A259)&gt;3,MONTH(A259)&lt;11),(T259+R259+G259)*(((1/(1-Summary!$T$12))/(1-Summary!$W$12))-1),(T259+R259+G259)*((1/(1-Summary!$U$12))/(1-Summary!$X$12)-1)))</f>
        <v/>
      </c>
      <c r="W259" s="63" t="str">
        <f t="shared" si="130"/>
        <v/>
      </c>
      <c r="X259" s="63" t="str">
        <f t="shared" si="131"/>
        <v/>
      </c>
      <c r="Y259" s="43"/>
      <c r="Z259" s="38" t="str">
        <f t="shared" si="132"/>
        <v/>
      </c>
      <c r="AA259" s="38" t="str">
        <f t="shared" si="133"/>
        <v/>
      </c>
      <c r="AB259" s="38" t="e">
        <f t="shared" si="134"/>
        <v>#VALUE!</v>
      </c>
      <c r="AC259" s="38" t="str">
        <f t="shared" si="135"/>
        <v/>
      </c>
      <c r="AD259" s="38" t="str">
        <f t="shared" si="135"/>
        <v/>
      </c>
      <c r="AE259" s="38" t="e">
        <f t="shared" si="136"/>
        <v>#VALUE!</v>
      </c>
      <c r="AF259" s="238" t="e">
        <f>((Summary!$N$12*(AA259*AD259)*(A259-$D$3))+(Summary!$M$12*Z259*AC259*(AJ259-EOMONTH(EDATE(A259,-1),0))))/(AK259*AB259*AE259)</f>
        <v>#VALUE!</v>
      </c>
      <c r="AG259" s="88" t="str">
        <f>IF($A260="","",Summary!$Q$12)</f>
        <v/>
      </c>
      <c r="AH259" s="88" t="str">
        <f>IF($A260="","",IF(Summary!$R$12="Y",(VLOOKUP($A259,Summary!$AD$6:$AF$9,3)+'Escalating commodity'!H272),'Escalating commodity'!H272))</f>
        <v/>
      </c>
      <c r="AI259" s="88" t="str">
        <f t="shared" si="150"/>
        <v/>
      </c>
      <c r="AJ259" s="236" t="e">
        <f t="shared" si="137"/>
        <v>#VALUE!</v>
      </c>
      <c r="AK259" s="58" t="str">
        <f t="shared" si="138"/>
        <v/>
      </c>
      <c r="AL259" s="26" t="str">
        <f>IF($A260="","",_xll.SPRDOPT(P259,X259,AI259,0,AB259,AE259,AF259,AK259,$AJ$2,0))</f>
        <v/>
      </c>
      <c r="AM259" s="89" t="str">
        <f t="shared" si="139"/>
        <v/>
      </c>
      <c r="AN259" s="89" t="str">
        <f t="shared" si="140"/>
        <v/>
      </c>
      <c r="AO259" s="3" t="str">
        <f t="shared" si="141"/>
        <v/>
      </c>
      <c r="AP259" s="33" t="str">
        <f t="shared" si="142"/>
        <v/>
      </c>
      <c r="AQ259" s="58" t="str">
        <f t="shared" si="143"/>
        <v/>
      </c>
      <c r="AR259" s="38">
        <f>'ANR OK vs ML7'!AR259</f>
        <v>0.1</v>
      </c>
      <c r="AS259" s="35" t="str">
        <f t="shared" si="144"/>
        <v/>
      </c>
      <c r="AT259" s="3" t="str">
        <f t="shared" si="145"/>
        <v/>
      </c>
      <c r="AU259" s="3" t="str">
        <f t="shared" si="146"/>
        <v/>
      </c>
      <c r="AW259" s="32" t="str">
        <f t="shared" si="147"/>
        <v/>
      </c>
      <c r="AX259" s="32" t="str">
        <f t="shared" si="147"/>
        <v/>
      </c>
      <c r="AY259" s="32" t="str">
        <f t="shared" si="148"/>
        <v/>
      </c>
      <c r="BA259" s="32" t="str">
        <f>IF($A260="","",F259*Summary!$Q$12)</f>
        <v/>
      </c>
    </row>
    <row r="260" spans="1:53" ht="12" customHeight="1">
      <c r="A260" s="67" t="str">
        <f t="shared" si="149"/>
        <v/>
      </c>
      <c r="B260" s="69" t="str">
        <f t="shared" si="151"/>
        <v/>
      </c>
      <c r="C260" s="71"/>
      <c r="D260" s="69" t="str">
        <f t="shared" si="115"/>
        <v/>
      </c>
      <c r="E260" s="70" t="str">
        <f t="shared" si="116"/>
        <v/>
      </c>
      <c r="F260" s="70" t="str">
        <f t="shared" si="117"/>
        <v/>
      </c>
      <c r="G260" s="63" t="str">
        <f t="shared" si="118"/>
        <v/>
      </c>
      <c r="H260" s="64" t="str">
        <f t="shared" si="119"/>
        <v/>
      </c>
      <c r="I260" s="43"/>
      <c r="J260" s="63" t="str">
        <f t="shared" si="120"/>
        <v/>
      </c>
      <c r="K260" s="64" t="str">
        <f t="shared" si="121"/>
        <v/>
      </c>
      <c r="L260" s="63" t="str">
        <f t="shared" si="122"/>
        <v/>
      </c>
      <c r="M260" s="64" t="str">
        <f t="shared" si="123"/>
        <v/>
      </c>
      <c r="N260" s="65"/>
      <c r="O260" s="63" t="str">
        <f t="shared" si="124"/>
        <v/>
      </c>
      <c r="P260" s="63" t="str">
        <f t="shared" si="125"/>
        <v/>
      </c>
      <c r="Q260" s="66"/>
      <c r="R260" s="63" t="str">
        <f t="shared" si="126"/>
        <v/>
      </c>
      <c r="S260" s="64" t="str">
        <f t="shared" si="127"/>
        <v/>
      </c>
      <c r="T260" s="63" t="str">
        <f t="shared" si="128"/>
        <v/>
      </c>
      <c r="U260" s="64" t="str">
        <f t="shared" si="129"/>
        <v/>
      </c>
      <c r="V260" s="90" t="str">
        <f>IF($A261="","",IF(AND(MONTH(A260)&gt;3,MONTH(A260)&lt;11),(T260+R260+G260)*(((1/(1-Summary!$T$12))/(1-Summary!$W$12))-1),(T260+R260+G260)*((1/(1-Summary!$U$12))/(1-Summary!$X$12)-1)))</f>
        <v/>
      </c>
      <c r="W260" s="63" t="str">
        <f t="shared" si="130"/>
        <v/>
      </c>
      <c r="X260" s="63" t="str">
        <f t="shared" si="131"/>
        <v/>
      </c>
      <c r="Y260" s="43"/>
      <c r="Z260" s="38" t="str">
        <f t="shared" si="132"/>
        <v/>
      </c>
      <c r="AA260" s="38" t="str">
        <f t="shared" si="133"/>
        <v/>
      </c>
      <c r="AB260" s="38" t="e">
        <f t="shared" si="134"/>
        <v>#VALUE!</v>
      </c>
      <c r="AC260" s="38" t="str">
        <f t="shared" si="135"/>
        <v/>
      </c>
      <c r="AD260" s="38" t="str">
        <f t="shared" si="135"/>
        <v/>
      </c>
      <c r="AE260" s="38" t="e">
        <f t="shared" si="136"/>
        <v>#VALUE!</v>
      </c>
      <c r="AF260" s="238" t="e">
        <f>((Summary!$N$12*(AA260*AD260)*(A260-$D$3))+(Summary!$M$12*Z260*AC260*(AJ260-EOMONTH(EDATE(A260,-1),0))))/(AK260*AB260*AE260)</f>
        <v>#VALUE!</v>
      </c>
      <c r="AG260" s="88" t="str">
        <f>IF($A261="","",Summary!$Q$12)</f>
        <v/>
      </c>
      <c r="AH260" s="88" t="str">
        <f>IF($A261="","",IF(Summary!$R$12="Y",(VLOOKUP($A260,Summary!$AD$6:$AF$9,3)+'Escalating commodity'!H273),'Escalating commodity'!H273))</f>
        <v/>
      </c>
      <c r="AI260" s="88" t="str">
        <f t="shared" si="150"/>
        <v/>
      </c>
      <c r="AJ260" s="236" t="e">
        <f t="shared" si="137"/>
        <v>#VALUE!</v>
      </c>
      <c r="AK260" s="58" t="str">
        <f t="shared" si="138"/>
        <v/>
      </c>
      <c r="AL260" s="26" t="str">
        <f>IF($A261="","",_xll.SPRDOPT(P260,X260,AI260,0,AB260,AE260,AF260,AK260,$AJ$2,0))</f>
        <v/>
      </c>
      <c r="AM260" s="89" t="str">
        <f t="shared" si="139"/>
        <v/>
      </c>
      <c r="AN260" s="89" t="str">
        <f t="shared" si="140"/>
        <v/>
      </c>
      <c r="AO260" s="3" t="str">
        <f t="shared" si="141"/>
        <v/>
      </c>
      <c r="AP260" s="33" t="str">
        <f t="shared" si="142"/>
        <v/>
      </c>
      <c r="AQ260" s="58" t="str">
        <f t="shared" si="143"/>
        <v/>
      </c>
      <c r="AR260" s="38">
        <f>'ANR OK vs ML7'!AR260</f>
        <v>0.1</v>
      </c>
      <c r="AS260" s="35" t="str">
        <f t="shared" si="144"/>
        <v/>
      </c>
      <c r="AT260" s="3" t="str">
        <f t="shared" si="145"/>
        <v/>
      </c>
      <c r="AU260" s="3" t="str">
        <f t="shared" si="146"/>
        <v/>
      </c>
      <c r="AW260" s="32" t="str">
        <f t="shared" si="147"/>
        <v/>
      </c>
      <c r="AX260" s="32" t="str">
        <f t="shared" si="147"/>
        <v/>
      </c>
      <c r="AY260" s="32" t="str">
        <f t="shared" si="148"/>
        <v/>
      </c>
      <c r="BA260" s="32" t="str">
        <f>IF($A261="","",F260*Summary!$Q$12)</f>
        <v/>
      </c>
    </row>
    <row r="261" spans="1:53" ht="12" customHeight="1">
      <c r="A261" s="67" t="str">
        <f t="shared" si="149"/>
        <v/>
      </c>
      <c r="B261" s="69" t="str">
        <f t="shared" si="151"/>
        <v/>
      </c>
      <c r="C261" s="71"/>
      <c r="D261" s="69" t="str">
        <f t="shared" si="115"/>
        <v/>
      </c>
      <c r="E261" s="70" t="str">
        <f t="shared" si="116"/>
        <v/>
      </c>
      <c r="F261" s="70" t="str">
        <f t="shared" si="117"/>
        <v/>
      </c>
      <c r="G261" s="63" t="str">
        <f t="shared" si="118"/>
        <v/>
      </c>
      <c r="H261" s="64" t="str">
        <f t="shared" si="119"/>
        <v/>
      </c>
      <c r="I261" s="43"/>
      <c r="J261" s="63" t="str">
        <f t="shared" si="120"/>
        <v/>
      </c>
      <c r="K261" s="64" t="str">
        <f t="shared" si="121"/>
        <v/>
      </c>
      <c r="L261" s="63" t="str">
        <f t="shared" si="122"/>
        <v/>
      </c>
      <c r="M261" s="64" t="str">
        <f t="shared" si="123"/>
        <v/>
      </c>
      <c r="N261" s="65"/>
      <c r="O261" s="63" t="str">
        <f t="shared" si="124"/>
        <v/>
      </c>
      <c r="P261" s="63" t="str">
        <f t="shared" si="125"/>
        <v/>
      </c>
      <c r="Q261" s="66"/>
      <c r="R261" s="63" t="str">
        <f t="shared" si="126"/>
        <v/>
      </c>
      <c r="S261" s="64" t="str">
        <f t="shared" si="127"/>
        <v/>
      </c>
      <c r="T261" s="63" t="str">
        <f t="shared" si="128"/>
        <v/>
      </c>
      <c r="U261" s="64" t="str">
        <f t="shared" si="129"/>
        <v/>
      </c>
      <c r="V261" s="90" t="str">
        <f>IF($A262="","",IF(AND(MONTH(A261)&gt;3,MONTH(A261)&lt;11),(T261+R261+G261)*(((1/(1-Summary!$T$12))/(1-Summary!$W$12))-1),(T261+R261+G261)*((1/(1-Summary!$U$12))/(1-Summary!$X$12)-1)))</f>
        <v/>
      </c>
      <c r="W261" s="63" t="str">
        <f t="shared" si="130"/>
        <v/>
      </c>
      <c r="X261" s="63" t="str">
        <f t="shared" si="131"/>
        <v/>
      </c>
      <c r="Y261" s="43"/>
      <c r="Z261" s="38" t="str">
        <f t="shared" si="132"/>
        <v/>
      </c>
      <c r="AA261" s="38" t="str">
        <f t="shared" si="133"/>
        <v/>
      </c>
      <c r="AB261" s="38" t="e">
        <f t="shared" si="134"/>
        <v>#VALUE!</v>
      </c>
      <c r="AC261" s="38" t="str">
        <f t="shared" si="135"/>
        <v/>
      </c>
      <c r="AD261" s="38" t="str">
        <f t="shared" si="135"/>
        <v/>
      </c>
      <c r="AE261" s="38" t="e">
        <f t="shared" si="136"/>
        <v>#VALUE!</v>
      </c>
      <c r="AF261" s="238" t="e">
        <f>((Summary!$N$12*(AA261*AD261)*(A261-$D$3))+(Summary!$M$12*Z261*AC261*(AJ261-EOMONTH(EDATE(A261,-1),0))))/(AK261*AB261*AE261)</f>
        <v>#VALUE!</v>
      </c>
      <c r="AG261" s="88" t="str">
        <f>IF($A262="","",Summary!$Q$12)</f>
        <v/>
      </c>
      <c r="AH261" s="88" t="str">
        <f>IF($A262="","",IF(Summary!$R$12="Y",(VLOOKUP($A261,Summary!$AD$6:$AF$9,3)+'Escalating commodity'!H274),'Escalating commodity'!H274))</f>
        <v/>
      </c>
      <c r="AI261" s="88" t="str">
        <f t="shared" si="150"/>
        <v/>
      </c>
      <c r="AJ261" s="236" t="e">
        <f t="shared" si="137"/>
        <v>#VALUE!</v>
      </c>
      <c r="AK261" s="58" t="str">
        <f t="shared" si="138"/>
        <v/>
      </c>
      <c r="AL261" s="26" t="str">
        <f>IF($A262="","",_xll.SPRDOPT(P261,X261,AI261,0,AB261,AE261,AF261,AK261,$AJ$2,0))</f>
        <v/>
      </c>
      <c r="AM261" s="89" t="str">
        <f t="shared" si="139"/>
        <v/>
      </c>
      <c r="AN261" s="89" t="str">
        <f t="shared" si="140"/>
        <v/>
      </c>
      <c r="AO261" s="3" t="str">
        <f t="shared" si="141"/>
        <v/>
      </c>
      <c r="AP261" s="33" t="str">
        <f t="shared" si="142"/>
        <v/>
      </c>
      <c r="AQ261" s="58" t="str">
        <f t="shared" si="143"/>
        <v/>
      </c>
      <c r="AR261" s="38">
        <f>'ANR OK vs ML7'!AR261</f>
        <v>0.1</v>
      </c>
      <c r="AS261" s="35" t="str">
        <f t="shared" si="144"/>
        <v/>
      </c>
      <c r="AT261" s="3" t="str">
        <f t="shared" si="145"/>
        <v/>
      </c>
      <c r="AU261" s="3" t="str">
        <f t="shared" si="146"/>
        <v/>
      </c>
      <c r="AW261" s="32" t="str">
        <f t="shared" si="147"/>
        <v/>
      </c>
      <c r="AX261" s="32" t="str">
        <f t="shared" si="147"/>
        <v/>
      </c>
      <c r="AY261" s="32" t="str">
        <f t="shared" si="148"/>
        <v/>
      </c>
      <c r="BA261" s="32" t="str">
        <f>IF($A262="","",F261*Summary!$Q$12)</f>
        <v/>
      </c>
    </row>
    <row r="262" spans="1:53" ht="12" customHeight="1">
      <c r="A262" s="67" t="str">
        <f t="shared" si="149"/>
        <v/>
      </c>
      <c r="B262" s="69" t="str">
        <f t="shared" si="151"/>
        <v/>
      </c>
      <c r="C262" s="71"/>
      <c r="D262" s="69" t="str">
        <f t="shared" si="115"/>
        <v/>
      </c>
      <c r="E262" s="70" t="str">
        <f t="shared" si="116"/>
        <v/>
      </c>
      <c r="F262" s="70" t="str">
        <f t="shared" si="117"/>
        <v/>
      </c>
      <c r="G262" s="63" t="str">
        <f t="shared" si="118"/>
        <v/>
      </c>
      <c r="H262" s="64" t="str">
        <f t="shared" si="119"/>
        <v/>
      </c>
      <c r="I262" s="43"/>
      <c r="J262" s="63" t="str">
        <f t="shared" si="120"/>
        <v/>
      </c>
      <c r="K262" s="64" t="str">
        <f t="shared" si="121"/>
        <v/>
      </c>
      <c r="L262" s="63" t="str">
        <f t="shared" si="122"/>
        <v/>
      </c>
      <c r="M262" s="64" t="str">
        <f t="shared" si="123"/>
        <v/>
      </c>
      <c r="N262" s="65"/>
      <c r="O262" s="63" t="str">
        <f t="shared" si="124"/>
        <v/>
      </c>
      <c r="P262" s="63" t="str">
        <f t="shared" si="125"/>
        <v/>
      </c>
      <c r="Q262" s="66"/>
      <c r="R262" s="63" t="str">
        <f t="shared" si="126"/>
        <v/>
      </c>
      <c r="S262" s="64" t="str">
        <f t="shared" si="127"/>
        <v/>
      </c>
      <c r="T262" s="63" t="str">
        <f t="shared" si="128"/>
        <v/>
      </c>
      <c r="U262" s="64" t="str">
        <f t="shared" si="129"/>
        <v/>
      </c>
      <c r="V262" s="90" t="str">
        <f>IF($A263="","",IF(AND(MONTH(A262)&gt;3,MONTH(A262)&lt;11),(T262+R262+G262)*(((1/(1-Summary!$T$12))/(1-Summary!$W$12))-1),(T262+R262+G262)*((1/(1-Summary!$U$12))/(1-Summary!$X$12)-1)))</f>
        <v/>
      </c>
      <c r="W262" s="63" t="str">
        <f t="shared" si="130"/>
        <v/>
      </c>
      <c r="X262" s="63" t="str">
        <f t="shared" si="131"/>
        <v/>
      </c>
      <c r="Y262" s="43"/>
      <c r="Z262" s="38" t="str">
        <f t="shared" si="132"/>
        <v/>
      </c>
      <c r="AA262" s="38" t="str">
        <f t="shared" si="133"/>
        <v/>
      </c>
      <c r="AB262" s="38" t="e">
        <f t="shared" si="134"/>
        <v>#VALUE!</v>
      </c>
      <c r="AC262" s="38" t="str">
        <f t="shared" si="135"/>
        <v/>
      </c>
      <c r="AD262" s="38" t="str">
        <f t="shared" si="135"/>
        <v/>
      </c>
      <c r="AE262" s="38" t="e">
        <f t="shared" si="136"/>
        <v>#VALUE!</v>
      </c>
      <c r="AF262" s="238" t="e">
        <f>((Summary!$N$12*(AA262*AD262)*(A262-$D$3))+(Summary!$M$12*Z262*AC262*(AJ262-EOMONTH(EDATE(A262,-1),0))))/(AK262*AB262*AE262)</f>
        <v>#VALUE!</v>
      </c>
      <c r="AG262" s="88" t="str">
        <f>IF($A263="","",Summary!$Q$12)</f>
        <v/>
      </c>
      <c r="AH262" s="88" t="str">
        <f>IF($A263="","",IF(Summary!$R$12="Y",(VLOOKUP($A262,Summary!$AD$6:$AF$9,3)+'Escalating commodity'!H275),'Escalating commodity'!H275))</f>
        <v/>
      </c>
      <c r="AI262" s="88" t="str">
        <f t="shared" si="150"/>
        <v/>
      </c>
      <c r="AJ262" s="236" t="e">
        <f t="shared" si="137"/>
        <v>#VALUE!</v>
      </c>
      <c r="AK262" s="58" t="str">
        <f t="shared" si="138"/>
        <v/>
      </c>
      <c r="AL262" s="26" t="str">
        <f>IF($A263="","",_xll.SPRDOPT(P262,X262,AI262,0,AB262,AE262,AF262,AK262,$AJ$2,0))</f>
        <v/>
      </c>
      <c r="AM262" s="89" t="str">
        <f t="shared" si="139"/>
        <v/>
      </c>
      <c r="AN262" s="89" t="str">
        <f t="shared" si="140"/>
        <v/>
      </c>
      <c r="AO262" s="3" t="str">
        <f t="shared" si="141"/>
        <v/>
      </c>
      <c r="AP262" s="33" t="str">
        <f t="shared" si="142"/>
        <v/>
      </c>
      <c r="AQ262" s="58" t="str">
        <f t="shared" si="143"/>
        <v/>
      </c>
      <c r="AR262" s="38">
        <f>'ANR OK vs ML7'!AR262</f>
        <v>0.1</v>
      </c>
      <c r="AS262" s="35" t="str">
        <f t="shared" si="144"/>
        <v/>
      </c>
      <c r="AT262" s="3" t="str">
        <f t="shared" si="145"/>
        <v/>
      </c>
      <c r="AU262" s="3" t="str">
        <f t="shared" si="146"/>
        <v/>
      </c>
      <c r="AW262" s="32" t="str">
        <f t="shared" si="147"/>
        <v/>
      </c>
      <c r="AX262" s="32" t="str">
        <f t="shared" si="147"/>
        <v/>
      </c>
      <c r="AY262" s="32" t="str">
        <f t="shared" si="148"/>
        <v/>
      </c>
      <c r="BA262" s="32" t="str">
        <f>IF($A263="","",F262*Summary!$Q$12)</f>
        <v/>
      </c>
    </row>
    <row r="263" spans="1:53" ht="12" customHeight="1">
      <c r="A263" s="67" t="str">
        <f t="shared" si="149"/>
        <v/>
      </c>
      <c r="B263" s="69" t="str">
        <f t="shared" si="151"/>
        <v/>
      </c>
      <c r="C263" s="71"/>
      <c r="D263" s="69" t="str">
        <f t="shared" si="115"/>
        <v/>
      </c>
      <c r="E263" s="70" t="str">
        <f t="shared" si="116"/>
        <v/>
      </c>
      <c r="F263" s="70" t="str">
        <f t="shared" si="117"/>
        <v/>
      </c>
      <c r="G263" s="63" t="str">
        <f t="shared" si="118"/>
        <v/>
      </c>
      <c r="H263" s="64" t="str">
        <f t="shared" si="119"/>
        <v/>
      </c>
      <c r="I263" s="43"/>
      <c r="J263" s="63" t="str">
        <f t="shared" si="120"/>
        <v/>
      </c>
      <c r="K263" s="64" t="str">
        <f t="shared" si="121"/>
        <v/>
      </c>
      <c r="L263" s="63" t="str">
        <f t="shared" si="122"/>
        <v/>
      </c>
      <c r="M263" s="64" t="str">
        <f t="shared" si="123"/>
        <v/>
      </c>
      <c r="N263" s="65"/>
      <c r="O263" s="63" t="str">
        <f t="shared" si="124"/>
        <v/>
      </c>
      <c r="P263" s="63" t="str">
        <f t="shared" si="125"/>
        <v/>
      </c>
      <c r="Q263" s="66"/>
      <c r="R263" s="63" t="str">
        <f t="shared" si="126"/>
        <v/>
      </c>
      <c r="S263" s="64" t="str">
        <f t="shared" si="127"/>
        <v/>
      </c>
      <c r="T263" s="63" t="str">
        <f t="shared" si="128"/>
        <v/>
      </c>
      <c r="U263" s="64" t="str">
        <f t="shared" si="129"/>
        <v/>
      </c>
      <c r="V263" s="90" t="str">
        <f>IF($A264="","",IF(AND(MONTH(A263)&gt;3,MONTH(A263)&lt;11),(T263+R263+G263)*(((1/(1-Summary!$T$12))/(1-Summary!$W$12))-1),(T263+R263+G263)*((1/(1-Summary!$U$12))/(1-Summary!$X$12)-1)))</f>
        <v/>
      </c>
      <c r="W263" s="63" t="str">
        <f t="shared" si="130"/>
        <v/>
      </c>
      <c r="X263" s="63" t="str">
        <f t="shared" si="131"/>
        <v/>
      </c>
      <c r="Y263" s="43"/>
      <c r="Z263" s="38" t="str">
        <f t="shared" si="132"/>
        <v/>
      </c>
      <c r="AA263" s="38" t="str">
        <f t="shared" si="133"/>
        <v/>
      </c>
      <c r="AB263" s="38" t="e">
        <f t="shared" si="134"/>
        <v>#VALUE!</v>
      </c>
      <c r="AC263" s="38" t="str">
        <f t="shared" si="135"/>
        <v/>
      </c>
      <c r="AD263" s="38" t="str">
        <f t="shared" si="135"/>
        <v/>
      </c>
      <c r="AE263" s="38" t="e">
        <f t="shared" si="136"/>
        <v>#VALUE!</v>
      </c>
      <c r="AF263" s="238" t="e">
        <f>((Summary!$N$12*(AA263*AD263)*(A263-$D$3))+(Summary!$M$12*Z263*AC263*(AJ263-EOMONTH(EDATE(A263,-1),0))))/(AK263*AB263*AE263)</f>
        <v>#VALUE!</v>
      </c>
      <c r="AG263" s="88" t="str">
        <f>IF($A264="","",Summary!$Q$12)</f>
        <v/>
      </c>
      <c r="AH263" s="88" t="str">
        <f>IF($A264="","",IF(Summary!$R$12="Y",(VLOOKUP($A263,Summary!$AD$6:$AF$9,3)+'Escalating commodity'!H276),'Escalating commodity'!H276))</f>
        <v/>
      </c>
      <c r="AI263" s="88" t="str">
        <f t="shared" si="150"/>
        <v/>
      </c>
      <c r="AJ263" s="236" t="e">
        <f t="shared" si="137"/>
        <v>#VALUE!</v>
      </c>
      <c r="AK263" s="58" t="str">
        <f t="shared" si="138"/>
        <v/>
      </c>
      <c r="AL263" s="26" t="str">
        <f>IF($A264="","",_xll.SPRDOPT(P263,X263,AI263,0,AB263,AE263,AF263,AK263,$AJ$2,0))</f>
        <v/>
      </c>
      <c r="AM263" s="89" t="str">
        <f t="shared" si="139"/>
        <v/>
      </c>
      <c r="AN263" s="89" t="str">
        <f t="shared" si="140"/>
        <v/>
      </c>
      <c r="AO263" s="3" t="str">
        <f t="shared" si="141"/>
        <v/>
      </c>
      <c r="AP263" s="33" t="str">
        <f t="shared" si="142"/>
        <v/>
      </c>
      <c r="AQ263" s="58" t="str">
        <f t="shared" si="143"/>
        <v/>
      </c>
      <c r="AR263" s="38">
        <f>'ANR OK vs ML7'!AR263</f>
        <v>0.1</v>
      </c>
      <c r="AS263" s="35" t="str">
        <f t="shared" si="144"/>
        <v/>
      </c>
      <c r="AT263" s="3" t="str">
        <f t="shared" si="145"/>
        <v/>
      </c>
      <c r="AU263" s="3" t="str">
        <f t="shared" si="146"/>
        <v/>
      </c>
      <c r="AW263" s="32" t="str">
        <f t="shared" si="147"/>
        <v/>
      </c>
      <c r="AX263" s="32" t="str">
        <f t="shared" si="147"/>
        <v/>
      </c>
      <c r="AY263" s="32" t="str">
        <f t="shared" si="148"/>
        <v/>
      </c>
      <c r="BA263" s="32" t="str">
        <f>IF($A264="","",F263*Summary!$Q$12)</f>
        <v/>
      </c>
    </row>
    <row r="264" spans="1:53" ht="12" customHeight="1">
      <c r="A264" s="67" t="str">
        <f t="shared" si="149"/>
        <v/>
      </c>
      <c r="B264" s="69" t="str">
        <f t="shared" si="151"/>
        <v/>
      </c>
      <c r="C264" s="71"/>
      <c r="D264" s="69" t="str">
        <f t="shared" si="115"/>
        <v/>
      </c>
      <c r="E264" s="70" t="str">
        <f t="shared" si="116"/>
        <v/>
      </c>
      <c r="F264" s="70" t="str">
        <f t="shared" si="117"/>
        <v/>
      </c>
      <c r="G264" s="63" t="str">
        <f t="shared" si="118"/>
        <v/>
      </c>
      <c r="H264" s="64" t="str">
        <f t="shared" si="119"/>
        <v/>
      </c>
      <c r="I264" s="43"/>
      <c r="J264" s="63" t="str">
        <f t="shared" si="120"/>
        <v/>
      </c>
      <c r="K264" s="64" t="str">
        <f t="shared" si="121"/>
        <v/>
      </c>
      <c r="L264" s="63" t="str">
        <f t="shared" si="122"/>
        <v/>
      </c>
      <c r="M264" s="64" t="str">
        <f t="shared" si="123"/>
        <v/>
      </c>
      <c r="N264" s="65"/>
      <c r="O264" s="63" t="str">
        <f t="shared" si="124"/>
        <v/>
      </c>
      <c r="P264" s="63" t="str">
        <f t="shared" si="125"/>
        <v/>
      </c>
      <c r="Q264" s="66"/>
      <c r="R264" s="63" t="str">
        <f t="shared" si="126"/>
        <v/>
      </c>
      <c r="S264" s="64" t="str">
        <f t="shared" si="127"/>
        <v/>
      </c>
      <c r="T264" s="63" t="str">
        <f t="shared" si="128"/>
        <v/>
      </c>
      <c r="U264" s="64" t="str">
        <f t="shared" si="129"/>
        <v/>
      </c>
      <c r="V264" s="90" t="str">
        <f>IF($A265="","",IF(AND(MONTH(A264)&gt;3,MONTH(A264)&lt;11),(T264+R264+G264)*(((1/(1-Summary!$T$12))/(1-Summary!$W$12))-1),(T264+R264+G264)*((1/(1-Summary!$U$12))/(1-Summary!$X$12)-1)))</f>
        <v/>
      </c>
      <c r="W264" s="63" t="str">
        <f t="shared" si="130"/>
        <v/>
      </c>
      <c r="X264" s="63" t="str">
        <f t="shared" si="131"/>
        <v/>
      </c>
      <c r="Y264" s="43"/>
      <c r="Z264" s="38" t="str">
        <f t="shared" si="132"/>
        <v/>
      </c>
      <c r="AA264" s="38" t="str">
        <f t="shared" si="133"/>
        <v/>
      </c>
      <c r="AB264" s="38" t="e">
        <f t="shared" si="134"/>
        <v>#VALUE!</v>
      </c>
      <c r="AC264" s="38" t="str">
        <f t="shared" si="135"/>
        <v/>
      </c>
      <c r="AD264" s="38" t="str">
        <f t="shared" si="135"/>
        <v/>
      </c>
      <c r="AE264" s="38" t="e">
        <f t="shared" si="136"/>
        <v>#VALUE!</v>
      </c>
      <c r="AF264" s="238" t="e">
        <f>((Summary!$N$12*(AA264*AD264)*(A264-$D$3))+(Summary!$M$12*Z264*AC264*(AJ264-EOMONTH(EDATE(A264,-1),0))))/(AK264*AB264*AE264)</f>
        <v>#VALUE!</v>
      </c>
      <c r="AG264" s="88" t="str">
        <f>IF($A265="","",Summary!$Q$12)</f>
        <v/>
      </c>
      <c r="AH264" s="88" t="str">
        <f>IF($A265="","",IF(Summary!$R$12="Y",(VLOOKUP($A264,Summary!$AD$6:$AF$9,3)+'Escalating commodity'!H277),'Escalating commodity'!H277))</f>
        <v/>
      </c>
      <c r="AI264" s="88" t="str">
        <f t="shared" si="150"/>
        <v/>
      </c>
      <c r="AJ264" s="236" t="e">
        <f t="shared" si="137"/>
        <v>#VALUE!</v>
      </c>
      <c r="AK264" s="58" t="str">
        <f t="shared" si="138"/>
        <v/>
      </c>
      <c r="AL264" s="26" t="str">
        <f>IF($A265="","",_xll.SPRDOPT(P264,X264,AI264,0,AB264,AE264,AF264,AK264,$AJ$2,0))</f>
        <v/>
      </c>
      <c r="AM264" s="89" t="str">
        <f t="shared" si="139"/>
        <v/>
      </c>
      <c r="AN264" s="89" t="str">
        <f t="shared" si="140"/>
        <v/>
      </c>
      <c r="AO264" s="3" t="str">
        <f t="shared" si="141"/>
        <v/>
      </c>
      <c r="AP264" s="33" t="str">
        <f t="shared" si="142"/>
        <v/>
      </c>
      <c r="AQ264" s="58" t="str">
        <f t="shared" si="143"/>
        <v/>
      </c>
      <c r="AR264" s="38">
        <f>'ANR OK vs ML7'!AR264</f>
        <v>0.1</v>
      </c>
      <c r="AS264" s="35" t="str">
        <f t="shared" si="144"/>
        <v/>
      </c>
      <c r="AT264" s="3" t="str">
        <f t="shared" si="145"/>
        <v/>
      </c>
      <c r="AU264" s="3" t="str">
        <f t="shared" si="146"/>
        <v/>
      </c>
      <c r="AW264" s="32" t="str">
        <f t="shared" si="147"/>
        <v/>
      </c>
      <c r="AX264" s="32" t="str">
        <f t="shared" si="147"/>
        <v/>
      </c>
      <c r="AY264" s="32" t="str">
        <f t="shared" si="148"/>
        <v/>
      </c>
      <c r="BA264" s="32" t="str">
        <f>IF($A265="","",F264*Summary!$Q$12)</f>
        <v/>
      </c>
    </row>
    <row r="265" spans="1:53" ht="12" customHeight="1">
      <c r="A265" s="67" t="str">
        <f t="shared" si="149"/>
        <v/>
      </c>
      <c r="B265" s="69" t="str">
        <f t="shared" si="151"/>
        <v/>
      </c>
      <c r="C265" s="71"/>
      <c r="D265" s="69" t="str">
        <f t="shared" si="115"/>
        <v/>
      </c>
      <c r="E265" s="70" t="str">
        <f t="shared" si="116"/>
        <v/>
      </c>
      <c r="F265" s="70" t="str">
        <f t="shared" si="117"/>
        <v/>
      </c>
      <c r="G265" s="63" t="str">
        <f t="shared" si="118"/>
        <v/>
      </c>
      <c r="H265" s="64" t="str">
        <f t="shared" si="119"/>
        <v/>
      </c>
      <c r="I265" s="43"/>
      <c r="J265" s="63" t="str">
        <f t="shared" si="120"/>
        <v/>
      </c>
      <c r="K265" s="64" t="str">
        <f t="shared" si="121"/>
        <v/>
      </c>
      <c r="L265" s="63" t="str">
        <f t="shared" si="122"/>
        <v/>
      </c>
      <c r="M265" s="64" t="str">
        <f t="shared" si="123"/>
        <v/>
      </c>
      <c r="N265" s="65"/>
      <c r="O265" s="63" t="str">
        <f t="shared" si="124"/>
        <v/>
      </c>
      <c r="P265" s="63" t="str">
        <f t="shared" si="125"/>
        <v/>
      </c>
      <c r="Q265" s="66"/>
      <c r="R265" s="63" t="str">
        <f t="shared" si="126"/>
        <v/>
      </c>
      <c r="S265" s="64" t="str">
        <f t="shared" si="127"/>
        <v/>
      </c>
      <c r="T265" s="63" t="str">
        <f t="shared" si="128"/>
        <v/>
      </c>
      <c r="U265" s="64" t="str">
        <f t="shared" si="129"/>
        <v/>
      </c>
      <c r="V265" s="90" t="str">
        <f>IF($A266="","",IF(AND(MONTH(A265)&gt;3,MONTH(A265)&lt;11),(T265+R265+G265)*(((1/(1-Summary!$T$12))/(1-Summary!$W$12))-1),(T265+R265+G265)*((1/(1-Summary!$U$12))/(1-Summary!$X$12)-1)))</f>
        <v/>
      </c>
      <c r="W265" s="63" t="str">
        <f t="shared" si="130"/>
        <v/>
      </c>
      <c r="X265" s="63" t="str">
        <f t="shared" si="131"/>
        <v/>
      </c>
      <c r="Y265" s="43"/>
      <c r="Z265" s="38" t="str">
        <f t="shared" si="132"/>
        <v/>
      </c>
      <c r="AA265" s="38" t="str">
        <f t="shared" si="133"/>
        <v/>
      </c>
      <c r="AB265" s="38" t="e">
        <f t="shared" si="134"/>
        <v>#VALUE!</v>
      </c>
      <c r="AC265" s="38" t="str">
        <f t="shared" si="135"/>
        <v/>
      </c>
      <c r="AD265" s="38" t="str">
        <f t="shared" si="135"/>
        <v/>
      </c>
      <c r="AE265" s="38" t="e">
        <f t="shared" si="136"/>
        <v>#VALUE!</v>
      </c>
      <c r="AF265" s="238" t="e">
        <f>((Summary!$N$12*(AA265*AD265)*(A265-$D$3))+(Summary!$M$12*Z265*AC265*(AJ265-EOMONTH(EDATE(A265,-1),0))))/(AK265*AB265*AE265)</f>
        <v>#VALUE!</v>
      </c>
      <c r="AG265" s="88" t="str">
        <f>IF($A266="","",Summary!$Q$12)</f>
        <v/>
      </c>
      <c r="AH265" s="88" t="str">
        <f>IF($A266="","",IF(Summary!$R$12="Y",(VLOOKUP($A265,Summary!$AD$6:$AF$9,3)+'Escalating commodity'!H278),'Escalating commodity'!H278))</f>
        <v/>
      </c>
      <c r="AI265" s="88" t="str">
        <f t="shared" si="150"/>
        <v/>
      </c>
      <c r="AJ265" s="236" t="e">
        <f t="shared" si="137"/>
        <v>#VALUE!</v>
      </c>
      <c r="AK265" s="58" t="str">
        <f t="shared" si="138"/>
        <v/>
      </c>
      <c r="AL265" s="26" t="str">
        <f>IF($A266="","",_xll.SPRDOPT(P265,X265,AI265,0,AB265,AE265,AF265,AK265,$AJ$2,0))</f>
        <v/>
      </c>
      <c r="AM265" s="89" t="str">
        <f t="shared" si="139"/>
        <v/>
      </c>
      <c r="AN265" s="89" t="str">
        <f t="shared" si="140"/>
        <v/>
      </c>
      <c r="AO265" s="3" t="str">
        <f t="shared" si="141"/>
        <v/>
      </c>
      <c r="AP265" s="33" t="str">
        <f t="shared" si="142"/>
        <v/>
      </c>
      <c r="AQ265" s="58" t="str">
        <f t="shared" si="143"/>
        <v/>
      </c>
      <c r="AR265" s="38">
        <f>'ANR OK vs ML7'!AR265</f>
        <v>0.1</v>
      </c>
      <c r="AS265" s="35" t="str">
        <f t="shared" si="144"/>
        <v/>
      </c>
      <c r="AT265" s="3" t="str">
        <f t="shared" si="145"/>
        <v/>
      </c>
      <c r="AU265" s="3" t="str">
        <f t="shared" si="146"/>
        <v/>
      </c>
      <c r="AW265" s="32" t="str">
        <f t="shared" si="147"/>
        <v/>
      </c>
      <c r="AX265" s="32" t="str">
        <f t="shared" si="147"/>
        <v/>
      </c>
      <c r="AY265" s="32" t="str">
        <f t="shared" si="148"/>
        <v/>
      </c>
      <c r="BA265" s="32" t="str">
        <f>IF($A266="","",F265*Summary!$Q$12)</f>
        <v/>
      </c>
    </row>
    <row r="266" spans="1:53" ht="12" customHeight="1">
      <c r="A266" s="67" t="str">
        <f t="shared" si="149"/>
        <v/>
      </c>
      <c r="B266" s="69" t="str">
        <f t="shared" si="151"/>
        <v/>
      </c>
      <c r="C266" s="71"/>
      <c r="D266" s="69" t="str">
        <f t="shared" ref="D266:D329" si="152">IF(A267&lt;&gt;"",B266+C266,"")</f>
        <v/>
      </c>
      <c r="E266" s="70" t="str">
        <f t="shared" ref="E266:E329" si="153">IF(A267="","",IF(AND(AT266=1,$H$3=1),D266*AO266,IF($H$3=2,D266,"N/A")))</f>
        <v/>
      </c>
      <c r="F266" s="70" t="str">
        <f t="shared" ref="F266:F329" si="154">IF(A267="","",E266*AS266)</f>
        <v/>
      </c>
      <c r="G266" s="63" t="str">
        <f t="shared" ref="G266:G329" si="155">IF($A267="","",VLOOKUP($A266,Table,MATCH(G$4,Curves,0)))</f>
        <v/>
      </c>
      <c r="H266" s="64" t="str">
        <f t="shared" ref="H266:H329" si="156">IF(A267="","",G266)</f>
        <v/>
      </c>
      <c r="I266" s="43"/>
      <c r="J266" s="63" t="str">
        <f t="shared" ref="J266:J329" si="157">IF($A267="","",VLOOKUP($A266,Table,MATCH(J$4,Curves,0)))</f>
        <v/>
      </c>
      <c r="K266" s="64" t="str">
        <f t="shared" ref="K266:K329" si="158">IF(A267="","",J266)</f>
        <v/>
      </c>
      <c r="L266" s="63" t="str">
        <f t="shared" ref="L266:L329" si="159">IF($A267="","",VLOOKUP($A266,Table,MATCH(L$4,Curves,0)))</f>
        <v/>
      </c>
      <c r="M266" s="64" t="str">
        <f t="shared" ref="M266:M329" si="160">IF(A267="","",L266)</f>
        <v/>
      </c>
      <c r="N266" s="65"/>
      <c r="O266" s="63" t="str">
        <f t="shared" ref="O266:O329" si="161">IF(A267="","",L266+J266+G266)</f>
        <v/>
      </c>
      <c r="P266" s="63" t="str">
        <f t="shared" ref="P266:P329" si="162">IF(A267="","",M266+K266+H266)</f>
        <v/>
      </c>
      <c r="Q266" s="66"/>
      <c r="R266" s="63" t="str">
        <f t="shared" ref="R266:R329" si="163">IF($A267="","",VLOOKUP($A266,Table,MATCH(R$4,Curves,0)))</f>
        <v/>
      </c>
      <c r="S266" s="64" t="str">
        <f t="shared" ref="S266:S329" si="164">IF(A267="","",R266)</f>
        <v/>
      </c>
      <c r="T266" s="63" t="str">
        <f t="shared" ref="T266:T329" si="165">IF($A267="","",VLOOKUP($A266,Table,MATCH(T$4,Curves,0)))</f>
        <v/>
      </c>
      <c r="U266" s="64" t="str">
        <f t="shared" ref="U266:U329" si="166">IF(A267="","",T266)</f>
        <v/>
      </c>
      <c r="V266" s="90" t="str">
        <f>IF($A267="","",IF(AND(MONTH(A266)&gt;3,MONTH(A266)&lt;11),(T266+R266+G266)*(((1/(1-Summary!$T$12))/(1-Summary!$W$12))-1),(T266+R266+G266)*((1/(1-Summary!$U$12))/(1-Summary!$X$12)-1)))</f>
        <v/>
      </c>
      <c r="W266" s="63" t="str">
        <f t="shared" ref="W266:W329" si="167">IF($A267="","",(T266+R266+G266+V266))</f>
        <v/>
      </c>
      <c r="X266" s="63" t="str">
        <f t="shared" ref="X266:X329" si="168">IF($A267="","",(U266+S266+H266+V266))</f>
        <v/>
      </c>
      <c r="Y266" s="43"/>
      <c r="Z266" s="38" t="str">
        <f t="shared" ref="Z266:Z329" si="169">IF($A267="","",VLOOKUP($A266,Table,MATCH(Z$4,Curves,0)))</f>
        <v/>
      </c>
      <c r="AA266" s="38" t="str">
        <f t="shared" ref="AA266:AA329" si="170">IF($A267="","",VLOOKUP($A266,Table,MATCH(AA$4,Curves,0)))</f>
        <v/>
      </c>
      <c r="AB266" s="38" t="e">
        <f t="shared" ref="AB266:AB329" si="171">SQRT((AA266^2*(A266-$D$3)+Z266^2*(DAY(EOMONTH(A266,0))/2))/AK266)</f>
        <v>#VALUE!</v>
      </c>
      <c r="AC266" s="38" t="str">
        <f t="shared" ref="AC266:AD329" si="172">IF($A267="","",VLOOKUP($A266,Table,MATCH(AC$4,Curves,0)))</f>
        <v/>
      </c>
      <c r="AD266" s="38" t="str">
        <f t="shared" si="172"/>
        <v/>
      </c>
      <c r="AE266" s="38" t="e">
        <f t="shared" ref="AE266:AE329" si="173">SQRT((AD266^2*(A266-$D$3)+AC266^2*(DAY(EOMONTH(A266,0))/2))/AK266)</f>
        <v>#VALUE!</v>
      </c>
      <c r="AF266" s="238" t="e">
        <f>((Summary!$N$12*(AA266*AD266)*(A266-$D$3))+(Summary!$M$12*Z266*AC266*(AJ266-EOMONTH(EDATE(A266,-1),0))))/(AK266*AB266*AE266)</f>
        <v>#VALUE!</v>
      </c>
      <c r="AG266" s="88" t="str">
        <f>IF($A267="","",Summary!$Q$12)</f>
        <v/>
      </c>
      <c r="AH266" s="88" t="str">
        <f>IF($A267="","",IF(Summary!$R$12="Y",(VLOOKUP($A266,Summary!$AD$6:$AF$9,3)+'Escalating commodity'!H279),'Escalating commodity'!H279))</f>
        <v/>
      </c>
      <c r="AI266" s="88" t="str">
        <f t="shared" si="150"/>
        <v/>
      </c>
      <c r="AJ266" s="236" t="e">
        <f t="shared" ref="AJ266:AJ329" si="174">A266+DAY(EOMONTH(A266,0))/2-1</f>
        <v>#VALUE!</v>
      </c>
      <c r="AK266" s="58" t="str">
        <f t="shared" ref="AK266:AK329" si="175">IF($A267="","",$A266-$E$1)</f>
        <v/>
      </c>
      <c r="AL266" s="26" t="str">
        <f>IF($A267="","",_xll.SPRDOPT(P266,X266,AI266,0,AB266,AE266,AF266,AK266,$AJ$2,0))</f>
        <v/>
      </c>
      <c r="AM266" s="89" t="str">
        <f t="shared" ref="AM266:AM329" si="176">IF($A267="","",MAX(0,O266-W266-AI266))</f>
        <v/>
      </c>
      <c r="AN266" s="89" t="str">
        <f t="shared" ref="AN266:AN329" si="177">IF($A267="","",AL266-AM266)</f>
        <v/>
      </c>
      <c r="AO266" s="3" t="str">
        <f t="shared" ref="AO266:AO329" si="178">IF(A267="","",A267-A266)</f>
        <v/>
      </c>
      <c r="AP266" s="33" t="str">
        <f t="shared" ref="AP266:AP329" si="179">IF(A267="","",CHOOSE(F$3,A267+24,A266))</f>
        <v/>
      </c>
      <c r="AQ266" s="58" t="str">
        <f t="shared" ref="AQ266:AQ329" si="180">IF(A267="","",AP266-$E$1)</f>
        <v/>
      </c>
      <c r="AR266" s="38">
        <f>'ANR OK vs ML7'!AR266</f>
        <v>0.1</v>
      </c>
      <c r="AS266" s="35" t="str">
        <f t="shared" ref="AS266:AS329" si="181">IF(A267="","",1/(1+CHOOSE(F$3,(AR267+($I$3/10000))/2,(AR266+($I$3/10000))/2))^(2*AQ266/365.25))</f>
        <v/>
      </c>
      <c r="AT266" s="3" t="str">
        <f t="shared" ref="AT266:AT329" si="182">IF(A267="","",IF(AND(mthbeg&lt;=A266,mthend&gt;=A266),1,0))</f>
        <v/>
      </c>
      <c r="AU266" s="3" t="str">
        <f t="shared" ref="AU266:AU329" si="183">IF(A267="","",AO266*AT266)</f>
        <v/>
      </c>
      <c r="AW266" s="32" t="str">
        <f t="shared" ref="AW266:AX329" si="184">IF($A267="","",AL266*$E266)</f>
        <v/>
      </c>
      <c r="AX266" s="32" t="str">
        <f t="shared" si="184"/>
        <v/>
      </c>
      <c r="AY266" s="32" t="str">
        <f t="shared" ref="AY266:AY329" si="185">IF($A267="","",AN266*$E266)</f>
        <v/>
      </c>
      <c r="BA266" s="32" t="str">
        <f>IF($A267="","",F266*Summary!$Q$12)</f>
        <v/>
      </c>
    </row>
    <row r="267" spans="1:53" ht="12" customHeight="1">
      <c r="A267" s="67" t="str">
        <f t="shared" ref="A267:A330" si="186">IF(A266&lt;mthend,EDATE(A266,1),"")</f>
        <v/>
      </c>
      <c r="B267" s="69" t="str">
        <f t="shared" si="151"/>
        <v/>
      </c>
      <c r="C267" s="71"/>
      <c r="D267" s="69" t="str">
        <f t="shared" si="152"/>
        <v/>
      </c>
      <c r="E267" s="70" t="str">
        <f t="shared" si="153"/>
        <v/>
      </c>
      <c r="F267" s="70" t="str">
        <f t="shared" si="154"/>
        <v/>
      </c>
      <c r="G267" s="63" t="str">
        <f t="shared" si="155"/>
        <v/>
      </c>
      <c r="H267" s="64" t="str">
        <f t="shared" si="156"/>
        <v/>
      </c>
      <c r="I267" s="43"/>
      <c r="J267" s="63" t="str">
        <f t="shared" si="157"/>
        <v/>
      </c>
      <c r="K267" s="64" t="str">
        <f t="shared" si="158"/>
        <v/>
      </c>
      <c r="L267" s="63" t="str">
        <f t="shared" si="159"/>
        <v/>
      </c>
      <c r="M267" s="64" t="str">
        <f t="shared" si="160"/>
        <v/>
      </c>
      <c r="N267" s="65"/>
      <c r="O267" s="63" t="str">
        <f t="shared" si="161"/>
        <v/>
      </c>
      <c r="P267" s="63" t="str">
        <f t="shared" si="162"/>
        <v/>
      </c>
      <c r="Q267" s="66"/>
      <c r="R267" s="63" t="str">
        <f t="shared" si="163"/>
        <v/>
      </c>
      <c r="S267" s="64" t="str">
        <f t="shared" si="164"/>
        <v/>
      </c>
      <c r="T267" s="63" t="str">
        <f t="shared" si="165"/>
        <v/>
      </c>
      <c r="U267" s="64" t="str">
        <f t="shared" si="166"/>
        <v/>
      </c>
      <c r="V267" s="90" t="str">
        <f>IF($A268="","",IF(AND(MONTH(A267)&gt;3,MONTH(A267)&lt;11),(T267+R267+G267)*(((1/(1-Summary!$T$12))/(1-Summary!$W$12))-1),(T267+R267+G267)*((1/(1-Summary!$U$12))/(1-Summary!$X$12)-1)))</f>
        <v/>
      </c>
      <c r="W267" s="63" t="str">
        <f t="shared" si="167"/>
        <v/>
      </c>
      <c r="X267" s="63" t="str">
        <f t="shared" si="168"/>
        <v/>
      </c>
      <c r="Y267" s="43"/>
      <c r="Z267" s="38" t="str">
        <f t="shared" si="169"/>
        <v/>
      </c>
      <c r="AA267" s="38" t="str">
        <f t="shared" si="170"/>
        <v/>
      </c>
      <c r="AB267" s="38" t="e">
        <f t="shared" si="171"/>
        <v>#VALUE!</v>
      </c>
      <c r="AC267" s="38" t="str">
        <f t="shared" si="172"/>
        <v/>
      </c>
      <c r="AD267" s="38" t="str">
        <f t="shared" si="172"/>
        <v/>
      </c>
      <c r="AE267" s="38" t="e">
        <f t="shared" si="173"/>
        <v>#VALUE!</v>
      </c>
      <c r="AF267" s="238" t="e">
        <f>((Summary!$N$12*(AA267*AD267)*(A267-$D$3))+(Summary!$M$12*Z267*AC267*(AJ267-EOMONTH(EDATE(A267,-1),0))))/(AK267*AB267*AE267)</f>
        <v>#VALUE!</v>
      </c>
      <c r="AG267" s="88" t="str">
        <f>IF($A268="","",Summary!$Q$12)</f>
        <v/>
      </c>
      <c r="AH267" s="88" t="str">
        <f>IF($A268="","",IF(Summary!$R$12="Y",(VLOOKUP($A267,Summary!$AD$6:$AF$9,3)+'Escalating commodity'!H280),'Escalating commodity'!H280))</f>
        <v/>
      </c>
      <c r="AI267" s="88" t="str">
        <f t="shared" ref="AI267:AI330" si="187">IF($A268="","",AH267)</f>
        <v/>
      </c>
      <c r="AJ267" s="236" t="e">
        <f t="shared" si="174"/>
        <v>#VALUE!</v>
      </c>
      <c r="AK267" s="58" t="str">
        <f t="shared" si="175"/>
        <v/>
      </c>
      <c r="AL267" s="26" t="str">
        <f>IF($A268="","",_xll.SPRDOPT(P267,X267,AI267,0,AB267,AE267,AF267,AK267,$AJ$2,0))</f>
        <v/>
      </c>
      <c r="AM267" s="89" t="str">
        <f t="shared" si="176"/>
        <v/>
      </c>
      <c r="AN267" s="89" t="str">
        <f t="shared" si="177"/>
        <v/>
      </c>
      <c r="AO267" s="3" t="str">
        <f t="shared" si="178"/>
        <v/>
      </c>
      <c r="AP267" s="33" t="str">
        <f t="shared" si="179"/>
        <v/>
      </c>
      <c r="AQ267" s="58" t="str">
        <f t="shared" si="180"/>
        <v/>
      </c>
      <c r="AR267" s="38">
        <f>'ANR OK vs ML7'!AR267</f>
        <v>0.1</v>
      </c>
      <c r="AS267" s="35" t="str">
        <f t="shared" si="181"/>
        <v/>
      </c>
      <c r="AT267" s="3" t="str">
        <f t="shared" si="182"/>
        <v/>
      </c>
      <c r="AU267" s="3" t="str">
        <f t="shared" si="183"/>
        <v/>
      </c>
      <c r="AW267" s="32" t="str">
        <f t="shared" si="184"/>
        <v/>
      </c>
      <c r="AX267" s="32" t="str">
        <f t="shared" si="184"/>
        <v/>
      </c>
      <c r="AY267" s="32" t="str">
        <f t="shared" si="185"/>
        <v/>
      </c>
      <c r="BA267" s="32" t="str">
        <f>IF($A268="","",F267*Summary!$Q$12)</f>
        <v/>
      </c>
    </row>
    <row r="268" spans="1:53" ht="12" customHeight="1">
      <c r="A268" s="67" t="str">
        <f t="shared" si="186"/>
        <v/>
      </c>
      <c r="B268" s="69" t="str">
        <f t="shared" ref="B268:B331" si="188">IF(A268&lt;mthend,B267,"")</f>
        <v/>
      </c>
      <c r="C268" s="71"/>
      <c r="D268" s="69" t="str">
        <f t="shared" si="152"/>
        <v/>
      </c>
      <c r="E268" s="70" t="str">
        <f t="shared" si="153"/>
        <v/>
      </c>
      <c r="F268" s="70" t="str">
        <f t="shared" si="154"/>
        <v/>
      </c>
      <c r="G268" s="63" t="str">
        <f t="shared" si="155"/>
        <v/>
      </c>
      <c r="H268" s="64" t="str">
        <f t="shared" si="156"/>
        <v/>
      </c>
      <c r="I268" s="43"/>
      <c r="J268" s="63" t="str">
        <f t="shared" si="157"/>
        <v/>
      </c>
      <c r="K268" s="64" t="str">
        <f t="shared" si="158"/>
        <v/>
      </c>
      <c r="L268" s="63" t="str">
        <f t="shared" si="159"/>
        <v/>
      </c>
      <c r="M268" s="64" t="str">
        <f t="shared" si="160"/>
        <v/>
      </c>
      <c r="N268" s="65"/>
      <c r="O268" s="63" t="str">
        <f t="shared" si="161"/>
        <v/>
      </c>
      <c r="P268" s="63" t="str">
        <f t="shared" si="162"/>
        <v/>
      </c>
      <c r="Q268" s="66"/>
      <c r="R268" s="63" t="str">
        <f t="shared" si="163"/>
        <v/>
      </c>
      <c r="S268" s="64" t="str">
        <f t="shared" si="164"/>
        <v/>
      </c>
      <c r="T268" s="63" t="str">
        <f t="shared" si="165"/>
        <v/>
      </c>
      <c r="U268" s="64" t="str">
        <f t="shared" si="166"/>
        <v/>
      </c>
      <c r="V268" s="90" t="str">
        <f>IF($A269="","",IF(AND(MONTH(A268)&gt;3,MONTH(A268)&lt;11),(T268+R268+G268)*(((1/(1-Summary!$T$12))/(1-Summary!$W$12))-1),(T268+R268+G268)*((1/(1-Summary!$U$12))/(1-Summary!$X$12)-1)))</f>
        <v/>
      </c>
      <c r="W268" s="63" t="str">
        <f t="shared" si="167"/>
        <v/>
      </c>
      <c r="X268" s="63" t="str">
        <f t="shared" si="168"/>
        <v/>
      </c>
      <c r="Y268" s="43"/>
      <c r="Z268" s="38" t="str">
        <f t="shared" si="169"/>
        <v/>
      </c>
      <c r="AA268" s="38" t="str">
        <f t="shared" si="170"/>
        <v/>
      </c>
      <c r="AB268" s="38" t="e">
        <f t="shared" si="171"/>
        <v>#VALUE!</v>
      </c>
      <c r="AC268" s="38" t="str">
        <f t="shared" si="172"/>
        <v/>
      </c>
      <c r="AD268" s="38" t="str">
        <f t="shared" si="172"/>
        <v/>
      </c>
      <c r="AE268" s="38" t="e">
        <f t="shared" si="173"/>
        <v>#VALUE!</v>
      </c>
      <c r="AF268" s="238" t="e">
        <f>((Summary!$N$12*(AA268*AD268)*(A268-$D$3))+(Summary!$M$12*Z268*AC268*(AJ268-EOMONTH(EDATE(A268,-1),0))))/(AK268*AB268*AE268)</f>
        <v>#VALUE!</v>
      </c>
      <c r="AG268" s="88" t="str">
        <f>IF($A269="","",Summary!$Q$12)</f>
        <v/>
      </c>
      <c r="AH268" s="88" t="str">
        <f>IF($A269="","",IF(Summary!$R$12="Y",(VLOOKUP($A268,Summary!$AD$6:$AF$9,3)+'Escalating commodity'!H281),'Escalating commodity'!H281))</f>
        <v/>
      </c>
      <c r="AI268" s="88" t="str">
        <f t="shared" si="187"/>
        <v/>
      </c>
      <c r="AJ268" s="236" t="e">
        <f t="shared" si="174"/>
        <v>#VALUE!</v>
      </c>
      <c r="AK268" s="58" t="str">
        <f t="shared" si="175"/>
        <v/>
      </c>
      <c r="AL268" s="26" t="str">
        <f>IF($A269="","",_xll.SPRDOPT(P268,X268,AI268,0,AB268,AE268,AF268,AK268,$AJ$2,0))</f>
        <v/>
      </c>
      <c r="AM268" s="89" t="str">
        <f t="shared" si="176"/>
        <v/>
      </c>
      <c r="AN268" s="89" t="str">
        <f t="shared" si="177"/>
        <v/>
      </c>
      <c r="AO268" s="3" t="str">
        <f t="shared" si="178"/>
        <v/>
      </c>
      <c r="AP268" s="33" t="str">
        <f t="shared" si="179"/>
        <v/>
      </c>
      <c r="AQ268" s="58" t="str">
        <f t="shared" si="180"/>
        <v/>
      </c>
      <c r="AR268" s="38">
        <f>'ANR OK vs ML7'!AR268</f>
        <v>0.1</v>
      </c>
      <c r="AS268" s="35" t="str">
        <f t="shared" si="181"/>
        <v/>
      </c>
      <c r="AT268" s="3" t="str">
        <f t="shared" si="182"/>
        <v/>
      </c>
      <c r="AU268" s="3" t="str">
        <f t="shared" si="183"/>
        <v/>
      </c>
      <c r="AW268" s="32" t="str">
        <f t="shared" si="184"/>
        <v/>
      </c>
      <c r="AX268" s="32" t="str">
        <f t="shared" si="184"/>
        <v/>
      </c>
      <c r="AY268" s="32" t="str">
        <f t="shared" si="185"/>
        <v/>
      </c>
      <c r="BA268" s="32" t="str">
        <f>IF($A269="","",F268*Summary!$Q$12)</f>
        <v/>
      </c>
    </row>
    <row r="269" spans="1:53" ht="12" customHeight="1">
      <c r="A269" s="67" t="str">
        <f t="shared" si="186"/>
        <v/>
      </c>
      <c r="B269" s="69" t="str">
        <f t="shared" si="188"/>
        <v/>
      </c>
      <c r="C269" s="71"/>
      <c r="D269" s="69" t="str">
        <f t="shared" si="152"/>
        <v/>
      </c>
      <c r="E269" s="70" t="str">
        <f t="shared" si="153"/>
        <v/>
      </c>
      <c r="F269" s="70" t="str">
        <f t="shared" si="154"/>
        <v/>
      </c>
      <c r="G269" s="63" t="str">
        <f t="shared" si="155"/>
        <v/>
      </c>
      <c r="H269" s="64" t="str">
        <f t="shared" si="156"/>
        <v/>
      </c>
      <c r="I269" s="43"/>
      <c r="J269" s="63" t="str">
        <f t="shared" si="157"/>
        <v/>
      </c>
      <c r="K269" s="64" t="str">
        <f t="shared" si="158"/>
        <v/>
      </c>
      <c r="L269" s="63" t="str">
        <f t="shared" si="159"/>
        <v/>
      </c>
      <c r="M269" s="64" t="str">
        <f t="shared" si="160"/>
        <v/>
      </c>
      <c r="N269" s="65"/>
      <c r="O269" s="63" t="str">
        <f t="shared" si="161"/>
        <v/>
      </c>
      <c r="P269" s="63" t="str">
        <f t="shared" si="162"/>
        <v/>
      </c>
      <c r="Q269" s="66"/>
      <c r="R269" s="63" t="str">
        <f t="shared" si="163"/>
        <v/>
      </c>
      <c r="S269" s="64" t="str">
        <f t="shared" si="164"/>
        <v/>
      </c>
      <c r="T269" s="63" t="str">
        <f t="shared" si="165"/>
        <v/>
      </c>
      <c r="U269" s="64" t="str">
        <f t="shared" si="166"/>
        <v/>
      </c>
      <c r="V269" s="90" t="str">
        <f>IF($A270="","",IF(AND(MONTH(A269)&gt;3,MONTH(A269)&lt;11),(T269+R269+G269)*(((1/(1-Summary!$T$12))/(1-Summary!$W$12))-1),(T269+R269+G269)*((1/(1-Summary!$U$12))/(1-Summary!$X$12)-1)))</f>
        <v/>
      </c>
      <c r="W269" s="63" t="str">
        <f t="shared" si="167"/>
        <v/>
      </c>
      <c r="X269" s="63" t="str">
        <f t="shared" si="168"/>
        <v/>
      </c>
      <c r="Y269" s="43"/>
      <c r="Z269" s="38" t="str">
        <f t="shared" si="169"/>
        <v/>
      </c>
      <c r="AA269" s="38" t="str">
        <f t="shared" si="170"/>
        <v/>
      </c>
      <c r="AB269" s="38" t="e">
        <f t="shared" si="171"/>
        <v>#VALUE!</v>
      </c>
      <c r="AC269" s="38" t="str">
        <f t="shared" si="172"/>
        <v/>
      </c>
      <c r="AD269" s="38" t="str">
        <f t="shared" si="172"/>
        <v/>
      </c>
      <c r="AE269" s="38" t="e">
        <f t="shared" si="173"/>
        <v>#VALUE!</v>
      </c>
      <c r="AF269" s="238" t="e">
        <f>((Summary!$N$12*(AA269*AD269)*(A269-$D$3))+(Summary!$M$12*Z269*AC269*(AJ269-EOMONTH(EDATE(A269,-1),0))))/(AK269*AB269*AE269)</f>
        <v>#VALUE!</v>
      </c>
      <c r="AG269" s="88" t="str">
        <f>IF($A270="","",Summary!$Q$12)</f>
        <v/>
      </c>
      <c r="AH269" s="88" t="str">
        <f>IF($A270="","",IF(Summary!$R$12="Y",(VLOOKUP($A269,Summary!$AD$6:$AF$9,3)+'Escalating commodity'!H282),'Escalating commodity'!H282))</f>
        <v/>
      </c>
      <c r="AI269" s="88" t="str">
        <f t="shared" si="187"/>
        <v/>
      </c>
      <c r="AJ269" s="236" t="e">
        <f t="shared" si="174"/>
        <v>#VALUE!</v>
      </c>
      <c r="AK269" s="58" t="str">
        <f t="shared" si="175"/>
        <v/>
      </c>
      <c r="AL269" s="26" t="str">
        <f>IF($A270="","",_xll.SPRDOPT(P269,X269,AI269,0,AB269,AE269,AF269,AK269,$AJ$2,0))</f>
        <v/>
      </c>
      <c r="AM269" s="89" t="str">
        <f t="shared" si="176"/>
        <v/>
      </c>
      <c r="AN269" s="89" t="str">
        <f t="shared" si="177"/>
        <v/>
      </c>
      <c r="AO269" s="3" t="str">
        <f t="shared" si="178"/>
        <v/>
      </c>
      <c r="AP269" s="33" t="str">
        <f t="shared" si="179"/>
        <v/>
      </c>
      <c r="AQ269" s="58" t="str">
        <f t="shared" si="180"/>
        <v/>
      </c>
      <c r="AR269" s="38">
        <f>'ANR OK vs ML7'!AR269</f>
        <v>0.1</v>
      </c>
      <c r="AS269" s="35" t="str">
        <f t="shared" si="181"/>
        <v/>
      </c>
      <c r="AT269" s="3" t="str">
        <f t="shared" si="182"/>
        <v/>
      </c>
      <c r="AU269" s="3" t="str">
        <f t="shared" si="183"/>
        <v/>
      </c>
      <c r="AW269" s="32" t="str">
        <f t="shared" si="184"/>
        <v/>
      </c>
      <c r="AX269" s="32" t="str">
        <f t="shared" si="184"/>
        <v/>
      </c>
      <c r="AY269" s="32" t="str">
        <f t="shared" si="185"/>
        <v/>
      </c>
      <c r="BA269" s="32" t="str">
        <f>IF($A270="","",F269*Summary!$Q$12)</f>
        <v/>
      </c>
    </row>
    <row r="270" spans="1:53" ht="12" customHeight="1">
      <c r="A270" s="67" t="str">
        <f t="shared" si="186"/>
        <v/>
      </c>
      <c r="B270" s="69" t="str">
        <f t="shared" si="188"/>
        <v/>
      </c>
      <c r="C270" s="71"/>
      <c r="D270" s="69" t="str">
        <f t="shared" si="152"/>
        <v/>
      </c>
      <c r="E270" s="70" t="str">
        <f t="shared" si="153"/>
        <v/>
      </c>
      <c r="F270" s="70" t="str">
        <f t="shared" si="154"/>
        <v/>
      </c>
      <c r="G270" s="63" t="str">
        <f t="shared" si="155"/>
        <v/>
      </c>
      <c r="H270" s="64" t="str">
        <f t="shared" si="156"/>
        <v/>
      </c>
      <c r="I270" s="43"/>
      <c r="J270" s="63" t="str">
        <f t="shared" si="157"/>
        <v/>
      </c>
      <c r="K270" s="64" t="str">
        <f t="shared" si="158"/>
        <v/>
      </c>
      <c r="L270" s="63" t="str">
        <f t="shared" si="159"/>
        <v/>
      </c>
      <c r="M270" s="64" t="str">
        <f t="shared" si="160"/>
        <v/>
      </c>
      <c r="N270" s="65"/>
      <c r="O270" s="63" t="str">
        <f t="shared" si="161"/>
        <v/>
      </c>
      <c r="P270" s="63" t="str">
        <f t="shared" si="162"/>
        <v/>
      </c>
      <c r="Q270" s="66"/>
      <c r="R270" s="63" t="str">
        <f t="shared" si="163"/>
        <v/>
      </c>
      <c r="S270" s="64" t="str">
        <f t="shared" si="164"/>
        <v/>
      </c>
      <c r="T270" s="63" t="str">
        <f t="shared" si="165"/>
        <v/>
      </c>
      <c r="U270" s="64" t="str">
        <f t="shared" si="166"/>
        <v/>
      </c>
      <c r="V270" s="90" t="str">
        <f>IF($A271="","",IF(AND(MONTH(A270)&gt;3,MONTH(A270)&lt;11),(T270+R270+G270)*(((1/(1-Summary!$T$12))/(1-Summary!$W$12))-1),(T270+R270+G270)*((1/(1-Summary!$U$12))/(1-Summary!$X$12)-1)))</f>
        <v/>
      </c>
      <c r="W270" s="63" t="str">
        <f t="shared" si="167"/>
        <v/>
      </c>
      <c r="X270" s="63" t="str">
        <f t="shared" si="168"/>
        <v/>
      </c>
      <c r="Y270" s="43"/>
      <c r="Z270" s="38" t="str">
        <f t="shared" si="169"/>
        <v/>
      </c>
      <c r="AA270" s="38" t="str">
        <f t="shared" si="170"/>
        <v/>
      </c>
      <c r="AB270" s="38" t="e">
        <f t="shared" si="171"/>
        <v>#VALUE!</v>
      </c>
      <c r="AC270" s="38" t="str">
        <f t="shared" si="172"/>
        <v/>
      </c>
      <c r="AD270" s="38" t="str">
        <f t="shared" si="172"/>
        <v/>
      </c>
      <c r="AE270" s="38" t="e">
        <f t="shared" si="173"/>
        <v>#VALUE!</v>
      </c>
      <c r="AF270" s="238" t="e">
        <f>((Summary!$N$12*(AA270*AD270)*(A270-$D$3))+(Summary!$M$12*Z270*AC270*(AJ270-EOMONTH(EDATE(A270,-1),0))))/(AK270*AB270*AE270)</f>
        <v>#VALUE!</v>
      </c>
      <c r="AG270" s="88" t="str">
        <f>IF($A271="","",Summary!$Q$12)</f>
        <v/>
      </c>
      <c r="AH270" s="88" t="str">
        <f>IF($A271="","",IF(Summary!$R$12="Y",(VLOOKUP($A270,Summary!$AD$6:$AF$9,3)+'Escalating commodity'!H283),'Escalating commodity'!H283))</f>
        <v/>
      </c>
      <c r="AI270" s="88" t="str">
        <f t="shared" si="187"/>
        <v/>
      </c>
      <c r="AJ270" s="236" t="e">
        <f t="shared" si="174"/>
        <v>#VALUE!</v>
      </c>
      <c r="AK270" s="58" t="str">
        <f t="shared" si="175"/>
        <v/>
      </c>
      <c r="AL270" s="26" t="str">
        <f>IF($A271="","",_xll.SPRDOPT(P270,X270,AI270,0,AB270,AE270,AF270,AK270,$AJ$2,0))</f>
        <v/>
      </c>
      <c r="AM270" s="89" t="str">
        <f t="shared" si="176"/>
        <v/>
      </c>
      <c r="AN270" s="89" t="str">
        <f t="shared" si="177"/>
        <v/>
      </c>
      <c r="AO270" s="3" t="str">
        <f t="shared" si="178"/>
        <v/>
      </c>
      <c r="AP270" s="33" t="str">
        <f t="shared" si="179"/>
        <v/>
      </c>
      <c r="AQ270" s="58" t="str">
        <f t="shared" si="180"/>
        <v/>
      </c>
      <c r="AR270" s="38">
        <f>'ANR OK vs ML7'!AR270</f>
        <v>0.1</v>
      </c>
      <c r="AS270" s="35" t="str">
        <f t="shared" si="181"/>
        <v/>
      </c>
      <c r="AT270" s="3" t="str">
        <f t="shared" si="182"/>
        <v/>
      </c>
      <c r="AU270" s="3" t="str">
        <f t="shared" si="183"/>
        <v/>
      </c>
      <c r="AW270" s="32" t="str">
        <f t="shared" si="184"/>
        <v/>
      </c>
      <c r="AX270" s="32" t="str">
        <f t="shared" si="184"/>
        <v/>
      </c>
      <c r="AY270" s="32" t="str">
        <f t="shared" si="185"/>
        <v/>
      </c>
      <c r="BA270" s="32" t="str">
        <f>IF($A271="","",F270*Summary!$Q$12)</f>
        <v/>
      </c>
    </row>
    <row r="271" spans="1:53" ht="12" customHeight="1">
      <c r="A271" s="67" t="str">
        <f t="shared" si="186"/>
        <v/>
      </c>
      <c r="B271" s="69" t="str">
        <f t="shared" si="188"/>
        <v/>
      </c>
      <c r="C271" s="71"/>
      <c r="D271" s="69" t="str">
        <f t="shared" si="152"/>
        <v/>
      </c>
      <c r="E271" s="70" t="str">
        <f t="shared" si="153"/>
        <v/>
      </c>
      <c r="F271" s="70" t="str">
        <f t="shared" si="154"/>
        <v/>
      </c>
      <c r="G271" s="63" t="str">
        <f t="shared" si="155"/>
        <v/>
      </c>
      <c r="H271" s="64" t="str">
        <f t="shared" si="156"/>
        <v/>
      </c>
      <c r="I271" s="43"/>
      <c r="J271" s="63" t="str">
        <f t="shared" si="157"/>
        <v/>
      </c>
      <c r="K271" s="64" t="str">
        <f t="shared" si="158"/>
        <v/>
      </c>
      <c r="L271" s="63" t="str">
        <f t="shared" si="159"/>
        <v/>
      </c>
      <c r="M271" s="64" t="str">
        <f t="shared" si="160"/>
        <v/>
      </c>
      <c r="N271" s="65"/>
      <c r="O271" s="63" t="str">
        <f t="shared" si="161"/>
        <v/>
      </c>
      <c r="P271" s="63" t="str">
        <f t="shared" si="162"/>
        <v/>
      </c>
      <c r="Q271" s="66"/>
      <c r="R271" s="63" t="str">
        <f t="shared" si="163"/>
        <v/>
      </c>
      <c r="S271" s="64" t="str">
        <f t="shared" si="164"/>
        <v/>
      </c>
      <c r="T271" s="63" t="str">
        <f t="shared" si="165"/>
        <v/>
      </c>
      <c r="U271" s="64" t="str">
        <f t="shared" si="166"/>
        <v/>
      </c>
      <c r="V271" s="90" t="str">
        <f>IF($A272="","",IF(AND(MONTH(A271)&gt;3,MONTH(A271)&lt;11),(T271+R271+G271)*(((1/(1-Summary!$T$12))/(1-Summary!$W$12))-1),(T271+R271+G271)*((1/(1-Summary!$U$12))/(1-Summary!$X$12)-1)))</f>
        <v/>
      </c>
      <c r="W271" s="63" t="str">
        <f t="shared" si="167"/>
        <v/>
      </c>
      <c r="X271" s="63" t="str">
        <f t="shared" si="168"/>
        <v/>
      </c>
      <c r="Y271" s="43"/>
      <c r="Z271" s="38" t="str">
        <f t="shared" si="169"/>
        <v/>
      </c>
      <c r="AA271" s="38" t="str">
        <f t="shared" si="170"/>
        <v/>
      </c>
      <c r="AB271" s="38" t="e">
        <f t="shared" si="171"/>
        <v>#VALUE!</v>
      </c>
      <c r="AC271" s="38" t="str">
        <f t="shared" si="172"/>
        <v/>
      </c>
      <c r="AD271" s="38" t="str">
        <f t="shared" si="172"/>
        <v/>
      </c>
      <c r="AE271" s="38" t="e">
        <f t="shared" si="173"/>
        <v>#VALUE!</v>
      </c>
      <c r="AF271" s="238" t="e">
        <f>((Summary!$N$12*(AA271*AD271)*(A271-$D$3))+(Summary!$M$12*Z271*AC271*(AJ271-EOMONTH(EDATE(A271,-1),0))))/(AK271*AB271*AE271)</f>
        <v>#VALUE!</v>
      </c>
      <c r="AG271" s="88" t="str">
        <f>IF($A272="","",Summary!$Q$12)</f>
        <v/>
      </c>
      <c r="AH271" s="88" t="str">
        <f>IF($A272="","",IF(Summary!$R$12="Y",(VLOOKUP($A271,Summary!$AD$6:$AF$9,3)+'Escalating commodity'!H284),'Escalating commodity'!H284))</f>
        <v/>
      </c>
      <c r="AI271" s="88" t="str">
        <f t="shared" si="187"/>
        <v/>
      </c>
      <c r="AJ271" s="236" t="e">
        <f t="shared" si="174"/>
        <v>#VALUE!</v>
      </c>
      <c r="AK271" s="58" t="str">
        <f t="shared" si="175"/>
        <v/>
      </c>
      <c r="AL271" s="26" t="str">
        <f>IF($A272="","",_xll.SPRDOPT(P271,X271,AI271,0,AB271,AE271,AF271,AK271,$AJ$2,0))</f>
        <v/>
      </c>
      <c r="AM271" s="89" t="str">
        <f t="shared" si="176"/>
        <v/>
      </c>
      <c r="AN271" s="89" t="str">
        <f t="shared" si="177"/>
        <v/>
      </c>
      <c r="AO271" s="3" t="str">
        <f t="shared" si="178"/>
        <v/>
      </c>
      <c r="AP271" s="33" t="str">
        <f t="shared" si="179"/>
        <v/>
      </c>
      <c r="AQ271" s="58" t="str">
        <f t="shared" si="180"/>
        <v/>
      </c>
      <c r="AR271" s="38">
        <f>'ANR OK vs ML7'!AR271</f>
        <v>0.1</v>
      </c>
      <c r="AS271" s="35" t="str">
        <f t="shared" si="181"/>
        <v/>
      </c>
      <c r="AT271" s="3" t="str">
        <f t="shared" si="182"/>
        <v/>
      </c>
      <c r="AU271" s="3" t="str">
        <f t="shared" si="183"/>
        <v/>
      </c>
      <c r="AW271" s="32" t="str">
        <f t="shared" si="184"/>
        <v/>
      </c>
      <c r="AX271" s="32" t="str">
        <f t="shared" si="184"/>
        <v/>
      </c>
      <c r="AY271" s="32" t="str">
        <f t="shared" si="185"/>
        <v/>
      </c>
      <c r="BA271" s="32" t="str">
        <f>IF($A272="","",F271*Summary!$Q$12)</f>
        <v/>
      </c>
    </row>
    <row r="272" spans="1:53" ht="12" customHeight="1">
      <c r="A272" s="67" t="str">
        <f t="shared" si="186"/>
        <v/>
      </c>
      <c r="B272" s="69" t="str">
        <f t="shared" si="188"/>
        <v/>
      </c>
      <c r="C272" s="71"/>
      <c r="D272" s="69" t="str">
        <f t="shared" si="152"/>
        <v/>
      </c>
      <c r="E272" s="70" t="str">
        <f t="shared" si="153"/>
        <v/>
      </c>
      <c r="F272" s="70" t="str">
        <f t="shared" si="154"/>
        <v/>
      </c>
      <c r="G272" s="63" t="str">
        <f t="shared" si="155"/>
        <v/>
      </c>
      <c r="H272" s="64" t="str">
        <f t="shared" si="156"/>
        <v/>
      </c>
      <c r="I272" s="43"/>
      <c r="J272" s="63" t="str">
        <f t="shared" si="157"/>
        <v/>
      </c>
      <c r="K272" s="64" t="str">
        <f t="shared" si="158"/>
        <v/>
      </c>
      <c r="L272" s="63" t="str">
        <f t="shared" si="159"/>
        <v/>
      </c>
      <c r="M272" s="64" t="str">
        <f t="shared" si="160"/>
        <v/>
      </c>
      <c r="N272" s="65"/>
      <c r="O272" s="63" t="str">
        <f t="shared" si="161"/>
        <v/>
      </c>
      <c r="P272" s="63" t="str">
        <f t="shared" si="162"/>
        <v/>
      </c>
      <c r="Q272" s="66"/>
      <c r="R272" s="63" t="str">
        <f t="shared" si="163"/>
        <v/>
      </c>
      <c r="S272" s="64" t="str">
        <f t="shared" si="164"/>
        <v/>
      </c>
      <c r="T272" s="63" t="str">
        <f t="shared" si="165"/>
        <v/>
      </c>
      <c r="U272" s="64" t="str">
        <f t="shared" si="166"/>
        <v/>
      </c>
      <c r="V272" s="90" t="str">
        <f>IF($A273="","",IF(AND(MONTH(A272)&gt;3,MONTH(A272)&lt;11),(T272+R272+G272)*(((1/(1-Summary!$T$12))/(1-Summary!$W$12))-1),(T272+R272+G272)*((1/(1-Summary!$U$12))/(1-Summary!$X$12)-1)))</f>
        <v/>
      </c>
      <c r="W272" s="63" t="str">
        <f t="shared" si="167"/>
        <v/>
      </c>
      <c r="X272" s="63" t="str">
        <f t="shared" si="168"/>
        <v/>
      </c>
      <c r="Y272" s="43"/>
      <c r="Z272" s="38" t="str">
        <f t="shared" si="169"/>
        <v/>
      </c>
      <c r="AA272" s="38" t="str">
        <f t="shared" si="170"/>
        <v/>
      </c>
      <c r="AB272" s="38" t="e">
        <f t="shared" si="171"/>
        <v>#VALUE!</v>
      </c>
      <c r="AC272" s="38" t="str">
        <f t="shared" si="172"/>
        <v/>
      </c>
      <c r="AD272" s="38" t="str">
        <f t="shared" si="172"/>
        <v/>
      </c>
      <c r="AE272" s="38" t="e">
        <f t="shared" si="173"/>
        <v>#VALUE!</v>
      </c>
      <c r="AF272" s="238" t="e">
        <f>((Summary!$N$12*(AA272*AD272)*(A272-$D$3))+(Summary!$M$12*Z272*AC272*(AJ272-EOMONTH(EDATE(A272,-1),0))))/(AK272*AB272*AE272)</f>
        <v>#VALUE!</v>
      </c>
      <c r="AG272" s="88" t="str">
        <f>IF($A273="","",Summary!$Q$12)</f>
        <v/>
      </c>
      <c r="AH272" s="88" t="str">
        <f>IF($A273="","",IF(Summary!$R$12="Y",(VLOOKUP($A272,Summary!$AD$6:$AF$9,3)+'Escalating commodity'!H285),'Escalating commodity'!H285))</f>
        <v/>
      </c>
      <c r="AI272" s="88" t="str">
        <f t="shared" si="187"/>
        <v/>
      </c>
      <c r="AJ272" s="236" t="e">
        <f t="shared" si="174"/>
        <v>#VALUE!</v>
      </c>
      <c r="AK272" s="58" t="str">
        <f t="shared" si="175"/>
        <v/>
      </c>
      <c r="AL272" s="26" t="str">
        <f>IF($A273="","",_xll.SPRDOPT(P272,X272,AI272,0,AB272,AE272,AF272,AK272,$AJ$2,0))</f>
        <v/>
      </c>
      <c r="AM272" s="89" t="str">
        <f t="shared" si="176"/>
        <v/>
      </c>
      <c r="AN272" s="89" t="str">
        <f t="shared" si="177"/>
        <v/>
      </c>
      <c r="AO272" s="3" t="str">
        <f t="shared" si="178"/>
        <v/>
      </c>
      <c r="AP272" s="33" t="str">
        <f t="shared" si="179"/>
        <v/>
      </c>
      <c r="AQ272" s="58" t="str">
        <f t="shared" si="180"/>
        <v/>
      </c>
      <c r="AR272" s="38">
        <f>'ANR OK vs ML7'!AR272</f>
        <v>0.1</v>
      </c>
      <c r="AS272" s="35" t="str">
        <f t="shared" si="181"/>
        <v/>
      </c>
      <c r="AT272" s="3" t="str">
        <f t="shared" si="182"/>
        <v/>
      </c>
      <c r="AU272" s="3" t="str">
        <f t="shared" si="183"/>
        <v/>
      </c>
      <c r="AW272" s="32" t="str">
        <f t="shared" si="184"/>
        <v/>
      </c>
      <c r="AX272" s="32" t="str">
        <f t="shared" si="184"/>
        <v/>
      </c>
      <c r="AY272" s="32" t="str">
        <f t="shared" si="185"/>
        <v/>
      </c>
      <c r="BA272" s="32" t="str">
        <f>IF($A273="","",F272*Summary!$Q$12)</f>
        <v/>
      </c>
    </row>
    <row r="273" spans="1:53" ht="12" customHeight="1">
      <c r="A273" s="67" t="str">
        <f t="shared" si="186"/>
        <v/>
      </c>
      <c r="B273" s="69" t="str">
        <f t="shared" si="188"/>
        <v/>
      </c>
      <c r="C273" s="71"/>
      <c r="D273" s="69" t="str">
        <f t="shared" si="152"/>
        <v/>
      </c>
      <c r="E273" s="70" t="str">
        <f t="shared" si="153"/>
        <v/>
      </c>
      <c r="F273" s="70" t="str">
        <f t="shared" si="154"/>
        <v/>
      </c>
      <c r="G273" s="63" t="str">
        <f t="shared" si="155"/>
        <v/>
      </c>
      <c r="H273" s="64" t="str">
        <f t="shared" si="156"/>
        <v/>
      </c>
      <c r="I273" s="43"/>
      <c r="J273" s="63" t="str">
        <f t="shared" si="157"/>
        <v/>
      </c>
      <c r="K273" s="64" t="str">
        <f t="shared" si="158"/>
        <v/>
      </c>
      <c r="L273" s="63" t="str">
        <f t="shared" si="159"/>
        <v/>
      </c>
      <c r="M273" s="64" t="str">
        <f t="shared" si="160"/>
        <v/>
      </c>
      <c r="N273" s="65"/>
      <c r="O273" s="63" t="str">
        <f t="shared" si="161"/>
        <v/>
      </c>
      <c r="P273" s="63" t="str">
        <f t="shared" si="162"/>
        <v/>
      </c>
      <c r="Q273" s="66"/>
      <c r="R273" s="63" t="str">
        <f t="shared" si="163"/>
        <v/>
      </c>
      <c r="S273" s="64" t="str">
        <f t="shared" si="164"/>
        <v/>
      </c>
      <c r="T273" s="63" t="str">
        <f t="shared" si="165"/>
        <v/>
      </c>
      <c r="U273" s="64" t="str">
        <f t="shared" si="166"/>
        <v/>
      </c>
      <c r="V273" s="90" t="str">
        <f>IF($A274="","",IF(AND(MONTH(A273)&gt;3,MONTH(A273)&lt;11),(T273+R273+G273)*(((1/(1-Summary!$T$12))/(1-Summary!$W$12))-1),(T273+R273+G273)*((1/(1-Summary!$U$12))/(1-Summary!$X$12)-1)))</f>
        <v/>
      </c>
      <c r="W273" s="63" t="str">
        <f t="shared" si="167"/>
        <v/>
      </c>
      <c r="X273" s="63" t="str">
        <f t="shared" si="168"/>
        <v/>
      </c>
      <c r="Y273" s="43"/>
      <c r="Z273" s="38" t="str">
        <f t="shared" si="169"/>
        <v/>
      </c>
      <c r="AA273" s="38" t="str">
        <f t="shared" si="170"/>
        <v/>
      </c>
      <c r="AB273" s="38" t="e">
        <f t="shared" si="171"/>
        <v>#VALUE!</v>
      </c>
      <c r="AC273" s="38" t="str">
        <f t="shared" si="172"/>
        <v/>
      </c>
      <c r="AD273" s="38" t="str">
        <f t="shared" si="172"/>
        <v/>
      </c>
      <c r="AE273" s="38" t="e">
        <f t="shared" si="173"/>
        <v>#VALUE!</v>
      </c>
      <c r="AF273" s="238" t="e">
        <f>((Summary!$N$12*(AA273*AD273)*(A273-$D$3))+(Summary!$M$12*Z273*AC273*(AJ273-EOMONTH(EDATE(A273,-1),0))))/(AK273*AB273*AE273)</f>
        <v>#VALUE!</v>
      </c>
      <c r="AG273" s="88" t="str">
        <f>IF($A274="","",Summary!$Q$12)</f>
        <v/>
      </c>
      <c r="AH273" s="88" t="str">
        <f>IF($A274="","",IF(Summary!$R$12="Y",(VLOOKUP($A273,Summary!$AD$6:$AF$9,3)+'Escalating commodity'!H286),'Escalating commodity'!H286))</f>
        <v/>
      </c>
      <c r="AI273" s="88" t="str">
        <f t="shared" si="187"/>
        <v/>
      </c>
      <c r="AJ273" s="236" t="e">
        <f t="shared" si="174"/>
        <v>#VALUE!</v>
      </c>
      <c r="AK273" s="58" t="str">
        <f t="shared" si="175"/>
        <v/>
      </c>
      <c r="AL273" s="26" t="str">
        <f>IF($A274="","",_xll.SPRDOPT(P273,X273,AI273,0,AB273,AE273,AF273,AK273,$AJ$2,0))</f>
        <v/>
      </c>
      <c r="AM273" s="89" t="str">
        <f t="shared" si="176"/>
        <v/>
      </c>
      <c r="AN273" s="89" t="str">
        <f t="shared" si="177"/>
        <v/>
      </c>
      <c r="AO273" s="3" t="str">
        <f t="shared" si="178"/>
        <v/>
      </c>
      <c r="AP273" s="33" t="str">
        <f t="shared" si="179"/>
        <v/>
      </c>
      <c r="AQ273" s="58" t="str">
        <f t="shared" si="180"/>
        <v/>
      </c>
      <c r="AR273" s="38">
        <f>'ANR OK vs ML7'!AR273</f>
        <v>0.1</v>
      </c>
      <c r="AS273" s="35" t="str">
        <f t="shared" si="181"/>
        <v/>
      </c>
      <c r="AT273" s="3" t="str">
        <f t="shared" si="182"/>
        <v/>
      </c>
      <c r="AU273" s="3" t="str">
        <f t="shared" si="183"/>
        <v/>
      </c>
      <c r="AW273" s="32" t="str">
        <f t="shared" si="184"/>
        <v/>
      </c>
      <c r="AX273" s="32" t="str">
        <f t="shared" si="184"/>
        <v/>
      </c>
      <c r="AY273" s="32" t="str">
        <f t="shared" si="185"/>
        <v/>
      </c>
      <c r="BA273" s="32" t="str">
        <f>IF($A274="","",F273*Summary!$Q$12)</f>
        <v/>
      </c>
    </row>
    <row r="274" spans="1:53" ht="12" customHeight="1">
      <c r="A274" s="67" t="str">
        <f t="shared" si="186"/>
        <v/>
      </c>
      <c r="B274" s="69" t="str">
        <f t="shared" si="188"/>
        <v/>
      </c>
      <c r="C274" s="71"/>
      <c r="D274" s="69" t="str">
        <f t="shared" si="152"/>
        <v/>
      </c>
      <c r="E274" s="70" t="str">
        <f t="shared" si="153"/>
        <v/>
      </c>
      <c r="F274" s="70" t="str">
        <f t="shared" si="154"/>
        <v/>
      </c>
      <c r="G274" s="63" t="str">
        <f t="shared" si="155"/>
        <v/>
      </c>
      <c r="H274" s="64" t="str">
        <f t="shared" si="156"/>
        <v/>
      </c>
      <c r="I274" s="43"/>
      <c r="J274" s="63" t="str">
        <f t="shared" si="157"/>
        <v/>
      </c>
      <c r="K274" s="64" t="str">
        <f t="shared" si="158"/>
        <v/>
      </c>
      <c r="L274" s="63" t="str">
        <f t="shared" si="159"/>
        <v/>
      </c>
      <c r="M274" s="64" t="str">
        <f t="shared" si="160"/>
        <v/>
      </c>
      <c r="N274" s="65"/>
      <c r="O274" s="63" t="str">
        <f t="shared" si="161"/>
        <v/>
      </c>
      <c r="P274" s="63" t="str">
        <f t="shared" si="162"/>
        <v/>
      </c>
      <c r="Q274" s="66"/>
      <c r="R274" s="63" t="str">
        <f t="shared" si="163"/>
        <v/>
      </c>
      <c r="S274" s="64" t="str">
        <f t="shared" si="164"/>
        <v/>
      </c>
      <c r="T274" s="63" t="str">
        <f t="shared" si="165"/>
        <v/>
      </c>
      <c r="U274" s="64" t="str">
        <f t="shared" si="166"/>
        <v/>
      </c>
      <c r="V274" s="90" t="str">
        <f>IF($A275="","",IF(AND(MONTH(A274)&gt;3,MONTH(A274)&lt;11),(T274+R274+G274)*(((1/(1-Summary!$T$12))/(1-Summary!$W$12))-1),(T274+R274+G274)*((1/(1-Summary!$U$12))/(1-Summary!$X$12)-1)))</f>
        <v/>
      </c>
      <c r="W274" s="63" t="str">
        <f t="shared" si="167"/>
        <v/>
      </c>
      <c r="X274" s="63" t="str">
        <f t="shared" si="168"/>
        <v/>
      </c>
      <c r="Y274" s="43"/>
      <c r="Z274" s="38" t="str">
        <f t="shared" si="169"/>
        <v/>
      </c>
      <c r="AA274" s="38" t="str">
        <f t="shared" si="170"/>
        <v/>
      </c>
      <c r="AB274" s="38" t="e">
        <f t="shared" si="171"/>
        <v>#VALUE!</v>
      </c>
      <c r="AC274" s="38" t="str">
        <f t="shared" si="172"/>
        <v/>
      </c>
      <c r="AD274" s="38" t="str">
        <f t="shared" si="172"/>
        <v/>
      </c>
      <c r="AE274" s="38" t="e">
        <f t="shared" si="173"/>
        <v>#VALUE!</v>
      </c>
      <c r="AF274" s="238" t="e">
        <f>((Summary!$N$12*(AA274*AD274)*(A274-$D$3))+(Summary!$M$12*Z274*AC274*(AJ274-EOMONTH(EDATE(A274,-1),0))))/(AK274*AB274*AE274)</f>
        <v>#VALUE!</v>
      </c>
      <c r="AG274" s="88" t="str">
        <f>IF($A275="","",Summary!$Q$12)</f>
        <v/>
      </c>
      <c r="AH274" s="88" t="str">
        <f>IF($A275="","",IF(Summary!$R$12="Y",(VLOOKUP($A274,Summary!$AD$6:$AF$9,3)+'Escalating commodity'!H287),'Escalating commodity'!H287))</f>
        <v/>
      </c>
      <c r="AI274" s="88" t="str">
        <f t="shared" si="187"/>
        <v/>
      </c>
      <c r="AJ274" s="236" t="e">
        <f t="shared" si="174"/>
        <v>#VALUE!</v>
      </c>
      <c r="AK274" s="58" t="str">
        <f t="shared" si="175"/>
        <v/>
      </c>
      <c r="AL274" s="26" t="str">
        <f>IF($A275="","",_xll.SPRDOPT(P274,X274,AI274,0,AB274,AE274,AF274,AK274,$AJ$2,0))</f>
        <v/>
      </c>
      <c r="AM274" s="89" t="str">
        <f t="shared" si="176"/>
        <v/>
      </c>
      <c r="AN274" s="89" t="str">
        <f t="shared" si="177"/>
        <v/>
      </c>
      <c r="AO274" s="3" t="str">
        <f t="shared" si="178"/>
        <v/>
      </c>
      <c r="AP274" s="33" t="str">
        <f t="shared" si="179"/>
        <v/>
      </c>
      <c r="AQ274" s="58" t="str">
        <f t="shared" si="180"/>
        <v/>
      </c>
      <c r="AR274" s="38">
        <f>'ANR OK vs ML7'!AR274</f>
        <v>0.1</v>
      </c>
      <c r="AS274" s="35" t="str">
        <f t="shared" si="181"/>
        <v/>
      </c>
      <c r="AT274" s="3" t="str">
        <f t="shared" si="182"/>
        <v/>
      </c>
      <c r="AU274" s="3" t="str">
        <f t="shared" si="183"/>
        <v/>
      </c>
      <c r="AW274" s="32" t="str">
        <f t="shared" si="184"/>
        <v/>
      </c>
      <c r="AX274" s="32" t="str">
        <f t="shared" si="184"/>
        <v/>
      </c>
      <c r="AY274" s="32" t="str">
        <f t="shared" si="185"/>
        <v/>
      </c>
      <c r="BA274" s="32" t="str">
        <f>IF($A275="","",F274*Summary!$Q$12)</f>
        <v/>
      </c>
    </row>
    <row r="275" spans="1:53" ht="12" customHeight="1">
      <c r="A275" s="67" t="str">
        <f t="shared" si="186"/>
        <v/>
      </c>
      <c r="B275" s="69" t="str">
        <f t="shared" si="188"/>
        <v/>
      </c>
      <c r="C275" s="71"/>
      <c r="D275" s="69" t="str">
        <f t="shared" si="152"/>
        <v/>
      </c>
      <c r="E275" s="70" t="str">
        <f t="shared" si="153"/>
        <v/>
      </c>
      <c r="F275" s="70" t="str">
        <f t="shared" si="154"/>
        <v/>
      </c>
      <c r="G275" s="63" t="str">
        <f t="shared" si="155"/>
        <v/>
      </c>
      <c r="H275" s="64" t="str">
        <f t="shared" si="156"/>
        <v/>
      </c>
      <c r="I275" s="43"/>
      <c r="J275" s="63" t="str">
        <f t="shared" si="157"/>
        <v/>
      </c>
      <c r="K275" s="64" t="str">
        <f t="shared" si="158"/>
        <v/>
      </c>
      <c r="L275" s="63" t="str">
        <f t="shared" si="159"/>
        <v/>
      </c>
      <c r="M275" s="64" t="str">
        <f t="shared" si="160"/>
        <v/>
      </c>
      <c r="N275" s="65"/>
      <c r="O275" s="63" t="str">
        <f t="shared" si="161"/>
        <v/>
      </c>
      <c r="P275" s="63" t="str">
        <f t="shared" si="162"/>
        <v/>
      </c>
      <c r="Q275" s="66"/>
      <c r="R275" s="63" t="str">
        <f t="shared" si="163"/>
        <v/>
      </c>
      <c r="S275" s="64" t="str">
        <f t="shared" si="164"/>
        <v/>
      </c>
      <c r="T275" s="63" t="str">
        <f t="shared" si="165"/>
        <v/>
      </c>
      <c r="U275" s="64" t="str">
        <f t="shared" si="166"/>
        <v/>
      </c>
      <c r="V275" s="90" t="str">
        <f>IF($A276="","",IF(AND(MONTH(A275)&gt;3,MONTH(A275)&lt;11),(T275+R275+G275)*(((1/(1-Summary!$T$12))/(1-Summary!$W$12))-1),(T275+R275+G275)*((1/(1-Summary!$U$12))/(1-Summary!$X$12)-1)))</f>
        <v/>
      </c>
      <c r="W275" s="63" t="str">
        <f t="shared" si="167"/>
        <v/>
      </c>
      <c r="X275" s="63" t="str">
        <f t="shared" si="168"/>
        <v/>
      </c>
      <c r="Y275" s="43"/>
      <c r="Z275" s="38" t="str">
        <f t="shared" si="169"/>
        <v/>
      </c>
      <c r="AA275" s="38" t="str">
        <f t="shared" si="170"/>
        <v/>
      </c>
      <c r="AB275" s="38" t="e">
        <f t="shared" si="171"/>
        <v>#VALUE!</v>
      </c>
      <c r="AC275" s="38" t="str">
        <f t="shared" si="172"/>
        <v/>
      </c>
      <c r="AD275" s="38" t="str">
        <f t="shared" si="172"/>
        <v/>
      </c>
      <c r="AE275" s="38" t="e">
        <f t="shared" si="173"/>
        <v>#VALUE!</v>
      </c>
      <c r="AF275" s="238" t="e">
        <f>((Summary!$N$12*(AA275*AD275)*(A275-$D$3))+(Summary!$M$12*Z275*AC275*(AJ275-EOMONTH(EDATE(A275,-1),0))))/(AK275*AB275*AE275)</f>
        <v>#VALUE!</v>
      </c>
      <c r="AG275" s="88" t="str">
        <f>IF($A276="","",Summary!$Q$12)</f>
        <v/>
      </c>
      <c r="AH275" s="88" t="str">
        <f>IF($A276="","",IF(Summary!$R$12="Y",(VLOOKUP($A275,Summary!$AD$6:$AF$9,3)+'Escalating commodity'!H288),'Escalating commodity'!H288))</f>
        <v/>
      </c>
      <c r="AI275" s="88" t="str">
        <f t="shared" si="187"/>
        <v/>
      </c>
      <c r="AJ275" s="236" t="e">
        <f t="shared" si="174"/>
        <v>#VALUE!</v>
      </c>
      <c r="AK275" s="58" t="str">
        <f t="shared" si="175"/>
        <v/>
      </c>
      <c r="AL275" s="26" t="str">
        <f>IF($A276="","",_xll.SPRDOPT(P275,X275,AI275,0,AB275,AE275,AF275,AK275,$AJ$2,0))</f>
        <v/>
      </c>
      <c r="AM275" s="89" t="str">
        <f t="shared" si="176"/>
        <v/>
      </c>
      <c r="AN275" s="89" t="str">
        <f t="shared" si="177"/>
        <v/>
      </c>
      <c r="AO275" s="3" t="str">
        <f t="shared" si="178"/>
        <v/>
      </c>
      <c r="AP275" s="33" t="str">
        <f t="shared" si="179"/>
        <v/>
      </c>
      <c r="AQ275" s="58" t="str">
        <f t="shared" si="180"/>
        <v/>
      </c>
      <c r="AR275" s="38">
        <f>'ANR OK vs ML7'!AR275</f>
        <v>0.1</v>
      </c>
      <c r="AS275" s="35" t="str">
        <f t="shared" si="181"/>
        <v/>
      </c>
      <c r="AT275" s="3" t="str">
        <f t="shared" si="182"/>
        <v/>
      </c>
      <c r="AU275" s="3" t="str">
        <f t="shared" si="183"/>
        <v/>
      </c>
      <c r="AW275" s="32" t="str">
        <f t="shared" si="184"/>
        <v/>
      </c>
      <c r="AX275" s="32" t="str">
        <f t="shared" si="184"/>
        <v/>
      </c>
      <c r="AY275" s="32" t="str">
        <f t="shared" si="185"/>
        <v/>
      </c>
      <c r="BA275" s="32" t="str">
        <f>IF($A276="","",F275*Summary!$Q$12)</f>
        <v/>
      </c>
    </row>
    <row r="276" spans="1:53" ht="12" customHeight="1">
      <c r="A276" s="67" t="str">
        <f t="shared" si="186"/>
        <v/>
      </c>
      <c r="B276" s="69" t="str">
        <f t="shared" si="188"/>
        <v/>
      </c>
      <c r="C276" s="71"/>
      <c r="D276" s="69" t="str">
        <f t="shared" si="152"/>
        <v/>
      </c>
      <c r="E276" s="70" t="str">
        <f t="shared" si="153"/>
        <v/>
      </c>
      <c r="F276" s="70" t="str">
        <f t="shared" si="154"/>
        <v/>
      </c>
      <c r="G276" s="63" t="str">
        <f t="shared" si="155"/>
        <v/>
      </c>
      <c r="H276" s="64" t="str">
        <f t="shared" si="156"/>
        <v/>
      </c>
      <c r="I276" s="43"/>
      <c r="J276" s="63" t="str">
        <f t="shared" si="157"/>
        <v/>
      </c>
      <c r="K276" s="64" t="str">
        <f t="shared" si="158"/>
        <v/>
      </c>
      <c r="L276" s="63" t="str">
        <f t="shared" si="159"/>
        <v/>
      </c>
      <c r="M276" s="64" t="str">
        <f t="shared" si="160"/>
        <v/>
      </c>
      <c r="N276" s="65"/>
      <c r="O276" s="63" t="str">
        <f t="shared" si="161"/>
        <v/>
      </c>
      <c r="P276" s="63" t="str">
        <f t="shared" si="162"/>
        <v/>
      </c>
      <c r="Q276" s="66"/>
      <c r="R276" s="63" t="str">
        <f t="shared" si="163"/>
        <v/>
      </c>
      <c r="S276" s="64" t="str">
        <f t="shared" si="164"/>
        <v/>
      </c>
      <c r="T276" s="63" t="str">
        <f t="shared" si="165"/>
        <v/>
      </c>
      <c r="U276" s="64" t="str">
        <f t="shared" si="166"/>
        <v/>
      </c>
      <c r="V276" s="90" t="str">
        <f>IF($A277="","",IF(AND(MONTH(A276)&gt;3,MONTH(A276)&lt;11),(T276+R276+G276)*(((1/(1-Summary!$T$12))/(1-Summary!$W$12))-1),(T276+R276+G276)*((1/(1-Summary!$U$12))/(1-Summary!$X$12)-1)))</f>
        <v/>
      </c>
      <c r="W276" s="63" t="str">
        <f t="shared" si="167"/>
        <v/>
      </c>
      <c r="X276" s="63" t="str">
        <f t="shared" si="168"/>
        <v/>
      </c>
      <c r="Y276" s="43"/>
      <c r="Z276" s="38" t="str">
        <f t="shared" si="169"/>
        <v/>
      </c>
      <c r="AA276" s="38" t="str">
        <f t="shared" si="170"/>
        <v/>
      </c>
      <c r="AB276" s="38" t="e">
        <f t="shared" si="171"/>
        <v>#VALUE!</v>
      </c>
      <c r="AC276" s="38" t="str">
        <f t="shared" si="172"/>
        <v/>
      </c>
      <c r="AD276" s="38" t="str">
        <f t="shared" si="172"/>
        <v/>
      </c>
      <c r="AE276" s="38" t="e">
        <f t="shared" si="173"/>
        <v>#VALUE!</v>
      </c>
      <c r="AF276" s="238" t="e">
        <f>((Summary!$N$12*(AA276*AD276)*(A276-$D$3))+(Summary!$M$12*Z276*AC276*(AJ276-EOMONTH(EDATE(A276,-1),0))))/(AK276*AB276*AE276)</f>
        <v>#VALUE!</v>
      </c>
      <c r="AG276" s="88" t="str">
        <f>IF($A277="","",Summary!$Q$12)</f>
        <v/>
      </c>
      <c r="AH276" s="88" t="str">
        <f>IF($A277="","",IF(Summary!$R$12="Y",(VLOOKUP($A276,Summary!$AD$6:$AF$9,3)+'Escalating commodity'!H289),'Escalating commodity'!H289))</f>
        <v/>
      </c>
      <c r="AI276" s="88" t="str">
        <f t="shared" si="187"/>
        <v/>
      </c>
      <c r="AJ276" s="236" t="e">
        <f t="shared" si="174"/>
        <v>#VALUE!</v>
      </c>
      <c r="AK276" s="58" t="str">
        <f t="shared" si="175"/>
        <v/>
      </c>
      <c r="AL276" s="26" t="str">
        <f>IF($A277="","",_xll.SPRDOPT(P276,X276,AI276,0,AB276,AE276,AF276,AK276,$AJ$2,0))</f>
        <v/>
      </c>
      <c r="AM276" s="89" t="str">
        <f t="shared" si="176"/>
        <v/>
      </c>
      <c r="AN276" s="89" t="str">
        <f t="shared" si="177"/>
        <v/>
      </c>
      <c r="AO276" s="3" t="str">
        <f t="shared" si="178"/>
        <v/>
      </c>
      <c r="AP276" s="33" t="str">
        <f t="shared" si="179"/>
        <v/>
      </c>
      <c r="AQ276" s="58" t="str">
        <f t="shared" si="180"/>
        <v/>
      </c>
      <c r="AR276" s="38">
        <f>'ANR OK vs ML7'!AR276</f>
        <v>0.1</v>
      </c>
      <c r="AS276" s="35" t="str">
        <f t="shared" si="181"/>
        <v/>
      </c>
      <c r="AT276" s="3" t="str">
        <f t="shared" si="182"/>
        <v/>
      </c>
      <c r="AU276" s="3" t="str">
        <f t="shared" si="183"/>
        <v/>
      </c>
      <c r="AW276" s="32" t="str">
        <f t="shared" si="184"/>
        <v/>
      </c>
      <c r="AX276" s="32" t="str">
        <f t="shared" si="184"/>
        <v/>
      </c>
      <c r="AY276" s="32" t="str">
        <f t="shared" si="185"/>
        <v/>
      </c>
      <c r="BA276" s="32" t="str">
        <f>IF($A277="","",F276*Summary!$Q$12)</f>
        <v/>
      </c>
    </row>
    <row r="277" spans="1:53" ht="12" customHeight="1">
      <c r="A277" s="67" t="str">
        <f t="shared" si="186"/>
        <v/>
      </c>
      <c r="B277" s="69" t="str">
        <f t="shared" si="188"/>
        <v/>
      </c>
      <c r="C277" s="71"/>
      <c r="D277" s="69" t="str">
        <f t="shared" si="152"/>
        <v/>
      </c>
      <c r="E277" s="70" t="str">
        <f t="shared" si="153"/>
        <v/>
      </c>
      <c r="F277" s="70" t="str">
        <f t="shared" si="154"/>
        <v/>
      </c>
      <c r="G277" s="63" t="str">
        <f t="shared" si="155"/>
        <v/>
      </c>
      <c r="H277" s="64" t="str">
        <f t="shared" si="156"/>
        <v/>
      </c>
      <c r="I277" s="43"/>
      <c r="J277" s="63" t="str">
        <f t="shared" si="157"/>
        <v/>
      </c>
      <c r="K277" s="64" t="str">
        <f t="shared" si="158"/>
        <v/>
      </c>
      <c r="L277" s="63" t="str">
        <f t="shared" si="159"/>
        <v/>
      </c>
      <c r="M277" s="64" t="str">
        <f t="shared" si="160"/>
        <v/>
      </c>
      <c r="N277" s="65"/>
      <c r="O277" s="63" t="str">
        <f t="shared" si="161"/>
        <v/>
      </c>
      <c r="P277" s="63" t="str">
        <f t="shared" si="162"/>
        <v/>
      </c>
      <c r="Q277" s="66"/>
      <c r="R277" s="63" t="str">
        <f t="shared" si="163"/>
        <v/>
      </c>
      <c r="S277" s="64" t="str">
        <f t="shared" si="164"/>
        <v/>
      </c>
      <c r="T277" s="63" t="str">
        <f t="shared" si="165"/>
        <v/>
      </c>
      <c r="U277" s="64" t="str">
        <f t="shared" si="166"/>
        <v/>
      </c>
      <c r="V277" s="90" t="str">
        <f>IF($A278="","",IF(AND(MONTH(A277)&gt;3,MONTH(A277)&lt;11),(T277+R277+G277)*(((1/(1-Summary!$T$12))/(1-Summary!$W$12))-1),(T277+R277+G277)*((1/(1-Summary!$U$12))/(1-Summary!$X$12)-1)))</f>
        <v/>
      </c>
      <c r="W277" s="63" t="str">
        <f t="shared" si="167"/>
        <v/>
      </c>
      <c r="X277" s="63" t="str">
        <f t="shared" si="168"/>
        <v/>
      </c>
      <c r="Y277" s="43"/>
      <c r="Z277" s="38" t="str">
        <f t="shared" si="169"/>
        <v/>
      </c>
      <c r="AA277" s="38" t="str">
        <f t="shared" si="170"/>
        <v/>
      </c>
      <c r="AB277" s="38" t="e">
        <f t="shared" si="171"/>
        <v>#VALUE!</v>
      </c>
      <c r="AC277" s="38" t="str">
        <f t="shared" si="172"/>
        <v/>
      </c>
      <c r="AD277" s="38" t="str">
        <f t="shared" si="172"/>
        <v/>
      </c>
      <c r="AE277" s="38" t="e">
        <f t="shared" si="173"/>
        <v>#VALUE!</v>
      </c>
      <c r="AF277" s="238" t="e">
        <f>((Summary!$N$12*(AA277*AD277)*(A277-$D$3))+(Summary!$M$12*Z277*AC277*(AJ277-EOMONTH(EDATE(A277,-1),0))))/(AK277*AB277*AE277)</f>
        <v>#VALUE!</v>
      </c>
      <c r="AG277" s="88" t="str">
        <f>IF($A278="","",Summary!$Q$12)</f>
        <v/>
      </c>
      <c r="AH277" s="88" t="str">
        <f>IF($A278="","",IF(Summary!$R$12="Y",(VLOOKUP($A277,Summary!$AD$6:$AF$9,3)+'Escalating commodity'!H290),'Escalating commodity'!H290))</f>
        <v/>
      </c>
      <c r="AI277" s="88" t="str">
        <f t="shared" si="187"/>
        <v/>
      </c>
      <c r="AJ277" s="236" t="e">
        <f t="shared" si="174"/>
        <v>#VALUE!</v>
      </c>
      <c r="AK277" s="58" t="str">
        <f t="shared" si="175"/>
        <v/>
      </c>
      <c r="AL277" s="26" t="str">
        <f>IF($A278="","",_xll.SPRDOPT(P277,X277,AI277,0,AB277,AE277,AF277,AK277,$AJ$2,0))</f>
        <v/>
      </c>
      <c r="AM277" s="89" t="str">
        <f t="shared" si="176"/>
        <v/>
      </c>
      <c r="AN277" s="89" t="str">
        <f t="shared" si="177"/>
        <v/>
      </c>
      <c r="AO277" s="3" t="str">
        <f t="shared" si="178"/>
        <v/>
      </c>
      <c r="AP277" s="33" t="str">
        <f t="shared" si="179"/>
        <v/>
      </c>
      <c r="AQ277" s="58" t="str">
        <f t="shared" si="180"/>
        <v/>
      </c>
      <c r="AR277" s="38">
        <f>'ANR OK vs ML7'!AR277</f>
        <v>0.1</v>
      </c>
      <c r="AS277" s="35" t="str">
        <f t="shared" si="181"/>
        <v/>
      </c>
      <c r="AT277" s="3" t="str">
        <f t="shared" si="182"/>
        <v/>
      </c>
      <c r="AU277" s="3" t="str">
        <f t="shared" si="183"/>
        <v/>
      </c>
      <c r="AW277" s="32" t="str">
        <f t="shared" si="184"/>
        <v/>
      </c>
      <c r="AX277" s="32" t="str">
        <f t="shared" si="184"/>
        <v/>
      </c>
      <c r="AY277" s="32" t="str">
        <f t="shared" si="185"/>
        <v/>
      </c>
      <c r="BA277" s="32" t="str">
        <f>IF($A278="","",F277*Summary!$Q$12)</f>
        <v/>
      </c>
    </row>
    <row r="278" spans="1:53" ht="12" customHeight="1">
      <c r="A278" s="67" t="str">
        <f t="shared" si="186"/>
        <v/>
      </c>
      <c r="B278" s="69" t="str">
        <f t="shared" si="188"/>
        <v/>
      </c>
      <c r="C278" s="71"/>
      <c r="D278" s="69" t="str">
        <f t="shared" si="152"/>
        <v/>
      </c>
      <c r="E278" s="70" t="str">
        <f t="shared" si="153"/>
        <v/>
      </c>
      <c r="F278" s="70" t="str">
        <f t="shared" si="154"/>
        <v/>
      </c>
      <c r="G278" s="63" t="str">
        <f t="shared" si="155"/>
        <v/>
      </c>
      <c r="H278" s="64" t="str">
        <f t="shared" si="156"/>
        <v/>
      </c>
      <c r="I278" s="43"/>
      <c r="J278" s="63" t="str">
        <f t="shared" si="157"/>
        <v/>
      </c>
      <c r="K278" s="64" t="str">
        <f t="shared" si="158"/>
        <v/>
      </c>
      <c r="L278" s="63" t="str">
        <f t="shared" si="159"/>
        <v/>
      </c>
      <c r="M278" s="64" t="str">
        <f t="shared" si="160"/>
        <v/>
      </c>
      <c r="N278" s="65"/>
      <c r="O278" s="63" t="str">
        <f t="shared" si="161"/>
        <v/>
      </c>
      <c r="P278" s="63" t="str">
        <f t="shared" si="162"/>
        <v/>
      </c>
      <c r="Q278" s="66"/>
      <c r="R278" s="63" t="str">
        <f t="shared" si="163"/>
        <v/>
      </c>
      <c r="S278" s="64" t="str">
        <f t="shared" si="164"/>
        <v/>
      </c>
      <c r="T278" s="63" t="str">
        <f t="shared" si="165"/>
        <v/>
      </c>
      <c r="U278" s="64" t="str">
        <f t="shared" si="166"/>
        <v/>
      </c>
      <c r="V278" s="90" t="str">
        <f>IF($A279="","",IF(AND(MONTH(A278)&gt;3,MONTH(A278)&lt;11),(T278+R278+G278)*(((1/(1-Summary!$T$12))/(1-Summary!$W$12))-1),(T278+R278+G278)*((1/(1-Summary!$U$12))/(1-Summary!$X$12)-1)))</f>
        <v/>
      </c>
      <c r="W278" s="63" t="str">
        <f t="shared" si="167"/>
        <v/>
      </c>
      <c r="X278" s="63" t="str">
        <f t="shared" si="168"/>
        <v/>
      </c>
      <c r="Y278" s="43"/>
      <c r="Z278" s="38" t="str">
        <f t="shared" si="169"/>
        <v/>
      </c>
      <c r="AA278" s="38" t="str">
        <f t="shared" si="170"/>
        <v/>
      </c>
      <c r="AB278" s="38" t="e">
        <f t="shared" si="171"/>
        <v>#VALUE!</v>
      </c>
      <c r="AC278" s="38" t="str">
        <f t="shared" si="172"/>
        <v/>
      </c>
      <c r="AD278" s="38" t="str">
        <f t="shared" si="172"/>
        <v/>
      </c>
      <c r="AE278" s="38" t="e">
        <f t="shared" si="173"/>
        <v>#VALUE!</v>
      </c>
      <c r="AF278" s="238" t="e">
        <f>((Summary!$N$12*(AA278*AD278)*(A278-$D$3))+(Summary!$M$12*Z278*AC278*(AJ278-EOMONTH(EDATE(A278,-1),0))))/(AK278*AB278*AE278)</f>
        <v>#VALUE!</v>
      </c>
      <c r="AG278" s="88" t="str">
        <f>IF($A279="","",Summary!$Q$12)</f>
        <v/>
      </c>
      <c r="AH278" s="88" t="str">
        <f>IF($A279="","",IF(Summary!$R$12="Y",(VLOOKUP($A278,Summary!$AD$6:$AF$9,3)+'Escalating commodity'!H291),'Escalating commodity'!H291))</f>
        <v/>
      </c>
      <c r="AI278" s="88" t="str">
        <f t="shared" si="187"/>
        <v/>
      </c>
      <c r="AJ278" s="236" t="e">
        <f t="shared" si="174"/>
        <v>#VALUE!</v>
      </c>
      <c r="AK278" s="58" t="str">
        <f t="shared" si="175"/>
        <v/>
      </c>
      <c r="AL278" s="26" t="str">
        <f>IF($A279="","",_xll.SPRDOPT(P278,X278,AI278,0,AB278,AE278,AF278,AK278,$AJ$2,0))</f>
        <v/>
      </c>
      <c r="AM278" s="89" t="str">
        <f t="shared" si="176"/>
        <v/>
      </c>
      <c r="AN278" s="89" t="str">
        <f t="shared" si="177"/>
        <v/>
      </c>
      <c r="AO278" s="3" t="str">
        <f t="shared" si="178"/>
        <v/>
      </c>
      <c r="AP278" s="33" t="str">
        <f t="shared" si="179"/>
        <v/>
      </c>
      <c r="AQ278" s="58" t="str">
        <f t="shared" si="180"/>
        <v/>
      </c>
      <c r="AR278" s="38">
        <f>'ANR OK vs ML7'!AR278</f>
        <v>0.1</v>
      </c>
      <c r="AS278" s="35" t="str">
        <f t="shared" si="181"/>
        <v/>
      </c>
      <c r="AT278" s="3" t="str">
        <f t="shared" si="182"/>
        <v/>
      </c>
      <c r="AU278" s="3" t="str">
        <f t="shared" si="183"/>
        <v/>
      </c>
      <c r="AW278" s="32" t="str">
        <f t="shared" si="184"/>
        <v/>
      </c>
      <c r="AX278" s="32" t="str">
        <f t="shared" si="184"/>
        <v/>
      </c>
      <c r="AY278" s="32" t="str">
        <f t="shared" si="185"/>
        <v/>
      </c>
      <c r="BA278" s="32" t="str">
        <f>IF($A279="","",F278*Summary!$Q$12)</f>
        <v/>
      </c>
    </row>
    <row r="279" spans="1:53" ht="12" customHeight="1">
      <c r="A279" s="67" t="str">
        <f t="shared" si="186"/>
        <v/>
      </c>
      <c r="B279" s="69" t="str">
        <f t="shared" si="188"/>
        <v/>
      </c>
      <c r="C279" s="71"/>
      <c r="D279" s="69" t="str">
        <f t="shared" si="152"/>
        <v/>
      </c>
      <c r="E279" s="70" t="str">
        <f t="shared" si="153"/>
        <v/>
      </c>
      <c r="F279" s="70" t="str">
        <f t="shared" si="154"/>
        <v/>
      </c>
      <c r="G279" s="63" t="str">
        <f t="shared" si="155"/>
        <v/>
      </c>
      <c r="H279" s="64" t="str">
        <f t="shared" si="156"/>
        <v/>
      </c>
      <c r="I279" s="43"/>
      <c r="J279" s="63" t="str">
        <f t="shared" si="157"/>
        <v/>
      </c>
      <c r="K279" s="64" t="str">
        <f t="shared" si="158"/>
        <v/>
      </c>
      <c r="L279" s="63" t="str">
        <f t="shared" si="159"/>
        <v/>
      </c>
      <c r="M279" s="64" t="str">
        <f t="shared" si="160"/>
        <v/>
      </c>
      <c r="N279" s="65"/>
      <c r="O279" s="63" t="str">
        <f t="shared" si="161"/>
        <v/>
      </c>
      <c r="P279" s="63" t="str">
        <f t="shared" si="162"/>
        <v/>
      </c>
      <c r="Q279" s="66"/>
      <c r="R279" s="63" t="str">
        <f t="shared" si="163"/>
        <v/>
      </c>
      <c r="S279" s="64" t="str">
        <f t="shared" si="164"/>
        <v/>
      </c>
      <c r="T279" s="63" t="str">
        <f t="shared" si="165"/>
        <v/>
      </c>
      <c r="U279" s="64" t="str">
        <f t="shared" si="166"/>
        <v/>
      </c>
      <c r="V279" s="90" t="str">
        <f>IF($A280="","",IF(AND(MONTH(A279)&gt;3,MONTH(A279)&lt;11),(T279+R279+G279)*(((1/(1-Summary!$T$12))/(1-Summary!$W$12))-1),(T279+R279+G279)*((1/(1-Summary!$U$12))/(1-Summary!$X$12)-1)))</f>
        <v/>
      </c>
      <c r="W279" s="63" t="str">
        <f t="shared" si="167"/>
        <v/>
      </c>
      <c r="X279" s="63" t="str">
        <f t="shared" si="168"/>
        <v/>
      </c>
      <c r="Y279" s="43"/>
      <c r="Z279" s="38" t="str">
        <f t="shared" si="169"/>
        <v/>
      </c>
      <c r="AA279" s="38" t="str">
        <f t="shared" si="170"/>
        <v/>
      </c>
      <c r="AB279" s="38" t="e">
        <f t="shared" si="171"/>
        <v>#VALUE!</v>
      </c>
      <c r="AC279" s="38" t="str">
        <f t="shared" si="172"/>
        <v/>
      </c>
      <c r="AD279" s="38" t="str">
        <f t="shared" si="172"/>
        <v/>
      </c>
      <c r="AE279" s="38" t="e">
        <f t="shared" si="173"/>
        <v>#VALUE!</v>
      </c>
      <c r="AF279" s="238" t="e">
        <f>((Summary!$N$12*(AA279*AD279)*(A279-$D$3))+(Summary!$M$12*Z279*AC279*(AJ279-EOMONTH(EDATE(A279,-1),0))))/(AK279*AB279*AE279)</f>
        <v>#VALUE!</v>
      </c>
      <c r="AG279" s="88" t="str">
        <f>IF($A280="","",Summary!$Q$12)</f>
        <v/>
      </c>
      <c r="AH279" s="88" t="str">
        <f>IF($A280="","",IF(Summary!$R$12="Y",(VLOOKUP($A279,Summary!$AD$6:$AF$9,3)+'Escalating commodity'!H292),'Escalating commodity'!H292))</f>
        <v/>
      </c>
      <c r="AI279" s="88" t="str">
        <f t="shared" si="187"/>
        <v/>
      </c>
      <c r="AJ279" s="236" t="e">
        <f t="shared" si="174"/>
        <v>#VALUE!</v>
      </c>
      <c r="AK279" s="58" t="str">
        <f t="shared" si="175"/>
        <v/>
      </c>
      <c r="AL279" s="26" t="str">
        <f>IF($A280="","",_xll.SPRDOPT(P279,X279,AI279,0,AB279,AE279,AF279,AK279,$AJ$2,0))</f>
        <v/>
      </c>
      <c r="AM279" s="89" t="str">
        <f t="shared" si="176"/>
        <v/>
      </c>
      <c r="AN279" s="89" t="str">
        <f t="shared" si="177"/>
        <v/>
      </c>
      <c r="AO279" s="3" t="str">
        <f t="shared" si="178"/>
        <v/>
      </c>
      <c r="AP279" s="33" t="str">
        <f t="shared" si="179"/>
        <v/>
      </c>
      <c r="AQ279" s="58" t="str">
        <f t="shared" si="180"/>
        <v/>
      </c>
      <c r="AR279" s="38">
        <f>'ANR OK vs ML7'!AR279</f>
        <v>0.1</v>
      </c>
      <c r="AS279" s="35" t="str">
        <f t="shared" si="181"/>
        <v/>
      </c>
      <c r="AT279" s="3" t="str">
        <f t="shared" si="182"/>
        <v/>
      </c>
      <c r="AU279" s="3" t="str">
        <f t="shared" si="183"/>
        <v/>
      </c>
      <c r="AW279" s="32" t="str">
        <f t="shared" si="184"/>
        <v/>
      </c>
      <c r="AX279" s="32" t="str">
        <f t="shared" si="184"/>
        <v/>
      </c>
      <c r="AY279" s="32" t="str">
        <f t="shared" si="185"/>
        <v/>
      </c>
      <c r="BA279" s="32" t="str">
        <f>IF($A280="","",F279*Summary!$Q$12)</f>
        <v/>
      </c>
    </row>
    <row r="280" spans="1:53" ht="12" customHeight="1">
      <c r="A280" s="67" t="str">
        <f t="shared" si="186"/>
        <v/>
      </c>
      <c r="B280" s="69" t="str">
        <f t="shared" si="188"/>
        <v/>
      </c>
      <c r="C280" s="71"/>
      <c r="D280" s="69" t="str">
        <f t="shared" si="152"/>
        <v/>
      </c>
      <c r="E280" s="70" t="str">
        <f t="shared" si="153"/>
        <v/>
      </c>
      <c r="F280" s="70" t="str">
        <f t="shared" si="154"/>
        <v/>
      </c>
      <c r="G280" s="63" t="str">
        <f t="shared" si="155"/>
        <v/>
      </c>
      <c r="H280" s="64" t="str">
        <f t="shared" si="156"/>
        <v/>
      </c>
      <c r="I280" s="43"/>
      <c r="J280" s="63" t="str">
        <f t="shared" si="157"/>
        <v/>
      </c>
      <c r="K280" s="64" t="str">
        <f t="shared" si="158"/>
        <v/>
      </c>
      <c r="L280" s="63" t="str">
        <f t="shared" si="159"/>
        <v/>
      </c>
      <c r="M280" s="64" t="str">
        <f t="shared" si="160"/>
        <v/>
      </c>
      <c r="N280" s="65"/>
      <c r="O280" s="63" t="str">
        <f t="shared" si="161"/>
        <v/>
      </c>
      <c r="P280" s="63" t="str">
        <f t="shared" si="162"/>
        <v/>
      </c>
      <c r="Q280" s="66"/>
      <c r="R280" s="63" t="str">
        <f t="shared" si="163"/>
        <v/>
      </c>
      <c r="S280" s="64" t="str">
        <f t="shared" si="164"/>
        <v/>
      </c>
      <c r="T280" s="63" t="str">
        <f t="shared" si="165"/>
        <v/>
      </c>
      <c r="U280" s="64" t="str">
        <f t="shared" si="166"/>
        <v/>
      </c>
      <c r="V280" s="90" t="str">
        <f>IF($A281="","",IF(AND(MONTH(A280)&gt;3,MONTH(A280)&lt;11),(T280+R280+G280)*(((1/(1-Summary!$T$12))/(1-Summary!$W$12))-1),(T280+R280+G280)*((1/(1-Summary!$U$12))/(1-Summary!$X$12)-1)))</f>
        <v/>
      </c>
      <c r="W280" s="63" t="str">
        <f t="shared" si="167"/>
        <v/>
      </c>
      <c r="X280" s="63" t="str">
        <f t="shared" si="168"/>
        <v/>
      </c>
      <c r="Y280" s="43"/>
      <c r="Z280" s="38" t="str">
        <f t="shared" si="169"/>
        <v/>
      </c>
      <c r="AA280" s="38" t="str">
        <f t="shared" si="170"/>
        <v/>
      </c>
      <c r="AB280" s="38" t="e">
        <f t="shared" si="171"/>
        <v>#VALUE!</v>
      </c>
      <c r="AC280" s="38" t="str">
        <f t="shared" si="172"/>
        <v/>
      </c>
      <c r="AD280" s="38" t="str">
        <f t="shared" si="172"/>
        <v/>
      </c>
      <c r="AE280" s="38" t="e">
        <f t="shared" si="173"/>
        <v>#VALUE!</v>
      </c>
      <c r="AF280" s="238" t="e">
        <f>((Summary!$N$12*(AA280*AD280)*(A280-$D$3))+(Summary!$M$12*Z280*AC280*(AJ280-EOMONTH(EDATE(A280,-1),0))))/(AK280*AB280*AE280)</f>
        <v>#VALUE!</v>
      </c>
      <c r="AG280" s="88" t="str">
        <f>IF($A281="","",Summary!$Q$12)</f>
        <v/>
      </c>
      <c r="AH280" s="88" t="str">
        <f>IF($A281="","",IF(Summary!$R$12="Y",(VLOOKUP($A280,Summary!$AD$6:$AF$9,3)+'Escalating commodity'!H293),'Escalating commodity'!H293))</f>
        <v/>
      </c>
      <c r="AI280" s="88" t="str">
        <f t="shared" si="187"/>
        <v/>
      </c>
      <c r="AJ280" s="236" t="e">
        <f t="shared" si="174"/>
        <v>#VALUE!</v>
      </c>
      <c r="AK280" s="58" t="str">
        <f t="shared" si="175"/>
        <v/>
      </c>
      <c r="AL280" s="26" t="str">
        <f>IF($A281="","",_xll.SPRDOPT(P280,X280,AI280,0,AB280,AE280,AF280,AK280,$AJ$2,0))</f>
        <v/>
      </c>
      <c r="AM280" s="89" t="str">
        <f t="shared" si="176"/>
        <v/>
      </c>
      <c r="AN280" s="89" t="str">
        <f t="shared" si="177"/>
        <v/>
      </c>
      <c r="AO280" s="3" t="str">
        <f t="shared" si="178"/>
        <v/>
      </c>
      <c r="AP280" s="33" t="str">
        <f t="shared" si="179"/>
        <v/>
      </c>
      <c r="AQ280" s="58" t="str">
        <f t="shared" si="180"/>
        <v/>
      </c>
      <c r="AR280" s="38">
        <f>'ANR OK vs ML7'!AR280</f>
        <v>0.1</v>
      </c>
      <c r="AS280" s="35" t="str">
        <f t="shared" si="181"/>
        <v/>
      </c>
      <c r="AT280" s="3" t="str">
        <f t="shared" si="182"/>
        <v/>
      </c>
      <c r="AU280" s="3" t="str">
        <f t="shared" si="183"/>
        <v/>
      </c>
      <c r="AW280" s="32" t="str">
        <f t="shared" si="184"/>
        <v/>
      </c>
      <c r="AX280" s="32" t="str">
        <f t="shared" si="184"/>
        <v/>
      </c>
      <c r="AY280" s="32" t="str">
        <f t="shared" si="185"/>
        <v/>
      </c>
      <c r="BA280" s="32" t="str">
        <f>IF($A281="","",F280*Summary!$Q$12)</f>
        <v/>
      </c>
    </row>
    <row r="281" spans="1:53" ht="12" customHeight="1">
      <c r="A281" s="67" t="str">
        <f t="shared" si="186"/>
        <v/>
      </c>
      <c r="B281" s="69" t="str">
        <f t="shared" si="188"/>
        <v/>
      </c>
      <c r="C281" s="71"/>
      <c r="D281" s="69" t="str">
        <f t="shared" si="152"/>
        <v/>
      </c>
      <c r="E281" s="70" t="str">
        <f t="shared" si="153"/>
        <v/>
      </c>
      <c r="F281" s="70" t="str">
        <f t="shared" si="154"/>
        <v/>
      </c>
      <c r="G281" s="63" t="str">
        <f t="shared" si="155"/>
        <v/>
      </c>
      <c r="H281" s="64" t="str">
        <f t="shared" si="156"/>
        <v/>
      </c>
      <c r="I281" s="43"/>
      <c r="J281" s="63" t="str">
        <f t="shared" si="157"/>
        <v/>
      </c>
      <c r="K281" s="64" t="str">
        <f t="shared" si="158"/>
        <v/>
      </c>
      <c r="L281" s="63" t="str">
        <f t="shared" si="159"/>
        <v/>
      </c>
      <c r="M281" s="64" t="str">
        <f t="shared" si="160"/>
        <v/>
      </c>
      <c r="N281" s="65"/>
      <c r="O281" s="63" t="str">
        <f t="shared" si="161"/>
        <v/>
      </c>
      <c r="P281" s="63" t="str">
        <f t="shared" si="162"/>
        <v/>
      </c>
      <c r="Q281" s="66"/>
      <c r="R281" s="63" t="str">
        <f t="shared" si="163"/>
        <v/>
      </c>
      <c r="S281" s="64" t="str">
        <f t="shared" si="164"/>
        <v/>
      </c>
      <c r="T281" s="63" t="str">
        <f t="shared" si="165"/>
        <v/>
      </c>
      <c r="U281" s="64" t="str">
        <f t="shared" si="166"/>
        <v/>
      </c>
      <c r="V281" s="90" t="str">
        <f>IF($A282="","",IF(AND(MONTH(A281)&gt;3,MONTH(A281)&lt;11),(T281+R281+G281)*(((1/(1-Summary!$T$12))/(1-Summary!$W$12))-1),(T281+R281+G281)*((1/(1-Summary!$U$12))/(1-Summary!$X$12)-1)))</f>
        <v/>
      </c>
      <c r="W281" s="63" t="str">
        <f t="shared" si="167"/>
        <v/>
      </c>
      <c r="X281" s="63" t="str">
        <f t="shared" si="168"/>
        <v/>
      </c>
      <c r="Y281" s="43"/>
      <c r="Z281" s="38" t="str">
        <f t="shared" si="169"/>
        <v/>
      </c>
      <c r="AA281" s="38" t="str">
        <f t="shared" si="170"/>
        <v/>
      </c>
      <c r="AB281" s="38" t="e">
        <f t="shared" si="171"/>
        <v>#VALUE!</v>
      </c>
      <c r="AC281" s="38" t="str">
        <f t="shared" si="172"/>
        <v/>
      </c>
      <c r="AD281" s="38" t="str">
        <f t="shared" si="172"/>
        <v/>
      </c>
      <c r="AE281" s="38" t="e">
        <f t="shared" si="173"/>
        <v>#VALUE!</v>
      </c>
      <c r="AF281" s="238" t="e">
        <f>((Summary!$N$12*(AA281*AD281)*(A281-$D$3))+(Summary!$M$12*Z281*AC281*(AJ281-EOMONTH(EDATE(A281,-1),0))))/(AK281*AB281*AE281)</f>
        <v>#VALUE!</v>
      </c>
      <c r="AG281" s="88" t="str">
        <f>IF($A282="","",Summary!$Q$12)</f>
        <v/>
      </c>
      <c r="AH281" s="88" t="str">
        <f>IF($A282="","",IF(Summary!$R$12="Y",(VLOOKUP($A281,Summary!$AD$6:$AF$9,3)+'Escalating commodity'!H294),'Escalating commodity'!H294))</f>
        <v/>
      </c>
      <c r="AI281" s="88" t="str">
        <f t="shared" si="187"/>
        <v/>
      </c>
      <c r="AJ281" s="236" t="e">
        <f t="shared" si="174"/>
        <v>#VALUE!</v>
      </c>
      <c r="AK281" s="58" t="str">
        <f t="shared" si="175"/>
        <v/>
      </c>
      <c r="AL281" s="26" t="str">
        <f>IF($A282="","",_xll.SPRDOPT(P281,X281,AI281,0,AB281,AE281,AF281,AK281,$AJ$2,0))</f>
        <v/>
      </c>
      <c r="AM281" s="89" t="str">
        <f t="shared" si="176"/>
        <v/>
      </c>
      <c r="AN281" s="89" t="str">
        <f t="shared" si="177"/>
        <v/>
      </c>
      <c r="AO281" s="3" t="str">
        <f t="shared" si="178"/>
        <v/>
      </c>
      <c r="AP281" s="33" t="str">
        <f t="shared" si="179"/>
        <v/>
      </c>
      <c r="AQ281" s="58" t="str">
        <f t="shared" si="180"/>
        <v/>
      </c>
      <c r="AR281" s="38">
        <f>'ANR OK vs ML7'!AR281</f>
        <v>0.1</v>
      </c>
      <c r="AS281" s="35" t="str">
        <f t="shared" si="181"/>
        <v/>
      </c>
      <c r="AT281" s="3" t="str">
        <f t="shared" si="182"/>
        <v/>
      </c>
      <c r="AU281" s="3" t="str">
        <f t="shared" si="183"/>
        <v/>
      </c>
      <c r="AW281" s="32" t="str">
        <f t="shared" si="184"/>
        <v/>
      </c>
      <c r="AX281" s="32" t="str">
        <f t="shared" si="184"/>
        <v/>
      </c>
      <c r="AY281" s="32" t="str">
        <f t="shared" si="185"/>
        <v/>
      </c>
      <c r="BA281" s="32" t="str">
        <f>IF($A282="","",F281*Summary!$Q$12)</f>
        <v/>
      </c>
    </row>
    <row r="282" spans="1:53" ht="12" customHeight="1">
      <c r="A282" s="67" t="str">
        <f t="shared" si="186"/>
        <v/>
      </c>
      <c r="B282" s="69" t="str">
        <f t="shared" si="188"/>
        <v/>
      </c>
      <c r="C282" s="71"/>
      <c r="D282" s="69" t="str">
        <f t="shared" si="152"/>
        <v/>
      </c>
      <c r="E282" s="70" t="str">
        <f t="shared" si="153"/>
        <v/>
      </c>
      <c r="F282" s="70" t="str">
        <f t="shared" si="154"/>
        <v/>
      </c>
      <c r="G282" s="63" t="str">
        <f t="shared" si="155"/>
        <v/>
      </c>
      <c r="H282" s="64" t="str">
        <f t="shared" si="156"/>
        <v/>
      </c>
      <c r="I282" s="43"/>
      <c r="J282" s="63" t="str">
        <f t="shared" si="157"/>
        <v/>
      </c>
      <c r="K282" s="64" t="str">
        <f t="shared" si="158"/>
        <v/>
      </c>
      <c r="L282" s="63" t="str">
        <f t="shared" si="159"/>
        <v/>
      </c>
      <c r="M282" s="64" t="str">
        <f t="shared" si="160"/>
        <v/>
      </c>
      <c r="N282" s="65"/>
      <c r="O282" s="63" t="str">
        <f t="shared" si="161"/>
        <v/>
      </c>
      <c r="P282" s="63" t="str">
        <f t="shared" si="162"/>
        <v/>
      </c>
      <c r="Q282" s="66"/>
      <c r="R282" s="63" t="str">
        <f t="shared" si="163"/>
        <v/>
      </c>
      <c r="S282" s="64" t="str">
        <f t="shared" si="164"/>
        <v/>
      </c>
      <c r="T282" s="63" t="str">
        <f t="shared" si="165"/>
        <v/>
      </c>
      <c r="U282" s="64" t="str">
        <f t="shared" si="166"/>
        <v/>
      </c>
      <c r="V282" s="90" t="str">
        <f>IF($A283="","",IF(AND(MONTH(A282)&gt;3,MONTH(A282)&lt;11),(T282+R282+G282)*(((1/(1-Summary!$T$12))/(1-Summary!$W$12))-1),(T282+R282+G282)*((1/(1-Summary!$U$12))/(1-Summary!$X$12)-1)))</f>
        <v/>
      </c>
      <c r="W282" s="63" t="str">
        <f t="shared" si="167"/>
        <v/>
      </c>
      <c r="X282" s="63" t="str">
        <f t="shared" si="168"/>
        <v/>
      </c>
      <c r="Y282" s="43"/>
      <c r="Z282" s="38" t="str">
        <f t="shared" si="169"/>
        <v/>
      </c>
      <c r="AA282" s="38" t="str">
        <f t="shared" si="170"/>
        <v/>
      </c>
      <c r="AB282" s="38" t="e">
        <f t="shared" si="171"/>
        <v>#VALUE!</v>
      </c>
      <c r="AC282" s="38" t="str">
        <f t="shared" si="172"/>
        <v/>
      </c>
      <c r="AD282" s="38" t="str">
        <f t="shared" si="172"/>
        <v/>
      </c>
      <c r="AE282" s="38" t="e">
        <f t="shared" si="173"/>
        <v>#VALUE!</v>
      </c>
      <c r="AF282" s="238" t="e">
        <f>((Summary!$N$12*(AA282*AD282)*(A282-$D$3))+(Summary!$M$12*Z282*AC282*(AJ282-EOMONTH(EDATE(A282,-1),0))))/(AK282*AB282*AE282)</f>
        <v>#VALUE!</v>
      </c>
      <c r="AG282" s="88" t="str">
        <f>IF($A283="","",Summary!$Q$12)</f>
        <v/>
      </c>
      <c r="AH282" s="88" t="str">
        <f>IF($A283="","",IF(Summary!$R$12="Y",(VLOOKUP($A282,Summary!$AD$6:$AF$9,3)+'Escalating commodity'!H295),'Escalating commodity'!H295))</f>
        <v/>
      </c>
      <c r="AI282" s="88" t="str">
        <f t="shared" si="187"/>
        <v/>
      </c>
      <c r="AJ282" s="236" t="e">
        <f t="shared" si="174"/>
        <v>#VALUE!</v>
      </c>
      <c r="AK282" s="58" t="str">
        <f t="shared" si="175"/>
        <v/>
      </c>
      <c r="AL282" s="26" t="str">
        <f>IF($A283="","",_xll.SPRDOPT(P282,X282,AI282,0,AB282,AE282,AF282,AK282,$AJ$2,0))</f>
        <v/>
      </c>
      <c r="AM282" s="89" t="str">
        <f t="shared" si="176"/>
        <v/>
      </c>
      <c r="AN282" s="89" t="str">
        <f t="shared" si="177"/>
        <v/>
      </c>
      <c r="AO282" s="3" t="str">
        <f t="shared" si="178"/>
        <v/>
      </c>
      <c r="AP282" s="33" t="str">
        <f t="shared" si="179"/>
        <v/>
      </c>
      <c r="AQ282" s="58" t="str">
        <f t="shared" si="180"/>
        <v/>
      </c>
      <c r="AR282" s="38">
        <f>'ANR OK vs ML7'!AR282</f>
        <v>0.1</v>
      </c>
      <c r="AS282" s="35" t="str">
        <f t="shared" si="181"/>
        <v/>
      </c>
      <c r="AT282" s="3" t="str">
        <f t="shared" si="182"/>
        <v/>
      </c>
      <c r="AU282" s="3" t="str">
        <f t="shared" si="183"/>
        <v/>
      </c>
      <c r="AW282" s="32" t="str">
        <f t="shared" si="184"/>
        <v/>
      </c>
      <c r="AX282" s="32" t="str">
        <f t="shared" si="184"/>
        <v/>
      </c>
      <c r="AY282" s="32" t="str">
        <f t="shared" si="185"/>
        <v/>
      </c>
      <c r="BA282" s="32" t="str">
        <f>IF($A283="","",F282*Summary!$Q$12)</f>
        <v/>
      </c>
    </row>
    <row r="283" spans="1:53" ht="12" customHeight="1">
      <c r="A283" s="67" t="str">
        <f t="shared" si="186"/>
        <v/>
      </c>
      <c r="B283" s="69" t="str">
        <f t="shared" si="188"/>
        <v/>
      </c>
      <c r="C283" s="71"/>
      <c r="D283" s="69" t="str">
        <f t="shared" si="152"/>
        <v/>
      </c>
      <c r="E283" s="70" t="str">
        <f t="shared" si="153"/>
        <v/>
      </c>
      <c r="F283" s="70" t="str">
        <f t="shared" si="154"/>
        <v/>
      </c>
      <c r="G283" s="63" t="str">
        <f t="shared" si="155"/>
        <v/>
      </c>
      <c r="H283" s="64" t="str">
        <f t="shared" si="156"/>
        <v/>
      </c>
      <c r="I283" s="43"/>
      <c r="J283" s="63" t="str">
        <f t="shared" si="157"/>
        <v/>
      </c>
      <c r="K283" s="64" t="str">
        <f t="shared" si="158"/>
        <v/>
      </c>
      <c r="L283" s="63" t="str">
        <f t="shared" si="159"/>
        <v/>
      </c>
      <c r="M283" s="64" t="str">
        <f t="shared" si="160"/>
        <v/>
      </c>
      <c r="N283" s="65"/>
      <c r="O283" s="63" t="str">
        <f t="shared" si="161"/>
        <v/>
      </c>
      <c r="P283" s="63" t="str">
        <f t="shared" si="162"/>
        <v/>
      </c>
      <c r="Q283" s="66"/>
      <c r="R283" s="63" t="str">
        <f t="shared" si="163"/>
        <v/>
      </c>
      <c r="S283" s="64" t="str">
        <f t="shared" si="164"/>
        <v/>
      </c>
      <c r="T283" s="63" t="str">
        <f t="shared" si="165"/>
        <v/>
      </c>
      <c r="U283" s="64" t="str">
        <f t="shared" si="166"/>
        <v/>
      </c>
      <c r="V283" s="90" t="str">
        <f>IF($A284="","",IF(AND(MONTH(A283)&gt;3,MONTH(A283)&lt;11),(T283+R283+G283)*(((1/(1-Summary!$T$12))/(1-Summary!$W$12))-1),(T283+R283+G283)*((1/(1-Summary!$U$12))/(1-Summary!$X$12)-1)))</f>
        <v/>
      </c>
      <c r="W283" s="63" t="str">
        <f t="shared" si="167"/>
        <v/>
      </c>
      <c r="X283" s="63" t="str">
        <f t="shared" si="168"/>
        <v/>
      </c>
      <c r="Y283" s="43"/>
      <c r="Z283" s="38" t="str">
        <f t="shared" si="169"/>
        <v/>
      </c>
      <c r="AA283" s="38" t="str">
        <f t="shared" si="170"/>
        <v/>
      </c>
      <c r="AB283" s="38" t="e">
        <f t="shared" si="171"/>
        <v>#VALUE!</v>
      </c>
      <c r="AC283" s="38" t="str">
        <f t="shared" si="172"/>
        <v/>
      </c>
      <c r="AD283" s="38" t="str">
        <f t="shared" si="172"/>
        <v/>
      </c>
      <c r="AE283" s="38" t="e">
        <f t="shared" si="173"/>
        <v>#VALUE!</v>
      </c>
      <c r="AF283" s="238" t="e">
        <f>((Summary!$N$12*(AA283*AD283)*(A283-$D$3))+(Summary!$M$12*Z283*AC283*(AJ283-EOMONTH(EDATE(A283,-1),0))))/(AK283*AB283*AE283)</f>
        <v>#VALUE!</v>
      </c>
      <c r="AG283" s="88" t="str">
        <f>IF($A284="","",Summary!$Q$12)</f>
        <v/>
      </c>
      <c r="AH283" s="88" t="str">
        <f>IF($A284="","",IF(Summary!$R$12="Y",(VLOOKUP($A283,Summary!$AD$6:$AF$9,3)+'Escalating commodity'!H296),'Escalating commodity'!H296))</f>
        <v/>
      </c>
      <c r="AI283" s="88" t="str">
        <f t="shared" si="187"/>
        <v/>
      </c>
      <c r="AJ283" s="236" t="e">
        <f t="shared" si="174"/>
        <v>#VALUE!</v>
      </c>
      <c r="AK283" s="58" t="str">
        <f t="shared" si="175"/>
        <v/>
      </c>
      <c r="AL283" s="26" t="str">
        <f>IF($A284="","",_xll.SPRDOPT(P283,X283,AI283,0,AB283,AE283,AF283,AK283,$AJ$2,0))</f>
        <v/>
      </c>
      <c r="AM283" s="89" t="str">
        <f t="shared" si="176"/>
        <v/>
      </c>
      <c r="AN283" s="89" t="str">
        <f t="shared" si="177"/>
        <v/>
      </c>
      <c r="AO283" s="3" t="str">
        <f t="shared" si="178"/>
        <v/>
      </c>
      <c r="AP283" s="33" t="str">
        <f t="shared" si="179"/>
        <v/>
      </c>
      <c r="AQ283" s="58" t="str">
        <f t="shared" si="180"/>
        <v/>
      </c>
      <c r="AR283" s="38">
        <f>'ANR OK vs ML7'!AR283</f>
        <v>0.1</v>
      </c>
      <c r="AS283" s="35" t="str">
        <f t="shared" si="181"/>
        <v/>
      </c>
      <c r="AT283" s="3" t="str">
        <f t="shared" si="182"/>
        <v/>
      </c>
      <c r="AU283" s="3" t="str">
        <f t="shared" si="183"/>
        <v/>
      </c>
      <c r="AW283" s="32" t="str">
        <f t="shared" si="184"/>
        <v/>
      </c>
      <c r="AX283" s="32" t="str">
        <f t="shared" si="184"/>
        <v/>
      </c>
      <c r="AY283" s="32" t="str">
        <f t="shared" si="185"/>
        <v/>
      </c>
      <c r="BA283" s="32" t="str">
        <f>IF($A284="","",F283*Summary!$Q$12)</f>
        <v/>
      </c>
    </row>
    <row r="284" spans="1:53" ht="12" customHeight="1">
      <c r="A284" s="67" t="str">
        <f t="shared" si="186"/>
        <v/>
      </c>
      <c r="B284" s="69" t="str">
        <f t="shared" si="188"/>
        <v/>
      </c>
      <c r="C284" s="71"/>
      <c r="D284" s="69" t="str">
        <f t="shared" si="152"/>
        <v/>
      </c>
      <c r="E284" s="70" t="str">
        <f t="shared" si="153"/>
        <v/>
      </c>
      <c r="F284" s="70" t="str">
        <f t="shared" si="154"/>
        <v/>
      </c>
      <c r="G284" s="63" t="str">
        <f t="shared" si="155"/>
        <v/>
      </c>
      <c r="H284" s="64" t="str">
        <f t="shared" si="156"/>
        <v/>
      </c>
      <c r="I284" s="43"/>
      <c r="J284" s="63" t="str">
        <f t="shared" si="157"/>
        <v/>
      </c>
      <c r="K284" s="64" t="str">
        <f t="shared" si="158"/>
        <v/>
      </c>
      <c r="L284" s="63" t="str">
        <f t="shared" si="159"/>
        <v/>
      </c>
      <c r="M284" s="64" t="str">
        <f t="shared" si="160"/>
        <v/>
      </c>
      <c r="N284" s="65"/>
      <c r="O284" s="63" t="str">
        <f t="shared" si="161"/>
        <v/>
      </c>
      <c r="P284" s="63" t="str">
        <f t="shared" si="162"/>
        <v/>
      </c>
      <c r="Q284" s="66"/>
      <c r="R284" s="63" t="str">
        <f t="shared" si="163"/>
        <v/>
      </c>
      <c r="S284" s="64" t="str">
        <f t="shared" si="164"/>
        <v/>
      </c>
      <c r="T284" s="63" t="str">
        <f t="shared" si="165"/>
        <v/>
      </c>
      <c r="U284" s="64" t="str">
        <f t="shared" si="166"/>
        <v/>
      </c>
      <c r="V284" s="90" t="str">
        <f>IF($A285="","",IF(AND(MONTH(A284)&gt;3,MONTH(A284)&lt;11),(T284+R284+G284)*(((1/(1-Summary!$T$12))/(1-Summary!$W$12))-1),(T284+R284+G284)*((1/(1-Summary!$U$12))/(1-Summary!$X$12)-1)))</f>
        <v/>
      </c>
      <c r="W284" s="63" t="str">
        <f t="shared" si="167"/>
        <v/>
      </c>
      <c r="X284" s="63" t="str">
        <f t="shared" si="168"/>
        <v/>
      </c>
      <c r="Y284" s="43"/>
      <c r="Z284" s="38" t="str">
        <f t="shared" si="169"/>
        <v/>
      </c>
      <c r="AA284" s="38" t="str">
        <f t="shared" si="170"/>
        <v/>
      </c>
      <c r="AB284" s="38" t="e">
        <f t="shared" si="171"/>
        <v>#VALUE!</v>
      </c>
      <c r="AC284" s="38" t="str">
        <f t="shared" si="172"/>
        <v/>
      </c>
      <c r="AD284" s="38" t="str">
        <f t="shared" si="172"/>
        <v/>
      </c>
      <c r="AE284" s="38" t="e">
        <f t="shared" si="173"/>
        <v>#VALUE!</v>
      </c>
      <c r="AF284" s="238" t="e">
        <f>((Summary!$N$12*(AA284*AD284)*(A284-$D$3))+(Summary!$M$12*Z284*AC284*(AJ284-EOMONTH(EDATE(A284,-1),0))))/(AK284*AB284*AE284)</f>
        <v>#VALUE!</v>
      </c>
      <c r="AG284" s="88" t="str">
        <f>IF($A285="","",Summary!$Q$12)</f>
        <v/>
      </c>
      <c r="AH284" s="88" t="str">
        <f>IF($A285="","",IF(Summary!$R$12="Y",(VLOOKUP($A284,Summary!$AD$6:$AF$9,3)+'Escalating commodity'!H297),'Escalating commodity'!H297))</f>
        <v/>
      </c>
      <c r="AI284" s="88" t="str">
        <f t="shared" si="187"/>
        <v/>
      </c>
      <c r="AJ284" s="236" t="e">
        <f t="shared" si="174"/>
        <v>#VALUE!</v>
      </c>
      <c r="AK284" s="58" t="str">
        <f t="shared" si="175"/>
        <v/>
      </c>
      <c r="AL284" s="26" t="str">
        <f>IF($A285="","",_xll.SPRDOPT(P284,X284,AI284,0,AB284,AE284,AF284,AK284,$AJ$2,0))</f>
        <v/>
      </c>
      <c r="AM284" s="89" t="str">
        <f t="shared" si="176"/>
        <v/>
      </c>
      <c r="AN284" s="89" t="str">
        <f t="shared" si="177"/>
        <v/>
      </c>
      <c r="AO284" s="3" t="str">
        <f t="shared" si="178"/>
        <v/>
      </c>
      <c r="AP284" s="33" t="str">
        <f t="shared" si="179"/>
        <v/>
      </c>
      <c r="AQ284" s="58" t="str">
        <f t="shared" si="180"/>
        <v/>
      </c>
      <c r="AR284" s="38">
        <f>'ANR OK vs ML7'!AR284</f>
        <v>0.1</v>
      </c>
      <c r="AS284" s="35" t="str">
        <f t="shared" si="181"/>
        <v/>
      </c>
      <c r="AT284" s="3" t="str">
        <f t="shared" si="182"/>
        <v/>
      </c>
      <c r="AU284" s="3" t="str">
        <f t="shared" si="183"/>
        <v/>
      </c>
      <c r="AW284" s="32" t="str">
        <f t="shared" si="184"/>
        <v/>
      </c>
      <c r="AX284" s="32" t="str">
        <f t="shared" si="184"/>
        <v/>
      </c>
      <c r="AY284" s="32" t="str">
        <f t="shared" si="185"/>
        <v/>
      </c>
      <c r="BA284" s="32" t="str">
        <f>IF($A285="","",F284*Summary!$Q$12)</f>
        <v/>
      </c>
    </row>
    <row r="285" spans="1:53" ht="12" customHeight="1">
      <c r="A285" s="67" t="str">
        <f t="shared" si="186"/>
        <v/>
      </c>
      <c r="B285" s="69" t="str">
        <f t="shared" si="188"/>
        <v/>
      </c>
      <c r="C285" s="71"/>
      <c r="D285" s="69" t="str">
        <f t="shared" si="152"/>
        <v/>
      </c>
      <c r="E285" s="70" t="str">
        <f t="shared" si="153"/>
        <v/>
      </c>
      <c r="F285" s="70" t="str">
        <f t="shared" si="154"/>
        <v/>
      </c>
      <c r="G285" s="63" t="str">
        <f t="shared" si="155"/>
        <v/>
      </c>
      <c r="H285" s="64" t="str">
        <f t="shared" si="156"/>
        <v/>
      </c>
      <c r="I285" s="43"/>
      <c r="J285" s="63" t="str">
        <f t="shared" si="157"/>
        <v/>
      </c>
      <c r="K285" s="64" t="str">
        <f t="shared" si="158"/>
        <v/>
      </c>
      <c r="L285" s="63" t="str">
        <f t="shared" si="159"/>
        <v/>
      </c>
      <c r="M285" s="64" t="str">
        <f t="shared" si="160"/>
        <v/>
      </c>
      <c r="N285" s="65"/>
      <c r="O285" s="63" t="str">
        <f t="shared" si="161"/>
        <v/>
      </c>
      <c r="P285" s="63" t="str">
        <f t="shared" si="162"/>
        <v/>
      </c>
      <c r="Q285" s="66"/>
      <c r="R285" s="63" t="str">
        <f t="shared" si="163"/>
        <v/>
      </c>
      <c r="S285" s="64" t="str">
        <f t="shared" si="164"/>
        <v/>
      </c>
      <c r="T285" s="63" t="str">
        <f t="shared" si="165"/>
        <v/>
      </c>
      <c r="U285" s="64" t="str">
        <f t="shared" si="166"/>
        <v/>
      </c>
      <c r="V285" s="90" t="str">
        <f>IF($A286="","",IF(AND(MONTH(A285)&gt;3,MONTH(A285)&lt;11),(T285+R285+G285)*(((1/(1-Summary!$T$12))/(1-Summary!$W$12))-1),(T285+R285+G285)*((1/(1-Summary!$U$12))/(1-Summary!$X$12)-1)))</f>
        <v/>
      </c>
      <c r="W285" s="63" t="str">
        <f t="shared" si="167"/>
        <v/>
      </c>
      <c r="X285" s="63" t="str">
        <f t="shared" si="168"/>
        <v/>
      </c>
      <c r="Y285" s="43"/>
      <c r="Z285" s="38" t="str">
        <f t="shared" si="169"/>
        <v/>
      </c>
      <c r="AA285" s="38" t="str">
        <f t="shared" si="170"/>
        <v/>
      </c>
      <c r="AB285" s="38" t="e">
        <f t="shared" si="171"/>
        <v>#VALUE!</v>
      </c>
      <c r="AC285" s="38" t="str">
        <f t="shared" si="172"/>
        <v/>
      </c>
      <c r="AD285" s="38" t="str">
        <f t="shared" si="172"/>
        <v/>
      </c>
      <c r="AE285" s="38" t="e">
        <f t="shared" si="173"/>
        <v>#VALUE!</v>
      </c>
      <c r="AF285" s="238" t="e">
        <f>((Summary!$N$12*(AA285*AD285)*(A285-$D$3))+(Summary!$M$12*Z285*AC285*(AJ285-EOMONTH(EDATE(A285,-1),0))))/(AK285*AB285*AE285)</f>
        <v>#VALUE!</v>
      </c>
      <c r="AG285" s="88" t="str">
        <f>IF($A286="","",Summary!$Q$12)</f>
        <v/>
      </c>
      <c r="AH285" s="88" t="str">
        <f>IF($A286="","",IF(Summary!$R$12="Y",(VLOOKUP($A285,Summary!$AD$6:$AF$9,3)+'Escalating commodity'!H298),'Escalating commodity'!H298))</f>
        <v/>
      </c>
      <c r="AI285" s="88" t="str">
        <f t="shared" si="187"/>
        <v/>
      </c>
      <c r="AJ285" s="236" t="e">
        <f t="shared" si="174"/>
        <v>#VALUE!</v>
      </c>
      <c r="AK285" s="58" t="str">
        <f t="shared" si="175"/>
        <v/>
      </c>
      <c r="AL285" s="26" t="str">
        <f>IF($A286="","",_xll.SPRDOPT(P285,X285,AI285,0,AB285,AE285,AF285,AK285,$AJ$2,0))</f>
        <v/>
      </c>
      <c r="AM285" s="89" t="str">
        <f t="shared" si="176"/>
        <v/>
      </c>
      <c r="AN285" s="89" t="str">
        <f t="shared" si="177"/>
        <v/>
      </c>
      <c r="AO285" s="3" t="str">
        <f t="shared" si="178"/>
        <v/>
      </c>
      <c r="AP285" s="33" t="str">
        <f t="shared" si="179"/>
        <v/>
      </c>
      <c r="AQ285" s="58" t="str">
        <f t="shared" si="180"/>
        <v/>
      </c>
      <c r="AR285" s="38">
        <f>'ANR OK vs ML7'!AR285</f>
        <v>0.1</v>
      </c>
      <c r="AS285" s="35" t="str">
        <f t="shared" si="181"/>
        <v/>
      </c>
      <c r="AT285" s="3" t="str">
        <f t="shared" si="182"/>
        <v/>
      </c>
      <c r="AU285" s="3" t="str">
        <f t="shared" si="183"/>
        <v/>
      </c>
      <c r="AW285" s="32" t="str">
        <f t="shared" si="184"/>
        <v/>
      </c>
      <c r="AX285" s="32" t="str">
        <f t="shared" si="184"/>
        <v/>
      </c>
      <c r="AY285" s="32" t="str">
        <f t="shared" si="185"/>
        <v/>
      </c>
      <c r="BA285" s="32" t="str">
        <f>IF($A286="","",F285*Summary!$Q$12)</f>
        <v/>
      </c>
    </row>
    <row r="286" spans="1:53" ht="12" customHeight="1">
      <c r="A286" s="67" t="str">
        <f t="shared" si="186"/>
        <v/>
      </c>
      <c r="B286" s="69" t="str">
        <f t="shared" si="188"/>
        <v/>
      </c>
      <c r="C286" s="71"/>
      <c r="D286" s="69" t="str">
        <f t="shared" si="152"/>
        <v/>
      </c>
      <c r="E286" s="70" t="str">
        <f t="shared" si="153"/>
        <v/>
      </c>
      <c r="F286" s="70" t="str">
        <f t="shared" si="154"/>
        <v/>
      </c>
      <c r="G286" s="63" t="str">
        <f t="shared" si="155"/>
        <v/>
      </c>
      <c r="H286" s="64" t="str">
        <f t="shared" si="156"/>
        <v/>
      </c>
      <c r="I286" s="43"/>
      <c r="J286" s="63" t="str">
        <f t="shared" si="157"/>
        <v/>
      </c>
      <c r="K286" s="64" t="str">
        <f t="shared" si="158"/>
        <v/>
      </c>
      <c r="L286" s="63" t="str">
        <f t="shared" si="159"/>
        <v/>
      </c>
      <c r="M286" s="64" t="str">
        <f t="shared" si="160"/>
        <v/>
      </c>
      <c r="N286" s="65"/>
      <c r="O286" s="63" t="str">
        <f t="shared" si="161"/>
        <v/>
      </c>
      <c r="P286" s="63" t="str">
        <f t="shared" si="162"/>
        <v/>
      </c>
      <c r="Q286" s="66"/>
      <c r="R286" s="63" t="str">
        <f t="shared" si="163"/>
        <v/>
      </c>
      <c r="S286" s="64" t="str">
        <f t="shared" si="164"/>
        <v/>
      </c>
      <c r="T286" s="63" t="str">
        <f t="shared" si="165"/>
        <v/>
      </c>
      <c r="U286" s="64" t="str">
        <f t="shared" si="166"/>
        <v/>
      </c>
      <c r="V286" s="90" t="str">
        <f>IF($A287="","",IF(AND(MONTH(A286)&gt;3,MONTH(A286)&lt;11),(T286+R286+G286)*(((1/(1-Summary!$T$12))/(1-Summary!$W$12))-1),(T286+R286+G286)*((1/(1-Summary!$U$12))/(1-Summary!$X$12)-1)))</f>
        <v/>
      </c>
      <c r="W286" s="63" t="str">
        <f t="shared" si="167"/>
        <v/>
      </c>
      <c r="X286" s="63" t="str">
        <f t="shared" si="168"/>
        <v/>
      </c>
      <c r="Y286" s="43"/>
      <c r="Z286" s="38" t="str">
        <f t="shared" si="169"/>
        <v/>
      </c>
      <c r="AA286" s="38" t="str">
        <f t="shared" si="170"/>
        <v/>
      </c>
      <c r="AB286" s="38" t="e">
        <f t="shared" si="171"/>
        <v>#VALUE!</v>
      </c>
      <c r="AC286" s="38" t="str">
        <f t="shared" si="172"/>
        <v/>
      </c>
      <c r="AD286" s="38" t="str">
        <f t="shared" si="172"/>
        <v/>
      </c>
      <c r="AE286" s="38" t="e">
        <f t="shared" si="173"/>
        <v>#VALUE!</v>
      </c>
      <c r="AF286" s="238" t="e">
        <f>((Summary!$N$12*(AA286*AD286)*(A286-$D$3))+(Summary!$M$12*Z286*AC286*(AJ286-EOMONTH(EDATE(A286,-1),0))))/(AK286*AB286*AE286)</f>
        <v>#VALUE!</v>
      </c>
      <c r="AG286" s="88" t="str">
        <f>IF($A287="","",Summary!$Q$12)</f>
        <v/>
      </c>
      <c r="AH286" s="88" t="str">
        <f>IF($A287="","",IF(Summary!$R$12="Y",(VLOOKUP($A286,Summary!$AD$6:$AF$9,3)+'Escalating commodity'!H299),'Escalating commodity'!H299))</f>
        <v/>
      </c>
      <c r="AI286" s="88" t="str">
        <f t="shared" si="187"/>
        <v/>
      </c>
      <c r="AJ286" s="236" t="e">
        <f t="shared" si="174"/>
        <v>#VALUE!</v>
      </c>
      <c r="AK286" s="58" t="str">
        <f t="shared" si="175"/>
        <v/>
      </c>
      <c r="AL286" s="26" t="str">
        <f>IF($A287="","",_xll.SPRDOPT(P286,X286,AI286,0,AB286,AE286,AF286,AK286,$AJ$2,0))</f>
        <v/>
      </c>
      <c r="AM286" s="89" t="str">
        <f t="shared" si="176"/>
        <v/>
      </c>
      <c r="AN286" s="89" t="str">
        <f t="shared" si="177"/>
        <v/>
      </c>
      <c r="AO286" s="3" t="str">
        <f t="shared" si="178"/>
        <v/>
      </c>
      <c r="AP286" s="33" t="str">
        <f t="shared" si="179"/>
        <v/>
      </c>
      <c r="AQ286" s="58" t="str">
        <f t="shared" si="180"/>
        <v/>
      </c>
      <c r="AR286" s="38">
        <f>'ANR OK vs ML7'!AR286</f>
        <v>0.1</v>
      </c>
      <c r="AS286" s="35" t="str">
        <f t="shared" si="181"/>
        <v/>
      </c>
      <c r="AT286" s="3" t="str">
        <f t="shared" si="182"/>
        <v/>
      </c>
      <c r="AU286" s="3" t="str">
        <f t="shared" si="183"/>
        <v/>
      </c>
      <c r="AW286" s="32" t="str">
        <f t="shared" si="184"/>
        <v/>
      </c>
      <c r="AX286" s="32" t="str">
        <f t="shared" si="184"/>
        <v/>
      </c>
      <c r="AY286" s="32" t="str">
        <f t="shared" si="185"/>
        <v/>
      </c>
      <c r="BA286" s="32" t="str">
        <f>IF($A287="","",F286*Summary!$Q$12)</f>
        <v/>
      </c>
    </row>
    <row r="287" spans="1:53" ht="12" customHeight="1">
      <c r="A287" s="67" t="str">
        <f t="shared" si="186"/>
        <v/>
      </c>
      <c r="B287" s="69" t="str">
        <f t="shared" si="188"/>
        <v/>
      </c>
      <c r="C287" s="71"/>
      <c r="D287" s="69" t="str">
        <f t="shared" si="152"/>
        <v/>
      </c>
      <c r="E287" s="70" t="str">
        <f t="shared" si="153"/>
        <v/>
      </c>
      <c r="F287" s="70" t="str">
        <f t="shared" si="154"/>
        <v/>
      </c>
      <c r="G287" s="63" t="str">
        <f t="shared" si="155"/>
        <v/>
      </c>
      <c r="H287" s="64" t="str">
        <f t="shared" si="156"/>
        <v/>
      </c>
      <c r="I287" s="43"/>
      <c r="J287" s="63" t="str">
        <f t="shared" si="157"/>
        <v/>
      </c>
      <c r="K287" s="64" t="str">
        <f t="shared" si="158"/>
        <v/>
      </c>
      <c r="L287" s="63" t="str">
        <f t="shared" si="159"/>
        <v/>
      </c>
      <c r="M287" s="64" t="str">
        <f t="shared" si="160"/>
        <v/>
      </c>
      <c r="N287" s="65"/>
      <c r="O287" s="63" t="str">
        <f t="shared" si="161"/>
        <v/>
      </c>
      <c r="P287" s="63" t="str">
        <f t="shared" si="162"/>
        <v/>
      </c>
      <c r="Q287" s="66"/>
      <c r="R287" s="63" t="str">
        <f t="shared" si="163"/>
        <v/>
      </c>
      <c r="S287" s="64" t="str">
        <f t="shared" si="164"/>
        <v/>
      </c>
      <c r="T287" s="63" t="str">
        <f t="shared" si="165"/>
        <v/>
      </c>
      <c r="U287" s="64" t="str">
        <f t="shared" si="166"/>
        <v/>
      </c>
      <c r="V287" s="90" t="str">
        <f>IF($A288="","",IF(AND(MONTH(A287)&gt;3,MONTH(A287)&lt;11),(T287+R287+G287)*(((1/(1-Summary!$T$12))/(1-Summary!$W$12))-1),(T287+R287+G287)*((1/(1-Summary!$U$12))/(1-Summary!$X$12)-1)))</f>
        <v/>
      </c>
      <c r="W287" s="63" t="str">
        <f t="shared" si="167"/>
        <v/>
      </c>
      <c r="X287" s="63" t="str">
        <f t="shared" si="168"/>
        <v/>
      </c>
      <c r="Y287" s="43"/>
      <c r="Z287" s="38" t="str">
        <f t="shared" si="169"/>
        <v/>
      </c>
      <c r="AA287" s="38" t="str">
        <f t="shared" si="170"/>
        <v/>
      </c>
      <c r="AB287" s="38" t="e">
        <f t="shared" si="171"/>
        <v>#VALUE!</v>
      </c>
      <c r="AC287" s="38" t="str">
        <f t="shared" si="172"/>
        <v/>
      </c>
      <c r="AD287" s="38" t="str">
        <f t="shared" si="172"/>
        <v/>
      </c>
      <c r="AE287" s="38" t="e">
        <f t="shared" si="173"/>
        <v>#VALUE!</v>
      </c>
      <c r="AF287" s="238" t="e">
        <f>((Summary!$N$12*(AA287*AD287)*(A287-$D$3))+(Summary!$M$12*Z287*AC287*(AJ287-EOMONTH(EDATE(A287,-1),0))))/(AK287*AB287*AE287)</f>
        <v>#VALUE!</v>
      </c>
      <c r="AG287" s="88" t="str">
        <f>IF($A288="","",Summary!$Q$12)</f>
        <v/>
      </c>
      <c r="AH287" s="88" t="str">
        <f>IF($A288="","",IF(Summary!$R$12="Y",(VLOOKUP($A287,Summary!$AD$6:$AF$9,3)+'Escalating commodity'!H300),'Escalating commodity'!H300))</f>
        <v/>
      </c>
      <c r="AI287" s="88" t="str">
        <f t="shared" si="187"/>
        <v/>
      </c>
      <c r="AJ287" s="236" t="e">
        <f t="shared" si="174"/>
        <v>#VALUE!</v>
      </c>
      <c r="AK287" s="58" t="str">
        <f t="shared" si="175"/>
        <v/>
      </c>
      <c r="AL287" s="26" t="str">
        <f>IF($A288="","",_xll.SPRDOPT(P287,X287,AI287,0,AB287,AE287,AF287,AK287,$AJ$2,0))</f>
        <v/>
      </c>
      <c r="AM287" s="89" t="str">
        <f t="shared" si="176"/>
        <v/>
      </c>
      <c r="AN287" s="89" t="str">
        <f t="shared" si="177"/>
        <v/>
      </c>
      <c r="AO287" s="3" t="str">
        <f t="shared" si="178"/>
        <v/>
      </c>
      <c r="AP287" s="33" t="str">
        <f t="shared" si="179"/>
        <v/>
      </c>
      <c r="AQ287" s="58" t="str">
        <f t="shared" si="180"/>
        <v/>
      </c>
      <c r="AR287" s="38">
        <f>'ANR OK vs ML7'!AR287</f>
        <v>0.1</v>
      </c>
      <c r="AS287" s="35" t="str">
        <f t="shared" si="181"/>
        <v/>
      </c>
      <c r="AT287" s="3" t="str">
        <f t="shared" si="182"/>
        <v/>
      </c>
      <c r="AU287" s="3" t="str">
        <f t="shared" si="183"/>
        <v/>
      </c>
      <c r="AW287" s="32" t="str">
        <f t="shared" si="184"/>
        <v/>
      </c>
      <c r="AX287" s="32" t="str">
        <f t="shared" si="184"/>
        <v/>
      </c>
      <c r="AY287" s="32" t="str">
        <f t="shared" si="185"/>
        <v/>
      </c>
      <c r="BA287" s="32" t="str">
        <f>IF($A288="","",F287*Summary!$Q$12)</f>
        <v/>
      </c>
    </row>
    <row r="288" spans="1:53" ht="12" customHeight="1">
      <c r="A288" s="67" t="str">
        <f t="shared" si="186"/>
        <v/>
      </c>
      <c r="B288" s="69" t="str">
        <f t="shared" si="188"/>
        <v/>
      </c>
      <c r="C288" s="71"/>
      <c r="D288" s="69" t="str">
        <f t="shared" si="152"/>
        <v/>
      </c>
      <c r="E288" s="70" t="str">
        <f t="shared" si="153"/>
        <v/>
      </c>
      <c r="F288" s="70" t="str">
        <f t="shared" si="154"/>
        <v/>
      </c>
      <c r="G288" s="63" t="str">
        <f t="shared" si="155"/>
        <v/>
      </c>
      <c r="H288" s="64" t="str">
        <f t="shared" si="156"/>
        <v/>
      </c>
      <c r="I288" s="43"/>
      <c r="J288" s="63" t="str">
        <f t="shared" si="157"/>
        <v/>
      </c>
      <c r="K288" s="64" t="str">
        <f t="shared" si="158"/>
        <v/>
      </c>
      <c r="L288" s="63" t="str">
        <f t="shared" si="159"/>
        <v/>
      </c>
      <c r="M288" s="64" t="str">
        <f t="shared" si="160"/>
        <v/>
      </c>
      <c r="N288" s="65"/>
      <c r="O288" s="63" t="str">
        <f t="shared" si="161"/>
        <v/>
      </c>
      <c r="P288" s="63" t="str">
        <f t="shared" si="162"/>
        <v/>
      </c>
      <c r="Q288" s="66"/>
      <c r="R288" s="63" t="str">
        <f t="shared" si="163"/>
        <v/>
      </c>
      <c r="S288" s="64" t="str">
        <f t="shared" si="164"/>
        <v/>
      </c>
      <c r="T288" s="63" t="str">
        <f t="shared" si="165"/>
        <v/>
      </c>
      <c r="U288" s="64" t="str">
        <f t="shared" si="166"/>
        <v/>
      </c>
      <c r="V288" s="90" t="str">
        <f>IF($A289="","",IF(AND(MONTH(A288)&gt;3,MONTH(A288)&lt;11),(T288+R288+G288)*(((1/(1-Summary!$T$12))/(1-Summary!$W$12))-1),(T288+R288+G288)*((1/(1-Summary!$U$12))/(1-Summary!$X$12)-1)))</f>
        <v/>
      </c>
      <c r="W288" s="63" t="str">
        <f t="shared" si="167"/>
        <v/>
      </c>
      <c r="X288" s="63" t="str">
        <f t="shared" si="168"/>
        <v/>
      </c>
      <c r="Y288" s="43"/>
      <c r="Z288" s="38" t="str">
        <f t="shared" si="169"/>
        <v/>
      </c>
      <c r="AA288" s="38" t="str">
        <f t="shared" si="170"/>
        <v/>
      </c>
      <c r="AB288" s="38" t="e">
        <f t="shared" si="171"/>
        <v>#VALUE!</v>
      </c>
      <c r="AC288" s="38" t="str">
        <f t="shared" si="172"/>
        <v/>
      </c>
      <c r="AD288" s="38" t="str">
        <f t="shared" si="172"/>
        <v/>
      </c>
      <c r="AE288" s="38" t="e">
        <f t="shared" si="173"/>
        <v>#VALUE!</v>
      </c>
      <c r="AF288" s="238" t="e">
        <f>((Summary!$N$12*(AA288*AD288)*(A288-$D$3))+(Summary!$M$12*Z288*AC288*(AJ288-EOMONTH(EDATE(A288,-1),0))))/(AK288*AB288*AE288)</f>
        <v>#VALUE!</v>
      </c>
      <c r="AG288" s="88" t="str">
        <f>IF($A289="","",Summary!$Q$12)</f>
        <v/>
      </c>
      <c r="AH288" s="88" t="str">
        <f>IF($A289="","",IF(Summary!$R$12="Y",(VLOOKUP($A288,Summary!$AD$6:$AF$9,3)+'Escalating commodity'!H301),'Escalating commodity'!H301))</f>
        <v/>
      </c>
      <c r="AI288" s="88" t="str">
        <f t="shared" si="187"/>
        <v/>
      </c>
      <c r="AJ288" s="236" t="e">
        <f t="shared" si="174"/>
        <v>#VALUE!</v>
      </c>
      <c r="AK288" s="58" t="str">
        <f t="shared" si="175"/>
        <v/>
      </c>
      <c r="AL288" s="26" t="str">
        <f>IF($A289="","",_xll.SPRDOPT(P288,X288,AI288,0,AB288,AE288,AF288,AK288,$AJ$2,0))</f>
        <v/>
      </c>
      <c r="AM288" s="89" t="str">
        <f t="shared" si="176"/>
        <v/>
      </c>
      <c r="AN288" s="89" t="str">
        <f t="shared" si="177"/>
        <v/>
      </c>
      <c r="AO288" s="3" t="str">
        <f t="shared" si="178"/>
        <v/>
      </c>
      <c r="AP288" s="33" t="str">
        <f t="shared" si="179"/>
        <v/>
      </c>
      <c r="AQ288" s="58" t="str">
        <f t="shared" si="180"/>
        <v/>
      </c>
      <c r="AR288" s="38">
        <f>'ANR OK vs ML7'!AR288</f>
        <v>0.1</v>
      </c>
      <c r="AS288" s="35" t="str">
        <f t="shared" si="181"/>
        <v/>
      </c>
      <c r="AT288" s="3" t="str">
        <f t="shared" si="182"/>
        <v/>
      </c>
      <c r="AU288" s="3" t="str">
        <f t="shared" si="183"/>
        <v/>
      </c>
      <c r="AW288" s="32" t="str">
        <f t="shared" si="184"/>
        <v/>
      </c>
      <c r="AX288" s="32" t="str">
        <f t="shared" si="184"/>
        <v/>
      </c>
      <c r="AY288" s="32" t="str">
        <f t="shared" si="185"/>
        <v/>
      </c>
      <c r="BA288" s="32" t="str">
        <f>IF($A289="","",F288*Summary!$Q$12)</f>
        <v/>
      </c>
    </row>
    <row r="289" spans="1:53" ht="12" customHeight="1">
      <c r="A289" s="67" t="str">
        <f t="shared" si="186"/>
        <v/>
      </c>
      <c r="B289" s="69" t="str">
        <f t="shared" si="188"/>
        <v/>
      </c>
      <c r="C289" s="71"/>
      <c r="D289" s="69" t="str">
        <f t="shared" si="152"/>
        <v/>
      </c>
      <c r="E289" s="70" t="str">
        <f t="shared" si="153"/>
        <v/>
      </c>
      <c r="F289" s="70" t="str">
        <f t="shared" si="154"/>
        <v/>
      </c>
      <c r="G289" s="63" t="str">
        <f t="shared" si="155"/>
        <v/>
      </c>
      <c r="H289" s="64" t="str">
        <f t="shared" si="156"/>
        <v/>
      </c>
      <c r="I289" s="43"/>
      <c r="J289" s="63" t="str">
        <f t="shared" si="157"/>
        <v/>
      </c>
      <c r="K289" s="64" t="str">
        <f t="shared" si="158"/>
        <v/>
      </c>
      <c r="L289" s="63" t="str">
        <f t="shared" si="159"/>
        <v/>
      </c>
      <c r="M289" s="64" t="str">
        <f t="shared" si="160"/>
        <v/>
      </c>
      <c r="N289" s="65"/>
      <c r="O289" s="63" t="str">
        <f t="shared" si="161"/>
        <v/>
      </c>
      <c r="P289" s="63" t="str">
        <f t="shared" si="162"/>
        <v/>
      </c>
      <c r="Q289" s="66"/>
      <c r="R289" s="63" t="str">
        <f t="shared" si="163"/>
        <v/>
      </c>
      <c r="S289" s="64" t="str">
        <f t="shared" si="164"/>
        <v/>
      </c>
      <c r="T289" s="63" t="str">
        <f t="shared" si="165"/>
        <v/>
      </c>
      <c r="U289" s="64" t="str">
        <f t="shared" si="166"/>
        <v/>
      </c>
      <c r="V289" s="90" t="str">
        <f>IF($A290="","",IF(AND(MONTH(A289)&gt;3,MONTH(A289)&lt;11),(T289+R289+G289)*(((1/(1-Summary!$T$12))/(1-Summary!$W$12))-1),(T289+R289+G289)*((1/(1-Summary!$U$12))/(1-Summary!$X$12)-1)))</f>
        <v/>
      </c>
      <c r="W289" s="63" t="str">
        <f t="shared" si="167"/>
        <v/>
      </c>
      <c r="X289" s="63" t="str">
        <f t="shared" si="168"/>
        <v/>
      </c>
      <c r="Y289" s="43"/>
      <c r="Z289" s="38" t="str">
        <f t="shared" si="169"/>
        <v/>
      </c>
      <c r="AA289" s="38" t="str">
        <f t="shared" si="170"/>
        <v/>
      </c>
      <c r="AB289" s="38" t="e">
        <f t="shared" si="171"/>
        <v>#VALUE!</v>
      </c>
      <c r="AC289" s="38" t="str">
        <f t="shared" si="172"/>
        <v/>
      </c>
      <c r="AD289" s="38" t="str">
        <f t="shared" si="172"/>
        <v/>
      </c>
      <c r="AE289" s="38" t="e">
        <f t="shared" si="173"/>
        <v>#VALUE!</v>
      </c>
      <c r="AF289" s="238" t="e">
        <f>((Summary!$N$12*(AA289*AD289)*(A289-$D$3))+(Summary!$M$12*Z289*AC289*(AJ289-EOMONTH(EDATE(A289,-1),0))))/(AK289*AB289*AE289)</f>
        <v>#VALUE!</v>
      </c>
      <c r="AG289" s="88" t="str">
        <f>IF($A290="","",Summary!$Q$12)</f>
        <v/>
      </c>
      <c r="AH289" s="88" t="str">
        <f>IF($A290="","",IF(Summary!$R$12="Y",(VLOOKUP($A289,Summary!$AD$6:$AF$9,3)+'Escalating commodity'!H302),'Escalating commodity'!H302))</f>
        <v/>
      </c>
      <c r="AI289" s="88" t="str">
        <f t="shared" si="187"/>
        <v/>
      </c>
      <c r="AJ289" s="236" t="e">
        <f t="shared" si="174"/>
        <v>#VALUE!</v>
      </c>
      <c r="AK289" s="58" t="str">
        <f t="shared" si="175"/>
        <v/>
      </c>
      <c r="AL289" s="26" t="str">
        <f>IF($A290="","",_xll.SPRDOPT(P289,X289,AI289,0,AB289,AE289,AF289,AK289,$AJ$2,0))</f>
        <v/>
      </c>
      <c r="AM289" s="89" t="str">
        <f t="shared" si="176"/>
        <v/>
      </c>
      <c r="AN289" s="89" t="str">
        <f t="shared" si="177"/>
        <v/>
      </c>
      <c r="AO289" s="3" t="str">
        <f t="shared" si="178"/>
        <v/>
      </c>
      <c r="AP289" s="33" t="str">
        <f t="shared" si="179"/>
        <v/>
      </c>
      <c r="AQ289" s="58" t="str">
        <f t="shared" si="180"/>
        <v/>
      </c>
      <c r="AR289" s="38">
        <f>'ANR OK vs ML7'!AR289</f>
        <v>0.1</v>
      </c>
      <c r="AS289" s="35" t="str">
        <f t="shared" si="181"/>
        <v/>
      </c>
      <c r="AT289" s="3" t="str">
        <f t="shared" si="182"/>
        <v/>
      </c>
      <c r="AU289" s="3" t="str">
        <f t="shared" si="183"/>
        <v/>
      </c>
      <c r="AW289" s="32" t="str">
        <f t="shared" si="184"/>
        <v/>
      </c>
      <c r="AX289" s="32" t="str">
        <f t="shared" si="184"/>
        <v/>
      </c>
      <c r="AY289" s="32" t="str">
        <f t="shared" si="185"/>
        <v/>
      </c>
      <c r="BA289" s="32" t="str">
        <f>IF($A290="","",F289*Summary!$Q$12)</f>
        <v/>
      </c>
    </row>
    <row r="290" spans="1:53" ht="12" customHeight="1">
      <c r="A290" s="67" t="str">
        <f t="shared" si="186"/>
        <v/>
      </c>
      <c r="B290" s="69" t="str">
        <f t="shared" si="188"/>
        <v/>
      </c>
      <c r="C290" s="71"/>
      <c r="D290" s="69" t="str">
        <f t="shared" si="152"/>
        <v/>
      </c>
      <c r="E290" s="70" t="str">
        <f t="shared" si="153"/>
        <v/>
      </c>
      <c r="F290" s="70" t="str">
        <f t="shared" si="154"/>
        <v/>
      </c>
      <c r="G290" s="63" t="str">
        <f t="shared" si="155"/>
        <v/>
      </c>
      <c r="H290" s="64" t="str">
        <f t="shared" si="156"/>
        <v/>
      </c>
      <c r="I290" s="43"/>
      <c r="J290" s="63" t="str">
        <f t="shared" si="157"/>
        <v/>
      </c>
      <c r="K290" s="64" t="str">
        <f t="shared" si="158"/>
        <v/>
      </c>
      <c r="L290" s="63" t="str">
        <f t="shared" si="159"/>
        <v/>
      </c>
      <c r="M290" s="64" t="str">
        <f t="shared" si="160"/>
        <v/>
      </c>
      <c r="N290" s="65"/>
      <c r="O290" s="63" t="str">
        <f t="shared" si="161"/>
        <v/>
      </c>
      <c r="P290" s="63" t="str">
        <f t="shared" si="162"/>
        <v/>
      </c>
      <c r="Q290" s="66"/>
      <c r="R290" s="63" t="str">
        <f t="shared" si="163"/>
        <v/>
      </c>
      <c r="S290" s="64" t="str">
        <f t="shared" si="164"/>
        <v/>
      </c>
      <c r="T290" s="63" t="str">
        <f t="shared" si="165"/>
        <v/>
      </c>
      <c r="U290" s="64" t="str">
        <f t="shared" si="166"/>
        <v/>
      </c>
      <c r="V290" s="90" t="str">
        <f>IF($A291="","",IF(AND(MONTH(A290)&gt;3,MONTH(A290)&lt;11),(T290+R290+G290)*(((1/(1-Summary!$T$12))/(1-Summary!$W$12))-1),(T290+R290+G290)*((1/(1-Summary!$U$12))/(1-Summary!$X$12)-1)))</f>
        <v/>
      </c>
      <c r="W290" s="63" t="str">
        <f t="shared" si="167"/>
        <v/>
      </c>
      <c r="X290" s="63" t="str">
        <f t="shared" si="168"/>
        <v/>
      </c>
      <c r="Y290" s="43"/>
      <c r="Z290" s="38" t="str">
        <f t="shared" si="169"/>
        <v/>
      </c>
      <c r="AA290" s="38" t="str">
        <f t="shared" si="170"/>
        <v/>
      </c>
      <c r="AB290" s="38" t="e">
        <f t="shared" si="171"/>
        <v>#VALUE!</v>
      </c>
      <c r="AC290" s="38" t="str">
        <f t="shared" si="172"/>
        <v/>
      </c>
      <c r="AD290" s="38" t="str">
        <f t="shared" si="172"/>
        <v/>
      </c>
      <c r="AE290" s="38" t="e">
        <f t="shared" si="173"/>
        <v>#VALUE!</v>
      </c>
      <c r="AF290" s="238" t="e">
        <f>((Summary!$N$12*(AA290*AD290)*(A290-$D$3))+(Summary!$M$12*Z290*AC290*(AJ290-EOMONTH(EDATE(A290,-1),0))))/(AK290*AB290*AE290)</f>
        <v>#VALUE!</v>
      </c>
      <c r="AG290" s="88" t="str">
        <f>IF($A291="","",Summary!$Q$12)</f>
        <v/>
      </c>
      <c r="AH290" s="88" t="str">
        <f>IF($A291="","",IF(Summary!$R$12="Y",(VLOOKUP($A290,Summary!$AD$6:$AF$9,3)+'Escalating commodity'!H303),'Escalating commodity'!H303))</f>
        <v/>
      </c>
      <c r="AI290" s="88" t="str">
        <f t="shared" si="187"/>
        <v/>
      </c>
      <c r="AJ290" s="236" t="e">
        <f t="shared" si="174"/>
        <v>#VALUE!</v>
      </c>
      <c r="AK290" s="58" t="str">
        <f t="shared" si="175"/>
        <v/>
      </c>
      <c r="AL290" s="26" t="str">
        <f>IF($A291="","",_xll.SPRDOPT(P290,X290,AI290,0,AB290,AE290,AF290,AK290,$AJ$2,0))</f>
        <v/>
      </c>
      <c r="AM290" s="89" t="str">
        <f t="shared" si="176"/>
        <v/>
      </c>
      <c r="AN290" s="89" t="str">
        <f t="shared" si="177"/>
        <v/>
      </c>
      <c r="AO290" s="3" t="str">
        <f t="shared" si="178"/>
        <v/>
      </c>
      <c r="AP290" s="33" t="str">
        <f t="shared" si="179"/>
        <v/>
      </c>
      <c r="AQ290" s="58" t="str">
        <f t="shared" si="180"/>
        <v/>
      </c>
      <c r="AR290" s="38">
        <f>'ANR OK vs ML7'!AR290</f>
        <v>0.1</v>
      </c>
      <c r="AS290" s="35" t="str">
        <f t="shared" si="181"/>
        <v/>
      </c>
      <c r="AT290" s="3" t="str">
        <f t="shared" si="182"/>
        <v/>
      </c>
      <c r="AU290" s="3" t="str">
        <f t="shared" si="183"/>
        <v/>
      </c>
      <c r="AW290" s="32" t="str">
        <f t="shared" si="184"/>
        <v/>
      </c>
      <c r="AX290" s="32" t="str">
        <f t="shared" si="184"/>
        <v/>
      </c>
      <c r="AY290" s="32" t="str">
        <f t="shared" si="185"/>
        <v/>
      </c>
      <c r="BA290" s="32" t="str">
        <f>IF($A291="","",F290*Summary!$Q$12)</f>
        <v/>
      </c>
    </row>
    <row r="291" spans="1:53" ht="12" customHeight="1">
      <c r="A291" s="67" t="str">
        <f t="shared" si="186"/>
        <v/>
      </c>
      <c r="B291" s="69" t="str">
        <f t="shared" si="188"/>
        <v/>
      </c>
      <c r="C291" s="71"/>
      <c r="D291" s="69" t="str">
        <f t="shared" si="152"/>
        <v/>
      </c>
      <c r="E291" s="70" t="str">
        <f t="shared" si="153"/>
        <v/>
      </c>
      <c r="F291" s="70" t="str">
        <f t="shared" si="154"/>
        <v/>
      </c>
      <c r="G291" s="63" t="str">
        <f t="shared" si="155"/>
        <v/>
      </c>
      <c r="H291" s="64" t="str">
        <f t="shared" si="156"/>
        <v/>
      </c>
      <c r="I291" s="43"/>
      <c r="J291" s="63" t="str">
        <f t="shared" si="157"/>
        <v/>
      </c>
      <c r="K291" s="64" t="str">
        <f t="shared" si="158"/>
        <v/>
      </c>
      <c r="L291" s="63" t="str">
        <f t="shared" si="159"/>
        <v/>
      </c>
      <c r="M291" s="64" t="str">
        <f t="shared" si="160"/>
        <v/>
      </c>
      <c r="N291" s="65"/>
      <c r="O291" s="63" t="str">
        <f t="shared" si="161"/>
        <v/>
      </c>
      <c r="P291" s="63" t="str">
        <f t="shared" si="162"/>
        <v/>
      </c>
      <c r="Q291" s="66"/>
      <c r="R291" s="63" t="str">
        <f t="shared" si="163"/>
        <v/>
      </c>
      <c r="S291" s="64" t="str">
        <f t="shared" si="164"/>
        <v/>
      </c>
      <c r="T291" s="63" t="str">
        <f t="shared" si="165"/>
        <v/>
      </c>
      <c r="U291" s="64" t="str">
        <f t="shared" si="166"/>
        <v/>
      </c>
      <c r="V291" s="90" t="str">
        <f>IF($A292="","",IF(AND(MONTH(A291)&gt;3,MONTH(A291)&lt;11),(T291+R291+G291)*(((1/(1-Summary!$T$12))/(1-Summary!$W$12))-1),(T291+R291+G291)*((1/(1-Summary!$U$12))/(1-Summary!$X$12)-1)))</f>
        <v/>
      </c>
      <c r="W291" s="63" t="str">
        <f t="shared" si="167"/>
        <v/>
      </c>
      <c r="X291" s="63" t="str">
        <f t="shared" si="168"/>
        <v/>
      </c>
      <c r="Y291" s="43"/>
      <c r="Z291" s="38" t="str">
        <f t="shared" si="169"/>
        <v/>
      </c>
      <c r="AA291" s="38" t="str">
        <f t="shared" si="170"/>
        <v/>
      </c>
      <c r="AB291" s="38" t="e">
        <f t="shared" si="171"/>
        <v>#VALUE!</v>
      </c>
      <c r="AC291" s="38" t="str">
        <f t="shared" si="172"/>
        <v/>
      </c>
      <c r="AD291" s="38" t="str">
        <f t="shared" si="172"/>
        <v/>
      </c>
      <c r="AE291" s="38" t="e">
        <f t="shared" si="173"/>
        <v>#VALUE!</v>
      </c>
      <c r="AF291" s="238" t="e">
        <f>((Summary!$N$12*(AA291*AD291)*(A291-$D$3))+(Summary!$M$12*Z291*AC291*(AJ291-EOMONTH(EDATE(A291,-1),0))))/(AK291*AB291*AE291)</f>
        <v>#VALUE!</v>
      </c>
      <c r="AG291" s="88" t="str">
        <f>IF($A292="","",Summary!$Q$12)</f>
        <v/>
      </c>
      <c r="AH291" s="88" t="str">
        <f>IF($A292="","",IF(Summary!$R$12="Y",(VLOOKUP($A291,Summary!$AD$6:$AF$9,3)+'Escalating commodity'!H304),'Escalating commodity'!H304))</f>
        <v/>
      </c>
      <c r="AI291" s="88" t="str">
        <f t="shared" si="187"/>
        <v/>
      </c>
      <c r="AJ291" s="236" t="e">
        <f t="shared" si="174"/>
        <v>#VALUE!</v>
      </c>
      <c r="AK291" s="58" t="str">
        <f t="shared" si="175"/>
        <v/>
      </c>
      <c r="AL291" s="26" t="str">
        <f>IF($A292="","",_xll.SPRDOPT(P291,X291,AI291,0,AB291,AE291,AF291,AK291,$AJ$2,0))</f>
        <v/>
      </c>
      <c r="AM291" s="89" t="str">
        <f t="shared" si="176"/>
        <v/>
      </c>
      <c r="AN291" s="89" t="str">
        <f t="shared" si="177"/>
        <v/>
      </c>
      <c r="AO291" s="3" t="str">
        <f t="shared" si="178"/>
        <v/>
      </c>
      <c r="AP291" s="33" t="str">
        <f t="shared" si="179"/>
        <v/>
      </c>
      <c r="AQ291" s="58" t="str">
        <f t="shared" si="180"/>
        <v/>
      </c>
      <c r="AR291" s="38">
        <f>'ANR OK vs ML7'!AR291</f>
        <v>0.1</v>
      </c>
      <c r="AS291" s="35" t="str">
        <f t="shared" si="181"/>
        <v/>
      </c>
      <c r="AT291" s="3" t="str">
        <f t="shared" si="182"/>
        <v/>
      </c>
      <c r="AU291" s="3" t="str">
        <f t="shared" si="183"/>
        <v/>
      </c>
      <c r="AW291" s="32" t="str">
        <f t="shared" si="184"/>
        <v/>
      </c>
      <c r="AX291" s="32" t="str">
        <f t="shared" si="184"/>
        <v/>
      </c>
      <c r="AY291" s="32" t="str">
        <f t="shared" si="185"/>
        <v/>
      </c>
      <c r="BA291" s="32" t="str">
        <f>IF($A292="","",F291*Summary!$Q$12)</f>
        <v/>
      </c>
    </row>
    <row r="292" spans="1:53" ht="12" customHeight="1">
      <c r="A292" s="67" t="str">
        <f t="shared" si="186"/>
        <v/>
      </c>
      <c r="B292" s="69" t="str">
        <f t="shared" si="188"/>
        <v/>
      </c>
      <c r="C292" s="71"/>
      <c r="D292" s="69" t="str">
        <f t="shared" si="152"/>
        <v/>
      </c>
      <c r="E292" s="70" t="str">
        <f t="shared" si="153"/>
        <v/>
      </c>
      <c r="F292" s="70" t="str">
        <f t="shared" si="154"/>
        <v/>
      </c>
      <c r="G292" s="63" t="str">
        <f t="shared" si="155"/>
        <v/>
      </c>
      <c r="H292" s="64" t="str">
        <f t="shared" si="156"/>
        <v/>
      </c>
      <c r="I292" s="43"/>
      <c r="J292" s="63" t="str">
        <f t="shared" si="157"/>
        <v/>
      </c>
      <c r="K292" s="64" t="str">
        <f t="shared" si="158"/>
        <v/>
      </c>
      <c r="L292" s="63" t="str">
        <f t="shared" si="159"/>
        <v/>
      </c>
      <c r="M292" s="64" t="str">
        <f t="shared" si="160"/>
        <v/>
      </c>
      <c r="N292" s="65"/>
      <c r="O292" s="63" t="str">
        <f t="shared" si="161"/>
        <v/>
      </c>
      <c r="P292" s="63" t="str">
        <f t="shared" si="162"/>
        <v/>
      </c>
      <c r="Q292" s="66"/>
      <c r="R292" s="63" t="str">
        <f t="shared" si="163"/>
        <v/>
      </c>
      <c r="S292" s="64" t="str">
        <f t="shared" si="164"/>
        <v/>
      </c>
      <c r="T292" s="63" t="str">
        <f t="shared" si="165"/>
        <v/>
      </c>
      <c r="U292" s="64" t="str">
        <f t="shared" si="166"/>
        <v/>
      </c>
      <c r="V292" s="90" t="str">
        <f>IF($A293="","",IF(AND(MONTH(A292)&gt;3,MONTH(A292)&lt;11),(T292+R292+G292)*(((1/(1-Summary!$T$12))/(1-Summary!$W$12))-1),(T292+R292+G292)*((1/(1-Summary!$U$12))/(1-Summary!$X$12)-1)))</f>
        <v/>
      </c>
      <c r="W292" s="63" t="str">
        <f t="shared" si="167"/>
        <v/>
      </c>
      <c r="X292" s="63" t="str">
        <f t="shared" si="168"/>
        <v/>
      </c>
      <c r="Y292" s="43"/>
      <c r="Z292" s="38" t="str">
        <f t="shared" si="169"/>
        <v/>
      </c>
      <c r="AA292" s="38" t="str">
        <f t="shared" si="170"/>
        <v/>
      </c>
      <c r="AB292" s="38" t="e">
        <f t="shared" si="171"/>
        <v>#VALUE!</v>
      </c>
      <c r="AC292" s="38" t="str">
        <f t="shared" si="172"/>
        <v/>
      </c>
      <c r="AD292" s="38" t="str">
        <f t="shared" si="172"/>
        <v/>
      </c>
      <c r="AE292" s="38" t="e">
        <f t="shared" si="173"/>
        <v>#VALUE!</v>
      </c>
      <c r="AF292" s="238" t="e">
        <f>((Summary!$N$12*(AA292*AD292)*(A292-$D$3))+(Summary!$M$12*Z292*AC292*(AJ292-EOMONTH(EDATE(A292,-1),0))))/(AK292*AB292*AE292)</f>
        <v>#VALUE!</v>
      </c>
      <c r="AG292" s="88" t="str">
        <f>IF($A293="","",Summary!$Q$12)</f>
        <v/>
      </c>
      <c r="AH292" s="88" t="str">
        <f>IF($A293="","",IF(Summary!$R$12="Y",(VLOOKUP($A292,Summary!$AD$6:$AF$9,3)+'Escalating commodity'!H305),'Escalating commodity'!H305))</f>
        <v/>
      </c>
      <c r="AI292" s="88" t="str">
        <f t="shared" si="187"/>
        <v/>
      </c>
      <c r="AJ292" s="236" t="e">
        <f t="shared" si="174"/>
        <v>#VALUE!</v>
      </c>
      <c r="AK292" s="58" t="str">
        <f t="shared" si="175"/>
        <v/>
      </c>
      <c r="AL292" s="26" t="str">
        <f>IF($A293="","",_xll.SPRDOPT(P292,X292,AI292,0,AB292,AE292,AF292,AK292,$AJ$2,0))</f>
        <v/>
      </c>
      <c r="AM292" s="89" t="str">
        <f t="shared" si="176"/>
        <v/>
      </c>
      <c r="AN292" s="89" t="str">
        <f t="shared" si="177"/>
        <v/>
      </c>
      <c r="AO292" s="3" t="str">
        <f t="shared" si="178"/>
        <v/>
      </c>
      <c r="AP292" s="33" t="str">
        <f t="shared" si="179"/>
        <v/>
      </c>
      <c r="AQ292" s="58" t="str">
        <f t="shared" si="180"/>
        <v/>
      </c>
      <c r="AR292" s="38">
        <f>'ANR OK vs ML7'!AR292</f>
        <v>0.1</v>
      </c>
      <c r="AS292" s="35" t="str">
        <f t="shared" si="181"/>
        <v/>
      </c>
      <c r="AT292" s="3" t="str">
        <f t="shared" si="182"/>
        <v/>
      </c>
      <c r="AU292" s="3" t="str">
        <f t="shared" si="183"/>
        <v/>
      </c>
      <c r="AW292" s="32" t="str">
        <f t="shared" si="184"/>
        <v/>
      </c>
      <c r="AX292" s="32" t="str">
        <f t="shared" si="184"/>
        <v/>
      </c>
      <c r="AY292" s="32" t="str">
        <f t="shared" si="185"/>
        <v/>
      </c>
      <c r="BA292" s="32" t="str">
        <f>IF($A293="","",F292*Summary!$Q$12)</f>
        <v/>
      </c>
    </row>
    <row r="293" spans="1:53" ht="12" customHeight="1">
      <c r="A293" s="67" t="str">
        <f t="shared" si="186"/>
        <v/>
      </c>
      <c r="B293" s="69" t="str">
        <f t="shared" si="188"/>
        <v/>
      </c>
      <c r="C293" s="71"/>
      <c r="D293" s="69" t="str">
        <f t="shared" si="152"/>
        <v/>
      </c>
      <c r="E293" s="70" t="str">
        <f t="shared" si="153"/>
        <v/>
      </c>
      <c r="F293" s="70" t="str">
        <f t="shared" si="154"/>
        <v/>
      </c>
      <c r="G293" s="63" t="str">
        <f t="shared" si="155"/>
        <v/>
      </c>
      <c r="H293" s="64" t="str">
        <f t="shared" si="156"/>
        <v/>
      </c>
      <c r="I293" s="43"/>
      <c r="J293" s="63" t="str">
        <f t="shared" si="157"/>
        <v/>
      </c>
      <c r="K293" s="64" t="str">
        <f t="shared" si="158"/>
        <v/>
      </c>
      <c r="L293" s="63" t="str">
        <f t="shared" si="159"/>
        <v/>
      </c>
      <c r="M293" s="64" t="str">
        <f t="shared" si="160"/>
        <v/>
      </c>
      <c r="N293" s="65"/>
      <c r="O293" s="63" t="str">
        <f t="shared" si="161"/>
        <v/>
      </c>
      <c r="P293" s="63" t="str">
        <f t="shared" si="162"/>
        <v/>
      </c>
      <c r="Q293" s="66"/>
      <c r="R293" s="63" t="str">
        <f t="shared" si="163"/>
        <v/>
      </c>
      <c r="S293" s="64" t="str">
        <f t="shared" si="164"/>
        <v/>
      </c>
      <c r="T293" s="63" t="str">
        <f t="shared" si="165"/>
        <v/>
      </c>
      <c r="U293" s="64" t="str">
        <f t="shared" si="166"/>
        <v/>
      </c>
      <c r="V293" s="90" t="str">
        <f>IF($A294="","",IF(AND(MONTH(A293)&gt;3,MONTH(A293)&lt;11),(T293+R293+G293)*(((1/(1-Summary!$T$12))/(1-Summary!$W$12))-1),(T293+R293+G293)*((1/(1-Summary!$U$12))/(1-Summary!$X$12)-1)))</f>
        <v/>
      </c>
      <c r="W293" s="63" t="str">
        <f t="shared" si="167"/>
        <v/>
      </c>
      <c r="X293" s="63" t="str">
        <f t="shared" si="168"/>
        <v/>
      </c>
      <c r="Y293" s="43"/>
      <c r="Z293" s="38" t="str">
        <f t="shared" si="169"/>
        <v/>
      </c>
      <c r="AA293" s="38" t="str">
        <f t="shared" si="170"/>
        <v/>
      </c>
      <c r="AB293" s="38" t="e">
        <f t="shared" si="171"/>
        <v>#VALUE!</v>
      </c>
      <c r="AC293" s="38" t="str">
        <f t="shared" si="172"/>
        <v/>
      </c>
      <c r="AD293" s="38" t="str">
        <f t="shared" si="172"/>
        <v/>
      </c>
      <c r="AE293" s="38" t="e">
        <f t="shared" si="173"/>
        <v>#VALUE!</v>
      </c>
      <c r="AF293" s="238" t="e">
        <f>((Summary!$N$12*(AA293*AD293)*(A293-$D$3))+(Summary!$M$12*Z293*AC293*(AJ293-EOMONTH(EDATE(A293,-1),0))))/(AK293*AB293*AE293)</f>
        <v>#VALUE!</v>
      </c>
      <c r="AG293" s="88" t="str">
        <f>IF($A294="","",Summary!$Q$12)</f>
        <v/>
      </c>
      <c r="AH293" s="88" t="str">
        <f>IF($A294="","",IF(Summary!$R$12="Y",(VLOOKUP($A293,Summary!$AD$6:$AF$9,3)+'Escalating commodity'!H306),'Escalating commodity'!H306))</f>
        <v/>
      </c>
      <c r="AI293" s="88" t="str">
        <f t="shared" si="187"/>
        <v/>
      </c>
      <c r="AJ293" s="236" t="e">
        <f t="shared" si="174"/>
        <v>#VALUE!</v>
      </c>
      <c r="AK293" s="58" t="str">
        <f t="shared" si="175"/>
        <v/>
      </c>
      <c r="AL293" s="26" t="str">
        <f>IF($A294="","",_xll.SPRDOPT(P293,X293,AI293,0,AB293,AE293,AF293,AK293,$AJ$2,0))</f>
        <v/>
      </c>
      <c r="AM293" s="89" t="str">
        <f t="shared" si="176"/>
        <v/>
      </c>
      <c r="AN293" s="89" t="str">
        <f t="shared" si="177"/>
        <v/>
      </c>
      <c r="AO293" s="3" t="str">
        <f t="shared" si="178"/>
        <v/>
      </c>
      <c r="AP293" s="33" t="str">
        <f t="shared" si="179"/>
        <v/>
      </c>
      <c r="AQ293" s="58" t="str">
        <f t="shared" si="180"/>
        <v/>
      </c>
      <c r="AR293" s="38">
        <f>'ANR OK vs ML7'!AR293</f>
        <v>0.1</v>
      </c>
      <c r="AS293" s="35" t="str">
        <f t="shared" si="181"/>
        <v/>
      </c>
      <c r="AT293" s="3" t="str">
        <f t="shared" si="182"/>
        <v/>
      </c>
      <c r="AU293" s="3" t="str">
        <f t="shared" si="183"/>
        <v/>
      </c>
      <c r="AW293" s="32" t="str">
        <f t="shared" si="184"/>
        <v/>
      </c>
      <c r="AX293" s="32" t="str">
        <f t="shared" si="184"/>
        <v/>
      </c>
      <c r="AY293" s="32" t="str">
        <f t="shared" si="185"/>
        <v/>
      </c>
      <c r="BA293" s="32" t="str">
        <f>IF($A294="","",F293*Summary!$Q$12)</f>
        <v/>
      </c>
    </row>
    <row r="294" spans="1:53" ht="12" customHeight="1">
      <c r="A294" s="67" t="str">
        <f t="shared" si="186"/>
        <v/>
      </c>
      <c r="B294" s="69" t="str">
        <f t="shared" si="188"/>
        <v/>
      </c>
      <c r="C294" s="71"/>
      <c r="D294" s="69" t="str">
        <f t="shared" si="152"/>
        <v/>
      </c>
      <c r="E294" s="70" t="str">
        <f t="shared" si="153"/>
        <v/>
      </c>
      <c r="F294" s="70" t="str">
        <f t="shared" si="154"/>
        <v/>
      </c>
      <c r="G294" s="63" t="str">
        <f t="shared" si="155"/>
        <v/>
      </c>
      <c r="H294" s="64" t="str">
        <f t="shared" si="156"/>
        <v/>
      </c>
      <c r="I294" s="43"/>
      <c r="J294" s="63" t="str">
        <f t="shared" si="157"/>
        <v/>
      </c>
      <c r="K294" s="64" t="str">
        <f t="shared" si="158"/>
        <v/>
      </c>
      <c r="L294" s="63" t="str">
        <f t="shared" si="159"/>
        <v/>
      </c>
      <c r="M294" s="64" t="str">
        <f t="shared" si="160"/>
        <v/>
      </c>
      <c r="N294" s="65"/>
      <c r="O294" s="63" t="str">
        <f t="shared" si="161"/>
        <v/>
      </c>
      <c r="P294" s="63" t="str">
        <f t="shared" si="162"/>
        <v/>
      </c>
      <c r="Q294" s="66"/>
      <c r="R294" s="63" t="str">
        <f t="shared" si="163"/>
        <v/>
      </c>
      <c r="S294" s="64" t="str">
        <f t="shared" si="164"/>
        <v/>
      </c>
      <c r="T294" s="63" t="str">
        <f t="shared" si="165"/>
        <v/>
      </c>
      <c r="U294" s="64" t="str">
        <f t="shared" si="166"/>
        <v/>
      </c>
      <c r="V294" s="90" t="str">
        <f>IF($A295="","",IF(AND(MONTH(A294)&gt;3,MONTH(A294)&lt;11),(T294+R294+G294)*(((1/(1-Summary!$T$12))/(1-Summary!$W$12))-1),(T294+R294+G294)*((1/(1-Summary!$U$12))/(1-Summary!$X$12)-1)))</f>
        <v/>
      </c>
      <c r="W294" s="63" t="str">
        <f t="shared" si="167"/>
        <v/>
      </c>
      <c r="X294" s="63" t="str">
        <f t="shared" si="168"/>
        <v/>
      </c>
      <c r="Y294" s="43"/>
      <c r="Z294" s="38" t="str">
        <f t="shared" si="169"/>
        <v/>
      </c>
      <c r="AA294" s="38" t="str">
        <f t="shared" si="170"/>
        <v/>
      </c>
      <c r="AB294" s="38" t="e">
        <f t="shared" si="171"/>
        <v>#VALUE!</v>
      </c>
      <c r="AC294" s="38" t="str">
        <f t="shared" si="172"/>
        <v/>
      </c>
      <c r="AD294" s="38" t="str">
        <f t="shared" si="172"/>
        <v/>
      </c>
      <c r="AE294" s="38" t="e">
        <f t="shared" si="173"/>
        <v>#VALUE!</v>
      </c>
      <c r="AF294" s="238" t="e">
        <f>((Summary!$N$12*(AA294*AD294)*(A294-$D$3))+(Summary!$M$12*Z294*AC294*(AJ294-EOMONTH(EDATE(A294,-1),0))))/(AK294*AB294*AE294)</f>
        <v>#VALUE!</v>
      </c>
      <c r="AG294" s="88" t="str">
        <f>IF($A295="","",Summary!$Q$12)</f>
        <v/>
      </c>
      <c r="AH294" s="88" t="str">
        <f>IF($A295="","",IF(Summary!$R$12="Y",(VLOOKUP($A294,Summary!$AD$6:$AF$9,3)+'Escalating commodity'!H307),'Escalating commodity'!H307))</f>
        <v/>
      </c>
      <c r="AI294" s="88" t="str">
        <f t="shared" si="187"/>
        <v/>
      </c>
      <c r="AJ294" s="236" t="e">
        <f t="shared" si="174"/>
        <v>#VALUE!</v>
      </c>
      <c r="AK294" s="58" t="str">
        <f t="shared" si="175"/>
        <v/>
      </c>
      <c r="AL294" s="26" t="str">
        <f>IF($A295="","",_xll.SPRDOPT(P294,X294,AI294,0,AB294,AE294,AF294,AK294,$AJ$2,0))</f>
        <v/>
      </c>
      <c r="AM294" s="89" t="str">
        <f t="shared" si="176"/>
        <v/>
      </c>
      <c r="AN294" s="89" t="str">
        <f t="shared" si="177"/>
        <v/>
      </c>
      <c r="AO294" s="3" t="str">
        <f t="shared" si="178"/>
        <v/>
      </c>
      <c r="AP294" s="33" t="str">
        <f t="shared" si="179"/>
        <v/>
      </c>
      <c r="AQ294" s="58" t="str">
        <f t="shared" si="180"/>
        <v/>
      </c>
      <c r="AR294" s="38">
        <f>'ANR OK vs ML7'!AR294</f>
        <v>0.1</v>
      </c>
      <c r="AS294" s="35" t="str">
        <f t="shared" si="181"/>
        <v/>
      </c>
      <c r="AT294" s="3" t="str">
        <f t="shared" si="182"/>
        <v/>
      </c>
      <c r="AU294" s="3" t="str">
        <f t="shared" si="183"/>
        <v/>
      </c>
      <c r="AW294" s="32" t="str">
        <f t="shared" si="184"/>
        <v/>
      </c>
      <c r="AX294" s="32" t="str">
        <f t="shared" si="184"/>
        <v/>
      </c>
      <c r="AY294" s="32" t="str">
        <f t="shared" si="185"/>
        <v/>
      </c>
      <c r="BA294" s="32" t="str">
        <f>IF($A295="","",F294*Summary!$Q$12)</f>
        <v/>
      </c>
    </row>
    <row r="295" spans="1:53" ht="12" customHeight="1">
      <c r="A295" s="67" t="str">
        <f t="shared" si="186"/>
        <v/>
      </c>
      <c r="B295" s="69" t="str">
        <f t="shared" si="188"/>
        <v/>
      </c>
      <c r="C295" s="71"/>
      <c r="D295" s="69" t="str">
        <f t="shared" si="152"/>
        <v/>
      </c>
      <c r="E295" s="70" t="str">
        <f t="shared" si="153"/>
        <v/>
      </c>
      <c r="F295" s="70" t="str">
        <f t="shared" si="154"/>
        <v/>
      </c>
      <c r="G295" s="63" t="str">
        <f t="shared" si="155"/>
        <v/>
      </c>
      <c r="H295" s="64" t="str">
        <f t="shared" si="156"/>
        <v/>
      </c>
      <c r="I295" s="43"/>
      <c r="J295" s="63" t="str">
        <f t="shared" si="157"/>
        <v/>
      </c>
      <c r="K295" s="64" t="str">
        <f t="shared" si="158"/>
        <v/>
      </c>
      <c r="L295" s="63" t="str">
        <f t="shared" si="159"/>
        <v/>
      </c>
      <c r="M295" s="64" t="str">
        <f t="shared" si="160"/>
        <v/>
      </c>
      <c r="N295" s="65"/>
      <c r="O295" s="63" t="str">
        <f t="shared" si="161"/>
        <v/>
      </c>
      <c r="P295" s="63" t="str">
        <f t="shared" si="162"/>
        <v/>
      </c>
      <c r="Q295" s="66"/>
      <c r="R295" s="63" t="str">
        <f t="shared" si="163"/>
        <v/>
      </c>
      <c r="S295" s="64" t="str">
        <f t="shared" si="164"/>
        <v/>
      </c>
      <c r="T295" s="63" t="str">
        <f t="shared" si="165"/>
        <v/>
      </c>
      <c r="U295" s="64" t="str">
        <f t="shared" si="166"/>
        <v/>
      </c>
      <c r="V295" s="90" t="str">
        <f>IF($A296="","",IF(AND(MONTH(A295)&gt;3,MONTH(A295)&lt;11),(T295+R295+G295)*(((1/(1-Summary!$T$12))/(1-Summary!$W$12))-1),(T295+R295+G295)*((1/(1-Summary!$U$12))/(1-Summary!$X$12)-1)))</f>
        <v/>
      </c>
      <c r="W295" s="63" t="str">
        <f t="shared" si="167"/>
        <v/>
      </c>
      <c r="X295" s="63" t="str">
        <f t="shared" si="168"/>
        <v/>
      </c>
      <c r="Y295" s="43"/>
      <c r="Z295" s="38" t="str">
        <f t="shared" si="169"/>
        <v/>
      </c>
      <c r="AA295" s="38" t="str">
        <f t="shared" si="170"/>
        <v/>
      </c>
      <c r="AB295" s="38" t="e">
        <f t="shared" si="171"/>
        <v>#VALUE!</v>
      </c>
      <c r="AC295" s="38" t="str">
        <f t="shared" si="172"/>
        <v/>
      </c>
      <c r="AD295" s="38" t="str">
        <f t="shared" si="172"/>
        <v/>
      </c>
      <c r="AE295" s="38" t="e">
        <f t="shared" si="173"/>
        <v>#VALUE!</v>
      </c>
      <c r="AF295" s="238" t="e">
        <f>((Summary!$N$12*(AA295*AD295)*(A295-$D$3))+(Summary!$M$12*Z295*AC295*(AJ295-EOMONTH(EDATE(A295,-1),0))))/(AK295*AB295*AE295)</f>
        <v>#VALUE!</v>
      </c>
      <c r="AG295" s="88" t="str">
        <f>IF($A296="","",Summary!$Q$12)</f>
        <v/>
      </c>
      <c r="AH295" s="88" t="str">
        <f>IF($A296="","",IF(Summary!$R$12="Y",(VLOOKUP($A295,Summary!$AD$6:$AF$9,3)+'Escalating commodity'!H308),'Escalating commodity'!H308))</f>
        <v/>
      </c>
      <c r="AI295" s="88" t="str">
        <f t="shared" si="187"/>
        <v/>
      </c>
      <c r="AJ295" s="236" t="e">
        <f t="shared" si="174"/>
        <v>#VALUE!</v>
      </c>
      <c r="AK295" s="58" t="str">
        <f t="shared" si="175"/>
        <v/>
      </c>
      <c r="AL295" s="26" t="str">
        <f>IF($A296="","",_xll.SPRDOPT(P295,X295,AI295,0,AB295,AE295,AF295,AK295,$AJ$2,0))</f>
        <v/>
      </c>
      <c r="AM295" s="89" t="str">
        <f t="shared" si="176"/>
        <v/>
      </c>
      <c r="AN295" s="89" t="str">
        <f t="shared" si="177"/>
        <v/>
      </c>
      <c r="AO295" s="3" t="str">
        <f t="shared" si="178"/>
        <v/>
      </c>
      <c r="AP295" s="33" t="str">
        <f t="shared" si="179"/>
        <v/>
      </c>
      <c r="AQ295" s="58" t="str">
        <f t="shared" si="180"/>
        <v/>
      </c>
      <c r="AR295" s="38">
        <f>'ANR OK vs ML7'!AR295</f>
        <v>0.1</v>
      </c>
      <c r="AS295" s="35" t="str">
        <f t="shared" si="181"/>
        <v/>
      </c>
      <c r="AT295" s="3" t="str">
        <f t="shared" si="182"/>
        <v/>
      </c>
      <c r="AU295" s="3" t="str">
        <f t="shared" si="183"/>
        <v/>
      </c>
      <c r="AW295" s="32" t="str">
        <f t="shared" si="184"/>
        <v/>
      </c>
      <c r="AX295" s="32" t="str">
        <f t="shared" si="184"/>
        <v/>
      </c>
      <c r="AY295" s="32" t="str">
        <f t="shared" si="185"/>
        <v/>
      </c>
      <c r="BA295" s="32" t="str">
        <f>IF($A296="","",F295*Summary!$Q$12)</f>
        <v/>
      </c>
    </row>
    <row r="296" spans="1:53" ht="12" customHeight="1">
      <c r="A296" s="67" t="str">
        <f t="shared" si="186"/>
        <v/>
      </c>
      <c r="B296" s="69" t="str">
        <f t="shared" si="188"/>
        <v/>
      </c>
      <c r="C296" s="71"/>
      <c r="D296" s="69" t="str">
        <f t="shared" si="152"/>
        <v/>
      </c>
      <c r="E296" s="70" t="str">
        <f t="shared" si="153"/>
        <v/>
      </c>
      <c r="F296" s="70" t="str">
        <f t="shared" si="154"/>
        <v/>
      </c>
      <c r="G296" s="63" t="str">
        <f t="shared" si="155"/>
        <v/>
      </c>
      <c r="H296" s="64" t="str">
        <f t="shared" si="156"/>
        <v/>
      </c>
      <c r="I296" s="43"/>
      <c r="J296" s="63" t="str">
        <f t="shared" si="157"/>
        <v/>
      </c>
      <c r="K296" s="64" t="str">
        <f t="shared" si="158"/>
        <v/>
      </c>
      <c r="L296" s="63" t="str">
        <f t="shared" si="159"/>
        <v/>
      </c>
      <c r="M296" s="64" t="str">
        <f t="shared" si="160"/>
        <v/>
      </c>
      <c r="N296" s="65"/>
      <c r="O296" s="63" t="str">
        <f t="shared" si="161"/>
        <v/>
      </c>
      <c r="P296" s="63" t="str">
        <f t="shared" si="162"/>
        <v/>
      </c>
      <c r="Q296" s="66"/>
      <c r="R296" s="63" t="str">
        <f t="shared" si="163"/>
        <v/>
      </c>
      <c r="S296" s="64" t="str">
        <f t="shared" si="164"/>
        <v/>
      </c>
      <c r="T296" s="63" t="str">
        <f t="shared" si="165"/>
        <v/>
      </c>
      <c r="U296" s="64" t="str">
        <f t="shared" si="166"/>
        <v/>
      </c>
      <c r="V296" s="90" t="str">
        <f>IF($A297="","",IF(AND(MONTH(A296)&gt;3,MONTH(A296)&lt;11),(T296+R296+G296)*(((1/(1-Summary!$T$12))/(1-Summary!$W$12))-1),(T296+R296+G296)*((1/(1-Summary!$U$12))/(1-Summary!$X$12)-1)))</f>
        <v/>
      </c>
      <c r="W296" s="63" t="str">
        <f t="shared" si="167"/>
        <v/>
      </c>
      <c r="X296" s="63" t="str">
        <f t="shared" si="168"/>
        <v/>
      </c>
      <c r="Y296" s="43"/>
      <c r="Z296" s="38" t="str">
        <f t="shared" si="169"/>
        <v/>
      </c>
      <c r="AA296" s="38" t="str">
        <f t="shared" si="170"/>
        <v/>
      </c>
      <c r="AB296" s="38" t="e">
        <f t="shared" si="171"/>
        <v>#VALUE!</v>
      </c>
      <c r="AC296" s="38" t="str">
        <f t="shared" si="172"/>
        <v/>
      </c>
      <c r="AD296" s="38" t="str">
        <f t="shared" si="172"/>
        <v/>
      </c>
      <c r="AE296" s="38" t="e">
        <f t="shared" si="173"/>
        <v>#VALUE!</v>
      </c>
      <c r="AF296" s="238" t="e">
        <f>((Summary!$N$12*(AA296*AD296)*(A296-$D$3))+(Summary!$M$12*Z296*AC296*(AJ296-EOMONTH(EDATE(A296,-1),0))))/(AK296*AB296*AE296)</f>
        <v>#VALUE!</v>
      </c>
      <c r="AG296" s="88" t="str">
        <f>IF($A297="","",Summary!$Q$12)</f>
        <v/>
      </c>
      <c r="AH296" s="88" t="str">
        <f>IF($A297="","",IF(Summary!$R$12="Y",(VLOOKUP($A296,Summary!$AD$6:$AF$9,3)+'Escalating commodity'!H309),'Escalating commodity'!H309))</f>
        <v/>
      </c>
      <c r="AI296" s="88" t="str">
        <f t="shared" si="187"/>
        <v/>
      </c>
      <c r="AJ296" s="236" t="e">
        <f t="shared" si="174"/>
        <v>#VALUE!</v>
      </c>
      <c r="AK296" s="58" t="str">
        <f t="shared" si="175"/>
        <v/>
      </c>
      <c r="AL296" s="26" t="str">
        <f>IF($A297="","",_xll.SPRDOPT(P296,X296,AI296,0,AB296,AE296,AF296,AK296,$AJ$2,0))</f>
        <v/>
      </c>
      <c r="AM296" s="89" t="str">
        <f t="shared" si="176"/>
        <v/>
      </c>
      <c r="AN296" s="89" t="str">
        <f t="shared" si="177"/>
        <v/>
      </c>
      <c r="AO296" s="3" t="str">
        <f t="shared" si="178"/>
        <v/>
      </c>
      <c r="AP296" s="33" t="str">
        <f t="shared" si="179"/>
        <v/>
      </c>
      <c r="AQ296" s="58" t="str">
        <f t="shared" si="180"/>
        <v/>
      </c>
      <c r="AR296" s="38">
        <f>'ANR OK vs ML7'!AR296</f>
        <v>0.1</v>
      </c>
      <c r="AS296" s="35" t="str">
        <f t="shared" si="181"/>
        <v/>
      </c>
      <c r="AT296" s="3" t="str">
        <f t="shared" si="182"/>
        <v/>
      </c>
      <c r="AU296" s="3" t="str">
        <f t="shared" si="183"/>
        <v/>
      </c>
      <c r="AW296" s="32" t="str">
        <f t="shared" si="184"/>
        <v/>
      </c>
      <c r="AX296" s="32" t="str">
        <f t="shared" si="184"/>
        <v/>
      </c>
      <c r="AY296" s="32" t="str">
        <f t="shared" si="185"/>
        <v/>
      </c>
      <c r="BA296" s="32" t="str">
        <f>IF($A297="","",F296*Summary!$Q$12)</f>
        <v/>
      </c>
    </row>
    <row r="297" spans="1:53" ht="12" customHeight="1">
      <c r="A297" s="67" t="str">
        <f t="shared" si="186"/>
        <v/>
      </c>
      <c r="B297" s="69" t="str">
        <f t="shared" si="188"/>
        <v/>
      </c>
      <c r="C297" s="71"/>
      <c r="D297" s="69" t="str">
        <f t="shared" si="152"/>
        <v/>
      </c>
      <c r="E297" s="70" t="str">
        <f t="shared" si="153"/>
        <v/>
      </c>
      <c r="F297" s="70" t="str">
        <f t="shared" si="154"/>
        <v/>
      </c>
      <c r="G297" s="63" t="str">
        <f t="shared" si="155"/>
        <v/>
      </c>
      <c r="H297" s="64" t="str">
        <f t="shared" si="156"/>
        <v/>
      </c>
      <c r="I297" s="43"/>
      <c r="J297" s="63" t="str">
        <f t="shared" si="157"/>
        <v/>
      </c>
      <c r="K297" s="64" t="str">
        <f t="shared" si="158"/>
        <v/>
      </c>
      <c r="L297" s="63" t="str">
        <f t="shared" si="159"/>
        <v/>
      </c>
      <c r="M297" s="64" t="str">
        <f t="shared" si="160"/>
        <v/>
      </c>
      <c r="N297" s="65"/>
      <c r="O297" s="63" t="str">
        <f t="shared" si="161"/>
        <v/>
      </c>
      <c r="P297" s="63" t="str">
        <f t="shared" si="162"/>
        <v/>
      </c>
      <c r="Q297" s="66"/>
      <c r="R297" s="63" t="str">
        <f t="shared" si="163"/>
        <v/>
      </c>
      <c r="S297" s="64" t="str">
        <f t="shared" si="164"/>
        <v/>
      </c>
      <c r="T297" s="63" t="str">
        <f t="shared" si="165"/>
        <v/>
      </c>
      <c r="U297" s="64" t="str">
        <f t="shared" si="166"/>
        <v/>
      </c>
      <c r="V297" s="90" t="str">
        <f>IF($A298="","",IF(AND(MONTH(A297)&gt;3,MONTH(A297)&lt;11),(T297+R297+G297)*(((1/(1-Summary!$T$12))/(1-Summary!$W$12))-1),(T297+R297+G297)*((1/(1-Summary!$U$12))/(1-Summary!$X$12)-1)))</f>
        <v/>
      </c>
      <c r="W297" s="63" t="str">
        <f t="shared" si="167"/>
        <v/>
      </c>
      <c r="X297" s="63" t="str">
        <f t="shared" si="168"/>
        <v/>
      </c>
      <c r="Y297" s="43"/>
      <c r="Z297" s="38" t="str">
        <f t="shared" si="169"/>
        <v/>
      </c>
      <c r="AA297" s="38" t="str">
        <f t="shared" si="170"/>
        <v/>
      </c>
      <c r="AB297" s="38" t="e">
        <f t="shared" si="171"/>
        <v>#VALUE!</v>
      </c>
      <c r="AC297" s="38" t="str">
        <f t="shared" si="172"/>
        <v/>
      </c>
      <c r="AD297" s="38" t="str">
        <f t="shared" si="172"/>
        <v/>
      </c>
      <c r="AE297" s="38" t="e">
        <f t="shared" si="173"/>
        <v>#VALUE!</v>
      </c>
      <c r="AF297" s="238" t="e">
        <f>((Summary!$N$12*(AA297*AD297)*(A297-$D$3))+(Summary!$M$12*Z297*AC297*(AJ297-EOMONTH(EDATE(A297,-1),0))))/(AK297*AB297*AE297)</f>
        <v>#VALUE!</v>
      </c>
      <c r="AG297" s="88" t="str">
        <f>IF($A298="","",Summary!$Q$12)</f>
        <v/>
      </c>
      <c r="AH297" s="88" t="str">
        <f>IF($A298="","",IF(Summary!$R$12="Y",(VLOOKUP($A297,Summary!$AD$6:$AF$9,3)+'Escalating commodity'!H310),'Escalating commodity'!H310))</f>
        <v/>
      </c>
      <c r="AI297" s="88" t="str">
        <f t="shared" si="187"/>
        <v/>
      </c>
      <c r="AJ297" s="236" t="e">
        <f t="shared" si="174"/>
        <v>#VALUE!</v>
      </c>
      <c r="AK297" s="58" t="str">
        <f t="shared" si="175"/>
        <v/>
      </c>
      <c r="AL297" s="26" t="str">
        <f>IF($A298="","",_xll.SPRDOPT(P297,X297,AI297,0,AB297,AE297,AF297,AK297,$AJ$2,0))</f>
        <v/>
      </c>
      <c r="AM297" s="89" t="str">
        <f t="shared" si="176"/>
        <v/>
      </c>
      <c r="AN297" s="89" t="str">
        <f t="shared" si="177"/>
        <v/>
      </c>
      <c r="AO297" s="3" t="str">
        <f t="shared" si="178"/>
        <v/>
      </c>
      <c r="AP297" s="33" t="str">
        <f t="shared" si="179"/>
        <v/>
      </c>
      <c r="AQ297" s="58" t="str">
        <f t="shared" si="180"/>
        <v/>
      </c>
      <c r="AR297" s="38">
        <f>'ANR OK vs ML7'!AR297</f>
        <v>0.1</v>
      </c>
      <c r="AS297" s="35" t="str">
        <f t="shared" si="181"/>
        <v/>
      </c>
      <c r="AT297" s="3" t="str">
        <f t="shared" si="182"/>
        <v/>
      </c>
      <c r="AU297" s="3" t="str">
        <f t="shared" si="183"/>
        <v/>
      </c>
      <c r="AW297" s="32" t="str">
        <f t="shared" si="184"/>
        <v/>
      </c>
      <c r="AX297" s="32" t="str">
        <f t="shared" si="184"/>
        <v/>
      </c>
      <c r="AY297" s="32" t="str">
        <f t="shared" si="185"/>
        <v/>
      </c>
      <c r="BA297" s="32" t="str">
        <f>IF($A298="","",F297*Summary!$Q$12)</f>
        <v/>
      </c>
    </row>
    <row r="298" spans="1:53" ht="12" customHeight="1">
      <c r="A298" s="67" t="str">
        <f t="shared" si="186"/>
        <v/>
      </c>
      <c r="B298" s="69" t="str">
        <f t="shared" si="188"/>
        <v/>
      </c>
      <c r="C298" s="71"/>
      <c r="D298" s="69" t="str">
        <f t="shared" si="152"/>
        <v/>
      </c>
      <c r="E298" s="70" t="str">
        <f t="shared" si="153"/>
        <v/>
      </c>
      <c r="F298" s="70" t="str">
        <f t="shared" si="154"/>
        <v/>
      </c>
      <c r="G298" s="63" t="str">
        <f t="shared" si="155"/>
        <v/>
      </c>
      <c r="H298" s="64" t="str">
        <f t="shared" si="156"/>
        <v/>
      </c>
      <c r="I298" s="43"/>
      <c r="J298" s="63" t="str">
        <f t="shared" si="157"/>
        <v/>
      </c>
      <c r="K298" s="64" t="str">
        <f t="shared" si="158"/>
        <v/>
      </c>
      <c r="L298" s="63" t="str">
        <f t="shared" si="159"/>
        <v/>
      </c>
      <c r="M298" s="64" t="str">
        <f t="shared" si="160"/>
        <v/>
      </c>
      <c r="N298" s="65"/>
      <c r="O298" s="63" t="str">
        <f t="shared" si="161"/>
        <v/>
      </c>
      <c r="P298" s="63" t="str">
        <f t="shared" si="162"/>
        <v/>
      </c>
      <c r="Q298" s="66"/>
      <c r="R298" s="63" t="str">
        <f t="shared" si="163"/>
        <v/>
      </c>
      <c r="S298" s="64" t="str">
        <f t="shared" si="164"/>
        <v/>
      </c>
      <c r="T298" s="63" t="str">
        <f t="shared" si="165"/>
        <v/>
      </c>
      <c r="U298" s="64" t="str">
        <f t="shared" si="166"/>
        <v/>
      </c>
      <c r="V298" s="90" t="str">
        <f>IF($A299="","",IF(AND(MONTH(A298)&gt;3,MONTH(A298)&lt;11),(T298+R298+G298)*(((1/(1-Summary!$T$12))/(1-Summary!$W$12))-1),(T298+R298+G298)*((1/(1-Summary!$U$12))/(1-Summary!$X$12)-1)))</f>
        <v/>
      </c>
      <c r="W298" s="63" t="str">
        <f t="shared" si="167"/>
        <v/>
      </c>
      <c r="X298" s="63" t="str">
        <f t="shared" si="168"/>
        <v/>
      </c>
      <c r="Y298" s="43"/>
      <c r="Z298" s="38" t="str">
        <f t="shared" si="169"/>
        <v/>
      </c>
      <c r="AA298" s="38" t="str">
        <f t="shared" si="170"/>
        <v/>
      </c>
      <c r="AB298" s="38" t="e">
        <f t="shared" si="171"/>
        <v>#VALUE!</v>
      </c>
      <c r="AC298" s="38" t="str">
        <f t="shared" si="172"/>
        <v/>
      </c>
      <c r="AD298" s="38" t="str">
        <f t="shared" si="172"/>
        <v/>
      </c>
      <c r="AE298" s="38" t="e">
        <f t="shared" si="173"/>
        <v>#VALUE!</v>
      </c>
      <c r="AF298" s="238" t="e">
        <f>((Summary!$N$12*(AA298*AD298)*(A298-$D$3))+(Summary!$M$12*Z298*AC298*(AJ298-EOMONTH(EDATE(A298,-1),0))))/(AK298*AB298*AE298)</f>
        <v>#VALUE!</v>
      </c>
      <c r="AG298" s="88" t="str">
        <f>IF($A299="","",Summary!$Q$12)</f>
        <v/>
      </c>
      <c r="AH298" s="88" t="str">
        <f>IF($A299="","",IF(Summary!$R$12="Y",(VLOOKUP($A298,Summary!$AD$6:$AF$9,3)+'Escalating commodity'!H311),'Escalating commodity'!H311))</f>
        <v/>
      </c>
      <c r="AI298" s="88" t="str">
        <f t="shared" si="187"/>
        <v/>
      </c>
      <c r="AJ298" s="236" t="e">
        <f t="shared" si="174"/>
        <v>#VALUE!</v>
      </c>
      <c r="AK298" s="58" t="str">
        <f t="shared" si="175"/>
        <v/>
      </c>
      <c r="AL298" s="26" t="str">
        <f>IF($A299="","",_xll.SPRDOPT(P298,X298,AI298,0,AB298,AE298,AF298,AK298,$AJ$2,0))</f>
        <v/>
      </c>
      <c r="AM298" s="89" t="str">
        <f t="shared" si="176"/>
        <v/>
      </c>
      <c r="AN298" s="89" t="str">
        <f t="shared" si="177"/>
        <v/>
      </c>
      <c r="AO298" s="3" t="str">
        <f t="shared" si="178"/>
        <v/>
      </c>
      <c r="AP298" s="33" t="str">
        <f t="shared" si="179"/>
        <v/>
      </c>
      <c r="AQ298" s="58" t="str">
        <f t="shared" si="180"/>
        <v/>
      </c>
      <c r="AR298" s="38">
        <f>'ANR OK vs ML7'!AR298</f>
        <v>0.1</v>
      </c>
      <c r="AS298" s="35" t="str">
        <f t="shared" si="181"/>
        <v/>
      </c>
      <c r="AT298" s="3" t="str">
        <f t="shared" si="182"/>
        <v/>
      </c>
      <c r="AU298" s="3" t="str">
        <f t="shared" si="183"/>
        <v/>
      </c>
      <c r="AW298" s="32" t="str">
        <f t="shared" si="184"/>
        <v/>
      </c>
      <c r="AX298" s="32" t="str">
        <f t="shared" si="184"/>
        <v/>
      </c>
      <c r="AY298" s="32" t="str">
        <f t="shared" si="185"/>
        <v/>
      </c>
      <c r="BA298" s="32" t="str">
        <f>IF($A299="","",F298*Summary!$Q$12)</f>
        <v/>
      </c>
    </row>
    <row r="299" spans="1:53" ht="12" customHeight="1">
      <c r="A299" s="67" t="str">
        <f t="shared" si="186"/>
        <v/>
      </c>
      <c r="B299" s="69" t="str">
        <f t="shared" si="188"/>
        <v/>
      </c>
      <c r="C299" s="71"/>
      <c r="D299" s="69" t="str">
        <f t="shared" si="152"/>
        <v/>
      </c>
      <c r="E299" s="70" t="str">
        <f t="shared" si="153"/>
        <v/>
      </c>
      <c r="F299" s="70" t="str">
        <f t="shared" si="154"/>
        <v/>
      </c>
      <c r="G299" s="63" t="str">
        <f t="shared" si="155"/>
        <v/>
      </c>
      <c r="H299" s="64" t="str">
        <f t="shared" si="156"/>
        <v/>
      </c>
      <c r="I299" s="43"/>
      <c r="J299" s="63" t="str">
        <f t="shared" si="157"/>
        <v/>
      </c>
      <c r="K299" s="64" t="str">
        <f t="shared" si="158"/>
        <v/>
      </c>
      <c r="L299" s="63" t="str">
        <f t="shared" si="159"/>
        <v/>
      </c>
      <c r="M299" s="64" t="str">
        <f t="shared" si="160"/>
        <v/>
      </c>
      <c r="N299" s="65"/>
      <c r="O299" s="63" t="str">
        <f t="shared" si="161"/>
        <v/>
      </c>
      <c r="P299" s="63" t="str">
        <f t="shared" si="162"/>
        <v/>
      </c>
      <c r="Q299" s="66"/>
      <c r="R299" s="63" t="str">
        <f t="shared" si="163"/>
        <v/>
      </c>
      <c r="S299" s="64" t="str">
        <f t="shared" si="164"/>
        <v/>
      </c>
      <c r="T299" s="63" t="str">
        <f t="shared" si="165"/>
        <v/>
      </c>
      <c r="U299" s="64" t="str">
        <f t="shared" si="166"/>
        <v/>
      </c>
      <c r="V299" s="90" t="str">
        <f>IF($A300="","",IF(AND(MONTH(A299)&gt;3,MONTH(A299)&lt;11),(T299+R299+G299)*(((1/(1-Summary!$T$12))/(1-Summary!$W$12))-1),(T299+R299+G299)*((1/(1-Summary!$U$12))/(1-Summary!$X$12)-1)))</f>
        <v/>
      </c>
      <c r="W299" s="63" t="str">
        <f t="shared" si="167"/>
        <v/>
      </c>
      <c r="X299" s="63" t="str">
        <f t="shared" si="168"/>
        <v/>
      </c>
      <c r="Y299" s="43"/>
      <c r="Z299" s="38" t="str">
        <f t="shared" si="169"/>
        <v/>
      </c>
      <c r="AA299" s="38" t="str">
        <f t="shared" si="170"/>
        <v/>
      </c>
      <c r="AB299" s="38" t="e">
        <f t="shared" si="171"/>
        <v>#VALUE!</v>
      </c>
      <c r="AC299" s="38" t="str">
        <f t="shared" si="172"/>
        <v/>
      </c>
      <c r="AD299" s="38" t="str">
        <f t="shared" si="172"/>
        <v/>
      </c>
      <c r="AE299" s="38" t="e">
        <f t="shared" si="173"/>
        <v>#VALUE!</v>
      </c>
      <c r="AF299" s="238" t="e">
        <f>((Summary!$N$12*(AA299*AD299)*(A299-$D$3))+(Summary!$M$12*Z299*AC299*(AJ299-EOMONTH(EDATE(A299,-1),0))))/(AK299*AB299*AE299)</f>
        <v>#VALUE!</v>
      </c>
      <c r="AG299" s="88" t="str">
        <f>IF($A300="","",Summary!$Q$12)</f>
        <v/>
      </c>
      <c r="AH299" s="88" t="str">
        <f>IF($A300="","",IF(Summary!$R$12="Y",(VLOOKUP($A299,Summary!$AD$6:$AF$9,3)+'Escalating commodity'!H312),'Escalating commodity'!H312))</f>
        <v/>
      </c>
      <c r="AI299" s="88" t="str">
        <f t="shared" si="187"/>
        <v/>
      </c>
      <c r="AJ299" s="236" t="e">
        <f t="shared" si="174"/>
        <v>#VALUE!</v>
      </c>
      <c r="AK299" s="58" t="str">
        <f t="shared" si="175"/>
        <v/>
      </c>
      <c r="AL299" s="26" t="str">
        <f>IF($A300="","",_xll.SPRDOPT(P299,X299,AI299,0,AB299,AE299,AF299,AK299,$AJ$2,0))</f>
        <v/>
      </c>
      <c r="AM299" s="89" t="str">
        <f t="shared" si="176"/>
        <v/>
      </c>
      <c r="AN299" s="89" t="str">
        <f t="shared" si="177"/>
        <v/>
      </c>
      <c r="AO299" s="3" t="str">
        <f t="shared" si="178"/>
        <v/>
      </c>
      <c r="AP299" s="33" t="str">
        <f t="shared" si="179"/>
        <v/>
      </c>
      <c r="AQ299" s="58" t="str">
        <f t="shared" si="180"/>
        <v/>
      </c>
      <c r="AR299" s="38">
        <f>'ANR OK vs ML7'!AR299</f>
        <v>0.1</v>
      </c>
      <c r="AS299" s="35" t="str">
        <f t="shared" si="181"/>
        <v/>
      </c>
      <c r="AT299" s="3" t="str">
        <f t="shared" si="182"/>
        <v/>
      </c>
      <c r="AU299" s="3" t="str">
        <f t="shared" si="183"/>
        <v/>
      </c>
      <c r="AW299" s="32" t="str">
        <f t="shared" si="184"/>
        <v/>
      </c>
      <c r="AX299" s="32" t="str">
        <f t="shared" si="184"/>
        <v/>
      </c>
      <c r="AY299" s="32" t="str">
        <f t="shared" si="185"/>
        <v/>
      </c>
      <c r="BA299" s="32" t="str">
        <f>IF($A300="","",F299*Summary!$Q$12)</f>
        <v/>
      </c>
    </row>
    <row r="300" spans="1:53" ht="12" customHeight="1">
      <c r="A300" s="67" t="str">
        <f t="shared" si="186"/>
        <v/>
      </c>
      <c r="B300" s="69" t="str">
        <f t="shared" si="188"/>
        <v/>
      </c>
      <c r="C300" s="71"/>
      <c r="D300" s="69" t="str">
        <f t="shared" si="152"/>
        <v/>
      </c>
      <c r="E300" s="70" t="str">
        <f t="shared" si="153"/>
        <v/>
      </c>
      <c r="F300" s="70" t="str">
        <f t="shared" si="154"/>
        <v/>
      </c>
      <c r="G300" s="63" t="str">
        <f t="shared" si="155"/>
        <v/>
      </c>
      <c r="H300" s="64" t="str">
        <f t="shared" si="156"/>
        <v/>
      </c>
      <c r="I300" s="43"/>
      <c r="J300" s="63" t="str">
        <f t="shared" si="157"/>
        <v/>
      </c>
      <c r="K300" s="64" t="str">
        <f t="shared" si="158"/>
        <v/>
      </c>
      <c r="L300" s="63" t="str">
        <f t="shared" si="159"/>
        <v/>
      </c>
      <c r="M300" s="64" t="str">
        <f t="shared" si="160"/>
        <v/>
      </c>
      <c r="N300" s="65"/>
      <c r="O300" s="63" t="str">
        <f t="shared" si="161"/>
        <v/>
      </c>
      <c r="P300" s="63" t="str">
        <f t="shared" si="162"/>
        <v/>
      </c>
      <c r="Q300" s="66"/>
      <c r="R300" s="63" t="str">
        <f t="shared" si="163"/>
        <v/>
      </c>
      <c r="S300" s="64" t="str">
        <f t="shared" si="164"/>
        <v/>
      </c>
      <c r="T300" s="63" t="str">
        <f t="shared" si="165"/>
        <v/>
      </c>
      <c r="U300" s="64" t="str">
        <f t="shared" si="166"/>
        <v/>
      </c>
      <c r="V300" s="90" t="str">
        <f>IF($A301="","",IF(AND(MONTH(A300)&gt;3,MONTH(A300)&lt;11),(T300+R300+G300)*(((1/(1-Summary!$T$12))/(1-Summary!$W$12))-1),(T300+R300+G300)*((1/(1-Summary!$U$12))/(1-Summary!$X$12)-1)))</f>
        <v/>
      </c>
      <c r="W300" s="63" t="str">
        <f t="shared" si="167"/>
        <v/>
      </c>
      <c r="X300" s="63" t="str">
        <f t="shared" si="168"/>
        <v/>
      </c>
      <c r="Y300" s="43"/>
      <c r="Z300" s="38" t="str">
        <f t="shared" si="169"/>
        <v/>
      </c>
      <c r="AA300" s="38" t="str">
        <f t="shared" si="170"/>
        <v/>
      </c>
      <c r="AB300" s="38" t="e">
        <f t="shared" si="171"/>
        <v>#VALUE!</v>
      </c>
      <c r="AC300" s="38" t="str">
        <f t="shared" si="172"/>
        <v/>
      </c>
      <c r="AD300" s="38" t="str">
        <f t="shared" si="172"/>
        <v/>
      </c>
      <c r="AE300" s="38" t="e">
        <f t="shared" si="173"/>
        <v>#VALUE!</v>
      </c>
      <c r="AF300" s="238" t="e">
        <f>((Summary!$N$12*(AA300*AD300)*(A300-$D$3))+(Summary!$M$12*Z300*AC300*(AJ300-EOMONTH(EDATE(A300,-1),0))))/(AK300*AB300*AE300)</f>
        <v>#VALUE!</v>
      </c>
      <c r="AG300" s="88" t="str">
        <f>IF($A301="","",Summary!$Q$12)</f>
        <v/>
      </c>
      <c r="AH300" s="88" t="str">
        <f>IF($A301="","",IF(Summary!$R$12="Y",(VLOOKUP($A300,Summary!$AD$6:$AF$9,3)+'Escalating commodity'!H313),'Escalating commodity'!H313))</f>
        <v/>
      </c>
      <c r="AI300" s="88" t="str">
        <f t="shared" si="187"/>
        <v/>
      </c>
      <c r="AJ300" s="236" t="e">
        <f t="shared" si="174"/>
        <v>#VALUE!</v>
      </c>
      <c r="AK300" s="58" t="str">
        <f t="shared" si="175"/>
        <v/>
      </c>
      <c r="AL300" s="26" t="str">
        <f>IF($A301="","",_xll.SPRDOPT(P300,X300,AI300,0,AB300,AE300,AF300,AK300,$AJ$2,0))</f>
        <v/>
      </c>
      <c r="AM300" s="89" t="str">
        <f t="shared" si="176"/>
        <v/>
      </c>
      <c r="AN300" s="89" t="str">
        <f t="shared" si="177"/>
        <v/>
      </c>
      <c r="AO300" s="3" t="str">
        <f t="shared" si="178"/>
        <v/>
      </c>
      <c r="AP300" s="33" t="str">
        <f t="shared" si="179"/>
        <v/>
      </c>
      <c r="AQ300" s="58" t="str">
        <f t="shared" si="180"/>
        <v/>
      </c>
      <c r="AR300" s="38">
        <f>'ANR OK vs ML7'!AR300</f>
        <v>0.1</v>
      </c>
      <c r="AS300" s="35" t="str">
        <f t="shared" si="181"/>
        <v/>
      </c>
      <c r="AT300" s="3" t="str">
        <f t="shared" si="182"/>
        <v/>
      </c>
      <c r="AU300" s="3" t="str">
        <f t="shared" si="183"/>
        <v/>
      </c>
      <c r="AW300" s="32" t="str">
        <f t="shared" si="184"/>
        <v/>
      </c>
      <c r="AX300" s="32" t="str">
        <f t="shared" si="184"/>
        <v/>
      </c>
      <c r="AY300" s="32" t="str">
        <f t="shared" si="185"/>
        <v/>
      </c>
      <c r="BA300" s="32" t="str">
        <f>IF($A301="","",F300*Summary!$Q$12)</f>
        <v/>
      </c>
    </row>
    <row r="301" spans="1:53" ht="12" customHeight="1">
      <c r="A301" s="67" t="str">
        <f t="shared" si="186"/>
        <v/>
      </c>
      <c r="B301" s="69" t="str">
        <f t="shared" si="188"/>
        <v/>
      </c>
      <c r="C301" s="71"/>
      <c r="D301" s="69" t="str">
        <f t="shared" si="152"/>
        <v/>
      </c>
      <c r="E301" s="70" t="str">
        <f t="shared" si="153"/>
        <v/>
      </c>
      <c r="F301" s="70" t="str">
        <f t="shared" si="154"/>
        <v/>
      </c>
      <c r="G301" s="63" t="str">
        <f t="shared" si="155"/>
        <v/>
      </c>
      <c r="H301" s="64" t="str">
        <f t="shared" si="156"/>
        <v/>
      </c>
      <c r="I301" s="43"/>
      <c r="J301" s="63" t="str">
        <f t="shared" si="157"/>
        <v/>
      </c>
      <c r="K301" s="64" t="str">
        <f t="shared" si="158"/>
        <v/>
      </c>
      <c r="L301" s="63" t="str">
        <f t="shared" si="159"/>
        <v/>
      </c>
      <c r="M301" s="64" t="str">
        <f t="shared" si="160"/>
        <v/>
      </c>
      <c r="N301" s="65"/>
      <c r="O301" s="63" t="str">
        <f t="shared" si="161"/>
        <v/>
      </c>
      <c r="P301" s="63" t="str">
        <f t="shared" si="162"/>
        <v/>
      </c>
      <c r="Q301" s="66"/>
      <c r="R301" s="63" t="str">
        <f t="shared" si="163"/>
        <v/>
      </c>
      <c r="S301" s="64" t="str">
        <f t="shared" si="164"/>
        <v/>
      </c>
      <c r="T301" s="63" t="str">
        <f t="shared" si="165"/>
        <v/>
      </c>
      <c r="U301" s="64" t="str">
        <f t="shared" si="166"/>
        <v/>
      </c>
      <c r="V301" s="90" t="str">
        <f>IF($A302="","",IF(AND(MONTH(A301)&gt;3,MONTH(A301)&lt;11),(T301+R301+G301)*(((1/(1-Summary!$T$12))/(1-Summary!$W$12))-1),(T301+R301+G301)*((1/(1-Summary!$U$12))/(1-Summary!$X$12)-1)))</f>
        <v/>
      </c>
      <c r="W301" s="63" t="str">
        <f t="shared" si="167"/>
        <v/>
      </c>
      <c r="X301" s="63" t="str">
        <f t="shared" si="168"/>
        <v/>
      </c>
      <c r="Y301" s="43"/>
      <c r="Z301" s="38" t="str">
        <f t="shared" si="169"/>
        <v/>
      </c>
      <c r="AA301" s="38" t="str">
        <f t="shared" si="170"/>
        <v/>
      </c>
      <c r="AB301" s="38" t="e">
        <f t="shared" si="171"/>
        <v>#VALUE!</v>
      </c>
      <c r="AC301" s="38" t="str">
        <f t="shared" si="172"/>
        <v/>
      </c>
      <c r="AD301" s="38" t="str">
        <f t="shared" si="172"/>
        <v/>
      </c>
      <c r="AE301" s="38" t="e">
        <f t="shared" si="173"/>
        <v>#VALUE!</v>
      </c>
      <c r="AF301" s="238" t="e">
        <f>((Summary!$N$12*(AA301*AD301)*(A301-$D$3))+(Summary!$M$12*Z301*AC301*(AJ301-EOMONTH(EDATE(A301,-1),0))))/(AK301*AB301*AE301)</f>
        <v>#VALUE!</v>
      </c>
      <c r="AG301" s="88" t="str">
        <f>IF($A302="","",Summary!$Q$12)</f>
        <v/>
      </c>
      <c r="AH301" s="88" t="str">
        <f>IF($A302="","",IF(Summary!$R$12="Y",(VLOOKUP($A301,Summary!$AD$6:$AF$9,3)+'Escalating commodity'!H314),'Escalating commodity'!H314))</f>
        <v/>
      </c>
      <c r="AI301" s="88" t="str">
        <f t="shared" si="187"/>
        <v/>
      </c>
      <c r="AJ301" s="236" t="e">
        <f t="shared" si="174"/>
        <v>#VALUE!</v>
      </c>
      <c r="AK301" s="58" t="str">
        <f t="shared" si="175"/>
        <v/>
      </c>
      <c r="AL301" s="26" t="str">
        <f>IF($A302="","",_xll.SPRDOPT(P301,X301,AI301,0,AB301,AE301,AF301,AK301,$AJ$2,0))</f>
        <v/>
      </c>
      <c r="AM301" s="89" t="str">
        <f t="shared" si="176"/>
        <v/>
      </c>
      <c r="AN301" s="89" t="str">
        <f t="shared" si="177"/>
        <v/>
      </c>
      <c r="AO301" s="3" t="str">
        <f t="shared" si="178"/>
        <v/>
      </c>
      <c r="AP301" s="33" t="str">
        <f t="shared" si="179"/>
        <v/>
      </c>
      <c r="AQ301" s="58" t="str">
        <f t="shared" si="180"/>
        <v/>
      </c>
      <c r="AR301" s="38">
        <f>'ANR OK vs ML7'!AR301</f>
        <v>0.1</v>
      </c>
      <c r="AS301" s="35" t="str">
        <f t="shared" si="181"/>
        <v/>
      </c>
      <c r="AT301" s="3" t="str">
        <f t="shared" si="182"/>
        <v/>
      </c>
      <c r="AU301" s="3" t="str">
        <f t="shared" si="183"/>
        <v/>
      </c>
      <c r="AW301" s="32" t="str">
        <f t="shared" si="184"/>
        <v/>
      </c>
      <c r="AX301" s="32" t="str">
        <f t="shared" si="184"/>
        <v/>
      </c>
      <c r="AY301" s="32" t="str">
        <f t="shared" si="185"/>
        <v/>
      </c>
      <c r="BA301" s="32" t="str">
        <f>IF($A302="","",F301*Summary!$Q$12)</f>
        <v/>
      </c>
    </row>
    <row r="302" spans="1:53" ht="12" customHeight="1">
      <c r="A302" s="67" t="str">
        <f t="shared" si="186"/>
        <v/>
      </c>
      <c r="B302" s="69" t="str">
        <f t="shared" si="188"/>
        <v/>
      </c>
      <c r="C302" s="71"/>
      <c r="D302" s="69" t="str">
        <f t="shared" si="152"/>
        <v/>
      </c>
      <c r="E302" s="70" t="str">
        <f t="shared" si="153"/>
        <v/>
      </c>
      <c r="F302" s="70" t="str">
        <f t="shared" si="154"/>
        <v/>
      </c>
      <c r="G302" s="63" t="str">
        <f t="shared" si="155"/>
        <v/>
      </c>
      <c r="H302" s="64" t="str">
        <f t="shared" si="156"/>
        <v/>
      </c>
      <c r="I302" s="43"/>
      <c r="J302" s="63" t="str">
        <f t="shared" si="157"/>
        <v/>
      </c>
      <c r="K302" s="64" t="str">
        <f t="shared" si="158"/>
        <v/>
      </c>
      <c r="L302" s="63" t="str">
        <f t="shared" si="159"/>
        <v/>
      </c>
      <c r="M302" s="64" t="str">
        <f t="shared" si="160"/>
        <v/>
      </c>
      <c r="N302" s="65"/>
      <c r="O302" s="63" t="str">
        <f t="shared" si="161"/>
        <v/>
      </c>
      <c r="P302" s="63" t="str">
        <f t="shared" si="162"/>
        <v/>
      </c>
      <c r="Q302" s="66"/>
      <c r="R302" s="63" t="str">
        <f t="shared" si="163"/>
        <v/>
      </c>
      <c r="S302" s="64" t="str">
        <f t="shared" si="164"/>
        <v/>
      </c>
      <c r="T302" s="63" t="str">
        <f t="shared" si="165"/>
        <v/>
      </c>
      <c r="U302" s="64" t="str">
        <f t="shared" si="166"/>
        <v/>
      </c>
      <c r="V302" s="90" t="str">
        <f>IF($A303="","",IF(AND(MONTH(A302)&gt;3,MONTH(A302)&lt;11),(T302+R302+G302)*(((1/(1-Summary!$T$12))/(1-Summary!$W$12))-1),(T302+R302+G302)*((1/(1-Summary!$U$12))/(1-Summary!$X$12)-1)))</f>
        <v/>
      </c>
      <c r="W302" s="63" t="str">
        <f t="shared" si="167"/>
        <v/>
      </c>
      <c r="X302" s="63" t="str">
        <f t="shared" si="168"/>
        <v/>
      </c>
      <c r="Y302" s="43"/>
      <c r="Z302" s="38" t="str">
        <f t="shared" si="169"/>
        <v/>
      </c>
      <c r="AA302" s="38" t="str">
        <f t="shared" si="170"/>
        <v/>
      </c>
      <c r="AB302" s="38" t="e">
        <f t="shared" si="171"/>
        <v>#VALUE!</v>
      </c>
      <c r="AC302" s="38" t="str">
        <f t="shared" si="172"/>
        <v/>
      </c>
      <c r="AD302" s="38" t="str">
        <f t="shared" si="172"/>
        <v/>
      </c>
      <c r="AE302" s="38" t="e">
        <f t="shared" si="173"/>
        <v>#VALUE!</v>
      </c>
      <c r="AF302" s="238" t="e">
        <f>((Summary!$N$12*(AA302*AD302)*(A302-$D$3))+(Summary!$M$12*Z302*AC302*(AJ302-EOMONTH(EDATE(A302,-1),0))))/(AK302*AB302*AE302)</f>
        <v>#VALUE!</v>
      </c>
      <c r="AG302" s="88" t="str">
        <f>IF($A303="","",Summary!$Q$12)</f>
        <v/>
      </c>
      <c r="AH302" s="88" t="str">
        <f>IF($A303="","",IF(Summary!$R$12="Y",(VLOOKUP($A302,Summary!$AD$6:$AF$9,3)+'Escalating commodity'!H315),'Escalating commodity'!H315))</f>
        <v/>
      </c>
      <c r="AI302" s="88" t="str">
        <f t="shared" si="187"/>
        <v/>
      </c>
      <c r="AJ302" s="236" t="e">
        <f t="shared" si="174"/>
        <v>#VALUE!</v>
      </c>
      <c r="AK302" s="58" t="str">
        <f t="shared" si="175"/>
        <v/>
      </c>
      <c r="AL302" s="26" t="str">
        <f>IF($A303="","",_xll.SPRDOPT(P302,X302,AI302,0,AB302,AE302,AF302,AK302,$AJ$2,0))</f>
        <v/>
      </c>
      <c r="AM302" s="89" t="str">
        <f t="shared" si="176"/>
        <v/>
      </c>
      <c r="AN302" s="89" t="str">
        <f t="shared" si="177"/>
        <v/>
      </c>
      <c r="AO302" s="3" t="str">
        <f t="shared" si="178"/>
        <v/>
      </c>
      <c r="AP302" s="33" t="str">
        <f t="shared" si="179"/>
        <v/>
      </c>
      <c r="AQ302" s="58" t="str">
        <f t="shared" si="180"/>
        <v/>
      </c>
      <c r="AR302" s="38">
        <f>'ANR OK vs ML7'!AR302</f>
        <v>0.1</v>
      </c>
      <c r="AS302" s="35" t="str">
        <f t="shared" si="181"/>
        <v/>
      </c>
      <c r="AT302" s="3" t="str">
        <f t="shared" si="182"/>
        <v/>
      </c>
      <c r="AU302" s="3" t="str">
        <f t="shared" si="183"/>
        <v/>
      </c>
      <c r="AW302" s="32" t="str">
        <f t="shared" si="184"/>
        <v/>
      </c>
      <c r="AX302" s="32" t="str">
        <f t="shared" si="184"/>
        <v/>
      </c>
      <c r="AY302" s="32" t="str">
        <f t="shared" si="185"/>
        <v/>
      </c>
      <c r="BA302" s="32" t="str">
        <f>IF($A303="","",F302*Summary!$Q$12)</f>
        <v/>
      </c>
    </row>
    <row r="303" spans="1:53" ht="12" customHeight="1">
      <c r="A303" s="67" t="str">
        <f t="shared" si="186"/>
        <v/>
      </c>
      <c r="B303" s="69" t="str">
        <f t="shared" si="188"/>
        <v/>
      </c>
      <c r="C303" s="71"/>
      <c r="D303" s="69" t="str">
        <f t="shared" si="152"/>
        <v/>
      </c>
      <c r="E303" s="70" t="str">
        <f t="shared" si="153"/>
        <v/>
      </c>
      <c r="F303" s="70" t="str">
        <f t="shared" si="154"/>
        <v/>
      </c>
      <c r="G303" s="63" t="str">
        <f t="shared" si="155"/>
        <v/>
      </c>
      <c r="H303" s="64" t="str">
        <f t="shared" si="156"/>
        <v/>
      </c>
      <c r="I303" s="43"/>
      <c r="J303" s="63" t="str">
        <f t="shared" si="157"/>
        <v/>
      </c>
      <c r="K303" s="64" t="str">
        <f t="shared" si="158"/>
        <v/>
      </c>
      <c r="L303" s="63" t="str">
        <f t="shared" si="159"/>
        <v/>
      </c>
      <c r="M303" s="64" t="str">
        <f t="shared" si="160"/>
        <v/>
      </c>
      <c r="N303" s="65"/>
      <c r="O303" s="63" t="str">
        <f t="shared" si="161"/>
        <v/>
      </c>
      <c r="P303" s="63" t="str">
        <f t="shared" si="162"/>
        <v/>
      </c>
      <c r="Q303" s="66"/>
      <c r="R303" s="63" t="str">
        <f t="shared" si="163"/>
        <v/>
      </c>
      <c r="S303" s="64" t="str">
        <f t="shared" si="164"/>
        <v/>
      </c>
      <c r="T303" s="63" t="str">
        <f t="shared" si="165"/>
        <v/>
      </c>
      <c r="U303" s="64" t="str">
        <f t="shared" si="166"/>
        <v/>
      </c>
      <c r="V303" s="90" t="str">
        <f>IF($A304="","",IF(AND(MONTH(A303)&gt;3,MONTH(A303)&lt;11),(T303+R303+G303)*(((1/(1-Summary!$T$12))/(1-Summary!$W$12))-1),(T303+R303+G303)*((1/(1-Summary!$U$12))/(1-Summary!$X$12)-1)))</f>
        <v/>
      </c>
      <c r="W303" s="63" t="str">
        <f t="shared" si="167"/>
        <v/>
      </c>
      <c r="X303" s="63" t="str">
        <f t="shared" si="168"/>
        <v/>
      </c>
      <c r="Y303" s="43"/>
      <c r="Z303" s="38" t="str">
        <f t="shared" si="169"/>
        <v/>
      </c>
      <c r="AA303" s="38" t="str">
        <f t="shared" si="170"/>
        <v/>
      </c>
      <c r="AB303" s="38" t="e">
        <f t="shared" si="171"/>
        <v>#VALUE!</v>
      </c>
      <c r="AC303" s="38" t="str">
        <f t="shared" si="172"/>
        <v/>
      </c>
      <c r="AD303" s="38" t="str">
        <f t="shared" si="172"/>
        <v/>
      </c>
      <c r="AE303" s="38" t="e">
        <f t="shared" si="173"/>
        <v>#VALUE!</v>
      </c>
      <c r="AF303" s="238" t="e">
        <f>((Summary!$N$12*(AA303*AD303)*(A303-$D$3))+(Summary!$M$12*Z303*AC303*(AJ303-EOMONTH(EDATE(A303,-1),0))))/(AK303*AB303*AE303)</f>
        <v>#VALUE!</v>
      </c>
      <c r="AG303" s="88" t="str">
        <f>IF($A304="","",Summary!$Q$12)</f>
        <v/>
      </c>
      <c r="AH303" s="88" t="str">
        <f>IF($A304="","",IF(Summary!$R$12="Y",(VLOOKUP($A303,Summary!$AD$6:$AF$9,3)+'Escalating commodity'!H316),'Escalating commodity'!H316))</f>
        <v/>
      </c>
      <c r="AI303" s="88" t="str">
        <f t="shared" si="187"/>
        <v/>
      </c>
      <c r="AJ303" s="236" t="e">
        <f t="shared" si="174"/>
        <v>#VALUE!</v>
      </c>
      <c r="AK303" s="58" t="str">
        <f t="shared" si="175"/>
        <v/>
      </c>
      <c r="AL303" s="26" t="str">
        <f>IF($A304="","",_xll.SPRDOPT(P303,X303,AI303,0,AB303,AE303,AF303,AK303,$AJ$2,0))</f>
        <v/>
      </c>
      <c r="AM303" s="89" t="str">
        <f t="shared" si="176"/>
        <v/>
      </c>
      <c r="AN303" s="89" t="str">
        <f t="shared" si="177"/>
        <v/>
      </c>
      <c r="AO303" s="3" t="str">
        <f t="shared" si="178"/>
        <v/>
      </c>
      <c r="AP303" s="33" t="str">
        <f t="shared" si="179"/>
        <v/>
      </c>
      <c r="AQ303" s="58" t="str">
        <f t="shared" si="180"/>
        <v/>
      </c>
      <c r="AR303" s="38">
        <f>'ANR OK vs ML7'!AR303</f>
        <v>0.1</v>
      </c>
      <c r="AS303" s="35" t="str">
        <f t="shared" si="181"/>
        <v/>
      </c>
      <c r="AT303" s="3" t="str">
        <f t="shared" si="182"/>
        <v/>
      </c>
      <c r="AU303" s="3" t="str">
        <f t="shared" si="183"/>
        <v/>
      </c>
      <c r="AW303" s="32" t="str">
        <f t="shared" si="184"/>
        <v/>
      </c>
      <c r="AX303" s="32" t="str">
        <f t="shared" si="184"/>
        <v/>
      </c>
      <c r="AY303" s="32" t="str">
        <f t="shared" si="185"/>
        <v/>
      </c>
      <c r="BA303" s="32" t="str">
        <f>IF($A304="","",F303*Summary!$Q$12)</f>
        <v/>
      </c>
    </row>
    <row r="304" spans="1:53" ht="12" customHeight="1">
      <c r="A304" s="67" t="str">
        <f t="shared" si="186"/>
        <v/>
      </c>
      <c r="B304" s="69" t="str">
        <f t="shared" si="188"/>
        <v/>
      </c>
      <c r="C304" s="71"/>
      <c r="D304" s="69" t="str">
        <f t="shared" si="152"/>
        <v/>
      </c>
      <c r="E304" s="70" t="str">
        <f t="shared" si="153"/>
        <v/>
      </c>
      <c r="F304" s="70" t="str">
        <f t="shared" si="154"/>
        <v/>
      </c>
      <c r="G304" s="63" t="str">
        <f t="shared" si="155"/>
        <v/>
      </c>
      <c r="H304" s="64" t="str">
        <f t="shared" si="156"/>
        <v/>
      </c>
      <c r="I304" s="43"/>
      <c r="J304" s="63" t="str">
        <f t="shared" si="157"/>
        <v/>
      </c>
      <c r="K304" s="64" t="str">
        <f t="shared" si="158"/>
        <v/>
      </c>
      <c r="L304" s="63" t="str">
        <f t="shared" si="159"/>
        <v/>
      </c>
      <c r="M304" s="64" t="str">
        <f t="shared" si="160"/>
        <v/>
      </c>
      <c r="N304" s="65"/>
      <c r="O304" s="63" t="str">
        <f t="shared" si="161"/>
        <v/>
      </c>
      <c r="P304" s="63" t="str">
        <f t="shared" si="162"/>
        <v/>
      </c>
      <c r="Q304" s="66"/>
      <c r="R304" s="63" t="str">
        <f t="shared" si="163"/>
        <v/>
      </c>
      <c r="S304" s="64" t="str">
        <f t="shared" si="164"/>
        <v/>
      </c>
      <c r="T304" s="63" t="str">
        <f t="shared" si="165"/>
        <v/>
      </c>
      <c r="U304" s="64" t="str">
        <f t="shared" si="166"/>
        <v/>
      </c>
      <c r="V304" s="90" t="str">
        <f>IF($A305="","",IF(AND(MONTH(A304)&gt;3,MONTH(A304)&lt;11),(T304+R304+G304)*(((1/(1-Summary!$T$12))/(1-Summary!$W$12))-1),(T304+R304+G304)*((1/(1-Summary!$U$12))/(1-Summary!$X$12)-1)))</f>
        <v/>
      </c>
      <c r="W304" s="63" t="str">
        <f t="shared" si="167"/>
        <v/>
      </c>
      <c r="X304" s="63" t="str">
        <f t="shared" si="168"/>
        <v/>
      </c>
      <c r="Y304" s="43"/>
      <c r="Z304" s="38" t="str">
        <f t="shared" si="169"/>
        <v/>
      </c>
      <c r="AA304" s="38" t="str">
        <f t="shared" si="170"/>
        <v/>
      </c>
      <c r="AB304" s="38" t="e">
        <f t="shared" si="171"/>
        <v>#VALUE!</v>
      </c>
      <c r="AC304" s="38" t="str">
        <f t="shared" si="172"/>
        <v/>
      </c>
      <c r="AD304" s="38" t="str">
        <f t="shared" si="172"/>
        <v/>
      </c>
      <c r="AE304" s="38" t="e">
        <f t="shared" si="173"/>
        <v>#VALUE!</v>
      </c>
      <c r="AF304" s="238" t="e">
        <f>((Summary!$N$12*(AA304*AD304)*(A304-$D$3))+(Summary!$M$12*Z304*AC304*(AJ304-EOMONTH(EDATE(A304,-1),0))))/(AK304*AB304*AE304)</f>
        <v>#VALUE!</v>
      </c>
      <c r="AG304" s="88" t="str">
        <f>IF($A305="","",Summary!$Q$12)</f>
        <v/>
      </c>
      <c r="AH304" s="88" t="str">
        <f>IF($A305="","",IF(Summary!$R$12="Y",(VLOOKUP($A304,Summary!$AD$6:$AF$9,3)+'Escalating commodity'!H317),'Escalating commodity'!H317))</f>
        <v/>
      </c>
      <c r="AI304" s="88" t="str">
        <f t="shared" si="187"/>
        <v/>
      </c>
      <c r="AJ304" s="236" t="e">
        <f t="shared" si="174"/>
        <v>#VALUE!</v>
      </c>
      <c r="AK304" s="58" t="str">
        <f t="shared" si="175"/>
        <v/>
      </c>
      <c r="AL304" s="26" t="str">
        <f>IF($A305="","",_xll.SPRDOPT(P304,X304,AI304,0,AB304,AE304,AF304,AK304,$AJ$2,0))</f>
        <v/>
      </c>
      <c r="AM304" s="89" t="str">
        <f t="shared" si="176"/>
        <v/>
      </c>
      <c r="AN304" s="89" t="str">
        <f t="shared" si="177"/>
        <v/>
      </c>
      <c r="AO304" s="3" t="str">
        <f t="shared" si="178"/>
        <v/>
      </c>
      <c r="AP304" s="33" t="str">
        <f t="shared" si="179"/>
        <v/>
      </c>
      <c r="AQ304" s="58" t="str">
        <f t="shared" si="180"/>
        <v/>
      </c>
      <c r="AR304" s="38">
        <f>'ANR OK vs ML7'!AR304</f>
        <v>0.1</v>
      </c>
      <c r="AS304" s="35" t="str">
        <f t="shared" si="181"/>
        <v/>
      </c>
      <c r="AT304" s="3" t="str">
        <f t="shared" si="182"/>
        <v/>
      </c>
      <c r="AU304" s="3" t="str">
        <f t="shared" si="183"/>
        <v/>
      </c>
      <c r="AW304" s="32" t="str">
        <f t="shared" si="184"/>
        <v/>
      </c>
      <c r="AX304" s="32" t="str">
        <f t="shared" si="184"/>
        <v/>
      </c>
      <c r="AY304" s="32" t="str">
        <f t="shared" si="185"/>
        <v/>
      </c>
      <c r="BA304" s="32" t="str">
        <f>IF($A305="","",F304*Summary!$Q$12)</f>
        <v/>
      </c>
    </row>
    <row r="305" spans="1:53" ht="12" customHeight="1">
      <c r="A305" s="67" t="str">
        <f t="shared" si="186"/>
        <v/>
      </c>
      <c r="B305" s="69" t="str">
        <f t="shared" si="188"/>
        <v/>
      </c>
      <c r="C305" s="71"/>
      <c r="D305" s="69" t="str">
        <f t="shared" si="152"/>
        <v/>
      </c>
      <c r="E305" s="70" t="str">
        <f t="shared" si="153"/>
        <v/>
      </c>
      <c r="F305" s="70" t="str">
        <f t="shared" si="154"/>
        <v/>
      </c>
      <c r="G305" s="63" t="str">
        <f t="shared" si="155"/>
        <v/>
      </c>
      <c r="H305" s="64" t="str">
        <f t="shared" si="156"/>
        <v/>
      </c>
      <c r="I305" s="43"/>
      <c r="J305" s="63" t="str">
        <f t="shared" si="157"/>
        <v/>
      </c>
      <c r="K305" s="64" t="str">
        <f t="shared" si="158"/>
        <v/>
      </c>
      <c r="L305" s="63" t="str">
        <f t="shared" si="159"/>
        <v/>
      </c>
      <c r="M305" s="64" t="str">
        <f t="shared" si="160"/>
        <v/>
      </c>
      <c r="N305" s="65"/>
      <c r="O305" s="63" t="str">
        <f t="shared" si="161"/>
        <v/>
      </c>
      <c r="P305" s="63" t="str">
        <f t="shared" si="162"/>
        <v/>
      </c>
      <c r="Q305" s="66"/>
      <c r="R305" s="63" t="str">
        <f t="shared" si="163"/>
        <v/>
      </c>
      <c r="S305" s="64" t="str">
        <f t="shared" si="164"/>
        <v/>
      </c>
      <c r="T305" s="63" t="str">
        <f t="shared" si="165"/>
        <v/>
      </c>
      <c r="U305" s="64" t="str">
        <f t="shared" si="166"/>
        <v/>
      </c>
      <c r="V305" s="90" t="str">
        <f>IF($A306="","",IF(AND(MONTH(A305)&gt;3,MONTH(A305)&lt;11),(T305+R305+G305)*(((1/(1-Summary!$T$12))/(1-Summary!$W$12))-1),(T305+R305+G305)*((1/(1-Summary!$U$12))/(1-Summary!$X$12)-1)))</f>
        <v/>
      </c>
      <c r="W305" s="63" t="str">
        <f t="shared" si="167"/>
        <v/>
      </c>
      <c r="X305" s="63" t="str">
        <f t="shared" si="168"/>
        <v/>
      </c>
      <c r="Y305" s="43"/>
      <c r="Z305" s="38" t="str">
        <f t="shared" si="169"/>
        <v/>
      </c>
      <c r="AA305" s="38" t="str">
        <f t="shared" si="170"/>
        <v/>
      </c>
      <c r="AB305" s="38" t="e">
        <f t="shared" si="171"/>
        <v>#VALUE!</v>
      </c>
      <c r="AC305" s="38" t="str">
        <f t="shared" si="172"/>
        <v/>
      </c>
      <c r="AD305" s="38" t="str">
        <f t="shared" si="172"/>
        <v/>
      </c>
      <c r="AE305" s="38" t="e">
        <f t="shared" si="173"/>
        <v>#VALUE!</v>
      </c>
      <c r="AF305" s="238" t="e">
        <f>((Summary!$N$12*(AA305*AD305)*(A305-$D$3))+(Summary!$M$12*Z305*AC305*(AJ305-EOMONTH(EDATE(A305,-1),0))))/(AK305*AB305*AE305)</f>
        <v>#VALUE!</v>
      </c>
      <c r="AG305" s="88" t="str">
        <f>IF($A306="","",Summary!$Q$12)</f>
        <v/>
      </c>
      <c r="AH305" s="88" t="str">
        <f>IF($A306="","",IF(Summary!$R$12="Y",(VLOOKUP($A305,Summary!$AD$6:$AF$9,3)+'Escalating commodity'!H318),'Escalating commodity'!H318))</f>
        <v/>
      </c>
      <c r="AI305" s="88" t="str">
        <f t="shared" si="187"/>
        <v/>
      </c>
      <c r="AJ305" s="236" t="e">
        <f t="shared" si="174"/>
        <v>#VALUE!</v>
      </c>
      <c r="AK305" s="58" t="str">
        <f t="shared" si="175"/>
        <v/>
      </c>
      <c r="AL305" s="26" t="str">
        <f>IF($A306="","",_xll.SPRDOPT(P305,X305,AI305,0,AB305,AE305,AF305,AK305,$AJ$2,0))</f>
        <v/>
      </c>
      <c r="AM305" s="89" t="str">
        <f t="shared" si="176"/>
        <v/>
      </c>
      <c r="AN305" s="89" t="str">
        <f t="shared" si="177"/>
        <v/>
      </c>
      <c r="AO305" s="3" t="str">
        <f t="shared" si="178"/>
        <v/>
      </c>
      <c r="AP305" s="33" t="str">
        <f t="shared" si="179"/>
        <v/>
      </c>
      <c r="AQ305" s="58" t="str">
        <f t="shared" si="180"/>
        <v/>
      </c>
      <c r="AR305" s="38">
        <f>'ANR OK vs ML7'!AR305</f>
        <v>0.1</v>
      </c>
      <c r="AS305" s="35" t="str">
        <f t="shared" si="181"/>
        <v/>
      </c>
      <c r="AT305" s="3" t="str">
        <f t="shared" si="182"/>
        <v/>
      </c>
      <c r="AU305" s="3" t="str">
        <f t="shared" si="183"/>
        <v/>
      </c>
      <c r="AW305" s="32" t="str">
        <f t="shared" si="184"/>
        <v/>
      </c>
      <c r="AX305" s="32" t="str">
        <f t="shared" si="184"/>
        <v/>
      </c>
      <c r="AY305" s="32" t="str">
        <f t="shared" si="185"/>
        <v/>
      </c>
      <c r="BA305" s="32" t="str">
        <f>IF($A306="","",F305*Summary!$Q$12)</f>
        <v/>
      </c>
    </row>
    <row r="306" spans="1:53" ht="12" customHeight="1">
      <c r="A306" s="67" t="str">
        <f t="shared" si="186"/>
        <v/>
      </c>
      <c r="B306" s="69" t="str">
        <f t="shared" si="188"/>
        <v/>
      </c>
      <c r="C306" s="71"/>
      <c r="D306" s="69" t="str">
        <f t="shared" si="152"/>
        <v/>
      </c>
      <c r="E306" s="70" t="str">
        <f t="shared" si="153"/>
        <v/>
      </c>
      <c r="F306" s="70" t="str">
        <f t="shared" si="154"/>
        <v/>
      </c>
      <c r="G306" s="63" t="str">
        <f t="shared" si="155"/>
        <v/>
      </c>
      <c r="H306" s="64" t="str">
        <f t="shared" si="156"/>
        <v/>
      </c>
      <c r="I306" s="43"/>
      <c r="J306" s="63" t="str">
        <f t="shared" si="157"/>
        <v/>
      </c>
      <c r="K306" s="64" t="str">
        <f t="shared" si="158"/>
        <v/>
      </c>
      <c r="L306" s="63" t="str">
        <f t="shared" si="159"/>
        <v/>
      </c>
      <c r="M306" s="64" t="str">
        <f t="shared" si="160"/>
        <v/>
      </c>
      <c r="N306" s="65"/>
      <c r="O306" s="63" t="str">
        <f t="shared" si="161"/>
        <v/>
      </c>
      <c r="P306" s="63" t="str">
        <f t="shared" si="162"/>
        <v/>
      </c>
      <c r="Q306" s="66"/>
      <c r="R306" s="63" t="str">
        <f t="shared" si="163"/>
        <v/>
      </c>
      <c r="S306" s="64" t="str">
        <f t="shared" si="164"/>
        <v/>
      </c>
      <c r="T306" s="63" t="str">
        <f t="shared" si="165"/>
        <v/>
      </c>
      <c r="U306" s="64" t="str">
        <f t="shared" si="166"/>
        <v/>
      </c>
      <c r="V306" s="90" t="str">
        <f>IF($A307="","",IF(AND(MONTH(A306)&gt;3,MONTH(A306)&lt;11),(T306+R306+G306)*(((1/(1-Summary!$T$12))/(1-Summary!$W$12))-1),(T306+R306+G306)*((1/(1-Summary!$U$12))/(1-Summary!$X$12)-1)))</f>
        <v/>
      </c>
      <c r="W306" s="63" t="str">
        <f t="shared" si="167"/>
        <v/>
      </c>
      <c r="X306" s="63" t="str">
        <f t="shared" si="168"/>
        <v/>
      </c>
      <c r="Y306" s="43"/>
      <c r="Z306" s="38" t="str">
        <f t="shared" si="169"/>
        <v/>
      </c>
      <c r="AA306" s="38" t="str">
        <f t="shared" si="170"/>
        <v/>
      </c>
      <c r="AB306" s="38" t="e">
        <f t="shared" si="171"/>
        <v>#VALUE!</v>
      </c>
      <c r="AC306" s="38" t="str">
        <f t="shared" si="172"/>
        <v/>
      </c>
      <c r="AD306" s="38" t="str">
        <f t="shared" si="172"/>
        <v/>
      </c>
      <c r="AE306" s="38" t="e">
        <f t="shared" si="173"/>
        <v>#VALUE!</v>
      </c>
      <c r="AF306" s="238" t="e">
        <f>((Summary!$N$12*(AA306*AD306)*(A306-$D$3))+(Summary!$M$12*Z306*AC306*(AJ306-EOMONTH(EDATE(A306,-1),0))))/(AK306*AB306*AE306)</f>
        <v>#VALUE!</v>
      </c>
      <c r="AG306" s="88" t="str">
        <f>IF($A307="","",Summary!$Q$12)</f>
        <v/>
      </c>
      <c r="AH306" s="88" t="str">
        <f>IF($A307="","",IF(Summary!$R$12="Y",(VLOOKUP($A306,Summary!$AD$6:$AF$9,3)+'Escalating commodity'!H319),'Escalating commodity'!H319))</f>
        <v/>
      </c>
      <c r="AI306" s="88" t="str">
        <f t="shared" si="187"/>
        <v/>
      </c>
      <c r="AJ306" s="236" t="e">
        <f t="shared" si="174"/>
        <v>#VALUE!</v>
      </c>
      <c r="AK306" s="58" t="str">
        <f t="shared" si="175"/>
        <v/>
      </c>
      <c r="AL306" s="26" t="str">
        <f>IF($A307="","",_xll.SPRDOPT(P306,X306,AI306,0,AB306,AE306,AF306,AK306,$AJ$2,0))</f>
        <v/>
      </c>
      <c r="AM306" s="89" t="str">
        <f t="shared" si="176"/>
        <v/>
      </c>
      <c r="AN306" s="89" t="str">
        <f t="shared" si="177"/>
        <v/>
      </c>
      <c r="AO306" s="3" t="str">
        <f t="shared" si="178"/>
        <v/>
      </c>
      <c r="AP306" s="33" t="str">
        <f t="shared" si="179"/>
        <v/>
      </c>
      <c r="AQ306" s="58" t="str">
        <f t="shared" si="180"/>
        <v/>
      </c>
      <c r="AR306" s="38">
        <f>'ANR OK vs ML7'!AR306</f>
        <v>0.1</v>
      </c>
      <c r="AS306" s="35" t="str">
        <f t="shared" si="181"/>
        <v/>
      </c>
      <c r="AT306" s="3" t="str">
        <f t="shared" si="182"/>
        <v/>
      </c>
      <c r="AU306" s="3" t="str">
        <f t="shared" si="183"/>
        <v/>
      </c>
      <c r="AW306" s="32" t="str">
        <f t="shared" si="184"/>
        <v/>
      </c>
      <c r="AX306" s="32" t="str">
        <f t="shared" si="184"/>
        <v/>
      </c>
      <c r="AY306" s="32" t="str">
        <f t="shared" si="185"/>
        <v/>
      </c>
      <c r="BA306" s="32" t="str">
        <f>IF($A307="","",F306*Summary!$Q$12)</f>
        <v/>
      </c>
    </row>
    <row r="307" spans="1:53" ht="12" customHeight="1">
      <c r="A307" s="67" t="str">
        <f t="shared" si="186"/>
        <v/>
      </c>
      <c r="B307" s="69" t="str">
        <f t="shared" si="188"/>
        <v/>
      </c>
      <c r="C307" s="71"/>
      <c r="D307" s="69" t="str">
        <f t="shared" si="152"/>
        <v/>
      </c>
      <c r="E307" s="70" t="str">
        <f t="shared" si="153"/>
        <v/>
      </c>
      <c r="F307" s="70" t="str">
        <f t="shared" si="154"/>
        <v/>
      </c>
      <c r="G307" s="63" t="str">
        <f t="shared" si="155"/>
        <v/>
      </c>
      <c r="H307" s="64" t="str">
        <f t="shared" si="156"/>
        <v/>
      </c>
      <c r="I307" s="43"/>
      <c r="J307" s="63" t="str">
        <f t="shared" si="157"/>
        <v/>
      </c>
      <c r="K307" s="64" t="str">
        <f t="shared" si="158"/>
        <v/>
      </c>
      <c r="L307" s="63" t="str">
        <f t="shared" si="159"/>
        <v/>
      </c>
      <c r="M307" s="64" t="str">
        <f t="shared" si="160"/>
        <v/>
      </c>
      <c r="N307" s="65"/>
      <c r="O307" s="63" t="str">
        <f t="shared" si="161"/>
        <v/>
      </c>
      <c r="P307" s="63" t="str">
        <f t="shared" si="162"/>
        <v/>
      </c>
      <c r="Q307" s="66"/>
      <c r="R307" s="63" t="str">
        <f t="shared" si="163"/>
        <v/>
      </c>
      <c r="S307" s="64" t="str">
        <f t="shared" si="164"/>
        <v/>
      </c>
      <c r="T307" s="63" t="str">
        <f t="shared" si="165"/>
        <v/>
      </c>
      <c r="U307" s="64" t="str">
        <f t="shared" si="166"/>
        <v/>
      </c>
      <c r="V307" s="90" t="str">
        <f>IF($A308="","",IF(AND(MONTH(A307)&gt;3,MONTH(A307)&lt;11),(T307+R307+G307)*(((1/(1-Summary!$T$12))/(1-Summary!$W$12))-1),(T307+R307+G307)*((1/(1-Summary!$U$12))/(1-Summary!$X$12)-1)))</f>
        <v/>
      </c>
      <c r="W307" s="63" t="str">
        <f t="shared" si="167"/>
        <v/>
      </c>
      <c r="X307" s="63" t="str">
        <f t="shared" si="168"/>
        <v/>
      </c>
      <c r="Y307" s="43"/>
      <c r="Z307" s="38" t="str">
        <f t="shared" si="169"/>
        <v/>
      </c>
      <c r="AA307" s="38" t="str">
        <f t="shared" si="170"/>
        <v/>
      </c>
      <c r="AB307" s="38" t="e">
        <f t="shared" si="171"/>
        <v>#VALUE!</v>
      </c>
      <c r="AC307" s="38" t="str">
        <f t="shared" si="172"/>
        <v/>
      </c>
      <c r="AD307" s="38" t="str">
        <f t="shared" si="172"/>
        <v/>
      </c>
      <c r="AE307" s="38" t="e">
        <f t="shared" si="173"/>
        <v>#VALUE!</v>
      </c>
      <c r="AF307" s="238" t="e">
        <f>((Summary!$N$12*(AA307*AD307)*(A307-$D$3))+(Summary!$M$12*Z307*AC307*(AJ307-EOMONTH(EDATE(A307,-1),0))))/(AK307*AB307*AE307)</f>
        <v>#VALUE!</v>
      </c>
      <c r="AG307" s="88" t="str">
        <f>IF($A308="","",Summary!$Q$12)</f>
        <v/>
      </c>
      <c r="AH307" s="88" t="str">
        <f>IF($A308="","",IF(Summary!$R$12="Y",(VLOOKUP($A307,Summary!$AD$6:$AF$9,3)+'Escalating commodity'!H320),'Escalating commodity'!H320))</f>
        <v/>
      </c>
      <c r="AI307" s="88" t="str">
        <f t="shared" si="187"/>
        <v/>
      </c>
      <c r="AJ307" s="236" t="e">
        <f t="shared" si="174"/>
        <v>#VALUE!</v>
      </c>
      <c r="AK307" s="58" t="str">
        <f t="shared" si="175"/>
        <v/>
      </c>
      <c r="AL307" s="26" t="str">
        <f>IF($A308="","",_xll.SPRDOPT(P307,X307,AI307,0,AB307,AE307,AF307,AK307,$AJ$2,0))</f>
        <v/>
      </c>
      <c r="AM307" s="89" t="str">
        <f t="shared" si="176"/>
        <v/>
      </c>
      <c r="AN307" s="89" t="str">
        <f t="shared" si="177"/>
        <v/>
      </c>
      <c r="AO307" s="3" t="str">
        <f t="shared" si="178"/>
        <v/>
      </c>
      <c r="AP307" s="33" t="str">
        <f t="shared" si="179"/>
        <v/>
      </c>
      <c r="AQ307" s="58" t="str">
        <f t="shared" si="180"/>
        <v/>
      </c>
      <c r="AR307" s="38">
        <f>'ANR OK vs ML7'!AR307</f>
        <v>0.1</v>
      </c>
      <c r="AS307" s="35" t="str">
        <f t="shared" si="181"/>
        <v/>
      </c>
      <c r="AT307" s="3" t="str">
        <f t="shared" si="182"/>
        <v/>
      </c>
      <c r="AU307" s="3" t="str">
        <f t="shared" si="183"/>
        <v/>
      </c>
      <c r="AW307" s="32" t="str">
        <f t="shared" si="184"/>
        <v/>
      </c>
      <c r="AX307" s="32" t="str">
        <f t="shared" si="184"/>
        <v/>
      </c>
      <c r="AY307" s="32" t="str">
        <f t="shared" si="185"/>
        <v/>
      </c>
      <c r="BA307" s="32" t="str">
        <f>IF($A308="","",F307*Summary!$Q$12)</f>
        <v/>
      </c>
    </row>
    <row r="308" spans="1:53" ht="12" customHeight="1">
      <c r="A308" s="67" t="str">
        <f t="shared" si="186"/>
        <v/>
      </c>
      <c r="B308" s="69" t="str">
        <f t="shared" si="188"/>
        <v/>
      </c>
      <c r="C308" s="71"/>
      <c r="D308" s="69" t="str">
        <f t="shared" si="152"/>
        <v/>
      </c>
      <c r="E308" s="70" t="str">
        <f t="shared" si="153"/>
        <v/>
      </c>
      <c r="F308" s="70" t="str">
        <f t="shared" si="154"/>
        <v/>
      </c>
      <c r="G308" s="63" t="str">
        <f t="shared" si="155"/>
        <v/>
      </c>
      <c r="H308" s="64" t="str">
        <f t="shared" si="156"/>
        <v/>
      </c>
      <c r="I308" s="43"/>
      <c r="J308" s="63" t="str">
        <f t="shared" si="157"/>
        <v/>
      </c>
      <c r="K308" s="64" t="str">
        <f t="shared" si="158"/>
        <v/>
      </c>
      <c r="L308" s="63" t="str">
        <f t="shared" si="159"/>
        <v/>
      </c>
      <c r="M308" s="64" t="str">
        <f t="shared" si="160"/>
        <v/>
      </c>
      <c r="N308" s="65"/>
      <c r="O308" s="63" t="str">
        <f t="shared" si="161"/>
        <v/>
      </c>
      <c r="P308" s="63" t="str">
        <f t="shared" si="162"/>
        <v/>
      </c>
      <c r="Q308" s="66"/>
      <c r="R308" s="63" t="str">
        <f t="shared" si="163"/>
        <v/>
      </c>
      <c r="S308" s="64" t="str">
        <f t="shared" si="164"/>
        <v/>
      </c>
      <c r="T308" s="63" t="str">
        <f t="shared" si="165"/>
        <v/>
      </c>
      <c r="U308" s="64" t="str">
        <f t="shared" si="166"/>
        <v/>
      </c>
      <c r="V308" s="90" t="str">
        <f>IF($A309="","",IF(AND(MONTH(A308)&gt;3,MONTH(A308)&lt;11),(T308+R308+G308)*(((1/(1-Summary!$T$12))/(1-Summary!$W$12))-1),(T308+R308+G308)*((1/(1-Summary!$U$12))/(1-Summary!$X$12)-1)))</f>
        <v/>
      </c>
      <c r="W308" s="63" t="str">
        <f t="shared" si="167"/>
        <v/>
      </c>
      <c r="X308" s="63" t="str">
        <f t="shared" si="168"/>
        <v/>
      </c>
      <c r="Y308" s="43"/>
      <c r="Z308" s="38" t="str">
        <f t="shared" si="169"/>
        <v/>
      </c>
      <c r="AA308" s="38" t="str">
        <f t="shared" si="170"/>
        <v/>
      </c>
      <c r="AB308" s="38" t="e">
        <f t="shared" si="171"/>
        <v>#VALUE!</v>
      </c>
      <c r="AC308" s="38" t="str">
        <f t="shared" si="172"/>
        <v/>
      </c>
      <c r="AD308" s="38" t="str">
        <f t="shared" si="172"/>
        <v/>
      </c>
      <c r="AE308" s="38" t="e">
        <f t="shared" si="173"/>
        <v>#VALUE!</v>
      </c>
      <c r="AF308" s="238" t="e">
        <f>((Summary!$N$12*(AA308*AD308)*(A308-$D$3))+(Summary!$M$12*Z308*AC308*(AJ308-EOMONTH(EDATE(A308,-1),0))))/(AK308*AB308*AE308)</f>
        <v>#VALUE!</v>
      </c>
      <c r="AG308" s="88" t="str">
        <f>IF($A309="","",Summary!$Q$12)</f>
        <v/>
      </c>
      <c r="AH308" s="88" t="str">
        <f>IF($A309="","",IF(Summary!$R$12="Y",(VLOOKUP($A308,Summary!$AD$6:$AF$9,3)+'Escalating commodity'!H321),'Escalating commodity'!H321))</f>
        <v/>
      </c>
      <c r="AI308" s="88" t="str">
        <f t="shared" si="187"/>
        <v/>
      </c>
      <c r="AJ308" s="236" t="e">
        <f t="shared" si="174"/>
        <v>#VALUE!</v>
      </c>
      <c r="AK308" s="58" t="str">
        <f t="shared" si="175"/>
        <v/>
      </c>
      <c r="AL308" s="26" t="str">
        <f>IF($A309="","",_xll.SPRDOPT(P308,X308,AI308,0,AB308,AE308,AF308,AK308,$AJ$2,0))</f>
        <v/>
      </c>
      <c r="AM308" s="89" t="str">
        <f t="shared" si="176"/>
        <v/>
      </c>
      <c r="AN308" s="89" t="str">
        <f t="shared" si="177"/>
        <v/>
      </c>
      <c r="AO308" s="3" t="str">
        <f t="shared" si="178"/>
        <v/>
      </c>
      <c r="AP308" s="33" t="str">
        <f t="shared" si="179"/>
        <v/>
      </c>
      <c r="AQ308" s="58" t="str">
        <f t="shared" si="180"/>
        <v/>
      </c>
      <c r="AR308" s="38">
        <f>'ANR OK vs ML7'!AR308</f>
        <v>0.1</v>
      </c>
      <c r="AS308" s="35" t="str">
        <f t="shared" si="181"/>
        <v/>
      </c>
      <c r="AT308" s="3" t="str">
        <f t="shared" si="182"/>
        <v/>
      </c>
      <c r="AU308" s="3" t="str">
        <f t="shared" si="183"/>
        <v/>
      </c>
      <c r="AW308" s="32" t="str">
        <f t="shared" si="184"/>
        <v/>
      </c>
      <c r="AX308" s="32" t="str">
        <f t="shared" si="184"/>
        <v/>
      </c>
      <c r="AY308" s="32" t="str">
        <f t="shared" si="185"/>
        <v/>
      </c>
      <c r="BA308" s="32" t="str">
        <f>IF($A309="","",F308*Summary!$Q$12)</f>
        <v/>
      </c>
    </row>
    <row r="309" spans="1:53" ht="12" customHeight="1">
      <c r="A309" s="67" t="str">
        <f t="shared" si="186"/>
        <v/>
      </c>
      <c r="B309" s="69" t="str">
        <f t="shared" si="188"/>
        <v/>
      </c>
      <c r="C309" s="71"/>
      <c r="D309" s="69" t="str">
        <f t="shared" si="152"/>
        <v/>
      </c>
      <c r="E309" s="70" t="str">
        <f t="shared" si="153"/>
        <v/>
      </c>
      <c r="F309" s="70" t="str">
        <f t="shared" si="154"/>
        <v/>
      </c>
      <c r="G309" s="63" t="str">
        <f t="shared" si="155"/>
        <v/>
      </c>
      <c r="H309" s="64" t="str">
        <f t="shared" si="156"/>
        <v/>
      </c>
      <c r="I309" s="43"/>
      <c r="J309" s="63" t="str">
        <f t="shared" si="157"/>
        <v/>
      </c>
      <c r="K309" s="64" t="str">
        <f t="shared" si="158"/>
        <v/>
      </c>
      <c r="L309" s="63" t="str">
        <f t="shared" si="159"/>
        <v/>
      </c>
      <c r="M309" s="64" t="str">
        <f t="shared" si="160"/>
        <v/>
      </c>
      <c r="N309" s="65"/>
      <c r="O309" s="63" t="str">
        <f t="shared" si="161"/>
        <v/>
      </c>
      <c r="P309" s="63" t="str">
        <f t="shared" si="162"/>
        <v/>
      </c>
      <c r="Q309" s="66"/>
      <c r="R309" s="63" t="str">
        <f t="shared" si="163"/>
        <v/>
      </c>
      <c r="S309" s="64" t="str">
        <f t="shared" si="164"/>
        <v/>
      </c>
      <c r="T309" s="63" t="str">
        <f t="shared" si="165"/>
        <v/>
      </c>
      <c r="U309" s="64" t="str">
        <f t="shared" si="166"/>
        <v/>
      </c>
      <c r="V309" s="90" t="str">
        <f>IF($A310="","",IF(AND(MONTH(A309)&gt;3,MONTH(A309)&lt;11),(T309+R309+G309)*(((1/(1-Summary!$T$12))/(1-Summary!$W$12))-1),(T309+R309+G309)*((1/(1-Summary!$U$12))/(1-Summary!$X$12)-1)))</f>
        <v/>
      </c>
      <c r="W309" s="63" t="str">
        <f t="shared" si="167"/>
        <v/>
      </c>
      <c r="X309" s="63" t="str">
        <f t="shared" si="168"/>
        <v/>
      </c>
      <c r="Y309" s="43"/>
      <c r="Z309" s="38" t="str">
        <f t="shared" si="169"/>
        <v/>
      </c>
      <c r="AA309" s="38" t="str">
        <f t="shared" si="170"/>
        <v/>
      </c>
      <c r="AB309" s="38" t="e">
        <f t="shared" si="171"/>
        <v>#VALUE!</v>
      </c>
      <c r="AC309" s="38" t="str">
        <f t="shared" si="172"/>
        <v/>
      </c>
      <c r="AD309" s="38" t="str">
        <f t="shared" si="172"/>
        <v/>
      </c>
      <c r="AE309" s="38" t="e">
        <f t="shared" si="173"/>
        <v>#VALUE!</v>
      </c>
      <c r="AF309" s="238" t="e">
        <f>((Summary!$N$12*(AA309*AD309)*(A309-$D$3))+(Summary!$M$12*Z309*AC309*(AJ309-EOMONTH(EDATE(A309,-1),0))))/(AK309*AB309*AE309)</f>
        <v>#VALUE!</v>
      </c>
      <c r="AG309" s="88" t="str">
        <f>IF($A310="","",Summary!$Q$12)</f>
        <v/>
      </c>
      <c r="AH309" s="88" t="str">
        <f>IF($A310="","",IF(Summary!$R$12="Y",(VLOOKUP($A309,Summary!$AD$6:$AF$9,3)+'Escalating commodity'!H322),'Escalating commodity'!H322))</f>
        <v/>
      </c>
      <c r="AI309" s="88" t="str">
        <f t="shared" si="187"/>
        <v/>
      </c>
      <c r="AJ309" s="236" t="e">
        <f t="shared" si="174"/>
        <v>#VALUE!</v>
      </c>
      <c r="AK309" s="58" t="str">
        <f t="shared" si="175"/>
        <v/>
      </c>
      <c r="AL309" s="26" t="str">
        <f>IF($A310="","",_xll.SPRDOPT(P309,X309,AI309,0,AB309,AE309,AF309,AK309,$AJ$2,0))</f>
        <v/>
      </c>
      <c r="AM309" s="89" t="str">
        <f t="shared" si="176"/>
        <v/>
      </c>
      <c r="AN309" s="89" t="str">
        <f t="shared" si="177"/>
        <v/>
      </c>
      <c r="AO309" s="3" t="str">
        <f t="shared" si="178"/>
        <v/>
      </c>
      <c r="AP309" s="33" t="str">
        <f t="shared" si="179"/>
        <v/>
      </c>
      <c r="AQ309" s="58" t="str">
        <f t="shared" si="180"/>
        <v/>
      </c>
      <c r="AR309" s="38">
        <f>'ANR OK vs ML7'!AR309</f>
        <v>0.1</v>
      </c>
      <c r="AS309" s="35" t="str">
        <f t="shared" si="181"/>
        <v/>
      </c>
      <c r="AT309" s="3" t="str">
        <f t="shared" si="182"/>
        <v/>
      </c>
      <c r="AU309" s="3" t="str">
        <f t="shared" si="183"/>
        <v/>
      </c>
      <c r="AW309" s="32" t="str">
        <f t="shared" si="184"/>
        <v/>
      </c>
      <c r="AX309" s="32" t="str">
        <f t="shared" si="184"/>
        <v/>
      </c>
      <c r="AY309" s="32" t="str">
        <f t="shared" si="185"/>
        <v/>
      </c>
      <c r="BA309" s="32" t="str">
        <f>IF($A310="","",F309*Summary!$Q$12)</f>
        <v/>
      </c>
    </row>
    <row r="310" spans="1:53" ht="12" customHeight="1">
      <c r="A310" s="67" t="str">
        <f t="shared" si="186"/>
        <v/>
      </c>
      <c r="B310" s="69" t="str">
        <f t="shared" si="188"/>
        <v/>
      </c>
      <c r="C310" s="71"/>
      <c r="D310" s="69" t="str">
        <f t="shared" si="152"/>
        <v/>
      </c>
      <c r="E310" s="70" t="str">
        <f t="shared" si="153"/>
        <v/>
      </c>
      <c r="F310" s="70" t="str">
        <f t="shared" si="154"/>
        <v/>
      </c>
      <c r="G310" s="63" t="str">
        <f t="shared" si="155"/>
        <v/>
      </c>
      <c r="H310" s="64" t="str">
        <f t="shared" si="156"/>
        <v/>
      </c>
      <c r="I310" s="43"/>
      <c r="J310" s="63" t="str">
        <f t="shared" si="157"/>
        <v/>
      </c>
      <c r="K310" s="64" t="str">
        <f t="shared" si="158"/>
        <v/>
      </c>
      <c r="L310" s="63" t="str">
        <f t="shared" si="159"/>
        <v/>
      </c>
      <c r="M310" s="64" t="str">
        <f t="shared" si="160"/>
        <v/>
      </c>
      <c r="N310" s="65"/>
      <c r="O310" s="63" t="str">
        <f t="shared" si="161"/>
        <v/>
      </c>
      <c r="P310" s="63" t="str">
        <f t="shared" si="162"/>
        <v/>
      </c>
      <c r="Q310" s="66"/>
      <c r="R310" s="63" t="str">
        <f t="shared" si="163"/>
        <v/>
      </c>
      <c r="S310" s="64" t="str">
        <f t="shared" si="164"/>
        <v/>
      </c>
      <c r="T310" s="63" t="str">
        <f t="shared" si="165"/>
        <v/>
      </c>
      <c r="U310" s="64" t="str">
        <f t="shared" si="166"/>
        <v/>
      </c>
      <c r="V310" s="90" t="str">
        <f>IF($A311="","",IF(AND(MONTH(A310)&gt;3,MONTH(A310)&lt;11),(T310+R310+G310)*(((1/(1-Summary!$T$12))/(1-Summary!$W$12))-1),(T310+R310+G310)*((1/(1-Summary!$U$12))/(1-Summary!$X$12)-1)))</f>
        <v/>
      </c>
      <c r="W310" s="63" t="str">
        <f t="shared" si="167"/>
        <v/>
      </c>
      <c r="X310" s="63" t="str">
        <f t="shared" si="168"/>
        <v/>
      </c>
      <c r="Y310" s="43"/>
      <c r="Z310" s="38" t="str">
        <f t="shared" si="169"/>
        <v/>
      </c>
      <c r="AA310" s="38" t="str">
        <f t="shared" si="170"/>
        <v/>
      </c>
      <c r="AB310" s="38" t="e">
        <f t="shared" si="171"/>
        <v>#VALUE!</v>
      </c>
      <c r="AC310" s="38" t="str">
        <f t="shared" si="172"/>
        <v/>
      </c>
      <c r="AD310" s="38" t="str">
        <f t="shared" si="172"/>
        <v/>
      </c>
      <c r="AE310" s="38" t="e">
        <f t="shared" si="173"/>
        <v>#VALUE!</v>
      </c>
      <c r="AF310" s="238" t="e">
        <f>((Summary!$N$12*(AA310*AD310)*(A310-$D$3))+(Summary!$M$12*Z310*AC310*(AJ310-EOMONTH(EDATE(A310,-1),0))))/(AK310*AB310*AE310)</f>
        <v>#VALUE!</v>
      </c>
      <c r="AG310" s="88" t="str">
        <f>IF($A311="","",Summary!$Q$12)</f>
        <v/>
      </c>
      <c r="AH310" s="88" t="str">
        <f>IF($A311="","",IF(Summary!$R$12="Y",(VLOOKUP($A310,Summary!$AD$6:$AF$9,3)+'Escalating commodity'!H323),'Escalating commodity'!H323))</f>
        <v/>
      </c>
      <c r="AI310" s="88" t="str">
        <f t="shared" si="187"/>
        <v/>
      </c>
      <c r="AJ310" s="236" t="e">
        <f t="shared" si="174"/>
        <v>#VALUE!</v>
      </c>
      <c r="AK310" s="58" t="str">
        <f t="shared" si="175"/>
        <v/>
      </c>
      <c r="AL310" s="26" t="str">
        <f>IF($A311="","",_xll.SPRDOPT(P310,X310,AI310,0,AB310,AE310,AF310,AK310,$AJ$2,0))</f>
        <v/>
      </c>
      <c r="AM310" s="89" t="str">
        <f t="shared" si="176"/>
        <v/>
      </c>
      <c r="AN310" s="89" t="str">
        <f t="shared" si="177"/>
        <v/>
      </c>
      <c r="AO310" s="3" t="str">
        <f t="shared" si="178"/>
        <v/>
      </c>
      <c r="AP310" s="33" t="str">
        <f t="shared" si="179"/>
        <v/>
      </c>
      <c r="AQ310" s="58" t="str">
        <f t="shared" si="180"/>
        <v/>
      </c>
      <c r="AR310" s="38">
        <f>'ANR OK vs ML7'!AR310</f>
        <v>0.1</v>
      </c>
      <c r="AS310" s="35" t="str">
        <f t="shared" si="181"/>
        <v/>
      </c>
      <c r="AT310" s="3" t="str">
        <f t="shared" si="182"/>
        <v/>
      </c>
      <c r="AU310" s="3" t="str">
        <f t="shared" si="183"/>
        <v/>
      </c>
      <c r="AW310" s="32" t="str">
        <f t="shared" si="184"/>
        <v/>
      </c>
      <c r="AX310" s="32" t="str">
        <f t="shared" si="184"/>
        <v/>
      </c>
      <c r="AY310" s="32" t="str">
        <f t="shared" si="185"/>
        <v/>
      </c>
      <c r="BA310" s="32" t="str">
        <f>IF($A311="","",F310*Summary!$Q$12)</f>
        <v/>
      </c>
    </row>
    <row r="311" spans="1:53" ht="12" customHeight="1">
      <c r="A311" s="67" t="str">
        <f t="shared" si="186"/>
        <v/>
      </c>
      <c r="B311" s="69" t="str">
        <f t="shared" si="188"/>
        <v/>
      </c>
      <c r="C311" s="71"/>
      <c r="D311" s="69" t="str">
        <f t="shared" si="152"/>
        <v/>
      </c>
      <c r="E311" s="70" t="str">
        <f t="shared" si="153"/>
        <v/>
      </c>
      <c r="F311" s="70" t="str">
        <f t="shared" si="154"/>
        <v/>
      </c>
      <c r="G311" s="63" t="str">
        <f t="shared" si="155"/>
        <v/>
      </c>
      <c r="H311" s="64" t="str">
        <f t="shared" si="156"/>
        <v/>
      </c>
      <c r="I311" s="43"/>
      <c r="J311" s="63" t="str">
        <f t="shared" si="157"/>
        <v/>
      </c>
      <c r="K311" s="64" t="str">
        <f t="shared" si="158"/>
        <v/>
      </c>
      <c r="L311" s="63" t="str">
        <f t="shared" si="159"/>
        <v/>
      </c>
      <c r="M311" s="64" t="str">
        <f t="shared" si="160"/>
        <v/>
      </c>
      <c r="N311" s="65"/>
      <c r="O311" s="63" t="str">
        <f t="shared" si="161"/>
        <v/>
      </c>
      <c r="P311" s="63" t="str">
        <f t="shared" si="162"/>
        <v/>
      </c>
      <c r="Q311" s="66"/>
      <c r="R311" s="63" t="str">
        <f t="shared" si="163"/>
        <v/>
      </c>
      <c r="S311" s="64" t="str">
        <f t="shared" si="164"/>
        <v/>
      </c>
      <c r="T311" s="63" t="str">
        <f t="shared" si="165"/>
        <v/>
      </c>
      <c r="U311" s="64" t="str">
        <f t="shared" si="166"/>
        <v/>
      </c>
      <c r="V311" s="90" t="str">
        <f>IF($A312="","",IF(AND(MONTH(A311)&gt;3,MONTH(A311)&lt;11),(T311+R311+G311)*(((1/(1-Summary!$T$12))/(1-Summary!$W$12))-1),(T311+R311+G311)*((1/(1-Summary!$U$12))/(1-Summary!$X$12)-1)))</f>
        <v/>
      </c>
      <c r="W311" s="63" t="str">
        <f t="shared" si="167"/>
        <v/>
      </c>
      <c r="X311" s="63" t="str">
        <f t="shared" si="168"/>
        <v/>
      </c>
      <c r="Y311" s="43"/>
      <c r="Z311" s="38" t="str">
        <f t="shared" si="169"/>
        <v/>
      </c>
      <c r="AA311" s="38" t="str">
        <f t="shared" si="170"/>
        <v/>
      </c>
      <c r="AB311" s="38" t="e">
        <f t="shared" si="171"/>
        <v>#VALUE!</v>
      </c>
      <c r="AC311" s="38" t="str">
        <f t="shared" si="172"/>
        <v/>
      </c>
      <c r="AD311" s="38" t="str">
        <f t="shared" si="172"/>
        <v/>
      </c>
      <c r="AE311" s="38" t="e">
        <f t="shared" si="173"/>
        <v>#VALUE!</v>
      </c>
      <c r="AF311" s="238" t="e">
        <f>((Summary!$N$12*(AA311*AD311)*(A311-$D$3))+(Summary!$M$12*Z311*AC311*(AJ311-EOMONTH(EDATE(A311,-1),0))))/(AK311*AB311*AE311)</f>
        <v>#VALUE!</v>
      </c>
      <c r="AG311" s="88" t="str">
        <f>IF($A312="","",Summary!$Q$12)</f>
        <v/>
      </c>
      <c r="AH311" s="88" t="str">
        <f>IF($A312="","",IF(Summary!$R$12="Y",(VLOOKUP($A311,Summary!$AD$6:$AF$9,3)+'Escalating commodity'!H324),'Escalating commodity'!H324))</f>
        <v/>
      </c>
      <c r="AI311" s="88" t="str">
        <f t="shared" si="187"/>
        <v/>
      </c>
      <c r="AJ311" s="236" t="e">
        <f t="shared" si="174"/>
        <v>#VALUE!</v>
      </c>
      <c r="AK311" s="58" t="str">
        <f t="shared" si="175"/>
        <v/>
      </c>
      <c r="AL311" s="26" t="str">
        <f>IF($A312="","",_xll.SPRDOPT(P311,X311,AI311,0,AB311,AE311,AF311,AK311,$AJ$2,0))</f>
        <v/>
      </c>
      <c r="AM311" s="89" t="str">
        <f t="shared" si="176"/>
        <v/>
      </c>
      <c r="AN311" s="89" t="str">
        <f t="shared" si="177"/>
        <v/>
      </c>
      <c r="AO311" s="3" t="str">
        <f t="shared" si="178"/>
        <v/>
      </c>
      <c r="AP311" s="33" t="str">
        <f t="shared" si="179"/>
        <v/>
      </c>
      <c r="AQ311" s="58" t="str">
        <f t="shared" si="180"/>
        <v/>
      </c>
      <c r="AR311" s="38">
        <f>'ANR OK vs ML7'!AR311</f>
        <v>0.1</v>
      </c>
      <c r="AS311" s="35" t="str">
        <f t="shared" si="181"/>
        <v/>
      </c>
      <c r="AT311" s="3" t="str">
        <f t="shared" si="182"/>
        <v/>
      </c>
      <c r="AU311" s="3" t="str">
        <f t="shared" si="183"/>
        <v/>
      </c>
      <c r="AW311" s="32" t="str">
        <f t="shared" si="184"/>
        <v/>
      </c>
      <c r="AX311" s="32" t="str">
        <f t="shared" si="184"/>
        <v/>
      </c>
      <c r="AY311" s="32" t="str">
        <f t="shared" si="185"/>
        <v/>
      </c>
      <c r="BA311" s="32" t="str">
        <f>IF($A312="","",F311*Summary!$Q$12)</f>
        <v/>
      </c>
    </row>
    <row r="312" spans="1:53" ht="12" customHeight="1">
      <c r="A312" s="67" t="str">
        <f t="shared" si="186"/>
        <v/>
      </c>
      <c r="B312" s="69" t="str">
        <f t="shared" si="188"/>
        <v/>
      </c>
      <c r="C312" s="71"/>
      <c r="D312" s="69" t="str">
        <f t="shared" si="152"/>
        <v/>
      </c>
      <c r="E312" s="70" t="str">
        <f t="shared" si="153"/>
        <v/>
      </c>
      <c r="F312" s="70" t="str">
        <f t="shared" si="154"/>
        <v/>
      </c>
      <c r="G312" s="63" t="str">
        <f t="shared" si="155"/>
        <v/>
      </c>
      <c r="H312" s="64" t="str">
        <f t="shared" si="156"/>
        <v/>
      </c>
      <c r="I312" s="43"/>
      <c r="J312" s="63" t="str">
        <f t="shared" si="157"/>
        <v/>
      </c>
      <c r="K312" s="64" t="str">
        <f t="shared" si="158"/>
        <v/>
      </c>
      <c r="L312" s="63" t="str">
        <f t="shared" si="159"/>
        <v/>
      </c>
      <c r="M312" s="64" t="str">
        <f t="shared" si="160"/>
        <v/>
      </c>
      <c r="N312" s="65"/>
      <c r="O312" s="63" t="str">
        <f t="shared" si="161"/>
        <v/>
      </c>
      <c r="P312" s="63" t="str">
        <f t="shared" si="162"/>
        <v/>
      </c>
      <c r="Q312" s="66"/>
      <c r="R312" s="63" t="str">
        <f t="shared" si="163"/>
        <v/>
      </c>
      <c r="S312" s="64" t="str">
        <f t="shared" si="164"/>
        <v/>
      </c>
      <c r="T312" s="63" t="str">
        <f t="shared" si="165"/>
        <v/>
      </c>
      <c r="U312" s="64" t="str">
        <f t="shared" si="166"/>
        <v/>
      </c>
      <c r="V312" s="90" t="str">
        <f>IF($A313="","",IF(AND(MONTH(A312)&gt;3,MONTH(A312)&lt;11),(T312+R312+G312)*(((1/(1-Summary!$T$12))/(1-Summary!$W$12))-1),(T312+R312+G312)*((1/(1-Summary!$U$12))/(1-Summary!$X$12)-1)))</f>
        <v/>
      </c>
      <c r="W312" s="63" t="str">
        <f t="shared" si="167"/>
        <v/>
      </c>
      <c r="X312" s="63" t="str">
        <f t="shared" si="168"/>
        <v/>
      </c>
      <c r="Y312" s="43"/>
      <c r="Z312" s="38" t="str">
        <f t="shared" si="169"/>
        <v/>
      </c>
      <c r="AA312" s="38" t="str">
        <f t="shared" si="170"/>
        <v/>
      </c>
      <c r="AB312" s="38" t="e">
        <f t="shared" si="171"/>
        <v>#VALUE!</v>
      </c>
      <c r="AC312" s="38" t="str">
        <f t="shared" si="172"/>
        <v/>
      </c>
      <c r="AD312" s="38" t="str">
        <f t="shared" si="172"/>
        <v/>
      </c>
      <c r="AE312" s="38" t="e">
        <f t="shared" si="173"/>
        <v>#VALUE!</v>
      </c>
      <c r="AF312" s="238" t="e">
        <f>((Summary!$N$12*(AA312*AD312)*(A312-$D$3))+(Summary!$M$12*Z312*AC312*(AJ312-EOMONTH(EDATE(A312,-1),0))))/(AK312*AB312*AE312)</f>
        <v>#VALUE!</v>
      </c>
      <c r="AG312" s="88" t="str">
        <f>IF($A313="","",Summary!$Q$12)</f>
        <v/>
      </c>
      <c r="AH312" s="88" t="str">
        <f>IF($A313="","",IF(Summary!$R$12="Y",(VLOOKUP($A312,Summary!$AD$6:$AF$9,3)+'Escalating commodity'!H325),'Escalating commodity'!H325))</f>
        <v/>
      </c>
      <c r="AI312" s="88" t="str">
        <f t="shared" si="187"/>
        <v/>
      </c>
      <c r="AJ312" s="236" t="e">
        <f t="shared" si="174"/>
        <v>#VALUE!</v>
      </c>
      <c r="AK312" s="58" t="str">
        <f t="shared" si="175"/>
        <v/>
      </c>
      <c r="AL312" s="26" t="str">
        <f>IF($A313="","",_xll.SPRDOPT(P312,X312,AI312,0,AB312,AE312,AF312,AK312,$AJ$2,0))</f>
        <v/>
      </c>
      <c r="AM312" s="89" t="str">
        <f t="shared" si="176"/>
        <v/>
      </c>
      <c r="AN312" s="89" t="str">
        <f t="shared" si="177"/>
        <v/>
      </c>
      <c r="AO312" s="3" t="str">
        <f t="shared" si="178"/>
        <v/>
      </c>
      <c r="AP312" s="33" t="str">
        <f t="shared" si="179"/>
        <v/>
      </c>
      <c r="AQ312" s="58" t="str">
        <f t="shared" si="180"/>
        <v/>
      </c>
      <c r="AR312" s="38">
        <f>'ANR OK vs ML7'!AR312</f>
        <v>0.1</v>
      </c>
      <c r="AS312" s="35" t="str">
        <f t="shared" si="181"/>
        <v/>
      </c>
      <c r="AT312" s="3" t="str">
        <f t="shared" si="182"/>
        <v/>
      </c>
      <c r="AU312" s="3" t="str">
        <f t="shared" si="183"/>
        <v/>
      </c>
      <c r="AW312" s="32" t="str">
        <f t="shared" si="184"/>
        <v/>
      </c>
      <c r="AX312" s="32" t="str">
        <f t="shared" si="184"/>
        <v/>
      </c>
      <c r="AY312" s="32" t="str">
        <f t="shared" si="185"/>
        <v/>
      </c>
      <c r="BA312" s="32" t="str">
        <f>IF($A313="","",F312*Summary!$Q$12)</f>
        <v/>
      </c>
    </row>
    <row r="313" spans="1:53" ht="12" customHeight="1">
      <c r="A313" s="67" t="str">
        <f t="shared" si="186"/>
        <v/>
      </c>
      <c r="B313" s="69" t="str">
        <f t="shared" si="188"/>
        <v/>
      </c>
      <c r="C313" s="71"/>
      <c r="D313" s="69" t="str">
        <f t="shared" si="152"/>
        <v/>
      </c>
      <c r="E313" s="70" t="str">
        <f t="shared" si="153"/>
        <v/>
      </c>
      <c r="F313" s="70" t="str">
        <f t="shared" si="154"/>
        <v/>
      </c>
      <c r="G313" s="63" t="str">
        <f t="shared" si="155"/>
        <v/>
      </c>
      <c r="H313" s="64" t="str">
        <f t="shared" si="156"/>
        <v/>
      </c>
      <c r="I313" s="43"/>
      <c r="J313" s="63" t="str">
        <f t="shared" si="157"/>
        <v/>
      </c>
      <c r="K313" s="64" t="str">
        <f t="shared" si="158"/>
        <v/>
      </c>
      <c r="L313" s="63" t="str">
        <f t="shared" si="159"/>
        <v/>
      </c>
      <c r="M313" s="64" t="str">
        <f t="shared" si="160"/>
        <v/>
      </c>
      <c r="N313" s="65"/>
      <c r="O313" s="63" t="str">
        <f t="shared" si="161"/>
        <v/>
      </c>
      <c r="P313" s="63" t="str">
        <f t="shared" si="162"/>
        <v/>
      </c>
      <c r="Q313" s="66"/>
      <c r="R313" s="63" t="str">
        <f t="shared" si="163"/>
        <v/>
      </c>
      <c r="S313" s="64" t="str">
        <f t="shared" si="164"/>
        <v/>
      </c>
      <c r="T313" s="63" t="str">
        <f t="shared" si="165"/>
        <v/>
      </c>
      <c r="U313" s="64" t="str">
        <f t="shared" si="166"/>
        <v/>
      </c>
      <c r="V313" s="90" t="str">
        <f>IF($A314="","",IF(AND(MONTH(A313)&gt;3,MONTH(A313)&lt;11),(T313+R313+G313)*(((1/(1-Summary!$T$12))/(1-Summary!$W$12))-1),(T313+R313+G313)*((1/(1-Summary!$U$12))/(1-Summary!$X$12)-1)))</f>
        <v/>
      </c>
      <c r="W313" s="63" t="str">
        <f t="shared" si="167"/>
        <v/>
      </c>
      <c r="X313" s="63" t="str">
        <f t="shared" si="168"/>
        <v/>
      </c>
      <c r="Y313" s="43"/>
      <c r="Z313" s="38" t="str">
        <f t="shared" si="169"/>
        <v/>
      </c>
      <c r="AA313" s="38" t="str">
        <f t="shared" si="170"/>
        <v/>
      </c>
      <c r="AB313" s="38" t="e">
        <f t="shared" si="171"/>
        <v>#VALUE!</v>
      </c>
      <c r="AC313" s="38" t="str">
        <f t="shared" si="172"/>
        <v/>
      </c>
      <c r="AD313" s="38" t="str">
        <f t="shared" si="172"/>
        <v/>
      </c>
      <c r="AE313" s="38" t="e">
        <f t="shared" si="173"/>
        <v>#VALUE!</v>
      </c>
      <c r="AF313" s="238" t="e">
        <f>((Summary!$N$12*(AA313*AD313)*(A313-$D$3))+(Summary!$M$12*Z313*AC313*(AJ313-EOMONTH(EDATE(A313,-1),0))))/(AK313*AB313*AE313)</f>
        <v>#VALUE!</v>
      </c>
      <c r="AG313" s="88" t="str">
        <f>IF($A314="","",Summary!$Q$12)</f>
        <v/>
      </c>
      <c r="AH313" s="88" t="str">
        <f>IF($A314="","",IF(Summary!$R$12="Y",(VLOOKUP($A313,Summary!$AD$6:$AF$9,3)+'Escalating commodity'!H326),'Escalating commodity'!H326))</f>
        <v/>
      </c>
      <c r="AI313" s="88" t="str">
        <f t="shared" si="187"/>
        <v/>
      </c>
      <c r="AJ313" s="236" t="e">
        <f t="shared" si="174"/>
        <v>#VALUE!</v>
      </c>
      <c r="AK313" s="58" t="str">
        <f t="shared" si="175"/>
        <v/>
      </c>
      <c r="AL313" s="26" t="str">
        <f>IF($A314="","",_xll.SPRDOPT(P313,X313,AI313,0,AB313,AE313,AF313,AK313,$AJ$2,0))</f>
        <v/>
      </c>
      <c r="AM313" s="89" t="str">
        <f t="shared" si="176"/>
        <v/>
      </c>
      <c r="AN313" s="89" t="str">
        <f t="shared" si="177"/>
        <v/>
      </c>
      <c r="AO313" s="3" t="str">
        <f t="shared" si="178"/>
        <v/>
      </c>
      <c r="AP313" s="33" t="str">
        <f t="shared" si="179"/>
        <v/>
      </c>
      <c r="AQ313" s="58" t="str">
        <f t="shared" si="180"/>
        <v/>
      </c>
      <c r="AR313" s="38">
        <f>'ANR OK vs ML7'!AR313</f>
        <v>0.1</v>
      </c>
      <c r="AS313" s="35" t="str">
        <f t="shared" si="181"/>
        <v/>
      </c>
      <c r="AT313" s="3" t="str">
        <f t="shared" si="182"/>
        <v/>
      </c>
      <c r="AU313" s="3" t="str">
        <f t="shared" si="183"/>
        <v/>
      </c>
      <c r="AW313" s="32" t="str">
        <f t="shared" si="184"/>
        <v/>
      </c>
      <c r="AX313" s="32" t="str">
        <f t="shared" si="184"/>
        <v/>
      </c>
      <c r="AY313" s="32" t="str">
        <f t="shared" si="185"/>
        <v/>
      </c>
      <c r="BA313" s="32" t="str">
        <f>IF($A314="","",F313*Summary!$Q$12)</f>
        <v/>
      </c>
    </row>
    <row r="314" spans="1:53" ht="12" customHeight="1">
      <c r="A314" s="67" t="str">
        <f t="shared" si="186"/>
        <v/>
      </c>
      <c r="B314" s="69" t="str">
        <f t="shared" si="188"/>
        <v/>
      </c>
      <c r="C314" s="71"/>
      <c r="D314" s="69" t="str">
        <f t="shared" si="152"/>
        <v/>
      </c>
      <c r="E314" s="70" t="str">
        <f t="shared" si="153"/>
        <v/>
      </c>
      <c r="F314" s="70" t="str">
        <f t="shared" si="154"/>
        <v/>
      </c>
      <c r="G314" s="63" t="str">
        <f t="shared" si="155"/>
        <v/>
      </c>
      <c r="H314" s="64" t="str">
        <f t="shared" si="156"/>
        <v/>
      </c>
      <c r="I314" s="43"/>
      <c r="J314" s="63" t="str">
        <f t="shared" si="157"/>
        <v/>
      </c>
      <c r="K314" s="64" t="str">
        <f t="shared" si="158"/>
        <v/>
      </c>
      <c r="L314" s="63" t="str">
        <f t="shared" si="159"/>
        <v/>
      </c>
      <c r="M314" s="64" t="str">
        <f t="shared" si="160"/>
        <v/>
      </c>
      <c r="N314" s="65"/>
      <c r="O314" s="63" t="str">
        <f t="shared" si="161"/>
        <v/>
      </c>
      <c r="P314" s="63" t="str">
        <f t="shared" si="162"/>
        <v/>
      </c>
      <c r="Q314" s="66"/>
      <c r="R314" s="63" t="str">
        <f t="shared" si="163"/>
        <v/>
      </c>
      <c r="S314" s="64" t="str">
        <f t="shared" si="164"/>
        <v/>
      </c>
      <c r="T314" s="63" t="str">
        <f t="shared" si="165"/>
        <v/>
      </c>
      <c r="U314" s="64" t="str">
        <f t="shared" si="166"/>
        <v/>
      </c>
      <c r="V314" s="90" t="str">
        <f>IF($A315="","",IF(AND(MONTH(A314)&gt;3,MONTH(A314)&lt;11),(T314+R314+G314)*(((1/(1-Summary!$T$12))/(1-Summary!$W$12))-1),(T314+R314+G314)*((1/(1-Summary!$U$12))/(1-Summary!$X$12)-1)))</f>
        <v/>
      </c>
      <c r="W314" s="63" t="str">
        <f t="shared" si="167"/>
        <v/>
      </c>
      <c r="X314" s="63" t="str">
        <f t="shared" si="168"/>
        <v/>
      </c>
      <c r="Y314" s="43"/>
      <c r="Z314" s="38" t="str">
        <f t="shared" si="169"/>
        <v/>
      </c>
      <c r="AA314" s="38" t="str">
        <f t="shared" si="170"/>
        <v/>
      </c>
      <c r="AB314" s="38" t="e">
        <f t="shared" si="171"/>
        <v>#VALUE!</v>
      </c>
      <c r="AC314" s="38" t="str">
        <f t="shared" si="172"/>
        <v/>
      </c>
      <c r="AD314" s="38" t="str">
        <f t="shared" si="172"/>
        <v/>
      </c>
      <c r="AE314" s="38" t="e">
        <f t="shared" si="173"/>
        <v>#VALUE!</v>
      </c>
      <c r="AF314" s="238" t="e">
        <f>((Summary!$N$12*(AA314*AD314)*(A314-$D$3))+(Summary!$M$12*Z314*AC314*(AJ314-EOMONTH(EDATE(A314,-1),0))))/(AK314*AB314*AE314)</f>
        <v>#VALUE!</v>
      </c>
      <c r="AG314" s="88" t="str">
        <f>IF($A315="","",Summary!$Q$12)</f>
        <v/>
      </c>
      <c r="AH314" s="88" t="str">
        <f>IF($A315="","",IF(Summary!$R$12="Y",(VLOOKUP($A314,Summary!$AD$6:$AF$9,3)+'Escalating commodity'!H327),'Escalating commodity'!H327))</f>
        <v/>
      </c>
      <c r="AI314" s="88" t="str">
        <f t="shared" si="187"/>
        <v/>
      </c>
      <c r="AJ314" s="236" t="e">
        <f t="shared" si="174"/>
        <v>#VALUE!</v>
      </c>
      <c r="AK314" s="58" t="str">
        <f t="shared" si="175"/>
        <v/>
      </c>
      <c r="AL314" s="26" t="str">
        <f>IF($A315="","",_xll.SPRDOPT(P314,X314,AI314,0,AB314,AE314,AF314,AK314,$AJ$2,0))</f>
        <v/>
      </c>
      <c r="AM314" s="89" t="str">
        <f t="shared" si="176"/>
        <v/>
      </c>
      <c r="AN314" s="89" t="str">
        <f t="shared" si="177"/>
        <v/>
      </c>
      <c r="AO314" s="3" t="str">
        <f t="shared" si="178"/>
        <v/>
      </c>
      <c r="AP314" s="33" t="str">
        <f t="shared" si="179"/>
        <v/>
      </c>
      <c r="AQ314" s="58" t="str">
        <f t="shared" si="180"/>
        <v/>
      </c>
      <c r="AR314" s="38">
        <f>'ANR OK vs ML7'!AR314</f>
        <v>0.1</v>
      </c>
      <c r="AS314" s="35" t="str">
        <f t="shared" si="181"/>
        <v/>
      </c>
      <c r="AT314" s="3" t="str">
        <f t="shared" si="182"/>
        <v/>
      </c>
      <c r="AU314" s="3" t="str">
        <f t="shared" si="183"/>
        <v/>
      </c>
      <c r="AW314" s="32" t="str">
        <f t="shared" si="184"/>
        <v/>
      </c>
      <c r="AX314" s="32" t="str">
        <f t="shared" si="184"/>
        <v/>
      </c>
      <c r="AY314" s="32" t="str">
        <f t="shared" si="185"/>
        <v/>
      </c>
      <c r="BA314" s="32" t="str">
        <f>IF($A315="","",F314*Summary!$Q$12)</f>
        <v/>
      </c>
    </row>
    <row r="315" spans="1:53" ht="12" customHeight="1">
      <c r="A315" s="67" t="str">
        <f t="shared" si="186"/>
        <v/>
      </c>
      <c r="B315" s="69" t="str">
        <f t="shared" si="188"/>
        <v/>
      </c>
      <c r="C315" s="71"/>
      <c r="D315" s="69" t="str">
        <f t="shared" si="152"/>
        <v/>
      </c>
      <c r="E315" s="70" t="str">
        <f t="shared" si="153"/>
        <v/>
      </c>
      <c r="F315" s="70" t="str">
        <f t="shared" si="154"/>
        <v/>
      </c>
      <c r="G315" s="63" t="str">
        <f t="shared" si="155"/>
        <v/>
      </c>
      <c r="H315" s="64" t="str">
        <f t="shared" si="156"/>
        <v/>
      </c>
      <c r="I315" s="43"/>
      <c r="J315" s="63" t="str">
        <f t="shared" si="157"/>
        <v/>
      </c>
      <c r="K315" s="64" t="str">
        <f t="shared" si="158"/>
        <v/>
      </c>
      <c r="L315" s="63" t="str">
        <f t="shared" si="159"/>
        <v/>
      </c>
      <c r="M315" s="64" t="str">
        <f t="shared" si="160"/>
        <v/>
      </c>
      <c r="N315" s="65"/>
      <c r="O315" s="63" t="str">
        <f t="shared" si="161"/>
        <v/>
      </c>
      <c r="P315" s="63" t="str">
        <f t="shared" si="162"/>
        <v/>
      </c>
      <c r="Q315" s="66"/>
      <c r="R315" s="63" t="str">
        <f t="shared" si="163"/>
        <v/>
      </c>
      <c r="S315" s="64" t="str">
        <f t="shared" si="164"/>
        <v/>
      </c>
      <c r="T315" s="63" t="str">
        <f t="shared" si="165"/>
        <v/>
      </c>
      <c r="U315" s="64" t="str">
        <f t="shared" si="166"/>
        <v/>
      </c>
      <c r="V315" s="90" t="str">
        <f>IF($A316="","",IF(AND(MONTH(A315)&gt;3,MONTH(A315)&lt;11),(T315+R315+G315)*(((1/(1-Summary!$T$12))/(1-Summary!$W$12))-1),(T315+R315+G315)*((1/(1-Summary!$U$12))/(1-Summary!$X$12)-1)))</f>
        <v/>
      </c>
      <c r="W315" s="63" t="str">
        <f t="shared" si="167"/>
        <v/>
      </c>
      <c r="X315" s="63" t="str">
        <f t="shared" si="168"/>
        <v/>
      </c>
      <c r="Y315" s="43"/>
      <c r="Z315" s="38" t="str">
        <f t="shared" si="169"/>
        <v/>
      </c>
      <c r="AA315" s="38" t="str">
        <f t="shared" si="170"/>
        <v/>
      </c>
      <c r="AB315" s="38" t="e">
        <f t="shared" si="171"/>
        <v>#VALUE!</v>
      </c>
      <c r="AC315" s="38" t="str">
        <f t="shared" si="172"/>
        <v/>
      </c>
      <c r="AD315" s="38" t="str">
        <f t="shared" si="172"/>
        <v/>
      </c>
      <c r="AE315" s="38" t="e">
        <f t="shared" si="173"/>
        <v>#VALUE!</v>
      </c>
      <c r="AF315" s="238" t="e">
        <f>((Summary!$N$12*(AA315*AD315)*(A315-$D$3))+(Summary!$M$12*Z315*AC315*(AJ315-EOMONTH(EDATE(A315,-1),0))))/(AK315*AB315*AE315)</f>
        <v>#VALUE!</v>
      </c>
      <c r="AG315" s="88" t="str">
        <f>IF($A316="","",Summary!$Q$12)</f>
        <v/>
      </c>
      <c r="AH315" s="88" t="str">
        <f>IF($A316="","",IF(Summary!$R$12="Y",(VLOOKUP($A315,Summary!$AD$6:$AF$9,3)+'Escalating commodity'!H328),'Escalating commodity'!H328))</f>
        <v/>
      </c>
      <c r="AI315" s="88" t="str">
        <f t="shared" si="187"/>
        <v/>
      </c>
      <c r="AJ315" s="236" t="e">
        <f t="shared" si="174"/>
        <v>#VALUE!</v>
      </c>
      <c r="AK315" s="58" t="str">
        <f t="shared" si="175"/>
        <v/>
      </c>
      <c r="AL315" s="26" t="str">
        <f>IF($A316="","",_xll.SPRDOPT(P315,X315,AI315,0,AB315,AE315,AF315,AK315,$AJ$2,0))</f>
        <v/>
      </c>
      <c r="AM315" s="89" t="str">
        <f t="shared" si="176"/>
        <v/>
      </c>
      <c r="AN315" s="89" t="str">
        <f t="shared" si="177"/>
        <v/>
      </c>
      <c r="AO315" s="3" t="str">
        <f t="shared" si="178"/>
        <v/>
      </c>
      <c r="AP315" s="33" t="str">
        <f t="shared" si="179"/>
        <v/>
      </c>
      <c r="AQ315" s="58" t="str">
        <f t="shared" si="180"/>
        <v/>
      </c>
      <c r="AR315" s="38">
        <f>'ANR OK vs ML7'!AR315</f>
        <v>0.1</v>
      </c>
      <c r="AS315" s="35" t="str">
        <f t="shared" si="181"/>
        <v/>
      </c>
      <c r="AT315" s="3" t="str">
        <f t="shared" si="182"/>
        <v/>
      </c>
      <c r="AU315" s="3" t="str">
        <f t="shared" si="183"/>
        <v/>
      </c>
      <c r="AW315" s="32" t="str">
        <f t="shared" si="184"/>
        <v/>
      </c>
      <c r="AX315" s="32" t="str">
        <f t="shared" si="184"/>
        <v/>
      </c>
      <c r="AY315" s="32" t="str">
        <f t="shared" si="185"/>
        <v/>
      </c>
      <c r="BA315" s="32" t="str">
        <f>IF($A316="","",F315*Summary!$Q$12)</f>
        <v/>
      </c>
    </row>
    <row r="316" spans="1:53" ht="12" customHeight="1">
      <c r="A316" s="67" t="str">
        <f t="shared" si="186"/>
        <v/>
      </c>
      <c r="B316" s="69" t="str">
        <f t="shared" si="188"/>
        <v/>
      </c>
      <c r="C316" s="71"/>
      <c r="D316" s="69" t="str">
        <f t="shared" si="152"/>
        <v/>
      </c>
      <c r="E316" s="70" t="str">
        <f t="shared" si="153"/>
        <v/>
      </c>
      <c r="F316" s="70" t="str">
        <f t="shared" si="154"/>
        <v/>
      </c>
      <c r="G316" s="63" t="str">
        <f t="shared" si="155"/>
        <v/>
      </c>
      <c r="H316" s="64" t="str">
        <f t="shared" si="156"/>
        <v/>
      </c>
      <c r="I316" s="43"/>
      <c r="J316" s="63" t="str">
        <f t="shared" si="157"/>
        <v/>
      </c>
      <c r="K316" s="64" t="str">
        <f t="shared" si="158"/>
        <v/>
      </c>
      <c r="L316" s="63" t="str">
        <f t="shared" si="159"/>
        <v/>
      </c>
      <c r="M316" s="64" t="str">
        <f t="shared" si="160"/>
        <v/>
      </c>
      <c r="N316" s="65"/>
      <c r="O316" s="63" t="str">
        <f t="shared" si="161"/>
        <v/>
      </c>
      <c r="P316" s="63" t="str">
        <f t="shared" si="162"/>
        <v/>
      </c>
      <c r="Q316" s="66"/>
      <c r="R316" s="63" t="str">
        <f t="shared" si="163"/>
        <v/>
      </c>
      <c r="S316" s="64" t="str">
        <f t="shared" si="164"/>
        <v/>
      </c>
      <c r="T316" s="63" t="str">
        <f t="shared" si="165"/>
        <v/>
      </c>
      <c r="U316" s="64" t="str">
        <f t="shared" si="166"/>
        <v/>
      </c>
      <c r="V316" s="90" t="str">
        <f>IF($A317="","",IF(AND(MONTH(A316)&gt;3,MONTH(A316)&lt;11),(T316+R316+G316)*(((1/(1-Summary!$T$12))/(1-Summary!$W$12))-1),(T316+R316+G316)*((1/(1-Summary!$U$12))/(1-Summary!$X$12)-1)))</f>
        <v/>
      </c>
      <c r="W316" s="63" t="str">
        <f t="shared" si="167"/>
        <v/>
      </c>
      <c r="X316" s="63" t="str">
        <f t="shared" si="168"/>
        <v/>
      </c>
      <c r="Y316" s="43"/>
      <c r="Z316" s="38" t="str">
        <f t="shared" si="169"/>
        <v/>
      </c>
      <c r="AA316" s="38" t="str">
        <f t="shared" si="170"/>
        <v/>
      </c>
      <c r="AB316" s="38" t="e">
        <f t="shared" si="171"/>
        <v>#VALUE!</v>
      </c>
      <c r="AC316" s="38" t="str">
        <f t="shared" si="172"/>
        <v/>
      </c>
      <c r="AD316" s="38" t="str">
        <f t="shared" si="172"/>
        <v/>
      </c>
      <c r="AE316" s="38" t="e">
        <f t="shared" si="173"/>
        <v>#VALUE!</v>
      </c>
      <c r="AF316" s="238" t="e">
        <f>((Summary!$N$12*(AA316*AD316)*(A316-$D$3))+(Summary!$M$12*Z316*AC316*(AJ316-EOMONTH(EDATE(A316,-1),0))))/(AK316*AB316*AE316)</f>
        <v>#VALUE!</v>
      </c>
      <c r="AG316" s="88" t="str">
        <f>IF($A317="","",Summary!$Q$12)</f>
        <v/>
      </c>
      <c r="AH316" s="88" t="str">
        <f>IF($A317="","",IF(Summary!$R$12="Y",(VLOOKUP($A316,Summary!$AD$6:$AF$9,3)+'Escalating commodity'!H329),'Escalating commodity'!H329))</f>
        <v/>
      </c>
      <c r="AI316" s="88" t="str">
        <f t="shared" si="187"/>
        <v/>
      </c>
      <c r="AJ316" s="236" t="e">
        <f t="shared" si="174"/>
        <v>#VALUE!</v>
      </c>
      <c r="AK316" s="58" t="str">
        <f t="shared" si="175"/>
        <v/>
      </c>
      <c r="AL316" s="26" t="str">
        <f>IF($A317="","",_xll.SPRDOPT(P316,X316,AI316,0,AB316,AE316,AF316,AK316,$AJ$2,0))</f>
        <v/>
      </c>
      <c r="AM316" s="89" t="str">
        <f t="shared" si="176"/>
        <v/>
      </c>
      <c r="AN316" s="89" t="str">
        <f t="shared" si="177"/>
        <v/>
      </c>
      <c r="AO316" s="3" t="str">
        <f t="shared" si="178"/>
        <v/>
      </c>
      <c r="AP316" s="33" t="str">
        <f t="shared" si="179"/>
        <v/>
      </c>
      <c r="AQ316" s="58" t="str">
        <f t="shared" si="180"/>
        <v/>
      </c>
      <c r="AR316" s="38">
        <f>'ANR OK vs ML7'!AR316</f>
        <v>0.1</v>
      </c>
      <c r="AS316" s="35" t="str">
        <f t="shared" si="181"/>
        <v/>
      </c>
      <c r="AT316" s="3" t="str">
        <f t="shared" si="182"/>
        <v/>
      </c>
      <c r="AU316" s="3" t="str">
        <f t="shared" si="183"/>
        <v/>
      </c>
      <c r="AW316" s="32" t="str">
        <f t="shared" si="184"/>
        <v/>
      </c>
      <c r="AX316" s="32" t="str">
        <f t="shared" si="184"/>
        <v/>
      </c>
      <c r="AY316" s="32" t="str">
        <f t="shared" si="185"/>
        <v/>
      </c>
      <c r="BA316" s="32" t="str">
        <f>IF($A317="","",F316*Summary!$Q$12)</f>
        <v/>
      </c>
    </row>
    <row r="317" spans="1:53" ht="12" customHeight="1">
      <c r="A317" s="67" t="str">
        <f t="shared" si="186"/>
        <v/>
      </c>
      <c r="B317" s="69" t="str">
        <f t="shared" si="188"/>
        <v/>
      </c>
      <c r="C317" s="71"/>
      <c r="D317" s="69" t="str">
        <f t="shared" si="152"/>
        <v/>
      </c>
      <c r="E317" s="70" t="str">
        <f t="shared" si="153"/>
        <v/>
      </c>
      <c r="F317" s="70" t="str">
        <f t="shared" si="154"/>
        <v/>
      </c>
      <c r="G317" s="63" t="str">
        <f t="shared" si="155"/>
        <v/>
      </c>
      <c r="H317" s="64" t="str">
        <f t="shared" si="156"/>
        <v/>
      </c>
      <c r="I317" s="43"/>
      <c r="J317" s="63" t="str">
        <f t="shared" si="157"/>
        <v/>
      </c>
      <c r="K317" s="64" t="str">
        <f t="shared" si="158"/>
        <v/>
      </c>
      <c r="L317" s="63" t="str">
        <f t="shared" si="159"/>
        <v/>
      </c>
      <c r="M317" s="64" t="str">
        <f t="shared" si="160"/>
        <v/>
      </c>
      <c r="N317" s="65"/>
      <c r="O317" s="63" t="str">
        <f t="shared" si="161"/>
        <v/>
      </c>
      <c r="P317" s="63" t="str">
        <f t="shared" si="162"/>
        <v/>
      </c>
      <c r="Q317" s="66"/>
      <c r="R317" s="63" t="str">
        <f t="shared" si="163"/>
        <v/>
      </c>
      <c r="S317" s="64" t="str">
        <f t="shared" si="164"/>
        <v/>
      </c>
      <c r="T317" s="63" t="str">
        <f t="shared" si="165"/>
        <v/>
      </c>
      <c r="U317" s="64" t="str">
        <f t="shared" si="166"/>
        <v/>
      </c>
      <c r="V317" s="90" t="str">
        <f>IF($A318="","",IF(AND(MONTH(A317)&gt;3,MONTH(A317)&lt;11),(T317+R317+G317)*(((1/(1-Summary!$T$12))/(1-Summary!$W$12))-1),(T317+R317+G317)*((1/(1-Summary!$U$12))/(1-Summary!$X$12)-1)))</f>
        <v/>
      </c>
      <c r="W317" s="63" t="str">
        <f t="shared" si="167"/>
        <v/>
      </c>
      <c r="X317" s="63" t="str">
        <f t="shared" si="168"/>
        <v/>
      </c>
      <c r="Y317" s="43"/>
      <c r="Z317" s="38" t="str">
        <f t="shared" si="169"/>
        <v/>
      </c>
      <c r="AA317" s="38" t="str">
        <f t="shared" si="170"/>
        <v/>
      </c>
      <c r="AB317" s="38" t="e">
        <f t="shared" si="171"/>
        <v>#VALUE!</v>
      </c>
      <c r="AC317" s="38" t="str">
        <f t="shared" si="172"/>
        <v/>
      </c>
      <c r="AD317" s="38" t="str">
        <f t="shared" si="172"/>
        <v/>
      </c>
      <c r="AE317" s="38" t="e">
        <f t="shared" si="173"/>
        <v>#VALUE!</v>
      </c>
      <c r="AF317" s="238" t="e">
        <f>((Summary!$N$12*(AA317*AD317)*(A317-$D$3))+(Summary!$M$12*Z317*AC317*(AJ317-EOMONTH(EDATE(A317,-1),0))))/(AK317*AB317*AE317)</f>
        <v>#VALUE!</v>
      </c>
      <c r="AG317" s="88" t="str">
        <f>IF($A318="","",Summary!$Q$12)</f>
        <v/>
      </c>
      <c r="AH317" s="88" t="str">
        <f>IF($A318="","",IF(Summary!$R$12="Y",(VLOOKUP($A317,Summary!$AD$6:$AF$9,3)+'Escalating commodity'!H330),'Escalating commodity'!H330))</f>
        <v/>
      </c>
      <c r="AI317" s="88" t="str">
        <f t="shared" si="187"/>
        <v/>
      </c>
      <c r="AJ317" s="236" t="e">
        <f t="shared" si="174"/>
        <v>#VALUE!</v>
      </c>
      <c r="AK317" s="58" t="str">
        <f t="shared" si="175"/>
        <v/>
      </c>
      <c r="AL317" s="26" t="str">
        <f>IF($A318="","",_xll.SPRDOPT(P317,X317,AI317,0,AB317,AE317,AF317,AK317,$AJ$2,0))</f>
        <v/>
      </c>
      <c r="AM317" s="89" t="str">
        <f t="shared" si="176"/>
        <v/>
      </c>
      <c r="AN317" s="89" t="str">
        <f t="shared" si="177"/>
        <v/>
      </c>
      <c r="AO317" s="3" t="str">
        <f t="shared" si="178"/>
        <v/>
      </c>
      <c r="AP317" s="33" t="str">
        <f t="shared" si="179"/>
        <v/>
      </c>
      <c r="AQ317" s="58" t="str">
        <f t="shared" si="180"/>
        <v/>
      </c>
      <c r="AR317" s="38">
        <f>'ANR OK vs ML7'!AR317</f>
        <v>0.1</v>
      </c>
      <c r="AS317" s="35" t="str">
        <f t="shared" si="181"/>
        <v/>
      </c>
      <c r="AT317" s="3" t="str">
        <f t="shared" si="182"/>
        <v/>
      </c>
      <c r="AU317" s="3" t="str">
        <f t="shared" si="183"/>
        <v/>
      </c>
      <c r="AW317" s="32" t="str">
        <f t="shared" si="184"/>
        <v/>
      </c>
      <c r="AX317" s="32" t="str">
        <f t="shared" si="184"/>
        <v/>
      </c>
      <c r="AY317" s="32" t="str">
        <f t="shared" si="185"/>
        <v/>
      </c>
      <c r="BA317" s="32" t="str">
        <f>IF($A318="","",F317*Summary!$Q$12)</f>
        <v/>
      </c>
    </row>
    <row r="318" spans="1:53" ht="12" customHeight="1">
      <c r="A318" s="67" t="str">
        <f t="shared" si="186"/>
        <v/>
      </c>
      <c r="B318" s="69" t="str">
        <f t="shared" si="188"/>
        <v/>
      </c>
      <c r="C318" s="71"/>
      <c r="D318" s="69" t="str">
        <f t="shared" si="152"/>
        <v/>
      </c>
      <c r="E318" s="70" t="str">
        <f t="shared" si="153"/>
        <v/>
      </c>
      <c r="F318" s="70" t="str">
        <f t="shared" si="154"/>
        <v/>
      </c>
      <c r="G318" s="63" t="str">
        <f t="shared" si="155"/>
        <v/>
      </c>
      <c r="H318" s="64" t="str">
        <f t="shared" si="156"/>
        <v/>
      </c>
      <c r="I318" s="43"/>
      <c r="J318" s="63" t="str">
        <f t="shared" si="157"/>
        <v/>
      </c>
      <c r="K318" s="64" t="str">
        <f t="shared" si="158"/>
        <v/>
      </c>
      <c r="L318" s="63" t="str">
        <f t="shared" si="159"/>
        <v/>
      </c>
      <c r="M318" s="64" t="str">
        <f t="shared" si="160"/>
        <v/>
      </c>
      <c r="N318" s="65"/>
      <c r="O318" s="63" t="str">
        <f t="shared" si="161"/>
        <v/>
      </c>
      <c r="P318" s="63" t="str">
        <f t="shared" si="162"/>
        <v/>
      </c>
      <c r="Q318" s="66"/>
      <c r="R318" s="63" t="str">
        <f t="shared" si="163"/>
        <v/>
      </c>
      <c r="S318" s="64" t="str">
        <f t="shared" si="164"/>
        <v/>
      </c>
      <c r="T318" s="63" t="str">
        <f t="shared" si="165"/>
        <v/>
      </c>
      <c r="U318" s="64" t="str">
        <f t="shared" si="166"/>
        <v/>
      </c>
      <c r="V318" s="90" t="str">
        <f>IF($A319="","",IF(AND(MONTH(A318)&gt;3,MONTH(A318)&lt;11),(T318+R318+G318)*(((1/(1-Summary!$T$12))/(1-Summary!$W$12))-1),(T318+R318+G318)*((1/(1-Summary!$U$12))/(1-Summary!$X$12)-1)))</f>
        <v/>
      </c>
      <c r="W318" s="63" t="str">
        <f t="shared" si="167"/>
        <v/>
      </c>
      <c r="X318" s="63" t="str">
        <f t="shared" si="168"/>
        <v/>
      </c>
      <c r="Y318" s="43"/>
      <c r="Z318" s="38" t="str">
        <f t="shared" si="169"/>
        <v/>
      </c>
      <c r="AA318" s="38" t="str">
        <f t="shared" si="170"/>
        <v/>
      </c>
      <c r="AB318" s="38" t="e">
        <f t="shared" si="171"/>
        <v>#VALUE!</v>
      </c>
      <c r="AC318" s="38" t="str">
        <f t="shared" si="172"/>
        <v/>
      </c>
      <c r="AD318" s="38" t="str">
        <f t="shared" si="172"/>
        <v/>
      </c>
      <c r="AE318" s="38" t="e">
        <f t="shared" si="173"/>
        <v>#VALUE!</v>
      </c>
      <c r="AF318" s="238" t="e">
        <f>((Summary!$N$12*(AA318*AD318)*(A318-$D$3))+(Summary!$M$12*Z318*AC318*(AJ318-EOMONTH(EDATE(A318,-1),0))))/(AK318*AB318*AE318)</f>
        <v>#VALUE!</v>
      </c>
      <c r="AG318" s="88" t="str">
        <f>IF($A319="","",Summary!$Q$12)</f>
        <v/>
      </c>
      <c r="AH318" s="88" t="str">
        <f>IF($A319="","",IF(Summary!$R$12="Y",(VLOOKUP($A318,Summary!$AD$6:$AF$9,3)+'Escalating commodity'!H331),'Escalating commodity'!H331))</f>
        <v/>
      </c>
      <c r="AI318" s="88" t="str">
        <f t="shared" si="187"/>
        <v/>
      </c>
      <c r="AJ318" s="236" t="e">
        <f t="shared" si="174"/>
        <v>#VALUE!</v>
      </c>
      <c r="AK318" s="58" t="str">
        <f t="shared" si="175"/>
        <v/>
      </c>
      <c r="AL318" s="26" t="str">
        <f>IF($A319="","",_xll.SPRDOPT(P318,X318,AI318,0,AB318,AE318,AF318,AK318,$AJ$2,0))</f>
        <v/>
      </c>
      <c r="AM318" s="89" t="str">
        <f t="shared" si="176"/>
        <v/>
      </c>
      <c r="AN318" s="89" t="str">
        <f t="shared" si="177"/>
        <v/>
      </c>
      <c r="AO318" s="3" t="str">
        <f t="shared" si="178"/>
        <v/>
      </c>
      <c r="AP318" s="33" t="str">
        <f t="shared" si="179"/>
        <v/>
      </c>
      <c r="AQ318" s="58" t="str">
        <f t="shared" si="180"/>
        <v/>
      </c>
      <c r="AR318" s="38">
        <f>'ANR OK vs ML7'!AR318</f>
        <v>0.1</v>
      </c>
      <c r="AS318" s="35" t="str">
        <f t="shared" si="181"/>
        <v/>
      </c>
      <c r="AT318" s="3" t="str">
        <f t="shared" si="182"/>
        <v/>
      </c>
      <c r="AU318" s="3" t="str">
        <f t="shared" si="183"/>
        <v/>
      </c>
      <c r="AW318" s="32" t="str">
        <f t="shared" si="184"/>
        <v/>
      </c>
      <c r="AX318" s="32" t="str">
        <f t="shared" si="184"/>
        <v/>
      </c>
      <c r="AY318" s="32" t="str">
        <f t="shared" si="185"/>
        <v/>
      </c>
      <c r="BA318" s="32" t="str">
        <f>IF($A319="","",F318*Summary!$Q$12)</f>
        <v/>
      </c>
    </row>
    <row r="319" spans="1:53" ht="12" customHeight="1">
      <c r="A319" s="67" t="str">
        <f t="shared" si="186"/>
        <v/>
      </c>
      <c r="B319" s="69" t="str">
        <f t="shared" si="188"/>
        <v/>
      </c>
      <c r="C319" s="71"/>
      <c r="D319" s="69" t="str">
        <f t="shared" si="152"/>
        <v/>
      </c>
      <c r="E319" s="70" t="str">
        <f t="shared" si="153"/>
        <v/>
      </c>
      <c r="F319" s="70" t="str">
        <f t="shared" si="154"/>
        <v/>
      </c>
      <c r="G319" s="63" t="str">
        <f t="shared" si="155"/>
        <v/>
      </c>
      <c r="H319" s="64" t="str">
        <f t="shared" si="156"/>
        <v/>
      </c>
      <c r="I319" s="43"/>
      <c r="J319" s="63" t="str">
        <f t="shared" si="157"/>
        <v/>
      </c>
      <c r="K319" s="64" t="str">
        <f t="shared" si="158"/>
        <v/>
      </c>
      <c r="L319" s="63" t="str">
        <f t="shared" si="159"/>
        <v/>
      </c>
      <c r="M319" s="64" t="str">
        <f t="shared" si="160"/>
        <v/>
      </c>
      <c r="N319" s="65"/>
      <c r="O319" s="63" t="str">
        <f t="shared" si="161"/>
        <v/>
      </c>
      <c r="P319" s="63" t="str">
        <f t="shared" si="162"/>
        <v/>
      </c>
      <c r="Q319" s="66"/>
      <c r="R319" s="63" t="str">
        <f t="shared" si="163"/>
        <v/>
      </c>
      <c r="S319" s="64" t="str">
        <f t="shared" si="164"/>
        <v/>
      </c>
      <c r="T319" s="63" t="str">
        <f t="shared" si="165"/>
        <v/>
      </c>
      <c r="U319" s="64" t="str">
        <f t="shared" si="166"/>
        <v/>
      </c>
      <c r="V319" s="90" t="str">
        <f>IF($A320="","",IF(AND(MONTH(A319)&gt;3,MONTH(A319)&lt;11),(T319+R319+G319)*(((1/(1-Summary!$T$12))/(1-Summary!$W$12))-1),(T319+R319+G319)*((1/(1-Summary!$U$12))/(1-Summary!$X$12)-1)))</f>
        <v/>
      </c>
      <c r="W319" s="63" t="str">
        <f t="shared" si="167"/>
        <v/>
      </c>
      <c r="X319" s="63" t="str">
        <f t="shared" si="168"/>
        <v/>
      </c>
      <c r="Y319" s="43"/>
      <c r="Z319" s="38" t="str">
        <f t="shared" si="169"/>
        <v/>
      </c>
      <c r="AA319" s="38" t="str">
        <f t="shared" si="170"/>
        <v/>
      </c>
      <c r="AB319" s="38" t="e">
        <f t="shared" si="171"/>
        <v>#VALUE!</v>
      </c>
      <c r="AC319" s="38" t="str">
        <f t="shared" si="172"/>
        <v/>
      </c>
      <c r="AD319" s="38" t="str">
        <f t="shared" si="172"/>
        <v/>
      </c>
      <c r="AE319" s="38" t="e">
        <f t="shared" si="173"/>
        <v>#VALUE!</v>
      </c>
      <c r="AF319" s="238" t="e">
        <f>((Summary!$N$12*(AA319*AD319)*(A319-$D$3))+(Summary!$M$12*Z319*AC319*(AJ319-EOMONTH(EDATE(A319,-1),0))))/(AK319*AB319*AE319)</f>
        <v>#VALUE!</v>
      </c>
      <c r="AG319" s="88" t="str">
        <f>IF($A320="","",Summary!$Q$12)</f>
        <v/>
      </c>
      <c r="AH319" s="88" t="str">
        <f>IF($A320="","",IF(Summary!$R$12="Y",(VLOOKUP($A319,Summary!$AD$6:$AF$9,3)+'Escalating commodity'!H332),'Escalating commodity'!H332))</f>
        <v/>
      </c>
      <c r="AI319" s="88" t="str">
        <f t="shared" si="187"/>
        <v/>
      </c>
      <c r="AJ319" s="236" t="e">
        <f t="shared" si="174"/>
        <v>#VALUE!</v>
      </c>
      <c r="AK319" s="58" t="str">
        <f t="shared" si="175"/>
        <v/>
      </c>
      <c r="AL319" s="26" t="str">
        <f>IF($A320="","",_xll.SPRDOPT(P319,X319,AI319,0,AB319,AE319,AF319,AK319,$AJ$2,0))</f>
        <v/>
      </c>
      <c r="AM319" s="89" t="str">
        <f t="shared" si="176"/>
        <v/>
      </c>
      <c r="AN319" s="89" t="str">
        <f t="shared" si="177"/>
        <v/>
      </c>
      <c r="AO319" s="3" t="str">
        <f t="shared" si="178"/>
        <v/>
      </c>
      <c r="AP319" s="33" t="str">
        <f t="shared" si="179"/>
        <v/>
      </c>
      <c r="AQ319" s="58" t="str">
        <f t="shared" si="180"/>
        <v/>
      </c>
      <c r="AR319" s="38">
        <f>'ANR OK vs ML7'!AR319</f>
        <v>0.1</v>
      </c>
      <c r="AS319" s="35" t="str">
        <f t="shared" si="181"/>
        <v/>
      </c>
      <c r="AT319" s="3" t="str">
        <f t="shared" si="182"/>
        <v/>
      </c>
      <c r="AU319" s="3" t="str">
        <f t="shared" si="183"/>
        <v/>
      </c>
      <c r="AW319" s="32" t="str">
        <f t="shared" si="184"/>
        <v/>
      </c>
      <c r="AX319" s="32" t="str">
        <f t="shared" si="184"/>
        <v/>
      </c>
      <c r="AY319" s="32" t="str">
        <f t="shared" si="185"/>
        <v/>
      </c>
      <c r="BA319" s="32" t="str">
        <f>IF($A320="","",F319*Summary!$Q$12)</f>
        <v/>
      </c>
    </row>
    <row r="320" spans="1:53" ht="12" customHeight="1">
      <c r="A320" s="67" t="str">
        <f t="shared" si="186"/>
        <v/>
      </c>
      <c r="B320" s="69" t="str">
        <f t="shared" si="188"/>
        <v/>
      </c>
      <c r="C320" s="71"/>
      <c r="D320" s="69" t="str">
        <f t="shared" si="152"/>
        <v/>
      </c>
      <c r="E320" s="70" t="str">
        <f t="shared" si="153"/>
        <v/>
      </c>
      <c r="F320" s="70" t="str">
        <f t="shared" si="154"/>
        <v/>
      </c>
      <c r="G320" s="63" t="str">
        <f t="shared" si="155"/>
        <v/>
      </c>
      <c r="H320" s="64" t="str">
        <f t="shared" si="156"/>
        <v/>
      </c>
      <c r="I320" s="43"/>
      <c r="J320" s="63" t="str">
        <f t="shared" si="157"/>
        <v/>
      </c>
      <c r="K320" s="64" t="str">
        <f t="shared" si="158"/>
        <v/>
      </c>
      <c r="L320" s="63" t="str">
        <f t="shared" si="159"/>
        <v/>
      </c>
      <c r="M320" s="64" t="str">
        <f t="shared" si="160"/>
        <v/>
      </c>
      <c r="N320" s="65"/>
      <c r="O320" s="63" t="str">
        <f t="shared" si="161"/>
        <v/>
      </c>
      <c r="P320" s="63" t="str">
        <f t="shared" si="162"/>
        <v/>
      </c>
      <c r="Q320" s="66"/>
      <c r="R320" s="63" t="str">
        <f t="shared" si="163"/>
        <v/>
      </c>
      <c r="S320" s="64" t="str">
        <f t="shared" si="164"/>
        <v/>
      </c>
      <c r="T320" s="63" t="str">
        <f t="shared" si="165"/>
        <v/>
      </c>
      <c r="U320" s="64" t="str">
        <f t="shared" si="166"/>
        <v/>
      </c>
      <c r="V320" s="90" t="str">
        <f>IF($A321="","",IF(AND(MONTH(A320)&gt;3,MONTH(A320)&lt;11),(T320+R320+G320)*(((1/(1-Summary!$T$12))/(1-Summary!$W$12))-1),(T320+R320+G320)*((1/(1-Summary!$U$12))/(1-Summary!$X$12)-1)))</f>
        <v/>
      </c>
      <c r="W320" s="63" t="str">
        <f t="shared" si="167"/>
        <v/>
      </c>
      <c r="X320" s="63" t="str">
        <f t="shared" si="168"/>
        <v/>
      </c>
      <c r="Y320" s="43"/>
      <c r="Z320" s="38" t="str">
        <f t="shared" si="169"/>
        <v/>
      </c>
      <c r="AA320" s="38" t="str">
        <f t="shared" si="170"/>
        <v/>
      </c>
      <c r="AB320" s="38" t="e">
        <f t="shared" si="171"/>
        <v>#VALUE!</v>
      </c>
      <c r="AC320" s="38" t="str">
        <f t="shared" si="172"/>
        <v/>
      </c>
      <c r="AD320" s="38" t="str">
        <f t="shared" si="172"/>
        <v/>
      </c>
      <c r="AE320" s="38" t="e">
        <f t="shared" si="173"/>
        <v>#VALUE!</v>
      </c>
      <c r="AF320" s="238" t="e">
        <f>((Summary!$N$12*(AA320*AD320)*(A320-$D$3))+(Summary!$M$12*Z320*AC320*(AJ320-EOMONTH(EDATE(A320,-1),0))))/(AK320*AB320*AE320)</f>
        <v>#VALUE!</v>
      </c>
      <c r="AG320" s="88" t="str">
        <f>IF($A321="","",Summary!$Q$12)</f>
        <v/>
      </c>
      <c r="AH320" s="88" t="str">
        <f>IF($A321="","",IF(Summary!$R$12="Y",(VLOOKUP($A320,Summary!$AD$6:$AF$9,3)+'Escalating commodity'!H333),'Escalating commodity'!H333))</f>
        <v/>
      </c>
      <c r="AI320" s="88" t="str">
        <f t="shared" si="187"/>
        <v/>
      </c>
      <c r="AJ320" s="236" t="e">
        <f t="shared" si="174"/>
        <v>#VALUE!</v>
      </c>
      <c r="AK320" s="58" t="str">
        <f t="shared" si="175"/>
        <v/>
      </c>
      <c r="AL320" s="26" t="str">
        <f>IF($A321="","",_xll.SPRDOPT(P320,X320,AI320,0,AB320,AE320,AF320,AK320,$AJ$2,0))</f>
        <v/>
      </c>
      <c r="AM320" s="89" t="str">
        <f t="shared" si="176"/>
        <v/>
      </c>
      <c r="AN320" s="89" t="str">
        <f t="shared" si="177"/>
        <v/>
      </c>
      <c r="AO320" s="3" t="str">
        <f t="shared" si="178"/>
        <v/>
      </c>
      <c r="AP320" s="33" t="str">
        <f t="shared" si="179"/>
        <v/>
      </c>
      <c r="AQ320" s="58" t="str">
        <f t="shared" si="180"/>
        <v/>
      </c>
      <c r="AR320" s="38">
        <f>'ANR OK vs ML7'!AR320</f>
        <v>0.1</v>
      </c>
      <c r="AS320" s="35" t="str">
        <f t="shared" si="181"/>
        <v/>
      </c>
      <c r="AT320" s="3" t="str">
        <f t="shared" si="182"/>
        <v/>
      </c>
      <c r="AU320" s="3" t="str">
        <f t="shared" si="183"/>
        <v/>
      </c>
      <c r="AW320" s="32" t="str">
        <f t="shared" si="184"/>
        <v/>
      </c>
      <c r="AX320" s="32" t="str">
        <f t="shared" si="184"/>
        <v/>
      </c>
      <c r="AY320" s="32" t="str">
        <f t="shared" si="185"/>
        <v/>
      </c>
      <c r="BA320" s="32" t="str">
        <f>IF($A321="","",F320*Summary!$Q$12)</f>
        <v/>
      </c>
    </row>
    <row r="321" spans="1:53" ht="12" customHeight="1">
      <c r="A321" s="67" t="str">
        <f t="shared" si="186"/>
        <v/>
      </c>
      <c r="B321" s="69" t="str">
        <f t="shared" si="188"/>
        <v/>
      </c>
      <c r="C321" s="71"/>
      <c r="D321" s="69" t="str">
        <f t="shared" si="152"/>
        <v/>
      </c>
      <c r="E321" s="70" t="str">
        <f t="shared" si="153"/>
        <v/>
      </c>
      <c r="F321" s="70" t="str">
        <f t="shared" si="154"/>
        <v/>
      </c>
      <c r="G321" s="63" t="str">
        <f t="shared" si="155"/>
        <v/>
      </c>
      <c r="H321" s="64" t="str">
        <f t="shared" si="156"/>
        <v/>
      </c>
      <c r="I321" s="43"/>
      <c r="J321" s="63" t="str">
        <f t="shared" si="157"/>
        <v/>
      </c>
      <c r="K321" s="64" t="str">
        <f t="shared" si="158"/>
        <v/>
      </c>
      <c r="L321" s="63" t="str">
        <f t="shared" si="159"/>
        <v/>
      </c>
      <c r="M321" s="64" t="str">
        <f t="shared" si="160"/>
        <v/>
      </c>
      <c r="N321" s="65"/>
      <c r="O321" s="63" t="str">
        <f t="shared" si="161"/>
        <v/>
      </c>
      <c r="P321" s="63" t="str">
        <f t="shared" si="162"/>
        <v/>
      </c>
      <c r="Q321" s="66"/>
      <c r="R321" s="63" t="str">
        <f t="shared" si="163"/>
        <v/>
      </c>
      <c r="S321" s="64" t="str">
        <f t="shared" si="164"/>
        <v/>
      </c>
      <c r="T321" s="63" t="str">
        <f t="shared" si="165"/>
        <v/>
      </c>
      <c r="U321" s="64" t="str">
        <f t="shared" si="166"/>
        <v/>
      </c>
      <c r="V321" s="90" t="str">
        <f>IF($A322="","",IF(AND(MONTH(A321)&gt;3,MONTH(A321)&lt;11),(T321+R321+G321)*(((1/(1-Summary!$T$12))/(1-Summary!$W$12))-1),(T321+R321+G321)*((1/(1-Summary!$U$12))/(1-Summary!$X$12)-1)))</f>
        <v/>
      </c>
      <c r="W321" s="63" t="str">
        <f t="shared" si="167"/>
        <v/>
      </c>
      <c r="X321" s="63" t="str">
        <f t="shared" si="168"/>
        <v/>
      </c>
      <c r="Y321" s="43"/>
      <c r="Z321" s="38" t="str">
        <f t="shared" si="169"/>
        <v/>
      </c>
      <c r="AA321" s="38" t="str">
        <f t="shared" si="170"/>
        <v/>
      </c>
      <c r="AB321" s="38" t="e">
        <f t="shared" si="171"/>
        <v>#VALUE!</v>
      </c>
      <c r="AC321" s="38" t="str">
        <f t="shared" si="172"/>
        <v/>
      </c>
      <c r="AD321" s="38" t="str">
        <f t="shared" si="172"/>
        <v/>
      </c>
      <c r="AE321" s="38" t="e">
        <f t="shared" si="173"/>
        <v>#VALUE!</v>
      </c>
      <c r="AF321" s="238" t="e">
        <f>((Summary!$N$12*(AA321*AD321)*(A321-$D$3))+(Summary!$M$12*Z321*AC321*(AJ321-EOMONTH(EDATE(A321,-1),0))))/(AK321*AB321*AE321)</f>
        <v>#VALUE!</v>
      </c>
      <c r="AG321" s="88" t="str">
        <f>IF($A322="","",Summary!$Q$12)</f>
        <v/>
      </c>
      <c r="AH321" s="88" t="str">
        <f>IF($A322="","",IF(Summary!$R$12="Y",(VLOOKUP($A321,Summary!$AD$6:$AF$9,3)+'Escalating commodity'!H334),'Escalating commodity'!H334))</f>
        <v/>
      </c>
      <c r="AI321" s="88" t="str">
        <f t="shared" si="187"/>
        <v/>
      </c>
      <c r="AJ321" s="236" t="e">
        <f t="shared" si="174"/>
        <v>#VALUE!</v>
      </c>
      <c r="AK321" s="58" t="str">
        <f t="shared" si="175"/>
        <v/>
      </c>
      <c r="AL321" s="26" t="str">
        <f>IF($A322="","",_xll.SPRDOPT(P321,X321,AI321,0,AB321,AE321,AF321,AK321,$AJ$2,0))</f>
        <v/>
      </c>
      <c r="AM321" s="89" t="str">
        <f t="shared" si="176"/>
        <v/>
      </c>
      <c r="AN321" s="89" t="str">
        <f t="shared" si="177"/>
        <v/>
      </c>
      <c r="AO321" s="3" t="str">
        <f t="shared" si="178"/>
        <v/>
      </c>
      <c r="AP321" s="33" t="str">
        <f t="shared" si="179"/>
        <v/>
      </c>
      <c r="AQ321" s="58" t="str">
        <f t="shared" si="180"/>
        <v/>
      </c>
      <c r="AR321" s="38">
        <f>'ANR OK vs ML7'!AR321</f>
        <v>0.1</v>
      </c>
      <c r="AS321" s="35" t="str">
        <f t="shared" si="181"/>
        <v/>
      </c>
      <c r="AT321" s="3" t="str">
        <f t="shared" si="182"/>
        <v/>
      </c>
      <c r="AU321" s="3" t="str">
        <f t="shared" si="183"/>
        <v/>
      </c>
      <c r="AW321" s="32" t="str">
        <f t="shared" si="184"/>
        <v/>
      </c>
      <c r="AX321" s="32" t="str">
        <f t="shared" si="184"/>
        <v/>
      </c>
      <c r="AY321" s="32" t="str">
        <f t="shared" si="185"/>
        <v/>
      </c>
      <c r="BA321" s="32" t="str">
        <f>IF($A322="","",F321*Summary!$Q$12)</f>
        <v/>
      </c>
    </row>
    <row r="322" spans="1:53" ht="12" customHeight="1">
      <c r="A322" s="67" t="str">
        <f t="shared" si="186"/>
        <v/>
      </c>
      <c r="B322" s="69" t="str">
        <f t="shared" si="188"/>
        <v/>
      </c>
      <c r="C322" s="71"/>
      <c r="D322" s="69" t="str">
        <f t="shared" si="152"/>
        <v/>
      </c>
      <c r="E322" s="70" t="str">
        <f t="shared" si="153"/>
        <v/>
      </c>
      <c r="F322" s="70" t="str">
        <f t="shared" si="154"/>
        <v/>
      </c>
      <c r="G322" s="63" t="str">
        <f t="shared" si="155"/>
        <v/>
      </c>
      <c r="H322" s="64" t="str">
        <f t="shared" si="156"/>
        <v/>
      </c>
      <c r="I322" s="43"/>
      <c r="J322" s="63" t="str">
        <f t="shared" si="157"/>
        <v/>
      </c>
      <c r="K322" s="64" t="str">
        <f t="shared" si="158"/>
        <v/>
      </c>
      <c r="L322" s="63" t="str">
        <f t="shared" si="159"/>
        <v/>
      </c>
      <c r="M322" s="64" t="str">
        <f t="shared" si="160"/>
        <v/>
      </c>
      <c r="N322" s="65"/>
      <c r="O322" s="63" t="str">
        <f t="shared" si="161"/>
        <v/>
      </c>
      <c r="P322" s="63" t="str">
        <f t="shared" si="162"/>
        <v/>
      </c>
      <c r="Q322" s="66"/>
      <c r="R322" s="63" t="str">
        <f t="shared" si="163"/>
        <v/>
      </c>
      <c r="S322" s="64" t="str">
        <f t="shared" si="164"/>
        <v/>
      </c>
      <c r="T322" s="63" t="str">
        <f t="shared" si="165"/>
        <v/>
      </c>
      <c r="U322" s="64" t="str">
        <f t="shared" si="166"/>
        <v/>
      </c>
      <c r="V322" s="90" t="str">
        <f>IF($A323="","",IF(AND(MONTH(A322)&gt;3,MONTH(A322)&lt;11),(T322+R322+G322)*(((1/(1-Summary!$T$12))/(1-Summary!$W$12))-1),(T322+R322+G322)*((1/(1-Summary!$U$12))/(1-Summary!$X$12)-1)))</f>
        <v/>
      </c>
      <c r="W322" s="63" t="str">
        <f t="shared" si="167"/>
        <v/>
      </c>
      <c r="X322" s="63" t="str">
        <f t="shared" si="168"/>
        <v/>
      </c>
      <c r="Y322" s="43"/>
      <c r="Z322" s="38" t="str">
        <f t="shared" si="169"/>
        <v/>
      </c>
      <c r="AA322" s="38" t="str">
        <f t="shared" si="170"/>
        <v/>
      </c>
      <c r="AB322" s="38" t="e">
        <f t="shared" si="171"/>
        <v>#VALUE!</v>
      </c>
      <c r="AC322" s="38" t="str">
        <f t="shared" si="172"/>
        <v/>
      </c>
      <c r="AD322" s="38" t="str">
        <f t="shared" si="172"/>
        <v/>
      </c>
      <c r="AE322" s="38" t="e">
        <f t="shared" si="173"/>
        <v>#VALUE!</v>
      </c>
      <c r="AF322" s="238" t="e">
        <f>((Summary!$N$12*(AA322*AD322)*(A322-$D$3))+(Summary!$M$12*Z322*AC322*(AJ322-EOMONTH(EDATE(A322,-1),0))))/(AK322*AB322*AE322)</f>
        <v>#VALUE!</v>
      </c>
      <c r="AG322" s="88" t="str">
        <f>IF($A323="","",Summary!$Q$12)</f>
        <v/>
      </c>
      <c r="AH322" s="88" t="str">
        <f>IF($A323="","",IF(Summary!$R$12="Y",(VLOOKUP($A322,Summary!$AD$6:$AF$9,3)+'Escalating commodity'!H335),'Escalating commodity'!H335))</f>
        <v/>
      </c>
      <c r="AI322" s="88" t="str">
        <f t="shared" si="187"/>
        <v/>
      </c>
      <c r="AJ322" s="236" t="e">
        <f t="shared" si="174"/>
        <v>#VALUE!</v>
      </c>
      <c r="AK322" s="58" t="str">
        <f t="shared" si="175"/>
        <v/>
      </c>
      <c r="AL322" s="26" t="str">
        <f>IF($A323="","",_xll.SPRDOPT(P322,X322,AI322,0,AB322,AE322,AF322,AK322,$AJ$2,0))</f>
        <v/>
      </c>
      <c r="AM322" s="89" t="str">
        <f t="shared" si="176"/>
        <v/>
      </c>
      <c r="AN322" s="89" t="str">
        <f t="shared" si="177"/>
        <v/>
      </c>
      <c r="AO322" s="3" t="str">
        <f t="shared" si="178"/>
        <v/>
      </c>
      <c r="AP322" s="33" t="str">
        <f t="shared" si="179"/>
        <v/>
      </c>
      <c r="AQ322" s="58" t="str">
        <f t="shared" si="180"/>
        <v/>
      </c>
      <c r="AR322" s="38">
        <f>'ANR OK vs ML7'!AR322</f>
        <v>0.1</v>
      </c>
      <c r="AS322" s="35" t="str">
        <f t="shared" si="181"/>
        <v/>
      </c>
      <c r="AT322" s="3" t="str">
        <f t="shared" si="182"/>
        <v/>
      </c>
      <c r="AU322" s="3" t="str">
        <f t="shared" si="183"/>
        <v/>
      </c>
      <c r="AW322" s="32" t="str">
        <f t="shared" si="184"/>
        <v/>
      </c>
      <c r="AX322" s="32" t="str">
        <f t="shared" si="184"/>
        <v/>
      </c>
      <c r="AY322" s="32" t="str">
        <f t="shared" si="185"/>
        <v/>
      </c>
      <c r="BA322" s="32" t="str">
        <f>IF($A323="","",F322*Summary!$Q$12)</f>
        <v/>
      </c>
    </row>
    <row r="323" spans="1:53" ht="12" customHeight="1">
      <c r="A323" s="67" t="str">
        <f t="shared" si="186"/>
        <v/>
      </c>
      <c r="B323" s="69" t="str">
        <f t="shared" si="188"/>
        <v/>
      </c>
      <c r="C323" s="71"/>
      <c r="D323" s="69" t="str">
        <f t="shared" si="152"/>
        <v/>
      </c>
      <c r="E323" s="70" t="str">
        <f t="shared" si="153"/>
        <v/>
      </c>
      <c r="F323" s="70" t="str">
        <f t="shared" si="154"/>
        <v/>
      </c>
      <c r="G323" s="63" t="str">
        <f t="shared" si="155"/>
        <v/>
      </c>
      <c r="H323" s="64" t="str">
        <f t="shared" si="156"/>
        <v/>
      </c>
      <c r="I323" s="43"/>
      <c r="J323" s="63" t="str">
        <f t="shared" si="157"/>
        <v/>
      </c>
      <c r="K323" s="64" t="str">
        <f t="shared" si="158"/>
        <v/>
      </c>
      <c r="L323" s="63" t="str">
        <f t="shared" si="159"/>
        <v/>
      </c>
      <c r="M323" s="64" t="str">
        <f t="shared" si="160"/>
        <v/>
      </c>
      <c r="N323" s="65"/>
      <c r="O323" s="63" t="str">
        <f t="shared" si="161"/>
        <v/>
      </c>
      <c r="P323" s="63" t="str">
        <f t="shared" si="162"/>
        <v/>
      </c>
      <c r="Q323" s="66"/>
      <c r="R323" s="63" t="str">
        <f t="shared" si="163"/>
        <v/>
      </c>
      <c r="S323" s="64" t="str">
        <f t="shared" si="164"/>
        <v/>
      </c>
      <c r="T323" s="63" t="str">
        <f t="shared" si="165"/>
        <v/>
      </c>
      <c r="U323" s="64" t="str">
        <f t="shared" si="166"/>
        <v/>
      </c>
      <c r="V323" s="90" t="str">
        <f>IF($A324="","",IF(AND(MONTH(A323)&gt;3,MONTH(A323)&lt;11),(T323+R323+G323)*(((1/(1-Summary!$T$12))/(1-Summary!$W$12))-1),(T323+R323+G323)*((1/(1-Summary!$U$12))/(1-Summary!$X$12)-1)))</f>
        <v/>
      </c>
      <c r="W323" s="63" t="str">
        <f t="shared" si="167"/>
        <v/>
      </c>
      <c r="X323" s="63" t="str">
        <f t="shared" si="168"/>
        <v/>
      </c>
      <c r="Y323" s="43"/>
      <c r="Z323" s="38" t="str">
        <f t="shared" si="169"/>
        <v/>
      </c>
      <c r="AA323" s="38" t="str">
        <f t="shared" si="170"/>
        <v/>
      </c>
      <c r="AB323" s="38" t="e">
        <f t="shared" si="171"/>
        <v>#VALUE!</v>
      </c>
      <c r="AC323" s="38" t="str">
        <f t="shared" si="172"/>
        <v/>
      </c>
      <c r="AD323" s="38" t="str">
        <f t="shared" si="172"/>
        <v/>
      </c>
      <c r="AE323" s="38" t="e">
        <f t="shared" si="173"/>
        <v>#VALUE!</v>
      </c>
      <c r="AF323" s="238" t="e">
        <f>((Summary!$N$12*(AA323*AD323)*(A323-$D$3))+(Summary!$M$12*Z323*AC323*(AJ323-EOMONTH(EDATE(A323,-1),0))))/(AK323*AB323*AE323)</f>
        <v>#VALUE!</v>
      </c>
      <c r="AG323" s="88" t="str">
        <f>IF($A324="","",Summary!$Q$12)</f>
        <v/>
      </c>
      <c r="AH323" s="88" t="str">
        <f>IF($A324="","",IF(Summary!$R$12="Y",(VLOOKUP($A323,Summary!$AD$6:$AF$9,3)+'Escalating commodity'!H336),'Escalating commodity'!H336))</f>
        <v/>
      </c>
      <c r="AI323" s="88" t="str">
        <f t="shared" si="187"/>
        <v/>
      </c>
      <c r="AJ323" s="236" t="e">
        <f t="shared" si="174"/>
        <v>#VALUE!</v>
      </c>
      <c r="AK323" s="58" t="str">
        <f t="shared" si="175"/>
        <v/>
      </c>
      <c r="AL323" s="26" t="str">
        <f>IF($A324="","",_xll.SPRDOPT(P323,X323,AI323,0,AB323,AE323,AF323,AK323,$AJ$2,0))</f>
        <v/>
      </c>
      <c r="AM323" s="89" t="str">
        <f t="shared" si="176"/>
        <v/>
      </c>
      <c r="AN323" s="89" t="str">
        <f t="shared" si="177"/>
        <v/>
      </c>
      <c r="AO323" s="3" t="str">
        <f t="shared" si="178"/>
        <v/>
      </c>
      <c r="AP323" s="33" t="str">
        <f t="shared" si="179"/>
        <v/>
      </c>
      <c r="AQ323" s="58" t="str">
        <f t="shared" si="180"/>
        <v/>
      </c>
      <c r="AR323" s="38">
        <f>'ANR OK vs ML7'!AR323</f>
        <v>0.1</v>
      </c>
      <c r="AS323" s="35" t="str">
        <f t="shared" si="181"/>
        <v/>
      </c>
      <c r="AT323" s="3" t="str">
        <f t="shared" si="182"/>
        <v/>
      </c>
      <c r="AU323" s="3" t="str">
        <f t="shared" si="183"/>
        <v/>
      </c>
      <c r="AW323" s="32" t="str">
        <f t="shared" si="184"/>
        <v/>
      </c>
      <c r="AX323" s="32" t="str">
        <f t="shared" si="184"/>
        <v/>
      </c>
      <c r="AY323" s="32" t="str">
        <f t="shared" si="185"/>
        <v/>
      </c>
      <c r="BA323" s="32" t="str">
        <f>IF($A324="","",F323*Summary!$Q$12)</f>
        <v/>
      </c>
    </row>
    <row r="324" spans="1:53" ht="12" customHeight="1">
      <c r="A324" s="67" t="str">
        <f t="shared" si="186"/>
        <v/>
      </c>
      <c r="B324" s="69" t="str">
        <f t="shared" si="188"/>
        <v/>
      </c>
      <c r="C324" s="71"/>
      <c r="D324" s="69" t="str">
        <f t="shared" si="152"/>
        <v/>
      </c>
      <c r="E324" s="70" t="str">
        <f t="shared" si="153"/>
        <v/>
      </c>
      <c r="F324" s="70" t="str">
        <f t="shared" si="154"/>
        <v/>
      </c>
      <c r="G324" s="63" t="str">
        <f t="shared" si="155"/>
        <v/>
      </c>
      <c r="H324" s="64" t="str">
        <f t="shared" si="156"/>
        <v/>
      </c>
      <c r="I324" s="43"/>
      <c r="J324" s="63" t="str">
        <f t="shared" si="157"/>
        <v/>
      </c>
      <c r="K324" s="64" t="str">
        <f t="shared" si="158"/>
        <v/>
      </c>
      <c r="L324" s="63" t="str">
        <f t="shared" si="159"/>
        <v/>
      </c>
      <c r="M324" s="64" t="str">
        <f t="shared" si="160"/>
        <v/>
      </c>
      <c r="N324" s="65"/>
      <c r="O324" s="63" t="str">
        <f t="shared" si="161"/>
        <v/>
      </c>
      <c r="P324" s="63" t="str">
        <f t="shared" si="162"/>
        <v/>
      </c>
      <c r="Q324" s="66"/>
      <c r="R324" s="63" t="str">
        <f t="shared" si="163"/>
        <v/>
      </c>
      <c r="S324" s="64" t="str">
        <f t="shared" si="164"/>
        <v/>
      </c>
      <c r="T324" s="63" t="str">
        <f t="shared" si="165"/>
        <v/>
      </c>
      <c r="U324" s="64" t="str">
        <f t="shared" si="166"/>
        <v/>
      </c>
      <c r="V324" s="90" t="str">
        <f>IF($A325="","",IF(AND(MONTH(A324)&gt;3,MONTH(A324)&lt;11),(T324+R324+G324)*(((1/(1-Summary!$T$12))/(1-Summary!$W$12))-1),(T324+R324+G324)*((1/(1-Summary!$U$12))/(1-Summary!$X$12)-1)))</f>
        <v/>
      </c>
      <c r="W324" s="63" t="str">
        <f t="shared" si="167"/>
        <v/>
      </c>
      <c r="X324" s="63" t="str">
        <f t="shared" si="168"/>
        <v/>
      </c>
      <c r="Y324" s="43"/>
      <c r="Z324" s="38" t="str">
        <f t="shared" si="169"/>
        <v/>
      </c>
      <c r="AA324" s="38" t="str">
        <f t="shared" si="170"/>
        <v/>
      </c>
      <c r="AB324" s="38" t="e">
        <f t="shared" si="171"/>
        <v>#VALUE!</v>
      </c>
      <c r="AC324" s="38" t="str">
        <f t="shared" si="172"/>
        <v/>
      </c>
      <c r="AD324" s="38" t="str">
        <f t="shared" si="172"/>
        <v/>
      </c>
      <c r="AE324" s="38" t="e">
        <f t="shared" si="173"/>
        <v>#VALUE!</v>
      </c>
      <c r="AF324" s="238" t="e">
        <f>((Summary!$N$12*(AA324*AD324)*(A324-$D$3))+(Summary!$M$12*Z324*AC324*(AJ324-EOMONTH(EDATE(A324,-1),0))))/(AK324*AB324*AE324)</f>
        <v>#VALUE!</v>
      </c>
      <c r="AG324" s="88" t="str">
        <f>IF($A325="","",Summary!$Q$12)</f>
        <v/>
      </c>
      <c r="AH324" s="88" t="str">
        <f>IF($A325="","",IF(Summary!$R$12="Y",(VLOOKUP($A324,Summary!$AD$6:$AF$9,3)+'Escalating commodity'!H337),'Escalating commodity'!H337))</f>
        <v/>
      </c>
      <c r="AI324" s="88" t="str">
        <f t="shared" si="187"/>
        <v/>
      </c>
      <c r="AJ324" s="236" t="e">
        <f t="shared" si="174"/>
        <v>#VALUE!</v>
      </c>
      <c r="AK324" s="58" t="str">
        <f t="shared" si="175"/>
        <v/>
      </c>
      <c r="AL324" s="26" t="str">
        <f>IF($A325="","",_xll.SPRDOPT(P324,X324,AI324,0,AB324,AE324,AF324,AK324,$AJ$2,0))</f>
        <v/>
      </c>
      <c r="AM324" s="89" t="str">
        <f t="shared" si="176"/>
        <v/>
      </c>
      <c r="AN324" s="89" t="str">
        <f t="shared" si="177"/>
        <v/>
      </c>
      <c r="AO324" s="3" t="str">
        <f t="shared" si="178"/>
        <v/>
      </c>
      <c r="AP324" s="33" t="str">
        <f t="shared" si="179"/>
        <v/>
      </c>
      <c r="AQ324" s="58" t="str">
        <f t="shared" si="180"/>
        <v/>
      </c>
      <c r="AR324" s="38">
        <f>'ANR OK vs ML7'!AR324</f>
        <v>0.1</v>
      </c>
      <c r="AS324" s="35" t="str">
        <f t="shared" si="181"/>
        <v/>
      </c>
      <c r="AT324" s="3" t="str">
        <f t="shared" si="182"/>
        <v/>
      </c>
      <c r="AU324" s="3" t="str">
        <f t="shared" si="183"/>
        <v/>
      </c>
      <c r="AW324" s="32" t="str">
        <f t="shared" si="184"/>
        <v/>
      </c>
      <c r="AX324" s="32" t="str">
        <f t="shared" si="184"/>
        <v/>
      </c>
      <c r="AY324" s="32" t="str">
        <f t="shared" si="185"/>
        <v/>
      </c>
      <c r="BA324" s="32" t="str">
        <f>IF($A325="","",F324*Summary!$Q$12)</f>
        <v/>
      </c>
    </row>
    <row r="325" spans="1:53" ht="12" customHeight="1">
      <c r="A325" s="67" t="str">
        <f t="shared" si="186"/>
        <v/>
      </c>
      <c r="B325" s="69" t="str">
        <f t="shared" si="188"/>
        <v/>
      </c>
      <c r="C325" s="71"/>
      <c r="D325" s="69" t="str">
        <f t="shared" si="152"/>
        <v/>
      </c>
      <c r="E325" s="70" t="str">
        <f t="shared" si="153"/>
        <v/>
      </c>
      <c r="F325" s="70" t="str">
        <f t="shared" si="154"/>
        <v/>
      </c>
      <c r="G325" s="63" t="str">
        <f t="shared" si="155"/>
        <v/>
      </c>
      <c r="H325" s="64" t="str">
        <f t="shared" si="156"/>
        <v/>
      </c>
      <c r="I325" s="43"/>
      <c r="J325" s="63" t="str">
        <f t="shared" si="157"/>
        <v/>
      </c>
      <c r="K325" s="64" t="str">
        <f t="shared" si="158"/>
        <v/>
      </c>
      <c r="L325" s="63" t="str">
        <f t="shared" si="159"/>
        <v/>
      </c>
      <c r="M325" s="64" t="str">
        <f t="shared" si="160"/>
        <v/>
      </c>
      <c r="N325" s="65"/>
      <c r="O325" s="63" t="str">
        <f t="shared" si="161"/>
        <v/>
      </c>
      <c r="P325" s="63" t="str">
        <f t="shared" si="162"/>
        <v/>
      </c>
      <c r="Q325" s="66"/>
      <c r="R325" s="63" t="str">
        <f t="shared" si="163"/>
        <v/>
      </c>
      <c r="S325" s="64" t="str">
        <f t="shared" si="164"/>
        <v/>
      </c>
      <c r="T325" s="63" t="str">
        <f t="shared" si="165"/>
        <v/>
      </c>
      <c r="U325" s="64" t="str">
        <f t="shared" si="166"/>
        <v/>
      </c>
      <c r="V325" s="90" t="str">
        <f>IF($A326="","",IF(AND(MONTH(A325)&gt;3,MONTH(A325)&lt;11),(T325+R325+G325)*(((1/(1-Summary!$T$12))/(1-Summary!$W$12))-1),(T325+R325+G325)*((1/(1-Summary!$U$12))/(1-Summary!$X$12)-1)))</f>
        <v/>
      </c>
      <c r="W325" s="63" t="str">
        <f t="shared" si="167"/>
        <v/>
      </c>
      <c r="X325" s="63" t="str">
        <f t="shared" si="168"/>
        <v/>
      </c>
      <c r="Y325" s="43"/>
      <c r="Z325" s="38" t="str">
        <f t="shared" si="169"/>
        <v/>
      </c>
      <c r="AA325" s="38" t="str">
        <f t="shared" si="170"/>
        <v/>
      </c>
      <c r="AB325" s="38" t="e">
        <f t="shared" si="171"/>
        <v>#VALUE!</v>
      </c>
      <c r="AC325" s="38" t="str">
        <f t="shared" si="172"/>
        <v/>
      </c>
      <c r="AD325" s="38" t="str">
        <f t="shared" si="172"/>
        <v/>
      </c>
      <c r="AE325" s="38" t="e">
        <f t="shared" si="173"/>
        <v>#VALUE!</v>
      </c>
      <c r="AF325" s="238" t="e">
        <f>((Summary!$N$12*(AA325*AD325)*(A325-$D$3))+(Summary!$M$12*Z325*AC325*(AJ325-EOMONTH(EDATE(A325,-1),0))))/(AK325*AB325*AE325)</f>
        <v>#VALUE!</v>
      </c>
      <c r="AG325" s="88" t="str">
        <f>IF($A326="","",Summary!$Q$12)</f>
        <v/>
      </c>
      <c r="AH325" s="88" t="str">
        <f>IF($A326="","",IF(Summary!$R$12="Y",(VLOOKUP($A325,Summary!$AD$6:$AF$9,3)+'Escalating commodity'!H338),'Escalating commodity'!H338))</f>
        <v/>
      </c>
      <c r="AI325" s="88" t="str">
        <f t="shared" si="187"/>
        <v/>
      </c>
      <c r="AJ325" s="236" t="e">
        <f t="shared" si="174"/>
        <v>#VALUE!</v>
      </c>
      <c r="AK325" s="58" t="str">
        <f t="shared" si="175"/>
        <v/>
      </c>
      <c r="AL325" s="26" t="str">
        <f>IF($A326="","",_xll.SPRDOPT(P325,X325,AI325,0,AB325,AE325,AF325,AK325,$AJ$2,0))</f>
        <v/>
      </c>
      <c r="AM325" s="89" t="str">
        <f t="shared" si="176"/>
        <v/>
      </c>
      <c r="AN325" s="89" t="str">
        <f t="shared" si="177"/>
        <v/>
      </c>
      <c r="AO325" s="3" t="str">
        <f t="shared" si="178"/>
        <v/>
      </c>
      <c r="AP325" s="33" t="str">
        <f t="shared" si="179"/>
        <v/>
      </c>
      <c r="AQ325" s="58" t="str">
        <f t="shared" si="180"/>
        <v/>
      </c>
      <c r="AR325" s="38">
        <f>'ANR OK vs ML7'!AR325</f>
        <v>0.1</v>
      </c>
      <c r="AS325" s="35" t="str">
        <f t="shared" si="181"/>
        <v/>
      </c>
      <c r="AT325" s="3" t="str">
        <f t="shared" si="182"/>
        <v/>
      </c>
      <c r="AU325" s="3" t="str">
        <f t="shared" si="183"/>
        <v/>
      </c>
      <c r="AW325" s="32" t="str">
        <f t="shared" si="184"/>
        <v/>
      </c>
      <c r="AX325" s="32" t="str">
        <f t="shared" si="184"/>
        <v/>
      </c>
      <c r="AY325" s="32" t="str">
        <f t="shared" si="185"/>
        <v/>
      </c>
      <c r="BA325" s="32" t="str">
        <f>IF($A326="","",F325*Summary!$Q$12)</f>
        <v/>
      </c>
    </row>
    <row r="326" spans="1:53" ht="12" customHeight="1">
      <c r="A326" s="67" t="str">
        <f t="shared" si="186"/>
        <v/>
      </c>
      <c r="B326" s="69" t="str">
        <f t="shared" si="188"/>
        <v/>
      </c>
      <c r="C326" s="71"/>
      <c r="D326" s="69" t="str">
        <f t="shared" si="152"/>
        <v/>
      </c>
      <c r="E326" s="70" t="str">
        <f t="shared" si="153"/>
        <v/>
      </c>
      <c r="F326" s="70" t="str">
        <f t="shared" si="154"/>
        <v/>
      </c>
      <c r="G326" s="63" t="str">
        <f t="shared" si="155"/>
        <v/>
      </c>
      <c r="H326" s="64" t="str">
        <f t="shared" si="156"/>
        <v/>
      </c>
      <c r="I326" s="43"/>
      <c r="J326" s="63" t="str">
        <f t="shared" si="157"/>
        <v/>
      </c>
      <c r="K326" s="64" t="str">
        <f t="shared" si="158"/>
        <v/>
      </c>
      <c r="L326" s="63" t="str">
        <f t="shared" si="159"/>
        <v/>
      </c>
      <c r="M326" s="64" t="str">
        <f t="shared" si="160"/>
        <v/>
      </c>
      <c r="N326" s="65"/>
      <c r="O326" s="63" t="str">
        <f t="shared" si="161"/>
        <v/>
      </c>
      <c r="P326" s="63" t="str">
        <f t="shared" si="162"/>
        <v/>
      </c>
      <c r="Q326" s="66"/>
      <c r="R326" s="63" t="str">
        <f t="shared" si="163"/>
        <v/>
      </c>
      <c r="S326" s="64" t="str">
        <f t="shared" si="164"/>
        <v/>
      </c>
      <c r="T326" s="63" t="str">
        <f t="shared" si="165"/>
        <v/>
      </c>
      <c r="U326" s="64" t="str">
        <f t="shared" si="166"/>
        <v/>
      </c>
      <c r="V326" s="90" t="str">
        <f>IF($A327="","",IF(AND(MONTH(A326)&gt;3,MONTH(A326)&lt;11),(T326+R326+G326)*(((1/(1-Summary!$T$12))/(1-Summary!$W$12))-1),(T326+R326+G326)*((1/(1-Summary!$U$12))/(1-Summary!$X$12)-1)))</f>
        <v/>
      </c>
      <c r="W326" s="63" t="str">
        <f t="shared" si="167"/>
        <v/>
      </c>
      <c r="X326" s="63" t="str">
        <f t="shared" si="168"/>
        <v/>
      </c>
      <c r="Y326" s="43"/>
      <c r="Z326" s="38" t="str">
        <f t="shared" si="169"/>
        <v/>
      </c>
      <c r="AA326" s="38" t="str">
        <f t="shared" si="170"/>
        <v/>
      </c>
      <c r="AB326" s="38" t="e">
        <f t="shared" si="171"/>
        <v>#VALUE!</v>
      </c>
      <c r="AC326" s="38" t="str">
        <f t="shared" si="172"/>
        <v/>
      </c>
      <c r="AD326" s="38" t="str">
        <f t="shared" si="172"/>
        <v/>
      </c>
      <c r="AE326" s="38" t="e">
        <f t="shared" si="173"/>
        <v>#VALUE!</v>
      </c>
      <c r="AF326" s="238" t="e">
        <f>((Summary!$N$12*(AA326*AD326)*(A326-$D$3))+(Summary!$M$12*Z326*AC326*(AJ326-EOMONTH(EDATE(A326,-1),0))))/(AK326*AB326*AE326)</f>
        <v>#VALUE!</v>
      </c>
      <c r="AG326" s="88" t="str">
        <f>IF($A327="","",Summary!$Q$12)</f>
        <v/>
      </c>
      <c r="AH326" s="88" t="str">
        <f>IF($A327="","",IF(Summary!$R$12="Y",(VLOOKUP($A326,Summary!$AD$6:$AF$9,3)+'Escalating commodity'!H339),'Escalating commodity'!H339))</f>
        <v/>
      </c>
      <c r="AI326" s="88" t="str">
        <f t="shared" si="187"/>
        <v/>
      </c>
      <c r="AJ326" s="236" t="e">
        <f t="shared" si="174"/>
        <v>#VALUE!</v>
      </c>
      <c r="AK326" s="58" t="str">
        <f t="shared" si="175"/>
        <v/>
      </c>
      <c r="AL326" s="26" t="str">
        <f>IF($A327="","",_xll.SPRDOPT(P326,X326,AI326,0,AB326,AE326,AF326,AK326,$AJ$2,0))</f>
        <v/>
      </c>
      <c r="AM326" s="89" t="str">
        <f t="shared" si="176"/>
        <v/>
      </c>
      <c r="AN326" s="89" t="str">
        <f t="shared" si="177"/>
        <v/>
      </c>
      <c r="AO326" s="3" t="str">
        <f t="shared" si="178"/>
        <v/>
      </c>
      <c r="AP326" s="33" t="str">
        <f t="shared" si="179"/>
        <v/>
      </c>
      <c r="AQ326" s="58" t="str">
        <f t="shared" si="180"/>
        <v/>
      </c>
      <c r="AR326" s="38">
        <f>'ANR OK vs ML7'!AR326</f>
        <v>0.1</v>
      </c>
      <c r="AS326" s="35" t="str">
        <f t="shared" si="181"/>
        <v/>
      </c>
      <c r="AT326" s="3" t="str">
        <f t="shared" si="182"/>
        <v/>
      </c>
      <c r="AU326" s="3" t="str">
        <f t="shared" si="183"/>
        <v/>
      </c>
      <c r="AW326" s="32" t="str">
        <f t="shared" si="184"/>
        <v/>
      </c>
      <c r="AX326" s="32" t="str">
        <f t="shared" si="184"/>
        <v/>
      </c>
      <c r="AY326" s="32" t="str">
        <f t="shared" si="185"/>
        <v/>
      </c>
      <c r="BA326" s="32" t="str">
        <f>IF($A327="","",F326*Summary!$Q$12)</f>
        <v/>
      </c>
    </row>
    <row r="327" spans="1:53" ht="12" customHeight="1">
      <c r="A327" s="67" t="str">
        <f t="shared" si="186"/>
        <v/>
      </c>
      <c r="B327" s="69" t="str">
        <f t="shared" si="188"/>
        <v/>
      </c>
      <c r="C327" s="71"/>
      <c r="D327" s="69" t="str">
        <f t="shared" si="152"/>
        <v/>
      </c>
      <c r="E327" s="70" t="str">
        <f t="shared" si="153"/>
        <v/>
      </c>
      <c r="F327" s="70" t="str">
        <f t="shared" si="154"/>
        <v/>
      </c>
      <c r="G327" s="63" t="str">
        <f t="shared" si="155"/>
        <v/>
      </c>
      <c r="H327" s="64" t="str">
        <f t="shared" si="156"/>
        <v/>
      </c>
      <c r="I327" s="43"/>
      <c r="J327" s="63" t="str">
        <f t="shared" si="157"/>
        <v/>
      </c>
      <c r="K327" s="64" t="str">
        <f t="shared" si="158"/>
        <v/>
      </c>
      <c r="L327" s="63" t="str">
        <f t="shared" si="159"/>
        <v/>
      </c>
      <c r="M327" s="64" t="str">
        <f t="shared" si="160"/>
        <v/>
      </c>
      <c r="N327" s="65"/>
      <c r="O327" s="63" t="str">
        <f t="shared" si="161"/>
        <v/>
      </c>
      <c r="P327" s="63" t="str">
        <f t="shared" si="162"/>
        <v/>
      </c>
      <c r="Q327" s="66"/>
      <c r="R327" s="63" t="str">
        <f t="shared" si="163"/>
        <v/>
      </c>
      <c r="S327" s="64" t="str">
        <f t="shared" si="164"/>
        <v/>
      </c>
      <c r="T327" s="63" t="str">
        <f t="shared" si="165"/>
        <v/>
      </c>
      <c r="U327" s="64" t="str">
        <f t="shared" si="166"/>
        <v/>
      </c>
      <c r="V327" s="90" t="str">
        <f>IF($A328="","",IF(AND(MONTH(A327)&gt;3,MONTH(A327)&lt;11),(T327+R327+G327)*(((1/(1-Summary!$T$12))/(1-Summary!$W$12))-1),(T327+R327+G327)*((1/(1-Summary!$U$12))/(1-Summary!$X$12)-1)))</f>
        <v/>
      </c>
      <c r="W327" s="63" t="str">
        <f t="shared" si="167"/>
        <v/>
      </c>
      <c r="X327" s="63" t="str">
        <f t="shared" si="168"/>
        <v/>
      </c>
      <c r="Y327" s="43"/>
      <c r="Z327" s="38" t="str">
        <f t="shared" si="169"/>
        <v/>
      </c>
      <c r="AA327" s="38" t="str">
        <f t="shared" si="170"/>
        <v/>
      </c>
      <c r="AB327" s="38" t="e">
        <f t="shared" si="171"/>
        <v>#VALUE!</v>
      </c>
      <c r="AC327" s="38" t="str">
        <f t="shared" si="172"/>
        <v/>
      </c>
      <c r="AD327" s="38" t="str">
        <f t="shared" si="172"/>
        <v/>
      </c>
      <c r="AE327" s="38" t="e">
        <f t="shared" si="173"/>
        <v>#VALUE!</v>
      </c>
      <c r="AF327" s="238" t="e">
        <f>((Summary!$N$12*(AA327*AD327)*(A327-$D$3))+(Summary!$M$12*Z327*AC327*(AJ327-EOMONTH(EDATE(A327,-1),0))))/(AK327*AB327*AE327)</f>
        <v>#VALUE!</v>
      </c>
      <c r="AG327" s="88" t="str">
        <f>IF($A328="","",Summary!$Q$12)</f>
        <v/>
      </c>
      <c r="AH327" s="88" t="str">
        <f>IF($A328="","",IF(Summary!$R$12="Y",(VLOOKUP($A327,Summary!$AD$6:$AF$9,3)+'Escalating commodity'!H340),'Escalating commodity'!H340))</f>
        <v/>
      </c>
      <c r="AI327" s="88" t="str">
        <f t="shared" si="187"/>
        <v/>
      </c>
      <c r="AJ327" s="236" t="e">
        <f t="shared" si="174"/>
        <v>#VALUE!</v>
      </c>
      <c r="AK327" s="58" t="str">
        <f t="shared" si="175"/>
        <v/>
      </c>
      <c r="AL327" s="26" t="str">
        <f>IF($A328="","",_xll.SPRDOPT(P327,X327,AI327,0,AB327,AE327,AF327,AK327,$AJ$2,0))</f>
        <v/>
      </c>
      <c r="AM327" s="89" t="str">
        <f t="shared" si="176"/>
        <v/>
      </c>
      <c r="AN327" s="89" t="str">
        <f t="shared" si="177"/>
        <v/>
      </c>
      <c r="AO327" s="3" t="str">
        <f t="shared" si="178"/>
        <v/>
      </c>
      <c r="AP327" s="33" t="str">
        <f t="shared" si="179"/>
        <v/>
      </c>
      <c r="AQ327" s="58" t="str">
        <f t="shared" si="180"/>
        <v/>
      </c>
      <c r="AR327" s="38">
        <f>'ANR OK vs ML7'!AR327</f>
        <v>0.1</v>
      </c>
      <c r="AS327" s="35" t="str">
        <f t="shared" si="181"/>
        <v/>
      </c>
      <c r="AT327" s="3" t="str">
        <f t="shared" si="182"/>
        <v/>
      </c>
      <c r="AU327" s="3" t="str">
        <f t="shared" si="183"/>
        <v/>
      </c>
      <c r="AW327" s="32" t="str">
        <f t="shared" si="184"/>
        <v/>
      </c>
      <c r="AX327" s="32" t="str">
        <f t="shared" si="184"/>
        <v/>
      </c>
      <c r="AY327" s="32" t="str">
        <f t="shared" si="185"/>
        <v/>
      </c>
      <c r="BA327" s="32" t="str">
        <f>IF($A328="","",F327*Summary!$Q$12)</f>
        <v/>
      </c>
    </row>
    <row r="328" spans="1:53" ht="12" customHeight="1">
      <c r="A328" s="67" t="str">
        <f t="shared" si="186"/>
        <v/>
      </c>
      <c r="B328" s="69" t="str">
        <f t="shared" si="188"/>
        <v/>
      </c>
      <c r="C328" s="71"/>
      <c r="D328" s="69" t="str">
        <f t="shared" si="152"/>
        <v/>
      </c>
      <c r="E328" s="70" t="str">
        <f t="shared" si="153"/>
        <v/>
      </c>
      <c r="F328" s="70" t="str">
        <f t="shared" si="154"/>
        <v/>
      </c>
      <c r="G328" s="63" t="str">
        <f t="shared" si="155"/>
        <v/>
      </c>
      <c r="H328" s="64" t="str">
        <f t="shared" si="156"/>
        <v/>
      </c>
      <c r="I328" s="43"/>
      <c r="J328" s="63" t="str">
        <f t="shared" si="157"/>
        <v/>
      </c>
      <c r="K328" s="64" t="str">
        <f t="shared" si="158"/>
        <v/>
      </c>
      <c r="L328" s="63" t="str">
        <f t="shared" si="159"/>
        <v/>
      </c>
      <c r="M328" s="64" t="str">
        <f t="shared" si="160"/>
        <v/>
      </c>
      <c r="N328" s="65"/>
      <c r="O328" s="63" t="str">
        <f t="shared" si="161"/>
        <v/>
      </c>
      <c r="P328" s="63" t="str">
        <f t="shared" si="162"/>
        <v/>
      </c>
      <c r="Q328" s="66"/>
      <c r="R328" s="63" t="str">
        <f t="shared" si="163"/>
        <v/>
      </c>
      <c r="S328" s="64" t="str">
        <f t="shared" si="164"/>
        <v/>
      </c>
      <c r="T328" s="63" t="str">
        <f t="shared" si="165"/>
        <v/>
      </c>
      <c r="U328" s="64" t="str">
        <f t="shared" si="166"/>
        <v/>
      </c>
      <c r="V328" s="90" t="str">
        <f>IF($A329="","",IF(AND(MONTH(A328)&gt;3,MONTH(A328)&lt;11),(T328+R328+G328)*(((1/(1-Summary!$T$12))/(1-Summary!$W$12))-1),(T328+R328+G328)*((1/(1-Summary!$U$12))/(1-Summary!$X$12)-1)))</f>
        <v/>
      </c>
      <c r="W328" s="63" t="str">
        <f t="shared" si="167"/>
        <v/>
      </c>
      <c r="X328" s="63" t="str">
        <f t="shared" si="168"/>
        <v/>
      </c>
      <c r="Y328" s="43"/>
      <c r="Z328" s="38" t="str">
        <f t="shared" si="169"/>
        <v/>
      </c>
      <c r="AA328" s="38" t="str">
        <f t="shared" si="170"/>
        <v/>
      </c>
      <c r="AB328" s="38" t="e">
        <f t="shared" si="171"/>
        <v>#VALUE!</v>
      </c>
      <c r="AC328" s="38" t="str">
        <f t="shared" si="172"/>
        <v/>
      </c>
      <c r="AD328" s="38" t="str">
        <f t="shared" si="172"/>
        <v/>
      </c>
      <c r="AE328" s="38" t="e">
        <f t="shared" si="173"/>
        <v>#VALUE!</v>
      </c>
      <c r="AF328" s="238" t="e">
        <f>((Summary!$N$12*(AA328*AD328)*(A328-$D$3))+(Summary!$M$12*Z328*AC328*(AJ328-EOMONTH(EDATE(A328,-1),0))))/(AK328*AB328*AE328)</f>
        <v>#VALUE!</v>
      </c>
      <c r="AG328" s="88" t="str">
        <f>IF($A329="","",Summary!$Q$12)</f>
        <v/>
      </c>
      <c r="AH328" s="88" t="str">
        <f>IF($A329="","",IF(Summary!$R$12="Y",(VLOOKUP($A328,Summary!$AD$6:$AF$9,3)+'Escalating commodity'!H341),'Escalating commodity'!H341))</f>
        <v/>
      </c>
      <c r="AI328" s="88" t="str">
        <f t="shared" si="187"/>
        <v/>
      </c>
      <c r="AJ328" s="236" t="e">
        <f t="shared" si="174"/>
        <v>#VALUE!</v>
      </c>
      <c r="AK328" s="58" t="str">
        <f t="shared" si="175"/>
        <v/>
      </c>
      <c r="AL328" s="26" t="str">
        <f>IF($A329="","",_xll.SPRDOPT(P328,X328,AI328,0,AB328,AE328,AF328,AK328,$AJ$2,0))</f>
        <v/>
      </c>
      <c r="AM328" s="89" t="str">
        <f t="shared" si="176"/>
        <v/>
      </c>
      <c r="AN328" s="89" t="str">
        <f t="shared" si="177"/>
        <v/>
      </c>
      <c r="AO328" s="3" t="str">
        <f t="shared" si="178"/>
        <v/>
      </c>
      <c r="AP328" s="33" t="str">
        <f t="shared" si="179"/>
        <v/>
      </c>
      <c r="AQ328" s="58" t="str">
        <f t="shared" si="180"/>
        <v/>
      </c>
      <c r="AR328" s="38">
        <f>'ANR OK vs ML7'!AR328</f>
        <v>0.1</v>
      </c>
      <c r="AS328" s="35" t="str">
        <f t="shared" si="181"/>
        <v/>
      </c>
      <c r="AT328" s="3" t="str">
        <f t="shared" si="182"/>
        <v/>
      </c>
      <c r="AU328" s="3" t="str">
        <f t="shared" si="183"/>
        <v/>
      </c>
      <c r="AW328" s="32" t="str">
        <f t="shared" si="184"/>
        <v/>
      </c>
      <c r="AX328" s="32" t="str">
        <f t="shared" si="184"/>
        <v/>
      </c>
      <c r="AY328" s="32" t="str">
        <f t="shared" si="185"/>
        <v/>
      </c>
      <c r="BA328" s="32" t="str">
        <f>IF($A329="","",F328*Summary!$Q$12)</f>
        <v/>
      </c>
    </row>
    <row r="329" spans="1:53" ht="12" customHeight="1">
      <c r="A329" s="67" t="str">
        <f t="shared" si="186"/>
        <v/>
      </c>
      <c r="B329" s="69" t="str">
        <f t="shared" si="188"/>
        <v/>
      </c>
      <c r="C329" s="71"/>
      <c r="D329" s="69" t="str">
        <f t="shared" si="152"/>
        <v/>
      </c>
      <c r="E329" s="70" t="str">
        <f t="shared" si="153"/>
        <v/>
      </c>
      <c r="F329" s="70" t="str">
        <f t="shared" si="154"/>
        <v/>
      </c>
      <c r="G329" s="63" t="str">
        <f t="shared" si="155"/>
        <v/>
      </c>
      <c r="H329" s="64" t="str">
        <f t="shared" si="156"/>
        <v/>
      </c>
      <c r="I329" s="43"/>
      <c r="J329" s="63" t="str">
        <f t="shared" si="157"/>
        <v/>
      </c>
      <c r="K329" s="64" t="str">
        <f t="shared" si="158"/>
        <v/>
      </c>
      <c r="L329" s="63" t="str">
        <f t="shared" si="159"/>
        <v/>
      </c>
      <c r="M329" s="64" t="str">
        <f t="shared" si="160"/>
        <v/>
      </c>
      <c r="N329" s="65"/>
      <c r="O329" s="63" t="str">
        <f t="shared" si="161"/>
        <v/>
      </c>
      <c r="P329" s="63" t="str">
        <f t="shared" si="162"/>
        <v/>
      </c>
      <c r="Q329" s="66"/>
      <c r="R329" s="63" t="str">
        <f t="shared" si="163"/>
        <v/>
      </c>
      <c r="S329" s="64" t="str">
        <f t="shared" si="164"/>
        <v/>
      </c>
      <c r="T329" s="63" t="str">
        <f t="shared" si="165"/>
        <v/>
      </c>
      <c r="U329" s="64" t="str">
        <f t="shared" si="166"/>
        <v/>
      </c>
      <c r="V329" s="90" t="str">
        <f>IF($A330="","",IF(AND(MONTH(A329)&gt;3,MONTH(A329)&lt;11),(T329+R329+G329)*(((1/(1-Summary!$T$12))/(1-Summary!$W$12))-1),(T329+R329+G329)*((1/(1-Summary!$U$12))/(1-Summary!$X$12)-1)))</f>
        <v/>
      </c>
      <c r="W329" s="63" t="str">
        <f t="shared" si="167"/>
        <v/>
      </c>
      <c r="X329" s="63" t="str">
        <f t="shared" si="168"/>
        <v/>
      </c>
      <c r="Y329" s="43"/>
      <c r="Z329" s="38" t="str">
        <f t="shared" si="169"/>
        <v/>
      </c>
      <c r="AA329" s="38" t="str">
        <f t="shared" si="170"/>
        <v/>
      </c>
      <c r="AB329" s="38" t="e">
        <f t="shared" si="171"/>
        <v>#VALUE!</v>
      </c>
      <c r="AC329" s="38" t="str">
        <f t="shared" si="172"/>
        <v/>
      </c>
      <c r="AD329" s="38" t="str">
        <f t="shared" si="172"/>
        <v/>
      </c>
      <c r="AE329" s="38" t="e">
        <f t="shared" si="173"/>
        <v>#VALUE!</v>
      </c>
      <c r="AF329" s="238" t="e">
        <f>((Summary!$N$12*(AA329*AD329)*(A329-$D$3))+(Summary!$M$12*Z329*AC329*(AJ329-EOMONTH(EDATE(A329,-1),0))))/(AK329*AB329*AE329)</f>
        <v>#VALUE!</v>
      </c>
      <c r="AG329" s="88" t="str">
        <f>IF($A330="","",Summary!$Q$12)</f>
        <v/>
      </c>
      <c r="AH329" s="88" t="str">
        <f>IF($A330="","",IF(Summary!$R$12="Y",(VLOOKUP($A329,Summary!$AD$6:$AF$9,3)+'Escalating commodity'!H342),'Escalating commodity'!H342))</f>
        <v/>
      </c>
      <c r="AI329" s="88" t="str">
        <f t="shared" si="187"/>
        <v/>
      </c>
      <c r="AJ329" s="236" t="e">
        <f t="shared" si="174"/>
        <v>#VALUE!</v>
      </c>
      <c r="AK329" s="58" t="str">
        <f t="shared" si="175"/>
        <v/>
      </c>
      <c r="AL329" s="26" t="str">
        <f>IF($A330="","",_xll.SPRDOPT(P329,X329,AI329,0,AB329,AE329,AF329,AK329,$AJ$2,0))</f>
        <v/>
      </c>
      <c r="AM329" s="89" t="str">
        <f t="shared" si="176"/>
        <v/>
      </c>
      <c r="AN329" s="89" t="str">
        <f t="shared" si="177"/>
        <v/>
      </c>
      <c r="AO329" s="3" t="str">
        <f t="shared" si="178"/>
        <v/>
      </c>
      <c r="AP329" s="33" t="str">
        <f t="shared" si="179"/>
        <v/>
      </c>
      <c r="AQ329" s="58" t="str">
        <f t="shared" si="180"/>
        <v/>
      </c>
      <c r="AR329" s="38">
        <f>'ANR OK vs ML7'!AR329</f>
        <v>0.1</v>
      </c>
      <c r="AS329" s="35" t="str">
        <f t="shared" si="181"/>
        <v/>
      </c>
      <c r="AT329" s="3" t="str">
        <f t="shared" si="182"/>
        <v/>
      </c>
      <c r="AU329" s="3" t="str">
        <f t="shared" si="183"/>
        <v/>
      </c>
      <c r="AW329" s="32" t="str">
        <f t="shared" si="184"/>
        <v/>
      </c>
      <c r="AX329" s="32" t="str">
        <f t="shared" si="184"/>
        <v/>
      </c>
      <c r="AY329" s="32" t="str">
        <f t="shared" si="185"/>
        <v/>
      </c>
      <c r="BA329" s="32" t="str">
        <f>IF($A330="","",F329*Summary!$Q$12)</f>
        <v/>
      </c>
    </row>
    <row r="330" spans="1:53" ht="12" customHeight="1">
      <c r="A330" s="67" t="str">
        <f t="shared" si="186"/>
        <v/>
      </c>
      <c r="B330" s="69" t="str">
        <f t="shared" si="188"/>
        <v/>
      </c>
      <c r="C330" s="71"/>
      <c r="D330" s="69" t="str">
        <f t="shared" ref="D330:D393" si="189">IF(A331&lt;&gt;"",B330+C330,"")</f>
        <v/>
      </c>
      <c r="E330" s="70" t="str">
        <f t="shared" ref="E330:E393" si="190">IF(A331="","",IF(AND(AT330=1,$H$3=1),D330*AO330,IF($H$3=2,D330,"N/A")))</f>
        <v/>
      </c>
      <c r="F330" s="70" t="str">
        <f t="shared" ref="F330:F393" si="191">IF(A331="","",E330*AS330)</f>
        <v/>
      </c>
      <c r="G330" s="63" t="str">
        <f t="shared" ref="G330:G393" si="192">IF($A331="","",VLOOKUP($A330,Table,MATCH(G$4,Curves,0)))</f>
        <v/>
      </c>
      <c r="H330" s="64" t="str">
        <f t="shared" ref="H330:H393" si="193">IF(A331="","",G330)</f>
        <v/>
      </c>
      <c r="I330" s="43"/>
      <c r="J330" s="63" t="str">
        <f t="shared" ref="J330:J393" si="194">IF($A331="","",VLOOKUP($A330,Table,MATCH(J$4,Curves,0)))</f>
        <v/>
      </c>
      <c r="K330" s="64" t="str">
        <f t="shared" ref="K330:K393" si="195">IF(A331="","",J330)</f>
        <v/>
      </c>
      <c r="L330" s="63" t="str">
        <f t="shared" ref="L330:L393" si="196">IF($A331="","",VLOOKUP($A330,Table,MATCH(L$4,Curves,0)))</f>
        <v/>
      </c>
      <c r="M330" s="64" t="str">
        <f t="shared" ref="M330:M393" si="197">IF(A331="","",L330)</f>
        <v/>
      </c>
      <c r="N330" s="65"/>
      <c r="O330" s="63" t="str">
        <f t="shared" ref="O330:O393" si="198">IF(A331="","",L330+J330+G330)</f>
        <v/>
      </c>
      <c r="P330" s="63" t="str">
        <f t="shared" ref="P330:P393" si="199">IF(A331="","",M330+K330+H330)</f>
        <v/>
      </c>
      <c r="Q330" s="66"/>
      <c r="R330" s="63" t="str">
        <f t="shared" ref="R330:R393" si="200">IF($A331="","",VLOOKUP($A330,Table,MATCH(R$4,Curves,0)))</f>
        <v/>
      </c>
      <c r="S330" s="64" t="str">
        <f t="shared" ref="S330:S393" si="201">IF(A331="","",R330)</f>
        <v/>
      </c>
      <c r="T330" s="63" t="str">
        <f t="shared" ref="T330:T393" si="202">IF($A331="","",VLOOKUP($A330,Table,MATCH(T$4,Curves,0)))</f>
        <v/>
      </c>
      <c r="U330" s="64" t="str">
        <f t="shared" ref="U330:U393" si="203">IF(A331="","",T330)</f>
        <v/>
      </c>
      <c r="V330" s="90" t="str">
        <f>IF($A331="","",IF(AND(MONTH(A330)&gt;3,MONTH(A330)&lt;11),(T330+R330+G330)*(((1/(1-Summary!$T$12))/(1-Summary!$W$12))-1),(T330+R330+G330)*((1/(1-Summary!$U$12))/(1-Summary!$X$12)-1)))</f>
        <v/>
      </c>
      <c r="W330" s="63" t="str">
        <f t="shared" ref="W330:W393" si="204">IF($A331="","",(T330+R330+G330+V330))</f>
        <v/>
      </c>
      <c r="X330" s="63" t="str">
        <f t="shared" ref="X330:X393" si="205">IF($A331="","",(U330+S330+H330+V330))</f>
        <v/>
      </c>
      <c r="Y330" s="43"/>
      <c r="Z330" s="38" t="str">
        <f t="shared" ref="Z330:Z369" si="206">IF($A331="","",VLOOKUP($A330,Table,MATCH(Z$4,Curves,0)))</f>
        <v/>
      </c>
      <c r="AA330" s="38" t="str">
        <f t="shared" ref="AA330:AA369" si="207">IF($A331="","",VLOOKUP($A330,Table,MATCH(AA$4,Curves,0)))</f>
        <v/>
      </c>
      <c r="AB330" s="38" t="e">
        <f t="shared" ref="AB330:AB393" si="208">SQRT((AA330^2*(A330-$D$3)+Z330^2*(DAY(EOMONTH(A330,0))/2))/AK330)</f>
        <v>#VALUE!</v>
      </c>
      <c r="AC330" s="38" t="str">
        <f t="shared" ref="AC330:AD369" si="209">IF($A331="","",VLOOKUP($A330,Table,MATCH(AC$4,Curves,0)))</f>
        <v/>
      </c>
      <c r="AD330" s="38" t="str">
        <f t="shared" si="209"/>
        <v/>
      </c>
      <c r="AE330" s="38" t="e">
        <f t="shared" ref="AE330:AE393" si="210">SQRT((AD330^2*(A330-$D$3)+AC330^2*(DAY(EOMONTH(A330,0))/2))/AK330)</f>
        <v>#VALUE!</v>
      </c>
      <c r="AF330" s="238" t="e">
        <f>((Summary!$N$12*(AA330*AD330)*(A330-$D$3))+(Summary!$M$12*Z330*AC330*(AJ330-EOMONTH(EDATE(A330,-1),0))))/(AK330*AB330*AE330)</f>
        <v>#VALUE!</v>
      </c>
      <c r="AG330" s="88" t="str">
        <f>IF($A331="","",Summary!$Q$12)</f>
        <v/>
      </c>
      <c r="AH330" s="88" t="str">
        <f>IF($A331="","",IF(Summary!$R$12="Y",(VLOOKUP($A330,Summary!$AD$6:$AF$9,3)+'Escalating commodity'!H343),'Escalating commodity'!H343))</f>
        <v/>
      </c>
      <c r="AI330" s="88" t="str">
        <f t="shared" si="187"/>
        <v/>
      </c>
      <c r="AJ330" s="236" t="e">
        <f t="shared" ref="AJ330:AJ369" si="211">A330+DAY(EOMONTH(A330,0))/2-1</f>
        <v>#VALUE!</v>
      </c>
      <c r="AK330" s="58" t="str">
        <f t="shared" ref="AK330:AK369" si="212">IF($A331="","",$A330-$E$1)</f>
        <v/>
      </c>
      <c r="AL330" s="26" t="str">
        <f>IF($A331="","",_xll.SPRDOPT(P330,X330,AI330,0,AB330,AE330,AF330,AK330,$AJ$2,0))</f>
        <v/>
      </c>
      <c r="AM330" s="89" t="str">
        <f t="shared" ref="AM330:AM369" si="213">IF($A331="","",MAX(0,O330-W330-AI330))</f>
        <v/>
      </c>
      <c r="AN330" s="89" t="str">
        <f t="shared" ref="AN330:AN369" si="214">IF($A331="","",AL330-AM330)</f>
        <v/>
      </c>
      <c r="AO330" s="3" t="str">
        <f t="shared" ref="AO330:AO393" si="215">IF(A331="","",A331-A330)</f>
        <v/>
      </c>
      <c r="AP330" s="33" t="str">
        <f t="shared" ref="AP330:AP393" si="216">IF(A331="","",CHOOSE(F$3,A331+24,A330))</f>
        <v/>
      </c>
      <c r="AQ330" s="58" t="str">
        <f t="shared" ref="AQ330:AQ393" si="217">IF(A331="","",AP330-$E$1)</f>
        <v/>
      </c>
      <c r="AR330" s="38">
        <f>'ANR OK vs ML7'!AR330</f>
        <v>0.1</v>
      </c>
      <c r="AS330" s="35" t="str">
        <f t="shared" ref="AS330:AS393" si="218">IF(A331="","",1/(1+CHOOSE(F$3,(AR331+($I$3/10000))/2,(AR330+($I$3/10000))/2))^(2*AQ330/365.25))</f>
        <v/>
      </c>
      <c r="AT330" s="3" t="str">
        <f t="shared" ref="AT330:AT393" si="219">IF(A331="","",IF(AND(mthbeg&lt;=A330,mthend&gt;=A330),1,0))</f>
        <v/>
      </c>
      <c r="AU330" s="3" t="str">
        <f t="shared" ref="AU330:AU393" si="220">IF(A331="","",AO330*AT330)</f>
        <v/>
      </c>
      <c r="AW330" s="32" t="str">
        <f t="shared" ref="AW330:AX393" si="221">IF($A331="","",AL330*$E330)</f>
        <v/>
      </c>
      <c r="AX330" s="32" t="str">
        <f t="shared" si="221"/>
        <v/>
      </c>
      <c r="AY330" s="32" t="str">
        <f t="shared" ref="AY330:AY393" si="222">IF($A331="","",AN330*$E330)</f>
        <v/>
      </c>
      <c r="BA330" s="32" t="str">
        <f>IF($A331="","",F330*Summary!$Q$12)</f>
        <v/>
      </c>
    </row>
    <row r="331" spans="1:53" ht="12" customHeight="1">
      <c r="A331" s="67" t="str">
        <f t="shared" ref="A331:A394" si="223">IF(A330&lt;mthend,EDATE(A330,1),"")</f>
        <v/>
      </c>
      <c r="B331" s="69" t="str">
        <f t="shared" si="188"/>
        <v/>
      </c>
      <c r="C331" s="71"/>
      <c r="D331" s="69" t="str">
        <f t="shared" si="189"/>
        <v/>
      </c>
      <c r="E331" s="70" t="str">
        <f t="shared" si="190"/>
        <v/>
      </c>
      <c r="F331" s="70" t="str">
        <f t="shared" si="191"/>
        <v/>
      </c>
      <c r="G331" s="63" t="str">
        <f t="shared" si="192"/>
        <v/>
      </c>
      <c r="H331" s="64" t="str">
        <f t="shared" si="193"/>
        <v/>
      </c>
      <c r="I331" s="43"/>
      <c r="J331" s="63" t="str">
        <f t="shared" si="194"/>
        <v/>
      </c>
      <c r="K331" s="64" t="str">
        <f t="shared" si="195"/>
        <v/>
      </c>
      <c r="L331" s="63" t="str">
        <f t="shared" si="196"/>
        <v/>
      </c>
      <c r="M331" s="64" t="str">
        <f t="shared" si="197"/>
        <v/>
      </c>
      <c r="N331" s="65"/>
      <c r="O331" s="63" t="str">
        <f t="shared" si="198"/>
        <v/>
      </c>
      <c r="P331" s="63" t="str">
        <f t="shared" si="199"/>
        <v/>
      </c>
      <c r="Q331" s="66"/>
      <c r="R331" s="63" t="str">
        <f t="shared" si="200"/>
        <v/>
      </c>
      <c r="S331" s="64" t="str">
        <f t="shared" si="201"/>
        <v/>
      </c>
      <c r="T331" s="63" t="str">
        <f t="shared" si="202"/>
        <v/>
      </c>
      <c r="U331" s="64" t="str">
        <f t="shared" si="203"/>
        <v/>
      </c>
      <c r="V331" s="90" t="str">
        <f>IF($A332="","",IF(AND(MONTH(A331)&gt;3,MONTH(A331)&lt;11),(T331+R331+G331)*(((1/(1-Summary!$T$12))/(1-Summary!$W$12))-1),(T331+R331+G331)*((1/(1-Summary!$U$12))/(1-Summary!$X$12)-1)))</f>
        <v/>
      </c>
      <c r="W331" s="63" t="str">
        <f t="shared" si="204"/>
        <v/>
      </c>
      <c r="X331" s="63" t="str">
        <f t="shared" si="205"/>
        <v/>
      </c>
      <c r="Y331" s="43"/>
      <c r="Z331" s="38" t="str">
        <f t="shared" si="206"/>
        <v/>
      </c>
      <c r="AA331" s="38" t="str">
        <f t="shared" si="207"/>
        <v/>
      </c>
      <c r="AB331" s="38" t="e">
        <f t="shared" si="208"/>
        <v>#VALUE!</v>
      </c>
      <c r="AC331" s="38" t="str">
        <f t="shared" si="209"/>
        <v/>
      </c>
      <c r="AD331" s="38" t="str">
        <f t="shared" si="209"/>
        <v/>
      </c>
      <c r="AE331" s="38" t="e">
        <f t="shared" si="210"/>
        <v>#VALUE!</v>
      </c>
      <c r="AF331" s="238" t="e">
        <f>((Summary!$N$12*(AA331*AD331)*(A331-$D$3))+(Summary!$M$12*Z331*AC331*(AJ331-EOMONTH(EDATE(A331,-1),0))))/(AK331*AB331*AE331)</f>
        <v>#VALUE!</v>
      </c>
      <c r="AG331" s="88" t="str">
        <f>IF($A332="","",Summary!$Q$12)</f>
        <v/>
      </c>
      <c r="AH331" s="88" t="str">
        <f>IF($A332="","",IF(Summary!$R$12="Y",(VLOOKUP($A331,Summary!$AD$6:$AF$9,3)+'Escalating commodity'!H344),'Escalating commodity'!H344))</f>
        <v/>
      </c>
      <c r="AI331" s="88" t="str">
        <f t="shared" ref="AI331:AI369" si="224">IF($A332="","",AH331)</f>
        <v/>
      </c>
      <c r="AJ331" s="236" t="e">
        <f t="shared" si="211"/>
        <v>#VALUE!</v>
      </c>
      <c r="AK331" s="58" t="str">
        <f t="shared" si="212"/>
        <v/>
      </c>
      <c r="AL331" s="26" t="str">
        <f>IF($A332="","",_xll.SPRDOPT(P331,X331,AI331,0,AB331,AE331,AF331,AK331,$AJ$2,0))</f>
        <v/>
      </c>
      <c r="AM331" s="89" t="str">
        <f t="shared" si="213"/>
        <v/>
      </c>
      <c r="AN331" s="89" t="str">
        <f t="shared" si="214"/>
        <v/>
      </c>
      <c r="AO331" s="3" t="str">
        <f t="shared" si="215"/>
        <v/>
      </c>
      <c r="AP331" s="33" t="str">
        <f t="shared" si="216"/>
        <v/>
      </c>
      <c r="AQ331" s="58" t="str">
        <f t="shared" si="217"/>
        <v/>
      </c>
      <c r="AR331" s="38">
        <f>'ANR OK vs ML7'!AR331</f>
        <v>0.1</v>
      </c>
      <c r="AS331" s="35" t="str">
        <f t="shared" si="218"/>
        <v/>
      </c>
      <c r="AT331" s="3" t="str">
        <f t="shared" si="219"/>
        <v/>
      </c>
      <c r="AU331" s="3" t="str">
        <f t="shared" si="220"/>
        <v/>
      </c>
      <c r="AW331" s="32" t="str">
        <f t="shared" si="221"/>
        <v/>
      </c>
      <c r="AX331" s="32" t="str">
        <f t="shared" si="221"/>
        <v/>
      </c>
      <c r="AY331" s="32" t="str">
        <f t="shared" si="222"/>
        <v/>
      </c>
      <c r="BA331" s="32" t="str">
        <f>IF($A332="","",F331*Summary!$Q$12)</f>
        <v/>
      </c>
    </row>
    <row r="332" spans="1:53" ht="12" customHeight="1">
      <c r="A332" s="67" t="str">
        <f t="shared" si="223"/>
        <v/>
      </c>
      <c r="B332" s="69" t="str">
        <f t="shared" ref="B332:B395" si="225">IF(A332&lt;mthend,B331,"")</f>
        <v/>
      </c>
      <c r="C332" s="71"/>
      <c r="D332" s="69" t="str">
        <f t="shared" si="189"/>
        <v/>
      </c>
      <c r="E332" s="70" t="str">
        <f t="shared" si="190"/>
        <v/>
      </c>
      <c r="F332" s="70" t="str">
        <f t="shared" si="191"/>
        <v/>
      </c>
      <c r="G332" s="63" t="str">
        <f t="shared" si="192"/>
        <v/>
      </c>
      <c r="H332" s="64" t="str">
        <f t="shared" si="193"/>
        <v/>
      </c>
      <c r="I332" s="43"/>
      <c r="J332" s="63" t="str">
        <f t="shared" si="194"/>
        <v/>
      </c>
      <c r="K332" s="64" t="str">
        <f t="shared" si="195"/>
        <v/>
      </c>
      <c r="L332" s="63" t="str">
        <f t="shared" si="196"/>
        <v/>
      </c>
      <c r="M332" s="64" t="str">
        <f t="shared" si="197"/>
        <v/>
      </c>
      <c r="N332" s="65"/>
      <c r="O332" s="63" t="str">
        <f t="shared" si="198"/>
        <v/>
      </c>
      <c r="P332" s="63" t="str">
        <f t="shared" si="199"/>
        <v/>
      </c>
      <c r="Q332" s="66"/>
      <c r="R332" s="63" t="str">
        <f t="shared" si="200"/>
        <v/>
      </c>
      <c r="S332" s="64" t="str">
        <f t="shared" si="201"/>
        <v/>
      </c>
      <c r="T332" s="63" t="str">
        <f t="shared" si="202"/>
        <v/>
      </c>
      <c r="U332" s="64" t="str">
        <f t="shared" si="203"/>
        <v/>
      </c>
      <c r="V332" s="90" t="str">
        <f>IF($A333="","",IF(AND(MONTH(A332)&gt;3,MONTH(A332)&lt;11),(T332+R332+G332)*(((1/(1-Summary!$T$12))/(1-Summary!$W$12))-1),(T332+R332+G332)*((1/(1-Summary!$U$12))/(1-Summary!$X$12)-1)))</f>
        <v/>
      </c>
      <c r="W332" s="63" t="str">
        <f t="shared" si="204"/>
        <v/>
      </c>
      <c r="X332" s="63" t="str">
        <f t="shared" si="205"/>
        <v/>
      </c>
      <c r="Y332" s="43"/>
      <c r="Z332" s="38" t="str">
        <f t="shared" si="206"/>
        <v/>
      </c>
      <c r="AA332" s="38" t="str">
        <f t="shared" si="207"/>
        <v/>
      </c>
      <c r="AB332" s="38" t="e">
        <f t="shared" si="208"/>
        <v>#VALUE!</v>
      </c>
      <c r="AC332" s="38" t="str">
        <f t="shared" si="209"/>
        <v/>
      </c>
      <c r="AD332" s="38" t="str">
        <f t="shared" si="209"/>
        <v/>
      </c>
      <c r="AE332" s="38" t="e">
        <f t="shared" si="210"/>
        <v>#VALUE!</v>
      </c>
      <c r="AF332" s="238" t="e">
        <f>((Summary!$N$12*(AA332*AD332)*(A332-$D$3))+(Summary!$M$12*Z332*AC332*(AJ332-EOMONTH(EDATE(A332,-1),0))))/(AK332*AB332*AE332)</f>
        <v>#VALUE!</v>
      </c>
      <c r="AG332" s="88" t="str">
        <f>IF($A333="","",Summary!$Q$12)</f>
        <v/>
      </c>
      <c r="AH332" s="88" t="str">
        <f>IF($A333="","",IF(Summary!$R$12="Y",(VLOOKUP($A332,Summary!$AD$6:$AF$9,3)+'Escalating commodity'!H345),'Escalating commodity'!H345))</f>
        <v/>
      </c>
      <c r="AI332" s="88" t="str">
        <f t="shared" si="224"/>
        <v/>
      </c>
      <c r="AJ332" s="236" t="e">
        <f t="shared" si="211"/>
        <v>#VALUE!</v>
      </c>
      <c r="AK332" s="58" t="str">
        <f t="shared" si="212"/>
        <v/>
      </c>
      <c r="AL332" s="26" t="str">
        <f>IF($A333="","",_xll.SPRDOPT(P332,X332,AI332,0,AB332,AE332,AF332,AK332,$AJ$2,0))</f>
        <v/>
      </c>
      <c r="AM332" s="89" t="str">
        <f t="shared" si="213"/>
        <v/>
      </c>
      <c r="AN332" s="89" t="str">
        <f t="shared" si="214"/>
        <v/>
      </c>
      <c r="AO332" s="3" t="str">
        <f t="shared" si="215"/>
        <v/>
      </c>
      <c r="AP332" s="33" t="str">
        <f t="shared" si="216"/>
        <v/>
      </c>
      <c r="AQ332" s="58" t="str">
        <f t="shared" si="217"/>
        <v/>
      </c>
      <c r="AR332" s="38">
        <f>'ANR OK vs ML7'!AR332</f>
        <v>0.1</v>
      </c>
      <c r="AS332" s="35" t="str">
        <f t="shared" si="218"/>
        <v/>
      </c>
      <c r="AT332" s="3" t="str">
        <f t="shared" si="219"/>
        <v/>
      </c>
      <c r="AU332" s="3" t="str">
        <f t="shared" si="220"/>
        <v/>
      </c>
      <c r="AW332" s="32" t="str">
        <f t="shared" si="221"/>
        <v/>
      </c>
      <c r="AX332" s="32" t="str">
        <f t="shared" si="221"/>
        <v/>
      </c>
      <c r="AY332" s="32" t="str">
        <f t="shared" si="222"/>
        <v/>
      </c>
      <c r="BA332" s="32" t="str">
        <f>IF($A333="","",F332*Summary!$Q$12)</f>
        <v/>
      </c>
    </row>
    <row r="333" spans="1:53" ht="12" customHeight="1">
      <c r="A333" s="67" t="str">
        <f t="shared" si="223"/>
        <v/>
      </c>
      <c r="B333" s="69" t="str">
        <f t="shared" si="225"/>
        <v/>
      </c>
      <c r="C333" s="71"/>
      <c r="D333" s="69" t="str">
        <f t="shared" si="189"/>
        <v/>
      </c>
      <c r="E333" s="70" t="str">
        <f t="shared" si="190"/>
        <v/>
      </c>
      <c r="F333" s="70" t="str">
        <f t="shared" si="191"/>
        <v/>
      </c>
      <c r="G333" s="63" t="str">
        <f t="shared" si="192"/>
        <v/>
      </c>
      <c r="H333" s="64" t="str">
        <f t="shared" si="193"/>
        <v/>
      </c>
      <c r="I333" s="43"/>
      <c r="J333" s="63" t="str">
        <f t="shared" si="194"/>
        <v/>
      </c>
      <c r="K333" s="64" t="str">
        <f t="shared" si="195"/>
        <v/>
      </c>
      <c r="L333" s="63" t="str">
        <f t="shared" si="196"/>
        <v/>
      </c>
      <c r="M333" s="64" t="str">
        <f t="shared" si="197"/>
        <v/>
      </c>
      <c r="N333" s="65"/>
      <c r="O333" s="63" t="str">
        <f t="shared" si="198"/>
        <v/>
      </c>
      <c r="P333" s="63" t="str">
        <f t="shared" si="199"/>
        <v/>
      </c>
      <c r="Q333" s="66"/>
      <c r="R333" s="63" t="str">
        <f t="shared" si="200"/>
        <v/>
      </c>
      <c r="S333" s="64" t="str">
        <f t="shared" si="201"/>
        <v/>
      </c>
      <c r="T333" s="63" t="str">
        <f t="shared" si="202"/>
        <v/>
      </c>
      <c r="U333" s="64" t="str">
        <f t="shared" si="203"/>
        <v/>
      </c>
      <c r="V333" s="90" t="str">
        <f>IF($A334="","",IF(AND(MONTH(A333)&gt;3,MONTH(A333)&lt;11),(T333+R333+G333)*(((1/(1-Summary!$T$12))/(1-Summary!$W$12))-1),(T333+R333+G333)*((1/(1-Summary!$U$12))/(1-Summary!$X$12)-1)))</f>
        <v/>
      </c>
      <c r="W333" s="63" t="str">
        <f t="shared" si="204"/>
        <v/>
      </c>
      <c r="X333" s="63" t="str">
        <f t="shared" si="205"/>
        <v/>
      </c>
      <c r="Y333" s="43"/>
      <c r="Z333" s="38" t="str">
        <f t="shared" si="206"/>
        <v/>
      </c>
      <c r="AA333" s="38" t="str">
        <f t="shared" si="207"/>
        <v/>
      </c>
      <c r="AB333" s="38" t="e">
        <f t="shared" si="208"/>
        <v>#VALUE!</v>
      </c>
      <c r="AC333" s="38" t="str">
        <f t="shared" si="209"/>
        <v/>
      </c>
      <c r="AD333" s="38" t="str">
        <f t="shared" si="209"/>
        <v/>
      </c>
      <c r="AE333" s="38" t="e">
        <f t="shared" si="210"/>
        <v>#VALUE!</v>
      </c>
      <c r="AF333" s="238" t="e">
        <f>((Summary!$N$12*(AA333*AD333)*(A333-$D$3))+(Summary!$M$12*Z333*AC333*(AJ333-EOMONTH(EDATE(A333,-1),0))))/(AK333*AB333*AE333)</f>
        <v>#VALUE!</v>
      </c>
      <c r="AG333" s="88" t="str">
        <f>IF($A334="","",Summary!$Q$12)</f>
        <v/>
      </c>
      <c r="AH333" s="88" t="str">
        <f>IF($A334="","",IF(Summary!$R$12="Y",(VLOOKUP($A333,Summary!$AD$6:$AF$9,3)+'Escalating commodity'!H346),'Escalating commodity'!H346))</f>
        <v/>
      </c>
      <c r="AI333" s="88" t="str">
        <f t="shared" si="224"/>
        <v/>
      </c>
      <c r="AJ333" s="236" t="e">
        <f t="shared" si="211"/>
        <v>#VALUE!</v>
      </c>
      <c r="AK333" s="58" t="str">
        <f t="shared" si="212"/>
        <v/>
      </c>
      <c r="AL333" s="26" t="str">
        <f>IF($A334="","",_xll.SPRDOPT(P333,X333,AI333,0,AB333,AE333,AF333,AK333,$AJ$2,0))</f>
        <v/>
      </c>
      <c r="AM333" s="89" t="str">
        <f t="shared" si="213"/>
        <v/>
      </c>
      <c r="AN333" s="89" t="str">
        <f t="shared" si="214"/>
        <v/>
      </c>
      <c r="AO333" s="3" t="str">
        <f t="shared" si="215"/>
        <v/>
      </c>
      <c r="AP333" s="33" t="str">
        <f t="shared" si="216"/>
        <v/>
      </c>
      <c r="AQ333" s="58" t="str">
        <f t="shared" si="217"/>
        <v/>
      </c>
      <c r="AR333" s="38">
        <f>'ANR OK vs ML7'!AR333</f>
        <v>0.1</v>
      </c>
      <c r="AS333" s="35" t="str">
        <f t="shared" si="218"/>
        <v/>
      </c>
      <c r="AT333" s="3" t="str">
        <f t="shared" si="219"/>
        <v/>
      </c>
      <c r="AU333" s="3" t="str">
        <f t="shared" si="220"/>
        <v/>
      </c>
      <c r="AW333" s="32" t="str">
        <f t="shared" si="221"/>
        <v/>
      </c>
      <c r="AX333" s="32" t="str">
        <f t="shared" si="221"/>
        <v/>
      </c>
      <c r="AY333" s="32" t="str">
        <f t="shared" si="222"/>
        <v/>
      </c>
      <c r="BA333" s="32" t="str">
        <f>IF($A334="","",F333*Summary!$Q$12)</f>
        <v/>
      </c>
    </row>
    <row r="334" spans="1:53" ht="12" customHeight="1">
      <c r="A334" s="67" t="str">
        <f t="shared" si="223"/>
        <v/>
      </c>
      <c r="B334" s="69" t="str">
        <f t="shared" si="225"/>
        <v/>
      </c>
      <c r="C334" s="71"/>
      <c r="D334" s="69" t="str">
        <f t="shared" si="189"/>
        <v/>
      </c>
      <c r="E334" s="70" t="str">
        <f t="shared" si="190"/>
        <v/>
      </c>
      <c r="F334" s="70" t="str">
        <f t="shared" si="191"/>
        <v/>
      </c>
      <c r="G334" s="63" t="str">
        <f t="shared" si="192"/>
        <v/>
      </c>
      <c r="H334" s="64" t="str">
        <f t="shared" si="193"/>
        <v/>
      </c>
      <c r="I334" s="43"/>
      <c r="J334" s="63" t="str">
        <f t="shared" si="194"/>
        <v/>
      </c>
      <c r="K334" s="64" t="str">
        <f t="shared" si="195"/>
        <v/>
      </c>
      <c r="L334" s="63" t="str">
        <f t="shared" si="196"/>
        <v/>
      </c>
      <c r="M334" s="64" t="str">
        <f t="shared" si="197"/>
        <v/>
      </c>
      <c r="N334" s="65"/>
      <c r="O334" s="63" t="str">
        <f t="shared" si="198"/>
        <v/>
      </c>
      <c r="P334" s="63" t="str">
        <f t="shared" si="199"/>
        <v/>
      </c>
      <c r="Q334" s="66"/>
      <c r="R334" s="63" t="str">
        <f t="shared" si="200"/>
        <v/>
      </c>
      <c r="S334" s="64" t="str">
        <f t="shared" si="201"/>
        <v/>
      </c>
      <c r="T334" s="63" t="str">
        <f t="shared" si="202"/>
        <v/>
      </c>
      <c r="U334" s="64" t="str">
        <f t="shared" si="203"/>
        <v/>
      </c>
      <c r="V334" s="90" t="str">
        <f>IF($A335="","",IF(AND(MONTH(A334)&gt;3,MONTH(A334)&lt;11),(T334+R334+G334)*(((1/(1-Summary!$T$12))/(1-Summary!$W$12))-1),(T334+R334+G334)*((1/(1-Summary!$U$12))/(1-Summary!$X$12)-1)))</f>
        <v/>
      </c>
      <c r="W334" s="63" t="str">
        <f t="shared" si="204"/>
        <v/>
      </c>
      <c r="X334" s="63" t="str">
        <f t="shared" si="205"/>
        <v/>
      </c>
      <c r="Y334" s="43"/>
      <c r="Z334" s="38" t="str">
        <f t="shared" si="206"/>
        <v/>
      </c>
      <c r="AA334" s="38" t="str">
        <f t="shared" si="207"/>
        <v/>
      </c>
      <c r="AB334" s="38" t="e">
        <f t="shared" si="208"/>
        <v>#VALUE!</v>
      </c>
      <c r="AC334" s="38" t="str">
        <f t="shared" si="209"/>
        <v/>
      </c>
      <c r="AD334" s="38" t="str">
        <f t="shared" si="209"/>
        <v/>
      </c>
      <c r="AE334" s="38" t="e">
        <f t="shared" si="210"/>
        <v>#VALUE!</v>
      </c>
      <c r="AF334" s="238" t="e">
        <f>((Summary!$N$12*(AA334*AD334)*(A334-$D$3))+(Summary!$M$12*Z334*AC334*(AJ334-EOMONTH(EDATE(A334,-1),0))))/(AK334*AB334*AE334)</f>
        <v>#VALUE!</v>
      </c>
      <c r="AG334" s="88" t="str">
        <f>IF($A335="","",Summary!$Q$12)</f>
        <v/>
      </c>
      <c r="AH334" s="88" t="str">
        <f>IF($A335="","",IF(Summary!$R$12="Y",(VLOOKUP($A334,Summary!$AD$6:$AF$9,3)+'Escalating commodity'!H347),'Escalating commodity'!H347))</f>
        <v/>
      </c>
      <c r="AI334" s="88" t="str">
        <f t="shared" si="224"/>
        <v/>
      </c>
      <c r="AJ334" s="236" t="e">
        <f t="shared" si="211"/>
        <v>#VALUE!</v>
      </c>
      <c r="AK334" s="58" t="str">
        <f t="shared" si="212"/>
        <v/>
      </c>
      <c r="AL334" s="26" t="str">
        <f>IF($A335="","",_xll.SPRDOPT(P334,X334,AI334,0,AB334,AE334,AF334,AK334,$AJ$2,0))</f>
        <v/>
      </c>
      <c r="AM334" s="89" t="str">
        <f t="shared" si="213"/>
        <v/>
      </c>
      <c r="AN334" s="89" t="str">
        <f t="shared" si="214"/>
        <v/>
      </c>
      <c r="AO334" s="3" t="str">
        <f t="shared" si="215"/>
        <v/>
      </c>
      <c r="AP334" s="33" t="str">
        <f t="shared" si="216"/>
        <v/>
      </c>
      <c r="AQ334" s="58" t="str">
        <f t="shared" si="217"/>
        <v/>
      </c>
      <c r="AR334" s="38">
        <f>'ANR OK vs ML7'!AR334</f>
        <v>0.1</v>
      </c>
      <c r="AS334" s="35" t="str">
        <f t="shared" si="218"/>
        <v/>
      </c>
      <c r="AT334" s="3" t="str">
        <f t="shared" si="219"/>
        <v/>
      </c>
      <c r="AU334" s="3" t="str">
        <f t="shared" si="220"/>
        <v/>
      </c>
      <c r="AW334" s="32" t="str">
        <f t="shared" si="221"/>
        <v/>
      </c>
      <c r="AX334" s="32" t="str">
        <f t="shared" si="221"/>
        <v/>
      </c>
      <c r="AY334" s="32" t="str">
        <f t="shared" si="222"/>
        <v/>
      </c>
      <c r="BA334" s="32" t="str">
        <f>IF($A335="","",F334*Summary!$Q$12)</f>
        <v/>
      </c>
    </row>
    <row r="335" spans="1:53" ht="12" customHeight="1">
      <c r="A335" s="67" t="str">
        <f t="shared" si="223"/>
        <v/>
      </c>
      <c r="B335" s="69" t="str">
        <f t="shared" si="225"/>
        <v/>
      </c>
      <c r="C335" s="71"/>
      <c r="D335" s="69" t="str">
        <f t="shared" si="189"/>
        <v/>
      </c>
      <c r="E335" s="70" t="str">
        <f t="shared" si="190"/>
        <v/>
      </c>
      <c r="F335" s="70" t="str">
        <f t="shared" si="191"/>
        <v/>
      </c>
      <c r="G335" s="63" t="str">
        <f t="shared" si="192"/>
        <v/>
      </c>
      <c r="H335" s="64" t="str">
        <f t="shared" si="193"/>
        <v/>
      </c>
      <c r="I335" s="43"/>
      <c r="J335" s="63" t="str">
        <f t="shared" si="194"/>
        <v/>
      </c>
      <c r="K335" s="64" t="str">
        <f t="shared" si="195"/>
        <v/>
      </c>
      <c r="L335" s="63" t="str">
        <f t="shared" si="196"/>
        <v/>
      </c>
      <c r="M335" s="64" t="str">
        <f t="shared" si="197"/>
        <v/>
      </c>
      <c r="N335" s="65"/>
      <c r="O335" s="63" t="str">
        <f t="shared" si="198"/>
        <v/>
      </c>
      <c r="P335" s="63" t="str">
        <f t="shared" si="199"/>
        <v/>
      </c>
      <c r="Q335" s="66"/>
      <c r="R335" s="63" t="str">
        <f t="shared" si="200"/>
        <v/>
      </c>
      <c r="S335" s="64" t="str">
        <f t="shared" si="201"/>
        <v/>
      </c>
      <c r="T335" s="63" t="str">
        <f t="shared" si="202"/>
        <v/>
      </c>
      <c r="U335" s="64" t="str">
        <f t="shared" si="203"/>
        <v/>
      </c>
      <c r="V335" s="90" t="str">
        <f>IF($A336="","",IF(AND(MONTH(A335)&gt;3,MONTH(A335)&lt;11),(T335+R335+G335)*(((1/(1-Summary!$T$12))/(1-Summary!$W$12))-1),(T335+R335+G335)*((1/(1-Summary!$U$12))/(1-Summary!$X$12)-1)))</f>
        <v/>
      </c>
      <c r="W335" s="63" t="str">
        <f t="shared" si="204"/>
        <v/>
      </c>
      <c r="X335" s="63" t="str">
        <f t="shared" si="205"/>
        <v/>
      </c>
      <c r="Y335" s="43"/>
      <c r="Z335" s="38" t="str">
        <f t="shared" si="206"/>
        <v/>
      </c>
      <c r="AA335" s="38" t="str">
        <f t="shared" si="207"/>
        <v/>
      </c>
      <c r="AB335" s="38" t="e">
        <f t="shared" si="208"/>
        <v>#VALUE!</v>
      </c>
      <c r="AC335" s="38" t="str">
        <f t="shared" si="209"/>
        <v/>
      </c>
      <c r="AD335" s="38" t="str">
        <f t="shared" si="209"/>
        <v/>
      </c>
      <c r="AE335" s="38" t="e">
        <f t="shared" si="210"/>
        <v>#VALUE!</v>
      </c>
      <c r="AF335" s="238" t="e">
        <f>((Summary!$N$12*(AA335*AD335)*(A335-$D$3))+(Summary!$M$12*Z335*AC335*(AJ335-EOMONTH(EDATE(A335,-1),0))))/(AK335*AB335*AE335)</f>
        <v>#VALUE!</v>
      </c>
      <c r="AG335" s="88" t="str">
        <f>IF($A336="","",Summary!$Q$12)</f>
        <v/>
      </c>
      <c r="AH335" s="88" t="str">
        <f>IF($A336="","",IF(Summary!$R$12="Y",(VLOOKUP($A335,Summary!$AD$6:$AF$9,3)+'Escalating commodity'!H348),'Escalating commodity'!H348))</f>
        <v/>
      </c>
      <c r="AI335" s="88" t="str">
        <f t="shared" si="224"/>
        <v/>
      </c>
      <c r="AJ335" s="236" t="e">
        <f t="shared" si="211"/>
        <v>#VALUE!</v>
      </c>
      <c r="AK335" s="58" t="str">
        <f t="shared" si="212"/>
        <v/>
      </c>
      <c r="AL335" s="26" t="str">
        <f>IF($A336="","",_xll.SPRDOPT(P335,X335,AI335,0,AB335,AE335,AF335,AK335,$AJ$2,0))</f>
        <v/>
      </c>
      <c r="AM335" s="89" t="str">
        <f t="shared" si="213"/>
        <v/>
      </c>
      <c r="AN335" s="89" t="str">
        <f t="shared" si="214"/>
        <v/>
      </c>
      <c r="AO335" s="3" t="str">
        <f t="shared" si="215"/>
        <v/>
      </c>
      <c r="AP335" s="33" t="str">
        <f t="shared" si="216"/>
        <v/>
      </c>
      <c r="AQ335" s="58" t="str">
        <f t="shared" si="217"/>
        <v/>
      </c>
      <c r="AR335" s="38">
        <f>'ANR OK vs ML7'!AR335</f>
        <v>0.1</v>
      </c>
      <c r="AS335" s="35" t="str">
        <f t="shared" si="218"/>
        <v/>
      </c>
      <c r="AT335" s="3" t="str">
        <f t="shared" si="219"/>
        <v/>
      </c>
      <c r="AU335" s="3" t="str">
        <f t="shared" si="220"/>
        <v/>
      </c>
      <c r="AW335" s="32" t="str">
        <f t="shared" si="221"/>
        <v/>
      </c>
      <c r="AX335" s="32" t="str">
        <f t="shared" si="221"/>
        <v/>
      </c>
      <c r="AY335" s="32" t="str">
        <f t="shared" si="222"/>
        <v/>
      </c>
      <c r="BA335" s="32" t="str">
        <f>IF($A336="","",F335*Summary!$Q$12)</f>
        <v/>
      </c>
    </row>
    <row r="336" spans="1:53" ht="12" customHeight="1">
      <c r="A336" s="67" t="str">
        <f t="shared" si="223"/>
        <v/>
      </c>
      <c r="B336" s="69" t="str">
        <f t="shared" si="225"/>
        <v/>
      </c>
      <c r="C336" s="71"/>
      <c r="D336" s="69" t="str">
        <f t="shared" si="189"/>
        <v/>
      </c>
      <c r="E336" s="70" t="str">
        <f t="shared" si="190"/>
        <v/>
      </c>
      <c r="F336" s="70" t="str">
        <f t="shared" si="191"/>
        <v/>
      </c>
      <c r="G336" s="63" t="str">
        <f t="shared" si="192"/>
        <v/>
      </c>
      <c r="H336" s="64" t="str">
        <f t="shared" si="193"/>
        <v/>
      </c>
      <c r="I336" s="43"/>
      <c r="J336" s="63" t="str">
        <f t="shared" si="194"/>
        <v/>
      </c>
      <c r="K336" s="64" t="str">
        <f t="shared" si="195"/>
        <v/>
      </c>
      <c r="L336" s="63" t="str">
        <f t="shared" si="196"/>
        <v/>
      </c>
      <c r="M336" s="64" t="str">
        <f t="shared" si="197"/>
        <v/>
      </c>
      <c r="N336" s="65"/>
      <c r="O336" s="63" t="str">
        <f t="shared" si="198"/>
        <v/>
      </c>
      <c r="P336" s="63" t="str">
        <f t="shared" si="199"/>
        <v/>
      </c>
      <c r="Q336" s="66"/>
      <c r="R336" s="63" t="str">
        <f t="shared" si="200"/>
        <v/>
      </c>
      <c r="S336" s="64" t="str">
        <f t="shared" si="201"/>
        <v/>
      </c>
      <c r="T336" s="63" t="str">
        <f t="shared" si="202"/>
        <v/>
      </c>
      <c r="U336" s="64" t="str">
        <f t="shared" si="203"/>
        <v/>
      </c>
      <c r="V336" s="90" t="str">
        <f>IF($A337="","",IF(AND(MONTH(A336)&gt;3,MONTH(A336)&lt;11),(T336+R336+G336)*(((1/(1-Summary!$T$12))/(1-Summary!$W$12))-1),(T336+R336+G336)*((1/(1-Summary!$U$12))/(1-Summary!$X$12)-1)))</f>
        <v/>
      </c>
      <c r="W336" s="63" t="str">
        <f t="shared" si="204"/>
        <v/>
      </c>
      <c r="X336" s="63" t="str">
        <f t="shared" si="205"/>
        <v/>
      </c>
      <c r="Y336" s="43"/>
      <c r="Z336" s="38" t="str">
        <f t="shared" si="206"/>
        <v/>
      </c>
      <c r="AA336" s="38" t="str">
        <f t="shared" si="207"/>
        <v/>
      </c>
      <c r="AB336" s="38" t="e">
        <f t="shared" si="208"/>
        <v>#VALUE!</v>
      </c>
      <c r="AC336" s="38" t="str">
        <f t="shared" si="209"/>
        <v/>
      </c>
      <c r="AD336" s="38" t="str">
        <f t="shared" si="209"/>
        <v/>
      </c>
      <c r="AE336" s="38" t="e">
        <f t="shared" si="210"/>
        <v>#VALUE!</v>
      </c>
      <c r="AF336" s="238" t="e">
        <f>((Summary!$N$12*(AA336*AD336)*(A336-$D$3))+(Summary!$M$12*Z336*AC336*(AJ336-EOMONTH(EDATE(A336,-1),0))))/(AK336*AB336*AE336)</f>
        <v>#VALUE!</v>
      </c>
      <c r="AG336" s="88" t="str">
        <f>IF($A337="","",Summary!$Q$12)</f>
        <v/>
      </c>
      <c r="AH336" s="88" t="str">
        <f>IF($A337="","",IF(Summary!$R$12="Y",(VLOOKUP($A336,Summary!$AD$6:$AF$9,3)+'Escalating commodity'!H349),'Escalating commodity'!H349))</f>
        <v/>
      </c>
      <c r="AI336" s="88" t="str">
        <f t="shared" si="224"/>
        <v/>
      </c>
      <c r="AJ336" s="236" t="e">
        <f t="shared" si="211"/>
        <v>#VALUE!</v>
      </c>
      <c r="AK336" s="58" t="str">
        <f t="shared" si="212"/>
        <v/>
      </c>
      <c r="AL336" s="26" t="str">
        <f>IF($A337="","",_xll.SPRDOPT(P336,X336,AI336,0,AB336,AE336,AF336,AK336,$AJ$2,0))</f>
        <v/>
      </c>
      <c r="AM336" s="89" t="str">
        <f t="shared" si="213"/>
        <v/>
      </c>
      <c r="AN336" s="89" t="str">
        <f t="shared" si="214"/>
        <v/>
      </c>
      <c r="AO336" s="3" t="str">
        <f t="shared" si="215"/>
        <v/>
      </c>
      <c r="AP336" s="33" t="str">
        <f t="shared" si="216"/>
        <v/>
      </c>
      <c r="AQ336" s="58" t="str">
        <f t="shared" si="217"/>
        <v/>
      </c>
      <c r="AR336" s="38">
        <f>'ANR OK vs ML7'!AR336</f>
        <v>0.1</v>
      </c>
      <c r="AS336" s="35" t="str">
        <f t="shared" si="218"/>
        <v/>
      </c>
      <c r="AT336" s="3" t="str">
        <f t="shared" si="219"/>
        <v/>
      </c>
      <c r="AU336" s="3" t="str">
        <f t="shared" si="220"/>
        <v/>
      </c>
      <c r="AW336" s="32" t="str">
        <f t="shared" si="221"/>
        <v/>
      </c>
      <c r="AX336" s="32" t="str">
        <f t="shared" si="221"/>
        <v/>
      </c>
      <c r="AY336" s="32" t="str">
        <f t="shared" si="222"/>
        <v/>
      </c>
      <c r="BA336" s="32" t="str">
        <f>IF($A337="","",F336*Summary!$Q$12)</f>
        <v/>
      </c>
    </row>
    <row r="337" spans="1:53" ht="12" customHeight="1">
      <c r="A337" s="67" t="str">
        <f t="shared" si="223"/>
        <v/>
      </c>
      <c r="B337" s="69" t="str">
        <f t="shared" si="225"/>
        <v/>
      </c>
      <c r="C337" s="71"/>
      <c r="D337" s="69" t="str">
        <f t="shared" si="189"/>
        <v/>
      </c>
      <c r="E337" s="70" t="str">
        <f t="shared" si="190"/>
        <v/>
      </c>
      <c r="F337" s="70" t="str">
        <f t="shared" si="191"/>
        <v/>
      </c>
      <c r="G337" s="63" t="str">
        <f t="shared" si="192"/>
        <v/>
      </c>
      <c r="H337" s="64" t="str">
        <f t="shared" si="193"/>
        <v/>
      </c>
      <c r="I337" s="43"/>
      <c r="J337" s="63" t="str">
        <f t="shared" si="194"/>
        <v/>
      </c>
      <c r="K337" s="64" t="str">
        <f t="shared" si="195"/>
        <v/>
      </c>
      <c r="L337" s="63" t="str">
        <f t="shared" si="196"/>
        <v/>
      </c>
      <c r="M337" s="64" t="str">
        <f t="shared" si="197"/>
        <v/>
      </c>
      <c r="N337" s="65"/>
      <c r="O337" s="63" t="str">
        <f t="shared" si="198"/>
        <v/>
      </c>
      <c r="P337" s="63" t="str">
        <f t="shared" si="199"/>
        <v/>
      </c>
      <c r="Q337" s="66"/>
      <c r="R337" s="63" t="str">
        <f t="shared" si="200"/>
        <v/>
      </c>
      <c r="S337" s="64" t="str">
        <f t="shared" si="201"/>
        <v/>
      </c>
      <c r="T337" s="63" t="str">
        <f t="shared" si="202"/>
        <v/>
      </c>
      <c r="U337" s="64" t="str">
        <f t="shared" si="203"/>
        <v/>
      </c>
      <c r="V337" s="90" t="str">
        <f>IF($A338="","",IF(AND(MONTH(A337)&gt;3,MONTH(A337)&lt;11),(T337+R337+G337)*(((1/(1-Summary!$T$12))/(1-Summary!$W$12))-1),(T337+R337+G337)*((1/(1-Summary!$U$12))/(1-Summary!$X$12)-1)))</f>
        <v/>
      </c>
      <c r="W337" s="63" t="str">
        <f t="shared" si="204"/>
        <v/>
      </c>
      <c r="X337" s="63" t="str">
        <f t="shared" si="205"/>
        <v/>
      </c>
      <c r="Y337" s="43"/>
      <c r="Z337" s="38" t="str">
        <f t="shared" si="206"/>
        <v/>
      </c>
      <c r="AA337" s="38" t="str">
        <f t="shared" si="207"/>
        <v/>
      </c>
      <c r="AB337" s="38" t="e">
        <f t="shared" si="208"/>
        <v>#VALUE!</v>
      </c>
      <c r="AC337" s="38" t="str">
        <f t="shared" si="209"/>
        <v/>
      </c>
      <c r="AD337" s="38" t="str">
        <f t="shared" si="209"/>
        <v/>
      </c>
      <c r="AE337" s="38" t="e">
        <f t="shared" si="210"/>
        <v>#VALUE!</v>
      </c>
      <c r="AF337" s="238" t="e">
        <f>((Summary!$N$12*(AA337*AD337)*(A337-$D$3))+(Summary!$M$12*Z337*AC337*(AJ337-EOMONTH(EDATE(A337,-1),0))))/(AK337*AB337*AE337)</f>
        <v>#VALUE!</v>
      </c>
      <c r="AG337" s="88" t="str">
        <f>IF($A338="","",Summary!$Q$12)</f>
        <v/>
      </c>
      <c r="AH337" s="88" t="str">
        <f>IF($A338="","",IF(Summary!$R$12="Y",(VLOOKUP($A337,Summary!$AD$6:$AF$9,3)+'Escalating commodity'!H350),'Escalating commodity'!H350))</f>
        <v/>
      </c>
      <c r="AI337" s="88" t="str">
        <f t="shared" si="224"/>
        <v/>
      </c>
      <c r="AJ337" s="236" t="e">
        <f t="shared" si="211"/>
        <v>#VALUE!</v>
      </c>
      <c r="AK337" s="58" t="str">
        <f t="shared" si="212"/>
        <v/>
      </c>
      <c r="AL337" s="26" t="str">
        <f>IF($A338="","",_xll.SPRDOPT(P337,X337,AI337,0,AB337,AE337,AF337,AK337,$AJ$2,0))</f>
        <v/>
      </c>
      <c r="AM337" s="89" t="str">
        <f t="shared" si="213"/>
        <v/>
      </c>
      <c r="AN337" s="89" t="str">
        <f t="shared" si="214"/>
        <v/>
      </c>
      <c r="AO337" s="3" t="str">
        <f t="shared" si="215"/>
        <v/>
      </c>
      <c r="AP337" s="33" t="str">
        <f t="shared" si="216"/>
        <v/>
      </c>
      <c r="AQ337" s="58" t="str">
        <f t="shared" si="217"/>
        <v/>
      </c>
      <c r="AR337" s="38">
        <f>'ANR OK vs ML7'!AR337</f>
        <v>0.1</v>
      </c>
      <c r="AS337" s="35" t="str">
        <f t="shared" si="218"/>
        <v/>
      </c>
      <c r="AT337" s="3" t="str">
        <f t="shared" si="219"/>
        <v/>
      </c>
      <c r="AU337" s="3" t="str">
        <f t="shared" si="220"/>
        <v/>
      </c>
      <c r="AW337" s="32" t="str">
        <f t="shared" si="221"/>
        <v/>
      </c>
      <c r="AX337" s="32" t="str">
        <f t="shared" si="221"/>
        <v/>
      </c>
      <c r="AY337" s="32" t="str">
        <f t="shared" si="222"/>
        <v/>
      </c>
      <c r="BA337" s="32" t="str">
        <f>IF($A338="","",F337*Summary!$Q$12)</f>
        <v/>
      </c>
    </row>
    <row r="338" spans="1:53" ht="12" customHeight="1">
      <c r="A338" s="67" t="str">
        <f t="shared" si="223"/>
        <v/>
      </c>
      <c r="B338" s="69" t="str">
        <f t="shared" si="225"/>
        <v/>
      </c>
      <c r="C338" s="71"/>
      <c r="D338" s="69" t="str">
        <f t="shared" si="189"/>
        <v/>
      </c>
      <c r="E338" s="70" t="str">
        <f t="shared" si="190"/>
        <v/>
      </c>
      <c r="F338" s="70" t="str">
        <f t="shared" si="191"/>
        <v/>
      </c>
      <c r="G338" s="63" t="str">
        <f t="shared" si="192"/>
        <v/>
      </c>
      <c r="H338" s="64" t="str">
        <f t="shared" si="193"/>
        <v/>
      </c>
      <c r="I338" s="43"/>
      <c r="J338" s="63" t="str">
        <f t="shared" si="194"/>
        <v/>
      </c>
      <c r="K338" s="64" t="str">
        <f t="shared" si="195"/>
        <v/>
      </c>
      <c r="L338" s="63" t="str">
        <f t="shared" si="196"/>
        <v/>
      </c>
      <c r="M338" s="64" t="str">
        <f t="shared" si="197"/>
        <v/>
      </c>
      <c r="N338" s="65"/>
      <c r="O338" s="63" t="str">
        <f t="shared" si="198"/>
        <v/>
      </c>
      <c r="P338" s="63" t="str">
        <f t="shared" si="199"/>
        <v/>
      </c>
      <c r="Q338" s="66"/>
      <c r="R338" s="63" t="str">
        <f t="shared" si="200"/>
        <v/>
      </c>
      <c r="S338" s="64" t="str">
        <f t="shared" si="201"/>
        <v/>
      </c>
      <c r="T338" s="63" t="str">
        <f t="shared" si="202"/>
        <v/>
      </c>
      <c r="U338" s="64" t="str">
        <f t="shared" si="203"/>
        <v/>
      </c>
      <c r="V338" s="90" t="str">
        <f>IF($A339="","",IF(AND(MONTH(A338)&gt;3,MONTH(A338)&lt;11),(T338+R338+G338)*(((1/(1-Summary!$T$12))/(1-Summary!$W$12))-1),(T338+R338+G338)*((1/(1-Summary!$U$12))/(1-Summary!$X$12)-1)))</f>
        <v/>
      </c>
      <c r="W338" s="63" t="str">
        <f t="shared" si="204"/>
        <v/>
      </c>
      <c r="X338" s="63" t="str">
        <f t="shared" si="205"/>
        <v/>
      </c>
      <c r="Y338" s="43"/>
      <c r="Z338" s="38" t="str">
        <f t="shared" si="206"/>
        <v/>
      </c>
      <c r="AA338" s="38" t="str">
        <f t="shared" si="207"/>
        <v/>
      </c>
      <c r="AB338" s="38" t="e">
        <f t="shared" si="208"/>
        <v>#VALUE!</v>
      </c>
      <c r="AC338" s="38" t="str">
        <f t="shared" si="209"/>
        <v/>
      </c>
      <c r="AD338" s="38" t="str">
        <f t="shared" si="209"/>
        <v/>
      </c>
      <c r="AE338" s="38" t="e">
        <f t="shared" si="210"/>
        <v>#VALUE!</v>
      </c>
      <c r="AF338" s="238" t="e">
        <f>((Summary!$N$12*(AA338*AD338)*(A338-$D$3))+(Summary!$M$12*Z338*AC338*(AJ338-EOMONTH(EDATE(A338,-1),0))))/(AK338*AB338*AE338)</f>
        <v>#VALUE!</v>
      </c>
      <c r="AG338" s="88" t="str">
        <f>IF($A339="","",Summary!$Q$12)</f>
        <v/>
      </c>
      <c r="AH338" s="88" t="str">
        <f>IF($A339="","",IF(Summary!$R$12="Y",(VLOOKUP($A338,Summary!$AD$6:$AF$9,3)+'Escalating commodity'!H351),'Escalating commodity'!H351))</f>
        <v/>
      </c>
      <c r="AI338" s="88" t="str">
        <f t="shared" si="224"/>
        <v/>
      </c>
      <c r="AJ338" s="236" t="e">
        <f t="shared" si="211"/>
        <v>#VALUE!</v>
      </c>
      <c r="AK338" s="58" t="str">
        <f t="shared" si="212"/>
        <v/>
      </c>
      <c r="AL338" s="26" t="str">
        <f>IF($A339="","",_xll.SPRDOPT(P338,X338,AI338,0,AB338,AE338,AF338,AK338,$AJ$2,0))</f>
        <v/>
      </c>
      <c r="AM338" s="89" t="str">
        <f t="shared" si="213"/>
        <v/>
      </c>
      <c r="AN338" s="89" t="str">
        <f t="shared" si="214"/>
        <v/>
      </c>
      <c r="AO338" s="3" t="str">
        <f t="shared" si="215"/>
        <v/>
      </c>
      <c r="AP338" s="33" t="str">
        <f t="shared" si="216"/>
        <v/>
      </c>
      <c r="AQ338" s="58" t="str">
        <f t="shared" si="217"/>
        <v/>
      </c>
      <c r="AR338" s="38">
        <f>'ANR OK vs ML7'!AR338</f>
        <v>0.1</v>
      </c>
      <c r="AS338" s="35" t="str">
        <f t="shared" si="218"/>
        <v/>
      </c>
      <c r="AT338" s="3" t="str">
        <f t="shared" si="219"/>
        <v/>
      </c>
      <c r="AU338" s="3" t="str">
        <f t="shared" si="220"/>
        <v/>
      </c>
      <c r="AW338" s="32" t="str">
        <f t="shared" si="221"/>
        <v/>
      </c>
      <c r="AX338" s="32" t="str">
        <f t="shared" si="221"/>
        <v/>
      </c>
      <c r="AY338" s="32" t="str">
        <f t="shared" si="222"/>
        <v/>
      </c>
      <c r="BA338" s="32" t="str">
        <f>IF($A339="","",F338*Summary!$Q$12)</f>
        <v/>
      </c>
    </row>
    <row r="339" spans="1:53" ht="12" customHeight="1">
      <c r="A339" s="67" t="str">
        <f t="shared" si="223"/>
        <v/>
      </c>
      <c r="B339" s="69" t="str">
        <f t="shared" si="225"/>
        <v/>
      </c>
      <c r="C339" s="71"/>
      <c r="D339" s="69" t="str">
        <f t="shared" si="189"/>
        <v/>
      </c>
      <c r="E339" s="70" t="str">
        <f t="shared" si="190"/>
        <v/>
      </c>
      <c r="F339" s="70" t="str">
        <f t="shared" si="191"/>
        <v/>
      </c>
      <c r="G339" s="63" t="str">
        <f t="shared" si="192"/>
        <v/>
      </c>
      <c r="H339" s="64" t="str">
        <f t="shared" si="193"/>
        <v/>
      </c>
      <c r="I339" s="43"/>
      <c r="J339" s="63" t="str">
        <f t="shared" si="194"/>
        <v/>
      </c>
      <c r="K339" s="64" t="str">
        <f t="shared" si="195"/>
        <v/>
      </c>
      <c r="L339" s="63" t="str">
        <f t="shared" si="196"/>
        <v/>
      </c>
      <c r="M339" s="64" t="str">
        <f t="shared" si="197"/>
        <v/>
      </c>
      <c r="N339" s="65"/>
      <c r="O339" s="63" t="str">
        <f t="shared" si="198"/>
        <v/>
      </c>
      <c r="P339" s="63" t="str">
        <f t="shared" si="199"/>
        <v/>
      </c>
      <c r="Q339" s="66"/>
      <c r="R339" s="63" t="str">
        <f t="shared" si="200"/>
        <v/>
      </c>
      <c r="S339" s="64" t="str">
        <f t="shared" si="201"/>
        <v/>
      </c>
      <c r="T339" s="63" t="str">
        <f t="shared" si="202"/>
        <v/>
      </c>
      <c r="U339" s="64" t="str">
        <f t="shared" si="203"/>
        <v/>
      </c>
      <c r="V339" s="90" t="str">
        <f>IF($A340="","",IF(AND(MONTH(A339)&gt;3,MONTH(A339)&lt;11),(T339+R339+G339)*(((1/(1-Summary!$T$12))/(1-Summary!$W$12))-1),(T339+R339+G339)*((1/(1-Summary!$U$12))/(1-Summary!$X$12)-1)))</f>
        <v/>
      </c>
      <c r="W339" s="63" t="str">
        <f t="shared" si="204"/>
        <v/>
      </c>
      <c r="X339" s="63" t="str">
        <f t="shared" si="205"/>
        <v/>
      </c>
      <c r="Y339" s="43"/>
      <c r="Z339" s="38" t="str">
        <f t="shared" si="206"/>
        <v/>
      </c>
      <c r="AA339" s="38" t="str">
        <f t="shared" si="207"/>
        <v/>
      </c>
      <c r="AB339" s="38" t="e">
        <f t="shared" si="208"/>
        <v>#VALUE!</v>
      </c>
      <c r="AC339" s="38" t="str">
        <f t="shared" si="209"/>
        <v/>
      </c>
      <c r="AD339" s="38" t="str">
        <f t="shared" si="209"/>
        <v/>
      </c>
      <c r="AE339" s="38" t="e">
        <f t="shared" si="210"/>
        <v>#VALUE!</v>
      </c>
      <c r="AF339" s="238" t="e">
        <f>((Summary!$N$12*(AA339*AD339)*(A339-$D$3))+(Summary!$M$12*Z339*AC339*(AJ339-EOMONTH(EDATE(A339,-1),0))))/(AK339*AB339*AE339)</f>
        <v>#VALUE!</v>
      </c>
      <c r="AG339" s="88" t="str">
        <f>IF($A340="","",Summary!$Q$12)</f>
        <v/>
      </c>
      <c r="AH339" s="88" t="str">
        <f>IF($A340="","",IF(Summary!$R$12="Y",(VLOOKUP($A339,Summary!$AD$6:$AF$9,3)+'Escalating commodity'!H352),'Escalating commodity'!H352))</f>
        <v/>
      </c>
      <c r="AI339" s="88" t="str">
        <f t="shared" si="224"/>
        <v/>
      </c>
      <c r="AJ339" s="236" t="e">
        <f t="shared" si="211"/>
        <v>#VALUE!</v>
      </c>
      <c r="AK339" s="58" t="str">
        <f t="shared" si="212"/>
        <v/>
      </c>
      <c r="AL339" s="26" t="str">
        <f>IF($A340="","",_xll.SPRDOPT(P339,X339,AI339,0,AB339,AE339,AF339,AK339,$AJ$2,0))</f>
        <v/>
      </c>
      <c r="AM339" s="89" t="str">
        <f t="shared" si="213"/>
        <v/>
      </c>
      <c r="AN339" s="89" t="str">
        <f t="shared" si="214"/>
        <v/>
      </c>
      <c r="AO339" s="3" t="str">
        <f t="shared" si="215"/>
        <v/>
      </c>
      <c r="AP339" s="33" t="str">
        <f t="shared" si="216"/>
        <v/>
      </c>
      <c r="AQ339" s="58" t="str">
        <f t="shared" si="217"/>
        <v/>
      </c>
      <c r="AR339" s="38">
        <f>'ANR OK vs ML7'!AR339</f>
        <v>0.1</v>
      </c>
      <c r="AS339" s="35" t="str">
        <f t="shared" si="218"/>
        <v/>
      </c>
      <c r="AT339" s="3" t="str">
        <f t="shared" si="219"/>
        <v/>
      </c>
      <c r="AU339" s="3" t="str">
        <f t="shared" si="220"/>
        <v/>
      </c>
      <c r="AW339" s="32" t="str">
        <f t="shared" si="221"/>
        <v/>
      </c>
      <c r="AX339" s="32" t="str">
        <f t="shared" si="221"/>
        <v/>
      </c>
      <c r="AY339" s="32" t="str">
        <f t="shared" si="222"/>
        <v/>
      </c>
      <c r="BA339" s="32" t="str">
        <f>IF($A340="","",F339*Summary!$Q$12)</f>
        <v/>
      </c>
    </row>
    <row r="340" spans="1:53" ht="12" customHeight="1">
      <c r="A340" s="67" t="str">
        <f t="shared" si="223"/>
        <v/>
      </c>
      <c r="B340" s="69" t="str">
        <f t="shared" si="225"/>
        <v/>
      </c>
      <c r="C340" s="71"/>
      <c r="D340" s="69" t="str">
        <f t="shared" si="189"/>
        <v/>
      </c>
      <c r="E340" s="70" t="str">
        <f t="shared" si="190"/>
        <v/>
      </c>
      <c r="F340" s="70" t="str">
        <f t="shared" si="191"/>
        <v/>
      </c>
      <c r="G340" s="63" t="str">
        <f t="shared" si="192"/>
        <v/>
      </c>
      <c r="H340" s="64" t="str">
        <f t="shared" si="193"/>
        <v/>
      </c>
      <c r="I340" s="43"/>
      <c r="J340" s="63" t="str">
        <f t="shared" si="194"/>
        <v/>
      </c>
      <c r="K340" s="64" t="str">
        <f t="shared" si="195"/>
        <v/>
      </c>
      <c r="L340" s="63" t="str">
        <f t="shared" si="196"/>
        <v/>
      </c>
      <c r="M340" s="64" t="str">
        <f t="shared" si="197"/>
        <v/>
      </c>
      <c r="N340" s="65"/>
      <c r="O340" s="63" t="str">
        <f t="shared" si="198"/>
        <v/>
      </c>
      <c r="P340" s="63" t="str">
        <f t="shared" si="199"/>
        <v/>
      </c>
      <c r="Q340" s="66"/>
      <c r="R340" s="63" t="str">
        <f t="shared" si="200"/>
        <v/>
      </c>
      <c r="S340" s="64" t="str">
        <f t="shared" si="201"/>
        <v/>
      </c>
      <c r="T340" s="63" t="str">
        <f t="shared" si="202"/>
        <v/>
      </c>
      <c r="U340" s="64" t="str">
        <f t="shared" si="203"/>
        <v/>
      </c>
      <c r="V340" s="90" t="str">
        <f>IF($A341="","",IF(AND(MONTH(A340)&gt;3,MONTH(A340)&lt;11),(T340+R340+G340)*(((1/(1-Summary!$T$12))/(1-Summary!$W$12))-1),(T340+R340+G340)*((1/(1-Summary!$U$12))/(1-Summary!$X$12)-1)))</f>
        <v/>
      </c>
      <c r="W340" s="63" t="str">
        <f t="shared" si="204"/>
        <v/>
      </c>
      <c r="X340" s="63" t="str">
        <f t="shared" si="205"/>
        <v/>
      </c>
      <c r="Y340" s="43"/>
      <c r="Z340" s="38" t="str">
        <f t="shared" si="206"/>
        <v/>
      </c>
      <c r="AA340" s="38" t="str">
        <f t="shared" si="207"/>
        <v/>
      </c>
      <c r="AB340" s="38" t="e">
        <f t="shared" si="208"/>
        <v>#VALUE!</v>
      </c>
      <c r="AC340" s="38" t="str">
        <f t="shared" si="209"/>
        <v/>
      </c>
      <c r="AD340" s="38" t="str">
        <f t="shared" si="209"/>
        <v/>
      </c>
      <c r="AE340" s="38" t="e">
        <f t="shared" si="210"/>
        <v>#VALUE!</v>
      </c>
      <c r="AF340" s="238" t="e">
        <f>((Summary!$N$12*(AA340*AD340)*(A340-$D$3))+(Summary!$M$12*Z340*AC340*(AJ340-EOMONTH(EDATE(A340,-1),0))))/(AK340*AB340*AE340)</f>
        <v>#VALUE!</v>
      </c>
      <c r="AG340" s="88" t="str">
        <f>IF($A341="","",Summary!$Q$12)</f>
        <v/>
      </c>
      <c r="AH340" s="88" t="str">
        <f>IF($A341="","",IF(Summary!$R$12="Y",(VLOOKUP($A340,Summary!$AD$6:$AF$9,3)+'Escalating commodity'!H353),'Escalating commodity'!H353))</f>
        <v/>
      </c>
      <c r="AI340" s="88" t="str">
        <f t="shared" si="224"/>
        <v/>
      </c>
      <c r="AJ340" s="236" t="e">
        <f t="shared" si="211"/>
        <v>#VALUE!</v>
      </c>
      <c r="AK340" s="58" t="str">
        <f t="shared" si="212"/>
        <v/>
      </c>
      <c r="AL340" s="26" t="str">
        <f>IF($A341="","",_xll.SPRDOPT(P340,X340,AI340,0,AB340,AE340,AF340,AK340,$AJ$2,0))</f>
        <v/>
      </c>
      <c r="AM340" s="89" t="str">
        <f t="shared" si="213"/>
        <v/>
      </c>
      <c r="AN340" s="89" t="str">
        <f t="shared" si="214"/>
        <v/>
      </c>
      <c r="AO340" s="3" t="str">
        <f t="shared" si="215"/>
        <v/>
      </c>
      <c r="AP340" s="33" t="str">
        <f t="shared" si="216"/>
        <v/>
      </c>
      <c r="AQ340" s="58" t="str">
        <f t="shared" si="217"/>
        <v/>
      </c>
      <c r="AR340" s="38">
        <f>'ANR OK vs ML7'!AR340</f>
        <v>0.1</v>
      </c>
      <c r="AS340" s="35" t="str">
        <f t="shared" si="218"/>
        <v/>
      </c>
      <c r="AT340" s="3" t="str">
        <f t="shared" si="219"/>
        <v/>
      </c>
      <c r="AU340" s="3" t="str">
        <f t="shared" si="220"/>
        <v/>
      </c>
      <c r="AW340" s="32" t="str">
        <f t="shared" si="221"/>
        <v/>
      </c>
      <c r="AX340" s="32" t="str">
        <f t="shared" si="221"/>
        <v/>
      </c>
      <c r="AY340" s="32" t="str">
        <f t="shared" si="222"/>
        <v/>
      </c>
      <c r="BA340" s="32" t="str">
        <f>IF($A341="","",F340*Summary!$Q$12)</f>
        <v/>
      </c>
    </row>
    <row r="341" spans="1:53" ht="12" customHeight="1">
      <c r="A341" s="67" t="str">
        <f t="shared" si="223"/>
        <v/>
      </c>
      <c r="B341" s="69" t="str">
        <f t="shared" si="225"/>
        <v/>
      </c>
      <c r="C341" s="71"/>
      <c r="D341" s="69" t="str">
        <f t="shared" si="189"/>
        <v/>
      </c>
      <c r="E341" s="70" t="str">
        <f t="shared" si="190"/>
        <v/>
      </c>
      <c r="F341" s="70" t="str">
        <f t="shared" si="191"/>
        <v/>
      </c>
      <c r="G341" s="63" t="str">
        <f t="shared" si="192"/>
        <v/>
      </c>
      <c r="H341" s="64" t="str">
        <f t="shared" si="193"/>
        <v/>
      </c>
      <c r="I341" s="43"/>
      <c r="J341" s="63" t="str">
        <f t="shared" si="194"/>
        <v/>
      </c>
      <c r="K341" s="64" t="str">
        <f t="shared" si="195"/>
        <v/>
      </c>
      <c r="L341" s="63" t="str">
        <f t="shared" si="196"/>
        <v/>
      </c>
      <c r="M341" s="64" t="str">
        <f t="shared" si="197"/>
        <v/>
      </c>
      <c r="N341" s="65"/>
      <c r="O341" s="63" t="str">
        <f t="shared" si="198"/>
        <v/>
      </c>
      <c r="P341" s="63" t="str">
        <f t="shared" si="199"/>
        <v/>
      </c>
      <c r="Q341" s="66"/>
      <c r="R341" s="63" t="str">
        <f t="shared" si="200"/>
        <v/>
      </c>
      <c r="S341" s="64" t="str">
        <f t="shared" si="201"/>
        <v/>
      </c>
      <c r="T341" s="63" t="str">
        <f t="shared" si="202"/>
        <v/>
      </c>
      <c r="U341" s="64" t="str">
        <f t="shared" si="203"/>
        <v/>
      </c>
      <c r="V341" s="90" t="str">
        <f>IF($A342="","",IF(AND(MONTH(A341)&gt;3,MONTH(A341)&lt;11),(T341+R341+G341)*(((1/(1-Summary!$T$12))/(1-Summary!$W$12))-1),(T341+R341+G341)*((1/(1-Summary!$U$12))/(1-Summary!$X$12)-1)))</f>
        <v/>
      </c>
      <c r="W341" s="63" t="str">
        <f t="shared" si="204"/>
        <v/>
      </c>
      <c r="X341" s="63" t="str">
        <f t="shared" si="205"/>
        <v/>
      </c>
      <c r="Y341" s="43"/>
      <c r="Z341" s="38" t="str">
        <f t="shared" si="206"/>
        <v/>
      </c>
      <c r="AA341" s="38" t="str">
        <f t="shared" si="207"/>
        <v/>
      </c>
      <c r="AB341" s="38" t="e">
        <f t="shared" si="208"/>
        <v>#VALUE!</v>
      </c>
      <c r="AC341" s="38" t="str">
        <f t="shared" si="209"/>
        <v/>
      </c>
      <c r="AD341" s="38" t="str">
        <f t="shared" si="209"/>
        <v/>
      </c>
      <c r="AE341" s="38" t="e">
        <f t="shared" si="210"/>
        <v>#VALUE!</v>
      </c>
      <c r="AF341" s="238" t="e">
        <f>((Summary!$N$12*(AA341*AD341)*(A341-$D$3))+(Summary!$M$12*Z341*AC341*(AJ341-EOMONTH(EDATE(A341,-1),0))))/(AK341*AB341*AE341)</f>
        <v>#VALUE!</v>
      </c>
      <c r="AG341" s="88" t="str">
        <f>IF($A342="","",Summary!$Q$12)</f>
        <v/>
      </c>
      <c r="AH341" s="88" t="str">
        <f>IF($A342="","",IF(Summary!$R$12="Y",(VLOOKUP($A341,Summary!$AD$6:$AF$9,3)+'Escalating commodity'!H354),'Escalating commodity'!H354))</f>
        <v/>
      </c>
      <c r="AI341" s="88" t="str">
        <f t="shared" si="224"/>
        <v/>
      </c>
      <c r="AJ341" s="236" t="e">
        <f t="shared" si="211"/>
        <v>#VALUE!</v>
      </c>
      <c r="AK341" s="58" t="str">
        <f t="shared" si="212"/>
        <v/>
      </c>
      <c r="AL341" s="26" t="str">
        <f>IF($A342="","",_xll.SPRDOPT(P341,X341,AI341,0,AB341,AE341,AF341,AK341,$AJ$2,0))</f>
        <v/>
      </c>
      <c r="AM341" s="89" t="str">
        <f t="shared" si="213"/>
        <v/>
      </c>
      <c r="AN341" s="89" t="str">
        <f t="shared" si="214"/>
        <v/>
      </c>
      <c r="AO341" s="3" t="str">
        <f t="shared" si="215"/>
        <v/>
      </c>
      <c r="AP341" s="33" t="str">
        <f t="shared" si="216"/>
        <v/>
      </c>
      <c r="AQ341" s="58" t="str">
        <f t="shared" si="217"/>
        <v/>
      </c>
      <c r="AR341" s="38">
        <f>'ANR OK vs ML7'!AR341</f>
        <v>0.1</v>
      </c>
      <c r="AS341" s="35" t="str">
        <f t="shared" si="218"/>
        <v/>
      </c>
      <c r="AT341" s="3" t="str">
        <f t="shared" si="219"/>
        <v/>
      </c>
      <c r="AU341" s="3" t="str">
        <f t="shared" si="220"/>
        <v/>
      </c>
      <c r="AW341" s="32" t="str">
        <f t="shared" si="221"/>
        <v/>
      </c>
      <c r="AX341" s="32" t="str">
        <f t="shared" si="221"/>
        <v/>
      </c>
      <c r="AY341" s="32" t="str">
        <f t="shared" si="222"/>
        <v/>
      </c>
      <c r="BA341" s="32" t="str">
        <f>IF($A342="","",F341*Summary!$Q$12)</f>
        <v/>
      </c>
    </row>
    <row r="342" spans="1:53" ht="12" customHeight="1">
      <c r="A342" s="67" t="str">
        <f t="shared" si="223"/>
        <v/>
      </c>
      <c r="B342" s="69" t="str">
        <f t="shared" si="225"/>
        <v/>
      </c>
      <c r="C342" s="71"/>
      <c r="D342" s="69" t="str">
        <f t="shared" si="189"/>
        <v/>
      </c>
      <c r="E342" s="70" t="str">
        <f t="shared" si="190"/>
        <v/>
      </c>
      <c r="F342" s="70" t="str">
        <f t="shared" si="191"/>
        <v/>
      </c>
      <c r="G342" s="63" t="str">
        <f t="shared" si="192"/>
        <v/>
      </c>
      <c r="H342" s="64" t="str">
        <f t="shared" si="193"/>
        <v/>
      </c>
      <c r="I342" s="43"/>
      <c r="J342" s="63" t="str">
        <f t="shared" si="194"/>
        <v/>
      </c>
      <c r="K342" s="64" t="str">
        <f t="shared" si="195"/>
        <v/>
      </c>
      <c r="L342" s="63" t="str">
        <f t="shared" si="196"/>
        <v/>
      </c>
      <c r="M342" s="64" t="str">
        <f t="shared" si="197"/>
        <v/>
      </c>
      <c r="N342" s="65"/>
      <c r="O342" s="63" t="str">
        <f t="shared" si="198"/>
        <v/>
      </c>
      <c r="P342" s="63" t="str">
        <f t="shared" si="199"/>
        <v/>
      </c>
      <c r="Q342" s="66"/>
      <c r="R342" s="63" t="str">
        <f t="shared" si="200"/>
        <v/>
      </c>
      <c r="S342" s="64" t="str">
        <f t="shared" si="201"/>
        <v/>
      </c>
      <c r="T342" s="63" t="str">
        <f t="shared" si="202"/>
        <v/>
      </c>
      <c r="U342" s="64" t="str">
        <f t="shared" si="203"/>
        <v/>
      </c>
      <c r="V342" s="90" t="str">
        <f>IF($A343="","",IF(AND(MONTH(A342)&gt;3,MONTH(A342)&lt;11),(T342+R342+G342)*(((1/(1-Summary!$T$12))/(1-Summary!$W$12))-1),(T342+R342+G342)*((1/(1-Summary!$U$12))/(1-Summary!$X$12)-1)))</f>
        <v/>
      </c>
      <c r="W342" s="63" t="str">
        <f t="shared" si="204"/>
        <v/>
      </c>
      <c r="X342" s="63" t="str">
        <f t="shared" si="205"/>
        <v/>
      </c>
      <c r="Y342" s="43"/>
      <c r="Z342" s="38" t="str">
        <f t="shared" si="206"/>
        <v/>
      </c>
      <c r="AA342" s="38" t="str">
        <f t="shared" si="207"/>
        <v/>
      </c>
      <c r="AB342" s="38" t="e">
        <f t="shared" si="208"/>
        <v>#VALUE!</v>
      </c>
      <c r="AC342" s="38" t="str">
        <f t="shared" si="209"/>
        <v/>
      </c>
      <c r="AD342" s="38" t="str">
        <f t="shared" si="209"/>
        <v/>
      </c>
      <c r="AE342" s="38" t="e">
        <f t="shared" si="210"/>
        <v>#VALUE!</v>
      </c>
      <c r="AF342" s="238" t="e">
        <f>((Summary!$N$12*(AA342*AD342)*(A342-$D$3))+(Summary!$M$12*Z342*AC342*(AJ342-EOMONTH(EDATE(A342,-1),0))))/(AK342*AB342*AE342)</f>
        <v>#VALUE!</v>
      </c>
      <c r="AG342" s="88" t="str">
        <f>IF($A343="","",Summary!$Q$12)</f>
        <v/>
      </c>
      <c r="AH342" s="88" t="str">
        <f>IF($A343="","",IF(Summary!$R$12="Y",(VLOOKUP($A342,Summary!$AD$6:$AF$9,3)+'Escalating commodity'!H355),'Escalating commodity'!H355))</f>
        <v/>
      </c>
      <c r="AI342" s="88" t="str">
        <f t="shared" si="224"/>
        <v/>
      </c>
      <c r="AJ342" s="236" t="e">
        <f t="shared" si="211"/>
        <v>#VALUE!</v>
      </c>
      <c r="AK342" s="58" t="str">
        <f t="shared" si="212"/>
        <v/>
      </c>
      <c r="AL342" s="26" t="str">
        <f>IF($A343="","",_xll.SPRDOPT(P342,X342,AI342,0,AB342,AE342,AF342,AK342,$AJ$2,0))</f>
        <v/>
      </c>
      <c r="AM342" s="89" t="str">
        <f t="shared" si="213"/>
        <v/>
      </c>
      <c r="AN342" s="89" t="str">
        <f t="shared" si="214"/>
        <v/>
      </c>
      <c r="AO342" s="3" t="str">
        <f t="shared" si="215"/>
        <v/>
      </c>
      <c r="AP342" s="33" t="str">
        <f t="shared" si="216"/>
        <v/>
      </c>
      <c r="AQ342" s="58" t="str">
        <f t="shared" si="217"/>
        <v/>
      </c>
      <c r="AR342" s="38">
        <f>'ANR OK vs ML7'!AR342</f>
        <v>0.1</v>
      </c>
      <c r="AS342" s="35" t="str">
        <f t="shared" si="218"/>
        <v/>
      </c>
      <c r="AT342" s="3" t="str">
        <f t="shared" si="219"/>
        <v/>
      </c>
      <c r="AU342" s="3" t="str">
        <f t="shared" si="220"/>
        <v/>
      </c>
      <c r="AW342" s="32" t="str">
        <f t="shared" si="221"/>
        <v/>
      </c>
      <c r="AX342" s="32" t="str">
        <f t="shared" si="221"/>
        <v/>
      </c>
      <c r="AY342" s="32" t="str">
        <f t="shared" si="222"/>
        <v/>
      </c>
      <c r="BA342" s="32" t="str">
        <f>IF($A343="","",F342*Summary!$Q$12)</f>
        <v/>
      </c>
    </row>
    <row r="343" spans="1:53" ht="12" customHeight="1">
      <c r="A343" s="67" t="str">
        <f t="shared" si="223"/>
        <v/>
      </c>
      <c r="B343" s="69" t="str">
        <f t="shared" si="225"/>
        <v/>
      </c>
      <c r="C343" s="71"/>
      <c r="D343" s="69" t="str">
        <f t="shared" si="189"/>
        <v/>
      </c>
      <c r="E343" s="70" t="str">
        <f t="shared" si="190"/>
        <v/>
      </c>
      <c r="F343" s="70" t="str">
        <f t="shared" si="191"/>
        <v/>
      </c>
      <c r="G343" s="63" t="str">
        <f t="shared" si="192"/>
        <v/>
      </c>
      <c r="H343" s="64" t="str">
        <f t="shared" si="193"/>
        <v/>
      </c>
      <c r="I343" s="43"/>
      <c r="J343" s="63" t="str">
        <f t="shared" si="194"/>
        <v/>
      </c>
      <c r="K343" s="64" t="str">
        <f t="shared" si="195"/>
        <v/>
      </c>
      <c r="L343" s="63" t="str">
        <f t="shared" si="196"/>
        <v/>
      </c>
      <c r="M343" s="64" t="str">
        <f t="shared" si="197"/>
        <v/>
      </c>
      <c r="N343" s="65"/>
      <c r="O343" s="63" t="str">
        <f t="shared" si="198"/>
        <v/>
      </c>
      <c r="P343" s="63" t="str">
        <f t="shared" si="199"/>
        <v/>
      </c>
      <c r="Q343" s="66"/>
      <c r="R343" s="63" t="str">
        <f t="shared" si="200"/>
        <v/>
      </c>
      <c r="S343" s="64" t="str">
        <f t="shared" si="201"/>
        <v/>
      </c>
      <c r="T343" s="63" t="str">
        <f t="shared" si="202"/>
        <v/>
      </c>
      <c r="U343" s="64" t="str">
        <f t="shared" si="203"/>
        <v/>
      </c>
      <c r="V343" s="90" t="str">
        <f>IF($A344="","",IF(AND(MONTH(A343)&gt;3,MONTH(A343)&lt;11),(T343+R343+G343)*(((1/(1-Summary!$T$12))/(1-Summary!$W$12))-1),(T343+R343+G343)*((1/(1-Summary!$U$12))/(1-Summary!$X$12)-1)))</f>
        <v/>
      </c>
      <c r="W343" s="63" t="str">
        <f t="shared" si="204"/>
        <v/>
      </c>
      <c r="X343" s="63" t="str">
        <f t="shared" si="205"/>
        <v/>
      </c>
      <c r="Y343" s="43"/>
      <c r="Z343" s="38" t="str">
        <f t="shared" si="206"/>
        <v/>
      </c>
      <c r="AA343" s="38" t="str">
        <f t="shared" si="207"/>
        <v/>
      </c>
      <c r="AB343" s="38" t="e">
        <f t="shared" si="208"/>
        <v>#VALUE!</v>
      </c>
      <c r="AC343" s="38" t="str">
        <f t="shared" si="209"/>
        <v/>
      </c>
      <c r="AD343" s="38" t="str">
        <f t="shared" si="209"/>
        <v/>
      </c>
      <c r="AE343" s="38" t="e">
        <f t="shared" si="210"/>
        <v>#VALUE!</v>
      </c>
      <c r="AF343" s="238" t="e">
        <f>((Summary!$N$12*(AA343*AD343)*(A343-$D$3))+(Summary!$M$12*Z343*AC343*(AJ343-EOMONTH(EDATE(A343,-1),0))))/(AK343*AB343*AE343)</f>
        <v>#VALUE!</v>
      </c>
      <c r="AG343" s="88" t="str">
        <f>IF($A344="","",Summary!$Q$12)</f>
        <v/>
      </c>
      <c r="AH343" s="88" t="str">
        <f>IF($A344="","",IF(Summary!$R$12="Y",(VLOOKUP($A343,Summary!$AD$6:$AF$9,3)+'Escalating commodity'!H356),'Escalating commodity'!H356))</f>
        <v/>
      </c>
      <c r="AI343" s="88" t="str">
        <f t="shared" si="224"/>
        <v/>
      </c>
      <c r="AJ343" s="236" t="e">
        <f t="shared" si="211"/>
        <v>#VALUE!</v>
      </c>
      <c r="AK343" s="58" t="str">
        <f t="shared" si="212"/>
        <v/>
      </c>
      <c r="AL343" s="26" t="str">
        <f>IF($A344="","",_xll.SPRDOPT(P343,X343,AI343,0,AB343,AE343,AF343,AK343,$AJ$2,0))</f>
        <v/>
      </c>
      <c r="AM343" s="89" t="str">
        <f t="shared" si="213"/>
        <v/>
      </c>
      <c r="AN343" s="89" t="str">
        <f t="shared" si="214"/>
        <v/>
      </c>
      <c r="AO343" s="3" t="str">
        <f t="shared" si="215"/>
        <v/>
      </c>
      <c r="AP343" s="33" t="str">
        <f t="shared" si="216"/>
        <v/>
      </c>
      <c r="AQ343" s="58" t="str">
        <f t="shared" si="217"/>
        <v/>
      </c>
      <c r="AR343" s="38">
        <f>'ANR OK vs ML7'!AR343</f>
        <v>0.1</v>
      </c>
      <c r="AS343" s="35" t="str">
        <f t="shared" si="218"/>
        <v/>
      </c>
      <c r="AT343" s="3" t="str">
        <f t="shared" si="219"/>
        <v/>
      </c>
      <c r="AU343" s="3" t="str">
        <f t="shared" si="220"/>
        <v/>
      </c>
      <c r="AW343" s="32" t="str">
        <f t="shared" si="221"/>
        <v/>
      </c>
      <c r="AX343" s="32" t="str">
        <f t="shared" si="221"/>
        <v/>
      </c>
      <c r="AY343" s="32" t="str">
        <f t="shared" si="222"/>
        <v/>
      </c>
      <c r="BA343" s="32" t="str">
        <f>IF($A344="","",F343*Summary!$Q$12)</f>
        <v/>
      </c>
    </row>
    <row r="344" spans="1:53" ht="12" customHeight="1">
      <c r="A344" s="67" t="str">
        <f t="shared" si="223"/>
        <v/>
      </c>
      <c r="B344" s="69" t="str">
        <f t="shared" si="225"/>
        <v/>
      </c>
      <c r="C344" s="71"/>
      <c r="D344" s="69" t="str">
        <f t="shared" si="189"/>
        <v/>
      </c>
      <c r="E344" s="70" t="str">
        <f t="shared" si="190"/>
        <v/>
      </c>
      <c r="F344" s="70" t="str">
        <f t="shared" si="191"/>
        <v/>
      </c>
      <c r="G344" s="63" t="str">
        <f t="shared" si="192"/>
        <v/>
      </c>
      <c r="H344" s="64" t="str">
        <f t="shared" si="193"/>
        <v/>
      </c>
      <c r="I344" s="43"/>
      <c r="J344" s="63" t="str">
        <f t="shared" si="194"/>
        <v/>
      </c>
      <c r="K344" s="64" t="str">
        <f t="shared" si="195"/>
        <v/>
      </c>
      <c r="L344" s="63" t="str">
        <f t="shared" si="196"/>
        <v/>
      </c>
      <c r="M344" s="64" t="str">
        <f t="shared" si="197"/>
        <v/>
      </c>
      <c r="N344" s="65"/>
      <c r="O344" s="63" t="str">
        <f t="shared" si="198"/>
        <v/>
      </c>
      <c r="P344" s="63" t="str">
        <f t="shared" si="199"/>
        <v/>
      </c>
      <c r="Q344" s="66"/>
      <c r="R344" s="63" t="str">
        <f t="shared" si="200"/>
        <v/>
      </c>
      <c r="S344" s="64" t="str">
        <f t="shared" si="201"/>
        <v/>
      </c>
      <c r="T344" s="63" t="str">
        <f t="shared" si="202"/>
        <v/>
      </c>
      <c r="U344" s="64" t="str">
        <f t="shared" si="203"/>
        <v/>
      </c>
      <c r="V344" s="90" t="str">
        <f>IF($A345="","",IF(AND(MONTH(A344)&gt;3,MONTH(A344)&lt;11),(T344+R344+G344)*(((1/(1-Summary!$T$12))/(1-Summary!$W$12))-1),(T344+R344+G344)*((1/(1-Summary!$U$12))/(1-Summary!$X$12)-1)))</f>
        <v/>
      </c>
      <c r="W344" s="63" t="str">
        <f t="shared" si="204"/>
        <v/>
      </c>
      <c r="X344" s="63" t="str">
        <f t="shared" si="205"/>
        <v/>
      </c>
      <c r="Y344" s="43"/>
      <c r="Z344" s="38" t="str">
        <f t="shared" si="206"/>
        <v/>
      </c>
      <c r="AA344" s="38" t="str">
        <f t="shared" si="207"/>
        <v/>
      </c>
      <c r="AB344" s="38" t="e">
        <f t="shared" si="208"/>
        <v>#VALUE!</v>
      </c>
      <c r="AC344" s="38" t="str">
        <f t="shared" si="209"/>
        <v/>
      </c>
      <c r="AD344" s="38" t="str">
        <f t="shared" si="209"/>
        <v/>
      </c>
      <c r="AE344" s="38" t="e">
        <f t="shared" si="210"/>
        <v>#VALUE!</v>
      </c>
      <c r="AF344" s="238" t="e">
        <f>((Summary!$N$12*(AA344*AD344)*(A344-$D$3))+(Summary!$M$12*Z344*AC344*(AJ344-EOMONTH(EDATE(A344,-1),0))))/(AK344*AB344*AE344)</f>
        <v>#VALUE!</v>
      </c>
      <c r="AG344" s="88" t="str">
        <f>IF($A345="","",Summary!$Q$12)</f>
        <v/>
      </c>
      <c r="AH344" s="88" t="str">
        <f>IF($A345="","",IF(Summary!$R$12="Y",(VLOOKUP($A344,Summary!$AD$6:$AF$9,3)+'Escalating commodity'!H357),'Escalating commodity'!H357))</f>
        <v/>
      </c>
      <c r="AI344" s="88" t="str">
        <f t="shared" si="224"/>
        <v/>
      </c>
      <c r="AJ344" s="236" t="e">
        <f t="shared" si="211"/>
        <v>#VALUE!</v>
      </c>
      <c r="AK344" s="58" t="str">
        <f t="shared" si="212"/>
        <v/>
      </c>
      <c r="AL344" s="26" t="str">
        <f>IF($A345="","",_xll.SPRDOPT(P344,X344,AI344,0,AB344,AE344,AF344,AK344,$AJ$2,0))</f>
        <v/>
      </c>
      <c r="AM344" s="89" t="str">
        <f t="shared" si="213"/>
        <v/>
      </c>
      <c r="AN344" s="89" t="str">
        <f t="shared" si="214"/>
        <v/>
      </c>
      <c r="AO344" s="3" t="str">
        <f t="shared" si="215"/>
        <v/>
      </c>
      <c r="AP344" s="33" t="str">
        <f t="shared" si="216"/>
        <v/>
      </c>
      <c r="AQ344" s="58" t="str">
        <f t="shared" si="217"/>
        <v/>
      </c>
      <c r="AR344" s="38">
        <f>'ANR OK vs ML7'!AR344</f>
        <v>0.1</v>
      </c>
      <c r="AS344" s="35" t="str">
        <f t="shared" si="218"/>
        <v/>
      </c>
      <c r="AT344" s="3" t="str">
        <f t="shared" si="219"/>
        <v/>
      </c>
      <c r="AU344" s="3" t="str">
        <f t="shared" si="220"/>
        <v/>
      </c>
      <c r="AW344" s="32" t="str">
        <f t="shared" si="221"/>
        <v/>
      </c>
      <c r="AX344" s="32" t="str">
        <f t="shared" si="221"/>
        <v/>
      </c>
      <c r="AY344" s="32" t="str">
        <f t="shared" si="222"/>
        <v/>
      </c>
      <c r="BA344" s="32" t="str">
        <f>IF($A345="","",F344*Summary!$Q$12)</f>
        <v/>
      </c>
    </row>
    <row r="345" spans="1:53" ht="12" customHeight="1">
      <c r="A345" s="67" t="str">
        <f t="shared" si="223"/>
        <v/>
      </c>
      <c r="B345" s="69" t="str">
        <f t="shared" si="225"/>
        <v/>
      </c>
      <c r="C345" s="71"/>
      <c r="D345" s="69" t="str">
        <f t="shared" si="189"/>
        <v/>
      </c>
      <c r="E345" s="70" t="str">
        <f t="shared" si="190"/>
        <v/>
      </c>
      <c r="F345" s="70" t="str">
        <f t="shared" si="191"/>
        <v/>
      </c>
      <c r="G345" s="63" t="str">
        <f t="shared" si="192"/>
        <v/>
      </c>
      <c r="H345" s="64" t="str">
        <f t="shared" si="193"/>
        <v/>
      </c>
      <c r="I345" s="43"/>
      <c r="J345" s="63" t="str">
        <f t="shared" si="194"/>
        <v/>
      </c>
      <c r="K345" s="64" t="str">
        <f t="shared" si="195"/>
        <v/>
      </c>
      <c r="L345" s="63" t="str">
        <f t="shared" si="196"/>
        <v/>
      </c>
      <c r="M345" s="64" t="str">
        <f t="shared" si="197"/>
        <v/>
      </c>
      <c r="N345" s="65"/>
      <c r="O345" s="63" t="str">
        <f t="shared" si="198"/>
        <v/>
      </c>
      <c r="P345" s="63" t="str">
        <f t="shared" si="199"/>
        <v/>
      </c>
      <c r="Q345" s="66"/>
      <c r="R345" s="63" t="str">
        <f t="shared" si="200"/>
        <v/>
      </c>
      <c r="S345" s="64" t="str">
        <f t="shared" si="201"/>
        <v/>
      </c>
      <c r="T345" s="63" t="str">
        <f t="shared" si="202"/>
        <v/>
      </c>
      <c r="U345" s="64" t="str">
        <f t="shared" si="203"/>
        <v/>
      </c>
      <c r="V345" s="90" t="str">
        <f>IF($A346="","",IF(AND(MONTH(A345)&gt;3,MONTH(A345)&lt;11),(T345+R345+G345)*(((1/(1-Summary!$T$12))/(1-Summary!$W$12))-1),(T345+R345+G345)*((1/(1-Summary!$U$12))/(1-Summary!$X$12)-1)))</f>
        <v/>
      </c>
      <c r="W345" s="63" t="str">
        <f t="shared" si="204"/>
        <v/>
      </c>
      <c r="X345" s="63" t="str">
        <f t="shared" si="205"/>
        <v/>
      </c>
      <c r="Y345" s="43"/>
      <c r="Z345" s="38" t="str">
        <f t="shared" si="206"/>
        <v/>
      </c>
      <c r="AA345" s="38" t="str">
        <f t="shared" si="207"/>
        <v/>
      </c>
      <c r="AB345" s="38" t="e">
        <f t="shared" si="208"/>
        <v>#VALUE!</v>
      </c>
      <c r="AC345" s="38" t="str">
        <f t="shared" si="209"/>
        <v/>
      </c>
      <c r="AD345" s="38" t="str">
        <f t="shared" si="209"/>
        <v/>
      </c>
      <c r="AE345" s="38" t="e">
        <f t="shared" si="210"/>
        <v>#VALUE!</v>
      </c>
      <c r="AF345" s="238" t="e">
        <f>((Summary!$N$12*(AA345*AD345)*(A345-$D$3))+(Summary!$M$12*Z345*AC345*(AJ345-EOMONTH(EDATE(A345,-1),0))))/(AK345*AB345*AE345)</f>
        <v>#VALUE!</v>
      </c>
      <c r="AG345" s="88" t="str">
        <f>IF($A346="","",Summary!$Q$12)</f>
        <v/>
      </c>
      <c r="AH345" s="88" t="str">
        <f>IF($A346="","",IF(Summary!$R$12="Y",(VLOOKUP($A345,Summary!$AD$6:$AF$9,3)+'Escalating commodity'!H358),'Escalating commodity'!H358))</f>
        <v/>
      </c>
      <c r="AI345" s="88" t="str">
        <f t="shared" si="224"/>
        <v/>
      </c>
      <c r="AJ345" s="236" t="e">
        <f t="shared" si="211"/>
        <v>#VALUE!</v>
      </c>
      <c r="AK345" s="58" t="str">
        <f t="shared" si="212"/>
        <v/>
      </c>
      <c r="AL345" s="26" t="str">
        <f>IF($A346="","",_xll.SPRDOPT(P345,X345,AI345,0,AB345,AE345,AF345,AK345,$AJ$2,0))</f>
        <v/>
      </c>
      <c r="AM345" s="89" t="str">
        <f t="shared" si="213"/>
        <v/>
      </c>
      <c r="AN345" s="89" t="str">
        <f t="shared" si="214"/>
        <v/>
      </c>
      <c r="AO345" s="3" t="str">
        <f t="shared" si="215"/>
        <v/>
      </c>
      <c r="AP345" s="33" t="str">
        <f t="shared" si="216"/>
        <v/>
      </c>
      <c r="AQ345" s="58" t="str">
        <f t="shared" si="217"/>
        <v/>
      </c>
      <c r="AR345" s="38">
        <f>'ANR OK vs ML7'!AR345</f>
        <v>0.1</v>
      </c>
      <c r="AS345" s="35" t="str">
        <f t="shared" si="218"/>
        <v/>
      </c>
      <c r="AT345" s="3" t="str">
        <f t="shared" si="219"/>
        <v/>
      </c>
      <c r="AU345" s="3" t="str">
        <f t="shared" si="220"/>
        <v/>
      </c>
      <c r="AW345" s="32" t="str">
        <f t="shared" si="221"/>
        <v/>
      </c>
      <c r="AX345" s="32" t="str">
        <f t="shared" si="221"/>
        <v/>
      </c>
      <c r="AY345" s="32" t="str">
        <f t="shared" si="222"/>
        <v/>
      </c>
      <c r="BA345" s="32" t="str">
        <f>IF($A346="","",F345*Summary!$Q$12)</f>
        <v/>
      </c>
    </row>
    <row r="346" spans="1:53" ht="12" customHeight="1">
      <c r="A346" s="67" t="str">
        <f t="shared" si="223"/>
        <v/>
      </c>
      <c r="B346" s="69" t="str">
        <f t="shared" si="225"/>
        <v/>
      </c>
      <c r="C346" s="71"/>
      <c r="D346" s="69" t="str">
        <f t="shared" si="189"/>
        <v/>
      </c>
      <c r="E346" s="70" t="str">
        <f t="shared" si="190"/>
        <v/>
      </c>
      <c r="F346" s="70" t="str">
        <f t="shared" si="191"/>
        <v/>
      </c>
      <c r="G346" s="63" t="str">
        <f t="shared" si="192"/>
        <v/>
      </c>
      <c r="H346" s="64" t="str">
        <f t="shared" si="193"/>
        <v/>
      </c>
      <c r="I346" s="43"/>
      <c r="J346" s="63" t="str">
        <f t="shared" si="194"/>
        <v/>
      </c>
      <c r="K346" s="64" t="str">
        <f t="shared" si="195"/>
        <v/>
      </c>
      <c r="L346" s="63" t="str">
        <f t="shared" si="196"/>
        <v/>
      </c>
      <c r="M346" s="64" t="str">
        <f t="shared" si="197"/>
        <v/>
      </c>
      <c r="N346" s="65"/>
      <c r="O346" s="63" t="str">
        <f t="shared" si="198"/>
        <v/>
      </c>
      <c r="P346" s="63" t="str">
        <f t="shared" si="199"/>
        <v/>
      </c>
      <c r="Q346" s="66"/>
      <c r="R346" s="63" t="str">
        <f t="shared" si="200"/>
        <v/>
      </c>
      <c r="S346" s="64" t="str">
        <f t="shared" si="201"/>
        <v/>
      </c>
      <c r="T346" s="63" t="str">
        <f t="shared" si="202"/>
        <v/>
      </c>
      <c r="U346" s="64" t="str">
        <f t="shared" si="203"/>
        <v/>
      </c>
      <c r="V346" s="90" t="str">
        <f>IF($A347="","",IF(AND(MONTH(A346)&gt;3,MONTH(A346)&lt;11),(T346+R346+G346)*(((1/(1-Summary!$T$12))/(1-Summary!$W$12))-1),(T346+R346+G346)*((1/(1-Summary!$U$12))/(1-Summary!$X$12)-1)))</f>
        <v/>
      </c>
      <c r="W346" s="63" t="str">
        <f t="shared" si="204"/>
        <v/>
      </c>
      <c r="X346" s="63" t="str">
        <f t="shared" si="205"/>
        <v/>
      </c>
      <c r="Y346" s="43"/>
      <c r="Z346" s="38" t="str">
        <f t="shared" si="206"/>
        <v/>
      </c>
      <c r="AA346" s="38" t="str">
        <f t="shared" si="207"/>
        <v/>
      </c>
      <c r="AB346" s="38" t="e">
        <f t="shared" si="208"/>
        <v>#VALUE!</v>
      </c>
      <c r="AC346" s="38" t="str">
        <f t="shared" si="209"/>
        <v/>
      </c>
      <c r="AD346" s="38" t="str">
        <f t="shared" si="209"/>
        <v/>
      </c>
      <c r="AE346" s="38" t="e">
        <f t="shared" si="210"/>
        <v>#VALUE!</v>
      </c>
      <c r="AF346" s="238" t="e">
        <f>((Summary!$N$12*(AA346*AD346)*(A346-$D$3))+(Summary!$M$12*Z346*AC346*(AJ346-EOMONTH(EDATE(A346,-1),0))))/(AK346*AB346*AE346)</f>
        <v>#VALUE!</v>
      </c>
      <c r="AG346" s="88" t="str">
        <f>IF($A347="","",Summary!$Q$12)</f>
        <v/>
      </c>
      <c r="AH346" s="88" t="str">
        <f>IF($A347="","",IF(Summary!$R$12="Y",(VLOOKUP($A346,Summary!$AD$6:$AF$9,3)+'Escalating commodity'!H359),'Escalating commodity'!H359))</f>
        <v/>
      </c>
      <c r="AI346" s="88" t="str">
        <f t="shared" si="224"/>
        <v/>
      </c>
      <c r="AJ346" s="236" t="e">
        <f t="shared" si="211"/>
        <v>#VALUE!</v>
      </c>
      <c r="AK346" s="58" t="str">
        <f t="shared" si="212"/>
        <v/>
      </c>
      <c r="AL346" s="26" t="str">
        <f>IF($A347="","",_xll.SPRDOPT(P346,X346,AI346,0,AB346,AE346,AF346,AK346,$AJ$2,0))</f>
        <v/>
      </c>
      <c r="AM346" s="89" t="str">
        <f t="shared" si="213"/>
        <v/>
      </c>
      <c r="AN346" s="89" t="str">
        <f t="shared" si="214"/>
        <v/>
      </c>
      <c r="AO346" s="3" t="str">
        <f t="shared" si="215"/>
        <v/>
      </c>
      <c r="AP346" s="33" t="str">
        <f t="shared" si="216"/>
        <v/>
      </c>
      <c r="AQ346" s="58" t="str">
        <f t="shared" si="217"/>
        <v/>
      </c>
      <c r="AR346" s="38">
        <f>'ANR OK vs ML7'!AR346</f>
        <v>0.1</v>
      </c>
      <c r="AS346" s="35" t="str">
        <f t="shared" si="218"/>
        <v/>
      </c>
      <c r="AT346" s="3" t="str">
        <f t="shared" si="219"/>
        <v/>
      </c>
      <c r="AU346" s="3" t="str">
        <f t="shared" si="220"/>
        <v/>
      </c>
      <c r="AW346" s="32" t="str">
        <f t="shared" si="221"/>
        <v/>
      </c>
      <c r="AX346" s="32" t="str">
        <f t="shared" si="221"/>
        <v/>
      </c>
      <c r="AY346" s="32" t="str">
        <f t="shared" si="222"/>
        <v/>
      </c>
      <c r="BA346" s="32" t="str">
        <f>IF($A347="","",F346*Summary!$Q$12)</f>
        <v/>
      </c>
    </row>
    <row r="347" spans="1:53" ht="12" customHeight="1">
      <c r="A347" s="67" t="str">
        <f t="shared" si="223"/>
        <v/>
      </c>
      <c r="B347" s="69" t="str">
        <f t="shared" si="225"/>
        <v/>
      </c>
      <c r="C347" s="71"/>
      <c r="D347" s="69" t="str">
        <f t="shared" si="189"/>
        <v/>
      </c>
      <c r="E347" s="70" t="str">
        <f t="shared" si="190"/>
        <v/>
      </c>
      <c r="F347" s="70" t="str">
        <f t="shared" si="191"/>
        <v/>
      </c>
      <c r="G347" s="63" t="str">
        <f t="shared" si="192"/>
        <v/>
      </c>
      <c r="H347" s="64" t="str">
        <f t="shared" si="193"/>
        <v/>
      </c>
      <c r="I347" s="43"/>
      <c r="J347" s="63" t="str">
        <f t="shared" si="194"/>
        <v/>
      </c>
      <c r="K347" s="64" t="str">
        <f t="shared" si="195"/>
        <v/>
      </c>
      <c r="L347" s="63" t="str">
        <f t="shared" si="196"/>
        <v/>
      </c>
      <c r="M347" s="64" t="str">
        <f t="shared" si="197"/>
        <v/>
      </c>
      <c r="N347" s="65"/>
      <c r="O347" s="63" t="str">
        <f t="shared" si="198"/>
        <v/>
      </c>
      <c r="P347" s="63" t="str">
        <f t="shared" si="199"/>
        <v/>
      </c>
      <c r="Q347" s="66"/>
      <c r="R347" s="63" t="str">
        <f t="shared" si="200"/>
        <v/>
      </c>
      <c r="S347" s="64" t="str">
        <f t="shared" si="201"/>
        <v/>
      </c>
      <c r="T347" s="63" t="str">
        <f t="shared" si="202"/>
        <v/>
      </c>
      <c r="U347" s="64" t="str">
        <f t="shared" si="203"/>
        <v/>
      </c>
      <c r="V347" s="90" t="str">
        <f>IF($A348="","",IF(AND(MONTH(A347)&gt;3,MONTH(A347)&lt;11),(T347+R347+G347)*(((1/(1-Summary!$T$12))/(1-Summary!$W$12))-1),(T347+R347+G347)*((1/(1-Summary!$U$12))/(1-Summary!$X$12)-1)))</f>
        <v/>
      </c>
      <c r="W347" s="63" t="str">
        <f t="shared" si="204"/>
        <v/>
      </c>
      <c r="X347" s="63" t="str">
        <f t="shared" si="205"/>
        <v/>
      </c>
      <c r="Y347" s="43"/>
      <c r="Z347" s="38" t="str">
        <f t="shared" si="206"/>
        <v/>
      </c>
      <c r="AA347" s="38" t="str">
        <f t="shared" si="207"/>
        <v/>
      </c>
      <c r="AB347" s="38" t="e">
        <f t="shared" si="208"/>
        <v>#VALUE!</v>
      </c>
      <c r="AC347" s="38" t="str">
        <f t="shared" si="209"/>
        <v/>
      </c>
      <c r="AD347" s="38" t="str">
        <f t="shared" si="209"/>
        <v/>
      </c>
      <c r="AE347" s="38" t="e">
        <f t="shared" si="210"/>
        <v>#VALUE!</v>
      </c>
      <c r="AF347" s="238" t="e">
        <f>((Summary!$N$12*(AA347*AD347)*(A347-$D$3))+(Summary!$M$12*Z347*AC347*(AJ347-EOMONTH(EDATE(A347,-1),0))))/(AK347*AB347*AE347)</f>
        <v>#VALUE!</v>
      </c>
      <c r="AG347" s="88" t="str">
        <f>IF($A348="","",Summary!$Q$12)</f>
        <v/>
      </c>
      <c r="AH347" s="88" t="str">
        <f>IF($A348="","",IF(Summary!$R$12="Y",(VLOOKUP($A347,Summary!$AD$6:$AF$9,3)+'Escalating commodity'!H360),'Escalating commodity'!H360))</f>
        <v/>
      </c>
      <c r="AI347" s="88" t="str">
        <f t="shared" si="224"/>
        <v/>
      </c>
      <c r="AJ347" s="236" t="e">
        <f t="shared" si="211"/>
        <v>#VALUE!</v>
      </c>
      <c r="AK347" s="58" t="str">
        <f t="shared" si="212"/>
        <v/>
      </c>
      <c r="AL347" s="26" t="str">
        <f>IF($A348="","",_xll.SPRDOPT(P347,X347,AI347,0,AB347,AE347,AF347,AK347,$AJ$2,0))</f>
        <v/>
      </c>
      <c r="AM347" s="89" t="str">
        <f t="shared" si="213"/>
        <v/>
      </c>
      <c r="AN347" s="89" t="str">
        <f t="shared" si="214"/>
        <v/>
      </c>
      <c r="AO347" s="3" t="str">
        <f t="shared" si="215"/>
        <v/>
      </c>
      <c r="AP347" s="33" t="str">
        <f t="shared" si="216"/>
        <v/>
      </c>
      <c r="AQ347" s="58" t="str">
        <f t="shared" si="217"/>
        <v/>
      </c>
      <c r="AR347" s="38">
        <f>'ANR OK vs ML7'!AR347</f>
        <v>0.1</v>
      </c>
      <c r="AS347" s="35" t="str">
        <f t="shared" si="218"/>
        <v/>
      </c>
      <c r="AT347" s="3" t="str">
        <f t="shared" si="219"/>
        <v/>
      </c>
      <c r="AU347" s="3" t="str">
        <f t="shared" si="220"/>
        <v/>
      </c>
      <c r="AW347" s="32" t="str">
        <f t="shared" si="221"/>
        <v/>
      </c>
      <c r="AX347" s="32" t="str">
        <f t="shared" si="221"/>
        <v/>
      </c>
      <c r="AY347" s="32" t="str">
        <f t="shared" si="222"/>
        <v/>
      </c>
      <c r="BA347" s="32" t="str">
        <f>IF($A348="","",F347*Summary!$Q$12)</f>
        <v/>
      </c>
    </row>
    <row r="348" spans="1:53" ht="12" customHeight="1">
      <c r="A348" s="67" t="str">
        <f t="shared" si="223"/>
        <v/>
      </c>
      <c r="B348" s="69" t="str">
        <f t="shared" si="225"/>
        <v/>
      </c>
      <c r="C348" s="71"/>
      <c r="D348" s="69" t="str">
        <f t="shared" si="189"/>
        <v/>
      </c>
      <c r="E348" s="70" t="str">
        <f t="shared" si="190"/>
        <v/>
      </c>
      <c r="F348" s="70" t="str">
        <f t="shared" si="191"/>
        <v/>
      </c>
      <c r="G348" s="63" t="str">
        <f t="shared" si="192"/>
        <v/>
      </c>
      <c r="H348" s="64" t="str">
        <f t="shared" si="193"/>
        <v/>
      </c>
      <c r="I348" s="43"/>
      <c r="J348" s="63" t="str">
        <f t="shared" si="194"/>
        <v/>
      </c>
      <c r="K348" s="64" t="str">
        <f t="shared" si="195"/>
        <v/>
      </c>
      <c r="L348" s="63" t="str">
        <f t="shared" si="196"/>
        <v/>
      </c>
      <c r="M348" s="64" t="str">
        <f t="shared" si="197"/>
        <v/>
      </c>
      <c r="N348" s="65"/>
      <c r="O348" s="63" t="str">
        <f t="shared" si="198"/>
        <v/>
      </c>
      <c r="P348" s="63" t="str">
        <f t="shared" si="199"/>
        <v/>
      </c>
      <c r="Q348" s="66"/>
      <c r="R348" s="63" t="str">
        <f t="shared" si="200"/>
        <v/>
      </c>
      <c r="S348" s="64" t="str">
        <f t="shared" si="201"/>
        <v/>
      </c>
      <c r="T348" s="63" t="str">
        <f t="shared" si="202"/>
        <v/>
      </c>
      <c r="U348" s="64" t="str">
        <f t="shared" si="203"/>
        <v/>
      </c>
      <c r="V348" s="90" t="str">
        <f>IF($A349="","",IF(AND(MONTH(A348)&gt;3,MONTH(A348)&lt;11),(T348+R348+G348)*(((1/(1-Summary!$T$12))/(1-Summary!$W$12))-1),(T348+R348+G348)*((1/(1-Summary!$U$12))/(1-Summary!$X$12)-1)))</f>
        <v/>
      </c>
      <c r="W348" s="63" t="str">
        <f t="shared" si="204"/>
        <v/>
      </c>
      <c r="X348" s="63" t="str">
        <f t="shared" si="205"/>
        <v/>
      </c>
      <c r="Y348" s="43"/>
      <c r="Z348" s="38" t="str">
        <f t="shared" si="206"/>
        <v/>
      </c>
      <c r="AA348" s="38" t="str">
        <f t="shared" si="207"/>
        <v/>
      </c>
      <c r="AB348" s="38" t="e">
        <f t="shared" si="208"/>
        <v>#VALUE!</v>
      </c>
      <c r="AC348" s="38" t="str">
        <f t="shared" si="209"/>
        <v/>
      </c>
      <c r="AD348" s="38" t="str">
        <f t="shared" si="209"/>
        <v/>
      </c>
      <c r="AE348" s="38" t="e">
        <f t="shared" si="210"/>
        <v>#VALUE!</v>
      </c>
      <c r="AF348" s="238" t="e">
        <f>((Summary!$N$12*(AA348*AD348)*(A348-$D$3))+(Summary!$M$12*Z348*AC348*(AJ348-EOMONTH(EDATE(A348,-1),0))))/(AK348*AB348*AE348)</f>
        <v>#VALUE!</v>
      </c>
      <c r="AG348" s="88" t="str">
        <f>IF($A349="","",Summary!$Q$12)</f>
        <v/>
      </c>
      <c r="AH348" s="88" t="str">
        <f>IF($A349="","",IF(Summary!$R$12="Y",(VLOOKUP($A348,Summary!$AD$6:$AF$9,3)+'Escalating commodity'!H361),'Escalating commodity'!H361))</f>
        <v/>
      </c>
      <c r="AI348" s="88" t="str">
        <f t="shared" si="224"/>
        <v/>
      </c>
      <c r="AJ348" s="236" t="e">
        <f t="shared" si="211"/>
        <v>#VALUE!</v>
      </c>
      <c r="AK348" s="58" t="str">
        <f t="shared" si="212"/>
        <v/>
      </c>
      <c r="AL348" s="26" t="str">
        <f>IF($A349="","",_xll.SPRDOPT(P348,X348,AI348,0,AB348,AE348,AF348,AK348,$AJ$2,0))</f>
        <v/>
      </c>
      <c r="AM348" s="89" t="str">
        <f t="shared" si="213"/>
        <v/>
      </c>
      <c r="AN348" s="89" t="str">
        <f t="shared" si="214"/>
        <v/>
      </c>
      <c r="AO348" s="3" t="str">
        <f t="shared" si="215"/>
        <v/>
      </c>
      <c r="AP348" s="33" t="str">
        <f t="shared" si="216"/>
        <v/>
      </c>
      <c r="AQ348" s="58" t="str">
        <f t="shared" si="217"/>
        <v/>
      </c>
      <c r="AR348" s="38">
        <f>'ANR OK vs ML7'!AR348</f>
        <v>0.1</v>
      </c>
      <c r="AS348" s="35" t="str">
        <f t="shared" si="218"/>
        <v/>
      </c>
      <c r="AT348" s="3" t="str">
        <f t="shared" si="219"/>
        <v/>
      </c>
      <c r="AU348" s="3" t="str">
        <f t="shared" si="220"/>
        <v/>
      </c>
      <c r="AW348" s="32" t="str">
        <f t="shared" si="221"/>
        <v/>
      </c>
      <c r="AX348" s="32" t="str">
        <f t="shared" si="221"/>
        <v/>
      </c>
      <c r="AY348" s="32" t="str">
        <f t="shared" si="222"/>
        <v/>
      </c>
      <c r="BA348" s="32" t="str">
        <f>IF($A349="","",F348*Summary!$Q$12)</f>
        <v/>
      </c>
    </row>
    <row r="349" spans="1:53" ht="12" customHeight="1">
      <c r="A349" s="67" t="str">
        <f t="shared" si="223"/>
        <v/>
      </c>
      <c r="B349" s="69" t="str">
        <f t="shared" si="225"/>
        <v/>
      </c>
      <c r="C349" s="71"/>
      <c r="D349" s="69" t="str">
        <f t="shared" si="189"/>
        <v/>
      </c>
      <c r="E349" s="70" t="str">
        <f t="shared" si="190"/>
        <v/>
      </c>
      <c r="F349" s="70" t="str">
        <f t="shared" si="191"/>
        <v/>
      </c>
      <c r="G349" s="63" t="str">
        <f t="shared" si="192"/>
        <v/>
      </c>
      <c r="H349" s="64" t="str">
        <f t="shared" si="193"/>
        <v/>
      </c>
      <c r="I349" s="43"/>
      <c r="J349" s="63" t="str">
        <f t="shared" si="194"/>
        <v/>
      </c>
      <c r="K349" s="64" t="str">
        <f t="shared" si="195"/>
        <v/>
      </c>
      <c r="L349" s="63" t="str">
        <f t="shared" si="196"/>
        <v/>
      </c>
      <c r="M349" s="64" t="str">
        <f t="shared" si="197"/>
        <v/>
      </c>
      <c r="N349" s="65"/>
      <c r="O349" s="63" t="str">
        <f t="shared" si="198"/>
        <v/>
      </c>
      <c r="P349" s="63" t="str">
        <f t="shared" si="199"/>
        <v/>
      </c>
      <c r="Q349" s="66"/>
      <c r="R349" s="63" t="str">
        <f t="shared" si="200"/>
        <v/>
      </c>
      <c r="S349" s="64" t="str">
        <f t="shared" si="201"/>
        <v/>
      </c>
      <c r="T349" s="63" t="str">
        <f t="shared" si="202"/>
        <v/>
      </c>
      <c r="U349" s="64" t="str">
        <f t="shared" si="203"/>
        <v/>
      </c>
      <c r="V349" s="90" t="str">
        <f>IF($A350="","",IF(AND(MONTH(A349)&gt;3,MONTH(A349)&lt;11),(T349+R349+G349)*(((1/(1-Summary!$T$12))/(1-Summary!$W$12))-1),(T349+R349+G349)*((1/(1-Summary!$U$12))/(1-Summary!$X$12)-1)))</f>
        <v/>
      </c>
      <c r="W349" s="63" t="str">
        <f t="shared" si="204"/>
        <v/>
      </c>
      <c r="X349" s="63" t="str">
        <f t="shared" si="205"/>
        <v/>
      </c>
      <c r="Y349" s="43"/>
      <c r="Z349" s="38" t="str">
        <f t="shared" si="206"/>
        <v/>
      </c>
      <c r="AA349" s="38" t="str">
        <f t="shared" si="207"/>
        <v/>
      </c>
      <c r="AB349" s="38" t="e">
        <f t="shared" si="208"/>
        <v>#VALUE!</v>
      </c>
      <c r="AC349" s="38" t="str">
        <f t="shared" si="209"/>
        <v/>
      </c>
      <c r="AD349" s="38" t="str">
        <f t="shared" si="209"/>
        <v/>
      </c>
      <c r="AE349" s="38" t="e">
        <f t="shared" si="210"/>
        <v>#VALUE!</v>
      </c>
      <c r="AF349" s="238" t="e">
        <f>((Summary!$N$12*(AA349*AD349)*(A349-$D$3))+(Summary!$M$12*Z349*AC349*(AJ349-EOMONTH(EDATE(A349,-1),0))))/(AK349*AB349*AE349)</f>
        <v>#VALUE!</v>
      </c>
      <c r="AG349" s="88" t="str">
        <f>IF($A350="","",Summary!$Q$12)</f>
        <v/>
      </c>
      <c r="AH349" s="88" t="str">
        <f>IF($A350="","",IF(Summary!$R$12="Y",(VLOOKUP($A349,Summary!$AD$6:$AF$9,3)+'Escalating commodity'!H362),'Escalating commodity'!H362))</f>
        <v/>
      </c>
      <c r="AI349" s="88" t="str">
        <f t="shared" si="224"/>
        <v/>
      </c>
      <c r="AJ349" s="236" t="e">
        <f t="shared" si="211"/>
        <v>#VALUE!</v>
      </c>
      <c r="AK349" s="58" t="str">
        <f t="shared" si="212"/>
        <v/>
      </c>
      <c r="AL349" s="26" t="str">
        <f>IF($A350="","",_xll.SPRDOPT(P349,X349,AI349,0,AB349,AE349,AF349,AK349,$AJ$2,0))</f>
        <v/>
      </c>
      <c r="AM349" s="89" t="str">
        <f t="shared" si="213"/>
        <v/>
      </c>
      <c r="AN349" s="89" t="str">
        <f t="shared" si="214"/>
        <v/>
      </c>
      <c r="AO349" s="3" t="str">
        <f t="shared" si="215"/>
        <v/>
      </c>
      <c r="AP349" s="33" t="str">
        <f t="shared" si="216"/>
        <v/>
      </c>
      <c r="AQ349" s="58" t="str">
        <f t="shared" si="217"/>
        <v/>
      </c>
      <c r="AR349" s="38">
        <f>'ANR OK vs ML7'!AR349</f>
        <v>0.1</v>
      </c>
      <c r="AS349" s="35" t="str">
        <f t="shared" si="218"/>
        <v/>
      </c>
      <c r="AT349" s="3" t="str">
        <f t="shared" si="219"/>
        <v/>
      </c>
      <c r="AU349" s="3" t="str">
        <f t="shared" si="220"/>
        <v/>
      </c>
      <c r="AW349" s="32" t="str">
        <f t="shared" si="221"/>
        <v/>
      </c>
      <c r="AX349" s="32" t="str">
        <f t="shared" si="221"/>
        <v/>
      </c>
      <c r="AY349" s="32" t="str">
        <f t="shared" si="222"/>
        <v/>
      </c>
      <c r="BA349" s="32" t="str">
        <f>IF($A350="","",F349*Summary!$Q$12)</f>
        <v/>
      </c>
    </row>
    <row r="350" spans="1:53" ht="12" customHeight="1">
      <c r="A350" s="67" t="str">
        <f t="shared" si="223"/>
        <v/>
      </c>
      <c r="B350" s="69" t="str">
        <f t="shared" si="225"/>
        <v/>
      </c>
      <c r="C350" s="71"/>
      <c r="D350" s="69" t="str">
        <f t="shared" si="189"/>
        <v/>
      </c>
      <c r="E350" s="70" t="str">
        <f t="shared" si="190"/>
        <v/>
      </c>
      <c r="F350" s="70" t="str">
        <f t="shared" si="191"/>
        <v/>
      </c>
      <c r="G350" s="63" t="str">
        <f t="shared" si="192"/>
        <v/>
      </c>
      <c r="H350" s="64" t="str">
        <f t="shared" si="193"/>
        <v/>
      </c>
      <c r="I350" s="43"/>
      <c r="J350" s="63" t="str">
        <f t="shared" si="194"/>
        <v/>
      </c>
      <c r="K350" s="64" t="str">
        <f t="shared" si="195"/>
        <v/>
      </c>
      <c r="L350" s="63" t="str">
        <f t="shared" si="196"/>
        <v/>
      </c>
      <c r="M350" s="64" t="str">
        <f t="shared" si="197"/>
        <v/>
      </c>
      <c r="N350" s="65"/>
      <c r="O350" s="63" t="str">
        <f t="shared" si="198"/>
        <v/>
      </c>
      <c r="P350" s="63" t="str">
        <f t="shared" si="199"/>
        <v/>
      </c>
      <c r="Q350" s="66"/>
      <c r="R350" s="63" t="str">
        <f t="shared" si="200"/>
        <v/>
      </c>
      <c r="S350" s="64" t="str">
        <f t="shared" si="201"/>
        <v/>
      </c>
      <c r="T350" s="63" t="str">
        <f t="shared" si="202"/>
        <v/>
      </c>
      <c r="U350" s="64" t="str">
        <f t="shared" si="203"/>
        <v/>
      </c>
      <c r="V350" s="90" t="str">
        <f>IF($A351="","",IF(AND(MONTH(A350)&gt;3,MONTH(A350)&lt;11),(T350+R350+G350)*(((1/(1-Summary!$T$12))/(1-Summary!$W$12))-1),(T350+R350+G350)*((1/(1-Summary!$U$12))/(1-Summary!$X$12)-1)))</f>
        <v/>
      </c>
      <c r="W350" s="63" t="str">
        <f t="shared" si="204"/>
        <v/>
      </c>
      <c r="X350" s="63" t="str">
        <f t="shared" si="205"/>
        <v/>
      </c>
      <c r="Y350" s="43"/>
      <c r="Z350" s="38" t="str">
        <f t="shared" si="206"/>
        <v/>
      </c>
      <c r="AA350" s="38" t="str">
        <f t="shared" si="207"/>
        <v/>
      </c>
      <c r="AB350" s="38" t="e">
        <f t="shared" si="208"/>
        <v>#VALUE!</v>
      </c>
      <c r="AC350" s="38" t="str">
        <f t="shared" si="209"/>
        <v/>
      </c>
      <c r="AD350" s="38" t="str">
        <f t="shared" si="209"/>
        <v/>
      </c>
      <c r="AE350" s="38" t="e">
        <f t="shared" si="210"/>
        <v>#VALUE!</v>
      </c>
      <c r="AF350" s="238" t="e">
        <f>((Summary!$N$12*(AA350*AD350)*(A350-$D$3))+(Summary!$M$12*Z350*AC350*(AJ350-EOMONTH(EDATE(A350,-1),0))))/(AK350*AB350*AE350)</f>
        <v>#VALUE!</v>
      </c>
      <c r="AG350" s="88" t="str">
        <f>IF($A351="","",Summary!$Q$12)</f>
        <v/>
      </c>
      <c r="AH350" s="88" t="str">
        <f>IF($A351="","",IF(Summary!$R$12="Y",(VLOOKUP($A350,Summary!$AD$6:$AF$9,3)+'Escalating commodity'!H363),'Escalating commodity'!H363))</f>
        <v/>
      </c>
      <c r="AI350" s="88" t="str">
        <f t="shared" si="224"/>
        <v/>
      </c>
      <c r="AJ350" s="236" t="e">
        <f t="shared" si="211"/>
        <v>#VALUE!</v>
      </c>
      <c r="AK350" s="58" t="str">
        <f t="shared" si="212"/>
        <v/>
      </c>
      <c r="AL350" s="26" t="str">
        <f>IF($A351="","",_xll.SPRDOPT(P350,X350,AI350,0,AB350,AE350,AF350,AK350,$AJ$2,0))</f>
        <v/>
      </c>
      <c r="AM350" s="89" t="str">
        <f t="shared" si="213"/>
        <v/>
      </c>
      <c r="AN350" s="89" t="str">
        <f t="shared" si="214"/>
        <v/>
      </c>
      <c r="AO350" s="3" t="str">
        <f t="shared" si="215"/>
        <v/>
      </c>
      <c r="AP350" s="33" t="str">
        <f t="shared" si="216"/>
        <v/>
      </c>
      <c r="AQ350" s="58" t="str">
        <f t="shared" si="217"/>
        <v/>
      </c>
      <c r="AR350" s="38">
        <f>'ANR OK vs ML7'!AR350</f>
        <v>0.1</v>
      </c>
      <c r="AS350" s="35" t="str">
        <f t="shared" si="218"/>
        <v/>
      </c>
      <c r="AT350" s="3" t="str">
        <f t="shared" si="219"/>
        <v/>
      </c>
      <c r="AU350" s="3" t="str">
        <f t="shared" si="220"/>
        <v/>
      </c>
      <c r="AW350" s="32" t="str">
        <f t="shared" si="221"/>
        <v/>
      </c>
      <c r="AX350" s="32" t="str">
        <f t="shared" si="221"/>
        <v/>
      </c>
      <c r="AY350" s="32" t="str">
        <f t="shared" si="222"/>
        <v/>
      </c>
      <c r="BA350" s="32" t="str">
        <f>IF($A351="","",F350*Summary!$Q$12)</f>
        <v/>
      </c>
    </row>
    <row r="351" spans="1:53" ht="12" customHeight="1">
      <c r="A351" s="67" t="str">
        <f t="shared" si="223"/>
        <v/>
      </c>
      <c r="B351" s="69" t="str">
        <f t="shared" si="225"/>
        <v/>
      </c>
      <c r="C351" s="71"/>
      <c r="D351" s="69" t="str">
        <f t="shared" si="189"/>
        <v/>
      </c>
      <c r="E351" s="70" t="str">
        <f t="shared" si="190"/>
        <v/>
      </c>
      <c r="F351" s="70" t="str">
        <f t="shared" si="191"/>
        <v/>
      </c>
      <c r="G351" s="63" t="str">
        <f t="shared" si="192"/>
        <v/>
      </c>
      <c r="H351" s="64" t="str">
        <f t="shared" si="193"/>
        <v/>
      </c>
      <c r="I351" s="43"/>
      <c r="J351" s="63" t="str">
        <f t="shared" si="194"/>
        <v/>
      </c>
      <c r="K351" s="64" t="str">
        <f t="shared" si="195"/>
        <v/>
      </c>
      <c r="L351" s="63" t="str">
        <f t="shared" si="196"/>
        <v/>
      </c>
      <c r="M351" s="64" t="str">
        <f t="shared" si="197"/>
        <v/>
      </c>
      <c r="N351" s="65"/>
      <c r="O351" s="63" t="str">
        <f t="shared" si="198"/>
        <v/>
      </c>
      <c r="P351" s="63" t="str">
        <f t="shared" si="199"/>
        <v/>
      </c>
      <c r="Q351" s="66"/>
      <c r="R351" s="63" t="str">
        <f t="shared" si="200"/>
        <v/>
      </c>
      <c r="S351" s="64" t="str">
        <f t="shared" si="201"/>
        <v/>
      </c>
      <c r="T351" s="63" t="str">
        <f t="shared" si="202"/>
        <v/>
      </c>
      <c r="U351" s="64" t="str">
        <f t="shared" si="203"/>
        <v/>
      </c>
      <c r="V351" s="90" t="str">
        <f>IF($A352="","",IF(AND(MONTH(A351)&gt;3,MONTH(A351)&lt;11),(T351+R351+G351)*(((1/(1-Summary!$T$12))/(1-Summary!$W$12))-1),(T351+R351+G351)*((1/(1-Summary!$U$12))/(1-Summary!$X$12)-1)))</f>
        <v/>
      </c>
      <c r="W351" s="63" t="str">
        <f t="shared" si="204"/>
        <v/>
      </c>
      <c r="X351" s="63" t="str">
        <f t="shared" si="205"/>
        <v/>
      </c>
      <c r="Y351" s="43"/>
      <c r="Z351" s="38" t="str">
        <f t="shared" si="206"/>
        <v/>
      </c>
      <c r="AA351" s="38" t="str">
        <f t="shared" si="207"/>
        <v/>
      </c>
      <c r="AB351" s="38" t="e">
        <f t="shared" si="208"/>
        <v>#VALUE!</v>
      </c>
      <c r="AC351" s="38" t="str">
        <f t="shared" si="209"/>
        <v/>
      </c>
      <c r="AD351" s="38" t="str">
        <f t="shared" si="209"/>
        <v/>
      </c>
      <c r="AE351" s="38" t="e">
        <f t="shared" si="210"/>
        <v>#VALUE!</v>
      </c>
      <c r="AF351" s="238" t="e">
        <f>((Summary!$N$12*(AA351*AD351)*(A351-$D$3))+(Summary!$M$12*Z351*AC351*(AJ351-EOMONTH(EDATE(A351,-1),0))))/(AK351*AB351*AE351)</f>
        <v>#VALUE!</v>
      </c>
      <c r="AG351" s="88" t="str">
        <f>IF($A352="","",Summary!$Q$12)</f>
        <v/>
      </c>
      <c r="AH351" s="88" t="str">
        <f>IF($A352="","",IF(Summary!$R$12="Y",(VLOOKUP($A351,Summary!$AD$6:$AF$9,3)+'Escalating commodity'!H364),'Escalating commodity'!H364))</f>
        <v/>
      </c>
      <c r="AI351" s="88" t="str">
        <f t="shared" si="224"/>
        <v/>
      </c>
      <c r="AJ351" s="236" t="e">
        <f t="shared" si="211"/>
        <v>#VALUE!</v>
      </c>
      <c r="AK351" s="58" t="str">
        <f t="shared" si="212"/>
        <v/>
      </c>
      <c r="AL351" s="26" t="str">
        <f>IF($A352="","",_xll.SPRDOPT(P351,X351,AI351,0,AB351,AE351,AF351,AK351,$AJ$2,0))</f>
        <v/>
      </c>
      <c r="AM351" s="89" t="str">
        <f t="shared" si="213"/>
        <v/>
      </c>
      <c r="AN351" s="89" t="str">
        <f t="shared" si="214"/>
        <v/>
      </c>
      <c r="AO351" s="3" t="str">
        <f t="shared" si="215"/>
        <v/>
      </c>
      <c r="AP351" s="33" t="str">
        <f t="shared" si="216"/>
        <v/>
      </c>
      <c r="AQ351" s="58" t="str">
        <f t="shared" si="217"/>
        <v/>
      </c>
      <c r="AR351" s="38">
        <f>'ANR OK vs ML7'!AR351</f>
        <v>0.1</v>
      </c>
      <c r="AS351" s="35" t="str">
        <f t="shared" si="218"/>
        <v/>
      </c>
      <c r="AT351" s="3" t="str">
        <f t="shared" si="219"/>
        <v/>
      </c>
      <c r="AU351" s="3" t="str">
        <f t="shared" si="220"/>
        <v/>
      </c>
      <c r="AW351" s="32" t="str">
        <f t="shared" si="221"/>
        <v/>
      </c>
      <c r="AX351" s="32" t="str">
        <f t="shared" si="221"/>
        <v/>
      </c>
      <c r="AY351" s="32" t="str">
        <f t="shared" si="222"/>
        <v/>
      </c>
      <c r="BA351" s="32" t="str">
        <f>IF($A352="","",F351*Summary!$Q$12)</f>
        <v/>
      </c>
    </row>
    <row r="352" spans="1:53" ht="12" customHeight="1">
      <c r="A352" s="67" t="str">
        <f t="shared" si="223"/>
        <v/>
      </c>
      <c r="B352" s="69" t="str">
        <f t="shared" si="225"/>
        <v/>
      </c>
      <c r="C352" s="71"/>
      <c r="D352" s="69" t="str">
        <f t="shared" si="189"/>
        <v/>
      </c>
      <c r="E352" s="70" t="str">
        <f t="shared" si="190"/>
        <v/>
      </c>
      <c r="F352" s="70" t="str">
        <f t="shared" si="191"/>
        <v/>
      </c>
      <c r="G352" s="63" t="str">
        <f t="shared" si="192"/>
        <v/>
      </c>
      <c r="H352" s="64" t="str">
        <f t="shared" si="193"/>
        <v/>
      </c>
      <c r="I352" s="43"/>
      <c r="J352" s="63" t="str">
        <f t="shared" si="194"/>
        <v/>
      </c>
      <c r="K352" s="64" t="str">
        <f t="shared" si="195"/>
        <v/>
      </c>
      <c r="L352" s="63" t="str">
        <f t="shared" si="196"/>
        <v/>
      </c>
      <c r="M352" s="64" t="str">
        <f t="shared" si="197"/>
        <v/>
      </c>
      <c r="N352" s="65"/>
      <c r="O352" s="63" t="str">
        <f t="shared" si="198"/>
        <v/>
      </c>
      <c r="P352" s="63" t="str">
        <f t="shared" si="199"/>
        <v/>
      </c>
      <c r="Q352" s="66"/>
      <c r="R352" s="63" t="str">
        <f t="shared" si="200"/>
        <v/>
      </c>
      <c r="S352" s="64" t="str">
        <f t="shared" si="201"/>
        <v/>
      </c>
      <c r="T352" s="63" t="str">
        <f t="shared" si="202"/>
        <v/>
      </c>
      <c r="U352" s="64" t="str">
        <f t="shared" si="203"/>
        <v/>
      </c>
      <c r="V352" s="90" t="str">
        <f>IF($A353="","",IF(AND(MONTH(A352)&gt;3,MONTH(A352)&lt;11),(T352+R352+G352)*(((1/(1-Summary!$T$12))/(1-Summary!$W$12))-1),(T352+R352+G352)*((1/(1-Summary!$U$12))/(1-Summary!$X$12)-1)))</f>
        <v/>
      </c>
      <c r="W352" s="63" t="str">
        <f t="shared" si="204"/>
        <v/>
      </c>
      <c r="X352" s="63" t="str">
        <f t="shared" si="205"/>
        <v/>
      </c>
      <c r="Y352" s="43"/>
      <c r="Z352" s="38" t="str">
        <f t="shared" si="206"/>
        <v/>
      </c>
      <c r="AA352" s="38" t="str">
        <f t="shared" si="207"/>
        <v/>
      </c>
      <c r="AB352" s="38" t="e">
        <f t="shared" si="208"/>
        <v>#VALUE!</v>
      </c>
      <c r="AC352" s="38" t="str">
        <f t="shared" si="209"/>
        <v/>
      </c>
      <c r="AD352" s="38" t="str">
        <f t="shared" si="209"/>
        <v/>
      </c>
      <c r="AE352" s="38" t="e">
        <f t="shared" si="210"/>
        <v>#VALUE!</v>
      </c>
      <c r="AF352" s="238" t="e">
        <f>((Summary!$N$12*(AA352*AD352)*(A352-$D$3))+(Summary!$M$12*Z352*AC352*(AJ352-EOMONTH(EDATE(A352,-1),0))))/(AK352*AB352*AE352)</f>
        <v>#VALUE!</v>
      </c>
      <c r="AG352" s="88" t="str">
        <f>IF($A353="","",Summary!$Q$12)</f>
        <v/>
      </c>
      <c r="AH352" s="88" t="str">
        <f>IF($A353="","",IF(Summary!$R$12="Y",(VLOOKUP($A352,Summary!$AD$6:$AF$9,3)+'Escalating commodity'!H365),'Escalating commodity'!H365))</f>
        <v/>
      </c>
      <c r="AI352" s="88" t="str">
        <f t="shared" si="224"/>
        <v/>
      </c>
      <c r="AJ352" s="236" t="e">
        <f t="shared" si="211"/>
        <v>#VALUE!</v>
      </c>
      <c r="AK352" s="58" t="str">
        <f t="shared" si="212"/>
        <v/>
      </c>
      <c r="AL352" s="26" t="str">
        <f>IF($A353="","",_xll.SPRDOPT(P352,X352,AI352,0,AB352,AE352,AF352,AK352,$AJ$2,0))</f>
        <v/>
      </c>
      <c r="AM352" s="89" t="str">
        <f t="shared" si="213"/>
        <v/>
      </c>
      <c r="AN352" s="89" t="str">
        <f t="shared" si="214"/>
        <v/>
      </c>
      <c r="AO352" s="3" t="str">
        <f t="shared" si="215"/>
        <v/>
      </c>
      <c r="AP352" s="33" t="str">
        <f t="shared" si="216"/>
        <v/>
      </c>
      <c r="AQ352" s="58" t="str">
        <f t="shared" si="217"/>
        <v/>
      </c>
      <c r="AR352" s="38">
        <f>'ANR OK vs ML7'!AR352</f>
        <v>0.1</v>
      </c>
      <c r="AS352" s="35" t="str">
        <f t="shared" si="218"/>
        <v/>
      </c>
      <c r="AT352" s="3" t="str">
        <f t="shared" si="219"/>
        <v/>
      </c>
      <c r="AU352" s="3" t="str">
        <f t="shared" si="220"/>
        <v/>
      </c>
      <c r="AW352" s="32" t="str">
        <f t="shared" si="221"/>
        <v/>
      </c>
      <c r="AX352" s="32" t="str">
        <f t="shared" si="221"/>
        <v/>
      </c>
      <c r="AY352" s="32" t="str">
        <f t="shared" si="222"/>
        <v/>
      </c>
      <c r="BA352" s="32" t="str">
        <f>IF($A353="","",F352*Summary!$Q$12)</f>
        <v/>
      </c>
    </row>
    <row r="353" spans="1:53" ht="12" customHeight="1">
      <c r="A353" s="67" t="str">
        <f t="shared" si="223"/>
        <v/>
      </c>
      <c r="B353" s="69" t="str">
        <f t="shared" si="225"/>
        <v/>
      </c>
      <c r="C353" s="71"/>
      <c r="D353" s="69" t="str">
        <f t="shared" si="189"/>
        <v/>
      </c>
      <c r="E353" s="70" t="str">
        <f t="shared" si="190"/>
        <v/>
      </c>
      <c r="F353" s="70" t="str">
        <f t="shared" si="191"/>
        <v/>
      </c>
      <c r="G353" s="63" t="str">
        <f t="shared" si="192"/>
        <v/>
      </c>
      <c r="H353" s="64" t="str">
        <f t="shared" si="193"/>
        <v/>
      </c>
      <c r="I353" s="43"/>
      <c r="J353" s="63" t="str">
        <f t="shared" si="194"/>
        <v/>
      </c>
      <c r="K353" s="64" t="str">
        <f t="shared" si="195"/>
        <v/>
      </c>
      <c r="L353" s="63" t="str">
        <f t="shared" si="196"/>
        <v/>
      </c>
      <c r="M353" s="64" t="str">
        <f t="shared" si="197"/>
        <v/>
      </c>
      <c r="N353" s="65"/>
      <c r="O353" s="63" t="str">
        <f t="shared" si="198"/>
        <v/>
      </c>
      <c r="P353" s="63" t="str">
        <f t="shared" si="199"/>
        <v/>
      </c>
      <c r="Q353" s="66"/>
      <c r="R353" s="63" t="str">
        <f t="shared" si="200"/>
        <v/>
      </c>
      <c r="S353" s="64" t="str">
        <f t="shared" si="201"/>
        <v/>
      </c>
      <c r="T353" s="63" t="str">
        <f t="shared" si="202"/>
        <v/>
      </c>
      <c r="U353" s="64" t="str">
        <f t="shared" si="203"/>
        <v/>
      </c>
      <c r="V353" s="90" t="str">
        <f>IF($A354="","",IF(AND(MONTH(A353)&gt;3,MONTH(A353)&lt;11),(T353+R353+G353)*(((1/(1-Summary!$T$12))/(1-Summary!$W$12))-1),(T353+R353+G353)*((1/(1-Summary!$U$12))/(1-Summary!$X$12)-1)))</f>
        <v/>
      </c>
      <c r="W353" s="63" t="str">
        <f t="shared" si="204"/>
        <v/>
      </c>
      <c r="X353" s="63" t="str">
        <f t="shared" si="205"/>
        <v/>
      </c>
      <c r="Y353" s="43"/>
      <c r="Z353" s="38" t="str">
        <f t="shared" si="206"/>
        <v/>
      </c>
      <c r="AA353" s="38" t="str">
        <f t="shared" si="207"/>
        <v/>
      </c>
      <c r="AB353" s="38" t="e">
        <f t="shared" si="208"/>
        <v>#VALUE!</v>
      </c>
      <c r="AC353" s="38" t="str">
        <f t="shared" si="209"/>
        <v/>
      </c>
      <c r="AD353" s="38" t="str">
        <f t="shared" si="209"/>
        <v/>
      </c>
      <c r="AE353" s="38" t="e">
        <f t="shared" si="210"/>
        <v>#VALUE!</v>
      </c>
      <c r="AF353" s="238" t="e">
        <f>((Summary!$N$12*(AA353*AD353)*(A353-$D$3))+(Summary!$M$12*Z353*AC353*(AJ353-EOMONTH(EDATE(A353,-1),0))))/(AK353*AB353*AE353)</f>
        <v>#VALUE!</v>
      </c>
      <c r="AG353" s="88" t="str">
        <f>IF($A354="","",Summary!$Q$12)</f>
        <v/>
      </c>
      <c r="AH353" s="88" t="str">
        <f>IF($A354="","",IF(Summary!$R$12="Y",(VLOOKUP($A353,Summary!$AD$6:$AF$9,3)+'Escalating commodity'!H366),'Escalating commodity'!H366))</f>
        <v/>
      </c>
      <c r="AI353" s="88" t="str">
        <f t="shared" si="224"/>
        <v/>
      </c>
      <c r="AJ353" s="236" t="e">
        <f t="shared" si="211"/>
        <v>#VALUE!</v>
      </c>
      <c r="AK353" s="58" t="str">
        <f t="shared" si="212"/>
        <v/>
      </c>
      <c r="AL353" s="26" t="str">
        <f>IF($A354="","",_xll.SPRDOPT(P353,X353,AI353,0,AB353,AE353,AF353,AK353,$AJ$2,0))</f>
        <v/>
      </c>
      <c r="AM353" s="89" t="str">
        <f t="shared" si="213"/>
        <v/>
      </c>
      <c r="AN353" s="89" t="str">
        <f t="shared" si="214"/>
        <v/>
      </c>
      <c r="AO353" s="3" t="str">
        <f t="shared" si="215"/>
        <v/>
      </c>
      <c r="AP353" s="33" t="str">
        <f t="shared" si="216"/>
        <v/>
      </c>
      <c r="AQ353" s="58" t="str">
        <f t="shared" si="217"/>
        <v/>
      </c>
      <c r="AR353" s="38">
        <f>'ANR OK vs ML7'!AR353</f>
        <v>0.1</v>
      </c>
      <c r="AS353" s="35" t="str">
        <f t="shared" si="218"/>
        <v/>
      </c>
      <c r="AT353" s="3" t="str">
        <f t="shared" si="219"/>
        <v/>
      </c>
      <c r="AU353" s="3" t="str">
        <f t="shared" si="220"/>
        <v/>
      </c>
      <c r="AW353" s="32" t="str">
        <f t="shared" si="221"/>
        <v/>
      </c>
      <c r="AX353" s="32" t="str">
        <f t="shared" si="221"/>
        <v/>
      </c>
      <c r="AY353" s="32" t="str">
        <f t="shared" si="222"/>
        <v/>
      </c>
      <c r="BA353" s="32" t="str">
        <f>IF($A354="","",F353*Summary!$Q$12)</f>
        <v/>
      </c>
    </row>
    <row r="354" spans="1:53" ht="12" customHeight="1">
      <c r="A354" s="67" t="str">
        <f t="shared" si="223"/>
        <v/>
      </c>
      <c r="B354" s="69" t="str">
        <f t="shared" si="225"/>
        <v/>
      </c>
      <c r="C354" s="71"/>
      <c r="D354" s="69" t="str">
        <f t="shared" si="189"/>
        <v/>
      </c>
      <c r="E354" s="70" t="str">
        <f t="shared" si="190"/>
        <v/>
      </c>
      <c r="F354" s="70" t="str">
        <f t="shared" si="191"/>
        <v/>
      </c>
      <c r="G354" s="63" t="str">
        <f t="shared" si="192"/>
        <v/>
      </c>
      <c r="H354" s="64" t="str">
        <f t="shared" si="193"/>
        <v/>
      </c>
      <c r="I354" s="43"/>
      <c r="J354" s="63" t="str">
        <f t="shared" si="194"/>
        <v/>
      </c>
      <c r="K354" s="64" t="str">
        <f t="shared" si="195"/>
        <v/>
      </c>
      <c r="L354" s="63" t="str">
        <f t="shared" si="196"/>
        <v/>
      </c>
      <c r="M354" s="64" t="str">
        <f t="shared" si="197"/>
        <v/>
      </c>
      <c r="N354" s="65"/>
      <c r="O354" s="63" t="str">
        <f t="shared" si="198"/>
        <v/>
      </c>
      <c r="P354" s="63" t="str">
        <f t="shared" si="199"/>
        <v/>
      </c>
      <c r="Q354" s="66"/>
      <c r="R354" s="63" t="str">
        <f t="shared" si="200"/>
        <v/>
      </c>
      <c r="S354" s="64" t="str">
        <f t="shared" si="201"/>
        <v/>
      </c>
      <c r="T354" s="63" t="str">
        <f t="shared" si="202"/>
        <v/>
      </c>
      <c r="U354" s="64" t="str">
        <f t="shared" si="203"/>
        <v/>
      </c>
      <c r="V354" s="90" t="str">
        <f>IF($A355="","",IF(AND(MONTH(A354)&gt;3,MONTH(A354)&lt;11),(T354+R354+G354)*(((1/(1-Summary!$T$12))/(1-Summary!$W$12))-1),(T354+R354+G354)*((1/(1-Summary!$U$12))/(1-Summary!$X$12)-1)))</f>
        <v/>
      </c>
      <c r="W354" s="63" t="str">
        <f t="shared" si="204"/>
        <v/>
      </c>
      <c r="X354" s="63" t="str">
        <f t="shared" si="205"/>
        <v/>
      </c>
      <c r="Y354" s="43"/>
      <c r="Z354" s="38" t="str">
        <f t="shared" si="206"/>
        <v/>
      </c>
      <c r="AA354" s="38" t="str">
        <f t="shared" si="207"/>
        <v/>
      </c>
      <c r="AB354" s="38" t="e">
        <f t="shared" si="208"/>
        <v>#VALUE!</v>
      </c>
      <c r="AC354" s="38" t="str">
        <f t="shared" si="209"/>
        <v/>
      </c>
      <c r="AD354" s="38" t="str">
        <f t="shared" si="209"/>
        <v/>
      </c>
      <c r="AE354" s="38" t="e">
        <f t="shared" si="210"/>
        <v>#VALUE!</v>
      </c>
      <c r="AF354" s="238" t="e">
        <f>((Summary!$N$12*(AA354*AD354)*(A354-$D$3))+(Summary!$M$12*Z354*AC354*(AJ354-EOMONTH(EDATE(A354,-1),0))))/(AK354*AB354*AE354)</f>
        <v>#VALUE!</v>
      </c>
      <c r="AG354" s="88" t="str">
        <f>IF($A355="","",Summary!$Q$12)</f>
        <v/>
      </c>
      <c r="AH354" s="88" t="str">
        <f>IF($A355="","",IF(Summary!$R$12="Y",(VLOOKUP($A354,Summary!$AD$6:$AF$9,3)+'Escalating commodity'!H367),'Escalating commodity'!H367))</f>
        <v/>
      </c>
      <c r="AI354" s="88" t="str">
        <f t="shared" si="224"/>
        <v/>
      </c>
      <c r="AJ354" s="236" t="e">
        <f t="shared" si="211"/>
        <v>#VALUE!</v>
      </c>
      <c r="AK354" s="58" t="str">
        <f t="shared" si="212"/>
        <v/>
      </c>
      <c r="AL354" s="26" t="str">
        <f>IF($A355="","",_xll.SPRDOPT(P354,X354,AI354,0,AB354,AE354,AF354,AK354,$AJ$2,0))</f>
        <v/>
      </c>
      <c r="AM354" s="89" t="str">
        <f t="shared" si="213"/>
        <v/>
      </c>
      <c r="AN354" s="89" t="str">
        <f t="shared" si="214"/>
        <v/>
      </c>
      <c r="AO354" s="3" t="str">
        <f t="shared" si="215"/>
        <v/>
      </c>
      <c r="AP354" s="33" t="str">
        <f t="shared" si="216"/>
        <v/>
      </c>
      <c r="AQ354" s="58" t="str">
        <f t="shared" si="217"/>
        <v/>
      </c>
      <c r="AR354" s="38">
        <f>'ANR OK vs ML7'!AR354</f>
        <v>0.1</v>
      </c>
      <c r="AS354" s="35" t="str">
        <f t="shared" si="218"/>
        <v/>
      </c>
      <c r="AT354" s="3" t="str">
        <f t="shared" si="219"/>
        <v/>
      </c>
      <c r="AU354" s="3" t="str">
        <f t="shared" si="220"/>
        <v/>
      </c>
      <c r="AW354" s="32" t="str">
        <f t="shared" si="221"/>
        <v/>
      </c>
      <c r="AX354" s="32" t="str">
        <f t="shared" si="221"/>
        <v/>
      </c>
      <c r="AY354" s="32" t="str">
        <f t="shared" si="222"/>
        <v/>
      </c>
      <c r="BA354" s="32" t="str">
        <f>IF($A355="","",F354*Summary!$Q$12)</f>
        <v/>
      </c>
    </row>
    <row r="355" spans="1:53" ht="12" customHeight="1">
      <c r="A355" s="67" t="str">
        <f t="shared" si="223"/>
        <v/>
      </c>
      <c r="B355" s="69" t="str">
        <f t="shared" si="225"/>
        <v/>
      </c>
      <c r="C355" s="71"/>
      <c r="D355" s="69" t="str">
        <f t="shared" si="189"/>
        <v/>
      </c>
      <c r="E355" s="70" t="str">
        <f t="shared" si="190"/>
        <v/>
      </c>
      <c r="F355" s="70" t="str">
        <f t="shared" si="191"/>
        <v/>
      </c>
      <c r="G355" s="63" t="str">
        <f t="shared" si="192"/>
        <v/>
      </c>
      <c r="H355" s="64" t="str">
        <f t="shared" si="193"/>
        <v/>
      </c>
      <c r="I355" s="43"/>
      <c r="J355" s="63" t="str">
        <f t="shared" si="194"/>
        <v/>
      </c>
      <c r="K355" s="64" t="str">
        <f t="shared" si="195"/>
        <v/>
      </c>
      <c r="L355" s="63" t="str">
        <f t="shared" si="196"/>
        <v/>
      </c>
      <c r="M355" s="64" t="str">
        <f t="shared" si="197"/>
        <v/>
      </c>
      <c r="N355" s="65"/>
      <c r="O355" s="63" t="str">
        <f t="shared" si="198"/>
        <v/>
      </c>
      <c r="P355" s="63" t="str">
        <f t="shared" si="199"/>
        <v/>
      </c>
      <c r="Q355" s="66"/>
      <c r="R355" s="63" t="str">
        <f t="shared" si="200"/>
        <v/>
      </c>
      <c r="S355" s="64" t="str">
        <f t="shared" si="201"/>
        <v/>
      </c>
      <c r="T355" s="63" t="str">
        <f t="shared" si="202"/>
        <v/>
      </c>
      <c r="U355" s="64" t="str">
        <f t="shared" si="203"/>
        <v/>
      </c>
      <c r="V355" s="90" t="str">
        <f>IF($A356="","",IF(AND(MONTH(A355)&gt;3,MONTH(A355)&lt;11),(T355+R355+G355)*(((1/(1-Summary!$T$12))/(1-Summary!$W$12))-1),(T355+R355+G355)*((1/(1-Summary!$U$12))/(1-Summary!$X$12)-1)))</f>
        <v/>
      </c>
      <c r="W355" s="63" t="str">
        <f t="shared" si="204"/>
        <v/>
      </c>
      <c r="X355" s="63" t="str">
        <f t="shared" si="205"/>
        <v/>
      </c>
      <c r="Y355" s="43"/>
      <c r="Z355" s="38" t="str">
        <f t="shared" si="206"/>
        <v/>
      </c>
      <c r="AA355" s="38" t="str">
        <f t="shared" si="207"/>
        <v/>
      </c>
      <c r="AB355" s="38" t="e">
        <f t="shared" si="208"/>
        <v>#VALUE!</v>
      </c>
      <c r="AC355" s="38" t="str">
        <f t="shared" si="209"/>
        <v/>
      </c>
      <c r="AD355" s="38" t="str">
        <f t="shared" si="209"/>
        <v/>
      </c>
      <c r="AE355" s="38" t="e">
        <f t="shared" si="210"/>
        <v>#VALUE!</v>
      </c>
      <c r="AF355" s="238" t="e">
        <f>((Summary!$N$12*(AA355*AD355)*(A355-$D$3))+(Summary!$M$12*Z355*AC355*(AJ355-EOMONTH(EDATE(A355,-1),0))))/(AK355*AB355*AE355)</f>
        <v>#VALUE!</v>
      </c>
      <c r="AG355" s="88" t="str">
        <f>IF($A356="","",Summary!$Q$12)</f>
        <v/>
      </c>
      <c r="AH355" s="88" t="str">
        <f>IF($A356="","",IF(Summary!$R$12="Y",(VLOOKUP($A355,Summary!$AD$6:$AF$9,3)+'Escalating commodity'!H368),'Escalating commodity'!H368))</f>
        <v/>
      </c>
      <c r="AI355" s="88" t="str">
        <f t="shared" si="224"/>
        <v/>
      </c>
      <c r="AJ355" s="236" t="e">
        <f t="shared" si="211"/>
        <v>#VALUE!</v>
      </c>
      <c r="AK355" s="58" t="str">
        <f t="shared" si="212"/>
        <v/>
      </c>
      <c r="AL355" s="26" t="str">
        <f>IF($A356="","",_xll.SPRDOPT(P355,X355,AI355,0,AB355,AE355,AF355,AK355,$AJ$2,0))</f>
        <v/>
      </c>
      <c r="AM355" s="89" t="str">
        <f t="shared" si="213"/>
        <v/>
      </c>
      <c r="AN355" s="89" t="str">
        <f t="shared" si="214"/>
        <v/>
      </c>
      <c r="AO355" s="3" t="str">
        <f t="shared" si="215"/>
        <v/>
      </c>
      <c r="AP355" s="33" t="str">
        <f t="shared" si="216"/>
        <v/>
      </c>
      <c r="AQ355" s="58" t="str">
        <f t="shared" si="217"/>
        <v/>
      </c>
      <c r="AR355" s="38">
        <f>'ANR OK vs ML7'!AR355</f>
        <v>0.1</v>
      </c>
      <c r="AS355" s="35" t="str">
        <f t="shared" si="218"/>
        <v/>
      </c>
      <c r="AT355" s="3" t="str">
        <f t="shared" si="219"/>
        <v/>
      </c>
      <c r="AU355" s="3" t="str">
        <f t="shared" si="220"/>
        <v/>
      </c>
      <c r="AW355" s="32" t="str">
        <f t="shared" si="221"/>
        <v/>
      </c>
      <c r="AX355" s="32" t="str">
        <f t="shared" si="221"/>
        <v/>
      </c>
      <c r="AY355" s="32" t="str">
        <f t="shared" si="222"/>
        <v/>
      </c>
      <c r="BA355" s="32" t="str">
        <f>IF($A356="","",F355*Summary!$Q$12)</f>
        <v/>
      </c>
    </row>
    <row r="356" spans="1:53" ht="12" customHeight="1">
      <c r="A356" s="67" t="str">
        <f t="shared" si="223"/>
        <v/>
      </c>
      <c r="B356" s="69" t="str">
        <f t="shared" si="225"/>
        <v/>
      </c>
      <c r="C356" s="71"/>
      <c r="D356" s="69" t="str">
        <f t="shared" si="189"/>
        <v/>
      </c>
      <c r="E356" s="70" t="str">
        <f t="shared" si="190"/>
        <v/>
      </c>
      <c r="F356" s="70" t="str">
        <f t="shared" si="191"/>
        <v/>
      </c>
      <c r="G356" s="63" t="str">
        <f t="shared" si="192"/>
        <v/>
      </c>
      <c r="H356" s="64" t="str">
        <f t="shared" si="193"/>
        <v/>
      </c>
      <c r="I356" s="43"/>
      <c r="J356" s="63" t="str">
        <f t="shared" si="194"/>
        <v/>
      </c>
      <c r="K356" s="64" t="str">
        <f t="shared" si="195"/>
        <v/>
      </c>
      <c r="L356" s="63" t="str">
        <f t="shared" si="196"/>
        <v/>
      </c>
      <c r="M356" s="64" t="str">
        <f t="shared" si="197"/>
        <v/>
      </c>
      <c r="N356" s="65"/>
      <c r="O356" s="63" t="str">
        <f t="shared" si="198"/>
        <v/>
      </c>
      <c r="P356" s="63" t="str">
        <f t="shared" si="199"/>
        <v/>
      </c>
      <c r="Q356" s="66"/>
      <c r="R356" s="63" t="str">
        <f t="shared" si="200"/>
        <v/>
      </c>
      <c r="S356" s="64" t="str">
        <f t="shared" si="201"/>
        <v/>
      </c>
      <c r="T356" s="63" t="str">
        <f t="shared" si="202"/>
        <v/>
      </c>
      <c r="U356" s="64" t="str">
        <f t="shared" si="203"/>
        <v/>
      </c>
      <c r="V356" s="90" t="str">
        <f>IF($A357="","",IF(AND(MONTH(A356)&gt;3,MONTH(A356)&lt;11),(T356+R356+G356)*(((1/(1-Summary!$T$12))/(1-Summary!$W$12))-1),(T356+R356+G356)*((1/(1-Summary!$U$12))/(1-Summary!$X$12)-1)))</f>
        <v/>
      </c>
      <c r="W356" s="63" t="str">
        <f t="shared" si="204"/>
        <v/>
      </c>
      <c r="X356" s="63" t="str">
        <f t="shared" si="205"/>
        <v/>
      </c>
      <c r="Y356" s="43"/>
      <c r="Z356" s="38" t="str">
        <f t="shared" si="206"/>
        <v/>
      </c>
      <c r="AA356" s="38" t="str">
        <f t="shared" si="207"/>
        <v/>
      </c>
      <c r="AB356" s="38" t="e">
        <f t="shared" si="208"/>
        <v>#VALUE!</v>
      </c>
      <c r="AC356" s="38" t="str">
        <f t="shared" si="209"/>
        <v/>
      </c>
      <c r="AD356" s="38" t="str">
        <f t="shared" si="209"/>
        <v/>
      </c>
      <c r="AE356" s="38" t="e">
        <f t="shared" si="210"/>
        <v>#VALUE!</v>
      </c>
      <c r="AF356" s="238" t="e">
        <f>((Summary!$N$12*(AA356*AD356)*(A356-$D$3))+(Summary!$M$12*Z356*AC356*(AJ356-EOMONTH(EDATE(A356,-1),0))))/(AK356*AB356*AE356)</f>
        <v>#VALUE!</v>
      </c>
      <c r="AG356" s="88" t="str">
        <f>IF($A357="","",Summary!$Q$12)</f>
        <v/>
      </c>
      <c r="AH356" s="88" t="str">
        <f>IF($A357="","",IF(Summary!$R$12="Y",(VLOOKUP($A356,Summary!$AD$6:$AF$9,3)+'Escalating commodity'!H369),'Escalating commodity'!H369))</f>
        <v/>
      </c>
      <c r="AI356" s="88" t="str">
        <f t="shared" si="224"/>
        <v/>
      </c>
      <c r="AJ356" s="236" t="e">
        <f t="shared" si="211"/>
        <v>#VALUE!</v>
      </c>
      <c r="AK356" s="58" t="str">
        <f t="shared" si="212"/>
        <v/>
      </c>
      <c r="AL356" s="26" t="str">
        <f>IF($A357="","",_xll.SPRDOPT(P356,X356,AI356,0,AB356,AE356,AF356,AK356,$AJ$2,0))</f>
        <v/>
      </c>
      <c r="AM356" s="89" t="str">
        <f t="shared" si="213"/>
        <v/>
      </c>
      <c r="AN356" s="89" t="str">
        <f t="shared" si="214"/>
        <v/>
      </c>
      <c r="AO356" s="3" t="str">
        <f t="shared" si="215"/>
        <v/>
      </c>
      <c r="AP356" s="33" t="str">
        <f t="shared" si="216"/>
        <v/>
      </c>
      <c r="AQ356" s="58" t="str">
        <f t="shared" si="217"/>
        <v/>
      </c>
      <c r="AR356" s="38">
        <f>'ANR OK vs ML7'!AR356</f>
        <v>0.1</v>
      </c>
      <c r="AS356" s="35" t="str">
        <f t="shared" si="218"/>
        <v/>
      </c>
      <c r="AT356" s="3" t="str">
        <f t="shared" si="219"/>
        <v/>
      </c>
      <c r="AU356" s="3" t="str">
        <f t="shared" si="220"/>
        <v/>
      </c>
      <c r="AW356" s="32" t="str">
        <f t="shared" si="221"/>
        <v/>
      </c>
      <c r="AX356" s="32" t="str">
        <f t="shared" si="221"/>
        <v/>
      </c>
      <c r="AY356" s="32" t="str">
        <f t="shared" si="222"/>
        <v/>
      </c>
      <c r="BA356" s="32" t="str">
        <f>IF($A357="","",F356*Summary!$Q$12)</f>
        <v/>
      </c>
    </row>
    <row r="357" spans="1:53" ht="12" customHeight="1">
      <c r="A357" s="67" t="str">
        <f t="shared" si="223"/>
        <v/>
      </c>
      <c r="B357" s="69" t="str">
        <f t="shared" si="225"/>
        <v/>
      </c>
      <c r="C357" s="71"/>
      <c r="D357" s="69" t="str">
        <f t="shared" si="189"/>
        <v/>
      </c>
      <c r="E357" s="70" t="str">
        <f t="shared" si="190"/>
        <v/>
      </c>
      <c r="F357" s="70" t="str">
        <f t="shared" si="191"/>
        <v/>
      </c>
      <c r="G357" s="63" t="str">
        <f t="shared" si="192"/>
        <v/>
      </c>
      <c r="H357" s="64" t="str">
        <f t="shared" si="193"/>
        <v/>
      </c>
      <c r="I357" s="43"/>
      <c r="J357" s="63" t="str">
        <f t="shared" si="194"/>
        <v/>
      </c>
      <c r="K357" s="64" t="str">
        <f t="shared" si="195"/>
        <v/>
      </c>
      <c r="L357" s="63" t="str">
        <f t="shared" si="196"/>
        <v/>
      </c>
      <c r="M357" s="64" t="str">
        <f t="shared" si="197"/>
        <v/>
      </c>
      <c r="N357" s="65"/>
      <c r="O357" s="63" t="str">
        <f t="shared" si="198"/>
        <v/>
      </c>
      <c r="P357" s="63" t="str">
        <f t="shared" si="199"/>
        <v/>
      </c>
      <c r="Q357" s="66"/>
      <c r="R357" s="63" t="str">
        <f t="shared" si="200"/>
        <v/>
      </c>
      <c r="S357" s="64" t="str">
        <f t="shared" si="201"/>
        <v/>
      </c>
      <c r="T357" s="63" t="str">
        <f t="shared" si="202"/>
        <v/>
      </c>
      <c r="U357" s="64" t="str">
        <f t="shared" si="203"/>
        <v/>
      </c>
      <c r="V357" s="90" t="str">
        <f>IF($A358="","",IF(AND(MONTH(A357)&gt;3,MONTH(A357)&lt;11),(T357+R357+G357)*(((1/(1-Summary!$T$12))/(1-Summary!$W$12))-1),(T357+R357+G357)*((1/(1-Summary!$U$12))/(1-Summary!$X$12)-1)))</f>
        <v/>
      </c>
      <c r="W357" s="63" t="str">
        <f t="shared" si="204"/>
        <v/>
      </c>
      <c r="X357" s="63" t="str">
        <f t="shared" si="205"/>
        <v/>
      </c>
      <c r="Y357" s="43"/>
      <c r="Z357" s="38" t="str">
        <f t="shared" si="206"/>
        <v/>
      </c>
      <c r="AA357" s="38" t="str">
        <f t="shared" si="207"/>
        <v/>
      </c>
      <c r="AB357" s="38" t="e">
        <f t="shared" si="208"/>
        <v>#VALUE!</v>
      </c>
      <c r="AC357" s="38" t="str">
        <f t="shared" si="209"/>
        <v/>
      </c>
      <c r="AD357" s="38" t="str">
        <f t="shared" si="209"/>
        <v/>
      </c>
      <c r="AE357" s="38" t="e">
        <f t="shared" si="210"/>
        <v>#VALUE!</v>
      </c>
      <c r="AF357" s="238" t="e">
        <f>((Summary!$N$12*(AA357*AD357)*(A357-$D$3))+(Summary!$M$12*Z357*AC357*(AJ357-EOMONTH(EDATE(A357,-1),0))))/(AK357*AB357*AE357)</f>
        <v>#VALUE!</v>
      </c>
      <c r="AG357" s="88" t="str">
        <f>IF($A358="","",Summary!$Q$12)</f>
        <v/>
      </c>
      <c r="AH357" s="88" t="str">
        <f>IF($A358="","",IF(Summary!$R$12="Y",(VLOOKUP($A357,Summary!$AD$6:$AF$9,3)+'Escalating commodity'!H370),'Escalating commodity'!H370))</f>
        <v/>
      </c>
      <c r="AI357" s="88" t="str">
        <f t="shared" si="224"/>
        <v/>
      </c>
      <c r="AJ357" s="236" t="e">
        <f t="shared" si="211"/>
        <v>#VALUE!</v>
      </c>
      <c r="AK357" s="58" t="str">
        <f t="shared" si="212"/>
        <v/>
      </c>
      <c r="AL357" s="26" t="str">
        <f>IF($A358="","",_xll.SPRDOPT(P357,X357,AI357,0,AB357,AE357,AF357,AK357,$AJ$2,0))</f>
        <v/>
      </c>
      <c r="AM357" s="89" t="str">
        <f t="shared" si="213"/>
        <v/>
      </c>
      <c r="AN357" s="89" t="str">
        <f t="shared" si="214"/>
        <v/>
      </c>
      <c r="AO357" s="3" t="str">
        <f t="shared" si="215"/>
        <v/>
      </c>
      <c r="AP357" s="33" t="str">
        <f t="shared" si="216"/>
        <v/>
      </c>
      <c r="AQ357" s="58" t="str">
        <f t="shared" si="217"/>
        <v/>
      </c>
      <c r="AR357" s="38">
        <f>'ANR OK vs ML7'!AR357</f>
        <v>0.1</v>
      </c>
      <c r="AS357" s="35" t="str">
        <f t="shared" si="218"/>
        <v/>
      </c>
      <c r="AT357" s="3" t="str">
        <f t="shared" si="219"/>
        <v/>
      </c>
      <c r="AU357" s="3" t="str">
        <f t="shared" si="220"/>
        <v/>
      </c>
      <c r="AW357" s="32" t="str">
        <f t="shared" si="221"/>
        <v/>
      </c>
      <c r="AX357" s="32" t="str">
        <f t="shared" si="221"/>
        <v/>
      </c>
      <c r="AY357" s="32" t="str">
        <f t="shared" si="222"/>
        <v/>
      </c>
      <c r="BA357" s="32" t="str">
        <f>IF($A358="","",F357*Summary!$Q$12)</f>
        <v/>
      </c>
    </row>
    <row r="358" spans="1:53" ht="12" customHeight="1">
      <c r="A358" s="67" t="str">
        <f t="shared" si="223"/>
        <v/>
      </c>
      <c r="B358" s="69" t="str">
        <f t="shared" si="225"/>
        <v/>
      </c>
      <c r="C358" s="71"/>
      <c r="D358" s="69" t="str">
        <f t="shared" si="189"/>
        <v/>
      </c>
      <c r="E358" s="70" t="str">
        <f t="shared" si="190"/>
        <v/>
      </c>
      <c r="F358" s="70" t="str">
        <f t="shared" si="191"/>
        <v/>
      </c>
      <c r="G358" s="63" t="str">
        <f t="shared" si="192"/>
        <v/>
      </c>
      <c r="H358" s="64" t="str">
        <f t="shared" si="193"/>
        <v/>
      </c>
      <c r="I358" s="43"/>
      <c r="J358" s="63" t="str">
        <f t="shared" si="194"/>
        <v/>
      </c>
      <c r="K358" s="64" t="str">
        <f t="shared" si="195"/>
        <v/>
      </c>
      <c r="L358" s="63" t="str">
        <f t="shared" si="196"/>
        <v/>
      </c>
      <c r="M358" s="64" t="str">
        <f t="shared" si="197"/>
        <v/>
      </c>
      <c r="N358" s="65"/>
      <c r="O358" s="63" t="str">
        <f t="shared" si="198"/>
        <v/>
      </c>
      <c r="P358" s="63" t="str">
        <f t="shared" si="199"/>
        <v/>
      </c>
      <c r="Q358" s="66"/>
      <c r="R358" s="63" t="str">
        <f t="shared" si="200"/>
        <v/>
      </c>
      <c r="S358" s="64" t="str">
        <f t="shared" si="201"/>
        <v/>
      </c>
      <c r="T358" s="63" t="str">
        <f t="shared" si="202"/>
        <v/>
      </c>
      <c r="U358" s="64" t="str">
        <f t="shared" si="203"/>
        <v/>
      </c>
      <c r="V358" s="90" t="str">
        <f>IF($A359="","",IF(AND(MONTH(A358)&gt;3,MONTH(A358)&lt;11),(T358+R358+G358)*(((1/(1-Summary!$T$12))/(1-Summary!$W$12))-1),(T358+R358+G358)*((1/(1-Summary!$U$12))/(1-Summary!$X$12)-1)))</f>
        <v/>
      </c>
      <c r="W358" s="63" t="str">
        <f t="shared" si="204"/>
        <v/>
      </c>
      <c r="X358" s="63" t="str">
        <f t="shared" si="205"/>
        <v/>
      </c>
      <c r="Y358" s="43"/>
      <c r="Z358" s="38" t="str">
        <f t="shared" si="206"/>
        <v/>
      </c>
      <c r="AA358" s="38" t="str">
        <f t="shared" si="207"/>
        <v/>
      </c>
      <c r="AB358" s="38" t="e">
        <f t="shared" si="208"/>
        <v>#VALUE!</v>
      </c>
      <c r="AC358" s="38" t="str">
        <f t="shared" si="209"/>
        <v/>
      </c>
      <c r="AD358" s="38" t="str">
        <f t="shared" si="209"/>
        <v/>
      </c>
      <c r="AE358" s="38" t="e">
        <f t="shared" si="210"/>
        <v>#VALUE!</v>
      </c>
      <c r="AF358" s="238" t="e">
        <f>((Summary!$N$12*(AA358*AD358)*(A358-$D$3))+(Summary!$M$12*Z358*AC358*(AJ358-EOMONTH(EDATE(A358,-1),0))))/(AK358*AB358*AE358)</f>
        <v>#VALUE!</v>
      </c>
      <c r="AG358" s="88" t="str">
        <f>IF($A359="","",Summary!$Q$12)</f>
        <v/>
      </c>
      <c r="AH358" s="88" t="str">
        <f>IF($A359="","",IF(Summary!$R$12="Y",(VLOOKUP($A358,Summary!$AD$6:$AF$9,3)+'Escalating commodity'!H371),'Escalating commodity'!H371))</f>
        <v/>
      </c>
      <c r="AI358" s="88" t="str">
        <f t="shared" si="224"/>
        <v/>
      </c>
      <c r="AJ358" s="236" t="e">
        <f t="shared" si="211"/>
        <v>#VALUE!</v>
      </c>
      <c r="AK358" s="58" t="str">
        <f t="shared" si="212"/>
        <v/>
      </c>
      <c r="AL358" s="26" t="str">
        <f>IF($A359="","",_xll.SPRDOPT(P358,X358,AI358,0,AB358,AE358,AF358,AK358,$AJ$2,0))</f>
        <v/>
      </c>
      <c r="AM358" s="89" t="str">
        <f t="shared" si="213"/>
        <v/>
      </c>
      <c r="AN358" s="89" t="str">
        <f t="shared" si="214"/>
        <v/>
      </c>
      <c r="AO358" s="3" t="str">
        <f t="shared" si="215"/>
        <v/>
      </c>
      <c r="AP358" s="33" t="str">
        <f t="shared" si="216"/>
        <v/>
      </c>
      <c r="AQ358" s="58" t="str">
        <f t="shared" si="217"/>
        <v/>
      </c>
      <c r="AR358" s="38">
        <f>'ANR OK vs ML7'!AR358</f>
        <v>0.1</v>
      </c>
      <c r="AS358" s="35" t="str">
        <f t="shared" si="218"/>
        <v/>
      </c>
      <c r="AT358" s="3" t="str">
        <f t="shared" si="219"/>
        <v/>
      </c>
      <c r="AU358" s="3" t="str">
        <f t="shared" si="220"/>
        <v/>
      </c>
      <c r="AW358" s="32" t="str">
        <f t="shared" si="221"/>
        <v/>
      </c>
      <c r="AX358" s="32" t="str">
        <f t="shared" si="221"/>
        <v/>
      </c>
      <c r="AY358" s="32" t="str">
        <f t="shared" si="222"/>
        <v/>
      </c>
      <c r="BA358" s="32" t="str">
        <f>IF($A359="","",F358*Summary!$Q$12)</f>
        <v/>
      </c>
    </row>
    <row r="359" spans="1:53" ht="12" customHeight="1">
      <c r="A359" s="67" t="str">
        <f t="shared" si="223"/>
        <v/>
      </c>
      <c r="B359" s="69" t="str">
        <f t="shared" si="225"/>
        <v/>
      </c>
      <c r="C359" s="71"/>
      <c r="D359" s="69" t="str">
        <f t="shared" si="189"/>
        <v/>
      </c>
      <c r="E359" s="70" t="str">
        <f t="shared" si="190"/>
        <v/>
      </c>
      <c r="F359" s="70" t="str">
        <f t="shared" si="191"/>
        <v/>
      </c>
      <c r="G359" s="63" t="str">
        <f t="shared" si="192"/>
        <v/>
      </c>
      <c r="H359" s="64" t="str">
        <f t="shared" si="193"/>
        <v/>
      </c>
      <c r="I359" s="43"/>
      <c r="J359" s="63" t="str">
        <f t="shared" si="194"/>
        <v/>
      </c>
      <c r="K359" s="64" t="str">
        <f t="shared" si="195"/>
        <v/>
      </c>
      <c r="L359" s="63" t="str">
        <f t="shared" si="196"/>
        <v/>
      </c>
      <c r="M359" s="64" t="str">
        <f t="shared" si="197"/>
        <v/>
      </c>
      <c r="N359" s="65"/>
      <c r="O359" s="63" t="str">
        <f t="shared" si="198"/>
        <v/>
      </c>
      <c r="P359" s="63" t="str">
        <f t="shared" si="199"/>
        <v/>
      </c>
      <c r="Q359" s="66"/>
      <c r="R359" s="63" t="str">
        <f t="shared" si="200"/>
        <v/>
      </c>
      <c r="S359" s="64" t="str">
        <f t="shared" si="201"/>
        <v/>
      </c>
      <c r="T359" s="63" t="str">
        <f t="shared" si="202"/>
        <v/>
      </c>
      <c r="U359" s="64" t="str">
        <f t="shared" si="203"/>
        <v/>
      </c>
      <c r="V359" s="90" t="str">
        <f>IF($A360="","",IF(AND(MONTH(A359)&gt;3,MONTH(A359)&lt;11),(T359+R359+G359)*(((1/(1-Summary!$T$12))/(1-Summary!$W$12))-1),(T359+R359+G359)*((1/(1-Summary!$U$12))/(1-Summary!$X$12)-1)))</f>
        <v/>
      </c>
      <c r="W359" s="63" t="str">
        <f t="shared" si="204"/>
        <v/>
      </c>
      <c r="X359" s="63" t="str">
        <f t="shared" si="205"/>
        <v/>
      </c>
      <c r="Y359" s="43"/>
      <c r="Z359" s="38" t="str">
        <f t="shared" si="206"/>
        <v/>
      </c>
      <c r="AA359" s="38" t="str">
        <f t="shared" si="207"/>
        <v/>
      </c>
      <c r="AB359" s="38" t="e">
        <f t="shared" si="208"/>
        <v>#VALUE!</v>
      </c>
      <c r="AC359" s="38" t="str">
        <f t="shared" si="209"/>
        <v/>
      </c>
      <c r="AD359" s="38" t="str">
        <f t="shared" si="209"/>
        <v/>
      </c>
      <c r="AE359" s="38" t="e">
        <f t="shared" si="210"/>
        <v>#VALUE!</v>
      </c>
      <c r="AF359" s="238" t="e">
        <f>((Summary!$N$12*(AA359*AD359)*(A359-$D$3))+(Summary!$M$12*Z359*AC359*(AJ359-EOMONTH(EDATE(A359,-1),0))))/(AK359*AB359*AE359)</f>
        <v>#VALUE!</v>
      </c>
      <c r="AG359" s="88" t="str">
        <f>IF($A360="","",Summary!$Q$12)</f>
        <v/>
      </c>
      <c r="AH359" s="88" t="str">
        <f>IF($A360="","",IF(Summary!$R$12="Y",(VLOOKUP($A359,Summary!$AD$6:$AF$9,3)+'Escalating commodity'!H372),'Escalating commodity'!H372))</f>
        <v/>
      </c>
      <c r="AI359" s="88" t="str">
        <f t="shared" si="224"/>
        <v/>
      </c>
      <c r="AJ359" s="236" t="e">
        <f t="shared" si="211"/>
        <v>#VALUE!</v>
      </c>
      <c r="AK359" s="58" t="str">
        <f t="shared" si="212"/>
        <v/>
      </c>
      <c r="AL359" s="26" t="str">
        <f>IF($A360="","",_xll.SPRDOPT(P359,X359,AI359,0,AB359,AE359,AF359,AK359,$AJ$2,0))</f>
        <v/>
      </c>
      <c r="AM359" s="89" t="str">
        <f t="shared" si="213"/>
        <v/>
      </c>
      <c r="AN359" s="89" t="str">
        <f t="shared" si="214"/>
        <v/>
      </c>
      <c r="AO359" s="3" t="str">
        <f t="shared" si="215"/>
        <v/>
      </c>
      <c r="AP359" s="33" t="str">
        <f t="shared" si="216"/>
        <v/>
      </c>
      <c r="AQ359" s="58" t="str">
        <f t="shared" si="217"/>
        <v/>
      </c>
      <c r="AR359" s="38">
        <f>'ANR OK vs ML7'!AR359</f>
        <v>0.1</v>
      </c>
      <c r="AS359" s="35" t="str">
        <f t="shared" si="218"/>
        <v/>
      </c>
      <c r="AT359" s="3" t="str">
        <f t="shared" si="219"/>
        <v/>
      </c>
      <c r="AU359" s="3" t="str">
        <f t="shared" si="220"/>
        <v/>
      </c>
      <c r="AW359" s="32" t="str">
        <f t="shared" si="221"/>
        <v/>
      </c>
      <c r="AX359" s="32" t="str">
        <f t="shared" si="221"/>
        <v/>
      </c>
      <c r="AY359" s="32" t="str">
        <f t="shared" si="222"/>
        <v/>
      </c>
      <c r="BA359" s="32" t="str">
        <f>IF($A360="","",F359*Summary!$Q$12)</f>
        <v/>
      </c>
    </row>
    <row r="360" spans="1:53" ht="12" customHeight="1">
      <c r="A360" s="67" t="str">
        <f t="shared" si="223"/>
        <v/>
      </c>
      <c r="B360" s="69" t="str">
        <f t="shared" si="225"/>
        <v/>
      </c>
      <c r="C360" s="71"/>
      <c r="D360" s="69" t="str">
        <f t="shared" si="189"/>
        <v/>
      </c>
      <c r="E360" s="70" t="str">
        <f t="shared" si="190"/>
        <v/>
      </c>
      <c r="F360" s="70" t="str">
        <f t="shared" si="191"/>
        <v/>
      </c>
      <c r="G360" s="63" t="str">
        <f t="shared" si="192"/>
        <v/>
      </c>
      <c r="H360" s="64" t="str">
        <f t="shared" si="193"/>
        <v/>
      </c>
      <c r="I360" s="43"/>
      <c r="J360" s="63" t="str">
        <f t="shared" si="194"/>
        <v/>
      </c>
      <c r="K360" s="64" t="str">
        <f t="shared" si="195"/>
        <v/>
      </c>
      <c r="L360" s="63" t="str">
        <f t="shared" si="196"/>
        <v/>
      </c>
      <c r="M360" s="64" t="str">
        <f t="shared" si="197"/>
        <v/>
      </c>
      <c r="N360" s="65"/>
      <c r="O360" s="63" t="str">
        <f t="shared" si="198"/>
        <v/>
      </c>
      <c r="P360" s="63" t="str">
        <f t="shared" si="199"/>
        <v/>
      </c>
      <c r="Q360" s="66"/>
      <c r="R360" s="63" t="str">
        <f t="shared" si="200"/>
        <v/>
      </c>
      <c r="S360" s="64" t="str">
        <f t="shared" si="201"/>
        <v/>
      </c>
      <c r="T360" s="63" t="str">
        <f t="shared" si="202"/>
        <v/>
      </c>
      <c r="U360" s="64" t="str">
        <f t="shared" si="203"/>
        <v/>
      </c>
      <c r="V360" s="90" t="str">
        <f>IF($A361="","",IF(AND(MONTH(A360)&gt;3,MONTH(A360)&lt;11),(T360+R360+G360)*(((1/(1-Summary!$T$12))/(1-Summary!$W$12))-1),(T360+R360+G360)*((1/(1-Summary!$U$12))/(1-Summary!$X$12)-1)))</f>
        <v/>
      </c>
      <c r="W360" s="63" t="str">
        <f t="shared" si="204"/>
        <v/>
      </c>
      <c r="X360" s="63" t="str">
        <f t="shared" si="205"/>
        <v/>
      </c>
      <c r="Y360" s="43"/>
      <c r="Z360" s="38" t="str">
        <f t="shared" si="206"/>
        <v/>
      </c>
      <c r="AA360" s="38" t="str">
        <f t="shared" si="207"/>
        <v/>
      </c>
      <c r="AB360" s="38" t="e">
        <f t="shared" si="208"/>
        <v>#VALUE!</v>
      </c>
      <c r="AC360" s="38" t="str">
        <f t="shared" si="209"/>
        <v/>
      </c>
      <c r="AD360" s="38" t="str">
        <f t="shared" si="209"/>
        <v/>
      </c>
      <c r="AE360" s="38" t="e">
        <f t="shared" si="210"/>
        <v>#VALUE!</v>
      </c>
      <c r="AF360" s="238" t="e">
        <f>((Summary!$N$12*(AA360*AD360)*(A360-$D$3))+(Summary!$M$12*Z360*AC360*(AJ360-EOMONTH(EDATE(A360,-1),0))))/(AK360*AB360*AE360)</f>
        <v>#VALUE!</v>
      </c>
      <c r="AG360" s="88" t="str">
        <f>IF($A361="","",Summary!$Q$12)</f>
        <v/>
      </c>
      <c r="AH360" s="88" t="str">
        <f>IF($A361="","",IF(Summary!$R$12="Y",(VLOOKUP($A360,Summary!$AD$6:$AF$9,3)+'Escalating commodity'!H373),'Escalating commodity'!H373))</f>
        <v/>
      </c>
      <c r="AI360" s="88" t="str">
        <f t="shared" si="224"/>
        <v/>
      </c>
      <c r="AJ360" s="236" t="e">
        <f t="shared" si="211"/>
        <v>#VALUE!</v>
      </c>
      <c r="AK360" s="58" t="str">
        <f t="shared" si="212"/>
        <v/>
      </c>
      <c r="AL360" s="26" t="str">
        <f>IF($A361="","",_xll.SPRDOPT(P360,X360,AI360,0,AB360,AE360,AF360,AK360,$AJ$2,0))</f>
        <v/>
      </c>
      <c r="AM360" s="89" t="str">
        <f t="shared" si="213"/>
        <v/>
      </c>
      <c r="AN360" s="89" t="str">
        <f t="shared" si="214"/>
        <v/>
      </c>
      <c r="AO360" s="3" t="str">
        <f t="shared" si="215"/>
        <v/>
      </c>
      <c r="AP360" s="33" t="str">
        <f t="shared" si="216"/>
        <v/>
      </c>
      <c r="AQ360" s="58" t="str">
        <f t="shared" si="217"/>
        <v/>
      </c>
      <c r="AR360" s="38">
        <f>'ANR OK vs ML7'!AR360</f>
        <v>0.1</v>
      </c>
      <c r="AS360" s="35" t="str">
        <f t="shared" si="218"/>
        <v/>
      </c>
      <c r="AT360" s="3" t="str">
        <f t="shared" si="219"/>
        <v/>
      </c>
      <c r="AU360" s="3" t="str">
        <f t="shared" si="220"/>
        <v/>
      </c>
      <c r="AW360" s="32" t="str">
        <f t="shared" si="221"/>
        <v/>
      </c>
      <c r="AX360" s="32" t="str">
        <f t="shared" si="221"/>
        <v/>
      </c>
      <c r="AY360" s="32" t="str">
        <f t="shared" si="222"/>
        <v/>
      </c>
      <c r="BA360" s="32" t="str">
        <f>IF($A361="","",F360*Summary!$Q$12)</f>
        <v/>
      </c>
    </row>
    <row r="361" spans="1:53" ht="12" customHeight="1">
      <c r="A361" s="67" t="str">
        <f t="shared" si="223"/>
        <v/>
      </c>
      <c r="B361" s="69" t="str">
        <f t="shared" si="225"/>
        <v/>
      </c>
      <c r="C361" s="71"/>
      <c r="D361" s="69" t="str">
        <f t="shared" si="189"/>
        <v/>
      </c>
      <c r="E361" s="70" t="str">
        <f t="shared" si="190"/>
        <v/>
      </c>
      <c r="F361" s="70" t="str">
        <f t="shared" si="191"/>
        <v/>
      </c>
      <c r="G361" s="63" t="str">
        <f t="shared" si="192"/>
        <v/>
      </c>
      <c r="H361" s="64" t="str">
        <f t="shared" si="193"/>
        <v/>
      </c>
      <c r="I361" s="43"/>
      <c r="J361" s="63" t="str">
        <f t="shared" si="194"/>
        <v/>
      </c>
      <c r="K361" s="64" t="str">
        <f t="shared" si="195"/>
        <v/>
      </c>
      <c r="L361" s="63" t="str">
        <f t="shared" si="196"/>
        <v/>
      </c>
      <c r="M361" s="64" t="str">
        <f t="shared" si="197"/>
        <v/>
      </c>
      <c r="N361" s="65"/>
      <c r="O361" s="63" t="str">
        <f t="shared" si="198"/>
        <v/>
      </c>
      <c r="P361" s="63" t="str">
        <f t="shared" si="199"/>
        <v/>
      </c>
      <c r="Q361" s="66"/>
      <c r="R361" s="63" t="str">
        <f t="shared" si="200"/>
        <v/>
      </c>
      <c r="S361" s="64" t="str">
        <f t="shared" si="201"/>
        <v/>
      </c>
      <c r="T361" s="63" t="str">
        <f t="shared" si="202"/>
        <v/>
      </c>
      <c r="U361" s="64" t="str">
        <f t="shared" si="203"/>
        <v/>
      </c>
      <c r="V361" s="90" t="str">
        <f>IF($A362="","",IF(AND(MONTH(A361)&gt;3,MONTH(A361)&lt;11),(T361+R361+G361)*(((1/(1-Summary!$T$12))/(1-Summary!$W$12))-1),(T361+R361+G361)*((1/(1-Summary!$U$12))/(1-Summary!$X$12)-1)))</f>
        <v/>
      </c>
      <c r="W361" s="63" t="str">
        <f t="shared" si="204"/>
        <v/>
      </c>
      <c r="X361" s="63" t="str">
        <f t="shared" si="205"/>
        <v/>
      </c>
      <c r="Y361" s="43"/>
      <c r="Z361" s="38" t="str">
        <f t="shared" si="206"/>
        <v/>
      </c>
      <c r="AA361" s="38" t="str">
        <f t="shared" si="207"/>
        <v/>
      </c>
      <c r="AB361" s="38" t="e">
        <f t="shared" si="208"/>
        <v>#VALUE!</v>
      </c>
      <c r="AC361" s="38" t="str">
        <f t="shared" si="209"/>
        <v/>
      </c>
      <c r="AD361" s="38" t="str">
        <f t="shared" si="209"/>
        <v/>
      </c>
      <c r="AE361" s="38" t="e">
        <f t="shared" si="210"/>
        <v>#VALUE!</v>
      </c>
      <c r="AF361" s="238" t="e">
        <f>((Summary!$N$12*(AA361*AD361)*(A361-$D$3))+(Summary!$M$12*Z361*AC361*(AJ361-EOMONTH(EDATE(A361,-1),0))))/(AK361*AB361*AE361)</f>
        <v>#VALUE!</v>
      </c>
      <c r="AG361" s="88" t="str">
        <f>IF($A362="","",Summary!$Q$12)</f>
        <v/>
      </c>
      <c r="AH361" s="88" t="str">
        <f>IF($A362="","",IF(Summary!$R$12="Y",(VLOOKUP($A361,Summary!$AD$6:$AF$9,3)+'Escalating commodity'!H374),'Escalating commodity'!H374))</f>
        <v/>
      </c>
      <c r="AI361" s="88" t="str">
        <f t="shared" si="224"/>
        <v/>
      </c>
      <c r="AJ361" s="236" t="e">
        <f t="shared" si="211"/>
        <v>#VALUE!</v>
      </c>
      <c r="AK361" s="58" t="str">
        <f t="shared" si="212"/>
        <v/>
      </c>
      <c r="AL361" s="26" t="str">
        <f>IF($A362="","",_xll.SPRDOPT(P361,X361,AI361,0,AB361,AE361,AF361,AK361,$AJ$2,0))</f>
        <v/>
      </c>
      <c r="AM361" s="89" t="str">
        <f t="shared" si="213"/>
        <v/>
      </c>
      <c r="AN361" s="89" t="str">
        <f t="shared" si="214"/>
        <v/>
      </c>
      <c r="AO361" s="3" t="str">
        <f t="shared" si="215"/>
        <v/>
      </c>
      <c r="AP361" s="33" t="str">
        <f t="shared" si="216"/>
        <v/>
      </c>
      <c r="AQ361" s="58" t="str">
        <f t="shared" si="217"/>
        <v/>
      </c>
      <c r="AR361" s="38">
        <f>'ANR OK vs ML7'!AR361</f>
        <v>0.1</v>
      </c>
      <c r="AS361" s="35" t="str">
        <f t="shared" si="218"/>
        <v/>
      </c>
      <c r="AT361" s="3" t="str">
        <f t="shared" si="219"/>
        <v/>
      </c>
      <c r="AU361" s="3" t="str">
        <f t="shared" si="220"/>
        <v/>
      </c>
      <c r="AW361" s="32" t="str">
        <f t="shared" si="221"/>
        <v/>
      </c>
      <c r="AX361" s="32" t="str">
        <f t="shared" si="221"/>
        <v/>
      </c>
      <c r="AY361" s="32" t="str">
        <f t="shared" si="222"/>
        <v/>
      </c>
      <c r="BA361" s="32" t="str">
        <f>IF($A362="","",F361*Summary!$Q$12)</f>
        <v/>
      </c>
    </row>
    <row r="362" spans="1:53" ht="12" customHeight="1">
      <c r="A362" s="67" t="str">
        <f t="shared" si="223"/>
        <v/>
      </c>
      <c r="B362" s="69" t="str">
        <f t="shared" si="225"/>
        <v/>
      </c>
      <c r="C362" s="71"/>
      <c r="D362" s="69" t="str">
        <f t="shared" si="189"/>
        <v/>
      </c>
      <c r="E362" s="70" t="str">
        <f t="shared" si="190"/>
        <v/>
      </c>
      <c r="F362" s="70" t="str">
        <f t="shared" si="191"/>
        <v/>
      </c>
      <c r="G362" s="63" t="str">
        <f t="shared" si="192"/>
        <v/>
      </c>
      <c r="H362" s="64" t="str">
        <f t="shared" si="193"/>
        <v/>
      </c>
      <c r="I362" s="43"/>
      <c r="J362" s="63" t="str">
        <f t="shared" si="194"/>
        <v/>
      </c>
      <c r="K362" s="64" t="str">
        <f t="shared" si="195"/>
        <v/>
      </c>
      <c r="L362" s="63" t="str">
        <f t="shared" si="196"/>
        <v/>
      </c>
      <c r="M362" s="64" t="str">
        <f t="shared" si="197"/>
        <v/>
      </c>
      <c r="N362" s="65"/>
      <c r="O362" s="63" t="str">
        <f t="shared" si="198"/>
        <v/>
      </c>
      <c r="P362" s="63" t="str">
        <f t="shared" si="199"/>
        <v/>
      </c>
      <c r="Q362" s="66"/>
      <c r="R362" s="63" t="str">
        <f t="shared" si="200"/>
        <v/>
      </c>
      <c r="S362" s="64" t="str">
        <f t="shared" si="201"/>
        <v/>
      </c>
      <c r="T362" s="63" t="str">
        <f t="shared" si="202"/>
        <v/>
      </c>
      <c r="U362" s="64" t="str">
        <f t="shared" si="203"/>
        <v/>
      </c>
      <c r="V362" s="90" t="str">
        <f>IF($A363="","",IF(AND(MONTH(A362)&gt;3,MONTH(A362)&lt;11),(T362+R362+G362)*(((1/(1-Summary!$T$12))/(1-Summary!$W$12))-1),(T362+R362+G362)*((1/(1-Summary!$U$12))/(1-Summary!$X$12)-1)))</f>
        <v/>
      </c>
      <c r="W362" s="63" t="str">
        <f t="shared" si="204"/>
        <v/>
      </c>
      <c r="X362" s="63" t="str">
        <f t="shared" si="205"/>
        <v/>
      </c>
      <c r="Y362" s="43"/>
      <c r="Z362" s="38" t="str">
        <f t="shared" si="206"/>
        <v/>
      </c>
      <c r="AA362" s="38" t="str">
        <f t="shared" si="207"/>
        <v/>
      </c>
      <c r="AB362" s="38" t="e">
        <f t="shared" si="208"/>
        <v>#VALUE!</v>
      </c>
      <c r="AC362" s="38" t="str">
        <f t="shared" si="209"/>
        <v/>
      </c>
      <c r="AD362" s="38" t="str">
        <f t="shared" si="209"/>
        <v/>
      </c>
      <c r="AE362" s="38" t="e">
        <f t="shared" si="210"/>
        <v>#VALUE!</v>
      </c>
      <c r="AF362" s="238" t="e">
        <f>((Summary!$N$12*(AA362*AD362)*(A362-$D$3))+(Summary!$M$12*Z362*AC362*(AJ362-EOMONTH(EDATE(A362,-1),0))))/(AK362*AB362*AE362)</f>
        <v>#VALUE!</v>
      </c>
      <c r="AG362" s="88" t="str">
        <f>IF($A363="","",Summary!$Q$12)</f>
        <v/>
      </c>
      <c r="AH362" s="88" t="str">
        <f>IF($A363="","",IF(Summary!$R$12="Y",(VLOOKUP($A362,Summary!$AD$6:$AF$9,3)+'Escalating commodity'!H375),'Escalating commodity'!H375))</f>
        <v/>
      </c>
      <c r="AI362" s="88" t="str">
        <f t="shared" si="224"/>
        <v/>
      </c>
      <c r="AJ362" s="236" t="e">
        <f t="shared" si="211"/>
        <v>#VALUE!</v>
      </c>
      <c r="AK362" s="58" t="str">
        <f t="shared" si="212"/>
        <v/>
      </c>
      <c r="AL362" s="26" t="str">
        <f>IF($A363="","",_xll.SPRDOPT(P362,X362,AI362,0,AB362,AE362,AF362,AK362,$AJ$2,0))</f>
        <v/>
      </c>
      <c r="AM362" s="89" t="str">
        <f t="shared" si="213"/>
        <v/>
      </c>
      <c r="AN362" s="89" t="str">
        <f t="shared" si="214"/>
        <v/>
      </c>
      <c r="AO362" s="3" t="str">
        <f t="shared" si="215"/>
        <v/>
      </c>
      <c r="AP362" s="33" t="str">
        <f t="shared" si="216"/>
        <v/>
      </c>
      <c r="AQ362" s="58" t="str">
        <f t="shared" si="217"/>
        <v/>
      </c>
      <c r="AR362" s="38">
        <f>'ANR OK vs ML7'!AR362</f>
        <v>0.1</v>
      </c>
      <c r="AS362" s="35" t="str">
        <f t="shared" si="218"/>
        <v/>
      </c>
      <c r="AT362" s="3" t="str">
        <f t="shared" si="219"/>
        <v/>
      </c>
      <c r="AU362" s="3" t="str">
        <f t="shared" si="220"/>
        <v/>
      </c>
      <c r="AW362" s="32" t="str">
        <f t="shared" si="221"/>
        <v/>
      </c>
      <c r="AX362" s="32" t="str">
        <f t="shared" si="221"/>
        <v/>
      </c>
      <c r="AY362" s="32" t="str">
        <f t="shared" si="222"/>
        <v/>
      </c>
      <c r="BA362" s="32" t="str">
        <f>IF($A363="","",F362*Summary!$Q$12)</f>
        <v/>
      </c>
    </row>
    <row r="363" spans="1:53" ht="12" customHeight="1">
      <c r="A363" s="67" t="str">
        <f t="shared" si="223"/>
        <v/>
      </c>
      <c r="B363" s="69" t="str">
        <f t="shared" si="225"/>
        <v/>
      </c>
      <c r="C363" s="71"/>
      <c r="D363" s="69" t="str">
        <f t="shared" si="189"/>
        <v/>
      </c>
      <c r="E363" s="70" t="str">
        <f t="shared" si="190"/>
        <v/>
      </c>
      <c r="F363" s="70" t="str">
        <f t="shared" si="191"/>
        <v/>
      </c>
      <c r="G363" s="63" t="str">
        <f t="shared" si="192"/>
        <v/>
      </c>
      <c r="H363" s="64" t="str">
        <f t="shared" si="193"/>
        <v/>
      </c>
      <c r="I363" s="43"/>
      <c r="J363" s="63" t="str">
        <f t="shared" si="194"/>
        <v/>
      </c>
      <c r="K363" s="64" t="str">
        <f t="shared" si="195"/>
        <v/>
      </c>
      <c r="L363" s="63" t="str">
        <f t="shared" si="196"/>
        <v/>
      </c>
      <c r="M363" s="64" t="str">
        <f t="shared" si="197"/>
        <v/>
      </c>
      <c r="N363" s="65"/>
      <c r="O363" s="63" t="str">
        <f t="shared" si="198"/>
        <v/>
      </c>
      <c r="P363" s="63" t="str">
        <f t="shared" si="199"/>
        <v/>
      </c>
      <c r="Q363" s="66"/>
      <c r="R363" s="63" t="str">
        <f t="shared" si="200"/>
        <v/>
      </c>
      <c r="S363" s="64" t="str">
        <f t="shared" si="201"/>
        <v/>
      </c>
      <c r="T363" s="63" t="str">
        <f t="shared" si="202"/>
        <v/>
      </c>
      <c r="U363" s="64" t="str">
        <f t="shared" si="203"/>
        <v/>
      </c>
      <c r="V363" s="90" t="str">
        <f>IF($A364="","",IF(AND(MONTH(A363)&gt;3,MONTH(A363)&lt;11),(T363+R363+G363)*(((1/(1-Summary!$T$12))/(1-Summary!$W$12))-1),(T363+R363+G363)*((1/(1-Summary!$U$12))/(1-Summary!$X$12)-1)))</f>
        <v/>
      </c>
      <c r="W363" s="63" t="str">
        <f t="shared" si="204"/>
        <v/>
      </c>
      <c r="X363" s="63" t="str">
        <f t="shared" si="205"/>
        <v/>
      </c>
      <c r="Y363" s="43"/>
      <c r="Z363" s="38" t="str">
        <f t="shared" si="206"/>
        <v/>
      </c>
      <c r="AA363" s="38" t="str">
        <f t="shared" si="207"/>
        <v/>
      </c>
      <c r="AB363" s="38" t="e">
        <f t="shared" si="208"/>
        <v>#VALUE!</v>
      </c>
      <c r="AC363" s="38" t="str">
        <f t="shared" si="209"/>
        <v/>
      </c>
      <c r="AD363" s="38" t="str">
        <f t="shared" si="209"/>
        <v/>
      </c>
      <c r="AE363" s="38" t="e">
        <f t="shared" si="210"/>
        <v>#VALUE!</v>
      </c>
      <c r="AF363" s="238" t="e">
        <f>((Summary!$N$12*(AA363*AD363)*(A363-$D$3))+(Summary!$M$12*Z363*AC363*(AJ363-EOMONTH(EDATE(A363,-1),0))))/(AK363*AB363*AE363)</f>
        <v>#VALUE!</v>
      </c>
      <c r="AG363" s="88" t="str">
        <f>IF($A364="","",Summary!$Q$12)</f>
        <v/>
      </c>
      <c r="AH363" s="88" t="str">
        <f>IF($A364="","",IF(Summary!$R$12="Y",(VLOOKUP($A363,Summary!$AD$6:$AF$9,3)+'Escalating commodity'!H376),'Escalating commodity'!H376))</f>
        <v/>
      </c>
      <c r="AI363" s="88" t="str">
        <f t="shared" si="224"/>
        <v/>
      </c>
      <c r="AJ363" s="236" t="e">
        <f t="shared" si="211"/>
        <v>#VALUE!</v>
      </c>
      <c r="AK363" s="58" t="str">
        <f t="shared" si="212"/>
        <v/>
      </c>
      <c r="AL363" s="26" t="str">
        <f>IF($A364="","",_xll.SPRDOPT(P363,X363,AI363,0,AB363,AE363,AF363,AK363,$AJ$2,0))</f>
        <v/>
      </c>
      <c r="AM363" s="89" t="str">
        <f t="shared" si="213"/>
        <v/>
      </c>
      <c r="AN363" s="89" t="str">
        <f t="shared" si="214"/>
        <v/>
      </c>
      <c r="AO363" s="3" t="str">
        <f t="shared" si="215"/>
        <v/>
      </c>
      <c r="AP363" s="33" t="str">
        <f t="shared" si="216"/>
        <v/>
      </c>
      <c r="AQ363" s="58" t="str">
        <f t="shared" si="217"/>
        <v/>
      </c>
      <c r="AR363" s="38">
        <f>'ANR OK vs ML7'!AR363</f>
        <v>0.1</v>
      </c>
      <c r="AS363" s="35" t="str">
        <f t="shared" si="218"/>
        <v/>
      </c>
      <c r="AT363" s="3" t="str">
        <f t="shared" si="219"/>
        <v/>
      </c>
      <c r="AU363" s="3" t="str">
        <f t="shared" si="220"/>
        <v/>
      </c>
      <c r="AW363" s="32" t="str">
        <f t="shared" si="221"/>
        <v/>
      </c>
      <c r="AX363" s="32" t="str">
        <f t="shared" si="221"/>
        <v/>
      </c>
      <c r="AY363" s="32" t="str">
        <f t="shared" si="222"/>
        <v/>
      </c>
      <c r="BA363" s="32" t="str">
        <f>IF($A364="","",F363*Summary!$Q$12)</f>
        <v/>
      </c>
    </row>
    <row r="364" spans="1:53" ht="12" customHeight="1">
      <c r="A364" s="67" t="str">
        <f t="shared" si="223"/>
        <v/>
      </c>
      <c r="B364" s="69" t="str">
        <f t="shared" si="225"/>
        <v/>
      </c>
      <c r="C364" s="71"/>
      <c r="D364" s="69" t="str">
        <f t="shared" si="189"/>
        <v/>
      </c>
      <c r="E364" s="70" t="str">
        <f t="shared" si="190"/>
        <v/>
      </c>
      <c r="F364" s="70" t="str">
        <f t="shared" si="191"/>
        <v/>
      </c>
      <c r="G364" s="63" t="str">
        <f t="shared" si="192"/>
        <v/>
      </c>
      <c r="H364" s="64" t="str">
        <f t="shared" si="193"/>
        <v/>
      </c>
      <c r="I364" s="43"/>
      <c r="J364" s="63" t="str">
        <f t="shared" si="194"/>
        <v/>
      </c>
      <c r="K364" s="64" t="str">
        <f t="shared" si="195"/>
        <v/>
      </c>
      <c r="L364" s="63" t="str">
        <f t="shared" si="196"/>
        <v/>
      </c>
      <c r="M364" s="64" t="str">
        <f t="shared" si="197"/>
        <v/>
      </c>
      <c r="N364" s="65"/>
      <c r="O364" s="63" t="str">
        <f t="shared" si="198"/>
        <v/>
      </c>
      <c r="P364" s="63" t="str">
        <f t="shared" si="199"/>
        <v/>
      </c>
      <c r="Q364" s="66"/>
      <c r="R364" s="63" t="str">
        <f t="shared" si="200"/>
        <v/>
      </c>
      <c r="S364" s="64" t="str">
        <f t="shared" si="201"/>
        <v/>
      </c>
      <c r="T364" s="63" t="str">
        <f t="shared" si="202"/>
        <v/>
      </c>
      <c r="U364" s="64" t="str">
        <f t="shared" si="203"/>
        <v/>
      </c>
      <c r="V364" s="90" t="str">
        <f>IF($A365="","",IF(AND(MONTH(A364)&gt;3,MONTH(A364)&lt;11),(T364+R364+G364)*(((1/(1-Summary!$T$12))/(1-Summary!$W$12))-1),(T364+R364+G364)*((1/(1-Summary!$U$12))/(1-Summary!$X$12)-1)))</f>
        <v/>
      </c>
      <c r="W364" s="63" t="str">
        <f t="shared" si="204"/>
        <v/>
      </c>
      <c r="X364" s="63" t="str">
        <f t="shared" si="205"/>
        <v/>
      </c>
      <c r="Y364" s="43"/>
      <c r="Z364" s="38" t="str">
        <f t="shared" si="206"/>
        <v/>
      </c>
      <c r="AA364" s="38" t="str">
        <f t="shared" si="207"/>
        <v/>
      </c>
      <c r="AB364" s="38" t="e">
        <f t="shared" si="208"/>
        <v>#VALUE!</v>
      </c>
      <c r="AC364" s="38" t="str">
        <f t="shared" si="209"/>
        <v/>
      </c>
      <c r="AD364" s="38" t="str">
        <f t="shared" si="209"/>
        <v/>
      </c>
      <c r="AE364" s="38" t="e">
        <f t="shared" si="210"/>
        <v>#VALUE!</v>
      </c>
      <c r="AF364" s="238" t="e">
        <f>((Summary!$N$12*(AA364*AD364)*(A364-$D$3))+(Summary!$M$12*Z364*AC364*(AJ364-EOMONTH(EDATE(A364,-1),0))))/(AK364*AB364*AE364)</f>
        <v>#VALUE!</v>
      </c>
      <c r="AG364" s="88" t="str">
        <f>IF($A365="","",Summary!$Q$12)</f>
        <v/>
      </c>
      <c r="AH364" s="88" t="str">
        <f>IF($A365="","",IF(Summary!$R$12="Y",(VLOOKUP($A364,Summary!$AD$6:$AF$9,3)+'Escalating commodity'!H377),'Escalating commodity'!H377))</f>
        <v/>
      </c>
      <c r="AI364" s="88" t="str">
        <f t="shared" si="224"/>
        <v/>
      </c>
      <c r="AJ364" s="236" t="e">
        <f t="shared" si="211"/>
        <v>#VALUE!</v>
      </c>
      <c r="AK364" s="58" t="str">
        <f t="shared" si="212"/>
        <v/>
      </c>
      <c r="AL364" s="26" t="str">
        <f>IF($A365="","",_xll.SPRDOPT(P364,X364,AI364,0,AB364,AE364,AF364,AK364,$AJ$2,0))</f>
        <v/>
      </c>
      <c r="AM364" s="89" t="str">
        <f t="shared" si="213"/>
        <v/>
      </c>
      <c r="AN364" s="89" t="str">
        <f t="shared" si="214"/>
        <v/>
      </c>
      <c r="AO364" s="3" t="str">
        <f t="shared" si="215"/>
        <v/>
      </c>
      <c r="AP364" s="33" t="str">
        <f t="shared" si="216"/>
        <v/>
      </c>
      <c r="AQ364" s="58" t="str">
        <f t="shared" si="217"/>
        <v/>
      </c>
      <c r="AR364" s="38">
        <f>'ANR OK vs ML7'!AR364</f>
        <v>0.1</v>
      </c>
      <c r="AS364" s="35" t="str">
        <f t="shared" si="218"/>
        <v/>
      </c>
      <c r="AT364" s="3" t="str">
        <f t="shared" si="219"/>
        <v/>
      </c>
      <c r="AU364" s="3" t="str">
        <f t="shared" si="220"/>
        <v/>
      </c>
      <c r="AW364" s="32" t="str">
        <f t="shared" si="221"/>
        <v/>
      </c>
      <c r="AX364" s="32" t="str">
        <f t="shared" si="221"/>
        <v/>
      </c>
      <c r="AY364" s="32" t="str">
        <f t="shared" si="222"/>
        <v/>
      </c>
      <c r="BA364" s="32" t="str">
        <f>IF($A365="","",F364*Summary!$Q$12)</f>
        <v/>
      </c>
    </row>
    <row r="365" spans="1:53" ht="12" customHeight="1">
      <c r="A365" s="67" t="str">
        <f t="shared" si="223"/>
        <v/>
      </c>
      <c r="B365" s="69" t="str">
        <f t="shared" si="225"/>
        <v/>
      </c>
      <c r="C365" s="71"/>
      <c r="D365" s="69" t="str">
        <f t="shared" si="189"/>
        <v/>
      </c>
      <c r="E365" s="70" t="str">
        <f t="shared" si="190"/>
        <v/>
      </c>
      <c r="F365" s="70" t="str">
        <f t="shared" si="191"/>
        <v/>
      </c>
      <c r="G365" s="63" t="str">
        <f t="shared" si="192"/>
        <v/>
      </c>
      <c r="H365" s="64" t="str">
        <f t="shared" si="193"/>
        <v/>
      </c>
      <c r="I365" s="43"/>
      <c r="J365" s="63" t="str">
        <f t="shared" si="194"/>
        <v/>
      </c>
      <c r="K365" s="64" t="str">
        <f t="shared" si="195"/>
        <v/>
      </c>
      <c r="L365" s="63" t="str">
        <f t="shared" si="196"/>
        <v/>
      </c>
      <c r="M365" s="64" t="str">
        <f t="shared" si="197"/>
        <v/>
      </c>
      <c r="N365" s="65"/>
      <c r="O365" s="63" t="str">
        <f t="shared" si="198"/>
        <v/>
      </c>
      <c r="P365" s="63" t="str">
        <f t="shared" si="199"/>
        <v/>
      </c>
      <c r="Q365" s="66"/>
      <c r="R365" s="63" t="str">
        <f t="shared" si="200"/>
        <v/>
      </c>
      <c r="S365" s="64" t="str">
        <f t="shared" si="201"/>
        <v/>
      </c>
      <c r="T365" s="63" t="str">
        <f t="shared" si="202"/>
        <v/>
      </c>
      <c r="U365" s="64" t="str">
        <f t="shared" si="203"/>
        <v/>
      </c>
      <c r="V365" s="90" t="str">
        <f>IF($A366="","",IF(AND(MONTH(A365)&gt;3,MONTH(A365)&lt;11),(T365+R365+G365)*(((1/(1-Summary!$T$12))/(1-Summary!$W$12))-1),(T365+R365+G365)*((1/(1-Summary!$U$12))/(1-Summary!$X$12)-1)))</f>
        <v/>
      </c>
      <c r="W365" s="63" t="str">
        <f t="shared" si="204"/>
        <v/>
      </c>
      <c r="X365" s="63" t="str">
        <f t="shared" si="205"/>
        <v/>
      </c>
      <c r="Y365" s="43"/>
      <c r="Z365" s="38" t="str">
        <f t="shared" si="206"/>
        <v/>
      </c>
      <c r="AA365" s="38" t="str">
        <f t="shared" si="207"/>
        <v/>
      </c>
      <c r="AB365" s="38" t="e">
        <f t="shared" si="208"/>
        <v>#VALUE!</v>
      </c>
      <c r="AC365" s="38" t="str">
        <f t="shared" si="209"/>
        <v/>
      </c>
      <c r="AD365" s="38" t="str">
        <f t="shared" si="209"/>
        <v/>
      </c>
      <c r="AE365" s="38" t="e">
        <f t="shared" si="210"/>
        <v>#VALUE!</v>
      </c>
      <c r="AF365" s="238" t="e">
        <f>((Summary!$N$12*(AA365*AD365)*(A365-$D$3))+(Summary!$M$12*Z365*AC365*(AJ365-EOMONTH(EDATE(A365,-1),0))))/(AK365*AB365*AE365)</f>
        <v>#VALUE!</v>
      </c>
      <c r="AG365" s="88" t="str">
        <f>IF($A366="","",Summary!$Q$12)</f>
        <v/>
      </c>
      <c r="AH365" s="88" t="str">
        <f>IF($A366="","",IF(Summary!$R$12="Y",(VLOOKUP($A365,Summary!$AD$6:$AF$9,3)+'Escalating commodity'!H378),'Escalating commodity'!H378))</f>
        <v/>
      </c>
      <c r="AI365" s="88" t="str">
        <f t="shared" si="224"/>
        <v/>
      </c>
      <c r="AJ365" s="236" t="e">
        <f t="shared" si="211"/>
        <v>#VALUE!</v>
      </c>
      <c r="AK365" s="58" t="str">
        <f t="shared" si="212"/>
        <v/>
      </c>
      <c r="AL365" s="26" t="str">
        <f>IF($A366="","",_xll.SPRDOPT(P365,X365,AI365,0,AB365,AE365,AF365,AK365,$AJ$2,0))</f>
        <v/>
      </c>
      <c r="AM365" s="89" t="str">
        <f t="shared" si="213"/>
        <v/>
      </c>
      <c r="AN365" s="89" t="str">
        <f t="shared" si="214"/>
        <v/>
      </c>
      <c r="AO365" s="3" t="str">
        <f t="shared" si="215"/>
        <v/>
      </c>
      <c r="AP365" s="33" t="str">
        <f t="shared" si="216"/>
        <v/>
      </c>
      <c r="AQ365" s="58" t="str">
        <f t="shared" si="217"/>
        <v/>
      </c>
      <c r="AR365" s="38">
        <f>'ANR OK vs ML7'!AR365</f>
        <v>0.1</v>
      </c>
      <c r="AS365" s="35" t="str">
        <f t="shared" si="218"/>
        <v/>
      </c>
      <c r="AT365" s="3" t="str">
        <f t="shared" si="219"/>
        <v/>
      </c>
      <c r="AU365" s="3" t="str">
        <f t="shared" si="220"/>
        <v/>
      </c>
      <c r="AW365" s="32" t="str">
        <f t="shared" si="221"/>
        <v/>
      </c>
      <c r="AX365" s="32" t="str">
        <f t="shared" si="221"/>
        <v/>
      </c>
      <c r="AY365" s="32" t="str">
        <f t="shared" si="222"/>
        <v/>
      </c>
      <c r="BA365" s="32" t="str">
        <f>IF($A366="","",F365*Summary!$Q$12)</f>
        <v/>
      </c>
    </row>
    <row r="366" spans="1:53" ht="12" customHeight="1">
      <c r="A366" s="67" t="str">
        <f t="shared" si="223"/>
        <v/>
      </c>
      <c r="B366" s="69" t="str">
        <f t="shared" si="225"/>
        <v/>
      </c>
      <c r="C366" s="71"/>
      <c r="D366" s="69" t="str">
        <f t="shared" si="189"/>
        <v/>
      </c>
      <c r="E366" s="70" t="str">
        <f t="shared" si="190"/>
        <v/>
      </c>
      <c r="F366" s="70" t="str">
        <f t="shared" si="191"/>
        <v/>
      </c>
      <c r="G366" s="63" t="str">
        <f t="shared" si="192"/>
        <v/>
      </c>
      <c r="H366" s="64" t="str">
        <f t="shared" si="193"/>
        <v/>
      </c>
      <c r="I366" s="43"/>
      <c r="J366" s="63" t="str">
        <f t="shared" si="194"/>
        <v/>
      </c>
      <c r="K366" s="64" t="str">
        <f t="shared" si="195"/>
        <v/>
      </c>
      <c r="L366" s="63" t="str">
        <f t="shared" si="196"/>
        <v/>
      </c>
      <c r="M366" s="64" t="str">
        <f t="shared" si="197"/>
        <v/>
      </c>
      <c r="N366" s="65"/>
      <c r="O366" s="63" t="str">
        <f t="shared" si="198"/>
        <v/>
      </c>
      <c r="P366" s="63" t="str">
        <f t="shared" si="199"/>
        <v/>
      </c>
      <c r="Q366" s="66"/>
      <c r="R366" s="63" t="str">
        <f t="shared" si="200"/>
        <v/>
      </c>
      <c r="S366" s="64" t="str">
        <f t="shared" si="201"/>
        <v/>
      </c>
      <c r="T366" s="63" t="str">
        <f t="shared" si="202"/>
        <v/>
      </c>
      <c r="U366" s="64" t="str">
        <f t="shared" si="203"/>
        <v/>
      </c>
      <c r="V366" s="90" t="str">
        <f>IF($A367="","",IF(AND(MONTH(A366)&gt;3,MONTH(A366)&lt;11),(T366+R366+G366)*(((1/(1-Summary!$T$12))/(1-Summary!$W$12))-1),(T366+R366+G366)*((1/(1-Summary!$U$12))/(1-Summary!$X$12)-1)))</f>
        <v/>
      </c>
      <c r="W366" s="63" t="str">
        <f t="shared" si="204"/>
        <v/>
      </c>
      <c r="X366" s="63" t="str">
        <f t="shared" si="205"/>
        <v/>
      </c>
      <c r="Y366" s="43"/>
      <c r="Z366" s="38" t="str">
        <f t="shared" si="206"/>
        <v/>
      </c>
      <c r="AA366" s="38" t="str">
        <f t="shared" si="207"/>
        <v/>
      </c>
      <c r="AB366" s="38" t="e">
        <f t="shared" si="208"/>
        <v>#VALUE!</v>
      </c>
      <c r="AC366" s="38" t="str">
        <f t="shared" si="209"/>
        <v/>
      </c>
      <c r="AD366" s="38" t="str">
        <f t="shared" si="209"/>
        <v/>
      </c>
      <c r="AE366" s="38" t="e">
        <f t="shared" si="210"/>
        <v>#VALUE!</v>
      </c>
      <c r="AF366" s="238" t="e">
        <f>((Summary!$N$12*(AA366*AD366)*(A366-$D$3))+(Summary!$M$12*Z366*AC366*(AJ366-EOMONTH(EDATE(A366,-1),0))))/(AK366*AB366*AE366)</f>
        <v>#VALUE!</v>
      </c>
      <c r="AG366" s="88" t="str">
        <f>IF($A367="","",Summary!$Q$12)</f>
        <v/>
      </c>
      <c r="AH366" s="88" t="str">
        <f>IF($A367="","",IF(Summary!$R$12="Y",(VLOOKUP($A366,Summary!$AD$6:$AF$9,3)+'Escalating commodity'!H379),'Escalating commodity'!H379))</f>
        <v/>
      </c>
      <c r="AI366" s="88" t="str">
        <f t="shared" si="224"/>
        <v/>
      </c>
      <c r="AJ366" s="236" t="e">
        <f t="shared" si="211"/>
        <v>#VALUE!</v>
      </c>
      <c r="AK366" s="58" t="str">
        <f t="shared" si="212"/>
        <v/>
      </c>
      <c r="AL366" s="26" t="str">
        <f>IF($A367="","",_xll.SPRDOPT(P366,X366,AI366,0,AB366,AE366,AF366,AK366,$AJ$2,0))</f>
        <v/>
      </c>
      <c r="AM366" s="89" t="str">
        <f t="shared" si="213"/>
        <v/>
      </c>
      <c r="AN366" s="89" t="str">
        <f t="shared" si="214"/>
        <v/>
      </c>
      <c r="AO366" s="3" t="str">
        <f t="shared" si="215"/>
        <v/>
      </c>
      <c r="AP366" s="33" t="str">
        <f t="shared" si="216"/>
        <v/>
      </c>
      <c r="AQ366" s="58" t="str">
        <f t="shared" si="217"/>
        <v/>
      </c>
      <c r="AR366" s="38">
        <f>'ANR OK vs ML7'!AR366</f>
        <v>0.1</v>
      </c>
      <c r="AS366" s="35" t="str">
        <f t="shared" si="218"/>
        <v/>
      </c>
      <c r="AT366" s="3" t="str">
        <f t="shared" si="219"/>
        <v/>
      </c>
      <c r="AU366" s="3" t="str">
        <f t="shared" si="220"/>
        <v/>
      </c>
      <c r="AW366" s="32" t="str">
        <f t="shared" si="221"/>
        <v/>
      </c>
      <c r="AX366" s="32" t="str">
        <f t="shared" si="221"/>
        <v/>
      </c>
      <c r="AY366" s="32" t="str">
        <f t="shared" si="222"/>
        <v/>
      </c>
      <c r="BA366" s="32" t="str">
        <f>IF($A367="","",F366*Summary!$Q$12)</f>
        <v/>
      </c>
    </row>
    <row r="367" spans="1:53" ht="12" customHeight="1">
      <c r="A367" s="67" t="str">
        <f t="shared" si="223"/>
        <v/>
      </c>
      <c r="B367" s="69" t="str">
        <f t="shared" si="225"/>
        <v/>
      </c>
      <c r="C367" s="71"/>
      <c r="D367" s="69" t="str">
        <f t="shared" si="189"/>
        <v/>
      </c>
      <c r="E367" s="70" t="str">
        <f t="shared" si="190"/>
        <v/>
      </c>
      <c r="F367" s="70" t="str">
        <f t="shared" si="191"/>
        <v/>
      </c>
      <c r="G367" s="63" t="str">
        <f t="shared" si="192"/>
        <v/>
      </c>
      <c r="H367" s="64" t="str">
        <f t="shared" si="193"/>
        <v/>
      </c>
      <c r="I367" s="43"/>
      <c r="J367" s="63" t="str">
        <f t="shared" si="194"/>
        <v/>
      </c>
      <c r="K367" s="64" t="str">
        <f t="shared" si="195"/>
        <v/>
      </c>
      <c r="L367" s="63" t="str">
        <f t="shared" si="196"/>
        <v/>
      </c>
      <c r="M367" s="64" t="str">
        <f t="shared" si="197"/>
        <v/>
      </c>
      <c r="N367" s="65"/>
      <c r="O367" s="63" t="str">
        <f t="shared" si="198"/>
        <v/>
      </c>
      <c r="P367" s="63" t="str">
        <f t="shared" si="199"/>
        <v/>
      </c>
      <c r="Q367" s="66"/>
      <c r="R367" s="63" t="str">
        <f t="shared" si="200"/>
        <v/>
      </c>
      <c r="S367" s="64" t="str">
        <f t="shared" si="201"/>
        <v/>
      </c>
      <c r="T367" s="63" t="str">
        <f t="shared" si="202"/>
        <v/>
      </c>
      <c r="U367" s="64" t="str">
        <f t="shared" si="203"/>
        <v/>
      </c>
      <c r="V367" s="90" t="str">
        <f>IF($A368="","",IF(AND(MONTH(A367)&gt;3,MONTH(A367)&lt;11),(T367+R367+G367)*(((1/(1-Summary!$T$12))/(1-Summary!$W$12))-1),(T367+R367+G367)*((1/(1-Summary!$U$12))/(1-Summary!$X$12)-1)))</f>
        <v/>
      </c>
      <c r="W367" s="63" t="str">
        <f t="shared" si="204"/>
        <v/>
      </c>
      <c r="X367" s="63" t="str">
        <f t="shared" si="205"/>
        <v/>
      </c>
      <c r="Y367" s="43"/>
      <c r="Z367" s="38" t="str">
        <f t="shared" si="206"/>
        <v/>
      </c>
      <c r="AA367" s="38" t="str">
        <f t="shared" si="207"/>
        <v/>
      </c>
      <c r="AB367" s="38" t="e">
        <f t="shared" si="208"/>
        <v>#VALUE!</v>
      </c>
      <c r="AC367" s="38" t="str">
        <f t="shared" si="209"/>
        <v/>
      </c>
      <c r="AD367" s="38" t="str">
        <f t="shared" si="209"/>
        <v/>
      </c>
      <c r="AE367" s="38" t="e">
        <f t="shared" si="210"/>
        <v>#VALUE!</v>
      </c>
      <c r="AF367" s="238" t="e">
        <f>((Summary!$N$12*(AA367*AD367)*(A367-$D$3))+(Summary!$M$12*Z367*AC367*(AJ367-EOMONTH(EDATE(A367,-1),0))))/(AK367*AB367*AE367)</f>
        <v>#VALUE!</v>
      </c>
      <c r="AG367" s="88" t="str">
        <f>IF($A368="","",Summary!$Q$12)</f>
        <v/>
      </c>
      <c r="AH367" s="88" t="str">
        <f>IF($A368="","",IF(Summary!$R$12="Y",(VLOOKUP($A367,Summary!$AD$6:$AF$9,3)+'Escalating commodity'!H380),'Escalating commodity'!H380))</f>
        <v/>
      </c>
      <c r="AI367" s="88" t="str">
        <f t="shared" si="224"/>
        <v/>
      </c>
      <c r="AJ367" s="236" t="e">
        <f t="shared" si="211"/>
        <v>#VALUE!</v>
      </c>
      <c r="AK367" s="58" t="str">
        <f t="shared" si="212"/>
        <v/>
      </c>
      <c r="AL367" s="26" t="str">
        <f>IF($A368="","",_xll.SPRDOPT(P367,X367,AI367,0,AB367,AE367,AF367,AK367,$AJ$2,0))</f>
        <v/>
      </c>
      <c r="AM367" s="89" t="str">
        <f t="shared" si="213"/>
        <v/>
      </c>
      <c r="AN367" s="89" t="str">
        <f t="shared" si="214"/>
        <v/>
      </c>
      <c r="AO367" s="3" t="str">
        <f t="shared" si="215"/>
        <v/>
      </c>
      <c r="AP367" s="33" t="str">
        <f t="shared" si="216"/>
        <v/>
      </c>
      <c r="AQ367" s="58" t="str">
        <f t="shared" si="217"/>
        <v/>
      </c>
      <c r="AR367" s="38">
        <f>'ANR OK vs ML7'!AR367</f>
        <v>0.1</v>
      </c>
      <c r="AS367" s="35" t="str">
        <f t="shared" si="218"/>
        <v/>
      </c>
      <c r="AT367" s="3" t="str">
        <f t="shared" si="219"/>
        <v/>
      </c>
      <c r="AU367" s="3" t="str">
        <f t="shared" si="220"/>
        <v/>
      </c>
      <c r="AW367" s="32" t="str">
        <f t="shared" si="221"/>
        <v/>
      </c>
      <c r="AX367" s="32" t="str">
        <f t="shared" si="221"/>
        <v/>
      </c>
      <c r="AY367" s="32" t="str">
        <f t="shared" si="222"/>
        <v/>
      </c>
      <c r="BA367" s="32" t="str">
        <f>IF($A368="","",F367*Summary!$Q$12)</f>
        <v/>
      </c>
    </row>
    <row r="368" spans="1:53" ht="12" customHeight="1">
      <c r="A368" s="67" t="str">
        <f t="shared" si="223"/>
        <v/>
      </c>
      <c r="B368" s="69" t="str">
        <f t="shared" si="225"/>
        <v/>
      </c>
      <c r="C368" s="71"/>
      <c r="D368" s="69" t="str">
        <f t="shared" si="189"/>
        <v/>
      </c>
      <c r="E368" s="70" t="str">
        <f t="shared" si="190"/>
        <v/>
      </c>
      <c r="F368" s="70" t="str">
        <f t="shared" si="191"/>
        <v/>
      </c>
      <c r="G368" s="63" t="str">
        <f t="shared" si="192"/>
        <v/>
      </c>
      <c r="H368" s="64" t="str">
        <f t="shared" si="193"/>
        <v/>
      </c>
      <c r="I368" s="43"/>
      <c r="J368" s="63" t="str">
        <f t="shared" si="194"/>
        <v/>
      </c>
      <c r="K368" s="64" t="str">
        <f t="shared" si="195"/>
        <v/>
      </c>
      <c r="L368" s="63" t="str">
        <f t="shared" si="196"/>
        <v/>
      </c>
      <c r="M368" s="64" t="str">
        <f t="shared" si="197"/>
        <v/>
      </c>
      <c r="N368" s="65"/>
      <c r="O368" s="63" t="str">
        <f t="shared" si="198"/>
        <v/>
      </c>
      <c r="P368" s="63" t="str">
        <f t="shared" si="199"/>
        <v/>
      </c>
      <c r="Q368" s="66"/>
      <c r="R368" s="63" t="str">
        <f t="shared" si="200"/>
        <v/>
      </c>
      <c r="S368" s="64" t="str">
        <f t="shared" si="201"/>
        <v/>
      </c>
      <c r="T368" s="63" t="str">
        <f t="shared" si="202"/>
        <v/>
      </c>
      <c r="U368" s="64" t="str">
        <f t="shared" si="203"/>
        <v/>
      </c>
      <c r="V368" s="90" t="str">
        <f>IF($A369="","",IF(AND(MONTH(A368)&gt;3,MONTH(A368)&lt;11),(T368+R368+G368)*(((1/(1-Summary!$T$12))/(1-Summary!$W$12))-1),(T368+R368+G368)*((1/(1-Summary!$U$12))/(1-Summary!$X$12)-1)))</f>
        <v/>
      </c>
      <c r="W368" s="63" t="str">
        <f t="shared" si="204"/>
        <v/>
      </c>
      <c r="X368" s="63" t="str">
        <f t="shared" si="205"/>
        <v/>
      </c>
      <c r="Y368" s="43"/>
      <c r="Z368" s="38" t="str">
        <f t="shared" si="206"/>
        <v/>
      </c>
      <c r="AA368" s="38" t="str">
        <f t="shared" si="207"/>
        <v/>
      </c>
      <c r="AB368" s="38" t="e">
        <f t="shared" si="208"/>
        <v>#VALUE!</v>
      </c>
      <c r="AC368" s="38" t="str">
        <f t="shared" si="209"/>
        <v/>
      </c>
      <c r="AD368" s="38" t="str">
        <f t="shared" si="209"/>
        <v/>
      </c>
      <c r="AE368" s="38" t="e">
        <f t="shared" si="210"/>
        <v>#VALUE!</v>
      </c>
      <c r="AF368" s="238" t="e">
        <f>((Summary!$N$12*(AA368*AD368)*(A368-$D$3))+(Summary!$M$12*Z368*AC368*(AJ368-EOMONTH(EDATE(A368,-1),0))))/(AK368*AB368*AE368)</f>
        <v>#VALUE!</v>
      </c>
      <c r="AG368" s="88" t="str">
        <f>IF($A369="","",Summary!$Q$12)</f>
        <v/>
      </c>
      <c r="AH368" s="88" t="str">
        <f>IF($A369="","",IF(Summary!$R$12="Y",(VLOOKUP($A368,Summary!$AD$6:$AF$9,3)+'Escalating commodity'!H381),'Escalating commodity'!H381))</f>
        <v/>
      </c>
      <c r="AI368" s="88" t="str">
        <f t="shared" si="224"/>
        <v/>
      </c>
      <c r="AJ368" s="236" t="e">
        <f t="shared" si="211"/>
        <v>#VALUE!</v>
      </c>
      <c r="AK368" s="58" t="str">
        <f t="shared" si="212"/>
        <v/>
      </c>
      <c r="AL368" s="26" t="str">
        <f>IF($A369="","",_xll.SPRDOPT(P368,X368,AI368,0,AB368,AE368,AF368,AK368,$AJ$2,0))</f>
        <v/>
      </c>
      <c r="AM368" s="89" t="str">
        <f t="shared" si="213"/>
        <v/>
      </c>
      <c r="AN368" s="89" t="str">
        <f t="shared" si="214"/>
        <v/>
      </c>
      <c r="AO368" s="3" t="str">
        <f t="shared" si="215"/>
        <v/>
      </c>
      <c r="AP368" s="33" t="str">
        <f t="shared" si="216"/>
        <v/>
      </c>
      <c r="AQ368" s="58" t="str">
        <f t="shared" si="217"/>
        <v/>
      </c>
      <c r="AR368" s="38">
        <f>'ANR OK vs ML7'!AR368</f>
        <v>0.1</v>
      </c>
      <c r="AS368" s="35" t="str">
        <f t="shared" si="218"/>
        <v/>
      </c>
      <c r="AT368" s="3" t="str">
        <f t="shared" si="219"/>
        <v/>
      </c>
      <c r="AU368" s="3" t="str">
        <f t="shared" si="220"/>
        <v/>
      </c>
      <c r="AW368" s="32" t="str">
        <f t="shared" si="221"/>
        <v/>
      </c>
      <c r="AX368" s="32" t="str">
        <f t="shared" si="221"/>
        <v/>
      </c>
      <c r="AY368" s="32" t="str">
        <f t="shared" si="222"/>
        <v/>
      </c>
      <c r="BA368" s="32" t="str">
        <f>IF($A369="","",F368*Summary!$Q$12)</f>
        <v/>
      </c>
    </row>
    <row r="369" spans="1:53" ht="12" customHeight="1">
      <c r="A369" s="67" t="str">
        <f t="shared" si="223"/>
        <v/>
      </c>
      <c r="B369" s="69" t="str">
        <f t="shared" si="225"/>
        <v/>
      </c>
      <c r="C369" s="71"/>
      <c r="D369" s="69" t="str">
        <f t="shared" si="189"/>
        <v/>
      </c>
      <c r="E369" s="70" t="str">
        <f t="shared" si="190"/>
        <v/>
      </c>
      <c r="F369" s="70" t="str">
        <f t="shared" si="191"/>
        <v/>
      </c>
      <c r="G369" s="63" t="str">
        <f t="shared" si="192"/>
        <v/>
      </c>
      <c r="H369" s="64" t="str">
        <f t="shared" si="193"/>
        <v/>
      </c>
      <c r="I369" s="43"/>
      <c r="J369" s="63" t="str">
        <f t="shared" si="194"/>
        <v/>
      </c>
      <c r="K369" s="64" t="str">
        <f t="shared" si="195"/>
        <v/>
      </c>
      <c r="L369" s="63" t="str">
        <f t="shared" si="196"/>
        <v/>
      </c>
      <c r="M369" s="64" t="str">
        <f t="shared" si="197"/>
        <v/>
      </c>
      <c r="N369" s="65"/>
      <c r="O369" s="63" t="str">
        <f t="shared" si="198"/>
        <v/>
      </c>
      <c r="P369" s="63" t="str">
        <f t="shared" si="199"/>
        <v/>
      </c>
      <c r="Q369" s="66"/>
      <c r="R369" s="63" t="str">
        <f t="shared" si="200"/>
        <v/>
      </c>
      <c r="S369" s="64" t="str">
        <f t="shared" si="201"/>
        <v/>
      </c>
      <c r="T369" s="63" t="str">
        <f t="shared" si="202"/>
        <v/>
      </c>
      <c r="U369" s="64" t="str">
        <f t="shared" si="203"/>
        <v/>
      </c>
      <c r="V369" s="90" t="str">
        <f>IF($A370="","",IF(AND(MONTH(A369)&gt;3,MONTH(A369)&lt;11),(T369+R369+G369)*(((1/(1-Summary!$T$12))/(1-Summary!$W$12))-1),(T369+R369+G369)*((1/(1-Summary!$U$12))/(1-Summary!$X$12)-1)))</f>
        <v/>
      </c>
      <c r="W369" s="63" t="str">
        <f t="shared" si="204"/>
        <v/>
      </c>
      <c r="X369" s="63" t="str">
        <f t="shared" si="205"/>
        <v/>
      </c>
      <c r="Y369" s="43"/>
      <c r="Z369" s="38" t="str">
        <f t="shared" si="206"/>
        <v/>
      </c>
      <c r="AA369" s="38" t="str">
        <f t="shared" si="207"/>
        <v/>
      </c>
      <c r="AB369" s="38" t="e">
        <f t="shared" si="208"/>
        <v>#VALUE!</v>
      </c>
      <c r="AC369" s="38" t="str">
        <f t="shared" si="209"/>
        <v/>
      </c>
      <c r="AD369" s="38" t="str">
        <f t="shared" si="209"/>
        <v/>
      </c>
      <c r="AE369" s="38" t="e">
        <f t="shared" si="210"/>
        <v>#VALUE!</v>
      </c>
      <c r="AF369" s="238" t="e">
        <f>((Summary!$N$12*(AA369*AD369)*(A369-$D$3))+(Summary!$M$12*Z369*AC369*(AJ369-EOMONTH(EDATE(A369,-1),0))))/(AK369*AB369*AE369)</f>
        <v>#VALUE!</v>
      </c>
      <c r="AG369" s="88" t="str">
        <f>IF($A370="","",Summary!$Q$12)</f>
        <v/>
      </c>
      <c r="AH369" s="88" t="str">
        <f>IF($A370="","",IF(Summary!$R$12="Y",(VLOOKUP($A369,Summary!$AD$6:$AF$9,3)+'Escalating commodity'!H382),'Escalating commodity'!H382))</f>
        <v/>
      </c>
      <c r="AI369" s="88" t="str">
        <f t="shared" si="224"/>
        <v/>
      </c>
      <c r="AJ369" s="236" t="e">
        <f t="shared" si="211"/>
        <v>#VALUE!</v>
      </c>
      <c r="AK369" s="58" t="str">
        <f t="shared" si="212"/>
        <v/>
      </c>
      <c r="AL369" s="26" t="str">
        <f>IF($A370="","",_xll.SPRDOPT(P369,X369,AI369,0,AB369,AE369,AF369,AK369,$AJ$2,0))</f>
        <v/>
      </c>
      <c r="AM369" s="89" t="str">
        <f t="shared" si="213"/>
        <v/>
      </c>
      <c r="AN369" s="89" t="str">
        <f t="shared" si="214"/>
        <v/>
      </c>
      <c r="AO369" s="3" t="str">
        <f t="shared" si="215"/>
        <v/>
      </c>
      <c r="AP369" s="33" t="str">
        <f t="shared" si="216"/>
        <v/>
      </c>
      <c r="AQ369" s="58" t="str">
        <f t="shared" si="217"/>
        <v/>
      </c>
      <c r="AR369" s="38">
        <f>'ANR OK vs ML7'!AR369</f>
        <v>0.1</v>
      </c>
      <c r="AS369" s="35" t="str">
        <f t="shared" si="218"/>
        <v/>
      </c>
      <c r="AT369" s="3" t="str">
        <f t="shared" si="219"/>
        <v/>
      </c>
      <c r="AU369" s="3" t="str">
        <f t="shared" si="220"/>
        <v/>
      </c>
      <c r="AW369" s="32" t="str">
        <f t="shared" si="221"/>
        <v/>
      </c>
      <c r="AX369" s="32" t="str">
        <f t="shared" si="221"/>
        <v/>
      </c>
      <c r="AY369" s="32" t="str">
        <f t="shared" si="222"/>
        <v/>
      </c>
      <c r="BA369" s="32" t="str">
        <f>IF($A370="","",F369*Summary!$Q$12)</f>
        <v/>
      </c>
    </row>
    <row r="370" spans="1:53">
      <c r="A370" s="67" t="str">
        <f t="shared" si="223"/>
        <v/>
      </c>
      <c r="B370" s="69" t="str">
        <f t="shared" si="225"/>
        <v/>
      </c>
      <c r="C370" s="72"/>
      <c r="D370" s="69" t="str">
        <f t="shared" si="189"/>
        <v/>
      </c>
      <c r="E370" s="70" t="str">
        <f t="shared" si="190"/>
        <v/>
      </c>
      <c r="F370" s="70" t="str">
        <f t="shared" si="191"/>
        <v/>
      </c>
      <c r="G370" s="63" t="str">
        <f t="shared" si="192"/>
        <v/>
      </c>
      <c r="H370" s="64" t="str">
        <f t="shared" si="193"/>
        <v/>
      </c>
      <c r="J370" s="63" t="str">
        <f t="shared" si="194"/>
        <v/>
      </c>
      <c r="K370" s="64" t="str">
        <f t="shared" si="195"/>
        <v/>
      </c>
      <c r="L370" s="63" t="str">
        <f t="shared" si="196"/>
        <v/>
      </c>
      <c r="M370" s="64" t="str">
        <f t="shared" si="197"/>
        <v/>
      </c>
      <c r="O370" s="63" t="str">
        <f t="shared" si="198"/>
        <v/>
      </c>
      <c r="P370" s="63" t="str">
        <f t="shared" si="199"/>
        <v/>
      </c>
      <c r="R370" s="63" t="str">
        <f t="shared" si="200"/>
        <v/>
      </c>
      <c r="S370" s="64" t="str">
        <f t="shared" si="201"/>
        <v/>
      </c>
      <c r="T370" s="63" t="str">
        <f t="shared" si="202"/>
        <v/>
      </c>
      <c r="U370" s="64" t="str">
        <f t="shared" si="203"/>
        <v/>
      </c>
      <c r="V370" s="90" t="str">
        <f>IF($A371="","",IF(AND(MONTH(A370)&gt;3,MONTH(A370)&lt;11),(T370+R370+G370)*(((1/(1-Summary!$T$12))/(1-Summary!$W$12))-1),(T370+R370+G370)*((1/(1-Summary!$U$12))/(1-Summary!$X$12)-1)))</f>
        <v/>
      </c>
      <c r="W370" s="63" t="str">
        <f t="shared" si="204"/>
        <v/>
      </c>
      <c r="X370" s="63" t="str">
        <f t="shared" si="205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5"/>
        <v/>
      </c>
      <c r="AP370" s="33" t="str">
        <f t="shared" si="216"/>
        <v/>
      </c>
      <c r="AQ370" s="58" t="str">
        <f t="shared" si="217"/>
        <v/>
      </c>
      <c r="AR370" s="38">
        <f>'ANR OK vs ML7'!AR370</f>
        <v>0.1</v>
      </c>
      <c r="AS370" s="35" t="str">
        <f t="shared" si="218"/>
        <v/>
      </c>
      <c r="AT370" s="3" t="str">
        <f t="shared" si="219"/>
        <v/>
      </c>
      <c r="AU370" s="3" t="str">
        <f t="shared" si="220"/>
        <v/>
      </c>
      <c r="AW370" s="32" t="str">
        <f t="shared" si="221"/>
        <v/>
      </c>
      <c r="AX370" s="32" t="str">
        <f t="shared" si="221"/>
        <v/>
      </c>
      <c r="AY370" s="32" t="str">
        <f t="shared" si="222"/>
        <v/>
      </c>
      <c r="BA370" s="32" t="str">
        <f>IF($A371="","",F370*Summary!$Q$12)</f>
        <v/>
      </c>
    </row>
    <row r="371" spans="1:53">
      <c r="A371" s="67" t="str">
        <f t="shared" si="223"/>
        <v/>
      </c>
      <c r="B371" s="69" t="str">
        <f t="shared" si="225"/>
        <v/>
      </c>
      <c r="D371" s="69" t="str">
        <f t="shared" si="189"/>
        <v/>
      </c>
      <c r="E371" s="70" t="str">
        <f t="shared" si="190"/>
        <v/>
      </c>
      <c r="F371" s="70" t="str">
        <f t="shared" si="191"/>
        <v/>
      </c>
      <c r="G371" s="63" t="str">
        <f t="shared" si="192"/>
        <v/>
      </c>
      <c r="H371" s="64" t="str">
        <f t="shared" si="193"/>
        <v/>
      </c>
      <c r="J371" s="63" t="str">
        <f t="shared" si="194"/>
        <v/>
      </c>
      <c r="K371" s="64" t="str">
        <f t="shared" si="195"/>
        <v/>
      </c>
      <c r="L371" s="63" t="str">
        <f t="shared" si="196"/>
        <v/>
      </c>
      <c r="M371" s="64" t="str">
        <f t="shared" si="197"/>
        <v/>
      </c>
      <c r="O371" s="63" t="str">
        <f t="shared" si="198"/>
        <v/>
      </c>
      <c r="P371" s="63" t="str">
        <f t="shared" si="199"/>
        <v/>
      </c>
      <c r="R371" s="63" t="str">
        <f t="shared" si="200"/>
        <v/>
      </c>
      <c r="S371" s="64" t="str">
        <f t="shared" si="201"/>
        <v/>
      </c>
      <c r="T371" s="63" t="str">
        <f t="shared" si="202"/>
        <v/>
      </c>
      <c r="U371" s="64" t="str">
        <f t="shared" si="203"/>
        <v/>
      </c>
      <c r="V371" s="90" t="str">
        <f>IF($A372="","",IF(AND(MONTH(A371)&gt;3,MONTH(A371)&lt;11),(T371+R371+G371)*(((1/(1-Summary!$T$12))/(1-Summary!$W$12))-1),(T371+R371+G371)*((1/(1-Summary!$U$12))/(1-Summary!$X$12)-1)))</f>
        <v/>
      </c>
      <c r="W371" s="63" t="str">
        <f t="shared" si="204"/>
        <v/>
      </c>
      <c r="X371" s="63" t="str">
        <f t="shared" si="205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5"/>
        <v/>
      </c>
      <c r="AP371" s="33" t="str">
        <f t="shared" si="216"/>
        <v/>
      </c>
      <c r="AQ371" s="58" t="str">
        <f t="shared" si="217"/>
        <v/>
      </c>
      <c r="AR371" s="38">
        <f>'ANR OK vs ML7'!AR371</f>
        <v>0.1</v>
      </c>
      <c r="AS371" s="35" t="str">
        <f t="shared" si="218"/>
        <v/>
      </c>
      <c r="AT371" s="3" t="str">
        <f t="shared" si="219"/>
        <v/>
      </c>
      <c r="AU371" s="3" t="str">
        <f t="shared" si="220"/>
        <v/>
      </c>
      <c r="AW371" s="32" t="str">
        <f t="shared" si="221"/>
        <v/>
      </c>
      <c r="AX371" s="32" t="str">
        <f t="shared" si="221"/>
        <v/>
      </c>
      <c r="AY371" s="32" t="str">
        <f t="shared" si="222"/>
        <v/>
      </c>
      <c r="BA371" s="32" t="str">
        <f>IF($A372="","",F371*Summary!$Q$12)</f>
        <v/>
      </c>
    </row>
    <row r="372" spans="1:53">
      <c r="A372" s="67" t="str">
        <f t="shared" si="223"/>
        <v/>
      </c>
      <c r="B372" s="69" t="str">
        <f t="shared" si="225"/>
        <v/>
      </c>
      <c r="D372" s="69" t="str">
        <f t="shared" si="189"/>
        <v/>
      </c>
      <c r="E372" s="70" t="str">
        <f t="shared" si="190"/>
        <v/>
      </c>
      <c r="F372" s="70" t="str">
        <f t="shared" si="191"/>
        <v/>
      </c>
      <c r="G372" s="63" t="str">
        <f t="shared" si="192"/>
        <v/>
      </c>
      <c r="H372" s="64" t="str">
        <f t="shared" si="193"/>
        <v/>
      </c>
      <c r="J372" s="63" t="str">
        <f t="shared" si="194"/>
        <v/>
      </c>
      <c r="K372" s="64" t="str">
        <f t="shared" si="195"/>
        <v/>
      </c>
      <c r="L372" s="63" t="str">
        <f t="shared" si="196"/>
        <v/>
      </c>
      <c r="M372" s="64" t="str">
        <f t="shared" si="197"/>
        <v/>
      </c>
      <c r="O372" s="63" t="str">
        <f t="shared" si="198"/>
        <v/>
      </c>
      <c r="P372" s="63" t="str">
        <f t="shared" si="199"/>
        <v/>
      </c>
      <c r="R372" s="63" t="str">
        <f t="shared" si="200"/>
        <v/>
      </c>
      <c r="S372" s="64" t="str">
        <f t="shared" si="201"/>
        <v/>
      </c>
      <c r="T372" s="63" t="str">
        <f t="shared" si="202"/>
        <v/>
      </c>
      <c r="U372" s="64" t="str">
        <f t="shared" si="203"/>
        <v/>
      </c>
      <c r="V372" s="90" t="str">
        <f>IF($A373="","",IF(AND(MONTH(A372)&gt;3,MONTH(A372)&lt;11),(T372+R372+G372)*(((1/(1-Summary!$T$12))/(1-Summary!$W$12))-1),(T372+R372+G372)*((1/(1-Summary!$U$12))/(1-Summary!$X$12)-1)))</f>
        <v/>
      </c>
      <c r="W372" s="63" t="str">
        <f t="shared" si="204"/>
        <v/>
      </c>
      <c r="X372" s="63" t="str">
        <f t="shared" si="205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5"/>
        <v/>
      </c>
      <c r="AP372" s="33" t="str">
        <f t="shared" si="216"/>
        <v/>
      </c>
      <c r="AQ372" s="58" t="str">
        <f t="shared" si="217"/>
        <v/>
      </c>
      <c r="AR372" s="38">
        <f>'ANR OK vs ML7'!AR372</f>
        <v>0.1</v>
      </c>
      <c r="AS372" s="35" t="str">
        <f t="shared" si="218"/>
        <v/>
      </c>
      <c r="AT372" s="3" t="str">
        <f t="shared" si="219"/>
        <v/>
      </c>
      <c r="AU372" s="3" t="str">
        <f t="shared" si="220"/>
        <v/>
      </c>
      <c r="AW372" s="32" t="str">
        <f t="shared" si="221"/>
        <v/>
      </c>
      <c r="AX372" s="32" t="str">
        <f t="shared" si="221"/>
        <v/>
      </c>
      <c r="AY372" s="32" t="str">
        <f t="shared" si="222"/>
        <v/>
      </c>
      <c r="BA372" s="32" t="str">
        <f>IF($A373="","",F372*Summary!$Q$12)</f>
        <v/>
      </c>
    </row>
    <row r="373" spans="1:53">
      <c r="A373" s="67" t="str">
        <f t="shared" si="223"/>
        <v/>
      </c>
      <c r="B373" s="69" t="str">
        <f t="shared" si="225"/>
        <v/>
      </c>
      <c r="D373" s="69" t="str">
        <f t="shared" si="189"/>
        <v/>
      </c>
      <c r="E373" s="70" t="str">
        <f t="shared" si="190"/>
        <v/>
      </c>
      <c r="F373" s="70" t="str">
        <f t="shared" si="191"/>
        <v/>
      </c>
      <c r="G373" s="63" t="str">
        <f t="shared" si="192"/>
        <v/>
      </c>
      <c r="H373" s="64" t="str">
        <f t="shared" si="193"/>
        <v/>
      </c>
      <c r="J373" s="63" t="str">
        <f t="shared" si="194"/>
        <v/>
      </c>
      <c r="K373" s="64" t="str">
        <f t="shared" si="195"/>
        <v/>
      </c>
      <c r="L373" s="63" t="str">
        <f t="shared" si="196"/>
        <v/>
      </c>
      <c r="M373" s="64" t="str">
        <f t="shared" si="197"/>
        <v/>
      </c>
      <c r="O373" s="63" t="str">
        <f t="shared" si="198"/>
        <v/>
      </c>
      <c r="P373" s="63" t="str">
        <f t="shared" si="199"/>
        <v/>
      </c>
      <c r="R373" s="63" t="str">
        <f t="shared" si="200"/>
        <v/>
      </c>
      <c r="S373" s="64" t="str">
        <f t="shared" si="201"/>
        <v/>
      </c>
      <c r="T373" s="63" t="str">
        <f t="shared" si="202"/>
        <v/>
      </c>
      <c r="U373" s="64" t="str">
        <f t="shared" si="203"/>
        <v/>
      </c>
      <c r="V373" s="90" t="str">
        <f>IF($A374="","",IF(AND(MONTH(A373)&gt;3,MONTH(A373)&lt;11),(T373+R373+G373)*(((1/(1-Summary!$T$12))/(1-Summary!$W$12))-1),(T373+R373+G373)*((1/(1-Summary!$U$12))/(1-Summary!$X$12)-1)))</f>
        <v/>
      </c>
      <c r="W373" s="63" t="str">
        <f t="shared" si="204"/>
        <v/>
      </c>
      <c r="X373" s="63" t="str">
        <f t="shared" si="205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5"/>
        <v/>
      </c>
      <c r="AP373" s="33" t="str">
        <f t="shared" si="216"/>
        <v/>
      </c>
      <c r="AQ373" s="58" t="str">
        <f t="shared" si="217"/>
        <v/>
      </c>
      <c r="AR373" s="38">
        <f>'ANR OK vs ML7'!AR373</f>
        <v>0.1</v>
      </c>
      <c r="AS373" s="35" t="str">
        <f t="shared" si="218"/>
        <v/>
      </c>
      <c r="AT373" s="3" t="str">
        <f t="shared" si="219"/>
        <v/>
      </c>
      <c r="AU373" s="3" t="str">
        <f t="shared" si="220"/>
        <v/>
      </c>
      <c r="AW373" s="32" t="str">
        <f t="shared" si="221"/>
        <v/>
      </c>
      <c r="AX373" s="32" t="str">
        <f t="shared" si="221"/>
        <v/>
      </c>
      <c r="AY373" s="32" t="str">
        <f t="shared" si="222"/>
        <v/>
      </c>
      <c r="BA373" s="32" t="str">
        <f>IF($A374="","",F373*Summary!$Q$12)</f>
        <v/>
      </c>
    </row>
    <row r="374" spans="1:53">
      <c r="A374" s="67" t="str">
        <f t="shared" si="223"/>
        <v/>
      </c>
      <c r="B374" s="69" t="str">
        <f t="shared" si="225"/>
        <v/>
      </c>
      <c r="D374" s="69" t="str">
        <f t="shared" si="189"/>
        <v/>
      </c>
      <c r="E374" s="70" t="str">
        <f t="shared" si="190"/>
        <v/>
      </c>
      <c r="F374" s="70" t="str">
        <f t="shared" si="191"/>
        <v/>
      </c>
      <c r="G374" s="63" t="str">
        <f t="shared" si="192"/>
        <v/>
      </c>
      <c r="H374" s="64" t="str">
        <f t="shared" si="193"/>
        <v/>
      </c>
      <c r="J374" s="63" t="str">
        <f t="shared" si="194"/>
        <v/>
      </c>
      <c r="K374" s="64" t="str">
        <f t="shared" si="195"/>
        <v/>
      </c>
      <c r="L374" s="63" t="str">
        <f t="shared" si="196"/>
        <v/>
      </c>
      <c r="M374" s="64" t="str">
        <f t="shared" si="197"/>
        <v/>
      </c>
      <c r="O374" s="63" t="str">
        <f t="shared" si="198"/>
        <v/>
      </c>
      <c r="P374" s="63" t="str">
        <f t="shared" si="199"/>
        <v/>
      </c>
      <c r="R374" s="63" t="str">
        <f t="shared" si="200"/>
        <v/>
      </c>
      <c r="S374" s="64" t="str">
        <f t="shared" si="201"/>
        <v/>
      </c>
      <c r="T374" s="63" t="str">
        <f t="shared" si="202"/>
        <v/>
      </c>
      <c r="U374" s="64" t="str">
        <f t="shared" si="203"/>
        <v/>
      </c>
      <c r="V374" s="90" t="str">
        <f>IF($A375="","",IF(AND(MONTH(A374)&gt;3,MONTH(A374)&lt;11),(T374+R374+G374)*(((1/(1-Summary!$T$12))/(1-Summary!$W$12))-1),(T374+R374+G374)*((1/(1-Summary!$U$12))/(1-Summary!$X$12)-1)))</f>
        <v/>
      </c>
      <c r="W374" s="63" t="str">
        <f t="shared" si="204"/>
        <v/>
      </c>
      <c r="X374" s="63" t="str">
        <f t="shared" si="205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5"/>
        <v/>
      </c>
      <c r="AP374" s="33" t="str">
        <f t="shared" si="216"/>
        <v/>
      </c>
      <c r="AQ374" s="58" t="str">
        <f t="shared" si="217"/>
        <v/>
      </c>
      <c r="AR374" s="38">
        <f>'ANR OK vs ML7'!AR374</f>
        <v>0.1</v>
      </c>
      <c r="AS374" s="35" t="str">
        <f t="shared" si="218"/>
        <v/>
      </c>
      <c r="AT374" s="3" t="str">
        <f t="shared" si="219"/>
        <v/>
      </c>
      <c r="AU374" s="3" t="str">
        <f t="shared" si="220"/>
        <v/>
      </c>
      <c r="AW374" s="32" t="str">
        <f t="shared" si="221"/>
        <v/>
      </c>
      <c r="AX374" s="32" t="str">
        <f t="shared" si="221"/>
        <v/>
      </c>
      <c r="AY374" s="32" t="str">
        <f t="shared" si="222"/>
        <v/>
      </c>
      <c r="BA374" s="32" t="str">
        <f>IF($A375="","",F374*Summary!$Q$12)</f>
        <v/>
      </c>
    </row>
    <row r="375" spans="1:53">
      <c r="A375" s="67" t="str">
        <f t="shared" si="223"/>
        <v/>
      </c>
      <c r="B375" s="69" t="str">
        <f t="shared" si="225"/>
        <v/>
      </c>
      <c r="D375" s="69" t="str">
        <f t="shared" si="189"/>
        <v/>
      </c>
      <c r="E375" s="70" t="str">
        <f t="shared" si="190"/>
        <v/>
      </c>
      <c r="F375" s="70" t="str">
        <f t="shared" si="191"/>
        <v/>
      </c>
      <c r="G375" s="63" t="str">
        <f t="shared" si="192"/>
        <v/>
      </c>
      <c r="H375" s="64" t="str">
        <f t="shared" si="193"/>
        <v/>
      </c>
      <c r="J375" s="63" t="str">
        <f t="shared" si="194"/>
        <v/>
      </c>
      <c r="K375" s="64" t="str">
        <f t="shared" si="195"/>
        <v/>
      </c>
      <c r="L375" s="63" t="str">
        <f t="shared" si="196"/>
        <v/>
      </c>
      <c r="M375" s="64" t="str">
        <f t="shared" si="197"/>
        <v/>
      </c>
      <c r="O375" s="63" t="str">
        <f t="shared" si="198"/>
        <v/>
      </c>
      <c r="P375" s="63" t="str">
        <f t="shared" si="199"/>
        <v/>
      </c>
      <c r="R375" s="63" t="str">
        <f t="shared" si="200"/>
        <v/>
      </c>
      <c r="S375" s="64" t="str">
        <f t="shared" si="201"/>
        <v/>
      </c>
      <c r="T375" s="63" t="str">
        <f t="shared" si="202"/>
        <v/>
      </c>
      <c r="U375" s="64" t="str">
        <f t="shared" si="203"/>
        <v/>
      </c>
      <c r="V375" s="90" t="str">
        <f>IF($A376="","",IF(AND(MONTH(A375)&gt;3,MONTH(A375)&lt;11),(T375+R375+G375)*(((1/(1-Summary!$T$12))/(1-Summary!$W$12))-1),(T375+R375+G375)*((1/(1-Summary!$U$12))/(1-Summary!$X$12)-1)))</f>
        <v/>
      </c>
      <c r="W375" s="63" t="str">
        <f t="shared" si="204"/>
        <v/>
      </c>
      <c r="X375" s="63" t="str">
        <f t="shared" si="205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5"/>
        <v/>
      </c>
      <c r="AP375" s="33" t="str">
        <f t="shared" si="216"/>
        <v/>
      </c>
      <c r="AQ375" s="58" t="str">
        <f t="shared" si="217"/>
        <v/>
      </c>
      <c r="AR375" s="38">
        <f>'ANR OK vs ML7'!AR375</f>
        <v>0.1</v>
      </c>
      <c r="AS375" s="35" t="str">
        <f t="shared" si="218"/>
        <v/>
      </c>
      <c r="AT375" s="3" t="str">
        <f t="shared" si="219"/>
        <v/>
      </c>
      <c r="AU375" s="3" t="str">
        <f t="shared" si="220"/>
        <v/>
      </c>
      <c r="AW375" s="32" t="str">
        <f t="shared" si="221"/>
        <v/>
      </c>
      <c r="AX375" s="32" t="str">
        <f t="shared" si="221"/>
        <v/>
      </c>
      <c r="AY375" s="32" t="str">
        <f t="shared" si="222"/>
        <v/>
      </c>
      <c r="BA375" s="32" t="str">
        <f>IF($A376="","",F375*Summary!$Q$12)</f>
        <v/>
      </c>
    </row>
    <row r="376" spans="1:53">
      <c r="A376" s="67" t="str">
        <f t="shared" si="223"/>
        <v/>
      </c>
      <c r="B376" s="69" t="str">
        <f t="shared" si="225"/>
        <v/>
      </c>
      <c r="D376" s="69" t="str">
        <f t="shared" si="189"/>
        <v/>
      </c>
      <c r="E376" s="70" t="str">
        <f t="shared" si="190"/>
        <v/>
      </c>
      <c r="F376" s="70" t="str">
        <f t="shared" si="191"/>
        <v/>
      </c>
      <c r="G376" s="63" t="str">
        <f t="shared" si="192"/>
        <v/>
      </c>
      <c r="H376" s="64" t="str">
        <f t="shared" si="193"/>
        <v/>
      </c>
      <c r="J376" s="63" t="str">
        <f t="shared" si="194"/>
        <v/>
      </c>
      <c r="K376" s="64" t="str">
        <f t="shared" si="195"/>
        <v/>
      </c>
      <c r="L376" s="63" t="str">
        <f t="shared" si="196"/>
        <v/>
      </c>
      <c r="M376" s="64" t="str">
        <f t="shared" si="197"/>
        <v/>
      </c>
      <c r="O376" s="63" t="str">
        <f t="shared" si="198"/>
        <v/>
      </c>
      <c r="P376" s="63" t="str">
        <f t="shared" si="199"/>
        <v/>
      </c>
      <c r="R376" s="63" t="str">
        <f t="shared" si="200"/>
        <v/>
      </c>
      <c r="S376" s="64" t="str">
        <f t="shared" si="201"/>
        <v/>
      </c>
      <c r="T376" s="63" t="str">
        <f t="shared" si="202"/>
        <v/>
      </c>
      <c r="U376" s="64" t="str">
        <f t="shared" si="203"/>
        <v/>
      </c>
      <c r="V376" s="90" t="str">
        <f>IF($A377="","",IF(AND(MONTH(A376)&gt;3,MONTH(A376)&lt;11),(T376+R376+G376)*(((1/(1-Summary!$T$12))/(1-Summary!$W$12))-1),(T376+R376+G376)*((1/(1-Summary!$U$12))/(1-Summary!$X$12)-1)))</f>
        <v/>
      </c>
      <c r="W376" s="63" t="str">
        <f t="shared" si="204"/>
        <v/>
      </c>
      <c r="X376" s="63" t="str">
        <f t="shared" si="205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5"/>
        <v/>
      </c>
      <c r="AP376" s="33" t="str">
        <f t="shared" si="216"/>
        <v/>
      </c>
      <c r="AQ376" s="58" t="str">
        <f t="shared" si="217"/>
        <v/>
      </c>
      <c r="AR376" s="38">
        <f>'ANR OK vs ML7'!AR376</f>
        <v>0.1</v>
      </c>
      <c r="AS376" s="35" t="str">
        <f t="shared" si="218"/>
        <v/>
      </c>
      <c r="AT376" s="3" t="str">
        <f t="shared" si="219"/>
        <v/>
      </c>
      <c r="AU376" s="3" t="str">
        <f t="shared" si="220"/>
        <v/>
      </c>
      <c r="AW376" s="32" t="str">
        <f t="shared" si="221"/>
        <v/>
      </c>
      <c r="AX376" s="32" t="str">
        <f t="shared" si="221"/>
        <v/>
      </c>
      <c r="AY376" s="32" t="str">
        <f t="shared" si="222"/>
        <v/>
      </c>
      <c r="BA376" s="32" t="str">
        <f>IF($A377="","",F376*Summary!$Q$12)</f>
        <v/>
      </c>
    </row>
    <row r="377" spans="1:53">
      <c r="A377" s="67" t="str">
        <f t="shared" si="223"/>
        <v/>
      </c>
      <c r="B377" s="69" t="str">
        <f t="shared" si="225"/>
        <v/>
      </c>
      <c r="D377" s="69" t="str">
        <f t="shared" si="189"/>
        <v/>
      </c>
      <c r="E377" s="70" t="str">
        <f t="shared" si="190"/>
        <v/>
      </c>
      <c r="F377" s="70" t="str">
        <f t="shared" si="191"/>
        <v/>
      </c>
      <c r="G377" s="63" t="str">
        <f t="shared" si="192"/>
        <v/>
      </c>
      <c r="H377" s="64" t="str">
        <f t="shared" si="193"/>
        <v/>
      </c>
      <c r="J377" s="63" t="str">
        <f t="shared" si="194"/>
        <v/>
      </c>
      <c r="K377" s="64" t="str">
        <f t="shared" si="195"/>
        <v/>
      </c>
      <c r="L377" s="63" t="str">
        <f t="shared" si="196"/>
        <v/>
      </c>
      <c r="M377" s="64" t="str">
        <f t="shared" si="197"/>
        <v/>
      </c>
      <c r="O377" s="63" t="str">
        <f t="shared" si="198"/>
        <v/>
      </c>
      <c r="P377" s="63" t="str">
        <f t="shared" si="199"/>
        <v/>
      </c>
      <c r="R377" s="63" t="str">
        <f t="shared" si="200"/>
        <v/>
      </c>
      <c r="S377" s="64" t="str">
        <f t="shared" si="201"/>
        <v/>
      </c>
      <c r="T377" s="63" t="str">
        <f t="shared" si="202"/>
        <v/>
      </c>
      <c r="U377" s="64" t="str">
        <f t="shared" si="203"/>
        <v/>
      </c>
      <c r="V377" s="90" t="str">
        <f>IF($A378="","",IF(AND(MONTH(A377)&gt;3,MONTH(A377)&lt;11),(T377+R377+G377)*(((1/(1-Summary!$T$12))/(1-Summary!$W$12))-1),(T377+R377+G377)*((1/(1-Summary!$U$12))/(1-Summary!$X$12)-1)))</f>
        <v/>
      </c>
      <c r="W377" s="63" t="str">
        <f t="shared" si="204"/>
        <v/>
      </c>
      <c r="X377" s="63" t="str">
        <f t="shared" si="205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5"/>
        <v/>
      </c>
      <c r="AP377" s="33" t="str">
        <f t="shared" si="216"/>
        <v/>
      </c>
      <c r="AQ377" s="58" t="str">
        <f t="shared" si="217"/>
        <v/>
      </c>
      <c r="AR377" s="38">
        <f>'ANR OK vs ML7'!AR377</f>
        <v>0.1</v>
      </c>
      <c r="AS377" s="35" t="str">
        <f t="shared" si="218"/>
        <v/>
      </c>
      <c r="AT377" s="3" t="str">
        <f t="shared" si="219"/>
        <v/>
      </c>
      <c r="AU377" s="3" t="str">
        <f t="shared" si="220"/>
        <v/>
      </c>
      <c r="AW377" s="32" t="str">
        <f t="shared" si="221"/>
        <v/>
      </c>
      <c r="AX377" s="32" t="str">
        <f t="shared" si="221"/>
        <v/>
      </c>
      <c r="AY377" s="32" t="str">
        <f t="shared" si="222"/>
        <v/>
      </c>
      <c r="BA377" s="32" t="str">
        <f>IF($A378="","",F377*Summary!$Q$12)</f>
        <v/>
      </c>
    </row>
    <row r="378" spans="1:53">
      <c r="A378" s="67" t="str">
        <f t="shared" si="223"/>
        <v/>
      </c>
      <c r="B378" s="69" t="str">
        <f t="shared" si="225"/>
        <v/>
      </c>
      <c r="D378" s="69" t="str">
        <f t="shared" si="189"/>
        <v/>
      </c>
      <c r="E378" s="70" t="str">
        <f t="shared" si="190"/>
        <v/>
      </c>
      <c r="F378" s="70" t="str">
        <f t="shared" si="191"/>
        <v/>
      </c>
      <c r="G378" s="63" t="str">
        <f t="shared" si="192"/>
        <v/>
      </c>
      <c r="H378" s="64" t="str">
        <f t="shared" si="193"/>
        <v/>
      </c>
      <c r="J378" s="63" t="str">
        <f t="shared" si="194"/>
        <v/>
      </c>
      <c r="K378" s="64" t="str">
        <f t="shared" si="195"/>
        <v/>
      </c>
      <c r="L378" s="63" t="str">
        <f t="shared" si="196"/>
        <v/>
      </c>
      <c r="M378" s="64" t="str">
        <f t="shared" si="197"/>
        <v/>
      </c>
      <c r="O378" s="63" t="str">
        <f t="shared" si="198"/>
        <v/>
      </c>
      <c r="P378" s="63" t="str">
        <f t="shared" si="199"/>
        <v/>
      </c>
      <c r="R378" s="63" t="str">
        <f t="shared" si="200"/>
        <v/>
      </c>
      <c r="S378" s="64" t="str">
        <f t="shared" si="201"/>
        <v/>
      </c>
      <c r="T378" s="63" t="str">
        <f t="shared" si="202"/>
        <v/>
      </c>
      <c r="U378" s="64" t="str">
        <f t="shared" si="203"/>
        <v/>
      </c>
      <c r="V378" s="90" t="str">
        <f>IF($A379="","",IF(AND(MONTH(A378)&gt;3,MONTH(A378)&lt;11),(T378+R378+G378)*(((1/(1-Summary!$T$12))/(1-Summary!$W$12))-1),(T378+R378+G378)*((1/(1-Summary!$U$12))/(1-Summary!$X$12)-1)))</f>
        <v/>
      </c>
      <c r="W378" s="63" t="str">
        <f t="shared" si="204"/>
        <v/>
      </c>
      <c r="X378" s="63" t="str">
        <f t="shared" si="205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5"/>
        <v/>
      </c>
      <c r="AP378" s="33" t="str">
        <f t="shared" si="216"/>
        <v/>
      </c>
      <c r="AQ378" s="58" t="str">
        <f t="shared" si="217"/>
        <v/>
      </c>
      <c r="AR378" s="38">
        <f>'ANR OK vs ML7'!AR378</f>
        <v>0.1</v>
      </c>
      <c r="AS378" s="35" t="str">
        <f t="shared" si="218"/>
        <v/>
      </c>
      <c r="AT378" s="3" t="str">
        <f t="shared" si="219"/>
        <v/>
      </c>
      <c r="AU378" s="3" t="str">
        <f t="shared" si="220"/>
        <v/>
      </c>
      <c r="AW378" s="32" t="str">
        <f t="shared" si="221"/>
        <v/>
      </c>
      <c r="AX378" s="32" t="str">
        <f t="shared" si="221"/>
        <v/>
      </c>
      <c r="AY378" s="32" t="str">
        <f t="shared" si="222"/>
        <v/>
      </c>
      <c r="BA378" s="32" t="str">
        <f>IF($A379="","",F378*Summary!$Q$12)</f>
        <v/>
      </c>
    </row>
    <row r="379" spans="1:53">
      <c r="A379" s="67" t="str">
        <f t="shared" si="223"/>
        <v/>
      </c>
      <c r="B379" s="69" t="str">
        <f t="shared" si="225"/>
        <v/>
      </c>
      <c r="D379" s="69" t="str">
        <f t="shared" si="189"/>
        <v/>
      </c>
      <c r="E379" s="70" t="str">
        <f t="shared" si="190"/>
        <v/>
      </c>
      <c r="F379" s="70" t="str">
        <f t="shared" si="191"/>
        <v/>
      </c>
      <c r="G379" s="63" t="str">
        <f t="shared" si="192"/>
        <v/>
      </c>
      <c r="H379" s="64" t="str">
        <f t="shared" si="193"/>
        <v/>
      </c>
      <c r="J379" s="63" t="str">
        <f t="shared" si="194"/>
        <v/>
      </c>
      <c r="K379" s="64" t="str">
        <f t="shared" si="195"/>
        <v/>
      </c>
      <c r="L379" s="63" t="str">
        <f t="shared" si="196"/>
        <v/>
      </c>
      <c r="M379" s="64" t="str">
        <f t="shared" si="197"/>
        <v/>
      </c>
      <c r="O379" s="63" t="str">
        <f t="shared" si="198"/>
        <v/>
      </c>
      <c r="P379" s="63" t="str">
        <f t="shared" si="199"/>
        <v/>
      </c>
      <c r="R379" s="63" t="str">
        <f t="shared" si="200"/>
        <v/>
      </c>
      <c r="S379" s="64" t="str">
        <f t="shared" si="201"/>
        <v/>
      </c>
      <c r="T379" s="63" t="str">
        <f t="shared" si="202"/>
        <v/>
      </c>
      <c r="U379" s="64" t="str">
        <f t="shared" si="203"/>
        <v/>
      </c>
      <c r="V379" s="90" t="str">
        <f>IF($A380="","",IF(AND(MONTH(A379)&gt;3,MONTH(A379)&lt;11),(T379+R379+G379)*(((1/(1-Summary!$T$12))/(1-Summary!$W$12))-1),(T379+R379+G379)*((1/(1-Summary!$U$12))/(1-Summary!$X$12)-1)))</f>
        <v/>
      </c>
      <c r="W379" s="63" t="str">
        <f t="shared" si="204"/>
        <v/>
      </c>
      <c r="X379" s="63" t="str">
        <f t="shared" si="205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5"/>
        <v/>
      </c>
      <c r="AP379" s="33" t="str">
        <f t="shared" si="216"/>
        <v/>
      </c>
      <c r="AQ379" s="58" t="str">
        <f t="shared" si="217"/>
        <v/>
      </c>
      <c r="AR379" s="38">
        <f>'ANR OK vs ML7'!AR379</f>
        <v>0.1</v>
      </c>
      <c r="AS379" s="35" t="str">
        <f t="shared" si="218"/>
        <v/>
      </c>
      <c r="AT379" s="3" t="str">
        <f t="shared" si="219"/>
        <v/>
      </c>
      <c r="AU379" s="3" t="str">
        <f t="shared" si="220"/>
        <v/>
      </c>
      <c r="AW379" s="32" t="str">
        <f t="shared" si="221"/>
        <v/>
      </c>
      <c r="AX379" s="32" t="str">
        <f t="shared" si="221"/>
        <v/>
      </c>
      <c r="AY379" s="32" t="str">
        <f t="shared" si="222"/>
        <v/>
      </c>
      <c r="BA379" s="32" t="str">
        <f>IF($A380="","",F379*Summary!$Q$12)</f>
        <v/>
      </c>
    </row>
    <row r="380" spans="1:53">
      <c r="A380" s="67" t="str">
        <f t="shared" si="223"/>
        <v/>
      </c>
      <c r="B380" s="69" t="str">
        <f t="shared" si="225"/>
        <v/>
      </c>
      <c r="D380" s="69" t="str">
        <f t="shared" si="189"/>
        <v/>
      </c>
      <c r="E380" s="70" t="str">
        <f t="shared" si="190"/>
        <v/>
      </c>
      <c r="F380" s="70" t="str">
        <f t="shared" si="191"/>
        <v/>
      </c>
      <c r="G380" s="63" t="str">
        <f t="shared" si="192"/>
        <v/>
      </c>
      <c r="H380" s="64" t="str">
        <f t="shared" si="193"/>
        <v/>
      </c>
      <c r="J380" s="63" t="str">
        <f t="shared" si="194"/>
        <v/>
      </c>
      <c r="K380" s="64" t="str">
        <f t="shared" si="195"/>
        <v/>
      </c>
      <c r="L380" s="63" t="str">
        <f t="shared" si="196"/>
        <v/>
      </c>
      <c r="M380" s="64" t="str">
        <f t="shared" si="197"/>
        <v/>
      </c>
      <c r="O380" s="63" t="str">
        <f t="shared" si="198"/>
        <v/>
      </c>
      <c r="P380" s="63" t="str">
        <f t="shared" si="199"/>
        <v/>
      </c>
      <c r="R380" s="63" t="str">
        <f t="shared" si="200"/>
        <v/>
      </c>
      <c r="S380" s="64" t="str">
        <f t="shared" si="201"/>
        <v/>
      </c>
      <c r="T380" s="63" t="str">
        <f t="shared" si="202"/>
        <v/>
      </c>
      <c r="U380" s="64" t="str">
        <f t="shared" si="203"/>
        <v/>
      </c>
      <c r="V380" s="90" t="str">
        <f>IF($A381="","",IF(AND(MONTH(A380)&gt;3,MONTH(A380)&lt;11),(T380+R380+G380)*(((1/(1-Summary!$T$12))/(1-Summary!$W$12))-1),(T380+R380+G380)*((1/(1-Summary!$U$12))/(1-Summary!$X$12)-1)))</f>
        <v/>
      </c>
      <c r="W380" s="63" t="str">
        <f t="shared" si="204"/>
        <v/>
      </c>
      <c r="X380" s="63" t="str">
        <f t="shared" si="205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5"/>
        <v/>
      </c>
      <c r="AP380" s="33" t="str">
        <f t="shared" si="216"/>
        <v/>
      </c>
      <c r="AQ380" s="58" t="str">
        <f t="shared" si="217"/>
        <v/>
      </c>
      <c r="AR380" s="38">
        <f>'ANR OK vs ML7'!AR380</f>
        <v>0.1</v>
      </c>
      <c r="AS380" s="35" t="str">
        <f t="shared" si="218"/>
        <v/>
      </c>
      <c r="AT380" s="3" t="str">
        <f t="shared" si="219"/>
        <v/>
      </c>
      <c r="AU380" s="3" t="str">
        <f t="shared" si="220"/>
        <v/>
      </c>
      <c r="AW380" s="32" t="str">
        <f t="shared" si="221"/>
        <v/>
      </c>
      <c r="AX380" s="32" t="str">
        <f t="shared" si="221"/>
        <v/>
      </c>
      <c r="AY380" s="32" t="str">
        <f t="shared" si="222"/>
        <v/>
      </c>
      <c r="BA380" s="32" t="str">
        <f>IF($A381="","",F380*Summary!$Q$12)</f>
        <v/>
      </c>
    </row>
    <row r="381" spans="1:53">
      <c r="A381" s="67" t="str">
        <f t="shared" si="223"/>
        <v/>
      </c>
      <c r="B381" s="69" t="str">
        <f t="shared" si="225"/>
        <v/>
      </c>
      <c r="D381" s="69" t="str">
        <f t="shared" si="189"/>
        <v/>
      </c>
      <c r="E381" s="70" t="str">
        <f t="shared" si="190"/>
        <v/>
      </c>
      <c r="F381" s="70" t="str">
        <f t="shared" si="191"/>
        <v/>
      </c>
      <c r="G381" s="63" t="str">
        <f t="shared" si="192"/>
        <v/>
      </c>
      <c r="H381" s="64" t="str">
        <f t="shared" si="193"/>
        <v/>
      </c>
      <c r="J381" s="63" t="str">
        <f t="shared" si="194"/>
        <v/>
      </c>
      <c r="K381" s="64" t="str">
        <f t="shared" si="195"/>
        <v/>
      </c>
      <c r="L381" s="63" t="str">
        <f t="shared" si="196"/>
        <v/>
      </c>
      <c r="M381" s="64" t="str">
        <f t="shared" si="197"/>
        <v/>
      </c>
      <c r="O381" s="63" t="str">
        <f t="shared" si="198"/>
        <v/>
      </c>
      <c r="P381" s="63" t="str">
        <f t="shared" si="199"/>
        <v/>
      </c>
      <c r="R381" s="63" t="str">
        <f t="shared" si="200"/>
        <v/>
      </c>
      <c r="S381" s="64" t="str">
        <f t="shared" si="201"/>
        <v/>
      </c>
      <c r="T381" s="63" t="str">
        <f t="shared" si="202"/>
        <v/>
      </c>
      <c r="U381" s="64" t="str">
        <f t="shared" si="203"/>
        <v/>
      </c>
      <c r="V381" s="90" t="str">
        <f>IF($A382="","",IF(AND(MONTH(A381)&gt;3,MONTH(A381)&lt;11),(T381+R381+G381)*(((1/(1-Summary!$T$12))/(1-Summary!$W$12))-1),(T381+R381+G381)*((1/(1-Summary!$U$12))/(1-Summary!$X$12)-1)))</f>
        <v/>
      </c>
      <c r="W381" s="63" t="str">
        <f t="shared" si="204"/>
        <v/>
      </c>
      <c r="X381" s="63" t="str">
        <f t="shared" si="205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5"/>
        <v/>
      </c>
      <c r="AP381" s="33" t="str">
        <f t="shared" si="216"/>
        <v/>
      </c>
      <c r="AQ381" s="58" t="str">
        <f t="shared" si="217"/>
        <v/>
      </c>
      <c r="AR381" s="38">
        <f>'ANR OK vs ML7'!AR381</f>
        <v>0.1</v>
      </c>
      <c r="AS381" s="35" t="str">
        <f t="shared" si="218"/>
        <v/>
      </c>
      <c r="AT381" s="3" t="str">
        <f t="shared" si="219"/>
        <v/>
      </c>
      <c r="AU381" s="3" t="str">
        <f t="shared" si="220"/>
        <v/>
      </c>
      <c r="AW381" s="32" t="str">
        <f t="shared" si="221"/>
        <v/>
      </c>
      <c r="AX381" s="32" t="str">
        <f t="shared" si="221"/>
        <v/>
      </c>
      <c r="AY381" s="32" t="str">
        <f t="shared" si="222"/>
        <v/>
      </c>
      <c r="BA381" s="32" t="str">
        <f>IF($A382="","",F381*Summary!$Q$12)</f>
        <v/>
      </c>
    </row>
    <row r="382" spans="1:53">
      <c r="A382" s="67" t="str">
        <f t="shared" si="223"/>
        <v/>
      </c>
      <c r="B382" s="69" t="str">
        <f t="shared" si="225"/>
        <v/>
      </c>
      <c r="D382" s="69" t="str">
        <f t="shared" si="189"/>
        <v/>
      </c>
      <c r="E382" s="70" t="str">
        <f t="shared" si="190"/>
        <v/>
      </c>
      <c r="F382" s="70" t="str">
        <f t="shared" si="191"/>
        <v/>
      </c>
      <c r="G382" s="63" t="str">
        <f t="shared" si="192"/>
        <v/>
      </c>
      <c r="H382" s="64" t="str">
        <f t="shared" si="193"/>
        <v/>
      </c>
      <c r="J382" s="63" t="str">
        <f t="shared" si="194"/>
        <v/>
      </c>
      <c r="K382" s="64" t="str">
        <f t="shared" si="195"/>
        <v/>
      </c>
      <c r="L382" s="63" t="str">
        <f t="shared" si="196"/>
        <v/>
      </c>
      <c r="M382" s="64" t="str">
        <f t="shared" si="197"/>
        <v/>
      </c>
      <c r="O382" s="63" t="str">
        <f t="shared" si="198"/>
        <v/>
      </c>
      <c r="P382" s="63" t="str">
        <f t="shared" si="199"/>
        <v/>
      </c>
      <c r="R382" s="63" t="str">
        <f t="shared" si="200"/>
        <v/>
      </c>
      <c r="S382" s="64" t="str">
        <f t="shared" si="201"/>
        <v/>
      </c>
      <c r="T382" s="63" t="str">
        <f t="shared" si="202"/>
        <v/>
      </c>
      <c r="U382" s="64" t="str">
        <f t="shared" si="203"/>
        <v/>
      </c>
      <c r="V382" s="90" t="str">
        <f>IF($A383="","",IF(AND(MONTH(A382)&gt;3,MONTH(A382)&lt;11),(T382+R382+G382)*(((1/(1-Summary!$T$12))/(1-Summary!$W$12))-1),(T382+R382+G382)*((1/(1-Summary!$U$12))/(1-Summary!$X$12)-1)))</f>
        <v/>
      </c>
      <c r="W382" s="63" t="str">
        <f t="shared" si="204"/>
        <v/>
      </c>
      <c r="X382" s="63" t="str">
        <f t="shared" si="205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5"/>
        <v/>
      </c>
      <c r="AP382" s="33" t="str">
        <f t="shared" si="216"/>
        <v/>
      </c>
      <c r="AQ382" s="58" t="str">
        <f t="shared" si="217"/>
        <v/>
      </c>
      <c r="AR382" s="38">
        <f>'ANR OK vs ML7'!AR382</f>
        <v>0.1</v>
      </c>
      <c r="AS382" s="35" t="str">
        <f t="shared" si="218"/>
        <v/>
      </c>
      <c r="AT382" s="3" t="str">
        <f t="shared" si="219"/>
        <v/>
      </c>
      <c r="AU382" s="3" t="str">
        <f t="shared" si="220"/>
        <v/>
      </c>
      <c r="AW382" s="32" t="str">
        <f t="shared" si="221"/>
        <v/>
      </c>
      <c r="AX382" s="32" t="str">
        <f t="shared" si="221"/>
        <v/>
      </c>
      <c r="AY382" s="32" t="str">
        <f t="shared" si="222"/>
        <v/>
      </c>
      <c r="BA382" s="32" t="str">
        <f>IF($A383="","",F382*Summary!$Q$12)</f>
        <v/>
      </c>
    </row>
    <row r="383" spans="1:53">
      <c r="A383" s="67" t="str">
        <f t="shared" si="223"/>
        <v/>
      </c>
      <c r="B383" s="69" t="str">
        <f t="shared" si="225"/>
        <v/>
      </c>
      <c r="D383" s="69" t="str">
        <f t="shared" si="189"/>
        <v/>
      </c>
      <c r="E383" s="70" t="str">
        <f t="shared" si="190"/>
        <v/>
      </c>
      <c r="F383" s="70" t="str">
        <f t="shared" si="191"/>
        <v/>
      </c>
      <c r="G383" s="63" t="str">
        <f t="shared" si="192"/>
        <v/>
      </c>
      <c r="H383" s="64" t="str">
        <f t="shared" si="193"/>
        <v/>
      </c>
      <c r="J383" s="63" t="str">
        <f t="shared" si="194"/>
        <v/>
      </c>
      <c r="K383" s="64" t="str">
        <f t="shared" si="195"/>
        <v/>
      </c>
      <c r="L383" s="63" t="str">
        <f t="shared" si="196"/>
        <v/>
      </c>
      <c r="M383" s="64" t="str">
        <f t="shared" si="197"/>
        <v/>
      </c>
      <c r="O383" s="63" t="str">
        <f t="shared" si="198"/>
        <v/>
      </c>
      <c r="P383" s="63" t="str">
        <f t="shared" si="199"/>
        <v/>
      </c>
      <c r="R383" s="63" t="str">
        <f t="shared" si="200"/>
        <v/>
      </c>
      <c r="S383" s="64" t="str">
        <f t="shared" si="201"/>
        <v/>
      </c>
      <c r="T383" s="63" t="str">
        <f t="shared" si="202"/>
        <v/>
      </c>
      <c r="U383" s="64" t="str">
        <f t="shared" si="203"/>
        <v/>
      </c>
      <c r="V383" s="90" t="str">
        <f>IF($A384="","",IF(AND(MONTH(A383)&gt;3,MONTH(A383)&lt;11),(T383+R383+G383)*(((1/(1-Summary!$T$12))/(1-Summary!$W$12))-1),(T383+R383+G383)*((1/(1-Summary!$U$12))/(1-Summary!$X$12)-1)))</f>
        <v/>
      </c>
      <c r="W383" s="63" t="str">
        <f t="shared" si="204"/>
        <v/>
      </c>
      <c r="X383" s="63" t="str">
        <f t="shared" si="205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5"/>
        <v/>
      </c>
      <c r="AP383" s="33" t="str">
        <f t="shared" si="216"/>
        <v/>
      </c>
      <c r="AQ383" s="58" t="str">
        <f t="shared" si="217"/>
        <v/>
      </c>
      <c r="AR383" s="38">
        <f>'ANR OK vs ML7'!AR383</f>
        <v>0.1</v>
      </c>
      <c r="AS383" s="35" t="str">
        <f t="shared" si="218"/>
        <v/>
      </c>
      <c r="AT383" s="3" t="str">
        <f t="shared" si="219"/>
        <v/>
      </c>
      <c r="AU383" s="3" t="str">
        <f t="shared" si="220"/>
        <v/>
      </c>
      <c r="AW383" s="32" t="str">
        <f t="shared" si="221"/>
        <v/>
      </c>
      <c r="AX383" s="32" t="str">
        <f t="shared" si="221"/>
        <v/>
      </c>
      <c r="AY383" s="32" t="str">
        <f t="shared" si="222"/>
        <v/>
      </c>
      <c r="BA383" s="32" t="str">
        <f>IF($A384="","",F383*Summary!$Q$12)</f>
        <v/>
      </c>
    </row>
    <row r="384" spans="1:53">
      <c r="A384" s="67" t="str">
        <f t="shared" si="223"/>
        <v/>
      </c>
      <c r="B384" s="69" t="str">
        <f t="shared" si="225"/>
        <v/>
      </c>
      <c r="D384" s="69" t="str">
        <f t="shared" si="189"/>
        <v/>
      </c>
      <c r="E384" s="70" t="str">
        <f t="shared" si="190"/>
        <v/>
      </c>
      <c r="F384" s="70" t="str">
        <f t="shared" si="191"/>
        <v/>
      </c>
      <c r="G384" s="63" t="str">
        <f t="shared" si="192"/>
        <v/>
      </c>
      <c r="H384" s="64" t="str">
        <f t="shared" si="193"/>
        <v/>
      </c>
      <c r="J384" s="63" t="str">
        <f t="shared" si="194"/>
        <v/>
      </c>
      <c r="K384" s="64" t="str">
        <f t="shared" si="195"/>
        <v/>
      </c>
      <c r="L384" s="63" t="str">
        <f t="shared" si="196"/>
        <v/>
      </c>
      <c r="M384" s="64" t="str">
        <f t="shared" si="197"/>
        <v/>
      </c>
      <c r="O384" s="63" t="str">
        <f t="shared" si="198"/>
        <v/>
      </c>
      <c r="P384" s="63" t="str">
        <f t="shared" si="199"/>
        <v/>
      </c>
      <c r="R384" s="63" t="str">
        <f t="shared" si="200"/>
        <v/>
      </c>
      <c r="S384" s="64" t="str">
        <f t="shared" si="201"/>
        <v/>
      </c>
      <c r="T384" s="63" t="str">
        <f t="shared" si="202"/>
        <v/>
      </c>
      <c r="U384" s="64" t="str">
        <f t="shared" si="203"/>
        <v/>
      </c>
      <c r="V384" s="90" t="str">
        <f>IF($A385="","",IF(AND(MONTH(A384)&gt;3,MONTH(A384)&lt;11),(T384+R384+G384)*(((1/(1-Summary!$T$12))/(1-Summary!$W$12))-1),(T384+R384+G384)*((1/(1-Summary!$U$12))/(1-Summary!$X$12)-1)))</f>
        <v/>
      </c>
      <c r="W384" s="63" t="str">
        <f t="shared" si="204"/>
        <v/>
      </c>
      <c r="X384" s="63" t="str">
        <f t="shared" si="205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5"/>
        <v/>
      </c>
      <c r="AP384" s="33" t="str">
        <f t="shared" si="216"/>
        <v/>
      </c>
      <c r="AQ384" s="58" t="str">
        <f t="shared" si="217"/>
        <v/>
      </c>
      <c r="AR384" s="38">
        <f>'ANR OK vs ML7'!AR384</f>
        <v>0.1</v>
      </c>
      <c r="AS384" s="35" t="str">
        <f t="shared" si="218"/>
        <v/>
      </c>
      <c r="AT384" s="3" t="str">
        <f t="shared" si="219"/>
        <v/>
      </c>
      <c r="AU384" s="3" t="str">
        <f t="shared" si="220"/>
        <v/>
      </c>
      <c r="AW384" s="32" t="str">
        <f t="shared" si="221"/>
        <v/>
      </c>
      <c r="AX384" s="32" t="str">
        <f t="shared" si="221"/>
        <v/>
      </c>
      <c r="AY384" s="32" t="str">
        <f t="shared" si="222"/>
        <v/>
      </c>
      <c r="BA384" s="32" t="str">
        <f>IF($A385="","",F384*Summary!$Q$12)</f>
        <v/>
      </c>
    </row>
    <row r="385" spans="1:53">
      <c r="A385" s="67" t="str">
        <f t="shared" si="223"/>
        <v/>
      </c>
      <c r="B385" s="69" t="str">
        <f t="shared" si="225"/>
        <v/>
      </c>
      <c r="D385" s="69" t="str">
        <f t="shared" si="189"/>
        <v/>
      </c>
      <c r="E385" s="70" t="str">
        <f t="shared" si="190"/>
        <v/>
      </c>
      <c r="F385" s="70" t="str">
        <f t="shared" si="191"/>
        <v/>
      </c>
      <c r="G385" s="63" t="str">
        <f t="shared" si="192"/>
        <v/>
      </c>
      <c r="H385" s="64" t="str">
        <f t="shared" si="193"/>
        <v/>
      </c>
      <c r="J385" s="63" t="str">
        <f t="shared" si="194"/>
        <v/>
      </c>
      <c r="K385" s="64" t="str">
        <f t="shared" si="195"/>
        <v/>
      </c>
      <c r="L385" s="63" t="str">
        <f t="shared" si="196"/>
        <v/>
      </c>
      <c r="M385" s="64" t="str">
        <f t="shared" si="197"/>
        <v/>
      </c>
      <c r="O385" s="63" t="str">
        <f t="shared" si="198"/>
        <v/>
      </c>
      <c r="P385" s="63" t="str">
        <f t="shared" si="199"/>
        <v/>
      </c>
      <c r="R385" s="63" t="str">
        <f t="shared" si="200"/>
        <v/>
      </c>
      <c r="S385" s="64" t="str">
        <f t="shared" si="201"/>
        <v/>
      </c>
      <c r="T385" s="63" t="str">
        <f t="shared" si="202"/>
        <v/>
      </c>
      <c r="U385" s="64" t="str">
        <f t="shared" si="203"/>
        <v/>
      </c>
      <c r="V385" s="90" t="str">
        <f>IF($A386="","",IF(AND(MONTH(A385)&gt;3,MONTH(A385)&lt;11),(T385+R385+G385)*(((1/(1-Summary!$T$12))/(1-Summary!$W$12))-1),(T385+R385+G385)*((1/(1-Summary!$U$12))/(1-Summary!$X$12)-1)))</f>
        <v/>
      </c>
      <c r="W385" s="63" t="str">
        <f t="shared" si="204"/>
        <v/>
      </c>
      <c r="X385" s="63" t="str">
        <f t="shared" si="205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5"/>
        <v/>
      </c>
      <c r="AP385" s="33" t="str">
        <f t="shared" si="216"/>
        <v/>
      </c>
      <c r="AQ385" s="58" t="str">
        <f t="shared" si="217"/>
        <v/>
      </c>
      <c r="AR385" s="38">
        <f>'ANR OK vs ML7'!AR385</f>
        <v>0.1</v>
      </c>
      <c r="AS385" s="35" t="str">
        <f t="shared" si="218"/>
        <v/>
      </c>
      <c r="AT385" s="3" t="str">
        <f t="shared" si="219"/>
        <v/>
      </c>
      <c r="AU385" s="3" t="str">
        <f t="shared" si="220"/>
        <v/>
      </c>
      <c r="AW385" s="32" t="str">
        <f t="shared" si="221"/>
        <v/>
      </c>
      <c r="AX385" s="32" t="str">
        <f t="shared" si="221"/>
        <v/>
      </c>
      <c r="AY385" s="32" t="str">
        <f t="shared" si="222"/>
        <v/>
      </c>
      <c r="BA385" s="32" t="str">
        <f>IF($A386="","",F385*Summary!$Q$12)</f>
        <v/>
      </c>
    </row>
    <row r="386" spans="1:53">
      <c r="A386" s="67" t="str">
        <f t="shared" si="223"/>
        <v/>
      </c>
      <c r="B386" s="69" t="str">
        <f t="shared" si="225"/>
        <v/>
      </c>
      <c r="D386" s="69" t="str">
        <f t="shared" si="189"/>
        <v/>
      </c>
      <c r="E386" s="70" t="str">
        <f t="shared" si="190"/>
        <v/>
      </c>
      <c r="F386" s="70" t="str">
        <f t="shared" si="191"/>
        <v/>
      </c>
      <c r="G386" s="63" t="str">
        <f t="shared" si="192"/>
        <v/>
      </c>
      <c r="H386" s="64" t="str">
        <f t="shared" si="193"/>
        <v/>
      </c>
      <c r="J386" s="63" t="str">
        <f t="shared" si="194"/>
        <v/>
      </c>
      <c r="K386" s="64" t="str">
        <f t="shared" si="195"/>
        <v/>
      </c>
      <c r="L386" s="63" t="str">
        <f t="shared" si="196"/>
        <v/>
      </c>
      <c r="M386" s="64" t="str">
        <f t="shared" si="197"/>
        <v/>
      </c>
      <c r="O386" s="63" t="str">
        <f t="shared" si="198"/>
        <v/>
      </c>
      <c r="P386" s="63" t="str">
        <f t="shared" si="199"/>
        <v/>
      </c>
      <c r="R386" s="63" t="str">
        <f t="shared" si="200"/>
        <v/>
      </c>
      <c r="S386" s="64" t="str">
        <f t="shared" si="201"/>
        <v/>
      </c>
      <c r="T386" s="63" t="str">
        <f t="shared" si="202"/>
        <v/>
      </c>
      <c r="U386" s="64" t="str">
        <f t="shared" si="203"/>
        <v/>
      </c>
      <c r="V386" s="90" t="str">
        <f>IF($A387="","",IF(AND(MONTH(A386)&gt;3,MONTH(A386)&lt;11),(T386+R386+G386)*(((1/(1-Summary!$T$12))/(1-Summary!$W$12))-1),(T386+R386+G386)*((1/(1-Summary!$U$12))/(1-Summary!$X$12)-1)))</f>
        <v/>
      </c>
      <c r="W386" s="63" t="str">
        <f t="shared" si="204"/>
        <v/>
      </c>
      <c r="X386" s="63" t="str">
        <f t="shared" si="205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5"/>
        <v/>
      </c>
      <c r="AP386" s="33" t="str">
        <f t="shared" si="216"/>
        <v/>
      </c>
      <c r="AQ386" s="58" t="str">
        <f t="shared" si="217"/>
        <v/>
      </c>
      <c r="AR386" s="38">
        <f>'ANR OK vs ML7'!AR386</f>
        <v>0.1</v>
      </c>
      <c r="AS386" s="35" t="str">
        <f t="shared" si="218"/>
        <v/>
      </c>
      <c r="AT386" s="3" t="str">
        <f t="shared" si="219"/>
        <v/>
      </c>
      <c r="AU386" s="3" t="str">
        <f t="shared" si="220"/>
        <v/>
      </c>
      <c r="AW386" s="32" t="str">
        <f t="shared" si="221"/>
        <v/>
      </c>
      <c r="AX386" s="32" t="str">
        <f t="shared" si="221"/>
        <v/>
      </c>
      <c r="AY386" s="32" t="str">
        <f t="shared" si="222"/>
        <v/>
      </c>
      <c r="BA386" s="32" t="str">
        <f>IF($A387="","",F386*Summary!$Q$12)</f>
        <v/>
      </c>
    </row>
    <row r="387" spans="1:53">
      <c r="A387" s="67" t="str">
        <f t="shared" si="223"/>
        <v/>
      </c>
      <c r="B387" s="69" t="str">
        <f t="shared" si="225"/>
        <v/>
      </c>
      <c r="D387" s="69" t="str">
        <f t="shared" si="189"/>
        <v/>
      </c>
      <c r="E387" s="70" t="str">
        <f t="shared" si="190"/>
        <v/>
      </c>
      <c r="F387" s="70" t="str">
        <f t="shared" si="191"/>
        <v/>
      </c>
      <c r="G387" s="63" t="str">
        <f t="shared" si="192"/>
        <v/>
      </c>
      <c r="H387" s="64" t="str">
        <f t="shared" si="193"/>
        <v/>
      </c>
      <c r="J387" s="63" t="str">
        <f t="shared" si="194"/>
        <v/>
      </c>
      <c r="K387" s="64" t="str">
        <f t="shared" si="195"/>
        <v/>
      </c>
      <c r="L387" s="63" t="str">
        <f t="shared" si="196"/>
        <v/>
      </c>
      <c r="M387" s="64" t="str">
        <f t="shared" si="197"/>
        <v/>
      </c>
      <c r="O387" s="63" t="str">
        <f t="shared" si="198"/>
        <v/>
      </c>
      <c r="P387" s="63" t="str">
        <f t="shared" si="199"/>
        <v/>
      </c>
      <c r="R387" s="63" t="str">
        <f t="shared" si="200"/>
        <v/>
      </c>
      <c r="S387" s="64" t="str">
        <f t="shared" si="201"/>
        <v/>
      </c>
      <c r="T387" s="63" t="str">
        <f t="shared" si="202"/>
        <v/>
      </c>
      <c r="U387" s="64" t="str">
        <f t="shared" si="203"/>
        <v/>
      </c>
      <c r="V387" s="90" t="str">
        <f>IF($A388="","",IF(AND(MONTH(A387)&gt;3,MONTH(A387)&lt;11),(T387+R387+G387)*(((1/(1-Summary!$T$12))/(1-Summary!$W$12))-1),(T387+R387+G387)*((1/(1-Summary!$U$12))/(1-Summary!$X$12)-1)))</f>
        <v/>
      </c>
      <c r="W387" s="63" t="str">
        <f t="shared" si="204"/>
        <v/>
      </c>
      <c r="X387" s="63" t="str">
        <f t="shared" si="205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5"/>
        <v/>
      </c>
      <c r="AP387" s="33" t="str">
        <f t="shared" si="216"/>
        <v/>
      </c>
      <c r="AQ387" s="58" t="str">
        <f t="shared" si="217"/>
        <v/>
      </c>
      <c r="AR387" s="38">
        <f>'ANR OK vs ML7'!AR387</f>
        <v>0.1</v>
      </c>
      <c r="AS387" s="35" t="str">
        <f t="shared" si="218"/>
        <v/>
      </c>
      <c r="AT387" s="3" t="str">
        <f t="shared" si="219"/>
        <v/>
      </c>
      <c r="AU387" s="3" t="str">
        <f t="shared" si="220"/>
        <v/>
      </c>
      <c r="AW387" s="32" t="str">
        <f t="shared" si="221"/>
        <v/>
      </c>
      <c r="AX387" s="32" t="str">
        <f t="shared" si="221"/>
        <v/>
      </c>
      <c r="AY387" s="32" t="str">
        <f t="shared" si="222"/>
        <v/>
      </c>
      <c r="BA387" s="32" t="str">
        <f>IF($A388="","",F387*Summary!$Q$12)</f>
        <v/>
      </c>
    </row>
    <row r="388" spans="1:53">
      <c r="A388" s="67" t="str">
        <f t="shared" si="223"/>
        <v/>
      </c>
      <c r="B388" s="69" t="str">
        <f t="shared" si="225"/>
        <v/>
      </c>
      <c r="D388" s="69" t="str">
        <f t="shared" si="189"/>
        <v/>
      </c>
      <c r="E388" s="70" t="str">
        <f t="shared" si="190"/>
        <v/>
      </c>
      <c r="F388" s="70" t="str">
        <f t="shared" si="191"/>
        <v/>
      </c>
      <c r="G388" s="63" t="str">
        <f t="shared" si="192"/>
        <v/>
      </c>
      <c r="H388" s="64" t="str">
        <f t="shared" si="193"/>
        <v/>
      </c>
      <c r="J388" s="63" t="str">
        <f t="shared" si="194"/>
        <v/>
      </c>
      <c r="K388" s="64" t="str">
        <f t="shared" si="195"/>
        <v/>
      </c>
      <c r="L388" s="63" t="str">
        <f t="shared" si="196"/>
        <v/>
      </c>
      <c r="M388" s="64" t="str">
        <f t="shared" si="197"/>
        <v/>
      </c>
      <c r="O388" s="63" t="str">
        <f t="shared" si="198"/>
        <v/>
      </c>
      <c r="P388" s="63" t="str">
        <f t="shared" si="199"/>
        <v/>
      </c>
      <c r="R388" s="63" t="str">
        <f t="shared" si="200"/>
        <v/>
      </c>
      <c r="S388" s="64" t="str">
        <f t="shared" si="201"/>
        <v/>
      </c>
      <c r="T388" s="63" t="str">
        <f t="shared" si="202"/>
        <v/>
      </c>
      <c r="U388" s="64" t="str">
        <f t="shared" si="203"/>
        <v/>
      </c>
      <c r="V388" s="90" t="str">
        <f>IF($A389="","",IF(AND(MONTH(A388)&gt;3,MONTH(A388)&lt;11),(T388+R388+G388)*(((1/(1-Summary!$T$12))/(1-Summary!$W$12))-1),(T388+R388+G388)*((1/(1-Summary!$U$12))/(1-Summary!$X$12)-1)))</f>
        <v/>
      </c>
      <c r="W388" s="63" t="str">
        <f t="shared" si="204"/>
        <v/>
      </c>
      <c r="X388" s="63" t="str">
        <f t="shared" si="205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5"/>
        <v/>
      </c>
      <c r="AP388" s="33" t="str">
        <f t="shared" si="216"/>
        <v/>
      </c>
      <c r="AQ388" s="58" t="str">
        <f t="shared" si="217"/>
        <v/>
      </c>
      <c r="AR388" s="38">
        <f>'ANR OK vs ML7'!AR388</f>
        <v>0.1</v>
      </c>
      <c r="AS388" s="35" t="str">
        <f t="shared" si="218"/>
        <v/>
      </c>
      <c r="AT388" s="3" t="str">
        <f t="shared" si="219"/>
        <v/>
      </c>
      <c r="AU388" s="3" t="str">
        <f t="shared" si="220"/>
        <v/>
      </c>
      <c r="AW388" s="32" t="str">
        <f t="shared" si="221"/>
        <v/>
      </c>
      <c r="AX388" s="32" t="str">
        <f t="shared" si="221"/>
        <v/>
      </c>
      <c r="AY388" s="32" t="str">
        <f t="shared" si="222"/>
        <v/>
      </c>
      <c r="BA388" s="32" t="str">
        <f>IF($A389="","",F388*Summary!$Q$12)</f>
        <v/>
      </c>
    </row>
    <row r="389" spans="1:53">
      <c r="A389" s="67" t="str">
        <f t="shared" si="223"/>
        <v/>
      </c>
      <c r="B389" s="69" t="str">
        <f t="shared" si="225"/>
        <v/>
      </c>
      <c r="D389" s="69" t="str">
        <f t="shared" si="189"/>
        <v/>
      </c>
      <c r="E389" s="70" t="str">
        <f t="shared" si="190"/>
        <v/>
      </c>
      <c r="F389" s="70" t="str">
        <f t="shared" si="191"/>
        <v/>
      </c>
      <c r="G389" s="63" t="str">
        <f t="shared" si="192"/>
        <v/>
      </c>
      <c r="H389" s="64" t="str">
        <f t="shared" si="193"/>
        <v/>
      </c>
      <c r="J389" s="63" t="str">
        <f t="shared" si="194"/>
        <v/>
      </c>
      <c r="K389" s="64" t="str">
        <f t="shared" si="195"/>
        <v/>
      </c>
      <c r="L389" s="63" t="str">
        <f t="shared" si="196"/>
        <v/>
      </c>
      <c r="M389" s="64" t="str">
        <f t="shared" si="197"/>
        <v/>
      </c>
      <c r="O389" s="63" t="str">
        <f t="shared" si="198"/>
        <v/>
      </c>
      <c r="P389" s="63" t="str">
        <f t="shared" si="199"/>
        <v/>
      </c>
      <c r="R389" s="63" t="str">
        <f t="shared" si="200"/>
        <v/>
      </c>
      <c r="S389" s="64" t="str">
        <f t="shared" si="201"/>
        <v/>
      </c>
      <c r="T389" s="63" t="str">
        <f t="shared" si="202"/>
        <v/>
      </c>
      <c r="U389" s="64" t="str">
        <f t="shared" si="203"/>
        <v/>
      </c>
      <c r="V389" s="90" t="str">
        <f>IF($A390="","",IF(AND(MONTH(A389)&gt;3,MONTH(A389)&lt;11),(T389+R389+G389)*(((1/(1-Summary!$T$12))/(1-Summary!$W$12))-1),(T389+R389+G389)*((1/(1-Summary!$U$12))/(1-Summary!$X$12)-1)))</f>
        <v/>
      </c>
      <c r="W389" s="63" t="str">
        <f t="shared" si="204"/>
        <v/>
      </c>
      <c r="X389" s="63" t="str">
        <f t="shared" si="205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5"/>
        <v/>
      </c>
      <c r="AP389" s="33" t="str">
        <f t="shared" si="216"/>
        <v/>
      </c>
      <c r="AQ389" s="58" t="str">
        <f t="shared" si="217"/>
        <v/>
      </c>
      <c r="AR389" s="38">
        <f>'ANR OK vs ML7'!AR389</f>
        <v>0.1</v>
      </c>
      <c r="AS389" s="35" t="str">
        <f t="shared" si="218"/>
        <v/>
      </c>
      <c r="AT389" s="3" t="str">
        <f t="shared" si="219"/>
        <v/>
      </c>
      <c r="AU389" s="3" t="str">
        <f t="shared" si="220"/>
        <v/>
      </c>
      <c r="AW389" s="32" t="str">
        <f t="shared" si="221"/>
        <v/>
      </c>
      <c r="AX389" s="32" t="str">
        <f t="shared" si="221"/>
        <v/>
      </c>
      <c r="AY389" s="32" t="str">
        <f t="shared" si="222"/>
        <v/>
      </c>
      <c r="BA389" s="32" t="str">
        <f>IF($A390="","",F389*Summary!$Q$12)</f>
        <v/>
      </c>
    </row>
    <row r="390" spans="1:53">
      <c r="A390" s="67" t="str">
        <f t="shared" si="223"/>
        <v/>
      </c>
      <c r="B390" s="69" t="str">
        <f t="shared" si="225"/>
        <v/>
      </c>
      <c r="D390" s="69" t="str">
        <f t="shared" si="189"/>
        <v/>
      </c>
      <c r="E390" s="70" t="str">
        <f t="shared" si="190"/>
        <v/>
      </c>
      <c r="F390" s="70" t="str">
        <f t="shared" si="191"/>
        <v/>
      </c>
      <c r="G390" s="63" t="str">
        <f t="shared" si="192"/>
        <v/>
      </c>
      <c r="H390" s="64" t="str">
        <f t="shared" si="193"/>
        <v/>
      </c>
      <c r="J390" s="63" t="str">
        <f t="shared" si="194"/>
        <v/>
      </c>
      <c r="K390" s="64" t="str">
        <f t="shared" si="195"/>
        <v/>
      </c>
      <c r="L390" s="63" t="str">
        <f t="shared" si="196"/>
        <v/>
      </c>
      <c r="M390" s="64" t="str">
        <f t="shared" si="197"/>
        <v/>
      </c>
      <c r="O390" s="63" t="str">
        <f t="shared" si="198"/>
        <v/>
      </c>
      <c r="P390" s="63" t="str">
        <f t="shared" si="199"/>
        <v/>
      </c>
      <c r="R390" s="63" t="str">
        <f t="shared" si="200"/>
        <v/>
      </c>
      <c r="S390" s="64" t="str">
        <f t="shared" si="201"/>
        <v/>
      </c>
      <c r="T390" s="63" t="str">
        <f t="shared" si="202"/>
        <v/>
      </c>
      <c r="U390" s="64" t="str">
        <f t="shared" si="203"/>
        <v/>
      </c>
      <c r="V390" s="90" t="str">
        <f>IF($A391="","",IF(AND(MONTH(A390)&gt;3,MONTH(A390)&lt;11),(T390+R390+G390)*(((1/(1-Summary!$T$12))/(1-Summary!$W$12))-1),(T390+R390+G390)*((1/(1-Summary!$U$12))/(1-Summary!$X$12)-1)))</f>
        <v/>
      </c>
      <c r="W390" s="63" t="str">
        <f t="shared" si="204"/>
        <v/>
      </c>
      <c r="X390" s="63" t="str">
        <f t="shared" si="205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5"/>
        <v/>
      </c>
      <c r="AP390" s="33" t="str">
        <f t="shared" si="216"/>
        <v/>
      </c>
      <c r="AQ390" s="58" t="str">
        <f t="shared" si="217"/>
        <v/>
      </c>
      <c r="AR390" s="38">
        <f>'ANR OK vs ML7'!AR390</f>
        <v>0.1</v>
      </c>
      <c r="AS390" s="35" t="str">
        <f t="shared" si="218"/>
        <v/>
      </c>
      <c r="AT390" s="3" t="str">
        <f t="shared" si="219"/>
        <v/>
      </c>
      <c r="AU390" s="3" t="str">
        <f t="shared" si="220"/>
        <v/>
      </c>
      <c r="AW390" s="32" t="str">
        <f t="shared" si="221"/>
        <v/>
      </c>
      <c r="AX390" s="32" t="str">
        <f t="shared" si="221"/>
        <v/>
      </c>
      <c r="AY390" s="32" t="str">
        <f t="shared" si="222"/>
        <v/>
      </c>
      <c r="BA390" s="32" t="str">
        <f>IF($A391="","",F390*Summary!$Q$12)</f>
        <v/>
      </c>
    </row>
    <row r="391" spans="1:53">
      <c r="A391" s="67" t="str">
        <f t="shared" si="223"/>
        <v/>
      </c>
      <c r="B391" s="69" t="str">
        <f t="shared" si="225"/>
        <v/>
      </c>
      <c r="D391" s="69" t="str">
        <f t="shared" si="189"/>
        <v/>
      </c>
      <c r="E391" s="70" t="str">
        <f t="shared" si="190"/>
        <v/>
      </c>
      <c r="F391" s="70" t="str">
        <f t="shared" si="191"/>
        <v/>
      </c>
      <c r="G391" s="63" t="str">
        <f t="shared" si="192"/>
        <v/>
      </c>
      <c r="H391" s="64" t="str">
        <f t="shared" si="193"/>
        <v/>
      </c>
      <c r="J391" s="63" t="str">
        <f t="shared" si="194"/>
        <v/>
      </c>
      <c r="K391" s="64" t="str">
        <f t="shared" si="195"/>
        <v/>
      </c>
      <c r="L391" s="63" t="str">
        <f t="shared" si="196"/>
        <v/>
      </c>
      <c r="M391" s="64" t="str">
        <f t="shared" si="197"/>
        <v/>
      </c>
      <c r="O391" s="63" t="str">
        <f t="shared" si="198"/>
        <v/>
      </c>
      <c r="P391" s="63" t="str">
        <f t="shared" si="199"/>
        <v/>
      </c>
      <c r="R391" s="63" t="str">
        <f t="shared" si="200"/>
        <v/>
      </c>
      <c r="S391" s="64" t="str">
        <f t="shared" si="201"/>
        <v/>
      </c>
      <c r="T391" s="63" t="str">
        <f t="shared" si="202"/>
        <v/>
      </c>
      <c r="U391" s="64" t="str">
        <f t="shared" si="203"/>
        <v/>
      </c>
      <c r="V391" s="90" t="str">
        <f>IF($A392="","",IF(AND(MONTH(A391)&gt;3,MONTH(A391)&lt;11),(T391+R391+G391)*(((1/(1-Summary!$T$12))/(1-Summary!$W$12))-1),(T391+R391+G391)*((1/(1-Summary!$U$12))/(1-Summary!$X$12)-1)))</f>
        <v/>
      </c>
      <c r="W391" s="63" t="str">
        <f t="shared" si="204"/>
        <v/>
      </c>
      <c r="X391" s="63" t="str">
        <f t="shared" si="205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5"/>
        <v/>
      </c>
      <c r="AP391" s="33" t="str">
        <f t="shared" si="216"/>
        <v/>
      </c>
      <c r="AQ391" s="58" t="str">
        <f t="shared" si="217"/>
        <v/>
      </c>
      <c r="AR391" s="38">
        <f>'ANR OK vs ML7'!AR391</f>
        <v>0.1</v>
      </c>
      <c r="AS391" s="35" t="str">
        <f t="shared" si="218"/>
        <v/>
      </c>
      <c r="AT391" s="3" t="str">
        <f t="shared" si="219"/>
        <v/>
      </c>
      <c r="AU391" s="3" t="str">
        <f t="shared" si="220"/>
        <v/>
      </c>
      <c r="AW391" s="32" t="str">
        <f t="shared" si="221"/>
        <v/>
      </c>
      <c r="AX391" s="32" t="str">
        <f t="shared" si="221"/>
        <v/>
      </c>
      <c r="AY391" s="32" t="str">
        <f t="shared" si="222"/>
        <v/>
      </c>
      <c r="BA391" s="32" t="str">
        <f>IF($A392="","",F391*Summary!$Q$12)</f>
        <v/>
      </c>
    </row>
    <row r="392" spans="1:53">
      <c r="A392" s="67" t="str">
        <f t="shared" si="223"/>
        <v/>
      </c>
      <c r="B392" s="69" t="str">
        <f t="shared" si="225"/>
        <v/>
      </c>
      <c r="D392" s="69" t="str">
        <f t="shared" si="189"/>
        <v/>
      </c>
      <c r="E392" s="70" t="str">
        <f t="shared" si="190"/>
        <v/>
      </c>
      <c r="F392" s="70" t="str">
        <f t="shared" si="191"/>
        <v/>
      </c>
      <c r="G392" s="63" t="str">
        <f t="shared" si="192"/>
        <v/>
      </c>
      <c r="H392" s="64" t="str">
        <f t="shared" si="193"/>
        <v/>
      </c>
      <c r="J392" s="63" t="str">
        <f t="shared" si="194"/>
        <v/>
      </c>
      <c r="K392" s="64" t="str">
        <f t="shared" si="195"/>
        <v/>
      </c>
      <c r="L392" s="63" t="str">
        <f t="shared" si="196"/>
        <v/>
      </c>
      <c r="M392" s="64" t="str">
        <f t="shared" si="197"/>
        <v/>
      </c>
      <c r="O392" s="63" t="str">
        <f t="shared" si="198"/>
        <v/>
      </c>
      <c r="P392" s="63" t="str">
        <f t="shared" si="199"/>
        <v/>
      </c>
      <c r="R392" s="63" t="str">
        <f t="shared" si="200"/>
        <v/>
      </c>
      <c r="S392" s="64" t="str">
        <f t="shared" si="201"/>
        <v/>
      </c>
      <c r="T392" s="63" t="str">
        <f t="shared" si="202"/>
        <v/>
      </c>
      <c r="U392" s="64" t="str">
        <f t="shared" si="203"/>
        <v/>
      </c>
      <c r="V392" s="90" t="str">
        <f>IF($A393="","",IF(AND(MONTH(A392)&gt;3,MONTH(A392)&lt;11),(T392+R392+G392)*(((1/(1-Summary!$T$12))/(1-Summary!$W$12))-1),(T392+R392+G392)*((1/(1-Summary!$U$12))/(1-Summary!$X$12)-1)))</f>
        <v/>
      </c>
      <c r="W392" s="63" t="str">
        <f t="shared" si="204"/>
        <v/>
      </c>
      <c r="X392" s="63" t="str">
        <f t="shared" si="205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5"/>
        <v/>
      </c>
      <c r="AP392" s="33" t="str">
        <f t="shared" si="216"/>
        <v/>
      </c>
      <c r="AQ392" s="58" t="str">
        <f t="shared" si="217"/>
        <v/>
      </c>
      <c r="AR392" s="38">
        <f>'ANR OK vs ML7'!AR392</f>
        <v>0.1</v>
      </c>
      <c r="AS392" s="35" t="str">
        <f t="shared" si="218"/>
        <v/>
      </c>
      <c r="AT392" s="3" t="str">
        <f t="shared" si="219"/>
        <v/>
      </c>
      <c r="AU392" s="3" t="str">
        <f t="shared" si="220"/>
        <v/>
      </c>
      <c r="AW392" s="32" t="str">
        <f t="shared" si="221"/>
        <v/>
      </c>
      <c r="AX392" s="32" t="str">
        <f t="shared" si="221"/>
        <v/>
      </c>
      <c r="AY392" s="32" t="str">
        <f t="shared" si="222"/>
        <v/>
      </c>
      <c r="BA392" s="32" t="str">
        <f>IF($A393="","",F392*Summary!$Q$12)</f>
        <v/>
      </c>
    </row>
    <row r="393" spans="1:53">
      <c r="A393" s="67" t="str">
        <f t="shared" si="223"/>
        <v/>
      </c>
      <c r="B393" s="69" t="str">
        <f t="shared" si="225"/>
        <v/>
      </c>
      <c r="D393" s="69" t="str">
        <f t="shared" si="189"/>
        <v/>
      </c>
      <c r="E393" s="70" t="str">
        <f t="shared" si="190"/>
        <v/>
      </c>
      <c r="F393" s="70" t="str">
        <f t="shared" si="191"/>
        <v/>
      </c>
      <c r="G393" s="63" t="str">
        <f t="shared" si="192"/>
        <v/>
      </c>
      <c r="H393" s="64" t="str">
        <f t="shared" si="193"/>
        <v/>
      </c>
      <c r="J393" s="63" t="str">
        <f t="shared" si="194"/>
        <v/>
      </c>
      <c r="K393" s="64" t="str">
        <f t="shared" si="195"/>
        <v/>
      </c>
      <c r="L393" s="63" t="str">
        <f t="shared" si="196"/>
        <v/>
      </c>
      <c r="M393" s="64" t="str">
        <f t="shared" si="197"/>
        <v/>
      </c>
      <c r="O393" s="63" t="str">
        <f t="shared" si="198"/>
        <v/>
      </c>
      <c r="P393" s="63" t="str">
        <f t="shared" si="199"/>
        <v/>
      </c>
      <c r="R393" s="63" t="str">
        <f t="shared" si="200"/>
        <v/>
      </c>
      <c r="S393" s="64" t="str">
        <f t="shared" si="201"/>
        <v/>
      </c>
      <c r="T393" s="63" t="str">
        <f t="shared" si="202"/>
        <v/>
      </c>
      <c r="U393" s="64" t="str">
        <f t="shared" si="203"/>
        <v/>
      </c>
      <c r="V393" s="90" t="str">
        <f>IF($A394="","",IF(AND(MONTH(A393)&gt;3,MONTH(A393)&lt;11),(T393+R393+G393)*(((1/(1-Summary!$T$12))/(1-Summary!$W$12))-1),(T393+R393+G393)*((1/(1-Summary!$U$12))/(1-Summary!$X$12)-1)))</f>
        <v/>
      </c>
      <c r="W393" s="63" t="str">
        <f t="shared" si="204"/>
        <v/>
      </c>
      <c r="X393" s="63" t="str">
        <f t="shared" si="205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5"/>
        <v/>
      </c>
      <c r="AP393" s="33" t="str">
        <f t="shared" si="216"/>
        <v/>
      </c>
      <c r="AQ393" s="58" t="str">
        <f t="shared" si="217"/>
        <v/>
      </c>
      <c r="AR393" s="38">
        <f>'ANR OK vs ML7'!AR393</f>
        <v>0.1</v>
      </c>
      <c r="AS393" s="35" t="str">
        <f t="shared" si="218"/>
        <v/>
      </c>
      <c r="AT393" s="3" t="str">
        <f t="shared" si="219"/>
        <v/>
      </c>
      <c r="AU393" s="3" t="str">
        <f t="shared" si="220"/>
        <v/>
      </c>
      <c r="AW393" s="32" t="str">
        <f t="shared" si="221"/>
        <v/>
      </c>
      <c r="AX393" s="32" t="str">
        <f t="shared" si="221"/>
        <v/>
      </c>
      <c r="AY393" s="32" t="str">
        <f t="shared" si="222"/>
        <v/>
      </c>
      <c r="BA393" s="32" t="str">
        <f>IF($A394="","",F393*Summary!$Q$12)</f>
        <v/>
      </c>
    </row>
    <row r="394" spans="1:53">
      <c r="A394" s="67" t="str">
        <f t="shared" si="223"/>
        <v/>
      </c>
      <c r="B394" s="69" t="str">
        <f t="shared" si="225"/>
        <v/>
      </c>
      <c r="D394" s="69" t="str">
        <f t="shared" ref="D394:D457" si="226">IF(A395&lt;&gt;"",B394+C394,"")</f>
        <v/>
      </c>
      <c r="E394" s="70" t="str">
        <f t="shared" ref="E394:E457" si="227">IF(A395="","",IF(AND(AT394=1,$H$3=1),D394*AO394,IF($H$3=2,D394,"N/A")))</f>
        <v/>
      </c>
      <c r="F394" s="70" t="str">
        <f t="shared" ref="F394:F457" si="228">IF(A395="","",E394*AS394)</f>
        <v/>
      </c>
      <c r="G394" s="63" t="str">
        <f t="shared" ref="G394:G457" si="229">IF($A395="","",VLOOKUP($A394,Table,MATCH(G$4,Curves,0)))</f>
        <v/>
      </c>
      <c r="H394" s="64" t="str">
        <f t="shared" ref="H394:H457" si="230">IF(A395="","",G394)</f>
        <v/>
      </c>
      <c r="J394" s="63" t="str">
        <f t="shared" ref="J394:J457" si="231">IF($A395="","",VLOOKUP($A394,Table,MATCH(J$4,Curves,0)))</f>
        <v/>
      </c>
      <c r="K394" s="64" t="str">
        <f t="shared" ref="K394:K457" si="232">IF(A395="","",J394)</f>
        <v/>
      </c>
      <c r="L394" s="63" t="str">
        <f t="shared" ref="L394:L457" si="233">IF($A395="","",VLOOKUP($A394,Table,MATCH(L$4,Curves,0)))</f>
        <v/>
      </c>
      <c r="M394" s="64" t="str">
        <f t="shared" ref="M394:M457" si="234">IF(A395="","",L394)</f>
        <v/>
      </c>
      <c r="O394" s="63" t="str">
        <f t="shared" ref="O394:O457" si="235">IF(A395="","",L394+J394+G394)</f>
        <v/>
      </c>
      <c r="P394" s="63" t="str">
        <f t="shared" ref="P394:P457" si="236">IF(A395="","",M394+K394+H394)</f>
        <v/>
      </c>
      <c r="R394" s="63" t="str">
        <f t="shared" ref="R394:R457" si="237">IF($A395="","",VLOOKUP($A394,Table,MATCH(R$4,Curves,0)))</f>
        <v/>
      </c>
      <c r="S394" s="64" t="str">
        <f t="shared" ref="S394:S457" si="238">IF(A395="","",R394)</f>
        <v/>
      </c>
      <c r="T394" s="63" t="str">
        <f t="shared" ref="T394:T457" si="239">IF($A395="","",VLOOKUP($A394,Table,MATCH(T$4,Curves,0)))</f>
        <v/>
      </c>
      <c r="U394" s="64" t="str">
        <f t="shared" ref="U394:U457" si="240">IF(A395="","",T394)</f>
        <v/>
      </c>
      <c r="V394" s="90" t="str">
        <f>IF($A395="","",IF(AND(MONTH(A394)&gt;3,MONTH(A394)&lt;11),(T394+R394+G394)*(((1/(1-Summary!$T$12))/(1-Summary!$W$12))-1),(T394+R394+G394)*((1/(1-Summary!$U$12))/(1-Summary!$X$12)-1)))</f>
        <v/>
      </c>
      <c r="W394" s="63" t="str">
        <f t="shared" ref="W394:W457" si="241">IF($A395="","",(T394+R394+G394+V394))</f>
        <v/>
      </c>
      <c r="X394" s="63" t="str">
        <f t="shared" ref="X394:X457" si="242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3">IF(A395="","",A395-A394)</f>
        <v/>
      </c>
      <c r="AP394" s="33" t="str">
        <f t="shared" ref="AP394:AP457" si="244">IF(A395="","",CHOOSE(F$3,A395+24,A394))</f>
        <v/>
      </c>
      <c r="AQ394" s="58" t="str">
        <f t="shared" ref="AQ394:AQ457" si="245">IF(A395="","",AP394-$E$1)</f>
        <v/>
      </c>
      <c r="AR394" s="38">
        <f>'ANR OK vs ML7'!AR394</f>
        <v>0.1</v>
      </c>
      <c r="AS394" s="35" t="str">
        <f t="shared" ref="AS394:AS457" si="246">IF(A395="","",1/(1+CHOOSE(F$3,(AR395+($I$3/10000))/2,(AR394+($I$3/10000))/2))^(2*AQ394/365.25))</f>
        <v/>
      </c>
      <c r="AT394" s="3" t="str">
        <f t="shared" ref="AT394:AT457" si="247">IF(A395="","",IF(AND(mthbeg&lt;=A394,mthend&gt;=A394),1,0))</f>
        <v/>
      </c>
      <c r="AU394" s="3" t="str">
        <f t="shared" ref="AU394:AU457" si="248">IF(A395="","",AO394*AT394)</f>
        <v/>
      </c>
      <c r="AW394" s="32" t="str">
        <f t="shared" ref="AW394:AX457" si="249">IF($A395="","",AL394*$E394)</f>
        <v/>
      </c>
      <c r="AX394" s="32" t="str">
        <f t="shared" si="249"/>
        <v/>
      </c>
      <c r="AY394" s="32" t="str">
        <f t="shared" ref="AY394:AY457" si="250">IF($A395="","",AN394*$E394)</f>
        <v/>
      </c>
      <c r="BA394" s="32" t="str">
        <f>IF($A395="","",F394*Summary!$Q$12)</f>
        <v/>
      </c>
    </row>
    <row r="395" spans="1:53">
      <c r="A395" s="67" t="str">
        <f t="shared" ref="A395:A458" si="251">IF(A394&lt;mthend,EDATE(A394,1),"")</f>
        <v/>
      </c>
      <c r="B395" s="69" t="str">
        <f t="shared" si="225"/>
        <v/>
      </c>
      <c r="D395" s="69" t="str">
        <f t="shared" si="226"/>
        <v/>
      </c>
      <c r="E395" s="70" t="str">
        <f t="shared" si="227"/>
        <v/>
      </c>
      <c r="F395" s="70" t="str">
        <f t="shared" si="228"/>
        <v/>
      </c>
      <c r="G395" s="63" t="str">
        <f t="shared" si="229"/>
        <v/>
      </c>
      <c r="H395" s="64" t="str">
        <f t="shared" si="230"/>
        <v/>
      </c>
      <c r="J395" s="63" t="str">
        <f t="shared" si="231"/>
        <v/>
      </c>
      <c r="K395" s="64" t="str">
        <f t="shared" si="232"/>
        <v/>
      </c>
      <c r="L395" s="63" t="str">
        <f t="shared" si="233"/>
        <v/>
      </c>
      <c r="M395" s="64" t="str">
        <f t="shared" si="234"/>
        <v/>
      </c>
      <c r="O395" s="63" t="str">
        <f t="shared" si="235"/>
        <v/>
      </c>
      <c r="P395" s="63" t="str">
        <f t="shared" si="236"/>
        <v/>
      </c>
      <c r="R395" s="63" t="str">
        <f t="shared" si="237"/>
        <v/>
      </c>
      <c r="S395" s="64" t="str">
        <f t="shared" si="238"/>
        <v/>
      </c>
      <c r="T395" s="63" t="str">
        <f t="shared" si="239"/>
        <v/>
      </c>
      <c r="U395" s="64" t="str">
        <f t="shared" si="240"/>
        <v/>
      </c>
      <c r="V395" s="90" t="str">
        <f>IF($A396="","",IF(AND(MONTH(A395)&gt;3,MONTH(A395)&lt;11),(T395+R395+G395)*(((1/(1-Summary!$T$12))/(1-Summary!$W$12))-1),(T395+R395+G395)*((1/(1-Summary!$U$12))/(1-Summary!$X$12)-1)))</f>
        <v/>
      </c>
      <c r="W395" s="63" t="str">
        <f t="shared" si="241"/>
        <v/>
      </c>
      <c r="X395" s="63" t="str">
        <f t="shared" si="242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3"/>
        <v/>
      </c>
      <c r="AP395" s="33" t="str">
        <f t="shared" si="244"/>
        <v/>
      </c>
      <c r="AQ395" s="58" t="str">
        <f t="shared" si="245"/>
        <v/>
      </c>
      <c r="AR395" s="38">
        <f>'ANR OK vs ML7'!AR395</f>
        <v>0.1</v>
      </c>
      <c r="AS395" s="35" t="str">
        <f t="shared" si="246"/>
        <v/>
      </c>
      <c r="AT395" s="3" t="str">
        <f t="shared" si="247"/>
        <v/>
      </c>
      <c r="AU395" s="3" t="str">
        <f t="shared" si="248"/>
        <v/>
      </c>
      <c r="AW395" s="32" t="str">
        <f t="shared" si="249"/>
        <v/>
      </c>
      <c r="AX395" s="32" t="str">
        <f t="shared" si="249"/>
        <v/>
      </c>
      <c r="AY395" s="32" t="str">
        <f t="shared" si="250"/>
        <v/>
      </c>
      <c r="BA395" s="32" t="str">
        <f>IF($A396="","",F395*Summary!$Q$12)</f>
        <v/>
      </c>
    </row>
    <row r="396" spans="1:53">
      <c r="A396" s="67" t="str">
        <f t="shared" si="251"/>
        <v/>
      </c>
      <c r="B396" s="69" t="str">
        <f t="shared" ref="B396:B459" si="252">IF(A396&lt;mthend,B395,"")</f>
        <v/>
      </c>
      <c r="D396" s="69" t="str">
        <f t="shared" si="226"/>
        <v/>
      </c>
      <c r="E396" s="70" t="str">
        <f t="shared" si="227"/>
        <v/>
      </c>
      <c r="F396" s="70" t="str">
        <f t="shared" si="228"/>
        <v/>
      </c>
      <c r="G396" s="63" t="str">
        <f t="shared" si="229"/>
        <v/>
      </c>
      <c r="H396" s="64" t="str">
        <f t="shared" si="230"/>
        <v/>
      </c>
      <c r="J396" s="63" t="str">
        <f t="shared" si="231"/>
        <v/>
      </c>
      <c r="K396" s="64" t="str">
        <f t="shared" si="232"/>
        <v/>
      </c>
      <c r="L396" s="63" t="str">
        <f t="shared" si="233"/>
        <v/>
      </c>
      <c r="M396" s="64" t="str">
        <f t="shared" si="234"/>
        <v/>
      </c>
      <c r="O396" s="63" t="str">
        <f t="shared" si="235"/>
        <v/>
      </c>
      <c r="P396" s="63" t="str">
        <f t="shared" si="236"/>
        <v/>
      </c>
      <c r="R396" s="63" t="str">
        <f t="shared" si="237"/>
        <v/>
      </c>
      <c r="S396" s="64" t="str">
        <f t="shared" si="238"/>
        <v/>
      </c>
      <c r="T396" s="63" t="str">
        <f t="shared" si="239"/>
        <v/>
      </c>
      <c r="U396" s="64" t="str">
        <f t="shared" si="240"/>
        <v/>
      </c>
      <c r="V396" s="90" t="str">
        <f>IF($A397="","",IF(AND(MONTH(A396)&gt;3,MONTH(A396)&lt;11),(T396+R396+G396)*(((1/(1-Summary!$T$12))/(1-Summary!$W$12))-1),(T396+R396+G396)*((1/(1-Summary!$U$12))/(1-Summary!$X$12)-1)))</f>
        <v/>
      </c>
      <c r="W396" s="63" t="str">
        <f t="shared" si="241"/>
        <v/>
      </c>
      <c r="X396" s="63" t="str">
        <f t="shared" si="242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3"/>
        <v/>
      </c>
      <c r="AP396" s="33" t="str">
        <f t="shared" si="244"/>
        <v/>
      </c>
      <c r="AQ396" s="58" t="str">
        <f t="shared" si="245"/>
        <v/>
      </c>
      <c r="AR396" s="38">
        <f>'ANR OK vs ML7'!AR396</f>
        <v>0.1</v>
      </c>
      <c r="AS396" s="35" t="str">
        <f t="shared" si="246"/>
        <v/>
      </c>
      <c r="AT396" s="3" t="str">
        <f t="shared" si="247"/>
        <v/>
      </c>
      <c r="AU396" s="3" t="str">
        <f t="shared" si="248"/>
        <v/>
      </c>
      <c r="AW396" s="32" t="str">
        <f t="shared" si="249"/>
        <v/>
      </c>
      <c r="AX396" s="32" t="str">
        <f t="shared" si="249"/>
        <v/>
      </c>
      <c r="AY396" s="32" t="str">
        <f t="shared" si="250"/>
        <v/>
      </c>
      <c r="BA396" s="32" t="str">
        <f>IF($A397="","",F396*Summary!$Q$12)</f>
        <v/>
      </c>
    </row>
    <row r="397" spans="1:53">
      <c r="A397" s="67" t="str">
        <f t="shared" si="251"/>
        <v/>
      </c>
      <c r="B397" s="69" t="str">
        <f t="shared" si="252"/>
        <v/>
      </c>
      <c r="D397" s="69" t="str">
        <f t="shared" si="226"/>
        <v/>
      </c>
      <c r="E397" s="70" t="str">
        <f t="shared" si="227"/>
        <v/>
      </c>
      <c r="F397" s="70" t="str">
        <f t="shared" si="228"/>
        <v/>
      </c>
      <c r="G397" s="63" t="str">
        <f t="shared" si="229"/>
        <v/>
      </c>
      <c r="H397" s="64" t="str">
        <f t="shared" si="230"/>
        <v/>
      </c>
      <c r="J397" s="63" t="str">
        <f t="shared" si="231"/>
        <v/>
      </c>
      <c r="K397" s="64" t="str">
        <f t="shared" si="232"/>
        <v/>
      </c>
      <c r="L397" s="63" t="str">
        <f t="shared" si="233"/>
        <v/>
      </c>
      <c r="M397" s="64" t="str">
        <f t="shared" si="234"/>
        <v/>
      </c>
      <c r="O397" s="63" t="str">
        <f t="shared" si="235"/>
        <v/>
      </c>
      <c r="P397" s="63" t="str">
        <f t="shared" si="236"/>
        <v/>
      </c>
      <c r="R397" s="63" t="str">
        <f t="shared" si="237"/>
        <v/>
      </c>
      <c r="S397" s="64" t="str">
        <f t="shared" si="238"/>
        <v/>
      </c>
      <c r="T397" s="63" t="str">
        <f t="shared" si="239"/>
        <v/>
      </c>
      <c r="U397" s="64" t="str">
        <f t="shared" si="240"/>
        <v/>
      </c>
      <c r="V397" s="90" t="str">
        <f>IF($A398="","",IF(AND(MONTH(A397)&gt;3,MONTH(A397)&lt;11),(T397+R397+G397)*(((1/(1-Summary!$T$12))/(1-Summary!$W$12))-1),(T397+R397+G397)*((1/(1-Summary!$U$12))/(1-Summary!$X$12)-1)))</f>
        <v/>
      </c>
      <c r="W397" s="63" t="str">
        <f t="shared" si="241"/>
        <v/>
      </c>
      <c r="X397" s="63" t="str">
        <f t="shared" si="242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3"/>
        <v/>
      </c>
      <c r="AP397" s="33" t="str">
        <f t="shared" si="244"/>
        <v/>
      </c>
      <c r="AQ397" s="58" t="str">
        <f t="shared" si="245"/>
        <v/>
      </c>
      <c r="AR397" s="38">
        <f>'ANR OK vs ML7'!AR397</f>
        <v>0.1</v>
      </c>
      <c r="AS397" s="35" t="str">
        <f t="shared" si="246"/>
        <v/>
      </c>
      <c r="AT397" s="3" t="str">
        <f t="shared" si="247"/>
        <v/>
      </c>
      <c r="AU397" s="3" t="str">
        <f t="shared" si="248"/>
        <v/>
      </c>
      <c r="AW397" s="32" t="str">
        <f t="shared" si="249"/>
        <v/>
      </c>
      <c r="AX397" s="32" t="str">
        <f t="shared" si="249"/>
        <v/>
      </c>
      <c r="AY397" s="32" t="str">
        <f t="shared" si="250"/>
        <v/>
      </c>
      <c r="BA397" s="32" t="str">
        <f>IF($A398="","",F397*Summary!$Q$12)</f>
        <v/>
      </c>
    </row>
    <row r="398" spans="1:53">
      <c r="A398" s="67" t="str">
        <f t="shared" si="251"/>
        <v/>
      </c>
      <c r="B398" s="69" t="str">
        <f t="shared" si="252"/>
        <v/>
      </c>
      <c r="D398" s="69" t="str">
        <f t="shared" si="226"/>
        <v/>
      </c>
      <c r="E398" s="70" t="str">
        <f t="shared" si="227"/>
        <v/>
      </c>
      <c r="F398" s="70" t="str">
        <f t="shared" si="228"/>
        <v/>
      </c>
      <c r="G398" s="63" t="str">
        <f t="shared" si="229"/>
        <v/>
      </c>
      <c r="H398" s="64" t="str">
        <f t="shared" si="230"/>
        <v/>
      </c>
      <c r="J398" s="63" t="str">
        <f t="shared" si="231"/>
        <v/>
      </c>
      <c r="K398" s="64" t="str">
        <f t="shared" si="232"/>
        <v/>
      </c>
      <c r="L398" s="63" t="str">
        <f t="shared" si="233"/>
        <v/>
      </c>
      <c r="M398" s="64" t="str">
        <f t="shared" si="234"/>
        <v/>
      </c>
      <c r="O398" s="63" t="str">
        <f t="shared" si="235"/>
        <v/>
      </c>
      <c r="P398" s="63" t="str">
        <f t="shared" si="236"/>
        <v/>
      </c>
      <c r="R398" s="63" t="str">
        <f t="shared" si="237"/>
        <v/>
      </c>
      <c r="S398" s="64" t="str">
        <f t="shared" si="238"/>
        <v/>
      </c>
      <c r="T398" s="63" t="str">
        <f t="shared" si="239"/>
        <v/>
      </c>
      <c r="U398" s="64" t="str">
        <f t="shared" si="240"/>
        <v/>
      </c>
      <c r="V398" s="90" t="str">
        <f>IF($A399="","",IF(AND(MONTH(A398)&gt;3,MONTH(A398)&lt;11),(T398+R398+G398)*(((1/(1-Summary!$T$12))/(1-Summary!$W$12))-1),(T398+R398+G398)*((1/(1-Summary!$U$12))/(1-Summary!$X$12)-1)))</f>
        <v/>
      </c>
      <c r="W398" s="63" t="str">
        <f t="shared" si="241"/>
        <v/>
      </c>
      <c r="X398" s="63" t="str">
        <f t="shared" si="242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3"/>
        <v/>
      </c>
      <c r="AP398" s="33" t="str">
        <f t="shared" si="244"/>
        <v/>
      </c>
      <c r="AQ398" s="58" t="str">
        <f t="shared" si="245"/>
        <v/>
      </c>
      <c r="AR398" s="38">
        <f>'ANR OK vs ML7'!AR398</f>
        <v>0.1</v>
      </c>
      <c r="AS398" s="35" t="str">
        <f t="shared" si="246"/>
        <v/>
      </c>
      <c r="AT398" s="3" t="str">
        <f t="shared" si="247"/>
        <v/>
      </c>
      <c r="AU398" s="3" t="str">
        <f t="shared" si="248"/>
        <v/>
      </c>
      <c r="AW398" s="32" t="str">
        <f t="shared" si="249"/>
        <v/>
      </c>
      <c r="AX398" s="32" t="str">
        <f t="shared" si="249"/>
        <v/>
      </c>
      <c r="AY398" s="32" t="str">
        <f t="shared" si="250"/>
        <v/>
      </c>
      <c r="BA398" s="32" t="str">
        <f>IF($A399="","",F398*Summary!$Q$12)</f>
        <v/>
      </c>
    </row>
    <row r="399" spans="1:53">
      <c r="A399" s="67" t="str">
        <f t="shared" si="251"/>
        <v/>
      </c>
      <c r="B399" s="69" t="str">
        <f t="shared" si="252"/>
        <v/>
      </c>
      <c r="D399" s="69" t="str">
        <f t="shared" si="226"/>
        <v/>
      </c>
      <c r="E399" s="70" t="str">
        <f t="shared" si="227"/>
        <v/>
      </c>
      <c r="F399" s="70" t="str">
        <f t="shared" si="228"/>
        <v/>
      </c>
      <c r="G399" s="63" t="str">
        <f t="shared" si="229"/>
        <v/>
      </c>
      <c r="H399" s="64" t="str">
        <f t="shared" si="230"/>
        <v/>
      </c>
      <c r="J399" s="63" t="str">
        <f t="shared" si="231"/>
        <v/>
      </c>
      <c r="K399" s="64" t="str">
        <f t="shared" si="232"/>
        <v/>
      </c>
      <c r="L399" s="63" t="str">
        <f t="shared" si="233"/>
        <v/>
      </c>
      <c r="M399" s="64" t="str">
        <f t="shared" si="234"/>
        <v/>
      </c>
      <c r="O399" s="63" t="str">
        <f t="shared" si="235"/>
        <v/>
      </c>
      <c r="P399" s="63" t="str">
        <f t="shared" si="236"/>
        <v/>
      </c>
      <c r="R399" s="63" t="str">
        <f t="shared" si="237"/>
        <v/>
      </c>
      <c r="S399" s="64" t="str">
        <f t="shared" si="238"/>
        <v/>
      </c>
      <c r="T399" s="63" t="str">
        <f t="shared" si="239"/>
        <v/>
      </c>
      <c r="U399" s="64" t="str">
        <f t="shared" si="240"/>
        <v/>
      </c>
      <c r="V399" s="90" t="str">
        <f>IF($A400="","",IF(AND(MONTH(A399)&gt;3,MONTH(A399)&lt;11),(T399+R399+G399)*(((1/(1-Summary!$T$12))/(1-Summary!$W$12))-1),(T399+R399+G399)*((1/(1-Summary!$U$12))/(1-Summary!$X$12)-1)))</f>
        <v/>
      </c>
      <c r="W399" s="63" t="str">
        <f t="shared" si="241"/>
        <v/>
      </c>
      <c r="X399" s="63" t="str">
        <f t="shared" si="242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3"/>
        <v/>
      </c>
      <c r="AP399" s="33" t="str">
        <f t="shared" si="244"/>
        <v/>
      </c>
      <c r="AQ399" s="58" t="str">
        <f t="shared" si="245"/>
        <v/>
      </c>
      <c r="AR399" s="38">
        <f>'ANR OK vs ML7'!AR399</f>
        <v>0.1</v>
      </c>
      <c r="AS399" s="35" t="str">
        <f t="shared" si="246"/>
        <v/>
      </c>
      <c r="AT399" s="3" t="str">
        <f t="shared" si="247"/>
        <v/>
      </c>
      <c r="AU399" s="3" t="str">
        <f t="shared" si="248"/>
        <v/>
      </c>
      <c r="AW399" s="32" t="str">
        <f t="shared" si="249"/>
        <v/>
      </c>
      <c r="AX399" s="32" t="str">
        <f t="shared" si="249"/>
        <v/>
      </c>
      <c r="AY399" s="32" t="str">
        <f t="shared" si="250"/>
        <v/>
      </c>
      <c r="BA399" s="32" t="str">
        <f>IF($A400="","",F399*Summary!$Q$12)</f>
        <v/>
      </c>
    </row>
    <row r="400" spans="1:53">
      <c r="A400" s="67" t="str">
        <f t="shared" si="251"/>
        <v/>
      </c>
      <c r="B400" s="69" t="str">
        <f t="shared" si="252"/>
        <v/>
      </c>
      <c r="D400" s="69" t="str">
        <f t="shared" si="226"/>
        <v/>
      </c>
      <c r="E400" s="70" t="str">
        <f t="shared" si="227"/>
        <v/>
      </c>
      <c r="F400" s="70" t="str">
        <f t="shared" si="228"/>
        <v/>
      </c>
      <c r="G400" s="63" t="str">
        <f t="shared" si="229"/>
        <v/>
      </c>
      <c r="H400" s="64" t="str">
        <f t="shared" si="230"/>
        <v/>
      </c>
      <c r="J400" s="63" t="str">
        <f t="shared" si="231"/>
        <v/>
      </c>
      <c r="K400" s="64" t="str">
        <f t="shared" si="232"/>
        <v/>
      </c>
      <c r="L400" s="63" t="str">
        <f t="shared" si="233"/>
        <v/>
      </c>
      <c r="M400" s="64" t="str">
        <f t="shared" si="234"/>
        <v/>
      </c>
      <c r="O400" s="63" t="str">
        <f t="shared" si="235"/>
        <v/>
      </c>
      <c r="P400" s="63" t="str">
        <f t="shared" si="236"/>
        <v/>
      </c>
      <c r="R400" s="63" t="str">
        <f t="shared" si="237"/>
        <v/>
      </c>
      <c r="S400" s="64" t="str">
        <f t="shared" si="238"/>
        <v/>
      </c>
      <c r="T400" s="63" t="str">
        <f t="shared" si="239"/>
        <v/>
      </c>
      <c r="U400" s="64" t="str">
        <f t="shared" si="240"/>
        <v/>
      </c>
      <c r="V400" s="90" t="str">
        <f>IF($A401="","",IF(AND(MONTH(A400)&gt;3,MONTH(A400)&lt;11),(T400+R400+G400)*(((1/(1-Summary!$T$12))/(1-Summary!$W$12))-1),(T400+R400+G400)*((1/(1-Summary!$U$12))/(1-Summary!$X$12)-1)))</f>
        <v/>
      </c>
      <c r="W400" s="63" t="str">
        <f t="shared" si="241"/>
        <v/>
      </c>
      <c r="X400" s="63" t="str">
        <f t="shared" si="242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3"/>
        <v/>
      </c>
      <c r="AP400" s="33" t="str">
        <f t="shared" si="244"/>
        <v/>
      </c>
      <c r="AQ400" s="58" t="str">
        <f t="shared" si="245"/>
        <v/>
      </c>
      <c r="AR400" s="38">
        <f>'ANR OK vs ML7'!AR400</f>
        <v>0.1</v>
      </c>
      <c r="AS400" s="35" t="str">
        <f t="shared" si="246"/>
        <v/>
      </c>
      <c r="AT400" s="3" t="str">
        <f t="shared" si="247"/>
        <v/>
      </c>
      <c r="AU400" s="3" t="str">
        <f t="shared" si="248"/>
        <v/>
      </c>
      <c r="AW400" s="32" t="str">
        <f t="shared" si="249"/>
        <v/>
      </c>
      <c r="AX400" s="32" t="str">
        <f t="shared" si="249"/>
        <v/>
      </c>
      <c r="AY400" s="32" t="str">
        <f t="shared" si="250"/>
        <v/>
      </c>
      <c r="BA400" s="32" t="str">
        <f>IF($A401="","",F400*Summary!$Q$12)</f>
        <v/>
      </c>
    </row>
    <row r="401" spans="1:53">
      <c r="A401" s="67" t="str">
        <f t="shared" si="251"/>
        <v/>
      </c>
      <c r="B401" s="69" t="str">
        <f t="shared" si="252"/>
        <v/>
      </c>
      <c r="D401" s="69" t="str">
        <f t="shared" si="226"/>
        <v/>
      </c>
      <c r="E401" s="70" t="str">
        <f t="shared" si="227"/>
        <v/>
      </c>
      <c r="F401" s="70" t="str">
        <f t="shared" si="228"/>
        <v/>
      </c>
      <c r="G401" s="63" t="str">
        <f t="shared" si="229"/>
        <v/>
      </c>
      <c r="H401" s="64" t="str">
        <f t="shared" si="230"/>
        <v/>
      </c>
      <c r="J401" s="63" t="str">
        <f t="shared" si="231"/>
        <v/>
      </c>
      <c r="K401" s="64" t="str">
        <f t="shared" si="232"/>
        <v/>
      </c>
      <c r="L401" s="63" t="str">
        <f t="shared" si="233"/>
        <v/>
      </c>
      <c r="M401" s="64" t="str">
        <f t="shared" si="234"/>
        <v/>
      </c>
      <c r="O401" s="63" t="str">
        <f t="shared" si="235"/>
        <v/>
      </c>
      <c r="P401" s="63" t="str">
        <f t="shared" si="236"/>
        <v/>
      </c>
      <c r="R401" s="63" t="str">
        <f t="shared" si="237"/>
        <v/>
      </c>
      <c r="S401" s="64" t="str">
        <f t="shared" si="238"/>
        <v/>
      </c>
      <c r="T401" s="63" t="str">
        <f t="shared" si="239"/>
        <v/>
      </c>
      <c r="U401" s="64" t="str">
        <f t="shared" si="240"/>
        <v/>
      </c>
      <c r="V401" s="90" t="str">
        <f>IF($A402="","",IF(AND(MONTH(A401)&gt;3,MONTH(A401)&lt;11),(T401+R401+G401)*(((1/(1-Summary!$T$12))/(1-Summary!$W$12))-1),(T401+R401+G401)*((1/(1-Summary!$U$12))/(1-Summary!$X$12)-1)))</f>
        <v/>
      </c>
      <c r="W401" s="63" t="str">
        <f t="shared" si="241"/>
        <v/>
      </c>
      <c r="X401" s="63" t="str">
        <f t="shared" si="242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3"/>
        <v/>
      </c>
      <c r="AP401" s="33" t="str">
        <f t="shared" si="244"/>
        <v/>
      </c>
      <c r="AQ401" s="58" t="str">
        <f t="shared" si="245"/>
        <v/>
      </c>
      <c r="AR401" s="38">
        <f>'ANR OK vs ML7'!AR401</f>
        <v>0.1</v>
      </c>
      <c r="AS401" s="35" t="str">
        <f t="shared" si="246"/>
        <v/>
      </c>
      <c r="AT401" s="3" t="str">
        <f t="shared" si="247"/>
        <v/>
      </c>
      <c r="AU401" s="3" t="str">
        <f t="shared" si="248"/>
        <v/>
      </c>
      <c r="AW401" s="32" t="str">
        <f t="shared" si="249"/>
        <v/>
      </c>
      <c r="AX401" s="32" t="str">
        <f t="shared" si="249"/>
        <v/>
      </c>
      <c r="AY401" s="32" t="str">
        <f t="shared" si="250"/>
        <v/>
      </c>
      <c r="BA401" s="32" t="str">
        <f>IF($A402="","",F401*Summary!$Q$12)</f>
        <v/>
      </c>
    </row>
    <row r="402" spans="1:53">
      <c r="A402" s="67" t="str">
        <f t="shared" si="251"/>
        <v/>
      </c>
      <c r="B402" s="69" t="str">
        <f t="shared" si="252"/>
        <v/>
      </c>
      <c r="D402" s="69" t="str">
        <f t="shared" si="226"/>
        <v/>
      </c>
      <c r="E402" s="70" t="str">
        <f t="shared" si="227"/>
        <v/>
      </c>
      <c r="F402" s="70" t="str">
        <f t="shared" si="228"/>
        <v/>
      </c>
      <c r="G402" s="63" t="str">
        <f t="shared" si="229"/>
        <v/>
      </c>
      <c r="H402" s="64" t="str">
        <f t="shared" si="230"/>
        <v/>
      </c>
      <c r="J402" s="63" t="str">
        <f t="shared" si="231"/>
        <v/>
      </c>
      <c r="K402" s="64" t="str">
        <f t="shared" si="232"/>
        <v/>
      </c>
      <c r="L402" s="63" t="str">
        <f t="shared" si="233"/>
        <v/>
      </c>
      <c r="M402" s="64" t="str">
        <f t="shared" si="234"/>
        <v/>
      </c>
      <c r="O402" s="63" t="str">
        <f t="shared" si="235"/>
        <v/>
      </c>
      <c r="P402" s="63" t="str">
        <f t="shared" si="236"/>
        <v/>
      </c>
      <c r="R402" s="63" t="str">
        <f t="shared" si="237"/>
        <v/>
      </c>
      <c r="S402" s="64" t="str">
        <f t="shared" si="238"/>
        <v/>
      </c>
      <c r="T402" s="63" t="str">
        <f t="shared" si="239"/>
        <v/>
      </c>
      <c r="U402" s="64" t="str">
        <f t="shared" si="240"/>
        <v/>
      </c>
      <c r="V402" s="90" t="str">
        <f>IF($A403="","",IF(AND(MONTH(A402)&gt;3,MONTH(A402)&lt;11),(T402+R402+G402)*(((1/(1-Summary!$T$12))/(1-Summary!$W$12))-1),(T402+R402+G402)*((1/(1-Summary!$U$12))/(1-Summary!$X$12)-1)))</f>
        <v/>
      </c>
      <c r="W402" s="63" t="str">
        <f t="shared" si="241"/>
        <v/>
      </c>
      <c r="X402" s="63" t="str">
        <f t="shared" si="242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3"/>
        <v/>
      </c>
      <c r="AP402" s="33" t="str">
        <f t="shared" si="244"/>
        <v/>
      </c>
      <c r="AQ402" s="58" t="str">
        <f t="shared" si="245"/>
        <v/>
      </c>
      <c r="AR402" s="38">
        <f>'ANR OK vs ML7'!AR402</f>
        <v>0.1</v>
      </c>
      <c r="AS402" s="35" t="str">
        <f t="shared" si="246"/>
        <v/>
      </c>
      <c r="AT402" s="3" t="str">
        <f t="shared" si="247"/>
        <v/>
      </c>
      <c r="AU402" s="3" t="str">
        <f t="shared" si="248"/>
        <v/>
      </c>
      <c r="AW402" s="32" t="str">
        <f t="shared" si="249"/>
        <v/>
      </c>
      <c r="AX402" s="32" t="str">
        <f t="shared" si="249"/>
        <v/>
      </c>
      <c r="AY402" s="32" t="str">
        <f t="shared" si="250"/>
        <v/>
      </c>
      <c r="BA402" s="32" t="str">
        <f>IF($A403="","",F402*Summary!$Q$12)</f>
        <v/>
      </c>
    </row>
    <row r="403" spans="1:53">
      <c r="A403" s="67" t="str">
        <f t="shared" si="251"/>
        <v/>
      </c>
      <c r="B403" s="69" t="str">
        <f t="shared" si="252"/>
        <v/>
      </c>
      <c r="D403" s="69" t="str">
        <f t="shared" si="226"/>
        <v/>
      </c>
      <c r="E403" s="70" t="str">
        <f t="shared" si="227"/>
        <v/>
      </c>
      <c r="F403" s="70" t="str">
        <f t="shared" si="228"/>
        <v/>
      </c>
      <c r="G403" s="63" t="str">
        <f t="shared" si="229"/>
        <v/>
      </c>
      <c r="H403" s="64" t="str">
        <f t="shared" si="230"/>
        <v/>
      </c>
      <c r="J403" s="63" t="str">
        <f t="shared" si="231"/>
        <v/>
      </c>
      <c r="K403" s="64" t="str">
        <f t="shared" si="232"/>
        <v/>
      </c>
      <c r="L403" s="63" t="str">
        <f t="shared" si="233"/>
        <v/>
      </c>
      <c r="M403" s="64" t="str">
        <f t="shared" si="234"/>
        <v/>
      </c>
      <c r="O403" s="63" t="str">
        <f t="shared" si="235"/>
        <v/>
      </c>
      <c r="P403" s="63" t="str">
        <f t="shared" si="236"/>
        <v/>
      </c>
      <c r="R403" s="63" t="str">
        <f t="shared" si="237"/>
        <v/>
      </c>
      <c r="S403" s="64" t="str">
        <f t="shared" si="238"/>
        <v/>
      </c>
      <c r="T403" s="63" t="str">
        <f t="shared" si="239"/>
        <v/>
      </c>
      <c r="U403" s="64" t="str">
        <f t="shared" si="240"/>
        <v/>
      </c>
      <c r="V403" s="90" t="str">
        <f>IF($A404="","",IF(AND(MONTH(A403)&gt;3,MONTH(A403)&lt;11),(T403+R403+G403)*(((1/(1-Summary!$T$12))/(1-Summary!$W$12))-1),(T403+R403+G403)*((1/(1-Summary!$U$12))/(1-Summary!$X$12)-1)))</f>
        <v/>
      </c>
      <c r="W403" s="63" t="str">
        <f t="shared" si="241"/>
        <v/>
      </c>
      <c r="X403" s="63" t="str">
        <f t="shared" si="242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3"/>
        <v/>
      </c>
      <c r="AP403" s="33" t="str">
        <f t="shared" si="244"/>
        <v/>
      </c>
      <c r="AQ403" s="58" t="str">
        <f t="shared" si="245"/>
        <v/>
      </c>
      <c r="AR403" s="38">
        <f>'ANR OK vs ML7'!AR403</f>
        <v>0.1</v>
      </c>
      <c r="AS403" s="35" t="str">
        <f t="shared" si="246"/>
        <v/>
      </c>
      <c r="AT403" s="3" t="str">
        <f t="shared" si="247"/>
        <v/>
      </c>
      <c r="AU403" s="3" t="str">
        <f t="shared" si="248"/>
        <v/>
      </c>
      <c r="AW403" s="32" t="str">
        <f t="shared" si="249"/>
        <v/>
      </c>
      <c r="AX403" s="32" t="str">
        <f t="shared" si="249"/>
        <v/>
      </c>
      <c r="AY403" s="32" t="str">
        <f t="shared" si="250"/>
        <v/>
      </c>
      <c r="BA403" s="32" t="str">
        <f>IF($A404="","",F403*Summary!$Q$12)</f>
        <v/>
      </c>
    </row>
    <row r="404" spans="1:53">
      <c r="A404" s="67" t="str">
        <f t="shared" si="251"/>
        <v/>
      </c>
      <c r="B404" s="69" t="str">
        <f t="shared" si="252"/>
        <v/>
      </c>
      <c r="D404" s="69" t="str">
        <f t="shared" si="226"/>
        <v/>
      </c>
      <c r="E404" s="70" t="str">
        <f t="shared" si="227"/>
        <v/>
      </c>
      <c r="F404" s="70" t="str">
        <f t="shared" si="228"/>
        <v/>
      </c>
      <c r="G404" s="63" t="str">
        <f t="shared" si="229"/>
        <v/>
      </c>
      <c r="H404" s="64" t="str">
        <f t="shared" si="230"/>
        <v/>
      </c>
      <c r="J404" s="63" t="str">
        <f t="shared" si="231"/>
        <v/>
      </c>
      <c r="K404" s="64" t="str">
        <f t="shared" si="232"/>
        <v/>
      </c>
      <c r="L404" s="63" t="str">
        <f t="shared" si="233"/>
        <v/>
      </c>
      <c r="M404" s="64" t="str">
        <f t="shared" si="234"/>
        <v/>
      </c>
      <c r="O404" s="63" t="str">
        <f t="shared" si="235"/>
        <v/>
      </c>
      <c r="P404" s="63" t="str">
        <f t="shared" si="236"/>
        <v/>
      </c>
      <c r="R404" s="63" t="str">
        <f t="shared" si="237"/>
        <v/>
      </c>
      <c r="S404" s="64" t="str">
        <f t="shared" si="238"/>
        <v/>
      </c>
      <c r="T404" s="63" t="str">
        <f t="shared" si="239"/>
        <v/>
      </c>
      <c r="U404" s="64" t="str">
        <f t="shared" si="240"/>
        <v/>
      </c>
      <c r="V404" s="90" t="str">
        <f>IF($A405="","",IF(AND(MONTH(A404)&gt;3,MONTH(A404)&lt;11),(T404+R404+G404)*(((1/(1-Summary!$T$12))/(1-Summary!$W$12))-1),(T404+R404+G404)*((1/(1-Summary!$U$12))/(1-Summary!$X$12)-1)))</f>
        <v/>
      </c>
      <c r="W404" s="63" t="str">
        <f t="shared" si="241"/>
        <v/>
      </c>
      <c r="X404" s="63" t="str">
        <f t="shared" si="242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3"/>
        <v/>
      </c>
      <c r="AP404" s="33" t="str">
        <f t="shared" si="244"/>
        <v/>
      </c>
      <c r="AQ404" s="58" t="str">
        <f t="shared" si="245"/>
        <v/>
      </c>
      <c r="AR404" s="38">
        <f>'ANR OK vs ML7'!AR404</f>
        <v>0.1</v>
      </c>
      <c r="AS404" s="35" t="str">
        <f t="shared" si="246"/>
        <v/>
      </c>
      <c r="AT404" s="3" t="str">
        <f t="shared" si="247"/>
        <v/>
      </c>
      <c r="AU404" s="3" t="str">
        <f t="shared" si="248"/>
        <v/>
      </c>
      <c r="AW404" s="32" t="str">
        <f t="shared" si="249"/>
        <v/>
      </c>
      <c r="AX404" s="32" t="str">
        <f t="shared" si="249"/>
        <v/>
      </c>
      <c r="AY404" s="32" t="str">
        <f t="shared" si="250"/>
        <v/>
      </c>
      <c r="BA404" s="32" t="str">
        <f>IF($A405="","",F404*Summary!$Q$12)</f>
        <v/>
      </c>
    </row>
    <row r="405" spans="1:53">
      <c r="A405" s="67" t="str">
        <f t="shared" si="251"/>
        <v/>
      </c>
      <c r="B405" s="69" t="str">
        <f t="shared" si="252"/>
        <v/>
      </c>
      <c r="D405" s="69" t="str">
        <f t="shared" si="226"/>
        <v/>
      </c>
      <c r="E405" s="70" t="str">
        <f t="shared" si="227"/>
        <v/>
      </c>
      <c r="F405" s="70" t="str">
        <f t="shared" si="228"/>
        <v/>
      </c>
      <c r="G405" s="63" t="str">
        <f t="shared" si="229"/>
        <v/>
      </c>
      <c r="H405" s="64" t="str">
        <f t="shared" si="230"/>
        <v/>
      </c>
      <c r="J405" s="63" t="str">
        <f t="shared" si="231"/>
        <v/>
      </c>
      <c r="K405" s="64" t="str">
        <f t="shared" si="232"/>
        <v/>
      </c>
      <c r="L405" s="63" t="str">
        <f t="shared" si="233"/>
        <v/>
      </c>
      <c r="M405" s="64" t="str">
        <f t="shared" si="234"/>
        <v/>
      </c>
      <c r="O405" s="63" t="str">
        <f t="shared" si="235"/>
        <v/>
      </c>
      <c r="P405" s="63" t="str">
        <f t="shared" si="236"/>
        <v/>
      </c>
      <c r="R405" s="63" t="str">
        <f t="shared" si="237"/>
        <v/>
      </c>
      <c r="S405" s="64" t="str">
        <f t="shared" si="238"/>
        <v/>
      </c>
      <c r="T405" s="63" t="str">
        <f t="shared" si="239"/>
        <v/>
      </c>
      <c r="U405" s="64" t="str">
        <f t="shared" si="240"/>
        <v/>
      </c>
      <c r="V405" s="90" t="str">
        <f>IF($A406="","",IF(AND(MONTH(A405)&gt;3,MONTH(A405)&lt;11),(T405+R405+G405)*(((1/(1-Summary!$T$12))/(1-Summary!$W$12))-1),(T405+R405+G405)*((1/(1-Summary!$U$12))/(1-Summary!$X$12)-1)))</f>
        <v/>
      </c>
      <c r="W405" s="63" t="str">
        <f t="shared" si="241"/>
        <v/>
      </c>
      <c r="X405" s="63" t="str">
        <f t="shared" si="242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3"/>
        <v/>
      </c>
      <c r="AP405" s="33" t="str">
        <f t="shared" si="244"/>
        <v/>
      </c>
      <c r="AQ405" s="58" t="str">
        <f t="shared" si="245"/>
        <v/>
      </c>
      <c r="AR405" s="38">
        <f>'ANR OK vs ML7'!AR405</f>
        <v>0.1</v>
      </c>
      <c r="AS405" s="35" t="str">
        <f t="shared" si="246"/>
        <v/>
      </c>
      <c r="AT405" s="3" t="str">
        <f t="shared" si="247"/>
        <v/>
      </c>
      <c r="AU405" s="3" t="str">
        <f t="shared" si="248"/>
        <v/>
      </c>
      <c r="AW405" s="32" t="str">
        <f t="shared" si="249"/>
        <v/>
      </c>
      <c r="AX405" s="32" t="str">
        <f t="shared" si="249"/>
        <v/>
      </c>
      <c r="AY405" s="32" t="str">
        <f t="shared" si="250"/>
        <v/>
      </c>
      <c r="BA405" s="32" t="str">
        <f>IF($A406="","",F405*Summary!$Q$12)</f>
        <v/>
      </c>
    </row>
    <row r="406" spans="1:53">
      <c r="A406" s="67" t="str">
        <f t="shared" si="251"/>
        <v/>
      </c>
      <c r="B406" s="69" t="str">
        <f t="shared" si="252"/>
        <v/>
      </c>
      <c r="D406" s="69" t="str">
        <f t="shared" si="226"/>
        <v/>
      </c>
      <c r="E406" s="70" t="str">
        <f t="shared" si="227"/>
        <v/>
      </c>
      <c r="F406" s="70" t="str">
        <f t="shared" si="228"/>
        <v/>
      </c>
      <c r="G406" s="63" t="str">
        <f t="shared" si="229"/>
        <v/>
      </c>
      <c r="H406" s="64" t="str">
        <f t="shared" si="230"/>
        <v/>
      </c>
      <c r="J406" s="63" t="str">
        <f t="shared" si="231"/>
        <v/>
      </c>
      <c r="K406" s="64" t="str">
        <f t="shared" si="232"/>
        <v/>
      </c>
      <c r="L406" s="63" t="str">
        <f t="shared" si="233"/>
        <v/>
      </c>
      <c r="M406" s="64" t="str">
        <f t="shared" si="234"/>
        <v/>
      </c>
      <c r="O406" s="63" t="str">
        <f t="shared" si="235"/>
        <v/>
      </c>
      <c r="P406" s="63" t="str">
        <f t="shared" si="236"/>
        <v/>
      </c>
      <c r="R406" s="63" t="str">
        <f t="shared" si="237"/>
        <v/>
      </c>
      <c r="S406" s="64" t="str">
        <f t="shared" si="238"/>
        <v/>
      </c>
      <c r="T406" s="63" t="str">
        <f t="shared" si="239"/>
        <v/>
      </c>
      <c r="U406" s="64" t="str">
        <f t="shared" si="240"/>
        <v/>
      </c>
      <c r="V406" s="90" t="str">
        <f>IF($A407="","",IF(AND(MONTH(A406)&gt;3,MONTH(A406)&lt;11),(T406+R406+G406)*(((1/(1-Summary!$T$12))/(1-Summary!$W$12))-1),(T406+R406+G406)*((1/(1-Summary!$U$12))/(1-Summary!$X$12)-1)))</f>
        <v/>
      </c>
      <c r="W406" s="63" t="str">
        <f t="shared" si="241"/>
        <v/>
      </c>
      <c r="X406" s="63" t="str">
        <f t="shared" si="242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3"/>
        <v/>
      </c>
      <c r="AP406" s="33" t="str">
        <f t="shared" si="244"/>
        <v/>
      </c>
      <c r="AQ406" s="58" t="str">
        <f t="shared" si="245"/>
        <v/>
      </c>
      <c r="AR406" s="38">
        <f>'ANR OK vs ML7'!AR406</f>
        <v>0.1</v>
      </c>
      <c r="AS406" s="35" t="str">
        <f t="shared" si="246"/>
        <v/>
      </c>
      <c r="AT406" s="3" t="str">
        <f t="shared" si="247"/>
        <v/>
      </c>
      <c r="AU406" s="3" t="str">
        <f t="shared" si="248"/>
        <v/>
      </c>
      <c r="AW406" s="32" t="str">
        <f t="shared" si="249"/>
        <v/>
      </c>
      <c r="AX406" s="32" t="str">
        <f t="shared" si="249"/>
        <v/>
      </c>
      <c r="AY406" s="32" t="str">
        <f t="shared" si="250"/>
        <v/>
      </c>
      <c r="BA406" s="32" t="str">
        <f>IF($A407="","",F406*Summary!$Q$12)</f>
        <v/>
      </c>
    </row>
    <row r="407" spans="1:53">
      <c r="A407" s="67" t="str">
        <f t="shared" si="251"/>
        <v/>
      </c>
      <c r="B407" s="69" t="str">
        <f t="shared" si="252"/>
        <v/>
      </c>
      <c r="D407" s="69" t="str">
        <f t="shared" si="226"/>
        <v/>
      </c>
      <c r="E407" s="70" t="str">
        <f t="shared" si="227"/>
        <v/>
      </c>
      <c r="F407" s="70" t="str">
        <f t="shared" si="228"/>
        <v/>
      </c>
      <c r="G407" s="63" t="str">
        <f t="shared" si="229"/>
        <v/>
      </c>
      <c r="H407" s="64" t="str">
        <f t="shared" si="230"/>
        <v/>
      </c>
      <c r="J407" s="63" t="str">
        <f t="shared" si="231"/>
        <v/>
      </c>
      <c r="K407" s="64" t="str">
        <f t="shared" si="232"/>
        <v/>
      </c>
      <c r="L407" s="63" t="str">
        <f t="shared" si="233"/>
        <v/>
      </c>
      <c r="M407" s="64" t="str">
        <f t="shared" si="234"/>
        <v/>
      </c>
      <c r="O407" s="63" t="str">
        <f t="shared" si="235"/>
        <v/>
      </c>
      <c r="P407" s="63" t="str">
        <f t="shared" si="236"/>
        <v/>
      </c>
      <c r="R407" s="63" t="str">
        <f t="shared" si="237"/>
        <v/>
      </c>
      <c r="S407" s="64" t="str">
        <f t="shared" si="238"/>
        <v/>
      </c>
      <c r="T407" s="63" t="str">
        <f t="shared" si="239"/>
        <v/>
      </c>
      <c r="U407" s="64" t="str">
        <f t="shared" si="240"/>
        <v/>
      </c>
      <c r="V407" s="90" t="str">
        <f>IF($A408="","",IF(AND(MONTH(A407)&gt;3,MONTH(A407)&lt;11),(T407+R407+G407)*(((1/(1-Summary!$T$12))/(1-Summary!$W$12))-1),(T407+R407+G407)*((1/(1-Summary!$U$12))/(1-Summary!$X$12)-1)))</f>
        <v/>
      </c>
      <c r="W407" s="63" t="str">
        <f t="shared" si="241"/>
        <v/>
      </c>
      <c r="X407" s="63" t="str">
        <f t="shared" si="242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3"/>
        <v/>
      </c>
      <c r="AP407" s="33" t="str">
        <f t="shared" si="244"/>
        <v/>
      </c>
      <c r="AQ407" s="58" t="str">
        <f t="shared" si="245"/>
        <v/>
      </c>
      <c r="AR407" s="38">
        <f>'ANR OK vs ML7'!AR407</f>
        <v>0.1</v>
      </c>
      <c r="AS407" s="35" t="str">
        <f t="shared" si="246"/>
        <v/>
      </c>
      <c r="AT407" s="3" t="str">
        <f t="shared" si="247"/>
        <v/>
      </c>
      <c r="AU407" s="3" t="str">
        <f t="shared" si="248"/>
        <v/>
      </c>
      <c r="AW407" s="32" t="str">
        <f t="shared" si="249"/>
        <v/>
      </c>
      <c r="AX407" s="32" t="str">
        <f t="shared" si="249"/>
        <v/>
      </c>
      <c r="AY407" s="32" t="str">
        <f t="shared" si="250"/>
        <v/>
      </c>
      <c r="BA407" s="32" t="str">
        <f>IF($A408="","",F407*Summary!$Q$12)</f>
        <v/>
      </c>
    </row>
    <row r="408" spans="1:53">
      <c r="A408" s="67" t="str">
        <f t="shared" si="251"/>
        <v/>
      </c>
      <c r="B408" s="69" t="str">
        <f t="shared" si="252"/>
        <v/>
      </c>
      <c r="D408" s="69" t="str">
        <f t="shared" si="226"/>
        <v/>
      </c>
      <c r="E408" s="70" t="str">
        <f t="shared" si="227"/>
        <v/>
      </c>
      <c r="F408" s="70" t="str">
        <f t="shared" si="228"/>
        <v/>
      </c>
      <c r="G408" s="63" t="str">
        <f t="shared" si="229"/>
        <v/>
      </c>
      <c r="H408" s="64" t="str">
        <f t="shared" si="230"/>
        <v/>
      </c>
      <c r="J408" s="63" t="str">
        <f t="shared" si="231"/>
        <v/>
      </c>
      <c r="K408" s="64" t="str">
        <f t="shared" si="232"/>
        <v/>
      </c>
      <c r="L408" s="63" t="str">
        <f t="shared" si="233"/>
        <v/>
      </c>
      <c r="M408" s="64" t="str">
        <f t="shared" si="234"/>
        <v/>
      </c>
      <c r="O408" s="63" t="str">
        <f t="shared" si="235"/>
        <v/>
      </c>
      <c r="P408" s="63" t="str">
        <f t="shared" si="236"/>
        <v/>
      </c>
      <c r="R408" s="63" t="str">
        <f t="shared" si="237"/>
        <v/>
      </c>
      <c r="S408" s="64" t="str">
        <f t="shared" si="238"/>
        <v/>
      </c>
      <c r="T408" s="63" t="str">
        <f t="shared" si="239"/>
        <v/>
      </c>
      <c r="U408" s="64" t="str">
        <f t="shared" si="240"/>
        <v/>
      </c>
      <c r="V408" s="90" t="str">
        <f>IF($A409="","",IF(AND(MONTH(A408)&gt;3,MONTH(A408)&lt;11),(T408+R408+G408)*(((1/(1-Summary!$T$12))/(1-Summary!$W$12))-1),(T408+R408+G408)*((1/(1-Summary!$U$12))/(1-Summary!$X$12)-1)))</f>
        <v/>
      </c>
      <c r="W408" s="63" t="str">
        <f t="shared" si="241"/>
        <v/>
      </c>
      <c r="X408" s="63" t="str">
        <f t="shared" si="242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3"/>
        <v/>
      </c>
      <c r="AP408" s="33" t="str">
        <f t="shared" si="244"/>
        <v/>
      </c>
      <c r="AQ408" s="58" t="str">
        <f t="shared" si="245"/>
        <v/>
      </c>
      <c r="AR408" s="38">
        <f>'ANR OK vs ML7'!AR408</f>
        <v>0.1</v>
      </c>
      <c r="AS408" s="35" t="str">
        <f t="shared" si="246"/>
        <v/>
      </c>
      <c r="AT408" s="3" t="str">
        <f t="shared" si="247"/>
        <v/>
      </c>
      <c r="AU408" s="3" t="str">
        <f t="shared" si="248"/>
        <v/>
      </c>
      <c r="AW408" s="32" t="str">
        <f t="shared" si="249"/>
        <v/>
      </c>
      <c r="AX408" s="32" t="str">
        <f t="shared" si="249"/>
        <v/>
      </c>
      <c r="AY408" s="32" t="str">
        <f t="shared" si="250"/>
        <v/>
      </c>
      <c r="BA408" s="32" t="str">
        <f>IF($A409="","",F408*Summary!$Q$12)</f>
        <v/>
      </c>
    </row>
    <row r="409" spans="1:53">
      <c r="A409" s="67" t="str">
        <f t="shared" si="251"/>
        <v/>
      </c>
      <c r="B409" s="69" t="str">
        <f t="shared" si="252"/>
        <v/>
      </c>
      <c r="D409" s="69" t="str">
        <f t="shared" si="226"/>
        <v/>
      </c>
      <c r="E409" s="70" t="str">
        <f t="shared" si="227"/>
        <v/>
      </c>
      <c r="F409" s="70" t="str">
        <f t="shared" si="228"/>
        <v/>
      </c>
      <c r="G409" s="63" t="str">
        <f t="shared" si="229"/>
        <v/>
      </c>
      <c r="H409" s="64" t="str">
        <f t="shared" si="230"/>
        <v/>
      </c>
      <c r="J409" s="63" t="str">
        <f t="shared" si="231"/>
        <v/>
      </c>
      <c r="K409" s="64" t="str">
        <f t="shared" si="232"/>
        <v/>
      </c>
      <c r="L409" s="63" t="str">
        <f t="shared" si="233"/>
        <v/>
      </c>
      <c r="M409" s="64" t="str">
        <f t="shared" si="234"/>
        <v/>
      </c>
      <c r="O409" s="63" t="str">
        <f t="shared" si="235"/>
        <v/>
      </c>
      <c r="P409" s="63" t="str">
        <f t="shared" si="236"/>
        <v/>
      </c>
      <c r="R409" s="63" t="str">
        <f t="shared" si="237"/>
        <v/>
      </c>
      <c r="S409" s="64" t="str">
        <f t="shared" si="238"/>
        <v/>
      </c>
      <c r="T409" s="63" t="str">
        <f t="shared" si="239"/>
        <v/>
      </c>
      <c r="U409" s="64" t="str">
        <f t="shared" si="240"/>
        <v/>
      </c>
      <c r="V409" s="90" t="str">
        <f>IF($A410="","",IF(AND(MONTH(A409)&gt;3,MONTH(A409)&lt;11),(T409+R409+G409)*(((1/(1-Summary!$T$12))/(1-Summary!$W$12))-1),(T409+R409+G409)*((1/(1-Summary!$U$12))/(1-Summary!$X$12)-1)))</f>
        <v/>
      </c>
      <c r="W409" s="63" t="str">
        <f t="shared" si="241"/>
        <v/>
      </c>
      <c r="X409" s="63" t="str">
        <f t="shared" si="242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3"/>
        <v/>
      </c>
      <c r="AP409" s="33" t="str">
        <f t="shared" si="244"/>
        <v/>
      </c>
      <c r="AQ409" s="58" t="str">
        <f t="shared" si="245"/>
        <v/>
      </c>
      <c r="AR409" s="38">
        <f>'ANR OK vs ML7'!AR409</f>
        <v>0.1</v>
      </c>
      <c r="AS409" s="35" t="str">
        <f t="shared" si="246"/>
        <v/>
      </c>
      <c r="AT409" s="3" t="str">
        <f t="shared" si="247"/>
        <v/>
      </c>
      <c r="AU409" s="3" t="str">
        <f t="shared" si="248"/>
        <v/>
      </c>
      <c r="AW409" s="32" t="str">
        <f t="shared" si="249"/>
        <v/>
      </c>
      <c r="AX409" s="32" t="str">
        <f t="shared" si="249"/>
        <v/>
      </c>
      <c r="AY409" s="32" t="str">
        <f t="shared" si="250"/>
        <v/>
      </c>
      <c r="BA409" s="32" t="str">
        <f>IF($A410="","",F409*Summary!$Q$12)</f>
        <v/>
      </c>
    </row>
    <row r="410" spans="1:53">
      <c r="A410" s="67" t="str">
        <f t="shared" si="251"/>
        <v/>
      </c>
      <c r="B410" s="69" t="str">
        <f t="shared" si="252"/>
        <v/>
      </c>
      <c r="D410" s="69" t="str">
        <f t="shared" si="226"/>
        <v/>
      </c>
      <c r="E410" s="70" t="str">
        <f t="shared" si="227"/>
        <v/>
      </c>
      <c r="F410" s="70" t="str">
        <f t="shared" si="228"/>
        <v/>
      </c>
      <c r="G410" s="63" t="str">
        <f t="shared" si="229"/>
        <v/>
      </c>
      <c r="H410" s="64" t="str">
        <f t="shared" si="230"/>
        <v/>
      </c>
      <c r="J410" s="63" t="str">
        <f t="shared" si="231"/>
        <v/>
      </c>
      <c r="K410" s="64" t="str">
        <f t="shared" si="232"/>
        <v/>
      </c>
      <c r="L410" s="63" t="str">
        <f t="shared" si="233"/>
        <v/>
      </c>
      <c r="M410" s="64" t="str">
        <f t="shared" si="234"/>
        <v/>
      </c>
      <c r="O410" s="63" t="str">
        <f t="shared" si="235"/>
        <v/>
      </c>
      <c r="P410" s="63" t="str">
        <f t="shared" si="236"/>
        <v/>
      </c>
      <c r="R410" s="63" t="str">
        <f t="shared" si="237"/>
        <v/>
      </c>
      <c r="S410" s="64" t="str">
        <f t="shared" si="238"/>
        <v/>
      </c>
      <c r="T410" s="63" t="str">
        <f t="shared" si="239"/>
        <v/>
      </c>
      <c r="U410" s="64" t="str">
        <f t="shared" si="240"/>
        <v/>
      </c>
      <c r="V410" s="90" t="str">
        <f>IF($A411="","",IF(AND(MONTH(A410)&gt;3,MONTH(A410)&lt;11),(T410+R410+G410)*(((1/(1-Summary!$T$12))/(1-Summary!$W$12))-1),(T410+R410+G410)*((1/(1-Summary!$U$12))/(1-Summary!$X$12)-1)))</f>
        <v/>
      </c>
      <c r="W410" s="63" t="str">
        <f t="shared" si="241"/>
        <v/>
      </c>
      <c r="X410" s="63" t="str">
        <f t="shared" si="242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3"/>
        <v/>
      </c>
      <c r="AP410" s="33" t="str">
        <f t="shared" si="244"/>
        <v/>
      </c>
      <c r="AQ410" s="58" t="str">
        <f t="shared" si="245"/>
        <v/>
      </c>
      <c r="AR410" s="38">
        <f>'ANR OK vs ML7'!AR410</f>
        <v>0.1</v>
      </c>
      <c r="AS410" s="35" t="str">
        <f t="shared" si="246"/>
        <v/>
      </c>
      <c r="AT410" s="3" t="str">
        <f t="shared" si="247"/>
        <v/>
      </c>
      <c r="AU410" s="3" t="str">
        <f t="shared" si="248"/>
        <v/>
      </c>
      <c r="AW410" s="32" t="str">
        <f t="shared" si="249"/>
        <v/>
      </c>
      <c r="AX410" s="32" t="str">
        <f t="shared" si="249"/>
        <v/>
      </c>
      <c r="AY410" s="32" t="str">
        <f t="shared" si="250"/>
        <v/>
      </c>
      <c r="BA410" s="32" t="str">
        <f>IF($A411="","",F410*Summary!$Q$12)</f>
        <v/>
      </c>
    </row>
    <row r="411" spans="1:53">
      <c r="A411" s="67" t="str">
        <f t="shared" si="251"/>
        <v/>
      </c>
      <c r="B411" s="69" t="str">
        <f t="shared" si="252"/>
        <v/>
      </c>
      <c r="D411" s="69" t="str">
        <f t="shared" si="226"/>
        <v/>
      </c>
      <c r="E411" s="70" t="str">
        <f t="shared" si="227"/>
        <v/>
      </c>
      <c r="F411" s="70" t="str">
        <f t="shared" si="228"/>
        <v/>
      </c>
      <c r="G411" s="63" t="str">
        <f t="shared" si="229"/>
        <v/>
      </c>
      <c r="H411" s="64" t="str">
        <f t="shared" si="230"/>
        <v/>
      </c>
      <c r="J411" s="63" t="str">
        <f t="shared" si="231"/>
        <v/>
      </c>
      <c r="K411" s="64" t="str">
        <f t="shared" si="232"/>
        <v/>
      </c>
      <c r="L411" s="63" t="str">
        <f t="shared" si="233"/>
        <v/>
      </c>
      <c r="M411" s="64" t="str">
        <f t="shared" si="234"/>
        <v/>
      </c>
      <c r="O411" s="63" t="str">
        <f t="shared" si="235"/>
        <v/>
      </c>
      <c r="P411" s="63" t="str">
        <f t="shared" si="236"/>
        <v/>
      </c>
      <c r="R411" s="63" t="str">
        <f t="shared" si="237"/>
        <v/>
      </c>
      <c r="S411" s="64" t="str">
        <f t="shared" si="238"/>
        <v/>
      </c>
      <c r="T411" s="63" t="str">
        <f t="shared" si="239"/>
        <v/>
      </c>
      <c r="U411" s="64" t="str">
        <f t="shared" si="240"/>
        <v/>
      </c>
      <c r="V411" s="90" t="str">
        <f>IF($A412="","",IF(AND(MONTH(A411)&gt;3,MONTH(A411)&lt;11),(T411+R411+G411)*(((1/(1-Summary!$T$12))/(1-Summary!$W$12))-1),(T411+R411+G411)*((1/(1-Summary!$U$12))/(1-Summary!$X$12)-1)))</f>
        <v/>
      </c>
      <c r="W411" s="63" t="str">
        <f t="shared" si="241"/>
        <v/>
      </c>
      <c r="X411" s="63" t="str">
        <f t="shared" si="242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3"/>
        <v/>
      </c>
      <c r="AP411" s="33" t="str">
        <f t="shared" si="244"/>
        <v/>
      </c>
      <c r="AQ411" s="58" t="str">
        <f t="shared" si="245"/>
        <v/>
      </c>
      <c r="AR411" s="38">
        <f>'ANR OK vs ML7'!AR411</f>
        <v>0.1</v>
      </c>
      <c r="AS411" s="35" t="str">
        <f t="shared" si="246"/>
        <v/>
      </c>
      <c r="AT411" s="3" t="str">
        <f t="shared" si="247"/>
        <v/>
      </c>
      <c r="AU411" s="3" t="str">
        <f t="shared" si="248"/>
        <v/>
      </c>
      <c r="AW411" s="32" t="str">
        <f t="shared" si="249"/>
        <v/>
      </c>
      <c r="AX411" s="32" t="str">
        <f t="shared" si="249"/>
        <v/>
      </c>
      <c r="AY411" s="32" t="str">
        <f t="shared" si="250"/>
        <v/>
      </c>
      <c r="BA411" s="32" t="str">
        <f>IF($A412="","",F411*Summary!$Q$12)</f>
        <v/>
      </c>
    </row>
    <row r="412" spans="1:53">
      <c r="A412" s="67" t="str">
        <f t="shared" si="251"/>
        <v/>
      </c>
      <c r="B412" s="69" t="str">
        <f t="shared" si="252"/>
        <v/>
      </c>
      <c r="D412" s="69" t="str">
        <f t="shared" si="226"/>
        <v/>
      </c>
      <c r="E412" s="70" t="str">
        <f t="shared" si="227"/>
        <v/>
      </c>
      <c r="F412" s="70" t="str">
        <f t="shared" si="228"/>
        <v/>
      </c>
      <c r="G412" s="63" t="str">
        <f t="shared" si="229"/>
        <v/>
      </c>
      <c r="H412" s="64" t="str">
        <f t="shared" si="230"/>
        <v/>
      </c>
      <c r="J412" s="63" t="str">
        <f t="shared" si="231"/>
        <v/>
      </c>
      <c r="K412" s="64" t="str">
        <f t="shared" si="232"/>
        <v/>
      </c>
      <c r="L412" s="63" t="str">
        <f t="shared" si="233"/>
        <v/>
      </c>
      <c r="M412" s="64" t="str">
        <f t="shared" si="234"/>
        <v/>
      </c>
      <c r="O412" s="63" t="str">
        <f t="shared" si="235"/>
        <v/>
      </c>
      <c r="P412" s="63" t="str">
        <f t="shared" si="236"/>
        <v/>
      </c>
      <c r="R412" s="63" t="str">
        <f t="shared" si="237"/>
        <v/>
      </c>
      <c r="S412" s="64" t="str">
        <f t="shared" si="238"/>
        <v/>
      </c>
      <c r="T412" s="63" t="str">
        <f t="shared" si="239"/>
        <v/>
      </c>
      <c r="U412" s="64" t="str">
        <f t="shared" si="240"/>
        <v/>
      </c>
      <c r="V412" s="90" t="str">
        <f>IF($A413="","",IF(AND(MONTH(A412)&gt;3,MONTH(A412)&lt;11),(T412+R412+G412)*(((1/(1-Summary!$T$12))/(1-Summary!$W$12))-1),(T412+R412+G412)*((1/(1-Summary!$U$12))/(1-Summary!$X$12)-1)))</f>
        <v/>
      </c>
      <c r="W412" s="63" t="str">
        <f t="shared" si="241"/>
        <v/>
      </c>
      <c r="X412" s="63" t="str">
        <f t="shared" si="242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3"/>
        <v/>
      </c>
      <c r="AP412" s="33" t="str">
        <f t="shared" si="244"/>
        <v/>
      </c>
      <c r="AQ412" s="58" t="str">
        <f t="shared" si="245"/>
        <v/>
      </c>
      <c r="AR412" s="38">
        <f>'ANR OK vs ML7'!AR412</f>
        <v>0.1</v>
      </c>
      <c r="AS412" s="35" t="str">
        <f t="shared" si="246"/>
        <v/>
      </c>
      <c r="AT412" s="3" t="str">
        <f t="shared" si="247"/>
        <v/>
      </c>
      <c r="AU412" s="3" t="str">
        <f t="shared" si="248"/>
        <v/>
      </c>
      <c r="AW412" s="32" t="str">
        <f t="shared" si="249"/>
        <v/>
      </c>
      <c r="AX412" s="32" t="str">
        <f t="shared" si="249"/>
        <v/>
      </c>
      <c r="AY412" s="32" t="str">
        <f t="shared" si="250"/>
        <v/>
      </c>
      <c r="BA412" s="32" t="str">
        <f>IF($A413="","",F412*Summary!$Q$12)</f>
        <v/>
      </c>
    </row>
    <row r="413" spans="1:53">
      <c r="A413" s="67" t="str">
        <f t="shared" si="251"/>
        <v/>
      </c>
      <c r="B413" s="69" t="str">
        <f t="shared" si="252"/>
        <v/>
      </c>
      <c r="D413" s="69" t="str">
        <f t="shared" si="226"/>
        <v/>
      </c>
      <c r="E413" s="70" t="str">
        <f t="shared" si="227"/>
        <v/>
      </c>
      <c r="F413" s="70" t="str">
        <f t="shared" si="228"/>
        <v/>
      </c>
      <c r="G413" s="63" t="str">
        <f t="shared" si="229"/>
        <v/>
      </c>
      <c r="H413" s="64" t="str">
        <f t="shared" si="230"/>
        <v/>
      </c>
      <c r="J413" s="63" t="str">
        <f t="shared" si="231"/>
        <v/>
      </c>
      <c r="K413" s="64" t="str">
        <f t="shared" si="232"/>
        <v/>
      </c>
      <c r="L413" s="63" t="str">
        <f t="shared" si="233"/>
        <v/>
      </c>
      <c r="M413" s="64" t="str">
        <f t="shared" si="234"/>
        <v/>
      </c>
      <c r="O413" s="63" t="str">
        <f t="shared" si="235"/>
        <v/>
      </c>
      <c r="P413" s="63" t="str">
        <f t="shared" si="236"/>
        <v/>
      </c>
      <c r="R413" s="63" t="str">
        <f t="shared" si="237"/>
        <v/>
      </c>
      <c r="S413" s="64" t="str">
        <f t="shared" si="238"/>
        <v/>
      </c>
      <c r="T413" s="63" t="str">
        <f t="shared" si="239"/>
        <v/>
      </c>
      <c r="U413" s="64" t="str">
        <f t="shared" si="240"/>
        <v/>
      </c>
      <c r="V413" s="90" t="str">
        <f>IF($A414="","",IF(AND(MONTH(A413)&gt;3,MONTH(A413)&lt;11),(T413+R413+G413)*(((1/(1-Summary!$T$12))/(1-Summary!$W$12))-1),(T413+R413+G413)*((1/(1-Summary!$U$12))/(1-Summary!$X$12)-1)))</f>
        <v/>
      </c>
      <c r="W413" s="63" t="str">
        <f t="shared" si="241"/>
        <v/>
      </c>
      <c r="X413" s="63" t="str">
        <f t="shared" si="242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3"/>
        <v/>
      </c>
      <c r="AP413" s="33" t="str">
        <f t="shared" si="244"/>
        <v/>
      </c>
      <c r="AQ413" s="58" t="str">
        <f t="shared" si="245"/>
        <v/>
      </c>
      <c r="AR413" s="38">
        <f>'ANR OK vs ML7'!AR413</f>
        <v>0.1</v>
      </c>
      <c r="AS413" s="35" t="str">
        <f t="shared" si="246"/>
        <v/>
      </c>
      <c r="AT413" s="3" t="str">
        <f t="shared" si="247"/>
        <v/>
      </c>
      <c r="AU413" s="3" t="str">
        <f t="shared" si="248"/>
        <v/>
      </c>
      <c r="AW413" s="32" t="str">
        <f t="shared" si="249"/>
        <v/>
      </c>
      <c r="AX413" s="32" t="str">
        <f t="shared" si="249"/>
        <v/>
      </c>
      <c r="AY413" s="32" t="str">
        <f t="shared" si="250"/>
        <v/>
      </c>
      <c r="BA413" s="32" t="str">
        <f>IF($A414="","",F413*Summary!$Q$12)</f>
        <v/>
      </c>
    </row>
    <row r="414" spans="1:53">
      <c r="A414" s="67" t="str">
        <f t="shared" si="251"/>
        <v/>
      </c>
      <c r="B414" s="69" t="str">
        <f t="shared" si="252"/>
        <v/>
      </c>
      <c r="D414" s="69" t="str">
        <f t="shared" si="226"/>
        <v/>
      </c>
      <c r="E414" s="70" t="str">
        <f t="shared" si="227"/>
        <v/>
      </c>
      <c r="F414" s="70" t="str">
        <f t="shared" si="228"/>
        <v/>
      </c>
      <c r="G414" s="63" t="str">
        <f t="shared" si="229"/>
        <v/>
      </c>
      <c r="H414" s="64" t="str">
        <f t="shared" si="230"/>
        <v/>
      </c>
      <c r="J414" s="63" t="str">
        <f t="shared" si="231"/>
        <v/>
      </c>
      <c r="K414" s="64" t="str">
        <f t="shared" si="232"/>
        <v/>
      </c>
      <c r="L414" s="63" t="str">
        <f t="shared" si="233"/>
        <v/>
      </c>
      <c r="M414" s="64" t="str">
        <f t="shared" si="234"/>
        <v/>
      </c>
      <c r="O414" s="63" t="str">
        <f t="shared" si="235"/>
        <v/>
      </c>
      <c r="P414" s="63" t="str">
        <f t="shared" si="236"/>
        <v/>
      </c>
      <c r="R414" s="63" t="str">
        <f t="shared" si="237"/>
        <v/>
      </c>
      <c r="S414" s="64" t="str">
        <f t="shared" si="238"/>
        <v/>
      </c>
      <c r="T414" s="63" t="str">
        <f t="shared" si="239"/>
        <v/>
      </c>
      <c r="U414" s="64" t="str">
        <f t="shared" si="240"/>
        <v/>
      </c>
      <c r="V414" s="90" t="str">
        <f>IF($A415="","",IF(AND(MONTH(A414)&gt;3,MONTH(A414)&lt;11),(T414+R414+G414)*(((1/(1-Summary!$T$12))/(1-Summary!$W$12))-1),(T414+R414+G414)*((1/(1-Summary!$U$12))/(1-Summary!$X$12)-1)))</f>
        <v/>
      </c>
      <c r="W414" s="63" t="str">
        <f t="shared" si="241"/>
        <v/>
      </c>
      <c r="X414" s="63" t="str">
        <f t="shared" si="242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3"/>
        <v/>
      </c>
      <c r="AP414" s="33" t="str">
        <f t="shared" si="244"/>
        <v/>
      </c>
      <c r="AQ414" s="58" t="str">
        <f t="shared" si="245"/>
        <v/>
      </c>
      <c r="AR414" s="38">
        <f>'ANR OK vs ML7'!AR414</f>
        <v>0.1</v>
      </c>
      <c r="AS414" s="35" t="str">
        <f t="shared" si="246"/>
        <v/>
      </c>
      <c r="AT414" s="3" t="str">
        <f t="shared" si="247"/>
        <v/>
      </c>
      <c r="AU414" s="3" t="str">
        <f t="shared" si="248"/>
        <v/>
      </c>
      <c r="AW414" s="32" t="str">
        <f t="shared" si="249"/>
        <v/>
      </c>
      <c r="AX414" s="32" t="str">
        <f t="shared" si="249"/>
        <v/>
      </c>
      <c r="AY414" s="32" t="str">
        <f t="shared" si="250"/>
        <v/>
      </c>
      <c r="BA414" s="32" t="str">
        <f>IF($A415="","",F414*Summary!$Q$12)</f>
        <v/>
      </c>
    </row>
    <row r="415" spans="1:53">
      <c r="A415" s="67" t="str">
        <f t="shared" si="251"/>
        <v/>
      </c>
      <c r="B415" s="69" t="str">
        <f t="shared" si="252"/>
        <v/>
      </c>
      <c r="D415" s="69" t="str">
        <f t="shared" si="226"/>
        <v/>
      </c>
      <c r="E415" s="70" t="str">
        <f t="shared" si="227"/>
        <v/>
      </c>
      <c r="F415" s="70" t="str">
        <f t="shared" si="228"/>
        <v/>
      </c>
      <c r="G415" s="63" t="str">
        <f t="shared" si="229"/>
        <v/>
      </c>
      <c r="H415" s="64" t="str">
        <f t="shared" si="230"/>
        <v/>
      </c>
      <c r="J415" s="63" t="str">
        <f t="shared" si="231"/>
        <v/>
      </c>
      <c r="K415" s="64" t="str">
        <f t="shared" si="232"/>
        <v/>
      </c>
      <c r="L415" s="63" t="str">
        <f t="shared" si="233"/>
        <v/>
      </c>
      <c r="M415" s="64" t="str">
        <f t="shared" si="234"/>
        <v/>
      </c>
      <c r="O415" s="63" t="str">
        <f t="shared" si="235"/>
        <v/>
      </c>
      <c r="P415" s="63" t="str">
        <f t="shared" si="236"/>
        <v/>
      </c>
      <c r="R415" s="63" t="str">
        <f t="shared" si="237"/>
        <v/>
      </c>
      <c r="S415" s="64" t="str">
        <f t="shared" si="238"/>
        <v/>
      </c>
      <c r="T415" s="63" t="str">
        <f t="shared" si="239"/>
        <v/>
      </c>
      <c r="U415" s="64" t="str">
        <f t="shared" si="240"/>
        <v/>
      </c>
      <c r="V415" s="90" t="str">
        <f>IF($A416="","",IF(AND(MONTH(A415)&gt;3,MONTH(A415)&lt;11),(T415+R415+G415)*(((1/(1-Summary!$T$12))/(1-Summary!$W$12))-1),(T415+R415+G415)*((1/(1-Summary!$U$12))/(1-Summary!$X$12)-1)))</f>
        <v/>
      </c>
      <c r="W415" s="63" t="str">
        <f t="shared" si="241"/>
        <v/>
      </c>
      <c r="X415" s="63" t="str">
        <f t="shared" si="242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3"/>
        <v/>
      </c>
      <c r="AP415" s="33" t="str">
        <f t="shared" si="244"/>
        <v/>
      </c>
      <c r="AQ415" s="58" t="str">
        <f t="shared" si="245"/>
        <v/>
      </c>
      <c r="AR415" s="38">
        <f>'ANR OK vs ML7'!AR415</f>
        <v>0.1</v>
      </c>
      <c r="AS415" s="35" t="str">
        <f t="shared" si="246"/>
        <v/>
      </c>
      <c r="AT415" s="3" t="str">
        <f t="shared" si="247"/>
        <v/>
      </c>
      <c r="AU415" s="3" t="str">
        <f t="shared" si="248"/>
        <v/>
      </c>
      <c r="AW415" s="32" t="str">
        <f t="shared" si="249"/>
        <v/>
      </c>
      <c r="AX415" s="32" t="str">
        <f t="shared" si="249"/>
        <v/>
      </c>
      <c r="AY415" s="32" t="str">
        <f t="shared" si="250"/>
        <v/>
      </c>
      <c r="BA415" s="32" t="str">
        <f>IF($A416="","",F415*Summary!$Q$12)</f>
        <v/>
      </c>
    </row>
    <row r="416" spans="1:53">
      <c r="A416" s="67" t="str">
        <f t="shared" si="251"/>
        <v/>
      </c>
      <c r="B416" s="69" t="str">
        <f t="shared" si="252"/>
        <v/>
      </c>
      <c r="D416" s="69" t="str">
        <f t="shared" si="226"/>
        <v/>
      </c>
      <c r="E416" s="70" t="str">
        <f t="shared" si="227"/>
        <v/>
      </c>
      <c r="F416" s="70" t="str">
        <f t="shared" si="228"/>
        <v/>
      </c>
      <c r="G416" s="63" t="str">
        <f t="shared" si="229"/>
        <v/>
      </c>
      <c r="H416" s="64" t="str">
        <f t="shared" si="230"/>
        <v/>
      </c>
      <c r="J416" s="63" t="str">
        <f t="shared" si="231"/>
        <v/>
      </c>
      <c r="K416" s="64" t="str">
        <f t="shared" si="232"/>
        <v/>
      </c>
      <c r="L416" s="63" t="str">
        <f t="shared" si="233"/>
        <v/>
      </c>
      <c r="M416" s="64" t="str">
        <f t="shared" si="234"/>
        <v/>
      </c>
      <c r="O416" s="63" t="str">
        <f t="shared" si="235"/>
        <v/>
      </c>
      <c r="P416" s="63" t="str">
        <f t="shared" si="236"/>
        <v/>
      </c>
      <c r="R416" s="63" t="str">
        <f t="shared" si="237"/>
        <v/>
      </c>
      <c r="S416" s="64" t="str">
        <f t="shared" si="238"/>
        <v/>
      </c>
      <c r="T416" s="63" t="str">
        <f t="shared" si="239"/>
        <v/>
      </c>
      <c r="U416" s="64" t="str">
        <f t="shared" si="240"/>
        <v/>
      </c>
      <c r="V416" s="90" t="str">
        <f>IF($A417="","",IF(AND(MONTH(A416)&gt;3,MONTH(A416)&lt;11),(T416+R416+G416)*(((1/(1-Summary!$T$12))/(1-Summary!$W$12))-1),(T416+R416+G416)*((1/(1-Summary!$U$12))/(1-Summary!$X$12)-1)))</f>
        <v/>
      </c>
      <c r="W416" s="63" t="str">
        <f t="shared" si="241"/>
        <v/>
      </c>
      <c r="X416" s="63" t="str">
        <f t="shared" si="242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3"/>
        <v/>
      </c>
      <c r="AP416" s="33" t="str">
        <f t="shared" si="244"/>
        <v/>
      </c>
      <c r="AQ416" s="58" t="str">
        <f t="shared" si="245"/>
        <v/>
      </c>
      <c r="AR416" s="38">
        <f>'ANR OK vs ML7'!AR416</f>
        <v>0.1</v>
      </c>
      <c r="AS416" s="35" t="str">
        <f t="shared" si="246"/>
        <v/>
      </c>
      <c r="AT416" s="3" t="str">
        <f t="shared" si="247"/>
        <v/>
      </c>
      <c r="AU416" s="3" t="str">
        <f t="shared" si="248"/>
        <v/>
      </c>
      <c r="AW416" s="32" t="str">
        <f t="shared" si="249"/>
        <v/>
      </c>
      <c r="AX416" s="32" t="str">
        <f t="shared" si="249"/>
        <v/>
      </c>
      <c r="AY416" s="32" t="str">
        <f t="shared" si="250"/>
        <v/>
      </c>
      <c r="BA416" s="32" t="str">
        <f>IF($A417="","",F416*Summary!$Q$12)</f>
        <v/>
      </c>
    </row>
    <row r="417" spans="1:53">
      <c r="A417" s="67" t="str">
        <f t="shared" si="251"/>
        <v/>
      </c>
      <c r="B417" s="69" t="str">
        <f t="shared" si="252"/>
        <v/>
      </c>
      <c r="D417" s="69" t="str">
        <f t="shared" si="226"/>
        <v/>
      </c>
      <c r="E417" s="70" t="str">
        <f t="shared" si="227"/>
        <v/>
      </c>
      <c r="F417" s="70" t="str">
        <f t="shared" si="228"/>
        <v/>
      </c>
      <c r="G417" s="63" t="str">
        <f t="shared" si="229"/>
        <v/>
      </c>
      <c r="H417" s="64" t="str">
        <f t="shared" si="230"/>
        <v/>
      </c>
      <c r="J417" s="63" t="str">
        <f t="shared" si="231"/>
        <v/>
      </c>
      <c r="K417" s="64" t="str">
        <f t="shared" si="232"/>
        <v/>
      </c>
      <c r="L417" s="63" t="str">
        <f t="shared" si="233"/>
        <v/>
      </c>
      <c r="M417" s="64" t="str">
        <f t="shared" si="234"/>
        <v/>
      </c>
      <c r="O417" s="63" t="str">
        <f t="shared" si="235"/>
        <v/>
      </c>
      <c r="P417" s="63" t="str">
        <f t="shared" si="236"/>
        <v/>
      </c>
      <c r="R417" s="63" t="str">
        <f t="shared" si="237"/>
        <v/>
      </c>
      <c r="S417" s="64" t="str">
        <f t="shared" si="238"/>
        <v/>
      </c>
      <c r="T417" s="63" t="str">
        <f t="shared" si="239"/>
        <v/>
      </c>
      <c r="U417" s="64" t="str">
        <f t="shared" si="240"/>
        <v/>
      </c>
      <c r="V417" s="90" t="str">
        <f>IF($A418="","",IF(AND(MONTH(A417)&gt;3,MONTH(A417)&lt;11),(T417+R417+G417)*(((1/(1-Summary!$T$12))/(1-Summary!$W$12))-1),(T417+R417+G417)*((1/(1-Summary!$U$12))/(1-Summary!$X$12)-1)))</f>
        <v/>
      </c>
      <c r="W417" s="63" t="str">
        <f t="shared" si="241"/>
        <v/>
      </c>
      <c r="X417" s="63" t="str">
        <f t="shared" si="242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3"/>
        <v/>
      </c>
      <c r="AP417" s="33" t="str">
        <f t="shared" si="244"/>
        <v/>
      </c>
      <c r="AQ417" s="58" t="str">
        <f t="shared" si="245"/>
        <v/>
      </c>
      <c r="AR417" s="38">
        <f>'ANR OK vs ML7'!AR417</f>
        <v>0.1</v>
      </c>
      <c r="AS417" s="35" t="str">
        <f t="shared" si="246"/>
        <v/>
      </c>
      <c r="AT417" s="3" t="str">
        <f t="shared" si="247"/>
        <v/>
      </c>
      <c r="AU417" s="3" t="str">
        <f t="shared" si="248"/>
        <v/>
      </c>
      <c r="AW417" s="32" t="str">
        <f t="shared" si="249"/>
        <v/>
      </c>
      <c r="AX417" s="32" t="str">
        <f t="shared" si="249"/>
        <v/>
      </c>
      <c r="AY417" s="32" t="str">
        <f t="shared" si="250"/>
        <v/>
      </c>
      <c r="BA417" s="32" t="str">
        <f>IF($A418="","",F417*Summary!$Q$12)</f>
        <v/>
      </c>
    </row>
    <row r="418" spans="1:53">
      <c r="A418" s="67" t="str">
        <f t="shared" si="251"/>
        <v/>
      </c>
      <c r="B418" s="69" t="str">
        <f t="shared" si="252"/>
        <v/>
      </c>
      <c r="D418" s="69" t="str">
        <f t="shared" si="226"/>
        <v/>
      </c>
      <c r="E418" s="70" t="str">
        <f t="shared" si="227"/>
        <v/>
      </c>
      <c r="F418" s="70" t="str">
        <f t="shared" si="228"/>
        <v/>
      </c>
      <c r="G418" s="63" t="str">
        <f t="shared" si="229"/>
        <v/>
      </c>
      <c r="H418" s="64" t="str">
        <f t="shared" si="230"/>
        <v/>
      </c>
      <c r="J418" s="63" t="str">
        <f t="shared" si="231"/>
        <v/>
      </c>
      <c r="K418" s="64" t="str">
        <f t="shared" si="232"/>
        <v/>
      </c>
      <c r="L418" s="63" t="str">
        <f t="shared" si="233"/>
        <v/>
      </c>
      <c r="M418" s="64" t="str">
        <f t="shared" si="234"/>
        <v/>
      </c>
      <c r="O418" s="63" t="str">
        <f t="shared" si="235"/>
        <v/>
      </c>
      <c r="P418" s="63" t="str">
        <f t="shared" si="236"/>
        <v/>
      </c>
      <c r="R418" s="63" t="str">
        <f t="shared" si="237"/>
        <v/>
      </c>
      <c r="S418" s="64" t="str">
        <f t="shared" si="238"/>
        <v/>
      </c>
      <c r="T418" s="63" t="str">
        <f t="shared" si="239"/>
        <v/>
      </c>
      <c r="U418" s="64" t="str">
        <f t="shared" si="240"/>
        <v/>
      </c>
      <c r="V418" s="90" t="str">
        <f>IF($A419="","",IF(AND(MONTH(A418)&gt;3,MONTH(A418)&lt;11),(T418+R418+G418)*(((1/(1-Summary!$T$12))/(1-Summary!$W$12))-1),(T418+R418+G418)*((1/(1-Summary!$U$12))/(1-Summary!$X$12)-1)))</f>
        <v/>
      </c>
      <c r="W418" s="63" t="str">
        <f t="shared" si="241"/>
        <v/>
      </c>
      <c r="X418" s="63" t="str">
        <f t="shared" si="242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3"/>
        <v/>
      </c>
      <c r="AP418" s="33" t="str">
        <f t="shared" si="244"/>
        <v/>
      </c>
      <c r="AQ418" s="58" t="str">
        <f t="shared" si="245"/>
        <v/>
      </c>
      <c r="AR418" s="38">
        <f>'ANR OK vs ML7'!AR418</f>
        <v>0.1</v>
      </c>
      <c r="AS418" s="35" t="str">
        <f t="shared" si="246"/>
        <v/>
      </c>
      <c r="AT418" s="3" t="str">
        <f t="shared" si="247"/>
        <v/>
      </c>
      <c r="AU418" s="3" t="str">
        <f t="shared" si="248"/>
        <v/>
      </c>
      <c r="AW418" s="32" t="str">
        <f t="shared" si="249"/>
        <v/>
      </c>
      <c r="AX418" s="32" t="str">
        <f t="shared" si="249"/>
        <v/>
      </c>
      <c r="AY418" s="32" t="str">
        <f t="shared" si="250"/>
        <v/>
      </c>
      <c r="BA418" s="32" t="str">
        <f>IF($A419="","",F418*Summary!$Q$12)</f>
        <v/>
      </c>
    </row>
    <row r="419" spans="1:53">
      <c r="A419" s="67" t="str">
        <f t="shared" si="251"/>
        <v/>
      </c>
      <c r="B419" s="69" t="str">
        <f t="shared" si="252"/>
        <v/>
      </c>
      <c r="D419" s="69" t="str">
        <f t="shared" si="226"/>
        <v/>
      </c>
      <c r="E419" s="70" t="str">
        <f t="shared" si="227"/>
        <v/>
      </c>
      <c r="F419" s="70" t="str">
        <f t="shared" si="228"/>
        <v/>
      </c>
      <c r="G419" s="63" t="str">
        <f t="shared" si="229"/>
        <v/>
      </c>
      <c r="H419" s="64" t="str">
        <f t="shared" si="230"/>
        <v/>
      </c>
      <c r="J419" s="63" t="str">
        <f t="shared" si="231"/>
        <v/>
      </c>
      <c r="K419" s="64" t="str">
        <f t="shared" si="232"/>
        <v/>
      </c>
      <c r="L419" s="63" t="str">
        <f t="shared" si="233"/>
        <v/>
      </c>
      <c r="M419" s="64" t="str">
        <f t="shared" si="234"/>
        <v/>
      </c>
      <c r="O419" s="63" t="str">
        <f t="shared" si="235"/>
        <v/>
      </c>
      <c r="P419" s="63" t="str">
        <f t="shared" si="236"/>
        <v/>
      </c>
      <c r="R419" s="63" t="str">
        <f t="shared" si="237"/>
        <v/>
      </c>
      <c r="S419" s="64" t="str">
        <f t="shared" si="238"/>
        <v/>
      </c>
      <c r="T419" s="63" t="str">
        <f t="shared" si="239"/>
        <v/>
      </c>
      <c r="U419" s="64" t="str">
        <f t="shared" si="240"/>
        <v/>
      </c>
      <c r="V419" s="90" t="str">
        <f>IF($A420="","",IF(AND(MONTH(A419)&gt;3,MONTH(A419)&lt;11),(T419+R419+G419)*(((1/(1-Summary!$T$12))/(1-Summary!$W$12))-1),(T419+R419+G419)*((1/(1-Summary!$U$12))/(1-Summary!$X$12)-1)))</f>
        <v/>
      </c>
      <c r="W419" s="63" t="str">
        <f t="shared" si="241"/>
        <v/>
      </c>
      <c r="X419" s="63" t="str">
        <f t="shared" si="242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3"/>
        <v/>
      </c>
      <c r="AP419" s="33" t="str">
        <f t="shared" si="244"/>
        <v/>
      </c>
      <c r="AQ419" s="58" t="str">
        <f t="shared" si="245"/>
        <v/>
      </c>
      <c r="AR419" s="38">
        <f>'ANR OK vs ML7'!AR419</f>
        <v>0.1</v>
      </c>
      <c r="AS419" s="35" t="str">
        <f t="shared" si="246"/>
        <v/>
      </c>
      <c r="AT419" s="3" t="str">
        <f t="shared" si="247"/>
        <v/>
      </c>
      <c r="AU419" s="3" t="str">
        <f t="shared" si="248"/>
        <v/>
      </c>
      <c r="AW419" s="32" t="str">
        <f t="shared" si="249"/>
        <v/>
      </c>
      <c r="AX419" s="32" t="str">
        <f t="shared" si="249"/>
        <v/>
      </c>
      <c r="AY419" s="32" t="str">
        <f t="shared" si="250"/>
        <v/>
      </c>
      <c r="BA419" s="32" t="str">
        <f>IF($A420="","",F419*Summary!$Q$12)</f>
        <v/>
      </c>
    </row>
    <row r="420" spans="1:53">
      <c r="A420" s="67" t="str">
        <f t="shared" si="251"/>
        <v/>
      </c>
      <c r="B420" s="69" t="str">
        <f t="shared" si="252"/>
        <v/>
      </c>
      <c r="D420" s="69" t="str">
        <f t="shared" si="226"/>
        <v/>
      </c>
      <c r="E420" s="70" t="str">
        <f t="shared" si="227"/>
        <v/>
      </c>
      <c r="F420" s="70" t="str">
        <f t="shared" si="228"/>
        <v/>
      </c>
      <c r="G420" s="63" t="str">
        <f t="shared" si="229"/>
        <v/>
      </c>
      <c r="H420" s="64" t="str">
        <f t="shared" si="230"/>
        <v/>
      </c>
      <c r="J420" s="63" t="str">
        <f t="shared" si="231"/>
        <v/>
      </c>
      <c r="K420" s="64" t="str">
        <f t="shared" si="232"/>
        <v/>
      </c>
      <c r="L420" s="63" t="str">
        <f t="shared" si="233"/>
        <v/>
      </c>
      <c r="M420" s="64" t="str">
        <f t="shared" si="234"/>
        <v/>
      </c>
      <c r="O420" s="63" t="str">
        <f t="shared" si="235"/>
        <v/>
      </c>
      <c r="P420" s="63" t="str">
        <f t="shared" si="236"/>
        <v/>
      </c>
      <c r="R420" s="63" t="str">
        <f t="shared" si="237"/>
        <v/>
      </c>
      <c r="S420" s="64" t="str">
        <f t="shared" si="238"/>
        <v/>
      </c>
      <c r="T420" s="63" t="str">
        <f t="shared" si="239"/>
        <v/>
      </c>
      <c r="U420" s="64" t="str">
        <f t="shared" si="240"/>
        <v/>
      </c>
      <c r="V420" s="90" t="str">
        <f>IF($A421="","",IF(AND(MONTH(A420)&gt;3,MONTH(A420)&lt;11),(T420+R420+G420)*(((1/(1-Summary!$T$12))/(1-Summary!$W$12))-1),(T420+R420+G420)*((1/(1-Summary!$U$12))/(1-Summary!$X$12)-1)))</f>
        <v/>
      </c>
      <c r="W420" s="63" t="str">
        <f t="shared" si="241"/>
        <v/>
      </c>
      <c r="X420" s="63" t="str">
        <f t="shared" si="242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3"/>
        <v/>
      </c>
      <c r="AP420" s="33" t="str">
        <f t="shared" si="244"/>
        <v/>
      </c>
      <c r="AQ420" s="58" t="str">
        <f t="shared" si="245"/>
        <v/>
      </c>
      <c r="AR420" s="38">
        <f>'ANR OK vs ML7'!AR420</f>
        <v>0.1</v>
      </c>
      <c r="AS420" s="35" t="str">
        <f t="shared" si="246"/>
        <v/>
      </c>
      <c r="AT420" s="3" t="str">
        <f t="shared" si="247"/>
        <v/>
      </c>
      <c r="AU420" s="3" t="str">
        <f t="shared" si="248"/>
        <v/>
      </c>
      <c r="AW420" s="32" t="str">
        <f t="shared" si="249"/>
        <v/>
      </c>
      <c r="AX420" s="32" t="str">
        <f t="shared" si="249"/>
        <v/>
      </c>
      <c r="AY420" s="32" t="str">
        <f t="shared" si="250"/>
        <v/>
      </c>
      <c r="BA420" s="32" t="str">
        <f>IF($A421="","",F420*Summary!$Q$12)</f>
        <v/>
      </c>
    </row>
    <row r="421" spans="1:53">
      <c r="A421" s="67" t="str">
        <f t="shared" si="251"/>
        <v/>
      </c>
      <c r="B421" s="69" t="str">
        <f t="shared" si="252"/>
        <v/>
      </c>
      <c r="D421" s="69" t="str">
        <f t="shared" si="226"/>
        <v/>
      </c>
      <c r="E421" s="70" t="str">
        <f t="shared" si="227"/>
        <v/>
      </c>
      <c r="F421" s="70" t="str">
        <f t="shared" si="228"/>
        <v/>
      </c>
      <c r="G421" s="63" t="str">
        <f t="shared" si="229"/>
        <v/>
      </c>
      <c r="H421" s="64" t="str">
        <f t="shared" si="230"/>
        <v/>
      </c>
      <c r="J421" s="63" t="str">
        <f t="shared" si="231"/>
        <v/>
      </c>
      <c r="K421" s="64" t="str">
        <f t="shared" si="232"/>
        <v/>
      </c>
      <c r="L421" s="63" t="str">
        <f t="shared" si="233"/>
        <v/>
      </c>
      <c r="M421" s="64" t="str">
        <f t="shared" si="234"/>
        <v/>
      </c>
      <c r="O421" s="63" t="str">
        <f t="shared" si="235"/>
        <v/>
      </c>
      <c r="P421" s="63" t="str">
        <f t="shared" si="236"/>
        <v/>
      </c>
      <c r="R421" s="63" t="str">
        <f t="shared" si="237"/>
        <v/>
      </c>
      <c r="S421" s="64" t="str">
        <f t="shared" si="238"/>
        <v/>
      </c>
      <c r="T421" s="63" t="str">
        <f t="shared" si="239"/>
        <v/>
      </c>
      <c r="U421" s="64" t="str">
        <f t="shared" si="240"/>
        <v/>
      </c>
      <c r="V421" s="90" t="str">
        <f>IF($A422="","",IF(AND(MONTH(A421)&gt;3,MONTH(A421)&lt;11),(T421+R421+G421)*(((1/(1-Summary!$T$12))/(1-Summary!$W$12))-1),(T421+R421+G421)*((1/(1-Summary!$U$12))/(1-Summary!$X$12)-1)))</f>
        <v/>
      </c>
      <c r="W421" s="63" t="str">
        <f t="shared" si="241"/>
        <v/>
      </c>
      <c r="X421" s="63" t="str">
        <f t="shared" si="242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3"/>
        <v/>
      </c>
      <c r="AP421" s="33" t="str">
        <f t="shared" si="244"/>
        <v/>
      </c>
      <c r="AQ421" s="58" t="str">
        <f t="shared" si="245"/>
        <v/>
      </c>
      <c r="AR421" s="38">
        <f>'ANR OK vs ML7'!AR421</f>
        <v>0.1</v>
      </c>
      <c r="AS421" s="35" t="str">
        <f t="shared" si="246"/>
        <v/>
      </c>
      <c r="AT421" s="3" t="str">
        <f t="shared" si="247"/>
        <v/>
      </c>
      <c r="AU421" s="3" t="str">
        <f t="shared" si="248"/>
        <v/>
      </c>
      <c r="AW421" s="32" t="str">
        <f t="shared" si="249"/>
        <v/>
      </c>
      <c r="AX421" s="32" t="str">
        <f t="shared" si="249"/>
        <v/>
      </c>
      <c r="AY421" s="32" t="str">
        <f t="shared" si="250"/>
        <v/>
      </c>
      <c r="BA421" s="32" t="str">
        <f>IF($A422="","",F421*Summary!$Q$12)</f>
        <v/>
      </c>
    </row>
    <row r="422" spans="1:53">
      <c r="A422" s="67" t="str">
        <f t="shared" si="251"/>
        <v/>
      </c>
      <c r="B422" s="69" t="str">
        <f t="shared" si="252"/>
        <v/>
      </c>
      <c r="D422" s="69" t="str">
        <f t="shared" si="226"/>
        <v/>
      </c>
      <c r="E422" s="70" t="str">
        <f t="shared" si="227"/>
        <v/>
      </c>
      <c r="F422" s="70" t="str">
        <f t="shared" si="228"/>
        <v/>
      </c>
      <c r="G422" s="63" t="str">
        <f t="shared" si="229"/>
        <v/>
      </c>
      <c r="H422" s="64" t="str">
        <f t="shared" si="230"/>
        <v/>
      </c>
      <c r="J422" s="63" t="str">
        <f t="shared" si="231"/>
        <v/>
      </c>
      <c r="K422" s="64" t="str">
        <f t="shared" si="232"/>
        <v/>
      </c>
      <c r="L422" s="63" t="str">
        <f t="shared" si="233"/>
        <v/>
      </c>
      <c r="M422" s="64" t="str">
        <f t="shared" si="234"/>
        <v/>
      </c>
      <c r="O422" s="63" t="str">
        <f t="shared" si="235"/>
        <v/>
      </c>
      <c r="P422" s="63" t="str">
        <f t="shared" si="236"/>
        <v/>
      </c>
      <c r="R422" s="63" t="str">
        <f t="shared" si="237"/>
        <v/>
      </c>
      <c r="S422" s="64" t="str">
        <f t="shared" si="238"/>
        <v/>
      </c>
      <c r="T422" s="63" t="str">
        <f t="shared" si="239"/>
        <v/>
      </c>
      <c r="U422" s="64" t="str">
        <f t="shared" si="240"/>
        <v/>
      </c>
      <c r="V422" s="90" t="str">
        <f>IF($A423="","",IF(AND(MONTH(A422)&gt;3,MONTH(A422)&lt;11),(T422+R422+G422)*(((1/(1-Summary!$T$12))/(1-Summary!$W$12))-1),(T422+R422+G422)*((1/(1-Summary!$U$12))/(1-Summary!$X$12)-1)))</f>
        <v/>
      </c>
      <c r="W422" s="63" t="str">
        <f t="shared" si="241"/>
        <v/>
      </c>
      <c r="X422" s="63" t="str">
        <f t="shared" si="242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3"/>
        <v/>
      </c>
      <c r="AP422" s="33" t="str">
        <f t="shared" si="244"/>
        <v/>
      </c>
      <c r="AQ422" s="58" t="str">
        <f t="shared" si="245"/>
        <v/>
      </c>
      <c r="AR422" s="38">
        <f>'ANR OK vs ML7'!AR422</f>
        <v>0.1</v>
      </c>
      <c r="AS422" s="35" t="str">
        <f t="shared" si="246"/>
        <v/>
      </c>
      <c r="AT422" s="3" t="str">
        <f t="shared" si="247"/>
        <v/>
      </c>
      <c r="AU422" s="3" t="str">
        <f t="shared" si="248"/>
        <v/>
      </c>
      <c r="AW422" s="32" t="str">
        <f t="shared" si="249"/>
        <v/>
      </c>
      <c r="AX422" s="32" t="str">
        <f t="shared" si="249"/>
        <v/>
      </c>
      <c r="AY422" s="32" t="str">
        <f t="shared" si="250"/>
        <v/>
      </c>
      <c r="BA422" s="32" t="str">
        <f>IF($A423="","",F422*Summary!$Q$12)</f>
        <v/>
      </c>
    </row>
    <row r="423" spans="1:53">
      <c r="A423" s="67" t="str">
        <f t="shared" si="251"/>
        <v/>
      </c>
      <c r="B423" s="69" t="str">
        <f t="shared" si="252"/>
        <v/>
      </c>
      <c r="D423" s="69" t="str">
        <f t="shared" si="226"/>
        <v/>
      </c>
      <c r="E423" s="70" t="str">
        <f t="shared" si="227"/>
        <v/>
      </c>
      <c r="F423" s="70" t="str">
        <f t="shared" si="228"/>
        <v/>
      </c>
      <c r="G423" s="63" t="str">
        <f t="shared" si="229"/>
        <v/>
      </c>
      <c r="H423" s="64" t="str">
        <f t="shared" si="230"/>
        <v/>
      </c>
      <c r="J423" s="63" t="str">
        <f t="shared" si="231"/>
        <v/>
      </c>
      <c r="K423" s="64" t="str">
        <f t="shared" si="232"/>
        <v/>
      </c>
      <c r="L423" s="63" t="str">
        <f t="shared" si="233"/>
        <v/>
      </c>
      <c r="M423" s="64" t="str">
        <f t="shared" si="234"/>
        <v/>
      </c>
      <c r="O423" s="63" t="str">
        <f t="shared" si="235"/>
        <v/>
      </c>
      <c r="P423" s="63" t="str">
        <f t="shared" si="236"/>
        <v/>
      </c>
      <c r="R423" s="63" t="str">
        <f t="shared" si="237"/>
        <v/>
      </c>
      <c r="S423" s="64" t="str">
        <f t="shared" si="238"/>
        <v/>
      </c>
      <c r="T423" s="63" t="str">
        <f t="shared" si="239"/>
        <v/>
      </c>
      <c r="U423" s="64" t="str">
        <f t="shared" si="240"/>
        <v/>
      </c>
      <c r="V423" s="90" t="str">
        <f>IF($A424="","",IF(AND(MONTH(A423)&gt;3,MONTH(A423)&lt;11),(T423+R423+G423)*(((1/(1-Summary!$T$12))/(1-Summary!$W$12))-1),(T423+R423+G423)*((1/(1-Summary!$U$12))/(1-Summary!$X$12)-1)))</f>
        <v/>
      </c>
      <c r="W423" s="63" t="str">
        <f t="shared" si="241"/>
        <v/>
      </c>
      <c r="X423" s="63" t="str">
        <f t="shared" si="242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3"/>
        <v/>
      </c>
      <c r="AP423" s="33" t="str">
        <f t="shared" si="244"/>
        <v/>
      </c>
      <c r="AQ423" s="58" t="str">
        <f t="shared" si="245"/>
        <v/>
      </c>
      <c r="AR423" s="38">
        <f>'ANR OK vs ML7'!AR423</f>
        <v>0.1</v>
      </c>
      <c r="AS423" s="35" t="str">
        <f t="shared" si="246"/>
        <v/>
      </c>
      <c r="AT423" s="3" t="str">
        <f t="shared" si="247"/>
        <v/>
      </c>
      <c r="AU423" s="3" t="str">
        <f t="shared" si="248"/>
        <v/>
      </c>
      <c r="AW423" s="32" t="str">
        <f t="shared" si="249"/>
        <v/>
      </c>
      <c r="AX423" s="32" t="str">
        <f t="shared" si="249"/>
        <v/>
      </c>
      <c r="AY423" s="32" t="str">
        <f t="shared" si="250"/>
        <v/>
      </c>
      <c r="BA423" s="32" t="str">
        <f>IF($A424="","",F423*Summary!$Q$12)</f>
        <v/>
      </c>
    </row>
    <row r="424" spans="1:53">
      <c r="A424" s="67" t="str">
        <f t="shared" si="251"/>
        <v/>
      </c>
      <c r="B424" s="69" t="str">
        <f t="shared" si="252"/>
        <v/>
      </c>
      <c r="D424" s="69" t="str">
        <f t="shared" si="226"/>
        <v/>
      </c>
      <c r="E424" s="70" t="str">
        <f t="shared" si="227"/>
        <v/>
      </c>
      <c r="F424" s="70" t="str">
        <f t="shared" si="228"/>
        <v/>
      </c>
      <c r="G424" s="63" t="str">
        <f t="shared" si="229"/>
        <v/>
      </c>
      <c r="H424" s="64" t="str">
        <f t="shared" si="230"/>
        <v/>
      </c>
      <c r="J424" s="63" t="str">
        <f t="shared" si="231"/>
        <v/>
      </c>
      <c r="K424" s="64" t="str">
        <f t="shared" si="232"/>
        <v/>
      </c>
      <c r="L424" s="63" t="str">
        <f t="shared" si="233"/>
        <v/>
      </c>
      <c r="M424" s="64" t="str">
        <f t="shared" si="234"/>
        <v/>
      </c>
      <c r="O424" s="63" t="str">
        <f t="shared" si="235"/>
        <v/>
      </c>
      <c r="P424" s="63" t="str">
        <f t="shared" si="236"/>
        <v/>
      </c>
      <c r="R424" s="63" t="str">
        <f t="shared" si="237"/>
        <v/>
      </c>
      <c r="S424" s="64" t="str">
        <f t="shared" si="238"/>
        <v/>
      </c>
      <c r="T424" s="63" t="str">
        <f t="shared" si="239"/>
        <v/>
      </c>
      <c r="U424" s="64" t="str">
        <f t="shared" si="240"/>
        <v/>
      </c>
      <c r="V424" s="90" t="str">
        <f>IF($A425="","",IF(AND(MONTH(A424)&gt;3,MONTH(A424)&lt;11),(T424+R424+G424)*(((1/(1-Summary!$T$12))/(1-Summary!$W$12))-1),(T424+R424+G424)*((1/(1-Summary!$U$12))/(1-Summary!$X$12)-1)))</f>
        <v/>
      </c>
      <c r="W424" s="63" t="str">
        <f t="shared" si="241"/>
        <v/>
      </c>
      <c r="X424" s="63" t="str">
        <f t="shared" si="242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3"/>
        <v/>
      </c>
      <c r="AP424" s="33" t="str">
        <f t="shared" si="244"/>
        <v/>
      </c>
      <c r="AQ424" s="58" t="str">
        <f t="shared" si="245"/>
        <v/>
      </c>
      <c r="AR424" s="38">
        <f>'ANR OK vs ML7'!AR424</f>
        <v>0.1</v>
      </c>
      <c r="AS424" s="35" t="str">
        <f t="shared" si="246"/>
        <v/>
      </c>
      <c r="AT424" s="3" t="str">
        <f t="shared" si="247"/>
        <v/>
      </c>
      <c r="AU424" s="3" t="str">
        <f t="shared" si="248"/>
        <v/>
      </c>
      <c r="AW424" s="32" t="str">
        <f t="shared" si="249"/>
        <v/>
      </c>
      <c r="AX424" s="32" t="str">
        <f t="shared" si="249"/>
        <v/>
      </c>
      <c r="AY424" s="32" t="str">
        <f t="shared" si="250"/>
        <v/>
      </c>
      <c r="BA424" s="32" t="str">
        <f>IF($A425="","",F424*Summary!$Q$12)</f>
        <v/>
      </c>
    </row>
    <row r="425" spans="1:53">
      <c r="A425" s="67" t="str">
        <f t="shared" si="251"/>
        <v/>
      </c>
      <c r="B425" s="69" t="str">
        <f t="shared" si="252"/>
        <v/>
      </c>
      <c r="D425" s="69" t="str">
        <f t="shared" si="226"/>
        <v/>
      </c>
      <c r="E425" s="70" t="str">
        <f t="shared" si="227"/>
        <v/>
      </c>
      <c r="F425" s="70" t="str">
        <f t="shared" si="228"/>
        <v/>
      </c>
      <c r="G425" s="63" t="str">
        <f t="shared" si="229"/>
        <v/>
      </c>
      <c r="H425" s="64" t="str">
        <f t="shared" si="230"/>
        <v/>
      </c>
      <c r="J425" s="63" t="str">
        <f t="shared" si="231"/>
        <v/>
      </c>
      <c r="K425" s="64" t="str">
        <f t="shared" si="232"/>
        <v/>
      </c>
      <c r="L425" s="63" t="str">
        <f t="shared" si="233"/>
        <v/>
      </c>
      <c r="M425" s="64" t="str">
        <f t="shared" si="234"/>
        <v/>
      </c>
      <c r="O425" s="63" t="str">
        <f t="shared" si="235"/>
        <v/>
      </c>
      <c r="P425" s="63" t="str">
        <f t="shared" si="236"/>
        <v/>
      </c>
      <c r="R425" s="63" t="str">
        <f t="shared" si="237"/>
        <v/>
      </c>
      <c r="S425" s="64" t="str">
        <f t="shared" si="238"/>
        <v/>
      </c>
      <c r="T425" s="63" t="str">
        <f t="shared" si="239"/>
        <v/>
      </c>
      <c r="U425" s="64" t="str">
        <f t="shared" si="240"/>
        <v/>
      </c>
      <c r="V425" s="90" t="str">
        <f>IF($A426="","",IF(AND(MONTH(A425)&gt;3,MONTH(A425)&lt;11),(T425+R425+G425)*(((1/(1-Summary!$T$12))/(1-Summary!$W$12))-1),(T425+R425+G425)*((1/(1-Summary!$U$12))/(1-Summary!$X$12)-1)))</f>
        <v/>
      </c>
      <c r="W425" s="63" t="str">
        <f t="shared" si="241"/>
        <v/>
      </c>
      <c r="X425" s="63" t="str">
        <f t="shared" si="242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3"/>
        <v/>
      </c>
      <c r="AP425" s="33" t="str">
        <f t="shared" si="244"/>
        <v/>
      </c>
      <c r="AQ425" s="58" t="str">
        <f t="shared" si="245"/>
        <v/>
      </c>
      <c r="AR425" s="38">
        <f>'ANR OK vs ML7'!AR425</f>
        <v>0.1</v>
      </c>
      <c r="AS425" s="35" t="str">
        <f t="shared" si="246"/>
        <v/>
      </c>
      <c r="AT425" s="3" t="str">
        <f t="shared" si="247"/>
        <v/>
      </c>
      <c r="AU425" s="3" t="str">
        <f t="shared" si="248"/>
        <v/>
      </c>
      <c r="AW425" s="32" t="str">
        <f t="shared" si="249"/>
        <v/>
      </c>
      <c r="AX425" s="32" t="str">
        <f t="shared" si="249"/>
        <v/>
      </c>
      <c r="AY425" s="32" t="str">
        <f t="shared" si="250"/>
        <v/>
      </c>
      <c r="BA425" s="32" t="str">
        <f>IF($A426="","",F425*Summary!$Q$12)</f>
        <v/>
      </c>
    </row>
    <row r="426" spans="1:53">
      <c r="A426" s="67" t="str">
        <f t="shared" si="251"/>
        <v/>
      </c>
      <c r="B426" s="69" t="str">
        <f t="shared" si="252"/>
        <v/>
      </c>
      <c r="D426" s="69" t="str">
        <f t="shared" si="226"/>
        <v/>
      </c>
      <c r="E426" s="70" t="str">
        <f t="shared" si="227"/>
        <v/>
      </c>
      <c r="F426" s="70" t="str">
        <f t="shared" si="228"/>
        <v/>
      </c>
      <c r="G426" s="63" t="str">
        <f t="shared" si="229"/>
        <v/>
      </c>
      <c r="H426" s="64" t="str">
        <f t="shared" si="230"/>
        <v/>
      </c>
      <c r="J426" s="63" t="str">
        <f t="shared" si="231"/>
        <v/>
      </c>
      <c r="K426" s="64" t="str">
        <f t="shared" si="232"/>
        <v/>
      </c>
      <c r="L426" s="63" t="str">
        <f t="shared" si="233"/>
        <v/>
      </c>
      <c r="M426" s="64" t="str">
        <f t="shared" si="234"/>
        <v/>
      </c>
      <c r="O426" s="63" t="str">
        <f t="shared" si="235"/>
        <v/>
      </c>
      <c r="P426" s="63" t="str">
        <f t="shared" si="236"/>
        <v/>
      </c>
      <c r="R426" s="63" t="str">
        <f t="shared" si="237"/>
        <v/>
      </c>
      <c r="S426" s="64" t="str">
        <f t="shared" si="238"/>
        <v/>
      </c>
      <c r="T426" s="63" t="str">
        <f t="shared" si="239"/>
        <v/>
      </c>
      <c r="U426" s="64" t="str">
        <f t="shared" si="240"/>
        <v/>
      </c>
      <c r="V426" s="90" t="str">
        <f>IF($A427="","",IF(AND(MONTH(A426)&gt;3,MONTH(A426)&lt;11),(T426+R426+G426)*(((1/(1-Summary!$T$12))/(1-Summary!$W$12))-1),(T426+R426+G426)*((1/(1-Summary!$U$12))/(1-Summary!$X$12)-1)))</f>
        <v/>
      </c>
      <c r="W426" s="63" t="str">
        <f t="shared" si="241"/>
        <v/>
      </c>
      <c r="X426" s="63" t="str">
        <f t="shared" si="242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3"/>
        <v/>
      </c>
      <c r="AP426" s="33" t="str">
        <f t="shared" si="244"/>
        <v/>
      </c>
      <c r="AQ426" s="58" t="str">
        <f t="shared" si="245"/>
        <v/>
      </c>
      <c r="AR426" s="38">
        <f>'ANR OK vs ML7'!AR426</f>
        <v>0.1</v>
      </c>
      <c r="AS426" s="35" t="str">
        <f t="shared" si="246"/>
        <v/>
      </c>
      <c r="AT426" s="3" t="str">
        <f t="shared" si="247"/>
        <v/>
      </c>
      <c r="AU426" s="3" t="str">
        <f t="shared" si="248"/>
        <v/>
      </c>
      <c r="AW426" s="32" t="str">
        <f t="shared" si="249"/>
        <v/>
      </c>
      <c r="AX426" s="32" t="str">
        <f t="shared" si="249"/>
        <v/>
      </c>
      <c r="AY426" s="32" t="str">
        <f t="shared" si="250"/>
        <v/>
      </c>
      <c r="BA426" s="32" t="str">
        <f>IF($A427="","",F426*Summary!$Q$12)</f>
        <v/>
      </c>
    </row>
    <row r="427" spans="1:53">
      <c r="A427" s="67" t="str">
        <f t="shared" si="251"/>
        <v/>
      </c>
      <c r="B427" s="69" t="str">
        <f t="shared" si="252"/>
        <v/>
      </c>
      <c r="D427" s="69" t="str">
        <f t="shared" si="226"/>
        <v/>
      </c>
      <c r="E427" s="70" t="str">
        <f t="shared" si="227"/>
        <v/>
      </c>
      <c r="F427" s="70" t="str">
        <f t="shared" si="228"/>
        <v/>
      </c>
      <c r="G427" s="63" t="str">
        <f t="shared" si="229"/>
        <v/>
      </c>
      <c r="H427" s="64" t="str">
        <f t="shared" si="230"/>
        <v/>
      </c>
      <c r="J427" s="63" t="str">
        <f t="shared" si="231"/>
        <v/>
      </c>
      <c r="K427" s="64" t="str">
        <f t="shared" si="232"/>
        <v/>
      </c>
      <c r="L427" s="63" t="str">
        <f t="shared" si="233"/>
        <v/>
      </c>
      <c r="M427" s="64" t="str">
        <f t="shared" si="234"/>
        <v/>
      </c>
      <c r="O427" s="63" t="str">
        <f t="shared" si="235"/>
        <v/>
      </c>
      <c r="P427" s="63" t="str">
        <f t="shared" si="236"/>
        <v/>
      </c>
      <c r="R427" s="63" t="str">
        <f t="shared" si="237"/>
        <v/>
      </c>
      <c r="S427" s="64" t="str">
        <f t="shared" si="238"/>
        <v/>
      </c>
      <c r="T427" s="63" t="str">
        <f t="shared" si="239"/>
        <v/>
      </c>
      <c r="U427" s="64" t="str">
        <f t="shared" si="240"/>
        <v/>
      </c>
      <c r="V427" s="90" t="str">
        <f>IF($A428="","",IF(AND(MONTH(A427)&gt;3,MONTH(A427)&lt;11),(T427+R427+G427)*(((1/(1-Summary!$T$12))/(1-Summary!$W$12))-1),(T427+R427+G427)*((1/(1-Summary!$U$12))/(1-Summary!$X$12)-1)))</f>
        <v/>
      </c>
      <c r="W427" s="63" t="str">
        <f t="shared" si="241"/>
        <v/>
      </c>
      <c r="X427" s="63" t="str">
        <f t="shared" si="242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3"/>
        <v/>
      </c>
      <c r="AP427" s="33" t="str">
        <f t="shared" si="244"/>
        <v/>
      </c>
      <c r="AQ427" s="58" t="str">
        <f t="shared" si="245"/>
        <v/>
      </c>
      <c r="AR427" s="38">
        <f>'ANR OK vs ML7'!AR427</f>
        <v>0.1</v>
      </c>
      <c r="AS427" s="35" t="str">
        <f t="shared" si="246"/>
        <v/>
      </c>
      <c r="AT427" s="3" t="str">
        <f t="shared" si="247"/>
        <v/>
      </c>
      <c r="AU427" s="3" t="str">
        <f t="shared" si="248"/>
        <v/>
      </c>
      <c r="AW427" s="32" t="str">
        <f t="shared" si="249"/>
        <v/>
      </c>
      <c r="AX427" s="32" t="str">
        <f t="shared" si="249"/>
        <v/>
      </c>
      <c r="AY427" s="32" t="str">
        <f t="shared" si="250"/>
        <v/>
      </c>
      <c r="BA427" s="32" t="str">
        <f>IF($A428="","",F427*Summary!$Q$12)</f>
        <v/>
      </c>
    </row>
    <row r="428" spans="1:53">
      <c r="A428" s="67" t="str">
        <f t="shared" si="251"/>
        <v/>
      </c>
      <c r="B428" s="69" t="str">
        <f t="shared" si="252"/>
        <v/>
      </c>
      <c r="D428" s="69" t="str">
        <f t="shared" si="226"/>
        <v/>
      </c>
      <c r="E428" s="70" t="str">
        <f t="shared" si="227"/>
        <v/>
      </c>
      <c r="F428" s="70" t="str">
        <f t="shared" si="228"/>
        <v/>
      </c>
      <c r="G428" s="63" t="str">
        <f t="shared" si="229"/>
        <v/>
      </c>
      <c r="H428" s="64" t="str">
        <f t="shared" si="230"/>
        <v/>
      </c>
      <c r="J428" s="63" t="str">
        <f t="shared" si="231"/>
        <v/>
      </c>
      <c r="K428" s="64" t="str">
        <f t="shared" si="232"/>
        <v/>
      </c>
      <c r="L428" s="63" t="str">
        <f t="shared" si="233"/>
        <v/>
      </c>
      <c r="M428" s="64" t="str">
        <f t="shared" si="234"/>
        <v/>
      </c>
      <c r="O428" s="63" t="str">
        <f t="shared" si="235"/>
        <v/>
      </c>
      <c r="P428" s="63" t="str">
        <f t="shared" si="236"/>
        <v/>
      </c>
      <c r="R428" s="63" t="str">
        <f t="shared" si="237"/>
        <v/>
      </c>
      <c r="S428" s="64" t="str">
        <f t="shared" si="238"/>
        <v/>
      </c>
      <c r="T428" s="63" t="str">
        <f t="shared" si="239"/>
        <v/>
      </c>
      <c r="U428" s="64" t="str">
        <f t="shared" si="240"/>
        <v/>
      </c>
      <c r="V428" s="90" t="str">
        <f>IF($A429="","",IF(AND(MONTH(A428)&gt;3,MONTH(A428)&lt;11),(T428+R428+G428)*(((1/(1-Summary!$T$12))/(1-Summary!$W$12))-1),(T428+R428+G428)*((1/(1-Summary!$U$12))/(1-Summary!$X$12)-1)))</f>
        <v/>
      </c>
      <c r="W428" s="63" t="str">
        <f t="shared" si="241"/>
        <v/>
      </c>
      <c r="X428" s="63" t="str">
        <f t="shared" si="242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3"/>
        <v/>
      </c>
      <c r="AP428" s="33" t="str">
        <f t="shared" si="244"/>
        <v/>
      </c>
      <c r="AQ428" s="58" t="str">
        <f t="shared" si="245"/>
        <v/>
      </c>
      <c r="AR428" s="38">
        <f>'ANR OK vs ML7'!AR428</f>
        <v>0.1</v>
      </c>
      <c r="AS428" s="35" t="str">
        <f t="shared" si="246"/>
        <v/>
      </c>
      <c r="AT428" s="3" t="str">
        <f t="shared" si="247"/>
        <v/>
      </c>
      <c r="AU428" s="3" t="str">
        <f t="shared" si="248"/>
        <v/>
      </c>
      <c r="AW428" s="32" t="str">
        <f t="shared" si="249"/>
        <v/>
      </c>
      <c r="AX428" s="32" t="str">
        <f t="shared" si="249"/>
        <v/>
      </c>
      <c r="AY428" s="32" t="str">
        <f t="shared" si="250"/>
        <v/>
      </c>
      <c r="BA428" s="32" t="str">
        <f>IF($A429="","",F428*Summary!$Q$12)</f>
        <v/>
      </c>
    </row>
    <row r="429" spans="1:53">
      <c r="A429" s="67" t="str">
        <f t="shared" si="251"/>
        <v/>
      </c>
      <c r="B429" s="69" t="str">
        <f t="shared" si="252"/>
        <v/>
      </c>
      <c r="D429" s="69" t="str">
        <f t="shared" si="226"/>
        <v/>
      </c>
      <c r="E429" s="70" t="str">
        <f t="shared" si="227"/>
        <v/>
      </c>
      <c r="F429" s="70" t="str">
        <f t="shared" si="228"/>
        <v/>
      </c>
      <c r="G429" s="63" t="str">
        <f t="shared" si="229"/>
        <v/>
      </c>
      <c r="H429" s="64" t="str">
        <f t="shared" si="230"/>
        <v/>
      </c>
      <c r="J429" s="63" t="str">
        <f t="shared" si="231"/>
        <v/>
      </c>
      <c r="K429" s="64" t="str">
        <f t="shared" si="232"/>
        <v/>
      </c>
      <c r="L429" s="63" t="str">
        <f t="shared" si="233"/>
        <v/>
      </c>
      <c r="M429" s="64" t="str">
        <f t="shared" si="234"/>
        <v/>
      </c>
      <c r="O429" s="63" t="str">
        <f t="shared" si="235"/>
        <v/>
      </c>
      <c r="P429" s="63" t="str">
        <f t="shared" si="236"/>
        <v/>
      </c>
      <c r="R429" s="63" t="str">
        <f t="shared" si="237"/>
        <v/>
      </c>
      <c r="S429" s="64" t="str">
        <f t="shared" si="238"/>
        <v/>
      </c>
      <c r="T429" s="63" t="str">
        <f t="shared" si="239"/>
        <v/>
      </c>
      <c r="U429" s="64" t="str">
        <f t="shared" si="240"/>
        <v/>
      </c>
      <c r="V429" s="90" t="str">
        <f>IF($A430="","",IF(AND(MONTH(A429)&gt;3,MONTH(A429)&lt;11),(T429+R429+G429)*(((1/(1-Summary!$T$12))/(1-Summary!$W$12))-1),(T429+R429+G429)*((1/(1-Summary!$U$12))/(1-Summary!$X$12)-1)))</f>
        <v/>
      </c>
      <c r="W429" s="63" t="str">
        <f t="shared" si="241"/>
        <v/>
      </c>
      <c r="X429" s="63" t="str">
        <f t="shared" si="242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3"/>
        <v/>
      </c>
      <c r="AP429" s="33" t="str">
        <f t="shared" si="244"/>
        <v/>
      </c>
      <c r="AQ429" s="58" t="str">
        <f t="shared" si="245"/>
        <v/>
      </c>
      <c r="AR429" s="38">
        <f>'ANR OK vs ML7'!AR429</f>
        <v>0.1</v>
      </c>
      <c r="AS429" s="35" t="str">
        <f t="shared" si="246"/>
        <v/>
      </c>
      <c r="AT429" s="3" t="str">
        <f t="shared" si="247"/>
        <v/>
      </c>
      <c r="AU429" s="3" t="str">
        <f t="shared" si="248"/>
        <v/>
      </c>
      <c r="AW429" s="32" t="str">
        <f t="shared" si="249"/>
        <v/>
      </c>
      <c r="AX429" s="32" t="str">
        <f t="shared" si="249"/>
        <v/>
      </c>
      <c r="AY429" s="32" t="str">
        <f t="shared" si="250"/>
        <v/>
      </c>
      <c r="BA429" s="32" t="str">
        <f>IF($A430="","",F429*Summary!$Q$12)</f>
        <v/>
      </c>
    </row>
    <row r="430" spans="1:53">
      <c r="A430" s="67" t="str">
        <f t="shared" si="251"/>
        <v/>
      </c>
      <c r="B430" s="69" t="str">
        <f t="shared" si="252"/>
        <v/>
      </c>
      <c r="D430" s="69" t="str">
        <f t="shared" si="226"/>
        <v/>
      </c>
      <c r="E430" s="70" t="str">
        <f t="shared" si="227"/>
        <v/>
      </c>
      <c r="F430" s="70" t="str">
        <f t="shared" si="228"/>
        <v/>
      </c>
      <c r="G430" s="63" t="str">
        <f t="shared" si="229"/>
        <v/>
      </c>
      <c r="H430" s="64" t="str">
        <f t="shared" si="230"/>
        <v/>
      </c>
      <c r="J430" s="63" t="str">
        <f t="shared" si="231"/>
        <v/>
      </c>
      <c r="K430" s="64" t="str">
        <f t="shared" si="232"/>
        <v/>
      </c>
      <c r="L430" s="63" t="str">
        <f t="shared" si="233"/>
        <v/>
      </c>
      <c r="M430" s="64" t="str">
        <f t="shared" si="234"/>
        <v/>
      </c>
      <c r="O430" s="63" t="str">
        <f t="shared" si="235"/>
        <v/>
      </c>
      <c r="P430" s="63" t="str">
        <f t="shared" si="236"/>
        <v/>
      </c>
      <c r="R430" s="63" t="str">
        <f t="shared" si="237"/>
        <v/>
      </c>
      <c r="S430" s="64" t="str">
        <f t="shared" si="238"/>
        <v/>
      </c>
      <c r="T430" s="63" t="str">
        <f t="shared" si="239"/>
        <v/>
      </c>
      <c r="U430" s="64" t="str">
        <f t="shared" si="240"/>
        <v/>
      </c>
      <c r="V430" s="90" t="str">
        <f>IF($A431="","",IF(AND(MONTH(A430)&gt;3,MONTH(A430)&lt;11),(T430+R430+G430)*(((1/(1-Summary!$T$12))/(1-Summary!$W$12))-1),(T430+R430+G430)*((1/(1-Summary!$U$12))/(1-Summary!$X$12)-1)))</f>
        <v/>
      </c>
      <c r="W430" s="63" t="str">
        <f t="shared" si="241"/>
        <v/>
      </c>
      <c r="X430" s="63" t="str">
        <f t="shared" si="242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3"/>
        <v/>
      </c>
      <c r="AP430" s="33" t="str">
        <f t="shared" si="244"/>
        <v/>
      </c>
      <c r="AQ430" s="58" t="str">
        <f t="shared" si="245"/>
        <v/>
      </c>
      <c r="AR430" s="38">
        <f>'ANR OK vs ML7'!AR430</f>
        <v>0.1</v>
      </c>
      <c r="AS430" s="35" t="str">
        <f t="shared" si="246"/>
        <v/>
      </c>
      <c r="AT430" s="3" t="str">
        <f t="shared" si="247"/>
        <v/>
      </c>
      <c r="AU430" s="3" t="str">
        <f t="shared" si="248"/>
        <v/>
      </c>
      <c r="AW430" s="32" t="str">
        <f t="shared" si="249"/>
        <v/>
      </c>
      <c r="AX430" s="32" t="str">
        <f t="shared" si="249"/>
        <v/>
      </c>
      <c r="AY430" s="32" t="str">
        <f t="shared" si="250"/>
        <v/>
      </c>
      <c r="BA430" s="32" t="str">
        <f>IF($A431="","",F430*Summary!$Q$12)</f>
        <v/>
      </c>
    </row>
    <row r="431" spans="1:53">
      <c r="A431" s="67" t="str">
        <f t="shared" si="251"/>
        <v/>
      </c>
      <c r="B431" s="69" t="str">
        <f t="shared" si="252"/>
        <v/>
      </c>
      <c r="D431" s="69" t="str">
        <f t="shared" si="226"/>
        <v/>
      </c>
      <c r="E431" s="70" t="str">
        <f t="shared" si="227"/>
        <v/>
      </c>
      <c r="F431" s="70" t="str">
        <f t="shared" si="228"/>
        <v/>
      </c>
      <c r="G431" s="63" t="str">
        <f t="shared" si="229"/>
        <v/>
      </c>
      <c r="H431" s="64" t="str">
        <f t="shared" si="230"/>
        <v/>
      </c>
      <c r="J431" s="63" t="str">
        <f t="shared" si="231"/>
        <v/>
      </c>
      <c r="K431" s="64" t="str">
        <f t="shared" si="232"/>
        <v/>
      </c>
      <c r="L431" s="63" t="str">
        <f t="shared" si="233"/>
        <v/>
      </c>
      <c r="M431" s="64" t="str">
        <f t="shared" si="234"/>
        <v/>
      </c>
      <c r="O431" s="63" t="str">
        <f t="shared" si="235"/>
        <v/>
      </c>
      <c r="P431" s="63" t="str">
        <f t="shared" si="236"/>
        <v/>
      </c>
      <c r="R431" s="63" t="str">
        <f t="shared" si="237"/>
        <v/>
      </c>
      <c r="S431" s="64" t="str">
        <f t="shared" si="238"/>
        <v/>
      </c>
      <c r="T431" s="63" t="str">
        <f t="shared" si="239"/>
        <v/>
      </c>
      <c r="U431" s="64" t="str">
        <f t="shared" si="240"/>
        <v/>
      </c>
      <c r="V431" s="90" t="str">
        <f>IF($A432="","",IF(AND(MONTH(A431)&gt;3,MONTH(A431)&lt;11),(T431+R431+G431)*(((1/(1-Summary!$T$12))/(1-Summary!$W$12))-1),(T431+R431+G431)*((1/(1-Summary!$U$12))/(1-Summary!$X$12)-1)))</f>
        <v/>
      </c>
      <c r="W431" s="63" t="str">
        <f t="shared" si="241"/>
        <v/>
      </c>
      <c r="X431" s="63" t="str">
        <f t="shared" si="242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3"/>
        <v/>
      </c>
      <c r="AP431" s="33" t="str">
        <f t="shared" si="244"/>
        <v/>
      </c>
      <c r="AQ431" s="58" t="str">
        <f t="shared" si="245"/>
        <v/>
      </c>
      <c r="AR431" s="38">
        <f>'ANR OK vs ML7'!AR431</f>
        <v>0.1</v>
      </c>
      <c r="AS431" s="35" t="str">
        <f t="shared" si="246"/>
        <v/>
      </c>
      <c r="AT431" s="3" t="str">
        <f t="shared" si="247"/>
        <v/>
      </c>
      <c r="AU431" s="3" t="str">
        <f t="shared" si="248"/>
        <v/>
      </c>
      <c r="AW431" s="32" t="str">
        <f t="shared" si="249"/>
        <v/>
      </c>
      <c r="AX431" s="32" t="str">
        <f t="shared" si="249"/>
        <v/>
      </c>
      <c r="AY431" s="32" t="str">
        <f t="shared" si="250"/>
        <v/>
      </c>
      <c r="BA431" s="32" t="str">
        <f>IF($A432="","",F431*Summary!$Q$12)</f>
        <v/>
      </c>
    </row>
    <row r="432" spans="1:53">
      <c r="A432" s="67" t="str">
        <f t="shared" si="251"/>
        <v/>
      </c>
      <c r="B432" s="69" t="str">
        <f t="shared" si="252"/>
        <v/>
      </c>
      <c r="D432" s="69" t="str">
        <f t="shared" si="226"/>
        <v/>
      </c>
      <c r="E432" s="70" t="str">
        <f t="shared" si="227"/>
        <v/>
      </c>
      <c r="F432" s="70" t="str">
        <f t="shared" si="228"/>
        <v/>
      </c>
      <c r="G432" s="63" t="str">
        <f t="shared" si="229"/>
        <v/>
      </c>
      <c r="H432" s="64" t="str">
        <f t="shared" si="230"/>
        <v/>
      </c>
      <c r="J432" s="63" t="str">
        <f t="shared" si="231"/>
        <v/>
      </c>
      <c r="K432" s="64" t="str">
        <f t="shared" si="232"/>
        <v/>
      </c>
      <c r="L432" s="63" t="str">
        <f t="shared" si="233"/>
        <v/>
      </c>
      <c r="M432" s="64" t="str">
        <f t="shared" si="234"/>
        <v/>
      </c>
      <c r="O432" s="63" t="str">
        <f t="shared" si="235"/>
        <v/>
      </c>
      <c r="P432" s="63" t="str">
        <f t="shared" si="236"/>
        <v/>
      </c>
      <c r="R432" s="63" t="str">
        <f t="shared" si="237"/>
        <v/>
      </c>
      <c r="S432" s="64" t="str">
        <f t="shared" si="238"/>
        <v/>
      </c>
      <c r="T432" s="63" t="str">
        <f t="shared" si="239"/>
        <v/>
      </c>
      <c r="U432" s="64" t="str">
        <f t="shared" si="240"/>
        <v/>
      </c>
      <c r="V432" s="90" t="str">
        <f>IF($A433="","",IF(AND(MONTH(A432)&gt;3,MONTH(A432)&lt;11),(T432+R432+G432)*(((1/(1-Summary!$T$12))/(1-Summary!$W$12))-1),(T432+R432+G432)*((1/(1-Summary!$U$12))/(1-Summary!$X$12)-1)))</f>
        <v/>
      </c>
      <c r="W432" s="63" t="str">
        <f t="shared" si="241"/>
        <v/>
      </c>
      <c r="X432" s="63" t="str">
        <f t="shared" si="242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3"/>
        <v/>
      </c>
      <c r="AP432" s="33" t="str">
        <f t="shared" si="244"/>
        <v/>
      </c>
      <c r="AQ432" s="58" t="str">
        <f t="shared" si="245"/>
        <v/>
      </c>
      <c r="AR432" s="38">
        <f>'ANR OK vs ML7'!AR432</f>
        <v>0.1</v>
      </c>
      <c r="AS432" s="35" t="str">
        <f t="shared" si="246"/>
        <v/>
      </c>
      <c r="AT432" s="3" t="str">
        <f t="shared" si="247"/>
        <v/>
      </c>
      <c r="AU432" s="3" t="str">
        <f t="shared" si="248"/>
        <v/>
      </c>
      <c r="AW432" s="32" t="str">
        <f t="shared" si="249"/>
        <v/>
      </c>
      <c r="AX432" s="32" t="str">
        <f t="shared" si="249"/>
        <v/>
      </c>
      <c r="AY432" s="32" t="str">
        <f t="shared" si="250"/>
        <v/>
      </c>
      <c r="BA432" s="32" t="str">
        <f>IF($A433="","",F432*Summary!$Q$12)</f>
        <v/>
      </c>
    </row>
    <row r="433" spans="1:53">
      <c r="A433" s="67" t="str">
        <f t="shared" si="251"/>
        <v/>
      </c>
      <c r="B433" s="69" t="str">
        <f t="shared" si="252"/>
        <v/>
      </c>
      <c r="D433" s="69" t="str">
        <f t="shared" si="226"/>
        <v/>
      </c>
      <c r="E433" s="70" t="str">
        <f t="shared" si="227"/>
        <v/>
      </c>
      <c r="F433" s="70" t="str">
        <f t="shared" si="228"/>
        <v/>
      </c>
      <c r="G433" s="63" t="str">
        <f t="shared" si="229"/>
        <v/>
      </c>
      <c r="H433" s="64" t="str">
        <f t="shared" si="230"/>
        <v/>
      </c>
      <c r="J433" s="63" t="str">
        <f t="shared" si="231"/>
        <v/>
      </c>
      <c r="K433" s="64" t="str">
        <f t="shared" si="232"/>
        <v/>
      </c>
      <c r="L433" s="63" t="str">
        <f t="shared" si="233"/>
        <v/>
      </c>
      <c r="M433" s="64" t="str">
        <f t="shared" si="234"/>
        <v/>
      </c>
      <c r="O433" s="63" t="str">
        <f t="shared" si="235"/>
        <v/>
      </c>
      <c r="P433" s="63" t="str">
        <f t="shared" si="236"/>
        <v/>
      </c>
      <c r="R433" s="63" t="str">
        <f t="shared" si="237"/>
        <v/>
      </c>
      <c r="S433" s="64" t="str">
        <f t="shared" si="238"/>
        <v/>
      </c>
      <c r="T433" s="63" t="str">
        <f t="shared" si="239"/>
        <v/>
      </c>
      <c r="U433" s="64" t="str">
        <f t="shared" si="240"/>
        <v/>
      </c>
      <c r="V433" s="90" t="str">
        <f>IF($A434="","",IF(AND(MONTH(A433)&gt;3,MONTH(A433)&lt;11),(T433+R433+G433)*(((1/(1-Summary!$T$12))/(1-Summary!$W$12))-1),(T433+R433+G433)*((1/(1-Summary!$U$12))/(1-Summary!$X$12)-1)))</f>
        <v/>
      </c>
      <c r="W433" s="63" t="str">
        <f t="shared" si="241"/>
        <v/>
      </c>
      <c r="X433" s="63" t="str">
        <f t="shared" si="242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3"/>
        <v/>
      </c>
      <c r="AP433" s="33" t="str">
        <f t="shared" si="244"/>
        <v/>
      </c>
      <c r="AQ433" s="58" t="str">
        <f t="shared" si="245"/>
        <v/>
      </c>
      <c r="AR433" s="38">
        <f>'ANR OK vs ML7'!AR433</f>
        <v>0.1</v>
      </c>
      <c r="AS433" s="35" t="str">
        <f t="shared" si="246"/>
        <v/>
      </c>
      <c r="AT433" s="3" t="str">
        <f t="shared" si="247"/>
        <v/>
      </c>
      <c r="AU433" s="3" t="str">
        <f t="shared" si="248"/>
        <v/>
      </c>
      <c r="AW433" s="32" t="str">
        <f t="shared" si="249"/>
        <v/>
      </c>
      <c r="AX433" s="32" t="str">
        <f t="shared" si="249"/>
        <v/>
      </c>
      <c r="AY433" s="32" t="str">
        <f t="shared" si="250"/>
        <v/>
      </c>
      <c r="BA433" s="32" t="str">
        <f>IF($A434="","",F433*Summary!$Q$12)</f>
        <v/>
      </c>
    </row>
    <row r="434" spans="1:53">
      <c r="A434" s="67" t="str">
        <f t="shared" si="251"/>
        <v/>
      </c>
      <c r="B434" s="69" t="str">
        <f t="shared" si="252"/>
        <v/>
      </c>
      <c r="D434" s="69" t="str">
        <f t="shared" si="226"/>
        <v/>
      </c>
      <c r="E434" s="70" t="str">
        <f t="shared" si="227"/>
        <v/>
      </c>
      <c r="F434" s="70" t="str">
        <f t="shared" si="228"/>
        <v/>
      </c>
      <c r="G434" s="63" t="str">
        <f t="shared" si="229"/>
        <v/>
      </c>
      <c r="H434" s="64" t="str">
        <f t="shared" si="230"/>
        <v/>
      </c>
      <c r="J434" s="63" t="str">
        <f t="shared" si="231"/>
        <v/>
      </c>
      <c r="K434" s="64" t="str">
        <f t="shared" si="232"/>
        <v/>
      </c>
      <c r="L434" s="63" t="str">
        <f t="shared" si="233"/>
        <v/>
      </c>
      <c r="M434" s="64" t="str">
        <f t="shared" si="234"/>
        <v/>
      </c>
      <c r="O434" s="63" t="str">
        <f t="shared" si="235"/>
        <v/>
      </c>
      <c r="P434" s="63" t="str">
        <f t="shared" si="236"/>
        <v/>
      </c>
      <c r="R434" s="63" t="str">
        <f t="shared" si="237"/>
        <v/>
      </c>
      <c r="S434" s="64" t="str">
        <f t="shared" si="238"/>
        <v/>
      </c>
      <c r="T434" s="63" t="str">
        <f t="shared" si="239"/>
        <v/>
      </c>
      <c r="U434" s="64" t="str">
        <f t="shared" si="240"/>
        <v/>
      </c>
      <c r="V434" s="90" t="str">
        <f>IF($A435="","",IF(AND(MONTH(A434)&gt;3,MONTH(A434)&lt;11),(T434+R434+G434)*(((1/(1-Summary!$T$12))/(1-Summary!$W$12))-1),(T434+R434+G434)*((1/(1-Summary!$U$12))/(1-Summary!$X$12)-1)))</f>
        <v/>
      </c>
      <c r="W434" s="63" t="str">
        <f t="shared" si="241"/>
        <v/>
      </c>
      <c r="X434" s="63" t="str">
        <f t="shared" si="242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3"/>
        <v/>
      </c>
      <c r="AP434" s="33" t="str">
        <f t="shared" si="244"/>
        <v/>
      </c>
      <c r="AQ434" s="58" t="str">
        <f t="shared" si="245"/>
        <v/>
      </c>
      <c r="AR434" s="38">
        <f>'ANR OK vs ML7'!AR434</f>
        <v>0.1</v>
      </c>
      <c r="AS434" s="35" t="str">
        <f t="shared" si="246"/>
        <v/>
      </c>
      <c r="AT434" s="3" t="str">
        <f t="shared" si="247"/>
        <v/>
      </c>
      <c r="AU434" s="3" t="str">
        <f t="shared" si="248"/>
        <v/>
      </c>
      <c r="AW434" s="32" t="str">
        <f t="shared" si="249"/>
        <v/>
      </c>
      <c r="AX434" s="32" t="str">
        <f t="shared" si="249"/>
        <v/>
      </c>
      <c r="AY434" s="32" t="str">
        <f t="shared" si="250"/>
        <v/>
      </c>
      <c r="BA434" s="32" t="str">
        <f>IF($A435="","",F434*Summary!$Q$12)</f>
        <v/>
      </c>
    </row>
    <row r="435" spans="1:53">
      <c r="A435" s="67" t="str">
        <f t="shared" si="251"/>
        <v/>
      </c>
      <c r="B435" s="69" t="str">
        <f t="shared" si="252"/>
        <v/>
      </c>
      <c r="D435" s="69" t="str">
        <f t="shared" si="226"/>
        <v/>
      </c>
      <c r="E435" s="70" t="str">
        <f t="shared" si="227"/>
        <v/>
      </c>
      <c r="F435" s="70" t="str">
        <f t="shared" si="228"/>
        <v/>
      </c>
      <c r="G435" s="63" t="str">
        <f t="shared" si="229"/>
        <v/>
      </c>
      <c r="H435" s="64" t="str">
        <f t="shared" si="230"/>
        <v/>
      </c>
      <c r="J435" s="63" t="str">
        <f t="shared" si="231"/>
        <v/>
      </c>
      <c r="K435" s="64" t="str">
        <f t="shared" si="232"/>
        <v/>
      </c>
      <c r="L435" s="63" t="str">
        <f t="shared" si="233"/>
        <v/>
      </c>
      <c r="M435" s="64" t="str">
        <f t="shared" si="234"/>
        <v/>
      </c>
      <c r="O435" s="63" t="str">
        <f t="shared" si="235"/>
        <v/>
      </c>
      <c r="P435" s="63" t="str">
        <f t="shared" si="236"/>
        <v/>
      </c>
      <c r="R435" s="63" t="str">
        <f t="shared" si="237"/>
        <v/>
      </c>
      <c r="S435" s="64" t="str">
        <f t="shared" si="238"/>
        <v/>
      </c>
      <c r="T435" s="63" t="str">
        <f t="shared" si="239"/>
        <v/>
      </c>
      <c r="U435" s="64" t="str">
        <f t="shared" si="240"/>
        <v/>
      </c>
      <c r="V435" s="90" t="str">
        <f>IF($A436="","",IF(AND(MONTH(A435)&gt;3,MONTH(A435)&lt;11),(T435+R435+G435)*(((1/(1-Summary!$T$12))/(1-Summary!$W$12))-1),(T435+R435+G435)*((1/(1-Summary!$U$12))/(1-Summary!$X$12)-1)))</f>
        <v/>
      </c>
      <c r="W435" s="63" t="str">
        <f t="shared" si="241"/>
        <v/>
      </c>
      <c r="X435" s="63" t="str">
        <f t="shared" si="242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3"/>
        <v/>
      </c>
      <c r="AP435" s="33" t="str">
        <f t="shared" si="244"/>
        <v/>
      </c>
      <c r="AQ435" s="58" t="str">
        <f t="shared" si="245"/>
        <v/>
      </c>
      <c r="AR435" s="38">
        <f>'ANR OK vs ML7'!AR435</f>
        <v>0.1</v>
      </c>
      <c r="AS435" s="35" t="str">
        <f t="shared" si="246"/>
        <v/>
      </c>
      <c r="AT435" s="3" t="str">
        <f t="shared" si="247"/>
        <v/>
      </c>
      <c r="AU435" s="3" t="str">
        <f t="shared" si="248"/>
        <v/>
      </c>
      <c r="AW435" s="32" t="str">
        <f t="shared" si="249"/>
        <v/>
      </c>
      <c r="AX435" s="32" t="str">
        <f t="shared" si="249"/>
        <v/>
      </c>
      <c r="AY435" s="32" t="str">
        <f t="shared" si="250"/>
        <v/>
      </c>
      <c r="BA435" s="32" t="str">
        <f>IF($A436="","",F435*Summary!$Q$12)</f>
        <v/>
      </c>
    </row>
    <row r="436" spans="1:53">
      <c r="A436" s="67" t="str">
        <f t="shared" si="251"/>
        <v/>
      </c>
      <c r="B436" s="69" t="str">
        <f t="shared" si="252"/>
        <v/>
      </c>
      <c r="D436" s="69" t="str">
        <f t="shared" si="226"/>
        <v/>
      </c>
      <c r="E436" s="70" t="str">
        <f t="shared" si="227"/>
        <v/>
      </c>
      <c r="F436" s="70" t="str">
        <f t="shared" si="228"/>
        <v/>
      </c>
      <c r="G436" s="63" t="str">
        <f t="shared" si="229"/>
        <v/>
      </c>
      <c r="H436" s="64" t="str">
        <f t="shared" si="230"/>
        <v/>
      </c>
      <c r="J436" s="63" t="str">
        <f t="shared" si="231"/>
        <v/>
      </c>
      <c r="K436" s="64" t="str">
        <f t="shared" si="232"/>
        <v/>
      </c>
      <c r="L436" s="63" t="str">
        <f t="shared" si="233"/>
        <v/>
      </c>
      <c r="M436" s="64" t="str">
        <f t="shared" si="234"/>
        <v/>
      </c>
      <c r="O436" s="63" t="str">
        <f t="shared" si="235"/>
        <v/>
      </c>
      <c r="P436" s="63" t="str">
        <f t="shared" si="236"/>
        <v/>
      </c>
      <c r="R436" s="63" t="str">
        <f t="shared" si="237"/>
        <v/>
      </c>
      <c r="S436" s="64" t="str">
        <f t="shared" si="238"/>
        <v/>
      </c>
      <c r="T436" s="63" t="str">
        <f t="shared" si="239"/>
        <v/>
      </c>
      <c r="U436" s="64" t="str">
        <f t="shared" si="240"/>
        <v/>
      </c>
      <c r="V436" s="90" t="str">
        <f>IF($A437="","",IF(AND(MONTH(A436)&gt;3,MONTH(A436)&lt;11),(T436+R436+G436)*(((1/(1-Summary!$T$12))/(1-Summary!$W$12))-1),(T436+R436+G436)*((1/(1-Summary!$U$12))/(1-Summary!$X$12)-1)))</f>
        <v/>
      </c>
      <c r="W436" s="63" t="str">
        <f t="shared" si="241"/>
        <v/>
      </c>
      <c r="X436" s="63" t="str">
        <f t="shared" si="242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3"/>
        <v/>
      </c>
      <c r="AP436" s="33" t="str">
        <f t="shared" si="244"/>
        <v/>
      </c>
      <c r="AQ436" s="58" t="str">
        <f t="shared" si="245"/>
        <v/>
      </c>
      <c r="AR436" s="38">
        <f>'ANR OK vs ML7'!AR436</f>
        <v>0.1</v>
      </c>
      <c r="AS436" s="35" t="str">
        <f t="shared" si="246"/>
        <v/>
      </c>
      <c r="AT436" s="3" t="str">
        <f t="shared" si="247"/>
        <v/>
      </c>
      <c r="AU436" s="3" t="str">
        <f t="shared" si="248"/>
        <v/>
      </c>
      <c r="AW436" s="32" t="str">
        <f t="shared" si="249"/>
        <v/>
      </c>
      <c r="AX436" s="32" t="str">
        <f t="shared" si="249"/>
        <v/>
      </c>
      <c r="AY436" s="32" t="str">
        <f t="shared" si="250"/>
        <v/>
      </c>
      <c r="BA436" s="32" t="str">
        <f>IF($A437="","",F436*Summary!$Q$12)</f>
        <v/>
      </c>
    </row>
    <row r="437" spans="1:53">
      <c r="A437" s="67" t="str">
        <f t="shared" si="251"/>
        <v/>
      </c>
      <c r="B437" s="69" t="str">
        <f t="shared" si="252"/>
        <v/>
      </c>
      <c r="D437" s="69" t="str">
        <f t="shared" si="226"/>
        <v/>
      </c>
      <c r="E437" s="70" t="str">
        <f t="shared" si="227"/>
        <v/>
      </c>
      <c r="F437" s="70" t="str">
        <f t="shared" si="228"/>
        <v/>
      </c>
      <c r="G437" s="63" t="str">
        <f t="shared" si="229"/>
        <v/>
      </c>
      <c r="H437" s="64" t="str">
        <f t="shared" si="230"/>
        <v/>
      </c>
      <c r="J437" s="63" t="str">
        <f t="shared" si="231"/>
        <v/>
      </c>
      <c r="K437" s="64" t="str">
        <f t="shared" si="232"/>
        <v/>
      </c>
      <c r="L437" s="63" t="str">
        <f t="shared" si="233"/>
        <v/>
      </c>
      <c r="M437" s="64" t="str">
        <f t="shared" si="234"/>
        <v/>
      </c>
      <c r="O437" s="63" t="str">
        <f t="shared" si="235"/>
        <v/>
      </c>
      <c r="P437" s="63" t="str">
        <f t="shared" si="236"/>
        <v/>
      </c>
      <c r="R437" s="63" t="str">
        <f t="shared" si="237"/>
        <v/>
      </c>
      <c r="S437" s="64" t="str">
        <f t="shared" si="238"/>
        <v/>
      </c>
      <c r="T437" s="63" t="str">
        <f t="shared" si="239"/>
        <v/>
      </c>
      <c r="U437" s="64" t="str">
        <f t="shared" si="240"/>
        <v/>
      </c>
      <c r="V437" s="90" t="str">
        <f>IF($A438="","",IF(AND(MONTH(A437)&gt;3,MONTH(A437)&lt;11),(T437+R437+G437)*(((1/(1-Summary!$T$12))/(1-Summary!$W$12))-1),(T437+R437+G437)*((1/(1-Summary!$U$12))/(1-Summary!$X$12)-1)))</f>
        <v/>
      </c>
      <c r="W437" s="63" t="str">
        <f t="shared" si="241"/>
        <v/>
      </c>
      <c r="X437" s="63" t="str">
        <f t="shared" si="242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3"/>
        <v/>
      </c>
      <c r="AP437" s="33" t="str">
        <f t="shared" si="244"/>
        <v/>
      </c>
      <c r="AQ437" s="58" t="str">
        <f t="shared" si="245"/>
        <v/>
      </c>
      <c r="AR437" s="38">
        <f>'ANR OK vs ML7'!AR437</f>
        <v>0.1</v>
      </c>
      <c r="AS437" s="35" t="str">
        <f t="shared" si="246"/>
        <v/>
      </c>
      <c r="AT437" s="3" t="str">
        <f t="shared" si="247"/>
        <v/>
      </c>
      <c r="AU437" s="3" t="str">
        <f t="shared" si="248"/>
        <v/>
      </c>
      <c r="AW437" s="32" t="str">
        <f t="shared" si="249"/>
        <v/>
      </c>
      <c r="AX437" s="32" t="str">
        <f t="shared" si="249"/>
        <v/>
      </c>
      <c r="AY437" s="32" t="str">
        <f t="shared" si="250"/>
        <v/>
      </c>
      <c r="BA437" s="32" t="str">
        <f>IF($A438="","",F437*Summary!$Q$12)</f>
        <v/>
      </c>
    </row>
    <row r="438" spans="1:53">
      <c r="A438" s="67" t="str">
        <f t="shared" si="251"/>
        <v/>
      </c>
      <c r="B438" s="69" t="str">
        <f t="shared" si="252"/>
        <v/>
      </c>
      <c r="D438" s="69" t="str">
        <f t="shared" si="226"/>
        <v/>
      </c>
      <c r="E438" s="70" t="str">
        <f t="shared" si="227"/>
        <v/>
      </c>
      <c r="F438" s="70" t="str">
        <f t="shared" si="228"/>
        <v/>
      </c>
      <c r="G438" s="63" t="str">
        <f t="shared" si="229"/>
        <v/>
      </c>
      <c r="H438" s="64" t="str">
        <f t="shared" si="230"/>
        <v/>
      </c>
      <c r="J438" s="63" t="str">
        <f t="shared" si="231"/>
        <v/>
      </c>
      <c r="K438" s="64" t="str">
        <f t="shared" si="232"/>
        <v/>
      </c>
      <c r="L438" s="63" t="str">
        <f t="shared" si="233"/>
        <v/>
      </c>
      <c r="M438" s="64" t="str">
        <f t="shared" si="234"/>
        <v/>
      </c>
      <c r="O438" s="63" t="str">
        <f t="shared" si="235"/>
        <v/>
      </c>
      <c r="P438" s="63" t="str">
        <f t="shared" si="236"/>
        <v/>
      </c>
      <c r="R438" s="63" t="str">
        <f t="shared" si="237"/>
        <v/>
      </c>
      <c r="S438" s="64" t="str">
        <f t="shared" si="238"/>
        <v/>
      </c>
      <c r="T438" s="63" t="str">
        <f t="shared" si="239"/>
        <v/>
      </c>
      <c r="U438" s="64" t="str">
        <f t="shared" si="240"/>
        <v/>
      </c>
      <c r="V438" s="90" t="str">
        <f>IF($A439="","",IF(AND(MONTH(A438)&gt;3,MONTH(A438)&lt;11),(T438+R438+G438)*(((1/(1-Summary!$T$12))/(1-Summary!$W$12))-1),(T438+R438+G438)*((1/(1-Summary!$U$12))/(1-Summary!$X$12)-1)))</f>
        <v/>
      </c>
      <c r="W438" s="63" t="str">
        <f t="shared" si="241"/>
        <v/>
      </c>
      <c r="X438" s="63" t="str">
        <f t="shared" si="242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3"/>
        <v/>
      </c>
      <c r="AP438" s="33" t="str">
        <f t="shared" si="244"/>
        <v/>
      </c>
      <c r="AQ438" s="58" t="str">
        <f t="shared" si="245"/>
        <v/>
      </c>
      <c r="AR438" s="38">
        <f>'ANR OK vs ML7'!AR438</f>
        <v>0.1</v>
      </c>
      <c r="AS438" s="35" t="str">
        <f t="shared" si="246"/>
        <v/>
      </c>
      <c r="AT438" s="3" t="str">
        <f t="shared" si="247"/>
        <v/>
      </c>
      <c r="AU438" s="3" t="str">
        <f t="shared" si="248"/>
        <v/>
      </c>
      <c r="AW438" s="32" t="str">
        <f t="shared" si="249"/>
        <v/>
      </c>
      <c r="AX438" s="32" t="str">
        <f t="shared" si="249"/>
        <v/>
      </c>
      <c r="AY438" s="32" t="str">
        <f t="shared" si="250"/>
        <v/>
      </c>
      <c r="BA438" s="32" t="str">
        <f>IF($A439="","",F438*Summary!$Q$12)</f>
        <v/>
      </c>
    </row>
    <row r="439" spans="1:53">
      <c r="A439" s="67" t="str">
        <f t="shared" si="251"/>
        <v/>
      </c>
      <c r="B439" s="69" t="str">
        <f t="shared" si="252"/>
        <v/>
      </c>
      <c r="D439" s="69" t="str">
        <f t="shared" si="226"/>
        <v/>
      </c>
      <c r="E439" s="70" t="str">
        <f t="shared" si="227"/>
        <v/>
      </c>
      <c r="F439" s="70" t="str">
        <f t="shared" si="228"/>
        <v/>
      </c>
      <c r="G439" s="63" t="str">
        <f t="shared" si="229"/>
        <v/>
      </c>
      <c r="H439" s="64" t="str">
        <f t="shared" si="230"/>
        <v/>
      </c>
      <c r="J439" s="63" t="str">
        <f t="shared" si="231"/>
        <v/>
      </c>
      <c r="K439" s="64" t="str">
        <f t="shared" si="232"/>
        <v/>
      </c>
      <c r="L439" s="63" t="str">
        <f t="shared" si="233"/>
        <v/>
      </c>
      <c r="M439" s="64" t="str">
        <f t="shared" si="234"/>
        <v/>
      </c>
      <c r="O439" s="63" t="str">
        <f t="shared" si="235"/>
        <v/>
      </c>
      <c r="P439" s="63" t="str">
        <f t="shared" si="236"/>
        <v/>
      </c>
      <c r="R439" s="63" t="str">
        <f t="shared" si="237"/>
        <v/>
      </c>
      <c r="S439" s="64" t="str">
        <f t="shared" si="238"/>
        <v/>
      </c>
      <c r="T439" s="63" t="str">
        <f t="shared" si="239"/>
        <v/>
      </c>
      <c r="U439" s="64" t="str">
        <f t="shared" si="240"/>
        <v/>
      </c>
      <c r="V439" s="90" t="str">
        <f>IF($A440="","",IF(AND(MONTH(A439)&gt;3,MONTH(A439)&lt;11),(T439+R439+G439)*(((1/(1-Summary!$T$12))/(1-Summary!$W$12))-1),(T439+R439+G439)*((1/(1-Summary!$U$12))/(1-Summary!$X$12)-1)))</f>
        <v/>
      </c>
      <c r="W439" s="63" t="str">
        <f t="shared" si="241"/>
        <v/>
      </c>
      <c r="X439" s="63" t="str">
        <f t="shared" si="242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3"/>
        <v/>
      </c>
      <c r="AP439" s="33" t="str">
        <f t="shared" si="244"/>
        <v/>
      </c>
      <c r="AQ439" s="58" t="str">
        <f t="shared" si="245"/>
        <v/>
      </c>
      <c r="AR439" s="38">
        <f>'ANR OK vs ML7'!AR439</f>
        <v>0.1</v>
      </c>
      <c r="AS439" s="35" t="str">
        <f t="shared" si="246"/>
        <v/>
      </c>
      <c r="AT439" s="3" t="str">
        <f t="shared" si="247"/>
        <v/>
      </c>
      <c r="AU439" s="3" t="str">
        <f t="shared" si="248"/>
        <v/>
      </c>
      <c r="AW439" s="32" t="str">
        <f t="shared" si="249"/>
        <v/>
      </c>
      <c r="AX439" s="32" t="str">
        <f t="shared" si="249"/>
        <v/>
      </c>
      <c r="AY439" s="32" t="str">
        <f t="shared" si="250"/>
        <v/>
      </c>
      <c r="BA439" s="32" t="str">
        <f>IF($A440="","",F439*Summary!$Q$12)</f>
        <v/>
      </c>
    </row>
    <row r="440" spans="1:53">
      <c r="A440" s="67" t="str">
        <f t="shared" si="251"/>
        <v/>
      </c>
      <c r="B440" s="69" t="str">
        <f t="shared" si="252"/>
        <v/>
      </c>
      <c r="D440" s="69" t="str">
        <f t="shared" si="226"/>
        <v/>
      </c>
      <c r="E440" s="70" t="str">
        <f t="shared" si="227"/>
        <v/>
      </c>
      <c r="F440" s="70" t="str">
        <f t="shared" si="228"/>
        <v/>
      </c>
      <c r="G440" s="63" t="str">
        <f t="shared" si="229"/>
        <v/>
      </c>
      <c r="H440" s="64" t="str">
        <f t="shared" si="230"/>
        <v/>
      </c>
      <c r="J440" s="63" t="str">
        <f t="shared" si="231"/>
        <v/>
      </c>
      <c r="K440" s="64" t="str">
        <f t="shared" si="232"/>
        <v/>
      </c>
      <c r="L440" s="63" t="str">
        <f t="shared" si="233"/>
        <v/>
      </c>
      <c r="M440" s="64" t="str">
        <f t="shared" si="234"/>
        <v/>
      </c>
      <c r="O440" s="63" t="str">
        <f t="shared" si="235"/>
        <v/>
      </c>
      <c r="P440" s="63" t="str">
        <f t="shared" si="236"/>
        <v/>
      </c>
      <c r="R440" s="63" t="str">
        <f t="shared" si="237"/>
        <v/>
      </c>
      <c r="S440" s="64" t="str">
        <f t="shared" si="238"/>
        <v/>
      </c>
      <c r="T440" s="63" t="str">
        <f t="shared" si="239"/>
        <v/>
      </c>
      <c r="U440" s="64" t="str">
        <f t="shared" si="240"/>
        <v/>
      </c>
      <c r="V440" s="90" t="str">
        <f>IF($A441="","",IF(AND(MONTH(A440)&gt;3,MONTH(A440)&lt;11),(T440+R440+G440)*(((1/(1-Summary!$T$12))/(1-Summary!$W$12))-1),(T440+R440+G440)*((1/(1-Summary!$U$12))/(1-Summary!$X$12)-1)))</f>
        <v/>
      </c>
      <c r="W440" s="63" t="str">
        <f t="shared" si="241"/>
        <v/>
      </c>
      <c r="X440" s="63" t="str">
        <f t="shared" si="242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3"/>
        <v/>
      </c>
      <c r="AP440" s="33" t="str">
        <f t="shared" si="244"/>
        <v/>
      </c>
      <c r="AQ440" s="58" t="str">
        <f t="shared" si="245"/>
        <v/>
      </c>
      <c r="AR440" s="38">
        <f>'ANR OK vs ML7'!AR440</f>
        <v>0.1</v>
      </c>
      <c r="AS440" s="35" t="str">
        <f t="shared" si="246"/>
        <v/>
      </c>
      <c r="AT440" s="3" t="str">
        <f t="shared" si="247"/>
        <v/>
      </c>
      <c r="AU440" s="3" t="str">
        <f t="shared" si="248"/>
        <v/>
      </c>
      <c r="AW440" s="32" t="str">
        <f t="shared" si="249"/>
        <v/>
      </c>
      <c r="AX440" s="32" t="str">
        <f t="shared" si="249"/>
        <v/>
      </c>
      <c r="AY440" s="32" t="str">
        <f t="shared" si="250"/>
        <v/>
      </c>
      <c r="BA440" s="32" t="str">
        <f>IF($A441="","",F440*Summary!$Q$12)</f>
        <v/>
      </c>
    </row>
    <row r="441" spans="1:53">
      <c r="A441" s="67" t="str">
        <f t="shared" si="251"/>
        <v/>
      </c>
      <c r="B441" s="69" t="str">
        <f t="shared" si="252"/>
        <v/>
      </c>
      <c r="D441" s="69" t="str">
        <f t="shared" si="226"/>
        <v/>
      </c>
      <c r="E441" s="70" t="str">
        <f t="shared" si="227"/>
        <v/>
      </c>
      <c r="F441" s="70" t="str">
        <f t="shared" si="228"/>
        <v/>
      </c>
      <c r="G441" s="63" t="str">
        <f t="shared" si="229"/>
        <v/>
      </c>
      <c r="H441" s="64" t="str">
        <f t="shared" si="230"/>
        <v/>
      </c>
      <c r="J441" s="63" t="str">
        <f t="shared" si="231"/>
        <v/>
      </c>
      <c r="K441" s="64" t="str">
        <f t="shared" si="232"/>
        <v/>
      </c>
      <c r="L441" s="63" t="str">
        <f t="shared" si="233"/>
        <v/>
      </c>
      <c r="M441" s="64" t="str">
        <f t="shared" si="234"/>
        <v/>
      </c>
      <c r="O441" s="63" t="str">
        <f t="shared" si="235"/>
        <v/>
      </c>
      <c r="P441" s="63" t="str">
        <f t="shared" si="236"/>
        <v/>
      </c>
      <c r="R441" s="63" t="str">
        <f t="shared" si="237"/>
        <v/>
      </c>
      <c r="S441" s="64" t="str">
        <f t="shared" si="238"/>
        <v/>
      </c>
      <c r="T441" s="63" t="str">
        <f t="shared" si="239"/>
        <v/>
      </c>
      <c r="U441" s="64" t="str">
        <f t="shared" si="240"/>
        <v/>
      </c>
      <c r="V441" s="90" t="str">
        <f>IF($A442="","",IF(AND(MONTH(A441)&gt;3,MONTH(A441)&lt;11),(T441+R441+G441)*(((1/(1-Summary!$T$12))/(1-Summary!$W$12))-1),(T441+R441+G441)*((1/(1-Summary!$U$12))/(1-Summary!$X$12)-1)))</f>
        <v/>
      </c>
      <c r="W441" s="63" t="str">
        <f t="shared" si="241"/>
        <v/>
      </c>
      <c r="X441" s="63" t="str">
        <f t="shared" si="242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3"/>
        <v/>
      </c>
      <c r="AP441" s="33" t="str">
        <f t="shared" si="244"/>
        <v/>
      </c>
      <c r="AQ441" s="58" t="str">
        <f t="shared" si="245"/>
        <v/>
      </c>
      <c r="AR441" s="38">
        <f>'ANR OK vs ML7'!AR441</f>
        <v>0.1</v>
      </c>
      <c r="AS441" s="35" t="str">
        <f t="shared" si="246"/>
        <v/>
      </c>
      <c r="AT441" s="3" t="str">
        <f t="shared" si="247"/>
        <v/>
      </c>
      <c r="AU441" s="3" t="str">
        <f t="shared" si="248"/>
        <v/>
      </c>
      <c r="AW441" s="32" t="str">
        <f t="shared" si="249"/>
        <v/>
      </c>
      <c r="AX441" s="32" t="str">
        <f t="shared" si="249"/>
        <v/>
      </c>
      <c r="AY441" s="32" t="str">
        <f t="shared" si="250"/>
        <v/>
      </c>
      <c r="BA441" s="32" t="str">
        <f>IF($A442="","",F441*Summary!$Q$12)</f>
        <v/>
      </c>
    </row>
    <row r="442" spans="1:53">
      <c r="A442" s="67" t="str">
        <f t="shared" si="251"/>
        <v/>
      </c>
      <c r="B442" s="69" t="str">
        <f t="shared" si="252"/>
        <v/>
      </c>
      <c r="D442" s="69" t="str">
        <f t="shared" si="226"/>
        <v/>
      </c>
      <c r="E442" s="70" t="str">
        <f t="shared" si="227"/>
        <v/>
      </c>
      <c r="F442" s="70" t="str">
        <f t="shared" si="228"/>
        <v/>
      </c>
      <c r="G442" s="63" t="str">
        <f t="shared" si="229"/>
        <v/>
      </c>
      <c r="H442" s="64" t="str">
        <f t="shared" si="230"/>
        <v/>
      </c>
      <c r="J442" s="63" t="str">
        <f t="shared" si="231"/>
        <v/>
      </c>
      <c r="K442" s="64" t="str">
        <f t="shared" si="232"/>
        <v/>
      </c>
      <c r="L442" s="63" t="str">
        <f t="shared" si="233"/>
        <v/>
      </c>
      <c r="M442" s="64" t="str">
        <f t="shared" si="234"/>
        <v/>
      </c>
      <c r="O442" s="63" t="str">
        <f t="shared" si="235"/>
        <v/>
      </c>
      <c r="P442" s="63" t="str">
        <f t="shared" si="236"/>
        <v/>
      </c>
      <c r="R442" s="63" t="str">
        <f t="shared" si="237"/>
        <v/>
      </c>
      <c r="S442" s="64" t="str">
        <f t="shared" si="238"/>
        <v/>
      </c>
      <c r="T442" s="63" t="str">
        <f t="shared" si="239"/>
        <v/>
      </c>
      <c r="U442" s="64" t="str">
        <f t="shared" si="240"/>
        <v/>
      </c>
      <c r="V442" s="90" t="str">
        <f>IF($A443="","",IF(AND(MONTH(A442)&gt;3,MONTH(A442)&lt;11),(T442+R442+G442)*(((1/(1-Summary!$T$12))/(1-Summary!$W$12))-1),(T442+R442+G442)*((1/(1-Summary!$U$12))/(1-Summary!$X$12)-1)))</f>
        <v/>
      </c>
      <c r="W442" s="63" t="str">
        <f t="shared" si="241"/>
        <v/>
      </c>
      <c r="X442" s="63" t="str">
        <f t="shared" si="242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3"/>
        <v/>
      </c>
      <c r="AP442" s="33" t="str">
        <f t="shared" si="244"/>
        <v/>
      </c>
      <c r="AQ442" s="58" t="str">
        <f t="shared" si="245"/>
        <v/>
      </c>
      <c r="AR442" s="38">
        <f>'ANR OK vs ML7'!AR442</f>
        <v>0.1</v>
      </c>
      <c r="AS442" s="35" t="str">
        <f t="shared" si="246"/>
        <v/>
      </c>
      <c r="AT442" s="3" t="str">
        <f t="shared" si="247"/>
        <v/>
      </c>
      <c r="AU442" s="3" t="str">
        <f t="shared" si="248"/>
        <v/>
      </c>
      <c r="AW442" s="32" t="str">
        <f t="shared" si="249"/>
        <v/>
      </c>
      <c r="AX442" s="32" t="str">
        <f t="shared" si="249"/>
        <v/>
      </c>
      <c r="AY442" s="32" t="str">
        <f t="shared" si="250"/>
        <v/>
      </c>
      <c r="BA442" s="32" t="str">
        <f>IF($A443="","",F442*Summary!$Q$12)</f>
        <v/>
      </c>
    </row>
    <row r="443" spans="1:53">
      <c r="A443" s="67" t="str">
        <f t="shared" si="251"/>
        <v/>
      </c>
      <c r="B443" s="69" t="str">
        <f t="shared" si="252"/>
        <v/>
      </c>
      <c r="D443" s="69" t="str">
        <f t="shared" si="226"/>
        <v/>
      </c>
      <c r="E443" s="70" t="str">
        <f t="shared" si="227"/>
        <v/>
      </c>
      <c r="F443" s="70" t="str">
        <f t="shared" si="228"/>
        <v/>
      </c>
      <c r="G443" s="63" t="str">
        <f t="shared" si="229"/>
        <v/>
      </c>
      <c r="H443" s="64" t="str">
        <f t="shared" si="230"/>
        <v/>
      </c>
      <c r="J443" s="63" t="str">
        <f t="shared" si="231"/>
        <v/>
      </c>
      <c r="K443" s="64" t="str">
        <f t="shared" si="232"/>
        <v/>
      </c>
      <c r="L443" s="63" t="str">
        <f t="shared" si="233"/>
        <v/>
      </c>
      <c r="M443" s="64" t="str">
        <f t="shared" si="234"/>
        <v/>
      </c>
      <c r="O443" s="63" t="str">
        <f t="shared" si="235"/>
        <v/>
      </c>
      <c r="P443" s="63" t="str">
        <f t="shared" si="236"/>
        <v/>
      </c>
      <c r="R443" s="63" t="str">
        <f t="shared" si="237"/>
        <v/>
      </c>
      <c r="S443" s="64" t="str">
        <f t="shared" si="238"/>
        <v/>
      </c>
      <c r="T443" s="63" t="str">
        <f t="shared" si="239"/>
        <v/>
      </c>
      <c r="U443" s="64" t="str">
        <f t="shared" si="240"/>
        <v/>
      </c>
      <c r="V443" s="90" t="str">
        <f>IF($A444="","",IF(AND(MONTH(A443)&gt;3,MONTH(A443)&lt;11),(T443+R443+G443)*(((1/(1-Summary!$T$12))/(1-Summary!$W$12))-1),(T443+R443+G443)*((1/(1-Summary!$U$12))/(1-Summary!$X$12)-1)))</f>
        <v/>
      </c>
      <c r="W443" s="63" t="str">
        <f t="shared" si="241"/>
        <v/>
      </c>
      <c r="X443" s="63" t="str">
        <f t="shared" si="242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3"/>
        <v/>
      </c>
      <c r="AP443" s="33" t="str">
        <f t="shared" si="244"/>
        <v/>
      </c>
      <c r="AQ443" s="58" t="str">
        <f t="shared" si="245"/>
        <v/>
      </c>
      <c r="AR443" s="38">
        <f>'ANR OK vs ML7'!AR443</f>
        <v>0.1</v>
      </c>
      <c r="AS443" s="35" t="str">
        <f t="shared" si="246"/>
        <v/>
      </c>
      <c r="AT443" s="3" t="str">
        <f t="shared" si="247"/>
        <v/>
      </c>
      <c r="AU443" s="3" t="str">
        <f t="shared" si="248"/>
        <v/>
      </c>
      <c r="AW443" s="32" t="str">
        <f t="shared" si="249"/>
        <v/>
      </c>
      <c r="AX443" s="32" t="str">
        <f t="shared" si="249"/>
        <v/>
      </c>
      <c r="AY443" s="32" t="str">
        <f t="shared" si="250"/>
        <v/>
      </c>
      <c r="BA443" s="32" t="str">
        <f>IF($A444="","",F443*Summary!$Q$12)</f>
        <v/>
      </c>
    </row>
    <row r="444" spans="1:53">
      <c r="A444" s="67" t="str">
        <f t="shared" si="251"/>
        <v/>
      </c>
      <c r="B444" s="69" t="str">
        <f t="shared" si="252"/>
        <v/>
      </c>
      <c r="D444" s="69" t="str">
        <f t="shared" si="226"/>
        <v/>
      </c>
      <c r="E444" s="70" t="str">
        <f t="shared" si="227"/>
        <v/>
      </c>
      <c r="F444" s="70" t="str">
        <f t="shared" si="228"/>
        <v/>
      </c>
      <c r="G444" s="63" t="str">
        <f t="shared" si="229"/>
        <v/>
      </c>
      <c r="H444" s="64" t="str">
        <f t="shared" si="230"/>
        <v/>
      </c>
      <c r="J444" s="63" t="str">
        <f t="shared" si="231"/>
        <v/>
      </c>
      <c r="K444" s="64" t="str">
        <f t="shared" si="232"/>
        <v/>
      </c>
      <c r="L444" s="63" t="str">
        <f t="shared" si="233"/>
        <v/>
      </c>
      <c r="M444" s="64" t="str">
        <f t="shared" si="234"/>
        <v/>
      </c>
      <c r="O444" s="63" t="str">
        <f t="shared" si="235"/>
        <v/>
      </c>
      <c r="P444" s="63" t="str">
        <f t="shared" si="236"/>
        <v/>
      </c>
      <c r="R444" s="63" t="str">
        <f t="shared" si="237"/>
        <v/>
      </c>
      <c r="S444" s="64" t="str">
        <f t="shared" si="238"/>
        <v/>
      </c>
      <c r="T444" s="63" t="str">
        <f t="shared" si="239"/>
        <v/>
      </c>
      <c r="U444" s="64" t="str">
        <f t="shared" si="240"/>
        <v/>
      </c>
      <c r="V444" s="90" t="str">
        <f>IF($A445="","",IF(AND(MONTH(A444)&gt;3,MONTH(A444)&lt;11),(T444+R444+G444)*(((1/(1-Summary!$T$12))/(1-Summary!$W$12))-1),(T444+R444+G444)*((1/(1-Summary!$U$12))/(1-Summary!$X$12)-1)))</f>
        <v/>
      </c>
      <c r="W444" s="63" t="str">
        <f t="shared" si="241"/>
        <v/>
      </c>
      <c r="X444" s="63" t="str">
        <f t="shared" si="242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3"/>
        <v/>
      </c>
      <c r="AP444" s="33" t="str">
        <f t="shared" si="244"/>
        <v/>
      </c>
      <c r="AQ444" s="58" t="str">
        <f t="shared" si="245"/>
        <v/>
      </c>
      <c r="AR444" s="38">
        <f>'ANR OK vs ML7'!AR444</f>
        <v>0.1</v>
      </c>
      <c r="AS444" s="35" t="str">
        <f t="shared" si="246"/>
        <v/>
      </c>
      <c r="AT444" s="3" t="str">
        <f t="shared" si="247"/>
        <v/>
      </c>
      <c r="AU444" s="3" t="str">
        <f t="shared" si="248"/>
        <v/>
      </c>
      <c r="AW444" s="32" t="str">
        <f t="shared" si="249"/>
        <v/>
      </c>
      <c r="AX444" s="32" t="str">
        <f t="shared" si="249"/>
        <v/>
      </c>
      <c r="AY444" s="32" t="str">
        <f t="shared" si="250"/>
        <v/>
      </c>
      <c r="BA444" s="32" t="str">
        <f>IF($A445="","",F444*Summary!$Q$12)</f>
        <v/>
      </c>
    </row>
    <row r="445" spans="1:53">
      <c r="A445" s="67" t="str">
        <f t="shared" si="251"/>
        <v/>
      </c>
      <c r="B445" s="69" t="str">
        <f t="shared" si="252"/>
        <v/>
      </c>
      <c r="D445" s="69" t="str">
        <f t="shared" si="226"/>
        <v/>
      </c>
      <c r="E445" s="70" t="str">
        <f t="shared" si="227"/>
        <v/>
      </c>
      <c r="F445" s="70" t="str">
        <f t="shared" si="228"/>
        <v/>
      </c>
      <c r="G445" s="63" t="str">
        <f t="shared" si="229"/>
        <v/>
      </c>
      <c r="H445" s="64" t="str">
        <f t="shared" si="230"/>
        <v/>
      </c>
      <c r="J445" s="63" t="str">
        <f t="shared" si="231"/>
        <v/>
      </c>
      <c r="K445" s="64" t="str">
        <f t="shared" si="232"/>
        <v/>
      </c>
      <c r="L445" s="63" t="str">
        <f t="shared" si="233"/>
        <v/>
      </c>
      <c r="M445" s="64" t="str">
        <f t="shared" si="234"/>
        <v/>
      </c>
      <c r="O445" s="63" t="str">
        <f t="shared" si="235"/>
        <v/>
      </c>
      <c r="P445" s="63" t="str">
        <f t="shared" si="236"/>
        <v/>
      </c>
      <c r="R445" s="63" t="str">
        <f t="shared" si="237"/>
        <v/>
      </c>
      <c r="S445" s="64" t="str">
        <f t="shared" si="238"/>
        <v/>
      </c>
      <c r="T445" s="63" t="str">
        <f t="shared" si="239"/>
        <v/>
      </c>
      <c r="U445" s="64" t="str">
        <f t="shared" si="240"/>
        <v/>
      </c>
      <c r="V445" s="90" t="str">
        <f>IF($A446="","",IF(AND(MONTH(A445)&gt;3,MONTH(A445)&lt;11),(T445+R445+G445)*(((1/(1-Summary!$T$12))/(1-Summary!$W$12))-1),(T445+R445+G445)*((1/(1-Summary!$U$12))/(1-Summary!$X$12)-1)))</f>
        <v/>
      </c>
      <c r="W445" s="63" t="str">
        <f t="shared" si="241"/>
        <v/>
      </c>
      <c r="X445" s="63" t="str">
        <f t="shared" si="242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3"/>
        <v/>
      </c>
      <c r="AP445" s="33" t="str">
        <f t="shared" si="244"/>
        <v/>
      </c>
      <c r="AQ445" s="58" t="str">
        <f t="shared" si="245"/>
        <v/>
      </c>
      <c r="AR445" s="38">
        <f>'ANR OK vs ML7'!AR445</f>
        <v>0.1</v>
      </c>
      <c r="AS445" s="35" t="str">
        <f t="shared" si="246"/>
        <v/>
      </c>
      <c r="AT445" s="3" t="str">
        <f t="shared" si="247"/>
        <v/>
      </c>
      <c r="AU445" s="3" t="str">
        <f t="shared" si="248"/>
        <v/>
      </c>
      <c r="AW445" s="32" t="str">
        <f t="shared" si="249"/>
        <v/>
      </c>
      <c r="AX445" s="32" t="str">
        <f t="shared" si="249"/>
        <v/>
      </c>
      <c r="AY445" s="32" t="str">
        <f t="shared" si="250"/>
        <v/>
      </c>
      <c r="BA445" s="32" t="str">
        <f>IF($A446="","",F445*Summary!$Q$12)</f>
        <v/>
      </c>
    </row>
    <row r="446" spans="1:53">
      <c r="A446" s="67" t="str">
        <f t="shared" si="251"/>
        <v/>
      </c>
      <c r="B446" s="69" t="str">
        <f t="shared" si="252"/>
        <v/>
      </c>
      <c r="D446" s="69" t="str">
        <f t="shared" si="226"/>
        <v/>
      </c>
      <c r="E446" s="70" t="str">
        <f t="shared" si="227"/>
        <v/>
      </c>
      <c r="F446" s="70" t="str">
        <f t="shared" si="228"/>
        <v/>
      </c>
      <c r="G446" s="63" t="str">
        <f t="shared" si="229"/>
        <v/>
      </c>
      <c r="H446" s="64" t="str">
        <f t="shared" si="230"/>
        <v/>
      </c>
      <c r="J446" s="63" t="str">
        <f t="shared" si="231"/>
        <v/>
      </c>
      <c r="K446" s="64" t="str">
        <f t="shared" si="232"/>
        <v/>
      </c>
      <c r="L446" s="63" t="str">
        <f t="shared" si="233"/>
        <v/>
      </c>
      <c r="M446" s="64" t="str">
        <f t="shared" si="234"/>
        <v/>
      </c>
      <c r="O446" s="63" t="str">
        <f t="shared" si="235"/>
        <v/>
      </c>
      <c r="P446" s="63" t="str">
        <f t="shared" si="236"/>
        <v/>
      </c>
      <c r="R446" s="63" t="str">
        <f t="shared" si="237"/>
        <v/>
      </c>
      <c r="S446" s="64" t="str">
        <f t="shared" si="238"/>
        <v/>
      </c>
      <c r="T446" s="63" t="str">
        <f t="shared" si="239"/>
        <v/>
      </c>
      <c r="U446" s="64" t="str">
        <f t="shared" si="240"/>
        <v/>
      </c>
      <c r="V446" s="90" t="str">
        <f>IF($A447="","",IF(AND(MONTH(A446)&gt;3,MONTH(A446)&lt;11),(T446+R446+G446)*(((1/(1-Summary!$T$12))/(1-Summary!$W$12))-1),(T446+R446+G446)*((1/(1-Summary!$U$12))/(1-Summary!$X$12)-1)))</f>
        <v/>
      </c>
      <c r="W446" s="63" t="str">
        <f t="shared" si="241"/>
        <v/>
      </c>
      <c r="X446" s="63" t="str">
        <f t="shared" si="242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3"/>
        <v/>
      </c>
      <c r="AP446" s="33" t="str">
        <f t="shared" si="244"/>
        <v/>
      </c>
      <c r="AQ446" s="58" t="str">
        <f t="shared" si="245"/>
        <v/>
      </c>
      <c r="AR446" s="38">
        <f>'ANR OK vs ML7'!AR446</f>
        <v>0.1</v>
      </c>
      <c r="AS446" s="35" t="str">
        <f t="shared" si="246"/>
        <v/>
      </c>
      <c r="AT446" s="3" t="str">
        <f t="shared" si="247"/>
        <v/>
      </c>
      <c r="AU446" s="3" t="str">
        <f t="shared" si="248"/>
        <v/>
      </c>
      <c r="AW446" s="32" t="str">
        <f t="shared" si="249"/>
        <v/>
      </c>
      <c r="AX446" s="32" t="str">
        <f t="shared" si="249"/>
        <v/>
      </c>
      <c r="AY446" s="32" t="str">
        <f t="shared" si="250"/>
        <v/>
      </c>
      <c r="BA446" s="32" t="str">
        <f>IF($A447="","",F446*Summary!$Q$12)</f>
        <v/>
      </c>
    </row>
    <row r="447" spans="1:53">
      <c r="A447" s="67" t="str">
        <f t="shared" si="251"/>
        <v/>
      </c>
      <c r="B447" s="69" t="str">
        <f t="shared" si="252"/>
        <v/>
      </c>
      <c r="D447" s="69" t="str">
        <f t="shared" si="226"/>
        <v/>
      </c>
      <c r="E447" s="70" t="str">
        <f t="shared" si="227"/>
        <v/>
      </c>
      <c r="F447" s="70" t="str">
        <f t="shared" si="228"/>
        <v/>
      </c>
      <c r="G447" s="63" t="str">
        <f t="shared" si="229"/>
        <v/>
      </c>
      <c r="H447" s="64" t="str">
        <f t="shared" si="230"/>
        <v/>
      </c>
      <c r="J447" s="63" t="str">
        <f t="shared" si="231"/>
        <v/>
      </c>
      <c r="K447" s="64" t="str">
        <f t="shared" si="232"/>
        <v/>
      </c>
      <c r="L447" s="63" t="str">
        <f t="shared" si="233"/>
        <v/>
      </c>
      <c r="M447" s="64" t="str">
        <f t="shared" si="234"/>
        <v/>
      </c>
      <c r="O447" s="63" t="str">
        <f t="shared" si="235"/>
        <v/>
      </c>
      <c r="P447" s="63" t="str">
        <f t="shared" si="236"/>
        <v/>
      </c>
      <c r="R447" s="63" t="str">
        <f t="shared" si="237"/>
        <v/>
      </c>
      <c r="S447" s="64" t="str">
        <f t="shared" si="238"/>
        <v/>
      </c>
      <c r="T447" s="63" t="str">
        <f t="shared" si="239"/>
        <v/>
      </c>
      <c r="U447" s="64" t="str">
        <f t="shared" si="240"/>
        <v/>
      </c>
      <c r="V447" s="90" t="str">
        <f>IF($A448="","",IF(AND(MONTH(A447)&gt;3,MONTH(A447)&lt;11),(T447+R447+G447)*(((1/(1-Summary!$T$12))/(1-Summary!$W$12))-1),(T447+R447+G447)*((1/(1-Summary!$U$12))/(1-Summary!$X$12)-1)))</f>
        <v/>
      </c>
      <c r="W447" s="63" t="str">
        <f t="shared" si="241"/>
        <v/>
      </c>
      <c r="X447" s="63" t="str">
        <f t="shared" si="242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3"/>
        <v/>
      </c>
      <c r="AP447" s="33" t="str">
        <f t="shared" si="244"/>
        <v/>
      </c>
      <c r="AQ447" s="58" t="str">
        <f t="shared" si="245"/>
        <v/>
      </c>
      <c r="AR447" s="38">
        <f>'ANR OK vs ML7'!AR447</f>
        <v>0.1</v>
      </c>
      <c r="AS447" s="35" t="str">
        <f t="shared" si="246"/>
        <v/>
      </c>
      <c r="AT447" s="3" t="str">
        <f t="shared" si="247"/>
        <v/>
      </c>
      <c r="AU447" s="3" t="str">
        <f t="shared" si="248"/>
        <v/>
      </c>
      <c r="AW447" s="32" t="str">
        <f t="shared" si="249"/>
        <v/>
      </c>
      <c r="AX447" s="32" t="str">
        <f t="shared" si="249"/>
        <v/>
      </c>
      <c r="AY447" s="32" t="str">
        <f t="shared" si="250"/>
        <v/>
      </c>
      <c r="BA447" s="32" t="str">
        <f>IF($A448="","",F447*Summary!$Q$12)</f>
        <v/>
      </c>
    </row>
    <row r="448" spans="1:53">
      <c r="A448" s="67" t="str">
        <f t="shared" si="251"/>
        <v/>
      </c>
      <c r="B448" s="69" t="str">
        <f t="shared" si="252"/>
        <v/>
      </c>
      <c r="D448" s="69" t="str">
        <f t="shared" si="226"/>
        <v/>
      </c>
      <c r="E448" s="70" t="str">
        <f t="shared" si="227"/>
        <v/>
      </c>
      <c r="F448" s="70" t="str">
        <f t="shared" si="228"/>
        <v/>
      </c>
      <c r="G448" s="63" t="str">
        <f t="shared" si="229"/>
        <v/>
      </c>
      <c r="H448" s="64" t="str">
        <f t="shared" si="230"/>
        <v/>
      </c>
      <c r="J448" s="63" t="str">
        <f t="shared" si="231"/>
        <v/>
      </c>
      <c r="K448" s="64" t="str">
        <f t="shared" si="232"/>
        <v/>
      </c>
      <c r="L448" s="63" t="str">
        <f t="shared" si="233"/>
        <v/>
      </c>
      <c r="M448" s="64" t="str">
        <f t="shared" si="234"/>
        <v/>
      </c>
      <c r="O448" s="63" t="str">
        <f t="shared" si="235"/>
        <v/>
      </c>
      <c r="P448" s="63" t="str">
        <f t="shared" si="236"/>
        <v/>
      </c>
      <c r="R448" s="63" t="str">
        <f t="shared" si="237"/>
        <v/>
      </c>
      <c r="S448" s="64" t="str">
        <f t="shared" si="238"/>
        <v/>
      </c>
      <c r="T448" s="63" t="str">
        <f t="shared" si="239"/>
        <v/>
      </c>
      <c r="U448" s="64" t="str">
        <f t="shared" si="240"/>
        <v/>
      </c>
      <c r="V448" s="90" t="str">
        <f>IF($A449="","",IF(AND(MONTH(A448)&gt;3,MONTH(A448)&lt;11),(T448+R448+G448)*(((1/(1-Summary!$T$12))/(1-Summary!$W$12))-1),(T448+R448+G448)*((1/(1-Summary!$U$12))/(1-Summary!$X$12)-1)))</f>
        <v/>
      </c>
      <c r="W448" s="63" t="str">
        <f t="shared" si="241"/>
        <v/>
      </c>
      <c r="X448" s="63" t="str">
        <f t="shared" si="242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3"/>
        <v/>
      </c>
      <c r="AP448" s="33" t="str">
        <f t="shared" si="244"/>
        <v/>
      </c>
      <c r="AQ448" s="58" t="str">
        <f t="shared" si="245"/>
        <v/>
      </c>
      <c r="AR448" s="38">
        <f>'ANR OK vs ML7'!AR448</f>
        <v>0.1</v>
      </c>
      <c r="AS448" s="35" t="str">
        <f t="shared" si="246"/>
        <v/>
      </c>
      <c r="AT448" s="3" t="str">
        <f t="shared" si="247"/>
        <v/>
      </c>
      <c r="AU448" s="3" t="str">
        <f t="shared" si="248"/>
        <v/>
      </c>
      <c r="AW448" s="32" t="str">
        <f t="shared" si="249"/>
        <v/>
      </c>
      <c r="AX448" s="32" t="str">
        <f t="shared" si="249"/>
        <v/>
      </c>
      <c r="AY448" s="32" t="str">
        <f t="shared" si="250"/>
        <v/>
      </c>
      <c r="BA448" s="32" t="str">
        <f>IF($A449="","",F448*Summary!$Q$12)</f>
        <v/>
      </c>
    </row>
    <row r="449" spans="1:53">
      <c r="A449" s="67" t="str">
        <f t="shared" si="251"/>
        <v/>
      </c>
      <c r="B449" s="69" t="str">
        <f t="shared" si="252"/>
        <v/>
      </c>
      <c r="D449" s="69" t="str">
        <f t="shared" si="226"/>
        <v/>
      </c>
      <c r="E449" s="70" t="str">
        <f t="shared" si="227"/>
        <v/>
      </c>
      <c r="F449" s="70" t="str">
        <f t="shared" si="228"/>
        <v/>
      </c>
      <c r="G449" s="63" t="str">
        <f t="shared" si="229"/>
        <v/>
      </c>
      <c r="H449" s="64" t="str">
        <f t="shared" si="230"/>
        <v/>
      </c>
      <c r="J449" s="63" t="str">
        <f t="shared" si="231"/>
        <v/>
      </c>
      <c r="K449" s="64" t="str">
        <f t="shared" si="232"/>
        <v/>
      </c>
      <c r="L449" s="63" t="str">
        <f t="shared" si="233"/>
        <v/>
      </c>
      <c r="M449" s="64" t="str">
        <f t="shared" si="234"/>
        <v/>
      </c>
      <c r="O449" s="63" t="str">
        <f t="shared" si="235"/>
        <v/>
      </c>
      <c r="P449" s="63" t="str">
        <f t="shared" si="236"/>
        <v/>
      </c>
      <c r="R449" s="63" t="str">
        <f t="shared" si="237"/>
        <v/>
      </c>
      <c r="S449" s="64" t="str">
        <f t="shared" si="238"/>
        <v/>
      </c>
      <c r="T449" s="63" t="str">
        <f t="shared" si="239"/>
        <v/>
      </c>
      <c r="U449" s="64" t="str">
        <f t="shared" si="240"/>
        <v/>
      </c>
      <c r="V449" s="90" t="str">
        <f>IF($A450="","",IF(AND(MONTH(A449)&gt;3,MONTH(A449)&lt;11),(T449+R449+G449)*(((1/(1-Summary!$T$12))/(1-Summary!$W$12))-1),(T449+R449+G449)*((1/(1-Summary!$U$12))/(1-Summary!$X$12)-1)))</f>
        <v/>
      </c>
      <c r="W449" s="63" t="str">
        <f t="shared" si="241"/>
        <v/>
      </c>
      <c r="X449" s="63" t="str">
        <f t="shared" si="242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3"/>
        <v/>
      </c>
      <c r="AP449" s="33" t="str">
        <f t="shared" si="244"/>
        <v/>
      </c>
      <c r="AQ449" s="58" t="str">
        <f t="shared" si="245"/>
        <v/>
      </c>
      <c r="AR449" s="38">
        <f>'ANR OK vs ML7'!AR449</f>
        <v>0.1</v>
      </c>
      <c r="AS449" s="35" t="str">
        <f t="shared" si="246"/>
        <v/>
      </c>
      <c r="AT449" s="3" t="str">
        <f t="shared" si="247"/>
        <v/>
      </c>
      <c r="AU449" s="3" t="str">
        <f t="shared" si="248"/>
        <v/>
      </c>
      <c r="AW449" s="32" t="str">
        <f t="shared" si="249"/>
        <v/>
      </c>
      <c r="AX449" s="32" t="str">
        <f t="shared" si="249"/>
        <v/>
      </c>
      <c r="AY449" s="32" t="str">
        <f t="shared" si="250"/>
        <v/>
      </c>
      <c r="BA449" s="32" t="str">
        <f>IF($A450="","",F449*Summary!$Q$12)</f>
        <v/>
      </c>
    </row>
    <row r="450" spans="1:53">
      <c r="A450" s="67" t="str">
        <f t="shared" si="251"/>
        <v/>
      </c>
      <c r="B450" s="69" t="str">
        <f t="shared" si="252"/>
        <v/>
      </c>
      <c r="D450" s="69" t="str">
        <f t="shared" si="226"/>
        <v/>
      </c>
      <c r="E450" s="70" t="str">
        <f t="shared" si="227"/>
        <v/>
      </c>
      <c r="F450" s="70" t="str">
        <f t="shared" si="228"/>
        <v/>
      </c>
      <c r="G450" s="63" t="str">
        <f t="shared" si="229"/>
        <v/>
      </c>
      <c r="H450" s="64" t="str">
        <f t="shared" si="230"/>
        <v/>
      </c>
      <c r="J450" s="63" t="str">
        <f t="shared" si="231"/>
        <v/>
      </c>
      <c r="K450" s="64" t="str">
        <f t="shared" si="232"/>
        <v/>
      </c>
      <c r="L450" s="63" t="str">
        <f t="shared" si="233"/>
        <v/>
      </c>
      <c r="M450" s="64" t="str">
        <f t="shared" si="234"/>
        <v/>
      </c>
      <c r="O450" s="63" t="str">
        <f t="shared" si="235"/>
        <v/>
      </c>
      <c r="P450" s="63" t="str">
        <f t="shared" si="236"/>
        <v/>
      </c>
      <c r="R450" s="63" t="str">
        <f t="shared" si="237"/>
        <v/>
      </c>
      <c r="S450" s="64" t="str">
        <f t="shared" si="238"/>
        <v/>
      </c>
      <c r="T450" s="63" t="str">
        <f t="shared" si="239"/>
        <v/>
      </c>
      <c r="U450" s="64" t="str">
        <f t="shared" si="240"/>
        <v/>
      </c>
      <c r="V450" s="90" t="str">
        <f>IF($A451="","",IF(AND(MONTH(A450)&gt;3,MONTH(A450)&lt;11),(T450+R450+G450)*(((1/(1-Summary!$T$12))/(1-Summary!$W$12))-1),(T450+R450+G450)*((1/(1-Summary!$U$12))/(1-Summary!$X$12)-1)))</f>
        <v/>
      </c>
      <c r="W450" s="63" t="str">
        <f t="shared" si="241"/>
        <v/>
      </c>
      <c r="X450" s="63" t="str">
        <f t="shared" si="242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3"/>
        <v/>
      </c>
      <c r="AP450" s="33" t="str">
        <f t="shared" si="244"/>
        <v/>
      </c>
      <c r="AQ450" s="58" t="str">
        <f t="shared" si="245"/>
        <v/>
      </c>
      <c r="AR450" s="38">
        <f>'ANR OK vs ML7'!AR450</f>
        <v>0.1</v>
      </c>
      <c r="AS450" s="35" t="str">
        <f t="shared" si="246"/>
        <v/>
      </c>
      <c r="AT450" s="3" t="str">
        <f t="shared" si="247"/>
        <v/>
      </c>
      <c r="AU450" s="3" t="str">
        <f t="shared" si="248"/>
        <v/>
      </c>
      <c r="AW450" s="32" t="str">
        <f t="shared" si="249"/>
        <v/>
      </c>
      <c r="AX450" s="32" t="str">
        <f t="shared" si="249"/>
        <v/>
      </c>
      <c r="AY450" s="32" t="str">
        <f t="shared" si="250"/>
        <v/>
      </c>
      <c r="BA450" s="32" t="str">
        <f>IF($A451="","",F450*Summary!$Q$12)</f>
        <v/>
      </c>
    </row>
    <row r="451" spans="1:53">
      <c r="A451" s="67" t="str">
        <f t="shared" si="251"/>
        <v/>
      </c>
      <c r="B451" s="69" t="str">
        <f t="shared" si="252"/>
        <v/>
      </c>
      <c r="D451" s="69" t="str">
        <f t="shared" si="226"/>
        <v/>
      </c>
      <c r="E451" s="70" t="str">
        <f t="shared" si="227"/>
        <v/>
      </c>
      <c r="F451" s="70" t="str">
        <f t="shared" si="228"/>
        <v/>
      </c>
      <c r="G451" s="63" t="str">
        <f t="shared" si="229"/>
        <v/>
      </c>
      <c r="H451" s="64" t="str">
        <f t="shared" si="230"/>
        <v/>
      </c>
      <c r="J451" s="63" t="str">
        <f t="shared" si="231"/>
        <v/>
      </c>
      <c r="K451" s="64" t="str">
        <f t="shared" si="232"/>
        <v/>
      </c>
      <c r="L451" s="63" t="str">
        <f t="shared" si="233"/>
        <v/>
      </c>
      <c r="M451" s="64" t="str">
        <f t="shared" si="234"/>
        <v/>
      </c>
      <c r="O451" s="63" t="str">
        <f t="shared" si="235"/>
        <v/>
      </c>
      <c r="P451" s="63" t="str">
        <f t="shared" si="236"/>
        <v/>
      </c>
      <c r="R451" s="63" t="str">
        <f t="shared" si="237"/>
        <v/>
      </c>
      <c r="S451" s="64" t="str">
        <f t="shared" si="238"/>
        <v/>
      </c>
      <c r="T451" s="63" t="str">
        <f t="shared" si="239"/>
        <v/>
      </c>
      <c r="U451" s="64" t="str">
        <f t="shared" si="240"/>
        <v/>
      </c>
      <c r="V451" s="90" t="str">
        <f>IF($A452="","",IF(AND(MONTH(A451)&gt;3,MONTH(A451)&lt;11),(T451+R451+G451)*(((1/(1-Summary!$T$12))/(1-Summary!$W$12))-1),(T451+R451+G451)*((1/(1-Summary!$U$12))/(1-Summary!$X$12)-1)))</f>
        <v/>
      </c>
      <c r="W451" s="63" t="str">
        <f t="shared" si="241"/>
        <v/>
      </c>
      <c r="X451" s="63" t="str">
        <f t="shared" si="242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3"/>
        <v/>
      </c>
      <c r="AP451" s="33" t="str">
        <f t="shared" si="244"/>
        <v/>
      </c>
      <c r="AQ451" s="58" t="str">
        <f t="shared" si="245"/>
        <v/>
      </c>
      <c r="AR451" s="38">
        <f>'ANR OK vs ML7'!AR451</f>
        <v>0.1</v>
      </c>
      <c r="AS451" s="35" t="str">
        <f t="shared" si="246"/>
        <v/>
      </c>
      <c r="AT451" s="3" t="str">
        <f t="shared" si="247"/>
        <v/>
      </c>
      <c r="AU451" s="3" t="str">
        <f t="shared" si="248"/>
        <v/>
      </c>
      <c r="AW451" s="32" t="str">
        <f t="shared" si="249"/>
        <v/>
      </c>
      <c r="AX451" s="32" t="str">
        <f t="shared" si="249"/>
        <v/>
      </c>
      <c r="AY451" s="32" t="str">
        <f t="shared" si="250"/>
        <v/>
      </c>
      <c r="BA451" s="32" t="str">
        <f>IF($A452="","",F451*Summary!$Q$12)</f>
        <v/>
      </c>
    </row>
    <row r="452" spans="1:53">
      <c r="A452" s="67" t="str">
        <f t="shared" si="251"/>
        <v/>
      </c>
      <c r="B452" s="69" t="str">
        <f t="shared" si="252"/>
        <v/>
      </c>
      <c r="D452" s="69" t="str">
        <f t="shared" si="226"/>
        <v/>
      </c>
      <c r="E452" s="70" t="str">
        <f t="shared" si="227"/>
        <v/>
      </c>
      <c r="F452" s="70" t="str">
        <f t="shared" si="228"/>
        <v/>
      </c>
      <c r="G452" s="63" t="str">
        <f t="shared" si="229"/>
        <v/>
      </c>
      <c r="H452" s="64" t="str">
        <f t="shared" si="230"/>
        <v/>
      </c>
      <c r="J452" s="63" t="str">
        <f t="shared" si="231"/>
        <v/>
      </c>
      <c r="K452" s="64" t="str">
        <f t="shared" si="232"/>
        <v/>
      </c>
      <c r="L452" s="63" t="str">
        <f t="shared" si="233"/>
        <v/>
      </c>
      <c r="M452" s="64" t="str">
        <f t="shared" si="234"/>
        <v/>
      </c>
      <c r="O452" s="63" t="str">
        <f t="shared" si="235"/>
        <v/>
      </c>
      <c r="P452" s="63" t="str">
        <f t="shared" si="236"/>
        <v/>
      </c>
      <c r="R452" s="63" t="str">
        <f t="shared" si="237"/>
        <v/>
      </c>
      <c r="S452" s="64" t="str">
        <f t="shared" si="238"/>
        <v/>
      </c>
      <c r="T452" s="63" t="str">
        <f t="shared" si="239"/>
        <v/>
      </c>
      <c r="U452" s="64" t="str">
        <f t="shared" si="240"/>
        <v/>
      </c>
      <c r="V452" s="90" t="str">
        <f>IF($A453="","",IF(AND(MONTH(A452)&gt;3,MONTH(A452)&lt;11),(T452+R452+G452)*(((1/(1-Summary!$T$12))/(1-Summary!$W$12))-1),(T452+R452+G452)*((1/(1-Summary!$U$12))/(1-Summary!$X$12)-1)))</f>
        <v/>
      </c>
      <c r="W452" s="63" t="str">
        <f t="shared" si="241"/>
        <v/>
      </c>
      <c r="X452" s="63" t="str">
        <f t="shared" si="242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3"/>
        <v/>
      </c>
      <c r="AP452" s="33" t="str">
        <f t="shared" si="244"/>
        <v/>
      </c>
      <c r="AQ452" s="58" t="str">
        <f t="shared" si="245"/>
        <v/>
      </c>
      <c r="AR452" s="38">
        <f>'ANR OK vs ML7'!AR452</f>
        <v>0.1</v>
      </c>
      <c r="AS452" s="35" t="str">
        <f t="shared" si="246"/>
        <v/>
      </c>
      <c r="AT452" s="3" t="str">
        <f t="shared" si="247"/>
        <v/>
      </c>
      <c r="AU452" s="3" t="str">
        <f t="shared" si="248"/>
        <v/>
      </c>
      <c r="AW452" s="32" t="str">
        <f t="shared" si="249"/>
        <v/>
      </c>
      <c r="AX452" s="32" t="str">
        <f t="shared" si="249"/>
        <v/>
      </c>
      <c r="AY452" s="32" t="str">
        <f t="shared" si="250"/>
        <v/>
      </c>
      <c r="BA452" s="32" t="str">
        <f>IF($A453="","",F452*Summary!$Q$12)</f>
        <v/>
      </c>
    </row>
    <row r="453" spans="1:53">
      <c r="A453" s="67" t="str">
        <f t="shared" si="251"/>
        <v/>
      </c>
      <c r="B453" s="69" t="str">
        <f t="shared" si="252"/>
        <v/>
      </c>
      <c r="D453" s="69" t="str">
        <f t="shared" si="226"/>
        <v/>
      </c>
      <c r="E453" s="70" t="str">
        <f t="shared" si="227"/>
        <v/>
      </c>
      <c r="F453" s="70" t="str">
        <f t="shared" si="228"/>
        <v/>
      </c>
      <c r="G453" s="63" t="str">
        <f t="shared" si="229"/>
        <v/>
      </c>
      <c r="H453" s="64" t="str">
        <f t="shared" si="230"/>
        <v/>
      </c>
      <c r="J453" s="63" t="str">
        <f t="shared" si="231"/>
        <v/>
      </c>
      <c r="K453" s="64" t="str">
        <f t="shared" si="232"/>
        <v/>
      </c>
      <c r="L453" s="63" t="str">
        <f t="shared" si="233"/>
        <v/>
      </c>
      <c r="M453" s="64" t="str">
        <f t="shared" si="234"/>
        <v/>
      </c>
      <c r="O453" s="63" t="str">
        <f t="shared" si="235"/>
        <v/>
      </c>
      <c r="P453" s="63" t="str">
        <f t="shared" si="236"/>
        <v/>
      </c>
      <c r="R453" s="63" t="str">
        <f t="shared" si="237"/>
        <v/>
      </c>
      <c r="S453" s="64" t="str">
        <f t="shared" si="238"/>
        <v/>
      </c>
      <c r="T453" s="63" t="str">
        <f t="shared" si="239"/>
        <v/>
      </c>
      <c r="U453" s="64" t="str">
        <f t="shared" si="240"/>
        <v/>
      </c>
      <c r="V453" s="90" t="str">
        <f>IF($A454="","",IF(AND(MONTH(A453)&gt;3,MONTH(A453)&lt;11),(T453+R453+G453)*(((1/(1-Summary!$T$12))/(1-Summary!$W$12))-1),(T453+R453+G453)*((1/(1-Summary!$U$12))/(1-Summary!$X$12)-1)))</f>
        <v/>
      </c>
      <c r="W453" s="63" t="str">
        <f t="shared" si="241"/>
        <v/>
      </c>
      <c r="X453" s="63" t="str">
        <f t="shared" si="242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3"/>
        <v/>
      </c>
      <c r="AP453" s="33" t="str">
        <f t="shared" si="244"/>
        <v/>
      </c>
      <c r="AQ453" s="58" t="str">
        <f t="shared" si="245"/>
        <v/>
      </c>
      <c r="AR453" s="38">
        <f>'ANR OK vs ML7'!AR453</f>
        <v>0.1</v>
      </c>
      <c r="AS453" s="35" t="str">
        <f t="shared" si="246"/>
        <v/>
      </c>
      <c r="AT453" s="3" t="str">
        <f t="shared" si="247"/>
        <v/>
      </c>
      <c r="AU453" s="3" t="str">
        <f t="shared" si="248"/>
        <v/>
      </c>
      <c r="AW453" s="32" t="str">
        <f t="shared" si="249"/>
        <v/>
      </c>
      <c r="AX453" s="32" t="str">
        <f t="shared" si="249"/>
        <v/>
      </c>
      <c r="AY453" s="32" t="str">
        <f t="shared" si="250"/>
        <v/>
      </c>
      <c r="BA453" s="32" t="str">
        <f>IF($A454="","",F453*Summary!$Q$12)</f>
        <v/>
      </c>
    </row>
    <row r="454" spans="1:53">
      <c r="A454" s="67" t="str">
        <f t="shared" si="251"/>
        <v/>
      </c>
      <c r="B454" s="69" t="str">
        <f t="shared" si="252"/>
        <v/>
      </c>
      <c r="D454" s="69" t="str">
        <f t="shared" si="226"/>
        <v/>
      </c>
      <c r="E454" s="70" t="str">
        <f t="shared" si="227"/>
        <v/>
      </c>
      <c r="F454" s="70" t="str">
        <f t="shared" si="228"/>
        <v/>
      </c>
      <c r="G454" s="63" t="str">
        <f t="shared" si="229"/>
        <v/>
      </c>
      <c r="H454" s="64" t="str">
        <f t="shared" si="230"/>
        <v/>
      </c>
      <c r="J454" s="63" t="str">
        <f t="shared" si="231"/>
        <v/>
      </c>
      <c r="K454" s="64" t="str">
        <f t="shared" si="232"/>
        <v/>
      </c>
      <c r="L454" s="63" t="str">
        <f t="shared" si="233"/>
        <v/>
      </c>
      <c r="M454" s="64" t="str">
        <f t="shared" si="234"/>
        <v/>
      </c>
      <c r="O454" s="63" t="str">
        <f t="shared" si="235"/>
        <v/>
      </c>
      <c r="P454" s="63" t="str">
        <f t="shared" si="236"/>
        <v/>
      </c>
      <c r="R454" s="63" t="str">
        <f t="shared" si="237"/>
        <v/>
      </c>
      <c r="S454" s="64" t="str">
        <f t="shared" si="238"/>
        <v/>
      </c>
      <c r="T454" s="63" t="str">
        <f t="shared" si="239"/>
        <v/>
      </c>
      <c r="U454" s="64" t="str">
        <f t="shared" si="240"/>
        <v/>
      </c>
      <c r="V454" s="90" t="str">
        <f>IF($A455="","",IF(AND(MONTH(A454)&gt;3,MONTH(A454)&lt;11),(T454+R454+G454)*(((1/(1-Summary!$T$12))/(1-Summary!$W$12))-1),(T454+R454+G454)*((1/(1-Summary!$U$12))/(1-Summary!$X$12)-1)))</f>
        <v/>
      </c>
      <c r="W454" s="63" t="str">
        <f t="shared" si="241"/>
        <v/>
      </c>
      <c r="X454" s="63" t="str">
        <f t="shared" si="242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3"/>
        <v/>
      </c>
      <c r="AP454" s="33" t="str">
        <f t="shared" si="244"/>
        <v/>
      </c>
      <c r="AQ454" s="58" t="str">
        <f t="shared" si="245"/>
        <v/>
      </c>
      <c r="AR454" s="38">
        <f>'ANR OK vs ML7'!AR454</f>
        <v>0.1</v>
      </c>
      <c r="AS454" s="35" t="str">
        <f t="shared" si="246"/>
        <v/>
      </c>
      <c r="AT454" s="3" t="str">
        <f t="shared" si="247"/>
        <v/>
      </c>
      <c r="AU454" s="3" t="str">
        <f t="shared" si="248"/>
        <v/>
      </c>
      <c r="AW454" s="32" t="str">
        <f t="shared" si="249"/>
        <v/>
      </c>
      <c r="AX454" s="32" t="str">
        <f t="shared" si="249"/>
        <v/>
      </c>
      <c r="AY454" s="32" t="str">
        <f t="shared" si="250"/>
        <v/>
      </c>
      <c r="BA454" s="32" t="str">
        <f>IF($A455="","",F454*Summary!$Q$12)</f>
        <v/>
      </c>
    </row>
    <row r="455" spans="1:53">
      <c r="A455" s="67" t="str">
        <f t="shared" si="251"/>
        <v/>
      </c>
      <c r="B455" s="69" t="str">
        <f t="shared" si="252"/>
        <v/>
      </c>
      <c r="D455" s="69" t="str">
        <f t="shared" si="226"/>
        <v/>
      </c>
      <c r="E455" s="70" t="str">
        <f t="shared" si="227"/>
        <v/>
      </c>
      <c r="F455" s="70" t="str">
        <f t="shared" si="228"/>
        <v/>
      </c>
      <c r="G455" s="63" t="str">
        <f t="shared" si="229"/>
        <v/>
      </c>
      <c r="H455" s="64" t="str">
        <f t="shared" si="230"/>
        <v/>
      </c>
      <c r="J455" s="63" t="str">
        <f t="shared" si="231"/>
        <v/>
      </c>
      <c r="K455" s="64" t="str">
        <f t="shared" si="232"/>
        <v/>
      </c>
      <c r="L455" s="63" t="str">
        <f t="shared" si="233"/>
        <v/>
      </c>
      <c r="M455" s="64" t="str">
        <f t="shared" si="234"/>
        <v/>
      </c>
      <c r="O455" s="63" t="str">
        <f t="shared" si="235"/>
        <v/>
      </c>
      <c r="P455" s="63" t="str">
        <f t="shared" si="236"/>
        <v/>
      </c>
      <c r="R455" s="63" t="str">
        <f t="shared" si="237"/>
        <v/>
      </c>
      <c r="S455" s="64" t="str">
        <f t="shared" si="238"/>
        <v/>
      </c>
      <c r="T455" s="63" t="str">
        <f t="shared" si="239"/>
        <v/>
      </c>
      <c r="U455" s="64" t="str">
        <f t="shared" si="240"/>
        <v/>
      </c>
      <c r="V455" s="90" t="str">
        <f>IF($A456="","",IF(AND(MONTH(A455)&gt;3,MONTH(A455)&lt;11),(T455+R455+G455)*(((1/(1-Summary!$T$12))/(1-Summary!$W$12))-1),(T455+R455+G455)*((1/(1-Summary!$U$12))/(1-Summary!$X$12)-1)))</f>
        <v/>
      </c>
      <c r="W455" s="63" t="str">
        <f t="shared" si="241"/>
        <v/>
      </c>
      <c r="X455" s="63" t="str">
        <f t="shared" si="242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3"/>
        <v/>
      </c>
      <c r="AP455" s="33" t="str">
        <f t="shared" si="244"/>
        <v/>
      </c>
      <c r="AQ455" s="58" t="str">
        <f t="shared" si="245"/>
        <v/>
      </c>
      <c r="AR455" s="38">
        <f>'ANR OK vs ML7'!AR455</f>
        <v>0.1</v>
      </c>
      <c r="AS455" s="35" t="str">
        <f t="shared" si="246"/>
        <v/>
      </c>
      <c r="AT455" s="3" t="str">
        <f t="shared" si="247"/>
        <v/>
      </c>
      <c r="AU455" s="3" t="str">
        <f t="shared" si="248"/>
        <v/>
      </c>
      <c r="AW455" s="32" t="str">
        <f t="shared" si="249"/>
        <v/>
      </c>
      <c r="AX455" s="32" t="str">
        <f t="shared" si="249"/>
        <v/>
      </c>
      <c r="AY455" s="32" t="str">
        <f t="shared" si="250"/>
        <v/>
      </c>
      <c r="BA455" s="32" t="str">
        <f>IF($A456="","",F455*Summary!$Q$12)</f>
        <v/>
      </c>
    </row>
    <row r="456" spans="1:53">
      <c r="A456" s="67" t="str">
        <f t="shared" si="251"/>
        <v/>
      </c>
      <c r="B456" s="69" t="str">
        <f t="shared" si="252"/>
        <v/>
      </c>
      <c r="D456" s="69" t="str">
        <f t="shared" si="226"/>
        <v/>
      </c>
      <c r="E456" s="70" t="str">
        <f t="shared" si="227"/>
        <v/>
      </c>
      <c r="F456" s="70" t="str">
        <f t="shared" si="228"/>
        <v/>
      </c>
      <c r="G456" s="63" t="str">
        <f t="shared" si="229"/>
        <v/>
      </c>
      <c r="H456" s="64" t="str">
        <f t="shared" si="230"/>
        <v/>
      </c>
      <c r="J456" s="63" t="str">
        <f t="shared" si="231"/>
        <v/>
      </c>
      <c r="K456" s="64" t="str">
        <f t="shared" si="232"/>
        <v/>
      </c>
      <c r="L456" s="63" t="str">
        <f t="shared" si="233"/>
        <v/>
      </c>
      <c r="M456" s="64" t="str">
        <f t="shared" si="234"/>
        <v/>
      </c>
      <c r="O456" s="63" t="str">
        <f t="shared" si="235"/>
        <v/>
      </c>
      <c r="P456" s="63" t="str">
        <f t="shared" si="236"/>
        <v/>
      </c>
      <c r="R456" s="63" t="str">
        <f t="shared" si="237"/>
        <v/>
      </c>
      <c r="S456" s="64" t="str">
        <f t="shared" si="238"/>
        <v/>
      </c>
      <c r="T456" s="63" t="str">
        <f t="shared" si="239"/>
        <v/>
      </c>
      <c r="U456" s="64" t="str">
        <f t="shared" si="240"/>
        <v/>
      </c>
      <c r="V456" s="90" t="str">
        <f>IF($A457="","",IF(AND(MONTH(A456)&gt;3,MONTH(A456)&lt;11),(T456+R456+G456)*(((1/(1-Summary!$T$12))/(1-Summary!$W$12))-1),(T456+R456+G456)*((1/(1-Summary!$U$12))/(1-Summary!$X$12)-1)))</f>
        <v/>
      </c>
      <c r="W456" s="63" t="str">
        <f t="shared" si="241"/>
        <v/>
      </c>
      <c r="X456" s="63" t="str">
        <f t="shared" si="242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3"/>
        <v/>
      </c>
      <c r="AP456" s="33" t="str">
        <f t="shared" si="244"/>
        <v/>
      </c>
      <c r="AQ456" s="58" t="str">
        <f t="shared" si="245"/>
        <v/>
      </c>
      <c r="AR456" s="38">
        <f>'ANR OK vs ML7'!AR456</f>
        <v>0.1</v>
      </c>
      <c r="AS456" s="35" t="str">
        <f t="shared" si="246"/>
        <v/>
      </c>
      <c r="AT456" s="3" t="str">
        <f t="shared" si="247"/>
        <v/>
      </c>
      <c r="AU456" s="3" t="str">
        <f t="shared" si="248"/>
        <v/>
      </c>
      <c r="AW456" s="32" t="str">
        <f t="shared" si="249"/>
        <v/>
      </c>
      <c r="AX456" s="32" t="str">
        <f t="shared" si="249"/>
        <v/>
      </c>
      <c r="AY456" s="32" t="str">
        <f t="shared" si="250"/>
        <v/>
      </c>
      <c r="BA456" s="32" t="str">
        <f>IF($A457="","",F456*Summary!$Q$12)</f>
        <v/>
      </c>
    </row>
    <row r="457" spans="1:53">
      <c r="A457" s="67" t="str">
        <f t="shared" si="251"/>
        <v/>
      </c>
      <c r="B457" s="69" t="str">
        <f t="shared" si="252"/>
        <v/>
      </c>
      <c r="D457" s="69" t="str">
        <f t="shared" si="226"/>
        <v/>
      </c>
      <c r="E457" s="70" t="str">
        <f t="shared" si="227"/>
        <v/>
      </c>
      <c r="F457" s="70" t="str">
        <f t="shared" si="228"/>
        <v/>
      </c>
      <c r="G457" s="63" t="str">
        <f t="shared" si="229"/>
        <v/>
      </c>
      <c r="H457" s="64" t="str">
        <f t="shared" si="230"/>
        <v/>
      </c>
      <c r="J457" s="63" t="str">
        <f t="shared" si="231"/>
        <v/>
      </c>
      <c r="K457" s="64" t="str">
        <f t="shared" si="232"/>
        <v/>
      </c>
      <c r="L457" s="63" t="str">
        <f t="shared" si="233"/>
        <v/>
      </c>
      <c r="M457" s="64" t="str">
        <f t="shared" si="234"/>
        <v/>
      </c>
      <c r="O457" s="63" t="str">
        <f t="shared" si="235"/>
        <v/>
      </c>
      <c r="P457" s="63" t="str">
        <f t="shared" si="236"/>
        <v/>
      </c>
      <c r="R457" s="63" t="str">
        <f t="shared" si="237"/>
        <v/>
      </c>
      <c r="S457" s="64" t="str">
        <f t="shared" si="238"/>
        <v/>
      </c>
      <c r="T457" s="63" t="str">
        <f t="shared" si="239"/>
        <v/>
      </c>
      <c r="U457" s="64" t="str">
        <f t="shared" si="240"/>
        <v/>
      </c>
      <c r="V457" s="90" t="str">
        <f>IF($A458="","",IF(AND(MONTH(A457)&gt;3,MONTH(A457)&lt;11),(T457+R457+G457)*(((1/(1-Summary!$T$12))/(1-Summary!$W$12))-1),(T457+R457+G457)*((1/(1-Summary!$U$12))/(1-Summary!$X$12)-1)))</f>
        <v/>
      </c>
      <c r="W457" s="63" t="str">
        <f t="shared" si="241"/>
        <v/>
      </c>
      <c r="X457" s="63" t="str">
        <f t="shared" si="242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3"/>
        <v/>
      </c>
      <c r="AP457" s="33" t="str">
        <f t="shared" si="244"/>
        <v/>
      </c>
      <c r="AQ457" s="58" t="str">
        <f t="shared" si="245"/>
        <v/>
      </c>
      <c r="AR457" s="38">
        <f>'ANR OK vs ML7'!AR457</f>
        <v>0.1</v>
      </c>
      <c r="AS457" s="35" t="str">
        <f t="shared" si="246"/>
        <v/>
      </c>
      <c r="AT457" s="3" t="str">
        <f t="shared" si="247"/>
        <v/>
      </c>
      <c r="AU457" s="3" t="str">
        <f t="shared" si="248"/>
        <v/>
      </c>
      <c r="AW457" s="32" t="str">
        <f t="shared" si="249"/>
        <v/>
      </c>
      <c r="AX457" s="32" t="str">
        <f t="shared" si="249"/>
        <v/>
      </c>
      <c r="AY457" s="32" t="str">
        <f t="shared" si="250"/>
        <v/>
      </c>
      <c r="BA457" s="32" t="str">
        <f>IF($A458="","",F457*Summary!$Q$12)</f>
        <v/>
      </c>
    </row>
    <row r="458" spans="1:53">
      <c r="A458" s="67" t="str">
        <f t="shared" si="251"/>
        <v/>
      </c>
      <c r="B458" s="69" t="str">
        <f t="shared" si="252"/>
        <v/>
      </c>
      <c r="D458" s="69" t="str">
        <f t="shared" ref="D458:D499" si="253">IF(A459&lt;&gt;"",B458+C458,"")</f>
        <v/>
      </c>
      <c r="E458" s="70" t="str">
        <f t="shared" ref="E458:E499" si="254">IF(A459="","",IF(AND(AT458=1,$H$3=1),D458*AO458,IF($H$3=2,D458,"N/A")))</f>
        <v/>
      </c>
      <c r="F458" s="70" t="str">
        <f t="shared" ref="F458:F499" si="255">IF(A459="","",E458*AS458)</f>
        <v/>
      </c>
      <c r="G458" s="63" t="str">
        <f t="shared" ref="G458:G499" si="256">IF($A459="","",VLOOKUP($A458,Table,MATCH(G$4,Curves,0)))</f>
        <v/>
      </c>
      <c r="H458" s="64" t="str">
        <f t="shared" ref="H458:H499" si="257">IF(A459="","",G458)</f>
        <v/>
      </c>
      <c r="J458" s="63" t="str">
        <f t="shared" ref="J458:J499" si="258">IF($A459="","",VLOOKUP($A458,Table,MATCH(J$4,Curves,0)))</f>
        <v/>
      </c>
      <c r="K458" s="64" t="str">
        <f t="shared" ref="K458:K499" si="259">IF(A459="","",J458)</f>
        <v/>
      </c>
      <c r="L458" s="63" t="str">
        <f t="shared" ref="L458:L499" si="260">IF($A459="","",VLOOKUP($A458,Table,MATCH(L$4,Curves,0)))</f>
        <v/>
      </c>
      <c r="M458" s="64" t="str">
        <f t="shared" ref="M458:M499" si="261">IF(A459="","",L458)</f>
        <v/>
      </c>
      <c r="O458" s="63" t="str">
        <f t="shared" ref="O458:O499" si="262">IF(A459="","",L458+J458+G458)</f>
        <v/>
      </c>
      <c r="P458" s="63" t="str">
        <f t="shared" ref="P458:P499" si="263">IF(A459="","",M458+K458+H458)</f>
        <v/>
      </c>
      <c r="R458" s="63" t="str">
        <f t="shared" ref="R458:R499" si="264">IF($A459="","",VLOOKUP($A458,Table,MATCH(R$4,Curves,0)))</f>
        <v/>
      </c>
      <c r="S458" s="64" t="str">
        <f t="shared" ref="S458:S499" si="265">IF(A459="","",R458)</f>
        <v/>
      </c>
      <c r="T458" s="63" t="str">
        <f t="shared" ref="T458:T499" si="266">IF($A459="","",VLOOKUP($A458,Table,MATCH(T$4,Curves,0)))</f>
        <v/>
      </c>
      <c r="U458" s="64" t="str">
        <f t="shared" ref="U458:U499" si="267">IF(A459="","",T458)</f>
        <v/>
      </c>
      <c r="V458" s="90" t="str">
        <f>IF($A459="","",IF(AND(MONTH(A458)&gt;3,MONTH(A458)&lt;11),(T458+R458+G458)*(((1/(1-Summary!$T$12))/(1-Summary!$W$12))-1),(T458+R458+G458)*((1/(1-Summary!$U$12))/(1-Summary!$X$12)-1)))</f>
        <v/>
      </c>
      <c r="W458" s="63" t="str">
        <f t="shared" ref="W458:W499" si="268">IF($A459="","",(T458+R458+G458+V458))</f>
        <v/>
      </c>
      <c r="X458" s="63" t="str">
        <f t="shared" ref="X458:X499" si="269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70">IF(A459="","",A459-A458)</f>
        <v/>
      </c>
      <c r="AP458" s="33" t="str">
        <f t="shared" ref="AP458:AP499" si="271">IF(A459="","",CHOOSE(F$3,A459+24,A458))</f>
        <v/>
      </c>
      <c r="AQ458" s="58" t="str">
        <f t="shared" ref="AQ458:AQ499" si="272">IF(A459="","",AP458-$E$1)</f>
        <v/>
      </c>
      <c r="AR458" s="38">
        <f>'ANR OK vs ML7'!AR458</f>
        <v>0.1</v>
      </c>
      <c r="AS458" s="35" t="str">
        <f t="shared" ref="AS458:AS499" si="273">IF(A459="","",1/(1+CHOOSE(F$3,(AR459+($I$3/10000))/2,(AR458+($I$3/10000))/2))^(2*AQ458/365.25))</f>
        <v/>
      </c>
      <c r="AT458" s="3" t="str">
        <f t="shared" ref="AT458:AT499" si="274">IF(A459="","",IF(AND(mthbeg&lt;=A458,mthend&gt;=A458),1,0))</f>
        <v/>
      </c>
      <c r="AU458" s="3" t="str">
        <f t="shared" ref="AU458:AU499" si="275">IF(A459="","",AO458*AT458)</f>
        <v/>
      </c>
      <c r="AW458" s="32" t="str">
        <f t="shared" ref="AW458:AX501" si="276">IF($A459="","",AL458*$E458)</f>
        <v/>
      </c>
      <c r="AX458" s="32" t="str">
        <f t="shared" si="276"/>
        <v/>
      </c>
      <c r="AY458" s="32" t="str">
        <f t="shared" ref="AY458:AY501" si="277">IF($A459="","",AN458*$E458)</f>
        <v/>
      </c>
      <c r="BA458" s="32" t="str">
        <f>IF($A459="","",F458*Summary!$Q$12)</f>
        <v/>
      </c>
    </row>
    <row r="459" spans="1:53">
      <c r="A459" s="67" t="str">
        <f t="shared" ref="A459:A501" si="278">IF(A458&lt;mthend,EDATE(A458,1),"")</f>
        <v/>
      </c>
      <c r="B459" s="69" t="str">
        <f t="shared" si="252"/>
        <v/>
      </c>
      <c r="D459" s="69" t="str">
        <f t="shared" si="253"/>
        <v/>
      </c>
      <c r="E459" s="70" t="str">
        <f t="shared" si="254"/>
        <v/>
      </c>
      <c r="F459" s="70" t="str">
        <f t="shared" si="255"/>
        <v/>
      </c>
      <c r="G459" s="63" t="str">
        <f t="shared" si="256"/>
        <v/>
      </c>
      <c r="H459" s="64" t="str">
        <f t="shared" si="257"/>
        <v/>
      </c>
      <c r="J459" s="63" t="str">
        <f t="shared" si="258"/>
        <v/>
      </c>
      <c r="K459" s="64" t="str">
        <f t="shared" si="259"/>
        <v/>
      </c>
      <c r="L459" s="63" t="str">
        <f t="shared" si="260"/>
        <v/>
      </c>
      <c r="M459" s="64" t="str">
        <f t="shared" si="261"/>
        <v/>
      </c>
      <c r="O459" s="63" t="str">
        <f t="shared" si="262"/>
        <v/>
      </c>
      <c r="P459" s="63" t="str">
        <f t="shared" si="263"/>
        <v/>
      </c>
      <c r="R459" s="63" t="str">
        <f t="shared" si="264"/>
        <v/>
      </c>
      <c r="S459" s="64" t="str">
        <f t="shared" si="265"/>
        <v/>
      </c>
      <c r="T459" s="63" t="str">
        <f t="shared" si="266"/>
        <v/>
      </c>
      <c r="U459" s="64" t="str">
        <f t="shared" si="267"/>
        <v/>
      </c>
      <c r="V459" s="90" t="str">
        <f>IF($A460="","",IF(AND(MONTH(A459)&gt;3,MONTH(A459)&lt;11),(T459+R459+G459)*(((1/(1-Summary!$T$12))/(1-Summary!$W$12))-1),(T459+R459+G459)*((1/(1-Summary!$U$12))/(1-Summary!$X$12)-1)))</f>
        <v/>
      </c>
      <c r="W459" s="63" t="str">
        <f t="shared" si="268"/>
        <v/>
      </c>
      <c r="X459" s="63" t="str">
        <f t="shared" si="269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70"/>
        <v/>
      </c>
      <c r="AP459" s="33" t="str">
        <f t="shared" si="271"/>
        <v/>
      </c>
      <c r="AQ459" s="58" t="str">
        <f t="shared" si="272"/>
        <v/>
      </c>
      <c r="AR459" s="38">
        <f>'ANR OK vs ML7'!AR459</f>
        <v>0.1</v>
      </c>
      <c r="AS459" s="35" t="str">
        <f t="shared" si="273"/>
        <v/>
      </c>
      <c r="AT459" s="3" t="str">
        <f t="shared" si="274"/>
        <v/>
      </c>
      <c r="AU459" s="3" t="str">
        <f t="shared" si="275"/>
        <v/>
      </c>
      <c r="AW459" s="32" t="str">
        <f t="shared" si="276"/>
        <v/>
      </c>
      <c r="AX459" s="32" t="str">
        <f t="shared" si="276"/>
        <v/>
      </c>
      <c r="AY459" s="32" t="str">
        <f t="shared" si="277"/>
        <v/>
      </c>
      <c r="BA459" s="32" t="str">
        <f>IF($A460="","",F459*Summary!$Q$12)</f>
        <v/>
      </c>
    </row>
    <row r="460" spans="1:53">
      <c r="A460" s="67" t="str">
        <f t="shared" si="278"/>
        <v/>
      </c>
      <c r="B460" s="69" t="str">
        <f t="shared" ref="B460:B501" si="279">IF(A460&lt;mthend,B459,"")</f>
        <v/>
      </c>
      <c r="D460" s="69" t="str">
        <f t="shared" si="253"/>
        <v/>
      </c>
      <c r="E460" s="70" t="str">
        <f t="shared" si="254"/>
        <v/>
      </c>
      <c r="F460" s="70" t="str">
        <f t="shared" si="255"/>
        <v/>
      </c>
      <c r="G460" s="63" t="str">
        <f t="shared" si="256"/>
        <v/>
      </c>
      <c r="H460" s="64" t="str">
        <f t="shared" si="257"/>
        <v/>
      </c>
      <c r="J460" s="63" t="str">
        <f t="shared" si="258"/>
        <v/>
      </c>
      <c r="K460" s="64" t="str">
        <f t="shared" si="259"/>
        <v/>
      </c>
      <c r="L460" s="63" t="str">
        <f t="shared" si="260"/>
        <v/>
      </c>
      <c r="M460" s="64" t="str">
        <f t="shared" si="261"/>
        <v/>
      </c>
      <c r="O460" s="63" t="str">
        <f t="shared" si="262"/>
        <v/>
      </c>
      <c r="P460" s="63" t="str">
        <f t="shared" si="263"/>
        <v/>
      </c>
      <c r="R460" s="63" t="str">
        <f t="shared" si="264"/>
        <v/>
      </c>
      <c r="S460" s="64" t="str">
        <f t="shared" si="265"/>
        <v/>
      </c>
      <c r="T460" s="63" t="str">
        <f t="shared" si="266"/>
        <v/>
      </c>
      <c r="U460" s="64" t="str">
        <f t="shared" si="267"/>
        <v/>
      </c>
      <c r="V460" s="90" t="str">
        <f>IF($A461="","",IF(AND(MONTH(A460)&gt;3,MONTH(A460)&lt;11),(T460+R460+G460)*(((1/(1-Summary!$T$12))/(1-Summary!$W$12))-1),(T460+R460+G460)*((1/(1-Summary!$U$12))/(1-Summary!$X$12)-1)))</f>
        <v/>
      </c>
      <c r="W460" s="63" t="str">
        <f t="shared" si="268"/>
        <v/>
      </c>
      <c r="X460" s="63" t="str">
        <f t="shared" si="269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70"/>
        <v/>
      </c>
      <c r="AP460" s="33" t="str">
        <f t="shared" si="271"/>
        <v/>
      </c>
      <c r="AQ460" s="58" t="str">
        <f t="shared" si="272"/>
        <v/>
      </c>
      <c r="AR460" s="38">
        <f>'ANR OK vs ML7'!AR460</f>
        <v>0.1</v>
      </c>
      <c r="AS460" s="35" t="str">
        <f t="shared" si="273"/>
        <v/>
      </c>
      <c r="AT460" s="3" t="str">
        <f t="shared" si="274"/>
        <v/>
      </c>
      <c r="AU460" s="3" t="str">
        <f t="shared" si="275"/>
        <v/>
      </c>
      <c r="AW460" s="32" t="str">
        <f t="shared" si="276"/>
        <v/>
      </c>
      <c r="AX460" s="32" t="str">
        <f t="shared" si="276"/>
        <v/>
      </c>
      <c r="AY460" s="32" t="str">
        <f t="shared" si="277"/>
        <v/>
      </c>
      <c r="BA460" s="32" t="str">
        <f>IF($A461="","",F460*Summary!$Q$12)</f>
        <v/>
      </c>
    </row>
    <row r="461" spans="1:53">
      <c r="A461" s="67" t="str">
        <f t="shared" si="278"/>
        <v/>
      </c>
      <c r="B461" s="69" t="str">
        <f t="shared" si="279"/>
        <v/>
      </c>
      <c r="D461" s="69" t="str">
        <f t="shared" si="253"/>
        <v/>
      </c>
      <c r="E461" s="70" t="str">
        <f t="shared" si="254"/>
        <v/>
      </c>
      <c r="F461" s="70" t="str">
        <f t="shared" si="255"/>
        <v/>
      </c>
      <c r="G461" s="63" t="str">
        <f t="shared" si="256"/>
        <v/>
      </c>
      <c r="H461" s="64" t="str">
        <f t="shared" si="257"/>
        <v/>
      </c>
      <c r="J461" s="63" t="str">
        <f t="shared" si="258"/>
        <v/>
      </c>
      <c r="K461" s="64" t="str">
        <f t="shared" si="259"/>
        <v/>
      </c>
      <c r="L461" s="63" t="str">
        <f t="shared" si="260"/>
        <v/>
      </c>
      <c r="M461" s="64" t="str">
        <f t="shared" si="261"/>
        <v/>
      </c>
      <c r="O461" s="63" t="str">
        <f t="shared" si="262"/>
        <v/>
      </c>
      <c r="P461" s="63" t="str">
        <f t="shared" si="263"/>
        <v/>
      </c>
      <c r="R461" s="63" t="str">
        <f t="shared" si="264"/>
        <v/>
      </c>
      <c r="S461" s="64" t="str">
        <f t="shared" si="265"/>
        <v/>
      </c>
      <c r="T461" s="63" t="str">
        <f t="shared" si="266"/>
        <v/>
      </c>
      <c r="U461" s="64" t="str">
        <f t="shared" si="267"/>
        <v/>
      </c>
      <c r="V461" s="90" t="str">
        <f>IF($A462="","",IF(AND(MONTH(A461)&gt;3,MONTH(A461)&lt;11),(T461+R461+G461)*(((1/(1-Summary!$T$12))/(1-Summary!$W$12))-1),(T461+R461+G461)*((1/(1-Summary!$U$12))/(1-Summary!$X$12)-1)))</f>
        <v/>
      </c>
      <c r="W461" s="63" t="str">
        <f t="shared" si="268"/>
        <v/>
      </c>
      <c r="X461" s="63" t="str">
        <f t="shared" si="269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70"/>
        <v/>
      </c>
      <c r="AP461" s="33" t="str">
        <f t="shared" si="271"/>
        <v/>
      </c>
      <c r="AQ461" s="58" t="str">
        <f t="shared" si="272"/>
        <v/>
      </c>
      <c r="AR461" s="38">
        <f>'ANR OK vs ML7'!AR461</f>
        <v>0.1</v>
      </c>
      <c r="AS461" s="35" t="str">
        <f t="shared" si="273"/>
        <v/>
      </c>
      <c r="AT461" s="3" t="str">
        <f t="shared" si="274"/>
        <v/>
      </c>
      <c r="AU461" s="3" t="str">
        <f t="shared" si="275"/>
        <v/>
      </c>
      <c r="AW461" s="32" t="str">
        <f t="shared" si="276"/>
        <v/>
      </c>
      <c r="AX461" s="32" t="str">
        <f t="shared" si="276"/>
        <v/>
      </c>
      <c r="AY461" s="32" t="str">
        <f t="shared" si="277"/>
        <v/>
      </c>
      <c r="BA461" s="32" t="str">
        <f>IF($A462="","",F461*Summary!$Q$12)</f>
        <v/>
      </c>
    </row>
    <row r="462" spans="1:53">
      <c r="A462" s="67" t="str">
        <f t="shared" si="278"/>
        <v/>
      </c>
      <c r="B462" s="69" t="str">
        <f t="shared" si="279"/>
        <v/>
      </c>
      <c r="D462" s="69" t="str">
        <f t="shared" si="253"/>
        <v/>
      </c>
      <c r="E462" s="70" t="str">
        <f t="shared" si="254"/>
        <v/>
      </c>
      <c r="F462" s="70" t="str">
        <f t="shared" si="255"/>
        <v/>
      </c>
      <c r="G462" s="63" t="str">
        <f t="shared" si="256"/>
        <v/>
      </c>
      <c r="H462" s="64" t="str">
        <f t="shared" si="257"/>
        <v/>
      </c>
      <c r="J462" s="63" t="str">
        <f t="shared" si="258"/>
        <v/>
      </c>
      <c r="K462" s="64" t="str">
        <f t="shared" si="259"/>
        <v/>
      </c>
      <c r="L462" s="63" t="str">
        <f t="shared" si="260"/>
        <v/>
      </c>
      <c r="M462" s="64" t="str">
        <f t="shared" si="261"/>
        <v/>
      </c>
      <c r="O462" s="63" t="str">
        <f t="shared" si="262"/>
        <v/>
      </c>
      <c r="P462" s="63" t="str">
        <f t="shared" si="263"/>
        <v/>
      </c>
      <c r="R462" s="63" t="str">
        <f t="shared" si="264"/>
        <v/>
      </c>
      <c r="S462" s="64" t="str">
        <f t="shared" si="265"/>
        <v/>
      </c>
      <c r="T462" s="63" t="str">
        <f t="shared" si="266"/>
        <v/>
      </c>
      <c r="U462" s="64" t="str">
        <f t="shared" si="267"/>
        <v/>
      </c>
      <c r="V462" s="90" t="str">
        <f>IF($A463="","",IF(AND(MONTH(A462)&gt;3,MONTH(A462)&lt;11),(T462+R462+G462)*(((1/(1-Summary!$T$12))/(1-Summary!$W$12))-1),(T462+R462+G462)*((1/(1-Summary!$U$12))/(1-Summary!$X$12)-1)))</f>
        <v/>
      </c>
      <c r="W462" s="63" t="str">
        <f t="shared" si="268"/>
        <v/>
      </c>
      <c r="X462" s="63" t="str">
        <f t="shared" si="269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70"/>
        <v/>
      </c>
      <c r="AP462" s="33" t="str">
        <f t="shared" si="271"/>
        <v/>
      </c>
      <c r="AQ462" s="58" t="str">
        <f t="shared" si="272"/>
        <v/>
      </c>
      <c r="AR462" s="38">
        <f>'ANR OK vs ML7'!AR462</f>
        <v>0.1</v>
      </c>
      <c r="AS462" s="35" t="str">
        <f t="shared" si="273"/>
        <v/>
      </c>
      <c r="AT462" s="3" t="str">
        <f t="shared" si="274"/>
        <v/>
      </c>
      <c r="AU462" s="3" t="str">
        <f t="shared" si="275"/>
        <v/>
      </c>
      <c r="AW462" s="32" t="str">
        <f t="shared" si="276"/>
        <v/>
      </c>
      <c r="AX462" s="32" t="str">
        <f t="shared" si="276"/>
        <v/>
      </c>
      <c r="AY462" s="32" t="str">
        <f t="shared" si="277"/>
        <v/>
      </c>
      <c r="BA462" s="32" t="str">
        <f>IF($A463="","",F462*Summary!$Q$12)</f>
        <v/>
      </c>
    </row>
    <row r="463" spans="1:53">
      <c r="A463" s="67" t="str">
        <f t="shared" si="278"/>
        <v/>
      </c>
      <c r="B463" s="69" t="str">
        <f t="shared" si="279"/>
        <v/>
      </c>
      <c r="D463" s="69" t="str">
        <f t="shared" si="253"/>
        <v/>
      </c>
      <c r="E463" s="70" t="str">
        <f t="shared" si="254"/>
        <v/>
      </c>
      <c r="F463" s="70" t="str">
        <f t="shared" si="255"/>
        <v/>
      </c>
      <c r="G463" s="63" t="str">
        <f t="shared" si="256"/>
        <v/>
      </c>
      <c r="H463" s="64" t="str">
        <f t="shared" si="257"/>
        <v/>
      </c>
      <c r="J463" s="63" t="str">
        <f t="shared" si="258"/>
        <v/>
      </c>
      <c r="K463" s="64" t="str">
        <f t="shared" si="259"/>
        <v/>
      </c>
      <c r="L463" s="63" t="str">
        <f t="shared" si="260"/>
        <v/>
      </c>
      <c r="M463" s="64" t="str">
        <f t="shared" si="261"/>
        <v/>
      </c>
      <c r="O463" s="63" t="str">
        <f t="shared" si="262"/>
        <v/>
      </c>
      <c r="P463" s="63" t="str">
        <f t="shared" si="263"/>
        <v/>
      </c>
      <c r="R463" s="63" t="str">
        <f t="shared" si="264"/>
        <v/>
      </c>
      <c r="S463" s="64" t="str">
        <f t="shared" si="265"/>
        <v/>
      </c>
      <c r="T463" s="63" t="str">
        <f t="shared" si="266"/>
        <v/>
      </c>
      <c r="U463" s="64" t="str">
        <f t="shared" si="267"/>
        <v/>
      </c>
      <c r="V463" s="90" t="str">
        <f>IF($A464="","",IF(AND(MONTH(A463)&gt;3,MONTH(A463)&lt;11),(T463+R463+G463)*(((1/(1-Summary!$T$12))/(1-Summary!$W$12))-1),(T463+R463+G463)*((1/(1-Summary!$U$12))/(1-Summary!$X$12)-1)))</f>
        <v/>
      </c>
      <c r="W463" s="63" t="str">
        <f t="shared" si="268"/>
        <v/>
      </c>
      <c r="X463" s="63" t="str">
        <f t="shared" si="269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70"/>
        <v/>
      </c>
      <c r="AP463" s="33" t="str">
        <f t="shared" si="271"/>
        <v/>
      </c>
      <c r="AQ463" s="58" t="str">
        <f t="shared" si="272"/>
        <v/>
      </c>
      <c r="AR463" s="38">
        <f>'ANR OK vs ML7'!AR463</f>
        <v>0.1</v>
      </c>
      <c r="AS463" s="35" t="str">
        <f t="shared" si="273"/>
        <v/>
      </c>
      <c r="AT463" s="3" t="str">
        <f t="shared" si="274"/>
        <v/>
      </c>
      <c r="AU463" s="3" t="str">
        <f t="shared" si="275"/>
        <v/>
      </c>
      <c r="AW463" s="32" t="str">
        <f t="shared" si="276"/>
        <v/>
      </c>
      <c r="AX463" s="32" t="str">
        <f t="shared" si="276"/>
        <v/>
      </c>
      <c r="AY463" s="32" t="str">
        <f t="shared" si="277"/>
        <v/>
      </c>
      <c r="BA463" s="32" t="str">
        <f>IF($A464="","",F463*Summary!$Q$12)</f>
        <v/>
      </c>
    </row>
    <row r="464" spans="1:53">
      <c r="A464" s="67" t="str">
        <f t="shared" si="278"/>
        <v/>
      </c>
      <c r="B464" s="69" t="str">
        <f t="shared" si="279"/>
        <v/>
      </c>
      <c r="D464" s="69" t="str">
        <f t="shared" si="253"/>
        <v/>
      </c>
      <c r="E464" s="70" t="str">
        <f t="shared" si="254"/>
        <v/>
      </c>
      <c r="F464" s="70" t="str">
        <f t="shared" si="255"/>
        <v/>
      </c>
      <c r="G464" s="63" t="str">
        <f t="shared" si="256"/>
        <v/>
      </c>
      <c r="H464" s="64" t="str">
        <f t="shared" si="257"/>
        <v/>
      </c>
      <c r="J464" s="63" t="str">
        <f t="shared" si="258"/>
        <v/>
      </c>
      <c r="K464" s="64" t="str">
        <f t="shared" si="259"/>
        <v/>
      </c>
      <c r="L464" s="63" t="str">
        <f t="shared" si="260"/>
        <v/>
      </c>
      <c r="M464" s="64" t="str">
        <f t="shared" si="261"/>
        <v/>
      </c>
      <c r="O464" s="63" t="str">
        <f t="shared" si="262"/>
        <v/>
      </c>
      <c r="P464" s="63" t="str">
        <f t="shared" si="263"/>
        <v/>
      </c>
      <c r="R464" s="63" t="str">
        <f t="shared" si="264"/>
        <v/>
      </c>
      <c r="S464" s="64" t="str">
        <f t="shared" si="265"/>
        <v/>
      </c>
      <c r="T464" s="63" t="str">
        <f t="shared" si="266"/>
        <v/>
      </c>
      <c r="U464" s="64" t="str">
        <f t="shared" si="267"/>
        <v/>
      </c>
      <c r="V464" s="90" t="str">
        <f>IF($A465="","",IF(AND(MONTH(A464)&gt;3,MONTH(A464)&lt;11),(T464+R464+G464)*(((1/(1-Summary!$T$12))/(1-Summary!$W$12))-1),(T464+R464+G464)*((1/(1-Summary!$U$12))/(1-Summary!$X$12)-1)))</f>
        <v/>
      </c>
      <c r="W464" s="63" t="str">
        <f t="shared" si="268"/>
        <v/>
      </c>
      <c r="X464" s="63" t="str">
        <f t="shared" si="269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70"/>
        <v/>
      </c>
      <c r="AP464" s="33" t="str">
        <f t="shared" si="271"/>
        <v/>
      </c>
      <c r="AQ464" s="58" t="str">
        <f t="shared" si="272"/>
        <v/>
      </c>
      <c r="AR464" s="38">
        <f>'ANR OK vs ML7'!AR464</f>
        <v>0.1</v>
      </c>
      <c r="AS464" s="35" t="str">
        <f t="shared" si="273"/>
        <v/>
      </c>
      <c r="AT464" s="3" t="str">
        <f t="shared" si="274"/>
        <v/>
      </c>
      <c r="AU464" s="3" t="str">
        <f t="shared" si="275"/>
        <v/>
      </c>
      <c r="AW464" s="32" t="str">
        <f t="shared" si="276"/>
        <v/>
      </c>
      <c r="AX464" s="32" t="str">
        <f t="shared" si="276"/>
        <v/>
      </c>
      <c r="AY464" s="32" t="str">
        <f t="shared" si="277"/>
        <v/>
      </c>
      <c r="BA464" s="32" t="str">
        <f>IF($A465="","",F464*Summary!$Q$12)</f>
        <v/>
      </c>
    </row>
    <row r="465" spans="1:53">
      <c r="A465" s="67" t="str">
        <f t="shared" si="278"/>
        <v/>
      </c>
      <c r="B465" s="69" t="str">
        <f t="shared" si="279"/>
        <v/>
      </c>
      <c r="D465" s="69" t="str">
        <f t="shared" si="253"/>
        <v/>
      </c>
      <c r="E465" s="70" t="str">
        <f t="shared" si="254"/>
        <v/>
      </c>
      <c r="F465" s="70" t="str">
        <f t="shared" si="255"/>
        <v/>
      </c>
      <c r="G465" s="63" t="str">
        <f t="shared" si="256"/>
        <v/>
      </c>
      <c r="H465" s="64" t="str">
        <f t="shared" si="257"/>
        <v/>
      </c>
      <c r="J465" s="63" t="str">
        <f t="shared" si="258"/>
        <v/>
      </c>
      <c r="K465" s="64" t="str">
        <f t="shared" si="259"/>
        <v/>
      </c>
      <c r="L465" s="63" t="str">
        <f t="shared" si="260"/>
        <v/>
      </c>
      <c r="M465" s="64" t="str">
        <f t="shared" si="261"/>
        <v/>
      </c>
      <c r="O465" s="63" t="str">
        <f t="shared" si="262"/>
        <v/>
      </c>
      <c r="P465" s="63" t="str">
        <f t="shared" si="263"/>
        <v/>
      </c>
      <c r="R465" s="63" t="str">
        <f t="shared" si="264"/>
        <v/>
      </c>
      <c r="S465" s="64" t="str">
        <f t="shared" si="265"/>
        <v/>
      </c>
      <c r="T465" s="63" t="str">
        <f t="shared" si="266"/>
        <v/>
      </c>
      <c r="U465" s="64" t="str">
        <f t="shared" si="267"/>
        <v/>
      </c>
      <c r="V465" s="90" t="str">
        <f>IF($A466="","",IF(AND(MONTH(A465)&gt;3,MONTH(A465)&lt;11),(T465+R465+G465)*(((1/(1-Summary!$T$12))/(1-Summary!$W$12))-1),(T465+R465+G465)*((1/(1-Summary!$U$12))/(1-Summary!$X$12)-1)))</f>
        <v/>
      </c>
      <c r="W465" s="63" t="str">
        <f t="shared" si="268"/>
        <v/>
      </c>
      <c r="X465" s="63" t="str">
        <f t="shared" si="269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70"/>
        <v/>
      </c>
      <c r="AP465" s="33" t="str">
        <f t="shared" si="271"/>
        <v/>
      </c>
      <c r="AQ465" s="58" t="str">
        <f t="shared" si="272"/>
        <v/>
      </c>
      <c r="AR465" s="38">
        <f>'ANR OK vs ML7'!AR465</f>
        <v>0.1</v>
      </c>
      <c r="AS465" s="35" t="str">
        <f t="shared" si="273"/>
        <v/>
      </c>
      <c r="AT465" s="3" t="str">
        <f t="shared" si="274"/>
        <v/>
      </c>
      <c r="AU465" s="3" t="str">
        <f t="shared" si="275"/>
        <v/>
      </c>
      <c r="AW465" s="32" t="str">
        <f t="shared" si="276"/>
        <v/>
      </c>
      <c r="AX465" s="32" t="str">
        <f t="shared" si="276"/>
        <v/>
      </c>
      <c r="AY465" s="32" t="str">
        <f t="shared" si="277"/>
        <v/>
      </c>
      <c r="BA465" s="32" t="str">
        <f>IF($A466="","",F465*Summary!$Q$12)</f>
        <v/>
      </c>
    </row>
    <row r="466" spans="1:53">
      <c r="A466" s="67" t="str">
        <f t="shared" si="278"/>
        <v/>
      </c>
      <c r="B466" s="69" t="str">
        <f t="shared" si="279"/>
        <v/>
      </c>
      <c r="D466" s="69" t="str">
        <f t="shared" si="253"/>
        <v/>
      </c>
      <c r="E466" s="70" t="str">
        <f t="shared" si="254"/>
        <v/>
      </c>
      <c r="F466" s="70" t="str">
        <f t="shared" si="255"/>
        <v/>
      </c>
      <c r="G466" s="63" t="str">
        <f t="shared" si="256"/>
        <v/>
      </c>
      <c r="H466" s="64" t="str">
        <f t="shared" si="257"/>
        <v/>
      </c>
      <c r="J466" s="63" t="str">
        <f t="shared" si="258"/>
        <v/>
      </c>
      <c r="K466" s="64" t="str">
        <f t="shared" si="259"/>
        <v/>
      </c>
      <c r="L466" s="63" t="str">
        <f t="shared" si="260"/>
        <v/>
      </c>
      <c r="M466" s="64" t="str">
        <f t="shared" si="261"/>
        <v/>
      </c>
      <c r="O466" s="63" t="str">
        <f t="shared" si="262"/>
        <v/>
      </c>
      <c r="P466" s="63" t="str">
        <f t="shared" si="263"/>
        <v/>
      </c>
      <c r="R466" s="63" t="str">
        <f t="shared" si="264"/>
        <v/>
      </c>
      <c r="S466" s="64" t="str">
        <f t="shared" si="265"/>
        <v/>
      </c>
      <c r="T466" s="63" t="str">
        <f t="shared" si="266"/>
        <v/>
      </c>
      <c r="U466" s="64" t="str">
        <f t="shared" si="267"/>
        <v/>
      </c>
      <c r="V466" s="90" t="str">
        <f>IF($A467="","",IF(AND(MONTH(A466)&gt;3,MONTH(A466)&lt;11),(T466+R466+G466)*(((1/(1-Summary!$T$12))/(1-Summary!$W$12))-1),(T466+R466+G466)*((1/(1-Summary!$U$12))/(1-Summary!$X$12)-1)))</f>
        <v/>
      </c>
      <c r="W466" s="63" t="str">
        <f t="shared" si="268"/>
        <v/>
      </c>
      <c r="X466" s="63" t="str">
        <f t="shared" si="269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70"/>
        <v/>
      </c>
      <c r="AP466" s="33" t="str">
        <f t="shared" si="271"/>
        <v/>
      </c>
      <c r="AQ466" s="58" t="str">
        <f t="shared" si="272"/>
        <v/>
      </c>
      <c r="AR466" s="38">
        <f>'ANR OK vs ML7'!AR466</f>
        <v>0.1</v>
      </c>
      <c r="AS466" s="35" t="str">
        <f t="shared" si="273"/>
        <v/>
      </c>
      <c r="AT466" s="3" t="str">
        <f t="shared" si="274"/>
        <v/>
      </c>
      <c r="AU466" s="3" t="str">
        <f t="shared" si="275"/>
        <v/>
      </c>
      <c r="AW466" s="32" t="str">
        <f t="shared" si="276"/>
        <v/>
      </c>
      <c r="AX466" s="32" t="str">
        <f t="shared" si="276"/>
        <v/>
      </c>
      <c r="AY466" s="32" t="str">
        <f t="shared" si="277"/>
        <v/>
      </c>
      <c r="BA466" s="32" t="str">
        <f>IF($A467="","",F466*Summary!$Q$12)</f>
        <v/>
      </c>
    </row>
    <row r="467" spans="1:53">
      <c r="A467" s="67" t="str">
        <f t="shared" si="278"/>
        <v/>
      </c>
      <c r="B467" s="69" t="str">
        <f t="shared" si="279"/>
        <v/>
      </c>
      <c r="D467" s="69" t="str">
        <f t="shared" si="253"/>
        <v/>
      </c>
      <c r="E467" s="70" t="str">
        <f t="shared" si="254"/>
        <v/>
      </c>
      <c r="F467" s="70" t="str">
        <f t="shared" si="255"/>
        <v/>
      </c>
      <c r="G467" s="63" t="str">
        <f t="shared" si="256"/>
        <v/>
      </c>
      <c r="H467" s="64" t="str">
        <f t="shared" si="257"/>
        <v/>
      </c>
      <c r="J467" s="63" t="str">
        <f t="shared" si="258"/>
        <v/>
      </c>
      <c r="K467" s="64" t="str">
        <f t="shared" si="259"/>
        <v/>
      </c>
      <c r="L467" s="63" t="str">
        <f t="shared" si="260"/>
        <v/>
      </c>
      <c r="M467" s="64" t="str">
        <f t="shared" si="261"/>
        <v/>
      </c>
      <c r="O467" s="63" t="str">
        <f t="shared" si="262"/>
        <v/>
      </c>
      <c r="P467" s="63" t="str">
        <f t="shared" si="263"/>
        <v/>
      </c>
      <c r="R467" s="63" t="str">
        <f t="shared" si="264"/>
        <v/>
      </c>
      <c r="S467" s="64" t="str">
        <f t="shared" si="265"/>
        <v/>
      </c>
      <c r="T467" s="63" t="str">
        <f t="shared" si="266"/>
        <v/>
      </c>
      <c r="U467" s="64" t="str">
        <f t="shared" si="267"/>
        <v/>
      </c>
      <c r="V467" s="90" t="str">
        <f>IF($A468="","",IF(AND(MONTH(A467)&gt;3,MONTH(A467)&lt;11),(T467+R467+G467)*(((1/(1-Summary!$T$12))/(1-Summary!$W$12))-1),(T467+R467+G467)*((1/(1-Summary!$U$12))/(1-Summary!$X$12)-1)))</f>
        <v/>
      </c>
      <c r="W467" s="63" t="str">
        <f t="shared" si="268"/>
        <v/>
      </c>
      <c r="X467" s="63" t="str">
        <f t="shared" si="269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70"/>
        <v/>
      </c>
      <c r="AP467" s="33" t="str">
        <f t="shared" si="271"/>
        <v/>
      </c>
      <c r="AQ467" s="58" t="str">
        <f t="shared" si="272"/>
        <v/>
      </c>
      <c r="AR467" s="38">
        <f>'ANR OK vs ML7'!AR467</f>
        <v>0.1</v>
      </c>
      <c r="AS467" s="35" t="str">
        <f t="shared" si="273"/>
        <v/>
      </c>
      <c r="AT467" s="3" t="str">
        <f t="shared" si="274"/>
        <v/>
      </c>
      <c r="AU467" s="3" t="str">
        <f t="shared" si="275"/>
        <v/>
      </c>
      <c r="AW467" s="32" t="str">
        <f t="shared" si="276"/>
        <v/>
      </c>
      <c r="AX467" s="32" t="str">
        <f t="shared" si="276"/>
        <v/>
      </c>
      <c r="AY467" s="32" t="str">
        <f t="shared" si="277"/>
        <v/>
      </c>
      <c r="BA467" s="32" t="str">
        <f>IF($A468="","",F467*Summary!$Q$12)</f>
        <v/>
      </c>
    </row>
    <row r="468" spans="1:53">
      <c r="A468" s="67" t="str">
        <f t="shared" si="278"/>
        <v/>
      </c>
      <c r="B468" s="69" t="str">
        <f t="shared" si="279"/>
        <v/>
      </c>
      <c r="D468" s="69" t="str">
        <f t="shared" si="253"/>
        <v/>
      </c>
      <c r="E468" s="70" t="str">
        <f t="shared" si="254"/>
        <v/>
      </c>
      <c r="F468" s="70" t="str">
        <f t="shared" si="255"/>
        <v/>
      </c>
      <c r="G468" s="63" t="str">
        <f t="shared" si="256"/>
        <v/>
      </c>
      <c r="H468" s="64" t="str">
        <f t="shared" si="257"/>
        <v/>
      </c>
      <c r="J468" s="63" t="str">
        <f t="shared" si="258"/>
        <v/>
      </c>
      <c r="K468" s="64" t="str">
        <f t="shared" si="259"/>
        <v/>
      </c>
      <c r="L468" s="63" t="str">
        <f t="shared" si="260"/>
        <v/>
      </c>
      <c r="M468" s="64" t="str">
        <f t="shared" si="261"/>
        <v/>
      </c>
      <c r="O468" s="63" t="str">
        <f t="shared" si="262"/>
        <v/>
      </c>
      <c r="P468" s="63" t="str">
        <f t="shared" si="263"/>
        <v/>
      </c>
      <c r="R468" s="63" t="str">
        <f t="shared" si="264"/>
        <v/>
      </c>
      <c r="S468" s="64" t="str">
        <f t="shared" si="265"/>
        <v/>
      </c>
      <c r="T468" s="63" t="str">
        <f t="shared" si="266"/>
        <v/>
      </c>
      <c r="U468" s="64" t="str">
        <f t="shared" si="267"/>
        <v/>
      </c>
      <c r="V468" s="90" t="str">
        <f>IF($A469="","",IF(AND(MONTH(A468)&gt;3,MONTH(A468)&lt;11),(T468+R468+G468)*(((1/(1-Summary!$T$12))/(1-Summary!$W$12))-1),(T468+R468+G468)*((1/(1-Summary!$U$12))/(1-Summary!$X$12)-1)))</f>
        <v/>
      </c>
      <c r="W468" s="63" t="str">
        <f t="shared" si="268"/>
        <v/>
      </c>
      <c r="X468" s="63" t="str">
        <f t="shared" si="269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70"/>
        <v/>
      </c>
      <c r="AP468" s="33" t="str">
        <f t="shared" si="271"/>
        <v/>
      </c>
      <c r="AQ468" s="58" t="str">
        <f t="shared" si="272"/>
        <v/>
      </c>
      <c r="AR468" s="38">
        <f>'ANR OK vs ML7'!AR468</f>
        <v>0.1</v>
      </c>
      <c r="AS468" s="35" t="str">
        <f t="shared" si="273"/>
        <v/>
      </c>
      <c r="AT468" s="3" t="str">
        <f t="shared" si="274"/>
        <v/>
      </c>
      <c r="AU468" s="3" t="str">
        <f t="shared" si="275"/>
        <v/>
      </c>
      <c r="AW468" s="32" t="str">
        <f t="shared" si="276"/>
        <v/>
      </c>
      <c r="AX468" s="32" t="str">
        <f t="shared" si="276"/>
        <v/>
      </c>
      <c r="AY468" s="32" t="str">
        <f t="shared" si="277"/>
        <v/>
      </c>
      <c r="BA468" s="32" t="str">
        <f>IF($A469="","",F468*Summary!$Q$12)</f>
        <v/>
      </c>
    </row>
    <row r="469" spans="1:53">
      <c r="A469" s="67" t="str">
        <f t="shared" si="278"/>
        <v/>
      </c>
      <c r="B469" s="69" t="str">
        <f t="shared" si="279"/>
        <v/>
      </c>
      <c r="D469" s="69" t="str">
        <f t="shared" si="253"/>
        <v/>
      </c>
      <c r="E469" s="70" t="str">
        <f t="shared" si="254"/>
        <v/>
      </c>
      <c r="F469" s="70" t="str">
        <f t="shared" si="255"/>
        <v/>
      </c>
      <c r="G469" s="63" t="str">
        <f t="shared" si="256"/>
        <v/>
      </c>
      <c r="H469" s="64" t="str">
        <f t="shared" si="257"/>
        <v/>
      </c>
      <c r="J469" s="63" t="str">
        <f t="shared" si="258"/>
        <v/>
      </c>
      <c r="K469" s="64" t="str">
        <f t="shared" si="259"/>
        <v/>
      </c>
      <c r="L469" s="63" t="str">
        <f t="shared" si="260"/>
        <v/>
      </c>
      <c r="M469" s="64" t="str">
        <f t="shared" si="261"/>
        <v/>
      </c>
      <c r="O469" s="63" t="str">
        <f t="shared" si="262"/>
        <v/>
      </c>
      <c r="P469" s="63" t="str">
        <f t="shared" si="263"/>
        <v/>
      </c>
      <c r="R469" s="63" t="str">
        <f t="shared" si="264"/>
        <v/>
      </c>
      <c r="S469" s="64" t="str">
        <f t="shared" si="265"/>
        <v/>
      </c>
      <c r="T469" s="63" t="str">
        <f t="shared" si="266"/>
        <v/>
      </c>
      <c r="U469" s="64" t="str">
        <f t="shared" si="267"/>
        <v/>
      </c>
      <c r="V469" s="90" t="str">
        <f>IF($A470="","",IF(AND(MONTH(A469)&gt;3,MONTH(A469)&lt;11),(T469+R469+G469)*(((1/(1-Summary!$T$12))/(1-Summary!$W$12))-1),(T469+R469+G469)*((1/(1-Summary!$U$12))/(1-Summary!$X$12)-1)))</f>
        <v/>
      </c>
      <c r="W469" s="63" t="str">
        <f t="shared" si="268"/>
        <v/>
      </c>
      <c r="X469" s="63" t="str">
        <f t="shared" si="269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70"/>
        <v/>
      </c>
      <c r="AP469" s="33" t="str">
        <f t="shared" si="271"/>
        <v/>
      </c>
      <c r="AQ469" s="58" t="str">
        <f t="shared" si="272"/>
        <v/>
      </c>
      <c r="AR469" s="38">
        <f>'ANR OK vs ML7'!AR469</f>
        <v>0.1</v>
      </c>
      <c r="AS469" s="35" t="str">
        <f t="shared" si="273"/>
        <v/>
      </c>
      <c r="AT469" s="3" t="str">
        <f t="shared" si="274"/>
        <v/>
      </c>
      <c r="AU469" s="3" t="str">
        <f t="shared" si="275"/>
        <v/>
      </c>
      <c r="AW469" s="32" t="str">
        <f t="shared" si="276"/>
        <v/>
      </c>
      <c r="AX469" s="32" t="str">
        <f t="shared" si="276"/>
        <v/>
      </c>
      <c r="AY469" s="32" t="str">
        <f t="shared" si="277"/>
        <v/>
      </c>
      <c r="BA469" s="32" t="str">
        <f>IF($A470="","",F469*Summary!$Q$12)</f>
        <v/>
      </c>
    </row>
    <row r="470" spans="1:53">
      <c r="A470" s="67" t="str">
        <f t="shared" si="278"/>
        <v/>
      </c>
      <c r="B470" s="69" t="str">
        <f t="shared" si="279"/>
        <v/>
      </c>
      <c r="D470" s="69" t="str">
        <f t="shared" si="253"/>
        <v/>
      </c>
      <c r="E470" s="70" t="str">
        <f t="shared" si="254"/>
        <v/>
      </c>
      <c r="F470" s="70" t="str">
        <f t="shared" si="255"/>
        <v/>
      </c>
      <c r="G470" s="63" t="str">
        <f t="shared" si="256"/>
        <v/>
      </c>
      <c r="H470" s="64" t="str">
        <f t="shared" si="257"/>
        <v/>
      </c>
      <c r="J470" s="63" t="str">
        <f t="shared" si="258"/>
        <v/>
      </c>
      <c r="K470" s="64" t="str">
        <f t="shared" si="259"/>
        <v/>
      </c>
      <c r="L470" s="63" t="str">
        <f t="shared" si="260"/>
        <v/>
      </c>
      <c r="M470" s="64" t="str">
        <f t="shared" si="261"/>
        <v/>
      </c>
      <c r="O470" s="63" t="str">
        <f t="shared" si="262"/>
        <v/>
      </c>
      <c r="P470" s="63" t="str">
        <f t="shared" si="263"/>
        <v/>
      </c>
      <c r="R470" s="63" t="str">
        <f t="shared" si="264"/>
        <v/>
      </c>
      <c r="S470" s="64" t="str">
        <f t="shared" si="265"/>
        <v/>
      </c>
      <c r="T470" s="63" t="str">
        <f t="shared" si="266"/>
        <v/>
      </c>
      <c r="U470" s="64" t="str">
        <f t="shared" si="267"/>
        <v/>
      </c>
      <c r="V470" s="90" t="str">
        <f>IF($A471="","",IF(AND(MONTH(A470)&gt;3,MONTH(A470)&lt;11),(T470+R470+G470)*(((1/(1-Summary!$T$12))/(1-Summary!$W$12))-1),(T470+R470+G470)*((1/(1-Summary!$U$12))/(1-Summary!$X$12)-1)))</f>
        <v/>
      </c>
      <c r="W470" s="63" t="str">
        <f t="shared" si="268"/>
        <v/>
      </c>
      <c r="X470" s="63" t="str">
        <f t="shared" si="269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70"/>
        <v/>
      </c>
      <c r="AP470" s="33" t="str">
        <f t="shared" si="271"/>
        <v/>
      </c>
      <c r="AQ470" s="58" t="str">
        <f t="shared" si="272"/>
        <v/>
      </c>
      <c r="AR470" s="38">
        <f>'ANR OK vs ML7'!AR470</f>
        <v>0.1</v>
      </c>
      <c r="AS470" s="35" t="str">
        <f t="shared" si="273"/>
        <v/>
      </c>
      <c r="AT470" s="3" t="str">
        <f t="shared" si="274"/>
        <v/>
      </c>
      <c r="AU470" s="3" t="str">
        <f t="shared" si="275"/>
        <v/>
      </c>
      <c r="AW470" s="32" t="str">
        <f t="shared" si="276"/>
        <v/>
      </c>
      <c r="AX470" s="32" t="str">
        <f t="shared" si="276"/>
        <v/>
      </c>
      <c r="AY470" s="32" t="str">
        <f t="shared" si="277"/>
        <v/>
      </c>
      <c r="BA470" s="32" t="str">
        <f>IF($A471="","",F470*Summary!$Q$12)</f>
        <v/>
      </c>
    </row>
    <row r="471" spans="1:53">
      <c r="A471" s="67" t="str">
        <f t="shared" si="278"/>
        <v/>
      </c>
      <c r="B471" s="69" t="str">
        <f t="shared" si="279"/>
        <v/>
      </c>
      <c r="D471" s="69" t="str">
        <f t="shared" si="253"/>
        <v/>
      </c>
      <c r="E471" s="70" t="str">
        <f t="shared" si="254"/>
        <v/>
      </c>
      <c r="F471" s="70" t="str">
        <f t="shared" si="255"/>
        <v/>
      </c>
      <c r="G471" s="63" t="str">
        <f t="shared" si="256"/>
        <v/>
      </c>
      <c r="H471" s="64" t="str">
        <f t="shared" si="257"/>
        <v/>
      </c>
      <c r="J471" s="63" t="str">
        <f t="shared" si="258"/>
        <v/>
      </c>
      <c r="K471" s="64" t="str">
        <f t="shared" si="259"/>
        <v/>
      </c>
      <c r="L471" s="63" t="str">
        <f t="shared" si="260"/>
        <v/>
      </c>
      <c r="M471" s="64" t="str">
        <f t="shared" si="261"/>
        <v/>
      </c>
      <c r="O471" s="63" t="str">
        <f t="shared" si="262"/>
        <v/>
      </c>
      <c r="P471" s="63" t="str">
        <f t="shared" si="263"/>
        <v/>
      </c>
      <c r="R471" s="63" t="str">
        <f t="shared" si="264"/>
        <v/>
      </c>
      <c r="S471" s="64" t="str">
        <f t="shared" si="265"/>
        <v/>
      </c>
      <c r="T471" s="63" t="str">
        <f t="shared" si="266"/>
        <v/>
      </c>
      <c r="U471" s="64" t="str">
        <f t="shared" si="267"/>
        <v/>
      </c>
      <c r="V471" s="90" t="str">
        <f>IF($A472="","",IF(AND(MONTH(A471)&gt;3,MONTH(A471)&lt;11),(T471+R471+G471)*(((1/(1-Summary!$T$12))/(1-Summary!$W$12))-1),(T471+R471+G471)*((1/(1-Summary!$U$12))/(1-Summary!$X$12)-1)))</f>
        <v/>
      </c>
      <c r="W471" s="63" t="str">
        <f t="shared" si="268"/>
        <v/>
      </c>
      <c r="X471" s="63" t="str">
        <f t="shared" si="269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70"/>
        <v/>
      </c>
      <c r="AP471" s="33" t="str">
        <f t="shared" si="271"/>
        <v/>
      </c>
      <c r="AQ471" s="58" t="str">
        <f t="shared" si="272"/>
        <v/>
      </c>
      <c r="AR471" s="38">
        <f>'ANR OK vs ML7'!AR471</f>
        <v>0.1</v>
      </c>
      <c r="AS471" s="35" t="str">
        <f t="shared" si="273"/>
        <v/>
      </c>
      <c r="AT471" s="3" t="str">
        <f t="shared" si="274"/>
        <v/>
      </c>
      <c r="AU471" s="3" t="str">
        <f t="shared" si="275"/>
        <v/>
      </c>
      <c r="AW471" s="32" t="str">
        <f t="shared" si="276"/>
        <v/>
      </c>
      <c r="AX471" s="32" t="str">
        <f t="shared" si="276"/>
        <v/>
      </c>
      <c r="AY471" s="32" t="str">
        <f t="shared" si="277"/>
        <v/>
      </c>
      <c r="BA471" s="32" t="str">
        <f>IF($A472="","",F471*Summary!$Q$12)</f>
        <v/>
      </c>
    </row>
    <row r="472" spans="1:53">
      <c r="A472" s="67" t="str">
        <f t="shared" si="278"/>
        <v/>
      </c>
      <c r="B472" s="69" t="str">
        <f t="shared" si="279"/>
        <v/>
      </c>
      <c r="D472" s="69" t="str">
        <f t="shared" si="253"/>
        <v/>
      </c>
      <c r="E472" s="70" t="str">
        <f t="shared" si="254"/>
        <v/>
      </c>
      <c r="F472" s="70" t="str">
        <f t="shared" si="255"/>
        <v/>
      </c>
      <c r="G472" s="63" t="str">
        <f t="shared" si="256"/>
        <v/>
      </c>
      <c r="H472" s="64" t="str">
        <f t="shared" si="257"/>
        <v/>
      </c>
      <c r="J472" s="63" t="str">
        <f t="shared" si="258"/>
        <v/>
      </c>
      <c r="K472" s="64" t="str">
        <f t="shared" si="259"/>
        <v/>
      </c>
      <c r="L472" s="63" t="str">
        <f t="shared" si="260"/>
        <v/>
      </c>
      <c r="M472" s="64" t="str">
        <f t="shared" si="261"/>
        <v/>
      </c>
      <c r="O472" s="63" t="str">
        <f t="shared" si="262"/>
        <v/>
      </c>
      <c r="P472" s="63" t="str">
        <f t="shared" si="263"/>
        <v/>
      </c>
      <c r="R472" s="63" t="str">
        <f t="shared" si="264"/>
        <v/>
      </c>
      <c r="S472" s="64" t="str">
        <f t="shared" si="265"/>
        <v/>
      </c>
      <c r="T472" s="63" t="str">
        <f t="shared" si="266"/>
        <v/>
      </c>
      <c r="U472" s="64" t="str">
        <f t="shared" si="267"/>
        <v/>
      </c>
      <c r="V472" s="90" t="str">
        <f>IF($A473="","",IF(AND(MONTH(A472)&gt;3,MONTH(A472)&lt;11),(T472+R472+G472)*(((1/(1-Summary!$T$12))/(1-Summary!$W$12))-1),(T472+R472+G472)*((1/(1-Summary!$U$12))/(1-Summary!$X$12)-1)))</f>
        <v/>
      </c>
      <c r="W472" s="63" t="str">
        <f t="shared" si="268"/>
        <v/>
      </c>
      <c r="X472" s="63" t="str">
        <f t="shared" si="269"/>
        <v/>
      </c>
      <c r="Y472" s="43"/>
      <c r="AJ472" s="86"/>
      <c r="AK472" s="86"/>
      <c r="AL472" s="86"/>
      <c r="AM472" s="86"/>
      <c r="AN472" s="86"/>
      <c r="AO472" s="3" t="str">
        <f t="shared" si="270"/>
        <v/>
      </c>
      <c r="AP472" s="33" t="str">
        <f t="shared" si="271"/>
        <v/>
      </c>
      <c r="AQ472" s="58" t="str">
        <f t="shared" si="272"/>
        <v/>
      </c>
      <c r="AR472" s="38">
        <f>'ANR OK vs ML7'!AR472</f>
        <v>0.1</v>
      </c>
      <c r="AS472" s="35" t="str">
        <f t="shared" si="273"/>
        <v/>
      </c>
      <c r="AT472" s="3" t="str">
        <f t="shared" si="274"/>
        <v/>
      </c>
      <c r="AU472" s="3" t="str">
        <f t="shared" si="275"/>
        <v/>
      </c>
      <c r="AW472" s="32" t="str">
        <f t="shared" si="276"/>
        <v/>
      </c>
      <c r="AX472" s="32" t="str">
        <f t="shared" si="276"/>
        <v/>
      </c>
      <c r="AY472" s="32" t="str">
        <f t="shared" si="277"/>
        <v/>
      </c>
      <c r="BA472" s="32" t="str">
        <f>IF($A473="","",F472*Summary!$Q$12)</f>
        <v/>
      </c>
    </row>
    <row r="473" spans="1:53">
      <c r="A473" s="67" t="str">
        <f t="shared" si="278"/>
        <v/>
      </c>
      <c r="B473" s="69" t="str">
        <f t="shared" si="279"/>
        <v/>
      </c>
      <c r="D473" s="69" t="str">
        <f t="shared" si="253"/>
        <v/>
      </c>
      <c r="E473" s="70" t="str">
        <f t="shared" si="254"/>
        <v/>
      </c>
      <c r="F473" s="70" t="str">
        <f t="shared" si="255"/>
        <v/>
      </c>
      <c r="G473" s="63" t="str">
        <f t="shared" si="256"/>
        <v/>
      </c>
      <c r="H473" s="64" t="str">
        <f t="shared" si="257"/>
        <v/>
      </c>
      <c r="J473" s="63" t="str">
        <f t="shared" si="258"/>
        <v/>
      </c>
      <c r="K473" s="64" t="str">
        <f t="shared" si="259"/>
        <v/>
      </c>
      <c r="L473" s="63" t="str">
        <f t="shared" si="260"/>
        <v/>
      </c>
      <c r="M473" s="64" t="str">
        <f t="shared" si="261"/>
        <v/>
      </c>
      <c r="O473" s="63" t="str">
        <f t="shared" si="262"/>
        <v/>
      </c>
      <c r="P473" s="63" t="str">
        <f t="shared" si="263"/>
        <v/>
      </c>
      <c r="R473" s="63" t="str">
        <f t="shared" si="264"/>
        <v/>
      </c>
      <c r="S473" s="64" t="str">
        <f t="shared" si="265"/>
        <v/>
      </c>
      <c r="T473" s="63" t="str">
        <f t="shared" si="266"/>
        <v/>
      </c>
      <c r="U473" s="64" t="str">
        <f t="shared" si="267"/>
        <v/>
      </c>
      <c r="V473" s="90" t="str">
        <f>IF($A474="","",IF(AND(MONTH(A473)&gt;3,MONTH(A473)&lt;11),(T473+R473+G473)*(((1/(1-Summary!$T$12))/(1-Summary!$W$12))-1),(T473+R473+G473)*((1/(1-Summary!$U$12))/(1-Summary!$X$12)-1)))</f>
        <v/>
      </c>
      <c r="W473" s="63" t="str">
        <f t="shared" si="268"/>
        <v/>
      </c>
      <c r="X473" s="63" t="str">
        <f t="shared" si="269"/>
        <v/>
      </c>
      <c r="Y473" s="43"/>
      <c r="AJ473" s="86"/>
      <c r="AK473" s="86"/>
      <c r="AL473" s="86"/>
      <c r="AM473" s="86"/>
      <c r="AN473" s="86"/>
      <c r="AO473" s="3" t="str">
        <f t="shared" si="270"/>
        <v/>
      </c>
      <c r="AP473" s="33" t="str">
        <f t="shared" si="271"/>
        <v/>
      </c>
      <c r="AQ473" s="58" t="str">
        <f t="shared" si="272"/>
        <v/>
      </c>
      <c r="AR473" s="38">
        <f>'ANR OK vs ML7'!AR473</f>
        <v>0.1</v>
      </c>
      <c r="AS473" s="35" t="str">
        <f t="shared" si="273"/>
        <v/>
      </c>
      <c r="AT473" s="3" t="str">
        <f t="shared" si="274"/>
        <v/>
      </c>
      <c r="AU473" s="3" t="str">
        <f t="shared" si="275"/>
        <v/>
      </c>
      <c r="AW473" s="32" t="str">
        <f t="shared" si="276"/>
        <v/>
      </c>
      <c r="AX473" s="32" t="str">
        <f t="shared" si="276"/>
        <v/>
      </c>
      <c r="AY473" s="32" t="str">
        <f t="shared" si="277"/>
        <v/>
      </c>
      <c r="BA473" s="32" t="str">
        <f>IF($A474="","",F473*Summary!$Q$12)</f>
        <v/>
      </c>
    </row>
    <row r="474" spans="1:53">
      <c r="A474" s="67" t="str">
        <f t="shared" si="278"/>
        <v/>
      </c>
      <c r="B474" s="69" t="str">
        <f t="shared" si="279"/>
        <v/>
      </c>
      <c r="D474" s="69" t="str">
        <f t="shared" si="253"/>
        <v/>
      </c>
      <c r="E474" s="70" t="str">
        <f t="shared" si="254"/>
        <v/>
      </c>
      <c r="F474" s="70" t="str">
        <f t="shared" si="255"/>
        <v/>
      </c>
      <c r="G474" s="63" t="str">
        <f t="shared" si="256"/>
        <v/>
      </c>
      <c r="H474" s="64" t="str">
        <f t="shared" si="257"/>
        <v/>
      </c>
      <c r="J474" s="63" t="str">
        <f t="shared" si="258"/>
        <v/>
      </c>
      <c r="K474" s="64" t="str">
        <f t="shared" si="259"/>
        <v/>
      </c>
      <c r="L474" s="63" t="str">
        <f t="shared" si="260"/>
        <v/>
      </c>
      <c r="M474" s="64" t="str">
        <f t="shared" si="261"/>
        <v/>
      </c>
      <c r="O474" s="63" t="str">
        <f t="shared" si="262"/>
        <v/>
      </c>
      <c r="P474" s="63" t="str">
        <f t="shared" si="263"/>
        <v/>
      </c>
      <c r="R474" s="63" t="str">
        <f t="shared" si="264"/>
        <v/>
      </c>
      <c r="S474" s="64" t="str">
        <f t="shared" si="265"/>
        <v/>
      </c>
      <c r="T474" s="63" t="str">
        <f t="shared" si="266"/>
        <v/>
      </c>
      <c r="U474" s="64" t="str">
        <f t="shared" si="267"/>
        <v/>
      </c>
      <c r="V474" s="90" t="str">
        <f>IF($A475="","",IF(AND(MONTH(A474)&gt;3,MONTH(A474)&lt;11),(T474+R474+G474)*(((1/(1-Summary!$T$12))/(1-Summary!$W$12))-1),(T474+R474+G474)*((1/(1-Summary!$U$12))/(1-Summary!$X$12)-1)))</f>
        <v/>
      </c>
      <c r="W474" s="63" t="str">
        <f t="shared" si="268"/>
        <v/>
      </c>
      <c r="X474" s="63" t="str">
        <f t="shared" si="269"/>
        <v/>
      </c>
      <c r="Y474" s="43"/>
      <c r="AJ474" s="86"/>
      <c r="AK474" s="86"/>
      <c r="AL474" s="86"/>
      <c r="AM474" s="86"/>
      <c r="AN474" s="86"/>
      <c r="AO474" s="3" t="str">
        <f t="shared" si="270"/>
        <v/>
      </c>
      <c r="AP474" s="33" t="str">
        <f t="shared" si="271"/>
        <v/>
      </c>
      <c r="AQ474" s="58" t="str">
        <f t="shared" si="272"/>
        <v/>
      </c>
      <c r="AR474" s="38">
        <f>'ANR OK vs ML7'!AR474</f>
        <v>0.1</v>
      </c>
      <c r="AS474" s="35" t="str">
        <f t="shared" si="273"/>
        <v/>
      </c>
      <c r="AT474" s="3" t="str">
        <f t="shared" si="274"/>
        <v/>
      </c>
      <c r="AU474" s="3" t="str">
        <f t="shared" si="275"/>
        <v/>
      </c>
      <c r="AW474" s="32" t="str">
        <f t="shared" si="276"/>
        <v/>
      </c>
      <c r="AX474" s="32" t="str">
        <f t="shared" si="276"/>
        <v/>
      </c>
      <c r="AY474" s="32" t="str">
        <f t="shared" si="277"/>
        <v/>
      </c>
      <c r="BA474" s="32" t="str">
        <f>IF($A475="","",F474*Summary!$Q$12)</f>
        <v/>
      </c>
    </row>
    <row r="475" spans="1:53">
      <c r="A475" s="67" t="str">
        <f t="shared" si="278"/>
        <v/>
      </c>
      <c r="B475" s="69" t="str">
        <f t="shared" si="279"/>
        <v/>
      </c>
      <c r="D475" s="69" t="str">
        <f t="shared" si="253"/>
        <v/>
      </c>
      <c r="E475" s="70" t="str">
        <f t="shared" si="254"/>
        <v/>
      </c>
      <c r="F475" s="70" t="str">
        <f t="shared" si="255"/>
        <v/>
      </c>
      <c r="G475" s="63" t="str">
        <f t="shared" si="256"/>
        <v/>
      </c>
      <c r="H475" s="64" t="str">
        <f t="shared" si="257"/>
        <v/>
      </c>
      <c r="J475" s="63" t="str">
        <f t="shared" si="258"/>
        <v/>
      </c>
      <c r="K475" s="64" t="str">
        <f t="shared" si="259"/>
        <v/>
      </c>
      <c r="L475" s="63" t="str">
        <f t="shared" si="260"/>
        <v/>
      </c>
      <c r="M475" s="64" t="str">
        <f t="shared" si="261"/>
        <v/>
      </c>
      <c r="O475" s="63" t="str">
        <f t="shared" si="262"/>
        <v/>
      </c>
      <c r="P475" s="63" t="str">
        <f t="shared" si="263"/>
        <v/>
      </c>
      <c r="R475" s="63" t="str">
        <f t="shared" si="264"/>
        <v/>
      </c>
      <c r="S475" s="64" t="str">
        <f t="shared" si="265"/>
        <v/>
      </c>
      <c r="T475" s="63" t="str">
        <f t="shared" si="266"/>
        <v/>
      </c>
      <c r="U475" s="64" t="str">
        <f t="shared" si="267"/>
        <v/>
      </c>
      <c r="V475" s="90" t="str">
        <f>IF($A476="","",IF(AND(MONTH(A475)&gt;3,MONTH(A475)&lt;11),(T475+R475+G475)*(((1/(1-Summary!$T$12))/(1-Summary!$W$12))-1),(T475+R475+G475)*((1/(1-Summary!$U$12))/(1-Summary!$X$12)-1)))</f>
        <v/>
      </c>
      <c r="W475" s="63" t="str">
        <f t="shared" si="268"/>
        <v/>
      </c>
      <c r="X475" s="63" t="str">
        <f t="shared" si="269"/>
        <v/>
      </c>
      <c r="Y475" s="43"/>
      <c r="AJ475" s="86"/>
      <c r="AK475" s="86"/>
      <c r="AL475" s="86"/>
      <c r="AM475" s="86"/>
      <c r="AN475" s="86"/>
      <c r="AO475" s="3" t="str">
        <f t="shared" si="270"/>
        <v/>
      </c>
      <c r="AP475" s="33" t="str">
        <f t="shared" si="271"/>
        <v/>
      </c>
      <c r="AQ475" s="58" t="str">
        <f t="shared" si="272"/>
        <v/>
      </c>
      <c r="AR475" s="38">
        <f>'ANR OK vs ML7'!AR475</f>
        <v>0.1</v>
      </c>
      <c r="AS475" s="35" t="str">
        <f t="shared" si="273"/>
        <v/>
      </c>
      <c r="AT475" s="3" t="str">
        <f t="shared" si="274"/>
        <v/>
      </c>
      <c r="AU475" s="3" t="str">
        <f t="shared" si="275"/>
        <v/>
      </c>
      <c r="AW475" s="32" t="str">
        <f t="shared" si="276"/>
        <v/>
      </c>
      <c r="AX475" s="32" t="str">
        <f t="shared" si="276"/>
        <v/>
      </c>
      <c r="AY475" s="32" t="str">
        <f t="shared" si="277"/>
        <v/>
      </c>
      <c r="BA475" s="32" t="str">
        <f>IF($A476="","",F475*Summary!$Q$12)</f>
        <v/>
      </c>
    </row>
    <row r="476" spans="1:53">
      <c r="A476" s="67" t="str">
        <f t="shared" si="278"/>
        <v/>
      </c>
      <c r="B476" s="69" t="str">
        <f t="shared" si="279"/>
        <v/>
      </c>
      <c r="D476" s="69" t="str">
        <f t="shared" si="253"/>
        <v/>
      </c>
      <c r="E476" s="70" t="str">
        <f t="shared" si="254"/>
        <v/>
      </c>
      <c r="F476" s="70" t="str">
        <f t="shared" si="255"/>
        <v/>
      </c>
      <c r="G476" s="63" t="str">
        <f t="shared" si="256"/>
        <v/>
      </c>
      <c r="H476" s="64" t="str">
        <f t="shared" si="257"/>
        <v/>
      </c>
      <c r="J476" s="63" t="str">
        <f t="shared" si="258"/>
        <v/>
      </c>
      <c r="K476" s="64" t="str">
        <f t="shared" si="259"/>
        <v/>
      </c>
      <c r="L476" s="63" t="str">
        <f t="shared" si="260"/>
        <v/>
      </c>
      <c r="M476" s="64" t="str">
        <f t="shared" si="261"/>
        <v/>
      </c>
      <c r="O476" s="63" t="str">
        <f t="shared" si="262"/>
        <v/>
      </c>
      <c r="P476" s="63" t="str">
        <f t="shared" si="263"/>
        <v/>
      </c>
      <c r="R476" s="63" t="str">
        <f t="shared" si="264"/>
        <v/>
      </c>
      <c r="S476" s="64" t="str">
        <f t="shared" si="265"/>
        <v/>
      </c>
      <c r="T476" s="63" t="str">
        <f t="shared" si="266"/>
        <v/>
      </c>
      <c r="U476" s="64" t="str">
        <f t="shared" si="267"/>
        <v/>
      </c>
      <c r="V476" s="90" t="str">
        <f>IF($A477="","",IF(AND(MONTH(A476)&gt;3,MONTH(A476)&lt;11),(T476+R476+G476)*(((1/(1-Summary!$T$12))/(1-Summary!$W$12))-1),(T476+R476+G476)*((1/(1-Summary!$U$12))/(1-Summary!$X$12)-1)))</f>
        <v/>
      </c>
      <c r="W476" s="63" t="str">
        <f t="shared" si="268"/>
        <v/>
      </c>
      <c r="X476" s="63" t="str">
        <f t="shared" si="269"/>
        <v/>
      </c>
      <c r="Y476" s="43"/>
      <c r="AJ476" s="86"/>
      <c r="AK476" s="86"/>
      <c r="AL476" s="86"/>
      <c r="AM476" s="86"/>
      <c r="AN476" s="86"/>
      <c r="AO476" s="3" t="str">
        <f t="shared" si="270"/>
        <v/>
      </c>
      <c r="AP476" s="33" t="str">
        <f t="shared" si="271"/>
        <v/>
      </c>
      <c r="AQ476" s="58" t="str">
        <f t="shared" si="272"/>
        <v/>
      </c>
      <c r="AR476" s="38">
        <f>'ANR OK vs ML7'!AR476</f>
        <v>0.1</v>
      </c>
      <c r="AS476" s="35" t="str">
        <f t="shared" si="273"/>
        <v/>
      </c>
      <c r="AT476" s="3" t="str">
        <f t="shared" si="274"/>
        <v/>
      </c>
      <c r="AU476" s="3" t="str">
        <f t="shared" si="275"/>
        <v/>
      </c>
      <c r="AW476" s="32" t="str">
        <f t="shared" si="276"/>
        <v/>
      </c>
      <c r="AX476" s="32" t="str">
        <f t="shared" si="276"/>
        <v/>
      </c>
      <c r="AY476" s="32" t="str">
        <f t="shared" si="277"/>
        <v/>
      </c>
      <c r="BA476" s="32" t="str">
        <f>IF($A477="","",F476*Summary!$Q$12)</f>
        <v/>
      </c>
    </row>
    <row r="477" spans="1:53">
      <c r="A477" s="67" t="str">
        <f t="shared" si="278"/>
        <v/>
      </c>
      <c r="B477" s="69" t="str">
        <f t="shared" si="279"/>
        <v/>
      </c>
      <c r="D477" s="69" t="str">
        <f t="shared" si="253"/>
        <v/>
      </c>
      <c r="E477" s="70" t="str">
        <f t="shared" si="254"/>
        <v/>
      </c>
      <c r="F477" s="70" t="str">
        <f t="shared" si="255"/>
        <v/>
      </c>
      <c r="G477" s="63" t="str">
        <f t="shared" si="256"/>
        <v/>
      </c>
      <c r="H477" s="64" t="str">
        <f t="shared" si="257"/>
        <v/>
      </c>
      <c r="J477" s="63" t="str">
        <f t="shared" si="258"/>
        <v/>
      </c>
      <c r="K477" s="64" t="str">
        <f t="shared" si="259"/>
        <v/>
      </c>
      <c r="L477" s="63" t="str">
        <f t="shared" si="260"/>
        <v/>
      </c>
      <c r="M477" s="64" t="str">
        <f t="shared" si="261"/>
        <v/>
      </c>
      <c r="O477" s="63" t="str">
        <f t="shared" si="262"/>
        <v/>
      </c>
      <c r="P477" s="63" t="str">
        <f t="shared" si="263"/>
        <v/>
      </c>
      <c r="R477" s="63" t="str">
        <f t="shared" si="264"/>
        <v/>
      </c>
      <c r="S477" s="64" t="str">
        <f t="shared" si="265"/>
        <v/>
      </c>
      <c r="T477" s="63" t="str">
        <f t="shared" si="266"/>
        <v/>
      </c>
      <c r="U477" s="64" t="str">
        <f t="shared" si="267"/>
        <v/>
      </c>
      <c r="V477" s="90" t="str">
        <f>IF($A478="","",IF(AND(MONTH(A477)&gt;3,MONTH(A477)&lt;11),(T477+R477+G477)*(((1/(1-Summary!$T$12))/(1-Summary!$W$12))-1),(T477+R477+G477)*((1/(1-Summary!$U$12))/(1-Summary!$X$12)-1)))</f>
        <v/>
      </c>
      <c r="W477" s="63" t="str">
        <f t="shared" si="268"/>
        <v/>
      </c>
      <c r="X477" s="63" t="str">
        <f t="shared" si="269"/>
        <v/>
      </c>
      <c r="Y477" s="43"/>
      <c r="AJ477" s="86"/>
      <c r="AK477" s="86"/>
      <c r="AL477" s="86"/>
      <c r="AM477" s="86"/>
      <c r="AN477" s="86"/>
      <c r="AO477" s="3" t="str">
        <f t="shared" si="270"/>
        <v/>
      </c>
      <c r="AP477" s="33" t="str">
        <f t="shared" si="271"/>
        <v/>
      </c>
      <c r="AQ477" s="58" t="str">
        <f t="shared" si="272"/>
        <v/>
      </c>
      <c r="AR477" s="38">
        <f>'ANR OK vs ML7'!AR477</f>
        <v>0.1</v>
      </c>
      <c r="AS477" s="35" t="str">
        <f t="shared" si="273"/>
        <v/>
      </c>
      <c r="AT477" s="3" t="str">
        <f t="shared" si="274"/>
        <v/>
      </c>
      <c r="AU477" s="3" t="str">
        <f t="shared" si="275"/>
        <v/>
      </c>
      <c r="AW477" s="32" t="str">
        <f t="shared" si="276"/>
        <v/>
      </c>
      <c r="AX477" s="32" t="str">
        <f t="shared" si="276"/>
        <v/>
      </c>
      <c r="AY477" s="32" t="str">
        <f t="shared" si="277"/>
        <v/>
      </c>
      <c r="BA477" s="32" t="str">
        <f>IF($A478="","",F477*Summary!$Q$12)</f>
        <v/>
      </c>
    </row>
    <row r="478" spans="1:53">
      <c r="A478" s="67" t="str">
        <f t="shared" si="278"/>
        <v/>
      </c>
      <c r="B478" s="69" t="str">
        <f t="shared" si="279"/>
        <v/>
      </c>
      <c r="D478" s="69" t="str">
        <f t="shared" si="253"/>
        <v/>
      </c>
      <c r="E478" s="70" t="str">
        <f t="shared" si="254"/>
        <v/>
      </c>
      <c r="F478" s="70" t="str">
        <f t="shared" si="255"/>
        <v/>
      </c>
      <c r="G478" s="63" t="str">
        <f t="shared" si="256"/>
        <v/>
      </c>
      <c r="H478" s="64" t="str">
        <f t="shared" si="257"/>
        <v/>
      </c>
      <c r="J478" s="63" t="str">
        <f t="shared" si="258"/>
        <v/>
      </c>
      <c r="K478" s="64" t="str">
        <f t="shared" si="259"/>
        <v/>
      </c>
      <c r="L478" s="63" t="str">
        <f t="shared" si="260"/>
        <v/>
      </c>
      <c r="M478" s="64" t="str">
        <f t="shared" si="261"/>
        <v/>
      </c>
      <c r="O478" s="63" t="str">
        <f t="shared" si="262"/>
        <v/>
      </c>
      <c r="P478" s="63" t="str">
        <f t="shared" si="263"/>
        <v/>
      </c>
      <c r="R478" s="63" t="str">
        <f t="shared" si="264"/>
        <v/>
      </c>
      <c r="S478" s="64" t="str">
        <f t="shared" si="265"/>
        <v/>
      </c>
      <c r="T478" s="63" t="str">
        <f t="shared" si="266"/>
        <v/>
      </c>
      <c r="U478" s="64" t="str">
        <f t="shared" si="267"/>
        <v/>
      </c>
      <c r="V478" s="90" t="str">
        <f>IF($A479="","",IF(AND(MONTH(A478)&gt;3,MONTH(A478)&lt;11),(T478+R478+G478)*(((1/(1-Summary!$T$12))/(1-Summary!$W$12))-1),(T478+R478+G478)*((1/(1-Summary!$U$12))/(1-Summary!$X$12)-1)))</f>
        <v/>
      </c>
      <c r="W478" s="63" t="str">
        <f t="shared" si="268"/>
        <v/>
      </c>
      <c r="X478" s="63" t="str">
        <f t="shared" si="269"/>
        <v/>
      </c>
      <c r="Y478" s="43"/>
      <c r="AJ478" s="86"/>
      <c r="AK478" s="86"/>
      <c r="AL478" s="86"/>
      <c r="AM478" s="86"/>
      <c r="AN478" s="86"/>
      <c r="AO478" s="3" t="str">
        <f t="shared" si="270"/>
        <v/>
      </c>
      <c r="AP478" s="33" t="str">
        <f t="shared" si="271"/>
        <v/>
      </c>
      <c r="AQ478" s="58" t="str">
        <f t="shared" si="272"/>
        <v/>
      </c>
      <c r="AR478" s="38">
        <f>'ANR OK vs ML7'!AR478</f>
        <v>0.1</v>
      </c>
      <c r="AS478" s="35" t="str">
        <f t="shared" si="273"/>
        <v/>
      </c>
      <c r="AT478" s="3" t="str">
        <f t="shared" si="274"/>
        <v/>
      </c>
      <c r="AU478" s="3" t="str">
        <f t="shared" si="275"/>
        <v/>
      </c>
      <c r="AW478" s="32" t="str">
        <f t="shared" si="276"/>
        <v/>
      </c>
      <c r="AX478" s="32" t="str">
        <f t="shared" si="276"/>
        <v/>
      </c>
      <c r="AY478" s="32" t="str">
        <f t="shared" si="277"/>
        <v/>
      </c>
      <c r="BA478" s="32" t="str">
        <f>IF($A479="","",F478*Summary!$Q$12)</f>
        <v/>
      </c>
    </row>
    <row r="479" spans="1:53">
      <c r="A479" s="67" t="str">
        <f t="shared" si="278"/>
        <v/>
      </c>
      <c r="B479" s="69" t="str">
        <f t="shared" si="279"/>
        <v/>
      </c>
      <c r="D479" s="69" t="str">
        <f t="shared" si="253"/>
        <v/>
      </c>
      <c r="E479" s="70" t="str">
        <f t="shared" si="254"/>
        <v/>
      </c>
      <c r="F479" s="70" t="str">
        <f t="shared" si="255"/>
        <v/>
      </c>
      <c r="G479" s="63" t="str">
        <f t="shared" si="256"/>
        <v/>
      </c>
      <c r="H479" s="64" t="str">
        <f t="shared" si="257"/>
        <v/>
      </c>
      <c r="J479" s="63" t="str">
        <f t="shared" si="258"/>
        <v/>
      </c>
      <c r="K479" s="64" t="str">
        <f t="shared" si="259"/>
        <v/>
      </c>
      <c r="L479" s="63" t="str">
        <f t="shared" si="260"/>
        <v/>
      </c>
      <c r="M479" s="64" t="str">
        <f t="shared" si="261"/>
        <v/>
      </c>
      <c r="O479" s="63" t="str">
        <f t="shared" si="262"/>
        <v/>
      </c>
      <c r="P479" s="63" t="str">
        <f t="shared" si="263"/>
        <v/>
      </c>
      <c r="R479" s="63" t="str">
        <f t="shared" si="264"/>
        <v/>
      </c>
      <c r="S479" s="64" t="str">
        <f t="shared" si="265"/>
        <v/>
      </c>
      <c r="T479" s="63" t="str">
        <f t="shared" si="266"/>
        <v/>
      </c>
      <c r="U479" s="64" t="str">
        <f t="shared" si="267"/>
        <v/>
      </c>
      <c r="V479" s="90" t="str">
        <f>IF($A480="","",IF(AND(MONTH(A479)&gt;3,MONTH(A479)&lt;11),(T479+R479+G479)*(((1/(1-Summary!$T$12))/(1-Summary!$W$12))-1),(T479+R479+G479)*((1/(1-Summary!$U$12))/(1-Summary!$X$12)-1)))</f>
        <v/>
      </c>
      <c r="W479" s="63" t="str">
        <f t="shared" si="268"/>
        <v/>
      </c>
      <c r="X479" s="63" t="str">
        <f t="shared" si="269"/>
        <v/>
      </c>
      <c r="Y479" s="43"/>
      <c r="AJ479" s="86"/>
      <c r="AK479" s="86"/>
      <c r="AL479" s="86"/>
      <c r="AM479" s="86"/>
      <c r="AN479" s="86"/>
      <c r="AO479" s="3" t="str">
        <f t="shared" si="270"/>
        <v/>
      </c>
      <c r="AP479" s="33" t="str">
        <f t="shared" si="271"/>
        <v/>
      </c>
      <c r="AQ479" s="58" t="str">
        <f t="shared" si="272"/>
        <v/>
      </c>
      <c r="AR479" s="38">
        <f>'ANR OK vs ML7'!AR479</f>
        <v>0.1</v>
      </c>
      <c r="AS479" s="35" t="str">
        <f t="shared" si="273"/>
        <v/>
      </c>
      <c r="AT479" s="3" t="str">
        <f t="shared" si="274"/>
        <v/>
      </c>
      <c r="AU479" s="3" t="str">
        <f t="shared" si="275"/>
        <v/>
      </c>
      <c r="AW479" s="32" t="str">
        <f t="shared" si="276"/>
        <v/>
      </c>
      <c r="AX479" s="32" t="str">
        <f t="shared" si="276"/>
        <v/>
      </c>
      <c r="AY479" s="32" t="str">
        <f t="shared" si="277"/>
        <v/>
      </c>
      <c r="BA479" s="32" t="str">
        <f>IF($A480="","",F479*Summary!$Q$12)</f>
        <v/>
      </c>
    </row>
    <row r="480" spans="1:53">
      <c r="A480" s="67" t="str">
        <f t="shared" si="278"/>
        <v/>
      </c>
      <c r="B480" s="69" t="str">
        <f t="shared" si="279"/>
        <v/>
      </c>
      <c r="D480" s="69" t="str">
        <f t="shared" si="253"/>
        <v/>
      </c>
      <c r="E480" s="70" t="str">
        <f t="shared" si="254"/>
        <v/>
      </c>
      <c r="F480" s="70" t="str">
        <f t="shared" si="255"/>
        <v/>
      </c>
      <c r="G480" s="63" t="str">
        <f t="shared" si="256"/>
        <v/>
      </c>
      <c r="H480" s="64" t="str">
        <f t="shared" si="257"/>
        <v/>
      </c>
      <c r="J480" s="63" t="str">
        <f t="shared" si="258"/>
        <v/>
      </c>
      <c r="K480" s="64" t="str">
        <f t="shared" si="259"/>
        <v/>
      </c>
      <c r="L480" s="63" t="str">
        <f t="shared" si="260"/>
        <v/>
      </c>
      <c r="M480" s="64" t="str">
        <f t="shared" si="261"/>
        <v/>
      </c>
      <c r="O480" s="63" t="str">
        <f t="shared" si="262"/>
        <v/>
      </c>
      <c r="P480" s="63" t="str">
        <f t="shared" si="263"/>
        <v/>
      </c>
      <c r="R480" s="63" t="str">
        <f t="shared" si="264"/>
        <v/>
      </c>
      <c r="S480" s="64" t="str">
        <f t="shared" si="265"/>
        <v/>
      </c>
      <c r="T480" s="63" t="str">
        <f t="shared" si="266"/>
        <v/>
      </c>
      <c r="U480" s="64" t="str">
        <f t="shared" si="267"/>
        <v/>
      </c>
      <c r="V480" s="90" t="str">
        <f>IF($A481="","",IF(AND(MONTH(A480)&gt;3,MONTH(A480)&lt;11),(T480+R480+G480)*(((1/(1-Summary!$T$12))/(1-Summary!$W$12))-1),(T480+R480+G480)*((1/(1-Summary!$U$12))/(1-Summary!$X$12)-1)))</f>
        <v/>
      </c>
      <c r="W480" s="63" t="str">
        <f t="shared" si="268"/>
        <v/>
      </c>
      <c r="X480" s="63" t="str">
        <f t="shared" si="269"/>
        <v/>
      </c>
      <c r="Y480" s="43"/>
      <c r="AJ480" s="86"/>
      <c r="AK480" s="86"/>
      <c r="AL480" s="86"/>
      <c r="AM480" s="86"/>
      <c r="AN480" s="86"/>
      <c r="AO480" s="3" t="str">
        <f t="shared" si="270"/>
        <v/>
      </c>
      <c r="AP480" s="33" t="str">
        <f t="shared" si="271"/>
        <v/>
      </c>
      <c r="AQ480" s="58" t="str">
        <f t="shared" si="272"/>
        <v/>
      </c>
      <c r="AR480" s="38">
        <f>'ANR OK vs ML7'!AR480</f>
        <v>0.1</v>
      </c>
      <c r="AS480" s="35" t="str">
        <f t="shared" si="273"/>
        <v/>
      </c>
      <c r="AT480" s="3" t="str">
        <f t="shared" si="274"/>
        <v/>
      </c>
      <c r="AU480" s="3" t="str">
        <f t="shared" si="275"/>
        <v/>
      </c>
      <c r="AW480" s="32" t="str">
        <f t="shared" si="276"/>
        <v/>
      </c>
      <c r="AX480" s="32" t="str">
        <f t="shared" si="276"/>
        <v/>
      </c>
      <c r="AY480" s="32" t="str">
        <f t="shared" si="277"/>
        <v/>
      </c>
      <c r="BA480" s="32" t="str">
        <f>IF($A481="","",F480*Summary!$Q$12)</f>
        <v/>
      </c>
    </row>
    <row r="481" spans="1:53">
      <c r="A481" s="67" t="str">
        <f t="shared" si="278"/>
        <v/>
      </c>
      <c r="B481" s="69" t="str">
        <f t="shared" si="279"/>
        <v/>
      </c>
      <c r="D481" s="69" t="str">
        <f t="shared" si="253"/>
        <v/>
      </c>
      <c r="E481" s="70" t="str">
        <f t="shared" si="254"/>
        <v/>
      </c>
      <c r="F481" s="70" t="str">
        <f t="shared" si="255"/>
        <v/>
      </c>
      <c r="G481" s="63" t="str">
        <f t="shared" si="256"/>
        <v/>
      </c>
      <c r="H481" s="64" t="str">
        <f t="shared" si="257"/>
        <v/>
      </c>
      <c r="J481" s="63" t="str">
        <f t="shared" si="258"/>
        <v/>
      </c>
      <c r="K481" s="64" t="str">
        <f t="shared" si="259"/>
        <v/>
      </c>
      <c r="L481" s="63" t="str">
        <f t="shared" si="260"/>
        <v/>
      </c>
      <c r="M481" s="64" t="str">
        <f t="shared" si="261"/>
        <v/>
      </c>
      <c r="O481" s="63" t="str">
        <f t="shared" si="262"/>
        <v/>
      </c>
      <c r="P481" s="63" t="str">
        <f t="shared" si="263"/>
        <v/>
      </c>
      <c r="R481" s="63" t="str">
        <f t="shared" si="264"/>
        <v/>
      </c>
      <c r="S481" s="64" t="str">
        <f t="shared" si="265"/>
        <v/>
      </c>
      <c r="T481" s="63" t="str">
        <f t="shared" si="266"/>
        <v/>
      </c>
      <c r="U481" s="64" t="str">
        <f t="shared" si="267"/>
        <v/>
      </c>
      <c r="V481" s="90" t="str">
        <f>IF($A482="","",IF(AND(MONTH(A481)&gt;3,MONTH(A481)&lt;11),(T481+R481+G481)*(((1/(1-Summary!$T$12))/(1-Summary!$W$12))-1),(T481+R481+G481)*((1/(1-Summary!$U$12))/(1-Summary!$X$12)-1)))</f>
        <v/>
      </c>
      <c r="W481" s="63" t="str">
        <f t="shared" si="268"/>
        <v/>
      </c>
      <c r="X481" s="63" t="str">
        <f t="shared" si="269"/>
        <v/>
      </c>
      <c r="Y481" s="43"/>
      <c r="AJ481" s="86"/>
      <c r="AK481" s="86"/>
      <c r="AL481" s="86"/>
      <c r="AM481" s="86"/>
      <c r="AN481" s="86"/>
      <c r="AO481" s="3" t="str">
        <f t="shared" si="270"/>
        <v/>
      </c>
      <c r="AP481" s="33" t="str">
        <f t="shared" si="271"/>
        <v/>
      </c>
      <c r="AQ481" s="58" t="str">
        <f t="shared" si="272"/>
        <v/>
      </c>
      <c r="AR481" s="38">
        <f>'ANR OK vs ML7'!AR481</f>
        <v>0.1</v>
      </c>
      <c r="AS481" s="35" t="str">
        <f t="shared" si="273"/>
        <v/>
      </c>
      <c r="AT481" s="3" t="str">
        <f t="shared" si="274"/>
        <v/>
      </c>
      <c r="AU481" s="3" t="str">
        <f t="shared" si="275"/>
        <v/>
      </c>
      <c r="AW481" s="32" t="str">
        <f t="shared" si="276"/>
        <v/>
      </c>
      <c r="AX481" s="32" t="str">
        <f t="shared" si="276"/>
        <v/>
      </c>
      <c r="AY481" s="32" t="str">
        <f t="shared" si="277"/>
        <v/>
      </c>
      <c r="BA481" s="32" t="str">
        <f>IF($A482="","",F481*Summary!$Q$12)</f>
        <v/>
      </c>
    </row>
    <row r="482" spans="1:53">
      <c r="A482" s="67" t="str">
        <f t="shared" si="278"/>
        <v/>
      </c>
      <c r="B482" s="69" t="str">
        <f t="shared" si="279"/>
        <v/>
      </c>
      <c r="D482" s="69" t="str">
        <f t="shared" si="253"/>
        <v/>
      </c>
      <c r="E482" s="70" t="str">
        <f t="shared" si="254"/>
        <v/>
      </c>
      <c r="F482" s="70" t="str">
        <f t="shared" si="255"/>
        <v/>
      </c>
      <c r="G482" s="63" t="str">
        <f t="shared" si="256"/>
        <v/>
      </c>
      <c r="H482" s="64" t="str">
        <f t="shared" si="257"/>
        <v/>
      </c>
      <c r="J482" s="63" t="str">
        <f t="shared" si="258"/>
        <v/>
      </c>
      <c r="K482" s="64" t="str">
        <f t="shared" si="259"/>
        <v/>
      </c>
      <c r="L482" s="63" t="str">
        <f t="shared" si="260"/>
        <v/>
      </c>
      <c r="M482" s="64" t="str">
        <f t="shared" si="261"/>
        <v/>
      </c>
      <c r="O482" s="63" t="str">
        <f t="shared" si="262"/>
        <v/>
      </c>
      <c r="P482" s="63" t="str">
        <f t="shared" si="263"/>
        <v/>
      </c>
      <c r="R482" s="63" t="str">
        <f t="shared" si="264"/>
        <v/>
      </c>
      <c r="S482" s="64" t="str">
        <f t="shared" si="265"/>
        <v/>
      </c>
      <c r="T482" s="63" t="str">
        <f t="shared" si="266"/>
        <v/>
      </c>
      <c r="U482" s="64" t="str">
        <f t="shared" si="267"/>
        <v/>
      </c>
      <c r="V482" s="90" t="str">
        <f>IF($A483="","",IF(AND(MONTH(A482)&gt;3,MONTH(A482)&lt;11),(T482+R482+G482)*(((1/(1-Summary!$T$12))/(1-Summary!$W$12))-1),(T482+R482+G482)*((1/(1-Summary!$U$12))/(1-Summary!$X$12)-1)))</f>
        <v/>
      </c>
      <c r="W482" s="63" t="str">
        <f t="shared" si="268"/>
        <v/>
      </c>
      <c r="X482" s="63" t="str">
        <f t="shared" si="269"/>
        <v/>
      </c>
      <c r="Y482" s="43"/>
      <c r="AJ482" s="86"/>
      <c r="AK482" s="86"/>
      <c r="AL482" s="86"/>
      <c r="AM482" s="86"/>
      <c r="AN482" s="86"/>
      <c r="AO482" s="3" t="str">
        <f t="shared" si="270"/>
        <v/>
      </c>
      <c r="AP482" s="33" t="str">
        <f t="shared" si="271"/>
        <v/>
      </c>
      <c r="AQ482" s="58" t="str">
        <f t="shared" si="272"/>
        <v/>
      </c>
      <c r="AR482" s="38">
        <f>'ANR OK vs ML7'!AR482</f>
        <v>0.1</v>
      </c>
      <c r="AS482" s="35" t="str">
        <f t="shared" si="273"/>
        <v/>
      </c>
      <c r="AT482" s="3" t="str">
        <f t="shared" si="274"/>
        <v/>
      </c>
      <c r="AU482" s="3" t="str">
        <f t="shared" si="275"/>
        <v/>
      </c>
      <c r="AW482" s="32" t="str">
        <f t="shared" si="276"/>
        <v/>
      </c>
      <c r="AX482" s="32" t="str">
        <f t="shared" si="276"/>
        <v/>
      </c>
      <c r="AY482" s="32" t="str">
        <f t="shared" si="277"/>
        <v/>
      </c>
      <c r="BA482" s="32" t="str">
        <f>IF($A483="","",F482*Summary!$Q$12)</f>
        <v/>
      </c>
    </row>
    <row r="483" spans="1:53">
      <c r="A483" s="67" t="str">
        <f t="shared" si="278"/>
        <v/>
      </c>
      <c r="B483" s="69" t="str">
        <f t="shared" si="279"/>
        <v/>
      </c>
      <c r="D483" s="69" t="str">
        <f t="shared" si="253"/>
        <v/>
      </c>
      <c r="E483" s="70" t="str">
        <f t="shared" si="254"/>
        <v/>
      </c>
      <c r="F483" s="70" t="str">
        <f t="shared" si="255"/>
        <v/>
      </c>
      <c r="G483" s="63" t="str">
        <f t="shared" si="256"/>
        <v/>
      </c>
      <c r="H483" s="64" t="str">
        <f t="shared" si="257"/>
        <v/>
      </c>
      <c r="J483" s="63" t="str">
        <f t="shared" si="258"/>
        <v/>
      </c>
      <c r="K483" s="64" t="str">
        <f t="shared" si="259"/>
        <v/>
      </c>
      <c r="L483" s="63" t="str">
        <f t="shared" si="260"/>
        <v/>
      </c>
      <c r="M483" s="64" t="str">
        <f t="shared" si="261"/>
        <v/>
      </c>
      <c r="O483" s="63" t="str">
        <f t="shared" si="262"/>
        <v/>
      </c>
      <c r="P483" s="63" t="str">
        <f t="shared" si="263"/>
        <v/>
      </c>
      <c r="R483" s="63" t="str">
        <f t="shared" si="264"/>
        <v/>
      </c>
      <c r="S483" s="64" t="str">
        <f t="shared" si="265"/>
        <v/>
      </c>
      <c r="T483" s="63" t="str">
        <f t="shared" si="266"/>
        <v/>
      </c>
      <c r="U483" s="64" t="str">
        <f t="shared" si="267"/>
        <v/>
      </c>
      <c r="V483" s="90" t="str">
        <f>IF($A484="","",IF(AND(MONTH(A483)&gt;3,MONTH(A483)&lt;11),(T483+R483+G483)*(((1/(1-Summary!$T$12))/(1-Summary!$W$12))-1),(T483+R483+G483)*((1/(1-Summary!$U$12))/(1-Summary!$X$12)-1)))</f>
        <v/>
      </c>
      <c r="W483" s="63" t="str">
        <f t="shared" si="268"/>
        <v/>
      </c>
      <c r="X483" s="63" t="str">
        <f t="shared" si="269"/>
        <v/>
      </c>
      <c r="Y483" s="43"/>
      <c r="AJ483" s="86"/>
      <c r="AK483" s="86"/>
      <c r="AL483" s="86"/>
      <c r="AM483" s="86"/>
      <c r="AN483" s="86"/>
      <c r="AO483" s="3" t="str">
        <f t="shared" si="270"/>
        <v/>
      </c>
      <c r="AP483" s="33" t="str">
        <f t="shared" si="271"/>
        <v/>
      </c>
      <c r="AQ483" s="58" t="str">
        <f t="shared" si="272"/>
        <v/>
      </c>
      <c r="AR483" s="38">
        <f>'ANR OK vs ML7'!AR483</f>
        <v>0.1</v>
      </c>
      <c r="AS483" s="35" t="str">
        <f t="shared" si="273"/>
        <v/>
      </c>
      <c r="AT483" s="3" t="str">
        <f t="shared" si="274"/>
        <v/>
      </c>
      <c r="AU483" s="3" t="str">
        <f t="shared" si="275"/>
        <v/>
      </c>
      <c r="AW483" s="32" t="str">
        <f t="shared" si="276"/>
        <v/>
      </c>
      <c r="AX483" s="32" t="str">
        <f t="shared" si="276"/>
        <v/>
      </c>
      <c r="AY483" s="32" t="str">
        <f t="shared" si="277"/>
        <v/>
      </c>
      <c r="BA483" s="32" t="str">
        <f>IF($A484="","",F483*Summary!$Q$12)</f>
        <v/>
      </c>
    </row>
    <row r="484" spans="1:53">
      <c r="A484" s="67" t="str">
        <f t="shared" si="278"/>
        <v/>
      </c>
      <c r="B484" s="69" t="str">
        <f t="shared" si="279"/>
        <v/>
      </c>
      <c r="D484" s="69" t="str">
        <f t="shared" si="253"/>
        <v/>
      </c>
      <c r="E484" s="70" t="str">
        <f t="shared" si="254"/>
        <v/>
      </c>
      <c r="F484" s="70" t="str">
        <f t="shared" si="255"/>
        <v/>
      </c>
      <c r="G484" s="63" t="str">
        <f t="shared" si="256"/>
        <v/>
      </c>
      <c r="H484" s="64" t="str">
        <f t="shared" si="257"/>
        <v/>
      </c>
      <c r="J484" s="63" t="str">
        <f t="shared" si="258"/>
        <v/>
      </c>
      <c r="K484" s="64" t="str">
        <f t="shared" si="259"/>
        <v/>
      </c>
      <c r="L484" s="63" t="str">
        <f t="shared" si="260"/>
        <v/>
      </c>
      <c r="M484" s="64" t="str">
        <f t="shared" si="261"/>
        <v/>
      </c>
      <c r="O484" s="63" t="str">
        <f t="shared" si="262"/>
        <v/>
      </c>
      <c r="P484" s="63" t="str">
        <f t="shared" si="263"/>
        <v/>
      </c>
      <c r="R484" s="63" t="str">
        <f t="shared" si="264"/>
        <v/>
      </c>
      <c r="S484" s="64" t="str">
        <f t="shared" si="265"/>
        <v/>
      </c>
      <c r="T484" s="63" t="str">
        <f t="shared" si="266"/>
        <v/>
      </c>
      <c r="U484" s="64" t="str">
        <f t="shared" si="267"/>
        <v/>
      </c>
      <c r="V484" s="90" t="str">
        <f>IF($A485="","",IF(AND(MONTH(A484)&gt;3,MONTH(A484)&lt;11),(T484+R484+G484)*(((1/(1-Summary!$T$12))/(1-Summary!$W$12))-1),(T484+R484+G484)*((1/(1-Summary!$U$12))/(1-Summary!$X$12)-1)))</f>
        <v/>
      </c>
      <c r="W484" s="63" t="str">
        <f t="shared" si="268"/>
        <v/>
      </c>
      <c r="X484" s="63" t="str">
        <f t="shared" si="269"/>
        <v/>
      </c>
      <c r="Y484" s="43"/>
      <c r="AJ484" s="86"/>
      <c r="AK484" s="86"/>
      <c r="AL484" s="86"/>
      <c r="AM484" s="86"/>
      <c r="AN484" s="86"/>
      <c r="AO484" s="3" t="str">
        <f t="shared" si="270"/>
        <v/>
      </c>
      <c r="AP484" s="33" t="str">
        <f t="shared" si="271"/>
        <v/>
      </c>
      <c r="AQ484" s="58" t="str">
        <f t="shared" si="272"/>
        <v/>
      </c>
      <c r="AR484" s="38">
        <f>'ANR OK vs ML7'!AR484</f>
        <v>0.1</v>
      </c>
      <c r="AS484" s="35" t="str">
        <f t="shared" si="273"/>
        <v/>
      </c>
      <c r="AT484" s="3" t="str">
        <f t="shared" si="274"/>
        <v/>
      </c>
      <c r="AU484" s="3" t="str">
        <f t="shared" si="275"/>
        <v/>
      </c>
      <c r="AW484" s="32" t="str">
        <f t="shared" si="276"/>
        <v/>
      </c>
      <c r="AX484" s="32" t="str">
        <f t="shared" si="276"/>
        <v/>
      </c>
      <c r="AY484" s="32" t="str">
        <f t="shared" si="277"/>
        <v/>
      </c>
      <c r="BA484" s="32" t="str">
        <f>IF($A485="","",F484*Summary!$Q$12)</f>
        <v/>
      </c>
    </row>
    <row r="485" spans="1:53">
      <c r="A485" s="67" t="str">
        <f t="shared" si="278"/>
        <v/>
      </c>
      <c r="B485" s="69" t="str">
        <f t="shared" si="279"/>
        <v/>
      </c>
      <c r="D485" s="69" t="str">
        <f t="shared" si="253"/>
        <v/>
      </c>
      <c r="E485" s="70" t="str">
        <f t="shared" si="254"/>
        <v/>
      </c>
      <c r="F485" s="70" t="str">
        <f t="shared" si="255"/>
        <v/>
      </c>
      <c r="G485" s="63" t="str">
        <f t="shared" si="256"/>
        <v/>
      </c>
      <c r="H485" s="64" t="str">
        <f t="shared" si="257"/>
        <v/>
      </c>
      <c r="J485" s="63" t="str">
        <f t="shared" si="258"/>
        <v/>
      </c>
      <c r="K485" s="64" t="str">
        <f t="shared" si="259"/>
        <v/>
      </c>
      <c r="L485" s="63" t="str">
        <f t="shared" si="260"/>
        <v/>
      </c>
      <c r="M485" s="64" t="str">
        <f t="shared" si="261"/>
        <v/>
      </c>
      <c r="O485" s="63" t="str">
        <f t="shared" si="262"/>
        <v/>
      </c>
      <c r="P485" s="63" t="str">
        <f t="shared" si="263"/>
        <v/>
      </c>
      <c r="R485" s="63" t="str">
        <f t="shared" si="264"/>
        <v/>
      </c>
      <c r="S485" s="64" t="str">
        <f t="shared" si="265"/>
        <v/>
      </c>
      <c r="T485" s="63" t="str">
        <f t="shared" si="266"/>
        <v/>
      </c>
      <c r="U485" s="64" t="str">
        <f t="shared" si="267"/>
        <v/>
      </c>
      <c r="V485" s="90" t="str">
        <f>IF($A486="","",IF(AND(MONTH(A485)&gt;3,MONTH(A485)&lt;11),(T485+R485+G485)*(((1/(1-Summary!$T$12))/(1-Summary!$W$12))-1),(T485+R485+G485)*((1/(1-Summary!$U$12))/(1-Summary!$X$12)-1)))</f>
        <v/>
      </c>
      <c r="W485" s="63" t="str">
        <f t="shared" si="268"/>
        <v/>
      </c>
      <c r="X485" s="63" t="str">
        <f t="shared" si="269"/>
        <v/>
      </c>
      <c r="Y485" s="43"/>
      <c r="AJ485" s="86"/>
      <c r="AK485" s="86"/>
      <c r="AL485" s="86"/>
      <c r="AM485" s="86"/>
      <c r="AN485" s="86"/>
      <c r="AO485" s="3" t="str">
        <f t="shared" si="270"/>
        <v/>
      </c>
      <c r="AP485" s="33" t="str">
        <f t="shared" si="271"/>
        <v/>
      </c>
      <c r="AQ485" s="58" t="str">
        <f t="shared" si="272"/>
        <v/>
      </c>
      <c r="AR485" s="38">
        <f>'ANR OK vs ML7'!AR485</f>
        <v>0.1</v>
      </c>
      <c r="AS485" s="35" t="str">
        <f t="shared" si="273"/>
        <v/>
      </c>
      <c r="AT485" s="3" t="str">
        <f t="shared" si="274"/>
        <v/>
      </c>
      <c r="AU485" s="3" t="str">
        <f t="shared" si="275"/>
        <v/>
      </c>
      <c r="AW485" s="32" t="str">
        <f t="shared" si="276"/>
        <v/>
      </c>
      <c r="AX485" s="32" t="str">
        <f t="shared" si="276"/>
        <v/>
      </c>
      <c r="AY485" s="32" t="str">
        <f t="shared" si="277"/>
        <v/>
      </c>
      <c r="BA485" s="32" t="str">
        <f>IF($A486="","",F485*Summary!$Q$12)</f>
        <v/>
      </c>
    </row>
    <row r="486" spans="1:53">
      <c r="A486" s="67" t="str">
        <f t="shared" si="278"/>
        <v/>
      </c>
      <c r="B486" s="69" t="str">
        <f t="shared" si="279"/>
        <v/>
      </c>
      <c r="D486" s="69" t="str">
        <f t="shared" si="253"/>
        <v/>
      </c>
      <c r="E486" s="70" t="str">
        <f t="shared" si="254"/>
        <v/>
      </c>
      <c r="F486" s="70" t="str">
        <f t="shared" si="255"/>
        <v/>
      </c>
      <c r="G486" s="63" t="str">
        <f t="shared" si="256"/>
        <v/>
      </c>
      <c r="H486" s="64" t="str">
        <f t="shared" si="257"/>
        <v/>
      </c>
      <c r="J486" s="63" t="str">
        <f t="shared" si="258"/>
        <v/>
      </c>
      <c r="K486" s="64" t="str">
        <f t="shared" si="259"/>
        <v/>
      </c>
      <c r="L486" s="63" t="str">
        <f t="shared" si="260"/>
        <v/>
      </c>
      <c r="M486" s="64" t="str">
        <f t="shared" si="261"/>
        <v/>
      </c>
      <c r="O486" s="63" t="str">
        <f t="shared" si="262"/>
        <v/>
      </c>
      <c r="P486" s="63" t="str">
        <f t="shared" si="263"/>
        <v/>
      </c>
      <c r="R486" s="63" t="str">
        <f t="shared" si="264"/>
        <v/>
      </c>
      <c r="S486" s="64" t="str">
        <f t="shared" si="265"/>
        <v/>
      </c>
      <c r="T486" s="63" t="str">
        <f t="shared" si="266"/>
        <v/>
      </c>
      <c r="U486" s="64" t="str">
        <f t="shared" si="267"/>
        <v/>
      </c>
      <c r="V486" s="90" t="str">
        <f>IF($A487="","",IF(AND(MONTH(A486)&gt;3,MONTH(A486)&lt;11),(T486+R486+G486)*(((1/(1-Summary!$T$12))/(1-Summary!$W$12))-1),(T486+R486+G486)*((1/(1-Summary!$U$12))/(1-Summary!$X$12)-1)))</f>
        <v/>
      </c>
      <c r="W486" s="63" t="str">
        <f t="shared" si="268"/>
        <v/>
      </c>
      <c r="X486" s="63" t="str">
        <f t="shared" si="269"/>
        <v/>
      </c>
      <c r="Y486" s="43"/>
      <c r="AJ486" s="86"/>
      <c r="AK486" s="86"/>
      <c r="AL486" s="86"/>
      <c r="AM486" s="86"/>
      <c r="AN486" s="86"/>
      <c r="AO486" s="3" t="str">
        <f t="shared" si="270"/>
        <v/>
      </c>
      <c r="AP486" s="33" t="str">
        <f t="shared" si="271"/>
        <v/>
      </c>
      <c r="AQ486" s="58" t="str">
        <f t="shared" si="272"/>
        <v/>
      </c>
      <c r="AR486" s="38">
        <f>'ANR OK vs ML7'!AR486</f>
        <v>0.1</v>
      </c>
      <c r="AS486" s="35" t="str">
        <f t="shared" si="273"/>
        <v/>
      </c>
      <c r="AT486" s="3" t="str">
        <f t="shared" si="274"/>
        <v/>
      </c>
      <c r="AU486" s="3" t="str">
        <f t="shared" si="275"/>
        <v/>
      </c>
      <c r="AW486" s="32" t="str">
        <f t="shared" si="276"/>
        <v/>
      </c>
      <c r="AX486" s="32" t="str">
        <f t="shared" si="276"/>
        <v/>
      </c>
      <c r="AY486" s="32" t="str">
        <f t="shared" si="277"/>
        <v/>
      </c>
      <c r="BA486" s="32" t="str">
        <f>IF($A487="","",F486*Summary!$Q$12)</f>
        <v/>
      </c>
    </row>
    <row r="487" spans="1:53">
      <c r="A487" s="67" t="str">
        <f t="shared" si="278"/>
        <v/>
      </c>
      <c r="B487" s="69" t="str">
        <f t="shared" si="279"/>
        <v/>
      </c>
      <c r="D487" s="69" t="str">
        <f t="shared" si="253"/>
        <v/>
      </c>
      <c r="E487" s="70" t="str">
        <f t="shared" si="254"/>
        <v/>
      </c>
      <c r="F487" s="70" t="str">
        <f t="shared" si="255"/>
        <v/>
      </c>
      <c r="G487" s="63" t="str">
        <f t="shared" si="256"/>
        <v/>
      </c>
      <c r="H487" s="64" t="str">
        <f t="shared" si="257"/>
        <v/>
      </c>
      <c r="J487" s="63" t="str">
        <f t="shared" si="258"/>
        <v/>
      </c>
      <c r="K487" s="64" t="str">
        <f t="shared" si="259"/>
        <v/>
      </c>
      <c r="L487" s="63" t="str">
        <f t="shared" si="260"/>
        <v/>
      </c>
      <c r="M487" s="64" t="str">
        <f t="shared" si="261"/>
        <v/>
      </c>
      <c r="O487" s="63" t="str">
        <f t="shared" si="262"/>
        <v/>
      </c>
      <c r="P487" s="63" t="str">
        <f t="shared" si="263"/>
        <v/>
      </c>
      <c r="R487" s="63" t="str">
        <f t="shared" si="264"/>
        <v/>
      </c>
      <c r="S487" s="64" t="str">
        <f t="shared" si="265"/>
        <v/>
      </c>
      <c r="T487" s="63" t="str">
        <f t="shared" si="266"/>
        <v/>
      </c>
      <c r="U487" s="64" t="str">
        <f t="shared" si="267"/>
        <v/>
      </c>
      <c r="V487" s="90" t="str">
        <f>IF($A488="","",IF(AND(MONTH(A487)&gt;3,MONTH(A487)&lt;11),(T487+R487+G487)*(((1/(1-Summary!$T$12))/(1-Summary!$W$12))-1),(T487+R487+G487)*((1/(1-Summary!$U$12))/(1-Summary!$X$12)-1)))</f>
        <v/>
      </c>
      <c r="W487" s="63" t="str">
        <f t="shared" si="268"/>
        <v/>
      </c>
      <c r="X487" s="63" t="str">
        <f t="shared" si="269"/>
        <v/>
      </c>
      <c r="Y487" s="43"/>
      <c r="AJ487" s="86"/>
      <c r="AK487" s="86"/>
      <c r="AL487" s="86"/>
      <c r="AM487" s="86"/>
      <c r="AN487" s="86"/>
      <c r="AO487" s="3" t="str">
        <f t="shared" si="270"/>
        <v/>
      </c>
      <c r="AP487" s="33" t="str">
        <f t="shared" si="271"/>
        <v/>
      </c>
      <c r="AQ487" s="58" t="str">
        <f t="shared" si="272"/>
        <v/>
      </c>
      <c r="AR487" s="38">
        <f>'ANR OK vs ML7'!AR487</f>
        <v>0.1</v>
      </c>
      <c r="AS487" s="35" t="str">
        <f t="shared" si="273"/>
        <v/>
      </c>
      <c r="AT487" s="3" t="str">
        <f t="shared" si="274"/>
        <v/>
      </c>
      <c r="AU487" s="3" t="str">
        <f t="shared" si="275"/>
        <v/>
      </c>
      <c r="AW487" s="32" t="str">
        <f t="shared" si="276"/>
        <v/>
      </c>
      <c r="AX487" s="32" t="str">
        <f t="shared" si="276"/>
        <v/>
      </c>
      <c r="AY487" s="32" t="str">
        <f t="shared" si="277"/>
        <v/>
      </c>
      <c r="BA487" s="32" t="str">
        <f>IF($A488="","",F487*Summary!$Q$12)</f>
        <v/>
      </c>
    </row>
    <row r="488" spans="1:53">
      <c r="A488" s="67" t="str">
        <f t="shared" si="278"/>
        <v/>
      </c>
      <c r="B488" s="69" t="str">
        <f t="shared" si="279"/>
        <v/>
      </c>
      <c r="D488" s="69" t="str">
        <f t="shared" si="253"/>
        <v/>
      </c>
      <c r="E488" s="70" t="str">
        <f t="shared" si="254"/>
        <v/>
      </c>
      <c r="F488" s="70" t="str">
        <f t="shared" si="255"/>
        <v/>
      </c>
      <c r="G488" s="63" t="str">
        <f t="shared" si="256"/>
        <v/>
      </c>
      <c r="H488" s="64" t="str">
        <f t="shared" si="257"/>
        <v/>
      </c>
      <c r="J488" s="63" t="str">
        <f t="shared" si="258"/>
        <v/>
      </c>
      <c r="K488" s="64" t="str">
        <f t="shared" si="259"/>
        <v/>
      </c>
      <c r="L488" s="63" t="str">
        <f t="shared" si="260"/>
        <v/>
      </c>
      <c r="M488" s="64" t="str">
        <f t="shared" si="261"/>
        <v/>
      </c>
      <c r="O488" s="63" t="str">
        <f t="shared" si="262"/>
        <v/>
      </c>
      <c r="P488" s="63" t="str">
        <f t="shared" si="263"/>
        <v/>
      </c>
      <c r="R488" s="63" t="str">
        <f t="shared" si="264"/>
        <v/>
      </c>
      <c r="S488" s="64" t="str">
        <f t="shared" si="265"/>
        <v/>
      </c>
      <c r="T488" s="63" t="str">
        <f t="shared" si="266"/>
        <v/>
      </c>
      <c r="U488" s="64" t="str">
        <f t="shared" si="267"/>
        <v/>
      </c>
      <c r="V488" s="90" t="str">
        <f>IF($A489="","",IF(AND(MONTH(A488)&gt;3,MONTH(A488)&lt;11),(T488+R488+G488)*(((1/(1-Summary!$T$12))/(1-Summary!$W$12))-1),(T488+R488+G488)*((1/(1-Summary!$U$12))/(1-Summary!$X$12)-1)))</f>
        <v/>
      </c>
      <c r="W488" s="63" t="str">
        <f t="shared" si="268"/>
        <v/>
      </c>
      <c r="X488" s="63" t="str">
        <f t="shared" si="269"/>
        <v/>
      </c>
      <c r="Y488" s="43"/>
      <c r="AJ488" s="86"/>
      <c r="AK488" s="86"/>
      <c r="AL488" s="86"/>
      <c r="AM488" s="86"/>
      <c r="AN488" s="86"/>
      <c r="AO488" s="3" t="str">
        <f t="shared" si="270"/>
        <v/>
      </c>
      <c r="AP488" s="33" t="str">
        <f t="shared" si="271"/>
        <v/>
      </c>
      <c r="AQ488" s="58" t="str">
        <f t="shared" si="272"/>
        <v/>
      </c>
      <c r="AR488" s="38">
        <f>'ANR OK vs ML7'!AR488</f>
        <v>0.1</v>
      </c>
      <c r="AS488" s="35" t="str">
        <f t="shared" si="273"/>
        <v/>
      </c>
      <c r="AT488" s="3" t="str">
        <f t="shared" si="274"/>
        <v/>
      </c>
      <c r="AU488" s="3" t="str">
        <f t="shared" si="275"/>
        <v/>
      </c>
      <c r="AW488" s="32" t="str">
        <f t="shared" si="276"/>
        <v/>
      </c>
      <c r="AX488" s="32" t="str">
        <f t="shared" si="276"/>
        <v/>
      </c>
      <c r="AY488" s="32" t="str">
        <f t="shared" si="277"/>
        <v/>
      </c>
      <c r="BA488" s="32" t="str">
        <f>IF($A489="","",F488*Summary!$Q$12)</f>
        <v/>
      </c>
    </row>
    <row r="489" spans="1:53">
      <c r="A489" s="67" t="str">
        <f t="shared" si="278"/>
        <v/>
      </c>
      <c r="B489" s="69" t="str">
        <f t="shared" si="279"/>
        <v/>
      </c>
      <c r="D489" s="69" t="str">
        <f t="shared" si="253"/>
        <v/>
      </c>
      <c r="E489" s="70" t="str">
        <f t="shared" si="254"/>
        <v/>
      </c>
      <c r="F489" s="70" t="str">
        <f t="shared" si="255"/>
        <v/>
      </c>
      <c r="G489" s="63" t="str">
        <f t="shared" si="256"/>
        <v/>
      </c>
      <c r="H489" s="64" t="str">
        <f t="shared" si="257"/>
        <v/>
      </c>
      <c r="J489" s="63" t="str">
        <f t="shared" si="258"/>
        <v/>
      </c>
      <c r="K489" s="64" t="str">
        <f t="shared" si="259"/>
        <v/>
      </c>
      <c r="L489" s="63" t="str">
        <f t="shared" si="260"/>
        <v/>
      </c>
      <c r="M489" s="64" t="str">
        <f t="shared" si="261"/>
        <v/>
      </c>
      <c r="O489" s="63" t="str">
        <f t="shared" si="262"/>
        <v/>
      </c>
      <c r="P489" s="63" t="str">
        <f t="shared" si="263"/>
        <v/>
      </c>
      <c r="R489" s="63" t="str">
        <f t="shared" si="264"/>
        <v/>
      </c>
      <c r="S489" s="64" t="str">
        <f t="shared" si="265"/>
        <v/>
      </c>
      <c r="T489" s="63" t="str">
        <f t="shared" si="266"/>
        <v/>
      </c>
      <c r="U489" s="64" t="str">
        <f t="shared" si="267"/>
        <v/>
      </c>
      <c r="V489" s="90" t="str">
        <f>IF($A490="","",IF(AND(MONTH(A489)&gt;3,MONTH(A489)&lt;11),(T489+R489+G489)*(((1/(1-Summary!$T$12))/(1-Summary!$W$12))-1),(T489+R489+G489)*((1/(1-Summary!$U$12))/(1-Summary!$X$12)-1)))</f>
        <v/>
      </c>
      <c r="W489" s="63" t="str">
        <f t="shared" si="268"/>
        <v/>
      </c>
      <c r="X489" s="63" t="str">
        <f t="shared" si="269"/>
        <v/>
      </c>
      <c r="Y489" s="43"/>
      <c r="AJ489" s="86"/>
      <c r="AK489" s="86"/>
      <c r="AL489" s="86"/>
      <c r="AM489" s="86"/>
      <c r="AN489" s="86"/>
      <c r="AO489" s="3" t="str">
        <f t="shared" si="270"/>
        <v/>
      </c>
      <c r="AP489" s="33" t="str">
        <f t="shared" si="271"/>
        <v/>
      </c>
      <c r="AQ489" s="58" t="str">
        <f t="shared" si="272"/>
        <v/>
      </c>
      <c r="AR489" s="38">
        <f>'ANR OK vs ML7'!AR489</f>
        <v>0.1</v>
      </c>
      <c r="AS489" s="35" t="str">
        <f t="shared" si="273"/>
        <v/>
      </c>
      <c r="AT489" s="3" t="str">
        <f t="shared" si="274"/>
        <v/>
      </c>
      <c r="AU489" s="3" t="str">
        <f t="shared" si="275"/>
        <v/>
      </c>
      <c r="AW489" s="32" t="str">
        <f t="shared" si="276"/>
        <v/>
      </c>
      <c r="AX489" s="32" t="str">
        <f t="shared" si="276"/>
        <v/>
      </c>
      <c r="AY489" s="32" t="str">
        <f t="shared" si="277"/>
        <v/>
      </c>
      <c r="BA489" s="32" t="str">
        <f>IF($A490="","",F489*Summary!$Q$12)</f>
        <v/>
      </c>
    </row>
    <row r="490" spans="1:53">
      <c r="A490" s="67" t="str">
        <f t="shared" si="278"/>
        <v/>
      </c>
      <c r="B490" s="69" t="str">
        <f t="shared" si="279"/>
        <v/>
      </c>
      <c r="D490" s="69" t="str">
        <f t="shared" si="253"/>
        <v/>
      </c>
      <c r="E490" s="70" t="str">
        <f t="shared" si="254"/>
        <v/>
      </c>
      <c r="F490" s="70" t="str">
        <f t="shared" si="255"/>
        <v/>
      </c>
      <c r="G490" s="63" t="str">
        <f t="shared" si="256"/>
        <v/>
      </c>
      <c r="H490" s="64" t="str">
        <f t="shared" si="257"/>
        <v/>
      </c>
      <c r="J490" s="63" t="str">
        <f t="shared" si="258"/>
        <v/>
      </c>
      <c r="K490" s="64" t="str">
        <f t="shared" si="259"/>
        <v/>
      </c>
      <c r="L490" s="63" t="str">
        <f t="shared" si="260"/>
        <v/>
      </c>
      <c r="M490" s="64" t="str">
        <f t="shared" si="261"/>
        <v/>
      </c>
      <c r="O490" s="63" t="str">
        <f t="shared" si="262"/>
        <v/>
      </c>
      <c r="P490" s="63" t="str">
        <f t="shared" si="263"/>
        <v/>
      </c>
      <c r="R490" s="63" t="str">
        <f t="shared" si="264"/>
        <v/>
      </c>
      <c r="S490" s="64" t="str">
        <f t="shared" si="265"/>
        <v/>
      </c>
      <c r="T490" s="63" t="str">
        <f t="shared" si="266"/>
        <v/>
      </c>
      <c r="U490" s="64" t="str">
        <f t="shared" si="267"/>
        <v/>
      </c>
      <c r="V490" s="90" t="str">
        <f>IF($A491="","",IF(AND(MONTH(A490)&gt;3,MONTH(A490)&lt;11),(T490+R490+G490)*(((1/(1-Summary!$T$12))/(1-Summary!$W$12))-1),(T490+R490+G490)*((1/(1-Summary!$U$12))/(1-Summary!$X$12)-1)))</f>
        <v/>
      </c>
      <c r="W490" s="63" t="str">
        <f t="shared" si="268"/>
        <v/>
      </c>
      <c r="X490" s="63" t="str">
        <f t="shared" si="269"/>
        <v/>
      </c>
      <c r="Y490" s="43"/>
      <c r="AJ490" s="86"/>
      <c r="AK490" s="86"/>
      <c r="AL490" s="86"/>
      <c r="AM490" s="86"/>
      <c r="AN490" s="86"/>
      <c r="AO490" s="3" t="str">
        <f t="shared" si="270"/>
        <v/>
      </c>
      <c r="AP490" s="33" t="str">
        <f t="shared" si="271"/>
        <v/>
      </c>
      <c r="AQ490" s="58" t="str">
        <f t="shared" si="272"/>
        <v/>
      </c>
      <c r="AR490" s="38">
        <f>'ANR OK vs ML7'!AR490</f>
        <v>0.1</v>
      </c>
      <c r="AS490" s="35" t="str">
        <f t="shared" si="273"/>
        <v/>
      </c>
      <c r="AT490" s="3" t="str">
        <f t="shared" si="274"/>
        <v/>
      </c>
      <c r="AU490" s="3" t="str">
        <f t="shared" si="275"/>
        <v/>
      </c>
      <c r="AW490" s="32" t="str">
        <f t="shared" si="276"/>
        <v/>
      </c>
      <c r="AX490" s="32" t="str">
        <f t="shared" si="276"/>
        <v/>
      </c>
      <c r="AY490" s="32" t="str">
        <f t="shared" si="277"/>
        <v/>
      </c>
      <c r="BA490" s="32" t="str">
        <f>IF($A491="","",F490*Summary!$Q$12)</f>
        <v/>
      </c>
    </row>
    <row r="491" spans="1:53">
      <c r="A491" s="67" t="str">
        <f t="shared" si="278"/>
        <v/>
      </c>
      <c r="B491" s="69" t="str">
        <f t="shared" si="279"/>
        <v/>
      </c>
      <c r="D491" s="69" t="str">
        <f t="shared" si="253"/>
        <v/>
      </c>
      <c r="E491" s="70" t="str">
        <f t="shared" si="254"/>
        <v/>
      </c>
      <c r="F491" s="70" t="str">
        <f t="shared" si="255"/>
        <v/>
      </c>
      <c r="G491" s="63" t="str">
        <f t="shared" si="256"/>
        <v/>
      </c>
      <c r="H491" s="64" t="str">
        <f t="shared" si="257"/>
        <v/>
      </c>
      <c r="J491" s="63" t="str">
        <f t="shared" si="258"/>
        <v/>
      </c>
      <c r="K491" s="64" t="str">
        <f t="shared" si="259"/>
        <v/>
      </c>
      <c r="L491" s="63" t="str">
        <f t="shared" si="260"/>
        <v/>
      </c>
      <c r="M491" s="64" t="str">
        <f t="shared" si="261"/>
        <v/>
      </c>
      <c r="O491" s="63" t="str">
        <f t="shared" si="262"/>
        <v/>
      </c>
      <c r="P491" s="63" t="str">
        <f t="shared" si="263"/>
        <v/>
      </c>
      <c r="R491" s="63" t="str">
        <f t="shared" si="264"/>
        <v/>
      </c>
      <c r="S491" s="64" t="str">
        <f t="shared" si="265"/>
        <v/>
      </c>
      <c r="T491" s="63" t="str">
        <f t="shared" si="266"/>
        <v/>
      </c>
      <c r="U491" s="64" t="str">
        <f t="shared" si="267"/>
        <v/>
      </c>
      <c r="V491" s="90" t="str">
        <f>IF($A492="","",IF(AND(MONTH(A491)&gt;3,MONTH(A491)&lt;11),(T491+R491+G491)*(((1/(1-Summary!$T$12))/(1-Summary!$W$12))-1),(T491+R491+G491)*((1/(1-Summary!$U$12))/(1-Summary!$X$12)-1)))</f>
        <v/>
      </c>
      <c r="W491" s="63" t="str">
        <f t="shared" si="268"/>
        <v/>
      </c>
      <c r="X491" s="63" t="str">
        <f t="shared" si="269"/>
        <v/>
      </c>
      <c r="Y491" s="43"/>
      <c r="AJ491" s="86"/>
      <c r="AK491" s="86"/>
      <c r="AL491" s="86"/>
      <c r="AM491" s="86"/>
      <c r="AN491" s="86"/>
      <c r="AO491" s="3" t="str">
        <f t="shared" si="270"/>
        <v/>
      </c>
      <c r="AP491" s="33" t="str">
        <f t="shared" si="271"/>
        <v/>
      </c>
      <c r="AQ491" s="58" t="str">
        <f t="shared" si="272"/>
        <v/>
      </c>
      <c r="AR491" s="38">
        <f>'ANR OK vs ML7'!AR491</f>
        <v>0.1</v>
      </c>
      <c r="AS491" s="35" t="str">
        <f t="shared" si="273"/>
        <v/>
      </c>
      <c r="AT491" s="3" t="str">
        <f t="shared" si="274"/>
        <v/>
      </c>
      <c r="AU491" s="3" t="str">
        <f t="shared" si="275"/>
        <v/>
      </c>
      <c r="AW491" s="32" t="str">
        <f t="shared" si="276"/>
        <v/>
      </c>
      <c r="AX491" s="32" t="str">
        <f t="shared" si="276"/>
        <v/>
      </c>
      <c r="AY491" s="32" t="str">
        <f t="shared" si="277"/>
        <v/>
      </c>
      <c r="BA491" s="32" t="str">
        <f>IF($A492="","",F491*Summary!$Q$12)</f>
        <v/>
      </c>
    </row>
    <row r="492" spans="1:53">
      <c r="A492" s="67" t="str">
        <f t="shared" si="278"/>
        <v/>
      </c>
      <c r="B492" s="69" t="str">
        <f t="shared" si="279"/>
        <v/>
      </c>
      <c r="D492" s="69" t="str">
        <f t="shared" si="253"/>
        <v/>
      </c>
      <c r="E492" s="70" t="str">
        <f t="shared" si="254"/>
        <v/>
      </c>
      <c r="F492" s="70" t="str">
        <f t="shared" si="255"/>
        <v/>
      </c>
      <c r="G492" s="63" t="str">
        <f t="shared" si="256"/>
        <v/>
      </c>
      <c r="H492" s="64" t="str">
        <f t="shared" si="257"/>
        <v/>
      </c>
      <c r="J492" s="63" t="str">
        <f t="shared" si="258"/>
        <v/>
      </c>
      <c r="K492" s="64" t="str">
        <f t="shared" si="259"/>
        <v/>
      </c>
      <c r="L492" s="63" t="str">
        <f t="shared" si="260"/>
        <v/>
      </c>
      <c r="M492" s="64" t="str">
        <f t="shared" si="261"/>
        <v/>
      </c>
      <c r="O492" s="63" t="str">
        <f t="shared" si="262"/>
        <v/>
      </c>
      <c r="P492" s="63" t="str">
        <f t="shared" si="263"/>
        <v/>
      </c>
      <c r="R492" s="63" t="str">
        <f t="shared" si="264"/>
        <v/>
      </c>
      <c r="S492" s="64" t="str">
        <f t="shared" si="265"/>
        <v/>
      </c>
      <c r="T492" s="63" t="str">
        <f t="shared" si="266"/>
        <v/>
      </c>
      <c r="U492" s="64" t="str">
        <f t="shared" si="267"/>
        <v/>
      </c>
      <c r="V492" s="90" t="str">
        <f>IF($A493="","",IF(AND(MONTH(A492)&gt;3,MONTH(A492)&lt;11),(T492+R492+G492)*(((1/(1-Summary!$T$12))/(1-Summary!$W$12))-1),(T492+R492+G492)*((1/(1-Summary!$U$12))/(1-Summary!$X$12)-1)))</f>
        <v/>
      </c>
      <c r="W492" s="63" t="str">
        <f t="shared" si="268"/>
        <v/>
      </c>
      <c r="X492" s="63" t="str">
        <f t="shared" si="269"/>
        <v/>
      </c>
      <c r="Y492" s="43"/>
      <c r="AJ492" s="86"/>
      <c r="AK492" s="86"/>
      <c r="AL492" s="86"/>
      <c r="AM492" s="86"/>
      <c r="AN492" s="86"/>
      <c r="AO492" s="3" t="str">
        <f t="shared" si="270"/>
        <v/>
      </c>
      <c r="AP492" s="33" t="str">
        <f t="shared" si="271"/>
        <v/>
      </c>
      <c r="AQ492" s="58" t="str">
        <f t="shared" si="272"/>
        <v/>
      </c>
      <c r="AR492" s="38">
        <f>'ANR OK vs ML7'!AR492</f>
        <v>0.1</v>
      </c>
      <c r="AS492" s="35" t="str">
        <f t="shared" si="273"/>
        <v/>
      </c>
      <c r="AT492" s="3" t="str">
        <f t="shared" si="274"/>
        <v/>
      </c>
      <c r="AU492" s="3" t="str">
        <f t="shared" si="275"/>
        <v/>
      </c>
      <c r="AW492" s="32" t="str">
        <f t="shared" si="276"/>
        <v/>
      </c>
      <c r="AX492" s="32" t="str">
        <f t="shared" si="276"/>
        <v/>
      </c>
      <c r="AY492" s="32" t="str">
        <f t="shared" si="277"/>
        <v/>
      </c>
      <c r="BA492" s="32" t="str">
        <f>IF($A493="","",F492*Summary!$Q$12)</f>
        <v/>
      </c>
    </row>
    <row r="493" spans="1:53">
      <c r="A493" s="67" t="str">
        <f t="shared" si="278"/>
        <v/>
      </c>
      <c r="B493" s="69" t="str">
        <f t="shared" si="279"/>
        <v/>
      </c>
      <c r="D493" s="69" t="str">
        <f t="shared" si="253"/>
        <v/>
      </c>
      <c r="E493" s="70" t="str">
        <f t="shared" si="254"/>
        <v/>
      </c>
      <c r="F493" s="70" t="str">
        <f t="shared" si="255"/>
        <v/>
      </c>
      <c r="G493" s="63" t="str">
        <f t="shared" si="256"/>
        <v/>
      </c>
      <c r="H493" s="64" t="str">
        <f t="shared" si="257"/>
        <v/>
      </c>
      <c r="J493" s="63" t="str">
        <f t="shared" si="258"/>
        <v/>
      </c>
      <c r="K493" s="64" t="str">
        <f t="shared" si="259"/>
        <v/>
      </c>
      <c r="L493" s="63" t="str">
        <f t="shared" si="260"/>
        <v/>
      </c>
      <c r="M493" s="64" t="str">
        <f t="shared" si="261"/>
        <v/>
      </c>
      <c r="O493" s="63" t="str">
        <f t="shared" si="262"/>
        <v/>
      </c>
      <c r="P493" s="63" t="str">
        <f t="shared" si="263"/>
        <v/>
      </c>
      <c r="R493" s="63" t="str">
        <f t="shared" si="264"/>
        <v/>
      </c>
      <c r="S493" s="64" t="str">
        <f t="shared" si="265"/>
        <v/>
      </c>
      <c r="T493" s="63" t="str">
        <f t="shared" si="266"/>
        <v/>
      </c>
      <c r="U493" s="64" t="str">
        <f t="shared" si="267"/>
        <v/>
      </c>
      <c r="V493" s="90" t="str">
        <f>IF($A494="","",IF(AND(MONTH(A493)&gt;3,MONTH(A493)&lt;11),(T493+R493+G493)*(((1/(1-Summary!$T$12))/(1-Summary!$W$12))-1),(T493+R493+G493)*((1/(1-Summary!$U$12))/(1-Summary!$X$12)-1)))</f>
        <v/>
      </c>
      <c r="W493" s="63" t="str">
        <f t="shared" si="268"/>
        <v/>
      </c>
      <c r="X493" s="63" t="str">
        <f t="shared" si="269"/>
        <v/>
      </c>
      <c r="Y493" s="43"/>
      <c r="AJ493" s="86"/>
      <c r="AK493" s="86"/>
      <c r="AL493" s="86"/>
      <c r="AM493" s="86"/>
      <c r="AN493" s="86"/>
      <c r="AO493" s="3" t="str">
        <f t="shared" si="270"/>
        <v/>
      </c>
      <c r="AP493" s="33" t="str">
        <f t="shared" si="271"/>
        <v/>
      </c>
      <c r="AQ493" s="58" t="str">
        <f t="shared" si="272"/>
        <v/>
      </c>
      <c r="AR493" s="38">
        <f>'ANR OK vs ML7'!AR493</f>
        <v>0.1</v>
      </c>
      <c r="AS493" s="35" t="str">
        <f t="shared" si="273"/>
        <v/>
      </c>
      <c r="AT493" s="3" t="str">
        <f t="shared" si="274"/>
        <v/>
      </c>
      <c r="AU493" s="3" t="str">
        <f t="shared" si="275"/>
        <v/>
      </c>
      <c r="AW493" s="32" t="str">
        <f t="shared" si="276"/>
        <v/>
      </c>
      <c r="AX493" s="32" t="str">
        <f t="shared" si="276"/>
        <v/>
      </c>
      <c r="AY493" s="32" t="str">
        <f t="shared" si="277"/>
        <v/>
      </c>
      <c r="BA493" s="32" t="str">
        <f>IF($A494="","",F493*Summary!$Q$12)</f>
        <v/>
      </c>
    </row>
    <row r="494" spans="1:53">
      <c r="A494" s="67" t="str">
        <f t="shared" si="278"/>
        <v/>
      </c>
      <c r="B494" s="69" t="str">
        <f t="shared" si="279"/>
        <v/>
      </c>
      <c r="D494" s="69" t="str">
        <f t="shared" si="253"/>
        <v/>
      </c>
      <c r="E494" s="70" t="str">
        <f t="shared" si="254"/>
        <v/>
      </c>
      <c r="F494" s="70" t="str">
        <f t="shared" si="255"/>
        <v/>
      </c>
      <c r="G494" s="63" t="str">
        <f t="shared" si="256"/>
        <v/>
      </c>
      <c r="H494" s="64" t="str">
        <f t="shared" si="257"/>
        <v/>
      </c>
      <c r="J494" s="63" t="str">
        <f t="shared" si="258"/>
        <v/>
      </c>
      <c r="K494" s="64" t="str">
        <f t="shared" si="259"/>
        <v/>
      </c>
      <c r="L494" s="63" t="str">
        <f t="shared" si="260"/>
        <v/>
      </c>
      <c r="M494" s="64" t="str">
        <f t="shared" si="261"/>
        <v/>
      </c>
      <c r="O494" s="63" t="str">
        <f t="shared" si="262"/>
        <v/>
      </c>
      <c r="P494" s="63" t="str">
        <f t="shared" si="263"/>
        <v/>
      </c>
      <c r="R494" s="63" t="str">
        <f t="shared" si="264"/>
        <v/>
      </c>
      <c r="S494" s="64" t="str">
        <f t="shared" si="265"/>
        <v/>
      </c>
      <c r="T494" s="63" t="str">
        <f t="shared" si="266"/>
        <v/>
      </c>
      <c r="U494" s="64" t="str">
        <f t="shared" si="267"/>
        <v/>
      </c>
      <c r="V494" s="90" t="str">
        <f>IF($A495="","",IF(AND(MONTH(A494)&gt;3,MONTH(A494)&lt;11),(T494+R494+G494)*(((1/(1-Summary!$T$12))/(1-Summary!$W$12))-1),(T494+R494+G494)*((1/(1-Summary!$U$12))/(1-Summary!$X$12)-1)))</f>
        <v/>
      </c>
      <c r="W494" s="63" t="str">
        <f t="shared" si="268"/>
        <v/>
      </c>
      <c r="X494" s="63" t="str">
        <f t="shared" si="269"/>
        <v/>
      </c>
      <c r="Y494" s="43"/>
      <c r="AJ494" s="86"/>
      <c r="AK494" s="86"/>
      <c r="AL494" s="86"/>
      <c r="AM494" s="86"/>
      <c r="AN494" s="86"/>
      <c r="AO494" s="3" t="str">
        <f t="shared" si="270"/>
        <v/>
      </c>
      <c r="AP494" s="33" t="str">
        <f t="shared" si="271"/>
        <v/>
      </c>
      <c r="AQ494" s="58" t="str">
        <f t="shared" si="272"/>
        <v/>
      </c>
      <c r="AR494" s="38">
        <f>'ANR OK vs ML7'!AR494</f>
        <v>0.1</v>
      </c>
      <c r="AS494" s="35" t="str">
        <f t="shared" si="273"/>
        <v/>
      </c>
      <c r="AT494" s="3" t="str">
        <f t="shared" si="274"/>
        <v/>
      </c>
      <c r="AU494" s="3" t="str">
        <f t="shared" si="275"/>
        <v/>
      </c>
      <c r="AW494" s="32" t="str">
        <f t="shared" si="276"/>
        <v/>
      </c>
      <c r="AX494" s="32" t="str">
        <f t="shared" si="276"/>
        <v/>
      </c>
      <c r="AY494" s="32" t="str">
        <f t="shared" si="277"/>
        <v/>
      </c>
      <c r="BA494" s="32" t="str">
        <f>IF($A495="","",F494*Summary!$Q$12)</f>
        <v/>
      </c>
    </row>
    <row r="495" spans="1:53">
      <c r="A495" s="67" t="str">
        <f t="shared" si="278"/>
        <v/>
      </c>
      <c r="B495" s="69" t="str">
        <f t="shared" si="279"/>
        <v/>
      </c>
      <c r="D495" s="69" t="str">
        <f t="shared" si="253"/>
        <v/>
      </c>
      <c r="E495" s="70" t="str">
        <f t="shared" si="254"/>
        <v/>
      </c>
      <c r="F495" s="70" t="str">
        <f t="shared" si="255"/>
        <v/>
      </c>
      <c r="G495" s="63" t="str">
        <f t="shared" si="256"/>
        <v/>
      </c>
      <c r="H495" s="64" t="str">
        <f t="shared" si="257"/>
        <v/>
      </c>
      <c r="J495" s="63" t="str">
        <f t="shared" si="258"/>
        <v/>
      </c>
      <c r="K495" s="64" t="str">
        <f t="shared" si="259"/>
        <v/>
      </c>
      <c r="L495" s="63" t="str">
        <f t="shared" si="260"/>
        <v/>
      </c>
      <c r="M495" s="64" t="str">
        <f t="shared" si="261"/>
        <v/>
      </c>
      <c r="O495" s="63" t="str">
        <f t="shared" si="262"/>
        <v/>
      </c>
      <c r="P495" s="63" t="str">
        <f t="shared" si="263"/>
        <v/>
      </c>
      <c r="R495" s="63" t="str">
        <f t="shared" si="264"/>
        <v/>
      </c>
      <c r="S495" s="64" t="str">
        <f t="shared" si="265"/>
        <v/>
      </c>
      <c r="T495" s="63" t="str">
        <f t="shared" si="266"/>
        <v/>
      </c>
      <c r="U495" s="64" t="str">
        <f t="shared" si="267"/>
        <v/>
      </c>
      <c r="V495" s="90" t="str">
        <f>IF($A496="","",IF(AND(MONTH(A495)&gt;3,MONTH(A495)&lt;11),(T495+R495+G495)*(((1/(1-Summary!$T$12))/(1-Summary!$W$12))-1),(T495+R495+G495)*((1/(1-Summary!$U$12))/(1-Summary!$X$12)-1)))</f>
        <v/>
      </c>
      <c r="W495" s="63" t="str">
        <f t="shared" si="268"/>
        <v/>
      </c>
      <c r="X495" s="63" t="str">
        <f t="shared" si="269"/>
        <v/>
      </c>
      <c r="Y495" s="43"/>
      <c r="AJ495" s="86"/>
      <c r="AK495" s="86"/>
      <c r="AL495" s="86"/>
      <c r="AM495" s="86"/>
      <c r="AN495" s="86"/>
      <c r="AO495" s="3" t="str">
        <f t="shared" si="270"/>
        <v/>
      </c>
      <c r="AP495" s="33" t="str">
        <f t="shared" si="271"/>
        <v/>
      </c>
      <c r="AQ495" s="58" t="str">
        <f t="shared" si="272"/>
        <v/>
      </c>
      <c r="AR495" s="38">
        <f>'ANR OK vs ML7'!AR495</f>
        <v>0.1</v>
      </c>
      <c r="AS495" s="35" t="str">
        <f t="shared" si="273"/>
        <v/>
      </c>
      <c r="AT495" s="3" t="str">
        <f t="shared" si="274"/>
        <v/>
      </c>
      <c r="AU495" s="3" t="str">
        <f t="shared" si="275"/>
        <v/>
      </c>
      <c r="AW495" s="32" t="str">
        <f t="shared" si="276"/>
        <v/>
      </c>
      <c r="AX495" s="32" t="str">
        <f t="shared" si="276"/>
        <v/>
      </c>
      <c r="AY495" s="32" t="str">
        <f t="shared" si="277"/>
        <v/>
      </c>
      <c r="BA495" s="32" t="str">
        <f>IF($A496="","",F495*Summary!$Q$12)</f>
        <v/>
      </c>
    </row>
    <row r="496" spans="1:53">
      <c r="A496" s="67" t="str">
        <f t="shared" si="278"/>
        <v/>
      </c>
      <c r="B496" s="69" t="str">
        <f t="shared" si="279"/>
        <v/>
      </c>
      <c r="D496" s="69" t="str">
        <f t="shared" si="253"/>
        <v/>
      </c>
      <c r="E496" s="70" t="str">
        <f t="shared" si="254"/>
        <v/>
      </c>
      <c r="F496" s="70" t="str">
        <f t="shared" si="255"/>
        <v/>
      </c>
      <c r="G496" s="63" t="str">
        <f t="shared" si="256"/>
        <v/>
      </c>
      <c r="H496" s="64" t="str">
        <f t="shared" si="257"/>
        <v/>
      </c>
      <c r="J496" s="63" t="str">
        <f t="shared" si="258"/>
        <v/>
      </c>
      <c r="K496" s="64" t="str">
        <f t="shared" si="259"/>
        <v/>
      </c>
      <c r="L496" s="63" t="str">
        <f t="shared" si="260"/>
        <v/>
      </c>
      <c r="M496" s="64" t="str">
        <f t="shared" si="261"/>
        <v/>
      </c>
      <c r="O496" s="63" t="str">
        <f t="shared" si="262"/>
        <v/>
      </c>
      <c r="P496" s="63" t="str">
        <f t="shared" si="263"/>
        <v/>
      </c>
      <c r="R496" s="63" t="str">
        <f t="shared" si="264"/>
        <v/>
      </c>
      <c r="S496" s="64" t="str">
        <f t="shared" si="265"/>
        <v/>
      </c>
      <c r="T496" s="63" t="str">
        <f t="shared" si="266"/>
        <v/>
      </c>
      <c r="U496" s="64" t="str">
        <f t="shared" si="267"/>
        <v/>
      </c>
      <c r="V496" s="90" t="str">
        <f>IF($A497="","",IF(AND(MONTH(A496)&gt;3,MONTH(A496)&lt;11),(T496+R496+G496)*(((1/(1-Summary!$T$12))/(1-Summary!$W$12))-1),(T496+R496+G496)*((1/(1-Summary!$U$12))/(1-Summary!$X$12)-1)))</f>
        <v/>
      </c>
      <c r="W496" s="63" t="str">
        <f t="shared" si="268"/>
        <v/>
      </c>
      <c r="X496" s="63" t="str">
        <f t="shared" si="269"/>
        <v/>
      </c>
      <c r="Y496" s="43"/>
      <c r="AJ496" s="86"/>
      <c r="AK496" s="86"/>
      <c r="AL496" s="86"/>
      <c r="AM496" s="86"/>
      <c r="AN496" s="86"/>
      <c r="AO496" s="3" t="str">
        <f t="shared" si="270"/>
        <v/>
      </c>
      <c r="AP496" s="33" t="str">
        <f t="shared" si="271"/>
        <v/>
      </c>
      <c r="AQ496" s="58" t="str">
        <f t="shared" si="272"/>
        <v/>
      </c>
      <c r="AR496" s="38">
        <f>'ANR OK vs ML7'!AR496</f>
        <v>0.1</v>
      </c>
      <c r="AS496" s="35" t="str">
        <f t="shared" si="273"/>
        <v/>
      </c>
      <c r="AT496" s="3" t="str">
        <f t="shared" si="274"/>
        <v/>
      </c>
      <c r="AU496" s="3" t="str">
        <f t="shared" si="275"/>
        <v/>
      </c>
      <c r="AW496" s="32" t="str">
        <f t="shared" si="276"/>
        <v/>
      </c>
      <c r="AX496" s="32" t="str">
        <f t="shared" si="276"/>
        <v/>
      </c>
      <c r="AY496" s="32" t="str">
        <f t="shared" si="277"/>
        <v/>
      </c>
      <c r="BA496" s="32" t="str">
        <f>IF($A497="","",F496*Summary!$Q$12)</f>
        <v/>
      </c>
    </row>
    <row r="497" spans="1:242">
      <c r="A497" s="67" t="str">
        <f t="shared" si="278"/>
        <v/>
      </c>
      <c r="B497" s="69" t="str">
        <f t="shared" si="279"/>
        <v/>
      </c>
      <c r="D497" s="69" t="str">
        <f t="shared" si="253"/>
        <v/>
      </c>
      <c r="E497" s="70" t="str">
        <f t="shared" si="254"/>
        <v/>
      </c>
      <c r="F497" s="70" t="str">
        <f t="shared" si="255"/>
        <v/>
      </c>
      <c r="G497" s="63" t="str">
        <f t="shared" si="256"/>
        <v/>
      </c>
      <c r="H497" s="64" t="str">
        <f t="shared" si="257"/>
        <v/>
      </c>
      <c r="J497" s="63" t="str">
        <f t="shared" si="258"/>
        <v/>
      </c>
      <c r="K497" s="64" t="str">
        <f t="shared" si="259"/>
        <v/>
      </c>
      <c r="L497" s="63" t="str">
        <f t="shared" si="260"/>
        <v/>
      </c>
      <c r="M497" s="64" t="str">
        <f t="shared" si="261"/>
        <v/>
      </c>
      <c r="O497" s="63" t="str">
        <f t="shared" si="262"/>
        <v/>
      </c>
      <c r="P497" s="63" t="str">
        <f t="shared" si="263"/>
        <v/>
      </c>
      <c r="R497" s="63" t="str">
        <f t="shared" si="264"/>
        <v/>
      </c>
      <c r="S497" s="64" t="str">
        <f t="shared" si="265"/>
        <v/>
      </c>
      <c r="T497" s="63" t="str">
        <f t="shared" si="266"/>
        <v/>
      </c>
      <c r="U497" s="64" t="str">
        <f t="shared" si="267"/>
        <v/>
      </c>
      <c r="V497" s="90" t="str">
        <f>IF($A498="","",IF(AND(MONTH(A497)&gt;3,MONTH(A497)&lt;11),(T497+R497+G497)*(((1/(1-Summary!$T$12))/(1-Summary!$W$12))-1),(T497+R497+G497)*((1/(1-Summary!$U$12))/(1-Summary!$X$12)-1)))</f>
        <v/>
      </c>
      <c r="W497" s="63" t="str">
        <f t="shared" si="268"/>
        <v/>
      </c>
      <c r="X497" s="63" t="str">
        <f t="shared" si="269"/>
        <v/>
      </c>
      <c r="Y497" s="43"/>
      <c r="AJ497" s="86"/>
      <c r="AK497" s="86"/>
      <c r="AL497" s="86"/>
      <c r="AM497" s="86"/>
      <c r="AN497" s="86"/>
      <c r="AO497" s="3" t="str">
        <f t="shared" si="270"/>
        <v/>
      </c>
      <c r="AP497" s="33" t="str">
        <f t="shared" si="271"/>
        <v/>
      </c>
      <c r="AQ497" s="58" t="str">
        <f t="shared" si="272"/>
        <v/>
      </c>
      <c r="AR497" s="38">
        <f>'ANR OK vs ML7'!AR497</f>
        <v>0.1</v>
      </c>
      <c r="AS497" s="35" t="str">
        <f t="shared" si="273"/>
        <v/>
      </c>
      <c r="AT497" s="3" t="str">
        <f t="shared" si="274"/>
        <v/>
      </c>
      <c r="AU497" s="3" t="str">
        <f t="shared" si="275"/>
        <v/>
      </c>
      <c r="AW497" s="32" t="str">
        <f t="shared" si="276"/>
        <v/>
      </c>
      <c r="AX497" s="32" t="str">
        <f t="shared" si="276"/>
        <v/>
      </c>
      <c r="AY497" s="32" t="str">
        <f t="shared" si="277"/>
        <v/>
      </c>
      <c r="BA497" s="32" t="str">
        <f>IF($A498="","",F497*Summary!$Q$12)</f>
        <v/>
      </c>
    </row>
    <row r="498" spans="1:242">
      <c r="A498" s="67" t="str">
        <f t="shared" si="278"/>
        <v/>
      </c>
      <c r="B498" s="69" t="str">
        <f t="shared" si="279"/>
        <v/>
      </c>
      <c r="D498" s="69" t="str">
        <f t="shared" si="253"/>
        <v/>
      </c>
      <c r="E498" s="70" t="str">
        <f t="shared" si="254"/>
        <v/>
      </c>
      <c r="F498" s="70" t="str">
        <f t="shared" si="255"/>
        <v/>
      </c>
      <c r="G498" s="63" t="str">
        <f t="shared" si="256"/>
        <v/>
      </c>
      <c r="H498" s="64" t="str">
        <f t="shared" si="257"/>
        <v/>
      </c>
      <c r="J498" s="63" t="str">
        <f t="shared" si="258"/>
        <v/>
      </c>
      <c r="K498" s="64" t="str">
        <f t="shared" si="259"/>
        <v/>
      </c>
      <c r="L498" s="63" t="str">
        <f t="shared" si="260"/>
        <v/>
      </c>
      <c r="M498" s="64" t="str">
        <f t="shared" si="261"/>
        <v/>
      </c>
      <c r="O498" s="63" t="str">
        <f t="shared" si="262"/>
        <v/>
      </c>
      <c r="P498" s="63" t="str">
        <f t="shared" si="263"/>
        <v/>
      </c>
      <c r="R498" s="63" t="str">
        <f t="shared" si="264"/>
        <v/>
      </c>
      <c r="S498" s="64" t="str">
        <f t="shared" si="265"/>
        <v/>
      </c>
      <c r="T498" s="63" t="str">
        <f t="shared" si="266"/>
        <v/>
      </c>
      <c r="U498" s="64" t="str">
        <f t="shared" si="267"/>
        <v/>
      </c>
      <c r="V498" s="90" t="str">
        <f>IF($A499="","",IF(AND(MONTH(A498)&gt;3,MONTH(A498)&lt;11),(T498+R498+G498)*(((1/(1-Summary!$T$12))/(1-Summary!$W$12))-1),(T498+R498+G498)*((1/(1-Summary!$U$12))/(1-Summary!$X$12)-1)))</f>
        <v/>
      </c>
      <c r="W498" s="63" t="str">
        <f t="shared" si="268"/>
        <v/>
      </c>
      <c r="X498" s="63" t="str">
        <f t="shared" si="269"/>
        <v/>
      </c>
      <c r="Y498" s="43"/>
      <c r="AJ498" s="86"/>
      <c r="AK498" s="86"/>
      <c r="AL498" s="86"/>
      <c r="AM498" s="86"/>
      <c r="AN498" s="86"/>
      <c r="AO498" s="3" t="str">
        <f t="shared" si="270"/>
        <v/>
      </c>
      <c r="AP498" s="33" t="str">
        <f t="shared" si="271"/>
        <v/>
      </c>
      <c r="AQ498" s="58" t="str">
        <f t="shared" si="272"/>
        <v/>
      </c>
      <c r="AR498" s="38">
        <f>'ANR OK vs ML7'!AR498</f>
        <v>0.1</v>
      </c>
      <c r="AS498" s="35" t="str">
        <f t="shared" si="273"/>
        <v/>
      </c>
      <c r="AT498" s="3" t="str">
        <f t="shared" si="274"/>
        <v/>
      </c>
      <c r="AU498" s="3" t="str">
        <f t="shared" si="275"/>
        <v/>
      </c>
      <c r="AW498" s="32" t="str">
        <f t="shared" si="276"/>
        <v/>
      </c>
      <c r="AX498" s="32" t="str">
        <f t="shared" si="276"/>
        <v/>
      </c>
      <c r="AY498" s="32" t="str">
        <f t="shared" si="277"/>
        <v/>
      </c>
      <c r="BA498" s="32" t="str">
        <f>IF($A499="","",F498*Summary!$Q$12)</f>
        <v/>
      </c>
    </row>
    <row r="499" spans="1:242">
      <c r="A499" s="67" t="str">
        <f t="shared" si="278"/>
        <v/>
      </c>
      <c r="B499" s="69" t="str">
        <f t="shared" si="279"/>
        <v/>
      </c>
      <c r="D499" s="69" t="str">
        <f t="shared" si="253"/>
        <v/>
      </c>
      <c r="E499" s="70" t="str">
        <f t="shared" si="254"/>
        <v/>
      </c>
      <c r="F499" s="70" t="str">
        <f t="shared" si="255"/>
        <v/>
      </c>
      <c r="G499" s="63" t="str">
        <f t="shared" si="256"/>
        <v/>
      </c>
      <c r="H499" s="64" t="str">
        <f t="shared" si="257"/>
        <v/>
      </c>
      <c r="J499" s="63" t="str">
        <f t="shared" si="258"/>
        <v/>
      </c>
      <c r="K499" s="64" t="str">
        <f t="shared" si="259"/>
        <v/>
      </c>
      <c r="L499" s="63" t="str">
        <f t="shared" si="260"/>
        <v/>
      </c>
      <c r="M499" s="64" t="str">
        <f t="shared" si="261"/>
        <v/>
      </c>
      <c r="O499" s="63" t="str">
        <f t="shared" si="262"/>
        <v/>
      </c>
      <c r="P499" s="63" t="str">
        <f t="shared" si="263"/>
        <v/>
      </c>
      <c r="R499" s="63" t="str">
        <f t="shared" si="264"/>
        <v/>
      </c>
      <c r="S499" s="64" t="str">
        <f t="shared" si="265"/>
        <v/>
      </c>
      <c r="T499" s="63" t="str">
        <f t="shared" si="266"/>
        <v/>
      </c>
      <c r="U499" s="64" t="str">
        <f t="shared" si="267"/>
        <v/>
      </c>
      <c r="V499" s="90" t="str">
        <f>IF($A500="","",IF(AND(MONTH(A499)&gt;3,MONTH(A499)&lt;11),(T499+R499+G499)*(((1/(1-Summary!$T$12))/(1-Summary!$W$12))-1),(T499+R499+G499)*((1/(1-Summary!$U$12))/(1-Summary!$X$12)-1)))</f>
        <v/>
      </c>
      <c r="W499" s="63" t="str">
        <f t="shared" si="268"/>
        <v/>
      </c>
      <c r="X499" s="63" t="str">
        <f t="shared" si="269"/>
        <v/>
      </c>
      <c r="Y499" s="43"/>
      <c r="AJ499" s="86"/>
      <c r="AK499" s="86"/>
      <c r="AL499" s="86"/>
      <c r="AM499" s="86"/>
      <c r="AN499" s="86"/>
      <c r="AO499" s="3" t="str">
        <f t="shared" si="270"/>
        <v/>
      </c>
      <c r="AP499" s="33" t="str">
        <f t="shared" si="271"/>
        <v/>
      </c>
      <c r="AQ499" s="58" t="str">
        <f t="shared" si="272"/>
        <v/>
      </c>
      <c r="AR499" s="38">
        <f>'ANR OK vs ML7'!AR499</f>
        <v>0.1</v>
      </c>
      <c r="AS499" s="35" t="str">
        <f t="shared" si="273"/>
        <v/>
      </c>
      <c r="AT499" s="3" t="str">
        <f t="shared" si="274"/>
        <v/>
      </c>
      <c r="AU499" s="3" t="str">
        <f t="shared" si="275"/>
        <v/>
      </c>
      <c r="AW499" s="32" t="str">
        <f t="shared" si="276"/>
        <v/>
      </c>
      <c r="AX499" s="32" t="str">
        <f t="shared" si="276"/>
        <v/>
      </c>
      <c r="AY499" s="32" t="str">
        <f t="shared" si="277"/>
        <v/>
      </c>
      <c r="BA499" s="32" t="str">
        <f>IF($A500="","",F499*Summary!$Q$12)</f>
        <v/>
      </c>
    </row>
    <row r="500" spans="1:242">
      <c r="A500" s="67" t="str">
        <f t="shared" si="278"/>
        <v/>
      </c>
      <c r="B500" s="69" t="str">
        <f t="shared" si="279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76"/>
        <v/>
      </c>
      <c r="AX500" s="32" t="str">
        <f t="shared" si="276"/>
        <v/>
      </c>
      <c r="AY500" s="32" t="str">
        <f t="shared" si="277"/>
        <v/>
      </c>
      <c r="BA500" s="32" t="str">
        <f>IF($A501="","",F500*Summary!$Q$12)</f>
        <v/>
      </c>
    </row>
    <row r="501" spans="1:242">
      <c r="A501" s="67" t="str">
        <f t="shared" si="278"/>
        <v/>
      </c>
      <c r="B501" s="69" t="str">
        <f t="shared" si="279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76"/>
        <v/>
      </c>
      <c r="AX501" s="32" t="str">
        <f t="shared" si="276"/>
        <v/>
      </c>
      <c r="AY501" s="32" t="str">
        <f t="shared" si="277"/>
        <v/>
      </c>
      <c r="AZ501" s="1">
        <v>0</v>
      </c>
      <c r="BA501" s="32" t="str">
        <f>IF($A502="","",F501*Summary!$Q$12)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IH722"/>
  <sheetViews>
    <sheetView showGridLines="0" topLeftCell="K1" zoomScale="80" workbookViewId="0">
      <selection activeCell="AH8" sqref="AH8"/>
    </sheetView>
  </sheetViews>
  <sheetFormatPr defaultRowHeight="12.75"/>
  <cols>
    <col min="1" max="1" width="14.140625" style="1" customWidth="1"/>
    <col min="2" max="2" width="14.5703125" style="1" customWidth="1"/>
    <col min="3" max="3" width="5.140625" style="1" customWidth="1"/>
    <col min="4" max="4" width="16.42578125" style="1" customWidth="1"/>
    <col min="5" max="5" width="14.85546875" style="1" bestFit="1" customWidth="1"/>
    <col min="6" max="6" width="13.85546875" style="1" bestFit="1" customWidth="1"/>
    <col min="7" max="7" width="10.7109375" style="1" customWidth="1"/>
    <col min="8" max="8" width="14.5703125" style="1" bestFit="1" customWidth="1"/>
    <col min="9" max="9" width="10" style="1" customWidth="1"/>
    <col min="10" max="10" width="23.7109375" style="1" bestFit="1" customWidth="1"/>
    <col min="11" max="11" width="18.28515625" style="1" bestFit="1" customWidth="1"/>
    <col min="12" max="12" width="19.140625" style="1" bestFit="1" customWidth="1"/>
    <col min="13" max="13" width="15" style="1" bestFit="1" customWidth="1"/>
    <col min="14" max="14" width="1.42578125" style="1" customWidth="1"/>
    <col min="15" max="15" width="15" style="1" bestFit="1" customWidth="1"/>
    <col min="16" max="16" width="16.85546875" style="1" bestFit="1" customWidth="1"/>
    <col min="17" max="17" width="3" style="1" customWidth="1"/>
    <col min="18" max="18" width="20.140625" style="1" customWidth="1"/>
    <col min="19" max="19" width="17.85546875" style="1" customWidth="1"/>
    <col min="20" max="20" width="21.5703125" style="1" customWidth="1"/>
    <col min="21" max="21" width="15" style="1" customWidth="1"/>
    <col min="22" max="22" width="11" style="1" customWidth="1"/>
    <col min="23" max="23" width="15" style="1" bestFit="1" customWidth="1"/>
    <col min="24" max="24" width="16.85546875" style="1" bestFit="1" customWidth="1"/>
    <col min="25" max="25" width="2" style="1" customWidth="1"/>
    <col min="26" max="26" width="16" style="3" customWidth="1"/>
    <col min="27" max="27" width="20.28515625" style="3" customWidth="1"/>
    <col min="28" max="28" width="15.28515625" style="3" customWidth="1"/>
    <col min="29" max="29" width="20.28515625" style="3" customWidth="1"/>
    <col min="30" max="31" width="15.7109375" style="3" customWidth="1"/>
    <col min="32" max="32" width="17.5703125" style="3" bestFit="1" customWidth="1"/>
    <col min="33" max="33" width="13.42578125" style="3" customWidth="1"/>
    <col min="34" max="34" width="13.85546875" style="3" customWidth="1"/>
    <col min="35" max="35" width="14.140625" style="3" customWidth="1"/>
    <col min="36" max="36" width="12.5703125" style="1" customWidth="1"/>
    <col min="37" max="37" width="10.7109375" style="1" customWidth="1"/>
    <col min="38" max="38" width="9.140625" style="1"/>
    <col min="39" max="39" width="10.42578125" style="1" customWidth="1"/>
    <col min="40" max="40" width="9.140625" style="1"/>
    <col min="41" max="41" width="8.28515625" style="3" bestFit="1" customWidth="1"/>
    <col min="42" max="43" width="8.5703125" style="3" bestFit="1" customWidth="1"/>
    <col min="44" max="44" width="11.7109375" style="3" bestFit="1" customWidth="1"/>
    <col min="45" max="45" width="10.28515625" style="3" bestFit="1" customWidth="1"/>
    <col min="46" max="46" width="7.5703125" style="3" bestFit="1" customWidth="1"/>
    <col min="47" max="47" width="6.42578125" style="3" bestFit="1" customWidth="1"/>
    <col min="48" max="48" width="1.42578125" style="1" customWidth="1"/>
    <col min="49" max="49" width="14.28515625" style="4" customWidth="1"/>
    <col min="50" max="51" width="14.28515625" style="1" customWidth="1"/>
    <col min="52" max="52" width="9.140625" style="1"/>
    <col min="53" max="53" width="14.28515625" style="1" customWidth="1"/>
    <col min="54" max="54" width="9.140625" style="1"/>
    <col min="55" max="55" width="14.28515625" style="1" customWidth="1"/>
    <col min="56" max="16384" width="9.140625" style="1"/>
  </cols>
  <sheetData>
    <row r="1" spans="1:55" ht="13.5" thickBot="1">
      <c r="A1" s="39" t="s">
        <v>62</v>
      </c>
      <c r="C1" s="40"/>
      <c r="D1" s="40" t="s">
        <v>15</v>
      </c>
      <c r="E1" s="57">
        <f ca="1">Summary!D12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Summary!J13</f>
        <v>NG_OMICRON_11</v>
      </c>
      <c r="AA1" s="24" t="str">
        <f>Summary!L13</f>
        <v>CGPR-DAWN</v>
      </c>
      <c r="AC1" s="24" t="str">
        <f>Summary!I13</f>
        <v>NG_OMICRON_9</v>
      </c>
      <c r="AD1" s="24" t="str">
        <f>Summary!K13</f>
        <v>CGPR-DAWN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5" thickBot="1">
      <c r="A3" s="61">
        <f>Summary!E13</f>
        <v>37043</v>
      </c>
      <c r="B3" s="62">
        <f>Summary!F13</f>
        <v>42094</v>
      </c>
      <c r="C3" s="12"/>
      <c r="D3" s="12">
        <f>Summary!C13</f>
        <v>37025</v>
      </c>
      <c r="E3" s="13" t="str">
        <f>CONCATENATE(INT(AT8/12)," Y - ",AT8-INT(AT8/12)*12," M")</f>
        <v>13 Y - 10 M</v>
      </c>
      <c r="F3" s="59">
        <v>2</v>
      </c>
      <c r="G3" s="59">
        <v>1</v>
      </c>
      <c r="H3" s="44">
        <v>1</v>
      </c>
      <c r="I3" s="60">
        <f>Summary!P13</f>
        <v>0</v>
      </c>
      <c r="J3" s="171" t="str">
        <f>Summary!H13</f>
        <v>CGPR-CHIPPAWA</v>
      </c>
      <c r="K3" s="60" t="str">
        <f>J3</f>
        <v>CGPR-CHIPPAWA</v>
      </c>
      <c r="R3" s="171" t="str">
        <f>Summary!G13</f>
        <v>US Empress</v>
      </c>
      <c r="S3" s="60" t="str">
        <f>R3</f>
        <v>US Empress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CGPR-CHIPPAWA-D</v>
      </c>
      <c r="K4" s="15" t="str">
        <f>J3</f>
        <v>CGPR-CHIPPAWA</v>
      </c>
      <c r="L4" s="218" t="s">
        <v>81</v>
      </c>
      <c r="M4" s="15" t="str">
        <f>K3</f>
        <v>CGPR-CHIPPAWA</v>
      </c>
      <c r="O4" s="15" t="str">
        <f>K4</f>
        <v>CGPR-CHIPPAWA</v>
      </c>
      <c r="P4" s="15" t="str">
        <f>J4</f>
        <v>CGPR-CHIPPAWA-D</v>
      </c>
      <c r="Q4" s="14"/>
      <c r="R4" s="218" t="str">
        <f>R3</f>
        <v>US Empress</v>
      </c>
      <c r="S4" s="15" t="str">
        <f>R3</f>
        <v>US Empress</v>
      </c>
      <c r="T4" s="218" t="str">
        <f>R4</f>
        <v>US Empress</v>
      </c>
      <c r="U4" s="15" t="str">
        <f>S3</f>
        <v>US Empress</v>
      </c>
      <c r="V4" s="15" t="s">
        <v>111</v>
      </c>
      <c r="W4" s="15" t="str">
        <f>S4</f>
        <v>US Empress</v>
      </c>
      <c r="X4" s="15" t="str">
        <f>R4</f>
        <v>US Empress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NG_OMICRON_9-P</v>
      </c>
      <c r="AD4" s="227" t="str">
        <f>IF(AD1="NG",CONCATENATE(AD1,"-","VO"),CONCATENATE(AD1,"-","P"))</f>
        <v>CGPR-DAWN-P</v>
      </c>
      <c r="AE4" s="228" t="s">
        <v>93</v>
      </c>
      <c r="AF4" s="15" t="str">
        <f>J3</f>
        <v>CGPR-CHIPPAWA</v>
      </c>
      <c r="AG4" s="15" t="s">
        <v>81</v>
      </c>
      <c r="AH4" s="15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US Empress</v>
      </c>
      <c r="AG5" s="14" t="s">
        <v>125</v>
      </c>
      <c r="AH5" s="14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5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5" thickBot="1">
      <c r="A8" s="34" t="s">
        <v>31</v>
      </c>
      <c r="B8" s="25"/>
      <c r="C8" s="25"/>
      <c r="D8" s="25">
        <f>SUM(D10:D500)</f>
        <v>4714400</v>
      </c>
      <c r="E8" s="25">
        <f>SUM(E10:E500)</f>
        <v>143476800</v>
      </c>
      <c r="F8" s="25">
        <f ca="1">SUM(F10:F370)</f>
        <v>78699238.019528568</v>
      </c>
      <c r="G8" s="26">
        <f ca="1">SUMPRODUCT(G10:G499,$F$10:$F$499)/SUM($F$10:$F$499)</f>
        <v>4.3517059551323323</v>
      </c>
      <c r="H8" s="26">
        <f ca="1">SUMPRODUCT(H10:H499,$F$10:$F$499)/SUM($F$10:$F$499)</f>
        <v>4.3517059551323323</v>
      </c>
      <c r="I8" s="26"/>
      <c r="J8" s="26">
        <f ca="1">SUMPRODUCT(J10:J499,$F$10:$F$499)/SUM($F$10:$F$499)</f>
        <v>0.33489836343295715</v>
      </c>
      <c r="K8" s="26">
        <f ca="1">SUMPRODUCT(K10:K499,$F$10:$F$499)/SUM($F$10:$F$499)</f>
        <v>0.33489836343295715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4.6866043185652906</v>
      </c>
      <c r="P8" s="26">
        <f ca="1">SUMPRODUCT(P10:P499,$F$10:$F$499)/SUM($F$10:$F$499)</f>
        <v>4.6866043185652906</v>
      </c>
      <c r="Q8" s="26"/>
      <c r="R8" s="26">
        <f ca="1">SUMPRODUCT(R10:R499,$F$10:$F$499)/SUM($F$10:$F$499)</f>
        <v>-0.38738210971095033</v>
      </c>
      <c r="S8" s="26">
        <f ca="1">SUMPRODUCT(S10:S499,$F$10:$F$499)/SUM($F$10:$F$499)</f>
        <v>-0.38738210971095033</v>
      </c>
      <c r="T8" s="26">
        <f ca="1">SUMPRODUCT(T10:T499,$F$10:$F$499)/SUM($F$10:$F$499)</f>
        <v>0</v>
      </c>
      <c r="U8" s="26">
        <f ca="1">SUMPRODUCT(U10:U499,$F$10:$F$499)/SUM($F$10:$F$499)</f>
        <v>0</v>
      </c>
      <c r="V8" s="207">
        <f ca="1">SUMPRODUCT(V10:V499,F10:F499)/F8</f>
        <v>0.31319691508405478</v>
      </c>
      <c r="W8" s="26">
        <f ca="1">SUMPRODUCT(W10:W499,$F$10:$F$499)/SUM($F$10:$F$499)</f>
        <v>4.2775207605054337</v>
      </c>
      <c r="X8" s="26">
        <f ca="1">SUMPRODUCT(X10:X499,$F$10:$F$499)/SUM($F$10:$F$499)</f>
        <v>4.2775207605054337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SUMPRODUCT(AH10:AH499,F10:F499)/F8</f>
        <v>4.7490000743104312E-2</v>
      </c>
      <c r="AI8" s="26"/>
      <c r="AJ8" s="26"/>
      <c r="AK8" s="26"/>
      <c r="AL8" s="26">
        <f ca="1">AW8/$E8</f>
        <v>0.41297323622675208</v>
      </c>
      <c r="AM8" s="26">
        <f ca="1">BC8/$F8</f>
        <v>0.3558724721618583</v>
      </c>
      <c r="AN8" s="26">
        <f ca="1">AY8/$E8</f>
        <v>1.9490594418884813E-3</v>
      </c>
      <c r="AR8" s="27"/>
      <c r="AS8" s="11"/>
      <c r="AT8" s="28">
        <f>SUM(AT10:AT500)</f>
        <v>166</v>
      </c>
      <c r="AU8" s="28">
        <f>SUM(AU10:AU500)</f>
        <v>5052</v>
      </c>
      <c r="AW8" s="29">
        <f ca="1">SUM(AW10:AW501)</f>
        <v>59252078.419458464</v>
      </c>
      <c r="AX8" s="29">
        <f>SUM(AX10:AX501)</f>
        <v>58972433.607726492</v>
      </c>
      <c r="AY8" s="29">
        <f ca="1">SUM(AY10:AY501)</f>
        <v>279644.81173194526</v>
      </c>
      <c r="BA8" s="29">
        <f ca="1">SUM(BA10:BA501)</f>
        <v>0</v>
      </c>
      <c r="BC8" s="257">
        <f ca="1">SUM(BC10:BC501)</f>
        <v>28006892.391264141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V9" s="174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Summary!O13</f>
        <v>28400</v>
      </c>
      <c r="C10" s="68"/>
      <c r="D10" s="69">
        <f t="shared" ref="D10:D73" si="0">IF(A11&lt;&gt;"",B10+C10,"")</f>
        <v>28400</v>
      </c>
      <c r="E10" s="70">
        <f t="shared" ref="E10:E73" si="1">IF(A11="","",IF(AND(AT10=1,$H$3=1),D10*AO10,IF($H$3=2,D10,"N/A")))</f>
        <v>852000</v>
      </c>
      <c r="F10" s="70">
        <f t="shared" ref="F10:F73" ca="1" si="2">IF(A11="","",E10*AS10)</f>
        <v>848139.22300708096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0.27</v>
      </c>
      <c r="K10" s="64">
        <f t="shared" ref="K10:K73" si="6">IF(A11="","",J10)</f>
        <v>0.27</v>
      </c>
      <c r="L10" s="38">
        <v>0</v>
      </c>
      <c r="M10" s="64">
        <f t="shared" ref="M10:M73" si="7">IF(A11="","",L10)</f>
        <v>0</v>
      </c>
      <c r="N10" s="65"/>
      <c r="O10" s="63">
        <f t="shared" ref="O10:O73" si="8">IF(A11="","",L10+J10+G10)</f>
        <v>4.6639999999999997</v>
      </c>
      <c r="P10" s="63">
        <f t="shared" ref="P10:P73" si="9">IF(A11="","",M10+K10+H10)</f>
        <v>4.6639999999999997</v>
      </c>
      <c r="Q10" s="66"/>
      <c r="R10" s="63">
        <f t="shared" ref="R10:R73" si="10">IF($A11="","",VLOOKUP($A10,Table,MATCH(R$4,Curves,0)))</f>
        <v>-0.31025171635733129</v>
      </c>
      <c r="S10" s="64">
        <f t="shared" ref="S10:S73" si="11">IF(A11="","",R10)</f>
        <v>-0.31025171635733129</v>
      </c>
      <c r="T10" s="38">
        <v>0</v>
      </c>
      <c r="U10" s="64">
        <f t="shared" ref="U10:U73" si="12">IF(A11="","",T10)</f>
        <v>0</v>
      </c>
      <c r="V10" s="219">
        <f>(G10+R10)/(1-Summary!$T$13)*Summary!$T$13</f>
        <v>0.3256514555892554</v>
      </c>
      <c r="W10" s="43">
        <f t="shared" ref="W10:W73" si="13">IF($A11="","",(T10+R10+G10+V10))</f>
        <v>4.4093997392319242</v>
      </c>
      <c r="X10" s="43">
        <f t="shared" ref="X10:X73" si="14">IF($A11="","",(U10+S10+H10+V10))</f>
        <v>4.4093997392319242</v>
      </c>
      <c r="Y10" s="43"/>
      <c r="Z10" s="38">
        <f t="shared" ref="Z10:Z73" si="15">IF($A11="","",VLOOKUP($A10,Table,MATCH(Z$4,Curves,0)))</f>
        <v>0.53</v>
      </c>
      <c r="AA10" s="38">
        <f t="shared" ref="AA10:AA73" si="16">IF($A11="","",VLOOKUP($A10,Table,MATCH(AA$4,Curves,0)))</f>
        <v>0.54</v>
      </c>
      <c r="AB10" s="38">
        <f t="shared" ref="AB10:AB73" ca="1" si="17">SQRT((AA10^2*(A10-$D$3)+Z10^2*(DAY(EOMONTH(A10,0))/2))/AK10)</f>
        <v>0.74606024043165653</v>
      </c>
      <c r="AC10" s="38">
        <f t="shared" ref="AC10:AD73" si="18">IF($A11="","",VLOOKUP($A10,Table,MATCH(AC$4,Curves,0)))</f>
        <v>0.48</v>
      </c>
      <c r="AD10" s="38">
        <f>IF($A11="","",VLOOKUP($A10,Table,MATCH(AD$4,Curves,0)))</f>
        <v>0.54</v>
      </c>
      <c r="AE10" s="38">
        <f t="shared" ref="AE10:AE73" ca="1" si="19">SQRT((AD10^2*(A10-$D$3)+AC10^2*(DAY(EOMONTH(A10,0))/2))/AK10)</f>
        <v>0.71557463539698596</v>
      </c>
      <c r="AF10" s="237">
        <f ca="1">((Summary!$N$13*(AA10*AD10)*(A10-$D$3))+(Summary!$M$13*Z10*AC10*(AJ10-EOMONTH(EDATE(A10,-1),0))))/(AK10*AB10*AE10)</f>
        <v>0.99874662237902845</v>
      </c>
      <c r="AG10" s="88">
        <f>IF($A11="","",Summary!$Q$13)</f>
        <v>0</v>
      </c>
      <c r="AH10" s="88">
        <f>IF($A11="","",IF(Summary!$R$12="Y",(VLOOKUP($A10,Summary!$AD$6:$AF$9,3)+'Escalating commodity'!I23),'Escalating commodity'!I23))</f>
        <v>3.4114391715199997E-2</v>
      </c>
      <c r="AI10" s="88">
        <f>IF($A11="","",AH10)</f>
        <v>3.4114391715199997E-2</v>
      </c>
      <c r="AJ10" s="236">
        <f t="shared" ref="AJ10:AJ73" si="20">A10+DAY(EOMONTH(A10,0))/2-1</f>
        <v>37057</v>
      </c>
      <c r="AK10" s="58">
        <f t="shared" ref="AK10:AK73" ca="1" si="21">IF($A11="","",$A10-$E$1)</f>
        <v>17</v>
      </c>
      <c r="AL10" s="26">
        <f ca="1">IF($A11="","",_xll.SPRDOPT(P10,X10,AI10,0,AB10,AE10,AF10,AK10,$AJ$2,0))</f>
        <v>0.22048599070769231</v>
      </c>
      <c r="AM10" s="209">
        <f t="shared" ref="AM10:AM73" si="22">IF($A11="","",MAX(0,O10-W10-AI10))</f>
        <v>0.22048586905287551</v>
      </c>
      <c r="AN10" s="89">
        <f t="shared" ref="AN10:AN73" ca="1" si="23">IF($A11="","",AL10-AM10)</f>
        <v>1.2165481680370682E-7</v>
      </c>
      <c r="AO10" s="3">
        <f t="shared" ref="AO10:AO73" si="24">IF(A11="","",A11-A10)</f>
        <v>30</v>
      </c>
      <c r="AP10" s="33">
        <f t="shared" ref="AP10:AP73" si="25">IF(A11="","",CHOOSE(F$3,A11+24,A10))</f>
        <v>37043</v>
      </c>
      <c r="AQ10" s="58">
        <f t="shared" ref="AQ10:AQ73" ca="1" si="26">IF(A11="","",AP10-$E$1)</f>
        <v>17</v>
      </c>
      <c r="AR10" s="38">
        <f>'ANR OK vs ML7'!AR10</f>
        <v>0.1</v>
      </c>
      <c r="AS10" s="35">
        <f t="shared" ref="AS10:AS73" ca="1" si="27">IF(A11="","",1/(1+CHOOSE(F$3,(AR11+($I$3/10000))/2,(AR10+($I$3/10000))/2))^(2*AQ10/365.25))</f>
        <v>0.99546857160455515</v>
      </c>
      <c r="AT10" s="3">
        <f t="shared" ref="AT10:AT73" si="28">IF(A11="","",IF(AND(mthbeg&lt;=A10,mthend&gt;=A10),1,0))</f>
        <v>1</v>
      </c>
      <c r="AU10" s="3">
        <f t="shared" ref="AU10:AU73" si="29">IF(A11="","",AO10*AT10)</f>
        <v>30</v>
      </c>
      <c r="AW10" s="32">
        <f t="shared" ref="AW10:AW73" ca="1" si="30">IF($A11="","",AL10*$E10)</f>
        <v>187854.06408295385</v>
      </c>
      <c r="AX10" s="32">
        <f t="shared" ref="AX10:AX73" si="31">IF($A11="","",AM10*$E10)</f>
        <v>187853.96043304994</v>
      </c>
      <c r="AY10" s="32">
        <f t="shared" ref="AY10:AY73" ca="1" si="32">IF($A11="","",AN10*$E10)</f>
        <v>0.10364990391675821</v>
      </c>
      <c r="AZ10" s="42"/>
      <c r="BA10" s="32">
        <f ca="1">IF($A11="","",F10*Summary!$Q$13)</f>
        <v>0</v>
      </c>
      <c r="BC10" s="256">
        <f ca="1">IF(A11="","",AM10*F10)</f>
        <v>187002.71366254683</v>
      </c>
    </row>
    <row r="11" spans="1:55">
      <c r="A11" s="67">
        <f t="shared" ref="A11:A74" si="33">IF(A10&lt;mthend,EDATE(A10,1),"")</f>
        <v>37073</v>
      </c>
      <c r="B11" s="69">
        <f>IF(A11&lt;mthend,B10,"")</f>
        <v>28400</v>
      </c>
      <c r="C11" s="71"/>
      <c r="D11" s="69">
        <f t="shared" si="0"/>
        <v>28400</v>
      </c>
      <c r="E11" s="70">
        <f t="shared" si="1"/>
        <v>880400</v>
      </c>
      <c r="F11" s="70">
        <f t="shared" ca="1" si="2"/>
        <v>869414.33939006354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0.24</v>
      </c>
      <c r="K11" s="64">
        <f t="shared" si="6"/>
        <v>0.24</v>
      </c>
      <c r="L11" s="38">
        <v>0</v>
      </c>
      <c r="M11" s="64">
        <f t="shared" si="7"/>
        <v>0</v>
      </c>
      <c r="N11" s="65"/>
      <c r="O11" s="63">
        <f t="shared" si="8"/>
        <v>4.7050000000000001</v>
      </c>
      <c r="P11" s="63">
        <f t="shared" si="9"/>
        <v>4.7050000000000001</v>
      </c>
      <c r="Q11" s="66"/>
      <c r="R11" s="63">
        <f t="shared" si="10"/>
        <v>-0.3266020431577123</v>
      </c>
      <c r="S11" s="64">
        <f t="shared" si="11"/>
        <v>-0.3266020431577123</v>
      </c>
      <c r="T11" s="38">
        <v>0</v>
      </c>
      <c r="U11" s="64">
        <f t="shared" si="12"/>
        <v>0</v>
      </c>
      <c r="V11" s="219">
        <f>(G11+R11)/(1-Summary!$T$13)*Summary!$T$13</f>
        <v>0.33000939941655183</v>
      </c>
      <c r="W11" s="43">
        <f t="shared" si="13"/>
        <v>4.4684073562588393</v>
      </c>
      <c r="X11" s="43">
        <f t="shared" si="14"/>
        <v>4.4684073562588393</v>
      </c>
      <c r="Y11" s="43"/>
      <c r="Z11" s="38">
        <f t="shared" si="15"/>
        <v>0.57999999999999996</v>
      </c>
      <c r="AA11" s="38">
        <f t="shared" si="16"/>
        <v>0.52500000000000002</v>
      </c>
      <c r="AB11" s="38">
        <f t="shared" ca="1" si="17"/>
        <v>0.62644216591321711</v>
      </c>
      <c r="AC11" s="38">
        <f t="shared" si="18"/>
        <v>0.48</v>
      </c>
      <c r="AD11" s="38">
        <f t="shared" si="18"/>
        <v>0.52500000000000002</v>
      </c>
      <c r="AE11" s="38">
        <f t="shared" ca="1" si="19"/>
        <v>0.5978899066095128</v>
      </c>
      <c r="AF11" s="237">
        <f ca="1">((Summary!$N$13*(AA11*AD11)*(A11-$D$3))+(Summary!$M$13*Z11*AC11*(AJ11-EOMONTH(EDATE(A11,-1),0))))/(AK11*AB11*AE11)</f>
        <v>0.9966106219258738</v>
      </c>
      <c r="AG11" s="88">
        <f>IF($A12="","",Summary!$Q$13)</f>
        <v>0</v>
      </c>
      <c r="AH11" s="88">
        <f>IF($A12="","",IF(Summary!$R$12="Y",(VLOOKUP($A11,Summary!$AD$6:$AF$9,3)+'Escalating commodity'!I24),'Escalating commodity'!I24))</f>
        <v>3.4114391715199997E-2</v>
      </c>
      <c r="AI11" s="88">
        <f t="shared" ref="AI11:AI74" si="34">IF($A12="","",AH11)</f>
        <v>3.4114391715199997E-2</v>
      </c>
      <c r="AJ11" s="236">
        <f t="shared" si="20"/>
        <v>37087.5</v>
      </c>
      <c r="AK11" s="58">
        <f t="shared" ca="1" si="21"/>
        <v>47</v>
      </c>
      <c r="AL11" s="26">
        <f ca="1">IF($A12="","",_xll.SPRDOPT(P11,X11,AI11,0,AB11,AE11,AF11,AK11,$AJ$2,0))</f>
        <v>0.20325888489987956</v>
      </c>
      <c r="AM11" s="209">
        <f t="shared" si="22"/>
        <v>0.20247825202596073</v>
      </c>
      <c r="AN11" s="89">
        <f t="shared" ca="1" si="23"/>
        <v>7.8063287391882952E-4</v>
      </c>
      <c r="AO11" s="3">
        <f t="shared" si="24"/>
        <v>31</v>
      </c>
      <c r="AP11" s="33">
        <f t="shared" si="25"/>
        <v>37073</v>
      </c>
      <c r="AQ11" s="58">
        <f t="shared" ca="1" si="26"/>
        <v>47</v>
      </c>
      <c r="AR11" s="38">
        <f>'ANR OK vs ML7'!AR11</f>
        <v>0.1</v>
      </c>
      <c r="AS11" s="35">
        <f t="shared" ca="1" si="27"/>
        <v>0.98752196659480185</v>
      </c>
      <c r="AT11" s="3">
        <f t="shared" si="28"/>
        <v>1</v>
      </c>
      <c r="AU11" s="3">
        <f t="shared" si="29"/>
        <v>31</v>
      </c>
      <c r="AW11" s="32">
        <f t="shared" ca="1" si="30"/>
        <v>178949.12226585398</v>
      </c>
      <c r="AX11" s="32">
        <f t="shared" si="31"/>
        <v>178261.85308365582</v>
      </c>
      <c r="AY11" s="32">
        <f t="shared" ca="1" si="32"/>
        <v>687.26918219813751</v>
      </c>
      <c r="BA11" s="32">
        <f ca="1">IF($A12="","",F11*Summary!$Q$13)</f>
        <v>0</v>
      </c>
      <c r="BC11" s="256">
        <f t="shared" ref="BC11:BC74" ca="1" si="35">IF(A12="","",AM11*F11)</f>
        <v>176037.49572600544</v>
      </c>
    </row>
    <row r="12" spans="1:55">
      <c r="A12" s="67">
        <f t="shared" si="33"/>
        <v>37104</v>
      </c>
      <c r="B12" s="69">
        <f t="shared" ref="B12:B75" si="36">IF(A12&lt;mthend,B11,"")</f>
        <v>28400</v>
      </c>
      <c r="C12" s="71"/>
      <c r="D12" s="69">
        <f t="shared" si="0"/>
        <v>28400</v>
      </c>
      <c r="E12" s="70">
        <f t="shared" si="1"/>
        <v>880400</v>
      </c>
      <c r="F12" s="70">
        <f t="shared" ca="1" si="2"/>
        <v>862243.60927911988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0.215</v>
      </c>
      <c r="K12" s="64">
        <f t="shared" si="6"/>
        <v>0.215</v>
      </c>
      <c r="L12" s="38">
        <v>0</v>
      </c>
      <c r="M12" s="64">
        <f t="shared" si="7"/>
        <v>0</v>
      </c>
      <c r="N12" s="65"/>
      <c r="O12" s="63">
        <f t="shared" si="8"/>
        <v>4.7430000000000003</v>
      </c>
      <c r="P12" s="63">
        <f t="shared" si="9"/>
        <v>4.7430000000000003</v>
      </c>
      <c r="Q12" s="66"/>
      <c r="R12" s="63">
        <f t="shared" si="10"/>
        <v>-0.34490388768648816</v>
      </c>
      <c r="S12" s="64">
        <f t="shared" si="11"/>
        <v>-0.34490388768648816</v>
      </c>
      <c r="T12" s="38">
        <v>0</v>
      </c>
      <c r="U12" s="64">
        <f t="shared" si="12"/>
        <v>0</v>
      </c>
      <c r="V12" s="219">
        <f>(G12+R12)/(1-Summary!$T$13)*Summary!$T$13</f>
        <v>0.33357377664559484</v>
      </c>
      <c r="W12" s="43">
        <f t="shared" si="13"/>
        <v>4.5166698889591075</v>
      </c>
      <c r="X12" s="43">
        <f t="shared" si="14"/>
        <v>4.5166698889591075</v>
      </c>
      <c r="Y12" s="43"/>
      <c r="Z12" s="38">
        <f t="shared" si="15"/>
        <v>0.63</v>
      </c>
      <c r="AA12" s="38">
        <f t="shared" si="16"/>
        <v>0.53</v>
      </c>
      <c r="AB12" s="38">
        <f t="shared" ca="1" si="17"/>
        <v>0.60280381211256118</v>
      </c>
      <c r="AC12" s="38">
        <f t="shared" si="18"/>
        <v>0.43</v>
      </c>
      <c r="AD12" s="38">
        <f t="shared" si="18"/>
        <v>0.53</v>
      </c>
      <c r="AE12" s="38">
        <f t="shared" ca="1" si="19"/>
        <v>0.5667841130176734</v>
      </c>
      <c r="AF12" s="237">
        <f ca="1">((Summary!$N$13*(AA12*AD12)*(A12-$D$3))+(Summary!$M$13*Z12*AC12*(AJ12-EOMONTH(EDATE(A12,-1),0))))/(AK12*AB12*AE12)</f>
        <v>0.99018292035175648</v>
      </c>
      <c r="AG12" s="88">
        <f>IF($A13="","",Summary!$Q$13)</f>
        <v>0</v>
      </c>
      <c r="AH12" s="88">
        <f>IF($A13="","",IF(Summary!$R$12="Y",(VLOOKUP($A12,Summary!$AD$6:$AF$9,3)+'Escalating commodity'!I25),'Escalating commodity'!I25))</f>
        <v>3.4114391715199997E-2</v>
      </c>
      <c r="AI12" s="88">
        <f t="shared" si="34"/>
        <v>3.4114391715199997E-2</v>
      </c>
      <c r="AJ12" s="236">
        <f t="shared" si="20"/>
        <v>37118.5</v>
      </c>
      <c r="AK12" s="58">
        <f t="shared" ca="1" si="21"/>
        <v>78</v>
      </c>
      <c r="AL12" s="26">
        <f ca="1">IF($A13="","",_xll.SPRDOPT(P12,X12,AI12,0,AB12,AE12,AF12,AK12,$AJ$2,0))</f>
        <v>0.2090375570604745</v>
      </c>
      <c r="AM12" s="209">
        <f t="shared" si="22"/>
        <v>0.19221571932569284</v>
      </c>
      <c r="AN12" s="89">
        <f t="shared" ca="1" si="23"/>
        <v>1.6821837734781658E-2</v>
      </c>
      <c r="AO12" s="3">
        <f t="shared" si="24"/>
        <v>31</v>
      </c>
      <c r="AP12" s="33">
        <f t="shared" si="25"/>
        <v>37104</v>
      </c>
      <c r="AQ12" s="58">
        <f t="shared" ca="1" si="26"/>
        <v>78</v>
      </c>
      <c r="AR12" s="38">
        <f>'ANR OK vs ML7'!AR12</f>
        <v>0.1</v>
      </c>
      <c r="AS12" s="35">
        <f t="shared" ca="1" si="27"/>
        <v>0.97937711185724663</v>
      </c>
      <c r="AT12" s="3">
        <f t="shared" si="28"/>
        <v>1</v>
      </c>
      <c r="AU12" s="3">
        <f t="shared" si="29"/>
        <v>31</v>
      </c>
      <c r="AW12" s="32">
        <f t="shared" ca="1" si="30"/>
        <v>184036.66523604174</v>
      </c>
      <c r="AX12" s="32">
        <f t="shared" si="31"/>
        <v>169226.71929433997</v>
      </c>
      <c r="AY12" s="32">
        <f t="shared" ca="1" si="32"/>
        <v>14809.945941701772</v>
      </c>
      <c r="BA12" s="32">
        <f ca="1">IF($A13="","",F12*Summary!$Q$13)</f>
        <v>0</v>
      </c>
      <c r="BC12" s="256">
        <f t="shared" ca="1" si="35"/>
        <v>165736.77559156768</v>
      </c>
    </row>
    <row r="13" spans="1:55">
      <c r="A13" s="67">
        <f t="shared" si="33"/>
        <v>37135</v>
      </c>
      <c r="B13" s="69">
        <f t="shared" si="36"/>
        <v>28400</v>
      </c>
      <c r="C13" s="71"/>
      <c r="D13" s="69">
        <f t="shared" si="0"/>
        <v>28400</v>
      </c>
      <c r="E13" s="70">
        <f t="shared" si="1"/>
        <v>852000</v>
      </c>
      <c r="F13" s="70">
        <f t="shared" ca="1" si="2"/>
        <v>827547.11777985771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0.22500000000000001</v>
      </c>
      <c r="K13" s="64">
        <f t="shared" si="6"/>
        <v>0.22500000000000001</v>
      </c>
      <c r="L13" s="38">
        <v>0</v>
      </c>
      <c r="M13" s="64">
        <f t="shared" si="7"/>
        <v>0</v>
      </c>
      <c r="N13" s="65"/>
      <c r="O13" s="63">
        <f t="shared" si="8"/>
        <v>4.7679999999999998</v>
      </c>
      <c r="P13" s="63">
        <f t="shared" si="9"/>
        <v>4.7679999999999998</v>
      </c>
      <c r="Q13" s="66"/>
      <c r="R13" s="63">
        <f t="shared" si="10"/>
        <v>-0.34490467947483056</v>
      </c>
      <c r="S13" s="64">
        <f t="shared" si="11"/>
        <v>-0.34490467947483056</v>
      </c>
      <c r="T13" s="38">
        <v>0</v>
      </c>
      <c r="U13" s="64">
        <f t="shared" si="12"/>
        <v>0</v>
      </c>
      <c r="V13" s="219">
        <f>(G13+R13)/(1-Summary!$T$13)*Summary!$T$13</f>
        <v>0.33476986260573516</v>
      </c>
      <c r="W13" s="43">
        <f t="shared" si="13"/>
        <v>4.5328651831309044</v>
      </c>
      <c r="X13" s="43">
        <f t="shared" si="14"/>
        <v>4.5328651831309044</v>
      </c>
      <c r="Y13" s="43"/>
      <c r="Z13" s="38">
        <f t="shared" si="15"/>
        <v>0.63</v>
      </c>
      <c r="AA13" s="38">
        <f t="shared" si="16"/>
        <v>0.54</v>
      </c>
      <c r="AB13" s="38">
        <f t="shared" ca="1" si="17"/>
        <v>0.59067291745334316</v>
      </c>
      <c r="AC13" s="38">
        <f t="shared" si="18"/>
        <v>0.48</v>
      </c>
      <c r="AD13" s="38">
        <f t="shared" si="18"/>
        <v>0.54</v>
      </c>
      <c r="AE13" s="38">
        <f t="shared" ca="1" si="19"/>
        <v>0.57094802861219063</v>
      </c>
      <c r="AF13" s="237">
        <f ca="1">((Summary!$N$13*(AA13*AD13)*(A13-$D$3))+(Summary!$M$13*Z13*AC13*(AJ13-EOMONTH(EDATE(A13,-1),0))))/(AK13*AB13*AE13)</f>
        <v>0.9958989368639084</v>
      </c>
      <c r="AG13" s="88">
        <f>IF($A14="","",Summary!$Q$13)</f>
        <v>0</v>
      </c>
      <c r="AH13" s="88">
        <f>IF($A14="","",IF(Summary!$R$12="Y",(VLOOKUP($A13,Summary!$AD$6:$AF$9,3)+'Escalating commodity'!I26),'Escalating commodity'!I26))</f>
        <v>3.4114391715199997E-2</v>
      </c>
      <c r="AI13" s="88">
        <f t="shared" si="34"/>
        <v>3.4114391715199997E-2</v>
      </c>
      <c r="AJ13" s="236">
        <f t="shared" si="20"/>
        <v>37149</v>
      </c>
      <c r="AK13" s="58">
        <f t="shared" ca="1" si="21"/>
        <v>109</v>
      </c>
      <c r="AL13" s="26">
        <f ca="1">IF($A14="","",_xll.SPRDOPT(P13,X13,AI13,0,AB13,AE13,AF13,AK13,$AJ$2,0))</f>
        <v>0.2068497310453353</v>
      </c>
      <c r="AM13" s="209">
        <f t="shared" si="22"/>
        <v>0.20102042515389543</v>
      </c>
      <c r="AN13" s="89">
        <f t="shared" ca="1" si="23"/>
        <v>5.8293058914398732E-3</v>
      </c>
      <c r="AO13" s="3">
        <f t="shared" si="24"/>
        <v>30</v>
      </c>
      <c r="AP13" s="33">
        <f t="shared" si="25"/>
        <v>37135</v>
      </c>
      <c r="AQ13" s="58">
        <f t="shared" ca="1" si="26"/>
        <v>109</v>
      </c>
      <c r="AR13" s="38">
        <f>'ANR OK vs ML7'!AR13</f>
        <v>0.1</v>
      </c>
      <c r="AS13" s="35">
        <f t="shared" ca="1" si="27"/>
        <v>0.9712994340139175</v>
      </c>
      <c r="AT13" s="3">
        <f t="shared" si="28"/>
        <v>1</v>
      </c>
      <c r="AU13" s="3">
        <f t="shared" si="29"/>
        <v>30</v>
      </c>
      <c r="AW13" s="32">
        <f t="shared" ca="1" si="30"/>
        <v>176235.97085062569</v>
      </c>
      <c r="AX13" s="32">
        <f t="shared" si="31"/>
        <v>171269.4022311189</v>
      </c>
      <c r="AY13" s="32">
        <f t="shared" ca="1" si="32"/>
        <v>4966.5686195067719</v>
      </c>
      <c r="BA13" s="32">
        <f ca="1">IF($A14="","",F13*Summary!$Q$13)</f>
        <v>0</v>
      </c>
      <c r="BC13" s="256">
        <f t="shared" ca="1" si="35"/>
        <v>166353.87345098777</v>
      </c>
    </row>
    <row r="14" spans="1:55">
      <c r="A14" s="67">
        <f t="shared" si="33"/>
        <v>37165</v>
      </c>
      <c r="B14" s="69">
        <f t="shared" si="36"/>
        <v>28400</v>
      </c>
      <c r="C14" s="71"/>
      <c r="D14" s="69">
        <f t="shared" si="0"/>
        <v>28400</v>
      </c>
      <c r="E14" s="70">
        <f t="shared" si="1"/>
        <v>880400</v>
      </c>
      <c r="F14" s="70">
        <f t="shared" ca="1" si="2"/>
        <v>848305.69227514579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0.23</v>
      </c>
      <c r="K14" s="64">
        <f t="shared" si="6"/>
        <v>0.23</v>
      </c>
      <c r="L14" s="38">
        <v>0</v>
      </c>
      <c r="M14" s="64">
        <f t="shared" si="7"/>
        <v>0</v>
      </c>
      <c r="N14" s="65"/>
      <c r="O14" s="63">
        <f t="shared" si="8"/>
        <v>4.793000000000001</v>
      </c>
      <c r="P14" s="63">
        <f t="shared" si="9"/>
        <v>4.793000000000001</v>
      </c>
      <c r="Q14" s="66"/>
      <c r="R14" s="63">
        <f t="shared" si="10"/>
        <v>-0.28490567314320919</v>
      </c>
      <c r="S14" s="64">
        <f t="shared" si="11"/>
        <v>-0.28490567314320919</v>
      </c>
      <c r="T14" s="38">
        <v>0</v>
      </c>
      <c r="U14" s="64">
        <f t="shared" si="12"/>
        <v>0</v>
      </c>
      <c r="V14" s="219">
        <f>(G14+R14)/(1-Summary!$T$13)*Summary!$T$13</f>
        <v>0.34114924523368428</v>
      </c>
      <c r="W14" s="43">
        <f t="shared" si="13"/>
        <v>4.6192435720904763</v>
      </c>
      <c r="X14" s="43">
        <f t="shared" si="14"/>
        <v>4.6192435720904763</v>
      </c>
      <c r="Y14" s="43"/>
      <c r="Z14" s="38">
        <f t="shared" si="15"/>
        <v>0.68</v>
      </c>
      <c r="AA14" s="38">
        <f t="shared" si="16"/>
        <v>0.55000000000000004</v>
      </c>
      <c r="AB14" s="38">
        <f t="shared" ca="1" si="17"/>
        <v>0.59685747789640986</v>
      </c>
      <c r="AC14" s="38">
        <f t="shared" si="18"/>
        <v>0.48</v>
      </c>
      <c r="AD14" s="38">
        <f t="shared" si="18"/>
        <v>0.55000000000000004</v>
      </c>
      <c r="AE14" s="38">
        <f t="shared" ca="1" si="19"/>
        <v>0.57477677869216415</v>
      </c>
      <c r="AF14" s="237">
        <f ca="1">((Summary!$N$13*(AA14*AD14)*(A14-$D$3))+(Summary!$M$13*Z14*AC14*(AJ14-EOMONTH(EDATE(A14,-1),0))))/(AK14*AB14*AE14)</f>
        <v>0.9941208363501205</v>
      </c>
      <c r="AG14" s="88">
        <f>IF($A15="","",Summary!$Q$13)</f>
        <v>0</v>
      </c>
      <c r="AH14" s="88">
        <f>IF($A15="","",IF(Summary!$R$12="Y",(VLOOKUP($A14,Summary!$AD$6:$AF$9,3)+'Escalating commodity'!I27),'Escalating commodity'!I27))</f>
        <v>3.4114391715199997E-2</v>
      </c>
      <c r="AI14" s="88">
        <f t="shared" si="34"/>
        <v>3.4114391715199997E-2</v>
      </c>
      <c r="AJ14" s="236">
        <f t="shared" si="20"/>
        <v>37179.5</v>
      </c>
      <c r="AK14" s="58">
        <f t="shared" ca="1" si="21"/>
        <v>139</v>
      </c>
      <c r="AL14" s="26">
        <f ca="1">IF($A15="","",_xll.SPRDOPT(P14,X14,AI14,0,AB14,AE14,AF14,AK14,$AJ$2,0))</f>
        <v>0.16824599258696024</v>
      </c>
      <c r="AM14" s="209">
        <f t="shared" si="22"/>
        <v>0.13964203619432472</v>
      </c>
      <c r="AN14" s="89">
        <f t="shared" ca="1" si="23"/>
        <v>2.8603956392635521E-2</v>
      </c>
      <c r="AO14" s="3">
        <f t="shared" si="24"/>
        <v>31</v>
      </c>
      <c r="AP14" s="33">
        <f t="shared" si="25"/>
        <v>37165</v>
      </c>
      <c r="AQ14" s="58">
        <f t="shared" ca="1" si="26"/>
        <v>139</v>
      </c>
      <c r="AR14" s="38">
        <f>'ANR OK vs ML7'!AR14</f>
        <v>0.1</v>
      </c>
      <c r="AS14" s="35">
        <f t="shared" ca="1" si="27"/>
        <v>0.96354576587363217</v>
      </c>
      <c r="AT14" s="3">
        <f t="shared" si="28"/>
        <v>1</v>
      </c>
      <c r="AU14" s="3">
        <f t="shared" si="29"/>
        <v>31</v>
      </c>
      <c r="AW14" s="32">
        <f t="shared" ca="1" si="30"/>
        <v>148123.7718735598</v>
      </c>
      <c r="AX14" s="32">
        <f t="shared" si="31"/>
        <v>122940.84866548349</v>
      </c>
      <c r="AY14" s="32">
        <f t="shared" ca="1" si="32"/>
        <v>25182.923208076314</v>
      </c>
      <c r="BA14" s="32">
        <f ca="1">IF($A15="","",F14*Summary!$Q$13)</f>
        <v>0</v>
      </c>
      <c r="BC14" s="256">
        <f t="shared" ca="1" si="35"/>
        <v>118459.1341845376</v>
      </c>
    </row>
    <row r="15" spans="1:55">
      <c r="A15" s="67">
        <f t="shared" si="33"/>
        <v>37196</v>
      </c>
      <c r="B15" s="69">
        <f t="shared" si="36"/>
        <v>28400</v>
      </c>
      <c r="C15" s="71"/>
      <c r="D15" s="69">
        <f t="shared" si="0"/>
        <v>28400</v>
      </c>
      <c r="E15" s="70">
        <f t="shared" si="1"/>
        <v>852000</v>
      </c>
      <c r="F15" s="70">
        <f t="shared" ca="1" si="2"/>
        <v>814170.05946319818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0.435</v>
      </c>
      <c r="K15" s="64">
        <f t="shared" si="6"/>
        <v>0.435</v>
      </c>
      <c r="L15" s="38">
        <v>0</v>
      </c>
      <c r="M15" s="64">
        <f t="shared" si="7"/>
        <v>0</v>
      </c>
      <c r="N15" s="65"/>
      <c r="O15" s="63">
        <f t="shared" si="8"/>
        <v>5.1630000000000003</v>
      </c>
      <c r="P15" s="63">
        <f t="shared" si="9"/>
        <v>5.1630000000000003</v>
      </c>
      <c r="Q15" s="66"/>
      <c r="R15" s="63">
        <f t="shared" si="10"/>
        <v>-0.17469426771933949</v>
      </c>
      <c r="S15" s="64">
        <f t="shared" si="11"/>
        <v>-0.17469426771933949</v>
      </c>
      <c r="T15" s="38">
        <v>0</v>
      </c>
      <c r="U15" s="64">
        <f t="shared" si="12"/>
        <v>0</v>
      </c>
      <c r="V15" s="219">
        <f>(G15+R15)/(1-Summary!$T$13)*Summary!$T$13</f>
        <v>0.36309550355965159</v>
      </c>
      <c r="W15" s="43">
        <f t="shared" si="13"/>
        <v>4.9164012358403122</v>
      </c>
      <c r="X15" s="43">
        <f t="shared" si="14"/>
        <v>4.9164012358403122</v>
      </c>
      <c r="Y15" s="43"/>
      <c r="Z15" s="38">
        <f t="shared" si="15"/>
        <v>1.05</v>
      </c>
      <c r="AA15" s="38">
        <f t="shared" si="16"/>
        <v>0.56000000000000005</v>
      </c>
      <c r="AB15" s="38">
        <f t="shared" ca="1" si="17"/>
        <v>0.64243608059250445</v>
      </c>
      <c r="AC15" s="38">
        <f t="shared" si="18"/>
        <v>1.2</v>
      </c>
      <c r="AD15" s="38">
        <f t="shared" si="18"/>
        <v>0.56000000000000005</v>
      </c>
      <c r="AE15" s="38">
        <f t="shared" ca="1" si="19"/>
        <v>0.66520938764554782</v>
      </c>
      <c r="AF15" s="237">
        <f ca="1">((Summary!$N$13*(AA15*AD15)*(A15-$D$3))+(Summary!$M$13*Z15*AC15*(AJ15-EOMONTH(EDATE(A15,-1),0))))/(AK15*AB15*AE15)</f>
        <v>0.9982101984388243</v>
      </c>
      <c r="AG15" s="88">
        <f>IF($A16="","",Summary!$Q$13)</f>
        <v>0</v>
      </c>
      <c r="AH15" s="88">
        <f>IF($A16="","",IF(Summary!$R$12="Y",(VLOOKUP($A15,Summary!$AD$6:$AF$9,3)+'Escalating commodity'!I28),'Escalating commodity'!I28))</f>
        <v>3.4114391715199997E-2</v>
      </c>
      <c r="AI15" s="88">
        <f t="shared" si="34"/>
        <v>3.4114391715199997E-2</v>
      </c>
      <c r="AJ15" s="236">
        <f t="shared" si="20"/>
        <v>37210</v>
      </c>
      <c r="AK15" s="58">
        <f t="shared" ca="1" si="21"/>
        <v>170</v>
      </c>
      <c r="AL15" s="26">
        <f ca="1">IF($A16="","",_xll.SPRDOPT(P15,X15,AI15,0,AB15,AE15,AF15,AK15,$AJ$2,0))</f>
        <v>0.21770003386396919</v>
      </c>
      <c r="AM15" s="209">
        <f t="shared" si="22"/>
        <v>0.21248437244448806</v>
      </c>
      <c r="AN15" s="89">
        <f t="shared" ca="1" si="23"/>
        <v>5.2156614194811268E-3</v>
      </c>
      <c r="AO15" s="3">
        <f t="shared" si="24"/>
        <v>30</v>
      </c>
      <c r="AP15" s="33">
        <f t="shared" si="25"/>
        <v>37196</v>
      </c>
      <c r="AQ15" s="58">
        <f t="shared" ca="1" si="26"/>
        <v>170</v>
      </c>
      <c r="AR15" s="38">
        <f>'ANR OK vs ML7'!AR15</f>
        <v>0.1</v>
      </c>
      <c r="AS15" s="35">
        <f t="shared" ca="1" si="27"/>
        <v>0.95559866134178195</v>
      </c>
      <c r="AT15" s="3">
        <f t="shared" si="28"/>
        <v>1</v>
      </c>
      <c r="AU15" s="3">
        <f t="shared" si="29"/>
        <v>30</v>
      </c>
      <c r="AW15" s="32">
        <f t="shared" ca="1" si="30"/>
        <v>185480.42885210176</v>
      </c>
      <c r="AX15" s="32">
        <f t="shared" si="31"/>
        <v>181036.68532270382</v>
      </c>
      <c r="AY15" s="32">
        <f t="shared" ca="1" si="32"/>
        <v>4443.7435293979197</v>
      </c>
      <c r="BA15" s="32">
        <f ca="1">IF($A16="","",F15*Summary!$Q$13)</f>
        <v>0</v>
      </c>
      <c r="BC15" s="256">
        <f t="shared" ca="1" si="35"/>
        <v>172998.4141481292</v>
      </c>
    </row>
    <row r="16" spans="1:55">
      <c r="A16" s="67">
        <f t="shared" si="33"/>
        <v>37226</v>
      </c>
      <c r="B16" s="69">
        <f t="shared" si="36"/>
        <v>28400</v>
      </c>
      <c r="C16" s="71"/>
      <c r="D16" s="69">
        <f t="shared" si="0"/>
        <v>28400</v>
      </c>
      <c r="E16" s="70">
        <f t="shared" si="1"/>
        <v>880400</v>
      </c>
      <c r="F16" s="70">
        <f t="shared" ca="1" si="2"/>
        <v>834593.07764316851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0.435</v>
      </c>
      <c r="K16" s="64">
        <f t="shared" si="6"/>
        <v>0.435</v>
      </c>
      <c r="L16" s="38">
        <v>0</v>
      </c>
      <c r="M16" s="64">
        <f t="shared" si="7"/>
        <v>0</v>
      </c>
      <c r="N16" s="65"/>
      <c r="O16" s="63">
        <f t="shared" si="8"/>
        <v>5.3199999999999994</v>
      </c>
      <c r="P16" s="63">
        <f t="shared" si="9"/>
        <v>5.3199999999999994</v>
      </c>
      <c r="Q16" s="66"/>
      <c r="R16" s="63">
        <f t="shared" si="10"/>
        <v>-0.17471260885695472</v>
      </c>
      <c r="S16" s="64">
        <f t="shared" si="11"/>
        <v>-0.17471260885695472</v>
      </c>
      <c r="T16" s="38">
        <v>0</v>
      </c>
      <c r="U16" s="64">
        <f t="shared" si="12"/>
        <v>0</v>
      </c>
      <c r="V16" s="219">
        <f>(G16+R16)/(1-Summary!$T$13)*Summary!$T$13</f>
        <v>0.37561373488995087</v>
      </c>
      <c r="W16" s="43">
        <f t="shared" si="13"/>
        <v>5.0859011260329963</v>
      </c>
      <c r="X16" s="43">
        <f t="shared" si="14"/>
        <v>5.0859011260329963</v>
      </c>
      <c r="Y16" s="43"/>
      <c r="Z16" s="38">
        <f t="shared" si="15"/>
        <v>1.35</v>
      </c>
      <c r="AA16" s="38">
        <f t="shared" si="16"/>
        <v>0.56800000000000006</v>
      </c>
      <c r="AB16" s="38">
        <f t="shared" ca="1" si="17"/>
        <v>0.68226158473125254</v>
      </c>
      <c r="AC16" s="38">
        <f t="shared" si="18"/>
        <v>1.6</v>
      </c>
      <c r="AD16" s="38">
        <f t="shared" si="18"/>
        <v>0.56800000000000006</v>
      </c>
      <c r="AE16" s="38">
        <f t="shared" ca="1" si="19"/>
        <v>0.72293645640540227</v>
      </c>
      <c r="AF16" s="237">
        <f ca="1">((Summary!$N$13*(AA16*AD16)*(A16-$D$3))+(Summary!$M$13*Z16*AC16*(AJ16-EOMONTH(EDATE(A16,-1),0))))/(AK16*AB16*AE16)</f>
        <v>0.99670119361693799</v>
      </c>
      <c r="AG16" s="88">
        <f>IF($A17="","",Summary!$Q$13)</f>
        <v>0</v>
      </c>
      <c r="AH16" s="88">
        <f>IF($A17="","",IF(Summary!$R$12="Y",(VLOOKUP($A16,Summary!$AD$6:$AF$9,3)+'Escalating commodity'!I29),'Escalating commodity'!I29))</f>
        <v>3.4114391715199997E-2</v>
      </c>
      <c r="AI16" s="88">
        <f t="shared" si="34"/>
        <v>3.4114391715199997E-2</v>
      </c>
      <c r="AJ16" s="236">
        <f t="shared" si="20"/>
        <v>37240.5</v>
      </c>
      <c r="AK16" s="58">
        <f t="shared" ca="1" si="21"/>
        <v>200</v>
      </c>
      <c r="AL16" s="26">
        <f ca="1">IF($A17="","",_xll.SPRDOPT(P16,X16,AI16,0,AB16,AE16,AF16,AK16,$AJ$2,0))</f>
        <v>0.23323050389283753</v>
      </c>
      <c r="AM16" s="209">
        <f t="shared" si="22"/>
        <v>0.19998448225180313</v>
      </c>
      <c r="AN16" s="89">
        <f t="shared" ca="1" si="23"/>
        <v>3.3246021641034407E-2</v>
      </c>
      <c r="AO16" s="3">
        <f t="shared" si="24"/>
        <v>31</v>
      </c>
      <c r="AP16" s="33">
        <f t="shared" si="25"/>
        <v>37226</v>
      </c>
      <c r="AQ16" s="58">
        <f t="shared" ca="1" si="26"/>
        <v>200</v>
      </c>
      <c r="AR16" s="38">
        <f>'ANR OK vs ML7'!AR16</f>
        <v>0.1</v>
      </c>
      <c r="AS16" s="35">
        <f t="shared" ca="1" si="27"/>
        <v>0.94797032899042311</v>
      </c>
      <c r="AT16" s="3">
        <f t="shared" si="28"/>
        <v>1</v>
      </c>
      <c r="AU16" s="3">
        <f t="shared" si="29"/>
        <v>31</v>
      </c>
      <c r="AW16" s="32">
        <f t="shared" ca="1" si="30"/>
        <v>205336.13562725417</v>
      </c>
      <c r="AX16" s="32">
        <f t="shared" si="31"/>
        <v>176066.33817448746</v>
      </c>
      <c r="AY16" s="32">
        <f t="shared" ca="1" si="32"/>
        <v>29269.797452766692</v>
      </c>
      <c r="BA16" s="32">
        <f ca="1">IF($A17="","",F16*Summary!$Q$13)</f>
        <v>0</v>
      </c>
      <c r="BC16" s="256">
        <f t="shared" ca="1" si="35"/>
        <v>166905.66452340799</v>
      </c>
    </row>
    <row r="17" spans="1:55">
      <c r="A17" s="67">
        <f t="shared" si="33"/>
        <v>37257</v>
      </c>
      <c r="B17" s="69">
        <f t="shared" si="36"/>
        <v>28400</v>
      </c>
      <c r="C17" s="71"/>
      <c r="D17" s="69">
        <f t="shared" si="0"/>
        <v>28400</v>
      </c>
      <c r="E17" s="70">
        <f t="shared" si="1"/>
        <v>880400</v>
      </c>
      <c r="F17" s="70">
        <f t="shared" ca="1" si="2"/>
        <v>827709.54531445226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0.435</v>
      </c>
      <c r="K17" s="64">
        <f t="shared" si="6"/>
        <v>0.435</v>
      </c>
      <c r="L17" s="38">
        <v>0</v>
      </c>
      <c r="M17" s="64">
        <f t="shared" si="7"/>
        <v>0</v>
      </c>
      <c r="N17" s="65"/>
      <c r="O17" s="63">
        <f t="shared" si="8"/>
        <v>5.3819999999999997</v>
      </c>
      <c r="P17" s="63">
        <f t="shared" si="9"/>
        <v>5.3819999999999997</v>
      </c>
      <c r="Q17" s="66"/>
      <c r="R17" s="63">
        <f t="shared" si="10"/>
        <v>-0.17473039421585876</v>
      </c>
      <c r="S17" s="64">
        <f t="shared" si="11"/>
        <v>-0.17473039421585876</v>
      </c>
      <c r="T17" s="38">
        <v>0</v>
      </c>
      <c r="U17" s="64">
        <f t="shared" si="12"/>
        <v>0</v>
      </c>
      <c r="V17" s="219">
        <f>(G17+R17)/(1-Summary!$T$13)*Summary!$T$13</f>
        <v>0.38055639957361104</v>
      </c>
      <c r="W17" s="43">
        <f t="shared" si="13"/>
        <v>5.1528260053577526</v>
      </c>
      <c r="X17" s="43">
        <f t="shared" si="14"/>
        <v>5.1528260053577526</v>
      </c>
      <c r="Y17" s="43"/>
      <c r="Z17" s="38">
        <f t="shared" si="15"/>
        <v>1.35</v>
      </c>
      <c r="AA17" s="38">
        <f t="shared" si="16"/>
        <v>0.57499999999999996</v>
      </c>
      <c r="AB17" s="38">
        <f t="shared" ca="1" si="17"/>
        <v>0.67405136161515022</v>
      </c>
      <c r="AC17" s="38">
        <f t="shared" si="18"/>
        <v>1.6</v>
      </c>
      <c r="AD17" s="38">
        <f t="shared" si="18"/>
        <v>0.57499999999999996</v>
      </c>
      <c r="AE17" s="38">
        <f t="shared" ca="1" si="19"/>
        <v>0.70981065702845625</v>
      </c>
      <c r="AF17" s="237">
        <f ca="1">((Summary!$N$13*(AA17*AD17)*(A17-$D$3))+(Summary!$M$13*Z17*AC17*(AJ17-EOMONTH(EDATE(A17,-1),0))))/(AK17*AB17*AE17)</f>
        <v>0.99688429906993092</v>
      </c>
      <c r="AG17" s="88">
        <f>IF($A18="","",Summary!$Q$13)</f>
        <v>0</v>
      </c>
      <c r="AH17" s="88">
        <f>IF($A18="","",IF(Summary!$R$12="Y",(VLOOKUP($A17,Summary!$AD$6:$AF$9,3)+'Escalating commodity'!I30),'Escalating commodity'!I30))</f>
        <v>3.5888340084390402E-2</v>
      </c>
      <c r="AI17" s="88">
        <f t="shared" si="34"/>
        <v>3.5888340084390402E-2</v>
      </c>
      <c r="AJ17" s="236">
        <f t="shared" si="20"/>
        <v>37271.5</v>
      </c>
      <c r="AK17" s="58">
        <f t="shared" ca="1" si="21"/>
        <v>231</v>
      </c>
      <c r="AL17" s="26">
        <f ca="1">IF($A18="","",_xll.SPRDOPT(P17,X17,AI17,0,AB17,AE17,AF17,AK17,$AJ$2,0))</f>
        <v>0.22903311330948509</v>
      </c>
      <c r="AM17" s="209">
        <f t="shared" si="22"/>
        <v>0.19328565455785668</v>
      </c>
      <c r="AN17" s="89">
        <f t="shared" ca="1" si="23"/>
        <v>3.5747458751628408E-2</v>
      </c>
      <c r="AO17" s="3">
        <f t="shared" si="24"/>
        <v>31</v>
      </c>
      <c r="AP17" s="33">
        <f t="shared" si="25"/>
        <v>37257</v>
      </c>
      <c r="AQ17" s="58">
        <f t="shared" ca="1" si="26"/>
        <v>231</v>
      </c>
      <c r="AR17" s="38">
        <f>'ANR OK vs ML7'!AR17</f>
        <v>0.1</v>
      </c>
      <c r="AS17" s="35">
        <f t="shared" ca="1" si="27"/>
        <v>0.94015168709047281</v>
      </c>
      <c r="AT17" s="3">
        <f t="shared" si="28"/>
        <v>1</v>
      </c>
      <c r="AU17" s="3">
        <f t="shared" si="29"/>
        <v>31</v>
      </c>
      <c r="AW17" s="32">
        <f t="shared" ca="1" si="30"/>
        <v>201640.75295767066</v>
      </c>
      <c r="AX17" s="32">
        <f t="shared" si="31"/>
        <v>170168.69027273703</v>
      </c>
      <c r="AY17" s="32">
        <f t="shared" ca="1" si="32"/>
        <v>31472.062684933651</v>
      </c>
      <c r="BA17" s="32">
        <f ca="1">IF($A18="","",F17*Summary!$Q$13)</f>
        <v>0</v>
      </c>
      <c r="BC17" s="256">
        <f t="shared" ca="1" si="35"/>
        <v>159984.38124988985</v>
      </c>
    </row>
    <row r="18" spans="1:55">
      <c r="A18" s="67">
        <f t="shared" si="33"/>
        <v>37288</v>
      </c>
      <c r="B18" s="69">
        <f t="shared" si="36"/>
        <v>28400</v>
      </c>
      <c r="C18" s="71"/>
      <c r="D18" s="69">
        <f t="shared" si="0"/>
        <v>28400</v>
      </c>
      <c r="E18" s="70">
        <f t="shared" si="1"/>
        <v>795200</v>
      </c>
      <c r="F18" s="70">
        <f t="shared" ca="1" si="2"/>
        <v>741442.51709338371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0.54500000000000004</v>
      </c>
      <c r="K18" s="64">
        <f t="shared" si="6"/>
        <v>0.54500000000000004</v>
      </c>
      <c r="L18" s="38">
        <v>0</v>
      </c>
      <c r="M18" s="64">
        <f t="shared" si="7"/>
        <v>0</v>
      </c>
      <c r="N18" s="65"/>
      <c r="O18" s="63">
        <f t="shared" si="8"/>
        <v>5.3620000000000001</v>
      </c>
      <c r="P18" s="63">
        <f t="shared" si="9"/>
        <v>5.3620000000000001</v>
      </c>
      <c r="Q18" s="66"/>
      <c r="R18" s="63">
        <f t="shared" si="10"/>
        <v>-0.17474318748254053</v>
      </c>
      <c r="S18" s="64">
        <f t="shared" si="11"/>
        <v>-0.17474318748254053</v>
      </c>
      <c r="T18" s="38">
        <v>0</v>
      </c>
      <c r="U18" s="64">
        <f t="shared" si="12"/>
        <v>0</v>
      </c>
      <c r="V18" s="219">
        <f>(G18+R18)/(1-Summary!$T$13)*Summary!$T$13</f>
        <v>0.37018875386388228</v>
      </c>
      <c r="W18" s="43">
        <f t="shared" si="13"/>
        <v>5.0124455663813414</v>
      </c>
      <c r="X18" s="43">
        <f t="shared" si="14"/>
        <v>5.0124455663813414</v>
      </c>
      <c r="Y18" s="43"/>
      <c r="Z18" s="38">
        <f t="shared" si="15"/>
        <v>1.35</v>
      </c>
      <c r="AA18" s="38">
        <f t="shared" si="16"/>
        <v>0.56999999999999995</v>
      </c>
      <c r="AB18" s="38">
        <f t="shared" ca="1" si="17"/>
        <v>0.65078842377464263</v>
      </c>
      <c r="AC18" s="38">
        <f t="shared" si="18"/>
        <v>1.6</v>
      </c>
      <c r="AD18" s="38">
        <f t="shared" si="18"/>
        <v>0.56999999999999995</v>
      </c>
      <c r="AE18" s="38">
        <f t="shared" ca="1" si="19"/>
        <v>0.68039251132390399</v>
      </c>
      <c r="AF18" s="237">
        <f ca="1">((Summary!$N$13*(AA18*AD18)*(A18-$D$3))+(Summary!$M$13*Z18*AC18*(AJ18-EOMONTH(EDATE(A18,-1),0))))/(AK18*AB18*AE18)</f>
        <v>0.99714479583229898</v>
      </c>
      <c r="AG18" s="88">
        <f>IF($A19="","",Summary!$Q$13)</f>
        <v>0</v>
      </c>
      <c r="AH18" s="88">
        <f>IF($A19="","",IF(Summary!$R$12="Y",(VLOOKUP($A18,Summary!$AD$6:$AF$9,3)+'Escalating commodity'!I31),'Escalating commodity'!I31))</f>
        <v>3.5888340084390402E-2</v>
      </c>
      <c r="AI18" s="88">
        <f t="shared" si="34"/>
        <v>3.5888340084390402E-2</v>
      </c>
      <c r="AJ18" s="236">
        <f t="shared" si="20"/>
        <v>37301</v>
      </c>
      <c r="AK18" s="58">
        <f t="shared" ca="1" si="21"/>
        <v>262</v>
      </c>
      <c r="AL18" s="26">
        <f ca="1">IF($A19="","",_xll.SPRDOPT(P18,X18,AI18,0,AB18,AE18,AF18,AK18,$AJ$2,0))</f>
        <v>0.32583980180066063</v>
      </c>
      <c r="AM18" s="209">
        <f t="shared" si="22"/>
        <v>0.31366609353426828</v>
      </c>
      <c r="AN18" s="89">
        <f t="shared" ca="1" si="23"/>
        <v>1.2173708266392358E-2</v>
      </c>
      <c r="AO18" s="3">
        <f t="shared" si="24"/>
        <v>28</v>
      </c>
      <c r="AP18" s="33">
        <f t="shared" si="25"/>
        <v>37288</v>
      </c>
      <c r="AQ18" s="58">
        <f t="shared" ca="1" si="26"/>
        <v>262</v>
      </c>
      <c r="AR18" s="38">
        <f>'ANR OK vs ML7'!AR18</f>
        <v>0.1</v>
      </c>
      <c r="AS18" s="35">
        <f t="shared" ca="1" si="27"/>
        <v>0.93239753155606597</v>
      </c>
      <c r="AT18" s="3">
        <f t="shared" si="28"/>
        <v>1</v>
      </c>
      <c r="AU18" s="3">
        <f t="shared" si="29"/>
        <v>28</v>
      </c>
      <c r="AW18" s="32">
        <f t="shared" ca="1" si="30"/>
        <v>259107.81039188534</v>
      </c>
      <c r="AX18" s="32">
        <f t="shared" si="31"/>
        <v>249427.27757845013</v>
      </c>
      <c r="AY18" s="32">
        <f t="shared" ca="1" si="32"/>
        <v>9680.5328134352021</v>
      </c>
      <c r="BA18" s="32">
        <f ca="1">IF($A19="","",F18*Summary!$Q$13)</f>
        <v>0</v>
      </c>
      <c r="BC18" s="256">
        <f t="shared" ca="1" si="35"/>
        <v>232565.3779168966</v>
      </c>
    </row>
    <row r="19" spans="1:55">
      <c r="A19" s="67">
        <f t="shared" si="33"/>
        <v>37316</v>
      </c>
      <c r="B19" s="69">
        <f t="shared" si="36"/>
        <v>28400</v>
      </c>
      <c r="C19" s="71"/>
      <c r="D19" s="69">
        <f t="shared" si="0"/>
        <v>28400</v>
      </c>
      <c r="E19" s="70">
        <f t="shared" si="1"/>
        <v>880400</v>
      </c>
      <c r="F19" s="70">
        <f t="shared" ca="1" si="2"/>
        <v>814765.09101812355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0.54500000000000004</v>
      </c>
      <c r="K19" s="64">
        <f t="shared" si="6"/>
        <v>0.54500000000000004</v>
      </c>
      <c r="L19" s="38">
        <v>0</v>
      </c>
      <c r="M19" s="64">
        <f t="shared" si="7"/>
        <v>0</v>
      </c>
      <c r="N19" s="65"/>
      <c r="O19" s="63">
        <f t="shared" si="8"/>
        <v>5.1749999999999998</v>
      </c>
      <c r="P19" s="63">
        <f t="shared" si="9"/>
        <v>5.1749999999999998</v>
      </c>
      <c r="Q19" s="66"/>
      <c r="R19" s="63">
        <f t="shared" si="10"/>
        <v>-0.17475319758988656</v>
      </c>
      <c r="S19" s="64">
        <f t="shared" si="11"/>
        <v>-0.17475319758988656</v>
      </c>
      <c r="T19" s="38">
        <v>0</v>
      </c>
      <c r="U19" s="64">
        <f t="shared" si="12"/>
        <v>0</v>
      </c>
      <c r="V19" s="219">
        <f>(G19+R19)/(1-Summary!$T$13)*Summary!$T$13</f>
        <v>0.35527596351263757</v>
      </c>
      <c r="W19" s="43">
        <f t="shared" si="13"/>
        <v>4.8105227659227507</v>
      </c>
      <c r="X19" s="43">
        <f t="shared" si="14"/>
        <v>4.8105227659227507</v>
      </c>
      <c r="Y19" s="43"/>
      <c r="Z19" s="38">
        <f t="shared" si="15"/>
        <v>1</v>
      </c>
      <c r="AA19" s="38">
        <f t="shared" si="16"/>
        <v>0.52300000000000002</v>
      </c>
      <c r="AB19" s="38">
        <f t="shared" ca="1" si="17"/>
        <v>0.57264341374920646</v>
      </c>
      <c r="AC19" s="38">
        <f t="shared" si="18"/>
        <v>1.2</v>
      </c>
      <c r="AD19" s="38">
        <f t="shared" si="18"/>
        <v>0.52300000000000002</v>
      </c>
      <c r="AE19" s="38">
        <f t="shared" ca="1" si="19"/>
        <v>0.59282182878977663</v>
      </c>
      <c r="AF19" s="237">
        <f ca="1">((Summary!$N$13*(AA19*AD19)*(A19-$D$3))+(Summary!$M$13*Z19*AC19*(AJ19-EOMONTH(EDATE(A19,-1),0))))/(AK19*AB19*AE19)</f>
        <v>0.99736997668667915</v>
      </c>
      <c r="AG19" s="88">
        <f>IF($A20="","",Summary!$Q$13)</f>
        <v>0</v>
      </c>
      <c r="AH19" s="88">
        <f>IF($A20="","",IF(Summary!$R$12="Y",(VLOOKUP($A19,Summary!$AD$6:$AF$9,3)+'Escalating commodity'!I32),'Escalating commodity'!I32))</f>
        <v>3.5888340084390402E-2</v>
      </c>
      <c r="AI19" s="88">
        <f t="shared" si="34"/>
        <v>3.5888340084390402E-2</v>
      </c>
      <c r="AJ19" s="236">
        <f t="shared" si="20"/>
        <v>37330.5</v>
      </c>
      <c r="AK19" s="58">
        <f t="shared" ca="1" si="21"/>
        <v>290</v>
      </c>
      <c r="AL19" s="26">
        <f ca="1">IF($A20="","",_xll.SPRDOPT(P19,X19,AI19,0,AB19,AE19,AF19,AK19,$AJ$2,0))</f>
        <v>0.33298912661933805</v>
      </c>
      <c r="AM19" s="209">
        <f t="shared" si="22"/>
        <v>0.32858889399285868</v>
      </c>
      <c r="AN19" s="89">
        <f t="shared" ca="1" si="23"/>
        <v>4.4002326264793723E-3</v>
      </c>
      <c r="AO19" s="3">
        <f t="shared" si="24"/>
        <v>31</v>
      </c>
      <c r="AP19" s="33">
        <f t="shared" si="25"/>
        <v>37316</v>
      </c>
      <c r="AQ19" s="58">
        <f t="shared" ca="1" si="26"/>
        <v>290</v>
      </c>
      <c r="AR19" s="38">
        <f>'ANR OK vs ML7'!AR19</f>
        <v>0.1</v>
      </c>
      <c r="AS19" s="35">
        <f t="shared" ca="1" si="27"/>
        <v>0.92544876308283008</v>
      </c>
      <c r="AT19" s="3">
        <f t="shared" si="28"/>
        <v>1</v>
      </c>
      <c r="AU19" s="3">
        <f t="shared" si="29"/>
        <v>31</v>
      </c>
      <c r="AW19" s="32">
        <f t="shared" ca="1" si="30"/>
        <v>293163.62707566522</v>
      </c>
      <c r="AX19" s="32">
        <f t="shared" si="31"/>
        <v>289289.66227131279</v>
      </c>
      <c r="AY19" s="32">
        <f t="shared" ca="1" si="32"/>
        <v>3873.9648043524394</v>
      </c>
      <c r="BA19" s="32">
        <f ca="1">IF($A20="","",F19*Summary!$Q$13)</f>
        <v>0</v>
      </c>
      <c r="BC19" s="256">
        <f t="shared" ca="1" si="35"/>
        <v>267722.76012163603</v>
      </c>
    </row>
    <row r="20" spans="1:55">
      <c r="A20" s="67">
        <f t="shared" si="33"/>
        <v>37347</v>
      </c>
      <c r="B20" s="69">
        <f t="shared" si="36"/>
        <v>28400</v>
      </c>
      <c r="C20" s="71"/>
      <c r="D20" s="69">
        <f t="shared" si="0"/>
        <v>28400</v>
      </c>
      <c r="E20" s="70">
        <f t="shared" si="1"/>
        <v>852000</v>
      </c>
      <c r="F20" s="70">
        <f t="shared" ca="1" si="2"/>
        <v>781979.12455785519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0.245</v>
      </c>
      <c r="K20" s="64">
        <f t="shared" si="6"/>
        <v>0.245</v>
      </c>
      <c r="L20" s="38">
        <v>0</v>
      </c>
      <c r="M20" s="64">
        <f t="shared" si="7"/>
        <v>0</v>
      </c>
      <c r="N20" s="65"/>
      <c r="O20" s="63">
        <f t="shared" si="8"/>
        <v>4.5369999999999999</v>
      </c>
      <c r="P20" s="63">
        <f t="shared" si="9"/>
        <v>4.5369999999999999</v>
      </c>
      <c r="Q20" s="66"/>
      <c r="R20" s="63">
        <f t="shared" si="10"/>
        <v>-0.26646225561954517</v>
      </c>
      <c r="S20" s="64">
        <f t="shared" si="11"/>
        <v>-0.26646225561954517</v>
      </c>
      <c r="T20" s="38">
        <v>0</v>
      </c>
      <c r="U20" s="64">
        <f t="shared" si="12"/>
        <v>0</v>
      </c>
      <c r="V20" s="219">
        <f>(G20+R20)/(1-Summary!$T$13)*Summary!$T$13</f>
        <v>0.32100955664624164</v>
      </c>
      <c r="W20" s="43">
        <f t="shared" si="13"/>
        <v>4.3465473010266962</v>
      </c>
      <c r="X20" s="43">
        <f t="shared" si="14"/>
        <v>4.3465473010266962</v>
      </c>
      <c r="Y20" s="43"/>
      <c r="Z20" s="38">
        <f t="shared" si="15"/>
        <v>0.45</v>
      </c>
      <c r="AA20" s="38">
        <f t="shared" si="16"/>
        <v>0.4</v>
      </c>
      <c r="AB20" s="38">
        <f t="shared" ca="1" si="17"/>
        <v>0.41226333718878178</v>
      </c>
      <c r="AC20" s="38">
        <f t="shared" si="18"/>
        <v>0.5</v>
      </c>
      <c r="AD20" s="38">
        <f t="shared" si="18"/>
        <v>0.4</v>
      </c>
      <c r="AE20" s="38">
        <f t="shared" ca="1" si="19"/>
        <v>0.41494660543045231</v>
      </c>
      <c r="AF20" s="237">
        <f ca="1">((Summary!$N$13*(AA20*AD20)*(A20-$D$3))+(Summary!$M$13*Z20*AC20*(AJ20-EOMONTH(EDATE(A20,-1),0))))/(AK20*AB20*AE20)</f>
        <v>0.9995857705918566</v>
      </c>
      <c r="AG20" s="88">
        <f>IF($A21="","",Summary!$Q$13)</f>
        <v>0</v>
      </c>
      <c r="AH20" s="88">
        <f>IF($A21="","",IF(Summary!$R$12="Y",(VLOOKUP($A20,Summary!$AD$6:$AF$9,3)+'Escalating commodity'!I33),'Escalating commodity'!I33))</f>
        <v>3.5888340084390402E-2</v>
      </c>
      <c r="AI20" s="88">
        <f t="shared" si="34"/>
        <v>3.5888340084390402E-2</v>
      </c>
      <c r="AJ20" s="236">
        <f t="shared" si="20"/>
        <v>37361</v>
      </c>
      <c r="AK20" s="58">
        <f t="shared" ca="1" si="21"/>
        <v>321</v>
      </c>
      <c r="AL20" s="26">
        <f ca="1">IF($A21="","",_xll.SPRDOPT(P20,X20,AI20,0,AB20,AE20,AF20,AK20,$AJ$2,0))</f>
        <v>0.15483404575508697</v>
      </c>
      <c r="AM20" s="209">
        <f t="shared" si="22"/>
        <v>0.15456435888891334</v>
      </c>
      <c r="AN20" s="89">
        <f t="shared" ca="1" si="23"/>
        <v>2.6968686617362403E-4</v>
      </c>
      <c r="AO20" s="3">
        <f t="shared" si="24"/>
        <v>30</v>
      </c>
      <c r="AP20" s="33">
        <f t="shared" si="25"/>
        <v>37347</v>
      </c>
      <c r="AQ20" s="58">
        <f t="shared" ca="1" si="26"/>
        <v>321</v>
      </c>
      <c r="AR20" s="38">
        <f>'ANR OK vs ML7'!AR20</f>
        <v>0.1</v>
      </c>
      <c r="AS20" s="35">
        <f t="shared" ca="1" si="27"/>
        <v>0.91781587389419628</v>
      </c>
      <c r="AT20" s="3">
        <f t="shared" si="28"/>
        <v>1</v>
      </c>
      <c r="AU20" s="3">
        <f t="shared" si="29"/>
        <v>30</v>
      </c>
      <c r="AW20" s="32">
        <f t="shared" ca="1" si="30"/>
        <v>131918.60698333409</v>
      </c>
      <c r="AX20" s="32">
        <f t="shared" si="31"/>
        <v>131688.83377335416</v>
      </c>
      <c r="AY20" s="32">
        <f t="shared" ca="1" si="32"/>
        <v>229.77320997992769</v>
      </c>
      <c r="BA20" s="32">
        <f ca="1">IF($A21="","",F20*Summary!$Q$13)</f>
        <v>0</v>
      </c>
      <c r="BC20" s="256">
        <f t="shared" ca="1" si="35"/>
        <v>120866.1020517986</v>
      </c>
    </row>
    <row r="21" spans="1:55">
      <c r="A21" s="67">
        <f t="shared" si="33"/>
        <v>37377</v>
      </c>
      <c r="B21" s="69">
        <f t="shared" si="36"/>
        <v>28400</v>
      </c>
      <c r="C21" s="71"/>
      <c r="D21" s="69">
        <f t="shared" si="0"/>
        <v>28400</v>
      </c>
      <c r="E21" s="70">
        <f t="shared" si="1"/>
        <v>880400</v>
      </c>
      <c r="F21" s="70">
        <f t="shared" ca="1" si="2"/>
        <v>801594.65044409561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0.245</v>
      </c>
      <c r="K21" s="64">
        <f t="shared" si="6"/>
        <v>0.245</v>
      </c>
      <c r="L21" s="38">
        <v>0</v>
      </c>
      <c r="M21" s="64">
        <f t="shared" si="7"/>
        <v>0</v>
      </c>
      <c r="N21" s="65"/>
      <c r="O21" s="63">
        <f t="shared" si="8"/>
        <v>4.4570000000000007</v>
      </c>
      <c r="P21" s="63">
        <f t="shared" si="9"/>
        <v>4.4570000000000007</v>
      </c>
      <c r="Q21" s="66"/>
      <c r="R21" s="63">
        <f t="shared" si="10"/>
        <v>-0.26647745980641124</v>
      </c>
      <c r="S21" s="64">
        <f t="shared" si="11"/>
        <v>-0.26647745980641124</v>
      </c>
      <c r="T21" s="38">
        <v>0</v>
      </c>
      <c r="U21" s="64">
        <f t="shared" si="12"/>
        <v>0</v>
      </c>
      <c r="V21" s="219">
        <f>(G21+R21)/(1-Summary!$T$13)*Summary!$T$13</f>
        <v>0.3146288823482945</v>
      </c>
      <c r="W21" s="43">
        <f t="shared" si="13"/>
        <v>4.2601514225418837</v>
      </c>
      <c r="X21" s="43">
        <f t="shared" si="14"/>
        <v>4.2601514225418837</v>
      </c>
      <c r="Y21" s="43"/>
      <c r="Z21" s="38">
        <f t="shared" si="15"/>
        <v>0.5</v>
      </c>
      <c r="AA21" s="38">
        <f t="shared" si="16"/>
        <v>0.35</v>
      </c>
      <c r="AB21" s="38">
        <f t="shared" ca="1" si="17"/>
        <v>0.36590830666833579</v>
      </c>
      <c r="AC21" s="38">
        <f t="shared" si="18"/>
        <v>0.45</v>
      </c>
      <c r="AD21" s="38">
        <f t="shared" si="18"/>
        <v>0.35</v>
      </c>
      <c r="AE21" s="38">
        <f t="shared" ca="1" si="19"/>
        <v>0.36303072947246567</v>
      </c>
      <c r="AF21" s="237">
        <f ca="1">((Summary!$N$13*(AA21*AD21)*(A21-$D$3))+(Summary!$M$13*Z21*AC21*(AJ21-EOMONTH(EDATE(A21,-1),0))))/(AK21*AB21*AE21)</f>
        <v>0.99952314037954382</v>
      </c>
      <c r="AG21" s="88">
        <f>IF($A22="","",Summary!$Q$13)</f>
        <v>0</v>
      </c>
      <c r="AH21" s="88">
        <f>IF($A22="","",IF(Summary!$R$12="Y",(VLOOKUP($A21,Summary!$AD$6:$AF$9,3)+'Escalating commodity'!I34),'Escalating commodity'!I34))</f>
        <v>3.5888340084390402E-2</v>
      </c>
      <c r="AI21" s="88">
        <f t="shared" si="34"/>
        <v>3.5888340084390402E-2</v>
      </c>
      <c r="AJ21" s="236">
        <f t="shared" si="20"/>
        <v>37391.5</v>
      </c>
      <c r="AK21" s="58">
        <f t="shared" ca="1" si="21"/>
        <v>351</v>
      </c>
      <c r="AL21" s="26">
        <f ca="1">IF($A22="","",_xll.SPRDOPT(P21,X21,AI21,0,AB21,AE21,AF21,AK21,$AJ$2,0))</f>
        <v>0.16116055138097077</v>
      </c>
      <c r="AM21" s="209">
        <f t="shared" si="22"/>
        <v>0.16096023737372661</v>
      </c>
      <c r="AN21" s="89">
        <f t="shared" ca="1" si="23"/>
        <v>2.0031400724415671E-4</v>
      </c>
      <c r="AO21" s="3">
        <f t="shared" si="24"/>
        <v>31</v>
      </c>
      <c r="AP21" s="33">
        <f t="shared" si="25"/>
        <v>37377</v>
      </c>
      <c r="AQ21" s="58">
        <f t="shared" ca="1" si="26"/>
        <v>351</v>
      </c>
      <c r="AR21" s="38">
        <f>'ANR OK vs ML7'!AR21</f>
        <v>0.1</v>
      </c>
      <c r="AS21" s="35">
        <f t="shared" ca="1" si="27"/>
        <v>0.91048915316230761</v>
      </c>
      <c r="AT21" s="3">
        <f t="shared" si="28"/>
        <v>1</v>
      </c>
      <c r="AU21" s="3">
        <f t="shared" si="29"/>
        <v>31</v>
      </c>
      <c r="AW21" s="32">
        <f t="shared" ca="1" si="30"/>
        <v>141885.74943580668</v>
      </c>
      <c r="AX21" s="32">
        <f t="shared" si="31"/>
        <v>141709.3929838289</v>
      </c>
      <c r="AY21" s="32">
        <f t="shared" ca="1" si="32"/>
        <v>176.35645197775557</v>
      </c>
      <c r="BA21" s="32">
        <f ca="1">IF($A22="","",F21*Summary!$Q$13)</f>
        <v>0</v>
      </c>
      <c r="BC21" s="256">
        <f t="shared" ca="1" si="35"/>
        <v>129024.86521299103</v>
      </c>
    </row>
    <row r="22" spans="1:55">
      <c r="A22" s="67">
        <f t="shared" si="33"/>
        <v>37408</v>
      </c>
      <c r="B22" s="69">
        <f t="shared" si="36"/>
        <v>28400</v>
      </c>
      <c r="C22" s="71"/>
      <c r="D22" s="69">
        <f t="shared" si="0"/>
        <v>28400</v>
      </c>
      <c r="E22" s="70">
        <f t="shared" si="1"/>
        <v>852000</v>
      </c>
      <c r="F22" s="70">
        <f t="shared" ca="1" si="2"/>
        <v>769338.6595899096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0.245</v>
      </c>
      <c r="K22" s="64">
        <f t="shared" si="6"/>
        <v>0.245</v>
      </c>
      <c r="L22" s="38">
        <v>0</v>
      </c>
      <c r="M22" s="64">
        <f t="shared" si="7"/>
        <v>0</v>
      </c>
      <c r="N22" s="65"/>
      <c r="O22" s="63">
        <f t="shared" si="8"/>
        <v>4.4969999999999999</v>
      </c>
      <c r="P22" s="63">
        <f t="shared" si="9"/>
        <v>4.4969999999999999</v>
      </c>
      <c r="Q22" s="66"/>
      <c r="R22" s="63">
        <f t="shared" si="10"/>
        <v>-0.2664928060075073</v>
      </c>
      <c r="S22" s="64">
        <f t="shared" si="11"/>
        <v>-0.2664928060075073</v>
      </c>
      <c r="T22" s="38">
        <v>0</v>
      </c>
      <c r="U22" s="64">
        <f t="shared" si="12"/>
        <v>0</v>
      </c>
      <c r="V22" s="219">
        <f>(G22+R22)/(1-Summary!$T$13)*Summary!$T$13</f>
        <v>0.31781738952514493</v>
      </c>
      <c r="W22" s="43">
        <f t="shared" si="13"/>
        <v>4.3033245835176377</v>
      </c>
      <c r="X22" s="43">
        <f t="shared" si="14"/>
        <v>4.3033245835176377</v>
      </c>
      <c r="Y22" s="43"/>
      <c r="Z22" s="38">
        <f t="shared" si="15"/>
        <v>0.5</v>
      </c>
      <c r="AA22" s="38">
        <f t="shared" si="16"/>
        <v>0.35</v>
      </c>
      <c r="AB22" s="38">
        <f t="shared" ca="1" si="17"/>
        <v>0.36419422641630911</v>
      </c>
      <c r="AC22" s="38">
        <f t="shared" si="18"/>
        <v>0.5</v>
      </c>
      <c r="AD22" s="38">
        <f t="shared" si="18"/>
        <v>0.35</v>
      </c>
      <c r="AE22" s="38">
        <f t="shared" ca="1" si="19"/>
        <v>0.36419422641630911</v>
      </c>
      <c r="AF22" s="237">
        <f ca="1">((Summary!$N$13*(AA22*AD22)*(A22-$D$3))+(Summary!$M$13*Z22*AC22*(AJ22-EOMONTH(EDATE(A22,-1),0))))/(AK22*AB22*AE22)</f>
        <v>0.99990740119405908</v>
      </c>
      <c r="AG22" s="88">
        <f>IF($A23="","",Summary!$Q$13)</f>
        <v>0</v>
      </c>
      <c r="AH22" s="88">
        <f>IF($A23="","",IF(Summary!$R$12="Y",(VLOOKUP($A22,Summary!$AD$6:$AF$9,3)+'Escalating commodity'!I35),'Escalating commodity'!I35))</f>
        <v>3.5888340084390402E-2</v>
      </c>
      <c r="AI22" s="88">
        <f t="shared" si="34"/>
        <v>3.5888340084390402E-2</v>
      </c>
      <c r="AJ22" s="236">
        <f t="shared" si="20"/>
        <v>37422</v>
      </c>
      <c r="AK22" s="58">
        <f t="shared" ca="1" si="21"/>
        <v>382</v>
      </c>
      <c r="AL22" s="26">
        <f ca="1">IF($A23="","",_xll.SPRDOPT(P22,X22,AI22,0,AB22,AE22,AF22,AK22,$AJ$2,0))</f>
        <v>0.15783081850119768</v>
      </c>
      <c r="AM22" s="209">
        <f t="shared" si="22"/>
        <v>0.15778707639797179</v>
      </c>
      <c r="AN22" s="89">
        <f t="shared" ca="1" si="23"/>
        <v>4.3742103225885565E-5</v>
      </c>
      <c r="AO22" s="3">
        <f t="shared" si="24"/>
        <v>30</v>
      </c>
      <c r="AP22" s="33">
        <f t="shared" si="25"/>
        <v>37408</v>
      </c>
      <c r="AQ22" s="58">
        <f t="shared" ca="1" si="26"/>
        <v>382</v>
      </c>
      <c r="AR22" s="38">
        <f>'ANR OK vs ML7'!AR22</f>
        <v>0.1</v>
      </c>
      <c r="AS22" s="35">
        <f t="shared" ca="1" si="27"/>
        <v>0.90297964740599712</v>
      </c>
      <c r="AT22" s="3">
        <f t="shared" si="28"/>
        <v>1</v>
      </c>
      <c r="AU22" s="3">
        <f t="shared" si="29"/>
        <v>30</v>
      </c>
      <c r="AW22" s="32">
        <f t="shared" ca="1" si="30"/>
        <v>134471.85736302042</v>
      </c>
      <c r="AX22" s="32">
        <f t="shared" si="31"/>
        <v>134434.58909107198</v>
      </c>
      <c r="AY22" s="32">
        <f t="shared" ca="1" si="32"/>
        <v>37.268271948454498</v>
      </c>
      <c r="BA22" s="32">
        <f ca="1">IF($A23="","",F22*Summary!$Q$13)</f>
        <v>0</v>
      </c>
      <c r="BC22" s="256">
        <f t="shared" ca="1" si="35"/>
        <v>121391.69785662628</v>
      </c>
    </row>
    <row r="23" spans="1:55">
      <c r="A23" s="67">
        <f t="shared" si="33"/>
        <v>37438</v>
      </c>
      <c r="B23" s="69">
        <f t="shared" si="36"/>
        <v>28400</v>
      </c>
      <c r="C23" s="71"/>
      <c r="D23" s="69">
        <f t="shared" si="0"/>
        <v>28400</v>
      </c>
      <c r="E23" s="70">
        <f t="shared" si="1"/>
        <v>880400</v>
      </c>
      <c r="F23" s="70">
        <f t="shared" ca="1" si="2"/>
        <v>788637.1062089341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0.245</v>
      </c>
      <c r="K23" s="64">
        <f t="shared" si="6"/>
        <v>0.245</v>
      </c>
      <c r="L23" s="38">
        <v>0</v>
      </c>
      <c r="M23" s="64">
        <f t="shared" si="7"/>
        <v>0</v>
      </c>
      <c r="N23" s="65"/>
      <c r="O23" s="63">
        <f t="shared" si="8"/>
        <v>4.5420000000000007</v>
      </c>
      <c r="P23" s="63">
        <f t="shared" si="9"/>
        <v>4.5420000000000007</v>
      </c>
      <c r="Q23" s="66"/>
      <c r="R23" s="63">
        <f t="shared" si="10"/>
        <v>-0.2665084777565741</v>
      </c>
      <c r="S23" s="64">
        <f t="shared" si="11"/>
        <v>-0.2665084777565741</v>
      </c>
      <c r="T23" s="38">
        <v>0</v>
      </c>
      <c r="U23" s="64">
        <f t="shared" si="12"/>
        <v>0</v>
      </c>
      <c r="V23" s="219">
        <f>(G23+R23)/(1-Summary!$T$13)*Summary!$T$13</f>
        <v>0.3214045871083796</v>
      </c>
      <c r="W23" s="43">
        <f t="shared" si="13"/>
        <v>4.3518961093518067</v>
      </c>
      <c r="X23" s="43">
        <f t="shared" si="14"/>
        <v>4.3518961093518067</v>
      </c>
      <c r="Y23" s="43"/>
      <c r="Z23" s="38">
        <f t="shared" si="15"/>
        <v>0.55000000000000004</v>
      </c>
      <c r="AA23" s="38">
        <f t="shared" si="16"/>
        <v>0.35</v>
      </c>
      <c r="AB23" s="38">
        <f t="shared" ca="1" si="17"/>
        <v>0.36630286821445435</v>
      </c>
      <c r="AC23" s="38">
        <f t="shared" si="18"/>
        <v>0.5</v>
      </c>
      <c r="AD23" s="38">
        <f t="shared" si="18"/>
        <v>0.35</v>
      </c>
      <c r="AE23" s="38">
        <f t="shared" ca="1" si="19"/>
        <v>0.36359685078794701</v>
      </c>
      <c r="AF23" s="237">
        <f ca="1">((Summary!$N$13*(AA23*AD23)*(A23-$D$3))+(Summary!$M$13*Z23*AC23*(AJ23-EOMONTH(EDATE(A23,-1),0))))/(AK23*AB23*AE23)</f>
        <v>0.99958220136483911</v>
      </c>
      <c r="AG23" s="88">
        <f>IF($A24="","",Summary!$Q$13)</f>
        <v>0</v>
      </c>
      <c r="AH23" s="88">
        <f>IF($A24="","",IF(Summary!$R$12="Y",(VLOOKUP($A23,Summary!$AD$6:$AF$9,3)+'Escalating commodity'!I36),'Escalating commodity'!I36))</f>
        <v>3.5888340084390402E-2</v>
      </c>
      <c r="AI23" s="88">
        <f t="shared" si="34"/>
        <v>3.5888340084390402E-2</v>
      </c>
      <c r="AJ23" s="236">
        <f t="shared" si="20"/>
        <v>37452.5</v>
      </c>
      <c r="AK23" s="58">
        <f t="shared" ca="1" si="21"/>
        <v>412</v>
      </c>
      <c r="AL23" s="26">
        <f ca="1">IF($A24="","",_xll.SPRDOPT(P23,X23,AI23,0,AB23,AE23,AF23,AK23,$AJ$2,0))</f>
        <v>0.15462421570137561</v>
      </c>
      <c r="AM23" s="209">
        <f t="shared" si="22"/>
        <v>0.15421555056380359</v>
      </c>
      <c r="AN23" s="89">
        <f t="shared" ca="1" si="23"/>
        <v>4.0866513757201184E-4</v>
      </c>
      <c r="AO23" s="3">
        <f t="shared" si="24"/>
        <v>31</v>
      </c>
      <c r="AP23" s="33">
        <f t="shared" si="25"/>
        <v>37438</v>
      </c>
      <c r="AQ23" s="58">
        <f t="shared" ca="1" si="26"/>
        <v>412</v>
      </c>
      <c r="AR23" s="38">
        <f>'ANR OK vs ML7'!AR23</f>
        <v>0.1</v>
      </c>
      <c r="AS23" s="35">
        <f t="shared" ca="1" si="27"/>
        <v>0.89577136098243315</v>
      </c>
      <c r="AT23" s="3">
        <f t="shared" si="28"/>
        <v>1</v>
      </c>
      <c r="AU23" s="3">
        <f t="shared" si="29"/>
        <v>31</v>
      </c>
      <c r="AW23" s="32">
        <f t="shared" ca="1" si="30"/>
        <v>136131.15950349107</v>
      </c>
      <c r="AX23" s="32">
        <f t="shared" si="31"/>
        <v>135771.37071637268</v>
      </c>
      <c r="AY23" s="32">
        <f t="shared" ca="1" si="32"/>
        <v>359.78878711839923</v>
      </c>
      <c r="BA23" s="32">
        <f ca="1">IF($A24="","",F23*Summary!$Q$13)</f>
        <v>0</v>
      </c>
      <c r="BC23" s="256">
        <f t="shared" ca="1" si="35"/>
        <v>121620.10552905563</v>
      </c>
    </row>
    <row r="24" spans="1:55">
      <c r="A24" s="67">
        <f t="shared" si="33"/>
        <v>37469</v>
      </c>
      <c r="B24" s="69">
        <f t="shared" si="36"/>
        <v>28400</v>
      </c>
      <c r="C24" s="71"/>
      <c r="D24" s="69">
        <f t="shared" si="0"/>
        <v>28400</v>
      </c>
      <c r="E24" s="70">
        <f t="shared" si="1"/>
        <v>880400</v>
      </c>
      <c r="F24" s="70">
        <f t="shared" ca="1" si="2"/>
        <v>782132.60819471104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0.245</v>
      </c>
      <c r="K24" s="64">
        <f t="shared" si="6"/>
        <v>0.245</v>
      </c>
      <c r="L24" s="38">
        <v>0</v>
      </c>
      <c r="M24" s="64">
        <f t="shared" si="7"/>
        <v>0</v>
      </c>
      <c r="N24" s="65"/>
      <c r="O24" s="63">
        <f t="shared" si="8"/>
        <v>4.5670000000000002</v>
      </c>
      <c r="P24" s="63">
        <f t="shared" si="9"/>
        <v>4.5670000000000002</v>
      </c>
      <c r="Q24" s="66"/>
      <c r="R24" s="63">
        <f t="shared" si="10"/>
        <v>-0.26652485841846768</v>
      </c>
      <c r="S24" s="64">
        <f t="shared" si="11"/>
        <v>-0.26652485841846768</v>
      </c>
      <c r="T24" s="38">
        <v>0</v>
      </c>
      <c r="U24" s="64">
        <f t="shared" si="12"/>
        <v>0</v>
      </c>
      <c r="V24" s="219">
        <f>(G24+R24)/(1-Summary!$T$13)*Summary!$T$13</f>
        <v>0.32339686269400525</v>
      </c>
      <c r="W24" s="43">
        <f t="shared" si="13"/>
        <v>4.3788720042755376</v>
      </c>
      <c r="X24" s="43">
        <f t="shared" si="14"/>
        <v>4.3788720042755376</v>
      </c>
      <c r="Y24" s="43"/>
      <c r="Z24" s="38">
        <f t="shared" si="15"/>
        <v>0.6</v>
      </c>
      <c r="AA24" s="38">
        <f t="shared" si="16"/>
        <v>0.35</v>
      </c>
      <c r="AB24" s="38">
        <f t="shared" ca="1" si="17"/>
        <v>0.36792996683691581</v>
      </c>
      <c r="AC24" s="38">
        <f t="shared" si="18"/>
        <v>0.45</v>
      </c>
      <c r="AD24" s="38">
        <f t="shared" si="18"/>
        <v>0.35</v>
      </c>
      <c r="AE24" s="38">
        <f t="shared" ca="1" si="19"/>
        <v>0.36036334184956187</v>
      </c>
      <c r="AF24" s="237">
        <f ca="1">((Summary!$N$13*(AA24*AD24)*(A24-$D$3))+(Summary!$M$13*Z24*AC24*(AJ24-EOMONTH(EDATE(A24,-1),0))))/(AK24*AB24*AE24)</f>
        <v>0.9971545507427847</v>
      </c>
      <c r="AG24" s="88">
        <f>IF($A25="","",Summary!$Q$13)</f>
        <v>0</v>
      </c>
      <c r="AH24" s="88">
        <f>IF($A25="","",IF(Summary!$R$12="Y",(VLOOKUP($A24,Summary!$AD$6:$AF$9,3)+'Escalating commodity'!I37),'Escalating commodity'!I37))</f>
        <v>3.5888340084390402E-2</v>
      </c>
      <c r="AI24" s="88">
        <f t="shared" si="34"/>
        <v>3.5888340084390402E-2</v>
      </c>
      <c r="AJ24" s="236">
        <f t="shared" si="20"/>
        <v>37483.5</v>
      </c>
      <c r="AK24" s="58">
        <f t="shared" ca="1" si="21"/>
        <v>443</v>
      </c>
      <c r="AL24" s="26">
        <f ca="1">IF($A25="","",_xll.SPRDOPT(P24,X24,AI24,0,AB24,AE24,AF24,AK24,$AJ$2,0))</f>
        <v>0.16327871145746065</v>
      </c>
      <c r="AM24" s="209">
        <f t="shared" si="22"/>
        <v>0.15223965564007219</v>
      </c>
      <c r="AN24" s="89">
        <f t="shared" ca="1" si="23"/>
        <v>1.1039055817388455E-2</v>
      </c>
      <c r="AO24" s="3">
        <f t="shared" si="24"/>
        <v>31</v>
      </c>
      <c r="AP24" s="33">
        <f t="shared" si="25"/>
        <v>37469</v>
      </c>
      <c r="AQ24" s="58">
        <f t="shared" ca="1" si="26"/>
        <v>443</v>
      </c>
      <c r="AR24" s="38">
        <f>'ANR OK vs ML7'!AR24</f>
        <v>0.1</v>
      </c>
      <c r="AS24" s="35">
        <f t="shared" ca="1" si="27"/>
        <v>0.8883832442011711</v>
      </c>
      <c r="AT24" s="3">
        <f t="shared" si="28"/>
        <v>1</v>
      </c>
      <c r="AU24" s="3">
        <f t="shared" si="29"/>
        <v>31</v>
      </c>
      <c r="AW24" s="32">
        <f t="shared" ca="1" si="30"/>
        <v>143750.57756714834</v>
      </c>
      <c r="AX24" s="32">
        <f t="shared" si="31"/>
        <v>134031.79282551954</v>
      </c>
      <c r="AY24" s="32">
        <f t="shared" ca="1" si="32"/>
        <v>9718.784741628795</v>
      </c>
      <c r="BA24" s="32">
        <f ca="1">IF($A25="","",F24*Summary!$Q$13)</f>
        <v>0</v>
      </c>
      <c r="BC24" s="256">
        <f t="shared" ca="1" si="35"/>
        <v>119071.59893643431</v>
      </c>
    </row>
    <row r="25" spans="1:55">
      <c r="A25" s="67">
        <f t="shared" si="33"/>
        <v>37500</v>
      </c>
      <c r="B25" s="69">
        <f t="shared" si="36"/>
        <v>28400</v>
      </c>
      <c r="C25" s="71"/>
      <c r="D25" s="69">
        <f t="shared" si="0"/>
        <v>28400</v>
      </c>
      <c r="E25" s="70">
        <f t="shared" si="1"/>
        <v>852000</v>
      </c>
      <c r="F25" s="70">
        <f t="shared" ca="1" si="2"/>
        <v>750659.76560187142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0.245</v>
      </c>
      <c r="K25" s="64">
        <f t="shared" si="6"/>
        <v>0.245</v>
      </c>
      <c r="L25" s="38">
        <v>0</v>
      </c>
      <c r="M25" s="64">
        <f t="shared" si="7"/>
        <v>0</v>
      </c>
      <c r="N25" s="65"/>
      <c r="O25" s="63">
        <f t="shared" si="8"/>
        <v>4.5720000000000001</v>
      </c>
      <c r="P25" s="63">
        <f t="shared" si="9"/>
        <v>4.5720000000000001</v>
      </c>
      <c r="Q25" s="66"/>
      <c r="R25" s="63">
        <f t="shared" si="10"/>
        <v>-0.26654110222046584</v>
      </c>
      <c r="S25" s="64">
        <f t="shared" si="11"/>
        <v>-0.26654110222046584</v>
      </c>
      <c r="T25" s="38">
        <v>0</v>
      </c>
      <c r="U25" s="64">
        <f t="shared" si="12"/>
        <v>0</v>
      </c>
      <c r="V25" s="219">
        <f>(G25+R25)/(1-Summary!$T$13)*Summary!$T$13</f>
        <v>0.32379428372670743</v>
      </c>
      <c r="W25" s="43">
        <f t="shared" si="13"/>
        <v>4.3842531815062413</v>
      </c>
      <c r="X25" s="43">
        <f t="shared" si="14"/>
        <v>4.3842531815062413</v>
      </c>
      <c r="Y25" s="43"/>
      <c r="Z25" s="38">
        <f t="shared" si="15"/>
        <v>0.6</v>
      </c>
      <c r="AA25" s="38">
        <f t="shared" si="16"/>
        <v>0.35</v>
      </c>
      <c r="AB25" s="38">
        <f t="shared" ca="1" si="17"/>
        <v>0.36626608344461342</v>
      </c>
      <c r="AC25" s="38">
        <f t="shared" si="18"/>
        <v>0.5</v>
      </c>
      <c r="AD25" s="38">
        <f t="shared" si="18"/>
        <v>0.35</v>
      </c>
      <c r="AE25" s="38">
        <f t="shared" ca="1" si="19"/>
        <v>0.36148282286109901</v>
      </c>
      <c r="AF25" s="237">
        <f ca="1">((Summary!$N$13*(AA25*AD25)*(A25-$D$3))+(Summary!$M$13*Z25*AC25*(AJ25-EOMONTH(EDATE(A25,-1),0))))/(AK25*AB25*AE25)</f>
        <v>0.99879860101732609</v>
      </c>
      <c r="AG25" s="88">
        <f>IF($A26="","",Summary!$Q$13)</f>
        <v>0</v>
      </c>
      <c r="AH25" s="88">
        <f>IF($A26="","",IF(Summary!$R$12="Y",(VLOOKUP($A25,Summary!$AD$6:$AF$9,3)+'Escalating commodity'!I38),'Escalating commodity'!I38))</f>
        <v>3.5888340084390402E-2</v>
      </c>
      <c r="AI25" s="88">
        <f t="shared" si="34"/>
        <v>3.5888340084390402E-2</v>
      </c>
      <c r="AJ25" s="236">
        <f t="shared" si="20"/>
        <v>37514</v>
      </c>
      <c r="AK25" s="58">
        <f t="shared" ca="1" si="21"/>
        <v>474</v>
      </c>
      <c r="AL25" s="26">
        <f ca="1">IF($A26="","",_xll.SPRDOPT(P25,X25,AI25,0,AB25,AE25,AF25,AK25,$AJ$2,0))</f>
        <v>0.15467300161545855</v>
      </c>
      <c r="AM25" s="209">
        <f t="shared" si="22"/>
        <v>0.15185847840936834</v>
      </c>
      <c r="AN25" s="89">
        <f t="shared" ca="1" si="23"/>
        <v>2.8145232060902137E-3</v>
      </c>
      <c r="AO25" s="3">
        <f t="shared" si="24"/>
        <v>30</v>
      </c>
      <c r="AP25" s="33">
        <f t="shared" si="25"/>
        <v>37500</v>
      </c>
      <c r="AQ25" s="58">
        <f t="shared" ca="1" si="26"/>
        <v>474</v>
      </c>
      <c r="AR25" s="38">
        <f>'ANR OK vs ML7'!AR25</f>
        <v>0.1</v>
      </c>
      <c r="AS25" s="35">
        <f t="shared" ca="1" si="27"/>
        <v>0.88105606291299465</v>
      </c>
      <c r="AT25" s="3">
        <f t="shared" si="28"/>
        <v>1</v>
      </c>
      <c r="AU25" s="3">
        <f t="shared" si="29"/>
        <v>30</v>
      </c>
      <c r="AW25" s="32">
        <f t="shared" ca="1" si="30"/>
        <v>131781.39737637067</v>
      </c>
      <c r="AX25" s="32">
        <f t="shared" si="31"/>
        <v>129383.42360478183</v>
      </c>
      <c r="AY25" s="32">
        <f t="shared" ca="1" si="32"/>
        <v>2397.9737715888618</v>
      </c>
      <c r="BA25" s="32">
        <f ca="1">IF($A26="","",F25*Summary!$Q$13)</f>
        <v>0</v>
      </c>
      <c r="BC25" s="256">
        <f t="shared" ca="1" si="35"/>
        <v>113994.04980743329</v>
      </c>
    </row>
    <row r="26" spans="1:55">
      <c r="A26" s="67">
        <f t="shared" si="33"/>
        <v>37530</v>
      </c>
      <c r="B26" s="69">
        <f t="shared" si="36"/>
        <v>28400</v>
      </c>
      <c r="C26" s="71"/>
      <c r="D26" s="69">
        <f t="shared" si="0"/>
        <v>28400</v>
      </c>
      <c r="E26" s="70">
        <f t="shared" si="1"/>
        <v>880400</v>
      </c>
      <c r="F26" s="70">
        <f t="shared" ca="1" si="2"/>
        <v>769489.66220844409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0.245</v>
      </c>
      <c r="K26" s="64">
        <f t="shared" si="6"/>
        <v>0.245</v>
      </c>
      <c r="L26" s="38">
        <v>0</v>
      </c>
      <c r="M26" s="64">
        <f t="shared" si="7"/>
        <v>0</v>
      </c>
      <c r="N26" s="65"/>
      <c r="O26" s="63">
        <f t="shared" si="8"/>
        <v>4.5820000000000007</v>
      </c>
      <c r="P26" s="63">
        <f t="shared" si="9"/>
        <v>4.5820000000000007</v>
      </c>
      <c r="Q26" s="66"/>
      <c r="R26" s="63">
        <f t="shared" si="10"/>
        <v>-0.26655429744241671</v>
      </c>
      <c r="S26" s="64">
        <f t="shared" si="11"/>
        <v>-0.26655429744241671</v>
      </c>
      <c r="T26" s="38">
        <v>0</v>
      </c>
      <c r="U26" s="64">
        <f t="shared" si="12"/>
        <v>0</v>
      </c>
      <c r="V26" s="219">
        <f>(G26+R26)/(1-Summary!$T$13)*Summary!$T$13</f>
        <v>0.32459066422980665</v>
      </c>
      <c r="W26" s="43">
        <f t="shared" si="13"/>
        <v>4.3950363667873908</v>
      </c>
      <c r="X26" s="43">
        <f t="shared" si="14"/>
        <v>4.3950363667873908</v>
      </c>
      <c r="Y26" s="43"/>
      <c r="Z26" s="38">
        <f t="shared" si="15"/>
        <v>0.65</v>
      </c>
      <c r="AA26" s="38">
        <f t="shared" si="16"/>
        <v>0.35300000000000004</v>
      </c>
      <c r="AB26" s="38">
        <f t="shared" ca="1" si="17"/>
        <v>0.37128128375487329</v>
      </c>
      <c r="AC26" s="38">
        <f t="shared" si="18"/>
        <v>0.5</v>
      </c>
      <c r="AD26" s="38">
        <f t="shared" si="18"/>
        <v>0.35300000000000004</v>
      </c>
      <c r="AE26" s="38">
        <f t="shared" ca="1" si="19"/>
        <v>0.36406693360267856</v>
      </c>
      <c r="AF26" s="237">
        <f ca="1">((Summary!$N$13*(AA26*AD26)*(A26-$D$3))+(Summary!$M$13*Z26*AC26*(AJ26-EOMONTH(EDATE(A26,-1),0))))/(AK26*AB26*AE26)</f>
        <v>0.99754056893653942</v>
      </c>
      <c r="AG26" s="88">
        <f>IF($A27="","",Summary!$Q$13)</f>
        <v>0</v>
      </c>
      <c r="AH26" s="88">
        <f>IF($A27="","",IF(Summary!$R$12="Y",(VLOOKUP($A26,Summary!$AD$6:$AF$9,3)+'Escalating commodity'!I39),'Escalating commodity'!I39))</f>
        <v>3.5888340084390402E-2</v>
      </c>
      <c r="AI26" s="88">
        <f t="shared" si="34"/>
        <v>3.5888340084390402E-2</v>
      </c>
      <c r="AJ26" s="236">
        <f t="shared" si="20"/>
        <v>37544.5</v>
      </c>
      <c r="AK26" s="58">
        <f t="shared" ca="1" si="21"/>
        <v>504</v>
      </c>
      <c r="AL26" s="26">
        <f ca="1">IF($A27="","",_xll.SPRDOPT(P26,X26,AI26,0,AB26,AE26,AF26,AK26,$AJ$2,0))</f>
        <v>0.162608899344727</v>
      </c>
      <c r="AM26" s="209">
        <f t="shared" si="22"/>
        <v>0.15107529312821949</v>
      </c>
      <c r="AN26" s="89">
        <f t="shared" ca="1" si="23"/>
        <v>1.1533606216507508E-2</v>
      </c>
      <c r="AO26" s="3">
        <f t="shared" si="24"/>
        <v>31</v>
      </c>
      <c r="AP26" s="33">
        <f t="shared" si="25"/>
        <v>37530</v>
      </c>
      <c r="AQ26" s="58">
        <f t="shared" ca="1" si="26"/>
        <v>504</v>
      </c>
      <c r="AR26" s="38">
        <f>'ANR OK vs ML7'!AR26</f>
        <v>0.1</v>
      </c>
      <c r="AS26" s="35">
        <f t="shared" ca="1" si="27"/>
        <v>0.87402278760613827</v>
      </c>
      <c r="AT26" s="3">
        <f t="shared" si="28"/>
        <v>1</v>
      </c>
      <c r="AU26" s="3">
        <f t="shared" si="29"/>
        <v>31</v>
      </c>
      <c r="AW26" s="32">
        <f t="shared" ca="1" si="30"/>
        <v>143160.87498309766</v>
      </c>
      <c r="AX26" s="32">
        <f t="shared" si="31"/>
        <v>133006.68807008443</v>
      </c>
      <c r="AY26" s="32">
        <f t="shared" ca="1" si="32"/>
        <v>10154.186913013211</v>
      </c>
      <c r="BA26" s="32">
        <f ca="1">IF($A27="","",F26*Summary!$Q$13)</f>
        <v>0</v>
      </c>
      <c r="BC26" s="256">
        <f t="shared" ca="1" si="35"/>
        <v>116250.8762772753</v>
      </c>
    </row>
    <row r="27" spans="1:55">
      <c r="A27" s="67">
        <f t="shared" si="33"/>
        <v>37561</v>
      </c>
      <c r="B27" s="69">
        <f t="shared" si="36"/>
        <v>28400</v>
      </c>
      <c r="C27" s="71"/>
      <c r="D27" s="69">
        <f t="shared" si="0"/>
        <v>28400</v>
      </c>
      <c r="E27" s="70">
        <f t="shared" si="1"/>
        <v>852000</v>
      </c>
      <c r="F27" s="70">
        <f t="shared" ca="1" si="2"/>
        <v>738525.5689565303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0.45500000000000002</v>
      </c>
      <c r="K27" s="64">
        <f t="shared" si="6"/>
        <v>0.45500000000000002</v>
      </c>
      <c r="L27" s="38">
        <v>0</v>
      </c>
      <c r="M27" s="64">
        <f t="shared" si="7"/>
        <v>0</v>
      </c>
      <c r="N27" s="65"/>
      <c r="O27" s="63">
        <f t="shared" si="8"/>
        <v>4.9320000000000004</v>
      </c>
      <c r="P27" s="63">
        <f t="shared" si="9"/>
        <v>4.9320000000000004</v>
      </c>
      <c r="Q27" s="66"/>
      <c r="R27" s="63">
        <f t="shared" si="10"/>
        <v>-0.23122629333840308</v>
      </c>
      <c r="S27" s="64">
        <f t="shared" si="11"/>
        <v>-0.23122629333840308</v>
      </c>
      <c r="T27" s="38">
        <v>0</v>
      </c>
      <c r="U27" s="64">
        <f t="shared" si="12"/>
        <v>0</v>
      </c>
      <c r="V27" s="219">
        <f>(G27+R27)/(1-Summary!$T$13)*Summary!$T$13</f>
        <v>0.33857189318329689</v>
      </c>
      <c r="W27" s="43">
        <f t="shared" si="13"/>
        <v>4.5843455998448945</v>
      </c>
      <c r="X27" s="43">
        <f t="shared" si="14"/>
        <v>4.5843455998448945</v>
      </c>
      <c r="Y27" s="43"/>
      <c r="Z27" s="38">
        <f t="shared" si="15"/>
        <v>0.8</v>
      </c>
      <c r="AA27" s="38">
        <f t="shared" si="16"/>
        <v>0.35800000000000004</v>
      </c>
      <c r="AB27" s="38">
        <f t="shared" ca="1" si="17"/>
        <v>0.38255389700295767</v>
      </c>
      <c r="AC27" s="38">
        <f t="shared" si="18"/>
        <v>0.95</v>
      </c>
      <c r="AD27" s="38">
        <f t="shared" si="18"/>
        <v>0.35800000000000004</v>
      </c>
      <c r="AE27" s="38">
        <f t="shared" ca="1" si="19"/>
        <v>0.39205522212599297</v>
      </c>
      <c r="AF27" s="237">
        <f ca="1">((Summary!$N$13*(AA27*AD27)*(A27-$D$3))+(Summary!$M$13*Z27*AC27*(AJ27-EOMONTH(EDATE(A27,-1),0))))/(AK27*AB27*AE27)</f>
        <v>0.99811228781203454</v>
      </c>
      <c r="AG27" s="88">
        <f>IF($A28="","",Summary!$Q$13)</f>
        <v>0</v>
      </c>
      <c r="AH27" s="88">
        <f>IF($A28="","",IF(Summary!$R$12="Y",(VLOOKUP($A27,Summary!$AD$6:$AF$9,3)+'Escalating commodity'!I40),'Escalating commodity'!I40))</f>
        <v>3.5888340084390402E-2</v>
      </c>
      <c r="AI27" s="88">
        <f t="shared" si="34"/>
        <v>3.5888340084390402E-2</v>
      </c>
      <c r="AJ27" s="236">
        <f t="shared" si="20"/>
        <v>37575</v>
      </c>
      <c r="AK27" s="58">
        <f t="shared" ca="1" si="21"/>
        <v>535</v>
      </c>
      <c r="AL27" s="26">
        <f ca="1">IF($A28="","",_xll.SPRDOPT(P27,X27,AI27,0,AB27,AE27,AF27,AK27,$AJ$2,0))</f>
        <v>0.31249772727316344</v>
      </c>
      <c r="AM27" s="209">
        <f t="shared" si="22"/>
        <v>0.31176606007071545</v>
      </c>
      <c r="AN27" s="89">
        <f t="shared" ca="1" si="23"/>
        <v>7.3166720244799421E-4</v>
      </c>
      <c r="AO27" s="3">
        <f t="shared" si="24"/>
        <v>30</v>
      </c>
      <c r="AP27" s="33">
        <f t="shared" si="25"/>
        <v>37561</v>
      </c>
      <c r="AQ27" s="58">
        <f t="shared" ca="1" si="26"/>
        <v>535</v>
      </c>
      <c r="AR27" s="38">
        <f>'ANR OK vs ML7'!AR27</f>
        <v>0.1</v>
      </c>
      <c r="AS27" s="35">
        <f t="shared" ca="1" si="27"/>
        <v>0.8668140480710449</v>
      </c>
      <c r="AT27" s="3">
        <f t="shared" si="28"/>
        <v>1</v>
      </c>
      <c r="AU27" s="3">
        <f t="shared" si="29"/>
        <v>30</v>
      </c>
      <c r="AW27" s="32">
        <f t="shared" ca="1" si="30"/>
        <v>266248.06363673526</v>
      </c>
      <c r="AX27" s="32">
        <f t="shared" si="31"/>
        <v>265624.68318024959</v>
      </c>
      <c r="AY27" s="32">
        <f t="shared" ca="1" si="32"/>
        <v>623.38045648569107</v>
      </c>
      <c r="BA27" s="32">
        <f ca="1">IF($A28="","",F27*Summary!$Q$13)</f>
        <v>0</v>
      </c>
      <c r="BC27" s="256">
        <f t="shared" ca="1" si="35"/>
        <v>230247.20689506092</v>
      </c>
    </row>
    <row r="28" spans="1:55">
      <c r="A28" s="67">
        <f t="shared" si="33"/>
        <v>37591</v>
      </c>
      <c r="B28" s="69">
        <f t="shared" si="36"/>
        <v>28400</v>
      </c>
      <c r="C28" s="71"/>
      <c r="D28" s="69">
        <f t="shared" si="0"/>
        <v>28400</v>
      </c>
      <c r="E28" s="70">
        <f t="shared" si="1"/>
        <v>880400</v>
      </c>
      <c r="F28" s="70">
        <f t="shared" ca="1" si="2"/>
        <v>757051.08576455014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0.44500000000000001</v>
      </c>
      <c r="K28" s="64">
        <f t="shared" si="6"/>
        <v>0.44500000000000001</v>
      </c>
      <c r="L28" s="38">
        <v>0</v>
      </c>
      <c r="M28" s="64">
        <f t="shared" si="7"/>
        <v>0</v>
      </c>
      <c r="N28" s="65"/>
      <c r="O28" s="63">
        <f t="shared" si="8"/>
        <v>5.0520000000000005</v>
      </c>
      <c r="P28" s="63">
        <f t="shared" si="9"/>
        <v>5.0520000000000005</v>
      </c>
      <c r="Q28" s="66"/>
      <c r="R28" s="63">
        <f t="shared" si="10"/>
        <v>-0.2312347712926629</v>
      </c>
      <c r="S28" s="64">
        <f t="shared" si="11"/>
        <v>-0.2312347712926629</v>
      </c>
      <c r="T28" s="38">
        <v>0</v>
      </c>
      <c r="U28" s="64">
        <f t="shared" si="12"/>
        <v>0</v>
      </c>
      <c r="V28" s="219">
        <f>(G28+R28)/(1-Summary!$T$13)*Summary!$T$13</f>
        <v>0.34893784265623995</v>
      </c>
      <c r="W28" s="43">
        <f t="shared" si="13"/>
        <v>4.7247030713635771</v>
      </c>
      <c r="X28" s="43">
        <f t="shared" si="14"/>
        <v>4.7247030713635771</v>
      </c>
      <c r="Y28" s="43"/>
      <c r="Z28" s="38">
        <f t="shared" si="15"/>
        <v>1.1000000000000001</v>
      </c>
      <c r="AA28" s="38">
        <f t="shared" si="16"/>
        <v>0.36300000000000004</v>
      </c>
      <c r="AB28" s="38">
        <f t="shared" ca="1" si="17"/>
        <v>0.40644422708966271</v>
      </c>
      <c r="AC28" s="38">
        <f t="shared" si="18"/>
        <v>1.35</v>
      </c>
      <c r="AD28" s="38">
        <f t="shared" si="18"/>
        <v>0.36300000000000004</v>
      </c>
      <c r="AE28" s="38">
        <f t="shared" ca="1" si="19"/>
        <v>0.42661458845150391</v>
      </c>
      <c r="AF28" s="237">
        <f ca="1">((Summary!$N$13*(AA28*AD28)*(A28-$D$3))+(Summary!$M$13*Z28*AC28*(AJ28-EOMONTH(EDATE(A28,-1),0))))/(AK28*AB28*AE28)</f>
        <v>0.99615283470054039</v>
      </c>
      <c r="AG28" s="88">
        <f>IF($A29="","",Summary!$Q$13)</f>
        <v>0</v>
      </c>
      <c r="AH28" s="88">
        <f>IF($A29="","",IF(Summary!$R$12="Y",(VLOOKUP($A28,Summary!$AD$6:$AF$9,3)+'Escalating commodity'!I41),'Escalating commodity'!I41))</f>
        <v>3.5888340084390402E-2</v>
      </c>
      <c r="AI28" s="88">
        <f t="shared" si="34"/>
        <v>3.5888340084390402E-2</v>
      </c>
      <c r="AJ28" s="236">
        <f t="shared" si="20"/>
        <v>37605.5</v>
      </c>
      <c r="AK28" s="58">
        <f t="shared" ca="1" si="21"/>
        <v>565</v>
      </c>
      <c r="AL28" s="26">
        <f ca="1">IF($A29="","",_xll.SPRDOPT(P28,X28,AI28,0,AB28,AE28,AF28,AK28,$AJ$2,0))</f>
        <v>0.30568877236068909</v>
      </c>
      <c r="AM28" s="209">
        <f t="shared" si="22"/>
        <v>0.29140858855203294</v>
      </c>
      <c r="AN28" s="89">
        <f t="shared" ca="1" si="23"/>
        <v>1.4280183808656144E-2</v>
      </c>
      <c r="AO28" s="3">
        <f t="shared" si="24"/>
        <v>31</v>
      </c>
      <c r="AP28" s="33">
        <f t="shared" si="25"/>
        <v>37591</v>
      </c>
      <c r="AQ28" s="58">
        <f t="shared" ca="1" si="26"/>
        <v>565</v>
      </c>
      <c r="AR28" s="38">
        <f>'ANR OK vs ML7'!AR28</f>
        <v>0.1</v>
      </c>
      <c r="AS28" s="35">
        <f t="shared" ca="1" si="27"/>
        <v>0.85989446361261945</v>
      </c>
      <c r="AT28" s="3">
        <f t="shared" si="28"/>
        <v>1</v>
      </c>
      <c r="AU28" s="3">
        <f t="shared" si="29"/>
        <v>31</v>
      </c>
      <c r="AW28" s="32">
        <f t="shared" ca="1" si="30"/>
        <v>269128.39518635068</v>
      </c>
      <c r="AX28" s="32">
        <f t="shared" si="31"/>
        <v>256556.12136120981</v>
      </c>
      <c r="AY28" s="32">
        <f t="shared" ca="1" si="32"/>
        <v>12572.273825140868</v>
      </c>
      <c r="BA28" s="32">
        <f ca="1">IF($A29="","",F28*Summary!$Q$13)</f>
        <v>0</v>
      </c>
      <c r="BC28" s="256">
        <f t="shared" ca="1" si="35"/>
        <v>220611.18836443158</v>
      </c>
    </row>
    <row r="29" spans="1:55">
      <c r="A29" s="67">
        <f t="shared" si="33"/>
        <v>37622</v>
      </c>
      <c r="B29" s="69">
        <f t="shared" si="36"/>
        <v>28400</v>
      </c>
      <c r="C29" s="71"/>
      <c r="D29" s="69">
        <f t="shared" si="0"/>
        <v>28400</v>
      </c>
      <c r="E29" s="70">
        <f t="shared" si="1"/>
        <v>880400</v>
      </c>
      <c r="F29" s="70">
        <f t="shared" ca="1" si="2"/>
        <v>750807.10200414562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0.46500000000000002</v>
      </c>
      <c r="K29" s="64">
        <f t="shared" si="6"/>
        <v>0.46500000000000002</v>
      </c>
      <c r="L29" s="38">
        <v>0</v>
      </c>
      <c r="M29" s="64">
        <f t="shared" si="7"/>
        <v>0</v>
      </c>
      <c r="N29" s="65"/>
      <c r="O29" s="63">
        <f t="shared" si="8"/>
        <v>5.1159999999999997</v>
      </c>
      <c r="P29" s="63">
        <f t="shared" si="9"/>
        <v>5.1159999999999997</v>
      </c>
      <c r="Q29" s="66"/>
      <c r="R29" s="63">
        <f t="shared" si="10"/>
        <v>-0.23123993193071746</v>
      </c>
      <c r="S29" s="64">
        <f t="shared" si="11"/>
        <v>-0.23123993193071746</v>
      </c>
      <c r="T29" s="38">
        <v>0</v>
      </c>
      <c r="U29" s="64">
        <f t="shared" si="12"/>
        <v>0</v>
      </c>
      <c r="V29" s="219">
        <f>(G29+R29)/(1-Summary!$T$13)*Summary!$T$13</f>
        <v>0.35244613515654394</v>
      </c>
      <c r="W29" s="43">
        <f t="shared" si="13"/>
        <v>4.7722062032258261</v>
      </c>
      <c r="X29" s="43">
        <f t="shared" si="14"/>
        <v>4.7722062032258261</v>
      </c>
      <c r="Y29" s="43"/>
      <c r="Z29" s="38">
        <f t="shared" si="15"/>
        <v>1.1000000000000001</v>
      </c>
      <c r="AA29" s="38">
        <f t="shared" si="16"/>
        <v>0.36799999999999999</v>
      </c>
      <c r="AB29" s="38">
        <f t="shared" ca="1" si="17"/>
        <v>0.4088023266590825</v>
      </c>
      <c r="AC29" s="38">
        <f t="shared" si="18"/>
        <v>1.35</v>
      </c>
      <c r="AD29" s="38">
        <f t="shared" si="18"/>
        <v>0.36799999999999999</v>
      </c>
      <c r="AE29" s="38">
        <f t="shared" ca="1" si="19"/>
        <v>0.4278416214209812</v>
      </c>
      <c r="AF29" s="237">
        <f ca="1">((Summary!$N$13*(AA29*AD29)*(A29-$D$3))+(Summary!$M$13*Z29*AC29*(AJ29-EOMONTH(EDATE(A29,-1),0))))/(AK29*AB29*AE29)</f>
        <v>0.99631207714606373</v>
      </c>
      <c r="AG29" s="88">
        <f>IF($A30="","",Summary!$Q$13)</f>
        <v>0</v>
      </c>
      <c r="AH29" s="88">
        <f>IF($A30="","",IF(Summary!$R$12="Y",(VLOOKUP($A29,Summary!$AD$6:$AF$9,3)+'Escalating commodity'!I42),'Escalating commodity'!I42))</f>
        <v>4.6654842109707523E-2</v>
      </c>
      <c r="AI29" s="88">
        <f t="shared" si="34"/>
        <v>4.6654842109707523E-2</v>
      </c>
      <c r="AJ29" s="236">
        <f t="shared" si="20"/>
        <v>37636.5</v>
      </c>
      <c r="AK29" s="58">
        <f t="shared" ca="1" si="21"/>
        <v>596</v>
      </c>
      <c r="AL29" s="26">
        <f ca="1">IF($A30="","",_xll.SPRDOPT(P29,X29,AI29,0,AB29,AE29,AF29,AK29,$AJ$2,0))</f>
        <v>0.31095701072231591</v>
      </c>
      <c r="AM29" s="209">
        <f t="shared" si="22"/>
        <v>0.29713895466446605</v>
      </c>
      <c r="AN29" s="89">
        <f t="shared" ca="1" si="23"/>
        <v>1.3818056057849859E-2</v>
      </c>
      <c r="AO29" s="3">
        <f t="shared" si="24"/>
        <v>31</v>
      </c>
      <c r="AP29" s="33">
        <f t="shared" si="25"/>
        <v>37622</v>
      </c>
      <c r="AQ29" s="58">
        <f t="shared" ca="1" si="26"/>
        <v>596</v>
      </c>
      <c r="AR29" s="38">
        <f>'ANR OK vs ML7'!AR29</f>
        <v>0.1</v>
      </c>
      <c r="AS29" s="35">
        <f t="shared" ca="1" si="27"/>
        <v>0.85280225125414089</v>
      </c>
      <c r="AT29" s="3">
        <f t="shared" si="28"/>
        <v>1</v>
      </c>
      <c r="AU29" s="3">
        <f t="shared" si="29"/>
        <v>31</v>
      </c>
      <c r="AW29" s="32">
        <f t="shared" ca="1" si="30"/>
        <v>273766.55223992694</v>
      </c>
      <c r="AX29" s="32">
        <f t="shared" si="31"/>
        <v>261601.1356865959</v>
      </c>
      <c r="AY29" s="32">
        <f t="shared" ca="1" si="32"/>
        <v>12165.416553331015</v>
      </c>
      <c r="BA29" s="32">
        <f ca="1">IF($A30="","",F29*Summary!$Q$13)</f>
        <v>0</v>
      </c>
      <c r="BC29" s="256">
        <f t="shared" ca="1" si="35"/>
        <v>223094.03744416896</v>
      </c>
    </row>
    <row r="30" spans="1:55">
      <c r="A30" s="67">
        <f t="shared" si="33"/>
        <v>37653</v>
      </c>
      <c r="B30" s="69">
        <f t="shared" si="36"/>
        <v>28400</v>
      </c>
      <c r="C30" s="71"/>
      <c r="D30" s="69">
        <f t="shared" si="0"/>
        <v>28400</v>
      </c>
      <c r="E30" s="70">
        <f t="shared" si="1"/>
        <v>795200</v>
      </c>
      <c r="F30" s="70">
        <f t="shared" ca="1" si="2"/>
        <v>672555.13810711959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0.52500000000000002</v>
      </c>
      <c r="K30" s="64">
        <f t="shared" si="6"/>
        <v>0.52500000000000002</v>
      </c>
      <c r="L30" s="38">
        <v>0</v>
      </c>
      <c r="M30" s="64">
        <f t="shared" si="7"/>
        <v>0</v>
      </c>
      <c r="N30" s="65"/>
      <c r="O30" s="63">
        <f t="shared" si="8"/>
        <v>5.0210000000000008</v>
      </c>
      <c r="P30" s="63">
        <f t="shared" si="9"/>
        <v>5.0210000000000008</v>
      </c>
      <c r="Q30" s="66"/>
      <c r="R30" s="63">
        <f t="shared" si="10"/>
        <v>-0.23124043140705514</v>
      </c>
      <c r="S30" s="64">
        <f t="shared" si="11"/>
        <v>-0.23124043140705514</v>
      </c>
      <c r="T30" s="38">
        <v>0</v>
      </c>
      <c r="U30" s="64">
        <f t="shared" si="12"/>
        <v>0</v>
      </c>
      <c r="V30" s="219">
        <f>(G30+R30)/(1-Summary!$T$13)*Summary!$T$13</f>
        <v>0.34008588796067452</v>
      </c>
      <c r="W30" s="43">
        <f t="shared" si="13"/>
        <v>4.604845456553619</v>
      </c>
      <c r="X30" s="43">
        <f t="shared" si="14"/>
        <v>4.604845456553619</v>
      </c>
      <c r="Y30" s="43"/>
      <c r="Z30" s="38">
        <f t="shared" si="15"/>
        <v>1.1000000000000001</v>
      </c>
      <c r="AA30" s="38">
        <f t="shared" si="16"/>
        <v>0.36</v>
      </c>
      <c r="AB30" s="38">
        <f t="shared" ca="1" si="17"/>
        <v>0.39601040696456752</v>
      </c>
      <c r="AC30" s="38">
        <f t="shared" si="18"/>
        <v>1.35</v>
      </c>
      <c r="AD30" s="38">
        <f t="shared" si="18"/>
        <v>0.36</v>
      </c>
      <c r="AE30" s="38">
        <f t="shared" ca="1" si="19"/>
        <v>0.41291703581821315</v>
      </c>
      <c r="AF30" s="237">
        <f ca="1">((Summary!$N$13*(AA30*AD30)*(A30-$D$3))+(Summary!$M$13*Z30*AC30*(AJ30-EOMONTH(EDATE(A30,-1),0))))/(AK30*AB30*AE30)</f>
        <v>0.99652744191395004</v>
      </c>
      <c r="AG30" s="88">
        <f>IF($A31="","",Summary!$Q$13)</f>
        <v>0</v>
      </c>
      <c r="AH30" s="88">
        <f>IF($A31="","",IF(Summary!$R$12="Y",(VLOOKUP($A30,Summary!$AD$6:$AF$9,3)+'Escalating commodity'!I43),'Escalating commodity'!I43))</f>
        <v>4.6654842109707523E-2</v>
      </c>
      <c r="AI30" s="88">
        <f t="shared" si="34"/>
        <v>4.6654842109707523E-2</v>
      </c>
      <c r="AJ30" s="236">
        <f t="shared" si="20"/>
        <v>37666</v>
      </c>
      <c r="AK30" s="58">
        <f t="shared" ca="1" si="21"/>
        <v>627</v>
      </c>
      <c r="AL30" s="26">
        <f ca="1">IF($A31="","",_xll.SPRDOPT(P30,X30,AI30,0,AB30,AE30,AF30,AK30,$AJ$2,0))</f>
        <v>0.37465755196905143</v>
      </c>
      <c r="AM30" s="209">
        <f t="shared" si="22"/>
        <v>0.36949970133667431</v>
      </c>
      <c r="AN30" s="89">
        <f t="shared" ca="1" si="23"/>
        <v>5.1578506323771145E-3</v>
      </c>
      <c r="AO30" s="3">
        <f t="shared" si="24"/>
        <v>28</v>
      </c>
      <c r="AP30" s="33">
        <f t="shared" si="25"/>
        <v>37653</v>
      </c>
      <c r="AQ30" s="58">
        <f t="shared" ca="1" si="26"/>
        <v>627</v>
      </c>
      <c r="AR30" s="38">
        <f>'ANR OK vs ML7'!AR30</f>
        <v>0.1</v>
      </c>
      <c r="AS30" s="35">
        <f t="shared" ca="1" si="27"/>
        <v>0.84576853383692097</v>
      </c>
      <c r="AT30" s="3">
        <f t="shared" si="28"/>
        <v>1</v>
      </c>
      <c r="AU30" s="3">
        <f t="shared" si="29"/>
        <v>28</v>
      </c>
      <c r="AW30" s="32">
        <f t="shared" ca="1" si="30"/>
        <v>297927.68532578967</v>
      </c>
      <c r="AX30" s="32">
        <f t="shared" si="31"/>
        <v>293826.1625029234</v>
      </c>
      <c r="AY30" s="32">
        <f t="shared" ca="1" si="32"/>
        <v>4101.5228228662818</v>
      </c>
      <c r="BA30" s="32">
        <f ca="1">IF($A31="","",F30*Summary!$Q$13)</f>
        <v>0</v>
      </c>
      <c r="BC30" s="256">
        <f t="shared" ca="1" si="35"/>
        <v>248508.92266302643</v>
      </c>
    </row>
    <row r="31" spans="1:55">
      <c r="A31" s="67">
        <f t="shared" si="33"/>
        <v>37681</v>
      </c>
      <c r="B31" s="69">
        <f t="shared" si="36"/>
        <v>28400</v>
      </c>
      <c r="C31" s="71"/>
      <c r="D31" s="69">
        <f t="shared" si="0"/>
        <v>28400</v>
      </c>
      <c r="E31" s="70">
        <f t="shared" si="1"/>
        <v>880400</v>
      </c>
      <c r="F31" s="70">
        <f t="shared" ca="1" si="2"/>
        <v>739065.31616602349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0.52500000000000002</v>
      </c>
      <c r="K31" s="64">
        <f t="shared" si="6"/>
        <v>0.52500000000000002</v>
      </c>
      <c r="L31" s="38">
        <v>0</v>
      </c>
      <c r="M31" s="64">
        <f t="shared" si="7"/>
        <v>0</v>
      </c>
      <c r="N31" s="65"/>
      <c r="O31" s="63">
        <f t="shared" si="8"/>
        <v>4.8330000000000002</v>
      </c>
      <c r="P31" s="63">
        <f t="shared" si="9"/>
        <v>4.8330000000000002</v>
      </c>
      <c r="Q31" s="66"/>
      <c r="R31" s="63">
        <f t="shared" si="10"/>
        <v>-0.23123960505365254</v>
      </c>
      <c r="S31" s="64">
        <f t="shared" si="11"/>
        <v>-0.23123960505365254</v>
      </c>
      <c r="T31" s="38">
        <v>0</v>
      </c>
      <c r="U31" s="64">
        <f t="shared" si="12"/>
        <v>0</v>
      </c>
      <c r="V31" s="219">
        <f>(G31+R31)/(1-Summary!$T$13)*Summary!$T$13</f>
        <v>0.32509421847095216</v>
      </c>
      <c r="W31" s="43">
        <f t="shared" si="13"/>
        <v>4.4018546134172993</v>
      </c>
      <c r="X31" s="43">
        <f t="shared" si="14"/>
        <v>4.4018546134172993</v>
      </c>
      <c r="Y31" s="43"/>
      <c r="Z31" s="38">
        <f t="shared" si="15"/>
        <v>0.75</v>
      </c>
      <c r="AA31" s="38">
        <f t="shared" si="16"/>
        <v>0.33800000000000002</v>
      </c>
      <c r="AB31" s="38">
        <f t="shared" ca="1" si="17"/>
        <v>0.35739262306726582</v>
      </c>
      <c r="AC31" s="38">
        <f t="shared" si="18"/>
        <v>0.95</v>
      </c>
      <c r="AD31" s="38">
        <f t="shared" si="18"/>
        <v>0.33800000000000002</v>
      </c>
      <c r="AE31" s="38">
        <f t="shared" ca="1" si="19"/>
        <v>0.3684769851016727</v>
      </c>
      <c r="AF31" s="237">
        <f ca="1">((Summary!$N$13*(AA31*AD31)*(A31-$D$3))+(Summary!$M$13*Z31*AC31*(AJ31-EOMONTH(EDATE(A31,-1),0))))/(AK31*AB31*AE31)</f>
        <v>0.99678571136702487</v>
      </c>
      <c r="AG31" s="88">
        <f>IF($A32="","",Summary!$Q$13)</f>
        <v>0</v>
      </c>
      <c r="AH31" s="88">
        <f>IF($A32="","",IF(Summary!$R$12="Y",(VLOOKUP($A31,Summary!$AD$6:$AF$9,3)+'Escalating commodity'!I44),'Escalating commodity'!I44))</f>
        <v>4.6654842109707523E-2</v>
      </c>
      <c r="AI31" s="88">
        <f t="shared" si="34"/>
        <v>4.6654842109707523E-2</v>
      </c>
      <c r="AJ31" s="236">
        <f t="shared" si="20"/>
        <v>37695.5</v>
      </c>
      <c r="AK31" s="58">
        <f t="shared" ca="1" si="21"/>
        <v>655</v>
      </c>
      <c r="AL31" s="26">
        <f ca="1">IF($A32="","",_xll.SPRDOPT(P31,X31,AI31,0,AB31,AE31,AF31,AK31,$AJ$2,0))</f>
        <v>0.38582328814312233</v>
      </c>
      <c r="AM31" s="209">
        <f t="shared" si="22"/>
        <v>0.38449054447299336</v>
      </c>
      <c r="AN31" s="89">
        <f t="shared" ca="1" si="23"/>
        <v>1.3327436701289774E-3</v>
      </c>
      <c r="AO31" s="3">
        <f t="shared" si="24"/>
        <v>31</v>
      </c>
      <c r="AP31" s="33">
        <f t="shared" si="25"/>
        <v>37681</v>
      </c>
      <c r="AQ31" s="58">
        <f t="shared" ca="1" si="26"/>
        <v>655</v>
      </c>
      <c r="AR31" s="38">
        <f>'ANR OK vs ML7'!AR31</f>
        <v>0.1</v>
      </c>
      <c r="AS31" s="35">
        <f t="shared" ca="1" si="27"/>
        <v>0.83946537501820029</v>
      </c>
      <c r="AT31" s="3">
        <f t="shared" si="28"/>
        <v>1</v>
      </c>
      <c r="AU31" s="3">
        <f t="shared" si="29"/>
        <v>31</v>
      </c>
      <c r="AW31" s="32">
        <f t="shared" ca="1" si="30"/>
        <v>339678.82288120489</v>
      </c>
      <c r="AX31" s="32">
        <f t="shared" si="31"/>
        <v>338505.47535402334</v>
      </c>
      <c r="AY31" s="32">
        <f t="shared" ca="1" si="32"/>
        <v>1173.3475271815516</v>
      </c>
      <c r="BA31" s="32">
        <f ca="1">IF($A32="","",F31*Summary!$Q$13)</f>
        <v>0</v>
      </c>
      <c r="BC31" s="256">
        <f t="shared" ca="1" si="35"/>
        <v>284163.62581377936</v>
      </c>
    </row>
    <row r="32" spans="1:55">
      <c r="A32" s="67">
        <f t="shared" si="33"/>
        <v>37712</v>
      </c>
      <c r="B32" s="69">
        <f t="shared" si="36"/>
        <v>28400</v>
      </c>
      <c r="C32" s="71"/>
      <c r="D32" s="69">
        <f t="shared" si="0"/>
        <v>28400</v>
      </c>
      <c r="E32" s="70">
        <f t="shared" si="1"/>
        <v>852000</v>
      </c>
      <c r="F32" s="70">
        <f t="shared" ca="1" si="2"/>
        <v>709325.49184747296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0.26</v>
      </c>
      <c r="K32" s="64">
        <f t="shared" si="6"/>
        <v>0.26</v>
      </c>
      <c r="L32" s="38">
        <v>0</v>
      </c>
      <c r="M32" s="64">
        <f t="shared" si="7"/>
        <v>0</v>
      </c>
      <c r="N32" s="65"/>
      <c r="O32" s="63">
        <f t="shared" si="8"/>
        <v>4.24</v>
      </c>
      <c r="P32" s="63">
        <f t="shared" si="9"/>
        <v>4.24</v>
      </c>
      <c r="Q32" s="66"/>
      <c r="R32" s="63">
        <f t="shared" si="10"/>
        <v>-0.30997025637468412</v>
      </c>
      <c r="S32" s="64">
        <f t="shared" si="11"/>
        <v>-0.30997025637468412</v>
      </c>
      <c r="T32" s="38">
        <v>0</v>
      </c>
      <c r="U32" s="64">
        <f t="shared" si="12"/>
        <v>0</v>
      </c>
      <c r="V32" s="219">
        <f>(G32+R32)/(1-Summary!$T$13)*Summary!$T$13</f>
        <v>0.29266018497138663</v>
      </c>
      <c r="W32" s="43">
        <f t="shared" si="13"/>
        <v>3.9626899285967028</v>
      </c>
      <c r="X32" s="43">
        <f t="shared" si="14"/>
        <v>3.9626899285967028</v>
      </c>
      <c r="Y32" s="43"/>
      <c r="Z32" s="38">
        <f t="shared" si="15"/>
        <v>0.45</v>
      </c>
      <c r="AA32" s="38">
        <f t="shared" si="16"/>
        <v>0.32</v>
      </c>
      <c r="AB32" s="38">
        <f t="shared" ca="1" si="17"/>
        <v>0.32707356007880534</v>
      </c>
      <c r="AC32" s="38">
        <f t="shared" si="18"/>
        <v>0.5</v>
      </c>
      <c r="AD32" s="38">
        <f t="shared" si="18"/>
        <v>0.32</v>
      </c>
      <c r="AE32" s="38">
        <f t="shared" ca="1" si="19"/>
        <v>0.3286574865117684</v>
      </c>
      <c r="AF32" s="237">
        <f ca="1">((Summary!$N$13*(AA32*AD32)*(A32-$D$3))+(Summary!$M$13*Z32*AC32*(AJ32-EOMONTH(EDATE(A32,-1),0))))/(AK32*AB32*AE32)</f>
        <v>0.99966200457424148</v>
      </c>
      <c r="AG32" s="88">
        <f>IF($A33="","",Summary!$Q$13)</f>
        <v>0</v>
      </c>
      <c r="AH32" s="88">
        <f>IF($A33="","",IF(Summary!$R$12="Y",(VLOOKUP($A32,Summary!$AD$6:$AF$9,3)+'Escalating commodity'!I45),'Escalating commodity'!I45))</f>
        <v>4.6654842109707523E-2</v>
      </c>
      <c r="AI32" s="88">
        <f t="shared" si="34"/>
        <v>4.6654842109707523E-2</v>
      </c>
      <c r="AJ32" s="236">
        <f t="shared" si="20"/>
        <v>37726</v>
      </c>
      <c r="AK32" s="58">
        <f t="shared" ca="1" si="21"/>
        <v>686</v>
      </c>
      <c r="AL32" s="26">
        <f ca="1">IF($A33="","",_xll.SPRDOPT(P32,X32,AI32,0,AB32,AE32,AF32,AK32,$AJ$2,0))</f>
        <v>0.23068206737762997</v>
      </c>
      <c r="AM32" s="209">
        <f t="shared" si="22"/>
        <v>0.23065522929358992</v>
      </c>
      <c r="AN32" s="89">
        <f t="shared" ca="1" si="23"/>
        <v>2.6838084040053944E-5</v>
      </c>
      <c r="AO32" s="3">
        <f t="shared" si="24"/>
        <v>30</v>
      </c>
      <c r="AP32" s="33">
        <f t="shared" si="25"/>
        <v>37712</v>
      </c>
      <c r="AQ32" s="58">
        <f t="shared" ca="1" si="26"/>
        <v>686</v>
      </c>
      <c r="AR32" s="38">
        <f>'ANR OK vs ML7'!AR32</f>
        <v>0.1</v>
      </c>
      <c r="AS32" s="35">
        <f t="shared" ca="1" si="27"/>
        <v>0.83254165709797301</v>
      </c>
      <c r="AT32" s="3">
        <f t="shared" si="28"/>
        <v>1</v>
      </c>
      <c r="AU32" s="3">
        <f t="shared" si="29"/>
        <v>30</v>
      </c>
      <c r="AW32" s="32">
        <f t="shared" ca="1" si="30"/>
        <v>196541.12140574073</v>
      </c>
      <c r="AX32" s="32">
        <f t="shared" si="31"/>
        <v>196518.25535813862</v>
      </c>
      <c r="AY32" s="32">
        <f t="shared" ca="1" si="32"/>
        <v>22.86604760212596</v>
      </c>
      <c r="BA32" s="32">
        <f ca="1">IF($A33="","",F32*Summary!$Q$13)</f>
        <v>0</v>
      </c>
      <c r="BC32" s="256">
        <f t="shared" ca="1" si="35"/>
        <v>163609.63396586731</v>
      </c>
    </row>
    <row r="33" spans="1:55">
      <c r="A33" s="67">
        <f t="shared" si="33"/>
        <v>37742</v>
      </c>
      <c r="B33" s="69">
        <f t="shared" si="36"/>
        <v>28400</v>
      </c>
      <c r="C33" s="71"/>
      <c r="D33" s="69">
        <f t="shared" si="0"/>
        <v>28400</v>
      </c>
      <c r="E33" s="70">
        <f t="shared" si="1"/>
        <v>880400</v>
      </c>
      <c r="F33" s="70">
        <f t="shared" ca="1" si="2"/>
        <v>727118.5404214632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0.26</v>
      </c>
      <c r="K33" s="64">
        <f t="shared" si="6"/>
        <v>0.26</v>
      </c>
      <c r="L33" s="38">
        <v>0</v>
      </c>
      <c r="M33" s="64">
        <f t="shared" si="7"/>
        <v>0</v>
      </c>
      <c r="N33" s="65"/>
      <c r="O33" s="63">
        <f t="shared" si="8"/>
        <v>4.2</v>
      </c>
      <c r="P33" s="63">
        <f t="shared" si="9"/>
        <v>4.2</v>
      </c>
      <c r="Q33" s="66"/>
      <c r="R33" s="63">
        <f t="shared" si="10"/>
        <v>-0.30997784403892265</v>
      </c>
      <c r="S33" s="64">
        <f t="shared" si="11"/>
        <v>-0.30997784403892265</v>
      </c>
      <c r="T33" s="38">
        <v>0</v>
      </c>
      <c r="U33" s="64">
        <f t="shared" si="12"/>
        <v>0</v>
      </c>
      <c r="V33" s="219">
        <f>(G33+R33)/(1-Summary!$T$13)*Summary!$T$13</f>
        <v>0.28946984897304423</v>
      </c>
      <c r="W33" s="43">
        <f t="shared" si="13"/>
        <v>3.9194920049341215</v>
      </c>
      <c r="X33" s="43">
        <f t="shared" si="14"/>
        <v>3.9194920049341215</v>
      </c>
      <c r="Y33" s="43"/>
      <c r="Z33" s="38">
        <f t="shared" si="15"/>
        <v>0.5</v>
      </c>
      <c r="AA33" s="38">
        <f t="shared" si="16"/>
        <v>0.318</v>
      </c>
      <c r="AB33" s="38">
        <f t="shared" ca="1" si="17"/>
        <v>0.32661482790904622</v>
      </c>
      <c r="AC33" s="38">
        <f t="shared" si="18"/>
        <v>0.45</v>
      </c>
      <c r="AD33" s="38">
        <f t="shared" si="18"/>
        <v>0.318</v>
      </c>
      <c r="AE33" s="38">
        <f t="shared" ca="1" si="19"/>
        <v>0.32503686512017504</v>
      </c>
      <c r="AF33" s="237">
        <f ca="1">((Summary!$N$13*(AA33*AD33)*(A33-$D$3))+(Summary!$M$13*Z33*AC33*(AJ33-EOMONTH(EDATE(A33,-1),0))))/(AK33*AB33*AE33)</f>
        <v>0.99966144530505074</v>
      </c>
      <c r="AG33" s="88">
        <f>IF($A34="","",Summary!$Q$13)</f>
        <v>0</v>
      </c>
      <c r="AH33" s="88">
        <f>IF($A34="","",IF(Summary!$R$12="Y",(VLOOKUP($A33,Summary!$AD$6:$AF$9,3)+'Escalating commodity'!I46),'Escalating commodity'!I46))</f>
        <v>4.6654842109707523E-2</v>
      </c>
      <c r="AI33" s="88">
        <f t="shared" si="34"/>
        <v>4.6654842109707523E-2</v>
      </c>
      <c r="AJ33" s="236">
        <f t="shared" si="20"/>
        <v>37756.5</v>
      </c>
      <c r="AK33" s="58">
        <f t="shared" ca="1" si="21"/>
        <v>716</v>
      </c>
      <c r="AL33" s="26">
        <f ca="1">IF($A34="","",_xll.SPRDOPT(P33,X33,AI33,0,AB33,AE33,AF33,AK33,$AJ$2,0))</f>
        <v>0.23390432709384193</v>
      </c>
      <c r="AM33" s="209">
        <f t="shared" si="22"/>
        <v>0.23385315295617112</v>
      </c>
      <c r="AN33" s="89">
        <f t="shared" ca="1" si="23"/>
        <v>5.1174137670806363E-5</v>
      </c>
      <c r="AO33" s="3">
        <f t="shared" si="24"/>
        <v>31</v>
      </c>
      <c r="AP33" s="33">
        <f t="shared" si="25"/>
        <v>37742</v>
      </c>
      <c r="AQ33" s="58">
        <f t="shared" ca="1" si="26"/>
        <v>716</v>
      </c>
      <c r="AR33" s="38">
        <f>'ANR OK vs ML7'!AR33</f>
        <v>0.1</v>
      </c>
      <c r="AS33" s="35">
        <f t="shared" ca="1" si="27"/>
        <v>0.825895661541871</v>
      </c>
      <c r="AT33" s="3">
        <f t="shared" si="28"/>
        <v>1</v>
      </c>
      <c r="AU33" s="3">
        <f t="shared" si="29"/>
        <v>31</v>
      </c>
      <c r="AW33" s="32">
        <f t="shared" ca="1" si="30"/>
        <v>205929.36957341843</v>
      </c>
      <c r="AX33" s="32">
        <f t="shared" si="31"/>
        <v>205884.31586261306</v>
      </c>
      <c r="AY33" s="32">
        <f t="shared" ca="1" si="32"/>
        <v>45.053710805377925</v>
      </c>
      <c r="BA33" s="32">
        <f ca="1">IF($A34="","",F33*Summary!$Q$13)</f>
        <v>0</v>
      </c>
      <c r="BC33" s="256">
        <f t="shared" ca="1" si="35"/>
        <v>170038.96325044832</v>
      </c>
    </row>
    <row r="34" spans="1:55">
      <c r="A34" s="67">
        <f t="shared" si="33"/>
        <v>37773</v>
      </c>
      <c r="B34" s="69">
        <f t="shared" si="36"/>
        <v>28400</v>
      </c>
      <c r="C34" s="71"/>
      <c r="D34" s="69">
        <f t="shared" si="0"/>
        <v>28400</v>
      </c>
      <c r="E34" s="70">
        <f t="shared" si="1"/>
        <v>852000</v>
      </c>
      <c r="F34" s="70">
        <f t="shared" ca="1" si="2"/>
        <v>697859.45170779736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0.26</v>
      </c>
      <c r="K34" s="64">
        <f t="shared" si="6"/>
        <v>0.26</v>
      </c>
      <c r="L34" s="38">
        <v>0</v>
      </c>
      <c r="M34" s="64">
        <f t="shared" si="7"/>
        <v>0</v>
      </c>
      <c r="N34" s="65"/>
      <c r="O34" s="63">
        <f t="shared" si="8"/>
        <v>4.2300000000000004</v>
      </c>
      <c r="P34" s="63">
        <f t="shared" si="9"/>
        <v>4.2300000000000004</v>
      </c>
      <c r="Q34" s="66"/>
      <c r="R34" s="63">
        <f t="shared" si="10"/>
        <v>-0.30997384249984677</v>
      </c>
      <c r="S34" s="64">
        <f t="shared" si="11"/>
        <v>-0.30997384249984677</v>
      </c>
      <c r="T34" s="38">
        <v>0</v>
      </c>
      <c r="U34" s="64">
        <f t="shared" si="12"/>
        <v>0</v>
      </c>
      <c r="V34" s="219">
        <f>(G34+R34)/(1-Summary!$T$13)*Summary!$T$13</f>
        <v>0.29186246626873785</v>
      </c>
      <c r="W34" s="43">
        <f t="shared" si="13"/>
        <v>3.9518886237688915</v>
      </c>
      <c r="X34" s="43">
        <f t="shared" si="14"/>
        <v>3.9518886237688915</v>
      </c>
      <c r="Y34" s="43"/>
      <c r="Z34" s="38">
        <f t="shared" si="15"/>
        <v>0.5</v>
      </c>
      <c r="AA34" s="38">
        <f t="shared" si="16"/>
        <v>0.318</v>
      </c>
      <c r="AB34" s="38">
        <f t="shared" ca="1" si="17"/>
        <v>0.32600529721963267</v>
      </c>
      <c r="AC34" s="38">
        <f t="shared" si="18"/>
        <v>0.5</v>
      </c>
      <c r="AD34" s="38">
        <f t="shared" si="18"/>
        <v>0.318</v>
      </c>
      <c r="AE34" s="38">
        <f t="shared" ca="1" si="19"/>
        <v>0.32600529721963267</v>
      </c>
      <c r="AF34" s="237">
        <f ca="1">((Summary!$N$13*(AA34*AD34)*(A34-$D$3))+(Summary!$M$13*Z34*AC34*(AJ34-EOMONTH(EDATE(A34,-1),0))))/(AK34*AB34*AE34)</f>
        <v>0.99990472347207415</v>
      </c>
      <c r="AG34" s="88">
        <f>IF($A35="","",Summary!$Q$13)</f>
        <v>0</v>
      </c>
      <c r="AH34" s="88">
        <f>IF($A35="","",IF(Summary!$R$12="Y",(VLOOKUP($A34,Summary!$AD$6:$AF$9,3)+'Escalating commodity'!I47),'Escalating commodity'!I47))</f>
        <v>4.6654842109707523E-2</v>
      </c>
      <c r="AI34" s="88">
        <f t="shared" si="34"/>
        <v>4.6654842109707523E-2</v>
      </c>
      <c r="AJ34" s="236">
        <f t="shared" si="20"/>
        <v>37787</v>
      </c>
      <c r="AK34" s="58">
        <f t="shared" ca="1" si="21"/>
        <v>747</v>
      </c>
      <c r="AL34" s="26">
        <f ca="1">IF($A35="","",_xll.SPRDOPT(P34,X34,AI34,0,AB34,AE34,AF34,AK34,$AJ$2,0))</f>
        <v>0.23147088953424338</v>
      </c>
      <c r="AM34" s="209">
        <f t="shared" si="22"/>
        <v>0.23145653412140141</v>
      </c>
      <c r="AN34" s="89">
        <f t="shared" ca="1" si="23"/>
        <v>1.43554128419765E-5</v>
      </c>
      <c r="AO34" s="3">
        <f t="shared" si="24"/>
        <v>30</v>
      </c>
      <c r="AP34" s="33">
        <f t="shared" si="25"/>
        <v>37773</v>
      </c>
      <c r="AQ34" s="58">
        <f t="shared" ca="1" si="26"/>
        <v>747</v>
      </c>
      <c r="AR34" s="38">
        <f>'ANR OK vs ML7'!AR34</f>
        <v>0.1</v>
      </c>
      <c r="AS34" s="35">
        <f t="shared" ca="1" si="27"/>
        <v>0.8190838635068044</v>
      </c>
      <c r="AT34" s="3">
        <f t="shared" si="28"/>
        <v>1</v>
      </c>
      <c r="AU34" s="3">
        <f t="shared" si="29"/>
        <v>30</v>
      </c>
      <c r="AW34" s="32">
        <f t="shared" ca="1" si="30"/>
        <v>197213.19788317537</v>
      </c>
      <c r="AX34" s="32">
        <f t="shared" si="31"/>
        <v>197200.96707143399</v>
      </c>
      <c r="AY34" s="32">
        <f t="shared" ca="1" si="32"/>
        <v>12.230811741363979</v>
      </c>
      <c r="BA34" s="32">
        <f ca="1">IF($A35="","",F34*Summary!$Q$13)</f>
        <v>0</v>
      </c>
      <c r="BC34" s="256">
        <f t="shared" ca="1" si="35"/>
        <v>161524.12999614829</v>
      </c>
    </row>
    <row r="35" spans="1:55">
      <c r="A35" s="67">
        <f t="shared" si="33"/>
        <v>37803</v>
      </c>
      <c r="B35" s="69">
        <f t="shared" si="36"/>
        <v>28400</v>
      </c>
      <c r="C35" s="71"/>
      <c r="D35" s="69">
        <f t="shared" si="0"/>
        <v>28400</v>
      </c>
      <c r="E35" s="70">
        <f t="shared" si="1"/>
        <v>880400</v>
      </c>
      <c r="F35" s="70">
        <f t="shared" ca="1" si="2"/>
        <v>715364.88082992611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0.26</v>
      </c>
      <c r="K35" s="64">
        <f t="shared" si="6"/>
        <v>0.26</v>
      </c>
      <c r="L35" s="38">
        <v>0</v>
      </c>
      <c r="M35" s="64">
        <f t="shared" si="7"/>
        <v>0</v>
      </c>
      <c r="N35" s="65"/>
      <c r="O35" s="63">
        <f t="shared" si="8"/>
        <v>4.2699999999999996</v>
      </c>
      <c r="P35" s="63">
        <f t="shared" si="9"/>
        <v>4.2699999999999996</v>
      </c>
      <c r="Q35" s="66"/>
      <c r="R35" s="63">
        <f t="shared" si="10"/>
        <v>-0.3099628873338624</v>
      </c>
      <c r="S35" s="64">
        <f t="shared" si="11"/>
        <v>-0.3099628873338624</v>
      </c>
      <c r="T35" s="38">
        <v>0</v>
      </c>
      <c r="U35" s="64">
        <f t="shared" si="12"/>
        <v>0</v>
      </c>
      <c r="V35" s="219">
        <f>(G35+R35)/(1-Summary!$T$13)*Summary!$T$13</f>
        <v>0.29505307080269227</v>
      </c>
      <c r="W35" s="43">
        <f t="shared" si="13"/>
        <v>3.9950901834688297</v>
      </c>
      <c r="X35" s="43">
        <f t="shared" si="14"/>
        <v>3.9950901834688297</v>
      </c>
      <c r="Y35" s="43"/>
      <c r="Z35" s="38">
        <f t="shared" si="15"/>
        <v>0.55000000000000004</v>
      </c>
      <c r="AA35" s="38">
        <f t="shared" si="16"/>
        <v>0.318</v>
      </c>
      <c r="AB35" s="38">
        <f t="shared" ca="1" si="17"/>
        <v>0.32754934590466517</v>
      </c>
      <c r="AC35" s="38">
        <f t="shared" si="18"/>
        <v>0.5</v>
      </c>
      <c r="AD35" s="38">
        <f t="shared" si="18"/>
        <v>0.318</v>
      </c>
      <c r="AE35" s="38">
        <f t="shared" ca="1" si="19"/>
        <v>0.32594673906219207</v>
      </c>
      <c r="AF35" s="237">
        <f ca="1">((Summary!$N$13*(AA35*AD35)*(A35-$D$3))+(Summary!$M$13*Z35*AC35*(AJ35-EOMONTH(EDATE(A35,-1),0))))/(AK35*AB35*AE35)</f>
        <v>0.99968362927782817</v>
      </c>
      <c r="AG35" s="88">
        <f>IF($A36="","",Summary!$Q$13)</f>
        <v>0</v>
      </c>
      <c r="AH35" s="88">
        <f>IF($A36="","",IF(Summary!$R$12="Y",(VLOOKUP($A35,Summary!$AD$6:$AF$9,3)+'Escalating commodity'!I48),'Escalating commodity'!I48))</f>
        <v>4.6654842109707523E-2</v>
      </c>
      <c r="AI35" s="88">
        <f t="shared" si="34"/>
        <v>4.6654842109707523E-2</v>
      </c>
      <c r="AJ35" s="236">
        <f t="shared" si="20"/>
        <v>37817.5</v>
      </c>
      <c r="AK35" s="58">
        <f t="shared" ca="1" si="21"/>
        <v>777</v>
      </c>
      <c r="AL35" s="26">
        <f ca="1">IF($A36="","",_xll.SPRDOPT(P35,X35,AI35,0,AB35,AE35,AF35,AK35,$AJ$2,0))</f>
        <v>0.22834995349498774</v>
      </c>
      <c r="AM35" s="209">
        <f t="shared" si="22"/>
        <v>0.22825497442146234</v>
      </c>
      <c r="AN35" s="89">
        <f t="shared" ca="1" si="23"/>
        <v>9.4979073525403024E-5</v>
      </c>
      <c r="AO35" s="3">
        <f t="shared" si="24"/>
        <v>31</v>
      </c>
      <c r="AP35" s="33">
        <f t="shared" si="25"/>
        <v>37803</v>
      </c>
      <c r="AQ35" s="58">
        <f t="shared" ca="1" si="26"/>
        <v>777</v>
      </c>
      <c r="AR35" s="38">
        <f>'ANR OK vs ML7'!AR35</f>
        <v>0.1</v>
      </c>
      <c r="AS35" s="35">
        <f t="shared" ca="1" si="27"/>
        <v>0.81254529853467294</v>
      </c>
      <c r="AT35" s="3">
        <f t="shared" si="28"/>
        <v>1</v>
      </c>
      <c r="AU35" s="3">
        <f t="shared" si="29"/>
        <v>31</v>
      </c>
      <c r="AW35" s="32">
        <f t="shared" ca="1" si="30"/>
        <v>201039.29905698722</v>
      </c>
      <c r="AX35" s="32">
        <f t="shared" si="31"/>
        <v>200955.67948065544</v>
      </c>
      <c r="AY35" s="32">
        <f t="shared" ca="1" si="32"/>
        <v>83.619576331764819</v>
      </c>
      <c r="BA35" s="32">
        <f ca="1">IF($A36="","",F35*Summary!$Q$13)</f>
        <v>0</v>
      </c>
      <c r="BC35" s="256">
        <f t="shared" ca="1" si="35"/>
        <v>163285.59257584723</v>
      </c>
    </row>
    <row r="36" spans="1:55">
      <c r="A36" s="67">
        <f t="shared" si="33"/>
        <v>37834</v>
      </c>
      <c r="B36" s="69">
        <f t="shared" si="36"/>
        <v>28400</v>
      </c>
      <c r="C36" s="71"/>
      <c r="D36" s="69">
        <f t="shared" si="0"/>
        <v>28400</v>
      </c>
      <c r="E36" s="70">
        <f t="shared" si="1"/>
        <v>880400</v>
      </c>
      <c r="F36" s="70">
        <f t="shared" ca="1" si="2"/>
        <v>709464.71532900108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0.26</v>
      </c>
      <c r="K36" s="64">
        <f t="shared" si="6"/>
        <v>0.26</v>
      </c>
      <c r="L36" s="38">
        <v>0</v>
      </c>
      <c r="M36" s="64">
        <f t="shared" si="7"/>
        <v>0</v>
      </c>
      <c r="N36" s="65"/>
      <c r="O36" s="63">
        <f t="shared" si="8"/>
        <v>4.3159999999999998</v>
      </c>
      <c r="P36" s="63">
        <f t="shared" si="9"/>
        <v>4.3159999999999998</v>
      </c>
      <c r="Q36" s="66"/>
      <c r="R36" s="63">
        <f t="shared" si="10"/>
        <v>-0.3099534968383531</v>
      </c>
      <c r="S36" s="64">
        <f t="shared" si="11"/>
        <v>-0.3099534968383531</v>
      </c>
      <c r="T36" s="38">
        <v>0</v>
      </c>
      <c r="U36" s="64">
        <f t="shared" si="12"/>
        <v>0</v>
      </c>
      <c r="V36" s="219">
        <f>(G36+R36)/(1-Summary!$T$13)*Summary!$T$13</f>
        <v>0.29872201020467531</v>
      </c>
      <c r="W36" s="43">
        <f t="shared" si="13"/>
        <v>4.0447685133663223</v>
      </c>
      <c r="X36" s="43">
        <f t="shared" si="14"/>
        <v>4.0447685133663223</v>
      </c>
      <c r="Y36" s="43"/>
      <c r="Z36" s="38">
        <f t="shared" si="15"/>
        <v>0.6</v>
      </c>
      <c r="AA36" s="38">
        <f t="shared" si="16"/>
        <v>0.318</v>
      </c>
      <c r="AB36" s="38">
        <f t="shared" ca="1" si="17"/>
        <v>0.32886941794488272</v>
      </c>
      <c r="AC36" s="38">
        <f t="shared" si="18"/>
        <v>0.45</v>
      </c>
      <c r="AD36" s="38">
        <f t="shared" si="18"/>
        <v>0.318</v>
      </c>
      <c r="AE36" s="38">
        <f t="shared" ca="1" si="19"/>
        <v>0.3242433423364387</v>
      </c>
      <c r="AF36" s="237">
        <f ca="1">((Summary!$N$13*(AA36*AD36)*(A36-$D$3))+(Summary!$M$13*Z36*AC36*(AJ36-EOMONTH(EDATE(A36,-1),0))))/(AK36*AB36*AE36)</f>
        <v>0.99798154586913468</v>
      </c>
      <c r="AG36" s="88">
        <f>IF($A37="","",Summary!$Q$13)</f>
        <v>0</v>
      </c>
      <c r="AH36" s="88">
        <f>IF($A37="","",IF(Summary!$R$12="Y",(VLOOKUP($A36,Summary!$AD$6:$AF$9,3)+'Escalating commodity'!I49),'Escalating commodity'!I49))</f>
        <v>4.6654842109707523E-2</v>
      </c>
      <c r="AI36" s="88">
        <f t="shared" si="34"/>
        <v>4.6654842109707523E-2</v>
      </c>
      <c r="AJ36" s="236">
        <f t="shared" si="20"/>
        <v>37848.5</v>
      </c>
      <c r="AK36" s="58">
        <f t="shared" ca="1" si="21"/>
        <v>808</v>
      </c>
      <c r="AL36" s="26">
        <f ca="1">IF($A37="","",_xll.SPRDOPT(P36,X36,AI36,0,AB36,AE36,AF36,AK36,$AJ$2,0))</f>
        <v>0.22786279237426116</v>
      </c>
      <c r="AM36" s="209">
        <f t="shared" si="22"/>
        <v>0.22457664452397005</v>
      </c>
      <c r="AN36" s="89">
        <f t="shared" ca="1" si="23"/>
        <v>3.2861478502911046E-3</v>
      </c>
      <c r="AO36" s="3">
        <f t="shared" si="24"/>
        <v>31</v>
      </c>
      <c r="AP36" s="33">
        <f t="shared" si="25"/>
        <v>37834</v>
      </c>
      <c r="AQ36" s="58">
        <f t="shared" ca="1" si="26"/>
        <v>808</v>
      </c>
      <c r="AR36" s="38">
        <f>'ANR OK vs ML7'!AR36</f>
        <v>0.1</v>
      </c>
      <c r="AS36" s="35">
        <f t="shared" ca="1" si="27"/>
        <v>0.80584361123239556</v>
      </c>
      <c r="AT36" s="3">
        <f t="shared" si="28"/>
        <v>1</v>
      </c>
      <c r="AU36" s="3">
        <f t="shared" si="29"/>
        <v>31</v>
      </c>
      <c r="AW36" s="32">
        <f t="shared" ca="1" si="30"/>
        <v>200610.40240629952</v>
      </c>
      <c r="AX36" s="32">
        <f t="shared" si="31"/>
        <v>197717.27783890325</v>
      </c>
      <c r="AY36" s="32">
        <f t="shared" ca="1" si="32"/>
        <v>2893.1245673962885</v>
      </c>
      <c r="BA36" s="32">
        <f ca="1">IF($A37="","",F36*Summary!$Q$13)</f>
        <v>0</v>
      </c>
      <c r="BC36" s="256">
        <f t="shared" ca="1" si="35"/>
        <v>159329.20517674068</v>
      </c>
    </row>
    <row r="37" spans="1:55">
      <c r="A37" s="67">
        <f t="shared" si="33"/>
        <v>37865</v>
      </c>
      <c r="B37" s="69">
        <f t="shared" si="36"/>
        <v>28400</v>
      </c>
      <c r="C37" s="71"/>
      <c r="D37" s="69">
        <f t="shared" si="0"/>
        <v>28400</v>
      </c>
      <c r="E37" s="70">
        <f t="shared" si="1"/>
        <v>852000</v>
      </c>
      <c r="F37" s="70">
        <f t="shared" ca="1" si="2"/>
        <v>680916.0126195437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0.26</v>
      </c>
      <c r="K37" s="64">
        <f t="shared" si="6"/>
        <v>0.26</v>
      </c>
      <c r="L37" s="38">
        <v>0</v>
      </c>
      <c r="M37" s="64">
        <f t="shared" si="7"/>
        <v>0</v>
      </c>
      <c r="N37" s="65"/>
      <c r="O37" s="63">
        <f t="shared" si="8"/>
        <v>4.3250000000000002</v>
      </c>
      <c r="P37" s="63">
        <f t="shared" si="9"/>
        <v>4.3250000000000002</v>
      </c>
      <c r="Q37" s="66"/>
      <c r="R37" s="63">
        <f t="shared" si="10"/>
        <v>-0.30994252392021937</v>
      </c>
      <c r="S37" s="64">
        <f t="shared" si="11"/>
        <v>-0.30994252392021937</v>
      </c>
      <c r="T37" s="38">
        <v>0</v>
      </c>
      <c r="U37" s="64">
        <f t="shared" si="12"/>
        <v>0</v>
      </c>
      <c r="V37" s="219">
        <f>(G37+R37)/(1-Summary!$T$13)*Summary!$T$13</f>
        <v>0.29944057468104607</v>
      </c>
      <c r="W37" s="43">
        <f t="shared" si="13"/>
        <v>4.0544980507608273</v>
      </c>
      <c r="X37" s="43">
        <f t="shared" si="14"/>
        <v>4.0544980507608273</v>
      </c>
      <c r="Y37" s="43"/>
      <c r="Z37" s="38">
        <f t="shared" si="15"/>
        <v>0.6</v>
      </c>
      <c r="AA37" s="38">
        <f t="shared" si="16"/>
        <v>0.318</v>
      </c>
      <c r="AB37" s="38">
        <f t="shared" ca="1" si="17"/>
        <v>0.32814747113587894</v>
      </c>
      <c r="AC37" s="38">
        <f t="shared" si="18"/>
        <v>0.5</v>
      </c>
      <c r="AD37" s="38">
        <f t="shared" si="18"/>
        <v>0.318</v>
      </c>
      <c r="AE37" s="38">
        <f t="shared" ca="1" si="19"/>
        <v>0.32513710319808614</v>
      </c>
      <c r="AF37" s="237">
        <f ca="1">((Summary!$N$13*(AA37*AD37)*(A37-$D$3))+(Summary!$M$13*Z37*AC37*(AJ37-EOMONTH(EDATE(A37,-1),0))))/(AK37*AB37*AE37)</f>
        <v>0.99910973070690989</v>
      </c>
      <c r="AG37" s="88">
        <f>IF($A38="","",Summary!$Q$13)</f>
        <v>0</v>
      </c>
      <c r="AH37" s="88">
        <f>IF($A38="","",IF(Summary!$R$12="Y",(VLOOKUP($A37,Summary!$AD$6:$AF$9,3)+'Escalating commodity'!I50),'Escalating commodity'!I50))</f>
        <v>4.6654842109707523E-2</v>
      </c>
      <c r="AI37" s="88">
        <f t="shared" si="34"/>
        <v>4.6654842109707523E-2</v>
      </c>
      <c r="AJ37" s="236">
        <f t="shared" si="20"/>
        <v>37879</v>
      </c>
      <c r="AK37" s="58">
        <f t="shared" ca="1" si="21"/>
        <v>839</v>
      </c>
      <c r="AL37" s="26">
        <f ca="1">IF($A38="","",_xll.SPRDOPT(P37,X37,AI37,0,AB37,AE37,AF37,AK37,$AJ$2,0))</f>
        <v>0.22442007123891677</v>
      </c>
      <c r="AM37" s="209">
        <f t="shared" si="22"/>
        <v>0.2238471071294654</v>
      </c>
      <c r="AN37" s="89">
        <f t="shared" ca="1" si="23"/>
        <v>5.7296410945137377E-4</v>
      </c>
      <c r="AO37" s="3">
        <f t="shared" si="24"/>
        <v>30</v>
      </c>
      <c r="AP37" s="33">
        <f t="shared" si="25"/>
        <v>37865</v>
      </c>
      <c r="AQ37" s="58">
        <f t="shared" ca="1" si="26"/>
        <v>839</v>
      </c>
      <c r="AR37" s="38">
        <f>'ANR OK vs ML7'!AR37</f>
        <v>0.1</v>
      </c>
      <c r="AS37" s="35">
        <f t="shared" ca="1" si="27"/>
        <v>0.79919719791026256</v>
      </c>
      <c r="AT37" s="3">
        <f t="shared" si="28"/>
        <v>1</v>
      </c>
      <c r="AU37" s="3">
        <f t="shared" si="29"/>
        <v>30</v>
      </c>
      <c r="AW37" s="32">
        <f t="shared" ca="1" si="30"/>
        <v>191205.90069555709</v>
      </c>
      <c r="AX37" s="32">
        <f t="shared" si="31"/>
        <v>190717.73527430452</v>
      </c>
      <c r="AY37" s="32">
        <f t="shared" ca="1" si="32"/>
        <v>488.16542125257047</v>
      </c>
      <c r="BA37" s="32">
        <f ca="1">IF($A38="","",F37*Summary!$Q$13)</f>
        <v>0</v>
      </c>
      <c r="BC37" s="256">
        <f t="shared" ca="1" si="35"/>
        <v>152421.07962301542</v>
      </c>
    </row>
    <row r="38" spans="1:55">
      <c r="A38" s="67">
        <f t="shared" si="33"/>
        <v>37895</v>
      </c>
      <c r="B38" s="69">
        <f t="shared" si="36"/>
        <v>28400</v>
      </c>
      <c r="C38" s="71"/>
      <c r="D38" s="69">
        <f t="shared" si="0"/>
        <v>28400</v>
      </c>
      <c r="E38" s="70">
        <f t="shared" si="1"/>
        <v>880400</v>
      </c>
      <c r="F38" s="70">
        <f t="shared" ca="1" si="2"/>
        <v>697996.42468226503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0.26</v>
      </c>
      <c r="K38" s="64">
        <f t="shared" si="6"/>
        <v>0.26</v>
      </c>
      <c r="L38" s="38">
        <v>0</v>
      </c>
      <c r="M38" s="64">
        <f t="shared" si="7"/>
        <v>0</v>
      </c>
      <c r="N38" s="65"/>
      <c r="O38" s="63">
        <f t="shared" si="8"/>
        <v>4.3460000000000001</v>
      </c>
      <c r="P38" s="63">
        <f t="shared" si="9"/>
        <v>4.3460000000000001</v>
      </c>
      <c r="Q38" s="66"/>
      <c r="R38" s="63">
        <f t="shared" si="10"/>
        <v>-0.30993444554693655</v>
      </c>
      <c r="S38" s="64">
        <f t="shared" si="11"/>
        <v>-0.30993444554693655</v>
      </c>
      <c r="T38" s="38">
        <v>0</v>
      </c>
      <c r="U38" s="64">
        <f t="shared" si="12"/>
        <v>0</v>
      </c>
      <c r="V38" s="219">
        <f>(G38+R38)/(1-Summary!$T$13)*Summary!$T$13</f>
        <v>0.30111582761688338</v>
      </c>
      <c r="W38" s="43">
        <f t="shared" si="13"/>
        <v>4.0771813820699476</v>
      </c>
      <c r="X38" s="43">
        <f t="shared" si="14"/>
        <v>4.0771813820699476</v>
      </c>
      <c r="Y38" s="43"/>
      <c r="Z38" s="38">
        <f t="shared" si="15"/>
        <v>0.65</v>
      </c>
      <c r="AA38" s="38">
        <f t="shared" si="16"/>
        <v>0.32</v>
      </c>
      <c r="AB38" s="38">
        <f t="shared" ca="1" si="17"/>
        <v>0.33174357185687026</v>
      </c>
      <c r="AC38" s="38">
        <f t="shared" si="18"/>
        <v>0.5</v>
      </c>
      <c r="AD38" s="38">
        <f t="shared" si="18"/>
        <v>0.32</v>
      </c>
      <c r="AE38" s="38">
        <f t="shared" ca="1" si="19"/>
        <v>0.32707336339157334</v>
      </c>
      <c r="AF38" s="237">
        <f ca="1">((Summary!$N$13*(AA38*AD38)*(A38-$D$3))+(Summary!$M$13*Z38*AC38*(AJ38-EOMONTH(EDATE(A38,-1),0))))/(AK38*AB38*AE38)</f>
        <v>0.99815668413461967</v>
      </c>
      <c r="AG38" s="88">
        <f>IF($A39="","",Summary!$Q$13)</f>
        <v>0</v>
      </c>
      <c r="AH38" s="88">
        <f>IF($A39="","",IF(Summary!$R$12="Y",(VLOOKUP($A38,Summary!$AD$6:$AF$9,3)+'Escalating commodity'!I51),'Escalating commodity'!I51))</f>
        <v>4.6654842109707523E-2</v>
      </c>
      <c r="AI38" s="88">
        <f t="shared" si="34"/>
        <v>4.6654842109707523E-2</v>
      </c>
      <c r="AJ38" s="236">
        <f t="shared" si="20"/>
        <v>37909.5</v>
      </c>
      <c r="AK38" s="58">
        <f t="shared" ca="1" si="21"/>
        <v>869</v>
      </c>
      <c r="AL38" s="26">
        <f ca="1">IF($A39="","",_xll.SPRDOPT(P38,X38,AI38,0,AB38,AE38,AF38,AK38,$AJ$2,0))</f>
        <v>0.22583243893488347</v>
      </c>
      <c r="AM38" s="209">
        <f t="shared" si="22"/>
        <v>0.22216377582034494</v>
      </c>
      <c r="AN38" s="89">
        <f t="shared" ca="1" si="23"/>
        <v>3.668663114538534E-3</v>
      </c>
      <c r="AO38" s="3">
        <f t="shared" si="24"/>
        <v>31</v>
      </c>
      <c r="AP38" s="33">
        <f t="shared" si="25"/>
        <v>37895</v>
      </c>
      <c r="AQ38" s="58">
        <f t="shared" ca="1" si="26"/>
        <v>869</v>
      </c>
      <c r="AR38" s="38">
        <f>'ANR OK vs ML7'!AR38</f>
        <v>0.1</v>
      </c>
      <c r="AS38" s="35">
        <f t="shared" ca="1" si="27"/>
        <v>0.79281738378267264</v>
      </c>
      <c r="AT38" s="3">
        <f t="shared" si="28"/>
        <v>1</v>
      </c>
      <c r="AU38" s="3">
        <f t="shared" si="29"/>
        <v>31</v>
      </c>
      <c r="AW38" s="32">
        <f t="shared" ca="1" si="30"/>
        <v>198822.87923827142</v>
      </c>
      <c r="AX38" s="32">
        <f t="shared" si="31"/>
        <v>195592.98823223167</v>
      </c>
      <c r="AY38" s="32">
        <f t="shared" ca="1" si="32"/>
        <v>3229.8910060397252</v>
      </c>
      <c r="BA38" s="32">
        <f ca="1">IF($A39="","",F38*Summary!$Q$13)</f>
        <v>0</v>
      </c>
      <c r="BC38" s="256">
        <f t="shared" ca="1" si="35"/>
        <v>155069.52121651301</v>
      </c>
    </row>
    <row r="39" spans="1:55">
      <c r="A39" s="67">
        <f t="shared" si="33"/>
        <v>37926</v>
      </c>
      <c r="B39" s="69">
        <f t="shared" si="36"/>
        <v>28400</v>
      </c>
      <c r="C39" s="71"/>
      <c r="D39" s="69">
        <f t="shared" si="0"/>
        <v>28400</v>
      </c>
      <c r="E39" s="70">
        <f t="shared" si="1"/>
        <v>852000</v>
      </c>
      <c r="F39" s="70">
        <f t="shared" ca="1" si="2"/>
        <v>669909.20344353502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0.52</v>
      </c>
      <c r="K39" s="64">
        <f t="shared" si="6"/>
        <v>0.52</v>
      </c>
      <c r="L39" s="38">
        <v>0</v>
      </c>
      <c r="M39" s="64">
        <f t="shared" si="7"/>
        <v>0</v>
      </c>
      <c r="N39" s="65"/>
      <c r="O39" s="63">
        <f t="shared" si="8"/>
        <v>4.7189999999999994</v>
      </c>
      <c r="P39" s="63">
        <f t="shared" si="9"/>
        <v>4.7189999999999994</v>
      </c>
      <c r="Q39" s="66"/>
      <c r="R39" s="63">
        <f t="shared" si="10"/>
        <v>-0.25959242645175684</v>
      </c>
      <c r="S39" s="64">
        <f t="shared" si="11"/>
        <v>-0.25959242645175684</v>
      </c>
      <c r="T39" s="38">
        <v>0</v>
      </c>
      <c r="U39" s="64">
        <f t="shared" si="12"/>
        <v>0</v>
      </c>
      <c r="V39" s="219">
        <f>(G39+R39)/(1-Summary!$T$13)*Summary!$T$13</f>
        <v>0.31414125489169709</v>
      </c>
      <c r="W39" s="43">
        <f t="shared" si="13"/>
        <v>4.2535488284399401</v>
      </c>
      <c r="X39" s="43">
        <f t="shared" si="14"/>
        <v>4.2535488284399401</v>
      </c>
      <c r="Y39" s="43"/>
      <c r="Z39" s="38">
        <f t="shared" si="15"/>
        <v>0.8</v>
      </c>
      <c r="AA39" s="38">
        <f t="shared" si="16"/>
        <v>0.32</v>
      </c>
      <c r="AB39" s="38">
        <f t="shared" ca="1" si="17"/>
        <v>0.33642301414208342</v>
      </c>
      <c r="AC39" s="38">
        <f t="shared" si="18"/>
        <v>0.95</v>
      </c>
      <c r="AD39" s="38">
        <f t="shared" si="18"/>
        <v>0.32</v>
      </c>
      <c r="AE39" s="38">
        <f t="shared" ca="1" si="19"/>
        <v>0.34286359451601806</v>
      </c>
      <c r="AF39" s="237">
        <f ca="1">((Summary!$N$13*(AA39*AD39)*(A39-$D$3))+(Summary!$M$13*Z39*AC39*(AJ39-EOMONTH(EDATE(A39,-1),0))))/(AK39*AB39*AE39)</f>
        <v>0.99846540848840648</v>
      </c>
      <c r="AG39" s="88">
        <f>IF($A40="","",Summary!$Q$13)</f>
        <v>0</v>
      </c>
      <c r="AH39" s="88">
        <f>IF($A40="","",IF(Summary!$R$12="Y",(VLOOKUP($A39,Summary!$AD$6:$AF$9,3)+'Escalating commodity'!I52),'Escalating commodity'!I52))</f>
        <v>4.6654842109707523E-2</v>
      </c>
      <c r="AI39" s="88">
        <f t="shared" si="34"/>
        <v>4.6654842109707523E-2</v>
      </c>
      <c r="AJ39" s="236">
        <f t="shared" si="20"/>
        <v>37940</v>
      </c>
      <c r="AK39" s="58">
        <f t="shared" ca="1" si="21"/>
        <v>900</v>
      </c>
      <c r="AL39" s="26">
        <f ca="1">IF($A40="","",_xll.SPRDOPT(P39,X39,AI39,0,AB39,AE39,AF39,AK39,$AJ$2,0))</f>
        <v>0.4188314991321847</v>
      </c>
      <c r="AM39" s="209">
        <f t="shared" si="22"/>
        <v>0.41879632945035183</v>
      </c>
      <c r="AN39" s="89">
        <f t="shared" ca="1" si="23"/>
        <v>3.5169681832869504E-5</v>
      </c>
      <c r="AO39" s="3">
        <f t="shared" si="24"/>
        <v>30</v>
      </c>
      <c r="AP39" s="33">
        <f t="shared" si="25"/>
        <v>37926</v>
      </c>
      <c r="AQ39" s="58">
        <f t="shared" ca="1" si="26"/>
        <v>900</v>
      </c>
      <c r="AR39" s="38">
        <f>'ANR OK vs ML7'!AR39</f>
        <v>0.1</v>
      </c>
      <c r="AS39" s="35">
        <f t="shared" ca="1" si="27"/>
        <v>0.7862784077975763</v>
      </c>
      <c r="AT39" s="3">
        <f t="shared" si="28"/>
        <v>1</v>
      </c>
      <c r="AU39" s="3">
        <f t="shared" si="29"/>
        <v>30</v>
      </c>
      <c r="AW39" s="32">
        <f t="shared" ca="1" si="30"/>
        <v>356844.43726062134</v>
      </c>
      <c r="AX39" s="32">
        <f t="shared" si="31"/>
        <v>356814.47269169975</v>
      </c>
      <c r="AY39" s="32">
        <f t="shared" ca="1" si="32"/>
        <v>29.964568921604815</v>
      </c>
      <c r="BA39" s="32">
        <f ca="1">IF($A40="","",F39*Summary!$Q$13)</f>
        <v>0</v>
      </c>
      <c r="BC39" s="256">
        <f t="shared" ca="1" si="35"/>
        <v>280555.51546716149</v>
      </c>
    </row>
    <row r="40" spans="1:55">
      <c r="A40" s="67">
        <f t="shared" si="33"/>
        <v>37956</v>
      </c>
      <c r="B40" s="69">
        <f t="shared" si="36"/>
        <v>28400</v>
      </c>
      <c r="C40" s="71"/>
      <c r="D40" s="69">
        <f t="shared" si="0"/>
        <v>28400</v>
      </c>
      <c r="E40" s="70">
        <f t="shared" si="1"/>
        <v>880400</v>
      </c>
      <c r="F40" s="70">
        <f t="shared" ca="1" si="2"/>
        <v>686713.51561619982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0.52</v>
      </c>
      <c r="K40" s="64">
        <f t="shared" si="6"/>
        <v>0.52</v>
      </c>
      <c r="L40" s="38">
        <v>0</v>
      </c>
      <c r="M40" s="64">
        <f t="shared" si="7"/>
        <v>0</v>
      </c>
      <c r="N40" s="65"/>
      <c r="O40" s="63">
        <f t="shared" si="8"/>
        <v>4.8570000000000011</v>
      </c>
      <c r="P40" s="63">
        <f t="shared" si="9"/>
        <v>4.8570000000000011</v>
      </c>
      <c r="Q40" s="66"/>
      <c r="R40" s="63">
        <f t="shared" si="10"/>
        <v>-0.25958731391508771</v>
      </c>
      <c r="S40" s="64">
        <f t="shared" si="11"/>
        <v>-0.25958731391508771</v>
      </c>
      <c r="T40" s="38">
        <v>0</v>
      </c>
      <c r="U40" s="64">
        <f t="shared" si="12"/>
        <v>0</v>
      </c>
      <c r="V40" s="219">
        <f>(G40+R40)/(1-Summary!$T$13)*Summary!$T$13</f>
        <v>0.32514623430150486</v>
      </c>
      <c r="W40" s="43">
        <f t="shared" si="13"/>
        <v>4.4025589203864177</v>
      </c>
      <c r="X40" s="43">
        <f t="shared" si="14"/>
        <v>4.4025589203864177</v>
      </c>
      <c r="Y40" s="43"/>
      <c r="Z40" s="38">
        <f t="shared" si="15"/>
        <v>1.1000000000000001</v>
      </c>
      <c r="AA40" s="38">
        <f t="shared" si="16"/>
        <v>0.32</v>
      </c>
      <c r="AB40" s="38">
        <f t="shared" ca="1" si="17"/>
        <v>0.35025244352259471</v>
      </c>
      <c r="AC40" s="38">
        <f t="shared" si="18"/>
        <v>1.35</v>
      </c>
      <c r="AD40" s="38">
        <f t="shared" si="18"/>
        <v>0.32</v>
      </c>
      <c r="AE40" s="38">
        <f t="shared" ca="1" si="19"/>
        <v>0.36453409652168578</v>
      </c>
      <c r="AF40" s="237">
        <f ca="1">((Summary!$N$13*(AA40*AD40)*(A40-$D$3))+(Summary!$M$13*Z40*AC40*(AJ40-EOMONTH(EDATE(A40,-1),0))))/(AK40*AB40*AE40)</f>
        <v>0.99663921491502749</v>
      </c>
      <c r="AG40" s="88">
        <f>IF($A41="","",Summary!$Q$13)</f>
        <v>0</v>
      </c>
      <c r="AH40" s="88">
        <f>IF($A41="","",IF(Summary!$R$12="Y",(VLOOKUP($A40,Summary!$AD$6:$AF$9,3)+'Escalating commodity'!I53),'Escalating commodity'!I53))</f>
        <v>4.6654842109707523E-2</v>
      </c>
      <c r="AI40" s="88">
        <f t="shared" si="34"/>
        <v>4.6654842109707523E-2</v>
      </c>
      <c r="AJ40" s="236">
        <f t="shared" si="20"/>
        <v>37970.5</v>
      </c>
      <c r="AK40" s="58">
        <f t="shared" ca="1" si="21"/>
        <v>930</v>
      </c>
      <c r="AL40" s="26">
        <f ca="1">IF($A41="","",_xll.SPRDOPT(P40,X40,AI40,0,AB40,AE40,AF40,AK40,$AJ$2,0))</f>
        <v>0.41145289585786632</v>
      </c>
      <c r="AM40" s="209">
        <f t="shared" si="22"/>
        <v>0.40778623750387588</v>
      </c>
      <c r="AN40" s="89">
        <f t="shared" ca="1" si="23"/>
        <v>3.6666583539904374E-3</v>
      </c>
      <c r="AO40" s="3">
        <f t="shared" si="24"/>
        <v>31</v>
      </c>
      <c r="AP40" s="33">
        <f t="shared" si="25"/>
        <v>37956</v>
      </c>
      <c r="AQ40" s="58">
        <f t="shared" ca="1" si="26"/>
        <v>930</v>
      </c>
      <c r="AR40" s="38">
        <f>'ANR OK vs ML7'!AR40</f>
        <v>0.1</v>
      </c>
      <c r="AS40" s="35">
        <f t="shared" ca="1" si="27"/>
        <v>0.78000172150863223</v>
      </c>
      <c r="AT40" s="3">
        <f t="shared" si="28"/>
        <v>1</v>
      </c>
      <c r="AU40" s="3">
        <f t="shared" si="29"/>
        <v>31</v>
      </c>
      <c r="AW40" s="32">
        <f t="shared" ca="1" si="30"/>
        <v>362243.12951326551</v>
      </c>
      <c r="AX40" s="32">
        <f t="shared" si="31"/>
        <v>359015.00349841232</v>
      </c>
      <c r="AY40" s="32">
        <f t="shared" ca="1" si="32"/>
        <v>3228.126014853181</v>
      </c>
      <c r="BA40" s="32">
        <f ca="1">IF($A41="","",F40*Summary!$Q$13)</f>
        <v>0</v>
      </c>
      <c r="BC40" s="256">
        <f t="shared" ca="1" si="35"/>
        <v>280032.32077618921</v>
      </c>
    </row>
    <row r="41" spans="1:55">
      <c r="A41" s="67">
        <f t="shared" si="33"/>
        <v>37987</v>
      </c>
      <c r="B41" s="69">
        <f t="shared" si="36"/>
        <v>28400</v>
      </c>
      <c r="C41" s="71"/>
      <c r="D41" s="69">
        <f t="shared" si="0"/>
        <v>28400</v>
      </c>
      <c r="E41" s="70">
        <f t="shared" si="1"/>
        <v>880400</v>
      </c>
      <c r="F41" s="70">
        <f t="shared" ca="1" si="2"/>
        <v>681049.6600056797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0.52</v>
      </c>
      <c r="K41" s="64">
        <f t="shared" si="6"/>
        <v>0.52</v>
      </c>
      <c r="L41" s="38">
        <v>0</v>
      </c>
      <c r="M41" s="64">
        <f t="shared" si="7"/>
        <v>0</v>
      </c>
      <c r="N41" s="65"/>
      <c r="O41" s="63">
        <f t="shared" si="8"/>
        <v>4.9139999999999997</v>
      </c>
      <c r="P41" s="63">
        <f t="shared" si="9"/>
        <v>4.9139999999999997</v>
      </c>
      <c r="Q41" s="66"/>
      <c r="R41" s="63">
        <f t="shared" si="10"/>
        <v>-0.25958345648687647</v>
      </c>
      <c r="S41" s="64">
        <f t="shared" si="11"/>
        <v>-0.25958345648687647</v>
      </c>
      <c r="T41" s="38">
        <v>0</v>
      </c>
      <c r="U41" s="64">
        <f t="shared" si="12"/>
        <v>0</v>
      </c>
      <c r="V41" s="219">
        <f>(G41+R41)/(1-Summary!$T$13)*Summary!$T$13</f>
        <v>0.32969190848520863</v>
      </c>
      <c r="W41" s="43">
        <f t="shared" si="13"/>
        <v>4.4641084519983316</v>
      </c>
      <c r="X41" s="43">
        <f t="shared" si="14"/>
        <v>4.4641084519983316</v>
      </c>
      <c r="Y41" s="43"/>
      <c r="Z41" s="38">
        <f t="shared" si="15"/>
        <v>1.1000000000000001</v>
      </c>
      <c r="AA41" s="38">
        <f t="shared" si="16"/>
        <v>0.32300000000000001</v>
      </c>
      <c r="AB41" s="38">
        <f t="shared" ca="1" si="17"/>
        <v>0.35207057813386372</v>
      </c>
      <c r="AC41" s="38">
        <f t="shared" si="18"/>
        <v>1.35</v>
      </c>
      <c r="AD41" s="38">
        <f t="shared" si="18"/>
        <v>0.32300000000000001</v>
      </c>
      <c r="AE41" s="38">
        <f t="shared" ca="1" si="19"/>
        <v>0.36583155173601078</v>
      </c>
      <c r="AF41" s="237">
        <f ca="1">((Summary!$N$13*(AA41*AD41)*(A41-$D$3))+(Summary!$M$13*Z41*AC41*(AJ41-EOMONTH(EDATE(A41,-1),0))))/(AK41*AB41*AE41)</f>
        <v>0.99674069393167153</v>
      </c>
      <c r="AG41" s="88">
        <f>IF($A42="","",Summary!$Q$13)</f>
        <v>0</v>
      </c>
      <c r="AH41" s="88">
        <f>IF($A42="","",IF(Summary!$R$12="Y",(VLOOKUP($A41,Summary!$AD$6:$AF$9,3)+'Escalating commodity'!I54),'Escalating commodity'!I54))</f>
        <v>4.7587938951901672E-2</v>
      </c>
      <c r="AI41" s="88">
        <f t="shared" si="34"/>
        <v>4.7587938951901672E-2</v>
      </c>
      <c r="AJ41" s="236">
        <f t="shared" si="20"/>
        <v>38001.5</v>
      </c>
      <c r="AK41" s="58">
        <f t="shared" ca="1" si="21"/>
        <v>961</v>
      </c>
      <c r="AL41" s="26">
        <f ca="1">IF($A42="","",_xll.SPRDOPT(P41,X41,AI41,0,AB41,AE41,AF41,AK41,$AJ$2,0))</f>
        <v>0.40646708762863265</v>
      </c>
      <c r="AM41" s="209">
        <f t="shared" si="22"/>
        <v>0.40230360904976642</v>
      </c>
      <c r="AN41" s="89">
        <f t="shared" ca="1" si="23"/>
        <v>4.163478578866231E-3</v>
      </c>
      <c r="AO41" s="3">
        <f t="shared" si="24"/>
        <v>31</v>
      </c>
      <c r="AP41" s="33">
        <f t="shared" si="25"/>
        <v>37987</v>
      </c>
      <c r="AQ41" s="58">
        <f t="shared" ca="1" si="26"/>
        <v>961</v>
      </c>
      <c r="AR41" s="38">
        <f>'ANR OK vs ML7'!AR41</f>
        <v>0.1</v>
      </c>
      <c r="AS41" s="35">
        <f t="shared" ca="1" si="27"/>
        <v>0.77356844616728726</v>
      </c>
      <c r="AT41" s="3">
        <f t="shared" si="28"/>
        <v>1</v>
      </c>
      <c r="AU41" s="3">
        <f t="shared" si="29"/>
        <v>31</v>
      </c>
      <c r="AW41" s="32">
        <f t="shared" ca="1" si="30"/>
        <v>357853.62394824816</v>
      </c>
      <c r="AX41" s="32">
        <f t="shared" si="31"/>
        <v>354188.09740741435</v>
      </c>
      <c r="AY41" s="32">
        <f t="shared" ca="1" si="32"/>
        <v>3665.5265408338296</v>
      </c>
      <c r="BA41" s="32">
        <f ca="1">IF($A42="","",F41*Summary!$Q$13)</f>
        <v>0</v>
      </c>
      <c r="BC41" s="256">
        <f t="shared" ca="1" si="35"/>
        <v>273988.73616240133</v>
      </c>
    </row>
    <row r="42" spans="1:55">
      <c r="A42" s="67">
        <f t="shared" si="33"/>
        <v>38018</v>
      </c>
      <c r="B42" s="69">
        <f t="shared" si="36"/>
        <v>28400</v>
      </c>
      <c r="C42" s="71"/>
      <c r="D42" s="69">
        <f t="shared" si="0"/>
        <v>28400</v>
      </c>
      <c r="E42" s="70">
        <f t="shared" si="1"/>
        <v>823600</v>
      </c>
      <c r="F42" s="70">
        <f t="shared" ca="1" si="2"/>
        <v>631856.22705636104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0.52</v>
      </c>
      <c r="K42" s="64">
        <f t="shared" si="6"/>
        <v>0.52</v>
      </c>
      <c r="L42" s="38">
        <v>0</v>
      </c>
      <c r="M42" s="64">
        <f t="shared" si="7"/>
        <v>0</v>
      </c>
      <c r="N42" s="65"/>
      <c r="O42" s="63">
        <f t="shared" si="8"/>
        <v>4.7940000000000005</v>
      </c>
      <c r="P42" s="63">
        <f t="shared" si="9"/>
        <v>4.7940000000000005</v>
      </c>
      <c r="Q42" s="66"/>
      <c r="R42" s="63">
        <f t="shared" si="10"/>
        <v>-0.25958139575019284</v>
      </c>
      <c r="S42" s="64">
        <f t="shared" si="11"/>
        <v>-0.25958139575019284</v>
      </c>
      <c r="T42" s="38">
        <v>0</v>
      </c>
      <c r="U42" s="64">
        <f t="shared" si="12"/>
        <v>0</v>
      </c>
      <c r="V42" s="219">
        <f>(G42+R42)/(1-Summary!$T$13)*Summary!$T$13</f>
        <v>0.32012288001562017</v>
      </c>
      <c r="W42" s="43">
        <f t="shared" si="13"/>
        <v>4.3345414842654275</v>
      </c>
      <c r="X42" s="43">
        <f t="shared" si="14"/>
        <v>4.3345414842654275</v>
      </c>
      <c r="Y42" s="43"/>
      <c r="Z42" s="38">
        <f t="shared" si="15"/>
        <v>1.1000000000000001</v>
      </c>
      <c r="AA42" s="38">
        <f t="shared" si="16"/>
        <v>0.31</v>
      </c>
      <c r="AB42" s="38">
        <f t="shared" ca="1" si="17"/>
        <v>0.3374660974608914</v>
      </c>
      <c r="AC42" s="38">
        <f t="shared" si="18"/>
        <v>1.35</v>
      </c>
      <c r="AD42" s="38">
        <f t="shared" si="18"/>
        <v>0.31</v>
      </c>
      <c r="AE42" s="38">
        <f t="shared" ca="1" si="19"/>
        <v>0.3504800135804535</v>
      </c>
      <c r="AF42" s="237">
        <f ca="1">((Summary!$N$13*(AA42*AD42)*(A42-$D$3))+(Summary!$M$13*Z42*AC42*(AJ42-EOMONTH(EDATE(A42,-1),0))))/(AK42*AB42*AE42)</f>
        <v>0.99677262718335113</v>
      </c>
      <c r="AG42" s="88">
        <f>IF($A43="","",Summary!$Q$13)</f>
        <v>0</v>
      </c>
      <c r="AH42" s="88">
        <f>IF($A43="","",IF(Summary!$R$12="Y",(VLOOKUP($A42,Summary!$AD$6:$AF$9,3)+'Escalating commodity'!I55),'Escalating commodity'!I55))</f>
        <v>4.7587938951901672E-2</v>
      </c>
      <c r="AI42" s="88">
        <f t="shared" si="34"/>
        <v>4.7587938951901672E-2</v>
      </c>
      <c r="AJ42" s="236">
        <f t="shared" si="20"/>
        <v>38031.5</v>
      </c>
      <c r="AK42" s="58">
        <f t="shared" ca="1" si="21"/>
        <v>992</v>
      </c>
      <c r="AL42" s="26">
        <f ca="1">IF($A43="","",_xll.SPRDOPT(P42,X42,AI42,0,AB42,AE42,AF42,AK42,$AJ$2,0))</f>
        <v>0.41455526674750232</v>
      </c>
      <c r="AM42" s="209">
        <f t="shared" si="22"/>
        <v>0.4118705767826713</v>
      </c>
      <c r="AN42" s="89">
        <f t="shared" ca="1" si="23"/>
        <v>2.6846899648310107E-3</v>
      </c>
      <c r="AO42" s="3">
        <f t="shared" si="24"/>
        <v>29</v>
      </c>
      <c r="AP42" s="33">
        <f t="shared" si="25"/>
        <v>38018</v>
      </c>
      <c r="AQ42" s="58">
        <f t="shared" ca="1" si="26"/>
        <v>992</v>
      </c>
      <c r="AR42" s="38">
        <f>'ANR OK vs ML7'!AR42</f>
        <v>0.1</v>
      </c>
      <c r="AS42" s="35">
        <f t="shared" ca="1" si="27"/>
        <v>0.76718823100578082</v>
      </c>
      <c r="AT42" s="3">
        <f t="shared" si="28"/>
        <v>1</v>
      </c>
      <c r="AU42" s="3">
        <f t="shared" si="29"/>
        <v>29</v>
      </c>
      <c r="AW42" s="32">
        <f t="shared" ca="1" si="30"/>
        <v>341427.71769324288</v>
      </c>
      <c r="AX42" s="32">
        <f t="shared" si="31"/>
        <v>339216.60703820811</v>
      </c>
      <c r="AY42" s="32">
        <f t="shared" ca="1" si="32"/>
        <v>2211.1106550348204</v>
      </c>
      <c r="BA42" s="32">
        <f ca="1">IF($A43="","",F42*Summary!$Q$13)</f>
        <v>0</v>
      </c>
      <c r="BC42" s="256">
        <f t="shared" ca="1" si="35"/>
        <v>260242.98868142595</v>
      </c>
    </row>
    <row r="43" spans="1:55">
      <c r="A43" s="67">
        <f t="shared" si="33"/>
        <v>38047</v>
      </c>
      <c r="B43" s="69">
        <f t="shared" si="36"/>
        <v>28400</v>
      </c>
      <c r="C43" s="71"/>
      <c r="D43" s="69">
        <f t="shared" si="0"/>
        <v>28400</v>
      </c>
      <c r="E43" s="70">
        <f t="shared" si="1"/>
        <v>880400</v>
      </c>
      <c r="F43" s="70">
        <f t="shared" ca="1" si="2"/>
        <v>670219.72269730701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0.52</v>
      </c>
      <c r="K43" s="64">
        <f t="shared" si="6"/>
        <v>0.52</v>
      </c>
      <c r="L43" s="38">
        <v>0</v>
      </c>
      <c r="M43" s="64">
        <f t="shared" si="7"/>
        <v>0</v>
      </c>
      <c r="N43" s="65"/>
      <c r="O43" s="63">
        <f t="shared" si="8"/>
        <v>4.6549999999999994</v>
      </c>
      <c r="P43" s="63">
        <f t="shared" si="9"/>
        <v>4.6549999999999994</v>
      </c>
      <c r="Q43" s="66"/>
      <c r="R43" s="63">
        <f t="shared" si="10"/>
        <v>-0.25957891030762109</v>
      </c>
      <c r="S43" s="64">
        <f t="shared" si="11"/>
        <v>-0.25957891030762109</v>
      </c>
      <c r="T43" s="38">
        <v>0</v>
      </c>
      <c r="U43" s="64">
        <f t="shared" si="12"/>
        <v>0</v>
      </c>
      <c r="V43" s="219">
        <f>(G43+R43)/(1-Summary!$T$13)*Summary!$T$13</f>
        <v>0.30903876322021878</v>
      </c>
      <c r="W43" s="43">
        <f t="shared" si="13"/>
        <v>4.1844598529125978</v>
      </c>
      <c r="X43" s="43">
        <f t="shared" si="14"/>
        <v>4.1844598529125978</v>
      </c>
      <c r="Y43" s="43"/>
      <c r="Z43" s="38">
        <f t="shared" si="15"/>
        <v>0.75</v>
      </c>
      <c r="AA43" s="38">
        <f t="shared" si="16"/>
        <v>0.30299999999999999</v>
      </c>
      <c r="AB43" s="38">
        <f t="shared" ca="1" si="17"/>
        <v>0.31692008898328822</v>
      </c>
      <c r="AC43" s="38">
        <f t="shared" si="18"/>
        <v>0.95</v>
      </c>
      <c r="AD43" s="38">
        <f t="shared" si="18"/>
        <v>0.30299999999999999</v>
      </c>
      <c r="AE43" s="38">
        <f t="shared" ca="1" si="19"/>
        <v>0.32496145782160024</v>
      </c>
      <c r="AF43" s="237">
        <f ca="1">((Summary!$N$13*(AA43*AD43)*(A43-$D$3))+(Summary!$M$13*Z43*AC43*(AJ43-EOMONTH(EDATE(A43,-1),0))))/(AK43*AB43*AE43)</f>
        <v>0.99727652528936794</v>
      </c>
      <c r="AG43" s="88">
        <f>IF($A44="","",Summary!$Q$13)</f>
        <v>0</v>
      </c>
      <c r="AH43" s="88">
        <f>IF($A44="","",IF(Summary!$R$12="Y",(VLOOKUP($A43,Summary!$AD$6:$AF$9,3)+'Escalating commodity'!I56),'Escalating commodity'!I56))</f>
        <v>4.7587938951901672E-2</v>
      </c>
      <c r="AI43" s="88">
        <f t="shared" si="34"/>
        <v>4.7587938951901672E-2</v>
      </c>
      <c r="AJ43" s="236">
        <f t="shared" si="20"/>
        <v>38061.5</v>
      </c>
      <c r="AK43" s="58">
        <f t="shared" ca="1" si="21"/>
        <v>1021</v>
      </c>
      <c r="AL43" s="26">
        <f ca="1">IF($A44="","",_xll.SPRDOPT(P43,X43,AI43,0,AB43,AE43,AF43,AK43,$AJ$2,0))</f>
        <v>0.42349436780183608</v>
      </c>
      <c r="AM43" s="209">
        <f t="shared" si="22"/>
        <v>0.42295220813549989</v>
      </c>
      <c r="AN43" s="89">
        <f t="shared" ca="1" si="23"/>
        <v>5.4215966633619495E-4</v>
      </c>
      <c r="AO43" s="3">
        <f t="shared" si="24"/>
        <v>31</v>
      </c>
      <c r="AP43" s="33">
        <f t="shared" si="25"/>
        <v>38047</v>
      </c>
      <c r="AQ43" s="58">
        <f t="shared" ca="1" si="26"/>
        <v>1021</v>
      </c>
      <c r="AR43" s="38">
        <f>'ANR OK vs ML7'!AR43</f>
        <v>0.1</v>
      </c>
      <c r="AS43" s="35">
        <f t="shared" ca="1" si="27"/>
        <v>0.76126729066027599</v>
      </c>
      <c r="AT43" s="3">
        <f t="shared" si="28"/>
        <v>1</v>
      </c>
      <c r="AU43" s="3">
        <f t="shared" si="29"/>
        <v>31</v>
      </c>
      <c r="AW43" s="32">
        <f t="shared" ca="1" si="30"/>
        <v>372844.44141273649</v>
      </c>
      <c r="AX43" s="32">
        <f t="shared" si="31"/>
        <v>372367.12404249411</v>
      </c>
      <c r="AY43" s="32">
        <f t="shared" ca="1" si="32"/>
        <v>477.317370242386</v>
      </c>
      <c r="BA43" s="32">
        <f ca="1">IF($A44="","",F43*Summary!$Q$13)</f>
        <v>0</v>
      </c>
      <c r="BC43" s="256">
        <f t="shared" ca="1" si="35"/>
        <v>283470.91165078839</v>
      </c>
    </row>
    <row r="44" spans="1:55">
      <c r="A44" s="67">
        <f t="shared" si="33"/>
        <v>38078</v>
      </c>
      <c r="B44" s="69">
        <f t="shared" si="36"/>
        <v>28400</v>
      </c>
      <c r="C44" s="71"/>
      <c r="D44" s="69">
        <f t="shared" si="0"/>
        <v>28400</v>
      </c>
      <c r="E44" s="70">
        <f t="shared" si="1"/>
        <v>852000</v>
      </c>
      <c r="F44" s="70">
        <f t="shared" ca="1" si="2"/>
        <v>643250.22978259949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0.25</v>
      </c>
      <c r="K44" s="64">
        <f t="shared" si="6"/>
        <v>0.25</v>
      </c>
      <c r="L44" s="38">
        <v>0</v>
      </c>
      <c r="M44" s="64">
        <f t="shared" si="7"/>
        <v>0</v>
      </c>
      <c r="N44" s="65"/>
      <c r="O44" s="63">
        <f t="shared" si="8"/>
        <v>4.21</v>
      </c>
      <c r="P44" s="63">
        <f t="shared" si="9"/>
        <v>4.21</v>
      </c>
      <c r="Q44" s="66"/>
      <c r="R44" s="63">
        <f t="shared" si="10"/>
        <v>-0.34831367597213259</v>
      </c>
      <c r="S44" s="64">
        <f t="shared" si="11"/>
        <v>-0.34831367597213259</v>
      </c>
      <c r="T44" s="38">
        <v>0</v>
      </c>
      <c r="U44" s="64">
        <f t="shared" si="12"/>
        <v>0</v>
      </c>
      <c r="V44" s="219">
        <f>(G44+R44)/(1-Summary!$T$13)*Summary!$T$13</f>
        <v>0.28800768971548013</v>
      </c>
      <c r="W44" s="43">
        <f t="shared" si="13"/>
        <v>3.8996940137433476</v>
      </c>
      <c r="X44" s="43">
        <f t="shared" si="14"/>
        <v>3.8996940137433476</v>
      </c>
      <c r="Y44" s="43"/>
      <c r="Z44" s="38">
        <f t="shared" si="15"/>
        <v>0.45</v>
      </c>
      <c r="AA44" s="38">
        <f t="shared" si="16"/>
        <v>0.28999999999999998</v>
      </c>
      <c r="AB44" s="38">
        <f t="shared" ca="1" si="17"/>
        <v>0.29507168684953172</v>
      </c>
      <c r="AC44" s="38">
        <f t="shared" si="18"/>
        <v>0.5</v>
      </c>
      <c r="AD44" s="38">
        <f t="shared" si="18"/>
        <v>0.28999999999999998</v>
      </c>
      <c r="AE44" s="38">
        <f t="shared" ca="1" si="19"/>
        <v>0.29621711927072925</v>
      </c>
      <c r="AF44" s="237">
        <f ca="1">((Summary!$N$13*(AA44*AD44)*(A44-$D$3))+(Summary!$M$13*Z44*AC44*(AJ44-EOMONTH(EDATE(A44,-1),0))))/(AK44*AB44*AE44)</f>
        <v>0.99970728108168183</v>
      </c>
      <c r="AG44" s="88">
        <f>IF($A45="","",Summary!$Q$13)</f>
        <v>0</v>
      </c>
      <c r="AH44" s="88">
        <f>IF($A45="","",IF(Summary!$R$12="Y",(VLOOKUP($A44,Summary!$AD$6:$AF$9,3)+'Escalating commodity'!I57),'Escalating commodity'!I57))</f>
        <v>4.7587938951901672E-2</v>
      </c>
      <c r="AI44" s="88">
        <f t="shared" si="34"/>
        <v>4.7587938951901672E-2</v>
      </c>
      <c r="AJ44" s="236">
        <f t="shared" si="20"/>
        <v>38092</v>
      </c>
      <c r="AK44" s="58">
        <f t="shared" ca="1" si="21"/>
        <v>1052</v>
      </c>
      <c r="AL44" s="26">
        <f ca="1">IF($A45="","",_xll.SPRDOPT(P44,X44,AI44,0,AB44,AE44,AF44,AK44,$AJ$2,0))</f>
        <v>0.26274054846756256</v>
      </c>
      <c r="AM44" s="209">
        <f t="shared" si="22"/>
        <v>0.26271804730475073</v>
      </c>
      <c r="AN44" s="89">
        <f t="shared" ca="1" si="23"/>
        <v>2.250116281182768E-5</v>
      </c>
      <c r="AO44" s="3">
        <f t="shared" si="24"/>
        <v>30</v>
      </c>
      <c r="AP44" s="33">
        <f t="shared" si="25"/>
        <v>38078</v>
      </c>
      <c r="AQ44" s="58">
        <f t="shared" ca="1" si="26"/>
        <v>1052</v>
      </c>
      <c r="AR44" s="38">
        <f>'ANR OK vs ML7'!AR44</f>
        <v>0.1</v>
      </c>
      <c r="AS44" s="35">
        <f t="shared" ca="1" si="27"/>
        <v>0.75498853260868481</v>
      </c>
      <c r="AT44" s="3">
        <f t="shared" si="28"/>
        <v>1</v>
      </c>
      <c r="AU44" s="3">
        <f t="shared" si="29"/>
        <v>30</v>
      </c>
      <c r="AW44" s="32">
        <f t="shared" ca="1" si="30"/>
        <v>223854.94729436332</v>
      </c>
      <c r="AX44" s="32">
        <f t="shared" si="31"/>
        <v>223835.77630364764</v>
      </c>
      <c r="AY44" s="32">
        <f t="shared" ca="1" si="32"/>
        <v>19.170990715677185</v>
      </c>
      <c r="BA44" s="32">
        <f ca="1">IF($A45="","",F44*Summary!$Q$13)</f>
        <v>0</v>
      </c>
      <c r="BC44" s="256">
        <f t="shared" ca="1" si="35"/>
        <v>168993.44429681674</v>
      </c>
    </row>
    <row r="45" spans="1:55">
      <c r="A45" s="67">
        <f t="shared" si="33"/>
        <v>38108</v>
      </c>
      <c r="B45" s="69">
        <f t="shared" si="36"/>
        <v>28400</v>
      </c>
      <c r="C45" s="71"/>
      <c r="D45" s="69">
        <f t="shared" si="0"/>
        <v>28400</v>
      </c>
      <c r="E45" s="70">
        <f t="shared" si="1"/>
        <v>880400</v>
      </c>
      <c r="F45" s="70">
        <f t="shared" ca="1" si="2"/>
        <v>659385.8159349343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0.25</v>
      </c>
      <c r="K45" s="64">
        <f t="shared" si="6"/>
        <v>0.25</v>
      </c>
      <c r="L45" s="38">
        <v>0</v>
      </c>
      <c r="M45" s="64">
        <f t="shared" si="7"/>
        <v>0</v>
      </c>
      <c r="N45" s="65"/>
      <c r="O45" s="63">
        <f t="shared" si="8"/>
        <v>4.18</v>
      </c>
      <c r="P45" s="63">
        <f t="shared" si="9"/>
        <v>4.18</v>
      </c>
      <c r="Q45" s="66"/>
      <c r="R45" s="63">
        <f t="shared" si="10"/>
        <v>-0.34832573475777934</v>
      </c>
      <c r="S45" s="64">
        <f t="shared" si="11"/>
        <v>-0.34832573475777934</v>
      </c>
      <c r="T45" s="38">
        <v>0</v>
      </c>
      <c r="U45" s="64">
        <f t="shared" si="12"/>
        <v>0</v>
      </c>
      <c r="V45" s="219">
        <f>(G45+R45)/(1-Summary!$T$13)*Summary!$T$13</f>
        <v>0.285614429908571</v>
      </c>
      <c r="W45" s="43">
        <f t="shared" si="13"/>
        <v>3.8672886951507914</v>
      </c>
      <c r="X45" s="43">
        <f t="shared" si="14"/>
        <v>3.8672886951507914</v>
      </c>
      <c r="Y45" s="43"/>
      <c r="Z45" s="38">
        <f t="shared" si="15"/>
        <v>0.5</v>
      </c>
      <c r="AA45" s="38">
        <f t="shared" si="16"/>
        <v>0.28800000000000003</v>
      </c>
      <c r="AB45" s="38">
        <f t="shared" ca="1" si="17"/>
        <v>0.29428215866652024</v>
      </c>
      <c r="AC45" s="38">
        <f t="shared" si="18"/>
        <v>0.45</v>
      </c>
      <c r="AD45" s="38">
        <f t="shared" si="18"/>
        <v>0.28800000000000003</v>
      </c>
      <c r="AE45" s="38">
        <f t="shared" ca="1" si="19"/>
        <v>0.29312375551012976</v>
      </c>
      <c r="AF45" s="237">
        <f ca="1">((Summary!$N$13*(AA45*AD45)*(A45-$D$3))+(Summary!$M$13*Z45*AC45*(AJ45-EOMONTH(EDATE(A45,-1),0))))/(AK45*AB45*AE45)</f>
        <v>0.99970394797052586</v>
      </c>
      <c r="AG45" s="88">
        <f>IF($A46="","",Summary!$Q$13)</f>
        <v>0</v>
      </c>
      <c r="AH45" s="88">
        <f>IF($A46="","",IF(Summary!$R$12="Y",(VLOOKUP($A45,Summary!$AD$6:$AF$9,3)+'Escalating commodity'!I58),'Escalating commodity'!I58))</f>
        <v>4.7587938951901672E-2</v>
      </c>
      <c r="AI45" s="88">
        <f t="shared" si="34"/>
        <v>4.7587938951901672E-2</v>
      </c>
      <c r="AJ45" s="236">
        <f t="shared" si="20"/>
        <v>38122.5</v>
      </c>
      <c r="AK45" s="58">
        <f t="shared" ca="1" si="21"/>
        <v>1082</v>
      </c>
      <c r="AL45" s="26">
        <f ca="1">IF($A46="","",_xll.SPRDOPT(P45,X45,AI45,0,AB45,AE45,AF45,AK45,$AJ$2,0))</f>
        <v>0.26516450237497674</v>
      </c>
      <c r="AM45" s="209">
        <f t="shared" si="22"/>
        <v>0.26512336589730662</v>
      </c>
      <c r="AN45" s="89">
        <f t="shared" ca="1" si="23"/>
        <v>4.1136477670122851E-5</v>
      </c>
      <c r="AO45" s="3">
        <f t="shared" si="24"/>
        <v>31</v>
      </c>
      <c r="AP45" s="33">
        <f t="shared" si="25"/>
        <v>38108</v>
      </c>
      <c r="AQ45" s="58">
        <f t="shared" ca="1" si="26"/>
        <v>1082</v>
      </c>
      <c r="AR45" s="38">
        <f>'ANR OK vs ML7'!AR45</f>
        <v>0.1</v>
      </c>
      <c r="AS45" s="35">
        <f t="shared" ca="1" si="27"/>
        <v>0.74896162645948916</v>
      </c>
      <c r="AT45" s="3">
        <f t="shared" si="28"/>
        <v>1</v>
      </c>
      <c r="AU45" s="3">
        <f t="shared" si="29"/>
        <v>31</v>
      </c>
      <c r="AW45" s="32">
        <f t="shared" ca="1" si="30"/>
        <v>233450.82789092953</v>
      </c>
      <c r="AX45" s="32">
        <f t="shared" si="31"/>
        <v>233414.61133598874</v>
      </c>
      <c r="AY45" s="32">
        <f t="shared" ca="1" si="32"/>
        <v>36.216554940776156</v>
      </c>
      <c r="BA45" s="32">
        <f ca="1">IF($A46="","",F45*Summary!$Q$13)</f>
        <v>0</v>
      </c>
      <c r="BC45" s="256">
        <f t="shared" ca="1" si="35"/>
        <v>174818.58694561166</v>
      </c>
    </row>
    <row r="46" spans="1:55">
      <c r="A46" s="67">
        <f t="shared" si="33"/>
        <v>38139</v>
      </c>
      <c r="B46" s="69">
        <f t="shared" si="36"/>
        <v>28400</v>
      </c>
      <c r="C46" s="71"/>
      <c r="D46" s="69">
        <f t="shared" si="0"/>
        <v>28400</v>
      </c>
      <c r="E46" s="70">
        <f t="shared" si="1"/>
        <v>852000</v>
      </c>
      <c r="F46" s="70">
        <f t="shared" ca="1" si="2"/>
        <v>632852.27702422207</v>
      </c>
      <c r="G46" s="63">
        <f t="shared" si="3"/>
        <v>4</v>
      </c>
      <c r="H46" s="64">
        <f t="shared" si="4"/>
        <v>4</v>
      </c>
      <c r="I46" s="43"/>
      <c r="J46" s="63">
        <f t="shared" si="5"/>
        <v>0.25</v>
      </c>
      <c r="K46" s="64">
        <f t="shared" si="6"/>
        <v>0.25</v>
      </c>
      <c r="L46" s="38">
        <v>0</v>
      </c>
      <c r="M46" s="64">
        <f t="shared" si="7"/>
        <v>0</v>
      </c>
      <c r="N46" s="65"/>
      <c r="O46" s="63">
        <f t="shared" si="8"/>
        <v>4.25</v>
      </c>
      <c r="P46" s="63">
        <f t="shared" si="9"/>
        <v>4.25</v>
      </c>
      <c r="Q46" s="66"/>
      <c r="R46" s="63">
        <f t="shared" si="10"/>
        <v>-0.34831878094107283</v>
      </c>
      <c r="S46" s="64">
        <f t="shared" si="11"/>
        <v>-0.34831878094107283</v>
      </c>
      <c r="T46" s="38">
        <v>0</v>
      </c>
      <c r="U46" s="64">
        <f t="shared" si="12"/>
        <v>0</v>
      </c>
      <c r="V46" s="219">
        <f>(G46+R46)/(1-Summary!$T$13)*Summary!$T$13</f>
        <v>0.29119701356170563</v>
      </c>
      <c r="W46" s="43">
        <f t="shared" si="13"/>
        <v>3.9428782326206329</v>
      </c>
      <c r="X46" s="43">
        <f t="shared" si="14"/>
        <v>3.9428782326206329</v>
      </c>
      <c r="Y46" s="43"/>
      <c r="Z46" s="38">
        <f t="shared" si="15"/>
        <v>0.5</v>
      </c>
      <c r="AA46" s="38">
        <f t="shared" si="16"/>
        <v>0.28800000000000003</v>
      </c>
      <c r="AB46" s="38">
        <f t="shared" ca="1" si="17"/>
        <v>0.2939180075263304</v>
      </c>
      <c r="AC46" s="38">
        <f t="shared" si="18"/>
        <v>0.5</v>
      </c>
      <c r="AD46" s="38">
        <f t="shared" si="18"/>
        <v>0.28800000000000003</v>
      </c>
      <c r="AE46" s="38">
        <f t="shared" ca="1" si="19"/>
        <v>0.2939180075263304</v>
      </c>
      <c r="AF46" s="237">
        <f ca="1">((Summary!$N$13*(AA46*AD46)*(A46-$D$3))+(Summary!$M$13*Z46*AC46*(AJ46-EOMONTH(EDATE(A46,-1),0))))/(AK46*AB46*AE46)</f>
        <v>0.99990390017158226</v>
      </c>
      <c r="AG46" s="88">
        <f>IF($A47="","",Summary!$Q$13)</f>
        <v>0</v>
      </c>
      <c r="AH46" s="88">
        <f>IF($A47="","",IF(Summary!$R$12="Y",(VLOOKUP($A46,Summary!$AD$6:$AF$9,3)+'Escalating commodity'!I59),'Escalating commodity'!I59))</f>
        <v>4.7587938951901672E-2</v>
      </c>
      <c r="AI46" s="88">
        <f t="shared" si="34"/>
        <v>4.7587938951901672E-2</v>
      </c>
      <c r="AJ46" s="236">
        <f t="shared" si="20"/>
        <v>38153</v>
      </c>
      <c r="AK46" s="58">
        <f t="shared" ca="1" si="21"/>
        <v>1113</v>
      </c>
      <c r="AL46" s="26">
        <f ca="1">IF($A47="","",_xll.SPRDOPT(P46,X46,AI46,0,AB46,AE46,AF46,AK46,$AJ$2,0))</f>
        <v>0.259549885499396</v>
      </c>
      <c r="AM46" s="209">
        <f t="shared" si="22"/>
        <v>0.25953382842746547</v>
      </c>
      <c r="AN46" s="89">
        <f t="shared" ca="1" si="23"/>
        <v>1.6057071930530853E-5</v>
      </c>
      <c r="AO46" s="3">
        <f t="shared" si="24"/>
        <v>30</v>
      </c>
      <c r="AP46" s="33">
        <f t="shared" si="25"/>
        <v>38139</v>
      </c>
      <c r="AQ46" s="58">
        <f t="shared" ca="1" si="26"/>
        <v>1113</v>
      </c>
      <c r="AR46" s="38">
        <f>'ANR OK vs ML7'!AR46</f>
        <v>0.1</v>
      </c>
      <c r="AS46" s="35">
        <f t="shared" ca="1" si="27"/>
        <v>0.742784362704486</v>
      </c>
      <c r="AT46" s="3">
        <f t="shared" si="28"/>
        <v>1</v>
      </c>
      <c r="AU46" s="3">
        <f t="shared" si="29"/>
        <v>30</v>
      </c>
      <c r="AW46" s="32">
        <f t="shared" ca="1" si="30"/>
        <v>221136.50244548538</v>
      </c>
      <c r="AX46" s="32">
        <f t="shared" si="31"/>
        <v>221122.8218202006</v>
      </c>
      <c r="AY46" s="32">
        <f t="shared" ca="1" si="32"/>
        <v>13.680625284812287</v>
      </c>
      <c r="BA46" s="32">
        <f ca="1">IF($A47="","",F46*Summary!$Q$13)</f>
        <v>0</v>
      </c>
      <c r="BC46" s="256">
        <f t="shared" ca="1" si="35"/>
        <v>164246.57428513531</v>
      </c>
    </row>
    <row r="47" spans="1:55">
      <c r="A47" s="67">
        <f t="shared" si="33"/>
        <v>38169</v>
      </c>
      <c r="B47" s="69">
        <f t="shared" si="36"/>
        <v>28400</v>
      </c>
      <c r="C47" s="71"/>
      <c r="D47" s="69">
        <f t="shared" si="0"/>
        <v>28400</v>
      </c>
      <c r="E47" s="70">
        <f t="shared" si="1"/>
        <v>880400</v>
      </c>
      <c r="F47" s="70">
        <f t="shared" ca="1" si="2"/>
        <v>648727.03612236772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0.25</v>
      </c>
      <c r="K47" s="64">
        <f t="shared" si="6"/>
        <v>0.25</v>
      </c>
      <c r="L47" s="38">
        <v>0</v>
      </c>
      <c r="M47" s="64">
        <f t="shared" si="7"/>
        <v>0</v>
      </c>
      <c r="N47" s="65"/>
      <c r="O47" s="63">
        <f t="shared" si="8"/>
        <v>4.3049999999999997</v>
      </c>
      <c r="P47" s="63">
        <f t="shared" si="9"/>
        <v>4.3049999999999997</v>
      </c>
      <c r="Q47" s="66"/>
      <c r="R47" s="63">
        <f t="shared" si="10"/>
        <v>-0.34830042617397572</v>
      </c>
      <c r="S47" s="64">
        <f t="shared" si="11"/>
        <v>-0.34830042617397572</v>
      </c>
      <c r="T47" s="38">
        <v>0</v>
      </c>
      <c r="U47" s="64">
        <f t="shared" si="12"/>
        <v>0</v>
      </c>
      <c r="V47" s="219">
        <f>(G47+R47)/(1-Summary!$T$13)*Summary!$T$13</f>
        <v>0.29558435726400883</v>
      </c>
      <c r="W47" s="43">
        <f t="shared" si="13"/>
        <v>4.0022839310900329</v>
      </c>
      <c r="X47" s="43">
        <f t="shared" si="14"/>
        <v>4.0022839310900329</v>
      </c>
      <c r="Y47" s="43"/>
      <c r="Z47" s="38">
        <f t="shared" si="15"/>
        <v>0.55000000000000004</v>
      </c>
      <c r="AA47" s="38">
        <f t="shared" si="16"/>
        <v>0.28800000000000003</v>
      </c>
      <c r="AB47" s="38">
        <f t="shared" ca="1" si="17"/>
        <v>0.29515878847020399</v>
      </c>
      <c r="AC47" s="38">
        <f t="shared" si="18"/>
        <v>0.5</v>
      </c>
      <c r="AD47" s="38">
        <f t="shared" si="18"/>
        <v>0.28800000000000003</v>
      </c>
      <c r="AE47" s="38">
        <f t="shared" ca="1" si="19"/>
        <v>0.29395028177224253</v>
      </c>
      <c r="AF47" s="237">
        <f ca="1">((Summary!$N$13*(AA47*AD47)*(A47-$D$3))+(Summary!$M$13*Z47*AC47*(AJ47-EOMONTH(EDATE(A47,-1),0))))/(AK47*AB47*AE47)</f>
        <v>0.99971735994971256</v>
      </c>
      <c r="AG47" s="88">
        <f>IF($A48="","",Summary!$Q$13)</f>
        <v>0</v>
      </c>
      <c r="AH47" s="88">
        <f>IF($A48="","",IF(Summary!$R$12="Y",(VLOOKUP($A47,Summary!$AD$6:$AF$9,3)+'Escalating commodity'!I60),'Escalating commodity'!I60))</f>
        <v>4.7587938951901672E-2</v>
      </c>
      <c r="AI47" s="88">
        <f t="shared" si="34"/>
        <v>4.7587938951901672E-2</v>
      </c>
      <c r="AJ47" s="236">
        <f t="shared" si="20"/>
        <v>38183.5</v>
      </c>
      <c r="AK47" s="58">
        <f t="shared" ca="1" si="21"/>
        <v>1143</v>
      </c>
      <c r="AL47" s="26">
        <f ca="1">IF($A48="","",_xll.SPRDOPT(P47,X47,AI47,0,AB47,AE47,AF47,AK47,$AJ$2,0))</f>
        <v>0.2552136750083801</v>
      </c>
      <c r="AM47" s="209">
        <f t="shared" si="22"/>
        <v>0.25512812995806516</v>
      </c>
      <c r="AN47" s="89">
        <f t="shared" ca="1" si="23"/>
        <v>8.5545050314939086E-5</v>
      </c>
      <c r="AO47" s="3">
        <f t="shared" si="24"/>
        <v>31</v>
      </c>
      <c r="AP47" s="33">
        <f t="shared" si="25"/>
        <v>38169</v>
      </c>
      <c r="AQ47" s="58">
        <f t="shared" ca="1" si="26"/>
        <v>1143</v>
      </c>
      <c r="AR47" s="38">
        <f>'ANR OK vs ML7'!AR47</f>
        <v>0.1</v>
      </c>
      <c r="AS47" s="35">
        <f t="shared" ca="1" si="27"/>
        <v>0.73685487973917274</v>
      </c>
      <c r="AT47" s="3">
        <f t="shared" si="28"/>
        <v>1</v>
      </c>
      <c r="AU47" s="3">
        <f t="shared" si="29"/>
        <v>31</v>
      </c>
      <c r="AW47" s="32">
        <f t="shared" ca="1" si="30"/>
        <v>224690.11947737786</v>
      </c>
      <c r="AX47" s="32">
        <f t="shared" si="31"/>
        <v>224614.80561508058</v>
      </c>
      <c r="AY47" s="32">
        <f t="shared" ca="1" si="32"/>
        <v>75.313862297272365</v>
      </c>
      <c r="BA47" s="32">
        <f ca="1">IF($A48="","",F47*Summary!$Q$13)</f>
        <v>0</v>
      </c>
      <c r="BC47" s="256">
        <f t="shared" ca="1" si="35"/>
        <v>165508.51557913786</v>
      </c>
    </row>
    <row r="48" spans="1:55">
      <c r="A48" s="67">
        <f t="shared" si="33"/>
        <v>38200</v>
      </c>
      <c r="B48" s="69">
        <f t="shared" si="36"/>
        <v>28400</v>
      </c>
      <c r="C48" s="71"/>
      <c r="D48" s="69">
        <f t="shared" si="0"/>
        <v>28400</v>
      </c>
      <c r="E48" s="70">
        <f t="shared" si="1"/>
        <v>880400</v>
      </c>
      <c r="F48" s="70">
        <f t="shared" ca="1" si="2"/>
        <v>643376.48428425414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0.25</v>
      </c>
      <c r="K48" s="64">
        <f t="shared" si="6"/>
        <v>0.25</v>
      </c>
      <c r="L48" s="38">
        <v>0</v>
      </c>
      <c r="M48" s="64">
        <f t="shared" si="7"/>
        <v>0</v>
      </c>
      <c r="N48" s="65"/>
      <c r="O48" s="63">
        <f t="shared" si="8"/>
        <v>4.3609999999999998</v>
      </c>
      <c r="P48" s="63">
        <f t="shared" si="9"/>
        <v>4.3609999999999998</v>
      </c>
      <c r="Q48" s="66"/>
      <c r="R48" s="63">
        <f t="shared" si="10"/>
        <v>-0.34828378720274011</v>
      </c>
      <c r="S48" s="64">
        <f t="shared" si="11"/>
        <v>-0.34828378720274011</v>
      </c>
      <c r="T48" s="38">
        <v>0</v>
      </c>
      <c r="U48" s="64">
        <f t="shared" si="12"/>
        <v>0</v>
      </c>
      <c r="V48" s="219">
        <f>(G48+R48)/(1-Summary!$T$13)*Summary!$T$13</f>
        <v>0.30005130741646263</v>
      </c>
      <c r="W48" s="43">
        <f t="shared" si="13"/>
        <v>4.0627675202137219</v>
      </c>
      <c r="X48" s="43">
        <f t="shared" si="14"/>
        <v>4.0627675202137219</v>
      </c>
      <c r="Y48" s="43"/>
      <c r="Z48" s="38">
        <f t="shared" si="15"/>
        <v>0.6</v>
      </c>
      <c r="AA48" s="38">
        <f t="shared" si="16"/>
        <v>0.28800000000000003</v>
      </c>
      <c r="AB48" s="38">
        <f t="shared" ca="1" si="17"/>
        <v>0.2962560244573218</v>
      </c>
      <c r="AC48" s="38">
        <f t="shared" si="18"/>
        <v>0.45</v>
      </c>
      <c r="AD48" s="38">
        <f t="shared" si="18"/>
        <v>0.28800000000000003</v>
      </c>
      <c r="AE48" s="38">
        <f t="shared" ca="1" si="19"/>
        <v>0.29272547331198229</v>
      </c>
      <c r="AF48" s="237">
        <f ca="1">((Summary!$N$13*(AA48*AD48)*(A48-$D$3))+(Summary!$M$13*Z48*AC48*(AJ48-EOMONTH(EDATE(A48,-1),0))))/(AK48*AB48*AE48)</f>
        <v>0.99826341319578482</v>
      </c>
      <c r="AG48" s="88">
        <f>IF($A49="","",Summary!$Q$13)</f>
        <v>0</v>
      </c>
      <c r="AH48" s="88">
        <f>IF($A49="","",IF(Summary!$R$12="Y",(VLOOKUP($A48,Summary!$AD$6:$AF$9,3)+'Escalating commodity'!I61),'Escalating commodity'!I61))</f>
        <v>4.7587938951901672E-2</v>
      </c>
      <c r="AI48" s="88">
        <f t="shared" si="34"/>
        <v>4.7587938951901672E-2</v>
      </c>
      <c r="AJ48" s="236">
        <f t="shared" si="20"/>
        <v>38214.5</v>
      </c>
      <c r="AK48" s="58">
        <f t="shared" ca="1" si="21"/>
        <v>1174</v>
      </c>
      <c r="AL48" s="26">
        <f ca="1">IF($A49="","",_xll.SPRDOPT(P48,X48,AI48,0,AB48,AE48,AF48,AK48,$AJ$2,0))</f>
        <v>0.25297225029634435</v>
      </c>
      <c r="AM48" s="209">
        <f t="shared" si="22"/>
        <v>0.25064454083437621</v>
      </c>
      <c r="AN48" s="89">
        <f t="shared" ca="1" si="23"/>
        <v>2.3277094619681415E-3</v>
      </c>
      <c r="AO48" s="3">
        <f t="shared" si="24"/>
        <v>31</v>
      </c>
      <c r="AP48" s="33">
        <f t="shared" si="25"/>
        <v>38200</v>
      </c>
      <c r="AQ48" s="58">
        <f t="shared" ca="1" si="26"/>
        <v>1174</v>
      </c>
      <c r="AR48" s="38">
        <f>'ANR OK vs ML7'!AR48</f>
        <v>0.1</v>
      </c>
      <c r="AS48" s="35">
        <f t="shared" ca="1" si="27"/>
        <v>0.73077746965499102</v>
      </c>
      <c r="AT48" s="3">
        <f t="shared" si="28"/>
        <v>1</v>
      </c>
      <c r="AU48" s="3">
        <f t="shared" si="29"/>
        <v>31</v>
      </c>
      <c r="AW48" s="32">
        <f t="shared" ca="1" si="30"/>
        <v>222716.76916090157</v>
      </c>
      <c r="AX48" s="32">
        <f t="shared" si="31"/>
        <v>220667.4537505848</v>
      </c>
      <c r="AY48" s="32">
        <f t="shared" ca="1" si="32"/>
        <v>2049.3154103167517</v>
      </c>
      <c r="BA48" s="32">
        <f ca="1">IF($A49="","",F48*Summary!$Q$13)</f>
        <v>0</v>
      </c>
      <c r="BC48" s="256">
        <f t="shared" ca="1" si="35"/>
        <v>161258.80348706213</v>
      </c>
    </row>
    <row r="49" spans="1:55">
      <c r="A49" s="67">
        <f t="shared" si="33"/>
        <v>38231</v>
      </c>
      <c r="B49" s="69">
        <f t="shared" si="36"/>
        <v>28400</v>
      </c>
      <c r="C49" s="71"/>
      <c r="D49" s="69">
        <f t="shared" si="0"/>
        <v>28400</v>
      </c>
      <c r="E49" s="70">
        <f t="shared" si="1"/>
        <v>852000</v>
      </c>
      <c r="F49" s="70">
        <f t="shared" ca="1" si="2"/>
        <v>617487.15732657793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0.25</v>
      </c>
      <c r="K49" s="64">
        <f t="shared" si="6"/>
        <v>0.25</v>
      </c>
      <c r="L49" s="38">
        <v>0</v>
      </c>
      <c r="M49" s="64">
        <f t="shared" si="7"/>
        <v>0</v>
      </c>
      <c r="N49" s="65"/>
      <c r="O49" s="63">
        <f t="shared" si="8"/>
        <v>4.375</v>
      </c>
      <c r="P49" s="63">
        <f t="shared" si="9"/>
        <v>4.375</v>
      </c>
      <c r="Q49" s="66"/>
      <c r="R49" s="63">
        <f t="shared" si="10"/>
        <v>-0.34826595545861899</v>
      </c>
      <c r="S49" s="64">
        <f t="shared" si="11"/>
        <v>-0.34826595545861899</v>
      </c>
      <c r="T49" s="38">
        <v>0</v>
      </c>
      <c r="U49" s="64">
        <f t="shared" si="12"/>
        <v>0</v>
      </c>
      <c r="V49" s="219">
        <f>(G49+R49)/(1-Summary!$T$13)*Summary!$T$13</f>
        <v>0.30116913520471372</v>
      </c>
      <c r="W49" s="43">
        <f t="shared" si="13"/>
        <v>4.0779031797460945</v>
      </c>
      <c r="X49" s="43">
        <f t="shared" si="14"/>
        <v>4.0779031797460945</v>
      </c>
      <c r="Y49" s="43"/>
      <c r="Z49" s="38">
        <f t="shared" si="15"/>
        <v>0.6</v>
      </c>
      <c r="AA49" s="38">
        <f t="shared" si="16"/>
        <v>0.28800000000000003</v>
      </c>
      <c r="AB49" s="38">
        <f t="shared" ca="1" si="17"/>
        <v>0.29579411927191968</v>
      </c>
      <c r="AC49" s="38">
        <f t="shared" si="18"/>
        <v>0.5</v>
      </c>
      <c r="AD49" s="38">
        <f t="shared" si="18"/>
        <v>0.28800000000000003</v>
      </c>
      <c r="AE49" s="38">
        <f t="shared" ca="1" si="19"/>
        <v>0.29347038417878135</v>
      </c>
      <c r="AF49" s="237">
        <f ca="1">((Summary!$N$13*(AA49*AD49)*(A49-$D$3))+(Summary!$M$13*Z49*AC49*(AJ49-EOMONTH(EDATE(A49,-1),0))))/(AK49*AB49*AE49)</f>
        <v>0.99921847062641167</v>
      </c>
      <c r="AG49" s="88">
        <f>IF($A50="","",Summary!$Q$13)</f>
        <v>0</v>
      </c>
      <c r="AH49" s="88">
        <f>IF($A50="","",IF(Summary!$R$12="Y",(VLOOKUP($A49,Summary!$AD$6:$AF$9,3)+'Escalating commodity'!I62),'Escalating commodity'!I62))</f>
        <v>4.7587938951901672E-2</v>
      </c>
      <c r="AI49" s="88">
        <f t="shared" si="34"/>
        <v>4.7587938951901672E-2</v>
      </c>
      <c r="AJ49" s="236">
        <f t="shared" si="20"/>
        <v>38245</v>
      </c>
      <c r="AK49" s="58">
        <f t="shared" ca="1" si="21"/>
        <v>1205</v>
      </c>
      <c r="AL49" s="26">
        <f ca="1">IF($A50="","",_xll.SPRDOPT(P49,X49,AI49,0,AB49,AE49,AF49,AK49,$AJ$2,0))</f>
        <v>0.24997483378896229</v>
      </c>
      <c r="AM49" s="209">
        <f t="shared" si="22"/>
        <v>0.24950888130200383</v>
      </c>
      <c r="AN49" s="89">
        <f t="shared" ca="1" si="23"/>
        <v>4.6595248695846525E-4</v>
      </c>
      <c r="AO49" s="3">
        <f t="shared" si="24"/>
        <v>30</v>
      </c>
      <c r="AP49" s="33">
        <f t="shared" si="25"/>
        <v>38231</v>
      </c>
      <c r="AQ49" s="58">
        <f t="shared" ca="1" si="26"/>
        <v>1205</v>
      </c>
      <c r="AR49" s="38">
        <f>'ANR OK vs ML7'!AR49</f>
        <v>0.1</v>
      </c>
      <c r="AS49" s="35">
        <f t="shared" ca="1" si="27"/>
        <v>0.72475018465560792</v>
      </c>
      <c r="AT49" s="3">
        <f t="shared" si="28"/>
        <v>1</v>
      </c>
      <c r="AU49" s="3">
        <f t="shared" si="29"/>
        <v>30</v>
      </c>
      <c r="AW49" s="32">
        <f t="shared" ca="1" si="30"/>
        <v>212978.55838819587</v>
      </c>
      <c r="AX49" s="32">
        <f t="shared" si="31"/>
        <v>212581.56686930725</v>
      </c>
      <c r="AY49" s="32">
        <f t="shared" ca="1" si="32"/>
        <v>396.9915188886124</v>
      </c>
      <c r="BA49" s="32">
        <f ca="1">IF($A50="","",F49*Summary!$Q$13)</f>
        <v>0</v>
      </c>
      <c r="BC49" s="256">
        <f t="shared" ca="1" si="35"/>
        <v>154068.5298429089</v>
      </c>
    </row>
    <row r="50" spans="1:55">
      <c r="A50" s="67">
        <f t="shared" si="33"/>
        <v>38261</v>
      </c>
      <c r="B50" s="69">
        <f t="shared" si="36"/>
        <v>28400</v>
      </c>
      <c r="C50" s="71"/>
      <c r="D50" s="69">
        <f t="shared" si="0"/>
        <v>28400</v>
      </c>
      <c r="E50" s="70">
        <f t="shared" si="1"/>
        <v>880400</v>
      </c>
      <c r="F50" s="70">
        <f t="shared" ca="1" si="2"/>
        <v>632976.49065860128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0.25</v>
      </c>
      <c r="K50" s="64">
        <f t="shared" si="6"/>
        <v>0.25</v>
      </c>
      <c r="L50" s="38">
        <v>0</v>
      </c>
      <c r="M50" s="64">
        <f t="shared" si="7"/>
        <v>0</v>
      </c>
      <c r="N50" s="65"/>
      <c r="O50" s="63">
        <f t="shared" si="8"/>
        <v>4.4060000000000006</v>
      </c>
      <c r="P50" s="63">
        <f t="shared" si="9"/>
        <v>4.4060000000000006</v>
      </c>
      <c r="Q50" s="66"/>
      <c r="R50" s="63">
        <f t="shared" si="10"/>
        <v>-0.34825065729121163</v>
      </c>
      <c r="S50" s="64">
        <f t="shared" si="11"/>
        <v>-0.34825065729121163</v>
      </c>
      <c r="T50" s="38">
        <v>0</v>
      </c>
      <c r="U50" s="64">
        <f t="shared" si="12"/>
        <v>0</v>
      </c>
      <c r="V50" s="219">
        <f>(G50+R50)/(1-Summary!$T$13)*Summary!$T$13</f>
        <v>0.303642396603857</v>
      </c>
      <c r="W50" s="43">
        <f t="shared" si="13"/>
        <v>4.111391739312646</v>
      </c>
      <c r="X50" s="43">
        <f t="shared" si="14"/>
        <v>4.111391739312646</v>
      </c>
      <c r="Y50" s="43"/>
      <c r="Z50" s="38">
        <f t="shared" si="15"/>
        <v>0.65</v>
      </c>
      <c r="AA50" s="38">
        <f t="shared" si="16"/>
        <v>0.28800000000000003</v>
      </c>
      <c r="AB50" s="38">
        <f t="shared" ca="1" si="17"/>
        <v>0.29717636634253175</v>
      </c>
      <c r="AC50" s="38">
        <f t="shared" si="18"/>
        <v>0.5</v>
      </c>
      <c r="AD50" s="38">
        <f t="shared" si="18"/>
        <v>0.28800000000000003</v>
      </c>
      <c r="AE50" s="38">
        <f t="shared" ca="1" si="19"/>
        <v>0.29351118029040324</v>
      </c>
      <c r="AF50" s="237">
        <f ca="1">((Summary!$N$13*(AA50*AD50)*(A50-$D$3))+(Summary!$M$13*Z50*AC50*(AJ50-EOMONTH(EDATE(A50,-1),0))))/(AK50*AB50*AE50)</f>
        <v>0.99836309164443637</v>
      </c>
      <c r="AG50" s="88">
        <f>IF($A51="","",Summary!$Q$13)</f>
        <v>0</v>
      </c>
      <c r="AH50" s="88">
        <f>IF($A51="","",IF(Summary!$R$12="Y",(VLOOKUP($A50,Summary!$AD$6:$AF$9,3)+'Escalating commodity'!I63),'Escalating commodity'!I63))</f>
        <v>4.7587938951901672E-2</v>
      </c>
      <c r="AI50" s="88">
        <f t="shared" si="34"/>
        <v>4.7587938951901672E-2</v>
      </c>
      <c r="AJ50" s="236">
        <f t="shared" si="20"/>
        <v>38275.5</v>
      </c>
      <c r="AK50" s="58">
        <f t="shared" ca="1" si="21"/>
        <v>1235</v>
      </c>
      <c r="AL50" s="26">
        <f ca="1">IF($A51="","",_xll.SPRDOPT(P50,X50,AI50,0,AB50,AE50,AF50,AK50,$AJ$2,0))</f>
        <v>0.24972597042201083</v>
      </c>
      <c r="AM50" s="209">
        <f t="shared" si="22"/>
        <v>0.24702032173545291</v>
      </c>
      <c r="AN50" s="89">
        <f t="shared" ca="1" si="23"/>
        <v>2.7056486865579266E-3</v>
      </c>
      <c r="AO50" s="3">
        <f t="shared" si="24"/>
        <v>31</v>
      </c>
      <c r="AP50" s="33">
        <f t="shared" si="25"/>
        <v>38261</v>
      </c>
      <c r="AQ50" s="58">
        <f t="shared" ca="1" si="26"/>
        <v>1235</v>
      </c>
      <c r="AR50" s="38">
        <f>'ANR OK vs ML7'!AR50</f>
        <v>0.1</v>
      </c>
      <c r="AS50" s="35">
        <f t="shared" ca="1" si="27"/>
        <v>0.71896466453725727</v>
      </c>
      <c r="AT50" s="3">
        <f t="shared" si="28"/>
        <v>1</v>
      </c>
      <c r="AU50" s="3">
        <f t="shared" si="29"/>
        <v>31</v>
      </c>
      <c r="AW50" s="32">
        <f t="shared" ca="1" si="30"/>
        <v>219858.74435953834</v>
      </c>
      <c r="AX50" s="32">
        <f t="shared" si="31"/>
        <v>217476.69125589274</v>
      </c>
      <c r="AY50" s="32">
        <f t="shared" ca="1" si="32"/>
        <v>2382.0531036455986</v>
      </c>
      <c r="BA50" s="32">
        <f ca="1">IF($A51="","",F50*Summary!$Q$13)</f>
        <v>0</v>
      </c>
      <c r="BC50" s="256">
        <f t="shared" ca="1" si="35"/>
        <v>156358.0563734656</v>
      </c>
    </row>
    <row r="51" spans="1:55">
      <c r="A51" s="67">
        <f t="shared" si="33"/>
        <v>38292</v>
      </c>
      <c r="B51" s="69">
        <f t="shared" si="36"/>
        <v>28400</v>
      </c>
      <c r="C51" s="71"/>
      <c r="D51" s="69">
        <f t="shared" si="0"/>
        <v>28400</v>
      </c>
      <c r="E51" s="70">
        <f t="shared" si="1"/>
        <v>852000</v>
      </c>
      <c r="F51" s="70">
        <f t="shared" ca="1" si="2"/>
        <v>607505.65713658719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0.51</v>
      </c>
      <c r="K51" s="64">
        <f t="shared" si="6"/>
        <v>0.51</v>
      </c>
      <c r="L51" s="38">
        <v>0</v>
      </c>
      <c r="M51" s="64">
        <f t="shared" si="7"/>
        <v>0</v>
      </c>
      <c r="N51" s="65"/>
      <c r="O51" s="63">
        <f t="shared" si="8"/>
        <v>4.7990000000000004</v>
      </c>
      <c r="P51" s="63">
        <f t="shared" si="9"/>
        <v>4.7990000000000004</v>
      </c>
      <c r="Q51" s="66"/>
      <c r="R51" s="63">
        <f t="shared" si="10"/>
        <v>-0.26950370136103541</v>
      </c>
      <c r="S51" s="64">
        <f t="shared" si="11"/>
        <v>-0.26950370136103541</v>
      </c>
      <c r="T51" s="38">
        <v>0</v>
      </c>
      <c r="U51" s="64">
        <f t="shared" si="12"/>
        <v>0</v>
      </c>
      <c r="V51" s="219">
        <f>(G51+R51)/(1-Summary!$T$13)*Summary!$T$13</f>
        <v>0.32052779198717579</v>
      </c>
      <c r="W51" s="43">
        <f t="shared" si="13"/>
        <v>4.3400240906261409</v>
      </c>
      <c r="X51" s="43">
        <f t="shared" si="14"/>
        <v>4.3400240906261409</v>
      </c>
      <c r="Y51" s="43"/>
      <c r="Z51" s="38">
        <f t="shared" si="15"/>
        <v>0.8</v>
      </c>
      <c r="AA51" s="38">
        <f t="shared" si="16"/>
        <v>0.28800000000000003</v>
      </c>
      <c r="AB51" s="38">
        <f t="shared" ca="1" si="17"/>
        <v>0.30098580527377589</v>
      </c>
      <c r="AC51" s="38">
        <f t="shared" si="18"/>
        <v>0.95</v>
      </c>
      <c r="AD51" s="38">
        <f t="shared" si="18"/>
        <v>0.28800000000000003</v>
      </c>
      <c r="AE51" s="38">
        <f t="shared" ca="1" si="19"/>
        <v>0.30610887695354905</v>
      </c>
      <c r="AF51" s="237">
        <f ca="1">((Summary!$N$13*(AA51*AD51)*(A51-$D$3))+(Summary!$M$13*Z51*AC51*(AJ51-EOMONTH(EDATE(A51,-1),0))))/(AK51*AB51*AE51)</f>
        <v>0.99860560418920852</v>
      </c>
      <c r="AG51" s="88">
        <f>IF($A52="","",Summary!$Q$13)</f>
        <v>0</v>
      </c>
      <c r="AH51" s="88">
        <f>IF($A52="","",IF(Summary!$R$12="Y",(VLOOKUP($A51,Summary!$AD$6:$AF$9,3)+'Escalating commodity'!I64),'Escalating commodity'!I64))</f>
        <v>4.7587938951901672E-2</v>
      </c>
      <c r="AI51" s="88">
        <f t="shared" si="34"/>
        <v>4.7587938951901672E-2</v>
      </c>
      <c r="AJ51" s="236">
        <f t="shared" si="20"/>
        <v>38306</v>
      </c>
      <c r="AK51" s="58">
        <f t="shared" ca="1" si="21"/>
        <v>1266</v>
      </c>
      <c r="AL51" s="26">
        <f ca="1">IF($A52="","",_xll.SPRDOPT(P51,X51,AI51,0,AB51,AE51,AF51,AK51,$AJ$2,0))</f>
        <v>0.41144497748209774</v>
      </c>
      <c r="AM51" s="209">
        <f t="shared" si="22"/>
        <v>0.41138797042195779</v>
      </c>
      <c r="AN51" s="89">
        <f t="shared" ca="1" si="23"/>
        <v>5.7007060139946386E-5</v>
      </c>
      <c r="AO51" s="3">
        <f t="shared" si="24"/>
        <v>30</v>
      </c>
      <c r="AP51" s="33">
        <f t="shared" si="25"/>
        <v>38292</v>
      </c>
      <c r="AQ51" s="58">
        <f t="shared" ca="1" si="26"/>
        <v>1266</v>
      </c>
      <c r="AR51" s="38">
        <f>'ANR OK vs ML7'!AR51</f>
        <v>0.1</v>
      </c>
      <c r="AS51" s="35">
        <f t="shared" ca="1" si="27"/>
        <v>0.71303480884575965</v>
      </c>
      <c r="AT51" s="3">
        <f t="shared" si="28"/>
        <v>1</v>
      </c>
      <c r="AU51" s="3">
        <f t="shared" si="29"/>
        <v>30</v>
      </c>
      <c r="AW51" s="32">
        <f t="shared" ca="1" si="30"/>
        <v>350551.12081474729</v>
      </c>
      <c r="AX51" s="32">
        <f t="shared" si="31"/>
        <v>350502.55079950806</v>
      </c>
      <c r="AY51" s="32">
        <f t="shared" ca="1" si="32"/>
        <v>48.570015239234323</v>
      </c>
      <c r="BA51" s="32">
        <f ca="1">IF($A52="","",F51*Summary!$Q$13)</f>
        <v>0</v>
      </c>
      <c r="BC51" s="256">
        <f t="shared" ca="1" si="35"/>
        <v>249920.51930927837</v>
      </c>
    </row>
    <row r="52" spans="1:55">
      <c r="A52" s="67">
        <f t="shared" si="33"/>
        <v>38322</v>
      </c>
      <c r="B52" s="69">
        <f t="shared" si="36"/>
        <v>28400</v>
      </c>
      <c r="C52" s="71"/>
      <c r="D52" s="69">
        <f t="shared" si="0"/>
        <v>28400</v>
      </c>
      <c r="E52" s="70">
        <f t="shared" si="1"/>
        <v>880400</v>
      </c>
      <c r="F52" s="70">
        <f t="shared" ca="1" si="2"/>
        <v>622744.6099031819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0.51</v>
      </c>
      <c r="K52" s="64">
        <f t="shared" si="6"/>
        <v>0.51</v>
      </c>
      <c r="L52" s="38">
        <v>0</v>
      </c>
      <c r="M52" s="64">
        <f t="shared" si="7"/>
        <v>0</v>
      </c>
      <c r="N52" s="65"/>
      <c r="O52" s="63">
        <f t="shared" si="8"/>
        <v>4.9370000000000003</v>
      </c>
      <c r="P52" s="63">
        <f t="shared" si="9"/>
        <v>4.9370000000000003</v>
      </c>
      <c r="Q52" s="66"/>
      <c r="R52" s="63">
        <f t="shared" si="10"/>
        <v>-0.2694889852484319</v>
      </c>
      <c r="S52" s="64">
        <f t="shared" si="11"/>
        <v>-0.2694889852484319</v>
      </c>
      <c r="T52" s="38">
        <v>0</v>
      </c>
      <c r="U52" s="64">
        <f t="shared" si="12"/>
        <v>0</v>
      </c>
      <c r="V52" s="219">
        <f>(G52+R52)/(1-Summary!$T$13)*Summary!$T$13</f>
        <v>0.33153353721756418</v>
      </c>
      <c r="W52" s="43">
        <f t="shared" si="13"/>
        <v>4.4890445519691324</v>
      </c>
      <c r="X52" s="43">
        <f t="shared" si="14"/>
        <v>4.4890445519691324</v>
      </c>
      <c r="Y52" s="43"/>
      <c r="Z52" s="38">
        <f t="shared" si="15"/>
        <v>1.1000000000000001</v>
      </c>
      <c r="AA52" s="38">
        <f t="shared" si="16"/>
        <v>0.28999999999999998</v>
      </c>
      <c r="AB52" s="38">
        <f t="shared" ca="1" si="17"/>
        <v>0.31406423322720561</v>
      </c>
      <c r="AC52" s="38">
        <f t="shared" si="18"/>
        <v>1.35</v>
      </c>
      <c r="AD52" s="38">
        <f t="shared" si="18"/>
        <v>0.28999999999999998</v>
      </c>
      <c r="AE52" s="38">
        <f t="shared" ca="1" si="19"/>
        <v>0.32551769072557124</v>
      </c>
      <c r="AF52" s="237">
        <f ca="1">((Summary!$N$13*(AA52*AD52)*(A52-$D$3))+(Summary!$M$13*Z52*AC52*(AJ52-EOMONTH(EDATE(A52,-1),0))))/(AK52*AB52*AE52)</f>
        <v>0.99690344262396902</v>
      </c>
      <c r="AG52" s="88">
        <f>IF($A53="","",Summary!$Q$13)</f>
        <v>0</v>
      </c>
      <c r="AH52" s="88">
        <f>IF($A53="","",IF(Summary!$R$12="Y",(VLOOKUP($A52,Summary!$AD$6:$AF$9,3)+'Escalating commodity'!I65),'Escalating commodity'!I65))</f>
        <v>4.7587938951901672E-2</v>
      </c>
      <c r="AI52" s="88">
        <f t="shared" si="34"/>
        <v>4.7587938951901672E-2</v>
      </c>
      <c r="AJ52" s="236">
        <f t="shared" si="20"/>
        <v>38336.5</v>
      </c>
      <c r="AK52" s="58">
        <f t="shared" ca="1" si="21"/>
        <v>1296</v>
      </c>
      <c r="AL52" s="26">
        <f ca="1">IF($A53="","",_xll.SPRDOPT(P52,X52,AI52,0,AB52,AE52,AF52,AK52,$AJ$2,0))</f>
        <v>0.40476039079929288</v>
      </c>
      <c r="AM52" s="209">
        <f t="shared" si="22"/>
        <v>0.40036750907896618</v>
      </c>
      <c r="AN52" s="89">
        <f t="shared" ca="1" si="23"/>
        <v>4.3928817203267023E-3</v>
      </c>
      <c r="AO52" s="3">
        <f t="shared" si="24"/>
        <v>31</v>
      </c>
      <c r="AP52" s="33">
        <f t="shared" si="25"/>
        <v>38322</v>
      </c>
      <c r="AQ52" s="58">
        <f t="shared" ca="1" si="26"/>
        <v>1296</v>
      </c>
      <c r="AR52" s="38">
        <f>'ANR OK vs ML7'!AR52</f>
        <v>0.1</v>
      </c>
      <c r="AS52" s="35">
        <f t="shared" ca="1" si="27"/>
        <v>0.70734280997635379</v>
      </c>
      <c r="AT52" s="3">
        <f t="shared" si="28"/>
        <v>1</v>
      </c>
      <c r="AU52" s="3">
        <f t="shared" si="29"/>
        <v>31</v>
      </c>
      <c r="AW52" s="32">
        <f t="shared" ca="1" si="30"/>
        <v>356351.04805969744</v>
      </c>
      <c r="AX52" s="32">
        <f t="shared" si="31"/>
        <v>352483.55499312183</v>
      </c>
      <c r="AY52" s="32">
        <f t="shared" ca="1" si="32"/>
        <v>3867.4930665756287</v>
      </c>
      <c r="BA52" s="32">
        <f ca="1">IF($A53="","",F52*Summary!$Q$13)</f>
        <v>0</v>
      </c>
      <c r="BC52" s="256">
        <f t="shared" ca="1" si="35"/>
        <v>249326.70825928944</v>
      </c>
    </row>
    <row r="53" spans="1:55">
      <c r="A53" s="67">
        <f t="shared" si="33"/>
        <v>38353</v>
      </c>
      <c r="B53" s="69">
        <f t="shared" si="36"/>
        <v>28400</v>
      </c>
      <c r="C53" s="71"/>
      <c r="D53" s="69">
        <f t="shared" si="0"/>
        <v>28400</v>
      </c>
      <c r="E53" s="70">
        <f t="shared" si="1"/>
        <v>880400</v>
      </c>
      <c r="F53" s="70">
        <f t="shared" ca="1" si="2"/>
        <v>617608.35515864508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0.51</v>
      </c>
      <c r="K53" s="64">
        <f t="shared" si="6"/>
        <v>0.51</v>
      </c>
      <c r="L53" s="38">
        <v>0</v>
      </c>
      <c r="M53" s="64">
        <f t="shared" si="7"/>
        <v>0</v>
      </c>
      <c r="N53" s="65"/>
      <c r="O53" s="63">
        <f t="shared" si="8"/>
        <v>4.9240000000000004</v>
      </c>
      <c r="P53" s="63">
        <f t="shared" si="9"/>
        <v>4.9240000000000004</v>
      </c>
      <c r="Q53" s="66"/>
      <c r="R53" s="63">
        <f t="shared" si="10"/>
        <v>-0.26947398227783159</v>
      </c>
      <c r="S53" s="64">
        <f t="shared" si="11"/>
        <v>-0.26947398227783159</v>
      </c>
      <c r="T53" s="38">
        <v>0</v>
      </c>
      <c r="U53" s="64">
        <f t="shared" si="12"/>
        <v>0</v>
      </c>
      <c r="V53" s="219">
        <f>(G53+R53)/(1-Summary!$T$13)*Summary!$T$13</f>
        <v>0.33049807105027285</v>
      </c>
      <c r="W53" s="43">
        <f t="shared" si="13"/>
        <v>4.4750240887724422</v>
      </c>
      <c r="X53" s="43">
        <f t="shared" si="14"/>
        <v>4.4750240887724422</v>
      </c>
      <c r="Y53" s="43"/>
      <c r="Z53" s="38">
        <f t="shared" si="15"/>
        <v>1.1000000000000001</v>
      </c>
      <c r="AA53" s="38">
        <f t="shared" si="16"/>
        <v>0.29300000000000004</v>
      </c>
      <c r="AB53" s="38">
        <f t="shared" ca="1" si="17"/>
        <v>0.31630219350913263</v>
      </c>
      <c r="AC53" s="38">
        <f t="shared" si="18"/>
        <v>1.35</v>
      </c>
      <c r="AD53" s="38">
        <f t="shared" si="18"/>
        <v>0.29300000000000004</v>
      </c>
      <c r="AE53" s="38">
        <f t="shared" ca="1" si="19"/>
        <v>0.32741620763464629</v>
      </c>
      <c r="AF53" s="237">
        <f ca="1">((Summary!$N$13*(AA53*AD53)*(A53-$D$3))+(Summary!$M$13*Z53*AC53*(AJ53-EOMONTH(EDATE(A53,-1),0))))/(AK53*AB53*AE53)</f>
        <v>0.99698881455736355</v>
      </c>
      <c r="AG53" s="88">
        <f>IF($A54="","",Summary!$Q$13)</f>
        <v>0</v>
      </c>
      <c r="AH53" s="88">
        <f>IF($A54="","",IF(Summary!$R$12="Y",(VLOOKUP($A53,Summary!$AD$6:$AF$9,3)+'Escalating commodity'!I66),'Escalating commodity'!I66))</f>
        <v>4.8539697730939704E-2</v>
      </c>
      <c r="AI53" s="88">
        <f t="shared" si="34"/>
        <v>4.8539697730939704E-2</v>
      </c>
      <c r="AJ53" s="236">
        <f t="shared" si="20"/>
        <v>38367.5</v>
      </c>
      <c r="AK53" s="58">
        <f t="shared" ca="1" si="21"/>
        <v>1327</v>
      </c>
      <c r="AL53" s="26">
        <f ca="1">IF($A54="","",_xll.SPRDOPT(P53,X53,AI53,0,AB53,AE53,AF53,AK53,$AJ$2,0))</f>
        <v>0.40476186801163527</v>
      </c>
      <c r="AM53" s="209">
        <f t="shared" si="22"/>
        <v>0.40043621349661851</v>
      </c>
      <c r="AN53" s="89">
        <f t="shared" ca="1" si="23"/>
        <v>4.3256545150167636E-3</v>
      </c>
      <c r="AO53" s="3">
        <f t="shared" si="24"/>
        <v>31</v>
      </c>
      <c r="AP53" s="33">
        <f t="shared" si="25"/>
        <v>38353</v>
      </c>
      <c r="AQ53" s="58">
        <f t="shared" ca="1" si="26"/>
        <v>1327</v>
      </c>
      <c r="AR53" s="38">
        <f>'ANR OK vs ML7'!AR53</f>
        <v>0.1</v>
      </c>
      <c r="AS53" s="35">
        <f t="shared" ca="1" si="27"/>
        <v>0.70150880867633469</v>
      </c>
      <c r="AT53" s="3">
        <f t="shared" si="28"/>
        <v>1</v>
      </c>
      <c r="AU53" s="3">
        <f t="shared" si="29"/>
        <v>31</v>
      </c>
      <c r="AW53" s="32">
        <f t="shared" ca="1" si="30"/>
        <v>356352.34859744372</v>
      </c>
      <c r="AX53" s="32">
        <f t="shared" si="31"/>
        <v>352544.04236242292</v>
      </c>
      <c r="AY53" s="32">
        <f t="shared" ca="1" si="32"/>
        <v>3808.3062350207588</v>
      </c>
      <c r="BA53" s="32">
        <f ca="1">IF($A54="","",F53*Summary!$Q$13)</f>
        <v>0</v>
      </c>
      <c r="BC53" s="256">
        <f t="shared" ca="1" si="35"/>
        <v>247312.7511636026</v>
      </c>
    </row>
    <row r="54" spans="1:55">
      <c r="A54" s="67">
        <f t="shared" si="33"/>
        <v>38384</v>
      </c>
      <c r="B54" s="69">
        <f t="shared" si="36"/>
        <v>28400</v>
      </c>
      <c r="C54" s="71"/>
      <c r="D54" s="69">
        <f t="shared" si="0"/>
        <v>28400</v>
      </c>
      <c r="E54" s="70">
        <f t="shared" si="1"/>
        <v>795200</v>
      </c>
      <c r="F54" s="70">
        <f t="shared" ca="1" si="2"/>
        <v>553238.86986559175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0.51</v>
      </c>
      <c r="K54" s="64">
        <f t="shared" si="6"/>
        <v>0.51</v>
      </c>
      <c r="L54" s="38">
        <v>0</v>
      </c>
      <c r="M54" s="64">
        <f t="shared" si="7"/>
        <v>0</v>
      </c>
      <c r="N54" s="65"/>
      <c r="O54" s="63">
        <f t="shared" si="8"/>
        <v>4.8040000000000003</v>
      </c>
      <c r="P54" s="63">
        <f t="shared" si="9"/>
        <v>4.8040000000000003</v>
      </c>
      <c r="Q54" s="66"/>
      <c r="R54" s="63">
        <f t="shared" si="10"/>
        <v>-0.26945904587152297</v>
      </c>
      <c r="S54" s="64">
        <f t="shared" si="11"/>
        <v>-0.26945904587152297</v>
      </c>
      <c r="T54" s="38">
        <v>0</v>
      </c>
      <c r="U54" s="64">
        <f t="shared" si="12"/>
        <v>0</v>
      </c>
      <c r="V54" s="219">
        <f>(G54+R54)/(1-Summary!$T$13)*Summary!$T$13</f>
        <v>0.32093006932872647</v>
      </c>
      <c r="W54" s="43">
        <f t="shared" si="13"/>
        <v>4.345471023457204</v>
      </c>
      <c r="X54" s="43">
        <f t="shared" si="14"/>
        <v>4.345471023457204</v>
      </c>
      <c r="Y54" s="43"/>
      <c r="Z54" s="38">
        <f t="shared" si="15"/>
        <v>1.1000000000000001</v>
      </c>
      <c r="AA54" s="38">
        <f t="shared" si="16"/>
        <v>0.28499999999999998</v>
      </c>
      <c r="AB54" s="38">
        <f t="shared" ca="1" si="17"/>
        <v>0.30620097816300706</v>
      </c>
      <c r="AC54" s="38">
        <f t="shared" si="18"/>
        <v>1.35</v>
      </c>
      <c r="AD54" s="38">
        <f t="shared" si="18"/>
        <v>0.28499999999999998</v>
      </c>
      <c r="AE54" s="38">
        <f t="shared" ca="1" si="19"/>
        <v>0.31634391414672902</v>
      </c>
      <c r="AF54" s="237">
        <f ca="1">((Summary!$N$13*(AA54*AD54)*(A54-$D$3))+(Summary!$M$13*Z54*AC54*(AJ54-EOMONTH(EDATE(A54,-1),0))))/(AK54*AB54*AE54)</f>
        <v>0.9971212059635588</v>
      </c>
      <c r="AG54" s="88">
        <f>IF($A55="","",Summary!$Q$13)</f>
        <v>0</v>
      </c>
      <c r="AH54" s="88">
        <f>IF($A55="","",IF(Summary!$R$12="Y",(VLOOKUP($A54,Summary!$AD$6:$AF$9,3)+'Escalating commodity'!I67),'Escalating commodity'!I67))</f>
        <v>4.8539697730939704E-2</v>
      </c>
      <c r="AI54" s="88">
        <f t="shared" si="34"/>
        <v>4.8539697730939704E-2</v>
      </c>
      <c r="AJ54" s="236">
        <f t="shared" si="20"/>
        <v>38397</v>
      </c>
      <c r="AK54" s="58">
        <f t="shared" ca="1" si="21"/>
        <v>1358</v>
      </c>
      <c r="AL54" s="26">
        <f ca="1">IF($A55="","",_xll.SPRDOPT(P54,X54,AI54,0,AB54,AE54,AF54,AK54,$AJ$2,0))</f>
        <v>0.41253589040064809</v>
      </c>
      <c r="AM54" s="209">
        <f t="shared" si="22"/>
        <v>0.40998927881185654</v>
      </c>
      <c r="AN54" s="89">
        <f t="shared" ca="1" si="23"/>
        <v>2.5466115887915475E-3</v>
      </c>
      <c r="AO54" s="3">
        <f t="shared" si="24"/>
        <v>28</v>
      </c>
      <c r="AP54" s="33">
        <f t="shared" si="25"/>
        <v>38384</v>
      </c>
      <c r="AQ54" s="58">
        <f t="shared" ca="1" si="26"/>
        <v>1358</v>
      </c>
      <c r="AR54" s="38">
        <f>'ANR OK vs ML7'!AR54</f>
        <v>0.1</v>
      </c>
      <c r="AS54" s="35">
        <f t="shared" ca="1" si="27"/>
        <v>0.69572292488127729</v>
      </c>
      <c r="AT54" s="3">
        <f t="shared" si="28"/>
        <v>1</v>
      </c>
      <c r="AU54" s="3">
        <f t="shared" si="29"/>
        <v>28</v>
      </c>
      <c r="AW54" s="32">
        <f t="shared" ca="1" si="30"/>
        <v>328048.54004659539</v>
      </c>
      <c r="AX54" s="32">
        <f t="shared" si="31"/>
        <v>326023.47451118834</v>
      </c>
      <c r="AY54" s="32">
        <f t="shared" ca="1" si="32"/>
        <v>2025.0655354070386</v>
      </c>
      <c r="BA54" s="32">
        <f ca="1">IF($A55="","",F54*Summary!$Q$13)</f>
        <v>0</v>
      </c>
      <c r="BC54" s="256">
        <f t="shared" ca="1" si="35"/>
        <v>226822.0052668805</v>
      </c>
    </row>
    <row r="55" spans="1:55">
      <c r="A55" s="67">
        <f t="shared" si="33"/>
        <v>38412</v>
      </c>
      <c r="B55" s="69">
        <f t="shared" si="36"/>
        <v>28400</v>
      </c>
      <c r="C55" s="71"/>
      <c r="D55" s="69">
        <f t="shared" si="0"/>
        <v>28400</v>
      </c>
      <c r="E55" s="70">
        <f t="shared" si="1"/>
        <v>880400</v>
      </c>
      <c r="F55" s="70">
        <f t="shared" ca="1" si="2"/>
        <v>607949.64918909559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0.51</v>
      </c>
      <c r="K55" s="64">
        <f t="shared" si="6"/>
        <v>0.51</v>
      </c>
      <c r="L55" s="38">
        <v>0</v>
      </c>
      <c r="M55" s="64">
        <f t="shared" si="7"/>
        <v>0</v>
      </c>
      <c r="N55" s="65"/>
      <c r="O55" s="63">
        <f t="shared" si="8"/>
        <v>4.665</v>
      </c>
      <c r="P55" s="63">
        <f t="shared" si="9"/>
        <v>4.665</v>
      </c>
      <c r="Q55" s="66"/>
      <c r="R55" s="63">
        <f t="shared" si="10"/>
        <v>-0.26944484733008905</v>
      </c>
      <c r="S55" s="64">
        <f t="shared" si="11"/>
        <v>-0.26944484733008905</v>
      </c>
      <c r="T55" s="38">
        <v>0</v>
      </c>
      <c r="U55" s="64">
        <f t="shared" si="12"/>
        <v>0</v>
      </c>
      <c r="V55" s="219">
        <f>(G55+R55)/(1-Summary!$T$13)*Summary!$T$13</f>
        <v>0.3098468865741692</v>
      </c>
      <c r="W55" s="43">
        <f t="shared" si="13"/>
        <v>4.1954020392440805</v>
      </c>
      <c r="X55" s="43">
        <f t="shared" si="14"/>
        <v>4.1954020392440805</v>
      </c>
      <c r="Y55" s="43"/>
      <c r="Z55" s="38">
        <f t="shared" si="15"/>
        <v>0.75</v>
      </c>
      <c r="AA55" s="38">
        <f t="shared" si="16"/>
        <v>0.28000000000000003</v>
      </c>
      <c r="AB55" s="38">
        <f t="shared" ca="1" si="17"/>
        <v>0.2911136377295816</v>
      </c>
      <c r="AC55" s="38">
        <f t="shared" si="18"/>
        <v>0.95</v>
      </c>
      <c r="AD55" s="38">
        <f t="shared" si="18"/>
        <v>0.28000000000000003</v>
      </c>
      <c r="AE55" s="38">
        <f t="shared" ca="1" si="19"/>
        <v>0.29757261109594563</v>
      </c>
      <c r="AF55" s="237">
        <f ca="1">((Summary!$N$13*(AA55*AD55)*(A55-$D$3))+(Summary!$M$13*Z55*AC55*(AJ55-EOMONTH(EDATE(A55,-1),0))))/(AK55*AB55*AE55)</f>
        <v>0.9975683028511817</v>
      </c>
      <c r="AG55" s="88">
        <f>IF($A56="","",Summary!$Q$13)</f>
        <v>0</v>
      </c>
      <c r="AH55" s="88">
        <f>IF($A56="","",IF(Summary!$R$12="Y",(VLOOKUP($A55,Summary!$AD$6:$AF$9,3)+'Escalating commodity'!I68),'Escalating commodity'!I68))</f>
        <v>4.8539697730939704E-2</v>
      </c>
      <c r="AI55" s="88">
        <f t="shared" si="34"/>
        <v>4.8539697730939704E-2</v>
      </c>
      <c r="AJ55" s="236">
        <f t="shared" si="20"/>
        <v>38426.5</v>
      </c>
      <c r="AK55" s="58">
        <f t="shared" ca="1" si="21"/>
        <v>1386</v>
      </c>
      <c r="AL55" s="26">
        <f ca="1">IF($A56="","",_xll.SPRDOPT(P55,X55,AI55,0,AB55,AE55,AF55,AK55,$AJ$2,0))</f>
        <v>0.42164427986684955</v>
      </c>
      <c r="AM55" s="209">
        <f t="shared" si="22"/>
        <v>0.42105826302497984</v>
      </c>
      <c r="AN55" s="89">
        <f t="shared" ca="1" si="23"/>
        <v>5.8601684186970759E-4</v>
      </c>
      <c r="AO55" s="3">
        <f t="shared" si="24"/>
        <v>31</v>
      </c>
      <c r="AP55" s="33">
        <f t="shared" si="25"/>
        <v>38412</v>
      </c>
      <c r="AQ55" s="58">
        <f t="shared" ca="1" si="26"/>
        <v>1386</v>
      </c>
      <c r="AR55" s="38">
        <f>'ANR OK vs ML7'!AR55</f>
        <v>0.1</v>
      </c>
      <c r="AS55" s="35">
        <f t="shared" ca="1" si="27"/>
        <v>0.69053799317253017</v>
      </c>
      <c r="AT55" s="3">
        <f t="shared" si="28"/>
        <v>1</v>
      </c>
      <c r="AU55" s="3">
        <f t="shared" si="29"/>
        <v>31</v>
      </c>
      <c r="AW55" s="32">
        <f t="shared" ca="1" si="30"/>
        <v>371215.62399477436</v>
      </c>
      <c r="AX55" s="32">
        <f t="shared" si="31"/>
        <v>370699.69476719224</v>
      </c>
      <c r="AY55" s="32">
        <f t="shared" ca="1" si="32"/>
        <v>515.92922758209056</v>
      </c>
      <c r="BA55" s="32">
        <f ca="1">IF($A56="","",F55*Summary!$Q$13)</f>
        <v>0</v>
      </c>
      <c r="BC55" s="256">
        <f t="shared" ca="1" si="35"/>
        <v>255982.22329420643</v>
      </c>
    </row>
    <row r="56" spans="1:55">
      <c r="A56" s="67">
        <f t="shared" si="33"/>
        <v>38443</v>
      </c>
      <c r="B56" s="69">
        <f t="shared" si="36"/>
        <v>28400</v>
      </c>
      <c r="C56" s="71"/>
      <c r="D56" s="69">
        <f t="shared" si="0"/>
        <v>28400</v>
      </c>
      <c r="E56" s="70">
        <f t="shared" si="1"/>
        <v>852000</v>
      </c>
      <c r="F56" s="70">
        <f t="shared" ca="1" si="2"/>
        <v>583485.89021417627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0.23499999999999999</v>
      </c>
      <c r="K56" s="64">
        <f t="shared" si="6"/>
        <v>0.23499999999999999</v>
      </c>
      <c r="L56" s="38">
        <v>0</v>
      </c>
      <c r="M56" s="64">
        <f t="shared" si="7"/>
        <v>0</v>
      </c>
      <c r="N56" s="65"/>
      <c r="O56" s="63">
        <f t="shared" si="8"/>
        <v>4.2149999999999999</v>
      </c>
      <c r="P56" s="63">
        <f t="shared" si="9"/>
        <v>4.2149999999999999</v>
      </c>
      <c r="Q56" s="66"/>
      <c r="R56" s="63">
        <f t="shared" si="10"/>
        <v>-0.35817090724177508</v>
      </c>
      <c r="S56" s="64">
        <f t="shared" si="11"/>
        <v>-0.35817090724177508</v>
      </c>
      <c r="T56" s="38">
        <v>0</v>
      </c>
      <c r="U56" s="64">
        <f t="shared" si="12"/>
        <v>0</v>
      </c>
      <c r="V56" s="219">
        <f>(G56+R56)/(1-Summary!$T$13)*Summary!$T$13</f>
        <v>0.28881650729465758</v>
      </c>
      <c r="W56" s="43">
        <f t="shared" si="13"/>
        <v>3.9106456000528826</v>
      </c>
      <c r="X56" s="43">
        <f t="shared" si="14"/>
        <v>3.9106456000528826</v>
      </c>
      <c r="Y56" s="43"/>
      <c r="Z56" s="38">
        <f t="shared" si="15"/>
        <v>0.45</v>
      </c>
      <c r="AA56" s="38">
        <f t="shared" si="16"/>
        <v>0.27</v>
      </c>
      <c r="AB56" s="38">
        <f t="shared" ca="1" si="17"/>
        <v>0.27403477878890786</v>
      </c>
      <c r="AC56" s="38">
        <f t="shared" si="18"/>
        <v>0.5</v>
      </c>
      <c r="AD56" s="38">
        <f t="shared" si="18"/>
        <v>0.27</v>
      </c>
      <c r="AE56" s="38">
        <f t="shared" ca="1" si="19"/>
        <v>0.27495069167233216</v>
      </c>
      <c r="AF56" s="237">
        <f ca="1">((Summary!$N$13*(AA56*AD56)*(A56-$D$3))+(Summary!$M$13*Z56*AC56*(AJ56-EOMONTH(EDATE(A56,-1),0))))/(AK56*AB56*AE56)</f>
        <v>0.9997331263337047</v>
      </c>
      <c r="AG56" s="88">
        <f>IF($A57="","",Summary!$Q$13)</f>
        <v>0</v>
      </c>
      <c r="AH56" s="88">
        <f>IF($A57="","",IF(Summary!$R$12="Y",(VLOOKUP($A56,Summary!$AD$6:$AF$9,3)+'Escalating commodity'!I69),'Escalating commodity'!I69))</f>
        <v>4.8539697730939704E-2</v>
      </c>
      <c r="AI56" s="88">
        <f t="shared" si="34"/>
        <v>4.8539697730939704E-2</v>
      </c>
      <c r="AJ56" s="236">
        <f t="shared" si="20"/>
        <v>38457</v>
      </c>
      <c r="AK56" s="58">
        <f t="shared" ca="1" si="21"/>
        <v>1417</v>
      </c>
      <c r="AL56" s="26">
        <f ca="1">IF($A57="","",_xll.SPRDOPT(P56,X56,AI56,0,AB56,AE56,AF56,AK56,$AJ$2,0))</f>
        <v>0.25587216625765224</v>
      </c>
      <c r="AM56" s="209">
        <f t="shared" si="22"/>
        <v>0.25581470221617753</v>
      </c>
      <c r="AN56" s="89">
        <f t="shared" ca="1" si="23"/>
        <v>5.7464041474719618E-5</v>
      </c>
      <c r="AO56" s="3">
        <f t="shared" si="24"/>
        <v>30</v>
      </c>
      <c r="AP56" s="33">
        <f t="shared" si="25"/>
        <v>38443</v>
      </c>
      <c r="AQ56" s="58">
        <f t="shared" ca="1" si="26"/>
        <v>1417</v>
      </c>
      <c r="AR56" s="38">
        <f>'ANR OK vs ML7'!AR56</f>
        <v>0.1</v>
      </c>
      <c r="AS56" s="35">
        <f t="shared" ca="1" si="27"/>
        <v>0.68484259414809423</v>
      </c>
      <c r="AT56" s="3">
        <f t="shared" si="28"/>
        <v>1</v>
      </c>
      <c r="AU56" s="3">
        <f t="shared" si="29"/>
        <v>30</v>
      </c>
      <c r="AW56" s="32">
        <f t="shared" ca="1" si="30"/>
        <v>218003.08565151971</v>
      </c>
      <c r="AX56" s="32">
        <f t="shared" si="31"/>
        <v>217954.12628818324</v>
      </c>
      <c r="AY56" s="32">
        <f t="shared" ca="1" si="32"/>
        <v>48.959363336461116</v>
      </c>
      <c r="BA56" s="32">
        <f ca="1">IF($A57="","",F56*Summary!$Q$13)</f>
        <v>0</v>
      </c>
      <c r="BC56" s="256">
        <f t="shared" ca="1" si="35"/>
        <v>149264.26925248076</v>
      </c>
    </row>
    <row r="57" spans="1:55">
      <c r="A57" s="67">
        <f t="shared" si="33"/>
        <v>38473</v>
      </c>
      <c r="B57" s="69">
        <f t="shared" si="36"/>
        <v>28400</v>
      </c>
      <c r="C57" s="71"/>
      <c r="D57" s="69">
        <f t="shared" si="0"/>
        <v>28400</v>
      </c>
      <c r="E57" s="70">
        <f t="shared" si="1"/>
        <v>880400</v>
      </c>
      <c r="F57" s="70">
        <f t="shared" ca="1" si="2"/>
        <v>598122.3200424324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0.23499999999999999</v>
      </c>
      <c r="K57" s="64">
        <f t="shared" si="6"/>
        <v>0.23499999999999999</v>
      </c>
      <c r="L57" s="38">
        <v>0</v>
      </c>
      <c r="M57" s="64">
        <f t="shared" si="7"/>
        <v>0</v>
      </c>
      <c r="N57" s="65"/>
      <c r="O57" s="63">
        <f t="shared" si="8"/>
        <v>4.1850000000000005</v>
      </c>
      <c r="P57" s="63">
        <f t="shared" si="9"/>
        <v>4.1850000000000005</v>
      </c>
      <c r="Q57" s="66"/>
      <c r="R57" s="63">
        <f t="shared" si="10"/>
        <v>-0.35816730787899631</v>
      </c>
      <c r="S57" s="64">
        <f t="shared" si="11"/>
        <v>-0.35816730787899631</v>
      </c>
      <c r="T57" s="38">
        <v>0</v>
      </c>
      <c r="U57" s="64">
        <f t="shared" si="12"/>
        <v>0</v>
      </c>
      <c r="V57" s="219">
        <f>(G57+R57)/(1-Summary!$T$13)*Summary!$T$13</f>
        <v>0.28642449611975818</v>
      </c>
      <c r="W57" s="43">
        <f t="shared" si="13"/>
        <v>3.8782571882407622</v>
      </c>
      <c r="X57" s="43">
        <f t="shared" si="14"/>
        <v>3.8782571882407622</v>
      </c>
      <c r="Y57" s="43"/>
      <c r="Z57" s="38">
        <f t="shared" si="15"/>
        <v>0.5</v>
      </c>
      <c r="AA57" s="38">
        <f t="shared" si="16"/>
        <v>0.26300000000000001</v>
      </c>
      <c r="AB57" s="38">
        <f t="shared" ca="1" si="17"/>
        <v>0.26813197505518394</v>
      </c>
      <c r="AC57" s="38">
        <f t="shared" si="18"/>
        <v>0.45</v>
      </c>
      <c r="AD57" s="38">
        <f t="shared" si="18"/>
        <v>0.26300000000000001</v>
      </c>
      <c r="AE57" s="38">
        <f t="shared" ca="1" si="19"/>
        <v>0.26718148272887426</v>
      </c>
      <c r="AF57" s="237">
        <f ca="1">((Summary!$N$13*(AA57*AD57)*(A57-$D$3))+(Summary!$M$13*Z57*AC57*(AJ57-EOMONTH(EDATE(A57,-1),0))))/(AK57*AB57*AE57)</f>
        <v>0.99972278388652869</v>
      </c>
      <c r="AG57" s="88">
        <f>IF($A58="","",Summary!$Q$13)</f>
        <v>0</v>
      </c>
      <c r="AH57" s="88">
        <f>IF($A58="","",IF(Summary!$R$12="Y",(VLOOKUP($A57,Summary!$AD$6:$AF$9,3)+'Escalating commodity'!I70),'Escalating commodity'!I70))</f>
        <v>4.8539697730939704E-2</v>
      </c>
      <c r="AI57" s="88">
        <f t="shared" si="34"/>
        <v>4.8539697730939704E-2</v>
      </c>
      <c r="AJ57" s="236">
        <f t="shared" si="20"/>
        <v>38487.5</v>
      </c>
      <c r="AK57" s="58">
        <f t="shared" ca="1" si="21"/>
        <v>1447</v>
      </c>
      <c r="AL57" s="26">
        <f ca="1">IF($A58="","",_xll.SPRDOPT(P57,X57,AI57,0,AB57,AE57,AF57,AK57,$AJ$2,0))</f>
        <v>0.25828102355027177</v>
      </c>
      <c r="AM57" s="209">
        <f t="shared" si="22"/>
        <v>0.25820311402829865</v>
      </c>
      <c r="AN57" s="89">
        <f t="shared" ca="1" si="23"/>
        <v>7.7909521973118512E-5</v>
      </c>
      <c r="AO57" s="3">
        <f t="shared" si="24"/>
        <v>31</v>
      </c>
      <c r="AP57" s="33">
        <f t="shared" si="25"/>
        <v>38473</v>
      </c>
      <c r="AQ57" s="58">
        <f t="shared" ca="1" si="26"/>
        <v>1447</v>
      </c>
      <c r="AR57" s="38">
        <f>'ANR OK vs ML7'!AR57</f>
        <v>0.1</v>
      </c>
      <c r="AS57" s="35">
        <f t="shared" ca="1" si="27"/>
        <v>0.67937564748118173</v>
      </c>
      <c r="AT57" s="3">
        <f t="shared" si="28"/>
        <v>1</v>
      </c>
      <c r="AU57" s="3">
        <f t="shared" si="29"/>
        <v>31</v>
      </c>
      <c r="AW57" s="32">
        <f t="shared" ca="1" si="30"/>
        <v>227390.61313365927</v>
      </c>
      <c r="AX57" s="32">
        <f t="shared" si="31"/>
        <v>227322.02159051414</v>
      </c>
      <c r="AY57" s="32">
        <f t="shared" ca="1" si="32"/>
        <v>68.591543145133542</v>
      </c>
      <c r="BA57" s="32">
        <f ca="1">IF($A58="","",F57*Summary!$Q$13)</f>
        <v>0</v>
      </c>
      <c r="BC57" s="256">
        <f t="shared" ca="1" si="35"/>
        <v>154437.04560478672</v>
      </c>
    </row>
    <row r="58" spans="1:55">
      <c r="A58" s="67">
        <f t="shared" si="33"/>
        <v>38504</v>
      </c>
      <c r="B58" s="69">
        <f t="shared" si="36"/>
        <v>28400</v>
      </c>
      <c r="C58" s="71"/>
      <c r="D58" s="69">
        <f t="shared" si="0"/>
        <v>28400</v>
      </c>
      <c r="E58" s="70">
        <f t="shared" si="1"/>
        <v>852000</v>
      </c>
      <c r="F58" s="70">
        <f t="shared" ca="1" si="2"/>
        <v>574054.01061161887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0.23499999999999999</v>
      </c>
      <c r="K58" s="64">
        <f t="shared" si="6"/>
        <v>0.23499999999999999</v>
      </c>
      <c r="L58" s="38">
        <v>0</v>
      </c>
      <c r="M58" s="64">
        <f t="shared" si="7"/>
        <v>0</v>
      </c>
      <c r="N58" s="65"/>
      <c r="O58" s="63">
        <f t="shared" si="8"/>
        <v>4.2549999999999999</v>
      </c>
      <c r="P58" s="63">
        <f t="shared" si="9"/>
        <v>4.2549999999999999</v>
      </c>
      <c r="Q58" s="66"/>
      <c r="R58" s="63">
        <f t="shared" si="10"/>
        <v>-0.35816334788674048</v>
      </c>
      <c r="S58" s="64">
        <f t="shared" si="11"/>
        <v>-0.35816334788674048</v>
      </c>
      <c r="T58" s="38">
        <v>0</v>
      </c>
      <c r="U58" s="64">
        <f t="shared" si="12"/>
        <v>0</v>
      </c>
      <c r="V58" s="219">
        <f>(G58+R58)/(1-Summary!$T$13)*Summary!$T$13</f>
        <v>0.29200684103553132</v>
      </c>
      <c r="W58" s="43">
        <f t="shared" si="13"/>
        <v>3.9538434931487902</v>
      </c>
      <c r="X58" s="43">
        <f t="shared" si="14"/>
        <v>3.9538434931487902</v>
      </c>
      <c r="Y58" s="43"/>
      <c r="Z58" s="38">
        <f t="shared" si="15"/>
        <v>0.5</v>
      </c>
      <c r="AA58" s="38">
        <f t="shared" si="16"/>
        <v>0.25800000000000001</v>
      </c>
      <c r="AB58" s="38">
        <f t="shared" ca="1" si="17"/>
        <v>0.26295674356272941</v>
      </c>
      <c r="AC58" s="38">
        <f t="shared" si="18"/>
        <v>0.5</v>
      </c>
      <c r="AD58" s="38">
        <f t="shared" si="18"/>
        <v>0.25800000000000001</v>
      </c>
      <c r="AE58" s="38">
        <f t="shared" ca="1" si="19"/>
        <v>0.26295674356272941</v>
      </c>
      <c r="AF58" s="237">
        <f ca="1">((Summary!$N$13*(AA58*AD58)*(A58-$D$3))+(Summary!$M$13*Z58*AC58*(AJ58-EOMONTH(EDATE(A58,-1),0))))/(AK58*AB58*AE58)</f>
        <v>0.99990366934213537</v>
      </c>
      <c r="AG58" s="88">
        <f>IF($A59="","",Summary!$Q$13)</f>
        <v>0</v>
      </c>
      <c r="AH58" s="88">
        <f>IF($A59="","",IF(Summary!$R$12="Y",(VLOOKUP($A58,Summary!$AD$6:$AF$9,3)+'Escalating commodity'!I71),'Escalating commodity'!I71))</f>
        <v>4.8539697730939704E-2</v>
      </c>
      <c r="AI58" s="88">
        <f t="shared" si="34"/>
        <v>4.8539697730939704E-2</v>
      </c>
      <c r="AJ58" s="236">
        <f t="shared" si="20"/>
        <v>38518</v>
      </c>
      <c r="AK58" s="58">
        <f t="shared" ca="1" si="21"/>
        <v>1478</v>
      </c>
      <c r="AL58" s="26">
        <f ca="1">IF($A59="","",_xll.SPRDOPT(P58,X58,AI58,0,AB58,AE58,AF58,AK58,$AJ$2,0))</f>
        <v>0.25264470315853599</v>
      </c>
      <c r="AM58" s="209">
        <f t="shared" si="22"/>
        <v>0.25261680912026996</v>
      </c>
      <c r="AN58" s="89">
        <f t="shared" ca="1" si="23"/>
        <v>2.7894038266029764E-5</v>
      </c>
      <c r="AO58" s="3">
        <f t="shared" si="24"/>
        <v>30</v>
      </c>
      <c r="AP58" s="33">
        <f t="shared" si="25"/>
        <v>38504</v>
      </c>
      <c r="AQ58" s="58">
        <f t="shared" ca="1" si="26"/>
        <v>1478</v>
      </c>
      <c r="AR58" s="38">
        <f>'ANR OK vs ML7'!AR58</f>
        <v>0.1</v>
      </c>
      <c r="AS58" s="35">
        <f t="shared" ca="1" si="27"/>
        <v>0.67377231292443529</v>
      </c>
      <c r="AT58" s="3">
        <f t="shared" si="28"/>
        <v>1</v>
      </c>
      <c r="AU58" s="3">
        <f t="shared" si="29"/>
        <v>30</v>
      </c>
      <c r="AW58" s="32">
        <f t="shared" ca="1" si="30"/>
        <v>215253.28709107265</v>
      </c>
      <c r="AX58" s="32">
        <f t="shared" si="31"/>
        <v>215229.52137047</v>
      </c>
      <c r="AY58" s="32">
        <f t="shared" ca="1" si="32"/>
        <v>23.76572060265736</v>
      </c>
      <c r="BA58" s="32">
        <f ca="1">IF($A59="","",F58*Summary!$Q$13)</f>
        <v>0</v>
      </c>
      <c r="BC58" s="256">
        <f t="shared" ca="1" si="35"/>
        <v>145015.69242340076</v>
      </c>
    </row>
    <row r="59" spans="1:55">
      <c r="A59" s="67">
        <f t="shared" si="33"/>
        <v>38534</v>
      </c>
      <c r="B59" s="69">
        <f t="shared" si="36"/>
        <v>28400</v>
      </c>
      <c r="C59" s="71"/>
      <c r="D59" s="69">
        <f t="shared" si="0"/>
        <v>28400</v>
      </c>
      <c r="E59" s="70">
        <f t="shared" si="1"/>
        <v>880400</v>
      </c>
      <c r="F59" s="70">
        <f t="shared" ca="1" si="2"/>
        <v>588453.84681136289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0.23499999999999999</v>
      </c>
      <c r="K59" s="64">
        <f t="shared" si="6"/>
        <v>0.23499999999999999</v>
      </c>
      <c r="L59" s="38">
        <v>0</v>
      </c>
      <c r="M59" s="64">
        <f t="shared" si="7"/>
        <v>0</v>
      </c>
      <c r="N59" s="65"/>
      <c r="O59" s="63">
        <f t="shared" si="8"/>
        <v>4.3100000000000005</v>
      </c>
      <c r="P59" s="63">
        <f t="shared" si="9"/>
        <v>4.3100000000000005</v>
      </c>
      <c r="Q59" s="66"/>
      <c r="R59" s="63">
        <f t="shared" si="10"/>
        <v>-0.35815733883073164</v>
      </c>
      <c r="S59" s="64">
        <f t="shared" si="11"/>
        <v>-0.35815733883073164</v>
      </c>
      <c r="T59" s="38">
        <v>0</v>
      </c>
      <c r="U59" s="64">
        <f t="shared" si="12"/>
        <v>0</v>
      </c>
      <c r="V59" s="219">
        <f>(G59+R59)/(1-Summary!$T$13)*Summary!$T$13</f>
        <v>0.29639320025042082</v>
      </c>
      <c r="W59" s="43">
        <f t="shared" si="13"/>
        <v>4.0132358614196892</v>
      </c>
      <c r="X59" s="43">
        <f t="shared" si="14"/>
        <v>4.0132358614196892</v>
      </c>
      <c r="Y59" s="43"/>
      <c r="Z59" s="38">
        <f t="shared" si="15"/>
        <v>0.55000000000000004</v>
      </c>
      <c r="AA59" s="38">
        <f t="shared" si="16"/>
        <v>0.25800000000000001</v>
      </c>
      <c r="AB59" s="38">
        <f t="shared" ca="1" si="17"/>
        <v>0.26404051061661798</v>
      </c>
      <c r="AC59" s="38">
        <f t="shared" si="18"/>
        <v>0.5</v>
      </c>
      <c r="AD59" s="38">
        <f t="shared" si="18"/>
        <v>0.25800000000000001</v>
      </c>
      <c r="AE59" s="38">
        <f t="shared" ca="1" si="19"/>
        <v>0.26301667101301629</v>
      </c>
      <c r="AF59" s="237">
        <f ca="1">((Summary!$N$13*(AA59*AD59)*(A59-$D$3))+(Summary!$M$13*Z59*AC59*(AJ59-EOMONTH(EDATE(A59,-1),0))))/(AK59*AB59*AE59)</f>
        <v>0.99972662867816797</v>
      </c>
      <c r="AG59" s="88">
        <f>IF($A60="","",Summary!$Q$13)</f>
        <v>0</v>
      </c>
      <c r="AH59" s="88">
        <f>IF($A60="","",IF(Summary!$R$12="Y",(VLOOKUP($A59,Summary!$AD$6:$AF$9,3)+'Escalating commodity'!I72),'Escalating commodity'!I72))</f>
        <v>4.8539697730939704E-2</v>
      </c>
      <c r="AI59" s="88">
        <f t="shared" si="34"/>
        <v>4.8539697730939704E-2</v>
      </c>
      <c r="AJ59" s="236">
        <f t="shared" si="20"/>
        <v>38548.5</v>
      </c>
      <c r="AK59" s="58">
        <f t="shared" ca="1" si="21"/>
        <v>1508</v>
      </c>
      <c r="AL59" s="26">
        <f ca="1">IF($A60="","",_xll.SPRDOPT(P59,X59,AI59,0,AB59,AE59,AF59,AK59,$AJ$2,0))</f>
        <v>0.24835211689215719</v>
      </c>
      <c r="AM59" s="209">
        <f t="shared" si="22"/>
        <v>0.24822444084937156</v>
      </c>
      <c r="AN59" s="89">
        <f t="shared" ca="1" si="23"/>
        <v>1.2767604278562938E-4</v>
      </c>
      <c r="AO59" s="3">
        <f t="shared" si="24"/>
        <v>31</v>
      </c>
      <c r="AP59" s="33">
        <f t="shared" si="25"/>
        <v>38534</v>
      </c>
      <c r="AQ59" s="58">
        <f t="shared" ca="1" si="26"/>
        <v>1508</v>
      </c>
      <c r="AR59" s="38">
        <f>'ANR OK vs ML7'!AR59</f>
        <v>0.1</v>
      </c>
      <c r="AS59" s="35">
        <f t="shared" ca="1" si="27"/>
        <v>0.66839373785933998</v>
      </c>
      <c r="AT59" s="3">
        <f t="shared" si="28"/>
        <v>1</v>
      </c>
      <c r="AU59" s="3">
        <f t="shared" si="29"/>
        <v>31</v>
      </c>
      <c r="AW59" s="32">
        <f t="shared" ca="1" si="30"/>
        <v>218649.2037118552</v>
      </c>
      <c r="AX59" s="32">
        <f t="shared" si="31"/>
        <v>218536.79772378673</v>
      </c>
      <c r="AY59" s="32">
        <f t="shared" ca="1" si="32"/>
        <v>112.4059880684681</v>
      </c>
      <c r="BA59" s="32">
        <f ca="1">IF($A60="","",F59*Summary!$Q$13)</f>
        <v>0</v>
      </c>
      <c r="BC59" s="256">
        <f t="shared" ca="1" si="35"/>
        <v>146068.62709041231</v>
      </c>
    </row>
    <row r="60" spans="1:55">
      <c r="A60" s="67">
        <f t="shared" si="33"/>
        <v>38565</v>
      </c>
      <c r="B60" s="69">
        <f t="shared" si="36"/>
        <v>28400</v>
      </c>
      <c r="C60" s="71"/>
      <c r="D60" s="69">
        <f t="shared" si="0"/>
        <v>28400</v>
      </c>
      <c r="E60" s="70">
        <f t="shared" si="1"/>
        <v>880400</v>
      </c>
      <c r="F60" s="70">
        <f t="shared" ca="1" si="2"/>
        <v>583600.414417792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0.23499999999999999</v>
      </c>
      <c r="K60" s="64">
        <f t="shared" si="6"/>
        <v>0.23499999999999999</v>
      </c>
      <c r="L60" s="38">
        <v>0</v>
      </c>
      <c r="M60" s="64">
        <f t="shared" si="7"/>
        <v>0</v>
      </c>
      <c r="N60" s="65"/>
      <c r="O60" s="63">
        <f t="shared" si="8"/>
        <v>4.3660000000000005</v>
      </c>
      <c r="P60" s="63">
        <f t="shared" si="9"/>
        <v>4.3660000000000005</v>
      </c>
      <c r="Q60" s="66"/>
      <c r="R60" s="63">
        <f t="shared" si="10"/>
        <v>-0.35814875788747547</v>
      </c>
      <c r="S60" s="64">
        <f t="shared" si="11"/>
        <v>-0.35814875788747547</v>
      </c>
      <c r="T60" s="38">
        <v>0</v>
      </c>
      <c r="U60" s="64">
        <f t="shared" si="12"/>
        <v>0</v>
      </c>
      <c r="V60" s="219">
        <f>(G60+R60)/(1-Summary!$T$13)*Summary!$T$13</f>
        <v>0.30085950782934706</v>
      </c>
      <c r="W60" s="43">
        <f t="shared" si="13"/>
        <v>4.0737107499418723</v>
      </c>
      <c r="X60" s="43">
        <f t="shared" si="14"/>
        <v>4.0737107499418723</v>
      </c>
      <c r="Y60" s="43"/>
      <c r="Z60" s="38">
        <f t="shared" si="15"/>
        <v>0.6</v>
      </c>
      <c r="AA60" s="38">
        <f t="shared" si="16"/>
        <v>0.25800000000000001</v>
      </c>
      <c r="AB60" s="38">
        <f t="shared" ca="1" si="17"/>
        <v>0.2650150608100233</v>
      </c>
      <c r="AC60" s="38">
        <f t="shared" si="18"/>
        <v>0.45</v>
      </c>
      <c r="AD60" s="38">
        <f t="shared" si="18"/>
        <v>0.25800000000000001</v>
      </c>
      <c r="AE60" s="38">
        <f t="shared" ca="1" si="19"/>
        <v>0.26200520060906968</v>
      </c>
      <c r="AF60" s="237">
        <f ca="1">((Summary!$N$13*(AA60*AD60)*(A60-$D$3))+(Summary!$M$13*Z60*AC60*(AJ60-EOMONTH(EDATE(A60,-1),0))))/(AK60*AB60*AE60)</f>
        <v>0.99833751493385503</v>
      </c>
      <c r="AG60" s="88">
        <f>IF($A61="","",Summary!$Q$13)</f>
        <v>0</v>
      </c>
      <c r="AH60" s="88">
        <f>IF($A61="","",IF(Summary!$R$12="Y",(VLOOKUP($A60,Summary!$AD$6:$AF$9,3)+'Escalating commodity'!I73),'Escalating commodity'!I73))</f>
        <v>4.8539697730939704E-2</v>
      </c>
      <c r="AI60" s="88">
        <f t="shared" si="34"/>
        <v>4.8539697730939704E-2</v>
      </c>
      <c r="AJ60" s="236">
        <f t="shared" si="20"/>
        <v>38579.5</v>
      </c>
      <c r="AK60" s="58">
        <f t="shared" ca="1" si="21"/>
        <v>1539</v>
      </c>
      <c r="AL60" s="26">
        <f ca="1">IF($A61="","",_xll.SPRDOPT(P60,X60,AI60,0,AB60,AE60,AF60,AK60,$AJ$2,0))</f>
        <v>0.24645248521626015</v>
      </c>
      <c r="AM60" s="209">
        <f t="shared" si="22"/>
        <v>0.24374955232718853</v>
      </c>
      <c r="AN60" s="89">
        <f t="shared" ca="1" si="23"/>
        <v>2.7029328890716131E-3</v>
      </c>
      <c r="AO60" s="3">
        <f t="shared" si="24"/>
        <v>31</v>
      </c>
      <c r="AP60" s="33">
        <f t="shared" si="25"/>
        <v>38565</v>
      </c>
      <c r="AQ60" s="58">
        <f t="shared" ca="1" si="26"/>
        <v>1539</v>
      </c>
      <c r="AR60" s="38">
        <f>'ANR OK vs ML7'!AR60</f>
        <v>0.1</v>
      </c>
      <c r="AS60" s="35">
        <f t="shared" ca="1" si="27"/>
        <v>0.66288097957495684</v>
      </c>
      <c r="AT60" s="3">
        <f t="shared" si="28"/>
        <v>1</v>
      </c>
      <c r="AU60" s="3">
        <f t="shared" si="29"/>
        <v>31</v>
      </c>
      <c r="AW60" s="32">
        <f t="shared" ca="1" si="30"/>
        <v>216976.76798439544</v>
      </c>
      <c r="AX60" s="32">
        <f t="shared" si="31"/>
        <v>214597.10586885677</v>
      </c>
      <c r="AY60" s="32">
        <f t="shared" ca="1" si="32"/>
        <v>2379.6621155386483</v>
      </c>
      <c r="BA60" s="32">
        <f ca="1">IF($A61="","",F60*Summary!$Q$13)</f>
        <v>0</v>
      </c>
      <c r="BC60" s="256">
        <f t="shared" ca="1" si="35"/>
        <v>142252.33975229852</v>
      </c>
    </row>
    <row r="61" spans="1:55">
      <c r="A61" s="67">
        <f t="shared" si="33"/>
        <v>38596</v>
      </c>
      <c r="B61" s="69">
        <f t="shared" si="36"/>
        <v>28400</v>
      </c>
      <c r="C61" s="71"/>
      <c r="D61" s="69">
        <f t="shared" si="0"/>
        <v>28400</v>
      </c>
      <c r="E61" s="70">
        <f t="shared" si="1"/>
        <v>852000</v>
      </c>
      <c r="F61" s="70">
        <f t="shared" ca="1" si="2"/>
        <v>560116.46324679756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0.23499999999999999</v>
      </c>
      <c r="K61" s="64">
        <f t="shared" si="6"/>
        <v>0.23499999999999999</v>
      </c>
      <c r="L61" s="38">
        <v>0</v>
      </c>
      <c r="M61" s="64">
        <f t="shared" si="7"/>
        <v>0</v>
      </c>
      <c r="N61" s="65"/>
      <c r="O61" s="63">
        <f t="shared" si="8"/>
        <v>4.38</v>
      </c>
      <c r="P61" s="63">
        <f t="shared" si="9"/>
        <v>4.38</v>
      </c>
      <c r="Q61" s="66"/>
      <c r="R61" s="63">
        <f t="shared" si="10"/>
        <v>-0.35813976765971189</v>
      </c>
      <c r="S61" s="64">
        <f t="shared" si="11"/>
        <v>-0.35813976765971189</v>
      </c>
      <c r="T61" s="38">
        <v>0</v>
      </c>
      <c r="U61" s="64">
        <f t="shared" si="12"/>
        <v>0</v>
      </c>
      <c r="V61" s="219">
        <f>(G61+R61)/(1-Summary!$T$13)*Summary!$T$13</f>
        <v>0.30197663056614249</v>
      </c>
      <c r="W61" s="43">
        <f t="shared" si="13"/>
        <v>4.0888368629064304</v>
      </c>
      <c r="X61" s="43">
        <f t="shared" si="14"/>
        <v>4.0888368629064304</v>
      </c>
      <c r="Y61" s="43"/>
      <c r="Z61" s="38">
        <f t="shared" si="15"/>
        <v>0.6</v>
      </c>
      <c r="AA61" s="38">
        <f t="shared" si="16"/>
        <v>0.25800000000000001</v>
      </c>
      <c r="AB61" s="38">
        <f t="shared" ca="1" si="17"/>
        <v>0.26466183687507566</v>
      </c>
      <c r="AC61" s="38">
        <f t="shared" si="18"/>
        <v>0.5</v>
      </c>
      <c r="AD61" s="38">
        <f t="shared" si="18"/>
        <v>0.25800000000000001</v>
      </c>
      <c r="AE61" s="38">
        <f t="shared" ca="1" si="19"/>
        <v>0.26266886470245465</v>
      </c>
      <c r="AF61" s="237">
        <f ca="1">((Summary!$N$13*(AA61*AD61)*(A61-$D$3))+(Summary!$M$13*Z61*AC61*(AJ61-EOMONTH(EDATE(A61,-1),0))))/(AK61*AB61*AE61)</f>
        <v>0.99924559033193516</v>
      </c>
      <c r="AG61" s="88">
        <f>IF($A62="","",Summary!$Q$13)</f>
        <v>0</v>
      </c>
      <c r="AH61" s="88">
        <f>IF($A62="","",IF(Summary!$R$12="Y",(VLOOKUP($A61,Summary!$AD$6:$AF$9,3)+'Escalating commodity'!I74),'Escalating commodity'!I74))</f>
        <v>4.8539697730939704E-2</v>
      </c>
      <c r="AI61" s="88">
        <f t="shared" si="34"/>
        <v>4.8539697730939704E-2</v>
      </c>
      <c r="AJ61" s="236">
        <f t="shared" si="20"/>
        <v>38610</v>
      </c>
      <c r="AK61" s="58">
        <f t="shared" ca="1" si="21"/>
        <v>1570</v>
      </c>
      <c r="AL61" s="26">
        <f ca="1">IF($A62="","",_xll.SPRDOPT(P61,X61,AI61,0,AB61,AE61,AF61,AK61,$AJ$2,0))</f>
        <v>0.24324038505036955</v>
      </c>
      <c r="AM61" s="209">
        <f t="shared" si="22"/>
        <v>0.24262343936262976</v>
      </c>
      <c r="AN61" s="89">
        <f t="shared" ca="1" si="23"/>
        <v>6.1694568773978942E-4</v>
      </c>
      <c r="AO61" s="3">
        <f t="shared" si="24"/>
        <v>30</v>
      </c>
      <c r="AP61" s="33">
        <f t="shared" si="25"/>
        <v>38596</v>
      </c>
      <c r="AQ61" s="58">
        <f t="shared" ca="1" si="26"/>
        <v>1570</v>
      </c>
      <c r="AR61" s="38">
        <f>'ANR OK vs ML7'!AR61</f>
        <v>0.1</v>
      </c>
      <c r="AS61" s="35">
        <f t="shared" ca="1" si="27"/>
        <v>0.65741368925680466</v>
      </c>
      <c r="AT61" s="3">
        <f t="shared" si="28"/>
        <v>1</v>
      </c>
      <c r="AU61" s="3">
        <f t="shared" si="29"/>
        <v>30</v>
      </c>
      <c r="AW61" s="32">
        <f t="shared" ca="1" si="30"/>
        <v>207240.80806291485</v>
      </c>
      <c r="AX61" s="32">
        <f t="shared" si="31"/>
        <v>206715.17033696055</v>
      </c>
      <c r="AY61" s="32">
        <f t="shared" ca="1" si="32"/>
        <v>525.63772595430055</v>
      </c>
      <c r="BA61" s="32">
        <f ca="1">IF($A62="","",F61*Summary!$Q$13)</f>
        <v>0</v>
      </c>
      <c r="BC61" s="256">
        <f t="shared" ca="1" si="35"/>
        <v>135897.38275657003</v>
      </c>
    </row>
    <row r="62" spans="1:55">
      <c r="A62" s="67">
        <f t="shared" si="33"/>
        <v>38626</v>
      </c>
      <c r="B62" s="69">
        <f t="shared" si="36"/>
        <v>28400</v>
      </c>
      <c r="C62" s="71"/>
      <c r="D62" s="69">
        <f t="shared" si="0"/>
        <v>28400</v>
      </c>
      <c r="E62" s="70">
        <f t="shared" si="1"/>
        <v>880400</v>
      </c>
      <c r="F62" s="70">
        <f t="shared" ca="1" si="2"/>
        <v>574166.68356481334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0.23499999999999999</v>
      </c>
      <c r="K62" s="64">
        <f t="shared" si="6"/>
        <v>0.23499999999999999</v>
      </c>
      <c r="L62" s="38">
        <v>0</v>
      </c>
      <c r="M62" s="64">
        <f t="shared" si="7"/>
        <v>0</v>
      </c>
      <c r="N62" s="65"/>
      <c r="O62" s="63">
        <f t="shared" si="8"/>
        <v>4.4110000000000005</v>
      </c>
      <c r="P62" s="63">
        <f t="shared" si="9"/>
        <v>4.4110000000000005</v>
      </c>
      <c r="Q62" s="66"/>
      <c r="R62" s="63">
        <f t="shared" si="10"/>
        <v>-0.35813067775218665</v>
      </c>
      <c r="S62" s="64">
        <f t="shared" si="11"/>
        <v>-0.35813067775218665</v>
      </c>
      <c r="T62" s="38">
        <v>0</v>
      </c>
      <c r="U62" s="64">
        <f t="shared" si="12"/>
        <v>0</v>
      </c>
      <c r="V62" s="219">
        <f>(G62+R62)/(1-Summary!$T$13)*Summary!$T$13</f>
        <v>0.30444939689832112</v>
      </c>
      <c r="W62" s="43">
        <f t="shared" si="13"/>
        <v>4.1223187191461346</v>
      </c>
      <c r="X62" s="43">
        <f t="shared" si="14"/>
        <v>4.1223187191461346</v>
      </c>
      <c r="Y62" s="43"/>
      <c r="Z62" s="38">
        <f t="shared" si="15"/>
        <v>0.65</v>
      </c>
      <c r="AA62" s="38">
        <f t="shared" si="16"/>
        <v>0.25800000000000001</v>
      </c>
      <c r="AB62" s="38">
        <f t="shared" ca="1" si="17"/>
        <v>0.26589202930889072</v>
      </c>
      <c r="AC62" s="38">
        <f t="shared" si="18"/>
        <v>0.5</v>
      </c>
      <c r="AD62" s="38">
        <f t="shared" si="18"/>
        <v>0.25800000000000001</v>
      </c>
      <c r="AE62" s="38">
        <f t="shared" ca="1" si="19"/>
        <v>0.26273080805265298</v>
      </c>
      <c r="AF62" s="237">
        <f ca="1">((Summary!$N$13*(AA62*AD62)*(A62-$D$3))+(Summary!$M$13*Z62*AC62*(AJ62-EOMONTH(EDATE(A62,-1),0))))/(AK62*AB62*AE62)</f>
        <v>0.99841609792097441</v>
      </c>
      <c r="AG62" s="88">
        <f>IF($A63="","",Summary!$Q$13)</f>
        <v>0</v>
      </c>
      <c r="AH62" s="88">
        <f>IF($A63="","",IF(Summary!$R$12="Y",(VLOOKUP($A62,Summary!$AD$6:$AF$9,3)+'Escalating commodity'!I75),'Escalating commodity'!I75))</f>
        <v>4.8539697730939704E-2</v>
      </c>
      <c r="AI62" s="88">
        <f t="shared" si="34"/>
        <v>4.8539697730939704E-2</v>
      </c>
      <c r="AJ62" s="236">
        <f t="shared" si="20"/>
        <v>38640.5</v>
      </c>
      <c r="AK62" s="58">
        <f t="shared" ca="1" si="21"/>
        <v>1600</v>
      </c>
      <c r="AL62" s="26">
        <f ca="1">IF($A63="","",_xll.SPRDOPT(P62,X62,AI62,0,AB62,AE62,AF62,AK62,$AJ$2,0))</f>
        <v>0.24325607320408515</v>
      </c>
      <c r="AM62" s="209">
        <f t="shared" si="22"/>
        <v>0.24014158312292622</v>
      </c>
      <c r="AN62" s="89">
        <f t="shared" ca="1" si="23"/>
        <v>3.1144900811589382E-3</v>
      </c>
      <c r="AO62" s="3">
        <f t="shared" si="24"/>
        <v>31</v>
      </c>
      <c r="AP62" s="33">
        <f t="shared" si="25"/>
        <v>38626</v>
      </c>
      <c r="AQ62" s="58">
        <f t="shared" ca="1" si="26"/>
        <v>1600</v>
      </c>
      <c r="AR62" s="38">
        <f>'ANR OK vs ML7'!AR62</f>
        <v>0.1</v>
      </c>
      <c r="AS62" s="35">
        <f t="shared" ca="1" si="27"/>
        <v>0.65216570145935182</v>
      </c>
      <c r="AT62" s="3">
        <f t="shared" si="28"/>
        <v>1</v>
      </c>
      <c r="AU62" s="3">
        <f t="shared" si="29"/>
        <v>31</v>
      </c>
      <c r="AW62" s="32">
        <f t="shared" ca="1" si="30"/>
        <v>214162.64684887658</v>
      </c>
      <c r="AX62" s="32">
        <f t="shared" si="31"/>
        <v>211420.64978142423</v>
      </c>
      <c r="AY62" s="32">
        <f t="shared" ca="1" si="32"/>
        <v>2741.9970674523292</v>
      </c>
      <c r="BA62" s="32">
        <f ca="1">IF($A63="","",F62*Summary!$Q$13)</f>
        <v>0</v>
      </c>
      <c r="BC62" s="256">
        <f t="shared" ca="1" si="35"/>
        <v>137881.29636769451</v>
      </c>
    </row>
    <row r="63" spans="1:55">
      <c r="A63" s="67">
        <f t="shared" si="33"/>
        <v>38657</v>
      </c>
      <c r="B63" s="69">
        <f t="shared" si="36"/>
        <v>28400</v>
      </c>
      <c r="C63" s="71"/>
      <c r="D63" s="69">
        <f t="shared" si="0"/>
        <v>28400</v>
      </c>
      <c r="E63" s="70">
        <f t="shared" si="1"/>
        <v>852000</v>
      </c>
      <c r="F63" s="70">
        <f t="shared" ca="1" si="2"/>
        <v>551062.34362992935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0.53500000000000003</v>
      </c>
      <c r="K63" s="64">
        <f t="shared" si="6"/>
        <v>0.53500000000000003</v>
      </c>
      <c r="L63" s="38">
        <v>0</v>
      </c>
      <c r="M63" s="64">
        <f t="shared" si="7"/>
        <v>0</v>
      </c>
      <c r="N63" s="65"/>
      <c r="O63" s="63">
        <f t="shared" si="8"/>
        <v>4.8440000000000003</v>
      </c>
      <c r="P63" s="63">
        <f t="shared" si="9"/>
        <v>4.8440000000000003</v>
      </c>
      <c r="Q63" s="66"/>
      <c r="R63" s="63">
        <f t="shared" si="10"/>
        <v>-0.2693832236780298</v>
      </c>
      <c r="S63" s="64">
        <f t="shared" si="11"/>
        <v>-0.2693832236780298</v>
      </c>
      <c r="T63" s="38">
        <v>0</v>
      </c>
      <c r="U63" s="64">
        <f t="shared" si="12"/>
        <v>0</v>
      </c>
      <c r="V63" s="219">
        <f>(G63+R63)/(1-Summary!$T$13)*Summary!$T$13</f>
        <v>0.32213226473856127</v>
      </c>
      <c r="W63" s="43">
        <f t="shared" si="13"/>
        <v>4.3617490410605324</v>
      </c>
      <c r="X63" s="43">
        <f t="shared" si="14"/>
        <v>4.3617490410605324</v>
      </c>
      <c r="Y63" s="43"/>
      <c r="Z63" s="38">
        <f t="shared" si="15"/>
        <v>0.8</v>
      </c>
      <c r="AA63" s="38">
        <f t="shared" si="16"/>
        <v>0.25800000000000001</v>
      </c>
      <c r="AB63" s="38">
        <f t="shared" ca="1" si="17"/>
        <v>0.2692411025566997</v>
      </c>
      <c r="AC63" s="38">
        <f t="shared" si="18"/>
        <v>0.95</v>
      </c>
      <c r="AD63" s="38">
        <f t="shared" si="18"/>
        <v>0.25800000000000001</v>
      </c>
      <c r="AE63" s="38">
        <f t="shared" ca="1" si="19"/>
        <v>0.27368765846503934</v>
      </c>
      <c r="AF63" s="237">
        <f ca="1">((Summary!$N$13*(AA63*AD63)*(A63-$D$3))+(Summary!$M$13*Z63*AC63*(AJ63-EOMONTH(EDATE(A63,-1),0))))/(AK63*AB63*AE63)</f>
        <v>0.99863968720978069</v>
      </c>
      <c r="AG63" s="88">
        <f>IF($A64="","",Summary!$Q$13)</f>
        <v>0</v>
      </c>
      <c r="AH63" s="88">
        <f>IF($A64="","",IF(Summary!$R$12="Y",(VLOOKUP($A63,Summary!$AD$6:$AF$9,3)+'Escalating commodity'!I76),'Escalating commodity'!I76))</f>
        <v>4.8539697730939704E-2</v>
      </c>
      <c r="AI63" s="88">
        <f t="shared" si="34"/>
        <v>4.8539697730939704E-2</v>
      </c>
      <c r="AJ63" s="236">
        <f t="shared" si="20"/>
        <v>38671</v>
      </c>
      <c r="AK63" s="58">
        <f t="shared" ca="1" si="21"/>
        <v>1631</v>
      </c>
      <c r="AL63" s="26">
        <f ca="1">IF($A64="","",_xll.SPRDOPT(P63,X63,AI63,0,AB63,AE63,AF63,AK63,$AJ$2,0))</f>
        <v>0.43374702027276779</v>
      </c>
      <c r="AM63" s="209">
        <f t="shared" si="22"/>
        <v>0.43371126120852821</v>
      </c>
      <c r="AN63" s="89">
        <f t="shared" ca="1" si="23"/>
        <v>3.5759064239582194E-5</v>
      </c>
      <c r="AO63" s="3">
        <f t="shared" si="24"/>
        <v>30</v>
      </c>
      <c r="AP63" s="33">
        <f t="shared" si="25"/>
        <v>38657</v>
      </c>
      <c r="AQ63" s="58">
        <f t="shared" ca="1" si="26"/>
        <v>1631</v>
      </c>
      <c r="AR63" s="38">
        <f>'ANR OK vs ML7'!AR63</f>
        <v>0.1</v>
      </c>
      <c r="AS63" s="35">
        <f t="shared" ca="1" si="27"/>
        <v>0.64678678829803915</v>
      </c>
      <c r="AT63" s="3">
        <f t="shared" si="28"/>
        <v>1</v>
      </c>
      <c r="AU63" s="3">
        <f t="shared" si="29"/>
        <v>30</v>
      </c>
      <c r="AW63" s="32">
        <f t="shared" ca="1" si="30"/>
        <v>369552.46127239818</v>
      </c>
      <c r="AX63" s="32">
        <f t="shared" si="31"/>
        <v>369521.99454966601</v>
      </c>
      <c r="AY63" s="32">
        <f t="shared" ca="1" si="32"/>
        <v>30.46672273212403</v>
      </c>
      <c r="BA63" s="32">
        <f ca="1">IF($A64="","",F63*Summary!$Q$13)</f>
        <v>0</v>
      </c>
      <c r="BC63" s="256">
        <f t="shared" ca="1" si="35"/>
        <v>239001.94406026401</v>
      </c>
    </row>
    <row r="64" spans="1:55">
      <c r="A64" s="67">
        <f t="shared" si="33"/>
        <v>38687</v>
      </c>
      <c r="B64" s="69">
        <f t="shared" si="36"/>
        <v>28400</v>
      </c>
      <c r="C64" s="71"/>
      <c r="D64" s="69">
        <f t="shared" si="0"/>
        <v>28400</v>
      </c>
      <c r="E64" s="70">
        <f t="shared" si="1"/>
        <v>880400</v>
      </c>
      <c r="F64" s="70">
        <f t="shared" ca="1" si="2"/>
        <v>564885.4462255605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0.53500000000000003</v>
      </c>
      <c r="K64" s="64">
        <f t="shared" si="6"/>
        <v>0.53500000000000003</v>
      </c>
      <c r="L64" s="38">
        <v>0</v>
      </c>
      <c r="M64" s="64">
        <f t="shared" si="7"/>
        <v>0</v>
      </c>
      <c r="N64" s="65"/>
      <c r="O64" s="63">
        <f t="shared" si="8"/>
        <v>4.9820000000000002</v>
      </c>
      <c r="P64" s="63">
        <f t="shared" si="9"/>
        <v>4.9820000000000002</v>
      </c>
      <c r="Q64" s="66"/>
      <c r="R64" s="63">
        <f t="shared" si="10"/>
        <v>-0.26937297363250523</v>
      </c>
      <c r="S64" s="64">
        <f t="shared" si="11"/>
        <v>-0.26937297363250523</v>
      </c>
      <c r="T64" s="38">
        <v>0</v>
      </c>
      <c r="U64" s="64">
        <f t="shared" si="12"/>
        <v>0</v>
      </c>
      <c r="V64" s="219">
        <f>(G64+R64)/(1-Summary!$T$13)*Summary!$T$13</f>
        <v>0.33313765383014188</v>
      </c>
      <c r="W64" s="43">
        <f t="shared" si="13"/>
        <v>4.5107646801976369</v>
      </c>
      <c r="X64" s="43">
        <f t="shared" si="14"/>
        <v>4.5107646801976369</v>
      </c>
      <c r="Y64" s="43"/>
      <c r="Z64" s="38">
        <f t="shared" si="15"/>
        <v>1.1000000000000001</v>
      </c>
      <c r="AA64" s="38">
        <f t="shared" si="16"/>
        <v>0.26</v>
      </c>
      <c r="AB64" s="38">
        <f t="shared" ca="1" si="17"/>
        <v>0.28094855241298189</v>
      </c>
      <c r="AC64" s="38">
        <f t="shared" si="18"/>
        <v>1.35</v>
      </c>
      <c r="AD64" s="38">
        <f t="shared" si="18"/>
        <v>0.26</v>
      </c>
      <c r="AE64" s="38">
        <f t="shared" ca="1" si="19"/>
        <v>0.29094290234726339</v>
      </c>
      <c r="AF64" s="237">
        <f ca="1">((Summary!$N$13*(AA64*AD64)*(A64-$D$3))+(Summary!$M$13*Z64*AC64*(AJ64-EOMONTH(EDATE(A64,-1),0))))/(AK64*AB64*AE64)</f>
        <v>0.99696064241040327</v>
      </c>
      <c r="AG64" s="88">
        <f>IF($A65="","",Summary!$Q$13)</f>
        <v>0</v>
      </c>
      <c r="AH64" s="88">
        <f>IF($A65="","",IF(Summary!$R$12="Y",(VLOOKUP($A64,Summary!$AD$6:$AF$9,3)+'Escalating commodity'!I77),'Escalating commodity'!I77))</f>
        <v>4.8539697730939704E-2</v>
      </c>
      <c r="AI64" s="88">
        <f t="shared" si="34"/>
        <v>4.8539697730939704E-2</v>
      </c>
      <c r="AJ64" s="236">
        <f t="shared" si="20"/>
        <v>38701.5</v>
      </c>
      <c r="AK64" s="58">
        <f t="shared" ca="1" si="21"/>
        <v>1661</v>
      </c>
      <c r="AL64" s="26">
        <f ca="1">IF($A65="","",_xll.SPRDOPT(P64,X64,AI64,0,AB64,AE64,AF64,AK64,$AJ$2,0))</f>
        <v>0.42631615947083612</v>
      </c>
      <c r="AM64" s="209">
        <f t="shared" si="22"/>
        <v>0.42269562207142364</v>
      </c>
      <c r="AN64" s="89">
        <f t="shared" ca="1" si="23"/>
        <v>3.6205373994124823E-3</v>
      </c>
      <c r="AO64" s="3">
        <f t="shared" si="24"/>
        <v>31</v>
      </c>
      <c r="AP64" s="33">
        <f t="shared" si="25"/>
        <v>38687</v>
      </c>
      <c r="AQ64" s="58">
        <f t="shared" ca="1" si="26"/>
        <v>1661</v>
      </c>
      <c r="AR64" s="38">
        <f>'ANR OK vs ML7'!AR64</f>
        <v>0.1</v>
      </c>
      <c r="AS64" s="35">
        <f t="shared" ca="1" si="27"/>
        <v>0.64162363269600242</v>
      </c>
      <c r="AT64" s="3">
        <f t="shared" si="28"/>
        <v>1</v>
      </c>
      <c r="AU64" s="3">
        <f t="shared" si="29"/>
        <v>31</v>
      </c>
      <c r="AW64" s="32">
        <f t="shared" ca="1" si="30"/>
        <v>375328.74679812411</v>
      </c>
      <c r="AX64" s="32">
        <f t="shared" si="31"/>
        <v>372141.22567168134</v>
      </c>
      <c r="AY64" s="32">
        <f t="shared" ca="1" si="32"/>
        <v>3187.5211264427494</v>
      </c>
      <c r="BA64" s="32">
        <f ca="1">IF($A65="","",F64*Summary!$Q$13)</f>
        <v>0</v>
      </c>
      <c r="BC64" s="256">
        <f t="shared" ca="1" si="35"/>
        <v>238774.60509140702</v>
      </c>
    </row>
    <row r="65" spans="1:55">
      <c r="A65" s="67">
        <f t="shared" si="33"/>
        <v>38718</v>
      </c>
      <c r="B65" s="69">
        <f t="shared" si="36"/>
        <v>28400</v>
      </c>
      <c r="C65" s="71"/>
      <c r="D65" s="69">
        <f t="shared" si="0"/>
        <v>28400</v>
      </c>
      <c r="E65" s="70">
        <f t="shared" si="1"/>
        <v>880400</v>
      </c>
      <c r="F65" s="70">
        <f t="shared" ca="1" si="2"/>
        <v>560226.40059568838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0.53500000000000003</v>
      </c>
      <c r="K65" s="64">
        <f t="shared" si="6"/>
        <v>0.53500000000000003</v>
      </c>
      <c r="L65" s="38">
        <v>0</v>
      </c>
      <c r="M65" s="64">
        <f t="shared" si="7"/>
        <v>0</v>
      </c>
      <c r="N65" s="65"/>
      <c r="O65" s="63">
        <f t="shared" si="8"/>
        <v>4.9790000000000001</v>
      </c>
      <c r="P65" s="63">
        <f t="shared" si="9"/>
        <v>4.9790000000000001</v>
      </c>
      <c r="Q65" s="66"/>
      <c r="R65" s="63">
        <f t="shared" si="10"/>
        <v>-0.26936196369569537</v>
      </c>
      <c r="S65" s="64">
        <f t="shared" si="11"/>
        <v>-0.26936196369569537</v>
      </c>
      <c r="T65" s="38">
        <v>0</v>
      </c>
      <c r="U65" s="64">
        <f t="shared" si="12"/>
        <v>0</v>
      </c>
      <c r="V65" s="219">
        <f>(G65+R65)/(1-Summary!$T$13)*Summary!$T$13</f>
        <v>0.33289930197855527</v>
      </c>
      <c r="W65" s="43">
        <f t="shared" si="13"/>
        <v>4.5075373382828596</v>
      </c>
      <c r="X65" s="43">
        <f t="shared" si="14"/>
        <v>4.5075373382828596</v>
      </c>
      <c r="Y65" s="43"/>
      <c r="Z65" s="38">
        <f t="shared" si="15"/>
        <v>1.1000000000000001</v>
      </c>
      <c r="AA65" s="38">
        <f t="shared" si="16"/>
        <v>0.26300000000000001</v>
      </c>
      <c r="AB65" s="38">
        <f t="shared" ca="1" si="17"/>
        <v>0.28336265701406554</v>
      </c>
      <c r="AC65" s="38">
        <f t="shared" si="18"/>
        <v>1.35</v>
      </c>
      <c r="AD65" s="38">
        <f t="shared" si="18"/>
        <v>0.26300000000000001</v>
      </c>
      <c r="AE65" s="38">
        <f t="shared" ca="1" si="19"/>
        <v>0.29309615955697021</v>
      </c>
      <c r="AF65" s="237">
        <f ca="1">((Summary!$N$13*(AA65*AD65)*(A65-$D$3))+(Summary!$M$13*Z65*AC65*(AJ65-EOMONTH(EDATE(A65,-1),0))))/(AK65*AB65*AE65)</f>
        <v>0.99704013637816902</v>
      </c>
      <c r="AG65" s="88">
        <f>IF($A66="","",Summary!$Q$13)</f>
        <v>0</v>
      </c>
      <c r="AH65" s="88">
        <f>IF($A66="","",IF(Summary!$R$12="Y",(VLOOKUP($A65,Summary!$AD$6:$AF$9,3)+'Escalating commodity'!I78),'Escalating commodity'!I78))</f>
        <v>4.9510491685558503E-2</v>
      </c>
      <c r="AI65" s="88">
        <f t="shared" si="34"/>
        <v>4.9510491685558503E-2</v>
      </c>
      <c r="AJ65" s="236">
        <f t="shared" si="20"/>
        <v>38732.5</v>
      </c>
      <c r="AK65" s="58">
        <f t="shared" ca="1" si="21"/>
        <v>1692</v>
      </c>
      <c r="AL65" s="26">
        <f ca="1">IF($A66="","",_xll.SPRDOPT(P65,X65,AI65,0,AB65,AE65,AF65,AK65,$AJ$2,0))</f>
        <v>0.42558886489875236</v>
      </c>
      <c r="AM65" s="209">
        <f t="shared" si="22"/>
        <v>0.42195217003158197</v>
      </c>
      <c r="AN65" s="89">
        <f t="shared" ca="1" si="23"/>
        <v>3.6366948671703869E-3</v>
      </c>
      <c r="AO65" s="3">
        <f t="shared" si="24"/>
        <v>31</v>
      </c>
      <c r="AP65" s="33">
        <f t="shared" si="25"/>
        <v>38718</v>
      </c>
      <c r="AQ65" s="58">
        <f t="shared" ca="1" si="26"/>
        <v>1692</v>
      </c>
      <c r="AR65" s="38">
        <f>'ANR OK vs ML7'!AR65</f>
        <v>0.1</v>
      </c>
      <c r="AS65" s="35">
        <f t="shared" ca="1" si="27"/>
        <v>0.63633166810050934</v>
      </c>
      <c r="AT65" s="3">
        <f t="shared" si="28"/>
        <v>1</v>
      </c>
      <c r="AU65" s="3">
        <f t="shared" si="29"/>
        <v>31</v>
      </c>
      <c r="AW65" s="32">
        <f t="shared" ca="1" si="30"/>
        <v>374688.43665686157</v>
      </c>
      <c r="AX65" s="32">
        <f t="shared" si="31"/>
        <v>371486.69049580477</v>
      </c>
      <c r="AY65" s="32">
        <f t="shared" ca="1" si="32"/>
        <v>3201.7461610568084</v>
      </c>
      <c r="BA65" s="32">
        <f ca="1">IF($A66="","",F65*Summary!$Q$13)</f>
        <v>0</v>
      </c>
      <c r="BC65" s="256">
        <f t="shared" ca="1" si="35"/>
        <v>236388.74544033306</v>
      </c>
    </row>
    <row r="66" spans="1:55">
      <c r="A66" s="67">
        <f t="shared" si="33"/>
        <v>38749</v>
      </c>
      <c r="B66" s="69">
        <f t="shared" si="36"/>
        <v>28400</v>
      </c>
      <c r="C66" s="71"/>
      <c r="D66" s="69">
        <f t="shared" si="0"/>
        <v>28400</v>
      </c>
      <c r="E66" s="70">
        <f t="shared" si="1"/>
        <v>795200</v>
      </c>
      <c r="F66" s="70">
        <f t="shared" ca="1" si="2"/>
        <v>501837.48025042959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0.53500000000000003</v>
      </c>
      <c r="K66" s="64">
        <f t="shared" si="6"/>
        <v>0.53500000000000003</v>
      </c>
      <c r="L66" s="38">
        <v>0</v>
      </c>
      <c r="M66" s="64">
        <f t="shared" si="7"/>
        <v>0</v>
      </c>
      <c r="N66" s="65"/>
      <c r="O66" s="63">
        <f t="shared" si="8"/>
        <v>4.859</v>
      </c>
      <c r="P66" s="63">
        <f t="shared" si="9"/>
        <v>4.859</v>
      </c>
      <c r="Q66" s="66"/>
      <c r="R66" s="63">
        <f t="shared" si="10"/>
        <v>-0.26935052866543835</v>
      </c>
      <c r="S66" s="64">
        <f t="shared" si="11"/>
        <v>-0.26935052866543835</v>
      </c>
      <c r="T66" s="38">
        <v>0</v>
      </c>
      <c r="U66" s="64">
        <f t="shared" si="12"/>
        <v>0</v>
      </c>
      <c r="V66" s="219">
        <f>(G66+R66)/(1-Summary!$T$13)*Summary!$T$13</f>
        <v>0.3233310210458214</v>
      </c>
      <c r="W66" s="43">
        <f t="shared" si="13"/>
        <v>4.3779804923803827</v>
      </c>
      <c r="X66" s="43">
        <f t="shared" si="14"/>
        <v>4.3779804923803827</v>
      </c>
      <c r="Y66" s="43"/>
      <c r="Z66" s="38">
        <f t="shared" si="15"/>
        <v>1.1000000000000001</v>
      </c>
      <c r="AA66" s="38">
        <f t="shared" si="16"/>
        <v>0.255</v>
      </c>
      <c r="AB66" s="38">
        <f t="shared" ca="1" si="17"/>
        <v>0.27366846424586994</v>
      </c>
      <c r="AC66" s="38">
        <f t="shared" si="18"/>
        <v>1.35</v>
      </c>
      <c r="AD66" s="38">
        <f t="shared" si="18"/>
        <v>0.255</v>
      </c>
      <c r="AE66" s="38">
        <f t="shared" ca="1" si="19"/>
        <v>0.28261495537317266</v>
      </c>
      <c r="AF66" s="237">
        <f ca="1">((Summary!$N$13*(AA66*AD66)*(A66-$D$3))+(Summary!$M$13*Z66*AC66*(AJ66-EOMONTH(EDATE(A66,-1),0))))/(AK66*AB66*AE66)</f>
        <v>0.99715029704776759</v>
      </c>
      <c r="AG66" s="88">
        <f>IF($A67="","",Summary!$Q$13)</f>
        <v>0</v>
      </c>
      <c r="AH66" s="88">
        <f>IF($A67="","",IF(Summary!$R$12="Y",(VLOOKUP($A66,Summary!$AD$6:$AF$9,3)+'Escalating commodity'!I79),'Escalating commodity'!I79))</f>
        <v>4.9510491685558503E-2</v>
      </c>
      <c r="AI66" s="88">
        <f t="shared" si="34"/>
        <v>4.9510491685558503E-2</v>
      </c>
      <c r="AJ66" s="236">
        <f t="shared" si="20"/>
        <v>38762</v>
      </c>
      <c r="AK66" s="58">
        <f t="shared" ca="1" si="21"/>
        <v>1723</v>
      </c>
      <c r="AL66" s="26">
        <f ca="1">IF($A67="","",_xll.SPRDOPT(P66,X66,AI66,0,AB66,AE66,AF66,AK66,$AJ$2,0))</f>
        <v>0.43359700763878534</v>
      </c>
      <c r="AM66" s="209">
        <f t="shared" si="22"/>
        <v>0.43150901593405883</v>
      </c>
      <c r="AN66" s="89">
        <f t="shared" ca="1" si="23"/>
        <v>2.0879917047265106E-3</v>
      </c>
      <c r="AO66" s="3">
        <f t="shared" si="24"/>
        <v>28</v>
      </c>
      <c r="AP66" s="33">
        <f t="shared" si="25"/>
        <v>38749</v>
      </c>
      <c r="AQ66" s="58">
        <f t="shared" ca="1" si="26"/>
        <v>1723</v>
      </c>
      <c r="AR66" s="38">
        <f>'ANR OK vs ML7'!AR66</f>
        <v>0.1</v>
      </c>
      <c r="AS66" s="35">
        <f t="shared" ca="1" si="27"/>
        <v>0.63108335041553021</v>
      </c>
      <c r="AT66" s="3">
        <f t="shared" si="28"/>
        <v>1</v>
      </c>
      <c r="AU66" s="3">
        <f t="shared" si="29"/>
        <v>28</v>
      </c>
      <c r="AW66" s="32">
        <f t="shared" ca="1" si="30"/>
        <v>344796.34047436208</v>
      </c>
      <c r="AX66" s="32">
        <f t="shared" si="31"/>
        <v>343135.96947076358</v>
      </c>
      <c r="AY66" s="32">
        <f t="shared" ca="1" si="32"/>
        <v>1660.3710035985212</v>
      </c>
      <c r="BA66" s="32">
        <f ca="1">IF($A67="","",F66*Summary!$Q$13)</f>
        <v>0</v>
      </c>
      <c r="BC66" s="256">
        <f t="shared" ca="1" si="35"/>
        <v>216547.39726169055</v>
      </c>
    </row>
    <row r="67" spans="1:55">
      <c r="A67" s="67">
        <f t="shared" si="33"/>
        <v>38777</v>
      </c>
      <c r="B67" s="69">
        <f t="shared" si="36"/>
        <v>28400</v>
      </c>
      <c r="C67" s="71"/>
      <c r="D67" s="69">
        <f t="shared" si="0"/>
        <v>28400</v>
      </c>
      <c r="E67" s="70">
        <f t="shared" si="1"/>
        <v>880400</v>
      </c>
      <c r="F67" s="70">
        <f t="shared" ca="1" si="2"/>
        <v>551465.0844079518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0.53500000000000003</v>
      </c>
      <c r="K67" s="64">
        <f t="shared" si="6"/>
        <v>0.53500000000000003</v>
      </c>
      <c r="L67" s="38">
        <v>0</v>
      </c>
      <c r="M67" s="64">
        <f t="shared" si="7"/>
        <v>0</v>
      </c>
      <c r="N67" s="65"/>
      <c r="O67" s="63">
        <f t="shared" si="8"/>
        <v>4.72</v>
      </c>
      <c r="P67" s="63">
        <f t="shared" si="9"/>
        <v>4.72</v>
      </c>
      <c r="Q67" s="66"/>
      <c r="R67" s="63">
        <f t="shared" si="10"/>
        <v>-0.26933983485783258</v>
      </c>
      <c r="S67" s="64">
        <f t="shared" si="11"/>
        <v>-0.26933983485783258</v>
      </c>
      <c r="T67" s="38">
        <v>0</v>
      </c>
      <c r="U67" s="64">
        <f t="shared" si="12"/>
        <v>0</v>
      </c>
      <c r="V67" s="219">
        <f>(G67+R67)/(1-Summary!$T$13)*Summary!$T$13</f>
        <v>0.31224755881231658</v>
      </c>
      <c r="W67" s="43">
        <f t="shared" si="13"/>
        <v>4.227907723954484</v>
      </c>
      <c r="X67" s="43">
        <f t="shared" si="14"/>
        <v>4.227907723954484</v>
      </c>
      <c r="Y67" s="43"/>
      <c r="Z67" s="38">
        <f t="shared" si="15"/>
        <v>0.75</v>
      </c>
      <c r="AA67" s="38">
        <f t="shared" si="16"/>
        <v>0.25</v>
      </c>
      <c r="AB67" s="38">
        <f t="shared" ca="1" si="17"/>
        <v>0.25983647056074827</v>
      </c>
      <c r="AC67" s="38">
        <f t="shared" si="18"/>
        <v>0.95</v>
      </c>
      <c r="AD67" s="38">
        <f t="shared" si="18"/>
        <v>0.25</v>
      </c>
      <c r="AE67" s="38">
        <f t="shared" ca="1" si="19"/>
        <v>0.26556486998722301</v>
      </c>
      <c r="AF67" s="237">
        <f ca="1">((Summary!$N$13*(AA67*AD67)*(A67-$D$3))+(Summary!$M$13*Z67*AC67*(AJ67-EOMONTH(EDATE(A67,-1),0))))/(AK67*AB67*AE67)</f>
        <v>0.99758145415024924</v>
      </c>
      <c r="AG67" s="88">
        <f>IF($A68="","",Summary!$Q$13)</f>
        <v>0</v>
      </c>
      <c r="AH67" s="88">
        <f>IF($A68="","",IF(Summary!$R$12="Y",(VLOOKUP($A67,Summary!$AD$6:$AF$9,3)+'Escalating commodity'!I80),'Escalating commodity'!I80))</f>
        <v>4.9510491685558503E-2</v>
      </c>
      <c r="AI67" s="88">
        <f t="shared" si="34"/>
        <v>4.9510491685558503E-2</v>
      </c>
      <c r="AJ67" s="236">
        <f t="shared" si="20"/>
        <v>38791.5</v>
      </c>
      <c r="AK67" s="58">
        <f t="shared" ca="1" si="21"/>
        <v>1751</v>
      </c>
      <c r="AL67" s="26">
        <f ca="1">IF($A68="","",_xll.SPRDOPT(P67,X67,AI67,0,AB67,AE67,AF67,AK67,$AJ$2,0))</f>
        <v>0.44302608742751187</v>
      </c>
      <c r="AM67" s="209">
        <f t="shared" si="22"/>
        <v>0.44258178435995726</v>
      </c>
      <c r="AN67" s="89">
        <f t="shared" ca="1" si="23"/>
        <v>4.443030675546078E-4</v>
      </c>
      <c r="AO67" s="3">
        <f t="shared" si="24"/>
        <v>31</v>
      </c>
      <c r="AP67" s="33">
        <f t="shared" si="25"/>
        <v>38777</v>
      </c>
      <c r="AQ67" s="58">
        <f t="shared" ca="1" si="26"/>
        <v>1751</v>
      </c>
      <c r="AR67" s="38">
        <f>'ANR OK vs ML7'!AR67</f>
        <v>0.1</v>
      </c>
      <c r="AS67" s="35">
        <f t="shared" ca="1" si="27"/>
        <v>0.6263801503952201</v>
      </c>
      <c r="AT67" s="3">
        <f t="shared" si="28"/>
        <v>1</v>
      </c>
      <c r="AU67" s="3">
        <f t="shared" si="29"/>
        <v>31</v>
      </c>
      <c r="AW67" s="32">
        <f t="shared" ca="1" si="30"/>
        <v>390040.16737118148</v>
      </c>
      <c r="AX67" s="32">
        <f t="shared" si="31"/>
        <v>389649.0029505064</v>
      </c>
      <c r="AY67" s="32">
        <f t="shared" ca="1" si="32"/>
        <v>391.16442067507671</v>
      </c>
      <c r="BA67" s="32">
        <f ca="1">IF($A68="","",F67*Summary!$Q$13)</f>
        <v>0</v>
      </c>
      <c r="BC67" s="256">
        <f t="shared" ca="1" si="35"/>
        <v>244068.40106948576</v>
      </c>
    </row>
    <row r="68" spans="1:55">
      <c r="A68" s="67">
        <f t="shared" si="33"/>
        <v>38808</v>
      </c>
      <c r="B68" s="69">
        <f t="shared" si="36"/>
        <v>28400</v>
      </c>
      <c r="C68" s="71"/>
      <c r="D68" s="69">
        <f t="shared" si="0"/>
        <v>28400</v>
      </c>
      <c r="E68" s="70">
        <f t="shared" si="1"/>
        <v>852000</v>
      </c>
      <c r="F68" s="70">
        <f t="shared" ca="1" si="2"/>
        <v>529274.25178548985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0.23499999999999999</v>
      </c>
      <c r="K68" s="64">
        <f t="shared" si="6"/>
        <v>0.23499999999999999</v>
      </c>
      <c r="L68" s="38">
        <v>0</v>
      </c>
      <c r="M68" s="64">
        <f t="shared" si="7"/>
        <v>0</v>
      </c>
      <c r="N68" s="65"/>
      <c r="O68" s="63">
        <f t="shared" si="8"/>
        <v>4.2450000000000001</v>
      </c>
      <c r="P68" s="63">
        <f t="shared" si="9"/>
        <v>4.2450000000000001</v>
      </c>
      <c r="Q68" s="66"/>
      <c r="R68" s="63">
        <f t="shared" si="10"/>
        <v>-0.37806731583783726</v>
      </c>
      <c r="S68" s="64">
        <f t="shared" si="11"/>
        <v>-0.37806731583783726</v>
      </c>
      <c r="T68" s="38">
        <v>0</v>
      </c>
      <c r="U68" s="64">
        <f t="shared" si="12"/>
        <v>0</v>
      </c>
      <c r="V68" s="219">
        <f>(G68+R68)/(1-Summary!$T$13)*Summary!$T$13</f>
        <v>0.28962220074558609</v>
      </c>
      <c r="W68" s="43">
        <f t="shared" si="13"/>
        <v>3.9215548849077484</v>
      </c>
      <c r="X68" s="43">
        <f t="shared" si="14"/>
        <v>3.9215548849077484</v>
      </c>
      <c r="Y68" s="43"/>
      <c r="Z68" s="38">
        <f t="shared" si="15"/>
        <v>0.45</v>
      </c>
      <c r="AA68" s="38">
        <f t="shared" si="16"/>
        <v>0.245</v>
      </c>
      <c r="AB68" s="38">
        <f t="shared" ca="1" si="17"/>
        <v>0.24852209060241742</v>
      </c>
      <c r="AC68" s="38">
        <f t="shared" si="18"/>
        <v>0.5</v>
      </c>
      <c r="AD68" s="38">
        <f t="shared" si="18"/>
        <v>0.245</v>
      </c>
      <c r="AE68" s="38">
        <f t="shared" ca="1" si="19"/>
        <v>0.24932521165583682</v>
      </c>
      <c r="AF68" s="237">
        <f ca="1">((Summary!$N$13*(AA68*AD68)*(A68-$D$3))+(Summary!$M$13*Z68*AC68*(AJ68-EOMONTH(EDATE(A68,-1),0))))/(AK68*AB68*AE68)</f>
        <v>0.99973846814150746</v>
      </c>
      <c r="AG68" s="88">
        <f>IF($A69="","",Summary!$Q$13)</f>
        <v>0</v>
      </c>
      <c r="AH68" s="88">
        <f>IF($A69="","",IF(Summary!$R$12="Y",(VLOOKUP($A68,Summary!$AD$6:$AF$9,3)+'Escalating commodity'!I81),'Escalating commodity'!I81))</f>
        <v>4.9510491685558503E-2</v>
      </c>
      <c r="AI68" s="88">
        <f t="shared" si="34"/>
        <v>4.9510491685558503E-2</v>
      </c>
      <c r="AJ68" s="236">
        <f t="shared" si="20"/>
        <v>38822</v>
      </c>
      <c r="AK68" s="58">
        <f t="shared" ca="1" si="21"/>
        <v>1782</v>
      </c>
      <c r="AL68" s="26">
        <f ca="1">IF($A69="","",_xll.SPRDOPT(P68,X68,AI68,0,AB68,AE68,AF68,AK68,$AJ$2,0))</f>
        <v>0.27397712528904911</v>
      </c>
      <c r="AM68" s="209">
        <f t="shared" si="22"/>
        <v>0.27393462340669322</v>
      </c>
      <c r="AN68" s="89">
        <f t="shared" ca="1" si="23"/>
        <v>4.2501882355883147E-5</v>
      </c>
      <c r="AO68" s="3">
        <f t="shared" si="24"/>
        <v>30</v>
      </c>
      <c r="AP68" s="33">
        <f t="shared" si="25"/>
        <v>38808</v>
      </c>
      <c r="AQ68" s="58">
        <f t="shared" ca="1" si="26"/>
        <v>1782</v>
      </c>
      <c r="AR68" s="38">
        <f>'ANR OK vs ML7'!AR68</f>
        <v>0.1</v>
      </c>
      <c r="AS68" s="35">
        <f t="shared" ca="1" si="27"/>
        <v>0.62121391054634956</v>
      </c>
      <c r="AT68" s="3">
        <f t="shared" si="28"/>
        <v>1</v>
      </c>
      <c r="AU68" s="3">
        <f t="shared" si="29"/>
        <v>30</v>
      </c>
      <c r="AW68" s="32">
        <f t="shared" ca="1" si="30"/>
        <v>233428.51074626984</v>
      </c>
      <c r="AX68" s="32">
        <f t="shared" si="31"/>
        <v>233392.29914250263</v>
      </c>
      <c r="AY68" s="32">
        <f t="shared" ca="1" si="32"/>
        <v>36.211603767212438</v>
      </c>
      <c r="BA68" s="32">
        <f ca="1">IF($A69="","",F68*Summary!$Q$13)</f>
        <v>0</v>
      </c>
      <c r="BC68" s="256">
        <f t="shared" ca="1" si="35"/>
        <v>144986.54284171748</v>
      </c>
    </row>
    <row r="69" spans="1:55">
      <c r="A69" s="67">
        <f t="shared" si="33"/>
        <v>38838</v>
      </c>
      <c r="B69" s="69">
        <f t="shared" si="36"/>
        <v>28400</v>
      </c>
      <c r="C69" s="71"/>
      <c r="D69" s="69">
        <f t="shared" si="0"/>
        <v>28400</v>
      </c>
      <c r="E69" s="70">
        <f t="shared" si="1"/>
        <v>880400</v>
      </c>
      <c r="F69" s="70">
        <f t="shared" ca="1" si="2"/>
        <v>542550.81181218999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0.23499999999999999</v>
      </c>
      <c r="K69" s="64">
        <f t="shared" si="6"/>
        <v>0.23499999999999999</v>
      </c>
      <c r="L69" s="38">
        <v>0</v>
      </c>
      <c r="M69" s="64">
        <f t="shared" si="7"/>
        <v>0</v>
      </c>
      <c r="N69" s="65"/>
      <c r="O69" s="63">
        <f t="shared" si="8"/>
        <v>4.2149999999999999</v>
      </c>
      <c r="P69" s="63">
        <f t="shared" si="9"/>
        <v>4.2149999999999999</v>
      </c>
      <c r="Q69" s="66"/>
      <c r="R69" s="63">
        <f t="shared" si="10"/>
        <v>-0.37805551706243007</v>
      </c>
      <c r="S69" s="64">
        <f t="shared" si="11"/>
        <v>-0.37805551706243007</v>
      </c>
      <c r="T69" s="38">
        <v>0</v>
      </c>
      <c r="U69" s="64">
        <f t="shared" si="12"/>
        <v>0</v>
      </c>
      <c r="V69" s="219">
        <f>(G69+R69)/(1-Summary!$T$13)*Summary!$T$13</f>
        <v>0.2872308434186891</v>
      </c>
      <c r="W69" s="43">
        <f t="shared" si="13"/>
        <v>3.8891753263562592</v>
      </c>
      <c r="X69" s="43">
        <f t="shared" si="14"/>
        <v>3.8891753263562592</v>
      </c>
      <c r="Y69" s="43"/>
      <c r="Z69" s="38">
        <f t="shared" si="15"/>
        <v>0.5</v>
      </c>
      <c r="AA69" s="38">
        <f t="shared" si="16"/>
        <v>0.23800000000000002</v>
      </c>
      <c r="AB69" s="38">
        <f t="shared" ca="1" si="17"/>
        <v>0.24251552828005396</v>
      </c>
      <c r="AC69" s="38">
        <f t="shared" si="18"/>
        <v>0.45</v>
      </c>
      <c r="AD69" s="38">
        <f t="shared" si="18"/>
        <v>0.23800000000000002</v>
      </c>
      <c r="AE69" s="38">
        <f t="shared" ca="1" si="19"/>
        <v>0.24167635894395254</v>
      </c>
      <c r="AF69" s="237">
        <f ca="1">((Summary!$N$13*(AA69*AD69)*(A69-$D$3))+(Summary!$M$13*Z69*AC69*(AJ69-EOMONTH(EDATE(A69,-1),0))))/(AK69*AB69*AE69)</f>
        <v>0.99972687332176724</v>
      </c>
      <c r="AG69" s="88">
        <f>IF($A70="","",Summary!$Q$13)</f>
        <v>0</v>
      </c>
      <c r="AH69" s="88">
        <f>IF($A70="","",IF(Summary!$R$12="Y",(VLOOKUP($A69,Summary!$AD$6:$AF$9,3)+'Escalating commodity'!I82),'Escalating commodity'!I82))</f>
        <v>4.9510491685558503E-2</v>
      </c>
      <c r="AI69" s="88">
        <f t="shared" si="34"/>
        <v>4.9510491685558503E-2</v>
      </c>
      <c r="AJ69" s="236">
        <f t="shared" si="20"/>
        <v>38852.5</v>
      </c>
      <c r="AK69" s="58">
        <f t="shared" ca="1" si="21"/>
        <v>1812</v>
      </c>
      <c r="AL69" s="26">
        <f ca="1">IF($A70="","",_xll.SPRDOPT(P69,X69,AI69,0,AB69,AE69,AF69,AK69,$AJ$2,0))</f>
        <v>0.27637112298868549</v>
      </c>
      <c r="AM69" s="209">
        <f t="shared" si="22"/>
        <v>0.27631418195818219</v>
      </c>
      <c r="AN69" s="89">
        <f t="shared" ca="1" si="23"/>
        <v>5.6941030503299128E-5</v>
      </c>
      <c r="AO69" s="3">
        <f t="shared" si="24"/>
        <v>31</v>
      </c>
      <c r="AP69" s="33">
        <f t="shared" si="25"/>
        <v>38838</v>
      </c>
      <c r="AQ69" s="58">
        <f t="shared" ca="1" si="26"/>
        <v>1812</v>
      </c>
      <c r="AR69" s="38">
        <f>'ANR OK vs ML7'!AR69</f>
        <v>0.1</v>
      </c>
      <c r="AS69" s="35">
        <f t="shared" ca="1" si="27"/>
        <v>0.61625489756041574</v>
      </c>
      <c r="AT69" s="3">
        <f t="shared" si="28"/>
        <v>1</v>
      </c>
      <c r="AU69" s="3">
        <f t="shared" si="29"/>
        <v>31</v>
      </c>
      <c r="AW69" s="32">
        <f t="shared" ca="1" si="30"/>
        <v>243317.1366792387</v>
      </c>
      <c r="AX69" s="32">
        <f t="shared" si="31"/>
        <v>243267.0057959836</v>
      </c>
      <c r="AY69" s="32">
        <f t="shared" ca="1" si="32"/>
        <v>50.13088325510455</v>
      </c>
      <c r="BA69" s="32">
        <f ca="1">IF($A70="","",F69*Summary!$Q$13)</f>
        <v>0</v>
      </c>
      <c r="BC69" s="256">
        <f t="shared" ca="1" si="35"/>
        <v>149914.48373663292</v>
      </c>
    </row>
    <row r="70" spans="1:55">
      <c r="A70" s="67">
        <f t="shared" si="33"/>
        <v>38869</v>
      </c>
      <c r="B70" s="69">
        <f t="shared" si="36"/>
        <v>28400</v>
      </c>
      <c r="C70" s="71"/>
      <c r="D70" s="69">
        <f t="shared" si="0"/>
        <v>28400</v>
      </c>
      <c r="E70" s="70">
        <f t="shared" si="1"/>
        <v>852000</v>
      </c>
      <c r="F70" s="70">
        <f t="shared" ca="1" si="2"/>
        <v>520718.6875408396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0.23499999999999999</v>
      </c>
      <c r="K70" s="64">
        <f t="shared" si="6"/>
        <v>0.23499999999999999</v>
      </c>
      <c r="L70" s="38">
        <v>0</v>
      </c>
      <c r="M70" s="64">
        <f t="shared" si="7"/>
        <v>0</v>
      </c>
      <c r="N70" s="65"/>
      <c r="O70" s="63">
        <f t="shared" si="8"/>
        <v>4.2850000000000001</v>
      </c>
      <c r="P70" s="63">
        <f t="shared" si="9"/>
        <v>4.2850000000000001</v>
      </c>
      <c r="Q70" s="66"/>
      <c r="R70" s="63">
        <f t="shared" si="10"/>
        <v>-0.37803893364130314</v>
      </c>
      <c r="S70" s="64">
        <f t="shared" si="11"/>
        <v>-0.37803893364130314</v>
      </c>
      <c r="T70" s="38">
        <v>0</v>
      </c>
      <c r="U70" s="64">
        <f t="shared" si="12"/>
        <v>0</v>
      </c>
      <c r="V70" s="219">
        <f>(G70+R70)/(1-Summary!$T$13)*Summary!$T$13</f>
        <v>0.29281419496800104</v>
      </c>
      <c r="W70" s="43">
        <f t="shared" si="13"/>
        <v>3.964775261326698</v>
      </c>
      <c r="X70" s="43">
        <f t="shared" si="14"/>
        <v>3.964775261326698</v>
      </c>
      <c r="Y70" s="43"/>
      <c r="Z70" s="38">
        <f t="shared" si="15"/>
        <v>0.5</v>
      </c>
      <c r="AA70" s="38">
        <f t="shared" si="16"/>
        <v>0.23800000000000002</v>
      </c>
      <c r="AB70" s="38">
        <f t="shared" ca="1" si="17"/>
        <v>0.24230035217053275</v>
      </c>
      <c r="AC70" s="38">
        <f t="shared" si="18"/>
        <v>0.5</v>
      </c>
      <c r="AD70" s="38">
        <f t="shared" si="18"/>
        <v>0.23800000000000002</v>
      </c>
      <c r="AE70" s="38">
        <f t="shared" ca="1" si="19"/>
        <v>0.24230035217053275</v>
      </c>
      <c r="AF70" s="237">
        <f ca="1">((Summary!$N$13*(AA70*AD70)*(A70-$D$3))+(Summary!$M$13*Z70*AC70*(AJ70-EOMONTH(EDATE(A70,-1),0))))/(AK70*AB70*AE70)</f>
        <v>0.99990346575486688</v>
      </c>
      <c r="AG70" s="88">
        <f>IF($A71="","",Summary!$Q$13)</f>
        <v>0</v>
      </c>
      <c r="AH70" s="88">
        <f>IF($A71="","",IF(Summary!$R$12="Y",(VLOOKUP($A70,Summary!$AD$6:$AF$9,3)+'Escalating commodity'!I83),'Escalating commodity'!I83))</f>
        <v>4.9510491685558503E-2</v>
      </c>
      <c r="AI70" s="88">
        <f t="shared" si="34"/>
        <v>4.9510491685558503E-2</v>
      </c>
      <c r="AJ70" s="236">
        <f t="shared" si="20"/>
        <v>38883</v>
      </c>
      <c r="AK70" s="58">
        <f t="shared" ca="1" si="21"/>
        <v>1843</v>
      </c>
      <c r="AL70" s="26">
        <f ca="1">IF($A71="","",_xll.SPRDOPT(P70,X70,AI70,0,AB70,AE70,AF70,AK70,$AJ$2,0))</f>
        <v>0.27073871177730047</v>
      </c>
      <c r="AM70" s="209">
        <f t="shared" si="22"/>
        <v>0.27071424698774366</v>
      </c>
      <c r="AN70" s="89">
        <f t="shared" ca="1" si="23"/>
        <v>2.446478955681064E-5</v>
      </c>
      <c r="AO70" s="3">
        <f t="shared" si="24"/>
        <v>30</v>
      </c>
      <c r="AP70" s="33">
        <f t="shared" si="25"/>
        <v>38869</v>
      </c>
      <c r="AQ70" s="58">
        <f t="shared" ca="1" si="26"/>
        <v>1843</v>
      </c>
      <c r="AR70" s="38">
        <f>'ANR OK vs ML7'!AR70</f>
        <v>0.1</v>
      </c>
      <c r="AS70" s="35">
        <f t="shared" ca="1" si="27"/>
        <v>0.61117216847516387</v>
      </c>
      <c r="AT70" s="3">
        <f t="shared" si="28"/>
        <v>1</v>
      </c>
      <c r="AU70" s="3">
        <f t="shared" si="29"/>
        <v>30</v>
      </c>
      <c r="AW70" s="32">
        <f t="shared" ca="1" si="30"/>
        <v>230669.38243425998</v>
      </c>
      <c r="AX70" s="32">
        <f t="shared" si="31"/>
        <v>230648.53843355761</v>
      </c>
      <c r="AY70" s="32">
        <f t="shared" ca="1" si="32"/>
        <v>20.844000702402667</v>
      </c>
      <c r="BA70" s="32">
        <f ca="1">IF($A71="","",F70*Summary!$Q$13)</f>
        <v>0</v>
      </c>
      <c r="BC70" s="256">
        <f t="shared" ca="1" si="35"/>
        <v>140965.96739006456</v>
      </c>
    </row>
    <row r="71" spans="1:55">
      <c r="A71" s="67">
        <f t="shared" si="33"/>
        <v>38899</v>
      </c>
      <c r="B71" s="69">
        <f t="shared" si="36"/>
        <v>28400</v>
      </c>
      <c r="C71" s="71"/>
      <c r="D71" s="69">
        <f t="shared" si="0"/>
        <v>28400</v>
      </c>
      <c r="E71" s="70">
        <f t="shared" si="1"/>
        <v>880400</v>
      </c>
      <c r="F71" s="70">
        <f t="shared" ca="1" si="2"/>
        <v>533780.63583860477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0.23499999999999999</v>
      </c>
      <c r="K71" s="64">
        <f t="shared" si="6"/>
        <v>0.23499999999999999</v>
      </c>
      <c r="L71" s="38">
        <v>0</v>
      </c>
      <c r="M71" s="64">
        <f t="shared" si="7"/>
        <v>0</v>
      </c>
      <c r="N71" s="65"/>
      <c r="O71" s="63">
        <f t="shared" si="8"/>
        <v>4.3400000000000007</v>
      </c>
      <c r="P71" s="63">
        <f t="shared" si="9"/>
        <v>4.3400000000000007</v>
      </c>
      <c r="Q71" s="66"/>
      <c r="R71" s="63">
        <f t="shared" si="10"/>
        <v>-0.37802152750285872</v>
      </c>
      <c r="S71" s="64">
        <f t="shared" si="11"/>
        <v>-0.37802152750285872</v>
      </c>
      <c r="T71" s="38">
        <v>0</v>
      </c>
      <c r="U71" s="64">
        <f t="shared" si="12"/>
        <v>0</v>
      </c>
      <c r="V71" s="219">
        <f>(G71+R71)/(1-Summary!$T$13)*Summary!$T$13</f>
        <v>0.29720146302355038</v>
      </c>
      <c r="W71" s="43">
        <f t="shared" si="13"/>
        <v>4.0241799355206922</v>
      </c>
      <c r="X71" s="43">
        <f t="shared" si="14"/>
        <v>4.0241799355206922</v>
      </c>
      <c r="Y71" s="43"/>
      <c r="Z71" s="38">
        <f t="shared" si="15"/>
        <v>0.55000000000000004</v>
      </c>
      <c r="AA71" s="38">
        <f t="shared" si="16"/>
        <v>0.23800000000000002</v>
      </c>
      <c r="AB71" s="38">
        <f t="shared" ca="1" si="17"/>
        <v>0.24326442256230199</v>
      </c>
      <c r="AC71" s="38">
        <f t="shared" si="18"/>
        <v>0.5</v>
      </c>
      <c r="AD71" s="38">
        <f t="shared" si="18"/>
        <v>0.23800000000000002</v>
      </c>
      <c r="AE71" s="38">
        <f t="shared" ca="1" si="19"/>
        <v>0.24236979155190536</v>
      </c>
      <c r="AF71" s="237">
        <f ca="1">((Summary!$N$13*(AA71*AD71)*(A71-$D$3))+(Summary!$M$13*Z71*AC71*(AJ71-EOMONTH(EDATE(A71,-1),0))))/(AK71*AB71*AE71)</f>
        <v>0.99973521670331356</v>
      </c>
      <c r="AG71" s="88">
        <f>IF($A72="","",Summary!$Q$13)</f>
        <v>0</v>
      </c>
      <c r="AH71" s="88">
        <f>IF($A72="","",IF(Summary!$R$12="Y",(VLOOKUP($A71,Summary!$AD$6:$AF$9,3)+'Escalating commodity'!I84),'Escalating commodity'!I84))</f>
        <v>4.9510491685558503E-2</v>
      </c>
      <c r="AI71" s="88">
        <f t="shared" si="34"/>
        <v>4.9510491685558503E-2</v>
      </c>
      <c r="AJ71" s="236">
        <f t="shared" si="20"/>
        <v>38913.5</v>
      </c>
      <c r="AK71" s="58">
        <f t="shared" ca="1" si="21"/>
        <v>1873</v>
      </c>
      <c r="AL71" s="26">
        <f ca="1">IF($A72="","",_xll.SPRDOPT(P71,X71,AI71,0,AB71,AE71,AF71,AK71,$AJ$2,0))</f>
        <v>0.26641354540896744</v>
      </c>
      <c r="AM71" s="209">
        <f t="shared" si="22"/>
        <v>0.26630957279375006</v>
      </c>
      <c r="AN71" s="89">
        <f t="shared" ca="1" si="23"/>
        <v>1.0397261521738477E-4</v>
      </c>
      <c r="AO71" s="3">
        <f t="shared" si="24"/>
        <v>31</v>
      </c>
      <c r="AP71" s="33">
        <f t="shared" si="25"/>
        <v>38899</v>
      </c>
      <c r="AQ71" s="58">
        <f t="shared" ca="1" si="26"/>
        <v>1873</v>
      </c>
      <c r="AR71" s="38">
        <f>'ANR OK vs ML7'!AR71</f>
        <v>0.1</v>
      </c>
      <c r="AS71" s="35">
        <f t="shared" ca="1" si="27"/>
        <v>0.60629331649091867</v>
      </c>
      <c r="AT71" s="3">
        <f t="shared" si="28"/>
        <v>1</v>
      </c>
      <c r="AU71" s="3">
        <f t="shared" si="29"/>
        <v>31</v>
      </c>
      <c r="AW71" s="32">
        <f t="shared" ca="1" si="30"/>
        <v>234550.48537805493</v>
      </c>
      <c r="AX71" s="32">
        <f t="shared" si="31"/>
        <v>234458.94788761754</v>
      </c>
      <c r="AY71" s="32">
        <f t="shared" ca="1" si="32"/>
        <v>91.537490437385543</v>
      </c>
      <c r="BA71" s="32">
        <f ca="1">IF($A72="","",F71*Summary!$Q$13)</f>
        <v>0</v>
      </c>
      <c r="BC71" s="256">
        <f t="shared" ca="1" si="35"/>
        <v>142150.89309575511</v>
      </c>
    </row>
    <row r="72" spans="1:55">
      <c r="A72" s="67">
        <f t="shared" si="33"/>
        <v>38930</v>
      </c>
      <c r="B72" s="69">
        <f t="shared" si="36"/>
        <v>28400</v>
      </c>
      <c r="C72" s="71"/>
      <c r="D72" s="69">
        <f t="shared" si="0"/>
        <v>28400</v>
      </c>
      <c r="E72" s="70">
        <f t="shared" si="1"/>
        <v>880400</v>
      </c>
      <c r="F72" s="70">
        <f t="shared" ca="1" si="2"/>
        <v>529378.13555234112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0.23499999999999999</v>
      </c>
      <c r="K72" s="64">
        <f t="shared" si="6"/>
        <v>0.23499999999999999</v>
      </c>
      <c r="L72" s="38">
        <v>0</v>
      </c>
      <c r="M72" s="64">
        <f t="shared" si="7"/>
        <v>0</v>
      </c>
      <c r="N72" s="65"/>
      <c r="O72" s="63">
        <f t="shared" si="8"/>
        <v>4.3960000000000008</v>
      </c>
      <c r="P72" s="63">
        <f t="shared" si="9"/>
        <v>4.3960000000000008</v>
      </c>
      <c r="Q72" s="66"/>
      <c r="R72" s="63">
        <f t="shared" si="10"/>
        <v>-0.37800297585356113</v>
      </c>
      <c r="S72" s="64">
        <f t="shared" si="11"/>
        <v>-0.37800297585356113</v>
      </c>
      <c r="T72" s="38">
        <v>0</v>
      </c>
      <c r="U72" s="64">
        <f t="shared" si="12"/>
        <v>0</v>
      </c>
      <c r="V72" s="219">
        <f>(G72+R72)/(1-Summary!$T$13)*Summary!$T$13</f>
        <v>0.30166856569921369</v>
      </c>
      <c r="W72" s="43">
        <f t="shared" si="13"/>
        <v>4.0846655898456534</v>
      </c>
      <c r="X72" s="43">
        <f t="shared" si="14"/>
        <v>4.0846655898456534</v>
      </c>
      <c r="Y72" s="43"/>
      <c r="Z72" s="38">
        <f t="shared" si="15"/>
        <v>0.6</v>
      </c>
      <c r="AA72" s="38">
        <f t="shared" si="16"/>
        <v>0.23800000000000002</v>
      </c>
      <c r="AB72" s="38">
        <f t="shared" ca="1" si="17"/>
        <v>0.24414016930629742</v>
      </c>
      <c r="AC72" s="38">
        <f t="shared" si="18"/>
        <v>0.45</v>
      </c>
      <c r="AD72" s="38">
        <f t="shared" si="18"/>
        <v>0.23800000000000002</v>
      </c>
      <c r="AE72" s="38">
        <f t="shared" ca="1" si="19"/>
        <v>0.2415000065243488</v>
      </c>
      <c r="AF72" s="237">
        <f ca="1">((Summary!$N$13*(AA72*AD72)*(A72-$D$3))+(Summary!$M$13*Z72*AC72*(AJ72-EOMONTH(EDATE(A72,-1),0))))/(AK72*AB72*AE72)</f>
        <v>0.99840966946657383</v>
      </c>
      <c r="AG72" s="88">
        <f>IF($A73="","",Summary!$Q$13)</f>
        <v>0</v>
      </c>
      <c r="AH72" s="88">
        <f>IF($A73="","",IF(Summary!$R$12="Y",(VLOOKUP($A72,Summary!$AD$6:$AF$9,3)+'Escalating commodity'!I85),'Escalating commodity'!I85))</f>
        <v>4.9510491685558503E-2</v>
      </c>
      <c r="AI72" s="88">
        <f t="shared" si="34"/>
        <v>4.9510491685558503E-2</v>
      </c>
      <c r="AJ72" s="236">
        <f t="shared" si="20"/>
        <v>38944.5</v>
      </c>
      <c r="AK72" s="58">
        <f t="shared" ca="1" si="21"/>
        <v>1904</v>
      </c>
      <c r="AL72" s="26">
        <f ca="1">IF($A73="","",_xll.SPRDOPT(P72,X72,AI72,0,AB72,AE72,AF72,AK72,$AJ$2,0))</f>
        <v>0.26393664406716832</v>
      </c>
      <c r="AM72" s="209">
        <f t="shared" si="22"/>
        <v>0.26182391846878889</v>
      </c>
      <c r="AN72" s="89">
        <f t="shared" ca="1" si="23"/>
        <v>2.1127255983794391E-3</v>
      </c>
      <c r="AO72" s="3">
        <f t="shared" si="24"/>
        <v>31</v>
      </c>
      <c r="AP72" s="33">
        <f t="shared" si="25"/>
        <v>38930</v>
      </c>
      <c r="AQ72" s="58">
        <f t="shared" ca="1" si="26"/>
        <v>1904</v>
      </c>
      <c r="AR72" s="38">
        <f>'ANR OK vs ML7'!AR72</f>
        <v>0.1</v>
      </c>
      <c r="AS72" s="35">
        <f t="shared" ca="1" si="27"/>
        <v>0.60129274824209578</v>
      </c>
      <c r="AT72" s="3">
        <f t="shared" si="28"/>
        <v>1</v>
      </c>
      <c r="AU72" s="3">
        <f t="shared" si="29"/>
        <v>31</v>
      </c>
      <c r="AW72" s="32">
        <f t="shared" ca="1" si="30"/>
        <v>232369.82143673499</v>
      </c>
      <c r="AX72" s="32">
        <f t="shared" si="31"/>
        <v>230509.77781992173</v>
      </c>
      <c r="AY72" s="32">
        <f t="shared" ca="1" si="32"/>
        <v>1860.0436168132583</v>
      </c>
      <c r="BA72" s="32">
        <f ca="1">IF($A73="","",F72*Summary!$Q$13)</f>
        <v>0</v>
      </c>
      <c r="BC72" s="256">
        <f t="shared" ca="1" si="35"/>
        <v>138603.85780201564</v>
      </c>
    </row>
    <row r="73" spans="1:55">
      <c r="A73" s="67">
        <f t="shared" si="33"/>
        <v>38961</v>
      </c>
      <c r="B73" s="69">
        <f t="shared" si="36"/>
        <v>28400</v>
      </c>
      <c r="C73" s="71"/>
      <c r="D73" s="69">
        <f t="shared" si="0"/>
        <v>28400</v>
      </c>
      <c r="E73" s="70">
        <f t="shared" si="1"/>
        <v>852000</v>
      </c>
      <c r="F73" s="70">
        <f t="shared" ca="1" si="2"/>
        <v>508076.07685057429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0.23499999999999999</v>
      </c>
      <c r="K73" s="64">
        <f t="shared" si="6"/>
        <v>0.23499999999999999</v>
      </c>
      <c r="L73" s="38">
        <v>0</v>
      </c>
      <c r="M73" s="64">
        <f t="shared" si="7"/>
        <v>0</v>
      </c>
      <c r="N73" s="65"/>
      <c r="O73" s="63">
        <f t="shared" si="8"/>
        <v>4.41</v>
      </c>
      <c r="P73" s="63">
        <f t="shared" si="9"/>
        <v>4.41</v>
      </c>
      <c r="Q73" s="66"/>
      <c r="R73" s="63">
        <f t="shared" si="10"/>
        <v>-0.37798384939642993</v>
      </c>
      <c r="S73" s="64">
        <f t="shared" si="11"/>
        <v>-0.37798384939642993</v>
      </c>
      <c r="T73" s="38">
        <v>0</v>
      </c>
      <c r="U73" s="64">
        <f t="shared" si="12"/>
        <v>0</v>
      </c>
      <c r="V73" s="219">
        <f>(G73+R73)/(1-Summary!$T$13)*Summary!$T$13</f>
        <v>0.3027864967321181</v>
      </c>
      <c r="W73" s="43">
        <f t="shared" si="13"/>
        <v>4.0998026473356877</v>
      </c>
      <c r="X73" s="43">
        <f t="shared" si="14"/>
        <v>4.0998026473356877</v>
      </c>
      <c r="Y73" s="43"/>
      <c r="Z73" s="38">
        <f t="shared" si="15"/>
        <v>0.6</v>
      </c>
      <c r="AA73" s="38">
        <f t="shared" si="16"/>
        <v>0.23800000000000002</v>
      </c>
      <c r="AB73" s="38">
        <f t="shared" ca="1" si="17"/>
        <v>0.24385235504179886</v>
      </c>
      <c r="AC73" s="38">
        <f t="shared" si="18"/>
        <v>0.5</v>
      </c>
      <c r="AD73" s="38">
        <f t="shared" si="18"/>
        <v>0.23800000000000002</v>
      </c>
      <c r="AE73" s="38">
        <f t="shared" ca="1" si="19"/>
        <v>0.24209762056066755</v>
      </c>
      <c r="AF73" s="237">
        <f ca="1">((Summary!$N$13*(AA73*AD73)*(A73-$D$3))+(Summary!$M$13*Z73*AC73*(AJ73-EOMONTH(EDATE(A73,-1),0))))/(AK73*AB73*AE73)</f>
        <v>0.99927353790429418</v>
      </c>
      <c r="AG73" s="88">
        <f>IF($A74="","",Summary!$Q$13)</f>
        <v>0</v>
      </c>
      <c r="AH73" s="88">
        <f>IF($A74="","",IF(Summary!$R$12="Y",(VLOOKUP($A73,Summary!$AD$6:$AF$9,3)+'Escalating commodity'!I86),'Escalating commodity'!I86))</f>
        <v>4.9510491685558503E-2</v>
      </c>
      <c r="AI73" s="88">
        <f t="shared" si="34"/>
        <v>4.9510491685558503E-2</v>
      </c>
      <c r="AJ73" s="236">
        <f t="shared" si="20"/>
        <v>38975</v>
      </c>
      <c r="AK73" s="58">
        <f t="shared" ca="1" si="21"/>
        <v>1935</v>
      </c>
      <c r="AL73" s="26">
        <f ca="1">IF($A74="","",_xll.SPRDOPT(P73,X73,AI73,0,AB73,AE73,AF73,AK73,$AJ$2,0))</f>
        <v>0.26117154455812797</v>
      </c>
      <c r="AM73" s="209">
        <f t="shared" si="22"/>
        <v>0.26068686097875399</v>
      </c>
      <c r="AN73" s="89">
        <f t="shared" ca="1" si="23"/>
        <v>4.8468357937397899E-4</v>
      </c>
      <c r="AO73" s="3">
        <f t="shared" si="24"/>
        <v>30</v>
      </c>
      <c r="AP73" s="33">
        <f t="shared" si="25"/>
        <v>38961</v>
      </c>
      <c r="AQ73" s="58">
        <f t="shared" ca="1" si="26"/>
        <v>1935</v>
      </c>
      <c r="AR73" s="38">
        <f>'ANR OK vs ML7'!AR73</f>
        <v>0.1</v>
      </c>
      <c r="AS73" s="35">
        <f t="shared" ca="1" si="27"/>
        <v>0.59633342353353791</v>
      </c>
      <c r="AT73" s="3">
        <f t="shared" si="28"/>
        <v>1</v>
      </c>
      <c r="AU73" s="3">
        <f t="shared" si="29"/>
        <v>30</v>
      </c>
      <c r="AW73" s="32">
        <f t="shared" ca="1" si="30"/>
        <v>222518.15596352503</v>
      </c>
      <c r="AX73" s="32">
        <f t="shared" si="31"/>
        <v>222105.20555389838</v>
      </c>
      <c r="AY73" s="32">
        <f t="shared" ca="1" si="32"/>
        <v>412.95040962663012</v>
      </c>
      <c r="BA73" s="32">
        <f ca="1">IF($A74="","",F73*Summary!$Q$13)</f>
        <v>0</v>
      </c>
      <c r="BC73" s="256">
        <f t="shared" ca="1" si="35"/>
        <v>132448.75761257639</v>
      </c>
    </row>
    <row r="74" spans="1:55">
      <c r="A74" s="67">
        <f t="shared" si="33"/>
        <v>38991</v>
      </c>
      <c r="B74" s="69">
        <f t="shared" si="36"/>
        <v>28400</v>
      </c>
      <c r="C74" s="71"/>
      <c r="D74" s="69">
        <f t="shared" ref="D74:D137" si="37">IF(A75&lt;&gt;"",B74+C74,"")</f>
        <v>28400</v>
      </c>
      <c r="E74" s="70">
        <f t="shared" ref="E74:E137" si="38">IF(A75="","",IF(AND(AT74=1,$H$3=1),D74*AO74,IF($H$3=2,D74,"N/A")))</f>
        <v>880400</v>
      </c>
      <c r="F74" s="70">
        <f t="shared" ref="F74:F137" ca="1" si="39">IF(A75="","",E74*AS74)</f>
        <v>520820.89205683308</v>
      </c>
      <c r="G74" s="63">
        <f t="shared" ref="G74:G137" si="40">IF($A75="","",VLOOKUP($A74,Table,MATCH(G$4,Curves,0)))</f>
        <v>4.2060000000000004</v>
      </c>
      <c r="H74" s="64">
        <f t="shared" ref="H74:H137" si="41">IF(A75="","",G74)</f>
        <v>4.2060000000000004</v>
      </c>
      <c r="I74" s="43"/>
      <c r="J74" s="63">
        <f t="shared" ref="J74:J137" si="42">IF($A75="","",VLOOKUP($A74,Table,MATCH(J$4,Curves,0)))</f>
        <v>0.23499999999999999</v>
      </c>
      <c r="K74" s="64">
        <f t="shared" ref="K74:K137" si="43">IF(A75="","",J74)</f>
        <v>0.23499999999999999</v>
      </c>
      <c r="L74" s="38">
        <v>0</v>
      </c>
      <c r="M74" s="64">
        <f t="shared" ref="M74:M137" si="44">IF(A75="","",L74)</f>
        <v>0</v>
      </c>
      <c r="N74" s="65"/>
      <c r="O74" s="63">
        <f t="shared" ref="O74:O137" si="45">IF(A75="","",L74+J74+G74)</f>
        <v>4.4410000000000007</v>
      </c>
      <c r="P74" s="63">
        <f t="shared" ref="P74:P137" si="46">IF(A75="","",M74+K74+H74)</f>
        <v>4.4410000000000007</v>
      </c>
      <c r="Q74" s="66"/>
      <c r="R74" s="63">
        <f t="shared" ref="R74:R137" si="47">IF($A75="","",VLOOKUP($A74,Table,MATCH(R$4,Curves,0)))</f>
        <v>-0.37796479239567948</v>
      </c>
      <c r="S74" s="64">
        <f t="shared" ref="S74:S137" si="48">IF(A75="","",R74)</f>
        <v>-0.37796479239567948</v>
      </c>
      <c r="T74" s="38">
        <v>0</v>
      </c>
      <c r="U74" s="64">
        <f t="shared" ref="U74:U137" si="49">IF(A75="","",T74)</f>
        <v>0</v>
      </c>
      <c r="V74" s="219">
        <f>(G74+R74)/(1-Summary!$T$13)*Summary!$T$13</f>
        <v>0.30526005787293614</v>
      </c>
      <c r="W74" s="43">
        <f t="shared" ref="W74:W137" si="50">IF($A75="","",(T74+R74+G74+V74))</f>
        <v>4.1332952654772575</v>
      </c>
      <c r="X74" s="43">
        <f t="shared" ref="X74:X137" si="51">IF($A75="","",(U74+S74+H74+V74))</f>
        <v>4.1332952654772575</v>
      </c>
      <c r="Y74" s="43"/>
      <c r="Z74" s="38">
        <f t="shared" ref="Z74:Z137" si="52">IF($A75="","",VLOOKUP($A74,Table,MATCH(Z$4,Curves,0)))</f>
        <v>0.65</v>
      </c>
      <c r="AA74" s="38">
        <f t="shared" ref="AA74:AA137" si="53">IF($A75="","",VLOOKUP($A74,Table,MATCH(AA$4,Curves,0)))</f>
        <v>0.23800000000000002</v>
      </c>
      <c r="AB74" s="38">
        <f t="shared" ref="AB74:AB137" ca="1" si="54">SQRT((AA74^2*(A74-$D$3)+Z74^2*(DAY(EOMONTH(A74,0))/2))/AK74)</f>
        <v>0.24496024915100439</v>
      </c>
      <c r="AC74" s="38">
        <f t="shared" ref="AC74:AD137" si="55">IF($A75="","",VLOOKUP($A74,Table,MATCH(AC$4,Curves,0)))</f>
        <v>0.5</v>
      </c>
      <c r="AD74" s="38">
        <f t="shared" si="55"/>
        <v>0.23800000000000002</v>
      </c>
      <c r="AE74" s="38">
        <f t="shared" ref="AE74:AE137" ca="1" si="56">SQRT((AD74^2*(A74-$D$3)+AC74^2*(DAY(EOMONTH(A74,0))/2))/AK74)</f>
        <v>0.24216696025928347</v>
      </c>
      <c r="AF74" s="237">
        <f ca="1">((Summary!$N$13*(AA74*AD74)*(A74-$D$3))+(Summary!$M$13*Z74*AC74*(AJ74-EOMONTH(EDATE(A74,-1),0))))/(AK74*AB74*AE74)</f>
        <v>0.99847429942693211</v>
      </c>
      <c r="AG74" s="88">
        <f>IF($A75="","",Summary!$Q$13)</f>
        <v>0</v>
      </c>
      <c r="AH74" s="88">
        <f>IF($A75="","",IF(Summary!$R$12="Y",(VLOOKUP($A74,Summary!$AD$6:$AF$9,3)+'Escalating commodity'!I87),'Escalating commodity'!I87))</f>
        <v>4.9510491685558503E-2</v>
      </c>
      <c r="AI74" s="88">
        <f t="shared" si="34"/>
        <v>4.9510491685558503E-2</v>
      </c>
      <c r="AJ74" s="236">
        <f t="shared" ref="AJ74:AJ137" si="57">A74+DAY(EOMONTH(A74,0))/2-1</f>
        <v>39005.5</v>
      </c>
      <c r="AK74" s="58">
        <f t="shared" ref="AK74:AK137" ca="1" si="58">IF($A75="","",$A74-$E$1)</f>
        <v>1965</v>
      </c>
      <c r="AL74" s="26">
        <f ca="1">IF($A75="","",_xll.SPRDOPT(P74,X74,AI74,0,AB74,AE74,AF74,AK74,$AJ$2,0))</f>
        <v>0.26064462572593416</v>
      </c>
      <c r="AM74" s="209">
        <f t="shared" ref="AM74:AM137" si="59">IF($A75="","",MAX(0,O74-W74-AI74))</f>
        <v>0.25819424283718478</v>
      </c>
      <c r="AN74" s="89">
        <f t="shared" ref="AN74:AN137" ca="1" si="60">IF($A75="","",AL74-AM74)</f>
        <v>2.4503828887493806E-3</v>
      </c>
      <c r="AO74" s="3">
        <f t="shared" ref="AO74:AO137" si="61">IF(A75="","",A75-A74)</f>
        <v>31</v>
      </c>
      <c r="AP74" s="33">
        <f t="shared" ref="AP74:AP137" si="62">IF(A75="","",CHOOSE(F$3,A75+24,A74))</f>
        <v>38991</v>
      </c>
      <c r="AQ74" s="58">
        <f t="shared" ref="AQ74:AQ137" ca="1" si="63">IF(A75="","",AP74-$E$1)</f>
        <v>1965</v>
      </c>
      <c r="AR74" s="38">
        <f>'ANR OK vs ML7'!AR74</f>
        <v>0.1</v>
      </c>
      <c r="AS74" s="35">
        <f t="shared" ref="AS74:AS137" ca="1" si="64">IF(A75="","",1/(1+CHOOSE(F$3,(AR75+($I$3/10000))/2,(AR74+($I$3/10000))/2))^(2*AQ74/365.25))</f>
        <v>0.59157302596187311</v>
      </c>
      <c r="AT74" s="3">
        <f t="shared" ref="AT74:AT137" si="65">IF(A75="","",IF(AND(mthbeg&lt;=A74,mthend&gt;=A74),1,0))</f>
        <v>1</v>
      </c>
      <c r="AU74" s="3">
        <f t="shared" ref="AU74:AU137" si="66">IF(A75="","",AO74*AT74)</f>
        <v>31</v>
      </c>
      <c r="AW74" s="32">
        <f t="shared" ref="AW74:AW137" ca="1" si="67">IF($A75="","",AL74*$E74)</f>
        <v>229471.52848911245</v>
      </c>
      <c r="AX74" s="32">
        <f t="shared" ref="AX74:AX137" si="68">IF($A75="","",AM74*$E74)</f>
        <v>227314.21139385749</v>
      </c>
      <c r="AY74" s="32">
        <f t="shared" ref="AY74:AY137" ca="1" si="69">IF($A75="","",AN74*$E74)</f>
        <v>2157.3170952549549</v>
      </c>
      <c r="BA74" s="32">
        <f ca="1">IF($A75="","",F74*Summary!$Q$13)</f>
        <v>0</v>
      </c>
      <c r="BC74" s="256">
        <f t="shared" ca="1" si="35"/>
        <v>134472.95587840118</v>
      </c>
    </row>
    <row r="75" spans="1:55">
      <c r="A75" s="67">
        <f t="shared" ref="A75:A138" si="70">IF(A74&lt;mthend,EDATE(A74,1),"")</f>
        <v>39022</v>
      </c>
      <c r="B75" s="69">
        <f t="shared" si="36"/>
        <v>28400</v>
      </c>
      <c r="C75" s="71"/>
      <c r="D75" s="69">
        <f t="shared" si="37"/>
        <v>28400</v>
      </c>
      <c r="E75" s="70">
        <f t="shared" si="38"/>
        <v>852000</v>
      </c>
      <c r="F75" s="70">
        <f t="shared" ca="1" si="39"/>
        <v>499863.17493441096</v>
      </c>
      <c r="G75" s="63">
        <f t="shared" si="40"/>
        <v>4.3390000000000004</v>
      </c>
      <c r="H75" s="64">
        <f t="shared" si="41"/>
        <v>4.3390000000000004</v>
      </c>
      <c r="I75" s="43"/>
      <c r="J75" s="63">
        <f t="shared" si="42"/>
        <v>0.47499999999999998</v>
      </c>
      <c r="K75" s="64">
        <f t="shared" si="43"/>
        <v>0.47499999999999998</v>
      </c>
      <c r="L75" s="38">
        <v>0</v>
      </c>
      <c r="M75" s="64">
        <f t="shared" si="44"/>
        <v>0</v>
      </c>
      <c r="N75" s="65"/>
      <c r="O75" s="63">
        <f t="shared" si="45"/>
        <v>4.8140000000000001</v>
      </c>
      <c r="P75" s="63">
        <f t="shared" si="46"/>
        <v>4.8140000000000001</v>
      </c>
      <c r="Q75" s="66"/>
      <c r="R75" s="63">
        <f t="shared" si="47"/>
        <v>-0.29420007201964526</v>
      </c>
      <c r="S75" s="64">
        <f t="shared" si="48"/>
        <v>-0.29420007201964526</v>
      </c>
      <c r="T75" s="38">
        <v>0</v>
      </c>
      <c r="U75" s="64">
        <f t="shared" si="49"/>
        <v>0</v>
      </c>
      <c r="V75" s="219">
        <f>(G75+R75)/(1-Summary!$T$13)*Summary!$T$13</f>
        <v>0.32254558621796131</v>
      </c>
      <c r="W75" s="43">
        <f t="shared" si="50"/>
        <v>4.3673455141983162</v>
      </c>
      <c r="X75" s="43">
        <f t="shared" si="51"/>
        <v>4.3673455141983162</v>
      </c>
      <c r="Y75" s="43"/>
      <c r="Z75" s="38">
        <f t="shared" si="52"/>
        <v>0.8</v>
      </c>
      <c r="AA75" s="38">
        <f t="shared" si="53"/>
        <v>0.24</v>
      </c>
      <c r="AB75" s="38">
        <f t="shared" ca="1" si="54"/>
        <v>0.24987692361222116</v>
      </c>
      <c r="AC75" s="38">
        <f t="shared" si="55"/>
        <v>0.95</v>
      </c>
      <c r="AD75" s="38">
        <f t="shared" si="55"/>
        <v>0.24</v>
      </c>
      <c r="AE75" s="38">
        <f t="shared" ca="1" si="56"/>
        <v>0.25379356245714624</v>
      </c>
      <c r="AF75" s="237">
        <f ca="1">((Summary!$N$13*(AA75*AD75)*(A75-$D$3))+(Summary!$M$13*Z75*AC75*(AJ75-EOMONTH(EDATE(A75,-1),0))))/(AK75*AB75*AE75)</f>
        <v>0.99869693075125987</v>
      </c>
      <c r="AG75" s="88">
        <f>IF($A76="","",Summary!$Q$13)</f>
        <v>0</v>
      </c>
      <c r="AH75" s="88">
        <f>IF($A76="","",IF(Summary!$R$12="Y",(VLOOKUP($A75,Summary!$AD$6:$AF$9,3)+'Escalating commodity'!I88),'Escalating commodity'!I88))</f>
        <v>4.9510491685558503E-2</v>
      </c>
      <c r="AI75" s="88">
        <f t="shared" ref="AI75:AI138" si="71">IF($A76="","",AH75)</f>
        <v>4.9510491685558503E-2</v>
      </c>
      <c r="AJ75" s="236">
        <f t="shared" si="57"/>
        <v>39036</v>
      </c>
      <c r="AK75" s="58">
        <f t="shared" ca="1" si="58"/>
        <v>1996</v>
      </c>
      <c r="AL75" s="26">
        <f ca="1">IF($A76="","",_xll.SPRDOPT(P75,X75,AI75,0,AB75,AE75,AF75,AK75,$AJ$2,0))</f>
        <v>0.39723425088658793</v>
      </c>
      <c r="AM75" s="209">
        <f t="shared" si="59"/>
        <v>0.39714399411612539</v>
      </c>
      <c r="AN75" s="89">
        <f t="shared" ca="1" si="60"/>
        <v>9.0256770462537883E-5</v>
      </c>
      <c r="AO75" s="3">
        <f t="shared" si="61"/>
        <v>30</v>
      </c>
      <c r="AP75" s="33">
        <f t="shared" si="62"/>
        <v>39022</v>
      </c>
      <c r="AQ75" s="58">
        <f t="shared" ca="1" si="63"/>
        <v>1996</v>
      </c>
      <c r="AR75" s="38">
        <f>'ANR OK vs ML7'!AR75</f>
        <v>0.1</v>
      </c>
      <c r="AS75" s="35">
        <f t="shared" ca="1" si="64"/>
        <v>0.5866938672939096</v>
      </c>
      <c r="AT75" s="3">
        <f t="shared" si="65"/>
        <v>1</v>
      </c>
      <c r="AU75" s="3">
        <f t="shared" si="66"/>
        <v>30</v>
      </c>
      <c r="AW75" s="32">
        <f t="shared" ca="1" si="67"/>
        <v>338443.58175537293</v>
      </c>
      <c r="AX75" s="32">
        <f t="shared" si="68"/>
        <v>338366.6829869388</v>
      </c>
      <c r="AY75" s="32">
        <f t="shared" ca="1" si="69"/>
        <v>76.898768434082271</v>
      </c>
      <c r="BA75" s="32">
        <f ca="1">IF($A76="","",F75*Summary!$Q$13)</f>
        <v>0</v>
      </c>
      <c r="BC75" s="256">
        <f t="shared" ref="BC75:BC138" ca="1" si="72">IF(A76="","",AM75*F75)</f>
        <v>198517.65780501947</v>
      </c>
    </row>
    <row r="76" spans="1:55">
      <c r="A76" s="67">
        <f t="shared" si="70"/>
        <v>39052</v>
      </c>
      <c r="B76" s="69">
        <f t="shared" ref="B76:B139" si="73">IF(A76&lt;mthend,B75,"")</f>
        <v>28400</v>
      </c>
      <c r="C76" s="71"/>
      <c r="D76" s="69">
        <f t="shared" si="37"/>
        <v>28400</v>
      </c>
      <c r="E76" s="70">
        <f t="shared" si="38"/>
        <v>880400</v>
      </c>
      <c r="F76" s="70">
        <f t="shared" ca="1" si="39"/>
        <v>512401.97391200287</v>
      </c>
      <c r="G76" s="63">
        <f t="shared" si="40"/>
        <v>4.4770000000000003</v>
      </c>
      <c r="H76" s="64">
        <f t="shared" si="41"/>
        <v>4.4770000000000003</v>
      </c>
      <c r="I76" s="43"/>
      <c r="J76" s="63">
        <f t="shared" si="42"/>
        <v>0.47499999999999998</v>
      </c>
      <c r="K76" s="64">
        <f t="shared" si="43"/>
        <v>0.47499999999999998</v>
      </c>
      <c r="L76" s="38">
        <v>0</v>
      </c>
      <c r="M76" s="64">
        <f t="shared" si="44"/>
        <v>0</v>
      </c>
      <c r="N76" s="65"/>
      <c r="O76" s="63">
        <f t="shared" si="45"/>
        <v>4.952</v>
      </c>
      <c r="P76" s="63">
        <f t="shared" si="46"/>
        <v>4.952</v>
      </c>
      <c r="Q76" s="66"/>
      <c r="R76" s="63">
        <f t="shared" si="47"/>
        <v>-0.29417914172661341</v>
      </c>
      <c r="S76" s="64">
        <f t="shared" si="48"/>
        <v>-0.29417914172661341</v>
      </c>
      <c r="T76" s="38">
        <v>0</v>
      </c>
      <c r="U76" s="64">
        <f t="shared" si="49"/>
        <v>0</v>
      </c>
      <c r="V76" s="219">
        <f>(G76+R76)/(1-Summary!$T$13)*Summary!$T$13</f>
        <v>0.33355182698743818</v>
      </c>
      <c r="W76" s="43">
        <f t="shared" si="50"/>
        <v>4.5163726852608255</v>
      </c>
      <c r="X76" s="43">
        <f t="shared" si="51"/>
        <v>4.5163726852608255</v>
      </c>
      <c r="Y76" s="43"/>
      <c r="Z76" s="38">
        <f t="shared" si="52"/>
        <v>1.1000000000000001</v>
      </c>
      <c r="AA76" s="38">
        <f t="shared" si="53"/>
        <v>0.245</v>
      </c>
      <c r="AB76" s="38">
        <f t="shared" ca="1" si="54"/>
        <v>0.26327131310503121</v>
      </c>
      <c r="AC76" s="38">
        <f t="shared" si="55"/>
        <v>1.35</v>
      </c>
      <c r="AD76" s="38">
        <f t="shared" si="55"/>
        <v>0.245</v>
      </c>
      <c r="AE76" s="38">
        <f t="shared" ca="1" si="56"/>
        <v>0.27202525959159313</v>
      </c>
      <c r="AF76" s="237">
        <f ca="1">((Summary!$N$13*(AA76*AD76)*(A76-$D$3))+(Summary!$M$13*Z76*AC76*(AJ76-EOMONTH(EDATE(A76,-1),0))))/(AK76*AB76*AE76)</f>
        <v>0.99711282606241158</v>
      </c>
      <c r="AG76" s="88">
        <f>IF($A77="","",Summary!$Q$13)</f>
        <v>0</v>
      </c>
      <c r="AH76" s="88">
        <f>IF($A77="","",IF(Summary!$R$12="Y",(VLOOKUP($A76,Summary!$AD$6:$AF$9,3)+'Escalating commodity'!I89),'Escalating commodity'!I89))</f>
        <v>4.9510491685558503E-2</v>
      </c>
      <c r="AI76" s="88">
        <f t="shared" si="71"/>
        <v>4.9510491685558503E-2</v>
      </c>
      <c r="AJ76" s="236">
        <f t="shared" si="57"/>
        <v>39066.5</v>
      </c>
      <c r="AK76" s="58">
        <f t="shared" ca="1" si="58"/>
        <v>2026</v>
      </c>
      <c r="AL76" s="26">
        <f ca="1">IF($A77="","",_xll.SPRDOPT(P76,X76,AI76,0,AB76,AE76,AF76,AK76,$AJ$2,0))</f>
        <v>0.39132398524805817</v>
      </c>
      <c r="AM76" s="209">
        <f t="shared" si="59"/>
        <v>0.386116823053616</v>
      </c>
      <c r="AN76" s="89">
        <f t="shared" ca="1" si="60"/>
        <v>5.207162194442172E-3</v>
      </c>
      <c r="AO76" s="3">
        <f t="shared" si="61"/>
        <v>31</v>
      </c>
      <c r="AP76" s="33">
        <f t="shared" si="62"/>
        <v>39052</v>
      </c>
      <c r="AQ76" s="58">
        <f t="shared" ca="1" si="63"/>
        <v>2026</v>
      </c>
      <c r="AR76" s="38">
        <f>'ANR OK vs ML7'!AR76</f>
        <v>0.1</v>
      </c>
      <c r="AS76" s="35">
        <f t="shared" ca="1" si="64"/>
        <v>0.5820104201635653</v>
      </c>
      <c r="AT76" s="3">
        <f t="shared" si="65"/>
        <v>1</v>
      </c>
      <c r="AU76" s="3">
        <f t="shared" si="66"/>
        <v>31</v>
      </c>
      <c r="AW76" s="32">
        <f t="shared" ca="1" si="67"/>
        <v>344521.6366123904</v>
      </c>
      <c r="AX76" s="32">
        <f t="shared" si="68"/>
        <v>339937.25101640355</v>
      </c>
      <c r="AY76" s="32">
        <f t="shared" ca="1" si="69"/>
        <v>4584.3855959868879</v>
      </c>
      <c r="BA76" s="32">
        <f ca="1">IF($A77="","",F76*Summary!$Q$13)</f>
        <v>0</v>
      </c>
      <c r="BC76" s="256">
        <f t="shared" ca="1" si="72"/>
        <v>197847.02229330438</v>
      </c>
    </row>
    <row r="77" spans="1:55">
      <c r="A77" s="67">
        <f t="shared" si="70"/>
        <v>39083</v>
      </c>
      <c r="B77" s="69">
        <f t="shared" si="73"/>
        <v>28400</v>
      </c>
      <c r="C77" s="71"/>
      <c r="D77" s="69">
        <f t="shared" si="37"/>
        <v>28400</v>
      </c>
      <c r="E77" s="70">
        <f t="shared" si="38"/>
        <v>880400</v>
      </c>
      <c r="F77" s="70">
        <f t="shared" ca="1" si="39"/>
        <v>508175.79992709315</v>
      </c>
      <c r="G77" s="63">
        <f t="shared" si="40"/>
        <v>4.484</v>
      </c>
      <c r="H77" s="64">
        <f t="shared" si="41"/>
        <v>4.484</v>
      </c>
      <c r="I77" s="43"/>
      <c r="J77" s="63">
        <f t="shared" si="42"/>
        <v>0.47499999999999998</v>
      </c>
      <c r="K77" s="64">
        <f t="shared" si="43"/>
        <v>0.47499999999999998</v>
      </c>
      <c r="L77" s="38">
        <v>0</v>
      </c>
      <c r="M77" s="64">
        <f t="shared" si="44"/>
        <v>0</v>
      </c>
      <c r="N77" s="65"/>
      <c r="O77" s="63">
        <f t="shared" si="45"/>
        <v>4.9589999999999996</v>
      </c>
      <c r="P77" s="63">
        <f t="shared" si="46"/>
        <v>4.9589999999999996</v>
      </c>
      <c r="Q77" s="66"/>
      <c r="R77" s="63">
        <f t="shared" si="47"/>
        <v>-0.29415692534557913</v>
      </c>
      <c r="S77" s="64">
        <f t="shared" si="48"/>
        <v>-0.29415692534557913</v>
      </c>
      <c r="T77" s="38">
        <v>0</v>
      </c>
      <c r="U77" s="64">
        <f t="shared" si="49"/>
        <v>0</v>
      </c>
      <c r="V77" s="219">
        <f>(G77+R77)/(1-Summary!$T$13)*Summary!$T$13</f>
        <v>0.33411180150768616</v>
      </c>
      <c r="W77" s="43">
        <f t="shared" si="50"/>
        <v>4.5239548761621071</v>
      </c>
      <c r="X77" s="43">
        <f t="shared" si="51"/>
        <v>4.5239548761621071</v>
      </c>
      <c r="Y77" s="43"/>
      <c r="Z77" s="38">
        <f t="shared" si="52"/>
        <v>1.1000000000000001</v>
      </c>
      <c r="AA77" s="38">
        <f t="shared" si="53"/>
        <v>0.248</v>
      </c>
      <c r="AB77" s="38">
        <f t="shared" ca="1" si="54"/>
        <v>0.26580358709577279</v>
      </c>
      <c r="AC77" s="38">
        <f t="shared" si="55"/>
        <v>1.35</v>
      </c>
      <c r="AD77" s="38">
        <f t="shared" si="55"/>
        <v>0.248</v>
      </c>
      <c r="AE77" s="38">
        <f t="shared" ca="1" si="56"/>
        <v>0.27434810876633636</v>
      </c>
      <c r="AF77" s="237">
        <f ca="1">((Summary!$N$13*(AA77*AD77)*(A77-$D$3))+(Summary!$M$13*Z77*AC77*(AJ77-EOMONTH(EDATE(A77,-1),0))))/(AK77*AB77*AE77)</f>
        <v>0.99718708502924647</v>
      </c>
      <c r="AG77" s="88">
        <f>IF($A78="","",Summary!$Q$13)</f>
        <v>0</v>
      </c>
      <c r="AH77" s="88">
        <f>IF($A78="","",IF(Summary!$R$12="Y",(VLOOKUP($A77,Summary!$AD$6:$AF$9,3)+'Escalating commodity'!I90),'Escalating commodity'!I90))</f>
        <v>5.0500701519269671E-2</v>
      </c>
      <c r="AI77" s="88">
        <f t="shared" si="71"/>
        <v>5.0500701519269671E-2</v>
      </c>
      <c r="AJ77" s="236">
        <f t="shared" si="57"/>
        <v>39097.5</v>
      </c>
      <c r="AK77" s="58">
        <f t="shared" ca="1" si="58"/>
        <v>2057</v>
      </c>
      <c r="AL77" s="26">
        <f ca="1">IF($A78="","",_xll.SPRDOPT(P77,X77,AI77,0,AB77,AE77,AF77,AK77,$AJ$2,0))</f>
        <v>0.38987818760145043</v>
      </c>
      <c r="AM77" s="209">
        <f t="shared" si="59"/>
        <v>0.38454442231862285</v>
      </c>
      <c r="AN77" s="89">
        <f t="shared" ca="1" si="60"/>
        <v>5.333765282827585E-3</v>
      </c>
      <c r="AO77" s="3">
        <f t="shared" si="61"/>
        <v>31</v>
      </c>
      <c r="AP77" s="33">
        <f t="shared" si="62"/>
        <v>39083</v>
      </c>
      <c r="AQ77" s="58">
        <f t="shared" ca="1" si="63"/>
        <v>2057</v>
      </c>
      <c r="AR77" s="38">
        <f>'ANR OK vs ML7'!AR77</f>
        <v>0.1</v>
      </c>
      <c r="AS77" s="35">
        <f t="shared" ca="1" si="64"/>
        <v>0.57721013167548063</v>
      </c>
      <c r="AT77" s="3">
        <f t="shared" si="65"/>
        <v>1</v>
      </c>
      <c r="AU77" s="3">
        <f t="shared" si="66"/>
        <v>31</v>
      </c>
      <c r="AW77" s="32">
        <f t="shared" ca="1" si="67"/>
        <v>343248.75636431697</v>
      </c>
      <c r="AX77" s="32">
        <f t="shared" si="68"/>
        <v>338552.90940931556</v>
      </c>
      <c r="AY77" s="32">
        <f t="shared" ca="1" si="69"/>
        <v>4695.8469550014061</v>
      </c>
      <c r="BA77" s="32">
        <f ca="1">IF($A78="","",F77*Summary!$Q$13)</f>
        <v>0</v>
      </c>
      <c r="BC77" s="256">
        <f t="shared" ca="1" si="72"/>
        <v>195416.16941926809</v>
      </c>
    </row>
    <row r="78" spans="1:55">
      <c r="A78" s="67">
        <f t="shared" si="70"/>
        <v>39114</v>
      </c>
      <c r="B78" s="69">
        <f t="shared" si="73"/>
        <v>28400</v>
      </c>
      <c r="C78" s="71"/>
      <c r="D78" s="69">
        <f t="shared" si="37"/>
        <v>28400</v>
      </c>
      <c r="E78" s="70">
        <f t="shared" si="38"/>
        <v>795200</v>
      </c>
      <c r="F78" s="70">
        <f t="shared" ca="1" si="39"/>
        <v>455211.79060553823</v>
      </c>
      <c r="G78" s="63">
        <f t="shared" si="40"/>
        <v>4.3639999999999999</v>
      </c>
      <c r="H78" s="64">
        <f t="shared" si="41"/>
        <v>4.3639999999999999</v>
      </c>
      <c r="I78" s="43"/>
      <c r="J78" s="63">
        <f t="shared" si="42"/>
        <v>0.47499999999999998</v>
      </c>
      <c r="K78" s="64">
        <f t="shared" si="43"/>
        <v>0.47499999999999998</v>
      </c>
      <c r="L78" s="38">
        <v>0</v>
      </c>
      <c r="M78" s="64">
        <f t="shared" si="44"/>
        <v>0</v>
      </c>
      <c r="N78" s="65"/>
      <c r="O78" s="63">
        <f t="shared" si="45"/>
        <v>4.8389999999999995</v>
      </c>
      <c r="P78" s="63">
        <f t="shared" si="46"/>
        <v>4.8389999999999995</v>
      </c>
      <c r="Q78" s="66"/>
      <c r="R78" s="63">
        <f t="shared" si="47"/>
        <v>-0.29413411061196287</v>
      </c>
      <c r="S78" s="64">
        <f t="shared" si="48"/>
        <v>-0.29413411061196287</v>
      </c>
      <c r="T78" s="38">
        <v>0</v>
      </c>
      <c r="U78" s="64">
        <f t="shared" si="49"/>
        <v>0</v>
      </c>
      <c r="V78" s="219">
        <f>(G78+R78)/(1-Summary!$T$13)*Summary!$T$13</f>
        <v>0.3245444280297477</v>
      </c>
      <c r="W78" s="43">
        <f t="shared" si="50"/>
        <v>4.3944103174177851</v>
      </c>
      <c r="X78" s="43">
        <f t="shared" si="51"/>
        <v>4.3944103174177851</v>
      </c>
      <c r="Y78" s="43"/>
      <c r="Z78" s="38">
        <f t="shared" si="52"/>
        <v>1.1000000000000001</v>
      </c>
      <c r="AA78" s="38">
        <f t="shared" si="53"/>
        <v>0.23499999999999999</v>
      </c>
      <c r="AB78" s="38">
        <f t="shared" ca="1" si="54"/>
        <v>0.25172301359770949</v>
      </c>
      <c r="AC78" s="38">
        <f t="shared" si="55"/>
        <v>1.35</v>
      </c>
      <c r="AD78" s="38">
        <f t="shared" si="55"/>
        <v>0.23499999999999999</v>
      </c>
      <c r="AE78" s="38">
        <f t="shared" ca="1" si="56"/>
        <v>0.25975233654578772</v>
      </c>
      <c r="AF78" s="237">
        <f ca="1">((Summary!$N$13*(AA78*AD78)*(A78-$D$3))+(Summary!$M$13*Z78*AC78*(AJ78-EOMONTH(EDATE(A78,-1),0))))/(AK78*AB78*AE78)</f>
        <v>0.99720396129679623</v>
      </c>
      <c r="AG78" s="88">
        <f>IF($A79="","",Summary!$Q$13)</f>
        <v>0</v>
      </c>
      <c r="AH78" s="88">
        <f>IF($A79="","",IF(Summary!$R$12="Y",(VLOOKUP($A78,Summary!$AD$6:$AF$9,3)+'Escalating commodity'!I91),'Escalating commodity'!I91))</f>
        <v>5.0500701519269671E-2</v>
      </c>
      <c r="AI78" s="88">
        <f t="shared" si="71"/>
        <v>5.0500701519269671E-2</v>
      </c>
      <c r="AJ78" s="236">
        <f t="shared" si="57"/>
        <v>39127</v>
      </c>
      <c r="AK78" s="58">
        <f t="shared" ca="1" si="58"/>
        <v>2088</v>
      </c>
      <c r="AL78" s="26">
        <f ca="1">IF($A79="","",_xll.SPRDOPT(P78,X78,AI78,0,AB78,AE78,AF78,AK78,$AJ$2,0))</f>
        <v>0.39730915909353259</v>
      </c>
      <c r="AM78" s="209">
        <f t="shared" si="59"/>
        <v>0.39408898106294477</v>
      </c>
      <c r="AN78" s="89">
        <f t="shared" ca="1" si="60"/>
        <v>3.220178030587828E-3</v>
      </c>
      <c r="AO78" s="3">
        <f t="shared" si="61"/>
        <v>28</v>
      </c>
      <c r="AP78" s="33">
        <f t="shared" si="62"/>
        <v>39114</v>
      </c>
      <c r="AQ78" s="58">
        <f t="shared" ca="1" si="63"/>
        <v>2088</v>
      </c>
      <c r="AR78" s="38">
        <f>'ANR OK vs ML7'!AR78</f>
        <v>0.1</v>
      </c>
      <c r="AS78" s="35">
        <f t="shared" ca="1" si="64"/>
        <v>0.57244943486611954</v>
      </c>
      <c r="AT78" s="3">
        <f t="shared" si="65"/>
        <v>1</v>
      </c>
      <c r="AU78" s="3">
        <f t="shared" si="66"/>
        <v>28</v>
      </c>
      <c r="AW78" s="32">
        <f t="shared" ca="1" si="67"/>
        <v>315940.24331117712</v>
      </c>
      <c r="AX78" s="32">
        <f t="shared" si="68"/>
        <v>313379.55774125369</v>
      </c>
      <c r="AY78" s="32">
        <f t="shared" ca="1" si="69"/>
        <v>2560.6855699234407</v>
      </c>
      <c r="BA78" s="32">
        <f ca="1">IF($A79="","",F78*Summary!$Q$13)</f>
        <v>0</v>
      </c>
      <c r="BC78" s="256">
        <f t="shared" ca="1" si="72"/>
        <v>179393.95072757514</v>
      </c>
    </row>
    <row r="79" spans="1:55">
      <c r="A79" s="67">
        <f t="shared" si="70"/>
        <v>39142</v>
      </c>
      <c r="B79" s="69">
        <f t="shared" si="73"/>
        <v>28400</v>
      </c>
      <c r="C79" s="71"/>
      <c r="D79" s="69">
        <f t="shared" si="37"/>
        <v>28400</v>
      </c>
      <c r="E79" s="70">
        <f t="shared" si="38"/>
        <v>880400</v>
      </c>
      <c r="F79" s="70">
        <f t="shared" ca="1" si="39"/>
        <v>500228.49709134124</v>
      </c>
      <c r="G79" s="63">
        <f t="shared" si="40"/>
        <v>4.2249999999999996</v>
      </c>
      <c r="H79" s="64">
        <f t="shared" si="41"/>
        <v>4.2249999999999996</v>
      </c>
      <c r="I79" s="43"/>
      <c r="J79" s="63">
        <f t="shared" si="42"/>
        <v>0.47499999999999998</v>
      </c>
      <c r="K79" s="64">
        <f t="shared" si="43"/>
        <v>0.47499999999999998</v>
      </c>
      <c r="L79" s="38">
        <v>0</v>
      </c>
      <c r="M79" s="64">
        <f t="shared" si="44"/>
        <v>0</v>
      </c>
      <c r="N79" s="65"/>
      <c r="O79" s="63">
        <f t="shared" si="45"/>
        <v>4.6999999999999993</v>
      </c>
      <c r="P79" s="63">
        <f t="shared" si="46"/>
        <v>4.6999999999999993</v>
      </c>
      <c r="Q79" s="66"/>
      <c r="R79" s="63">
        <f t="shared" si="47"/>
        <v>-0.29411298920247991</v>
      </c>
      <c r="S79" s="64">
        <f t="shared" si="48"/>
        <v>-0.29411298920247991</v>
      </c>
      <c r="T79" s="38">
        <v>0</v>
      </c>
      <c r="U79" s="64">
        <f t="shared" si="49"/>
        <v>0</v>
      </c>
      <c r="V79" s="219">
        <f>(G79+R79)/(1-Summary!$T$13)*Summary!$T$13</f>
        <v>0.31346179732734941</v>
      </c>
      <c r="W79" s="43">
        <f t="shared" si="50"/>
        <v>4.2443488081248688</v>
      </c>
      <c r="X79" s="43">
        <f t="shared" si="51"/>
        <v>4.2443488081248688</v>
      </c>
      <c r="Y79" s="43"/>
      <c r="Z79" s="38">
        <f t="shared" si="52"/>
        <v>0.75</v>
      </c>
      <c r="AA79" s="38">
        <f t="shared" si="53"/>
        <v>0.22800000000000001</v>
      </c>
      <c r="AB79" s="38">
        <f t="shared" ca="1" si="54"/>
        <v>0.2369155110103133</v>
      </c>
      <c r="AC79" s="38">
        <f t="shared" si="55"/>
        <v>0.95</v>
      </c>
      <c r="AD79" s="38">
        <f t="shared" si="55"/>
        <v>0.22800000000000001</v>
      </c>
      <c r="AE79" s="38">
        <f t="shared" ca="1" si="56"/>
        <v>0.24211465788224526</v>
      </c>
      <c r="AF79" s="237">
        <f ca="1">((Summary!$N$13*(AA79*AD79)*(A79-$D$3))+(Summary!$M$13*Z79*AC79*(AJ79-EOMONTH(EDATE(A79,-1),0))))/(AK79*AB79*AE79)</f>
        <v>0.9975908926313668</v>
      </c>
      <c r="AG79" s="88">
        <f>IF($A80="","",Summary!$Q$13)</f>
        <v>0</v>
      </c>
      <c r="AH79" s="88">
        <f>IF($A80="","",IF(Summary!$R$12="Y",(VLOOKUP($A79,Summary!$AD$6:$AF$9,3)+'Escalating commodity'!I92),'Escalating commodity'!I92))</f>
        <v>5.0500701519269671E-2</v>
      </c>
      <c r="AI79" s="88">
        <f t="shared" si="71"/>
        <v>5.0500701519269671E-2</v>
      </c>
      <c r="AJ79" s="236">
        <f t="shared" si="57"/>
        <v>39156.5</v>
      </c>
      <c r="AK79" s="58">
        <f t="shared" ca="1" si="58"/>
        <v>2116</v>
      </c>
      <c r="AL79" s="26">
        <f ca="1">IF($A80="","",_xll.SPRDOPT(P79,X79,AI79,0,AB79,AE79,AF79,AK79,$AJ$2,0))</f>
        <v>0.40596281176626936</v>
      </c>
      <c r="AM79" s="209">
        <f t="shared" si="59"/>
        <v>0.40515049035586082</v>
      </c>
      <c r="AN79" s="89">
        <f t="shared" ca="1" si="60"/>
        <v>8.1232141040854522E-4</v>
      </c>
      <c r="AO79" s="3">
        <f t="shared" si="61"/>
        <v>31</v>
      </c>
      <c r="AP79" s="33">
        <f t="shared" si="62"/>
        <v>39142</v>
      </c>
      <c r="AQ79" s="58">
        <f t="shared" ca="1" si="63"/>
        <v>2116</v>
      </c>
      <c r="AR79" s="38">
        <f>'ANR OK vs ML7'!AR79</f>
        <v>0.1</v>
      </c>
      <c r="AS79" s="35">
        <f t="shared" ca="1" si="64"/>
        <v>0.56818320887249119</v>
      </c>
      <c r="AT79" s="3">
        <f t="shared" si="65"/>
        <v>1</v>
      </c>
      <c r="AU79" s="3">
        <f t="shared" si="66"/>
        <v>31</v>
      </c>
      <c r="AW79" s="32">
        <f t="shared" ca="1" si="67"/>
        <v>357409.65947902354</v>
      </c>
      <c r="AX79" s="32">
        <f t="shared" si="68"/>
        <v>356694.49170929985</v>
      </c>
      <c r="AY79" s="32">
        <f t="shared" ca="1" si="69"/>
        <v>715.16776972368325</v>
      </c>
      <c r="BA79" s="32">
        <f ca="1">IF($A80="","",F79*Summary!$Q$13)</f>
        <v>0</v>
      </c>
      <c r="BC79" s="256">
        <f t="shared" ca="1" si="72"/>
        <v>202667.82088653219</v>
      </c>
    </row>
    <row r="80" spans="1:55">
      <c r="A80" s="67">
        <f t="shared" si="70"/>
        <v>39173</v>
      </c>
      <c r="B80" s="69">
        <f t="shared" si="73"/>
        <v>28400</v>
      </c>
      <c r="C80" s="71"/>
      <c r="D80" s="69">
        <f t="shared" si="37"/>
        <v>28400</v>
      </c>
      <c r="E80" s="70">
        <f t="shared" si="38"/>
        <v>852000</v>
      </c>
      <c r="F80" s="70">
        <f t="shared" ca="1" si="39"/>
        <v>480099.41337272822</v>
      </c>
      <c r="G80" s="63">
        <f t="shared" si="40"/>
        <v>4.05</v>
      </c>
      <c r="H80" s="64">
        <f t="shared" si="41"/>
        <v>4.05</v>
      </c>
      <c r="I80" s="43"/>
      <c r="J80" s="63">
        <f t="shared" si="42"/>
        <v>0.23499999999999999</v>
      </c>
      <c r="K80" s="64">
        <f t="shared" si="43"/>
        <v>0.23499999999999999</v>
      </c>
      <c r="L80" s="38">
        <v>0</v>
      </c>
      <c r="M80" s="64">
        <f t="shared" si="44"/>
        <v>0</v>
      </c>
      <c r="N80" s="65"/>
      <c r="O80" s="63">
        <f t="shared" si="45"/>
        <v>4.2850000000000001</v>
      </c>
      <c r="P80" s="63">
        <f t="shared" si="46"/>
        <v>4.2850000000000001</v>
      </c>
      <c r="Q80" s="66"/>
      <c r="R80" s="63">
        <f t="shared" si="47"/>
        <v>-0.40283762167350645</v>
      </c>
      <c r="S80" s="64">
        <f t="shared" si="48"/>
        <v>-0.40283762167350645</v>
      </c>
      <c r="T80" s="38">
        <v>0</v>
      </c>
      <c r="U80" s="64">
        <f t="shared" si="49"/>
        <v>0</v>
      </c>
      <c r="V80" s="219">
        <f>(G80+R80)/(1-Summary!$T$13)*Summary!$T$13</f>
        <v>0.29083666641004907</v>
      </c>
      <c r="W80" s="43">
        <f t="shared" si="50"/>
        <v>3.9379990447365425</v>
      </c>
      <c r="X80" s="43">
        <f t="shared" si="51"/>
        <v>3.9379990447365425</v>
      </c>
      <c r="Y80" s="43"/>
      <c r="Z80" s="38">
        <f t="shared" si="52"/>
        <v>0.45</v>
      </c>
      <c r="AA80" s="38">
        <f t="shared" si="53"/>
        <v>0.22800000000000001</v>
      </c>
      <c r="AB80" s="38">
        <f t="shared" ca="1" si="54"/>
        <v>0.23113411080465152</v>
      </c>
      <c r="AC80" s="38">
        <f t="shared" si="55"/>
        <v>0.5</v>
      </c>
      <c r="AD80" s="38">
        <f t="shared" si="55"/>
        <v>0.22800000000000001</v>
      </c>
      <c r="AE80" s="38">
        <f t="shared" ca="1" si="56"/>
        <v>0.23185089084266328</v>
      </c>
      <c r="AF80" s="237">
        <f ca="1">((Summary!$N$13*(AA80*AD80)*(A80-$D$3))+(Summary!$M$13*Z80*AC80*(AJ80-EOMONTH(EDATE(A80,-1),0))))/(AK80*AB80*AE80)</f>
        <v>0.9997447771023833</v>
      </c>
      <c r="AG80" s="88">
        <f>IF($A81="","",Summary!$Q$13)</f>
        <v>0</v>
      </c>
      <c r="AH80" s="88">
        <f>IF($A81="","",IF(Summary!$R$12="Y",(VLOOKUP($A80,Summary!$AD$6:$AF$9,3)+'Escalating commodity'!I93),'Escalating commodity'!I93))</f>
        <v>5.0500701519269671E-2</v>
      </c>
      <c r="AI80" s="88">
        <f t="shared" si="71"/>
        <v>5.0500701519269671E-2</v>
      </c>
      <c r="AJ80" s="236">
        <f t="shared" si="57"/>
        <v>39187</v>
      </c>
      <c r="AK80" s="58">
        <f t="shared" ca="1" si="58"/>
        <v>2147</v>
      </c>
      <c r="AL80" s="26">
        <f ca="1">IF($A81="","",_xll.SPRDOPT(P80,X80,AI80,0,AB80,AE80,AF80,AK80,$AJ$2,0))</f>
        <v>0.29653049497305789</v>
      </c>
      <c r="AM80" s="209">
        <f t="shared" si="59"/>
        <v>0.29650025374418798</v>
      </c>
      <c r="AN80" s="89">
        <f t="shared" ca="1" si="60"/>
        <v>3.0241228869909431E-5</v>
      </c>
      <c r="AO80" s="3">
        <f t="shared" si="61"/>
        <v>30</v>
      </c>
      <c r="AP80" s="33">
        <f t="shared" si="62"/>
        <v>39173</v>
      </c>
      <c r="AQ80" s="58">
        <f t="shared" ca="1" si="63"/>
        <v>2147</v>
      </c>
      <c r="AR80" s="38">
        <f>'ANR OK vs ML7'!AR80</f>
        <v>0.1</v>
      </c>
      <c r="AS80" s="35">
        <f t="shared" ca="1" si="64"/>
        <v>0.56349696405249794</v>
      </c>
      <c r="AT80" s="3">
        <f t="shared" si="65"/>
        <v>1</v>
      </c>
      <c r="AU80" s="3">
        <f t="shared" si="66"/>
        <v>30</v>
      </c>
      <c r="AW80" s="32">
        <f t="shared" ca="1" si="67"/>
        <v>252643.98171704533</v>
      </c>
      <c r="AX80" s="32">
        <f t="shared" si="68"/>
        <v>252618.21619004817</v>
      </c>
      <c r="AY80" s="32">
        <f t="shared" ca="1" si="69"/>
        <v>25.765526997162837</v>
      </c>
      <c r="BA80" s="32">
        <f ca="1">IF($A81="","",F80*Summary!$Q$13)</f>
        <v>0</v>
      </c>
      <c r="BC80" s="256">
        <f t="shared" ca="1" si="72"/>
        <v>142349.59788744972</v>
      </c>
    </row>
    <row r="81" spans="1:55">
      <c r="A81" s="67">
        <f t="shared" si="70"/>
        <v>39203</v>
      </c>
      <c r="B81" s="69">
        <f t="shared" si="73"/>
        <v>28400</v>
      </c>
      <c r="C81" s="71"/>
      <c r="D81" s="69">
        <f t="shared" si="37"/>
        <v>28400</v>
      </c>
      <c r="E81" s="70">
        <f t="shared" si="38"/>
        <v>880400</v>
      </c>
      <c r="F81" s="70">
        <f t="shared" ca="1" si="39"/>
        <v>492142.44901809323</v>
      </c>
      <c r="G81" s="63">
        <f t="shared" si="40"/>
        <v>4.0199999999999996</v>
      </c>
      <c r="H81" s="64">
        <f t="shared" si="41"/>
        <v>4.0199999999999996</v>
      </c>
      <c r="I81" s="43"/>
      <c r="J81" s="63">
        <f t="shared" si="42"/>
        <v>0.23499999999999999</v>
      </c>
      <c r="K81" s="64">
        <f t="shared" si="43"/>
        <v>0.23499999999999999</v>
      </c>
      <c r="L81" s="38">
        <v>0</v>
      </c>
      <c r="M81" s="64">
        <f t="shared" si="44"/>
        <v>0</v>
      </c>
      <c r="N81" s="65"/>
      <c r="O81" s="63">
        <f t="shared" si="45"/>
        <v>4.2549999999999999</v>
      </c>
      <c r="P81" s="63">
        <f t="shared" si="46"/>
        <v>4.2549999999999999</v>
      </c>
      <c r="Q81" s="66"/>
      <c r="R81" s="63">
        <f t="shared" si="47"/>
        <v>-0.40281475174823189</v>
      </c>
      <c r="S81" s="64">
        <f t="shared" si="48"/>
        <v>-0.40281475174823189</v>
      </c>
      <c r="T81" s="38">
        <v>0</v>
      </c>
      <c r="U81" s="64">
        <f t="shared" si="49"/>
        <v>0</v>
      </c>
      <c r="V81" s="219">
        <f>(G81+R81)/(1-Summary!$T$13)*Summary!$T$13</f>
        <v>0.2884461919328819</v>
      </c>
      <c r="W81" s="43">
        <f t="shared" si="50"/>
        <v>3.9056314401846497</v>
      </c>
      <c r="X81" s="43">
        <f t="shared" si="51"/>
        <v>3.9056314401846497</v>
      </c>
      <c r="Y81" s="43"/>
      <c r="Z81" s="38">
        <f t="shared" si="52"/>
        <v>0.5</v>
      </c>
      <c r="AA81" s="38">
        <f t="shared" si="53"/>
        <v>0.22800000000000001</v>
      </c>
      <c r="AB81" s="38">
        <f t="shared" ca="1" si="54"/>
        <v>0.2319220799564731</v>
      </c>
      <c r="AC81" s="38">
        <f t="shared" si="55"/>
        <v>0.45</v>
      </c>
      <c r="AD81" s="38">
        <f t="shared" si="55"/>
        <v>0.22800000000000001</v>
      </c>
      <c r="AE81" s="38">
        <f t="shared" ca="1" si="56"/>
        <v>0.23119181734633426</v>
      </c>
      <c r="AF81" s="237">
        <f ca="1">((Summary!$N$13*(AA81*AD81)*(A81-$D$3))+(Summary!$M$13*Z81*AC81*(AJ81-EOMONTH(EDATE(A81,-1),0))))/(AK81*AB81*AE81)</f>
        <v>0.99974199181914891</v>
      </c>
      <c r="AG81" s="88">
        <f>IF($A82="","",Summary!$Q$13)</f>
        <v>0</v>
      </c>
      <c r="AH81" s="88">
        <f>IF($A82="","",IF(Summary!$R$12="Y",(VLOOKUP($A81,Summary!$AD$6:$AF$9,3)+'Escalating commodity'!I94),'Escalating commodity'!I94))</f>
        <v>5.0500701519269671E-2</v>
      </c>
      <c r="AI81" s="88">
        <f t="shared" si="71"/>
        <v>5.0500701519269671E-2</v>
      </c>
      <c r="AJ81" s="236">
        <f t="shared" si="57"/>
        <v>39217.5</v>
      </c>
      <c r="AK81" s="58">
        <f t="shared" ca="1" si="58"/>
        <v>2177</v>
      </c>
      <c r="AL81" s="26">
        <f ca="1">IF($A82="","",_xll.SPRDOPT(P81,X81,AI81,0,AB81,AE81,AF81,AK81,$AJ$2,0))</f>
        <v>0.29892026872444033</v>
      </c>
      <c r="AM81" s="209">
        <f t="shared" si="59"/>
        <v>0.29886785829608054</v>
      </c>
      <c r="AN81" s="89">
        <f t="shared" ca="1" si="60"/>
        <v>5.2410428359794814E-5</v>
      </c>
      <c r="AO81" s="3">
        <f t="shared" si="61"/>
        <v>31</v>
      </c>
      <c r="AP81" s="33">
        <f t="shared" si="62"/>
        <v>39203</v>
      </c>
      <c r="AQ81" s="58">
        <f t="shared" ca="1" si="63"/>
        <v>2177</v>
      </c>
      <c r="AR81" s="38">
        <f>'ANR OK vs ML7'!AR81</f>
        <v>0.1</v>
      </c>
      <c r="AS81" s="35">
        <f t="shared" ca="1" si="64"/>
        <v>0.55899869266026037</v>
      </c>
      <c r="AT81" s="3">
        <f t="shared" si="65"/>
        <v>1</v>
      </c>
      <c r="AU81" s="3">
        <f t="shared" si="66"/>
        <v>31</v>
      </c>
      <c r="AW81" s="32">
        <f t="shared" ca="1" si="67"/>
        <v>263169.40458499728</v>
      </c>
      <c r="AX81" s="32">
        <f t="shared" si="68"/>
        <v>263123.26244386932</v>
      </c>
      <c r="AY81" s="32">
        <f t="shared" ca="1" si="69"/>
        <v>46.142141127963356</v>
      </c>
      <c r="BA81" s="32">
        <f ca="1">IF($A82="","",F81*Summary!$Q$13)</f>
        <v>0</v>
      </c>
      <c r="BC81" s="256">
        <f t="shared" ca="1" si="72"/>
        <v>147085.55971462553</v>
      </c>
    </row>
    <row r="82" spans="1:55">
      <c r="A82" s="67">
        <f t="shared" si="70"/>
        <v>39234</v>
      </c>
      <c r="B82" s="69">
        <f t="shared" si="73"/>
        <v>28400</v>
      </c>
      <c r="C82" s="71"/>
      <c r="D82" s="69">
        <f t="shared" si="37"/>
        <v>28400</v>
      </c>
      <c r="E82" s="70">
        <f t="shared" si="38"/>
        <v>852000</v>
      </c>
      <c r="F82" s="70">
        <f t="shared" ca="1" si="39"/>
        <v>472338.74607959483</v>
      </c>
      <c r="G82" s="63">
        <f t="shared" si="40"/>
        <v>4.09</v>
      </c>
      <c r="H82" s="64">
        <f t="shared" si="41"/>
        <v>4.09</v>
      </c>
      <c r="I82" s="43"/>
      <c r="J82" s="63">
        <f t="shared" si="42"/>
        <v>0.23499999999999999</v>
      </c>
      <c r="K82" s="64">
        <f t="shared" si="43"/>
        <v>0.23499999999999999</v>
      </c>
      <c r="L82" s="38">
        <v>0</v>
      </c>
      <c r="M82" s="64">
        <f t="shared" si="44"/>
        <v>0</v>
      </c>
      <c r="N82" s="65"/>
      <c r="O82" s="63">
        <f t="shared" si="45"/>
        <v>4.3250000000000002</v>
      </c>
      <c r="P82" s="63">
        <f t="shared" si="46"/>
        <v>4.3250000000000002</v>
      </c>
      <c r="Q82" s="66"/>
      <c r="R82" s="63">
        <f t="shared" si="47"/>
        <v>-0.40279055146813303</v>
      </c>
      <c r="S82" s="64">
        <f t="shared" si="48"/>
        <v>-0.40279055146813303</v>
      </c>
      <c r="T82" s="38">
        <v>0</v>
      </c>
      <c r="U82" s="64">
        <f t="shared" si="49"/>
        <v>0</v>
      </c>
      <c r="V82" s="219">
        <f>(G82+R82)/(1-Summary!$T$13)*Summary!$T$13</f>
        <v>0.29403015087546086</v>
      </c>
      <c r="W82" s="43">
        <f t="shared" si="50"/>
        <v>3.9812395994073277</v>
      </c>
      <c r="X82" s="43">
        <f t="shared" si="51"/>
        <v>3.9812395994073277</v>
      </c>
      <c r="Y82" s="43"/>
      <c r="Z82" s="38">
        <f t="shared" si="52"/>
        <v>0.5</v>
      </c>
      <c r="AA82" s="38">
        <f t="shared" si="53"/>
        <v>0.218</v>
      </c>
      <c r="AB82" s="38">
        <f t="shared" ca="1" si="54"/>
        <v>0.22190965079496211</v>
      </c>
      <c r="AC82" s="38">
        <f t="shared" si="55"/>
        <v>0.5</v>
      </c>
      <c r="AD82" s="38">
        <f t="shared" si="55"/>
        <v>0.218</v>
      </c>
      <c r="AE82" s="38">
        <f t="shared" ca="1" si="56"/>
        <v>0.22190965079496211</v>
      </c>
      <c r="AF82" s="237">
        <f ca="1">((Summary!$N$13*(AA82*AD82)*(A82-$D$3))+(Summary!$M$13*Z82*AC82*(AJ82-EOMONTH(EDATE(A82,-1),0))))/(AK82*AB82*AE82)</f>
        <v>0.9999034488937768</v>
      </c>
      <c r="AG82" s="88">
        <f>IF($A83="","",Summary!$Q$13)</f>
        <v>0</v>
      </c>
      <c r="AH82" s="88">
        <f>IF($A83="","",IF(Summary!$R$12="Y",(VLOOKUP($A82,Summary!$AD$6:$AF$9,3)+'Escalating commodity'!I95),'Escalating commodity'!I95))</f>
        <v>5.0500701519269671E-2</v>
      </c>
      <c r="AI82" s="88">
        <f t="shared" si="71"/>
        <v>5.0500701519269671E-2</v>
      </c>
      <c r="AJ82" s="236">
        <f t="shared" si="57"/>
        <v>39248</v>
      </c>
      <c r="AK82" s="58">
        <f t="shared" ca="1" si="58"/>
        <v>2208</v>
      </c>
      <c r="AL82" s="26">
        <f ca="1">IF($A83="","",_xll.SPRDOPT(P82,X82,AI82,0,AB82,AE82,AF82,AK82,$AJ$2,0))</f>
        <v>0.293275200399438</v>
      </c>
      <c r="AM82" s="209">
        <f t="shared" si="59"/>
        <v>0.29325969907340277</v>
      </c>
      <c r="AN82" s="89">
        <f t="shared" ca="1" si="60"/>
        <v>1.5501326035227692E-5</v>
      </c>
      <c r="AO82" s="3">
        <f t="shared" si="61"/>
        <v>30</v>
      </c>
      <c r="AP82" s="33">
        <f t="shared" si="62"/>
        <v>39234</v>
      </c>
      <c r="AQ82" s="58">
        <f t="shared" ca="1" si="63"/>
        <v>2208</v>
      </c>
      <c r="AR82" s="38">
        <f>'ANR OK vs ML7'!AR82</f>
        <v>0.1</v>
      </c>
      <c r="AS82" s="35">
        <f t="shared" ca="1" si="64"/>
        <v>0.55438819962393759</v>
      </c>
      <c r="AT82" s="3">
        <f t="shared" si="65"/>
        <v>1</v>
      </c>
      <c r="AU82" s="3">
        <f t="shared" si="66"/>
        <v>30</v>
      </c>
      <c r="AW82" s="32">
        <f t="shared" ca="1" si="67"/>
        <v>249870.47074032118</v>
      </c>
      <c r="AX82" s="32">
        <f t="shared" si="68"/>
        <v>249857.26361053917</v>
      </c>
      <c r="AY82" s="32">
        <f t="shared" ca="1" si="69"/>
        <v>13.207129782013993</v>
      </c>
      <c r="BA82" s="32">
        <f ca="1">IF($A83="","",F82*Summary!$Q$13)</f>
        <v>0</v>
      </c>
      <c r="BC82" s="256">
        <f t="shared" ca="1" si="72"/>
        <v>138517.91853601037</v>
      </c>
    </row>
    <row r="83" spans="1:55">
      <c r="A83" s="67">
        <f t="shared" si="70"/>
        <v>39264</v>
      </c>
      <c r="B83" s="69">
        <f t="shared" si="73"/>
        <v>28400</v>
      </c>
      <c r="C83" s="71"/>
      <c r="D83" s="69">
        <f t="shared" si="37"/>
        <v>28400</v>
      </c>
      <c r="E83" s="70">
        <f t="shared" si="38"/>
        <v>880400</v>
      </c>
      <c r="F83" s="70">
        <f t="shared" ca="1" si="39"/>
        <v>484187.10955865483</v>
      </c>
      <c r="G83" s="63">
        <f t="shared" si="40"/>
        <v>4.1449999999999996</v>
      </c>
      <c r="H83" s="64">
        <f t="shared" si="41"/>
        <v>4.1449999999999996</v>
      </c>
      <c r="I83" s="43"/>
      <c r="J83" s="63">
        <f t="shared" si="42"/>
        <v>0.23499999999999999</v>
      </c>
      <c r="K83" s="64">
        <f t="shared" si="43"/>
        <v>0.23499999999999999</v>
      </c>
      <c r="L83" s="38">
        <v>0</v>
      </c>
      <c r="M83" s="64">
        <f t="shared" si="44"/>
        <v>0</v>
      </c>
      <c r="N83" s="65"/>
      <c r="O83" s="63">
        <f t="shared" si="45"/>
        <v>4.38</v>
      </c>
      <c r="P83" s="63">
        <f t="shared" si="46"/>
        <v>4.38</v>
      </c>
      <c r="Q83" s="66"/>
      <c r="R83" s="63">
        <f t="shared" si="47"/>
        <v>-0.40276658182793201</v>
      </c>
      <c r="S83" s="64">
        <f t="shared" si="48"/>
        <v>-0.40276658182793201</v>
      </c>
      <c r="T83" s="38">
        <v>0</v>
      </c>
      <c r="U83" s="64">
        <f t="shared" si="49"/>
        <v>0</v>
      </c>
      <c r="V83" s="219">
        <f>(G83+R83)/(1-Summary!$T$13)*Summary!$T$13</f>
        <v>0.29841794232612462</v>
      </c>
      <c r="W83" s="43">
        <f t="shared" si="50"/>
        <v>4.0406513604981917</v>
      </c>
      <c r="X83" s="43">
        <f t="shared" si="51"/>
        <v>4.0406513604981917</v>
      </c>
      <c r="Y83" s="43"/>
      <c r="Z83" s="38">
        <f t="shared" si="52"/>
        <v>0.55000000000000004</v>
      </c>
      <c r="AA83" s="38">
        <f t="shared" si="53"/>
        <v>0.218</v>
      </c>
      <c r="AB83" s="38">
        <f t="shared" ca="1" si="54"/>
        <v>0.22280102689873618</v>
      </c>
      <c r="AC83" s="38">
        <f t="shared" si="55"/>
        <v>0.5</v>
      </c>
      <c r="AD83" s="38">
        <f t="shared" si="55"/>
        <v>0.218</v>
      </c>
      <c r="AE83" s="38">
        <f t="shared" ca="1" si="56"/>
        <v>0.22198353922984479</v>
      </c>
      <c r="AF83" s="237">
        <f ca="1">((Summary!$N$13*(AA83*AD83)*(A83-$D$3))+(Summary!$M$13*Z83*AC83*(AJ83-EOMONTH(EDATE(A83,-1),0))))/(AK83*AB83*AE83)</f>
        <v>0.9997355812748292</v>
      </c>
      <c r="AG83" s="88">
        <f>IF($A84="","",Summary!$Q$13)</f>
        <v>0</v>
      </c>
      <c r="AH83" s="88">
        <f>IF($A84="","",IF(Summary!$R$12="Y",(VLOOKUP($A83,Summary!$AD$6:$AF$9,3)+'Escalating commodity'!I96),'Escalating commodity'!I96))</f>
        <v>5.0500701519269671E-2</v>
      </c>
      <c r="AI83" s="88">
        <f t="shared" si="71"/>
        <v>5.0500701519269671E-2</v>
      </c>
      <c r="AJ83" s="236">
        <f t="shared" si="57"/>
        <v>39278.5</v>
      </c>
      <c r="AK83" s="58">
        <f t="shared" ca="1" si="58"/>
        <v>2238</v>
      </c>
      <c r="AL83" s="26">
        <f ca="1">IF($A84="","",_xll.SPRDOPT(P83,X83,AI83,0,AB83,AE83,AF83,AK83,$AJ$2,0))</f>
        <v>0.28891398227705017</v>
      </c>
      <c r="AM83" s="209">
        <f t="shared" si="59"/>
        <v>0.28884793798253849</v>
      </c>
      <c r="AN83" s="89">
        <f t="shared" ca="1" si="60"/>
        <v>6.6044294511680146E-5</v>
      </c>
      <c r="AO83" s="3">
        <f t="shared" si="61"/>
        <v>31</v>
      </c>
      <c r="AP83" s="33">
        <f t="shared" si="62"/>
        <v>39264</v>
      </c>
      <c r="AQ83" s="58">
        <f t="shared" ca="1" si="63"/>
        <v>2238</v>
      </c>
      <c r="AR83" s="38">
        <f>'ANR OK vs ML7'!AR83</f>
        <v>0.1</v>
      </c>
      <c r="AS83" s="35">
        <f t="shared" ca="1" si="64"/>
        <v>0.54996264147961704</v>
      </c>
      <c r="AT83" s="3">
        <f t="shared" si="65"/>
        <v>1</v>
      </c>
      <c r="AU83" s="3">
        <f t="shared" si="66"/>
        <v>31</v>
      </c>
      <c r="AW83" s="32">
        <f t="shared" ca="1" si="67"/>
        <v>254359.86999671499</v>
      </c>
      <c r="AX83" s="32">
        <f t="shared" si="68"/>
        <v>254301.72459982688</v>
      </c>
      <c r="AY83" s="32">
        <f t="shared" ca="1" si="69"/>
        <v>58.145396888083198</v>
      </c>
      <c r="BA83" s="32">
        <f ca="1">IF($A84="","",F83*Summary!$Q$13)</f>
        <v>0</v>
      </c>
      <c r="BC83" s="256">
        <f t="shared" ca="1" si="72"/>
        <v>139856.44819374289</v>
      </c>
    </row>
    <row r="84" spans="1:55">
      <c r="A84" s="67">
        <f t="shared" si="70"/>
        <v>39295</v>
      </c>
      <c r="B84" s="69">
        <f t="shared" si="73"/>
        <v>28400</v>
      </c>
      <c r="C84" s="71"/>
      <c r="D84" s="69">
        <f t="shared" si="37"/>
        <v>28400</v>
      </c>
      <c r="E84" s="70">
        <f t="shared" si="38"/>
        <v>880400</v>
      </c>
      <c r="F84" s="70">
        <f t="shared" ca="1" si="39"/>
        <v>480193.64530514512</v>
      </c>
      <c r="G84" s="63">
        <f t="shared" si="40"/>
        <v>4.2010000000000005</v>
      </c>
      <c r="H84" s="64">
        <f t="shared" si="41"/>
        <v>4.2010000000000005</v>
      </c>
      <c r="I84" s="43"/>
      <c r="J84" s="63">
        <f t="shared" si="42"/>
        <v>0.23499999999999999</v>
      </c>
      <c r="K84" s="64">
        <f t="shared" si="43"/>
        <v>0.23499999999999999</v>
      </c>
      <c r="L84" s="38">
        <v>0</v>
      </c>
      <c r="M84" s="64">
        <f t="shared" si="44"/>
        <v>0</v>
      </c>
      <c r="N84" s="65"/>
      <c r="O84" s="63">
        <f t="shared" si="45"/>
        <v>4.4360000000000008</v>
      </c>
      <c r="P84" s="63">
        <f t="shared" si="46"/>
        <v>4.4360000000000008</v>
      </c>
      <c r="Q84" s="66"/>
      <c r="R84" s="63">
        <f t="shared" si="47"/>
        <v>-0.40274124451413496</v>
      </c>
      <c r="S84" s="64">
        <f t="shared" si="48"/>
        <v>-0.40274124451413496</v>
      </c>
      <c r="T84" s="38">
        <v>0</v>
      </c>
      <c r="U84" s="64">
        <f t="shared" si="49"/>
        <v>0</v>
      </c>
      <c r="V84" s="219">
        <f>(G84+R84)/(1-Summary!$T$13)*Summary!$T$13</f>
        <v>0.30288558611288696</v>
      </c>
      <c r="W84" s="43">
        <f t="shared" si="50"/>
        <v>4.1011443415987525</v>
      </c>
      <c r="X84" s="43">
        <f t="shared" si="51"/>
        <v>4.1011443415987525</v>
      </c>
      <c r="Y84" s="43"/>
      <c r="Z84" s="38">
        <f t="shared" si="52"/>
        <v>0.6</v>
      </c>
      <c r="AA84" s="38">
        <f t="shared" si="53"/>
        <v>0.218</v>
      </c>
      <c r="AB84" s="38">
        <f t="shared" ca="1" si="54"/>
        <v>0.22361613996311913</v>
      </c>
      <c r="AC84" s="38">
        <f t="shared" si="55"/>
        <v>0.45</v>
      </c>
      <c r="AD84" s="38">
        <f t="shared" si="55"/>
        <v>0.218</v>
      </c>
      <c r="AE84" s="38">
        <f t="shared" ca="1" si="56"/>
        <v>0.22119734074401901</v>
      </c>
      <c r="AF84" s="237">
        <f ca="1">((Summary!$N$13*(AA84*AD84)*(A84-$D$3))+(Summary!$M$13*Z84*AC84*(AJ84-EOMONTH(EDATE(A84,-1),0))))/(AK84*AB84*AE84)</f>
        <v>0.99840932079936395</v>
      </c>
      <c r="AG84" s="88">
        <f>IF($A85="","",Summary!$Q$13)</f>
        <v>0</v>
      </c>
      <c r="AH84" s="88">
        <f>IF($A85="","",IF(Summary!$R$12="Y",(VLOOKUP($A84,Summary!$AD$6:$AF$9,3)+'Escalating commodity'!I97),'Escalating commodity'!I97))</f>
        <v>5.0500701519269671E-2</v>
      </c>
      <c r="AI84" s="88">
        <f t="shared" si="71"/>
        <v>5.0500701519269671E-2</v>
      </c>
      <c r="AJ84" s="236">
        <f t="shared" si="57"/>
        <v>39309.5</v>
      </c>
      <c r="AK84" s="58">
        <f t="shared" ca="1" si="58"/>
        <v>2269</v>
      </c>
      <c r="AL84" s="26">
        <f ca="1">IF($A85="","",_xll.SPRDOPT(P84,X84,AI84,0,AB84,AE84,AF84,AK84,$AJ$2,0))</f>
        <v>0.28586827298113154</v>
      </c>
      <c r="AM84" s="209">
        <f t="shared" si="59"/>
        <v>0.28435495688197865</v>
      </c>
      <c r="AN84" s="89">
        <f t="shared" ca="1" si="60"/>
        <v>1.5133160991528949E-3</v>
      </c>
      <c r="AO84" s="3">
        <f t="shared" si="61"/>
        <v>31</v>
      </c>
      <c r="AP84" s="33">
        <f t="shared" si="62"/>
        <v>39295</v>
      </c>
      <c r="AQ84" s="58">
        <f t="shared" ca="1" si="63"/>
        <v>2269</v>
      </c>
      <c r="AR84" s="38">
        <f>'ANR OK vs ML7'!AR84</f>
        <v>0.1</v>
      </c>
      <c r="AS84" s="35">
        <f t="shared" ca="1" si="64"/>
        <v>0.54542667572142789</v>
      </c>
      <c r="AT84" s="3">
        <f t="shared" si="65"/>
        <v>1</v>
      </c>
      <c r="AU84" s="3">
        <f t="shared" si="66"/>
        <v>31</v>
      </c>
      <c r="AW84" s="32">
        <f t="shared" ca="1" si="67"/>
        <v>251678.42753258822</v>
      </c>
      <c r="AX84" s="32">
        <f t="shared" si="68"/>
        <v>250346.104038894</v>
      </c>
      <c r="AY84" s="32">
        <f t="shared" ca="1" si="69"/>
        <v>1332.3234936942088</v>
      </c>
      <c r="BA84" s="32">
        <f ca="1">IF($A85="","",F84*Summary!$Q$13)</f>
        <v>0</v>
      </c>
      <c r="BC84" s="256">
        <f t="shared" ca="1" si="72"/>
        <v>136545.4433057447</v>
      </c>
    </row>
    <row r="85" spans="1:55">
      <c r="A85" s="67">
        <f t="shared" si="70"/>
        <v>39326</v>
      </c>
      <c r="B85" s="69">
        <f t="shared" si="73"/>
        <v>28400</v>
      </c>
      <c r="C85" s="71"/>
      <c r="D85" s="69">
        <f t="shared" si="37"/>
        <v>28400</v>
      </c>
      <c r="E85" s="70">
        <f t="shared" si="38"/>
        <v>852000</v>
      </c>
      <c r="F85" s="70">
        <f t="shared" ca="1" si="39"/>
        <v>460870.75957652926</v>
      </c>
      <c r="G85" s="63">
        <f t="shared" si="40"/>
        <v>4.2149999999999999</v>
      </c>
      <c r="H85" s="64">
        <f t="shared" si="41"/>
        <v>4.2149999999999999</v>
      </c>
      <c r="I85" s="43"/>
      <c r="J85" s="63">
        <f t="shared" si="42"/>
        <v>0.23499999999999999</v>
      </c>
      <c r="K85" s="64">
        <f t="shared" si="43"/>
        <v>0.23499999999999999</v>
      </c>
      <c r="L85" s="38">
        <v>0</v>
      </c>
      <c r="M85" s="64">
        <f t="shared" si="44"/>
        <v>0</v>
      </c>
      <c r="N85" s="65"/>
      <c r="O85" s="63">
        <f t="shared" si="45"/>
        <v>4.45</v>
      </c>
      <c r="P85" s="63">
        <f t="shared" si="46"/>
        <v>4.45</v>
      </c>
      <c r="Q85" s="66"/>
      <c r="R85" s="63">
        <f t="shared" si="47"/>
        <v>-0.40271532883898087</v>
      </c>
      <c r="S85" s="64">
        <f t="shared" si="48"/>
        <v>-0.40271532883898087</v>
      </c>
      <c r="T85" s="38">
        <v>0</v>
      </c>
      <c r="U85" s="64">
        <f t="shared" si="49"/>
        <v>0</v>
      </c>
      <c r="V85" s="219">
        <f>(G85+R85)/(1-Summary!$T$13)*Summary!$T$13</f>
        <v>0.30400405854025991</v>
      </c>
      <c r="W85" s="43">
        <f t="shared" si="50"/>
        <v>4.1162887297012789</v>
      </c>
      <c r="X85" s="43">
        <f t="shared" si="51"/>
        <v>4.1162887297012789</v>
      </c>
      <c r="Y85" s="43"/>
      <c r="Z85" s="38">
        <f t="shared" si="52"/>
        <v>0.6</v>
      </c>
      <c r="AA85" s="38">
        <f t="shared" si="53"/>
        <v>0.218</v>
      </c>
      <c r="AB85" s="38">
        <f t="shared" ca="1" si="54"/>
        <v>0.22336626579600638</v>
      </c>
      <c r="AC85" s="38">
        <f t="shared" si="55"/>
        <v>0.5</v>
      </c>
      <c r="AD85" s="38">
        <f t="shared" si="55"/>
        <v>0.218</v>
      </c>
      <c r="AE85" s="38">
        <f t="shared" ca="1" si="56"/>
        <v>0.22175458820801058</v>
      </c>
      <c r="AF85" s="237">
        <f ca="1">((Summary!$N$13*(AA85*AD85)*(A85-$D$3))+(Summary!$M$13*Z85*AC85*(AJ85-EOMONTH(EDATE(A85,-1),0))))/(AK85*AB85*AE85)</f>
        <v>0.99927190402774324</v>
      </c>
      <c r="AG85" s="88">
        <f>IF($A86="","",Summary!$Q$13)</f>
        <v>0</v>
      </c>
      <c r="AH85" s="88">
        <f>IF($A86="","",IF(Summary!$R$12="Y",(VLOOKUP($A85,Summary!$AD$6:$AF$9,3)+'Escalating commodity'!I98),'Escalating commodity'!I98))</f>
        <v>5.0500701519269671E-2</v>
      </c>
      <c r="AI85" s="88">
        <f t="shared" si="71"/>
        <v>5.0500701519269671E-2</v>
      </c>
      <c r="AJ85" s="236">
        <f t="shared" si="57"/>
        <v>39340</v>
      </c>
      <c r="AK85" s="58">
        <f t="shared" ca="1" si="58"/>
        <v>2300</v>
      </c>
      <c r="AL85" s="26">
        <f ca="1">IF($A86="","",_xll.SPRDOPT(P85,X85,AI85,0,AB85,AE85,AF85,AK85,$AJ$2,0))</f>
        <v>0.2835257862713359</v>
      </c>
      <c r="AM85" s="209">
        <f t="shared" si="59"/>
        <v>0.28321056877945161</v>
      </c>
      <c r="AN85" s="89">
        <f t="shared" ca="1" si="60"/>
        <v>3.1521749188428982E-4</v>
      </c>
      <c r="AO85" s="3">
        <f t="shared" si="61"/>
        <v>30</v>
      </c>
      <c r="AP85" s="33">
        <f t="shared" si="62"/>
        <v>39326</v>
      </c>
      <c r="AQ85" s="58">
        <f t="shared" ca="1" si="63"/>
        <v>2300</v>
      </c>
      <c r="AR85" s="38">
        <f>'ANR OK vs ML7'!AR85</f>
        <v>0.1</v>
      </c>
      <c r="AS85" s="35">
        <f t="shared" ca="1" si="64"/>
        <v>0.5409281215686963</v>
      </c>
      <c r="AT85" s="3">
        <f t="shared" si="65"/>
        <v>1</v>
      </c>
      <c r="AU85" s="3">
        <f t="shared" si="66"/>
        <v>30</v>
      </c>
      <c r="AW85" s="32">
        <f t="shared" ca="1" si="67"/>
        <v>241563.96990317819</v>
      </c>
      <c r="AX85" s="32">
        <f t="shared" si="68"/>
        <v>241295.40460009276</v>
      </c>
      <c r="AY85" s="32">
        <f t="shared" ca="1" si="69"/>
        <v>268.56530308541494</v>
      </c>
      <c r="BA85" s="32">
        <f ca="1">IF($A86="","",F85*Summary!$Q$13)</f>
        <v>0</v>
      </c>
      <c r="BC85" s="256">
        <f t="shared" ca="1" si="72"/>
        <v>130523.46995348675</v>
      </c>
    </row>
    <row r="86" spans="1:55">
      <c r="A86" s="67">
        <f t="shared" si="70"/>
        <v>39356</v>
      </c>
      <c r="B86" s="69">
        <f t="shared" si="73"/>
        <v>28400</v>
      </c>
      <c r="C86" s="71"/>
      <c r="D86" s="69">
        <f t="shared" si="37"/>
        <v>28400</v>
      </c>
      <c r="E86" s="70">
        <f t="shared" si="38"/>
        <v>880400</v>
      </c>
      <c r="F86" s="70">
        <f t="shared" ca="1" si="39"/>
        <v>472431.45478024858</v>
      </c>
      <c r="G86" s="63">
        <f t="shared" si="40"/>
        <v>4.2460000000000004</v>
      </c>
      <c r="H86" s="64">
        <f t="shared" si="41"/>
        <v>4.2460000000000004</v>
      </c>
      <c r="I86" s="43"/>
      <c r="J86" s="63">
        <f t="shared" si="42"/>
        <v>0.23499999999999999</v>
      </c>
      <c r="K86" s="64">
        <f t="shared" si="43"/>
        <v>0.23499999999999999</v>
      </c>
      <c r="L86" s="38">
        <v>0</v>
      </c>
      <c r="M86" s="64">
        <f t="shared" si="44"/>
        <v>0</v>
      </c>
      <c r="N86" s="65"/>
      <c r="O86" s="63">
        <f t="shared" si="45"/>
        <v>4.4810000000000008</v>
      </c>
      <c r="P86" s="63">
        <f t="shared" si="46"/>
        <v>4.4810000000000008</v>
      </c>
      <c r="Q86" s="66"/>
      <c r="R86" s="63">
        <f t="shared" si="47"/>
        <v>-0.40268969813065864</v>
      </c>
      <c r="S86" s="64">
        <f t="shared" si="48"/>
        <v>-0.40268969813065864</v>
      </c>
      <c r="T86" s="38">
        <v>0</v>
      </c>
      <c r="U86" s="64">
        <f t="shared" si="49"/>
        <v>0</v>
      </c>
      <c r="V86" s="219">
        <f>(G86+R86)/(1-Summary!$T$13)*Summary!$T$13</f>
        <v>0.30647814389003758</v>
      </c>
      <c r="W86" s="43">
        <f t="shared" si="50"/>
        <v>4.1497884457593797</v>
      </c>
      <c r="X86" s="43">
        <f t="shared" si="51"/>
        <v>4.1497884457593797</v>
      </c>
      <c r="Y86" s="43"/>
      <c r="Z86" s="38">
        <f t="shared" si="52"/>
        <v>0.65</v>
      </c>
      <c r="AA86" s="38">
        <f t="shared" si="53"/>
        <v>0.218</v>
      </c>
      <c r="AB86" s="38">
        <f t="shared" ca="1" si="54"/>
        <v>0.22439923993659197</v>
      </c>
      <c r="AC86" s="38">
        <f t="shared" si="55"/>
        <v>0.5</v>
      </c>
      <c r="AD86" s="38">
        <f t="shared" si="55"/>
        <v>0.218</v>
      </c>
      <c r="AE86" s="38">
        <f t="shared" ca="1" si="56"/>
        <v>0.22182760580071853</v>
      </c>
      <c r="AF86" s="237">
        <f ca="1">((Summary!$N$13*(AA86*AD86)*(A86-$D$3))+(Summary!$M$13*Z86*AC86*(AJ86-EOMONTH(EDATE(A86,-1),0))))/(AK86*AB86*AE86)</f>
        <v>0.99846745697032591</v>
      </c>
      <c r="AG86" s="88">
        <f>IF($A87="","",Summary!$Q$13)</f>
        <v>0</v>
      </c>
      <c r="AH86" s="88">
        <f>IF($A87="","",IF(Summary!$R$12="Y",(VLOOKUP($A86,Summary!$AD$6:$AF$9,3)+'Escalating commodity'!I99),'Escalating commodity'!I99))</f>
        <v>5.0500701519269671E-2</v>
      </c>
      <c r="AI86" s="88">
        <f t="shared" si="71"/>
        <v>5.0500701519269671E-2</v>
      </c>
      <c r="AJ86" s="236">
        <f t="shared" si="57"/>
        <v>39370.5</v>
      </c>
      <c r="AK86" s="58">
        <f t="shared" ca="1" si="58"/>
        <v>2330</v>
      </c>
      <c r="AL86" s="26">
        <f ca="1">IF($A87="","",_xll.SPRDOPT(P86,X86,AI86,0,AB86,AE86,AF86,AK86,$AJ$2,0))</f>
        <v>0.28248265070887307</v>
      </c>
      <c r="AM86" s="209">
        <f t="shared" si="59"/>
        <v>0.28071085272135143</v>
      </c>
      <c r="AN86" s="89">
        <f t="shared" ca="1" si="60"/>
        <v>1.7717979875216394E-3</v>
      </c>
      <c r="AO86" s="3">
        <f t="shared" si="61"/>
        <v>31</v>
      </c>
      <c r="AP86" s="33">
        <f t="shared" si="62"/>
        <v>39356</v>
      </c>
      <c r="AQ86" s="58">
        <f t="shared" ca="1" si="63"/>
        <v>2330</v>
      </c>
      <c r="AR86" s="38">
        <f>'ANR OK vs ML7'!AR86</f>
        <v>0.1</v>
      </c>
      <c r="AS86" s="35">
        <f t="shared" ca="1" si="64"/>
        <v>0.53661001224471672</v>
      </c>
      <c r="AT86" s="3">
        <f t="shared" si="65"/>
        <v>1</v>
      </c>
      <c r="AU86" s="3">
        <f t="shared" si="66"/>
        <v>31</v>
      </c>
      <c r="AW86" s="32">
        <f t="shared" ca="1" si="67"/>
        <v>248697.72568409186</v>
      </c>
      <c r="AX86" s="32">
        <f t="shared" si="68"/>
        <v>247137.83473587781</v>
      </c>
      <c r="AY86" s="32">
        <f t="shared" ca="1" si="69"/>
        <v>1559.8909482140514</v>
      </c>
      <c r="BA86" s="32">
        <f ca="1">IF($A87="","",F86*Summary!$Q$13)</f>
        <v>0</v>
      </c>
      <c r="BC86" s="256">
        <f t="shared" ca="1" si="72"/>
        <v>132616.63652375215</v>
      </c>
    </row>
    <row r="87" spans="1:55">
      <c r="A87" s="67">
        <f t="shared" si="70"/>
        <v>39387</v>
      </c>
      <c r="B87" s="69">
        <f t="shared" si="73"/>
        <v>28400</v>
      </c>
      <c r="C87" s="71"/>
      <c r="D87" s="69">
        <f t="shared" si="37"/>
        <v>28400</v>
      </c>
      <c r="E87" s="70">
        <f t="shared" si="38"/>
        <v>852000</v>
      </c>
      <c r="F87" s="70">
        <f t="shared" ca="1" si="39"/>
        <v>453420.91787586804</v>
      </c>
      <c r="G87" s="63">
        <f t="shared" si="40"/>
        <v>4.3790000000000004</v>
      </c>
      <c r="H87" s="64">
        <f t="shared" si="41"/>
        <v>4.3790000000000004</v>
      </c>
      <c r="I87" s="43"/>
      <c r="J87" s="63">
        <f t="shared" si="42"/>
        <v>0.45500000000000002</v>
      </c>
      <c r="K87" s="64">
        <f t="shared" si="43"/>
        <v>0.45500000000000002</v>
      </c>
      <c r="L87" s="38">
        <v>0</v>
      </c>
      <c r="M87" s="64">
        <f t="shared" si="44"/>
        <v>0</v>
      </c>
      <c r="N87" s="65"/>
      <c r="O87" s="63">
        <f t="shared" si="45"/>
        <v>4.8340000000000005</v>
      </c>
      <c r="P87" s="63">
        <f t="shared" si="46"/>
        <v>4.8340000000000005</v>
      </c>
      <c r="Q87" s="66"/>
      <c r="R87" s="63">
        <f t="shared" si="47"/>
        <v>-0.34073804745272601</v>
      </c>
      <c r="S87" s="64">
        <f t="shared" si="48"/>
        <v>-0.34073804745272601</v>
      </c>
      <c r="T87" s="38">
        <v>0</v>
      </c>
      <c r="U87" s="64">
        <f t="shared" si="49"/>
        <v>0</v>
      </c>
      <c r="V87" s="219">
        <f>(G87+R87)/(1-Summary!$T$13)*Summary!$T$13</f>
        <v>0.32202422665598301</v>
      </c>
      <c r="W87" s="43">
        <f t="shared" si="50"/>
        <v>4.360286179203257</v>
      </c>
      <c r="X87" s="43">
        <f t="shared" si="51"/>
        <v>4.360286179203257</v>
      </c>
      <c r="Y87" s="43"/>
      <c r="Z87" s="38">
        <f t="shared" si="52"/>
        <v>0.8</v>
      </c>
      <c r="AA87" s="38">
        <f t="shared" si="53"/>
        <v>0.218</v>
      </c>
      <c r="AB87" s="38">
        <f t="shared" ca="1" si="54"/>
        <v>0.22717878962743462</v>
      </c>
      <c r="AC87" s="38">
        <f t="shared" si="55"/>
        <v>0.95</v>
      </c>
      <c r="AD87" s="38">
        <f t="shared" si="55"/>
        <v>0.218</v>
      </c>
      <c r="AE87" s="38">
        <f t="shared" ca="1" si="56"/>
        <v>0.23082012043279848</v>
      </c>
      <c r="AF87" s="237">
        <f ca="1">((Summary!$N$13*(AA87*AD87)*(A87-$D$3))+(Summary!$M$13*Z87*AC87*(AJ87-EOMONTH(EDATE(A87,-1),0))))/(AK87*AB87*AE87)</f>
        <v>0.99867272838951182</v>
      </c>
      <c r="AG87" s="88">
        <f>IF($A88="","",Summary!$Q$13)</f>
        <v>0</v>
      </c>
      <c r="AH87" s="88">
        <f>IF($A88="","",IF(Summary!$R$12="Y",(VLOOKUP($A87,Summary!$AD$6:$AF$9,3)+'Escalating commodity'!I100),'Escalating commodity'!I100))</f>
        <v>5.0500701519269671E-2</v>
      </c>
      <c r="AI87" s="88">
        <f t="shared" si="71"/>
        <v>5.0500701519269671E-2</v>
      </c>
      <c r="AJ87" s="236">
        <f t="shared" si="57"/>
        <v>39401</v>
      </c>
      <c r="AK87" s="58">
        <f t="shared" ca="1" si="58"/>
        <v>2361</v>
      </c>
      <c r="AL87" s="26">
        <f ca="1">IF($A88="","",_xll.SPRDOPT(P87,X87,AI87,0,AB87,AE87,AF87,AK87,$AJ$2,0))</f>
        <v>0.42326019207832322</v>
      </c>
      <c r="AM87" s="209">
        <f t="shared" si="59"/>
        <v>0.42321311927747385</v>
      </c>
      <c r="AN87" s="89">
        <f t="shared" ca="1" si="60"/>
        <v>4.7072800849368157E-5</v>
      </c>
      <c r="AO87" s="3">
        <f t="shared" si="61"/>
        <v>30</v>
      </c>
      <c r="AP87" s="33">
        <f t="shared" si="62"/>
        <v>39387</v>
      </c>
      <c r="AQ87" s="58">
        <f t="shared" ca="1" si="63"/>
        <v>2361</v>
      </c>
      <c r="AR87" s="38">
        <f>'ANR OK vs ML7'!AR87</f>
        <v>0.1</v>
      </c>
      <c r="AS87" s="35">
        <f t="shared" ca="1" si="64"/>
        <v>0.53218417591064326</v>
      </c>
      <c r="AT87" s="3">
        <f t="shared" si="65"/>
        <v>1</v>
      </c>
      <c r="AU87" s="3">
        <f t="shared" si="66"/>
        <v>30</v>
      </c>
      <c r="AW87" s="32">
        <f t="shared" ca="1" si="67"/>
        <v>360617.6836507314</v>
      </c>
      <c r="AX87" s="32">
        <f t="shared" si="68"/>
        <v>360577.57762440771</v>
      </c>
      <c r="AY87" s="32">
        <f t="shared" ca="1" si="69"/>
        <v>40.106026323661666</v>
      </c>
      <c r="BA87" s="32">
        <f ca="1">IF($A88="","",F87*Summary!$Q$13)</f>
        <v>0</v>
      </c>
      <c r="BC87" s="256">
        <f t="shared" ca="1" si="72"/>
        <v>191893.68099990141</v>
      </c>
    </row>
    <row r="88" spans="1:55">
      <c r="A88" s="67">
        <f t="shared" si="70"/>
        <v>39417</v>
      </c>
      <c r="B88" s="69">
        <f t="shared" si="73"/>
        <v>28400</v>
      </c>
      <c r="C88" s="71"/>
      <c r="D88" s="69">
        <f t="shared" si="37"/>
        <v>28400</v>
      </c>
      <c r="E88" s="70">
        <f t="shared" si="38"/>
        <v>880400</v>
      </c>
      <c r="F88" s="70">
        <f t="shared" ca="1" si="39"/>
        <v>464794.73780614551</v>
      </c>
      <c r="G88" s="63">
        <f t="shared" si="40"/>
        <v>4.5170000000000003</v>
      </c>
      <c r="H88" s="64">
        <f t="shared" si="41"/>
        <v>4.5170000000000003</v>
      </c>
      <c r="I88" s="43"/>
      <c r="J88" s="63">
        <f t="shared" si="42"/>
        <v>0.45500000000000002</v>
      </c>
      <c r="K88" s="64">
        <f t="shared" si="43"/>
        <v>0.45500000000000002</v>
      </c>
      <c r="L88" s="38">
        <v>0</v>
      </c>
      <c r="M88" s="64">
        <f t="shared" si="44"/>
        <v>0</v>
      </c>
      <c r="N88" s="65"/>
      <c r="O88" s="63">
        <f t="shared" si="45"/>
        <v>4.9720000000000004</v>
      </c>
      <c r="P88" s="63">
        <f t="shared" si="46"/>
        <v>4.9720000000000004</v>
      </c>
      <c r="Q88" s="66"/>
      <c r="R88" s="63">
        <f t="shared" si="47"/>
        <v>-0.34071215829136386</v>
      </c>
      <c r="S88" s="64">
        <f t="shared" si="48"/>
        <v>-0.34071215829136386</v>
      </c>
      <c r="T88" s="38">
        <v>0</v>
      </c>
      <c r="U88" s="64">
        <f t="shared" si="49"/>
        <v>0</v>
      </c>
      <c r="V88" s="219">
        <f>(G88+R88)/(1-Summary!$T$13)*Summary!$T$13</f>
        <v>0.33303086286185257</v>
      </c>
      <c r="W88" s="43">
        <f t="shared" si="50"/>
        <v>4.5093187045704894</v>
      </c>
      <c r="X88" s="43">
        <f t="shared" si="51"/>
        <v>4.5093187045704894</v>
      </c>
      <c r="Y88" s="43"/>
      <c r="Z88" s="38">
        <f t="shared" si="52"/>
        <v>1.1000000000000001</v>
      </c>
      <c r="AA88" s="38">
        <f t="shared" si="53"/>
        <v>0.218</v>
      </c>
      <c r="AB88" s="38">
        <f t="shared" ca="1" si="54"/>
        <v>0.23534628641532793</v>
      </c>
      <c r="AC88" s="38">
        <f t="shared" si="55"/>
        <v>1.35</v>
      </c>
      <c r="AD88" s="38">
        <f t="shared" si="55"/>
        <v>0.218</v>
      </c>
      <c r="AE88" s="38">
        <f t="shared" ca="1" si="56"/>
        <v>0.24363598567813571</v>
      </c>
      <c r="AF88" s="237">
        <f ca="1">((Summary!$N$13*(AA88*AD88)*(A88-$D$3))+(Summary!$M$13*Z88*AC88*(AJ88-EOMONTH(EDATE(A88,-1),0))))/(AK88*AB88*AE88)</f>
        <v>0.99698324069741884</v>
      </c>
      <c r="AG88" s="88">
        <f>IF($A89="","",Summary!$Q$13)</f>
        <v>0</v>
      </c>
      <c r="AH88" s="88">
        <f>IF($A89="","",IF(Summary!$R$12="Y",(VLOOKUP($A88,Summary!$AD$6:$AF$9,3)+'Escalating commodity'!I101),'Escalating commodity'!I101))</f>
        <v>5.0500701519269671E-2</v>
      </c>
      <c r="AI88" s="88">
        <f t="shared" si="71"/>
        <v>5.0500701519269671E-2</v>
      </c>
      <c r="AJ88" s="236">
        <f t="shared" si="57"/>
        <v>39431.5</v>
      </c>
      <c r="AK88" s="58">
        <f t="shared" ca="1" si="58"/>
        <v>2391</v>
      </c>
      <c r="AL88" s="26">
        <f ca="1">IF($A89="","",_xll.SPRDOPT(P88,X88,AI88,0,AB88,AE88,AF88,AK88,$AJ$2,0))</f>
        <v>0.41616780838628403</v>
      </c>
      <c r="AM88" s="209">
        <f t="shared" si="59"/>
        <v>0.41218059391024131</v>
      </c>
      <c r="AN88" s="89">
        <f t="shared" ca="1" si="60"/>
        <v>3.9872144760427219E-3</v>
      </c>
      <c r="AO88" s="3">
        <f t="shared" si="61"/>
        <v>31</v>
      </c>
      <c r="AP88" s="33">
        <f t="shared" si="62"/>
        <v>39417</v>
      </c>
      <c r="AQ88" s="58">
        <f t="shared" ca="1" si="63"/>
        <v>2391</v>
      </c>
      <c r="AR88" s="38">
        <f>'ANR OK vs ML7'!AR88</f>
        <v>0.1</v>
      </c>
      <c r="AS88" s="35">
        <f t="shared" ca="1" si="64"/>
        <v>0.52793586756718025</v>
      </c>
      <c r="AT88" s="3">
        <f t="shared" si="65"/>
        <v>1</v>
      </c>
      <c r="AU88" s="3">
        <f t="shared" si="66"/>
        <v>31</v>
      </c>
      <c r="AW88" s="32">
        <f t="shared" ca="1" si="67"/>
        <v>366394.13850328448</v>
      </c>
      <c r="AX88" s="32">
        <f t="shared" si="68"/>
        <v>362883.79487857647</v>
      </c>
      <c r="AY88" s="32">
        <f t="shared" ca="1" si="69"/>
        <v>3510.3436247080126</v>
      </c>
      <c r="BA88" s="32">
        <f ca="1">IF($A89="","",F88*Summary!$Q$13)</f>
        <v>0</v>
      </c>
      <c r="BC88" s="256">
        <f t="shared" ca="1" si="72"/>
        <v>191579.37107529194</v>
      </c>
    </row>
    <row r="89" spans="1:55">
      <c r="A89" s="67">
        <f t="shared" si="70"/>
        <v>39448</v>
      </c>
      <c r="B89" s="69">
        <f t="shared" si="73"/>
        <v>28400</v>
      </c>
      <c r="C89" s="71"/>
      <c r="D89" s="69">
        <f t="shared" si="37"/>
        <v>28400</v>
      </c>
      <c r="E89" s="70">
        <f t="shared" si="38"/>
        <v>880400</v>
      </c>
      <c r="F89" s="70">
        <f t="shared" ca="1" si="39"/>
        <v>460961.21738809842</v>
      </c>
      <c r="G89" s="63">
        <f t="shared" si="40"/>
        <v>4.5339999999999998</v>
      </c>
      <c r="H89" s="64">
        <f t="shared" si="41"/>
        <v>4.5339999999999998</v>
      </c>
      <c r="I89" s="43"/>
      <c r="J89" s="63">
        <f t="shared" si="42"/>
        <v>0.45500000000000002</v>
      </c>
      <c r="K89" s="64">
        <f t="shared" si="43"/>
        <v>0.45500000000000002</v>
      </c>
      <c r="L89" s="38">
        <v>0</v>
      </c>
      <c r="M89" s="64">
        <f t="shared" si="44"/>
        <v>0</v>
      </c>
      <c r="N89" s="65"/>
      <c r="O89" s="63">
        <f t="shared" si="45"/>
        <v>4.9889999999999999</v>
      </c>
      <c r="P89" s="63">
        <f t="shared" si="46"/>
        <v>4.9889999999999999</v>
      </c>
      <c r="Q89" s="66"/>
      <c r="R89" s="63">
        <f t="shared" si="47"/>
        <v>-0.3406848536669424</v>
      </c>
      <c r="S89" s="64">
        <f t="shared" si="48"/>
        <v>-0.3406848536669424</v>
      </c>
      <c r="T89" s="38">
        <v>0</v>
      </c>
      <c r="U89" s="64">
        <f t="shared" si="49"/>
        <v>0</v>
      </c>
      <c r="V89" s="219">
        <f>(G89+R89)/(1-Summary!$T$13)*Summary!$T$13</f>
        <v>0.33438867586857351</v>
      </c>
      <c r="W89" s="43">
        <f t="shared" si="50"/>
        <v>4.527703822201631</v>
      </c>
      <c r="X89" s="43">
        <f t="shared" si="51"/>
        <v>4.527703822201631</v>
      </c>
      <c r="Y89" s="43"/>
      <c r="Z89" s="38">
        <f t="shared" si="52"/>
        <v>1.1000000000000001</v>
      </c>
      <c r="AA89" s="38">
        <f t="shared" si="53"/>
        <v>0.218</v>
      </c>
      <c r="AB89" s="38">
        <f t="shared" ca="1" si="54"/>
        <v>0.2351323502423065</v>
      </c>
      <c r="AC89" s="38">
        <f t="shared" si="55"/>
        <v>1.35</v>
      </c>
      <c r="AD89" s="38">
        <f t="shared" si="55"/>
        <v>0.218</v>
      </c>
      <c r="AE89" s="38">
        <f t="shared" ca="1" si="56"/>
        <v>0.24332492642212381</v>
      </c>
      <c r="AF89" s="237">
        <f ca="1">((Summary!$N$13*(AA89*AD89)*(A89-$D$3))+(Summary!$M$13*Z89*AC89*(AJ89-EOMONTH(EDATE(A89,-1),0))))/(AK89*AB89*AE89)</f>
        <v>0.99700796660006685</v>
      </c>
      <c r="AG89" s="88">
        <f>IF($A90="","",Summary!$Q$13)</f>
        <v>0</v>
      </c>
      <c r="AH89" s="88">
        <f>IF($A90="","",IF(Summary!$R$12="Y",(VLOOKUP($A89,Summary!$AD$6:$AF$9,3)+'Escalating commodity'!I102),'Escalating commodity'!I102))</f>
        <v>5.1510715549655063E-2</v>
      </c>
      <c r="AI89" s="88">
        <f t="shared" si="71"/>
        <v>5.1510715549655063E-2</v>
      </c>
      <c r="AJ89" s="236">
        <f t="shared" si="57"/>
        <v>39462.5</v>
      </c>
      <c r="AK89" s="58">
        <f t="shared" ca="1" si="58"/>
        <v>2422</v>
      </c>
      <c r="AL89" s="26">
        <f ca="1">IF($A90="","",_xll.SPRDOPT(P89,X89,AI89,0,AB89,AE89,AF89,AK89,$AJ$2,0))</f>
        <v>0.41394553698137626</v>
      </c>
      <c r="AM89" s="209">
        <f t="shared" si="59"/>
        <v>0.40978546224871376</v>
      </c>
      <c r="AN89" s="89">
        <f t="shared" ca="1" si="60"/>
        <v>4.1600747326624998E-3</v>
      </c>
      <c r="AO89" s="3">
        <f t="shared" si="61"/>
        <v>31</v>
      </c>
      <c r="AP89" s="33">
        <f t="shared" si="62"/>
        <v>39448</v>
      </c>
      <c r="AQ89" s="58">
        <f t="shared" ca="1" si="63"/>
        <v>2422</v>
      </c>
      <c r="AR89" s="38">
        <f>'ANR OK vs ML7'!AR89</f>
        <v>0.1</v>
      </c>
      <c r="AS89" s="35">
        <f t="shared" ca="1" si="64"/>
        <v>0.52358157358938939</v>
      </c>
      <c r="AT89" s="3">
        <f t="shared" si="65"/>
        <v>1</v>
      </c>
      <c r="AU89" s="3">
        <f t="shared" si="66"/>
        <v>31</v>
      </c>
      <c r="AW89" s="32">
        <f t="shared" ca="1" si="67"/>
        <v>364437.65075840364</v>
      </c>
      <c r="AX89" s="32">
        <f t="shared" si="68"/>
        <v>360775.12096376758</v>
      </c>
      <c r="AY89" s="32">
        <f t="shared" ca="1" si="69"/>
        <v>3662.5297946360647</v>
      </c>
      <c r="BA89" s="32">
        <f ca="1">IF($A90="","",F89*Summary!$Q$13)</f>
        <v>0</v>
      </c>
      <c r="BC89" s="256">
        <f t="shared" ca="1" si="72"/>
        <v>188895.20554611174</v>
      </c>
    </row>
    <row r="90" spans="1:55">
      <c r="A90" s="67">
        <f t="shared" si="70"/>
        <v>39479</v>
      </c>
      <c r="B90" s="69">
        <f t="shared" si="73"/>
        <v>28400</v>
      </c>
      <c r="C90" s="71"/>
      <c r="D90" s="69">
        <f t="shared" si="37"/>
        <v>28400</v>
      </c>
      <c r="E90" s="70">
        <f t="shared" si="38"/>
        <v>823600</v>
      </c>
      <c r="F90" s="70">
        <f t="shared" ca="1" si="39"/>
        <v>427665.16561468068</v>
      </c>
      <c r="G90" s="63">
        <f t="shared" si="40"/>
        <v>4.4140000000000006</v>
      </c>
      <c r="H90" s="64">
        <f t="shared" si="41"/>
        <v>4.4140000000000006</v>
      </c>
      <c r="I90" s="43"/>
      <c r="J90" s="63">
        <f t="shared" si="42"/>
        <v>0.45500000000000002</v>
      </c>
      <c r="K90" s="64">
        <f t="shared" si="43"/>
        <v>0.45500000000000002</v>
      </c>
      <c r="L90" s="38">
        <v>0</v>
      </c>
      <c r="M90" s="64">
        <f t="shared" si="44"/>
        <v>0</v>
      </c>
      <c r="N90" s="65"/>
      <c r="O90" s="63">
        <f t="shared" si="45"/>
        <v>4.8690000000000007</v>
      </c>
      <c r="P90" s="63">
        <f t="shared" si="46"/>
        <v>4.8690000000000007</v>
      </c>
      <c r="Q90" s="66"/>
      <c r="R90" s="63">
        <f t="shared" si="47"/>
        <v>-0.34065698710388354</v>
      </c>
      <c r="S90" s="64">
        <f t="shared" si="48"/>
        <v>-0.34065698710388354</v>
      </c>
      <c r="T90" s="38">
        <v>0</v>
      </c>
      <c r="U90" s="64">
        <f t="shared" si="49"/>
        <v>0</v>
      </c>
      <c r="V90" s="219">
        <f>(G90+R90)/(1-Summary!$T$13)*Summary!$T$13</f>
        <v>0.32482170524005116</v>
      </c>
      <c r="W90" s="43">
        <f t="shared" si="50"/>
        <v>4.3981647181361687</v>
      </c>
      <c r="X90" s="43">
        <f t="shared" si="51"/>
        <v>4.3981647181361687</v>
      </c>
      <c r="Y90" s="43"/>
      <c r="Z90" s="38">
        <f t="shared" si="52"/>
        <v>1.1000000000000001</v>
      </c>
      <c r="AA90" s="38">
        <f t="shared" si="53"/>
        <v>0.218</v>
      </c>
      <c r="AB90" s="38">
        <f t="shared" ca="1" si="54"/>
        <v>0.23387141808198528</v>
      </c>
      <c r="AC90" s="38">
        <f t="shared" si="55"/>
        <v>1.35</v>
      </c>
      <c r="AD90" s="38">
        <f t="shared" si="55"/>
        <v>0.218</v>
      </c>
      <c r="AE90" s="38">
        <f t="shared" ca="1" si="56"/>
        <v>0.24148790207535575</v>
      </c>
      <c r="AF90" s="237">
        <f ca="1">((Summary!$N$13*(AA90*AD90)*(A90-$D$3))+(Summary!$M$13*Z90*AC90*(AJ90-EOMONTH(EDATE(A90,-1),0))))/(AK90*AB90*AE90)</f>
        <v>0.99715864199572635</v>
      </c>
      <c r="AG90" s="88">
        <f>IF($A91="","",Summary!$Q$13)</f>
        <v>0</v>
      </c>
      <c r="AH90" s="88">
        <f>IF($A91="","",IF(Summary!$R$12="Y",(VLOOKUP($A90,Summary!$AD$6:$AF$9,3)+'Escalating commodity'!I103),'Escalating commodity'!I103))</f>
        <v>5.1510715549655063E-2</v>
      </c>
      <c r="AI90" s="88">
        <f t="shared" si="71"/>
        <v>5.1510715549655063E-2</v>
      </c>
      <c r="AJ90" s="236">
        <f t="shared" si="57"/>
        <v>39492.5</v>
      </c>
      <c r="AK90" s="58">
        <f t="shared" ca="1" si="58"/>
        <v>2453</v>
      </c>
      <c r="AL90" s="26">
        <f ca="1">IF($A91="","",_xll.SPRDOPT(P90,X90,AI90,0,AB90,AE90,AF90,AK90,$AJ$2,0))</f>
        <v>0.42203335696634997</v>
      </c>
      <c r="AM90" s="209">
        <f t="shared" si="59"/>
        <v>0.41932456631417686</v>
      </c>
      <c r="AN90" s="89">
        <f t="shared" ca="1" si="60"/>
        <v>2.7087906521731098E-3</v>
      </c>
      <c r="AO90" s="3">
        <f t="shared" si="61"/>
        <v>29</v>
      </c>
      <c r="AP90" s="33">
        <f t="shared" si="62"/>
        <v>39479</v>
      </c>
      <c r="AQ90" s="58">
        <f t="shared" ca="1" si="63"/>
        <v>2453</v>
      </c>
      <c r="AR90" s="38">
        <f>'ANR OK vs ML7'!AR90</f>
        <v>0.1</v>
      </c>
      <c r="AS90" s="35">
        <f t="shared" ca="1" si="64"/>
        <v>0.51926319282986966</v>
      </c>
      <c r="AT90" s="3">
        <f t="shared" si="65"/>
        <v>1</v>
      </c>
      <c r="AU90" s="3">
        <f t="shared" si="66"/>
        <v>29</v>
      </c>
      <c r="AW90" s="32">
        <f t="shared" ca="1" si="67"/>
        <v>347586.67279748584</v>
      </c>
      <c r="AX90" s="32">
        <f t="shared" si="68"/>
        <v>345355.71281635604</v>
      </c>
      <c r="AY90" s="32">
        <f t="shared" ca="1" si="69"/>
        <v>2230.959981129773</v>
      </c>
      <c r="BA90" s="32">
        <f ca="1">IF($A91="","",F90*Summary!$Q$13)</f>
        <v>0</v>
      </c>
      <c r="BC90" s="256">
        <f t="shared" ca="1" si="72"/>
        <v>179330.51009905658</v>
      </c>
    </row>
    <row r="91" spans="1:55">
      <c r="A91" s="67">
        <f t="shared" si="70"/>
        <v>39508</v>
      </c>
      <c r="B91" s="69">
        <f t="shared" si="73"/>
        <v>28400</v>
      </c>
      <c r="C91" s="71"/>
      <c r="D91" s="69">
        <f t="shared" si="37"/>
        <v>28400</v>
      </c>
      <c r="E91" s="70">
        <f t="shared" si="38"/>
        <v>880400</v>
      </c>
      <c r="F91" s="70">
        <f t="shared" ca="1" si="39"/>
        <v>453631.08952948864</v>
      </c>
      <c r="G91" s="63">
        <f t="shared" si="40"/>
        <v>4.2750000000000004</v>
      </c>
      <c r="H91" s="64">
        <f t="shared" si="41"/>
        <v>4.2750000000000004</v>
      </c>
      <c r="I91" s="43"/>
      <c r="J91" s="63">
        <f t="shared" si="42"/>
        <v>0.45500000000000002</v>
      </c>
      <c r="K91" s="64">
        <f t="shared" si="43"/>
        <v>0.45500000000000002</v>
      </c>
      <c r="L91" s="38">
        <v>0</v>
      </c>
      <c r="M91" s="64">
        <f t="shared" si="44"/>
        <v>0</v>
      </c>
      <c r="N91" s="65"/>
      <c r="O91" s="63">
        <f t="shared" si="45"/>
        <v>4.7300000000000004</v>
      </c>
      <c r="P91" s="63">
        <f t="shared" si="46"/>
        <v>4.7300000000000004</v>
      </c>
      <c r="Q91" s="66"/>
      <c r="R91" s="63">
        <f t="shared" si="47"/>
        <v>-0.34063040929844302</v>
      </c>
      <c r="S91" s="64">
        <f t="shared" si="48"/>
        <v>-0.34063040929844302</v>
      </c>
      <c r="T91" s="38">
        <v>0</v>
      </c>
      <c r="U91" s="64">
        <f t="shared" si="49"/>
        <v>0</v>
      </c>
      <c r="V91" s="219">
        <f>(G91+R91)/(1-Summary!$T$13)*Summary!$T$13</f>
        <v>0.31373950964852709</v>
      </c>
      <c r="W91" s="43">
        <f t="shared" si="50"/>
        <v>4.2481091003500842</v>
      </c>
      <c r="X91" s="43">
        <f t="shared" si="51"/>
        <v>4.2481091003500842</v>
      </c>
      <c r="Y91" s="43"/>
      <c r="Z91" s="38">
        <f t="shared" si="52"/>
        <v>0.75</v>
      </c>
      <c r="AA91" s="38">
        <f t="shared" si="53"/>
        <v>0.20499999999999999</v>
      </c>
      <c r="AB91" s="38">
        <f t="shared" ca="1" si="54"/>
        <v>0.21343552659501844</v>
      </c>
      <c r="AC91" s="38">
        <f t="shared" si="55"/>
        <v>0.95</v>
      </c>
      <c r="AD91" s="38">
        <f t="shared" si="55"/>
        <v>0.20499999999999999</v>
      </c>
      <c r="AE91" s="38">
        <f t="shared" ca="1" si="56"/>
        <v>0.21835295208475128</v>
      </c>
      <c r="AF91" s="237">
        <f ca="1">((Summary!$N$13*(AA91*AD91)*(A91-$D$3))+(Summary!$M$13*Z91*AC91*(AJ91-EOMONTH(EDATE(A91,-1),0))))/(AK91*AB91*AE91)</f>
        <v>0.99748922335040158</v>
      </c>
      <c r="AG91" s="88">
        <f>IF($A92="","",Summary!$Q$13)</f>
        <v>0</v>
      </c>
      <c r="AH91" s="88">
        <f>IF($A92="","",IF(Summary!$R$12="Y",(VLOOKUP($A91,Summary!$AD$6:$AF$9,3)+'Escalating commodity'!I104),'Escalating commodity'!I104))</f>
        <v>5.1510715549655063E-2</v>
      </c>
      <c r="AI91" s="88">
        <f t="shared" si="71"/>
        <v>5.1510715549655063E-2</v>
      </c>
      <c r="AJ91" s="236">
        <f t="shared" si="57"/>
        <v>39522.5</v>
      </c>
      <c r="AK91" s="58">
        <f t="shared" ca="1" si="58"/>
        <v>2482</v>
      </c>
      <c r="AL91" s="26">
        <f ca="1">IF($A92="","",_xll.SPRDOPT(P91,X91,AI91,0,AB91,AE91,AF91,AK91,$AJ$2,0))</f>
        <v>0.4309292001022067</v>
      </c>
      <c r="AM91" s="209">
        <f t="shared" si="59"/>
        <v>0.43038018410026119</v>
      </c>
      <c r="AN91" s="89">
        <f t="shared" ca="1" si="60"/>
        <v>5.4901600194551259E-4</v>
      </c>
      <c r="AO91" s="3">
        <f t="shared" si="61"/>
        <v>31</v>
      </c>
      <c r="AP91" s="33">
        <f t="shared" si="62"/>
        <v>39508</v>
      </c>
      <c r="AQ91" s="58">
        <f t="shared" ca="1" si="63"/>
        <v>2482</v>
      </c>
      <c r="AR91" s="38">
        <f>'ANR OK vs ML7'!AR91</f>
        <v>0.1</v>
      </c>
      <c r="AS91" s="35">
        <f t="shared" ca="1" si="64"/>
        <v>0.51525566734380812</v>
      </c>
      <c r="AT91" s="3">
        <f t="shared" si="65"/>
        <v>1</v>
      </c>
      <c r="AU91" s="3">
        <f t="shared" si="66"/>
        <v>31</v>
      </c>
      <c r="AW91" s="32">
        <f t="shared" ca="1" si="67"/>
        <v>379390.06776998279</v>
      </c>
      <c r="AX91" s="32">
        <f t="shared" si="68"/>
        <v>378906.71408186993</v>
      </c>
      <c r="AY91" s="32">
        <f t="shared" ca="1" si="69"/>
        <v>483.35368811282927</v>
      </c>
      <c r="BA91" s="32">
        <f ca="1">IF($A92="","",F91*Summary!$Q$13)</f>
        <v>0</v>
      </c>
      <c r="BC91" s="256">
        <f t="shared" ca="1" si="72"/>
        <v>195233.83182530338</v>
      </c>
    </row>
    <row r="92" spans="1:55">
      <c r="A92" s="67">
        <f t="shared" si="70"/>
        <v>39539</v>
      </c>
      <c r="B92" s="69">
        <f t="shared" si="73"/>
        <v>28400</v>
      </c>
      <c r="C92" s="71"/>
      <c r="D92" s="69">
        <f t="shared" si="37"/>
        <v>28400</v>
      </c>
      <c r="E92" s="70">
        <f t="shared" si="38"/>
        <v>852000</v>
      </c>
      <c r="F92" s="70">
        <f t="shared" ca="1" si="39"/>
        <v>435377.075150861</v>
      </c>
      <c r="G92" s="63">
        <f t="shared" si="40"/>
        <v>4.0999999999999996</v>
      </c>
      <c r="H92" s="64">
        <f t="shared" si="41"/>
        <v>4.0999999999999996</v>
      </c>
      <c r="I92" s="43"/>
      <c r="J92" s="63">
        <f t="shared" si="42"/>
        <v>0.23499999999999999</v>
      </c>
      <c r="K92" s="64">
        <f t="shared" si="43"/>
        <v>0.23499999999999999</v>
      </c>
      <c r="L92" s="38">
        <v>0</v>
      </c>
      <c r="M92" s="64">
        <f t="shared" si="44"/>
        <v>0</v>
      </c>
      <c r="N92" s="65"/>
      <c r="O92" s="63">
        <f t="shared" si="45"/>
        <v>4.335</v>
      </c>
      <c r="P92" s="63">
        <f t="shared" si="46"/>
        <v>4.335</v>
      </c>
      <c r="Q92" s="66"/>
      <c r="R92" s="63">
        <f t="shared" si="47"/>
        <v>-0.51936223339812937</v>
      </c>
      <c r="S92" s="64">
        <f t="shared" si="48"/>
        <v>-0.51936223339812937</v>
      </c>
      <c r="T92" s="38">
        <v>0</v>
      </c>
      <c r="U92" s="64">
        <f t="shared" si="49"/>
        <v>0</v>
      </c>
      <c r="V92" s="219">
        <f>(G92+R92)/(1-Summary!$T$13)*Summary!$T$13</f>
        <v>0.2855317761141884</v>
      </c>
      <c r="W92" s="43">
        <f t="shared" si="50"/>
        <v>3.8661695427160585</v>
      </c>
      <c r="X92" s="43">
        <f t="shared" si="51"/>
        <v>3.8661695427160585</v>
      </c>
      <c r="Y92" s="43"/>
      <c r="Z92" s="38">
        <f t="shared" si="52"/>
        <v>0.45</v>
      </c>
      <c r="AA92" s="38">
        <f t="shared" si="53"/>
        <v>0.20499999999999999</v>
      </c>
      <c r="AB92" s="38">
        <f t="shared" ca="1" si="54"/>
        <v>0.20796739581923904</v>
      </c>
      <c r="AC92" s="38">
        <f t="shared" si="55"/>
        <v>0.5</v>
      </c>
      <c r="AD92" s="38">
        <f t="shared" si="55"/>
        <v>0.20499999999999999</v>
      </c>
      <c r="AE92" s="38">
        <f t="shared" ca="1" si="56"/>
        <v>0.2086479412560068</v>
      </c>
      <c r="AF92" s="237">
        <f ca="1">((Summary!$N$13*(AA92*AD92)*(A92-$D$3))+(Summary!$M$13*Z92*AC92*(AJ92-EOMONTH(EDATE(A92,-1),0))))/(AK92*AB92*AE92)</f>
        <v>0.99973649955795207</v>
      </c>
      <c r="AG92" s="88">
        <f>IF($A93="","",Summary!$Q$13)</f>
        <v>0</v>
      </c>
      <c r="AH92" s="88">
        <f>IF($A93="","",IF(Summary!$R$12="Y",(VLOOKUP($A92,Summary!$AD$6:$AF$9,3)+'Escalating commodity'!I105),'Escalating commodity'!I105))</f>
        <v>5.1510715549655063E-2</v>
      </c>
      <c r="AI92" s="88">
        <f t="shared" si="71"/>
        <v>5.1510715549655063E-2</v>
      </c>
      <c r="AJ92" s="236">
        <f t="shared" si="57"/>
        <v>39553</v>
      </c>
      <c r="AK92" s="58">
        <f t="shared" ca="1" si="58"/>
        <v>2513</v>
      </c>
      <c r="AL92" s="26">
        <f ca="1">IF($A93="","",_xll.SPRDOPT(P92,X92,AI92,0,AB92,AE92,AF92,AK92,$AJ$2,0))</f>
        <v>0.41732066795215467</v>
      </c>
      <c r="AM92" s="209">
        <f t="shared" si="59"/>
        <v>0.41731974173428638</v>
      </c>
      <c r="AN92" s="89">
        <f t="shared" ca="1" si="60"/>
        <v>9.2621786829116814E-7</v>
      </c>
      <c r="AO92" s="3">
        <f t="shared" si="61"/>
        <v>30</v>
      </c>
      <c r="AP92" s="33">
        <f t="shared" si="62"/>
        <v>39539</v>
      </c>
      <c r="AQ92" s="58">
        <f t="shared" ca="1" si="63"/>
        <v>2513</v>
      </c>
      <c r="AR92" s="38">
        <f>'ANR OK vs ML7'!AR92</f>
        <v>0.1</v>
      </c>
      <c r="AS92" s="35">
        <f t="shared" ca="1" si="64"/>
        <v>0.51100595674983684</v>
      </c>
      <c r="AT92" s="3">
        <f t="shared" si="65"/>
        <v>1</v>
      </c>
      <c r="AU92" s="3">
        <f t="shared" si="66"/>
        <v>30</v>
      </c>
      <c r="AW92" s="32">
        <f t="shared" ca="1" si="67"/>
        <v>355557.2090952358</v>
      </c>
      <c r="AX92" s="32">
        <f t="shared" si="68"/>
        <v>355556.419957612</v>
      </c>
      <c r="AY92" s="32">
        <f t="shared" ca="1" si="69"/>
        <v>0.78913762378407526</v>
      </c>
      <c r="BA92" s="32">
        <f ca="1">IF($A93="","",F92*Summary!$Q$13)</f>
        <v>0</v>
      </c>
      <c r="BC92" s="256">
        <f t="shared" ca="1" si="72"/>
        <v>181691.4485589863</v>
      </c>
    </row>
    <row r="93" spans="1:55">
      <c r="A93" s="67">
        <f t="shared" si="70"/>
        <v>39569</v>
      </c>
      <c r="B93" s="69">
        <f t="shared" si="73"/>
        <v>28400</v>
      </c>
      <c r="C93" s="71"/>
      <c r="D93" s="69">
        <f t="shared" si="37"/>
        <v>28400</v>
      </c>
      <c r="E93" s="70">
        <f t="shared" si="38"/>
        <v>880400</v>
      </c>
      <c r="F93" s="70">
        <f t="shared" ca="1" si="39"/>
        <v>446298.27498816611</v>
      </c>
      <c r="G93" s="63">
        <f t="shared" si="40"/>
        <v>4.07</v>
      </c>
      <c r="H93" s="64">
        <f t="shared" si="41"/>
        <v>4.07</v>
      </c>
      <c r="I93" s="43"/>
      <c r="J93" s="63">
        <f t="shared" si="42"/>
        <v>0.23499999999999999</v>
      </c>
      <c r="K93" s="64">
        <f t="shared" si="43"/>
        <v>0.23499999999999999</v>
      </c>
      <c r="L93" s="38">
        <v>0</v>
      </c>
      <c r="M93" s="64">
        <f t="shared" si="44"/>
        <v>0</v>
      </c>
      <c r="N93" s="65"/>
      <c r="O93" s="63">
        <f t="shared" si="45"/>
        <v>4.3050000000000006</v>
      </c>
      <c r="P93" s="63">
        <f t="shared" si="46"/>
        <v>4.3050000000000006</v>
      </c>
      <c r="Q93" s="66"/>
      <c r="R93" s="63">
        <f t="shared" si="47"/>
        <v>-0.51933481361653744</v>
      </c>
      <c r="S93" s="64">
        <f t="shared" si="48"/>
        <v>-0.51933481361653744</v>
      </c>
      <c r="T93" s="38">
        <v>0</v>
      </c>
      <c r="U93" s="64">
        <f t="shared" si="49"/>
        <v>0</v>
      </c>
      <c r="V93" s="219">
        <f>(G93+R93)/(1-Summary!$T$13)*Summary!$T$13</f>
        <v>0.28314166445745725</v>
      </c>
      <c r="W93" s="43">
        <f t="shared" si="50"/>
        <v>3.83380685084092</v>
      </c>
      <c r="X93" s="43">
        <f t="shared" si="51"/>
        <v>3.83380685084092</v>
      </c>
      <c r="Y93" s="43"/>
      <c r="Z93" s="38">
        <f t="shared" si="52"/>
        <v>0.5</v>
      </c>
      <c r="AA93" s="38">
        <f t="shared" si="53"/>
        <v>0.20499999999999999</v>
      </c>
      <c r="AB93" s="38">
        <f t="shared" ca="1" si="54"/>
        <v>0.20872306186727355</v>
      </c>
      <c r="AC93" s="38">
        <f t="shared" si="55"/>
        <v>0.45</v>
      </c>
      <c r="AD93" s="38">
        <f t="shared" si="55"/>
        <v>0.20499999999999999</v>
      </c>
      <c r="AE93" s="38">
        <f t="shared" ca="1" si="56"/>
        <v>0.20802835456633897</v>
      </c>
      <c r="AF93" s="237">
        <f ca="1">((Summary!$N$13*(AA93*AD93)*(A93-$D$3))+(Summary!$M$13*Z93*AC93*(AJ93-EOMONTH(EDATE(A93,-1),0))))/(AK93*AB93*AE93)</f>
        <v>0.99973326316453537</v>
      </c>
      <c r="AG93" s="88">
        <f>IF($A94="","",Summary!$Q$13)</f>
        <v>0</v>
      </c>
      <c r="AH93" s="88">
        <f>IF($A94="","",IF(Summary!$R$12="Y",(VLOOKUP($A93,Summary!$AD$6:$AF$9,3)+'Escalating commodity'!I106),'Escalating commodity'!I106))</f>
        <v>5.1510715549655063E-2</v>
      </c>
      <c r="AI93" s="88">
        <f t="shared" si="71"/>
        <v>5.1510715549655063E-2</v>
      </c>
      <c r="AJ93" s="236">
        <f t="shared" si="57"/>
        <v>39583.5</v>
      </c>
      <c r="AK93" s="58">
        <f t="shared" ca="1" si="58"/>
        <v>2543</v>
      </c>
      <c r="AL93" s="26">
        <f ca="1">IF($A94="","",_xll.SPRDOPT(P93,X93,AI93,0,AB93,AE93,AF93,AK93,$AJ$2,0))</f>
        <v>0.41968497282965067</v>
      </c>
      <c r="AM93" s="209">
        <f t="shared" si="59"/>
        <v>0.41968243360942553</v>
      </c>
      <c r="AN93" s="89">
        <f t="shared" ca="1" si="60"/>
        <v>2.5392202251395268E-6</v>
      </c>
      <c r="AO93" s="3">
        <f t="shared" si="61"/>
        <v>31</v>
      </c>
      <c r="AP93" s="33">
        <f t="shared" si="62"/>
        <v>39569</v>
      </c>
      <c r="AQ93" s="58">
        <f t="shared" ca="1" si="63"/>
        <v>2543</v>
      </c>
      <c r="AR93" s="38">
        <f>'ANR OK vs ML7'!AR93</f>
        <v>0.1</v>
      </c>
      <c r="AS93" s="35">
        <f t="shared" ca="1" si="64"/>
        <v>0.5069267094368084</v>
      </c>
      <c r="AT93" s="3">
        <f t="shared" si="65"/>
        <v>1</v>
      </c>
      <c r="AU93" s="3">
        <f t="shared" si="66"/>
        <v>31</v>
      </c>
      <c r="AW93" s="32">
        <f t="shared" ca="1" si="67"/>
        <v>369490.65007922443</v>
      </c>
      <c r="AX93" s="32">
        <f t="shared" si="68"/>
        <v>369488.41454973823</v>
      </c>
      <c r="AY93" s="32">
        <f t="shared" ca="1" si="69"/>
        <v>2.2355294862128394</v>
      </c>
      <c r="BA93" s="32">
        <f ca="1">IF($A94="","",F93*Summary!$Q$13)</f>
        <v>0</v>
      </c>
      <c r="BC93" s="256">
        <f t="shared" ca="1" si="72"/>
        <v>187303.54616272217</v>
      </c>
    </row>
    <row r="94" spans="1:55">
      <c r="A94" s="67">
        <f t="shared" si="70"/>
        <v>39600</v>
      </c>
      <c r="B94" s="69">
        <f t="shared" si="73"/>
        <v>28400</v>
      </c>
      <c r="C94" s="71"/>
      <c r="D94" s="69">
        <f t="shared" si="37"/>
        <v>28400</v>
      </c>
      <c r="E94" s="70">
        <f t="shared" si="38"/>
        <v>852000</v>
      </c>
      <c r="F94" s="70">
        <f t="shared" ca="1" si="39"/>
        <v>428339.33143947634</v>
      </c>
      <c r="G94" s="63">
        <f t="shared" si="40"/>
        <v>4.1399999999999997</v>
      </c>
      <c r="H94" s="64">
        <f t="shared" si="41"/>
        <v>4.1399999999999997</v>
      </c>
      <c r="I94" s="43"/>
      <c r="J94" s="63">
        <f t="shared" si="42"/>
        <v>0.23499999999999999</v>
      </c>
      <c r="K94" s="64">
        <f t="shared" si="43"/>
        <v>0.23499999999999999</v>
      </c>
      <c r="L94" s="38">
        <v>0</v>
      </c>
      <c r="M94" s="64">
        <f t="shared" si="44"/>
        <v>0</v>
      </c>
      <c r="N94" s="65"/>
      <c r="O94" s="63">
        <f t="shared" si="45"/>
        <v>4.375</v>
      </c>
      <c r="P94" s="63">
        <f t="shared" si="46"/>
        <v>4.375</v>
      </c>
      <c r="Q94" s="66"/>
      <c r="R94" s="63">
        <f t="shared" si="47"/>
        <v>-0.51931878690571054</v>
      </c>
      <c r="S94" s="64">
        <f t="shared" si="48"/>
        <v>-0.51931878690571054</v>
      </c>
      <c r="T94" s="38">
        <v>0</v>
      </c>
      <c r="U94" s="64">
        <f t="shared" si="49"/>
        <v>0</v>
      </c>
      <c r="V94" s="219">
        <f>(G94+R94)/(1-Summary!$T$13)*Summary!$T$13</f>
        <v>0.28872497161286759</v>
      </c>
      <c r="W94" s="43">
        <f t="shared" si="50"/>
        <v>3.9094061847071568</v>
      </c>
      <c r="X94" s="43">
        <f t="shared" si="51"/>
        <v>3.9094061847071568</v>
      </c>
      <c r="Y94" s="43"/>
      <c r="Z94" s="38">
        <f t="shared" si="52"/>
        <v>0.5</v>
      </c>
      <c r="AA94" s="38">
        <f t="shared" si="53"/>
        <v>0.20499999999999999</v>
      </c>
      <c r="AB94" s="38">
        <f t="shared" ca="1" si="54"/>
        <v>0.2085622285690848</v>
      </c>
      <c r="AC94" s="38">
        <f t="shared" si="55"/>
        <v>0.5</v>
      </c>
      <c r="AD94" s="38">
        <f t="shared" si="55"/>
        <v>0.20499999999999999</v>
      </c>
      <c r="AE94" s="38">
        <f t="shared" ca="1" si="56"/>
        <v>0.2085622285690848</v>
      </c>
      <c r="AF94" s="237">
        <f ca="1">((Summary!$N$13*(AA94*AD94)*(A94-$D$3))+(Summary!$M$13*Z94*AC94*(AJ94-EOMONTH(EDATE(A94,-1),0))))/(AK94*AB94*AE94)</f>
        <v>0.99990334927962587</v>
      </c>
      <c r="AG94" s="88">
        <f>IF($A95="","",Summary!$Q$13)</f>
        <v>0</v>
      </c>
      <c r="AH94" s="88">
        <f>IF($A95="","",IF(Summary!$R$12="Y",(VLOOKUP($A94,Summary!$AD$6:$AF$9,3)+'Escalating commodity'!I107),'Escalating commodity'!I107))</f>
        <v>5.1510715549655063E-2</v>
      </c>
      <c r="AI94" s="88">
        <f t="shared" si="71"/>
        <v>5.1510715549655063E-2</v>
      </c>
      <c r="AJ94" s="236">
        <f t="shared" si="57"/>
        <v>39614</v>
      </c>
      <c r="AK94" s="58">
        <f t="shared" ca="1" si="58"/>
        <v>2574</v>
      </c>
      <c r="AL94" s="26">
        <f ca="1">IF($A95="","",_xll.SPRDOPT(P94,X94,AI94,0,AB94,AE94,AF94,AK94,$AJ$2,0))</f>
        <v>0.41408434149831669</v>
      </c>
      <c r="AM94" s="209">
        <f t="shared" si="59"/>
        <v>0.41408309974318808</v>
      </c>
      <c r="AN94" s="89">
        <f t="shared" ca="1" si="60"/>
        <v>1.2417551286114659E-6</v>
      </c>
      <c r="AO94" s="3">
        <f t="shared" si="61"/>
        <v>30</v>
      </c>
      <c r="AP94" s="33">
        <f t="shared" si="62"/>
        <v>39600</v>
      </c>
      <c r="AQ94" s="58">
        <f t="shared" ca="1" si="63"/>
        <v>2574</v>
      </c>
      <c r="AR94" s="38">
        <f>'ANR OK vs ML7'!AR94</f>
        <v>0.1</v>
      </c>
      <c r="AS94" s="35">
        <f t="shared" ca="1" si="64"/>
        <v>0.50274569417778914</v>
      </c>
      <c r="AT94" s="3">
        <f t="shared" si="65"/>
        <v>1</v>
      </c>
      <c r="AU94" s="3">
        <f t="shared" si="66"/>
        <v>30</v>
      </c>
      <c r="AW94" s="32">
        <f t="shared" ca="1" si="67"/>
        <v>352799.85895656579</v>
      </c>
      <c r="AX94" s="32">
        <f t="shared" si="68"/>
        <v>352798.80098119623</v>
      </c>
      <c r="AY94" s="32">
        <f t="shared" ca="1" si="69"/>
        <v>1.0579753695769689</v>
      </c>
      <c r="BA94" s="32">
        <f ca="1">IF($A95="","",F94*Summary!$Q$13)</f>
        <v>0</v>
      </c>
      <c r="BC94" s="256">
        <f t="shared" ca="1" si="72"/>
        <v>177368.07810438317</v>
      </c>
    </row>
    <row r="95" spans="1:55">
      <c r="A95" s="67">
        <f t="shared" si="70"/>
        <v>39630</v>
      </c>
      <c r="B95" s="69">
        <f t="shared" si="73"/>
        <v>28400</v>
      </c>
      <c r="C95" s="71"/>
      <c r="D95" s="69">
        <f t="shared" si="37"/>
        <v>28400</v>
      </c>
      <c r="E95" s="70">
        <f t="shared" si="38"/>
        <v>880400</v>
      </c>
      <c r="F95" s="70">
        <f t="shared" ca="1" si="39"/>
        <v>439083.99325982435</v>
      </c>
      <c r="G95" s="63">
        <f t="shared" si="40"/>
        <v>4.1950000000000003</v>
      </c>
      <c r="H95" s="64">
        <f t="shared" si="41"/>
        <v>4.1950000000000003</v>
      </c>
      <c r="I95" s="43"/>
      <c r="J95" s="63">
        <f t="shared" si="42"/>
        <v>0.23499999999999999</v>
      </c>
      <c r="K95" s="64">
        <f t="shared" si="43"/>
        <v>0.23499999999999999</v>
      </c>
      <c r="L95" s="38">
        <v>0</v>
      </c>
      <c r="M95" s="64">
        <f t="shared" si="44"/>
        <v>0</v>
      </c>
      <c r="N95" s="65"/>
      <c r="O95" s="63">
        <f t="shared" si="45"/>
        <v>4.4300000000000006</v>
      </c>
      <c r="P95" s="63">
        <f t="shared" si="46"/>
        <v>4.4300000000000006</v>
      </c>
      <c r="Q95" s="66"/>
      <c r="R95" s="63">
        <f t="shared" si="47"/>
        <v>-0.51931484510469517</v>
      </c>
      <c r="S95" s="64">
        <f t="shared" si="48"/>
        <v>-0.51931484510469517</v>
      </c>
      <c r="T95" s="38">
        <v>0</v>
      </c>
      <c r="U95" s="64">
        <f t="shared" si="49"/>
        <v>0</v>
      </c>
      <c r="V95" s="219">
        <f>(G95+R95)/(1-Summary!$T$13)*Summary!$T$13</f>
        <v>0.29311116597807713</v>
      </c>
      <c r="W95" s="43">
        <f t="shared" si="50"/>
        <v>3.9687963208733823</v>
      </c>
      <c r="X95" s="43">
        <f t="shared" si="51"/>
        <v>3.9687963208733823</v>
      </c>
      <c r="Y95" s="43"/>
      <c r="Z95" s="38">
        <f t="shared" si="52"/>
        <v>0.55000000000000004</v>
      </c>
      <c r="AA95" s="38">
        <f t="shared" si="53"/>
        <v>0.20300000000000001</v>
      </c>
      <c r="AB95" s="38">
        <f t="shared" ca="1" si="54"/>
        <v>0.20742569876202044</v>
      </c>
      <c r="AC95" s="38">
        <f t="shared" si="55"/>
        <v>0.5</v>
      </c>
      <c r="AD95" s="38">
        <f t="shared" si="55"/>
        <v>0.20300000000000001</v>
      </c>
      <c r="AE95" s="38">
        <f t="shared" ca="1" si="56"/>
        <v>0.20667104419079235</v>
      </c>
      <c r="AF95" s="237">
        <f ca="1">((Summary!$N$13*(AA95*AD95)*(A95-$D$3))+(Summary!$M$13*Z95*AC95*(AJ95-EOMONTH(EDATE(A95,-1),0))))/(AK95*AB95*AE95)</f>
        <v>0.99973691392351938</v>
      </c>
      <c r="AG95" s="88">
        <f>IF($A96="","",Summary!$Q$13)</f>
        <v>0</v>
      </c>
      <c r="AH95" s="88">
        <f>IF($A96="","",IF(Summary!$R$12="Y",(VLOOKUP($A95,Summary!$AD$6:$AF$9,3)+'Escalating commodity'!I108),'Escalating commodity'!I108))</f>
        <v>5.1510715549655063E-2</v>
      </c>
      <c r="AI95" s="88">
        <f t="shared" si="71"/>
        <v>5.1510715549655063E-2</v>
      </c>
      <c r="AJ95" s="236">
        <f t="shared" si="57"/>
        <v>39644.5</v>
      </c>
      <c r="AK95" s="58">
        <f t="shared" ca="1" si="58"/>
        <v>2604</v>
      </c>
      <c r="AL95" s="26">
        <f ca="1">IF($A96="","",_xll.SPRDOPT(P95,X95,AI95,0,AB95,AE95,AF95,AK95,$AJ$2,0))</f>
        <v>0.40969710105528601</v>
      </c>
      <c r="AM95" s="209">
        <f t="shared" si="59"/>
        <v>0.40969296357696322</v>
      </c>
      <c r="AN95" s="89">
        <f t="shared" ca="1" si="60"/>
        <v>4.1374783227854373E-6</v>
      </c>
      <c r="AO95" s="3">
        <f t="shared" si="61"/>
        <v>31</v>
      </c>
      <c r="AP95" s="33">
        <f t="shared" si="62"/>
        <v>39630</v>
      </c>
      <c r="AQ95" s="58">
        <f t="shared" ca="1" si="63"/>
        <v>2604</v>
      </c>
      <c r="AR95" s="38">
        <f>'ANR OK vs ML7'!AR95</f>
        <v>0.1</v>
      </c>
      <c r="AS95" s="35">
        <f t="shared" ca="1" si="64"/>
        <v>0.49873238671038655</v>
      </c>
      <c r="AT95" s="3">
        <f t="shared" si="65"/>
        <v>1</v>
      </c>
      <c r="AU95" s="3">
        <f t="shared" si="66"/>
        <v>31</v>
      </c>
      <c r="AW95" s="32">
        <f t="shared" ca="1" si="67"/>
        <v>360697.32776907377</v>
      </c>
      <c r="AX95" s="32">
        <f t="shared" si="68"/>
        <v>360693.6851331584</v>
      </c>
      <c r="AY95" s="32">
        <f t="shared" ca="1" si="69"/>
        <v>3.642635915380299</v>
      </c>
      <c r="BA95" s="32">
        <f ca="1">IF($A96="","",F95*Summary!$Q$13)</f>
        <v>0</v>
      </c>
      <c r="BC95" s="256">
        <f t="shared" ca="1" si="72"/>
        <v>179889.62245782479</v>
      </c>
    </row>
    <row r="96" spans="1:55">
      <c r="A96" s="67">
        <f t="shared" si="70"/>
        <v>39661</v>
      </c>
      <c r="B96" s="69">
        <f t="shared" si="73"/>
        <v>28400</v>
      </c>
      <c r="C96" s="71"/>
      <c r="D96" s="69">
        <f t="shared" si="37"/>
        <v>28400</v>
      </c>
      <c r="E96" s="70">
        <f t="shared" si="38"/>
        <v>880400</v>
      </c>
      <c r="F96" s="70">
        <f t="shared" ca="1" si="39"/>
        <v>435462.52916721406</v>
      </c>
      <c r="G96" s="63">
        <f t="shared" si="40"/>
        <v>4.2510000000000003</v>
      </c>
      <c r="H96" s="64">
        <f t="shared" si="41"/>
        <v>4.2510000000000003</v>
      </c>
      <c r="I96" s="43"/>
      <c r="J96" s="63">
        <f t="shared" si="42"/>
        <v>0.23499999999999999</v>
      </c>
      <c r="K96" s="64">
        <f t="shared" si="43"/>
        <v>0.23499999999999999</v>
      </c>
      <c r="L96" s="38">
        <v>0</v>
      </c>
      <c r="M96" s="64">
        <f t="shared" si="44"/>
        <v>0</v>
      </c>
      <c r="N96" s="65"/>
      <c r="O96" s="63">
        <f t="shared" si="45"/>
        <v>4.4860000000000007</v>
      </c>
      <c r="P96" s="63">
        <f t="shared" si="46"/>
        <v>4.4860000000000007</v>
      </c>
      <c r="Q96" s="66"/>
      <c r="R96" s="63">
        <f t="shared" si="47"/>
        <v>-0.51931083488380292</v>
      </c>
      <c r="S96" s="64">
        <f t="shared" si="48"/>
        <v>-0.51931083488380292</v>
      </c>
      <c r="T96" s="38">
        <v>0</v>
      </c>
      <c r="U96" s="64">
        <f t="shared" si="49"/>
        <v>0</v>
      </c>
      <c r="V96" s="219">
        <f>(G96+R96)/(1-Summary!$T$13)*Summary!$T$13</f>
        <v>0.29757710907264051</v>
      </c>
      <c r="W96" s="43">
        <f t="shared" si="50"/>
        <v>4.0292662741888376</v>
      </c>
      <c r="X96" s="43">
        <f t="shared" si="51"/>
        <v>4.0292662741888376</v>
      </c>
      <c r="Y96" s="43"/>
      <c r="Z96" s="38">
        <f t="shared" si="52"/>
        <v>0.6</v>
      </c>
      <c r="AA96" s="38">
        <f t="shared" si="53"/>
        <v>0.20300000000000001</v>
      </c>
      <c r="AB96" s="38">
        <f t="shared" ca="1" si="54"/>
        <v>0.20818810280130706</v>
      </c>
      <c r="AC96" s="38">
        <f t="shared" si="55"/>
        <v>0.45</v>
      </c>
      <c r="AD96" s="38">
        <f t="shared" si="55"/>
        <v>0.20300000000000001</v>
      </c>
      <c r="AE96" s="38">
        <f t="shared" ca="1" si="56"/>
        <v>0.20595100281322326</v>
      </c>
      <c r="AF96" s="237">
        <f ca="1">((Summary!$N$13*(AA96*AD96)*(A96-$D$3))+(Summary!$M$13*Z96*AC96*(AJ96-EOMONTH(EDATE(A96,-1),0))))/(AK96*AB96*AE96)</f>
        <v>0.99841879468804418</v>
      </c>
      <c r="AG96" s="88">
        <f>IF($A97="","",Summary!$Q$13)</f>
        <v>0</v>
      </c>
      <c r="AH96" s="88">
        <f>IF($A97="","",IF(Summary!$R$12="Y",(VLOOKUP($A96,Summary!$AD$6:$AF$9,3)+'Escalating commodity'!I109),'Escalating commodity'!I109))</f>
        <v>5.1510715549655063E-2</v>
      </c>
      <c r="AI96" s="88">
        <f t="shared" si="71"/>
        <v>5.1510715549655063E-2</v>
      </c>
      <c r="AJ96" s="236">
        <f t="shared" si="57"/>
        <v>39675.5</v>
      </c>
      <c r="AK96" s="58">
        <f t="shared" ca="1" si="58"/>
        <v>2635</v>
      </c>
      <c r="AL96" s="26">
        <f ca="1">IF($A97="","",_xll.SPRDOPT(P96,X96,AI96,0,AB96,AE96,AF96,AK96,$AJ$2,0))</f>
        <v>0.40538557919644747</v>
      </c>
      <c r="AM96" s="209">
        <f t="shared" si="59"/>
        <v>0.40522301026150792</v>
      </c>
      <c r="AN96" s="89">
        <f t="shared" ca="1" si="60"/>
        <v>1.6256893493954427E-4</v>
      </c>
      <c r="AO96" s="3">
        <f t="shared" si="61"/>
        <v>31</v>
      </c>
      <c r="AP96" s="33">
        <f t="shared" si="62"/>
        <v>39661</v>
      </c>
      <c r="AQ96" s="58">
        <f t="shared" ca="1" si="63"/>
        <v>2635</v>
      </c>
      <c r="AR96" s="38">
        <f>'ANR OK vs ML7'!AR96</f>
        <v>0.1</v>
      </c>
      <c r="AS96" s="35">
        <f t="shared" ca="1" si="64"/>
        <v>0.49461895634622222</v>
      </c>
      <c r="AT96" s="3">
        <f t="shared" si="65"/>
        <v>1</v>
      </c>
      <c r="AU96" s="3">
        <f t="shared" si="66"/>
        <v>31</v>
      </c>
      <c r="AW96" s="32">
        <f t="shared" ca="1" si="67"/>
        <v>356901.46392455237</v>
      </c>
      <c r="AX96" s="32">
        <f t="shared" si="68"/>
        <v>356758.33823423157</v>
      </c>
      <c r="AY96" s="32">
        <f t="shared" ca="1" si="69"/>
        <v>143.12569032077477</v>
      </c>
      <c r="BA96" s="32">
        <f ca="1">IF($A97="","",F96*Summary!$Q$13)</f>
        <v>0</v>
      </c>
      <c r="BC96" s="256">
        <f t="shared" ca="1" si="72"/>
        <v>176459.43692522816</v>
      </c>
    </row>
    <row r="97" spans="1:55">
      <c r="A97" s="67">
        <f t="shared" si="70"/>
        <v>39692</v>
      </c>
      <c r="B97" s="69">
        <f t="shared" si="73"/>
        <v>28400</v>
      </c>
      <c r="C97" s="71"/>
      <c r="D97" s="69">
        <f t="shared" si="37"/>
        <v>28400</v>
      </c>
      <c r="E97" s="70">
        <f t="shared" si="38"/>
        <v>852000</v>
      </c>
      <c r="F97" s="70">
        <f t="shared" ca="1" si="39"/>
        <v>417939.61362582847</v>
      </c>
      <c r="G97" s="63">
        <f t="shared" si="40"/>
        <v>4.2649999999999997</v>
      </c>
      <c r="H97" s="64">
        <f t="shared" si="41"/>
        <v>4.2649999999999997</v>
      </c>
      <c r="I97" s="43"/>
      <c r="J97" s="63">
        <f t="shared" si="42"/>
        <v>0.23499999999999999</v>
      </c>
      <c r="K97" s="64">
        <f t="shared" si="43"/>
        <v>0.23499999999999999</v>
      </c>
      <c r="L97" s="38">
        <v>0</v>
      </c>
      <c r="M97" s="64">
        <f t="shared" si="44"/>
        <v>0</v>
      </c>
      <c r="N97" s="65"/>
      <c r="O97" s="63">
        <f t="shared" si="45"/>
        <v>4.5</v>
      </c>
      <c r="P97" s="63">
        <f t="shared" si="46"/>
        <v>4.5</v>
      </c>
      <c r="Q97" s="66"/>
      <c r="R97" s="63">
        <f t="shared" si="47"/>
        <v>-0.51930688866884045</v>
      </c>
      <c r="S97" s="64">
        <f t="shared" si="48"/>
        <v>-0.51930688866884045</v>
      </c>
      <c r="T97" s="38">
        <v>0</v>
      </c>
      <c r="U97" s="64">
        <f t="shared" si="49"/>
        <v>0</v>
      </c>
      <c r="V97" s="219">
        <f>(G97+R97)/(1-Summary!$T$13)*Summary!$T$13</f>
        <v>0.29869382958334451</v>
      </c>
      <c r="W97" s="43">
        <f t="shared" si="50"/>
        <v>4.0443869409145039</v>
      </c>
      <c r="X97" s="43">
        <f t="shared" si="51"/>
        <v>4.0443869409145039</v>
      </c>
      <c r="Y97" s="43"/>
      <c r="Z97" s="38">
        <f t="shared" si="52"/>
        <v>0.6</v>
      </c>
      <c r="AA97" s="38">
        <f t="shared" si="53"/>
        <v>0.20300000000000001</v>
      </c>
      <c r="AB97" s="38">
        <f t="shared" ca="1" si="54"/>
        <v>0.207966255954912</v>
      </c>
      <c r="AC97" s="38">
        <f t="shared" si="55"/>
        <v>0.5</v>
      </c>
      <c r="AD97" s="38">
        <f t="shared" si="55"/>
        <v>0.20300000000000001</v>
      </c>
      <c r="AE97" s="38">
        <f t="shared" ca="1" si="56"/>
        <v>0.20647290110259611</v>
      </c>
      <c r="AF97" s="237">
        <f ca="1">((Summary!$N$13*(AA97*AD97)*(A97-$D$3))+(Summary!$M$13*Z97*AC97*(AJ97-EOMONTH(EDATE(A97,-1),0))))/(AK97*AB97*AE97)</f>
        <v>0.99927480525737267</v>
      </c>
      <c r="AG97" s="88">
        <f>IF($A98="","",Summary!$Q$13)</f>
        <v>0</v>
      </c>
      <c r="AH97" s="88">
        <f>IF($A98="","",IF(Summary!$R$12="Y",(VLOOKUP($A97,Summary!$AD$6:$AF$9,3)+'Escalating commodity'!I110),'Escalating commodity'!I110))</f>
        <v>5.1510715549655063E-2</v>
      </c>
      <c r="AI97" s="88">
        <f t="shared" si="71"/>
        <v>5.1510715549655063E-2</v>
      </c>
      <c r="AJ97" s="236">
        <f t="shared" si="57"/>
        <v>39706</v>
      </c>
      <c r="AK97" s="58">
        <f t="shared" ca="1" si="58"/>
        <v>2666</v>
      </c>
      <c r="AL97" s="26">
        <f ca="1">IF($A98="","",_xll.SPRDOPT(P97,X97,AI97,0,AB97,AE97,AF97,AK97,$AJ$2,0))</f>
        <v>0.404124645658054</v>
      </c>
      <c r="AM97" s="209">
        <f t="shared" si="59"/>
        <v>0.40410234353584101</v>
      </c>
      <c r="AN97" s="89">
        <f t="shared" ca="1" si="60"/>
        <v>2.2302122212991549E-5</v>
      </c>
      <c r="AO97" s="3">
        <f t="shared" si="61"/>
        <v>30</v>
      </c>
      <c r="AP97" s="33">
        <f t="shared" si="62"/>
        <v>39692</v>
      </c>
      <c r="AQ97" s="58">
        <f t="shared" ca="1" si="63"/>
        <v>2666</v>
      </c>
      <c r="AR97" s="38">
        <f>'ANR OK vs ML7'!AR97</f>
        <v>0.1</v>
      </c>
      <c r="AS97" s="35">
        <f t="shared" ca="1" si="64"/>
        <v>0.49053945261247472</v>
      </c>
      <c r="AT97" s="3">
        <f t="shared" si="65"/>
        <v>1</v>
      </c>
      <c r="AU97" s="3">
        <f t="shared" si="66"/>
        <v>30</v>
      </c>
      <c r="AW97" s="32">
        <f t="shared" ca="1" si="67"/>
        <v>344314.19810066203</v>
      </c>
      <c r="AX97" s="32">
        <f t="shared" si="68"/>
        <v>344295.19669253653</v>
      </c>
      <c r="AY97" s="32">
        <f t="shared" ca="1" si="69"/>
        <v>19.001408125468799</v>
      </c>
      <c r="BA97" s="32">
        <f ca="1">IF($A98="","",F97*Summary!$Q$13)</f>
        <v>0</v>
      </c>
      <c r="BC97" s="256">
        <f t="shared" ca="1" si="72"/>
        <v>168890.3773226612</v>
      </c>
    </row>
    <row r="98" spans="1:55">
      <c r="A98" s="67">
        <f t="shared" si="70"/>
        <v>39722</v>
      </c>
      <c r="B98" s="69">
        <f t="shared" si="73"/>
        <v>28400</v>
      </c>
      <c r="C98" s="71"/>
      <c r="D98" s="69">
        <f t="shared" si="37"/>
        <v>28400</v>
      </c>
      <c r="E98" s="70">
        <f t="shared" si="38"/>
        <v>880400</v>
      </c>
      <c r="F98" s="70">
        <f t="shared" ca="1" si="39"/>
        <v>428423.40411652491</v>
      </c>
      <c r="G98" s="63">
        <f t="shared" si="40"/>
        <v>4.2960000000000003</v>
      </c>
      <c r="H98" s="64">
        <f t="shared" si="41"/>
        <v>4.2960000000000003</v>
      </c>
      <c r="I98" s="43"/>
      <c r="J98" s="63">
        <f t="shared" si="42"/>
        <v>0.23499999999999999</v>
      </c>
      <c r="K98" s="64">
        <f t="shared" si="43"/>
        <v>0.23499999999999999</v>
      </c>
      <c r="L98" s="38">
        <v>0</v>
      </c>
      <c r="M98" s="64">
        <f t="shared" si="44"/>
        <v>0</v>
      </c>
      <c r="N98" s="65"/>
      <c r="O98" s="63">
        <f t="shared" si="45"/>
        <v>4.5310000000000006</v>
      </c>
      <c r="P98" s="63">
        <f t="shared" si="46"/>
        <v>4.5310000000000006</v>
      </c>
      <c r="Q98" s="66"/>
      <c r="R98" s="63">
        <f t="shared" si="47"/>
        <v>-0.5193031306932625</v>
      </c>
      <c r="S98" s="64">
        <f t="shared" si="48"/>
        <v>-0.5193031306932625</v>
      </c>
      <c r="T98" s="38">
        <v>0</v>
      </c>
      <c r="U98" s="64">
        <f t="shared" si="49"/>
        <v>0</v>
      </c>
      <c r="V98" s="219">
        <f>(G98+R98)/(1-Summary!$T$13)*Summary!$T$13</f>
        <v>0.3011661707298165</v>
      </c>
      <c r="W98" s="43">
        <f t="shared" si="50"/>
        <v>4.0778630400365543</v>
      </c>
      <c r="X98" s="43">
        <f t="shared" si="51"/>
        <v>4.0778630400365543</v>
      </c>
      <c r="Y98" s="43"/>
      <c r="Z98" s="38">
        <f t="shared" si="52"/>
        <v>0.65</v>
      </c>
      <c r="AA98" s="38">
        <f t="shared" si="53"/>
        <v>0.20300000000000001</v>
      </c>
      <c r="AB98" s="38">
        <f t="shared" ca="1" si="54"/>
        <v>0.2089338335695993</v>
      </c>
      <c r="AC98" s="38">
        <f t="shared" si="55"/>
        <v>0.5</v>
      </c>
      <c r="AD98" s="38">
        <f t="shared" si="55"/>
        <v>0.20300000000000001</v>
      </c>
      <c r="AE98" s="38">
        <f t="shared" ca="1" si="56"/>
        <v>0.20654684644759908</v>
      </c>
      <c r="AF98" s="237">
        <f ca="1">((Summary!$N$13*(AA98*AD98)*(A98-$D$3))+(Summary!$M$13*Z98*AC98*(AJ98-EOMONTH(EDATE(A98,-1),0))))/(AK98*AB98*AE98)</f>
        <v>0.99847171120309963</v>
      </c>
      <c r="AG98" s="88">
        <f>IF($A99="","",Summary!$Q$13)</f>
        <v>0</v>
      </c>
      <c r="AH98" s="88">
        <f>IF($A99="","",IF(Summary!$R$12="Y",(VLOOKUP($A98,Summary!$AD$6:$AF$9,3)+'Escalating commodity'!I111),'Escalating commodity'!I111))</f>
        <v>5.1510715549655063E-2</v>
      </c>
      <c r="AI98" s="88">
        <f t="shared" si="71"/>
        <v>5.1510715549655063E-2</v>
      </c>
      <c r="AJ98" s="236">
        <f t="shared" si="57"/>
        <v>39736.5</v>
      </c>
      <c r="AK98" s="58">
        <f t="shared" ca="1" si="58"/>
        <v>2696</v>
      </c>
      <c r="AL98" s="26">
        <f ca="1">IF($A99="","",_xll.SPRDOPT(P98,X98,AI98,0,AB98,AE98,AF98,AK98,$AJ$2,0))</f>
        <v>0.40183175527868759</v>
      </c>
      <c r="AM98" s="209">
        <f t="shared" si="59"/>
        <v>0.40162624441379119</v>
      </c>
      <c r="AN98" s="89">
        <f t="shared" ca="1" si="60"/>
        <v>2.0551086489639658E-4</v>
      </c>
      <c r="AO98" s="3">
        <f t="shared" si="61"/>
        <v>31</v>
      </c>
      <c r="AP98" s="33">
        <f t="shared" si="62"/>
        <v>39722</v>
      </c>
      <c r="AQ98" s="58">
        <f t="shared" ca="1" si="63"/>
        <v>2696</v>
      </c>
      <c r="AR98" s="38">
        <f>'ANR OK vs ML7'!AR98</f>
        <v>0.1</v>
      </c>
      <c r="AS98" s="35">
        <f t="shared" ca="1" si="64"/>
        <v>0.48662358486656621</v>
      </c>
      <c r="AT98" s="3">
        <f t="shared" si="65"/>
        <v>1</v>
      </c>
      <c r="AU98" s="3">
        <f t="shared" si="66"/>
        <v>31</v>
      </c>
      <c r="AW98" s="32">
        <f t="shared" ca="1" si="67"/>
        <v>353772.67734735657</v>
      </c>
      <c r="AX98" s="32">
        <f t="shared" si="68"/>
        <v>353591.74558190175</v>
      </c>
      <c r="AY98" s="32">
        <f t="shared" ca="1" si="69"/>
        <v>180.93176545478755</v>
      </c>
      <c r="BA98" s="32">
        <f ca="1">IF($A99="","",F98*Summary!$Q$13)</f>
        <v>0</v>
      </c>
      <c r="BC98" s="256">
        <f t="shared" ca="1" si="72"/>
        <v>172066.08281429188</v>
      </c>
    </row>
    <row r="99" spans="1:55">
      <c r="A99" s="67">
        <f t="shared" si="70"/>
        <v>39753</v>
      </c>
      <c r="B99" s="69">
        <f t="shared" si="73"/>
        <v>28400</v>
      </c>
      <c r="C99" s="71"/>
      <c r="D99" s="69">
        <f t="shared" si="37"/>
        <v>28400</v>
      </c>
      <c r="E99" s="70">
        <f t="shared" si="38"/>
        <v>852000</v>
      </c>
      <c r="F99" s="70">
        <f t="shared" ca="1" si="39"/>
        <v>411183.74140514596</v>
      </c>
      <c r="G99" s="63">
        <f t="shared" si="40"/>
        <v>4.4290000000000003</v>
      </c>
      <c r="H99" s="64">
        <f t="shared" si="41"/>
        <v>4.4290000000000003</v>
      </c>
      <c r="I99" s="43"/>
      <c r="J99" s="63">
        <f t="shared" si="42"/>
        <v>0.41499999999999998</v>
      </c>
      <c r="K99" s="64">
        <f t="shared" si="43"/>
        <v>0.41499999999999998</v>
      </c>
      <c r="L99" s="38">
        <v>0</v>
      </c>
      <c r="M99" s="64">
        <f t="shared" si="44"/>
        <v>0</v>
      </c>
      <c r="N99" s="65"/>
      <c r="O99" s="63">
        <f t="shared" si="45"/>
        <v>4.8440000000000003</v>
      </c>
      <c r="P99" s="63">
        <f t="shared" si="46"/>
        <v>4.8440000000000003</v>
      </c>
      <c r="Q99" s="66"/>
      <c r="R99" s="63">
        <f t="shared" si="47"/>
        <v>-0.36053592015546104</v>
      </c>
      <c r="S99" s="64">
        <f t="shared" si="48"/>
        <v>-0.36053592015546104</v>
      </c>
      <c r="T99" s="38">
        <v>0</v>
      </c>
      <c r="U99" s="64">
        <f t="shared" si="49"/>
        <v>0</v>
      </c>
      <c r="V99" s="219">
        <f>(G99+R99)/(1-Summary!$T$13)*Summary!$T$13</f>
        <v>0.32443264314816544</v>
      </c>
      <c r="W99" s="43">
        <f t="shared" si="50"/>
        <v>4.3928967229927052</v>
      </c>
      <c r="X99" s="43">
        <f t="shared" si="51"/>
        <v>4.3928967229927052</v>
      </c>
      <c r="Y99" s="43"/>
      <c r="Z99" s="38">
        <f t="shared" si="52"/>
        <v>0.8</v>
      </c>
      <c r="AA99" s="38">
        <f t="shared" si="53"/>
        <v>0.20300000000000001</v>
      </c>
      <c r="AB99" s="38">
        <f t="shared" ca="1" si="54"/>
        <v>0.21152887158262337</v>
      </c>
      <c r="AC99" s="38">
        <f t="shared" si="55"/>
        <v>0.95</v>
      </c>
      <c r="AD99" s="38">
        <f t="shared" si="55"/>
        <v>0.20300000000000001</v>
      </c>
      <c r="AE99" s="38">
        <f t="shared" ca="1" si="56"/>
        <v>0.21491476892586259</v>
      </c>
      <c r="AF99" s="237">
        <f ca="1">((Summary!$N$13*(AA99*AD99)*(A99-$D$3))+(Summary!$M$13*Z99*AC99*(AJ99-EOMONTH(EDATE(A99,-1),0))))/(AK99*AB99*AE99)</f>
        <v>0.99867420701208609</v>
      </c>
      <c r="AG99" s="88">
        <f>IF($A100="","",Summary!$Q$13)</f>
        <v>0</v>
      </c>
      <c r="AH99" s="88">
        <f>IF($A100="","",IF(Summary!$R$12="Y",(VLOOKUP($A99,Summary!$AD$6:$AF$9,3)+'Escalating commodity'!I112),'Escalating commodity'!I112))</f>
        <v>5.1510715549655063E-2</v>
      </c>
      <c r="AI99" s="88">
        <f t="shared" si="71"/>
        <v>5.1510715549655063E-2</v>
      </c>
      <c r="AJ99" s="236">
        <f t="shared" si="57"/>
        <v>39767</v>
      </c>
      <c r="AK99" s="58">
        <f t="shared" ca="1" si="58"/>
        <v>2727</v>
      </c>
      <c r="AL99" s="26">
        <f ca="1">IF($A100="","",_xll.SPRDOPT(P99,X99,AI99,0,AB99,AE99,AF99,AK99,$AJ$2,0))</f>
        <v>0.39968159966999461</v>
      </c>
      <c r="AM99" s="209">
        <f t="shared" si="59"/>
        <v>0.39959256145764005</v>
      </c>
      <c r="AN99" s="89">
        <f t="shared" ca="1" si="60"/>
        <v>8.9038212354564106E-5</v>
      </c>
      <c r="AO99" s="3">
        <f t="shared" si="61"/>
        <v>30</v>
      </c>
      <c r="AP99" s="33">
        <f t="shared" si="62"/>
        <v>39753</v>
      </c>
      <c r="AQ99" s="58">
        <f t="shared" ca="1" si="63"/>
        <v>2727</v>
      </c>
      <c r="AR99" s="38">
        <f>'ANR OK vs ML7'!AR99</f>
        <v>0.1</v>
      </c>
      <c r="AS99" s="35">
        <f t="shared" ca="1" si="64"/>
        <v>0.48261002512341078</v>
      </c>
      <c r="AT99" s="3">
        <f t="shared" si="65"/>
        <v>1</v>
      </c>
      <c r="AU99" s="3">
        <f t="shared" si="66"/>
        <v>30</v>
      </c>
      <c r="AW99" s="32">
        <f t="shared" ca="1" si="67"/>
        <v>340528.72291883541</v>
      </c>
      <c r="AX99" s="32">
        <f t="shared" si="68"/>
        <v>340452.8623619093</v>
      </c>
      <c r="AY99" s="32">
        <f t="shared" ca="1" si="69"/>
        <v>75.86055692608862</v>
      </c>
      <c r="BA99" s="32">
        <f ca="1">IF($A100="","",F99*Summary!$Q$13)</f>
        <v>0</v>
      </c>
      <c r="BC99" s="256">
        <f t="shared" ca="1" si="72"/>
        <v>164305.96445781816</v>
      </c>
    </row>
    <row r="100" spans="1:55">
      <c r="A100" s="67">
        <f t="shared" si="70"/>
        <v>39783</v>
      </c>
      <c r="B100" s="69">
        <f t="shared" si="73"/>
        <v>28400</v>
      </c>
      <c r="C100" s="71"/>
      <c r="D100" s="69">
        <f t="shared" si="37"/>
        <v>28400</v>
      </c>
      <c r="E100" s="70">
        <f t="shared" si="38"/>
        <v>880400</v>
      </c>
      <c r="F100" s="70">
        <f t="shared" ca="1" si="39"/>
        <v>421498.06447367324</v>
      </c>
      <c r="G100" s="63">
        <f t="shared" si="40"/>
        <v>4.5670000000000002</v>
      </c>
      <c r="H100" s="64">
        <f t="shared" si="41"/>
        <v>4.5670000000000002</v>
      </c>
      <c r="I100" s="43"/>
      <c r="J100" s="63">
        <f t="shared" si="42"/>
        <v>0.41499999999999998</v>
      </c>
      <c r="K100" s="64">
        <f t="shared" si="43"/>
        <v>0.41499999999999998</v>
      </c>
      <c r="L100" s="38">
        <v>0</v>
      </c>
      <c r="M100" s="64">
        <f t="shared" si="44"/>
        <v>0</v>
      </c>
      <c r="N100" s="65"/>
      <c r="O100" s="63">
        <f t="shared" si="45"/>
        <v>4.9820000000000002</v>
      </c>
      <c r="P100" s="63">
        <f t="shared" si="46"/>
        <v>4.9820000000000002</v>
      </c>
      <c r="Q100" s="66"/>
      <c r="R100" s="63">
        <f t="shared" si="47"/>
        <v>-0.36053213319328692</v>
      </c>
      <c r="S100" s="64">
        <f t="shared" si="48"/>
        <v>-0.36053213319328692</v>
      </c>
      <c r="T100" s="38">
        <v>0</v>
      </c>
      <c r="U100" s="64">
        <f t="shared" si="49"/>
        <v>0</v>
      </c>
      <c r="V100" s="219">
        <f>(G100+R100)/(1-Summary!$T$13)*Summary!$T$13</f>
        <v>0.33543751685232387</v>
      </c>
      <c r="W100" s="43">
        <f t="shared" si="50"/>
        <v>4.5419053836590377</v>
      </c>
      <c r="X100" s="43">
        <f t="shared" si="51"/>
        <v>4.5419053836590377</v>
      </c>
      <c r="Y100" s="43"/>
      <c r="Z100" s="38">
        <f t="shared" si="52"/>
        <v>1.1000000000000001</v>
      </c>
      <c r="AA100" s="38">
        <f t="shared" si="53"/>
        <v>0.20499999999999999</v>
      </c>
      <c r="AB100" s="38">
        <f t="shared" ca="1" si="54"/>
        <v>0.22100435989968187</v>
      </c>
      <c r="AC100" s="38">
        <f t="shared" si="55"/>
        <v>1.35</v>
      </c>
      <c r="AD100" s="38">
        <f t="shared" si="55"/>
        <v>0.20499999999999999</v>
      </c>
      <c r="AE100" s="38">
        <f t="shared" ca="1" si="56"/>
        <v>0.22866227176840201</v>
      </c>
      <c r="AF100" s="237">
        <f ca="1">((Summary!$N$13*(AA100*AD100)*(A100-$D$3))+(Summary!$M$13*Z100*AC100*(AJ100-EOMONTH(EDATE(A100,-1),0))))/(AK100*AB100*AE100)</f>
        <v>0.99702047487048262</v>
      </c>
      <c r="AG100" s="88">
        <f>IF($A101="","",Summary!$Q$13)</f>
        <v>0</v>
      </c>
      <c r="AH100" s="88">
        <f>IF($A101="","",IF(Summary!$R$12="Y",(VLOOKUP($A100,Summary!$AD$6:$AF$9,3)+'Escalating commodity'!I113),'Escalating commodity'!I113))</f>
        <v>5.1510715549655063E-2</v>
      </c>
      <c r="AI100" s="88">
        <f t="shared" si="71"/>
        <v>5.1510715549655063E-2</v>
      </c>
      <c r="AJ100" s="236">
        <f t="shared" si="57"/>
        <v>39797.5</v>
      </c>
      <c r="AK100" s="58">
        <f t="shared" ca="1" si="58"/>
        <v>2757</v>
      </c>
      <c r="AL100" s="26">
        <f ca="1">IF($A101="","",_xll.SPRDOPT(P100,X100,AI100,0,AB100,AE100,AF100,AK100,$AJ$2,0))</f>
        <v>0.39375924912975668</v>
      </c>
      <c r="AM100" s="209">
        <f t="shared" si="59"/>
        <v>0.38858390079130739</v>
      </c>
      <c r="AN100" s="89">
        <f t="shared" ca="1" si="60"/>
        <v>5.1753483384492927E-3</v>
      </c>
      <c r="AO100" s="3">
        <f t="shared" si="61"/>
        <v>31</v>
      </c>
      <c r="AP100" s="33">
        <f t="shared" si="62"/>
        <v>39783</v>
      </c>
      <c r="AQ100" s="58">
        <f t="shared" ca="1" si="63"/>
        <v>2757</v>
      </c>
      <c r="AR100" s="38">
        <f>'ANR OK vs ML7'!AR100</f>
        <v>0.1</v>
      </c>
      <c r="AS100" s="35">
        <f t="shared" ca="1" si="64"/>
        <v>0.47875745623997412</v>
      </c>
      <c r="AT100" s="3">
        <f t="shared" si="65"/>
        <v>1</v>
      </c>
      <c r="AU100" s="3">
        <f t="shared" si="66"/>
        <v>31</v>
      </c>
      <c r="AW100" s="32">
        <f t="shared" ca="1" si="67"/>
        <v>346665.64293383778</v>
      </c>
      <c r="AX100" s="32">
        <f t="shared" si="68"/>
        <v>342109.26625666703</v>
      </c>
      <c r="AY100" s="32">
        <f t="shared" ca="1" si="69"/>
        <v>4556.3766771707569</v>
      </c>
      <c r="BA100" s="32">
        <f ca="1">IF($A101="","",F100*Summary!$Q$13)</f>
        <v>0</v>
      </c>
      <c r="BC100" s="256">
        <f t="shared" ca="1" si="72"/>
        <v>163787.36206916592</v>
      </c>
    </row>
    <row r="101" spans="1:55">
      <c r="A101" s="67">
        <f t="shared" si="70"/>
        <v>39814</v>
      </c>
      <c r="B101" s="69">
        <f t="shared" si="73"/>
        <v>28400</v>
      </c>
      <c r="C101" s="71"/>
      <c r="D101" s="69">
        <f t="shared" si="37"/>
        <v>28400</v>
      </c>
      <c r="E101" s="70">
        <f t="shared" si="38"/>
        <v>880400</v>
      </c>
      <c r="F101" s="70">
        <f t="shared" ca="1" si="39"/>
        <v>418021.64508916403</v>
      </c>
      <c r="G101" s="63">
        <f t="shared" si="40"/>
        <v>4.5890000000000004</v>
      </c>
      <c r="H101" s="64">
        <f t="shared" si="41"/>
        <v>4.5890000000000004</v>
      </c>
      <c r="I101" s="43"/>
      <c r="J101" s="63">
        <f t="shared" si="42"/>
        <v>0.41499999999999998</v>
      </c>
      <c r="K101" s="64">
        <f t="shared" si="43"/>
        <v>0.41499999999999998</v>
      </c>
      <c r="L101" s="38">
        <v>0</v>
      </c>
      <c r="M101" s="64">
        <f t="shared" si="44"/>
        <v>0</v>
      </c>
      <c r="N101" s="65"/>
      <c r="O101" s="63">
        <f t="shared" si="45"/>
        <v>5.0040000000000004</v>
      </c>
      <c r="P101" s="63">
        <f t="shared" si="46"/>
        <v>5.0040000000000004</v>
      </c>
      <c r="Q101" s="66"/>
      <c r="R101" s="63">
        <f t="shared" si="47"/>
        <v>-0.36052828558454802</v>
      </c>
      <c r="S101" s="64">
        <f t="shared" si="48"/>
        <v>-0.36052828558454802</v>
      </c>
      <c r="T101" s="38">
        <v>0</v>
      </c>
      <c r="U101" s="64">
        <f t="shared" si="49"/>
        <v>0</v>
      </c>
      <c r="V101" s="219">
        <f>(G101+R101)/(1-Summary!$T$13)*Summary!$T$13</f>
        <v>0.33719217568647664</v>
      </c>
      <c r="W101" s="43">
        <f t="shared" si="50"/>
        <v>4.5656638901019289</v>
      </c>
      <c r="X101" s="43">
        <f t="shared" si="51"/>
        <v>4.5656638901019289</v>
      </c>
      <c r="Y101" s="43"/>
      <c r="Z101" s="38">
        <f t="shared" si="52"/>
        <v>1.1000000000000001</v>
      </c>
      <c r="AA101" s="38">
        <f t="shared" si="53"/>
        <v>0.20499999999999999</v>
      </c>
      <c r="AB101" s="38">
        <f t="shared" ca="1" si="54"/>
        <v>0.22083278290538946</v>
      </c>
      <c r="AC101" s="38">
        <f t="shared" si="55"/>
        <v>1.35</v>
      </c>
      <c r="AD101" s="38">
        <f t="shared" si="55"/>
        <v>0.20499999999999999</v>
      </c>
      <c r="AE101" s="38">
        <f t="shared" ca="1" si="56"/>
        <v>0.2284126458858482</v>
      </c>
      <c r="AF101" s="237">
        <f ca="1">((Summary!$N$13*(AA101*AD101)*(A101-$D$3))+(Summary!$M$13*Z101*AC101*(AJ101-EOMONTH(EDATE(A101,-1),0))))/(AK101*AB101*AE101)</f>
        <v>0.99704184100168047</v>
      </c>
      <c r="AG101" s="88">
        <f>IF($A102="","",Summary!$Q$13)</f>
        <v>0</v>
      </c>
      <c r="AH101" s="88">
        <f>IF($A102="","",IF(Summary!$R$12="Y",(VLOOKUP($A101,Summary!$AD$6:$AF$9,3)+'Escalating commodity'!I114),'Escalating commodity'!I114))</f>
        <v>5.2540929860648164E-2</v>
      </c>
      <c r="AI101" s="88">
        <f t="shared" si="71"/>
        <v>5.2540929860648164E-2</v>
      </c>
      <c r="AJ101" s="236">
        <f t="shared" si="57"/>
        <v>39828.5</v>
      </c>
      <c r="AK101" s="58">
        <f t="shared" ca="1" si="58"/>
        <v>2788</v>
      </c>
      <c r="AL101" s="26">
        <f ca="1">IF($A102="","",_xll.SPRDOPT(P101,X101,AI101,0,AB101,AE101,AF101,AK101,$AJ$2,0))</f>
        <v>0.39123169322102191</v>
      </c>
      <c r="AM101" s="209">
        <f t="shared" si="59"/>
        <v>0.38579518003742341</v>
      </c>
      <c r="AN101" s="89">
        <f t="shared" ca="1" si="60"/>
        <v>5.4365131835985014E-3</v>
      </c>
      <c r="AO101" s="3">
        <f t="shared" si="61"/>
        <v>31</v>
      </c>
      <c r="AP101" s="33">
        <f t="shared" si="62"/>
        <v>39814</v>
      </c>
      <c r="AQ101" s="58">
        <f t="shared" ca="1" si="63"/>
        <v>2788</v>
      </c>
      <c r="AR101" s="38">
        <f>'ANR OK vs ML7'!AR101</f>
        <v>0.1</v>
      </c>
      <c r="AS101" s="35">
        <f t="shared" ca="1" si="64"/>
        <v>0.4748087745219946</v>
      </c>
      <c r="AT101" s="3">
        <f t="shared" si="65"/>
        <v>1</v>
      </c>
      <c r="AU101" s="3">
        <f t="shared" si="66"/>
        <v>31</v>
      </c>
      <c r="AW101" s="32">
        <f t="shared" ca="1" si="67"/>
        <v>344440.38271178771</v>
      </c>
      <c r="AX101" s="32">
        <f t="shared" si="68"/>
        <v>339654.07650494756</v>
      </c>
      <c r="AY101" s="32">
        <f t="shared" ca="1" si="69"/>
        <v>4786.3062068401205</v>
      </c>
      <c r="BA101" s="32">
        <f ca="1">IF($A102="","",F101*Summary!$Q$13)</f>
        <v>0</v>
      </c>
      <c r="BC101" s="256">
        <f t="shared" ca="1" si="72"/>
        <v>161270.73582671394</v>
      </c>
    </row>
    <row r="102" spans="1:55">
      <c r="A102" s="67">
        <f t="shared" si="70"/>
        <v>39845</v>
      </c>
      <c r="B102" s="69">
        <f t="shared" si="73"/>
        <v>28400</v>
      </c>
      <c r="C102" s="71"/>
      <c r="D102" s="69">
        <f t="shared" si="37"/>
        <v>28400</v>
      </c>
      <c r="E102" s="70">
        <f t="shared" si="38"/>
        <v>795200</v>
      </c>
      <c r="F102" s="70">
        <f t="shared" ca="1" si="39"/>
        <v>374453.84372929885</v>
      </c>
      <c r="G102" s="63">
        <f t="shared" si="40"/>
        <v>4.4690000000000003</v>
      </c>
      <c r="H102" s="64">
        <f t="shared" si="41"/>
        <v>4.4690000000000003</v>
      </c>
      <c r="I102" s="43"/>
      <c r="J102" s="63">
        <f t="shared" si="42"/>
        <v>0.41499999999999998</v>
      </c>
      <c r="K102" s="64">
        <f t="shared" si="43"/>
        <v>0.41499999999999998</v>
      </c>
      <c r="L102" s="38">
        <v>0</v>
      </c>
      <c r="M102" s="64">
        <f t="shared" si="44"/>
        <v>0</v>
      </c>
      <c r="N102" s="65"/>
      <c r="O102" s="63">
        <f t="shared" si="45"/>
        <v>4.8840000000000003</v>
      </c>
      <c r="P102" s="63">
        <f t="shared" si="46"/>
        <v>4.8840000000000003</v>
      </c>
      <c r="Q102" s="66"/>
      <c r="R102" s="63">
        <f t="shared" si="47"/>
        <v>-0.36052450463589042</v>
      </c>
      <c r="S102" s="64">
        <f t="shared" si="48"/>
        <v>-0.36052450463589042</v>
      </c>
      <c r="T102" s="38">
        <v>0</v>
      </c>
      <c r="U102" s="64">
        <f t="shared" si="49"/>
        <v>0</v>
      </c>
      <c r="V102" s="219">
        <f>(G102+R102)/(1-Summary!$T$13)*Summary!$T$13</f>
        <v>0.32762328439222177</v>
      </c>
      <c r="W102" s="43">
        <f t="shared" si="50"/>
        <v>4.4360987797563318</v>
      </c>
      <c r="X102" s="43">
        <f t="shared" si="51"/>
        <v>4.4360987797563318</v>
      </c>
      <c r="Y102" s="43"/>
      <c r="Z102" s="38">
        <f t="shared" si="52"/>
        <v>1.1000000000000001</v>
      </c>
      <c r="AA102" s="38">
        <f t="shared" si="53"/>
        <v>0.20300000000000001</v>
      </c>
      <c r="AB102" s="38">
        <f t="shared" ca="1" si="54"/>
        <v>0.21733117915552824</v>
      </c>
      <c r="AC102" s="38">
        <f t="shared" si="55"/>
        <v>1.35</v>
      </c>
      <c r="AD102" s="38">
        <f t="shared" si="55"/>
        <v>0.20300000000000001</v>
      </c>
      <c r="AE102" s="38">
        <f t="shared" ca="1" si="56"/>
        <v>0.22422020481730681</v>
      </c>
      <c r="AF102" s="237">
        <f ca="1">((Summary!$N$13*(AA102*AD102)*(A102-$D$3))+(Summary!$M$13*Z102*AC102*(AJ102-EOMONTH(EDATE(A102,-1),0))))/(AK102*AB102*AE102)</f>
        <v>0.99721752950154585</v>
      </c>
      <c r="AG102" s="88">
        <f>IF($A103="","",Summary!$Q$13)</f>
        <v>0</v>
      </c>
      <c r="AH102" s="88">
        <f>IF($A103="","",IF(Summary!$R$12="Y",(VLOOKUP($A102,Summary!$AD$6:$AF$9,3)+'Escalating commodity'!I115),'Escalating commodity'!I115))</f>
        <v>5.2540929860648164E-2</v>
      </c>
      <c r="AI102" s="88">
        <f t="shared" si="71"/>
        <v>5.2540929860648164E-2</v>
      </c>
      <c r="AJ102" s="236">
        <f t="shared" si="57"/>
        <v>39858</v>
      </c>
      <c r="AK102" s="58">
        <f t="shared" ca="1" si="58"/>
        <v>2819</v>
      </c>
      <c r="AL102" s="26">
        <f ca="1">IF($A103="","",_xll.SPRDOPT(P102,X102,AI102,0,AB102,AE102,AF102,AK102,$AJ$2,0))</f>
        <v>0.39868515378595021</v>
      </c>
      <c r="AM102" s="209">
        <f t="shared" si="59"/>
        <v>0.39536029038302034</v>
      </c>
      <c r="AN102" s="89">
        <f t="shared" ca="1" si="60"/>
        <v>3.3248634029298674E-3</v>
      </c>
      <c r="AO102" s="3">
        <f t="shared" si="61"/>
        <v>28</v>
      </c>
      <c r="AP102" s="33">
        <f t="shared" si="62"/>
        <v>39845</v>
      </c>
      <c r="AQ102" s="58">
        <f t="shared" ca="1" si="63"/>
        <v>2819</v>
      </c>
      <c r="AR102" s="38">
        <f>'ANR OK vs ML7'!AR102</f>
        <v>0.1</v>
      </c>
      <c r="AS102" s="35">
        <f t="shared" ca="1" si="64"/>
        <v>0.47089266062537583</v>
      </c>
      <c r="AT102" s="3">
        <f t="shared" si="65"/>
        <v>1</v>
      </c>
      <c r="AU102" s="3">
        <f t="shared" si="66"/>
        <v>28</v>
      </c>
      <c r="AW102" s="32">
        <f t="shared" ca="1" si="67"/>
        <v>317034.43429058761</v>
      </c>
      <c r="AX102" s="32">
        <f t="shared" si="68"/>
        <v>314390.50291257777</v>
      </c>
      <c r="AY102" s="32">
        <f t="shared" ca="1" si="69"/>
        <v>2643.9313780098305</v>
      </c>
      <c r="BA102" s="32">
        <f ca="1">IF($A103="","",F102*Summary!$Q$13)</f>
        <v>0</v>
      </c>
      <c r="BC102" s="256">
        <f t="shared" ca="1" si="72"/>
        <v>148044.1803918537</v>
      </c>
    </row>
    <row r="103" spans="1:55">
      <c r="A103" s="67">
        <f t="shared" si="70"/>
        <v>39873</v>
      </c>
      <c r="B103" s="69">
        <f t="shared" si="73"/>
        <v>28400</v>
      </c>
      <c r="C103" s="71"/>
      <c r="D103" s="69">
        <f t="shared" si="37"/>
        <v>28400</v>
      </c>
      <c r="E103" s="70">
        <f t="shared" si="38"/>
        <v>880400</v>
      </c>
      <c r="F103" s="70">
        <f t="shared" ca="1" si="39"/>
        <v>411484.25270271156</v>
      </c>
      <c r="G103" s="63">
        <f t="shared" si="40"/>
        <v>4.33</v>
      </c>
      <c r="H103" s="64">
        <f t="shared" si="41"/>
        <v>4.33</v>
      </c>
      <c r="I103" s="43"/>
      <c r="J103" s="63">
        <f t="shared" si="42"/>
        <v>0.41499999999999998</v>
      </c>
      <c r="K103" s="64">
        <f t="shared" si="43"/>
        <v>0.41499999999999998</v>
      </c>
      <c r="L103" s="38">
        <v>0</v>
      </c>
      <c r="M103" s="64">
        <f t="shared" si="44"/>
        <v>0</v>
      </c>
      <c r="N103" s="65"/>
      <c r="O103" s="63">
        <f t="shared" si="45"/>
        <v>4.7450000000000001</v>
      </c>
      <c r="P103" s="63">
        <f t="shared" si="46"/>
        <v>4.7450000000000001</v>
      </c>
      <c r="Q103" s="66"/>
      <c r="R103" s="63">
        <f t="shared" si="47"/>
        <v>-0.36052114688063541</v>
      </c>
      <c r="S103" s="64">
        <f t="shared" si="48"/>
        <v>-0.36052114688063541</v>
      </c>
      <c r="T103" s="38">
        <v>0</v>
      </c>
      <c r="U103" s="64">
        <f t="shared" si="49"/>
        <v>0</v>
      </c>
      <c r="V103" s="219">
        <f>(G103+R103)/(1-Summary!$T$13)*Summary!$T$13</f>
        <v>0.31653923715788906</v>
      </c>
      <c r="W103" s="43">
        <f t="shared" si="50"/>
        <v>4.2860180902772536</v>
      </c>
      <c r="X103" s="43">
        <f t="shared" si="51"/>
        <v>4.2860180902772536</v>
      </c>
      <c r="Y103" s="43"/>
      <c r="Z103" s="38">
        <f t="shared" si="52"/>
        <v>0.75</v>
      </c>
      <c r="AA103" s="38">
        <f t="shared" si="53"/>
        <v>0.193</v>
      </c>
      <c r="AB103" s="38">
        <f t="shared" ca="1" si="54"/>
        <v>0.20080965548989368</v>
      </c>
      <c r="AC103" s="38">
        <f t="shared" si="55"/>
        <v>0.95</v>
      </c>
      <c r="AD103" s="38">
        <f t="shared" si="55"/>
        <v>0.193</v>
      </c>
      <c r="AE103" s="38">
        <f t="shared" ca="1" si="56"/>
        <v>0.20536696190258036</v>
      </c>
      <c r="AF103" s="237">
        <f ca="1">((Summary!$N$13*(AA103*AD103)*(A103-$D$3))+(Summary!$M$13*Z103*AC103*(AJ103-EOMONTH(EDATE(A103,-1),0))))/(AK103*AB103*AE103)</f>
        <v>0.99752111892415041</v>
      </c>
      <c r="AG103" s="88">
        <f>IF($A104="","",Summary!$Q$13)</f>
        <v>0</v>
      </c>
      <c r="AH103" s="88">
        <f>IF($A104="","",IF(Summary!$R$12="Y",(VLOOKUP($A103,Summary!$AD$6:$AF$9,3)+'Escalating commodity'!I116),'Escalating commodity'!I116))</f>
        <v>5.2540929860648164E-2</v>
      </c>
      <c r="AI103" s="88">
        <f t="shared" si="71"/>
        <v>5.2540929860648164E-2</v>
      </c>
      <c r="AJ103" s="236">
        <f t="shared" si="57"/>
        <v>39887.5</v>
      </c>
      <c r="AK103" s="58">
        <f t="shared" ca="1" si="58"/>
        <v>2847</v>
      </c>
      <c r="AL103" s="26">
        <f ca="1">IF($A104="","",_xll.SPRDOPT(P103,X103,AI103,0,AB103,AE103,AF103,AK103,$AJ$2,0))</f>
        <v>0.40728465553765686</v>
      </c>
      <c r="AM103" s="209">
        <f t="shared" si="59"/>
        <v>0.40644097986209837</v>
      </c>
      <c r="AN103" s="89">
        <f t="shared" ca="1" si="60"/>
        <v>8.4367567555848622E-4</v>
      </c>
      <c r="AO103" s="3">
        <f t="shared" si="61"/>
        <v>31</v>
      </c>
      <c r="AP103" s="33">
        <f t="shared" si="62"/>
        <v>39873</v>
      </c>
      <c r="AQ103" s="58">
        <f t="shared" ca="1" si="63"/>
        <v>2847</v>
      </c>
      <c r="AR103" s="38">
        <f>'ANR OK vs ML7'!AR103</f>
        <v>0.1</v>
      </c>
      <c r="AS103" s="35">
        <f t="shared" ca="1" si="64"/>
        <v>0.4673832947554652</v>
      </c>
      <c r="AT103" s="3">
        <f t="shared" si="65"/>
        <v>1</v>
      </c>
      <c r="AU103" s="3">
        <f t="shared" si="66"/>
        <v>31</v>
      </c>
      <c r="AW103" s="32">
        <f t="shared" ca="1" si="67"/>
        <v>358573.41073535307</v>
      </c>
      <c r="AX103" s="32">
        <f t="shared" si="68"/>
        <v>357830.6386705914</v>
      </c>
      <c r="AY103" s="32">
        <f t="shared" ca="1" si="69"/>
        <v>742.77206476169124</v>
      </c>
      <c r="BA103" s="32">
        <f ca="1">IF($A104="","",F103*Summary!$Q$13)</f>
        <v>0</v>
      </c>
      <c r="BC103" s="256">
        <f t="shared" ca="1" si="72"/>
        <v>167244.06286631338</v>
      </c>
    </row>
    <row r="104" spans="1:55">
      <c r="A104" s="67">
        <f t="shared" si="70"/>
        <v>39904</v>
      </c>
      <c r="B104" s="69">
        <f t="shared" si="73"/>
        <v>28400</v>
      </c>
      <c r="C104" s="71"/>
      <c r="D104" s="69">
        <f t="shared" si="37"/>
        <v>28400</v>
      </c>
      <c r="E104" s="70">
        <f t="shared" si="38"/>
        <v>852000</v>
      </c>
      <c r="F104" s="70">
        <f t="shared" ca="1" si="39"/>
        <v>394926.21768530353</v>
      </c>
      <c r="G104" s="63">
        <f t="shared" si="40"/>
        <v>4.1550000000000002</v>
      </c>
      <c r="H104" s="64">
        <f t="shared" si="41"/>
        <v>4.1550000000000002</v>
      </c>
      <c r="I104" s="43"/>
      <c r="J104" s="63">
        <f t="shared" si="42"/>
        <v>0.23499999999999999</v>
      </c>
      <c r="K104" s="64">
        <f t="shared" si="43"/>
        <v>0.23499999999999999</v>
      </c>
      <c r="L104" s="38">
        <v>0</v>
      </c>
      <c r="M104" s="64">
        <f t="shared" si="44"/>
        <v>0</v>
      </c>
      <c r="N104" s="65"/>
      <c r="O104" s="63">
        <f t="shared" si="45"/>
        <v>4.3900000000000006</v>
      </c>
      <c r="P104" s="63">
        <f t="shared" si="46"/>
        <v>4.3900000000000006</v>
      </c>
      <c r="Q104" s="66"/>
      <c r="R104" s="63">
        <f t="shared" si="47"/>
        <v>-0.51928161720315447</v>
      </c>
      <c r="S104" s="64">
        <f t="shared" si="48"/>
        <v>-0.51928161720315447</v>
      </c>
      <c r="T104" s="38">
        <v>0</v>
      </c>
      <c r="U104" s="64">
        <f t="shared" si="49"/>
        <v>0</v>
      </c>
      <c r="V104" s="219">
        <f>(G104+R104)/(1-Summary!$T$13)*Summary!$T$13</f>
        <v>0.28992408474655279</v>
      </c>
      <c r="W104" s="43">
        <f t="shared" si="50"/>
        <v>3.9256424675433985</v>
      </c>
      <c r="X104" s="43">
        <f t="shared" si="51"/>
        <v>3.9256424675433985</v>
      </c>
      <c r="Y104" s="43"/>
      <c r="Z104" s="38">
        <f t="shared" si="52"/>
        <v>0.45</v>
      </c>
      <c r="AA104" s="38">
        <f t="shared" si="53"/>
        <v>0.19</v>
      </c>
      <c r="AB104" s="38">
        <f t="shared" ca="1" si="54"/>
        <v>0.19278994751748416</v>
      </c>
      <c r="AC104" s="38">
        <f t="shared" si="55"/>
        <v>0.5</v>
      </c>
      <c r="AD104" s="38">
        <f t="shared" si="55"/>
        <v>0.19</v>
      </c>
      <c r="AE104" s="38">
        <f t="shared" ca="1" si="56"/>
        <v>0.19343094793538076</v>
      </c>
      <c r="AF104" s="237">
        <f ca="1">((Summary!$N$13*(AA104*AD104)*(A104-$D$3))+(Summary!$M$13*Z104*AC104*(AJ104-EOMONTH(EDATE(A104,-1),0))))/(AK104*AB104*AE104)</f>
        <v>0.99973396770703082</v>
      </c>
      <c r="AG104" s="88">
        <f>IF($A105="","",Summary!$Q$13)</f>
        <v>0</v>
      </c>
      <c r="AH104" s="88">
        <f>IF($A105="","",IF(Summary!$R$12="Y",(VLOOKUP($A104,Summary!$AD$6:$AF$9,3)+'Escalating commodity'!I117),'Escalating commodity'!I117))</f>
        <v>5.2540929860648164E-2</v>
      </c>
      <c r="AI104" s="88">
        <f t="shared" si="71"/>
        <v>5.2540929860648164E-2</v>
      </c>
      <c r="AJ104" s="236">
        <f t="shared" si="57"/>
        <v>39918</v>
      </c>
      <c r="AK104" s="58">
        <f t="shared" ca="1" si="58"/>
        <v>2878</v>
      </c>
      <c r="AL104" s="26">
        <f ca="1">IF($A105="","",_xll.SPRDOPT(P104,X104,AI104,0,AB104,AE104,AF104,AK104,$AJ$2,0))</f>
        <v>0.41181769984016531</v>
      </c>
      <c r="AM104" s="209">
        <f t="shared" si="59"/>
        <v>0.41181660259595387</v>
      </c>
      <c r="AN104" s="89">
        <f t="shared" ca="1" si="60"/>
        <v>1.0972442114343117E-6</v>
      </c>
      <c r="AO104" s="3">
        <f t="shared" si="61"/>
        <v>30</v>
      </c>
      <c r="AP104" s="33">
        <f t="shared" si="62"/>
        <v>39904</v>
      </c>
      <c r="AQ104" s="58">
        <f t="shared" ca="1" si="63"/>
        <v>2878</v>
      </c>
      <c r="AR104" s="38">
        <f>'ANR OK vs ML7'!AR104</f>
        <v>0.1</v>
      </c>
      <c r="AS104" s="35">
        <f t="shared" ca="1" si="64"/>
        <v>0.46352842451326709</v>
      </c>
      <c r="AT104" s="3">
        <f t="shared" si="65"/>
        <v>1</v>
      </c>
      <c r="AU104" s="3">
        <f t="shared" si="66"/>
        <v>30</v>
      </c>
      <c r="AW104" s="32">
        <f t="shared" ca="1" si="67"/>
        <v>350868.68026382086</v>
      </c>
      <c r="AX104" s="32">
        <f t="shared" si="68"/>
        <v>350867.74541175272</v>
      </c>
      <c r="AY104" s="32">
        <f t="shared" ca="1" si="69"/>
        <v>0.93485206814203359</v>
      </c>
      <c r="BA104" s="32">
        <f ca="1">IF($A105="","",F104*Summary!$Q$13)</f>
        <v>0</v>
      </c>
      <c r="BC104" s="256">
        <f t="shared" ca="1" si="72"/>
        <v>162637.17324323181</v>
      </c>
    </row>
    <row r="105" spans="1:55">
      <c r="A105" s="67">
        <f t="shared" si="70"/>
        <v>39934</v>
      </c>
      <c r="B105" s="69">
        <f t="shared" si="73"/>
        <v>28400</v>
      </c>
      <c r="C105" s="71"/>
      <c r="D105" s="69">
        <f t="shared" si="37"/>
        <v>28400</v>
      </c>
      <c r="E105" s="70">
        <f t="shared" si="38"/>
        <v>880400</v>
      </c>
      <c r="F105" s="70">
        <f t="shared" ca="1" si="39"/>
        <v>404832.72951263806</v>
      </c>
      <c r="G105" s="63">
        <f t="shared" si="40"/>
        <v>4.125</v>
      </c>
      <c r="H105" s="64">
        <f t="shared" si="41"/>
        <v>4.125</v>
      </c>
      <c r="I105" s="43"/>
      <c r="J105" s="63">
        <f t="shared" si="42"/>
        <v>0.23499999999999999</v>
      </c>
      <c r="K105" s="64">
        <f t="shared" si="43"/>
        <v>0.23499999999999999</v>
      </c>
      <c r="L105" s="38">
        <v>0</v>
      </c>
      <c r="M105" s="64">
        <f t="shared" si="44"/>
        <v>0</v>
      </c>
      <c r="N105" s="65"/>
      <c r="O105" s="63">
        <f t="shared" si="45"/>
        <v>4.3600000000000003</v>
      </c>
      <c r="P105" s="63">
        <f t="shared" si="46"/>
        <v>4.3600000000000003</v>
      </c>
      <c r="Q105" s="66"/>
      <c r="R105" s="63">
        <f t="shared" si="47"/>
        <v>-0.51927828281382171</v>
      </c>
      <c r="S105" s="64">
        <f t="shared" si="48"/>
        <v>-0.51927828281382171</v>
      </c>
      <c r="T105" s="38">
        <v>0</v>
      </c>
      <c r="U105" s="64">
        <f t="shared" si="49"/>
        <v>0</v>
      </c>
      <c r="V105" s="219">
        <f>(G105+R105)/(1-Summary!$T$13)*Summary!$T$13</f>
        <v>0.28753205244180341</v>
      </c>
      <c r="W105" s="43">
        <f t="shared" si="50"/>
        <v>3.8932537696279819</v>
      </c>
      <c r="X105" s="43">
        <f t="shared" si="51"/>
        <v>3.8932537696279819</v>
      </c>
      <c r="Y105" s="43"/>
      <c r="Z105" s="38">
        <f t="shared" si="52"/>
        <v>0.5</v>
      </c>
      <c r="AA105" s="38">
        <f t="shared" si="53"/>
        <v>0.19</v>
      </c>
      <c r="AB105" s="38">
        <f t="shared" ca="1" si="54"/>
        <v>0.19350696364567158</v>
      </c>
      <c r="AC105" s="38">
        <f t="shared" si="55"/>
        <v>0.45</v>
      </c>
      <c r="AD105" s="38">
        <f t="shared" si="55"/>
        <v>0.19</v>
      </c>
      <c r="AE105" s="38">
        <f t="shared" ca="1" si="56"/>
        <v>0.19285166345934676</v>
      </c>
      <c r="AF105" s="237">
        <f ca="1">((Summary!$N$13*(AA105*AD105)*(A105-$D$3))+(Summary!$M$13*Z105*AC105*(AJ105-EOMONTH(EDATE(A105,-1),0))))/(AK105*AB105*AE105)</f>
        <v>0.99973044779221909</v>
      </c>
      <c r="AG105" s="88">
        <f>IF($A106="","",Summary!$Q$13)</f>
        <v>0</v>
      </c>
      <c r="AH105" s="88">
        <f>IF($A106="","",IF(Summary!$R$12="Y",(VLOOKUP($A105,Summary!$AD$6:$AF$9,3)+'Escalating commodity'!I118),'Escalating commodity'!I118))</f>
        <v>5.2540929860648164E-2</v>
      </c>
      <c r="AI105" s="88">
        <f t="shared" si="71"/>
        <v>5.2540929860648164E-2</v>
      </c>
      <c r="AJ105" s="236">
        <f t="shared" si="57"/>
        <v>39948.5</v>
      </c>
      <c r="AK105" s="58">
        <f t="shared" ca="1" si="58"/>
        <v>2908</v>
      </c>
      <c r="AL105" s="26">
        <f ca="1">IF($A106="","",_xll.SPRDOPT(P105,X105,AI105,0,AB105,AE105,AF105,AK105,$AJ$2,0))</f>
        <v>0.41420828467162241</v>
      </c>
      <c r="AM105" s="209">
        <f t="shared" si="59"/>
        <v>0.41420530051137028</v>
      </c>
      <c r="AN105" s="89">
        <f t="shared" ca="1" si="60"/>
        <v>2.9841602521285537E-6</v>
      </c>
      <c r="AO105" s="3">
        <f t="shared" si="61"/>
        <v>31</v>
      </c>
      <c r="AP105" s="33">
        <f t="shared" si="62"/>
        <v>39934</v>
      </c>
      <c r="AQ105" s="58">
        <f t="shared" ca="1" si="63"/>
        <v>2908</v>
      </c>
      <c r="AR105" s="38">
        <f>'ANR OK vs ML7'!AR105</f>
        <v>0.1</v>
      </c>
      <c r="AS105" s="35">
        <f t="shared" ca="1" si="64"/>
        <v>0.45982817981898916</v>
      </c>
      <c r="AT105" s="3">
        <f t="shared" si="65"/>
        <v>1</v>
      </c>
      <c r="AU105" s="3">
        <f t="shared" si="66"/>
        <v>31</v>
      </c>
      <c r="AW105" s="32">
        <f t="shared" ca="1" si="67"/>
        <v>364668.97382489638</v>
      </c>
      <c r="AX105" s="32">
        <f t="shared" si="68"/>
        <v>364666.34657021041</v>
      </c>
      <c r="AY105" s="32">
        <f t="shared" ca="1" si="69"/>
        <v>2.6272546859739787</v>
      </c>
      <c r="BA105" s="32">
        <f ca="1">IF($A106="","",F105*Summary!$Q$13)</f>
        <v>0</v>
      </c>
      <c r="BC105" s="256">
        <f t="shared" ca="1" si="72"/>
        <v>167683.86238462053</v>
      </c>
    </row>
    <row r="106" spans="1:55">
      <c r="A106" s="67">
        <f t="shared" si="70"/>
        <v>39965</v>
      </c>
      <c r="B106" s="69">
        <f t="shared" si="73"/>
        <v>28400</v>
      </c>
      <c r="C106" s="71"/>
      <c r="D106" s="69">
        <f t="shared" si="37"/>
        <v>28400</v>
      </c>
      <c r="E106" s="70">
        <f t="shared" si="38"/>
        <v>852000</v>
      </c>
      <c r="F106" s="70">
        <f t="shared" ca="1" si="39"/>
        <v>388542.35031237727</v>
      </c>
      <c r="G106" s="63">
        <f t="shared" si="40"/>
        <v>4.1950000000000003</v>
      </c>
      <c r="H106" s="64">
        <f t="shared" si="41"/>
        <v>4.1950000000000003</v>
      </c>
      <c r="I106" s="43"/>
      <c r="J106" s="63">
        <f t="shared" si="42"/>
        <v>0.23499999999999999</v>
      </c>
      <c r="K106" s="64">
        <f t="shared" si="43"/>
        <v>0.23499999999999999</v>
      </c>
      <c r="L106" s="38">
        <v>0</v>
      </c>
      <c r="M106" s="64">
        <f t="shared" si="44"/>
        <v>0</v>
      </c>
      <c r="N106" s="65"/>
      <c r="O106" s="63">
        <f t="shared" si="45"/>
        <v>4.4300000000000006</v>
      </c>
      <c r="P106" s="63">
        <f t="shared" si="46"/>
        <v>4.4300000000000006</v>
      </c>
      <c r="Q106" s="66"/>
      <c r="R106" s="63">
        <f t="shared" si="47"/>
        <v>-0.5192749002467586</v>
      </c>
      <c r="S106" s="64">
        <f t="shared" si="48"/>
        <v>-0.5192749002467586</v>
      </c>
      <c r="T106" s="38">
        <v>0</v>
      </c>
      <c r="U106" s="64">
        <f t="shared" si="49"/>
        <v>0</v>
      </c>
      <c r="V106" s="219">
        <f>(G106+R106)/(1-Summary!$T$13)*Summary!$T$13</f>
        <v>0.29311435131180164</v>
      </c>
      <c r="W106" s="43">
        <f t="shared" si="50"/>
        <v>3.9688394510650431</v>
      </c>
      <c r="X106" s="43">
        <f t="shared" si="51"/>
        <v>3.9688394510650431</v>
      </c>
      <c r="Y106" s="43"/>
      <c r="Z106" s="38">
        <f t="shared" si="52"/>
        <v>0.5</v>
      </c>
      <c r="AA106" s="38">
        <f t="shared" si="53"/>
        <v>0.19</v>
      </c>
      <c r="AB106" s="38">
        <f t="shared" ca="1" si="54"/>
        <v>0.19336035604071808</v>
      </c>
      <c r="AC106" s="38">
        <f t="shared" si="55"/>
        <v>0.5</v>
      </c>
      <c r="AD106" s="38">
        <f t="shared" si="55"/>
        <v>0.19</v>
      </c>
      <c r="AE106" s="38">
        <f t="shared" ca="1" si="56"/>
        <v>0.19336035604071808</v>
      </c>
      <c r="AF106" s="237">
        <f ca="1">((Summary!$N$13*(AA106*AD106)*(A106-$D$3))+(Summary!$M$13*Z106*AC106*(AJ106-EOMONTH(EDATE(A106,-1),0))))/(AK106*AB106*AE106)</f>
        <v>0.9999034126897457</v>
      </c>
      <c r="AG106" s="88">
        <f>IF($A107="","",Summary!$Q$13)</f>
        <v>0</v>
      </c>
      <c r="AH106" s="88">
        <f>IF($A107="","",IF(Summary!$R$12="Y",(VLOOKUP($A106,Summary!$AD$6:$AF$9,3)+'Escalating commodity'!I119),'Escalating commodity'!I119))</f>
        <v>5.2540929860648164E-2</v>
      </c>
      <c r="AI106" s="88">
        <f t="shared" si="71"/>
        <v>5.2540929860648164E-2</v>
      </c>
      <c r="AJ106" s="236">
        <f t="shared" si="57"/>
        <v>39979</v>
      </c>
      <c r="AK106" s="58">
        <f t="shared" ca="1" si="58"/>
        <v>2939</v>
      </c>
      <c r="AL106" s="26">
        <f ca="1">IF($A107="","",_xll.SPRDOPT(P106,X106,AI106,0,AB106,AE106,AF106,AK106,$AJ$2,0))</f>
        <v>0.4086210124198994</v>
      </c>
      <c r="AM106" s="209">
        <f t="shared" si="59"/>
        <v>0.40861961907430933</v>
      </c>
      <c r="AN106" s="89">
        <f t="shared" ca="1" si="60"/>
        <v>1.3933455900727587E-6</v>
      </c>
      <c r="AO106" s="3">
        <f t="shared" si="61"/>
        <v>30</v>
      </c>
      <c r="AP106" s="33">
        <f t="shared" si="62"/>
        <v>39965</v>
      </c>
      <c r="AQ106" s="58">
        <f t="shared" ca="1" si="63"/>
        <v>2939</v>
      </c>
      <c r="AR106" s="38">
        <f>'ANR OK vs ML7'!AR106</f>
        <v>0.1</v>
      </c>
      <c r="AS106" s="35">
        <f t="shared" ca="1" si="64"/>
        <v>0.45603562243236767</v>
      </c>
      <c r="AT106" s="3">
        <f t="shared" si="65"/>
        <v>1</v>
      </c>
      <c r="AU106" s="3">
        <f t="shared" si="66"/>
        <v>30</v>
      </c>
      <c r="AW106" s="32">
        <f t="shared" ca="1" si="67"/>
        <v>348145.10258175427</v>
      </c>
      <c r="AX106" s="32">
        <f t="shared" si="68"/>
        <v>348143.91545131156</v>
      </c>
      <c r="AY106" s="32">
        <f t="shared" ca="1" si="69"/>
        <v>1.1871304427419904</v>
      </c>
      <c r="BA106" s="32">
        <f ca="1">IF($A107="","",F106*Summary!$Q$13)</f>
        <v>0</v>
      </c>
      <c r="BC106" s="256">
        <f t="shared" ca="1" si="72"/>
        <v>158766.02717888044</v>
      </c>
    </row>
    <row r="107" spans="1:55">
      <c r="A107" s="67">
        <f t="shared" si="70"/>
        <v>39995</v>
      </c>
      <c r="B107" s="69">
        <f t="shared" si="73"/>
        <v>28400</v>
      </c>
      <c r="C107" s="71"/>
      <c r="D107" s="69">
        <f t="shared" si="37"/>
        <v>28400</v>
      </c>
      <c r="E107" s="70">
        <f t="shared" si="38"/>
        <v>880400</v>
      </c>
      <c r="F107" s="70">
        <f t="shared" ca="1" si="39"/>
        <v>398288.72625912953</v>
      </c>
      <c r="G107" s="63">
        <f t="shared" si="40"/>
        <v>4.25</v>
      </c>
      <c r="H107" s="64">
        <f t="shared" si="41"/>
        <v>4.25</v>
      </c>
      <c r="I107" s="43"/>
      <c r="J107" s="63">
        <f t="shared" si="42"/>
        <v>0.23499999999999999</v>
      </c>
      <c r="K107" s="64">
        <f t="shared" si="43"/>
        <v>0.23499999999999999</v>
      </c>
      <c r="L107" s="38">
        <v>0</v>
      </c>
      <c r="M107" s="64">
        <f t="shared" si="44"/>
        <v>0</v>
      </c>
      <c r="N107" s="65"/>
      <c r="O107" s="63">
        <f t="shared" si="45"/>
        <v>4.4850000000000003</v>
      </c>
      <c r="P107" s="63">
        <f t="shared" si="46"/>
        <v>4.4850000000000003</v>
      </c>
      <c r="Q107" s="66"/>
      <c r="R107" s="63">
        <f t="shared" si="47"/>
        <v>-0.51927168773094634</v>
      </c>
      <c r="S107" s="64">
        <f t="shared" si="48"/>
        <v>-0.51927168773094634</v>
      </c>
      <c r="T107" s="38">
        <v>0</v>
      </c>
      <c r="U107" s="64">
        <f t="shared" si="49"/>
        <v>0</v>
      </c>
      <c r="V107" s="219">
        <f>(G107+R107)/(1-Summary!$T$13)*Summary!$T$13</f>
        <v>0.29750048752142183</v>
      </c>
      <c r="W107" s="43">
        <f t="shared" si="50"/>
        <v>4.028228799790476</v>
      </c>
      <c r="X107" s="43">
        <f t="shared" si="51"/>
        <v>4.028228799790476</v>
      </c>
      <c r="Y107" s="43"/>
      <c r="Z107" s="38">
        <f t="shared" si="52"/>
        <v>0.55000000000000004</v>
      </c>
      <c r="AA107" s="38">
        <f t="shared" si="53"/>
        <v>0.19</v>
      </c>
      <c r="AB107" s="38">
        <f t="shared" ca="1" si="54"/>
        <v>0.19414271660016474</v>
      </c>
      <c r="AC107" s="38">
        <f t="shared" si="55"/>
        <v>0.5</v>
      </c>
      <c r="AD107" s="38">
        <f t="shared" si="55"/>
        <v>0.19</v>
      </c>
      <c r="AE107" s="38">
        <f t="shared" ca="1" si="56"/>
        <v>0.19343555057522088</v>
      </c>
      <c r="AF107" s="237">
        <f ca="1">((Summary!$N$13*(AA107*AD107)*(A107-$D$3))+(Summary!$M$13*Z107*AC107*(AJ107-EOMONTH(EDATE(A107,-1),0))))/(AK107*AB107*AE107)</f>
        <v>0.99973672809645153</v>
      </c>
      <c r="AG107" s="88">
        <f>IF($A108="","",Summary!$Q$13)</f>
        <v>0</v>
      </c>
      <c r="AH107" s="88">
        <f>IF($A108="","",IF(Summary!$R$12="Y",(VLOOKUP($A107,Summary!$AD$6:$AF$9,3)+'Escalating commodity'!I120),'Escalating commodity'!I120))</f>
        <v>5.2540929860648164E-2</v>
      </c>
      <c r="AI107" s="88">
        <f t="shared" si="71"/>
        <v>5.2540929860648164E-2</v>
      </c>
      <c r="AJ107" s="236">
        <f t="shared" si="57"/>
        <v>40009.5</v>
      </c>
      <c r="AK107" s="58">
        <f t="shared" ca="1" si="58"/>
        <v>2969</v>
      </c>
      <c r="AL107" s="26">
        <f ca="1">IF($A108="","",_xll.SPRDOPT(P107,X107,AI107,0,AB107,AE107,AF107,AK107,$AJ$2,0))</f>
        <v>0.40423578893687756</v>
      </c>
      <c r="AM107" s="209">
        <f t="shared" si="59"/>
        <v>0.40423027034887615</v>
      </c>
      <c r="AN107" s="89">
        <f t="shared" ca="1" si="60"/>
        <v>5.5185880014074762E-6</v>
      </c>
      <c r="AO107" s="3">
        <f t="shared" si="61"/>
        <v>31</v>
      </c>
      <c r="AP107" s="33">
        <f t="shared" si="62"/>
        <v>39995</v>
      </c>
      <c r="AQ107" s="58">
        <f t="shared" ca="1" si="63"/>
        <v>2969</v>
      </c>
      <c r="AR107" s="38">
        <f>'ANR OK vs ML7'!AR107</f>
        <v>0.1</v>
      </c>
      <c r="AS107" s="35">
        <f t="shared" ca="1" si="64"/>
        <v>0.45239519111668508</v>
      </c>
      <c r="AT107" s="3">
        <f t="shared" si="65"/>
        <v>1</v>
      </c>
      <c r="AU107" s="3">
        <f t="shared" si="66"/>
        <v>31</v>
      </c>
      <c r="AW107" s="32">
        <f t="shared" ca="1" si="67"/>
        <v>355889.18858002702</v>
      </c>
      <c r="AX107" s="32">
        <f t="shared" si="68"/>
        <v>355884.33001515054</v>
      </c>
      <c r="AY107" s="32">
        <f t="shared" ca="1" si="69"/>
        <v>4.858564876439142</v>
      </c>
      <c r="BA107" s="32">
        <f ca="1">IF($A108="","",F107*Summary!$Q$13)</f>
        <v>0</v>
      </c>
      <c r="BC107" s="256">
        <f t="shared" ca="1" si="72"/>
        <v>161000.35949263745</v>
      </c>
    </row>
    <row r="108" spans="1:55">
      <c r="A108" s="67">
        <f t="shared" si="70"/>
        <v>40026</v>
      </c>
      <c r="B108" s="69">
        <f t="shared" si="73"/>
        <v>28400</v>
      </c>
      <c r="C108" s="71"/>
      <c r="D108" s="69">
        <f t="shared" si="37"/>
        <v>28400</v>
      </c>
      <c r="E108" s="70">
        <f t="shared" si="38"/>
        <v>880400</v>
      </c>
      <c r="F108" s="70">
        <f t="shared" ca="1" si="39"/>
        <v>395003.73217421561</v>
      </c>
      <c r="G108" s="63">
        <f t="shared" si="40"/>
        <v>4.306</v>
      </c>
      <c r="H108" s="64">
        <f t="shared" si="41"/>
        <v>4.306</v>
      </c>
      <c r="I108" s="43"/>
      <c r="J108" s="63">
        <f t="shared" si="42"/>
        <v>0.23499999999999999</v>
      </c>
      <c r="K108" s="64">
        <f t="shared" si="43"/>
        <v>0.23499999999999999</v>
      </c>
      <c r="L108" s="38">
        <v>0</v>
      </c>
      <c r="M108" s="64">
        <f t="shared" si="44"/>
        <v>0</v>
      </c>
      <c r="N108" s="65"/>
      <c r="O108" s="63">
        <f t="shared" si="45"/>
        <v>4.5410000000000004</v>
      </c>
      <c r="P108" s="63">
        <f t="shared" si="46"/>
        <v>4.5410000000000004</v>
      </c>
      <c r="Q108" s="66"/>
      <c r="R108" s="63">
        <f t="shared" si="47"/>
        <v>-0.5192684310973279</v>
      </c>
      <c r="S108" s="64">
        <f t="shared" si="48"/>
        <v>-0.5192684310973279</v>
      </c>
      <c r="T108" s="38">
        <v>0</v>
      </c>
      <c r="U108" s="64">
        <f t="shared" si="49"/>
        <v>0</v>
      </c>
      <c r="V108" s="219">
        <f>(G108+R108)/(1-Summary!$T$13)*Summary!$T$13</f>
        <v>0.30196637052246922</v>
      </c>
      <c r="W108" s="43">
        <f t="shared" si="50"/>
        <v>4.088697939425141</v>
      </c>
      <c r="X108" s="43">
        <f t="shared" si="51"/>
        <v>4.088697939425141</v>
      </c>
      <c r="Y108" s="43"/>
      <c r="Z108" s="38">
        <f t="shared" si="52"/>
        <v>0.6</v>
      </c>
      <c r="AA108" s="38">
        <f t="shared" si="53"/>
        <v>0.19</v>
      </c>
      <c r="AB108" s="38">
        <f t="shared" ca="1" si="54"/>
        <v>0.19486414070663011</v>
      </c>
      <c r="AC108" s="38">
        <f t="shared" si="55"/>
        <v>0.45</v>
      </c>
      <c r="AD108" s="38">
        <f t="shared" si="55"/>
        <v>0.19</v>
      </c>
      <c r="AE108" s="38">
        <f t="shared" ca="1" si="56"/>
        <v>0.19276483946335579</v>
      </c>
      <c r="AF108" s="237">
        <f ca="1">((Summary!$N$13*(AA108*AD108)*(A108-$D$3))+(Summary!$M$13*Z108*AC108*(AJ108-EOMONTH(EDATE(A108,-1),0))))/(AK108*AB108*AE108)</f>
        <v>0.99841512280398215</v>
      </c>
      <c r="AG108" s="88">
        <f>IF($A109="","",Summary!$Q$13)</f>
        <v>0</v>
      </c>
      <c r="AH108" s="88">
        <f>IF($A109="","",IF(Summary!$R$12="Y",(VLOOKUP($A108,Summary!$AD$6:$AF$9,3)+'Escalating commodity'!I121),'Escalating commodity'!I121))</f>
        <v>5.2540929860648164E-2</v>
      </c>
      <c r="AI108" s="88">
        <f t="shared" si="71"/>
        <v>5.2540929860648164E-2</v>
      </c>
      <c r="AJ108" s="236">
        <f t="shared" si="57"/>
        <v>40040.5</v>
      </c>
      <c r="AK108" s="58">
        <f t="shared" ca="1" si="58"/>
        <v>3000</v>
      </c>
      <c r="AL108" s="26">
        <f ca="1">IF($A109="","",_xll.SPRDOPT(P108,X108,AI108,0,AB108,AE108,AF108,AK108,$AJ$2,0))</f>
        <v>0.3999661354723909</v>
      </c>
      <c r="AM108" s="209">
        <f t="shared" si="59"/>
        <v>0.39976113071421115</v>
      </c>
      <c r="AN108" s="89">
        <f t="shared" ca="1" si="60"/>
        <v>2.0500475817974984E-4</v>
      </c>
      <c r="AO108" s="3">
        <f t="shared" si="61"/>
        <v>31</v>
      </c>
      <c r="AP108" s="33">
        <f t="shared" si="62"/>
        <v>40026</v>
      </c>
      <c r="AQ108" s="58">
        <f t="shared" ca="1" si="63"/>
        <v>3000</v>
      </c>
      <c r="AR108" s="38">
        <f>'ANR OK vs ML7'!AR108</f>
        <v>0.1</v>
      </c>
      <c r="AS108" s="35">
        <f t="shared" ca="1" si="64"/>
        <v>0.44866393931646481</v>
      </c>
      <c r="AT108" s="3">
        <f t="shared" si="65"/>
        <v>1</v>
      </c>
      <c r="AU108" s="3">
        <f t="shared" si="66"/>
        <v>31</v>
      </c>
      <c r="AW108" s="32">
        <f t="shared" ca="1" si="67"/>
        <v>352130.18566989293</v>
      </c>
      <c r="AX108" s="32">
        <f t="shared" si="68"/>
        <v>351949.69948079152</v>
      </c>
      <c r="AY108" s="32">
        <f t="shared" ca="1" si="69"/>
        <v>180.48618910145174</v>
      </c>
      <c r="BA108" s="32">
        <f ca="1">IF($A109="","",F108*Summary!$Q$13)</f>
        <v>0</v>
      </c>
      <c r="BC108" s="256">
        <f t="shared" ca="1" si="72"/>
        <v>157907.13861029787</v>
      </c>
    </row>
    <row r="109" spans="1:55">
      <c r="A109" s="67">
        <f t="shared" si="70"/>
        <v>40057</v>
      </c>
      <c r="B109" s="69">
        <f t="shared" si="73"/>
        <v>28400</v>
      </c>
      <c r="C109" s="71"/>
      <c r="D109" s="69">
        <f t="shared" si="37"/>
        <v>28400</v>
      </c>
      <c r="E109" s="70">
        <f t="shared" si="38"/>
        <v>852000</v>
      </c>
      <c r="F109" s="70">
        <f t="shared" ca="1" si="39"/>
        <v>379108.86964572693</v>
      </c>
      <c r="G109" s="63">
        <f t="shared" si="40"/>
        <v>4.32</v>
      </c>
      <c r="H109" s="64">
        <f t="shared" si="41"/>
        <v>4.32</v>
      </c>
      <c r="I109" s="43"/>
      <c r="J109" s="63">
        <f t="shared" si="42"/>
        <v>0.23499999999999999</v>
      </c>
      <c r="K109" s="64">
        <f t="shared" si="43"/>
        <v>0.23499999999999999</v>
      </c>
      <c r="L109" s="38">
        <v>0</v>
      </c>
      <c r="M109" s="64">
        <f t="shared" si="44"/>
        <v>0</v>
      </c>
      <c r="N109" s="65"/>
      <c r="O109" s="63">
        <f t="shared" si="45"/>
        <v>4.5550000000000006</v>
      </c>
      <c r="P109" s="63">
        <f t="shared" si="46"/>
        <v>4.5550000000000006</v>
      </c>
      <c r="Q109" s="66"/>
      <c r="R109" s="63">
        <f t="shared" si="47"/>
        <v>-0.51926523846050421</v>
      </c>
      <c r="S109" s="64">
        <f t="shared" si="48"/>
        <v>-0.51926523846050421</v>
      </c>
      <c r="T109" s="38">
        <v>0</v>
      </c>
      <c r="U109" s="64">
        <f t="shared" si="49"/>
        <v>0</v>
      </c>
      <c r="V109" s="219">
        <f>(G109+R109)/(1-Summary!$T$13)*Summary!$T$13</f>
        <v>0.3030830309403858</v>
      </c>
      <c r="W109" s="43">
        <f t="shared" si="50"/>
        <v>4.103817792479882</v>
      </c>
      <c r="X109" s="43">
        <f t="shared" si="51"/>
        <v>4.103817792479882</v>
      </c>
      <c r="Y109" s="43"/>
      <c r="Z109" s="38">
        <f t="shared" si="52"/>
        <v>0.6</v>
      </c>
      <c r="AA109" s="38">
        <f t="shared" si="53"/>
        <v>0.19</v>
      </c>
      <c r="AB109" s="38">
        <f t="shared" ca="1" si="54"/>
        <v>0.19466252976596748</v>
      </c>
      <c r="AC109" s="38">
        <f t="shared" si="55"/>
        <v>0.5</v>
      </c>
      <c r="AD109" s="38">
        <f t="shared" si="55"/>
        <v>0.19</v>
      </c>
      <c r="AE109" s="38">
        <f t="shared" ca="1" si="56"/>
        <v>0.19325921892910763</v>
      </c>
      <c r="AF109" s="237">
        <f ca="1">((Summary!$N$13*(AA109*AD109)*(A109-$D$3))+(Summary!$M$13*Z109*AC109*(AJ109-EOMONTH(EDATE(A109,-1),0))))/(AK109*AB109*AE109)</f>
        <v>0.99927244497044576</v>
      </c>
      <c r="AG109" s="88">
        <f>IF($A110="","",Summary!$Q$13)</f>
        <v>0</v>
      </c>
      <c r="AH109" s="88">
        <f>IF($A110="","",IF(Summary!$R$12="Y",(VLOOKUP($A109,Summary!$AD$6:$AF$9,3)+'Escalating commodity'!I122),'Escalating commodity'!I122))</f>
        <v>5.2540929860648164E-2</v>
      </c>
      <c r="AI109" s="88">
        <f t="shared" si="71"/>
        <v>5.2540929860648164E-2</v>
      </c>
      <c r="AJ109" s="236">
        <f t="shared" si="57"/>
        <v>40071</v>
      </c>
      <c r="AK109" s="58">
        <f t="shared" ca="1" si="58"/>
        <v>3031</v>
      </c>
      <c r="AL109" s="26">
        <f ca="1">IF($A110="","",_xll.SPRDOPT(P109,X109,AI109,0,AB109,AE109,AF109,AK109,$AJ$2,0))</f>
        <v>0.39867005719374982</v>
      </c>
      <c r="AM109" s="209">
        <f t="shared" si="59"/>
        <v>0.39864127765947044</v>
      </c>
      <c r="AN109" s="89">
        <f t="shared" ca="1" si="60"/>
        <v>2.8779534279377295E-5</v>
      </c>
      <c r="AO109" s="3">
        <f t="shared" si="61"/>
        <v>30</v>
      </c>
      <c r="AP109" s="33">
        <f t="shared" si="62"/>
        <v>40057</v>
      </c>
      <c r="AQ109" s="58">
        <f t="shared" ca="1" si="63"/>
        <v>3031</v>
      </c>
      <c r="AR109" s="38">
        <f>'ANR OK vs ML7'!AR109</f>
        <v>0.1</v>
      </c>
      <c r="AS109" s="35">
        <f t="shared" ca="1" si="64"/>
        <v>0.44496346202550108</v>
      </c>
      <c r="AT109" s="3">
        <f t="shared" si="65"/>
        <v>1</v>
      </c>
      <c r="AU109" s="3">
        <f t="shared" si="66"/>
        <v>30</v>
      </c>
      <c r="AW109" s="32">
        <f t="shared" ca="1" si="67"/>
        <v>339666.88872907485</v>
      </c>
      <c r="AX109" s="32">
        <f t="shared" si="68"/>
        <v>339642.36856586882</v>
      </c>
      <c r="AY109" s="32">
        <f t="shared" ca="1" si="69"/>
        <v>24.520163206029455</v>
      </c>
      <c r="BA109" s="32">
        <f ca="1">IF($A110="","",F109*Summary!$Q$13)</f>
        <v>0</v>
      </c>
      <c r="BC109" s="256">
        <f t="shared" ca="1" si="72"/>
        <v>151128.4441676102</v>
      </c>
    </row>
    <row r="110" spans="1:55">
      <c r="A110" s="67">
        <f t="shared" si="70"/>
        <v>40087</v>
      </c>
      <c r="B110" s="69">
        <f t="shared" si="73"/>
        <v>28400</v>
      </c>
      <c r="C110" s="71"/>
      <c r="D110" s="69">
        <f t="shared" si="37"/>
        <v>28400</v>
      </c>
      <c r="E110" s="70">
        <f t="shared" si="38"/>
        <v>880400</v>
      </c>
      <c r="F110" s="70">
        <f t="shared" ca="1" si="39"/>
        <v>388618.61180213524</v>
      </c>
      <c r="G110" s="63">
        <f t="shared" si="40"/>
        <v>4.351</v>
      </c>
      <c r="H110" s="64">
        <f t="shared" si="41"/>
        <v>4.351</v>
      </c>
      <c r="I110" s="43"/>
      <c r="J110" s="63">
        <f t="shared" si="42"/>
        <v>0.23499999999999999</v>
      </c>
      <c r="K110" s="64">
        <f t="shared" si="43"/>
        <v>0.23499999999999999</v>
      </c>
      <c r="L110" s="38">
        <v>0</v>
      </c>
      <c r="M110" s="64">
        <f t="shared" si="44"/>
        <v>0</v>
      </c>
      <c r="N110" s="65"/>
      <c r="O110" s="63">
        <f t="shared" si="45"/>
        <v>4.5860000000000003</v>
      </c>
      <c r="P110" s="63">
        <f t="shared" si="46"/>
        <v>4.5860000000000003</v>
      </c>
      <c r="Q110" s="66"/>
      <c r="R110" s="63">
        <f t="shared" si="47"/>
        <v>-0.51926220974389514</v>
      </c>
      <c r="S110" s="64">
        <f t="shared" si="48"/>
        <v>-0.51926220974389514</v>
      </c>
      <c r="T110" s="38">
        <v>0</v>
      </c>
      <c r="U110" s="64">
        <f t="shared" si="49"/>
        <v>0</v>
      </c>
      <c r="V110" s="219">
        <f>(G110+R110)/(1-Summary!$T$13)*Summary!$T$13</f>
        <v>0.3055553139333605</v>
      </c>
      <c r="W110" s="43">
        <f t="shared" si="50"/>
        <v>4.1372931041894656</v>
      </c>
      <c r="X110" s="43">
        <f t="shared" si="51"/>
        <v>4.1372931041894656</v>
      </c>
      <c r="Y110" s="43"/>
      <c r="Z110" s="38">
        <f t="shared" si="52"/>
        <v>0.65</v>
      </c>
      <c r="AA110" s="38">
        <f t="shared" si="53"/>
        <v>0.19</v>
      </c>
      <c r="AB110" s="38">
        <f t="shared" ca="1" si="54"/>
        <v>0.19557916237500539</v>
      </c>
      <c r="AC110" s="38">
        <f t="shared" si="55"/>
        <v>0.5</v>
      </c>
      <c r="AD110" s="38">
        <f t="shared" si="55"/>
        <v>0.19</v>
      </c>
      <c r="AE110" s="38">
        <f t="shared" ca="1" si="56"/>
        <v>0.19333318313068926</v>
      </c>
      <c r="AF110" s="237">
        <f ca="1">((Summary!$N$13*(AA110*AD110)*(A110-$D$3))+(Summary!$M$13*Z110*AC110*(AJ110-EOMONTH(EDATE(A110,-1),0))))/(AK110*AB110*AE110)</f>
        <v>0.99846462142827785</v>
      </c>
      <c r="AG110" s="88">
        <f>IF($A111="","",Summary!$Q$13)</f>
        <v>0</v>
      </c>
      <c r="AH110" s="88">
        <f>IF($A111="","",IF(Summary!$R$12="Y",(VLOOKUP($A110,Summary!$AD$6:$AF$9,3)+'Escalating commodity'!I123),'Escalating commodity'!I123))</f>
        <v>5.2540929860648164E-2</v>
      </c>
      <c r="AI110" s="88">
        <f t="shared" si="71"/>
        <v>5.2540929860648164E-2</v>
      </c>
      <c r="AJ110" s="236">
        <f t="shared" si="57"/>
        <v>40101.5</v>
      </c>
      <c r="AK110" s="58">
        <f t="shared" ca="1" si="58"/>
        <v>3061</v>
      </c>
      <c r="AL110" s="26">
        <f ca="1">IF($A111="","",_xll.SPRDOPT(P110,X110,AI110,0,AB110,AE110,AF110,AK110,$AJ$2,0))</f>
        <v>0.39642193167734396</v>
      </c>
      <c r="AM110" s="209">
        <f t="shared" si="59"/>
        <v>0.39616596594988651</v>
      </c>
      <c r="AN110" s="89">
        <f t="shared" ca="1" si="60"/>
        <v>2.5596572745745227E-4</v>
      </c>
      <c r="AO110" s="3">
        <f t="shared" si="61"/>
        <v>31</v>
      </c>
      <c r="AP110" s="33">
        <f t="shared" si="62"/>
        <v>40087</v>
      </c>
      <c r="AQ110" s="58">
        <f t="shared" ca="1" si="63"/>
        <v>3061</v>
      </c>
      <c r="AR110" s="38">
        <f>'ANR OK vs ML7'!AR110</f>
        <v>0.1</v>
      </c>
      <c r="AS110" s="35">
        <f t="shared" ca="1" si="64"/>
        <v>0.44141141731273881</v>
      </c>
      <c r="AT110" s="3">
        <f t="shared" si="65"/>
        <v>1</v>
      </c>
      <c r="AU110" s="3">
        <f t="shared" si="66"/>
        <v>31</v>
      </c>
      <c r="AW110" s="32">
        <f t="shared" ca="1" si="67"/>
        <v>349009.86864873365</v>
      </c>
      <c r="AX110" s="32">
        <f t="shared" si="68"/>
        <v>348784.51642228011</v>
      </c>
      <c r="AY110" s="32">
        <f t="shared" ca="1" si="69"/>
        <v>225.35222645354099</v>
      </c>
      <c r="BA110" s="32">
        <f ca="1">IF($A111="","",F110*Summary!$Q$13)</f>
        <v>0</v>
      </c>
      <c r="BC110" s="256">
        <f t="shared" ca="1" si="72"/>
        <v>153957.46773069687</v>
      </c>
    </row>
    <row r="111" spans="1:55">
      <c r="A111" s="67">
        <f t="shared" si="70"/>
        <v>40118</v>
      </c>
      <c r="B111" s="69">
        <f t="shared" si="73"/>
        <v>28400</v>
      </c>
      <c r="C111" s="71"/>
      <c r="D111" s="69">
        <f t="shared" si="37"/>
        <v>28400</v>
      </c>
      <c r="E111" s="70">
        <f t="shared" si="38"/>
        <v>852000</v>
      </c>
      <c r="F111" s="70">
        <f t="shared" ca="1" si="39"/>
        <v>372980.68510051438</v>
      </c>
      <c r="G111" s="63">
        <f t="shared" si="40"/>
        <v>4.484</v>
      </c>
      <c r="H111" s="64">
        <f t="shared" si="41"/>
        <v>4.484</v>
      </c>
      <c r="I111" s="43"/>
      <c r="J111" s="63">
        <f t="shared" si="42"/>
        <v>0.42499999999999999</v>
      </c>
      <c r="K111" s="64">
        <f t="shared" si="43"/>
        <v>0.42499999999999999</v>
      </c>
      <c r="L111" s="38">
        <v>0</v>
      </c>
      <c r="M111" s="64">
        <f t="shared" si="44"/>
        <v>0</v>
      </c>
      <c r="N111" s="65"/>
      <c r="O111" s="63">
        <f t="shared" si="45"/>
        <v>4.9089999999999998</v>
      </c>
      <c r="P111" s="63">
        <f t="shared" si="46"/>
        <v>4.9089999999999998</v>
      </c>
      <c r="Q111" s="66"/>
      <c r="R111" s="63">
        <f t="shared" si="47"/>
        <v>-0.47549408611960042</v>
      </c>
      <c r="S111" s="64">
        <f t="shared" si="48"/>
        <v>-0.47549408611960042</v>
      </c>
      <c r="T111" s="38">
        <v>0</v>
      </c>
      <c r="U111" s="64">
        <f t="shared" si="49"/>
        <v>0</v>
      </c>
      <c r="V111" s="219">
        <f>(G111+R111)/(1-Summary!$T$13)*Summary!$T$13</f>
        <v>0.31965138273138283</v>
      </c>
      <c r="W111" s="43">
        <f t="shared" si="50"/>
        <v>4.3281572966117823</v>
      </c>
      <c r="X111" s="43">
        <f t="shared" si="51"/>
        <v>4.3281572966117823</v>
      </c>
      <c r="Y111" s="43"/>
      <c r="Z111" s="38">
        <f t="shared" si="52"/>
        <v>0.8</v>
      </c>
      <c r="AA111" s="38">
        <f t="shared" si="53"/>
        <v>0.19</v>
      </c>
      <c r="AB111" s="38">
        <f t="shared" ca="1" si="54"/>
        <v>0.1980314667849499</v>
      </c>
      <c r="AC111" s="38">
        <f t="shared" si="55"/>
        <v>0.95</v>
      </c>
      <c r="AD111" s="38">
        <f t="shared" si="55"/>
        <v>0.19</v>
      </c>
      <c r="AE111" s="38">
        <f t="shared" ca="1" si="56"/>
        <v>0.20122104622460779</v>
      </c>
      <c r="AF111" s="237">
        <f ca="1">((Summary!$N$13*(AA111*AD111)*(A111-$D$3))+(Summary!$M$13*Z111*AC111*(AJ111-EOMONTH(EDATE(A111,-1),0))))/(AK111*AB111*AE111)</f>
        <v>0.99866741986558616</v>
      </c>
      <c r="AG111" s="88">
        <f>IF($A112="","",Summary!$Q$13)</f>
        <v>0</v>
      </c>
      <c r="AH111" s="88">
        <f>IF($A112="","",IF(Summary!$R$12="Y",(VLOOKUP($A111,Summary!$AD$6:$AF$9,3)+'Escalating commodity'!I124),'Escalating commodity'!I124))</f>
        <v>5.2540929860648164E-2</v>
      </c>
      <c r="AI111" s="88">
        <f t="shared" si="71"/>
        <v>5.2540929860648164E-2</v>
      </c>
      <c r="AJ111" s="236">
        <f t="shared" si="57"/>
        <v>40132</v>
      </c>
      <c r="AK111" s="58">
        <f t="shared" ca="1" si="58"/>
        <v>3092</v>
      </c>
      <c r="AL111" s="26">
        <f ca="1">IF($A112="","",_xll.SPRDOPT(P111,X111,AI111,0,AB111,AE111,AF111,AK111,$AJ$2,0))</f>
        <v>0.528304633799899</v>
      </c>
      <c r="AM111" s="209">
        <f t="shared" si="59"/>
        <v>0.52830177352756935</v>
      </c>
      <c r="AN111" s="89">
        <f t="shared" ca="1" si="60"/>
        <v>2.860272329652247E-6</v>
      </c>
      <c r="AO111" s="3">
        <f t="shared" si="61"/>
        <v>30</v>
      </c>
      <c r="AP111" s="33">
        <f t="shared" si="62"/>
        <v>40118</v>
      </c>
      <c r="AQ111" s="58">
        <f t="shared" ca="1" si="63"/>
        <v>3092</v>
      </c>
      <c r="AR111" s="38">
        <f>'ANR OK vs ML7'!AR111</f>
        <v>0.1</v>
      </c>
      <c r="AS111" s="35">
        <f t="shared" ca="1" si="64"/>
        <v>0.43777075716022817</v>
      </c>
      <c r="AT111" s="3">
        <f t="shared" si="65"/>
        <v>1</v>
      </c>
      <c r="AU111" s="3">
        <f t="shared" si="66"/>
        <v>30</v>
      </c>
      <c r="AW111" s="32">
        <f t="shared" ca="1" si="67"/>
        <v>450115.54799751396</v>
      </c>
      <c r="AX111" s="32">
        <f t="shared" si="68"/>
        <v>450113.11104548909</v>
      </c>
      <c r="AY111" s="32">
        <f t="shared" ca="1" si="69"/>
        <v>2.4369520248637144</v>
      </c>
      <c r="BA111" s="32">
        <f ca="1">IF($A112="","",F111*Summary!$Q$13)</f>
        <v>0</v>
      </c>
      <c r="BC111" s="256">
        <f t="shared" ca="1" si="72"/>
        <v>197046.3574301296</v>
      </c>
    </row>
    <row r="112" spans="1:55">
      <c r="A112" s="67">
        <f t="shared" si="70"/>
        <v>40148</v>
      </c>
      <c r="B112" s="69">
        <f t="shared" si="73"/>
        <v>28400</v>
      </c>
      <c r="C112" s="71"/>
      <c r="D112" s="69">
        <f t="shared" si="37"/>
        <v>28400</v>
      </c>
      <c r="E112" s="70">
        <f t="shared" si="38"/>
        <v>880400</v>
      </c>
      <c r="F112" s="70">
        <f t="shared" ca="1" si="39"/>
        <v>382336.70504259848</v>
      </c>
      <c r="G112" s="63">
        <f t="shared" si="40"/>
        <v>4.6219999999999999</v>
      </c>
      <c r="H112" s="64">
        <f t="shared" si="41"/>
        <v>4.6219999999999999</v>
      </c>
      <c r="I112" s="43"/>
      <c r="J112" s="63">
        <f t="shared" si="42"/>
        <v>0.42499999999999999</v>
      </c>
      <c r="K112" s="64">
        <f t="shared" si="43"/>
        <v>0.42499999999999999</v>
      </c>
      <c r="L112" s="38">
        <v>0</v>
      </c>
      <c r="M112" s="64">
        <f t="shared" si="44"/>
        <v>0</v>
      </c>
      <c r="N112" s="65"/>
      <c r="O112" s="63">
        <f t="shared" si="45"/>
        <v>5.0469999999999997</v>
      </c>
      <c r="P112" s="63">
        <f t="shared" si="46"/>
        <v>5.0469999999999997</v>
      </c>
      <c r="Q112" s="66"/>
      <c r="R112" s="63">
        <f t="shared" si="47"/>
        <v>-0.47549105864919577</v>
      </c>
      <c r="S112" s="64">
        <f t="shared" si="48"/>
        <v>-0.47549105864919577</v>
      </c>
      <c r="T112" s="38">
        <v>0</v>
      </c>
      <c r="U112" s="64">
        <f t="shared" si="49"/>
        <v>0</v>
      </c>
      <c r="V112" s="219">
        <f>(G112+R112)/(1-Summary!$T$13)*Summary!$T$13</f>
        <v>0.33065619587118161</v>
      </c>
      <c r="W112" s="43">
        <f t="shared" si="50"/>
        <v>4.4771651372219861</v>
      </c>
      <c r="X112" s="43">
        <f t="shared" si="51"/>
        <v>4.4771651372219861</v>
      </c>
      <c r="Y112" s="43"/>
      <c r="Z112" s="38">
        <f t="shared" si="52"/>
        <v>1.1000000000000001</v>
      </c>
      <c r="AA112" s="38">
        <f t="shared" si="53"/>
        <v>0.19</v>
      </c>
      <c r="AB112" s="38">
        <f t="shared" ca="1" si="54"/>
        <v>0.20522897011135161</v>
      </c>
      <c r="AC112" s="38">
        <f t="shared" si="55"/>
        <v>1.35</v>
      </c>
      <c r="AD112" s="38">
        <f t="shared" si="55"/>
        <v>0.19</v>
      </c>
      <c r="AE112" s="38">
        <f t="shared" ca="1" si="56"/>
        <v>0.21250846913823754</v>
      </c>
      <c r="AF112" s="237">
        <f ca="1">((Summary!$N$13*(AA112*AD112)*(A112-$D$3))+(Summary!$M$13*Z112*AC112*(AJ112-EOMONTH(EDATE(A112,-1),0))))/(AK112*AB112*AE112)</f>
        <v>0.9969673063782003</v>
      </c>
      <c r="AG112" s="88">
        <f>IF($A113="","",Summary!$Q$13)</f>
        <v>0</v>
      </c>
      <c r="AH112" s="88">
        <f>IF($A113="","",IF(Summary!$R$12="Y",(VLOOKUP($A112,Summary!$AD$6:$AF$9,3)+'Escalating commodity'!I125),'Escalating commodity'!I125))</f>
        <v>5.2540929860648164E-2</v>
      </c>
      <c r="AI112" s="88">
        <f t="shared" si="71"/>
        <v>5.2540929860648164E-2</v>
      </c>
      <c r="AJ112" s="236">
        <f t="shared" si="57"/>
        <v>40162.5</v>
      </c>
      <c r="AK112" s="58">
        <f t="shared" ca="1" si="58"/>
        <v>3122</v>
      </c>
      <c r="AL112" s="26">
        <f ca="1">IF($A113="","",_xll.SPRDOPT(P112,X112,AI112,0,AB112,AE112,AF112,AK112,$AJ$2,0))</f>
        <v>0.51856826364113651</v>
      </c>
      <c r="AM112" s="209">
        <f t="shared" si="59"/>
        <v>0.51729393291736547</v>
      </c>
      <c r="AN112" s="89">
        <f t="shared" ca="1" si="60"/>
        <v>1.2743307237710333E-3</v>
      </c>
      <c r="AO112" s="3">
        <f t="shared" si="61"/>
        <v>31</v>
      </c>
      <c r="AP112" s="33">
        <f t="shared" si="62"/>
        <v>40148</v>
      </c>
      <c r="AQ112" s="58">
        <f t="shared" ca="1" si="63"/>
        <v>3122</v>
      </c>
      <c r="AR112" s="38">
        <f>'ANR OK vs ML7'!AR112</f>
        <v>0.1</v>
      </c>
      <c r="AS112" s="35">
        <f t="shared" ca="1" si="64"/>
        <v>0.43427613021649081</v>
      </c>
      <c r="AT112" s="3">
        <f t="shared" si="65"/>
        <v>1</v>
      </c>
      <c r="AU112" s="3">
        <f t="shared" si="66"/>
        <v>31</v>
      </c>
      <c r="AW112" s="32">
        <f t="shared" ca="1" si="67"/>
        <v>456547.49930965656</v>
      </c>
      <c r="AX112" s="32">
        <f t="shared" si="68"/>
        <v>455425.57854044857</v>
      </c>
      <c r="AY112" s="32">
        <f t="shared" ca="1" si="69"/>
        <v>1121.9207692080176</v>
      </c>
      <c r="BA112" s="32">
        <f ca="1">IF($A113="","",F112*Summary!$Q$13)</f>
        <v>0</v>
      </c>
      <c r="BC112" s="256">
        <f t="shared" ca="1" si="72"/>
        <v>197780.45785015248</v>
      </c>
    </row>
    <row r="113" spans="1:55">
      <c r="A113" s="67">
        <f t="shared" si="70"/>
        <v>40179</v>
      </c>
      <c r="B113" s="69">
        <f t="shared" si="73"/>
        <v>28400</v>
      </c>
      <c r="C113" s="71"/>
      <c r="D113" s="69">
        <f t="shared" si="37"/>
        <v>28400</v>
      </c>
      <c r="E113" s="70">
        <f t="shared" si="38"/>
        <v>880400</v>
      </c>
      <c r="F113" s="70">
        <f t="shared" ca="1" si="39"/>
        <v>379183.27957081329</v>
      </c>
      <c r="G113" s="63">
        <f t="shared" si="40"/>
        <v>4.649</v>
      </c>
      <c r="H113" s="64">
        <f t="shared" si="41"/>
        <v>4.649</v>
      </c>
      <c r="I113" s="43"/>
      <c r="J113" s="63">
        <f t="shared" si="42"/>
        <v>0.42499999999999999</v>
      </c>
      <c r="K113" s="64">
        <f t="shared" si="43"/>
        <v>0.42499999999999999</v>
      </c>
      <c r="L113" s="38">
        <v>0</v>
      </c>
      <c r="M113" s="64">
        <f t="shared" si="44"/>
        <v>0</v>
      </c>
      <c r="N113" s="65"/>
      <c r="O113" s="63">
        <f t="shared" si="45"/>
        <v>5.0739999999999998</v>
      </c>
      <c r="P113" s="63">
        <f t="shared" si="46"/>
        <v>5.0739999999999998</v>
      </c>
      <c r="Q113" s="66"/>
      <c r="R113" s="63">
        <f t="shared" si="47"/>
        <v>-0.47548799583281648</v>
      </c>
      <c r="S113" s="64">
        <f t="shared" si="48"/>
        <v>-0.47548799583281648</v>
      </c>
      <c r="T113" s="38">
        <v>0</v>
      </c>
      <c r="U113" s="64">
        <f t="shared" si="49"/>
        <v>0</v>
      </c>
      <c r="V113" s="219">
        <f>(G113+R113)/(1-Summary!$T$13)*Summary!$T$13</f>
        <v>0.33280950849006768</v>
      </c>
      <c r="W113" s="43">
        <f t="shared" si="50"/>
        <v>4.5063215126572516</v>
      </c>
      <c r="X113" s="43">
        <f t="shared" si="51"/>
        <v>4.5063215126572516</v>
      </c>
      <c r="Y113" s="43"/>
      <c r="Z113" s="38">
        <f t="shared" si="52"/>
        <v>1.1000000000000001</v>
      </c>
      <c r="AA113" s="38">
        <f t="shared" si="53"/>
        <v>0.19</v>
      </c>
      <c r="AB113" s="38">
        <f t="shared" ca="1" si="54"/>
        <v>0.20508474496304122</v>
      </c>
      <c r="AC113" s="38">
        <f t="shared" si="55"/>
        <v>1.35</v>
      </c>
      <c r="AD113" s="38">
        <f t="shared" si="55"/>
        <v>0.19</v>
      </c>
      <c r="AE113" s="38">
        <f t="shared" ca="1" si="56"/>
        <v>0.21229878441988126</v>
      </c>
      <c r="AF113" s="237">
        <f ca="1">((Summary!$N$13*(AA113*AD113)*(A113-$D$3))+(Summary!$M$13*Z113*AC113*(AJ113-EOMONTH(EDATE(A113,-1),0))))/(AK113*AB113*AE113)</f>
        <v>0.99698631649891845</v>
      </c>
      <c r="AG113" s="88">
        <f>IF($A114="","",Summary!$Q$13)</f>
        <v>0</v>
      </c>
      <c r="AH113" s="88">
        <f>IF($A114="","",IF(Summary!$R$12="Y",(VLOOKUP($A113,Summary!$AD$6:$AF$9,3)+'Escalating commodity'!I126),'Escalating commodity'!I126))</f>
        <v>5.3591748457861126E-2</v>
      </c>
      <c r="AI113" s="88">
        <f t="shared" si="71"/>
        <v>5.3591748457861126E-2</v>
      </c>
      <c r="AJ113" s="236">
        <f t="shared" si="57"/>
        <v>40193.5</v>
      </c>
      <c r="AK113" s="58">
        <f t="shared" ca="1" si="58"/>
        <v>3153</v>
      </c>
      <c r="AL113" s="26">
        <f ca="1">IF($A114="","",_xll.SPRDOPT(P113,X113,AI113,0,AB113,AE113,AF113,AK113,$AJ$2,0))</f>
        <v>0.51546246727122003</v>
      </c>
      <c r="AM113" s="209">
        <f t="shared" si="59"/>
        <v>0.51408673888488721</v>
      </c>
      <c r="AN113" s="89">
        <f t="shared" ca="1" si="60"/>
        <v>1.3757283863328196E-3</v>
      </c>
      <c r="AO113" s="3">
        <f t="shared" si="61"/>
        <v>31</v>
      </c>
      <c r="AP113" s="33">
        <f t="shared" si="62"/>
        <v>40179</v>
      </c>
      <c r="AQ113" s="58">
        <f t="shared" ca="1" si="63"/>
        <v>3153</v>
      </c>
      <c r="AR113" s="38">
        <f>'ANR OK vs ML7'!AR113</f>
        <v>0.1</v>
      </c>
      <c r="AS113" s="35">
        <f t="shared" ca="1" si="64"/>
        <v>0.43069432027579885</v>
      </c>
      <c r="AT113" s="3">
        <f t="shared" si="65"/>
        <v>1</v>
      </c>
      <c r="AU113" s="3">
        <f t="shared" si="66"/>
        <v>31</v>
      </c>
      <c r="AW113" s="32">
        <f t="shared" ca="1" si="67"/>
        <v>453813.15618558211</v>
      </c>
      <c r="AX113" s="32">
        <f t="shared" si="68"/>
        <v>452601.96491425467</v>
      </c>
      <c r="AY113" s="32">
        <f t="shared" ca="1" si="69"/>
        <v>1211.1912713274144</v>
      </c>
      <c r="BA113" s="32">
        <f ca="1">IF($A114="","",F113*Summary!$Q$13)</f>
        <v>0</v>
      </c>
      <c r="BC113" s="256">
        <f t="shared" ca="1" si="72"/>
        <v>194933.09563423588</v>
      </c>
    </row>
    <row r="114" spans="1:55">
      <c r="A114" s="67">
        <f t="shared" si="70"/>
        <v>40210</v>
      </c>
      <c r="B114" s="69">
        <f t="shared" si="73"/>
        <v>28400</v>
      </c>
      <c r="C114" s="71"/>
      <c r="D114" s="69">
        <f t="shared" si="37"/>
        <v>28400</v>
      </c>
      <c r="E114" s="70">
        <f t="shared" si="38"/>
        <v>795200</v>
      </c>
      <c r="F114" s="70">
        <f t="shared" ca="1" si="39"/>
        <v>339663.3599747846</v>
      </c>
      <c r="G114" s="63">
        <f t="shared" si="40"/>
        <v>4.5289999999999999</v>
      </c>
      <c r="H114" s="64">
        <f t="shared" si="41"/>
        <v>4.5289999999999999</v>
      </c>
      <c r="I114" s="43"/>
      <c r="J114" s="63">
        <f t="shared" si="42"/>
        <v>0.42499999999999999</v>
      </c>
      <c r="K114" s="64">
        <f t="shared" si="43"/>
        <v>0.42499999999999999</v>
      </c>
      <c r="L114" s="38">
        <v>0</v>
      </c>
      <c r="M114" s="64">
        <f t="shared" si="44"/>
        <v>0</v>
      </c>
      <c r="N114" s="65"/>
      <c r="O114" s="63">
        <f t="shared" si="45"/>
        <v>4.9539999999999997</v>
      </c>
      <c r="P114" s="63">
        <f t="shared" si="46"/>
        <v>4.9539999999999997</v>
      </c>
      <c r="Q114" s="66"/>
      <c r="R114" s="63">
        <f t="shared" si="47"/>
        <v>-0.47548499965881963</v>
      </c>
      <c r="S114" s="64">
        <f t="shared" si="48"/>
        <v>-0.47548499965881963</v>
      </c>
      <c r="T114" s="38">
        <v>0</v>
      </c>
      <c r="U114" s="64">
        <f t="shared" si="49"/>
        <v>0</v>
      </c>
      <c r="V114" s="219">
        <f>(G114+R114)/(1-Summary!$T$13)*Summary!$T$13</f>
        <v>0.32324055461531243</v>
      </c>
      <c r="W114" s="43">
        <f t="shared" si="50"/>
        <v>4.3767555549564925</v>
      </c>
      <c r="X114" s="43">
        <f t="shared" si="51"/>
        <v>4.3767555549564925</v>
      </c>
      <c r="Y114" s="43"/>
      <c r="Z114" s="38">
        <f t="shared" si="52"/>
        <v>1.1000000000000001</v>
      </c>
      <c r="AA114" s="38">
        <f t="shared" si="53"/>
        <v>0.185</v>
      </c>
      <c r="AB114" s="38">
        <f t="shared" ca="1" si="54"/>
        <v>0.19888715598696391</v>
      </c>
      <c r="AC114" s="38">
        <f t="shared" si="55"/>
        <v>1.35</v>
      </c>
      <c r="AD114" s="38">
        <f t="shared" si="55"/>
        <v>0.185</v>
      </c>
      <c r="AE114" s="38">
        <f t="shared" ca="1" si="56"/>
        <v>0.20554623344375486</v>
      </c>
      <c r="AF114" s="237">
        <f ca="1">((Summary!$N$13*(AA114*AD114)*(A114-$D$3))+(Summary!$M$13*Z114*AC114*(AJ114-EOMONTH(EDATE(A114,-1),0))))/(AK114*AB114*AE114)</f>
        <v>0.99709745035660824</v>
      </c>
      <c r="AG114" s="88">
        <f>IF($A115="","",Summary!$Q$13)</f>
        <v>0</v>
      </c>
      <c r="AH114" s="88">
        <f>IF($A115="","",IF(Summary!$R$12="Y",(VLOOKUP($A114,Summary!$AD$6:$AF$9,3)+'Escalating commodity'!I127),'Escalating commodity'!I127))</f>
        <v>5.3591748457861126E-2</v>
      </c>
      <c r="AI114" s="88">
        <f t="shared" si="71"/>
        <v>5.3591748457861126E-2</v>
      </c>
      <c r="AJ114" s="236">
        <f t="shared" si="57"/>
        <v>40223</v>
      </c>
      <c r="AK114" s="58">
        <f t="shared" ca="1" si="58"/>
        <v>3184</v>
      </c>
      <c r="AL114" s="26">
        <f ca="1">IF($A115="","",_xll.SPRDOPT(P114,X114,AI114,0,AB114,AE114,AF114,AK114,$AJ$2,0))</f>
        <v>0.52433777544154692</v>
      </c>
      <c r="AM114" s="209">
        <f t="shared" si="59"/>
        <v>0.52365269658564617</v>
      </c>
      <c r="AN114" s="89">
        <f t="shared" ca="1" si="60"/>
        <v>6.850788559007448E-4</v>
      </c>
      <c r="AO114" s="3">
        <f t="shared" si="61"/>
        <v>28</v>
      </c>
      <c r="AP114" s="33">
        <f t="shared" si="62"/>
        <v>40210</v>
      </c>
      <c r="AQ114" s="58">
        <f t="shared" ca="1" si="63"/>
        <v>3184</v>
      </c>
      <c r="AR114" s="38">
        <f>'ANR OK vs ML7'!AR114</f>
        <v>0.1</v>
      </c>
      <c r="AS114" s="35">
        <f t="shared" ca="1" si="64"/>
        <v>0.42714205228217378</v>
      </c>
      <c r="AT114" s="3">
        <f t="shared" si="65"/>
        <v>1</v>
      </c>
      <c r="AU114" s="3">
        <f t="shared" si="66"/>
        <v>28</v>
      </c>
      <c r="AW114" s="32">
        <f t="shared" ca="1" si="67"/>
        <v>416953.39903111808</v>
      </c>
      <c r="AX114" s="32">
        <f t="shared" si="68"/>
        <v>416408.62432490586</v>
      </c>
      <c r="AY114" s="32">
        <f t="shared" ca="1" si="69"/>
        <v>544.77470621227224</v>
      </c>
      <c r="BA114" s="32">
        <f ca="1">IF($A115="","",F114*Summary!$Q$13)</f>
        <v>0</v>
      </c>
      <c r="BC114" s="256">
        <f t="shared" ca="1" si="72"/>
        <v>177865.63438213698</v>
      </c>
    </row>
    <row r="115" spans="1:55">
      <c r="A115" s="67">
        <f t="shared" si="70"/>
        <v>40238</v>
      </c>
      <c r="B115" s="69">
        <f t="shared" si="73"/>
        <v>28400</v>
      </c>
      <c r="C115" s="71"/>
      <c r="D115" s="69">
        <f t="shared" si="37"/>
        <v>28400</v>
      </c>
      <c r="E115" s="70">
        <f t="shared" si="38"/>
        <v>880400</v>
      </c>
      <c r="F115" s="70">
        <f t="shared" ca="1" si="39"/>
        <v>373253.2759117742</v>
      </c>
      <c r="G115" s="63">
        <f t="shared" si="40"/>
        <v>4.3899999999999997</v>
      </c>
      <c r="H115" s="64">
        <f t="shared" si="41"/>
        <v>4.3899999999999997</v>
      </c>
      <c r="I115" s="43"/>
      <c r="J115" s="63">
        <f t="shared" si="42"/>
        <v>0.42499999999999999</v>
      </c>
      <c r="K115" s="64">
        <f t="shared" si="43"/>
        <v>0.42499999999999999</v>
      </c>
      <c r="L115" s="38">
        <v>0</v>
      </c>
      <c r="M115" s="64">
        <f t="shared" si="44"/>
        <v>0</v>
      </c>
      <c r="N115" s="65"/>
      <c r="O115" s="63">
        <f t="shared" si="45"/>
        <v>4.8149999999999995</v>
      </c>
      <c r="P115" s="63">
        <f t="shared" si="46"/>
        <v>4.8149999999999995</v>
      </c>
      <c r="Q115" s="66"/>
      <c r="R115" s="63">
        <f t="shared" si="47"/>
        <v>-0.47548235071569867</v>
      </c>
      <c r="S115" s="64">
        <f t="shared" si="48"/>
        <v>-0.47548235071569867</v>
      </c>
      <c r="T115" s="38">
        <v>0</v>
      </c>
      <c r="U115" s="64">
        <f t="shared" si="49"/>
        <v>0</v>
      </c>
      <c r="V115" s="219">
        <f>(G115+R115)/(1-Summary!$T$13)*Summary!$T$13</f>
        <v>0.31215645085798005</v>
      </c>
      <c r="W115" s="43">
        <f t="shared" si="50"/>
        <v>4.2266741001422812</v>
      </c>
      <c r="X115" s="43">
        <f t="shared" si="51"/>
        <v>4.2266741001422812</v>
      </c>
      <c r="Y115" s="43"/>
      <c r="Z115" s="38">
        <f t="shared" si="52"/>
        <v>0.75</v>
      </c>
      <c r="AA115" s="38">
        <f t="shared" si="53"/>
        <v>0.183</v>
      </c>
      <c r="AB115" s="38">
        <f t="shared" ca="1" si="54"/>
        <v>0.19029938643021441</v>
      </c>
      <c r="AC115" s="38">
        <f t="shared" si="55"/>
        <v>0.95</v>
      </c>
      <c r="AD115" s="38">
        <f t="shared" si="55"/>
        <v>0.183</v>
      </c>
      <c r="AE115" s="38">
        <f t="shared" ca="1" si="56"/>
        <v>0.19456253176581376</v>
      </c>
      <c r="AF115" s="237">
        <f ca="1">((Summary!$N$13*(AA115*AD115)*(A115-$D$3))+(Summary!$M$13*Z115*AC115*(AJ115-EOMONTH(EDATE(A115,-1),0))))/(AK115*AB115*AE115)</f>
        <v>0.99754826482750725</v>
      </c>
      <c r="AG115" s="88">
        <f>IF($A116="","",Summary!$Q$13)</f>
        <v>0</v>
      </c>
      <c r="AH115" s="88">
        <f>IF($A116="","",IF(Summary!$R$12="Y",(VLOOKUP($A115,Summary!$AD$6:$AF$9,3)+'Escalating commodity'!I128),'Escalating commodity'!I128))</f>
        <v>5.3591748457861126E-2</v>
      </c>
      <c r="AI115" s="88">
        <f t="shared" si="71"/>
        <v>5.3591748457861126E-2</v>
      </c>
      <c r="AJ115" s="236">
        <f t="shared" si="57"/>
        <v>40252.5</v>
      </c>
      <c r="AK115" s="58">
        <f t="shared" ca="1" si="58"/>
        <v>3212</v>
      </c>
      <c r="AL115" s="26">
        <f ca="1">IF($A116="","",_xll.SPRDOPT(P115,X115,AI115,0,AB115,AE115,AF115,AK115,$AJ$2,0))</f>
        <v>0.53482776772392693</v>
      </c>
      <c r="AM115" s="209">
        <f t="shared" si="59"/>
        <v>0.53473415139985725</v>
      </c>
      <c r="AN115" s="89">
        <f t="shared" ca="1" si="60"/>
        <v>9.3616324069678569E-5</v>
      </c>
      <c r="AO115" s="3">
        <f t="shared" si="61"/>
        <v>31</v>
      </c>
      <c r="AP115" s="33">
        <f t="shared" si="62"/>
        <v>40238</v>
      </c>
      <c r="AQ115" s="58">
        <f t="shared" ca="1" si="63"/>
        <v>3212</v>
      </c>
      <c r="AR115" s="38">
        <f>'ANR OK vs ML7'!AR115</f>
        <v>0.1</v>
      </c>
      <c r="AS115" s="35">
        <f t="shared" ca="1" si="64"/>
        <v>0.42395874138093387</v>
      </c>
      <c r="AT115" s="3">
        <f t="shared" si="65"/>
        <v>1</v>
      </c>
      <c r="AU115" s="3">
        <f t="shared" si="66"/>
        <v>31</v>
      </c>
      <c r="AW115" s="32">
        <f t="shared" ca="1" si="67"/>
        <v>470862.36670414527</v>
      </c>
      <c r="AX115" s="32">
        <f t="shared" si="68"/>
        <v>470779.94689243432</v>
      </c>
      <c r="AY115" s="32">
        <f t="shared" ca="1" si="69"/>
        <v>82.419811710945012</v>
      </c>
      <c r="BA115" s="32">
        <f ca="1">IF($A116="","",F115*Summary!$Q$13)</f>
        <v>0</v>
      </c>
      <c r="BC115" s="256">
        <f t="shared" ca="1" si="72"/>
        <v>199591.27375189937</v>
      </c>
    </row>
    <row r="116" spans="1:55">
      <c r="A116" s="67">
        <f t="shared" si="70"/>
        <v>40269</v>
      </c>
      <c r="B116" s="69">
        <f t="shared" si="73"/>
        <v>28400</v>
      </c>
      <c r="C116" s="71"/>
      <c r="D116" s="69">
        <f t="shared" si="37"/>
        <v>28400</v>
      </c>
      <c r="E116" s="70">
        <f t="shared" si="38"/>
        <v>852000</v>
      </c>
      <c r="F116" s="70">
        <f t="shared" ca="1" si="39"/>
        <v>358233.64691670157</v>
      </c>
      <c r="G116" s="63">
        <f t="shared" si="40"/>
        <v>4.2149999999999999</v>
      </c>
      <c r="H116" s="64">
        <f t="shared" si="41"/>
        <v>4.2149999999999999</v>
      </c>
      <c r="I116" s="43"/>
      <c r="J116" s="63">
        <f t="shared" si="42"/>
        <v>0.23499999999999999</v>
      </c>
      <c r="K116" s="64">
        <f t="shared" si="43"/>
        <v>0.23499999999999999</v>
      </c>
      <c r="L116" s="38">
        <v>0</v>
      </c>
      <c r="M116" s="64">
        <f t="shared" si="44"/>
        <v>0</v>
      </c>
      <c r="N116" s="65"/>
      <c r="O116" s="63">
        <f t="shared" si="45"/>
        <v>4.45</v>
      </c>
      <c r="P116" s="63">
        <f t="shared" si="46"/>
        <v>4.45</v>
      </c>
      <c r="Q116" s="66"/>
      <c r="R116" s="63">
        <f t="shared" si="47"/>
        <v>-0.54924512012631821</v>
      </c>
      <c r="S116" s="64">
        <f t="shared" si="48"/>
        <v>-0.54924512012631821</v>
      </c>
      <c r="T116" s="38">
        <v>0</v>
      </c>
      <c r="U116" s="64">
        <f t="shared" si="49"/>
        <v>0</v>
      </c>
      <c r="V116" s="219">
        <f>(G116+R116)/(1-Summary!$T$13)*Summary!$T$13</f>
        <v>0.29231929334279588</v>
      </c>
      <c r="W116" s="43">
        <f t="shared" si="50"/>
        <v>3.9580741732164775</v>
      </c>
      <c r="X116" s="43">
        <f t="shared" si="51"/>
        <v>3.9580741732164775</v>
      </c>
      <c r="Y116" s="43"/>
      <c r="Z116" s="38">
        <f t="shared" si="52"/>
        <v>0.45</v>
      </c>
      <c r="AA116" s="38">
        <f t="shared" si="53"/>
        <v>0.183</v>
      </c>
      <c r="AB116" s="38">
        <f t="shared" ca="1" si="54"/>
        <v>0.18556928435747999</v>
      </c>
      <c r="AC116" s="38">
        <f t="shared" si="55"/>
        <v>0.5</v>
      </c>
      <c r="AD116" s="38">
        <f t="shared" si="55"/>
        <v>0.183</v>
      </c>
      <c r="AE116" s="38">
        <f t="shared" ca="1" si="56"/>
        <v>0.18616031605781508</v>
      </c>
      <c r="AF116" s="237">
        <f ca="1">((Summary!$N$13*(AA116*AD116)*(A116-$D$3))+(Summary!$M$13*Z116*AC116*(AJ116-EOMONTH(EDATE(A116,-1),0))))/(AK116*AB116*AE116)</f>
        <v>0.99974072103106315</v>
      </c>
      <c r="AG116" s="88">
        <f>IF($A117="","",Summary!$Q$13)</f>
        <v>0</v>
      </c>
      <c r="AH116" s="88">
        <f>IF($A117="","",IF(Summary!$R$12="Y",(VLOOKUP($A116,Summary!$AD$6:$AF$9,3)+'Escalating commodity'!I129),'Escalating commodity'!I129))</f>
        <v>5.3591748457861126E-2</v>
      </c>
      <c r="AI116" s="88">
        <f t="shared" si="71"/>
        <v>5.3591748457861126E-2</v>
      </c>
      <c r="AJ116" s="236">
        <f t="shared" si="57"/>
        <v>40283</v>
      </c>
      <c r="AK116" s="58">
        <f t="shared" ca="1" si="58"/>
        <v>3243</v>
      </c>
      <c r="AL116" s="26">
        <f ca="1">IF($A117="","",_xll.SPRDOPT(P116,X116,AI116,0,AB116,AE116,AF116,AK116,$AJ$2,0))</f>
        <v>0.4383350987667245</v>
      </c>
      <c r="AM116" s="209">
        <f t="shared" si="59"/>
        <v>0.43833407832566157</v>
      </c>
      <c r="AN116" s="89">
        <f t="shared" ca="1" si="60"/>
        <v>1.0204410629266469E-6</v>
      </c>
      <c r="AO116" s="3">
        <f t="shared" si="61"/>
        <v>30</v>
      </c>
      <c r="AP116" s="33">
        <f t="shared" si="62"/>
        <v>40269</v>
      </c>
      <c r="AQ116" s="58">
        <f t="shared" ca="1" si="63"/>
        <v>3243</v>
      </c>
      <c r="AR116" s="38">
        <f>'ANR OK vs ML7'!AR116</f>
        <v>0.1</v>
      </c>
      <c r="AS116" s="35">
        <f t="shared" ca="1" si="64"/>
        <v>0.42046202689753703</v>
      </c>
      <c r="AT116" s="3">
        <f t="shared" si="65"/>
        <v>1</v>
      </c>
      <c r="AU116" s="3">
        <f t="shared" si="66"/>
        <v>30</v>
      </c>
      <c r="AW116" s="32">
        <f t="shared" ca="1" si="67"/>
        <v>373461.50414924929</v>
      </c>
      <c r="AX116" s="32">
        <f t="shared" si="68"/>
        <v>373460.63473346364</v>
      </c>
      <c r="AY116" s="32">
        <f t="shared" ca="1" si="69"/>
        <v>0.86941578561350319</v>
      </c>
      <c r="BA116" s="32">
        <f ca="1">IF($A117="","",F116*Summary!$Q$13)</f>
        <v>0</v>
      </c>
      <c r="BC116" s="256">
        <f t="shared" ca="1" si="72"/>
        <v>157026.01544647285</v>
      </c>
    </row>
    <row r="117" spans="1:55">
      <c r="A117" s="67">
        <f t="shared" si="70"/>
        <v>40299</v>
      </c>
      <c r="B117" s="69">
        <f t="shared" si="73"/>
        <v>28400</v>
      </c>
      <c r="C117" s="71"/>
      <c r="D117" s="69">
        <f t="shared" si="37"/>
        <v>28400</v>
      </c>
      <c r="E117" s="70">
        <f t="shared" si="38"/>
        <v>880400</v>
      </c>
      <c r="F117" s="70">
        <f t="shared" ca="1" si="39"/>
        <v>367219.74533510883</v>
      </c>
      <c r="G117" s="63">
        <f t="shared" si="40"/>
        <v>4.1849999999999996</v>
      </c>
      <c r="H117" s="64">
        <f t="shared" si="41"/>
        <v>4.1849999999999996</v>
      </c>
      <c r="I117" s="43"/>
      <c r="J117" s="63">
        <f t="shared" si="42"/>
        <v>0.23499999999999999</v>
      </c>
      <c r="K117" s="64">
        <f t="shared" si="43"/>
        <v>0.23499999999999999</v>
      </c>
      <c r="L117" s="38">
        <v>0</v>
      </c>
      <c r="M117" s="64">
        <f t="shared" si="44"/>
        <v>0</v>
      </c>
      <c r="N117" s="65"/>
      <c r="O117" s="63">
        <f t="shared" si="45"/>
        <v>4.42</v>
      </c>
      <c r="P117" s="63">
        <f t="shared" si="46"/>
        <v>4.42</v>
      </c>
      <c r="Q117" s="66"/>
      <c r="R117" s="63">
        <f t="shared" si="47"/>
        <v>-0.54924251488382747</v>
      </c>
      <c r="S117" s="64">
        <f t="shared" si="48"/>
        <v>-0.54924251488382747</v>
      </c>
      <c r="T117" s="38">
        <v>0</v>
      </c>
      <c r="U117" s="64">
        <f t="shared" si="49"/>
        <v>0</v>
      </c>
      <c r="V117" s="219">
        <f>(G117+R117)/(1-Summary!$T$13)*Summary!$T$13</f>
        <v>0.28992720289349061</v>
      </c>
      <c r="W117" s="43">
        <f t="shared" si="50"/>
        <v>3.9256846880096625</v>
      </c>
      <c r="X117" s="43">
        <f t="shared" si="51"/>
        <v>3.9256846880096625</v>
      </c>
      <c r="Y117" s="43"/>
      <c r="Z117" s="38">
        <f t="shared" si="52"/>
        <v>0.5</v>
      </c>
      <c r="AA117" s="38">
        <f t="shared" si="53"/>
        <v>0.183</v>
      </c>
      <c r="AB117" s="38">
        <f t="shared" ca="1" si="54"/>
        <v>0.18623415641165267</v>
      </c>
      <c r="AC117" s="38">
        <f t="shared" si="55"/>
        <v>0.45</v>
      </c>
      <c r="AD117" s="38">
        <f t="shared" si="55"/>
        <v>0.183</v>
      </c>
      <c r="AE117" s="38">
        <f t="shared" ca="1" si="56"/>
        <v>0.18562923929738678</v>
      </c>
      <c r="AF117" s="237">
        <f ca="1">((Summary!$N$13*(AA117*AD117)*(A117-$D$3))+(Summary!$M$13*Z117*AC117*(AJ117-EOMONTH(EDATE(A117,-1),0))))/(AK117*AB117*AE117)</f>
        <v>0.99973715725374757</v>
      </c>
      <c r="AG117" s="88">
        <f>IF($A118="","",Summary!$Q$13)</f>
        <v>0</v>
      </c>
      <c r="AH117" s="88">
        <f>IF($A118="","",IF(Summary!$R$12="Y",(VLOOKUP($A117,Summary!$AD$6:$AF$9,3)+'Escalating commodity'!I130),'Escalating commodity'!I130))</f>
        <v>5.3591748457861126E-2</v>
      </c>
      <c r="AI117" s="88">
        <f t="shared" si="71"/>
        <v>5.3591748457861126E-2</v>
      </c>
      <c r="AJ117" s="236">
        <f t="shared" si="57"/>
        <v>40313.5</v>
      </c>
      <c r="AK117" s="58">
        <f t="shared" ca="1" si="58"/>
        <v>3273</v>
      </c>
      <c r="AL117" s="26">
        <f ca="1">IF($A118="","",_xll.SPRDOPT(P117,X117,AI117,0,AB117,AE117,AF117,AK117,$AJ$2,0))</f>
        <v>0.44072623592929344</v>
      </c>
      <c r="AM117" s="209">
        <f t="shared" si="59"/>
        <v>0.44072356353247627</v>
      </c>
      <c r="AN117" s="89">
        <f t="shared" ca="1" si="60"/>
        <v>2.672396817171574E-6</v>
      </c>
      <c r="AO117" s="3">
        <f t="shared" si="61"/>
        <v>31</v>
      </c>
      <c r="AP117" s="33">
        <f t="shared" si="62"/>
        <v>40299</v>
      </c>
      <c r="AQ117" s="58">
        <f t="shared" ca="1" si="63"/>
        <v>3273</v>
      </c>
      <c r="AR117" s="38">
        <f>'ANR OK vs ML7'!AR117</f>
        <v>0.1</v>
      </c>
      <c r="AS117" s="35">
        <f t="shared" ca="1" si="64"/>
        <v>0.41710557171184559</v>
      </c>
      <c r="AT117" s="3">
        <f t="shared" si="65"/>
        <v>1</v>
      </c>
      <c r="AU117" s="3">
        <f t="shared" si="66"/>
        <v>31</v>
      </c>
      <c r="AW117" s="32">
        <f t="shared" ca="1" si="67"/>
        <v>388015.37811214995</v>
      </c>
      <c r="AX117" s="32">
        <f t="shared" si="68"/>
        <v>388013.02533399209</v>
      </c>
      <c r="AY117" s="32">
        <f t="shared" ca="1" si="69"/>
        <v>2.3527781578378537</v>
      </c>
      <c r="BA117" s="32">
        <f ca="1">IF($A118="","",F117*Summary!$Q$13)</f>
        <v>0</v>
      </c>
      <c r="BC117" s="256">
        <f t="shared" ca="1" si="72"/>
        <v>161842.39476357758</v>
      </c>
    </row>
    <row r="118" spans="1:55">
      <c r="A118" s="67">
        <f t="shared" si="70"/>
        <v>40330</v>
      </c>
      <c r="B118" s="69">
        <f t="shared" si="73"/>
        <v>28400</v>
      </c>
      <c r="C118" s="71"/>
      <c r="D118" s="69">
        <f t="shared" si="37"/>
        <v>28400</v>
      </c>
      <c r="E118" s="70">
        <f t="shared" si="38"/>
        <v>852000</v>
      </c>
      <c r="F118" s="70">
        <f t="shared" ca="1" si="39"/>
        <v>352442.90427155705</v>
      </c>
      <c r="G118" s="63">
        <f t="shared" si="40"/>
        <v>4.2549999999999999</v>
      </c>
      <c r="H118" s="64">
        <f t="shared" si="41"/>
        <v>4.2549999999999999</v>
      </c>
      <c r="I118" s="43"/>
      <c r="J118" s="63">
        <f t="shared" si="42"/>
        <v>0.23499999999999999</v>
      </c>
      <c r="K118" s="64">
        <f t="shared" si="43"/>
        <v>0.23499999999999999</v>
      </c>
      <c r="L118" s="38">
        <v>0</v>
      </c>
      <c r="M118" s="64">
        <f t="shared" si="44"/>
        <v>0</v>
      </c>
      <c r="N118" s="65"/>
      <c r="O118" s="63">
        <f t="shared" si="45"/>
        <v>4.49</v>
      </c>
      <c r="P118" s="63">
        <f t="shared" si="46"/>
        <v>4.49</v>
      </c>
      <c r="Q118" s="66"/>
      <c r="R118" s="63">
        <f t="shared" si="47"/>
        <v>-0.54923988574570659</v>
      </c>
      <c r="S118" s="64">
        <f t="shared" si="48"/>
        <v>-0.54923988574570659</v>
      </c>
      <c r="T118" s="38">
        <v>0</v>
      </c>
      <c r="U118" s="64">
        <f t="shared" si="49"/>
        <v>0</v>
      </c>
      <c r="V118" s="219">
        <f>(G118+R118)/(1-Summary!$T$13)*Summary!$T$13</f>
        <v>0.29550944168259874</v>
      </c>
      <c r="W118" s="43">
        <f t="shared" si="50"/>
        <v>4.0012695559368918</v>
      </c>
      <c r="X118" s="43">
        <f t="shared" si="51"/>
        <v>4.0012695559368918</v>
      </c>
      <c r="Y118" s="43"/>
      <c r="Z118" s="38">
        <f t="shared" si="52"/>
        <v>0.5</v>
      </c>
      <c r="AA118" s="38">
        <f t="shared" si="53"/>
        <v>0.183</v>
      </c>
      <c r="AB118" s="38">
        <f t="shared" ca="1" si="54"/>
        <v>0.18610245508683179</v>
      </c>
      <c r="AC118" s="38">
        <f t="shared" si="55"/>
        <v>0.5</v>
      </c>
      <c r="AD118" s="38">
        <f t="shared" si="55"/>
        <v>0.183</v>
      </c>
      <c r="AE118" s="38">
        <f t="shared" ca="1" si="56"/>
        <v>0.18610245508683179</v>
      </c>
      <c r="AF118" s="237">
        <f ca="1">((Summary!$N$13*(AA118*AD118)*(A118-$D$3))+(Summary!$M$13*Z118*AC118*(AJ118-EOMONTH(EDATE(A118,-1),0))))/(AK118*AB118*AE118)</f>
        <v>0.99990327707985449</v>
      </c>
      <c r="AG118" s="88">
        <f>IF($A119="","",Summary!$Q$13)</f>
        <v>0</v>
      </c>
      <c r="AH118" s="88">
        <f>IF($A119="","",IF(Summary!$R$12="Y",(VLOOKUP($A118,Summary!$AD$6:$AF$9,3)+'Escalating commodity'!I131),'Escalating commodity'!I131))</f>
        <v>5.3591748457861126E-2</v>
      </c>
      <c r="AI118" s="88">
        <f t="shared" si="71"/>
        <v>5.3591748457861126E-2</v>
      </c>
      <c r="AJ118" s="236">
        <f t="shared" si="57"/>
        <v>40344</v>
      </c>
      <c r="AK118" s="58">
        <f t="shared" ca="1" si="58"/>
        <v>3304</v>
      </c>
      <c r="AL118" s="26">
        <f ca="1">IF($A119="","",_xll.SPRDOPT(P118,X118,AI118,0,AB118,AE118,AF118,AK118,$AJ$2,0))</f>
        <v>0.43514005167876701</v>
      </c>
      <c r="AM118" s="209">
        <f t="shared" si="59"/>
        <v>0.43513869560524726</v>
      </c>
      <c r="AN118" s="89">
        <f t="shared" ca="1" si="60"/>
        <v>1.3560735197537532E-6</v>
      </c>
      <c r="AO118" s="3">
        <f t="shared" si="61"/>
        <v>30</v>
      </c>
      <c r="AP118" s="33">
        <f t="shared" si="62"/>
        <v>40330</v>
      </c>
      <c r="AQ118" s="58">
        <f t="shared" ca="1" si="63"/>
        <v>3304</v>
      </c>
      <c r="AR118" s="38">
        <f>'ANR OK vs ML7'!AR118</f>
        <v>0.1</v>
      </c>
      <c r="AS118" s="35">
        <f t="shared" ca="1" si="64"/>
        <v>0.41366538060041907</v>
      </c>
      <c r="AT118" s="3">
        <f t="shared" si="65"/>
        <v>1</v>
      </c>
      <c r="AU118" s="3">
        <f t="shared" si="66"/>
        <v>30</v>
      </c>
      <c r="AW118" s="32">
        <f t="shared" ca="1" si="67"/>
        <v>370739.32403030951</v>
      </c>
      <c r="AX118" s="32">
        <f t="shared" si="68"/>
        <v>370738.16865567066</v>
      </c>
      <c r="AY118" s="32">
        <f t="shared" ca="1" si="69"/>
        <v>1.1553746388301978</v>
      </c>
      <c r="BA118" s="32">
        <f ca="1">IF($A119="","",F118*Summary!$Q$13)</f>
        <v>0</v>
      </c>
      <c r="BC118" s="256">
        <f t="shared" ca="1" si="72"/>
        <v>153361.54564005038</v>
      </c>
    </row>
    <row r="119" spans="1:55">
      <c r="A119" s="67">
        <f t="shared" si="70"/>
        <v>40360</v>
      </c>
      <c r="B119" s="69">
        <f t="shared" si="73"/>
        <v>28400</v>
      </c>
      <c r="C119" s="71"/>
      <c r="D119" s="69">
        <f t="shared" si="37"/>
        <v>28400</v>
      </c>
      <c r="E119" s="70">
        <f t="shared" si="38"/>
        <v>880400</v>
      </c>
      <c r="F119" s="70">
        <f t="shared" ca="1" si="39"/>
        <v>361283.74502426817</v>
      </c>
      <c r="G119" s="63">
        <f t="shared" si="40"/>
        <v>4.3099999999999996</v>
      </c>
      <c r="H119" s="64">
        <f t="shared" si="41"/>
        <v>4.3099999999999996</v>
      </c>
      <c r="I119" s="43"/>
      <c r="J119" s="63">
        <f t="shared" si="42"/>
        <v>0.23499999999999999</v>
      </c>
      <c r="K119" s="64">
        <f t="shared" si="43"/>
        <v>0.23499999999999999</v>
      </c>
      <c r="L119" s="38">
        <v>0</v>
      </c>
      <c r="M119" s="64">
        <f t="shared" si="44"/>
        <v>0</v>
      </c>
      <c r="N119" s="65"/>
      <c r="O119" s="63">
        <f t="shared" si="45"/>
        <v>4.5449999999999999</v>
      </c>
      <c r="P119" s="63">
        <f t="shared" si="46"/>
        <v>4.5449999999999999</v>
      </c>
      <c r="Q119" s="66"/>
      <c r="R119" s="63">
        <f t="shared" si="47"/>
        <v>-0.54923740233113461</v>
      </c>
      <c r="S119" s="64">
        <f t="shared" si="48"/>
        <v>-0.54923740233113461</v>
      </c>
      <c r="T119" s="38">
        <v>0</v>
      </c>
      <c r="U119" s="64">
        <f t="shared" si="49"/>
        <v>0</v>
      </c>
      <c r="V119" s="219">
        <f>(G119+R119)/(1-Summary!$T$13)*Summary!$T$13</f>
        <v>0.29989551975129947</v>
      </c>
      <c r="W119" s="43">
        <f t="shared" si="50"/>
        <v>4.0606581174201644</v>
      </c>
      <c r="X119" s="43">
        <f t="shared" si="51"/>
        <v>4.0606581174201644</v>
      </c>
      <c r="Y119" s="43"/>
      <c r="Z119" s="38">
        <f t="shared" si="52"/>
        <v>0.55000000000000004</v>
      </c>
      <c r="AA119" s="38">
        <f t="shared" si="53"/>
        <v>0.183</v>
      </c>
      <c r="AB119" s="38">
        <f t="shared" ca="1" si="54"/>
        <v>0.18682983814775286</v>
      </c>
      <c r="AC119" s="38">
        <f t="shared" si="55"/>
        <v>0.5</v>
      </c>
      <c r="AD119" s="38">
        <f t="shared" si="55"/>
        <v>0.183</v>
      </c>
      <c r="AE119" s="38">
        <f t="shared" ca="1" si="56"/>
        <v>0.1861754877462457</v>
      </c>
      <c r="AF119" s="237">
        <f ca="1">((Summary!$N$13*(AA119*AD119)*(A119-$D$3))+(Summary!$M$13*Z119*AC119*(AJ119-EOMONTH(EDATE(A119,-1),0))))/(AK119*AB119*AE119)</f>
        <v>0.999742773195748</v>
      </c>
      <c r="AG119" s="88">
        <f>IF($A120="","",Summary!$Q$13)</f>
        <v>0</v>
      </c>
      <c r="AH119" s="88">
        <f>IF($A120="","",IF(Summary!$R$12="Y",(VLOOKUP($A119,Summary!$AD$6:$AF$9,3)+'Escalating commodity'!I132),'Escalating commodity'!I132))</f>
        <v>5.3591748457861126E-2</v>
      </c>
      <c r="AI119" s="88">
        <f t="shared" si="71"/>
        <v>5.3591748457861126E-2</v>
      </c>
      <c r="AJ119" s="236">
        <f t="shared" si="57"/>
        <v>40374.5</v>
      </c>
      <c r="AK119" s="58">
        <f t="shared" ca="1" si="58"/>
        <v>3334</v>
      </c>
      <c r="AL119" s="26">
        <f ca="1">IF($A120="","",_xll.SPRDOPT(P119,X119,AI119,0,AB119,AE119,AF119,AK119,$AJ$2,0))</f>
        <v>0.43075483903698797</v>
      </c>
      <c r="AM119" s="209">
        <f t="shared" si="59"/>
        <v>0.43075013412197444</v>
      </c>
      <c r="AN119" s="89">
        <f t="shared" ca="1" si="60"/>
        <v>4.7049150135314299E-6</v>
      </c>
      <c r="AO119" s="3">
        <f t="shared" si="61"/>
        <v>31</v>
      </c>
      <c r="AP119" s="33">
        <f t="shared" si="62"/>
        <v>40360</v>
      </c>
      <c r="AQ119" s="58">
        <f t="shared" ca="1" si="63"/>
        <v>3334</v>
      </c>
      <c r="AR119" s="38">
        <f>'ANR OK vs ML7'!AR119</f>
        <v>0.1</v>
      </c>
      <c r="AS119" s="35">
        <f t="shared" ca="1" si="64"/>
        <v>0.41036318153597018</v>
      </c>
      <c r="AT119" s="3">
        <f t="shared" si="65"/>
        <v>1</v>
      </c>
      <c r="AU119" s="3">
        <f t="shared" si="66"/>
        <v>31</v>
      </c>
      <c r="AW119" s="32">
        <f t="shared" ca="1" si="67"/>
        <v>379236.56028816418</v>
      </c>
      <c r="AX119" s="32">
        <f t="shared" si="68"/>
        <v>379232.4180809863</v>
      </c>
      <c r="AY119" s="32">
        <f t="shared" ca="1" si="69"/>
        <v>4.1422071779130709</v>
      </c>
      <c r="BA119" s="32">
        <f ca="1">IF($A120="","",F119*Summary!$Q$13)</f>
        <v>0</v>
      </c>
      <c r="BC119" s="256">
        <f t="shared" ca="1" si="72"/>
        <v>155623.02162529272</v>
      </c>
    </row>
    <row r="120" spans="1:55">
      <c r="A120" s="67">
        <f t="shared" si="70"/>
        <v>40391</v>
      </c>
      <c r="B120" s="69">
        <f t="shared" si="73"/>
        <v>28400</v>
      </c>
      <c r="C120" s="71"/>
      <c r="D120" s="69">
        <f t="shared" si="37"/>
        <v>28400</v>
      </c>
      <c r="E120" s="70">
        <f t="shared" si="38"/>
        <v>880400</v>
      </c>
      <c r="F120" s="70">
        <f t="shared" ca="1" si="39"/>
        <v>358303.95953918237</v>
      </c>
      <c r="G120" s="63">
        <f t="shared" si="40"/>
        <v>4.3660000000000005</v>
      </c>
      <c r="H120" s="64">
        <f t="shared" si="41"/>
        <v>4.3660000000000005</v>
      </c>
      <c r="I120" s="43"/>
      <c r="J120" s="63">
        <f t="shared" si="42"/>
        <v>0.23499999999999999</v>
      </c>
      <c r="K120" s="64">
        <f t="shared" si="43"/>
        <v>0.23499999999999999</v>
      </c>
      <c r="L120" s="38">
        <v>0</v>
      </c>
      <c r="M120" s="64">
        <f t="shared" si="44"/>
        <v>0</v>
      </c>
      <c r="N120" s="65"/>
      <c r="O120" s="63">
        <f t="shared" si="45"/>
        <v>4.6010000000000009</v>
      </c>
      <c r="P120" s="63">
        <f t="shared" si="46"/>
        <v>4.6010000000000009</v>
      </c>
      <c r="Q120" s="66"/>
      <c r="R120" s="63">
        <f t="shared" si="47"/>
        <v>-0.54923489907625811</v>
      </c>
      <c r="S120" s="64">
        <f t="shared" si="48"/>
        <v>-0.54923489907625811</v>
      </c>
      <c r="T120" s="38">
        <v>0</v>
      </c>
      <c r="U120" s="64">
        <f t="shared" si="49"/>
        <v>0</v>
      </c>
      <c r="V120" s="219">
        <f>(G120+R120)/(1-Summary!$T$13)*Summary!$T$13</f>
        <v>0.30436134267546</v>
      </c>
      <c r="W120" s="43">
        <f t="shared" si="50"/>
        <v>4.1211264435992021</v>
      </c>
      <c r="X120" s="43">
        <f t="shared" si="51"/>
        <v>4.1211264435992021</v>
      </c>
      <c r="Y120" s="43"/>
      <c r="Z120" s="38">
        <f t="shared" si="52"/>
        <v>0.6</v>
      </c>
      <c r="AA120" s="38">
        <f t="shared" si="53"/>
        <v>0.183</v>
      </c>
      <c r="AB120" s="38">
        <f t="shared" ca="1" si="54"/>
        <v>0.18750253014637622</v>
      </c>
      <c r="AC120" s="38">
        <f t="shared" si="55"/>
        <v>0.45</v>
      </c>
      <c r="AD120" s="38">
        <f t="shared" si="55"/>
        <v>0.183</v>
      </c>
      <c r="AE120" s="38">
        <f t="shared" ca="1" si="56"/>
        <v>0.18555785054521373</v>
      </c>
      <c r="AF120" s="237">
        <f ca="1">((Summary!$N$13*(AA120*AD120)*(A120-$D$3))+(Summary!$M$13*Z120*AC120*(AJ120-EOMONTH(EDATE(A120,-1),0))))/(AK120*AB120*AE120)</f>
        <v>0.9984686610021688</v>
      </c>
      <c r="AG120" s="88">
        <f>IF($A121="","",Summary!$Q$13)</f>
        <v>0</v>
      </c>
      <c r="AH120" s="88">
        <f>IF($A121="","",IF(Summary!$R$12="Y",(VLOOKUP($A120,Summary!$AD$6:$AF$9,3)+'Escalating commodity'!I133),'Escalating commodity'!I133))</f>
        <v>5.3591748457861126E-2</v>
      </c>
      <c r="AI120" s="88">
        <f t="shared" si="71"/>
        <v>5.3591748457861126E-2</v>
      </c>
      <c r="AJ120" s="236">
        <f t="shared" si="57"/>
        <v>40405.5</v>
      </c>
      <c r="AK120" s="58">
        <f t="shared" ca="1" si="58"/>
        <v>3365</v>
      </c>
      <c r="AL120" s="26">
        <f ca="1">IF($A121="","",_xll.SPRDOPT(P120,X120,AI120,0,AB120,AE120,AF120,AK120,$AJ$2,0))</f>
        <v>0.42642569081191106</v>
      </c>
      <c r="AM120" s="209">
        <f t="shared" si="59"/>
        <v>0.42628180794293763</v>
      </c>
      <c r="AN120" s="89">
        <f t="shared" ca="1" si="60"/>
        <v>1.4388286897343283E-4</v>
      </c>
      <c r="AO120" s="3">
        <f t="shared" si="61"/>
        <v>31</v>
      </c>
      <c r="AP120" s="33">
        <f t="shared" si="62"/>
        <v>40391</v>
      </c>
      <c r="AQ120" s="58">
        <f t="shared" ca="1" si="63"/>
        <v>3365</v>
      </c>
      <c r="AR120" s="38">
        <f>'ANR OK vs ML7'!AR120</f>
        <v>0.1</v>
      </c>
      <c r="AS120" s="35">
        <f t="shared" ca="1" si="64"/>
        <v>0.40697860011265602</v>
      </c>
      <c r="AT120" s="3">
        <f t="shared" si="65"/>
        <v>1</v>
      </c>
      <c r="AU120" s="3">
        <f t="shared" si="66"/>
        <v>31</v>
      </c>
      <c r="AW120" s="32">
        <f t="shared" ca="1" si="67"/>
        <v>375425.17819080647</v>
      </c>
      <c r="AX120" s="32">
        <f t="shared" si="68"/>
        <v>375298.50371296227</v>
      </c>
      <c r="AY120" s="32">
        <f t="shared" ca="1" si="69"/>
        <v>126.67447784421026</v>
      </c>
      <c r="BA120" s="32">
        <f ca="1">IF($A121="","",F120*Summary!$Q$13)</f>
        <v>0</v>
      </c>
      <c r="BC120" s="256">
        <f t="shared" ca="1" si="72"/>
        <v>152738.45966547582</v>
      </c>
    </row>
    <row r="121" spans="1:55">
      <c r="A121" s="67">
        <f t="shared" si="70"/>
        <v>40422</v>
      </c>
      <c r="B121" s="69">
        <f t="shared" si="73"/>
        <v>28400</v>
      </c>
      <c r="C121" s="71"/>
      <c r="D121" s="69">
        <f t="shared" si="37"/>
        <v>28400</v>
      </c>
      <c r="E121" s="70">
        <f t="shared" si="38"/>
        <v>852000</v>
      </c>
      <c r="F121" s="70">
        <f t="shared" ca="1" si="39"/>
        <v>343885.88771758089</v>
      </c>
      <c r="G121" s="63">
        <f t="shared" si="40"/>
        <v>4.38</v>
      </c>
      <c r="H121" s="64">
        <f t="shared" si="41"/>
        <v>4.38</v>
      </c>
      <c r="I121" s="43"/>
      <c r="J121" s="63">
        <f t="shared" si="42"/>
        <v>0.23499999999999999</v>
      </c>
      <c r="K121" s="64">
        <f t="shared" si="43"/>
        <v>0.23499999999999999</v>
      </c>
      <c r="L121" s="38">
        <v>0</v>
      </c>
      <c r="M121" s="64">
        <f t="shared" si="44"/>
        <v>0</v>
      </c>
      <c r="N121" s="65"/>
      <c r="O121" s="63">
        <f t="shared" si="45"/>
        <v>4.6150000000000002</v>
      </c>
      <c r="P121" s="63">
        <f t="shared" si="46"/>
        <v>4.6150000000000002</v>
      </c>
      <c r="Q121" s="66"/>
      <c r="R121" s="63">
        <f t="shared" si="47"/>
        <v>-0.5492324597903081</v>
      </c>
      <c r="S121" s="64">
        <f t="shared" si="48"/>
        <v>-0.5492324597903081</v>
      </c>
      <c r="T121" s="38">
        <v>0</v>
      </c>
      <c r="U121" s="64">
        <f t="shared" si="49"/>
        <v>0</v>
      </c>
      <c r="V121" s="219">
        <f>(G121+R121)/(1-Summary!$T$13)*Summary!$T$13</f>
        <v>0.30547794301871189</v>
      </c>
      <c r="W121" s="43">
        <f t="shared" si="50"/>
        <v>4.1362454832284037</v>
      </c>
      <c r="X121" s="43">
        <f t="shared" si="51"/>
        <v>4.1362454832284037</v>
      </c>
      <c r="Y121" s="43"/>
      <c r="Z121" s="38">
        <f t="shared" si="52"/>
        <v>0.6</v>
      </c>
      <c r="AA121" s="38">
        <f t="shared" si="53"/>
        <v>0.183</v>
      </c>
      <c r="AB121" s="38">
        <f t="shared" ca="1" si="54"/>
        <v>0.18732049357848604</v>
      </c>
      <c r="AC121" s="38">
        <f t="shared" si="55"/>
        <v>0.5</v>
      </c>
      <c r="AD121" s="38">
        <f t="shared" si="55"/>
        <v>0.183</v>
      </c>
      <c r="AE121" s="38">
        <f t="shared" ca="1" si="56"/>
        <v>0.18601908931640862</v>
      </c>
      <c r="AF121" s="237">
        <f ca="1">((Summary!$N$13*(AA121*AD121)*(A121-$D$3))+(Summary!$M$13*Z121*AC121*(AJ121-EOMONTH(EDATE(A121,-1),0))))/(AK121*AB121*AE121)</f>
        <v>0.99929436840685604</v>
      </c>
      <c r="AG121" s="88">
        <f>IF($A122="","",Summary!$Q$13)</f>
        <v>0</v>
      </c>
      <c r="AH121" s="88">
        <f>IF($A122="","",IF(Summary!$R$12="Y",(VLOOKUP($A121,Summary!$AD$6:$AF$9,3)+'Escalating commodity'!I134),'Escalating commodity'!I134))</f>
        <v>5.3591748457861126E-2</v>
      </c>
      <c r="AI121" s="88">
        <f t="shared" si="71"/>
        <v>5.3591748457861126E-2</v>
      </c>
      <c r="AJ121" s="236">
        <f t="shared" si="57"/>
        <v>40436</v>
      </c>
      <c r="AK121" s="58">
        <f t="shared" ca="1" si="58"/>
        <v>3396</v>
      </c>
      <c r="AL121" s="26">
        <f ca="1">IF($A122="","",_xll.SPRDOPT(P121,X121,AI121,0,AB121,AE121,AF121,AK121,$AJ$2,0))</f>
        <v>0.42518509825556255</v>
      </c>
      <c r="AM121" s="209">
        <f t="shared" si="59"/>
        <v>0.4251627683137354</v>
      </c>
      <c r="AN121" s="89">
        <f t="shared" ca="1" si="60"/>
        <v>2.2329941827159416E-5</v>
      </c>
      <c r="AO121" s="3">
        <f t="shared" si="61"/>
        <v>30</v>
      </c>
      <c r="AP121" s="33">
        <f t="shared" si="62"/>
        <v>40422</v>
      </c>
      <c r="AQ121" s="58">
        <f t="shared" ca="1" si="63"/>
        <v>3396</v>
      </c>
      <c r="AR121" s="38">
        <f>'ANR OK vs ML7'!AR121</f>
        <v>0.1</v>
      </c>
      <c r="AS121" s="35">
        <f t="shared" ca="1" si="64"/>
        <v>0.40362193394082263</v>
      </c>
      <c r="AT121" s="3">
        <f t="shared" si="65"/>
        <v>1</v>
      </c>
      <c r="AU121" s="3">
        <f t="shared" si="66"/>
        <v>30</v>
      </c>
      <c r="AW121" s="32">
        <f t="shared" ca="1" si="67"/>
        <v>362257.70371373929</v>
      </c>
      <c r="AX121" s="32">
        <f t="shared" si="68"/>
        <v>362238.67860330257</v>
      </c>
      <c r="AY121" s="32">
        <f t="shared" ca="1" si="69"/>
        <v>19.025110436739823</v>
      </c>
      <c r="BA121" s="32">
        <f ca="1">IF($A122="","",F121*Summary!$Q$13)</f>
        <v>0</v>
      </c>
      <c r="BC121" s="256">
        <f t="shared" ca="1" si="72"/>
        <v>146207.47600603307</v>
      </c>
    </row>
    <row r="122" spans="1:55">
      <c r="A122" s="67">
        <f t="shared" si="70"/>
        <v>40452</v>
      </c>
      <c r="B122" s="69">
        <f t="shared" si="73"/>
        <v>28400</v>
      </c>
      <c r="C122" s="71"/>
      <c r="D122" s="69">
        <f t="shared" si="37"/>
        <v>28400</v>
      </c>
      <c r="E122" s="70">
        <f t="shared" si="38"/>
        <v>880400</v>
      </c>
      <c r="F122" s="70">
        <f t="shared" ca="1" si="39"/>
        <v>352512.08031095855</v>
      </c>
      <c r="G122" s="63">
        <f t="shared" si="40"/>
        <v>4.4110000000000005</v>
      </c>
      <c r="H122" s="64">
        <f t="shared" si="41"/>
        <v>4.4110000000000005</v>
      </c>
      <c r="I122" s="43"/>
      <c r="J122" s="63">
        <f t="shared" si="42"/>
        <v>0.23499999999999999</v>
      </c>
      <c r="K122" s="64">
        <f t="shared" si="43"/>
        <v>0.23499999999999999</v>
      </c>
      <c r="L122" s="38">
        <v>0</v>
      </c>
      <c r="M122" s="64">
        <f t="shared" si="44"/>
        <v>0</v>
      </c>
      <c r="N122" s="65"/>
      <c r="O122" s="63">
        <f t="shared" si="45"/>
        <v>4.6460000000000008</v>
      </c>
      <c r="P122" s="63">
        <f t="shared" si="46"/>
        <v>4.6460000000000008</v>
      </c>
      <c r="Q122" s="66"/>
      <c r="R122" s="63">
        <f t="shared" si="47"/>
        <v>-0.54923016009489978</v>
      </c>
      <c r="S122" s="64">
        <f t="shared" si="48"/>
        <v>-0.54923016009489978</v>
      </c>
      <c r="T122" s="38">
        <v>0</v>
      </c>
      <c r="U122" s="64">
        <f t="shared" si="49"/>
        <v>0</v>
      </c>
      <c r="V122" s="219">
        <f>(G122+R122)/(1-Summary!$T$13)*Summary!$T$13</f>
        <v>0.30795016787714968</v>
      </c>
      <c r="W122" s="43">
        <f t="shared" si="50"/>
        <v>4.1697200077822503</v>
      </c>
      <c r="X122" s="43">
        <f t="shared" si="51"/>
        <v>4.1697200077822503</v>
      </c>
      <c r="Y122" s="43"/>
      <c r="Z122" s="38">
        <f t="shared" si="52"/>
        <v>0.65</v>
      </c>
      <c r="AA122" s="38">
        <f t="shared" si="53"/>
        <v>0.183</v>
      </c>
      <c r="AB122" s="38">
        <f t="shared" ca="1" si="54"/>
        <v>0.18817614262659255</v>
      </c>
      <c r="AC122" s="38">
        <f t="shared" si="55"/>
        <v>0.5</v>
      </c>
      <c r="AD122" s="38">
        <f t="shared" si="55"/>
        <v>0.183</v>
      </c>
      <c r="AE122" s="38">
        <f t="shared" ca="1" si="56"/>
        <v>0.1860909228899138</v>
      </c>
      <c r="AF122" s="237">
        <f ca="1">((Summary!$N$13*(AA122*AD122)*(A122-$D$3))+(Summary!$M$13*Z122*AC122*(AJ122-EOMONTH(EDATE(A122,-1),0))))/(AK122*AB122*AE122)</f>
        <v>0.99851294919030587</v>
      </c>
      <c r="AG122" s="88">
        <f>IF($A123="","",Summary!$Q$13)</f>
        <v>0</v>
      </c>
      <c r="AH122" s="88">
        <f>IF($A123="","",IF(Summary!$R$12="Y",(VLOOKUP($A122,Summary!$AD$6:$AF$9,3)+'Escalating commodity'!I135),'Escalating commodity'!I135))</f>
        <v>5.3591748457861126E-2</v>
      </c>
      <c r="AI122" s="88">
        <f t="shared" si="71"/>
        <v>5.3591748457861126E-2</v>
      </c>
      <c r="AJ122" s="236">
        <f t="shared" si="57"/>
        <v>40466.5</v>
      </c>
      <c r="AK122" s="58">
        <f t="shared" ca="1" si="58"/>
        <v>3426</v>
      </c>
      <c r="AL122" s="26">
        <f ca="1">IF($A123="","",_xll.SPRDOPT(P122,X122,AI122,0,AB122,AE122,AF122,AK122,$AJ$2,0))</f>
        <v>0.42286940565715336</v>
      </c>
      <c r="AM122" s="209">
        <f t="shared" si="59"/>
        <v>0.42268824375988939</v>
      </c>
      <c r="AN122" s="89">
        <f t="shared" ca="1" si="60"/>
        <v>1.8116189726397058E-4</v>
      </c>
      <c r="AO122" s="3">
        <f t="shared" si="61"/>
        <v>31</v>
      </c>
      <c r="AP122" s="33">
        <f t="shared" si="62"/>
        <v>40452</v>
      </c>
      <c r="AQ122" s="58">
        <f t="shared" ca="1" si="63"/>
        <v>3426</v>
      </c>
      <c r="AR122" s="38">
        <f>'ANR OK vs ML7'!AR122</f>
        <v>0.1</v>
      </c>
      <c r="AS122" s="35">
        <f t="shared" ca="1" si="64"/>
        <v>0.4003999094854141</v>
      </c>
      <c r="AT122" s="3">
        <f t="shared" si="65"/>
        <v>1</v>
      </c>
      <c r="AU122" s="3">
        <f t="shared" si="66"/>
        <v>31</v>
      </c>
      <c r="AW122" s="32">
        <f t="shared" ca="1" si="67"/>
        <v>372294.22474055784</v>
      </c>
      <c r="AX122" s="32">
        <f t="shared" si="68"/>
        <v>372134.7298062066</v>
      </c>
      <c r="AY122" s="32">
        <f t="shared" ca="1" si="69"/>
        <v>159.4949343511997</v>
      </c>
      <c r="BA122" s="32">
        <f ca="1">IF($A123="","",F122*Summary!$Q$13)</f>
        <v>0</v>
      </c>
      <c r="BC122" s="256">
        <f t="shared" ca="1" si="72"/>
        <v>149002.71213078414</v>
      </c>
    </row>
    <row r="123" spans="1:55">
      <c r="A123" s="67">
        <f t="shared" si="70"/>
        <v>40483</v>
      </c>
      <c r="B123" s="69">
        <f t="shared" si="73"/>
        <v>28400</v>
      </c>
      <c r="C123" s="71"/>
      <c r="D123" s="69">
        <f t="shared" si="37"/>
        <v>28400</v>
      </c>
      <c r="E123" s="70">
        <f t="shared" si="38"/>
        <v>852000</v>
      </c>
      <c r="F123" s="70">
        <f t="shared" ca="1" si="39"/>
        <v>338327.07242424064</v>
      </c>
      <c r="G123" s="63">
        <f t="shared" si="40"/>
        <v>4.5440000000000005</v>
      </c>
      <c r="H123" s="64">
        <f t="shared" si="41"/>
        <v>4.5440000000000005</v>
      </c>
      <c r="I123" s="43"/>
      <c r="J123" s="63">
        <f t="shared" si="42"/>
        <v>0.42499999999999999</v>
      </c>
      <c r="K123" s="64">
        <f t="shared" si="43"/>
        <v>0.42499999999999999</v>
      </c>
      <c r="L123" s="38">
        <v>0</v>
      </c>
      <c r="M123" s="64">
        <f t="shared" si="44"/>
        <v>0</v>
      </c>
      <c r="N123" s="65"/>
      <c r="O123" s="63">
        <f t="shared" si="45"/>
        <v>4.9690000000000003</v>
      </c>
      <c r="P123" s="63">
        <f t="shared" si="46"/>
        <v>4.9690000000000003</v>
      </c>
      <c r="Q123" s="66"/>
      <c r="R123" s="63">
        <f t="shared" si="47"/>
        <v>-0.5054614912006764</v>
      </c>
      <c r="S123" s="64">
        <f t="shared" si="48"/>
        <v>-0.5054614912006764</v>
      </c>
      <c r="T123" s="38">
        <v>0</v>
      </c>
      <c r="U123" s="64">
        <f t="shared" si="49"/>
        <v>0</v>
      </c>
      <c r="V123" s="219">
        <f>(G123+R123)/(1-Summary!$T$13)*Summary!$T$13</f>
        <v>0.32204628015678116</v>
      </c>
      <c r="W123" s="43">
        <f t="shared" si="50"/>
        <v>4.3605847889561051</v>
      </c>
      <c r="X123" s="43">
        <f t="shared" si="51"/>
        <v>4.3605847889561051</v>
      </c>
      <c r="Y123" s="43"/>
      <c r="Z123" s="38">
        <f t="shared" si="52"/>
        <v>0.8</v>
      </c>
      <c r="AA123" s="38">
        <f t="shared" si="53"/>
        <v>0.183</v>
      </c>
      <c r="AB123" s="38">
        <f t="shared" ca="1" si="54"/>
        <v>0.19046170627258027</v>
      </c>
      <c r="AC123" s="38">
        <f t="shared" si="55"/>
        <v>0.95</v>
      </c>
      <c r="AD123" s="38">
        <f t="shared" si="55"/>
        <v>0.183</v>
      </c>
      <c r="AE123" s="38">
        <f t="shared" ca="1" si="56"/>
        <v>0.19342868169714431</v>
      </c>
      <c r="AF123" s="237">
        <f ca="1">((Summary!$N$13*(AA123*AD123)*(A123-$D$3))+(Summary!$M$13*Z123*AC123*(AJ123-EOMONTH(EDATE(A123,-1),0))))/(AK123*AB123*AE123)</f>
        <v>0.99870354460856281</v>
      </c>
      <c r="AG123" s="88">
        <f>IF($A124="","",Summary!$Q$13)</f>
        <v>0</v>
      </c>
      <c r="AH123" s="88">
        <f>IF($A124="","",IF(Summary!$R$12="Y",(VLOOKUP($A123,Summary!$AD$6:$AF$9,3)+'Escalating commodity'!I136),'Escalating commodity'!I136))</f>
        <v>5.3591748457861126E-2</v>
      </c>
      <c r="AI123" s="88">
        <f t="shared" si="71"/>
        <v>5.3591748457861126E-2</v>
      </c>
      <c r="AJ123" s="236">
        <f t="shared" si="57"/>
        <v>40497</v>
      </c>
      <c r="AK123" s="58">
        <f t="shared" ca="1" si="58"/>
        <v>3457</v>
      </c>
      <c r="AL123" s="26">
        <f ca="1">IF($A124="","",_xll.SPRDOPT(P123,X123,AI123,0,AB123,AE123,AF123,AK123,$AJ$2,0))</f>
        <v>0.55482518392753788</v>
      </c>
      <c r="AM123" s="209">
        <f t="shared" si="59"/>
        <v>0.5548234625860341</v>
      </c>
      <c r="AN123" s="89">
        <f t="shared" ca="1" si="60"/>
        <v>1.721341503779783E-6</v>
      </c>
      <c r="AO123" s="3">
        <f t="shared" si="61"/>
        <v>30</v>
      </c>
      <c r="AP123" s="33">
        <f t="shared" si="62"/>
        <v>40483</v>
      </c>
      <c r="AQ123" s="58">
        <f t="shared" ca="1" si="63"/>
        <v>3457</v>
      </c>
      <c r="AR123" s="38">
        <f>'ANR OK vs ML7'!AR123</f>
        <v>0.1</v>
      </c>
      <c r="AS123" s="35">
        <f t="shared" ca="1" si="64"/>
        <v>0.39709750284535289</v>
      </c>
      <c r="AT123" s="3">
        <f t="shared" si="65"/>
        <v>1</v>
      </c>
      <c r="AU123" s="3">
        <f t="shared" si="66"/>
        <v>30</v>
      </c>
      <c r="AW123" s="32">
        <f t="shared" ca="1" si="67"/>
        <v>472711.05670626229</v>
      </c>
      <c r="AX123" s="32">
        <f t="shared" si="68"/>
        <v>472709.59012330108</v>
      </c>
      <c r="AY123" s="32">
        <f t="shared" ca="1" si="69"/>
        <v>1.4665829612203751</v>
      </c>
      <c r="BA123" s="32">
        <f ca="1">IF($A124="","",F123*Summary!$Q$13)</f>
        <v>0</v>
      </c>
      <c r="BC123" s="256">
        <f t="shared" ca="1" si="72"/>
        <v>187711.79780901314</v>
      </c>
    </row>
    <row r="124" spans="1:55">
      <c r="A124" s="67">
        <f t="shared" si="70"/>
        <v>40513</v>
      </c>
      <c r="B124" s="69">
        <f t="shared" si="73"/>
        <v>28400</v>
      </c>
      <c r="C124" s="71"/>
      <c r="D124" s="69">
        <f t="shared" si="37"/>
        <v>28400</v>
      </c>
      <c r="E124" s="70">
        <f t="shared" si="38"/>
        <v>880400</v>
      </c>
      <c r="F124" s="70">
        <f t="shared" ca="1" si="39"/>
        <v>346813.8251248399</v>
      </c>
      <c r="G124" s="63">
        <f t="shared" si="40"/>
        <v>4.6820000000000004</v>
      </c>
      <c r="H124" s="64">
        <f t="shared" si="41"/>
        <v>4.6820000000000004</v>
      </c>
      <c r="I124" s="43"/>
      <c r="J124" s="63">
        <f t="shared" si="42"/>
        <v>0.42499999999999999</v>
      </c>
      <c r="K124" s="64">
        <f t="shared" si="43"/>
        <v>0.42499999999999999</v>
      </c>
      <c r="L124" s="38">
        <v>0</v>
      </c>
      <c r="M124" s="64">
        <f t="shared" si="44"/>
        <v>0</v>
      </c>
      <c r="N124" s="65"/>
      <c r="O124" s="63">
        <f t="shared" si="45"/>
        <v>5.1070000000000002</v>
      </c>
      <c r="P124" s="63">
        <f t="shared" si="46"/>
        <v>5.1070000000000002</v>
      </c>
      <c r="Q124" s="66"/>
      <c r="R124" s="63">
        <f t="shared" si="47"/>
        <v>-0.50545922293727474</v>
      </c>
      <c r="S124" s="64">
        <f t="shared" si="48"/>
        <v>-0.50545922293727474</v>
      </c>
      <c r="T124" s="38">
        <v>0</v>
      </c>
      <c r="U124" s="64">
        <f t="shared" si="49"/>
        <v>0</v>
      </c>
      <c r="V124" s="219">
        <f>(G124+R124)/(1-Summary!$T$13)*Summary!$T$13</f>
        <v>0.3330510327549282</v>
      </c>
      <c r="W124" s="43">
        <f t="shared" si="50"/>
        <v>4.5095918098176533</v>
      </c>
      <c r="X124" s="43">
        <f t="shared" si="51"/>
        <v>4.5095918098176533</v>
      </c>
      <c r="Y124" s="43"/>
      <c r="Z124" s="38">
        <f t="shared" si="52"/>
        <v>1.1000000000000001</v>
      </c>
      <c r="AA124" s="38">
        <f t="shared" si="53"/>
        <v>0.183</v>
      </c>
      <c r="AB124" s="38">
        <f t="shared" ca="1" si="54"/>
        <v>0.19717290091048437</v>
      </c>
      <c r="AC124" s="38">
        <f t="shared" si="55"/>
        <v>1.35</v>
      </c>
      <c r="AD124" s="38">
        <f t="shared" si="55"/>
        <v>0.183</v>
      </c>
      <c r="AE124" s="38">
        <f t="shared" ca="1" si="56"/>
        <v>0.20396020546762628</v>
      </c>
      <c r="AF124" s="237">
        <f ca="1">((Summary!$N$13*(AA124*AD124)*(A124-$D$3))+(Summary!$M$13*Z124*AC124*(AJ124-EOMONTH(EDATE(A124,-1),0))))/(AK124*AB124*AE124)</f>
        <v>0.99703534373151248</v>
      </c>
      <c r="AG124" s="88">
        <f>IF($A125="","",Summary!$Q$13)</f>
        <v>0</v>
      </c>
      <c r="AH124" s="88">
        <f>IF($A125="","",IF(Summary!$R$12="Y",(VLOOKUP($A124,Summary!$AD$6:$AF$9,3)+'Escalating commodity'!I137),'Escalating commodity'!I137))</f>
        <v>5.3591748457861126E-2</v>
      </c>
      <c r="AI124" s="88">
        <f t="shared" si="71"/>
        <v>5.3591748457861126E-2</v>
      </c>
      <c r="AJ124" s="236">
        <f t="shared" si="57"/>
        <v>40527.5</v>
      </c>
      <c r="AK124" s="58">
        <f t="shared" ca="1" si="58"/>
        <v>3487</v>
      </c>
      <c r="AL124" s="26">
        <f ca="1">IF($A125="","",_xll.SPRDOPT(P124,X124,AI124,0,AB124,AE124,AF124,AK124,$AJ$2,0))</f>
        <v>0.54481697036689603</v>
      </c>
      <c r="AM124" s="209">
        <f t="shared" si="59"/>
        <v>0.54381644172448584</v>
      </c>
      <c r="AN124" s="89">
        <f t="shared" ca="1" si="60"/>
        <v>1.0005286424101811E-3</v>
      </c>
      <c r="AO124" s="3">
        <f t="shared" si="61"/>
        <v>31</v>
      </c>
      <c r="AP124" s="33">
        <f t="shared" si="62"/>
        <v>40513</v>
      </c>
      <c r="AQ124" s="58">
        <f t="shared" ca="1" si="63"/>
        <v>3487</v>
      </c>
      <c r="AR124" s="38">
        <f>'ANR OK vs ML7'!AR124</f>
        <v>0.1</v>
      </c>
      <c r="AS124" s="35">
        <f t="shared" ca="1" si="64"/>
        <v>0.39392756147755553</v>
      </c>
      <c r="AT124" s="3">
        <f t="shared" si="65"/>
        <v>1</v>
      </c>
      <c r="AU124" s="3">
        <f t="shared" si="66"/>
        <v>31</v>
      </c>
      <c r="AW124" s="32">
        <f t="shared" ca="1" si="67"/>
        <v>479656.86071101524</v>
      </c>
      <c r="AX124" s="32">
        <f t="shared" si="68"/>
        <v>478775.99529423733</v>
      </c>
      <c r="AY124" s="32">
        <f t="shared" ca="1" si="69"/>
        <v>880.86541677792343</v>
      </c>
      <c r="BA124" s="32">
        <f ca="1">IF($A125="","",F124*Summary!$Q$13)</f>
        <v>0</v>
      </c>
      <c r="BC124" s="256">
        <f t="shared" ca="1" si="72"/>
        <v>188603.06032024854</v>
      </c>
    </row>
    <row r="125" spans="1:55">
      <c r="A125" s="67">
        <f t="shared" si="70"/>
        <v>40544</v>
      </c>
      <c r="B125" s="69">
        <f t="shared" si="73"/>
        <v>28400</v>
      </c>
      <c r="C125" s="71"/>
      <c r="D125" s="69">
        <f t="shared" si="37"/>
        <v>28400</v>
      </c>
      <c r="E125" s="70">
        <f t="shared" si="38"/>
        <v>880400</v>
      </c>
      <c r="F125" s="70">
        <f t="shared" ca="1" si="39"/>
        <v>343953.38422107149</v>
      </c>
      <c r="G125" s="63">
        <f t="shared" si="40"/>
        <v>4.7140000000000004</v>
      </c>
      <c r="H125" s="64">
        <f t="shared" si="41"/>
        <v>4.7140000000000004</v>
      </c>
      <c r="I125" s="43"/>
      <c r="J125" s="63">
        <f t="shared" si="42"/>
        <v>0.42499999999999999</v>
      </c>
      <c r="K125" s="64">
        <f t="shared" si="43"/>
        <v>0.42499999999999999</v>
      </c>
      <c r="L125" s="38">
        <v>0</v>
      </c>
      <c r="M125" s="64">
        <f t="shared" si="44"/>
        <v>0</v>
      </c>
      <c r="N125" s="65"/>
      <c r="O125" s="63">
        <f t="shared" si="45"/>
        <v>5.1390000000000002</v>
      </c>
      <c r="P125" s="63">
        <f t="shared" si="46"/>
        <v>5.1390000000000002</v>
      </c>
      <c r="Q125" s="66"/>
      <c r="R125" s="63">
        <f t="shared" si="47"/>
        <v>-0.50545694459982304</v>
      </c>
      <c r="S125" s="64">
        <f t="shared" si="48"/>
        <v>-0.50545694459982304</v>
      </c>
      <c r="T125" s="38">
        <v>0</v>
      </c>
      <c r="U125" s="64">
        <f t="shared" si="49"/>
        <v>0</v>
      </c>
      <c r="V125" s="219">
        <f>(G125+R125)/(1-Summary!$T$13)*Summary!$T$13</f>
        <v>0.33560299918354164</v>
      </c>
      <c r="W125" s="43">
        <f t="shared" si="50"/>
        <v>4.5441460545837193</v>
      </c>
      <c r="X125" s="43">
        <f t="shared" si="51"/>
        <v>4.5441460545837193</v>
      </c>
      <c r="Y125" s="43"/>
      <c r="Z125" s="38">
        <f t="shared" si="52"/>
        <v>1.1000000000000001</v>
      </c>
      <c r="AA125" s="38">
        <f t="shared" si="53"/>
        <v>0.183</v>
      </c>
      <c r="AB125" s="38">
        <f t="shared" ca="1" si="54"/>
        <v>0.19705246355723099</v>
      </c>
      <c r="AC125" s="38">
        <f t="shared" si="55"/>
        <v>1.35</v>
      </c>
      <c r="AD125" s="38">
        <f t="shared" si="55"/>
        <v>0.183</v>
      </c>
      <c r="AE125" s="38">
        <f t="shared" ca="1" si="56"/>
        <v>0.20378492282245894</v>
      </c>
      <c r="AF125" s="237">
        <f ca="1">((Summary!$N$13*(AA125*AD125)*(A125-$D$3))+(Summary!$M$13*Z125*AC125*(AJ125-EOMONTH(EDATE(A125,-1),0))))/(AK125*AB125*AE125)</f>
        <v>0.99705222966280826</v>
      </c>
      <c r="AG125" s="88">
        <f>IF($A126="","",Summary!$Q$13)</f>
        <v>0</v>
      </c>
      <c r="AH125" s="88">
        <f>IF($A126="","",IF(Summary!$R$12="Y",(VLOOKUP($A125,Summary!$AD$6:$AF$9,3)+'Escalating commodity'!I138),'Escalating commodity'!I138))</f>
        <v>5.4663583427018346E-2</v>
      </c>
      <c r="AI125" s="88">
        <f t="shared" si="71"/>
        <v>5.4663583427018346E-2</v>
      </c>
      <c r="AJ125" s="236">
        <f t="shared" si="57"/>
        <v>40558.5</v>
      </c>
      <c r="AK125" s="58">
        <f t="shared" ca="1" si="58"/>
        <v>3518</v>
      </c>
      <c r="AL125" s="26">
        <f ca="1">IF($A126="","",_xll.SPRDOPT(P125,X125,AI125,0,AB125,AE125,AF125,AK125,$AJ$2,0))</f>
        <v>0.54128741355155463</v>
      </c>
      <c r="AM125" s="209">
        <f t="shared" si="59"/>
        <v>0.54019036198926251</v>
      </c>
      <c r="AN125" s="89">
        <f t="shared" ca="1" si="60"/>
        <v>1.0970515622921173E-3</v>
      </c>
      <c r="AO125" s="3">
        <f t="shared" si="61"/>
        <v>31</v>
      </c>
      <c r="AP125" s="33">
        <f t="shared" si="62"/>
        <v>40544</v>
      </c>
      <c r="AQ125" s="58">
        <f t="shared" ca="1" si="63"/>
        <v>3518</v>
      </c>
      <c r="AR125" s="38">
        <f>'ANR OK vs ML7'!AR125</f>
        <v>0.1</v>
      </c>
      <c r="AS125" s="35">
        <f t="shared" ca="1" si="64"/>
        <v>0.39067853727972679</v>
      </c>
      <c r="AT125" s="3">
        <f t="shared" si="65"/>
        <v>1</v>
      </c>
      <c r="AU125" s="3">
        <f t="shared" si="66"/>
        <v>31</v>
      </c>
      <c r="AW125" s="32">
        <f t="shared" ca="1" si="67"/>
        <v>476549.4388907887</v>
      </c>
      <c r="AX125" s="32">
        <f t="shared" si="68"/>
        <v>475583.59469534672</v>
      </c>
      <c r="AY125" s="32">
        <f t="shared" ca="1" si="69"/>
        <v>965.8441954419801</v>
      </c>
      <c r="BA125" s="32">
        <f ca="1">IF($A126="","",F125*Summary!$Q$13)</f>
        <v>0</v>
      </c>
      <c r="BC125" s="256">
        <f t="shared" ca="1" si="72"/>
        <v>185800.3031298125</v>
      </c>
    </row>
    <row r="126" spans="1:55">
      <c r="A126" s="67">
        <f t="shared" si="70"/>
        <v>40575</v>
      </c>
      <c r="B126" s="69">
        <f t="shared" si="73"/>
        <v>28400</v>
      </c>
      <c r="C126" s="71"/>
      <c r="D126" s="69">
        <f t="shared" si="37"/>
        <v>28400</v>
      </c>
      <c r="E126" s="70">
        <f t="shared" si="38"/>
        <v>795200</v>
      </c>
      <c r="F126" s="70">
        <f t="shared" ca="1" si="39"/>
        <v>308105.25794138876</v>
      </c>
      <c r="G126" s="63">
        <f t="shared" si="40"/>
        <v>4.5940000000000003</v>
      </c>
      <c r="H126" s="64">
        <f t="shared" si="41"/>
        <v>4.5940000000000003</v>
      </c>
      <c r="I126" s="43"/>
      <c r="J126" s="63">
        <f t="shared" si="42"/>
        <v>0.42499999999999999</v>
      </c>
      <c r="K126" s="64">
        <f t="shared" si="43"/>
        <v>0.42499999999999999</v>
      </c>
      <c r="L126" s="38">
        <v>0</v>
      </c>
      <c r="M126" s="64">
        <f t="shared" si="44"/>
        <v>0</v>
      </c>
      <c r="N126" s="65"/>
      <c r="O126" s="63">
        <f t="shared" si="45"/>
        <v>5.0190000000000001</v>
      </c>
      <c r="P126" s="63">
        <f t="shared" si="46"/>
        <v>5.0190000000000001</v>
      </c>
      <c r="Q126" s="66"/>
      <c r="R126" s="63">
        <f t="shared" si="47"/>
        <v>-0.50545473286756615</v>
      </c>
      <c r="S126" s="64">
        <f t="shared" si="48"/>
        <v>-0.50545473286756615</v>
      </c>
      <c r="T126" s="38">
        <v>0</v>
      </c>
      <c r="U126" s="64">
        <f t="shared" si="49"/>
        <v>0</v>
      </c>
      <c r="V126" s="219">
        <f>(G126+R126)/(1-Summary!$T$13)*Summary!$T$13</f>
        <v>0.32603398275483436</v>
      </c>
      <c r="W126" s="43">
        <f t="shared" si="50"/>
        <v>4.4145792498872689</v>
      </c>
      <c r="X126" s="43">
        <f t="shared" si="51"/>
        <v>4.4145792498872689</v>
      </c>
      <c r="Y126" s="43"/>
      <c r="Z126" s="38">
        <f t="shared" si="52"/>
        <v>1.1000000000000001</v>
      </c>
      <c r="AA126" s="38">
        <f t="shared" si="53"/>
        <v>0.183</v>
      </c>
      <c r="AB126" s="38">
        <f t="shared" ca="1" si="54"/>
        <v>0.19563131579992946</v>
      </c>
      <c r="AC126" s="38">
        <f t="shared" si="55"/>
        <v>1.35</v>
      </c>
      <c r="AD126" s="38">
        <f t="shared" si="55"/>
        <v>0.183</v>
      </c>
      <c r="AE126" s="38">
        <f t="shared" ca="1" si="56"/>
        <v>0.20171213471586544</v>
      </c>
      <c r="AF126" s="237">
        <f ca="1">((Summary!$N$13*(AA126*AD126)*(A126-$D$3))+(Summary!$M$13*Z126*AC126*(AJ126-EOMONTH(EDATE(A126,-1),0))))/(AK126*AB126*AE126)</f>
        <v>0.99725969312363749</v>
      </c>
      <c r="AG126" s="88">
        <f>IF($A127="","",Summary!$Q$13)</f>
        <v>0</v>
      </c>
      <c r="AH126" s="88">
        <f>IF($A127="","",IF(Summary!$R$12="Y",(VLOOKUP($A126,Summary!$AD$6:$AF$9,3)+'Escalating commodity'!I139),'Escalating commodity'!I139))</f>
        <v>5.4663583427018346E-2</v>
      </c>
      <c r="AI126" s="88">
        <f t="shared" si="71"/>
        <v>5.4663583427018346E-2</v>
      </c>
      <c r="AJ126" s="236">
        <f t="shared" si="57"/>
        <v>40588</v>
      </c>
      <c r="AK126" s="58">
        <f t="shared" ca="1" si="58"/>
        <v>3549</v>
      </c>
      <c r="AL126" s="26">
        <f ca="1">IF($A127="","",_xll.SPRDOPT(P126,X126,AI126,0,AB126,AE126,AF126,AK126,$AJ$2,0))</f>
        <v>0.55029140949348032</v>
      </c>
      <c r="AM126" s="209">
        <f t="shared" si="59"/>
        <v>0.54975716668571284</v>
      </c>
      <c r="AN126" s="89">
        <f t="shared" ca="1" si="60"/>
        <v>5.3424280776748212E-4</v>
      </c>
      <c r="AO126" s="3">
        <f t="shared" si="61"/>
        <v>28</v>
      </c>
      <c r="AP126" s="33">
        <f t="shared" si="62"/>
        <v>40575</v>
      </c>
      <c r="AQ126" s="58">
        <f t="shared" ca="1" si="63"/>
        <v>3549</v>
      </c>
      <c r="AR126" s="38">
        <f>'ANR OK vs ML7'!AR126</f>
        <v>0.1</v>
      </c>
      <c r="AS126" s="35">
        <f t="shared" ca="1" si="64"/>
        <v>0.38745631028846678</v>
      </c>
      <c r="AT126" s="3">
        <f t="shared" si="65"/>
        <v>1</v>
      </c>
      <c r="AU126" s="3">
        <f t="shared" si="66"/>
        <v>28</v>
      </c>
      <c r="AW126" s="32">
        <f t="shared" ca="1" si="67"/>
        <v>437591.72882921557</v>
      </c>
      <c r="AX126" s="32">
        <f t="shared" si="68"/>
        <v>437166.89894847886</v>
      </c>
      <c r="AY126" s="32">
        <f t="shared" ca="1" si="69"/>
        <v>424.8298807367018</v>
      </c>
      <c r="BA126" s="32">
        <f ca="1">IF($A127="","",F126*Summary!$Q$13)</f>
        <v>0</v>
      </c>
      <c r="BC126" s="256">
        <f t="shared" ca="1" si="72"/>
        <v>169383.07364682862</v>
      </c>
    </row>
    <row r="127" spans="1:55">
      <c r="A127" s="67">
        <f t="shared" si="70"/>
        <v>40603</v>
      </c>
      <c r="B127" s="69">
        <f t="shared" si="73"/>
        <v>28400</v>
      </c>
      <c r="C127" s="71"/>
      <c r="D127" s="69">
        <f t="shared" si="37"/>
        <v>28400</v>
      </c>
      <c r="E127" s="70">
        <f t="shared" si="38"/>
        <v>880400</v>
      </c>
      <c r="F127" s="70">
        <f t="shared" ca="1" si="39"/>
        <v>338574.3368398723</v>
      </c>
      <c r="G127" s="63">
        <f t="shared" si="40"/>
        <v>4.4550000000000001</v>
      </c>
      <c r="H127" s="64">
        <f t="shared" si="41"/>
        <v>4.4550000000000001</v>
      </c>
      <c r="I127" s="43"/>
      <c r="J127" s="63">
        <f t="shared" si="42"/>
        <v>0.42499999999999999</v>
      </c>
      <c r="K127" s="64">
        <f t="shared" si="43"/>
        <v>0.42499999999999999</v>
      </c>
      <c r="L127" s="38">
        <v>0</v>
      </c>
      <c r="M127" s="64">
        <f t="shared" si="44"/>
        <v>0</v>
      </c>
      <c r="N127" s="65"/>
      <c r="O127" s="63">
        <f t="shared" si="45"/>
        <v>4.88</v>
      </c>
      <c r="P127" s="63">
        <f t="shared" si="46"/>
        <v>4.88</v>
      </c>
      <c r="Q127" s="66"/>
      <c r="R127" s="63">
        <f t="shared" si="47"/>
        <v>-0.50545279241913299</v>
      </c>
      <c r="S127" s="64">
        <f t="shared" si="48"/>
        <v>-0.50545279241913299</v>
      </c>
      <c r="T127" s="38">
        <v>0</v>
      </c>
      <c r="U127" s="64">
        <f t="shared" si="49"/>
        <v>0</v>
      </c>
      <c r="V127" s="219">
        <f>(G127+R127)/(1-Summary!$T$13)*Summary!$T$13</f>
        <v>0.3149498224998164</v>
      </c>
      <c r="W127" s="43">
        <f t="shared" si="50"/>
        <v>4.2644970300806833</v>
      </c>
      <c r="X127" s="43">
        <f t="shared" si="51"/>
        <v>4.2644970300806833</v>
      </c>
      <c r="Y127" s="43"/>
      <c r="Z127" s="38">
        <f t="shared" si="52"/>
        <v>0.75</v>
      </c>
      <c r="AA127" s="38">
        <f t="shared" si="53"/>
        <v>0.18</v>
      </c>
      <c r="AB127" s="38">
        <f t="shared" ca="1" si="54"/>
        <v>0.18667218713963701</v>
      </c>
      <c r="AC127" s="38">
        <f t="shared" si="55"/>
        <v>0.95</v>
      </c>
      <c r="AD127" s="38">
        <f t="shared" si="55"/>
        <v>0.18</v>
      </c>
      <c r="AE127" s="38">
        <f t="shared" ca="1" si="56"/>
        <v>0.19057756190308073</v>
      </c>
      <c r="AF127" s="237">
        <f ca="1">((Summary!$N$13*(AA127*AD127)*(A127-$D$3))+(Summary!$M$13*Z127*AC127*(AJ127-EOMONTH(EDATE(A127,-1),0))))/(AK127*AB127*AE127)</f>
        <v>0.99768718183597871</v>
      </c>
      <c r="AG127" s="88">
        <f>IF($A128="","",Summary!$Q$13)</f>
        <v>0</v>
      </c>
      <c r="AH127" s="88">
        <f>IF($A128="","",IF(Summary!$R$12="Y",(VLOOKUP($A127,Summary!$AD$6:$AF$9,3)+'Escalating commodity'!I140),'Escalating commodity'!I140))</f>
        <v>5.4663583427018346E-2</v>
      </c>
      <c r="AI127" s="88">
        <f t="shared" si="71"/>
        <v>5.4663583427018346E-2</v>
      </c>
      <c r="AJ127" s="236">
        <f t="shared" si="57"/>
        <v>40617.5</v>
      </c>
      <c r="AK127" s="58">
        <f t="shared" ca="1" si="58"/>
        <v>3577</v>
      </c>
      <c r="AL127" s="26">
        <f ca="1">IF($A128="","",_xll.SPRDOPT(P127,X127,AI127,0,AB127,AE127,AF127,AK127,$AJ$2,0))</f>
        <v>0.56090606652707331</v>
      </c>
      <c r="AM127" s="209">
        <f t="shared" si="59"/>
        <v>0.56083938649229825</v>
      </c>
      <c r="AN127" s="89">
        <f t="shared" ca="1" si="60"/>
        <v>6.6680034775057351E-5</v>
      </c>
      <c r="AO127" s="3">
        <f t="shared" si="61"/>
        <v>31</v>
      </c>
      <c r="AP127" s="33">
        <f t="shared" si="62"/>
        <v>40603</v>
      </c>
      <c r="AQ127" s="58">
        <f t="shared" ca="1" si="63"/>
        <v>3577</v>
      </c>
      <c r="AR127" s="38">
        <f>'ANR OK vs ML7'!AR127</f>
        <v>0.1</v>
      </c>
      <c r="AS127" s="35">
        <f t="shared" ca="1" si="64"/>
        <v>0.38456876060866912</v>
      </c>
      <c r="AT127" s="3">
        <f t="shared" si="65"/>
        <v>1</v>
      </c>
      <c r="AU127" s="3">
        <f t="shared" si="66"/>
        <v>31</v>
      </c>
      <c r="AW127" s="32">
        <f t="shared" ca="1" si="67"/>
        <v>493821.70097043534</v>
      </c>
      <c r="AX127" s="32">
        <f t="shared" si="68"/>
        <v>493762.99586781941</v>
      </c>
      <c r="AY127" s="32">
        <f t="shared" ca="1" si="69"/>
        <v>58.705102615960492</v>
      </c>
      <c r="BA127" s="32">
        <f ca="1">IF($A128="","",F127*Summary!$Q$13)</f>
        <v>0</v>
      </c>
      <c r="BC127" s="256">
        <f t="shared" ca="1" si="72"/>
        <v>189885.82335531071</v>
      </c>
    </row>
    <row r="128" spans="1:55">
      <c r="A128" s="67">
        <f t="shared" si="70"/>
        <v>40634</v>
      </c>
      <c r="B128" s="69">
        <f t="shared" si="73"/>
        <v>28400</v>
      </c>
      <c r="C128" s="71"/>
      <c r="D128" s="69">
        <f t="shared" si="37"/>
        <v>28400</v>
      </c>
      <c r="E128" s="70">
        <f t="shared" si="38"/>
        <v>852000</v>
      </c>
      <c r="F128" s="70">
        <f t="shared" ca="1" si="39"/>
        <v>324950.18065754417</v>
      </c>
      <c r="G128" s="63">
        <f t="shared" si="40"/>
        <v>4.28</v>
      </c>
      <c r="H128" s="64">
        <f t="shared" si="41"/>
        <v>4.28</v>
      </c>
      <c r="I128" s="43"/>
      <c r="J128" s="63">
        <f t="shared" si="42"/>
        <v>0.23499999999999999</v>
      </c>
      <c r="K128" s="64">
        <f t="shared" si="43"/>
        <v>0.23499999999999999</v>
      </c>
      <c r="L128" s="38">
        <v>0</v>
      </c>
      <c r="M128" s="64">
        <f t="shared" si="44"/>
        <v>0</v>
      </c>
      <c r="N128" s="65"/>
      <c r="O128" s="63">
        <f t="shared" si="45"/>
        <v>4.5150000000000006</v>
      </c>
      <c r="P128" s="63">
        <f t="shared" si="46"/>
        <v>4.5150000000000006</v>
      </c>
      <c r="Q128" s="66"/>
      <c r="R128" s="63">
        <f t="shared" si="47"/>
        <v>-0.58721749253166389</v>
      </c>
      <c r="S128" s="64">
        <f t="shared" si="48"/>
        <v>-0.58721749253166389</v>
      </c>
      <c r="T128" s="38">
        <v>0</v>
      </c>
      <c r="U128" s="64">
        <f t="shared" si="49"/>
        <v>0</v>
      </c>
      <c r="V128" s="219">
        <f>(G128+R128)/(1-Summary!$T$13)*Summary!$T$13</f>
        <v>0.29447456483751022</v>
      </c>
      <c r="W128" s="43">
        <f t="shared" si="50"/>
        <v>3.9872570723058467</v>
      </c>
      <c r="X128" s="43">
        <f t="shared" si="51"/>
        <v>3.9872570723058467</v>
      </c>
      <c r="Y128" s="43"/>
      <c r="Z128" s="38">
        <f t="shared" si="52"/>
        <v>0.45</v>
      </c>
      <c r="AA128" s="38">
        <f t="shared" si="53"/>
        <v>0.18</v>
      </c>
      <c r="AB128" s="38">
        <f t="shared" ca="1" si="54"/>
        <v>0.18234818124065244</v>
      </c>
      <c r="AC128" s="38">
        <f t="shared" si="55"/>
        <v>0.5</v>
      </c>
      <c r="AD128" s="38">
        <f t="shared" si="55"/>
        <v>0.18</v>
      </c>
      <c r="AE128" s="38">
        <f t="shared" ca="1" si="56"/>
        <v>0.18288886524013656</v>
      </c>
      <c r="AF128" s="237">
        <f ca="1">((Summary!$N$13*(AA128*AD128)*(A128-$D$3))+(Summary!$M$13*Z128*AC128*(AJ128-EOMONTH(EDATE(A128,-1),0))))/(AK128*AB128*AE128)</f>
        <v>0.99975137482478937</v>
      </c>
      <c r="AG128" s="88">
        <f>IF($A129="","",Summary!$Q$13)</f>
        <v>0</v>
      </c>
      <c r="AH128" s="88">
        <f>IF($A129="","",IF(Summary!$R$12="Y",(VLOOKUP($A128,Summary!$AD$6:$AF$9,3)+'Escalating commodity'!I141),'Escalating commodity'!I141))</f>
        <v>5.4663583427018346E-2</v>
      </c>
      <c r="AI128" s="88">
        <f t="shared" si="71"/>
        <v>5.4663583427018346E-2</v>
      </c>
      <c r="AJ128" s="236">
        <f t="shared" si="57"/>
        <v>40648</v>
      </c>
      <c r="AK128" s="58">
        <f t="shared" ca="1" si="58"/>
        <v>3608</v>
      </c>
      <c r="AL128" s="26">
        <f ca="1">IF($A129="","",_xll.SPRDOPT(P128,X128,AI128,0,AB128,AE128,AF128,AK128,$AJ$2,0))</f>
        <v>0.47308050609155494</v>
      </c>
      <c r="AM128" s="209">
        <f t="shared" si="59"/>
        <v>0.47307934426713555</v>
      </c>
      <c r="AN128" s="89">
        <f t="shared" ca="1" si="60"/>
        <v>1.1618244193933869E-6</v>
      </c>
      <c r="AO128" s="3">
        <f t="shared" si="61"/>
        <v>30</v>
      </c>
      <c r="AP128" s="33">
        <f t="shared" si="62"/>
        <v>40634</v>
      </c>
      <c r="AQ128" s="58">
        <f t="shared" ca="1" si="63"/>
        <v>3608</v>
      </c>
      <c r="AR128" s="38">
        <f>'ANR OK vs ML7'!AR128</f>
        <v>0.1</v>
      </c>
      <c r="AS128" s="35">
        <f t="shared" ca="1" si="64"/>
        <v>0.38139692565439459</v>
      </c>
      <c r="AT128" s="3">
        <f t="shared" si="65"/>
        <v>1</v>
      </c>
      <c r="AU128" s="3">
        <f t="shared" si="66"/>
        <v>30</v>
      </c>
      <c r="AW128" s="32">
        <f t="shared" ca="1" si="67"/>
        <v>403064.59119000484</v>
      </c>
      <c r="AX128" s="32">
        <f t="shared" si="68"/>
        <v>403063.60131559946</v>
      </c>
      <c r="AY128" s="32">
        <f t="shared" ca="1" si="69"/>
        <v>0.98987440532316562</v>
      </c>
      <c r="BA128" s="32">
        <f ca="1">IF($A129="","",F128*Summary!$Q$13)</f>
        <v>0</v>
      </c>
      <c r="BC128" s="256">
        <f t="shared" ca="1" si="72"/>
        <v>153727.21838495822</v>
      </c>
    </row>
    <row r="129" spans="1:55">
      <c r="A129" s="67">
        <f t="shared" si="70"/>
        <v>40664</v>
      </c>
      <c r="B129" s="69">
        <f t="shared" si="73"/>
        <v>28400</v>
      </c>
      <c r="C129" s="71"/>
      <c r="D129" s="69">
        <f t="shared" si="37"/>
        <v>28400</v>
      </c>
      <c r="E129" s="70">
        <f t="shared" si="38"/>
        <v>880400</v>
      </c>
      <c r="F129" s="70">
        <f t="shared" ca="1" si="39"/>
        <v>333101.38122064184</v>
      </c>
      <c r="G129" s="63">
        <f t="shared" si="40"/>
        <v>4.25</v>
      </c>
      <c r="H129" s="64">
        <f t="shared" si="41"/>
        <v>4.25</v>
      </c>
      <c r="I129" s="43"/>
      <c r="J129" s="63">
        <f t="shared" si="42"/>
        <v>0.23499999999999999</v>
      </c>
      <c r="K129" s="64">
        <f t="shared" si="43"/>
        <v>0.23499999999999999</v>
      </c>
      <c r="L129" s="38">
        <v>0</v>
      </c>
      <c r="M129" s="64">
        <f t="shared" si="44"/>
        <v>0</v>
      </c>
      <c r="N129" s="65"/>
      <c r="O129" s="63">
        <f t="shared" si="45"/>
        <v>4.4850000000000003</v>
      </c>
      <c r="P129" s="63">
        <f t="shared" si="46"/>
        <v>4.4850000000000003</v>
      </c>
      <c r="Q129" s="66"/>
      <c r="R129" s="63">
        <f t="shared" si="47"/>
        <v>-0.58721561607442385</v>
      </c>
      <c r="S129" s="64">
        <f t="shared" si="48"/>
        <v>-0.58721561607442385</v>
      </c>
      <c r="T129" s="38">
        <v>0</v>
      </c>
      <c r="U129" s="64">
        <f t="shared" si="49"/>
        <v>0</v>
      </c>
      <c r="V129" s="219">
        <f>(G129+R129)/(1-Summary!$T$13)*Summary!$T$13</f>
        <v>0.29208241627248349</v>
      </c>
      <c r="W129" s="43">
        <f t="shared" si="50"/>
        <v>3.9548668001980594</v>
      </c>
      <c r="X129" s="43">
        <f t="shared" si="51"/>
        <v>3.9548668001980594</v>
      </c>
      <c r="Y129" s="43"/>
      <c r="Z129" s="38">
        <f t="shared" si="52"/>
        <v>0.5</v>
      </c>
      <c r="AA129" s="38">
        <f t="shared" si="53"/>
        <v>0.18</v>
      </c>
      <c r="AB129" s="38">
        <f t="shared" ca="1" si="54"/>
        <v>0.18295915302806107</v>
      </c>
      <c r="AC129" s="38">
        <f t="shared" si="55"/>
        <v>0.45</v>
      </c>
      <c r="AD129" s="38">
        <f t="shared" si="55"/>
        <v>0.18</v>
      </c>
      <c r="AE129" s="38">
        <f t="shared" ca="1" si="56"/>
        <v>0.18240524662602633</v>
      </c>
      <c r="AF129" s="237">
        <f ca="1">((Summary!$N$13*(AA129*AD129)*(A129-$D$3))+(Summary!$M$13*Z129*AC129*(AJ129-EOMONTH(EDATE(A129,-1),0))))/(AK129*AB129*AE129)</f>
        <v>0.99974790141364323</v>
      </c>
      <c r="AG129" s="88">
        <f>IF($A130="","",Summary!$Q$13)</f>
        <v>0</v>
      </c>
      <c r="AH129" s="88">
        <f>IF($A130="","",IF(Summary!$R$12="Y",(VLOOKUP($A129,Summary!$AD$6:$AF$9,3)+'Escalating commodity'!I142),'Escalating commodity'!I142))</f>
        <v>5.4663583427018346E-2</v>
      </c>
      <c r="AI129" s="88">
        <f t="shared" si="71"/>
        <v>5.4663583427018346E-2</v>
      </c>
      <c r="AJ129" s="236">
        <f t="shared" si="57"/>
        <v>40678.5</v>
      </c>
      <c r="AK129" s="58">
        <f t="shared" ca="1" si="58"/>
        <v>3638</v>
      </c>
      <c r="AL129" s="26">
        <f ca="1">IF($A130="","",_xll.SPRDOPT(P129,X129,AI129,0,AB129,AE129,AF129,AK129,$AJ$2,0))</f>
        <v>0.47547234680589656</v>
      </c>
      <c r="AM129" s="209">
        <f t="shared" si="59"/>
        <v>0.47546961637492263</v>
      </c>
      <c r="AN129" s="89">
        <f t="shared" ca="1" si="60"/>
        <v>2.730430973929554E-6</v>
      </c>
      <c r="AO129" s="3">
        <f t="shared" si="61"/>
        <v>31</v>
      </c>
      <c r="AP129" s="33">
        <f t="shared" si="62"/>
        <v>40664</v>
      </c>
      <c r="AQ129" s="58">
        <f t="shared" ca="1" si="63"/>
        <v>3638</v>
      </c>
      <c r="AR129" s="38">
        <f>'ANR OK vs ML7'!AR129</f>
        <v>0.1</v>
      </c>
      <c r="AS129" s="35">
        <f t="shared" ca="1" si="64"/>
        <v>0.3783523185150407</v>
      </c>
      <c r="AT129" s="3">
        <f t="shared" si="65"/>
        <v>1</v>
      </c>
      <c r="AU129" s="3">
        <f t="shared" si="66"/>
        <v>31</v>
      </c>
      <c r="AW129" s="32">
        <f t="shared" ca="1" si="67"/>
        <v>418605.85412791133</v>
      </c>
      <c r="AX129" s="32">
        <f t="shared" si="68"/>
        <v>418603.45025648188</v>
      </c>
      <c r="AY129" s="32">
        <f t="shared" ca="1" si="69"/>
        <v>2.4038714294475794</v>
      </c>
      <c r="BA129" s="32">
        <f ca="1">IF($A130="","",F129*Summary!$Q$13)</f>
        <v>0</v>
      </c>
      <c r="BC129" s="256">
        <f t="shared" ca="1" si="72"/>
        <v>158379.58594293543</v>
      </c>
    </row>
    <row r="130" spans="1:55">
      <c r="A130" s="67">
        <f t="shared" si="70"/>
        <v>40695</v>
      </c>
      <c r="B130" s="69">
        <f t="shared" si="73"/>
        <v>28400</v>
      </c>
      <c r="C130" s="71"/>
      <c r="D130" s="69">
        <f t="shared" si="37"/>
        <v>28400</v>
      </c>
      <c r="E130" s="70">
        <f t="shared" si="38"/>
        <v>852000</v>
      </c>
      <c r="F130" s="70">
        <f t="shared" ca="1" si="39"/>
        <v>319697.45555794291</v>
      </c>
      <c r="G130" s="63">
        <f t="shared" si="40"/>
        <v>4.32</v>
      </c>
      <c r="H130" s="64">
        <f t="shared" si="41"/>
        <v>4.32</v>
      </c>
      <c r="I130" s="43"/>
      <c r="J130" s="63">
        <f t="shared" si="42"/>
        <v>0.23499999999999999</v>
      </c>
      <c r="K130" s="64">
        <f t="shared" si="43"/>
        <v>0.23499999999999999</v>
      </c>
      <c r="L130" s="38">
        <v>0</v>
      </c>
      <c r="M130" s="64">
        <f t="shared" si="44"/>
        <v>0</v>
      </c>
      <c r="N130" s="65"/>
      <c r="O130" s="63">
        <f t="shared" si="45"/>
        <v>4.5550000000000006</v>
      </c>
      <c r="P130" s="63">
        <f t="shared" si="46"/>
        <v>4.5550000000000006</v>
      </c>
      <c r="Q130" s="66"/>
      <c r="R130" s="63">
        <f t="shared" si="47"/>
        <v>-0.58721670072577548</v>
      </c>
      <c r="S130" s="64">
        <f t="shared" si="48"/>
        <v>-0.58721670072577548</v>
      </c>
      <c r="T130" s="38">
        <v>0</v>
      </c>
      <c r="U130" s="64">
        <f t="shared" si="49"/>
        <v>0</v>
      </c>
      <c r="V130" s="219">
        <f>(G130+R130)/(1-Summary!$T$13)*Summary!$T$13</f>
        <v>0.29766435891186266</v>
      </c>
      <c r="W130" s="43">
        <f t="shared" si="50"/>
        <v>4.0304476581860875</v>
      </c>
      <c r="X130" s="43">
        <f t="shared" si="51"/>
        <v>4.0304476581860875</v>
      </c>
      <c r="Y130" s="43"/>
      <c r="Z130" s="38">
        <f t="shared" si="52"/>
        <v>0.5</v>
      </c>
      <c r="AA130" s="38">
        <f t="shared" si="53"/>
        <v>0.18</v>
      </c>
      <c r="AB130" s="38">
        <f t="shared" ca="1" si="54"/>
        <v>0.18284120871469822</v>
      </c>
      <c r="AC130" s="38">
        <f t="shared" si="55"/>
        <v>0.5</v>
      </c>
      <c r="AD130" s="38">
        <f t="shared" si="55"/>
        <v>0.18</v>
      </c>
      <c r="AE130" s="38">
        <f t="shared" ca="1" si="56"/>
        <v>0.18284120871469822</v>
      </c>
      <c r="AF130" s="237">
        <f ca="1">((Summary!$N$13*(AA130*AD130)*(A130-$D$3))+(Summary!$M$13*Z130*AC130*(AJ130-EOMONTH(EDATE(A130,-1),0))))/(AK130*AB130*AE130)</f>
        <v>0.99990305728122097</v>
      </c>
      <c r="AG130" s="88">
        <f>IF($A131="","",Summary!$Q$13)</f>
        <v>0</v>
      </c>
      <c r="AH130" s="88">
        <f>IF($A131="","",IF(Summary!$R$12="Y",(VLOOKUP($A130,Summary!$AD$6:$AF$9,3)+'Escalating commodity'!I143),'Escalating commodity'!I143))</f>
        <v>5.4663583427018346E-2</v>
      </c>
      <c r="AI130" s="88">
        <f t="shared" si="71"/>
        <v>5.4663583427018346E-2</v>
      </c>
      <c r="AJ130" s="236">
        <f t="shared" si="57"/>
        <v>40709</v>
      </c>
      <c r="AK130" s="58">
        <f t="shared" ca="1" si="58"/>
        <v>3669</v>
      </c>
      <c r="AL130" s="26">
        <f ca="1">IF($A131="","",_xll.SPRDOPT(P130,X130,AI130,0,AB130,AE130,AF130,AK130,$AJ$2,0))</f>
        <v>0.46989027804837236</v>
      </c>
      <c r="AM130" s="209">
        <f t="shared" si="59"/>
        <v>0.46988875838689476</v>
      </c>
      <c r="AN130" s="89">
        <f t="shared" ca="1" si="60"/>
        <v>1.5196614776002981E-6</v>
      </c>
      <c r="AO130" s="3">
        <f t="shared" si="61"/>
        <v>30</v>
      </c>
      <c r="AP130" s="33">
        <f t="shared" si="62"/>
        <v>40695</v>
      </c>
      <c r="AQ130" s="58">
        <f t="shared" ca="1" si="63"/>
        <v>3669</v>
      </c>
      <c r="AR130" s="38">
        <f>'ANR OK vs ML7'!AR130</f>
        <v>0.1</v>
      </c>
      <c r="AS130" s="35">
        <f t="shared" ca="1" si="64"/>
        <v>0.37523175534969827</v>
      </c>
      <c r="AT130" s="3">
        <f t="shared" si="65"/>
        <v>1</v>
      </c>
      <c r="AU130" s="3">
        <f t="shared" si="66"/>
        <v>30</v>
      </c>
      <c r="AW130" s="32">
        <f t="shared" ca="1" si="67"/>
        <v>400346.51689721324</v>
      </c>
      <c r="AX130" s="32">
        <f t="shared" si="68"/>
        <v>400345.22214563435</v>
      </c>
      <c r="AY130" s="32">
        <f t="shared" ca="1" si="69"/>
        <v>1.294751578915454</v>
      </c>
      <c r="BA130" s="32">
        <f ca="1">IF($A131="","",F130*Summary!$Q$13)</f>
        <v>0</v>
      </c>
      <c r="BC130" s="256">
        <f t="shared" ca="1" si="72"/>
        <v>150222.24045157127</v>
      </c>
    </row>
    <row r="131" spans="1:55">
      <c r="A131" s="67">
        <f t="shared" si="70"/>
        <v>40725</v>
      </c>
      <c r="B131" s="69">
        <f t="shared" si="73"/>
        <v>28400</v>
      </c>
      <c r="C131" s="71"/>
      <c r="D131" s="69">
        <f t="shared" si="37"/>
        <v>28400</v>
      </c>
      <c r="E131" s="70">
        <f t="shared" si="38"/>
        <v>880400</v>
      </c>
      <c r="F131" s="70">
        <f t="shared" ca="1" si="39"/>
        <v>327716.89433619392</v>
      </c>
      <c r="G131" s="63">
        <f t="shared" si="40"/>
        <v>4.375</v>
      </c>
      <c r="H131" s="64">
        <f t="shared" si="41"/>
        <v>4.375</v>
      </c>
      <c r="I131" s="43"/>
      <c r="J131" s="63">
        <f t="shared" si="42"/>
        <v>0.23499999999999999</v>
      </c>
      <c r="K131" s="64">
        <f t="shared" si="43"/>
        <v>0.23499999999999999</v>
      </c>
      <c r="L131" s="38">
        <v>0</v>
      </c>
      <c r="M131" s="64">
        <f t="shared" si="44"/>
        <v>0</v>
      </c>
      <c r="N131" s="65"/>
      <c r="O131" s="63">
        <f t="shared" si="45"/>
        <v>4.6100000000000003</v>
      </c>
      <c r="P131" s="63">
        <f t="shared" si="46"/>
        <v>4.6100000000000003</v>
      </c>
      <c r="Q131" s="66"/>
      <c r="R131" s="63">
        <f t="shared" si="47"/>
        <v>-0.5872205668678081</v>
      </c>
      <c r="S131" s="64">
        <f t="shared" si="48"/>
        <v>-0.5872205668678081</v>
      </c>
      <c r="T131" s="38">
        <v>0</v>
      </c>
      <c r="U131" s="64">
        <f t="shared" si="49"/>
        <v>0</v>
      </c>
      <c r="V131" s="219">
        <f>(G131+R131)/(1-Summary!$T$13)*Summary!$T$13</f>
        <v>0.3020499306461355</v>
      </c>
      <c r="W131" s="43">
        <f t="shared" si="50"/>
        <v>4.0898293637783274</v>
      </c>
      <c r="X131" s="43">
        <f t="shared" si="51"/>
        <v>4.0898293637783274</v>
      </c>
      <c r="Y131" s="43"/>
      <c r="Z131" s="38">
        <f t="shared" si="52"/>
        <v>0.55000000000000004</v>
      </c>
      <c r="AA131" s="38">
        <f t="shared" si="53"/>
        <v>0.18</v>
      </c>
      <c r="AB131" s="38">
        <f t="shared" ca="1" si="54"/>
        <v>0.18351112075547349</v>
      </c>
      <c r="AC131" s="38">
        <f t="shared" si="55"/>
        <v>0.5</v>
      </c>
      <c r="AD131" s="38">
        <f t="shared" si="55"/>
        <v>0.18</v>
      </c>
      <c r="AE131" s="38">
        <f t="shared" ca="1" si="56"/>
        <v>0.18291074203345759</v>
      </c>
      <c r="AF131" s="237">
        <f ca="1">((Summary!$N$13*(AA131*AD131)*(A131-$D$3))+(Summary!$M$13*Z131*AC131*(AJ131-EOMONTH(EDATE(A131,-1),0))))/(AK131*AB131*AE131)</f>
        <v>0.99975277029267295</v>
      </c>
      <c r="AG131" s="88">
        <f>IF($A132="","",Summary!$Q$13)</f>
        <v>0</v>
      </c>
      <c r="AH131" s="88">
        <f>IF($A132="","",IF(Summary!$R$12="Y",(VLOOKUP($A131,Summary!$AD$6:$AF$9,3)+'Escalating commodity'!I144),'Escalating commodity'!I144))</f>
        <v>5.4663583427018346E-2</v>
      </c>
      <c r="AI131" s="88">
        <f t="shared" si="71"/>
        <v>5.4663583427018346E-2</v>
      </c>
      <c r="AJ131" s="236">
        <f t="shared" si="57"/>
        <v>40739.5</v>
      </c>
      <c r="AK131" s="58">
        <f t="shared" ca="1" si="58"/>
        <v>3699</v>
      </c>
      <c r="AL131" s="26">
        <f ca="1">IF($A132="","",_xll.SPRDOPT(P131,X131,AI131,0,AB131,AE131,AF131,AK131,$AJ$2,0))</f>
        <v>0.4655115508889428</v>
      </c>
      <c r="AM131" s="209">
        <f t="shared" si="59"/>
        <v>0.4655070527946546</v>
      </c>
      <c r="AN131" s="89">
        <f t="shared" ca="1" si="60"/>
        <v>4.498094288207799E-6</v>
      </c>
      <c r="AO131" s="3">
        <f t="shared" si="61"/>
        <v>31</v>
      </c>
      <c r="AP131" s="33">
        <f t="shared" si="62"/>
        <v>40725</v>
      </c>
      <c r="AQ131" s="58">
        <f t="shared" ca="1" si="63"/>
        <v>3699</v>
      </c>
      <c r="AR131" s="38">
        <f>'ANR OK vs ML7'!AR131</f>
        <v>0.1</v>
      </c>
      <c r="AS131" s="35">
        <f t="shared" ca="1" si="64"/>
        <v>0.3722363633986755</v>
      </c>
      <c r="AT131" s="3">
        <f t="shared" si="65"/>
        <v>1</v>
      </c>
      <c r="AU131" s="3">
        <f t="shared" si="66"/>
        <v>31</v>
      </c>
      <c r="AW131" s="32">
        <f t="shared" ca="1" si="67"/>
        <v>409836.36940262525</v>
      </c>
      <c r="AX131" s="32">
        <f t="shared" si="68"/>
        <v>409832.40928041388</v>
      </c>
      <c r="AY131" s="32">
        <f t="shared" ca="1" si="69"/>
        <v>3.9601222113381462</v>
      </c>
      <c r="BA131" s="32">
        <f ca="1">IF($A132="","",F131*Summary!$Q$13)</f>
        <v>0</v>
      </c>
      <c r="BC131" s="256">
        <f t="shared" ca="1" si="72"/>
        <v>152554.52563345886</v>
      </c>
    </row>
    <row r="132" spans="1:55">
      <c r="A132" s="67">
        <f t="shared" si="70"/>
        <v>40756</v>
      </c>
      <c r="B132" s="69">
        <f t="shared" si="73"/>
        <v>28400</v>
      </c>
      <c r="C132" s="71"/>
      <c r="D132" s="69">
        <f t="shared" si="37"/>
        <v>28400</v>
      </c>
      <c r="E132" s="70">
        <f t="shared" si="38"/>
        <v>880400</v>
      </c>
      <c r="F132" s="70">
        <f t="shared" ca="1" si="39"/>
        <v>325013.96053856402</v>
      </c>
      <c r="G132" s="63">
        <f t="shared" si="40"/>
        <v>4.431</v>
      </c>
      <c r="H132" s="64">
        <f t="shared" si="41"/>
        <v>4.431</v>
      </c>
      <c r="I132" s="43"/>
      <c r="J132" s="63">
        <f t="shared" si="42"/>
        <v>0.23499999999999999</v>
      </c>
      <c r="K132" s="64">
        <f t="shared" si="43"/>
        <v>0.23499999999999999</v>
      </c>
      <c r="L132" s="38">
        <v>0</v>
      </c>
      <c r="M132" s="64">
        <f t="shared" si="44"/>
        <v>0</v>
      </c>
      <c r="N132" s="65"/>
      <c r="O132" s="63">
        <f t="shared" si="45"/>
        <v>4.6660000000000004</v>
      </c>
      <c r="P132" s="63">
        <f t="shared" si="46"/>
        <v>4.6660000000000004</v>
      </c>
      <c r="Q132" s="66"/>
      <c r="R132" s="63">
        <f t="shared" si="47"/>
        <v>-0.58722471991048764</v>
      </c>
      <c r="S132" s="64">
        <f t="shared" si="48"/>
        <v>-0.58722471991048764</v>
      </c>
      <c r="T132" s="38">
        <v>0</v>
      </c>
      <c r="U132" s="64">
        <f t="shared" si="49"/>
        <v>0</v>
      </c>
      <c r="V132" s="219">
        <f>(G132+R132)/(1-Summary!$T$13)*Summary!$T$13</f>
        <v>0.30651522277534066</v>
      </c>
      <c r="W132" s="43">
        <f t="shared" si="50"/>
        <v>4.1502905028648529</v>
      </c>
      <c r="X132" s="43">
        <f t="shared" si="51"/>
        <v>4.1502905028648529</v>
      </c>
      <c r="Y132" s="43"/>
      <c r="Z132" s="38">
        <f t="shared" si="52"/>
        <v>0.6</v>
      </c>
      <c r="AA132" s="38">
        <f t="shared" si="53"/>
        <v>0.18</v>
      </c>
      <c r="AB132" s="38">
        <f t="shared" ca="1" si="54"/>
        <v>0.18413219403286479</v>
      </c>
      <c r="AC132" s="38">
        <f t="shared" si="55"/>
        <v>0.45</v>
      </c>
      <c r="AD132" s="38">
        <f t="shared" si="55"/>
        <v>0.18</v>
      </c>
      <c r="AE132" s="38">
        <f t="shared" ca="1" si="56"/>
        <v>0.1823463031233005</v>
      </c>
      <c r="AF132" s="237">
        <f ca="1">((Summary!$N$13*(AA132*AD132)*(A132-$D$3))+(Summary!$M$13*Z132*AC132*(AJ132-EOMONTH(EDATE(A132,-1),0))))/(AK132*AB132*AE132)</f>
        <v>0.99855862081091262</v>
      </c>
      <c r="AG132" s="88">
        <f>IF($A133="","",Summary!$Q$13)</f>
        <v>0</v>
      </c>
      <c r="AH132" s="88">
        <f>IF($A133="","",IF(Summary!$R$12="Y",(VLOOKUP($A132,Summary!$AD$6:$AF$9,3)+'Escalating commodity'!I145),'Escalating commodity'!I145))</f>
        <v>5.4663583427018346E-2</v>
      </c>
      <c r="AI132" s="88">
        <f t="shared" si="71"/>
        <v>5.4663583427018346E-2</v>
      </c>
      <c r="AJ132" s="236">
        <f t="shared" si="57"/>
        <v>40770.5</v>
      </c>
      <c r="AK132" s="58">
        <f t="shared" ca="1" si="58"/>
        <v>3730</v>
      </c>
      <c r="AL132" s="26">
        <f ca="1">IF($A133="","",_xll.SPRDOPT(P132,X132,AI132,0,AB132,AE132,AF132,AK132,$AJ$2,0))</f>
        <v>0.46113937910021646</v>
      </c>
      <c r="AM132" s="209">
        <f t="shared" si="59"/>
        <v>0.46104591370812914</v>
      </c>
      <c r="AN132" s="89">
        <f t="shared" ca="1" si="60"/>
        <v>9.3465392087321852E-5</v>
      </c>
      <c r="AO132" s="3">
        <f t="shared" si="61"/>
        <v>31</v>
      </c>
      <c r="AP132" s="33">
        <f t="shared" si="62"/>
        <v>40756</v>
      </c>
      <c r="AQ132" s="58">
        <f t="shared" ca="1" si="63"/>
        <v>3730</v>
      </c>
      <c r="AR132" s="38">
        <f>'ANR OK vs ML7'!AR132</f>
        <v>0.1</v>
      </c>
      <c r="AS132" s="35">
        <f t="shared" ca="1" si="64"/>
        <v>0.36916624322871877</v>
      </c>
      <c r="AT132" s="3">
        <f t="shared" si="65"/>
        <v>1</v>
      </c>
      <c r="AU132" s="3">
        <f t="shared" si="66"/>
        <v>31</v>
      </c>
      <c r="AW132" s="32">
        <f t="shared" ca="1" si="67"/>
        <v>405987.10935983056</v>
      </c>
      <c r="AX132" s="32">
        <f t="shared" si="68"/>
        <v>405904.82242863689</v>
      </c>
      <c r="AY132" s="32">
        <f t="shared" ca="1" si="69"/>
        <v>82.286931193678157</v>
      </c>
      <c r="BA132" s="32">
        <f ca="1">IF($A133="","",F132*Summary!$Q$13)</f>
        <v>0</v>
      </c>
      <c r="BC132" s="256">
        <f t="shared" ca="1" si="72"/>
        <v>149846.35840440009</v>
      </c>
    </row>
    <row r="133" spans="1:55">
      <c r="A133" s="67">
        <f t="shared" si="70"/>
        <v>40787</v>
      </c>
      <c r="B133" s="69">
        <f t="shared" si="73"/>
        <v>28400</v>
      </c>
      <c r="C133" s="71"/>
      <c r="D133" s="69">
        <f t="shared" si="37"/>
        <v>28400</v>
      </c>
      <c r="E133" s="70">
        <f t="shared" si="38"/>
        <v>852000</v>
      </c>
      <c r="F133" s="70">
        <f t="shared" ca="1" si="39"/>
        <v>311935.47088945447</v>
      </c>
      <c r="G133" s="63">
        <f t="shared" si="40"/>
        <v>4.4450000000000003</v>
      </c>
      <c r="H133" s="64">
        <f t="shared" si="41"/>
        <v>4.4450000000000003</v>
      </c>
      <c r="I133" s="43"/>
      <c r="J133" s="63">
        <f t="shared" si="42"/>
        <v>0.23499999999999999</v>
      </c>
      <c r="K133" s="64">
        <f t="shared" si="43"/>
        <v>0.23499999999999999</v>
      </c>
      <c r="L133" s="38">
        <v>0</v>
      </c>
      <c r="M133" s="64">
        <f t="shared" si="44"/>
        <v>0</v>
      </c>
      <c r="N133" s="65"/>
      <c r="O133" s="63">
        <f t="shared" si="45"/>
        <v>4.6800000000000006</v>
      </c>
      <c r="P133" s="63">
        <f t="shared" si="46"/>
        <v>4.6800000000000006</v>
      </c>
      <c r="Q133" s="66"/>
      <c r="R133" s="63">
        <f t="shared" si="47"/>
        <v>-0.58722903354152123</v>
      </c>
      <c r="S133" s="64">
        <f t="shared" si="48"/>
        <v>-0.58722903354152123</v>
      </c>
      <c r="T133" s="38">
        <v>0</v>
      </c>
      <c r="U133" s="64">
        <f t="shared" si="49"/>
        <v>0</v>
      </c>
      <c r="V133" s="219">
        <f>(G133+R133)/(1-Summary!$T$13)*Summary!$T$13</f>
        <v>0.30763128461888778</v>
      </c>
      <c r="W133" s="43">
        <f t="shared" si="50"/>
        <v>4.1654022510773672</v>
      </c>
      <c r="X133" s="43">
        <f t="shared" si="51"/>
        <v>4.1654022510773672</v>
      </c>
      <c r="Y133" s="43"/>
      <c r="Z133" s="38">
        <f t="shared" si="52"/>
        <v>0.6</v>
      </c>
      <c r="AA133" s="38">
        <f t="shared" si="53"/>
        <v>0.18</v>
      </c>
      <c r="AB133" s="38">
        <f t="shared" ca="1" si="54"/>
        <v>0.18396848394300067</v>
      </c>
      <c r="AC133" s="38">
        <f t="shared" si="55"/>
        <v>0.5</v>
      </c>
      <c r="AD133" s="38">
        <f t="shared" si="55"/>
        <v>0.18</v>
      </c>
      <c r="AE133" s="38">
        <f t="shared" ca="1" si="56"/>
        <v>0.18277223524395109</v>
      </c>
      <c r="AF133" s="237">
        <f ca="1">((Summary!$N$13*(AA133*AD133)*(A133-$D$3))+(Summary!$M$13*Z133*AC133*(AJ133-EOMONTH(EDATE(A133,-1),0))))/(AK133*AB133*AE133)</f>
        <v>0.99933182727411218</v>
      </c>
      <c r="AG133" s="88">
        <f>IF($A134="","",Summary!$Q$13)</f>
        <v>0</v>
      </c>
      <c r="AH133" s="88">
        <f>IF($A134="","",IF(Summary!$R$12="Y",(VLOOKUP($A133,Summary!$AD$6:$AF$9,3)+'Escalating commodity'!I146),'Escalating commodity'!I146))</f>
        <v>5.4663583427018346E-2</v>
      </c>
      <c r="AI133" s="88">
        <f t="shared" si="71"/>
        <v>5.4663583427018346E-2</v>
      </c>
      <c r="AJ133" s="236">
        <f t="shared" si="57"/>
        <v>40801</v>
      </c>
      <c r="AK133" s="58">
        <f t="shared" ca="1" si="58"/>
        <v>3761</v>
      </c>
      <c r="AL133" s="26">
        <f ca="1">IF($A134="","",_xll.SPRDOPT(P133,X133,AI133,0,AB133,AE133,AF133,AK133,$AJ$2,0))</f>
        <v>0.45995232399475938</v>
      </c>
      <c r="AM133" s="209">
        <f t="shared" si="59"/>
        <v>0.45993416549561511</v>
      </c>
      <c r="AN133" s="89">
        <f t="shared" ca="1" si="60"/>
        <v>1.8158499144271811E-5</v>
      </c>
      <c r="AO133" s="3">
        <f t="shared" si="61"/>
        <v>30</v>
      </c>
      <c r="AP133" s="33">
        <f t="shared" si="62"/>
        <v>40787</v>
      </c>
      <c r="AQ133" s="58">
        <f t="shared" ca="1" si="63"/>
        <v>3761</v>
      </c>
      <c r="AR133" s="38">
        <f>'ANR OK vs ML7'!AR133</f>
        <v>0.1</v>
      </c>
      <c r="AS133" s="35">
        <f t="shared" ca="1" si="64"/>
        <v>0.3661214447059325</v>
      </c>
      <c r="AT133" s="3">
        <f t="shared" si="65"/>
        <v>1</v>
      </c>
      <c r="AU133" s="3">
        <f t="shared" si="66"/>
        <v>30</v>
      </c>
      <c r="AW133" s="32">
        <f t="shared" ca="1" si="67"/>
        <v>391879.38004353497</v>
      </c>
      <c r="AX133" s="32">
        <f t="shared" si="68"/>
        <v>391863.90900226409</v>
      </c>
      <c r="AY133" s="32">
        <f t="shared" ca="1" si="69"/>
        <v>15.471041270919583</v>
      </c>
      <c r="BA133" s="32">
        <f ca="1">IF($A134="","",F133*Summary!$Q$13)</f>
        <v>0</v>
      </c>
      <c r="BC133" s="256">
        <f t="shared" ca="1" si="72"/>
        <v>143469.78049202298</v>
      </c>
    </row>
    <row r="134" spans="1:55">
      <c r="A134" s="67">
        <f t="shared" si="70"/>
        <v>40817</v>
      </c>
      <c r="B134" s="69">
        <f t="shared" si="73"/>
        <v>28400</v>
      </c>
      <c r="C134" s="71"/>
      <c r="D134" s="69">
        <f t="shared" si="37"/>
        <v>28400</v>
      </c>
      <c r="E134" s="70">
        <f t="shared" si="38"/>
        <v>880400</v>
      </c>
      <c r="F134" s="70">
        <f t="shared" ca="1" si="39"/>
        <v>319760.20445574791</v>
      </c>
      <c r="G134" s="63">
        <f t="shared" si="40"/>
        <v>4.476</v>
      </c>
      <c r="H134" s="64">
        <f t="shared" si="41"/>
        <v>4.476</v>
      </c>
      <c r="I134" s="43"/>
      <c r="J134" s="63">
        <f t="shared" si="42"/>
        <v>0.23499999999999999</v>
      </c>
      <c r="K134" s="64">
        <f t="shared" si="43"/>
        <v>0.23499999999999999</v>
      </c>
      <c r="L134" s="38">
        <v>0</v>
      </c>
      <c r="M134" s="64">
        <f t="shared" si="44"/>
        <v>0</v>
      </c>
      <c r="N134" s="65"/>
      <c r="O134" s="63">
        <f t="shared" si="45"/>
        <v>4.7110000000000003</v>
      </c>
      <c r="P134" s="63">
        <f t="shared" si="46"/>
        <v>4.7110000000000003</v>
      </c>
      <c r="Q134" s="66"/>
      <c r="R134" s="63">
        <f t="shared" si="47"/>
        <v>-0.5872333608938578</v>
      </c>
      <c r="S134" s="64">
        <f t="shared" si="48"/>
        <v>-0.5872333608938578</v>
      </c>
      <c r="T134" s="38">
        <v>0</v>
      </c>
      <c r="U134" s="64">
        <f t="shared" si="49"/>
        <v>0</v>
      </c>
      <c r="V134" s="219">
        <f>(G134+R134)/(1-Summary!$T$13)*Summary!$T$13</f>
        <v>0.3101029810148459</v>
      </c>
      <c r="W134" s="43">
        <f t="shared" si="50"/>
        <v>4.1988696201209876</v>
      </c>
      <c r="X134" s="43">
        <f t="shared" si="51"/>
        <v>4.1988696201209876</v>
      </c>
      <c r="Y134" s="43"/>
      <c r="Z134" s="38">
        <f t="shared" si="52"/>
        <v>0.65</v>
      </c>
      <c r="AA134" s="38">
        <f t="shared" si="53"/>
        <v>0.18</v>
      </c>
      <c r="AB134" s="38">
        <f t="shared" ca="1" si="54"/>
        <v>0.18475928431786934</v>
      </c>
      <c r="AC134" s="38">
        <f t="shared" si="55"/>
        <v>0.5</v>
      </c>
      <c r="AD134" s="38">
        <f t="shared" si="55"/>
        <v>0.18</v>
      </c>
      <c r="AE134" s="38">
        <f t="shared" ca="1" si="56"/>
        <v>0.18284065275440547</v>
      </c>
      <c r="AF134" s="237">
        <f ca="1">((Summary!$N$13*(AA134*AD134)*(A134-$D$3))+(Summary!$M$13*Z134*AC134*(AJ134-EOMONTH(EDATE(A134,-1),0))))/(AK134*AB134*AE134)</f>
        <v>0.99859694305825175</v>
      </c>
      <c r="AG134" s="88">
        <f>IF($A135="","",Summary!$Q$13)</f>
        <v>0</v>
      </c>
      <c r="AH134" s="88">
        <f>IF($A135="","",IF(Summary!$R$12="Y",(VLOOKUP($A134,Summary!$AD$6:$AF$9,3)+'Escalating commodity'!I147),'Escalating commodity'!I147))</f>
        <v>5.4663583427018346E-2</v>
      </c>
      <c r="AI134" s="88">
        <f t="shared" si="71"/>
        <v>5.4663583427018346E-2</v>
      </c>
      <c r="AJ134" s="236">
        <f t="shared" si="57"/>
        <v>40831.5</v>
      </c>
      <c r="AK134" s="58">
        <f t="shared" ca="1" si="58"/>
        <v>3791</v>
      </c>
      <c r="AL134" s="26">
        <f ca="1">IF($A135="","",_xll.SPRDOPT(P134,X134,AI134,0,AB134,AE134,AF134,AK134,$AJ$2,0))</f>
        <v>0.45758548557169254</v>
      </c>
      <c r="AM134" s="209">
        <f t="shared" si="59"/>
        <v>0.45746679645199434</v>
      </c>
      <c r="AN134" s="89">
        <f t="shared" ca="1" si="60"/>
        <v>1.1868911969820095E-4</v>
      </c>
      <c r="AO134" s="3">
        <f t="shared" si="61"/>
        <v>31</v>
      </c>
      <c r="AP134" s="33">
        <f t="shared" si="62"/>
        <v>40817</v>
      </c>
      <c r="AQ134" s="58">
        <f t="shared" ca="1" si="63"/>
        <v>3791</v>
      </c>
      <c r="AR134" s="38">
        <f>'ANR OK vs ML7'!AR134</f>
        <v>0.1</v>
      </c>
      <c r="AS134" s="35">
        <f t="shared" ca="1" si="64"/>
        <v>0.36319877834591996</v>
      </c>
      <c r="AT134" s="3">
        <f t="shared" si="65"/>
        <v>1</v>
      </c>
      <c r="AU134" s="3">
        <f t="shared" si="66"/>
        <v>31</v>
      </c>
      <c r="AW134" s="32">
        <f t="shared" ca="1" si="67"/>
        <v>402858.2614973181</v>
      </c>
      <c r="AX134" s="32">
        <f t="shared" si="68"/>
        <v>402753.76759633579</v>
      </c>
      <c r="AY134" s="32">
        <f t="shared" ca="1" si="69"/>
        <v>104.49390098229611</v>
      </c>
      <c r="BA134" s="32">
        <f ca="1">IF($A135="","",F134*Summary!$Q$13)</f>
        <v>0</v>
      </c>
      <c r="BC134" s="256">
        <f t="shared" ca="1" si="72"/>
        <v>146279.67636520573</v>
      </c>
    </row>
    <row r="135" spans="1:55">
      <c r="A135" s="67">
        <f t="shared" si="70"/>
        <v>40848</v>
      </c>
      <c r="B135" s="69">
        <f t="shared" si="73"/>
        <v>28400</v>
      </c>
      <c r="C135" s="71"/>
      <c r="D135" s="69">
        <f t="shared" si="37"/>
        <v>28400</v>
      </c>
      <c r="E135" s="70">
        <f t="shared" si="38"/>
        <v>852000</v>
      </c>
      <c r="F135" s="70">
        <f t="shared" ca="1" si="39"/>
        <v>306893.1247855642</v>
      </c>
      <c r="G135" s="63">
        <f t="shared" si="40"/>
        <v>4.609</v>
      </c>
      <c r="H135" s="64">
        <f t="shared" si="41"/>
        <v>4.609</v>
      </c>
      <c r="I135" s="43"/>
      <c r="J135" s="63">
        <f t="shared" si="42"/>
        <v>0.42499999999999999</v>
      </c>
      <c r="K135" s="64">
        <f t="shared" si="43"/>
        <v>0.42499999999999999</v>
      </c>
      <c r="L135" s="38">
        <v>0</v>
      </c>
      <c r="M135" s="64">
        <f t="shared" si="44"/>
        <v>0</v>
      </c>
      <c r="N135" s="65"/>
      <c r="O135" s="63">
        <f t="shared" si="45"/>
        <v>5.0339999999999998</v>
      </c>
      <c r="P135" s="63">
        <f t="shared" si="46"/>
        <v>5.0339999999999998</v>
      </c>
      <c r="Q135" s="66"/>
      <c r="R135" s="63">
        <f t="shared" si="47"/>
        <v>-0.52347205584062717</v>
      </c>
      <c r="S135" s="64">
        <f t="shared" si="48"/>
        <v>-0.52347205584062717</v>
      </c>
      <c r="T135" s="38">
        <v>0</v>
      </c>
      <c r="U135" s="64">
        <f t="shared" si="49"/>
        <v>0</v>
      </c>
      <c r="V135" s="219">
        <f>(G135+R135)/(1-Summary!$T$13)*Summary!$T$13</f>
        <v>0.32579337154427174</v>
      </c>
      <c r="W135" s="43">
        <f t="shared" si="50"/>
        <v>4.4113213157036446</v>
      </c>
      <c r="X135" s="43">
        <f t="shared" si="51"/>
        <v>4.4113213157036446</v>
      </c>
      <c r="Y135" s="43"/>
      <c r="Z135" s="38">
        <f t="shared" si="52"/>
        <v>0.8</v>
      </c>
      <c r="AA135" s="38">
        <f t="shared" si="53"/>
        <v>0.18</v>
      </c>
      <c r="AB135" s="38">
        <f t="shared" ca="1" si="54"/>
        <v>0.18686961009590092</v>
      </c>
      <c r="AC135" s="38">
        <f t="shared" si="55"/>
        <v>0.95</v>
      </c>
      <c r="AD135" s="38">
        <f t="shared" si="55"/>
        <v>0.18</v>
      </c>
      <c r="AE135" s="38">
        <f t="shared" ca="1" si="56"/>
        <v>0.18960609419956367</v>
      </c>
      <c r="AF135" s="237">
        <f ca="1">((Summary!$N$13*(AA135*AD135)*(A135-$D$3))+(Summary!$M$13*Z135*AC135*(AJ135-EOMONTH(EDATE(A135,-1),0))))/(AK135*AB135*AE135)</f>
        <v>0.99876807904297615</v>
      </c>
      <c r="AG135" s="88">
        <f>IF($A136="","",Summary!$Q$13)</f>
        <v>0</v>
      </c>
      <c r="AH135" s="88">
        <f>IF($A136="","",IF(Summary!$R$12="Y",(VLOOKUP($A135,Summary!$AD$6:$AF$9,3)+'Escalating commodity'!I148),'Escalating commodity'!I148))</f>
        <v>5.4663583427018346E-2</v>
      </c>
      <c r="AI135" s="88">
        <f t="shared" si="71"/>
        <v>5.4663583427018346E-2</v>
      </c>
      <c r="AJ135" s="236">
        <f t="shared" si="57"/>
        <v>40862</v>
      </c>
      <c r="AK135" s="58">
        <f t="shared" ca="1" si="58"/>
        <v>3822</v>
      </c>
      <c r="AL135" s="26">
        <f ca="1">IF($A136="","",_xll.SPRDOPT(P135,X135,AI135,0,AB135,AE135,AF135,AK135,$AJ$2,0))</f>
        <v>0.56801689830010216</v>
      </c>
      <c r="AM135" s="209">
        <f t="shared" si="59"/>
        <v>0.56801510086933682</v>
      </c>
      <c r="AN135" s="89">
        <f t="shared" ca="1" si="60"/>
        <v>1.7974307653378929E-6</v>
      </c>
      <c r="AO135" s="3">
        <f t="shared" si="61"/>
        <v>30</v>
      </c>
      <c r="AP135" s="33">
        <f t="shared" si="62"/>
        <v>40848</v>
      </c>
      <c r="AQ135" s="58">
        <f t="shared" ca="1" si="63"/>
        <v>3822</v>
      </c>
      <c r="AR135" s="38">
        <f>'ANR OK vs ML7'!AR135</f>
        <v>0.1</v>
      </c>
      <c r="AS135" s="35">
        <f t="shared" ca="1" si="64"/>
        <v>0.3602031981051223</v>
      </c>
      <c r="AT135" s="3">
        <f t="shared" si="65"/>
        <v>1</v>
      </c>
      <c r="AU135" s="3">
        <f t="shared" si="66"/>
        <v>30</v>
      </c>
      <c r="AW135" s="32">
        <f t="shared" ca="1" si="67"/>
        <v>483950.39735168702</v>
      </c>
      <c r="AX135" s="32">
        <f t="shared" si="68"/>
        <v>483948.86594067496</v>
      </c>
      <c r="AY135" s="32">
        <f t="shared" ca="1" si="69"/>
        <v>1.5314110120678848</v>
      </c>
      <c r="BA135" s="32">
        <f ca="1">IF($A136="","",F135*Summary!$Q$13)</f>
        <v>0</v>
      </c>
      <c r="BC135" s="256">
        <f t="shared" ca="1" si="72"/>
        <v>174319.92923117822</v>
      </c>
    </row>
    <row r="136" spans="1:55">
      <c r="A136" s="67">
        <f t="shared" si="70"/>
        <v>40878</v>
      </c>
      <c r="B136" s="69">
        <f t="shared" si="73"/>
        <v>28400</v>
      </c>
      <c r="C136" s="71"/>
      <c r="D136" s="69">
        <f t="shared" si="37"/>
        <v>28400</v>
      </c>
      <c r="E136" s="70">
        <f t="shared" si="38"/>
        <v>880400</v>
      </c>
      <c r="F136" s="70">
        <f t="shared" ca="1" si="39"/>
        <v>314591.37381100224</v>
      </c>
      <c r="G136" s="63">
        <f t="shared" si="40"/>
        <v>4.7469999999999999</v>
      </c>
      <c r="H136" s="64">
        <f t="shared" si="41"/>
        <v>4.7469999999999999</v>
      </c>
      <c r="I136" s="43"/>
      <c r="J136" s="63">
        <f t="shared" si="42"/>
        <v>0.42499999999999999</v>
      </c>
      <c r="K136" s="64">
        <f t="shared" si="43"/>
        <v>0.42499999999999999</v>
      </c>
      <c r="L136" s="38">
        <v>0</v>
      </c>
      <c r="M136" s="64">
        <f t="shared" si="44"/>
        <v>0</v>
      </c>
      <c r="N136" s="65"/>
      <c r="O136" s="63">
        <f t="shared" si="45"/>
        <v>5.1719999999999997</v>
      </c>
      <c r="P136" s="63">
        <f t="shared" si="46"/>
        <v>5.1719999999999997</v>
      </c>
      <c r="Q136" s="66"/>
      <c r="R136" s="63">
        <f t="shared" si="47"/>
        <v>-0.52347688107336832</v>
      </c>
      <c r="S136" s="64">
        <f t="shared" si="48"/>
        <v>-0.52347688107336832</v>
      </c>
      <c r="T136" s="38">
        <v>0</v>
      </c>
      <c r="U136" s="64">
        <f t="shared" si="49"/>
        <v>0</v>
      </c>
      <c r="V136" s="219">
        <f>(G136+R136)/(1-Summary!$T$13)*Summary!$T$13</f>
        <v>0.33679755848381709</v>
      </c>
      <c r="W136" s="43">
        <f t="shared" si="50"/>
        <v>4.5603206774104486</v>
      </c>
      <c r="X136" s="43">
        <f t="shared" si="51"/>
        <v>4.5603206774104486</v>
      </c>
      <c r="Y136" s="43"/>
      <c r="Z136" s="38">
        <f t="shared" si="52"/>
        <v>1.1000000000000001</v>
      </c>
      <c r="AA136" s="38">
        <f t="shared" si="53"/>
        <v>0.18</v>
      </c>
      <c r="AB136" s="38">
        <f t="shared" ca="1" si="54"/>
        <v>0.19307332930277593</v>
      </c>
      <c r="AC136" s="38">
        <f t="shared" si="55"/>
        <v>1.35</v>
      </c>
      <c r="AD136" s="38">
        <f t="shared" si="55"/>
        <v>0.18</v>
      </c>
      <c r="AE136" s="38">
        <f t="shared" ca="1" si="56"/>
        <v>0.1993538042083382</v>
      </c>
      <c r="AF136" s="237">
        <f ca="1">((Summary!$N$13*(AA136*AD136)*(A136-$D$3))+(Summary!$M$13*Z136*AC136*(AJ136-EOMONTH(EDATE(A136,-1),0))))/(AK136*AB136*AE136)</f>
        <v>0.99716120290007437</v>
      </c>
      <c r="AG136" s="88">
        <f>IF($A137="","",Summary!$Q$13)</f>
        <v>0</v>
      </c>
      <c r="AH136" s="88">
        <f>IF($A137="","",IF(Summary!$R$12="Y",(VLOOKUP($A136,Summary!$AD$6:$AF$9,3)+'Escalating commodity'!I149),'Escalating commodity'!I149))</f>
        <v>5.4663583427018346E-2</v>
      </c>
      <c r="AI136" s="88">
        <f t="shared" si="71"/>
        <v>5.4663583427018346E-2</v>
      </c>
      <c r="AJ136" s="236">
        <f t="shared" si="57"/>
        <v>40892.5</v>
      </c>
      <c r="AK136" s="58">
        <f t="shared" ca="1" si="58"/>
        <v>3852</v>
      </c>
      <c r="AL136" s="26">
        <f ca="1">IF($A137="","",_xll.SPRDOPT(P136,X136,AI136,0,AB136,AE136,AF136,AK136,$AJ$2,0))</f>
        <v>0.55795860482317605</v>
      </c>
      <c r="AM136" s="209">
        <f t="shared" si="59"/>
        <v>0.55701573916253277</v>
      </c>
      <c r="AN136" s="89">
        <f t="shared" ca="1" si="60"/>
        <v>9.4286566064327726E-4</v>
      </c>
      <c r="AO136" s="3">
        <f t="shared" si="61"/>
        <v>31</v>
      </c>
      <c r="AP136" s="33">
        <f t="shared" si="62"/>
        <v>40878</v>
      </c>
      <c r="AQ136" s="58">
        <f t="shared" ca="1" si="63"/>
        <v>3852</v>
      </c>
      <c r="AR136" s="38">
        <f>'ANR OK vs ML7'!AR136</f>
        <v>0.1</v>
      </c>
      <c r="AS136" s="35">
        <f t="shared" ca="1" si="64"/>
        <v>0.35732777579623154</v>
      </c>
      <c r="AT136" s="3">
        <f t="shared" si="65"/>
        <v>1</v>
      </c>
      <c r="AU136" s="3">
        <f t="shared" si="66"/>
        <v>31</v>
      </c>
      <c r="AW136" s="32">
        <f t="shared" ca="1" si="67"/>
        <v>491226.75568632421</v>
      </c>
      <c r="AX136" s="32">
        <f t="shared" si="68"/>
        <v>490396.65675869386</v>
      </c>
      <c r="AY136" s="32">
        <f t="shared" ca="1" si="69"/>
        <v>830.09892763034134</v>
      </c>
      <c r="BA136" s="32">
        <f ca="1">IF($A137="","",F136*Summary!$Q$13)</f>
        <v>0</v>
      </c>
      <c r="BC136" s="256">
        <f t="shared" ca="1" si="72"/>
        <v>175232.34661749206</v>
      </c>
    </row>
    <row r="137" spans="1:55">
      <c r="A137" s="67">
        <f t="shared" si="70"/>
        <v>40909</v>
      </c>
      <c r="B137" s="69">
        <f t="shared" si="73"/>
        <v>28400</v>
      </c>
      <c r="C137" s="71"/>
      <c r="D137" s="69">
        <f t="shared" si="37"/>
        <v>28400</v>
      </c>
      <c r="E137" s="70">
        <f t="shared" si="38"/>
        <v>880400</v>
      </c>
      <c r="F137" s="70">
        <f t="shared" ca="1" si="39"/>
        <v>311996.6962969274</v>
      </c>
      <c r="G137" s="63">
        <f t="shared" si="40"/>
        <v>4.7890000000000006</v>
      </c>
      <c r="H137" s="64">
        <f t="shared" si="41"/>
        <v>4.7890000000000006</v>
      </c>
      <c r="I137" s="43"/>
      <c r="J137" s="63">
        <f t="shared" si="42"/>
        <v>0.42499999999999999</v>
      </c>
      <c r="K137" s="64">
        <f t="shared" si="43"/>
        <v>0.42499999999999999</v>
      </c>
      <c r="L137" s="38">
        <v>0</v>
      </c>
      <c r="M137" s="64">
        <f t="shared" si="44"/>
        <v>0</v>
      </c>
      <c r="N137" s="65"/>
      <c r="O137" s="63">
        <f t="shared" si="45"/>
        <v>5.2140000000000004</v>
      </c>
      <c r="P137" s="63">
        <f t="shared" si="46"/>
        <v>5.2140000000000004</v>
      </c>
      <c r="Q137" s="66"/>
      <c r="R137" s="63">
        <f t="shared" si="47"/>
        <v>-0.52348203156378292</v>
      </c>
      <c r="S137" s="64">
        <f t="shared" si="48"/>
        <v>-0.52348203156378292</v>
      </c>
      <c r="T137" s="38">
        <v>0</v>
      </c>
      <c r="U137" s="64">
        <f t="shared" si="49"/>
        <v>0</v>
      </c>
      <c r="V137" s="219">
        <f>(G137+R137)/(1-Summary!$T$13)*Summary!$T$13</f>
        <v>0.34014636524666925</v>
      </c>
      <c r="W137" s="43">
        <f t="shared" si="50"/>
        <v>4.6056643336828866</v>
      </c>
      <c r="X137" s="43">
        <f t="shared" si="51"/>
        <v>4.6056643336828866</v>
      </c>
      <c r="Y137" s="43"/>
      <c r="Z137" s="38">
        <f t="shared" si="52"/>
        <v>1.1000000000000001</v>
      </c>
      <c r="AA137" s="38">
        <f t="shared" si="53"/>
        <v>0.18</v>
      </c>
      <c r="AB137" s="38">
        <f t="shared" ca="1" si="54"/>
        <v>0.19297246537389742</v>
      </c>
      <c r="AC137" s="38">
        <f t="shared" si="55"/>
        <v>1.35</v>
      </c>
      <c r="AD137" s="38">
        <f t="shared" si="55"/>
        <v>0.18</v>
      </c>
      <c r="AE137" s="38">
        <f t="shared" ca="1" si="56"/>
        <v>0.19920673871359243</v>
      </c>
      <c r="AF137" s="237">
        <f ca="1">((Summary!$N$13*(AA137*AD137)*(A137-$D$3))+(Summary!$M$13*Z137*AC137*(AJ137-EOMONTH(EDATE(A137,-1),0))))/(AK137*AB137*AE137)</f>
        <v>0.99717621689643632</v>
      </c>
      <c r="AG137" s="88">
        <f>IF($A138="","",Summary!$Q$13)</f>
        <v>0</v>
      </c>
      <c r="AH137" s="88">
        <f>IF($A138="","",IF(Summary!$R$12="Y",(VLOOKUP($A137,Summary!$AD$6:$AF$9,3)+'Escalating commodity'!I150),'Escalating commodity'!I150))</f>
        <v>5.5756855095558715E-2</v>
      </c>
      <c r="AI137" s="88">
        <f t="shared" si="71"/>
        <v>5.5756855095558715E-2</v>
      </c>
      <c r="AJ137" s="236">
        <f t="shared" si="57"/>
        <v>40923.5</v>
      </c>
      <c r="AK137" s="58">
        <f t="shared" ca="1" si="58"/>
        <v>3883</v>
      </c>
      <c r="AL137" s="26">
        <f ca="1">IF($A138="","",_xll.SPRDOPT(P137,X137,AI137,0,AB137,AE137,AF137,AK137,$AJ$2,0))</f>
        <v>0.55363969048775508</v>
      </c>
      <c r="AM137" s="209">
        <f t="shared" si="59"/>
        <v>0.55257881122155506</v>
      </c>
      <c r="AN137" s="89">
        <f t="shared" ca="1" si="60"/>
        <v>1.060879266200021E-3</v>
      </c>
      <c r="AO137" s="3">
        <f t="shared" si="61"/>
        <v>31</v>
      </c>
      <c r="AP137" s="33">
        <f t="shared" si="62"/>
        <v>40909</v>
      </c>
      <c r="AQ137" s="58">
        <f t="shared" ca="1" si="63"/>
        <v>3883</v>
      </c>
      <c r="AR137" s="38">
        <f>'ANR OK vs ML7'!AR137</f>
        <v>0.1</v>
      </c>
      <c r="AS137" s="35">
        <f t="shared" ca="1" si="64"/>
        <v>0.35438061823821831</v>
      </c>
      <c r="AT137" s="3">
        <f t="shared" si="65"/>
        <v>1</v>
      </c>
      <c r="AU137" s="3">
        <f t="shared" si="66"/>
        <v>31</v>
      </c>
      <c r="AW137" s="32">
        <f t="shared" ca="1" si="67"/>
        <v>487424.3835054196</v>
      </c>
      <c r="AX137" s="32">
        <f t="shared" si="68"/>
        <v>486490.38539945707</v>
      </c>
      <c r="AY137" s="32">
        <f t="shared" ca="1" si="69"/>
        <v>933.99810596249847</v>
      </c>
      <c r="BA137" s="32">
        <f ca="1">IF($A138="","",F137*Summary!$Q$13)</f>
        <v>0</v>
      </c>
      <c r="BC137" s="256">
        <f t="shared" ca="1" si="72"/>
        <v>172402.76354480869</v>
      </c>
    </row>
    <row r="138" spans="1:55">
      <c r="A138" s="67">
        <f t="shared" si="70"/>
        <v>40940</v>
      </c>
      <c r="B138" s="69">
        <f t="shared" si="73"/>
        <v>28400</v>
      </c>
      <c r="C138" s="71"/>
      <c r="D138" s="69">
        <f t="shared" ref="D138:D201" si="74">IF(A139&lt;&gt;"",B138+C138,"")</f>
        <v>28400</v>
      </c>
      <c r="E138" s="70">
        <f t="shared" ref="E138:E201" si="75">IF(A139="","",IF(AND(AT138=1,$H$3=1),D138*AO138,IF($H$3=2,D138,"N/A")))</f>
        <v>823600</v>
      </c>
      <c r="F138" s="70">
        <f t="shared" ref="F138:F201" ca="1" si="76">IF(A139="","",E138*AS138)</f>
        <v>289460.61785653315</v>
      </c>
      <c r="G138" s="63">
        <f t="shared" ref="G138:G201" si="77">IF($A139="","",VLOOKUP($A138,Table,MATCH(G$4,Curves,0)))</f>
        <v>4.6690000000000005</v>
      </c>
      <c r="H138" s="64">
        <f t="shared" ref="H138:H201" si="78">IF(A139="","",G138)</f>
        <v>4.6690000000000005</v>
      </c>
      <c r="I138" s="43"/>
      <c r="J138" s="63">
        <f t="shared" ref="J138:J201" si="79">IF($A139="","",VLOOKUP($A138,Table,MATCH(J$4,Curves,0)))</f>
        <v>0.42499999999999999</v>
      </c>
      <c r="K138" s="64">
        <f t="shared" ref="K138:K201" si="80">IF(A139="","",J138)</f>
        <v>0.42499999999999999</v>
      </c>
      <c r="L138" s="38">
        <v>0</v>
      </c>
      <c r="M138" s="64">
        <f t="shared" ref="M138:M201" si="81">IF(A139="","",L138)</f>
        <v>0</v>
      </c>
      <c r="N138" s="65"/>
      <c r="O138" s="63">
        <f t="shared" ref="O138:O201" si="82">IF(A139="","",L138+J138+G138)</f>
        <v>5.0940000000000003</v>
      </c>
      <c r="P138" s="63">
        <f t="shared" ref="P138:P201" si="83">IF(A139="","",M138+K138+H138)</f>
        <v>5.0940000000000003</v>
      </c>
      <c r="Q138" s="66"/>
      <c r="R138" s="63">
        <f t="shared" ref="R138:R201" si="84">IF($A139="","",VLOOKUP($A138,Table,MATCH(R$4,Curves,0)))</f>
        <v>-0.52348734912897432</v>
      </c>
      <c r="S138" s="64">
        <f t="shared" ref="S138:S201" si="85">IF(A139="","",R138)</f>
        <v>-0.52348734912897432</v>
      </c>
      <c r="T138" s="38">
        <v>0</v>
      </c>
      <c r="U138" s="64">
        <f t="shared" ref="U138:U201" si="86">IF(A139="","",T138)</f>
        <v>0</v>
      </c>
      <c r="V138" s="219">
        <f>(G138+R138)/(1-Summary!$T$13)*Summary!$T$13</f>
        <v>0.33057674840713763</v>
      </c>
      <c r="W138" s="43">
        <f t="shared" ref="W138:W201" si="87">IF($A139="","",(T138+R138+G138+V138))</f>
        <v>4.4760893992781643</v>
      </c>
      <c r="X138" s="43">
        <f t="shared" ref="X138:X201" si="88">IF($A139="","",(U138+S138+H138+V138))</f>
        <v>4.4760893992781643</v>
      </c>
      <c r="Y138" s="43"/>
      <c r="Z138" s="38">
        <f t="shared" ref="Z138:Z201" si="89">IF($A139="","",VLOOKUP($A138,Table,MATCH(Z$4,Curves,0)))</f>
        <v>1.1000000000000001</v>
      </c>
      <c r="AA138" s="38">
        <f t="shared" ref="AA138:AA201" si="90">IF($A139="","",VLOOKUP($A138,Table,MATCH(AA$4,Curves,0)))</f>
        <v>0.17499999999999999</v>
      </c>
      <c r="AB138" s="38">
        <f t="shared" ref="AB138:AB201" ca="1" si="91">SQRT((AA138^2*(A138-$D$3)+Z138^2*(DAY(EOMONTH(A138,0))/2))/AK138)</f>
        <v>0.18739117093749233</v>
      </c>
      <c r="AC138" s="38">
        <f t="shared" ref="AC138:AD201" si="92">IF($A139="","",VLOOKUP($A138,Table,MATCH(AC$4,Curves,0)))</f>
        <v>1.35</v>
      </c>
      <c r="AD138" s="38">
        <f t="shared" si="92"/>
        <v>0.17499999999999999</v>
      </c>
      <c r="AE138" s="38">
        <f t="shared" ref="AE138:AE201" ca="1" si="93">SQRT((AD138^2*(A138-$D$3)+AC138^2*(DAY(EOMONTH(A138,0))/2))/AK138)</f>
        <v>0.19335084446331108</v>
      </c>
      <c r="AF138" s="237">
        <f ca="1">((Summary!$N$13*(AA138*AD138)*(A138-$D$3))+(Summary!$M$13*Z138*AC138*(AJ138-EOMONTH(EDATE(A138,-1),0))))/(AK138*AB138*AE138)</f>
        <v>0.99721036467284785</v>
      </c>
      <c r="AG138" s="88">
        <f>IF($A139="","",Summary!$Q$13)</f>
        <v>0</v>
      </c>
      <c r="AH138" s="88">
        <f>IF($A139="","",IF(Summary!$R$12="Y",(VLOOKUP($A138,Summary!$AD$6:$AF$9,3)+'Escalating commodity'!I151),'Escalating commodity'!I151))</f>
        <v>5.5756855095558715E-2</v>
      </c>
      <c r="AI138" s="88">
        <f t="shared" si="71"/>
        <v>5.5756855095558715E-2</v>
      </c>
      <c r="AJ138" s="236">
        <f t="shared" ref="AJ138:AJ201" si="94">A138+DAY(EOMONTH(A138,0))/2-1</f>
        <v>40953.5</v>
      </c>
      <c r="AK138" s="58">
        <f t="shared" ref="AK138:AK201" ca="1" si="95">IF($A139="","",$A138-$E$1)</f>
        <v>3914</v>
      </c>
      <c r="AL138" s="26">
        <f ca="1">IF($A139="","",_xll.SPRDOPT(P138,X138,AI138,0,AB138,AE138,AF138,AK138,$AJ$2,0))</f>
        <v>0.56274279171662855</v>
      </c>
      <c r="AM138" s="209">
        <f t="shared" ref="AM138:AM201" si="96">IF($A139="","",MAX(0,O138-W138-AI138))</f>
        <v>0.56215374562627729</v>
      </c>
      <c r="AN138" s="89">
        <f t="shared" ref="AN138:AN201" ca="1" si="97">IF($A139="","",AL138-AM138)</f>
        <v>5.8904609035126398E-4</v>
      </c>
      <c r="AO138" s="3">
        <f t="shared" ref="AO138:AO201" si="98">IF(A139="","",A139-A138)</f>
        <v>29</v>
      </c>
      <c r="AP138" s="33">
        <f t="shared" ref="AP138:AP201" si="99">IF(A139="","",CHOOSE(F$3,A139+24,A138))</f>
        <v>40940</v>
      </c>
      <c r="AQ138" s="58">
        <f t="shared" ref="AQ138:AQ201" ca="1" si="100">IF(A139="","",AP138-$E$1)</f>
        <v>3914</v>
      </c>
      <c r="AR138" s="38">
        <f>'ANR OK vs ML7'!AR138</f>
        <v>0.1</v>
      </c>
      <c r="AS138" s="35">
        <f t="shared" ref="AS138:AS201" ca="1" si="101">IF(A139="","",1/(1+CHOOSE(F$3,(AR139+($I$3/10000))/2,(AR138+($I$3/10000))/2))^(2*AQ138/365.25))</f>
        <v>0.351457768159948</v>
      </c>
      <c r="AT138" s="3">
        <f t="shared" ref="AT138:AT201" si="102">IF(A139="","",IF(AND(mthbeg&lt;=A138,mthend&gt;=A138),1,0))</f>
        <v>1</v>
      </c>
      <c r="AU138" s="3">
        <f t="shared" ref="AU138:AU201" si="103">IF(A139="","",AO138*AT138)</f>
        <v>29</v>
      </c>
      <c r="AW138" s="32">
        <f t="shared" ref="AW138:AW201" ca="1" si="104">IF($A139="","",AL138*$E138)</f>
        <v>463474.96325781528</v>
      </c>
      <c r="AX138" s="32">
        <f t="shared" ref="AX138:AX201" si="105">IF($A139="","",AM138*$E138)</f>
        <v>462989.82489780197</v>
      </c>
      <c r="AY138" s="32">
        <f t="shared" ref="AY138:AY201" ca="1" si="106">IF($A139="","",AN138*$E138)</f>
        <v>485.138360013301</v>
      </c>
      <c r="BA138" s="32">
        <f ca="1">IF($A139="","",F138*Summary!$Q$13)</f>
        <v>0</v>
      </c>
      <c r="BC138" s="256">
        <f t="shared" ca="1" si="72"/>
        <v>162721.37053934659</v>
      </c>
    </row>
    <row r="139" spans="1:55">
      <c r="A139" s="67">
        <f t="shared" ref="A139:A202" si="107">IF(A138&lt;mthend,EDATE(A138,1),"")</f>
        <v>40969</v>
      </c>
      <c r="B139" s="69">
        <f t="shared" si="73"/>
        <v>28400</v>
      </c>
      <c r="C139" s="71"/>
      <c r="D139" s="69">
        <f t="shared" si="74"/>
        <v>28400</v>
      </c>
      <c r="E139" s="70">
        <f t="shared" si="75"/>
        <v>880400</v>
      </c>
      <c r="F139" s="70">
        <f t="shared" ca="1" si="76"/>
        <v>307035.3772335173</v>
      </c>
      <c r="G139" s="63">
        <f t="shared" si="77"/>
        <v>4.53</v>
      </c>
      <c r="H139" s="64">
        <f t="shared" si="78"/>
        <v>4.53</v>
      </c>
      <c r="I139" s="43"/>
      <c r="J139" s="63">
        <f t="shared" si="79"/>
        <v>0.42499999999999999</v>
      </c>
      <c r="K139" s="64">
        <f t="shared" si="80"/>
        <v>0.42499999999999999</v>
      </c>
      <c r="L139" s="38">
        <v>0</v>
      </c>
      <c r="M139" s="64">
        <f t="shared" si="81"/>
        <v>0</v>
      </c>
      <c r="N139" s="65"/>
      <c r="O139" s="63">
        <f t="shared" si="82"/>
        <v>4.9550000000000001</v>
      </c>
      <c r="P139" s="63">
        <f t="shared" si="83"/>
        <v>4.9550000000000001</v>
      </c>
      <c r="Q139" s="66"/>
      <c r="R139" s="63">
        <f t="shared" si="84"/>
        <v>-0.5234924748453651</v>
      </c>
      <c r="S139" s="64">
        <f t="shared" si="85"/>
        <v>-0.5234924748453651</v>
      </c>
      <c r="T139" s="38">
        <v>0</v>
      </c>
      <c r="U139" s="64">
        <f t="shared" si="86"/>
        <v>0</v>
      </c>
      <c r="V139" s="219">
        <f>(G139+R139)/(1-Summary!$T$13)*Summary!$T$13</f>
        <v>0.31949202467300675</v>
      </c>
      <c r="W139" s="43">
        <f t="shared" si="87"/>
        <v>4.3259995498276425</v>
      </c>
      <c r="X139" s="43">
        <f t="shared" si="88"/>
        <v>4.3259995498276425</v>
      </c>
      <c r="Y139" s="43"/>
      <c r="Z139" s="38">
        <f t="shared" si="89"/>
        <v>0.75</v>
      </c>
      <c r="AA139" s="38">
        <f t="shared" si="90"/>
        <v>0.17</v>
      </c>
      <c r="AB139" s="38">
        <f t="shared" ca="1" si="91"/>
        <v>0.17640444014441065</v>
      </c>
      <c r="AC139" s="38">
        <f t="shared" si="92"/>
        <v>0.95</v>
      </c>
      <c r="AD139" s="38">
        <f t="shared" si="92"/>
        <v>0.17</v>
      </c>
      <c r="AE139" s="38">
        <f t="shared" ca="1" si="93"/>
        <v>0.18015291360394331</v>
      </c>
      <c r="AF139" s="237">
        <f ca="1">((Summary!$N$13*(AA139*AD139)*(A139-$D$3))+(Summary!$M$13*Z139*AC139*(AJ139-EOMONTH(EDATE(A139,-1),0))))/(AK139*AB139*AE139)</f>
        <v>0.9976561964705617</v>
      </c>
      <c r="AG139" s="88">
        <f>IF($A140="","",Summary!$Q$13)</f>
        <v>0</v>
      </c>
      <c r="AH139" s="88">
        <f>IF($A140="","",IF(Summary!$R$12="Y",(VLOOKUP($A139,Summary!$AD$6:$AF$9,3)+'Escalating commodity'!I152),'Escalating commodity'!I152))</f>
        <v>5.5756855095558715E-2</v>
      </c>
      <c r="AI139" s="88">
        <f t="shared" ref="AI139:AI202" si="108">IF($A140="","",AH139)</f>
        <v>5.5756855095558715E-2</v>
      </c>
      <c r="AJ139" s="236">
        <f t="shared" si="94"/>
        <v>40983.5</v>
      </c>
      <c r="AK139" s="58">
        <f t="shared" ca="1" si="95"/>
        <v>3943</v>
      </c>
      <c r="AL139" s="26">
        <f ca="1">IF($A140="","",_xll.SPRDOPT(P139,X139,AI139,0,AB139,AE139,AF139,AK139,$AJ$2,0))</f>
        <v>0.57330580863069402</v>
      </c>
      <c r="AM139" s="209">
        <f t="shared" si="96"/>
        <v>0.5732435950767989</v>
      </c>
      <c r="AN139" s="89">
        <f t="shared" ca="1" si="97"/>
        <v>6.2213553895129614E-5</v>
      </c>
      <c r="AO139" s="3">
        <f t="shared" si="98"/>
        <v>31</v>
      </c>
      <c r="AP139" s="33">
        <f t="shared" si="99"/>
        <v>40969</v>
      </c>
      <c r="AQ139" s="58">
        <f t="shared" ca="1" si="100"/>
        <v>3943</v>
      </c>
      <c r="AR139" s="38">
        <f>'ANR OK vs ML7'!AR139</f>
        <v>0.1</v>
      </c>
      <c r="AS139" s="35">
        <f t="shared" ca="1" si="101"/>
        <v>0.34874531716664847</v>
      </c>
      <c r="AT139" s="3">
        <f t="shared" si="102"/>
        <v>1</v>
      </c>
      <c r="AU139" s="3">
        <f t="shared" si="103"/>
        <v>31</v>
      </c>
      <c r="AW139" s="32">
        <f t="shared" ca="1" si="104"/>
        <v>504738.43391846301</v>
      </c>
      <c r="AX139" s="32">
        <f t="shared" si="105"/>
        <v>504683.66110561375</v>
      </c>
      <c r="AY139" s="32">
        <f t="shared" ca="1" si="106"/>
        <v>54.772812849272114</v>
      </c>
      <c r="BA139" s="32">
        <f ca="1">IF($A140="","",F139*Summary!$Q$13)</f>
        <v>0</v>
      </c>
      <c r="BC139" s="256">
        <f t="shared" ref="BC139:BC173" ca="1" si="109">IF(A140="","",AM139*F139)</f>
        <v>176006.06346110257</v>
      </c>
    </row>
    <row r="140" spans="1:55">
      <c r="A140" s="67">
        <f t="shared" si="107"/>
        <v>41000</v>
      </c>
      <c r="B140" s="69">
        <f t="shared" ref="B140:B203" si="110">IF(A140&lt;mthend,B139,"")</f>
        <v>28400</v>
      </c>
      <c r="C140" s="71"/>
      <c r="D140" s="69">
        <f t="shared" si="74"/>
        <v>28400</v>
      </c>
      <c r="E140" s="70">
        <f t="shared" si="75"/>
        <v>852000</v>
      </c>
      <c r="F140" s="70">
        <f t="shared" ca="1" si="76"/>
        <v>294680.3417870244</v>
      </c>
      <c r="G140" s="63">
        <f t="shared" si="77"/>
        <v>4.3550000000000004</v>
      </c>
      <c r="H140" s="64">
        <f t="shared" si="78"/>
        <v>4.3550000000000004</v>
      </c>
      <c r="I140" s="43"/>
      <c r="J140" s="63">
        <f t="shared" si="79"/>
        <v>0.23499999999999999</v>
      </c>
      <c r="K140" s="64">
        <f t="shared" si="80"/>
        <v>0.23499999999999999</v>
      </c>
      <c r="L140" s="38">
        <v>0</v>
      </c>
      <c r="M140" s="64">
        <f t="shared" si="81"/>
        <v>0</v>
      </c>
      <c r="N140" s="65"/>
      <c r="O140" s="63">
        <f t="shared" si="82"/>
        <v>4.5900000000000007</v>
      </c>
      <c r="P140" s="63">
        <f t="shared" si="83"/>
        <v>4.5900000000000007</v>
      </c>
      <c r="Q140" s="66"/>
      <c r="R140" s="63">
        <f t="shared" si="84"/>
        <v>-0.62726301204801715</v>
      </c>
      <c r="S140" s="64">
        <f t="shared" si="85"/>
        <v>-0.62726301204801715</v>
      </c>
      <c r="T140" s="38">
        <v>0</v>
      </c>
      <c r="U140" s="64">
        <f t="shared" si="86"/>
        <v>0</v>
      </c>
      <c r="V140" s="219">
        <f>(G140+R140)/(1-Summary!$T$13)*Summary!$T$13</f>
        <v>0.29726194952879009</v>
      </c>
      <c r="W140" s="43">
        <f t="shared" si="87"/>
        <v>4.024998937480774</v>
      </c>
      <c r="X140" s="43">
        <f t="shared" si="88"/>
        <v>4.024998937480774</v>
      </c>
      <c r="Y140" s="43"/>
      <c r="Z140" s="38">
        <f t="shared" si="89"/>
        <v>0.45</v>
      </c>
      <c r="AA140" s="38">
        <f t="shared" si="90"/>
        <v>0.17</v>
      </c>
      <c r="AB140" s="38">
        <f t="shared" ca="1" si="91"/>
        <v>0.1722545079257867</v>
      </c>
      <c r="AC140" s="38">
        <f t="shared" si="92"/>
        <v>0.5</v>
      </c>
      <c r="AD140" s="38">
        <f t="shared" si="92"/>
        <v>0.17</v>
      </c>
      <c r="AE140" s="38">
        <f t="shared" ca="1" si="93"/>
        <v>0.17277414704831792</v>
      </c>
      <c r="AF140" s="237">
        <f ca="1">((Summary!$N$13*(AA140*AD140)*(A140-$D$3))+(Summary!$M$13*Z140*AC140*(AJ140-EOMONTH(EDATE(A140,-1),0))))/(AK140*AB140*AE140)</f>
        <v>0.99974887096037379</v>
      </c>
      <c r="AG140" s="88">
        <f>IF($A141="","",Summary!$Q$13)</f>
        <v>0</v>
      </c>
      <c r="AH140" s="88">
        <f>IF($A141="","",IF(Summary!$R$12="Y",(VLOOKUP($A140,Summary!$AD$6:$AF$9,3)+'Escalating commodity'!I153),'Escalating commodity'!I153))</f>
        <v>5.5756855095558715E-2</v>
      </c>
      <c r="AI140" s="88">
        <f t="shared" si="108"/>
        <v>5.5756855095558715E-2</v>
      </c>
      <c r="AJ140" s="236">
        <f t="shared" si="94"/>
        <v>41014</v>
      </c>
      <c r="AK140" s="58">
        <f t="shared" ca="1" si="95"/>
        <v>3974</v>
      </c>
      <c r="AL140" s="26">
        <f ca="1">IF($A141="","",_xll.SPRDOPT(P140,X140,AI140,0,AB140,AE140,AF140,AK140,$AJ$2,0))</f>
        <v>0.50924486784538781</v>
      </c>
      <c r="AM140" s="209">
        <f t="shared" si="96"/>
        <v>0.50924420742366805</v>
      </c>
      <c r="AN140" s="89">
        <f t="shared" ca="1" si="97"/>
        <v>6.6042171975588815E-7</v>
      </c>
      <c r="AO140" s="3">
        <f t="shared" si="98"/>
        <v>30</v>
      </c>
      <c r="AP140" s="33">
        <f t="shared" si="99"/>
        <v>41000</v>
      </c>
      <c r="AQ140" s="58">
        <f t="shared" ca="1" si="100"/>
        <v>3974</v>
      </c>
      <c r="AR140" s="38">
        <f>'ANR OK vs ML7'!AR140</f>
        <v>0.1</v>
      </c>
      <c r="AS140" s="35">
        <f t="shared" ca="1" si="101"/>
        <v>0.34586894575941829</v>
      </c>
      <c r="AT140" s="3">
        <f t="shared" si="102"/>
        <v>1</v>
      </c>
      <c r="AU140" s="3">
        <f t="shared" si="103"/>
        <v>30</v>
      </c>
      <c r="AW140" s="32">
        <f t="shared" ca="1" si="104"/>
        <v>433876.6274042704</v>
      </c>
      <c r="AX140" s="32">
        <f t="shared" si="105"/>
        <v>433876.0647249652</v>
      </c>
      <c r="AY140" s="32">
        <f t="shared" ca="1" si="106"/>
        <v>0.5626793052320167</v>
      </c>
      <c r="BA140" s="32">
        <f ca="1">IF($A141="","",F140*Summary!$Q$13)</f>
        <v>0</v>
      </c>
      <c r="BC140" s="256">
        <f t="shared" ca="1" si="109"/>
        <v>150064.25709666885</v>
      </c>
    </row>
    <row r="141" spans="1:55">
      <c r="A141" s="67">
        <f t="shared" si="107"/>
        <v>41030</v>
      </c>
      <c r="B141" s="69">
        <f t="shared" si="110"/>
        <v>28400</v>
      </c>
      <c r="C141" s="71"/>
      <c r="D141" s="69">
        <f t="shared" si="74"/>
        <v>28400</v>
      </c>
      <c r="E141" s="70">
        <f t="shared" si="75"/>
        <v>880400</v>
      </c>
      <c r="F141" s="70">
        <f t="shared" ca="1" si="76"/>
        <v>302072.23971749388</v>
      </c>
      <c r="G141" s="63">
        <f t="shared" si="77"/>
        <v>4.3250000000000002</v>
      </c>
      <c r="H141" s="64">
        <f t="shared" si="78"/>
        <v>4.3250000000000002</v>
      </c>
      <c r="I141" s="43"/>
      <c r="J141" s="63">
        <f t="shared" si="79"/>
        <v>0.23499999999999999</v>
      </c>
      <c r="K141" s="64">
        <f t="shared" si="80"/>
        <v>0.23499999999999999</v>
      </c>
      <c r="L141" s="38">
        <v>0</v>
      </c>
      <c r="M141" s="64">
        <f t="shared" si="81"/>
        <v>0</v>
      </c>
      <c r="N141" s="65"/>
      <c r="O141" s="63">
        <f t="shared" si="82"/>
        <v>4.5600000000000005</v>
      </c>
      <c r="P141" s="63">
        <f t="shared" si="83"/>
        <v>4.5600000000000005</v>
      </c>
      <c r="Q141" s="66"/>
      <c r="R141" s="63">
        <f t="shared" si="84"/>
        <v>-0.62726840606875589</v>
      </c>
      <c r="S141" s="64">
        <f t="shared" si="85"/>
        <v>-0.62726840606875589</v>
      </c>
      <c r="T141" s="38">
        <v>0</v>
      </c>
      <c r="U141" s="64">
        <f t="shared" si="86"/>
        <v>0</v>
      </c>
      <c r="V141" s="219">
        <f>(G141+R141)/(1-Summary!$T$13)*Summary!$T$13</f>
        <v>0.29486922119205061</v>
      </c>
      <c r="W141" s="43">
        <f t="shared" si="87"/>
        <v>3.992600815123295</v>
      </c>
      <c r="X141" s="43">
        <f t="shared" si="88"/>
        <v>3.992600815123295</v>
      </c>
      <c r="Y141" s="43"/>
      <c r="Z141" s="38">
        <f t="shared" si="89"/>
        <v>0.5</v>
      </c>
      <c r="AA141" s="38">
        <f t="shared" si="90"/>
        <v>0.17</v>
      </c>
      <c r="AB141" s="38">
        <f t="shared" ca="1" si="91"/>
        <v>0.17284386017443606</v>
      </c>
      <c r="AC141" s="38">
        <f t="shared" si="92"/>
        <v>0.45</v>
      </c>
      <c r="AD141" s="38">
        <f t="shared" si="92"/>
        <v>0.17</v>
      </c>
      <c r="AE141" s="38">
        <f t="shared" ca="1" si="93"/>
        <v>0.17231111797739976</v>
      </c>
      <c r="AF141" s="237">
        <f ca="1">((Summary!$N$13*(AA141*AD141)*(A141-$D$3))+(Summary!$M$13*Z141*AC141*(AJ141-EOMONTH(EDATE(A141,-1),0))))/(AK141*AB141*AE141)</f>
        <v>0.99974523229914536</v>
      </c>
      <c r="AG141" s="88">
        <f>IF($A142="","",Summary!$Q$13)</f>
        <v>0</v>
      </c>
      <c r="AH141" s="88">
        <f>IF($A142="","",IF(Summary!$R$12="Y",(VLOOKUP($A141,Summary!$AD$6:$AF$9,3)+'Escalating commodity'!I154),'Escalating commodity'!I154))</f>
        <v>5.5756855095558715E-2</v>
      </c>
      <c r="AI141" s="88">
        <f t="shared" si="108"/>
        <v>5.5756855095558715E-2</v>
      </c>
      <c r="AJ141" s="236">
        <f t="shared" si="94"/>
        <v>41044.5</v>
      </c>
      <c r="AK141" s="58">
        <f t="shared" ca="1" si="95"/>
        <v>4004</v>
      </c>
      <c r="AL141" s="26">
        <f ca="1">IF($A142="","",_xll.SPRDOPT(P141,X141,AI141,0,AB141,AE141,AF141,AK141,$AJ$2,0))</f>
        <v>0.51164394208486341</v>
      </c>
      <c r="AM141" s="209">
        <f t="shared" si="96"/>
        <v>0.51164232978114677</v>
      </c>
      <c r="AN141" s="89">
        <f t="shared" ca="1" si="97"/>
        <v>1.6123037166471121E-6</v>
      </c>
      <c r="AO141" s="3">
        <f t="shared" si="98"/>
        <v>31</v>
      </c>
      <c r="AP141" s="33">
        <f t="shared" si="99"/>
        <v>41030</v>
      </c>
      <c r="AQ141" s="58">
        <f t="shared" ca="1" si="100"/>
        <v>4004</v>
      </c>
      <c r="AR141" s="38">
        <f>'ANR OK vs ML7'!AR141</f>
        <v>0.1</v>
      </c>
      <c r="AS141" s="35">
        <f t="shared" ca="1" si="101"/>
        <v>0.34310795061051097</v>
      </c>
      <c r="AT141" s="3">
        <f t="shared" si="102"/>
        <v>1</v>
      </c>
      <c r="AU141" s="3">
        <f t="shared" si="103"/>
        <v>31</v>
      </c>
      <c r="AW141" s="32">
        <f t="shared" ca="1" si="104"/>
        <v>450451.32661151374</v>
      </c>
      <c r="AX141" s="32">
        <f t="shared" si="105"/>
        <v>450449.90713932161</v>
      </c>
      <c r="AY141" s="32">
        <f t="shared" ca="1" si="106"/>
        <v>1.4194721921361175</v>
      </c>
      <c r="BA141" s="32">
        <f ca="1">IF($A142="","",F141*Summary!$Q$13)</f>
        <v>0</v>
      </c>
      <c r="BC141" s="256">
        <f t="shared" ca="1" si="109"/>
        <v>154552.94449126761</v>
      </c>
    </row>
    <row r="142" spans="1:55">
      <c r="A142" s="67">
        <f t="shared" si="107"/>
        <v>41061</v>
      </c>
      <c r="B142" s="69">
        <f t="shared" si="110"/>
        <v>28400</v>
      </c>
      <c r="C142" s="71"/>
      <c r="D142" s="69">
        <f t="shared" si="74"/>
        <v>28400</v>
      </c>
      <c r="E142" s="70">
        <f t="shared" si="75"/>
        <v>852000</v>
      </c>
      <c r="F142" s="70">
        <f t="shared" ca="1" si="76"/>
        <v>289916.9198232895</v>
      </c>
      <c r="G142" s="63">
        <f t="shared" si="77"/>
        <v>4.3949999999999996</v>
      </c>
      <c r="H142" s="64">
        <f t="shared" si="78"/>
        <v>4.3949999999999996</v>
      </c>
      <c r="I142" s="43"/>
      <c r="J142" s="63">
        <f t="shared" si="79"/>
        <v>0.23499999999999999</v>
      </c>
      <c r="K142" s="64">
        <f t="shared" si="80"/>
        <v>0.23499999999999999</v>
      </c>
      <c r="L142" s="38">
        <v>0</v>
      </c>
      <c r="M142" s="64">
        <f t="shared" si="81"/>
        <v>0</v>
      </c>
      <c r="N142" s="65"/>
      <c r="O142" s="63">
        <f t="shared" si="82"/>
        <v>4.63</v>
      </c>
      <c r="P142" s="63">
        <f t="shared" si="83"/>
        <v>4.63</v>
      </c>
      <c r="Q142" s="66"/>
      <c r="R142" s="63">
        <f t="shared" si="84"/>
        <v>-0.62727413757453288</v>
      </c>
      <c r="S142" s="64">
        <f t="shared" si="85"/>
        <v>-0.62727413757453288</v>
      </c>
      <c r="T142" s="38">
        <v>0</v>
      </c>
      <c r="U142" s="64">
        <f t="shared" si="86"/>
        <v>0</v>
      </c>
      <c r="V142" s="219">
        <f>(G142+R142)/(1-Summary!$T$13)*Summary!$T$13</f>
        <v>0.30045079327604718</v>
      </c>
      <c r="W142" s="43">
        <f t="shared" si="87"/>
        <v>4.0681766557015138</v>
      </c>
      <c r="X142" s="43">
        <f t="shared" si="88"/>
        <v>4.0681766557015138</v>
      </c>
      <c r="Y142" s="43"/>
      <c r="Z142" s="38">
        <f t="shared" si="89"/>
        <v>0.5</v>
      </c>
      <c r="AA142" s="38">
        <f t="shared" si="90"/>
        <v>0.17</v>
      </c>
      <c r="AB142" s="38">
        <f t="shared" ca="1" si="91"/>
        <v>0.17273253995514465</v>
      </c>
      <c r="AC142" s="38">
        <f t="shared" si="92"/>
        <v>0.5</v>
      </c>
      <c r="AD142" s="38">
        <f t="shared" si="92"/>
        <v>0.17</v>
      </c>
      <c r="AE142" s="38">
        <f t="shared" ca="1" si="93"/>
        <v>0.17273253995514465</v>
      </c>
      <c r="AF142" s="237">
        <f ca="1">((Summary!$N$13*(AA142*AD142)*(A142-$D$3))+(Summary!$M$13*Z142*AC142*(AJ142-EOMONTH(EDATE(A142,-1),0))))/(AK142*AB142*AE142)</f>
        <v>0.99990311486630168</v>
      </c>
      <c r="AG142" s="88">
        <f>IF($A143="","",Summary!$Q$13)</f>
        <v>0</v>
      </c>
      <c r="AH142" s="88">
        <f>IF($A143="","",IF(Summary!$R$12="Y",(VLOOKUP($A142,Summary!$AD$6:$AF$9,3)+'Escalating commodity'!I155),'Escalating commodity'!I155))</f>
        <v>5.5756855095558715E-2</v>
      </c>
      <c r="AI142" s="88">
        <f t="shared" si="108"/>
        <v>5.5756855095558715E-2</v>
      </c>
      <c r="AJ142" s="236">
        <f t="shared" si="94"/>
        <v>41075</v>
      </c>
      <c r="AK142" s="58">
        <f t="shared" ca="1" si="95"/>
        <v>4035</v>
      </c>
      <c r="AL142" s="26">
        <f ca="1">IF($A143="","",_xll.SPRDOPT(P142,X142,AI142,0,AB142,AE142,AF142,AK142,$AJ$2,0))</f>
        <v>0.50606741155766832</v>
      </c>
      <c r="AM142" s="209">
        <f t="shared" si="96"/>
        <v>0.50606648920292741</v>
      </c>
      <c r="AN142" s="89">
        <f t="shared" ca="1" si="97"/>
        <v>9.2235474091761915E-7</v>
      </c>
      <c r="AO142" s="3">
        <f t="shared" si="98"/>
        <v>30</v>
      </c>
      <c r="AP142" s="33">
        <f t="shared" si="99"/>
        <v>41061</v>
      </c>
      <c r="AQ142" s="58">
        <f t="shared" ca="1" si="100"/>
        <v>4035</v>
      </c>
      <c r="AR142" s="38">
        <f>'ANR OK vs ML7'!AR142</f>
        <v>0.1</v>
      </c>
      <c r="AS142" s="35">
        <f t="shared" ca="1" si="101"/>
        <v>0.3402780749099642</v>
      </c>
      <c r="AT142" s="3">
        <f t="shared" si="102"/>
        <v>1</v>
      </c>
      <c r="AU142" s="3">
        <f t="shared" si="103"/>
        <v>30</v>
      </c>
      <c r="AW142" s="32">
        <f t="shared" ca="1" si="104"/>
        <v>431169.4346471334</v>
      </c>
      <c r="AX142" s="32">
        <f t="shared" si="105"/>
        <v>431168.64880089415</v>
      </c>
      <c r="AY142" s="32">
        <f t="shared" ca="1" si="106"/>
        <v>0.78584623926181152</v>
      </c>
      <c r="BA142" s="32">
        <f ca="1">IF($A143="","",F142*Summary!$Q$13)</f>
        <v>0</v>
      </c>
      <c r="BC142" s="256">
        <f t="shared" ca="1" si="109"/>
        <v>146717.23777549871</v>
      </c>
    </row>
    <row r="143" spans="1:55">
      <c r="A143" s="67">
        <f t="shared" si="107"/>
        <v>41091</v>
      </c>
      <c r="B143" s="69">
        <f t="shared" si="110"/>
        <v>28400</v>
      </c>
      <c r="C143" s="71"/>
      <c r="D143" s="69">
        <f t="shared" si="74"/>
        <v>28400</v>
      </c>
      <c r="E143" s="70">
        <f t="shared" si="75"/>
        <v>880400</v>
      </c>
      <c r="F143" s="70">
        <f t="shared" ca="1" si="76"/>
        <v>297189.32987498777</v>
      </c>
      <c r="G143" s="63">
        <f t="shared" si="77"/>
        <v>4.45</v>
      </c>
      <c r="H143" s="64">
        <f t="shared" si="78"/>
        <v>4.45</v>
      </c>
      <c r="I143" s="43"/>
      <c r="J143" s="63">
        <f t="shared" si="79"/>
        <v>0.23499999999999999</v>
      </c>
      <c r="K143" s="64">
        <f t="shared" si="80"/>
        <v>0.23499999999999999</v>
      </c>
      <c r="L143" s="38">
        <v>0</v>
      </c>
      <c r="M143" s="64">
        <f t="shared" si="81"/>
        <v>0</v>
      </c>
      <c r="N143" s="65"/>
      <c r="O143" s="63">
        <f t="shared" si="82"/>
        <v>4.6850000000000005</v>
      </c>
      <c r="P143" s="63">
        <f t="shared" si="83"/>
        <v>4.6850000000000005</v>
      </c>
      <c r="Q143" s="66"/>
      <c r="R143" s="63">
        <f t="shared" si="84"/>
        <v>-0.62727983675331855</v>
      </c>
      <c r="S143" s="64">
        <f t="shared" si="85"/>
        <v>-0.62727983675331855</v>
      </c>
      <c r="T143" s="38">
        <v>0</v>
      </c>
      <c r="U143" s="64">
        <f t="shared" si="86"/>
        <v>0</v>
      </c>
      <c r="V143" s="219">
        <f>(G143+R143)/(1-Summary!$T$13)*Summary!$T$13</f>
        <v>0.30483621883796924</v>
      </c>
      <c r="W143" s="43">
        <f t="shared" si="87"/>
        <v>4.1275563820846504</v>
      </c>
      <c r="X143" s="43">
        <f t="shared" si="88"/>
        <v>4.1275563820846504</v>
      </c>
      <c r="Y143" s="43"/>
      <c r="Z143" s="38">
        <f t="shared" si="89"/>
        <v>0.55000000000000004</v>
      </c>
      <c r="AA143" s="38">
        <f t="shared" si="90"/>
        <v>0.17</v>
      </c>
      <c r="AB143" s="38">
        <f t="shared" ca="1" si="91"/>
        <v>0.17337979555165894</v>
      </c>
      <c r="AC143" s="38">
        <f t="shared" si="92"/>
        <v>0.5</v>
      </c>
      <c r="AD143" s="38">
        <f t="shared" si="92"/>
        <v>0.17</v>
      </c>
      <c r="AE143" s="38">
        <f t="shared" ca="1" si="93"/>
        <v>0.17280153067519408</v>
      </c>
      <c r="AF143" s="237">
        <f ca="1">((Summary!$N$13*(AA143*AD143)*(A143-$D$3))+(Summary!$M$13*Z143*AC143*(AJ143-EOMONTH(EDATE(A143,-1),0))))/(AK143*AB143*AE143)</f>
        <v>0.99975000867943642</v>
      </c>
      <c r="AG143" s="88">
        <f>IF($A144="","",Summary!$Q$13)</f>
        <v>0</v>
      </c>
      <c r="AH143" s="88">
        <f>IF($A144="","",IF(Summary!$R$12="Y",(VLOOKUP($A143,Summary!$AD$6:$AF$9,3)+'Escalating commodity'!I156),'Escalating commodity'!I156))</f>
        <v>5.5756855095558715E-2</v>
      </c>
      <c r="AI143" s="88">
        <f t="shared" si="108"/>
        <v>5.5756855095558715E-2</v>
      </c>
      <c r="AJ143" s="236">
        <f t="shared" si="94"/>
        <v>41105.5</v>
      </c>
      <c r="AK143" s="58">
        <f t="shared" ca="1" si="95"/>
        <v>4065</v>
      </c>
      <c r="AL143" s="26">
        <f ca="1">IF($A144="","",_xll.SPRDOPT(P143,X143,AI143,0,AB143,AE143,AF143,AK143,$AJ$2,0))</f>
        <v>0.50168919833044245</v>
      </c>
      <c r="AM143" s="209">
        <f t="shared" si="96"/>
        <v>0.50168676281979141</v>
      </c>
      <c r="AN143" s="89">
        <f t="shared" ca="1" si="97"/>
        <v>2.4355106510443036E-6</v>
      </c>
      <c r="AO143" s="3">
        <f t="shared" si="98"/>
        <v>31</v>
      </c>
      <c r="AP143" s="33">
        <f t="shared" si="99"/>
        <v>41091</v>
      </c>
      <c r="AQ143" s="58">
        <f t="shared" ca="1" si="100"/>
        <v>4065</v>
      </c>
      <c r="AR143" s="38">
        <f>'ANR OK vs ML7'!AR143</f>
        <v>0.1</v>
      </c>
      <c r="AS143" s="35">
        <f t="shared" ca="1" si="101"/>
        <v>0.33756171044410244</v>
      </c>
      <c r="AT143" s="3">
        <f t="shared" si="102"/>
        <v>1</v>
      </c>
      <c r="AU143" s="3">
        <f t="shared" si="103"/>
        <v>31</v>
      </c>
      <c r="AW143" s="32">
        <f t="shared" ca="1" si="104"/>
        <v>441687.17021012155</v>
      </c>
      <c r="AX143" s="32">
        <f t="shared" si="105"/>
        <v>441685.02598654438</v>
      </c>
      <c r="AY143" s="32">
        <f t="shared" ca="1" si="106"/>
        <v>2.1442235771794049</v>
      </c>
      <c r="BA143" s="32">
        <f ca="1">IF($A144="","",F143*Summary!$Q$13)</f>
        <v>0</v>
      </c>
      <c r="BC143" s="256">
        <f t="shared" ca="1" si="109"/>
        <v>149095.95284956574</v>
      </c>
    </row>
    <row r="144" spans="1:55">
      <c r="A144" s="67">
        <f t="shared" si="107"/>
        <v>41122</v>
      </c>
      <c r="B144" s="69">
        <f t="shared" si="110"/>
        <v>28400</v>
      </c>
      <c r="C144" s="71"/>
      <c r="D144" s="69">
        <f t="shared" si="74"/>
        <v>28400</v>
      </c>
      <c r="E144" s="70">
        <f t="shared" si="75"/>
        <v>880400</v>
      </c>
      <c r="F144" s="70">
        <f t="shared" ca="1" si="76"/>
        <v>294738.18042893562</v>
      </c>
      <c r="G144" s="63">
        <f t="shared" si="77"/>
        <v>4.5060000000000002</v>
      </c>
      <c r="H144" s="64">
        <f t="shared" si="78"/>
        <v>4.5060000000000002</v>
      </c>
      <c r="I144" s="43"/>
      <c r="J144" s="63">
        <f t="shared" si="79"/>
        <v>0.23499999999999999</v>
      </c>
      <c r="K144" s="64">
        <f t="shared" si="80"/>
        <v>0.23499999999999999</v>
      </c>
      <c r="L144" s="38">
        <v>0</v>
      </c>
      <c r="M144" s="64">
        <f t="shared" si="81"/>
        <v>0</v>
      </c>
      <c r="N144" s="65"/>
      <c r="O144" s="63">
        <f t="shared" si="82"/>
        <v>4.7410000000000005</v>
      </c>
      <c r="P144" s="63">
        <f t="shared" si="83"/>
        <v>4.7410000000000005</v>
      </c>
      <c r="Q144" s="66"/>
      <c r="R144" s="63">
        <f t="shared" si="84"/>
        <v>-0.62728588351041725</v>
      </c>
      <c r="S144" s="64">
        <f t="shared" si="85"/>
        <v>-0.62728588351041725</v>
      </c>
      <c r="T144" s="38">
        <v>0</v>
      </c>
      <c r="U144" s="64">
        <f t="shared" si="86"/>
        <v>0</v>
      </c>
      <c r="V144" s="219">
        <f>(G144+R144)/(1-Summary!$T$13)*Summary!$T$13</f>
        <v>0.30930135995618785</v>
      </c>
      <c r="W144" s="43">
        <f t="shared" si="87"/>
        <v>4.1880154764457709</v>
      </c>
      <c r="X144" s="43">
        <f t="shared" si="88"/>
        <v>4.1880154764457709</v>
      </c>
      <c r="Y144" s="43"/>
      <c r="Z144" s="38">
        <f t="shared" si="89"/>
        <v>0.6</v>
      </c>
      <c r="AA144" s="38">
        <f t="shared" si="90"/>
        <v>0.17</v>
      </c>
      <c r="AB144" s="38">
        <f t="shared" ca="1" si="91"/>
        <v>0.17398091950430225</v>
      </c>
      <c r="AC144" s="38">
        <f t="shared" si="92"/>
        <v>0.45</v>
      </c>
      <c r="AD144" s="38">
        <f t="shared" si="92"/>
        <v>0.17</v>
      </c>
      <c r="AE144" s="38">
        <f t="shared" ca="1" si="93"/>
        <v>0.17225954850393999</v>
      </c>
      <c r="AF144" s="237">
        <f ca="1">((Summary!$N$13*(AA144*AD144)*(A144-$D$3))+(Summary!$M$13*Z144*AC144*(AJ144-EOMONTH(EDATE(A144,-1),0))))/(AK144*AB144*AE144)</f>
        <v>0.99853248742226874</v>
      </c>
      <c r="AG144" s="88">
        <f>IF($A145="","",Summary!$Q$13)</f>
        <v>0</v>
      </c>
      <c r="AH144" s="88">
        <f>IF($A145="","",IF(Summary!$R$12="Y",(VLOOKUP($A144,Summary!$AD$6:$AF$9,3)+'Escalating commodity'!I157),'Escalating commodity'!I157))</f>
        <v>5.5756855095558715E-2</v>
      </c>
      <c r="AI144" s="88">
        <f t="shared" si="108"/>
        <v>5.5756855095558715E-2</v>
      </c>
      <c r="AJ144" s="236">
        <f t="shared" si="94"/>
        <v>41136.5</v>
      </c>
      <c r="AK144" s="58">
        <f t="shared" ca="1" si="95"/>
        <v>4096</v>
      </c>
      <c r="AL144" s="26">
        <f ca="1">IF($A145="","",_xll.SPRDOPT(P144,X144,AI144,0,AB144,AE144,AF144,AK144,$AJ$2,0))</f>
        <v>0.49728118218676032</v>
      </c>
      <c r="AM144" s="209">
        <f t="shared" si="96"/>
        <v>0.49722766845867095</v>
      </c>
      <c r="AN144" s="89">
        <f t="shared" ca="1" si="97"/>
        <v>5.3513728089371604E-5</v>
      </c>
      <c r="AO144" s="3">
        <f t="shared" si="98"/>
        <v>31</v>
      </c>
      <c r="AP144" s="33">
        <f t="shared" si="99"/>
        <v>41122</v>
      </c>
      <c r="AQ144" s="58">
        <f t="shared" ca="1" si="100"/>
        <v>4096</v>
      </c>
      <c r="AR144" s="38">
        <f>'ANR OK vs ML7'!AR144</f>
        <v>0.1</v>
      </c>
      <c r="AS144" s="35">
        <f t="shared" ca="1" si="101"/>
        <v>0.334777578860672</v>
      </c>
      <c r="AT144" s="3">
        <f t="shared" si="102"/>
        <v>1</v>
      </c>
      <c r="AU144" s="3">
        <f t="shared" si="103"/>
        <v>31</v>
      </c>
      <c r="AW144" s="32">
        <f t="shared" ca="1" si="104"/>
        <v>437806.35279722378</v>
      </c>
      <c r="AX144" s="32">
        <f t="shared" si="105"/>
        <v>437759.23931101389</v>
      </c>
      <c r="AY144" s="32">
        <f t="shared" ca="1" si="106"/>
        <v>47.113486209882758</v>
      </c>
      <c r="BA144" s="32">
        <f ca="1">IF($A145="","",F144*Summary!$Q$13)</f>
        <v>0</v>
      </c>
      <c r="BC144" s="256">
        <f t="shared" ca="1" si="109"/>
        <v>146551.97826043074</v>
      </c>
    </row>
    <row r="145" spans="1:55">
      <c r="A145" s="67">
        <f t="shared" si="107"/>
        <v>41153</v>
      </c>
      <c r="B145" s="69">
        <f t="shared" si="110"/>
        <v>28400</v>
      </c>
      <c r="C145" s="71"/>
      <c r="D145" s="69">
        <f t="shared" si="74"/>
        <v>28400</v>
      </c>
      <c r="E145" s="70">
        <f t="shared" si="75"/>
        <v>852000</v>
      </c>
      <c r="F145" s="70">
        <f t="shared" ca="1" si="76"/>
        <v>282877.9814530217</v>
      </c>
      <c r="G145" s="63">
        <f t="shared" si="77"/>
        <v>4.5199999999999996</v>
      </c>
      <c r="H145" s="64">
        <f t="shared" si="78"/>
        <v>4.5199999999999996</v>
      </c>
      <c r="I145" s="43"/>
      <c r="J145" s="63">
        <f t="shared" si="79"/>
        <v>0.23499999999999999</v>
      </c>
      <c r="K145" s="64">
        <f t="shared" si="80"/>
        <v>0.23499999999999999</v>
      </c>
      <c r="L145" s="38">
        <v>0</v>
      </c>
      <c r="M145" s="64">
        <f t="shared" si="81"/>
        <v>0</v>
      </c>
      <c r="N145" s="65"/>
      <c r="O145" s="63">
        <f t="shared" si="82"/>
        <v>4.7549999999999999</v>
      </c>
      <c r="P145" s="63">
        <f t="shared" si="83"/>
        <v>4.7549999999999999</v>
      </c>
      <c r="Q145" s="66"/>
      <c r="R145" s="63">
        <f t="shared" si="84"/>
        <v>-0.62729209041546974</v>
      </c>
      <c r="S145" s="64">
        <f t="shared" si="85"/>
        <v>-0.62729209041546974</v>
      </c>
      <c r="T145" s="38">
        <v>0</v>
      </c>
      <c r="U145" s="64">
        <f t="shared" si="86"/>
        <v>0</v>
      </c>
      <c r="V145" s="219">
        <f>(G145+R145)/(1-Summary!$T$13)*Summary!$T$13</f>
        <v>0.31041727082386739</v>
      </c>
      <c r="W145" s="43">
        <f t="shared" si="87"/>
        <v>4.2031251804083976</v>
      </c>
      <c r="X145" s="43">
        <f t="shared" si="88"/>
        <v>4.2031251804083976</v>
      </c>
      <c r="Y145" s="43"/>
      <c r="Z145" s="38">
        <f t="shared" si="89"/>
        <v>0.6</v>
      </c>
      <c r="AA145" s="38">
        <f t="shared" si="90"/>
        <v>0.17</v>
      </c>
      <c r="AB145" s="38">
        <f t="shared" ca="1" si="91"/>
        <v>0.17382594504650589</v>
      </c>
      <c r="AC145" s="38">
        <f t="shared" si="92"/>
        <v>0.5</v>
      </c>
      <c r="AD145" s="38">
        <f t="shared" si="92"/>
        <v>0.17</v>
      </c>
      <c r="AE145" s="38">
        <f t="shared" ca="1" si="93"/>
        <v>0.17267209680987594</v>
      </c>
      <c r="AF145" s="237">
        <f ca="1">((Summary!$N$13*(AA145*AD145)*(A145-$D$3))+(Summary!$M$13*Z145*AC145*(AJ145-EOMONTH(EDATE(A145,-1),0))))/(AK145*AB145*AE145)</f>
        <v>0.99932040316864601</v>
      </c>
      <c r="AG145" s="88">
        <f>IF($A146="","",Summary!$Q$13)</f>
        <v>0</v>
      </c>
      <c r="AH145" s="88">
        <f>IF($A146="","",IF(Summary!$R$12="Y",(VLOOKUP($A145,Summary!$AD$6:$AF$9,3)+'Escalating commodity'!I158),'Escalating commodity'!I158))</f>
        <v>5.5756855095558715E-2</v>
      </c>
      <c r="AI145" s="88">
        <f t="shared" si="108"/>
        <v>5.5756855095558715E-2</v>
      </c>
      <c r="AJ145" s="236">
        <f t="shared" si="94"/>
        <v>41167</v>
      </c>
      <c r="AK145" s="58">
        <f t="shared" ca="1" si="95"/>
        <v>4127</v>
      </c>
      <c r="AL145" s="26">
        <f ca="1">IF($A146="","",_xll.SPRDOPT(P145,X145,AI145,0,AB145,AE145,AF145,AK145,$AJ$2,0))</f>
        <v>0.49612791259258399</v>
      </c>
      <c r="AM145" s="209">
        <f t="shared" si="96"/>
        <v>0.49611796449604362</v>
      </c>
      <c r="AN145" s="89">
        <f t="shared" ca="1" si="97"/>
        <v>9.9480965403686561E-6</v>
      </c>
      <c r="AO145" s="3">
        <f t="shared" si="98"/>
        <v>30</v>
      </c>
      <c r="AP145" s="33">
        <f t="shared" si="99"/>
        <v>41153</v>
      </c>
      <c r="AQ145" s="58">
        <f t="shared" ca="1" si="100"/>
        <v>4127</v>
      </c>
      <c r="AR145" s="38">
        <f>'ANR OK vs ML7'!AR145</f>
        <v>0.1</v>
      </c>
      <c r="AS145" s="35">
        <f t="shared" ca="1" si="101"/>
        <v>0.33201641015612876</v>
      </c>
      <c r="AT145" s="3">
        <f t="shared" si="102"/>
        <v>1</v>
      </c>
      <c r="AU145" s="3">
        <f t="shared" si="103"/>
        <v>30</v>
      </c>
      <c r="AW145" s="32">
        <f t="shared" ca="1" si="104"/>
        <v>422700.98152888153</v>
      </c>
      <c r="AX145" s="32">
        <f t="shared" si="105"/>
        <v>422692.50575062918</v>
      </c>
      <c r="AY145" s="32">
        <f t="shared" ca="1" si="106"/>
        <v>8.475778252394095</v>
      </c>
      <c r="BA145" s="32">
        <f ca="1">IF($A146="","",F145*Summary!$Q$13)</f>
        <v>0</v>
      </c>
      <c r="BC145" s="256">
        <f t="shared" ca="1" si="109"/>
        <v>140340.8483592227</v>
      </c>
    </row>
    <row r="146" spans="1:55">
      <c r="A146" s="67">
        <f t="shared" si="107"/>
        <v>41183</v>
      </c>
      <c r="B146" s="69">
        <f t="shared" si="110"/>
        <v>28400</v>
      </c>
      <c r="C146" s="71"/>
      <c r="D146" s="69">
        <f t="shared" si="74"/>
        <v>28400</v>
      </c>
      <c r="E146" s="70">
        <f t="shared" si="75"/>
        <v>880400</v>
      </c>
      <c r="F146" s="70">
        <f t="shared" ca="1" si="76"/>
        <v>289973.823520387</v>
      </c>
      <c r="G146" s="63">
        <f t="shared" si="77"/>
        <v>4.5510000000000002</v>
      </c>
      <c r="H146" s="64">
        <f t="shared" si="78"/>
        <v>4.5510000000000002</v>
      </c>
      <c r="I146" s="43"/>
      <c r="J146" s="63">
        <f t="shared" si="79"/>
        <v>0.23499999999999999</v>
      </c>
      <c r="K146" s="64">
        <f t="shared" si="80"/>
        <v>0.23499999999999999</v>
      </c>
      <c r="L146" s="38">
        <v>0</v>
      </c>
      <c r="M146" s="64">
        <f t="shared" si="81"/>
        <v>0</v>
      </c>
      <c r="N146" s="65"/>
      <c r="O146" s="63">
        <f t="shared" si="82"/>
        <v>4.7860000000000005</v>
      </c>
      <c r="P146" s="63">
        <f t="shared" si="83"/>
        <v>4.7860000000000005</v>
      </c>
      <c r="Q146" s="66"/>
      <c r="R146" s="63">
        <f t="shared" si="84"/>
        <v>-0.62729824953972868</v>
      </c>
      <c r="S146" s="64">
        <f t="shared" si="85"/>
        <v>-0.62729824953972868</v>
      </c>
      <c r="T146" s="38">
        <v>0</v>
      </c>
      <c r="U146" s="64">
        <f t="shared" si="86"/>
        <v>0</v>
      </c>
      <c r="V146" s="219">
        <f>(G146+R146)/(1-Summary!$T$13)*Summary!$T$13</f>
        <v>0.31288882114833644</v>
      </c>
      <c r="W146" s="43">
        <f t="shared" si="87"/>
        <v>4.2365905716086081</v>
      </c>
      <c r="X146" s="43">
        <f t="shared" si="88"/>
        <v>4.2365905716086081</v>
      </c>
      <c r="Y146" s="43"/>
      <c r="Z146" s="38">
        <f t="shared" si="89"/>
        <v>0.65</v>
      </c>
      <c r="AA146" s="38">
        <f t="shared" si="90"/>
        <v>0.17</v>
      </c>
      <c r="AB146" s="38">
        <f t="shared" ca="1" si="91"/>
        <v>0.17459182956865119</v>
      </c>
      <c r="AC146" s="38">
        <f t="shared" si="92"/>
        <v>0.5</v>
      </c>
      <c r="AD146" s="38">
        <f t="shared" si="92"/>
        <v>0.17</v>
      </c>
      <c r="AE146" s="38">
        <f t="shared" ca="1" si="93"/>
        <v>0.17274002068487548</v>
      </c>
      <c r="AF146" s="237">
        <f ca="1">((Summary!$N$13*(AA146*AD146)*(A146-$D$3))+(Summary!$M$13*Z146*AC146*(AJ146-EOMONTH(EDATE(A146,-1),0))))/(AK146*AB146*AE146)</f>
        <v>0.99857013096324299</v>
      </c>
      <c r="AG146" s="88">
        <f>IF($A147="","",Summary!$Q$13)</f>
        <v>0</v>
      </c>
      <c r="AH146" s="88">
        <f>IF($A147="","",IF(Summary!$R$12="Y",(VLOOKUP($A146,Summary!$AD$6:$AF$9,3)+'Escalating commodity'!I159),'Escalating commodity'!I159))</f>
        <v>5.5756855095558715E-2</v>
      </c>
      <c r="AI146" s="88">
        <f t="shared" si="108"/>
        <v>5.5756855095558715E-2</v>
      </c>
      <c r="AJ146" s="236">
        <f t="shared" si="94"/>
        <v>41197.5</v>
      </c>
      <c r="AK146" s="58">
        <f t="shared" ca="1" si="95"/>
        <v>4157</v>
      </c>
      <c r="AL146" s="26">
        <f ca="1">IF($A147="","",_xll.SPRDOPT(P146,X146,AI146,0,AB146,AE146,AF146,AK146,$AJ$2,0))</f>
        <v>0.4937215152872334</v>
      </c>
      <c r="AM146" s="209">
        <f t="shared" si="96"/>
        <v>0.49365257329583367</v>
      </c>
      <c r="AN146" s="89">
        <f t="shared" ca="1" si="97"/>
        <v>6.8941991399729119E-5</v>
      </c>
      <c r="AO146" s="3">
        <f t="shared" si="98"/>
        <v>31</v>
      </c>
      <c r="AP146" s="33">
        <f t="shared" si="99"/>
        <v>41183</v>
      </c>
      <c r="AQ146" s="58">
        <f t="shared" ca="1" si="100"/>
        <v>4157</v>
      </c>
      <c r="AR146" s="38">
        <f>'ANR OK vs ML7'!AR146</f>
        <v>0.1</v>
      </c>
      <c r="AS146" s="35">
        <f t="shared" ca="1" si="101"/>
        <v>0.32936599672919925</v>
      </c>
      <c r="AT146" s="3">
        <f t="shared" si="102"/>
        <v>1</v>
      </c>
      <c r="AU146" s="3">
        <f t="shared" si="103"/>
        <v>31</v>
      </c>
      <c r="AW146" s="32">
        <f t="shared" ca="1" si="104"/>
        <v>434672.42205888027</v>
      </c>
      <c r="AX146" s="32">
        <f t="shared" si="105"/>
        <v>434611.72552965197</v>
      </c>
      <c r="AY146" s="32">
        <f t="shared" ca="1" si="106"/>
        <v>60.696529228321516</v>
      </c>
      <c r="BA146" s="32">
        <f ca="1">IF($A147="","",F146*Summary!$Q$13)</f>
        <v>0</v>
      </c>
      <c r="BC146" s="256">
        <f t="shared" ca="1" si="109"/>
        <v>143146.32416927099</v>
      </c>
    </row>
    <row r="147" spans="1:55">
      <c r="A147" s="67">
        <f t="shared" si="107"/>
        <v>41214</v>
      </c>
      <c r="B147" s="69">
        <f t="shared" si="110"/>
        <v>28400</v>
      </c>
      <c r="C147" s="71"/>
      <c r="D147" s="69">
        <f t="shared" si="74"/>
        <v>28400</v>
      </c>
      <c r="E147" s="70">
        <f t="shared" si="75"/>
        <v>852000</v>
      </c>
      <c r="F147" s="70">
        <f t="shared" ca="1" si="76"/>
        <v>278305.34120922757</v>
      </c>
      <c r="G147" s="63">
        <f t="shared" si="77"/>
        <v>4.6840000000000002</v>
      </c>
      <c r="H147" s="64">
        <f t="shared" si="78"/>
        <v>4.6840000000000002</v>
      </c>
      <c r="I147" s="43"/>
      <c r="J147" s="63">
        <f t="shared" si="79"/>
        <v>0.42499999999999999</v>
      </c>
      <c r="K147" s="64">
        <f t="shared" si="80"/>
        <v>0.42499999999999999</v>
      </c>
      <c r="L147" s="38">
        <v>0</v>
      </c>
      <c r="M147" s="64">
        <f t="shared" si="81"/>
        <v>0</v>
      </c>
      <c r="N147" s="65"/>
      <c r="O147" s="63">
        <f t="shared" si="82"/>
        <v>5.109</v>
      </c>
      <c r="P147" s="63">
        <f t="shared" si="83"/>
        <v>5.109</v>
      </c>
      <c r="Q147" s="66"/>
      <c r="R147" s="63">
        <f t="shared" si="84"/>
        <v>-0.56354160777040974</v>
      </c>
      <c r="S147" s="64">
        <f t="shared" si="85"/>
        <v>-0.56354160777040974</v>
      </c>
      <c r="T147" s="38">
        <v>0</v>
      </c>
      <c r="U147" s="64">
        <f t="shared" si="86"/>
        <v>0</v>
      </c>
      <c r="V147" s="219">
        <f>(G147+R147)/(1-Summary!$T$13)*Summary!$T$13</f>
        <v>0.32857883981223868</v>
      </c>
      <c r="W147" s="43">
        <f t="shared" si="87"/>
        <v>4.449037232041829</v>
      </c>
      <c r="X147" s="43">
        <f t="shared" si="88"/>
        <v>4.449037232041829</v>
      </c>
      <c r="Y147" s="43"/>
      <c r="Z147" s="38">
        <f t="shared" si="89"/>
        <v>0.8</v>
      </c>
      <c r="AA147" s="38">
        <f t="shared" si="90"/>
        <v>0.17</v>
      </c>
      <c r="AB147" s="38">
        <f t="shared" ca="1" si="91"/>
        <v>0.17663285164117143</v>
      </c>
      <c r="AC147" s="38">
        <f t="shared" si="92"/>
        <v>0.95</v>
      </c>
      <c r="AD147" s="38">
        <f t="shared" si="92"/>
        <v>0.17</v>
      </c>
      <c r="AE147" s="38">
        <f t="shared" ca="1" si="93"/>
        <v>0.17927451164432276</v>
      </c>
      <c r="AF147" s="237">
        <f ca="1">((Summary!$N$13*(AA147*AD147)*(A147-$D$3))+(Summary!$M$13*Z147*AC147*(AJ147-EOMONTH(EDATE(A147,-1),0))))/(AK147*AB147*AE147)</f>
        <v>0.99874643172140565</v>
      </c>
      <c r="AG147" s="88">
        <f>IF($A148="","",Summary!$Q$13)</f>
        <v>0</v>
      </c>
      <c r="AH147" s="88">
        <f>IF($A148="","",IF(Summary!$R$12="Y",(VLOOKUP($A147,Summary!$AD$6:$AF$9,3)+'Escalating commodity'!I160),'Escalating commodity'!I160))</f>
        <v>5.5756855095558715E-2</v>
      </c>
      <c r="AI147" s="88">
        <f t="shared" si="108"/>
        <v>5.5756855095558715E-2</v>
      </c>
      <c r="AJ147" s="236">
        <f t="shared" si="94"/>
        <v>41228</v>
      </c>
      <c r="AK147" s="58">
        <f t="shared" ca="1" si="95"/>
        <v>4188</v>
      </c>
      <c r="AL147" s="26">
        <f ca="1">IF($A148="","",_xll.SPRDOPT(P147,X147,AI147,0,AB147,AE147,AF147,AK147,$AJ$2,0))</f>
        <v>0.60420674874776159</v>
      </c>
      <c r="AM147" s="209">
        <f t="shared" si="96"/>
        <v>0.60420591286261227</v>
      </c>
      <c r="AN147" s="89">
        <f t="shared" ca="1" si="97"/>
        <v>8.3588514931953739E-7</v>
      </c>
      <c r="AO147" s="3">
        <f t="shared" si="98"/>
        <v>30</v>
      </c>
      <c r="AP147" s="33">
        <f t="shared" si="99"/>
        <v>41214</v>
      </c>
      <c r="AQ147" s="58">
        <f t="shared" ca="1" si="100"/>
        <v>4188</v>
      </c>
      <c r="AR147" s="38">
        <f>'ANR OK vs ML7'!AR147</f>
        <v>0.1</v>
      </c>
      <c r="AS147" s="35">
        <f t="shared" ca="1" si="101"/>
        <v>0.32664946151317792</v>
      </c>
      <c r="AT147" s="3">
        <f t="shared" si="102"/>
        <v>1</v>
      </c>
      <c r="AU147" s="3">
        <f t="shared" si="103"/>
        <v>30</v>
      </c>
      <c r="AW147" s="32">
        <f t="shared" ca="1" si="104"/>
        <v>514784.14993309288</v>
      </c>
      <c r="AX147" s="32">
        <f t="shared" si="105"/>
        <v>514783.43775894563</v>
      </c>
      <c r="AY147" s="32">
        <f t="shared" ca="1" si="106"/>
        <v>0.71217414722024586</v>
      </c>
      <c r="BA147" s="32">
        <f ca="1">IF($A148="","",F147*Summary!$Q$13)</f>
        <v>0</v>
      </c>
      <c r="BC147" s="256">
        <f t="shared" ca="1" si="109"/>
        <v>168153.73273986214</v>
      </c>
    </row>
    <row r="148" spans="1:55">
      <c r="A148" s="67">
        <f t="shared" si="107"/>
        <v>41244</v>
      </c>
      <c r="B148" s="69">
        <f t="shared" si="110"/>
        <v>28400</v>
      </c>
      <c r="C148" s="71"/>
      <c r="D148" s="69">
        <f t="shared" si="74"/>
        <v>28400</v>
      </c>
      <c r="E148" s="70">
        <f t="shared" si="75"/>
        <v>880400</v>
      </c>
      <c r="F148" s="70">
        <f t="shared" ca="1" si="76"/>
        <v>285286.48105468735</v>
      </c>
      <c r="G148" s="63">
        <f t="shared" si="77"/>
        <v>4.8220000000000001</v>
      </c>
      <c r="H148" s="64">
        <f t="shared" si="78"/>
        <v>4.8220000000000001</v>
      </c>
      <c r="I148" s="43"/>
      <c r="J148" s="63">
        <f t="shared" si="79"/>
        <v>0.42499999999999999</v>
      </c>
      <c r="K148" s="64">
        <f t="shared" si="80"/>
        <v>0.42499999999999999</v>
      </c>
      <c r="L148" s="38">
        <v>0</v>
      </c>
      <c r="M148" s="64">
        <f t="shared" si="81"/>
        <v>0</v>
      </c>
      <c r="N148" s="65"/>
      <c r="O148" s="63">
        <f t="shared" si="82"/>
        <v>5.2469999999999999</v>
      </c>
      <c r="P148" s="63">
        <f t="shared" si="83"/>
        <v>5.2469999999999999</v>
      </c>
      <c r="Q148" s="66"/>
      <c r="R148" s="63">
        <f t="shared" si="84"/>
        <v>-0.56354833985734198</v>
      </c>
      <c r="S148" s="64">
        <f t="shared" si="85"/>
        <v>-0.56354833985734198</v>
      </c>
      <c r="T148" s="38">
        <v>0</v>
      </c>
      <c r="U148" s="64">
        <f t="shared" si="86"/>
        <v>0</v>
      </c>
      <c r="V148" s="219">
        <f>(G148+R148)/(1-Summary!$T$13)*Summary!$T$13</f>
        <v>0.33958287469298909</v>
      </c>
      <c r="W148" s="43">
        <f t="shared" si="87"/>
        <v>4.5980345348356471</v>
      </c>
      <c r="X148" s="43">
        <f t="shared" si="88"/>
        <v>4.5980345348356471</v>
      </c>
      <c r="Y148" s="43"/>
      <c r="Z148" s="38">
        <f t="shared" si="89"/>
        <v>1.1000000000000001</v>
      </c>
      <c r="AA148" s="38">
        <f t="shared" si="90"/>
        <v>0.17</v>
      </c>
      <c r="AB148" s="38">
        <f t="shared" ca="1" si="91"/>
        <v>0.18262878111827113</v>
      </c>
      <c r="AC148" s="38">
        <f t="shared" si="92"/>
        <v>1.35</v>
      </c>
      <c r="AD148" s="38">
        <f t="shared" si="92"/>
        <v>0.17</v>
      </c>
      <c r="AE148" s="38">
        <f t="shared" ca="1" si="93"/>
        <v>0.18869033414590913</v>
      </c>
      <c r="AF148" s="237">
        <f ca="1">((Summary!$N$13*(AA148*AD148)*(A148-$D$3))+(Summary!$M$13*Z148*AC148*(AJ148-EOMONTH(EDATE(A148,-1),0))))/(AK148*AB148*AE148)</f>
        <v>0.99711683462698109</v>
      </c>
      <c r="AG148" s="88">
        <f>IF($A149="","",Summary!$Q$13)</f>
        <v>0</v>
      </c>
      <c r="AH148" s="88">
        <f>IF($A149="","",IF(Summary!$R$12="Y",(VLOOKUP($A148,Summary!$AD$6:$AF$9,3)+'Escalating commodity'!I161),'Escalating commodity'!I161))</f>
        <v>5.5756855095558715E-2</v>
      </c>
      <c r="AI148" s="88">
        <f t="shared" si="108"/>
        <v>5.5756855095558715E-2</v>
      </c>
      <c r="AJ148" s="236">
        <f t="shared" si="94"/>
        <v>41258.5</v>
      </c>
      <c r="AK148" s="58">
        <f t="shared" ca="1" si="95"/>
        <v>4218</v>
      </c>
      <c r="AL148" s="26">
        <f ca="1">IF($A149="","",_xll.SPRDOPT(P148,X148,AI148,0,AB148,AE148,AF148,AK148,$AJ$2,0))</f>
        <v>0.59387324786464968</v>
      </c>
      <c r="AM148" s="209">
        <f t="shared" si="96"/>
        <v>0.59320861006879411</v>
      </c>
      <c r="AN148" s="89">
        <f t="shared" ca="1" si="97"/>
        <v>6.6463779585557159E-4</v>
      </c>
      <c r="AO148" s="3">
        <f t="shared" si="98"/>
        <v>31</v>
      </c>
      <c r="AP148" s="33">
        <f t="shared" si="99"/>
        <v>41244</v>
      </c>
      <c r="AQ148" s="58">
        <f t="shared" ca="1" si="100"/>
        <v>4218</v>
      </c>
      <c r="AR148" s="38">
        <f>'ANR OK vs ML7'!AR148</f>
        <v>0.1</v>
      </c>
      <c r="AS148" s="35">
        <f t="shared" ca="1" si="101"/>
        <v>0.32404189124794108</v>
      </c>
      <c r="AT148" s="3">
        <f t="shared" si="102"/>
        <v>1</v>
      </c>
      <c r="AU148" s="3">
        <f t="shared" si="103"/>
        <v>31</v>
      </c>
      <c r="AW148" s="32">
        <f t="shared" ca="1" si="104"/>
        <v>522846.00742003758</v>
      </c>
      <c r="AX148" s="32">
        <f t="shared" si="105"/>
        <v>522260.86030456633</v>
      </c>
      <c r="AY148" s="32">
        <f t="shared" ca="1" si="106"/>
        <v>585.14711547124523</v>
      </c>
      <c r="BA148" s="32">
        <f ca="1">IF($A149="","",F148*Summary!$Q$13)</f>
        <v>0</v>
      </c>
      <c r="BC148" s="256">
        <f t="shared" ca="1" si="109"/>
        <v>169234.39689786846</v>
      </c>
    </row>
    <row r="149" spans="1:55">
      <c r="A149" s="67">
        <f t="shared" si="107"/>
        <v>41275</v>
      </c>
      <c r="B149" s="69">
        <f t="shared" si="110"/>
        <v>28400</v>
      </c>
      <c r="C149" s="71"/>
      <c r="D149" s="69">
        <f t="shared" si="74"/>
        <v>28400</v>
      </c>
      <c r="E149" s="70">
        <f t="shared" si="75"/>
        <v>880400</v>
      </c>
      <c r="F149" s="70">
        <f t="shared" ca="1" si="76"/>
        <v>282933.50357633206</v>
      </c>
      <c r="G149" s="63">
        <f t="shared" si="77"/>
        <v>4.8690000000000007</v>
      </c>
      <c r="H149" s="64">
        <f t="shared" si="78"/>
        <v>4.8690000000000007</v>
      </c>
      <c r="I149" s="43"/>
      <c r="J149" s="63">
        <f t="shared" si="79"/>
        <v>0.42499999999999999</v>
      </c>
      <c r="K149" s="64">
        <f t="shared" si="80"/>
        <v>0.42499999999999999</v>
      </c>
      <c r="L149" s="38">
        <v>0</v>
      </c>
      <c r="M149" s="64">
        <f t="shared" si="81"/>
        <v>0</v>
      </c>
      <c r="N149" s="65"/>
      <c r="O149" s="63">
        <f t="shared" si="82"/>
        <v>5.2940000000000005</v>
      </c>
      <c r="P149" s="63">
        <f t="shared" si="83"/>
        <v>5.2940000000000005</v>
      </c>
      <c r="Q149" s="66"/>
      <c r="R149" s="63">
        <f t="shared" si="84"/>
        <v>-0.56355546027206804</v>
      </c>
      <c r="S149" s="64">
        <f t="shared" si="85"/>
        <v>-0.56355546027206804</v>
      </c>
      <c r="T149" s="38">
        <v>0</v>
      </c>
      <c r="U149" s="64">
        <f t="shared" si="86"/>
        <v>0</v>
      </c>
      <c r="V149" s="219">
        <f>(G149+R149)/(1-Summary!$T$13)*Summary!$T$13</f>
        <v>0.34333024073427337</v>
      </c>
      <c r="W149" s="43">
        <f t="shared" si="87"/>
        <v>4.6487747804622064</v>
      </c>
      <c r="X149" s="43">
        <f t="shared" si="88"/>
        <v>4.6487747804622064</v>
      </c>
      <c r="Y149" s="43"/>
      <c r="Z149" s="38">
        <f t="shared" si="89"/>
        <v>1.1000000000000001</v>
      </c>
      <c r="AA149" s="38">
        <f t="shared" si="90"/>
        <v>0.17</v>
      </c>
      <c r="AB149" s="38">
        <f t="shared" ca="1" si="91"/>
        <v>0.18253980760458821</v>
      </c>
      <c r="AC149" s="38">
        <f t="shared" si="92"/>
        <v>1.35</v>
      </c>
      <c r="AD149" s="38">
        <f t="shared" si="92"/>
        <v>0.17</v>
      </c>
      <c r="AE149" s="38">
        <f t="shared" ca="1" si="93"/>
        <v>0.18856068152976424</v>
      </c>
      <c r="AF149" s="237">
        <f ca="1">((Summary!$N$13*(AA149*AD149)*(A149-$D$3))+(Summary!$M$13*Z149*AC149*(AJ149-EOMONTH(EDATE(A149,-1),0))))/(AK149*AB149*AE149)</f>
        <v>0.99713064740911039</v>
      </c>
      <c r="AG149" s="88">
        <f>IF($A150="","",Summary!$Q$13)</f>
        <v>0</v>
      </c>
      <c r="AH149" s="88">
        <f>IF($A150="","",IF(Summary!$R$12="Y",(VLOOKUP($A149,Summary!$AD$6:$AF$9,3)+'Escalating commodity'!I162),'Escalating commodity'!I162))</f>
        <v>5.6871992197469891E-2</v>
      </c>
      <c r="AI149" s="88">
        <f t="shared" si="108"/>
        <v>5.6871992197469891E-2</v>
      </c>
      <c r="AJ149" s="236">
        <f t="shared" si="94"/>
        <v>41289.5</v>
      </c>
      <c r="AK149" s="58">
        <f t="shared" ca="1" si="95"/>
        <v>4249</v>
      </c>
      <c r="AL149" s="26">
        <f ca="1">IF($A150="","",_xll.SPRDOPT(P149,X149,AI149,0,AB149,AE149,AF149,AK149,$AJ$2,0))</f>
        <v>0.58911539506812327</v>
      </c>
      <c r="AM149" s="209">
        <f t="shared" si="96"/>
        <v>0.58835322734032425</v>
      </c>
      <c r="AN149" s="89">
        <f t="shared" ca="1" si="97"/>
        <v>7.6216772779902353E-4</v>
      </c>
      <c r="AO149" s="3">
        <f t="shared" si="98"/>
        <v>31</v>
      </c>
      <c r="AP149" s="33">
        <f t="shared" si="99"/>
        <v>41275</v>
      </c>
      <c r="AQ149" s="58">
        <f t="shared" ca="1" si="100"/>
        <v>4249</v>
      </c>
      <c r="AR149" s="38">
        <f>'ANR OK vs ML7'!AR149</f>
        <v>0.1</v>
      </c>
      <c r="AS149" s="35">
        <f t="shared" ca="1" si="101"/>
        <v>0.32136926803308957</v>
      </c>
      <c r="AT149" s="3">
        <f t="shared" si="102"/>
        <v>1</v>
      </c>
      <c r="AU149" s="3">
        <f t="shared" si="103"/>
        <v>31</v>
      </c>
      <c r="AW149" s="32">
        <f t="shared" ca="1" si="104"/>
        <v>518657.19381797576</v>
      </c>
      <c r="AX149" s="32">
        <f t="shared" si="105"/>
        <v>517986.18135042145</v>
      </c>
      <c r="AY149" s="32">
        <f t="shared" ca="1" si="106"/>
        <v>671.0124675542603</v>
      </c>
      <c r="BA149" s="32">
        <f ca="1">IF($A150="","",F149*Summary!$Q$13)</f>
        <v>0</v>
      </c>
      <c r="BC149" s="256">
        <f t="shared" ca="1" si="109"/>
        <v>166464.83995184014</v>
      </c>
    </row>
    <row r="150" spans="1:55">
      <c r="A150" s="67">
        <f t="shared" si="107"/>
        <v>41306</v>
      </c>
      <c r="B150" s="69">
        <f t="shared" si="110"/>
        <v>28400</v>
      </c>
      <c r="C150" s="71"/>
      <c r="D150" s="69">
        <f t="shared" si="74"/>
        <v>28400</v>
      </c>
      <c r="E150" s="70">
        <f t="shared" si="75"/>
        <v>795200</v>
      </c>
      <c r="F150" s="70">
        <f t="shared" ca="1" si="76"/>
        <v>253445.10069892823</v>
      </c>
      <c r="G150" s="63">
        <f t="shared" si="77"/>
        <v>4.7490000000000006</v>
      </c>
      <c r="H150" s="64">
        <f t="shared" si="78"/>
        <v>4.7490000000000006</v>
      </c>
      <c r="I150" s="43"/>
      <c r="J150" s="63">
        <f t="shared" si="79"/>
        <v>0.42499999999999999</v>
      </c>
      <c r="K150" s="64">
        <f t="shared" si="80"/>
        <v>0.42499999999999999</v>
      </c>
      <c r="L150" s="38">
        <v>0</v>
      </c>
      <c r="M150" s="64">
        <f t="shared" si="81"/>
        <v>0</v>
      </c>
      <c r="N150" s="65"/>
      <c r="O150" s="63">
        <f t="shared" si="82"/>
        <v>5.1740000000000004</v>
      </c>
      <c r="P150" s="63">
        <f t="shared" si="83"/>
        <v>5.1740000000000004</v>
      </c>
      <c r="Q150" s="66"/>
      <c r="R150" s="63">
        <f t="shared" si="84"/>
        <v>-0.56356274725154132</v>
      </c>
      <c r="S150" s="64">
        <f t="shared" si="85"/>
        <v>-0.56356274725154132</v>
      </c>
      <c r="T150" s="38">
        <v>0</v>
      </c>
      <c r="U150" s="64">
        <f t="shared" si="86"/>
        <v>0</v>
      </c>
      <c r="V150" s="219">
        <f>(G150+R150)/(1-Summary!$T$13)*Summary!$T$13</f>
        <v>0.33376046684720029</v>
      </c>
      <c r="W150" s="43">
        <f t="shared" si="87"/>
        <v>4.5191977195956596</v>
      </c>
      <c r="X150" s="43">
        <f t="shared" si="88"/>
        <v>4.5191977195956596</v>
      </c>
      <c r="Y150" s="43"/>
      <c r="Z150" s="38">
        <f t="shared" si="89"/>
        <v>1.1000000000000001</v>
      </c>
      <c r="AA150" s="38">
        <f t="shared" si="90"/>
        <v>0.17</v>
      </c>
      <c r="AB150" s="38">
        <f t="shared" ca="1" si="91"/>
        <v>0.181286227446219</v>
      </c>
      <c r="AC150" s="38">
        <f t="shared" si="92"/>
        <v>1.35</v>
      </c>
      <c r="AD150" s="38">
        <f t="shared" si="92"/>
        <v>0.17</v>
      </c>
      <c r="AE150" s="38">
        <f t="shared" ca="1" si="93"/>
        <v>0.1867302892799651</v>
      </c>
      <c r="AF150" s="237">
        <f ca="1">((Summary!$N$13*(AA150*AD150)*(A150-$D$3))+(Summary!$M$13*Z150*AC150*(AJ150-EOMONTH(EDATE(A150,-1),0))))/(AK150*AB150*AE150)</f>
        <v>0.99733273116849785</v>
      </c>
      <c r="AG150" s="88">
        <f>IF($A151="","",Summary!$Q$13)</f>
        <v>0</v>
      </c>
      <c r="AH150" s="88">
        <f>IF($A151="","",IF(Summary!$R$12="Y",(VLOOKUP($A150,Summary!$AD$6:$AF$9,3)+'Escalating commodity'!I163),'Escalating commodity'!I163))</f>
        <v>5.6871992197469891E-2</v>
      </c>
      <c r="AI150" s="88">
        <f t="shared" si="108"/>
        <v>5.6871992197469891E-2</v>
      </c>
      <c r="AJ150" s="236">
        <f t="shared" si="94"/>
        <v>41319</v>
      </c>
      <c r="AK150" s="58">
        <f t="shared" ca="1" si="95"/>
        <v>4280</v>
      </c>
      <c r="AL150" s="26">
        <f ca="1">IF($A151="","",_xll.SPRDOPT(P150,X150,AI150,0,AB150,AE150,AF150,AK150,$AJ$2,0))</f>
        <v>0.59828431957002781</v>
      </c>
      <c r="AM150" s="209">
        <f t="shared" si="96"/>
        <v>0.59793028820687089</v>
      </c>
      <c r="AN150" s="89">
        <f t="shared" ca="1" si="97"/>
        <v>3.5403136315692585E-4</v>
      </c>
      <c r="AO150" s="3">
        <f t="shared" si="98"/>
        <v>28</v>
      </c>
      <c r="AP150" s="33">
        <f t="shared" si="99"/>
        <v>41306</v>
      </c>
      <c r="AQ150" s="58">
        <f t="shared" ca="1" si="100"/>
        <v>4280</v>
      </c>
      <c r="AR150" s="38">
        <f>'ANR OK vs ML7'!AR150</f>
        <v>0.1</v>
      </c>
      <c r="AS150" s="35">
        <f t="shared" ca="1" si="101"/>
        <v>0.3187186880016703</v>
      </c>
      <c r="AT150" s="3">
        <f t="shared" si="102"/>
        <v>1</v>
      </c>
      <c r="AU150" s="3">
        <f t="shared" si="103"/>
        <v>28</v>
      </c>
      <c r="AW150" s="32">
        <f t="shared" ca="1" si="104"/>
        <v>475755.69092208613</v>
      </c>
      <c r="AX150" s="32">
        <f t="shared" si="105"/>
        <v>475474.16518210375</v>
      </c>
      <c r="AY150" s="32">
        <f t="shared" ca="1" si="106"/>
        <v>281.52573998238745</v>
      </c>
      <c r="BA150" s="32">
        <f ca="1">IF($A151="","",F150*Summary!$Q$13)</f>
        <v>0</v>
      </c>
      <c r="BC150" s="256">
        <f t="shared" ca="1" si="109"/>
        <v>151542.50210552957</v>
      </c>
    </row>
    <row r="151" spans="1:55">
      <c r="A151" s="67">
        <f t="shared" si="107"/>
        <v>41334</v>
      </c>
      <c r="B151" s="69">
        <f t="shared" si="110"/>
        <v>28400</v>
      </c>
      <c r="C151" s="71"/>
      <c r="D151" s="69">
        <f t="shared" si="74"/>
        <v>28400</v>
      </c>
      <c r="E151" s="70">
        <f t="shared" si="75"/>
        <v>880400</v>
      </c>
      <c r="F151" s="70">
        <f t="shared" ca="1" si="76"/>
        <v>278508.73908415425</v>
      </c>
      <c r="G151" s="63">
        <f t="shared" si="77"/>
        <v>4.6100000000000003</v>
      </c>
      <c r="H151" s="64">
        <f t="shared" si="78"/>
        <v>4.6100000000000003</v>
      </c>
      <c r="I151" s="43"/>
      <c r="J151" s="63">
        <f t="shared" si="79"/>
        <v>0.42499999999999999</v>
      </c>
      <c r="K151" s="64">
        <f t="shared" si="80"/>
        <v>0.42499999999999999</v>
      </c>
      <c r="L151" s="38">
        <v>0</v>
      </c>
      <c r="M151" s="64">
        <f t="shared" si="81"/>
        <v>0</v>
      </c>
      <c r="N151" s="65"/>
      <c r="O151" s="63">
        <f t="shared" si="82"/>
        <v>5.0350000000000001</v>
      </c>
      <c r="P151" s="63">
        <f t="shared" si="83"/>
        <v>5.0350000000000001</v>
      </c>
      <c r="Q151" s="66"/>
      <c r="R151" s="63">
        <f t="shared" si="84"/>
        <v>-0.56356947216480835</v>
      </c>
      <c r="S151" s="64">
        <f t="shared" si="85"/>
        <v>-0.56356947216480835</v>
      </c>
      <c r="T151" s="38">
        <v>0</v>
      </c>
      <c r="U151" s="64">
        <f t="shared" si="86"/>
        <v>0</v>
      </c>
      <c r="V151" s="219">
        <f>(G151+R151)/(1-Summary!$T$13)*Summary!$T$13</f>
        <v>0.32267561558787577</v>
      </c>
      <c r="W151" s="43">
        <f t="shared" si="87"/>
        <v>4.3691061434230676</v>
      </c>
      <c r="X151" s="43">
        <f t="shared" si="88"/>
        <v>4.3691061434230676</v>
      </c>
      <c r="Y151" s="43"/>
      <c r="Z151" s="38">
        <f t="shared" si="89"/>
        <v>0.75</v>
      </c>
      <c r="AA151" s="38">
        <f t="shared" si="90"/>
        <v>0.17</v>
      </c>
      <c r="AB151" s="38">
        <f t="shared" ca="1" si="91"/>
        <v>0.17587086007729316</v>
      </c>
      <c r="AC151" s="38">
        <f t="shared" si="92"/>
        <v>0.95</v>
      </c>
      <c r="AD151" s="38">
        <f t="shared" si="92"/>
        <v>0.17</v>
      </c>
      <c r="AE151" s="38">
        <f t="shared" ca="1" si="93"/>
        <v>0.17931498794720693</v>
      </c>
      <c r="AF151" s="237">
        <f ca="1">((Summary!$N$13*(AA151*AD151)*(A151-$D$3))+(Summary!$M$13*Z151*AC151*(AJ151-EOMONTH(EDATE(A151,-1),0))))/(AK151*AB151*AE151)</f>
        <v>0.99781461841079833</v>
      </c>
      <c r="AG151" s="88">
        <f>IF($A152="","",Summary!$Q$13)</f>
        <v>0</v>
      </c>
      <c r="AH151" s="88">
        <f>IF($A152="","",IF(Summary!$R$12="Y",(VLOOKUP($A151,Summary!$AD$6:$AF$9,3)+'Escalating commodity'!I164),'Escalating commodity'!I164))</f>
        <v>5.6871992197469891E-2</v>
      </c>
      <c r="AI151" s="88">
        <f t="shared" si="108"/>
        <v>5.6871992197469891E-2</v>
      </c>
      <c r="AJ151" s="236">
        <f t="shared" si="94"/>
        <v>41348.5</v>
      </c>
      <c r="AK151" s="58">
        <f t="shared" ca="1" si="95"/>
        <v>4308</v>
      </c>
      <c r="AL151" s="26">
        <f ca="1">IF($A152="","",_xll.SPRDOPT(P151,X151,AI151,0,AB151,AE151,AF151,AK151,$AJ$2,0))</f>
        <v>0.60906047420467868</v>
      </c>
      <c r="AM151" s="209">
        <f t="shared" si="96"/>
        <v>0.60902186437946271</v>
      </c>
      <c r="AN151" s="89">
        <f t="shared" ca="1" si="97"/>
        <v>3.8609825215973892E-5</v>
      </c>
      <c r="AO151" s="3">
        <f t="shared" si="98"/>
        <v>31</v>
      </c>
      <c r="AP151" s="33">
        <f t="shared" si="99"/>
        <v>41334</v>
      </c>
      <c r="AQ151" s="58">
        <f t="shared" ca="1" si="100"/>
        <v>4308</v>
      </c>
      <c r="AR151" s="38">
        <f>'ANR OK vs ML7'!AR151</f>
        <v>0.1</v>
      </c>
      <c r="AS151" s="35">
        <f t="shared" ca="1" si="101"/>
        <v>0.31634341104515479</v>
      </c>
      <c r="AT151" s="3">
        <f t="shared" si="102"/>
        <v>1</v>
      </c>
      <c r="AU151" s="3">
        <f t="shared" si="103"/>
        <v>31</v>
      </c>
      <c r="AW151" s="32">
        <f t="shared" ca="1" si="104"/>
        <v>536216.84148979909</v>
      </c>
      <c r="AX151" s="32">
        <f t="shared" si="105"/>
        <v>536182.84939967899</v>
      </c>
      <c r="AY151" s="32">
        <f t="shared" ca="1" si="106"/>
        <v>33.992090120143416</v>
      </c>
      <c r="BA151" s="32">
        <f ca="1">IF($A152="","",F151*Summary!$Q$13)</f>
        <v>0</v>
      </c>
      <c r="BC151" s="256">
        <f t="shared" ca="1" si="109"/>
        <v>169617.91152300496</v>
      </c>
    </row>
    <row r="152" spans="1:55">
      <c r="A152" s="67">
        <f t="shared" si="107"/>
        <v>41365</v>
      </c>
      <c r="B152" s="69">
        <f t="shared" si="110"/>
        <v>28400</v>
      </c>
      <c r="C152" s="71"/>
      <c r="D152" s="69">
        <f t="shared" si="74"/>
        <v>28400</v>
      </c>
      <c r="E152" s="70">
        <f t="shared" si="75"/>
        <v>852000</v>
      </c>
      <c r="F152" s="70">
        <f t="shared" ca="1" si="76"/>
        <v>267301.60922652326</v>
      </c>
      <c r="G152" s="63">
        <f t="shared" si="77"/>
        <v>4.4349999999999996</v>
      </c>
      <c r="H152" s="64">
        <f t="shared" si="78"/>
        <v>4.4349999999999996</v>
      </c>
      <c r="I152" s="43"/>
      <c r="J152" s="63">
        <f t="shared" si="79"/>
        <v>0.23499999999999999</v>
      </c>
      <c r="K152" s="64">
        <f t="shared" si="80"/>
        <v>0.23499999999999999</v>
      </c>
      <c r="L152" s="38">
        <v>0</v>
      </c>
      <c r="M152" s="64">
        <f t="shared" si="81"/>
        <v>0</v>
      </c>
      <c r="N152" s="65"/>
      <c r="O152" s="63">
        <f t="shared" si="82"/>
        <v>4.67</v>
      </c>
      <c r="P152" s="63">
        <f t="shared" si="83"/>
        <v>4.67</v>
      </c>
      <c r="Q152" s="66"/>
      <c r="R152" s="63">
        <f t="shared" si="84"/>
        <v>-0.66733882666466426</v>
      </c>
      <c r="S152" s="64">
        <f t="shared" si="85"/>
        <v>-0.66733882666466426</v>
      </c>
      <c r="T152" s="38">
        <v>0</v>
      </c>
      <c r="U152" s="64">
        <f t="shared" si="86"/>
        <v>0</v>
      </c>
      <c r="V152" s="219">
        <f>(G152+R152)/(1-Summary!$T$13)*Summary!$T$13</f>
        <v>0.30044563475625141</v>
      </c>
      <c r="W152" s="43">
        <f t="shared" si="87"/>
        <v>4.0681068080915868</v>
      </c>
      <c r="X152" s="43">
        <f t="shared" si="88"/>
        <v>4.0681068080915868</v>
      </c>
      <c r="Y152" s="43"/>
      <c r="Z152" s="38">
        <f t="shared" si="89"/>
        <v>0.45</v>
      </c>
      <c r="AA152" s="38">
        <f t="shared" si="90"/>
        <v>0.17</v>
      </c>
      <c r="AB152" s="38">
        <f t="shared" ca="1" si="91"/>
        <v>0.1720659949392305</v>
      </c>
      <c r="AC152" s="38">
        <f t="shared" si="92"/>
        <v>0.5</v>
      </c>
      <c r="AD152" s="38">
        <f t="shared" si="92"/>
        <v>0.17</v>
      </c>
      <c r="AE152" s="38">
        <f t="shared" ca="1" si="93"/>
        <v>0.17254250188682052</v>
      </c>
      <c r="AF152" s="237">
        <f ca="1">((Summary!$N$13*(AA152*AD152)*(A152-$D$3))+(Summary!$M$13*Z152*AC152*(AJ152-EOMONTH(EDATE(A152,-1),0))))/(AK152*AB152*AE152)</f>
        <v>0.99976090534597206</v>
      </c>
      <c r="AG152" s="88">
        <f>IF($A153="","",Summary!$Q$13)</f>
        <v>0</v>
      </c>
      <c r="AH152" s="88">
        <f>IF($A153="","",IF(Summary!$R$12="Y",(VLOOKUP($A152,Summary!$AD$6:$AF$9,3)+'Escalating commodity'!I165),'Escalating commodity'!I165))</f>
        <v>5.6871992197469891E-2</v>
      </c>
      <c r="AI152" s="88">
        <f t="shared" si="108"/>
        <v>5.6871992197469891E-2</v>
      </c>
      <c r="AJ152" s="236">
        <f t="shared" si="94"/>
        <v>41379</v>
      </c>
      <c r="AK152" s="58">
        <f t="shared" ca="1" si="95"/>
        <v>4339</v>
      </c>
      <c r="AL152" s="26">
        <f ca="1">IF($A153="","",_xll.SPRDOPT(P152,X152,AI152,0,AB152,AE152,AF152,AK152,$AJ$2,0))</f>
        <v>0.54502219487997428</v>
      </c>
      <c r="AM152" s="209">
        <f t="shared" si="96"/>
        <v>0.54502119971094332</v>
      </c>
      <c r="AN152" s="89">
        <f t="shared" ca="1" si="97"/>
        <v>9.9516903095953069E-7</v>
      </c>
      <c r="AO152" s="3">
        <f t="shared" si="98"/>
        <v>30</v>
      </c>
      <c r="AP152" s="33">
        <f t="shared" si="99"/>
        <v>41365</v>
      </c>
      <c r="AQ152" s="58">
        <f t="shared" ca="1" si="100"/>
        <v>4339</v>
      </c>
      <c r="AR152" s="38">
        <f>'ANR OK vs ML7'!AR152</f>
        <v>0.1</v>
      </c>
      <c r="AS152" s="35">
        <f t="shared" ca="1" si="101"/>
        <v>0.31373428312972212</v>
      </c>
      <c r="AT152" s="3">
        <f t="shared" si="102"/>
        <v>1</v>
      </c>
      <c r="AU152" s="3">
        <f t="shared" si="103"/>
        <v>30</v>
      </c>
      <c r="AW152" s="32">
        <f t="shared" ca="1" si="104"/>
        <v>464358.9100377381</v>
      </c>
      <c r="AX152" s="32">
        <f t="shared" si="105"/>
        <v>464358.06215372373</v>
      </c>
      <c r="AY152" s="32">
        <f t="shared" ca="1" si="106"/>
        <v>0.84788401437752015</v>
      </c>
      <c r="BA152" s="32">
        <f ca="1">IF($A153="","",F152*Summary!$Q$13)</f>
        <v>0</v>
      </c>
      <c r="BC152" s="256">
        <f t="shared" ca="1" si="109"/>
        <v>145685.04374530545</v>
      </c>
    </row>
    <row r="153" spans="1:55">
      <c r="A153" s="67">
        <f t="shared" si="107"/>
        <v>41395</v>
      </c>
      <c r="B153" s="69">
        <f t="shared" si="110"/>
        <v>28400</v>
      </c>
      <c r="C153" s="71"/>
      <c r="D153" s="69">
        <f t="shared" si="74"/>
        <v>28400</v>
      </c>
      <c r="E153" s="70">
        <f t="shared" si="75"/>
        <v>880400</v>
      </c>
      <c r="F153" s="70">
        <f t="shared" ca="1" si="76"/>
        <v>274006.72637166589</v>
      </c>
      <c r="G153" s="63">
        <f t="shared" si="77"/>
        <v>4.4050000000000002</v>
      </c>
      <c r="H153" s="64">
        <f t="shared" si="78"/>
        <v>4.4050000000000002</v>
      </c>
      <c r="I153" s="43"/>
      <c r="J153" s="63">
        <f t="shared" si="79"/>
        <v>0.23499999999999999</v>
      </c>
      <c r="K153" s="64">
        <f t="shared" si="80"/>
        <v>0.23499999999999999</v>
      </c>
      <c r="L153" s="38">
        <v>0</v>
      </c>
      <c r="M153" s="64">
        <f t="shared" si="81"/>
        <v>0</v>
      </c>
      <c r="N153" s="65"/>
      <c r="O153" s="63">
        <f t="shared" si="82"/>
        <v>4.6400000000000006</v>
      </c>
      <c r="P153" s="63">
        <f t="shared" si="83"/>
        <v>4.6400000000000006</v>
      </c>
      <c r="Q153" s="66"/>
      <c r="R153" s="63">
        <f t="shared" si="84"/>
        <v>-0.66734604421473021</v>
      </c>
      <c r="S153" s="64">
        <f t="shared" si="85"/>
        <v>-0.66734604421473021</v>
      </c>
      <c r="T153" s="38">
        <v>0</v>
      </c>
      <c r="U153" s="64">
        <f t="shared" si="86"/>
        <v>0</v>
      </c>
      <c r="V153" s="219">
        <f>(G153+R153)/(1-Summary!$T$13)*Summary!$T$13</f>
        <v>0.29805276100531447</v>
      </c>
      <c r="W153" s="43">
        <f t="shared" si="87"/>
        <v>4.0357067167905845</v>
      </c>
      <c r="X153" s="43">
        <f t="shared" si="88"/>
        <v>4.0357067167905845</v>
      </c>
      <c r="Y153" s="43"/>
      <c r="Z153" s="38">
        <f t="shared" si="89"/>
        <v>0.5</v>
      </c>
      <c r="AA153" s="38">
        <f t="shared" si="90"/>
        <v>0.17</v>
      </c>
      <c r="AB153" s="38">
        <f t="shared" ca="1" si="91"/>
        <v>0.17260806885466767</v>
      </c>
      <c r="AC153" s="38">
        <f t="shared" si="92"/>
        <v>0.45</v>
      </c>
      <c r="AD153" s="38">
        <f t="shared" si="92"/>
        <v>0.17</v>
      </c>
      <c r="AE153" s="38">
        <f t="shared" ca="1" si="93"/>
        <v>0.17211922789353332</v>
      </c>
      <c r="AF153" s="237">
        <f ca="1">((Summary!$N$13*(AA153*AD153)*(A153-$D$3))+(Summary!$M$13*Z153*AC153*(AJ153-EOMONTH(EDATE(A153,-1),0))))/(AK153*AB153*AE153)</f>
        <v>0.99975745426171536</v>
      </c>
      <c r="AG153" s="88">
        <f>IF($A154="","",Summary!$Q$13)</f>
        <v>0</v>
      </c>
      <c r="AH153" s="88">
        <f>IF($A154="","",IF(Summary!$R$12="Y",(VLOOKUP($A153,Summary!$AD$6:$AF$9,3)+'Escalating commodity'!I166),'Escalating commodity'!I166))</f>
        <v>5.6871992197469891E-2</v>
      </c>
      <c r="AI153" s="88">
        <f t="shared" si="108"/>
        <v>5.6871992197469891E-2</v>
      </c>
      <c r="AJ153" s="236">
        <f t="shared" si="94"/>
        <v>41409.5</v>
      </c>
      <c r="AK153" s="58">
        <f t="shared" ca="1" si="95"/>
        <v>4369</v>
      </c>
      <c r="AL153" s="26">
        <f ca="1">IF($A154="","",_xll.SPRDOPT(P153,X153,AI153,0,AB153,AE153,AF153,AK153,$AJ$2,0))</f>
        <v>0.54742335090677074</v>
      </c>
      <c r="AM153" s="209">
        <f t="shared" si="96"/>
        <v>0.54742129101194625</v>
      </c>
      <c r="AN153" s="89">
        <f t="shared" ca="1" si="97"/>
        <v>2.059894824490982E-6</v>
      </c>
      <c r="AO153" s="3">
        <f t="shared" si="98"/>
        <v>31</v>
      </c>
      <c r="AP153" s="33">
        <f t="shared" si="99"/>
        <v>41395</v>
      </c>
      <c r="AQ153" s="58">
        <f t="shared" ca="1" si="100"/>
        <v>4369</v>
      </c>
      <c r="AR153" s="38">
        <f>'ANR OK vs ML7'!AR153</f>
        <v>0.1</v>
      </c>
      <c r="AS153" s="35">
        <f t="shared" ca="1" si="101"/>
        <v>0.31122981187149695</v>
      </c>
      <c r="AT153" s="3">
        <f t="shared" si="102"/>
        <v>1</v>
      </c>
      <c r="AU153" s="3">
        <f t="shared" si="103"/>
        <v>31</v>
      </c>
      <c r="AW153" s="32">
        <f t="shared" ca="1" si="104"/>
        <v>481951.51813832094</v>
      </c>
      <c r="AX153" s="32">
        <f t="shared" si="105"/>
        <v>481949.70460691745</v>
      </c>
      <c r="AY153" s="32">
        <f t="shared" ca="1" si="106"/>
        <v>1.8135314034818606</v>
      </c>
      <c r="BA153" s="32">
        <f ca="1">IF($A154="","",F153*Summary!$Q$13)</f>
        <v>0</v>
      </c>
      <c r="BC153" s="256">
        <f t="shared" ca="1" si="109"/>
        <v>149997.11589633444</v>
      </c>
    </row>
    <row r="154" spans="1:55">
      <c r="A154" s="67">
        <f t="shared" si="107"/>
        <v>41426</v>
      </c>
      <c r="B154" s="69">
        <f t="shared" si="110"/>
        <v>28400</v>
      </c>
      <c r="C154" s="71"/>
      <c r="D154" s="69">
        <f t="shared" si="74"/>
        <v>28400</v>
      </c>
      <c r="E154" s="70">
        <f t="shared" si="75"/>
        <v>852000</v>
      </c>
      <c r="F154" s="70">
        <f t="shared" ca="1" si="76"/>
        <v>262980.756506556</v>
      </c>
      <c r="G154" s="63">
        <f t="shared" si="77"/>
        <v>4.4749999999999996</v>
      </c>
      <c r="H154" s="64">
        <f t="shared" si="78"/>
        <v>4.4749999999999996</v>
      </c>
      <c r="I154" s="43"/>
      <c r="J154" s="63">
        <f t="shared" si="79"/>
        <v>0.23499999999999999</v>
      </c>
      <c r="K154" s="64">
        <f t="shared" si="80"/>
        <v>0.23499999999999999</v>
      </c>
      <c r="L154" s="38">
        <v>0</v>
      </c>
      <c r="M154" s="64">
        <f t="shared" si="81"/>
        <v>0</v>
      </c>
      <c r="N154" s="65"/>
      <c r="O154" s="63">
        <f t="shared" si="82"/>
        <v>4.71</v>
      </c>
      <c r="P154" s="63">
        <f t="shared" si="83"/>
        <v>4.71</v>
      </c>
      <c r="Q154" s="66"/>
      <c r="R154" s="63">
        <f t="shared" si="84"/>
        <v>-0.66735365951553172</v>
      </c>
      <c r="S154" s="64">
        <f t="shared" si="85"/>
        <v>-0.66735365951553172</v>
      </c>
      <c r="T154" s="38">
        <v>0</v>
      </c>
      <c r="U154" s="64">
        <f t="shared" si="86"/>
        <v>0</v>
      </c>
      <c r="V154" s="219">
        <f>(G154+R154)/(1-Summary!$T$13)*Summary!$T$13</f>
        <v>0.30363418286932953</v>
      </c>
      <c r="W154" s="43">
        <f t="shared" si="87"/>
        <v>4.1112805233537975</v>
      </c>
      <c r="X154" s="43">
        <f t="shared" si="88"/>
        <v>4.1112805233537975</v>
      </c>
      <c r="Y154" s="43"/>
      <c r="Z154" s="38">
        <f t="shared" si="89"/>
        <v>0.5</v>
      </c>
      <c r="AA154" s="38">
        <f t="shared" si="90"/>
        <v>0.17</v>
      </c>
      <c r="AB154" s="38">
        <f t="shared" ca="1" si="91"/>
        <v>0.17250750971795667</v>
      </c>
      <c r="AC154" s="38">
        <f t="shared" si="92"/>
        <v>0.5</v>
      </c>
      <c r="AD154" s="38">
        <f t="shared" si="92"/>
        <v>0.17</v>
      </c>
      <c r="AE154" s="38">
        <f t="shared" ca="1" si="93"/>
        <v>0.17250750971795667</v>
      </c>
      <c r="AF154" s="237">
        <f ca="1">((Summary!$N$13*(AA154*AD154)*(A154-$D$3))+(Summary!$M$13*Z154*AC154*(AJ154-EOMONTH(EDATE(A154,-1),0))))/(AK154*AB154*AE154)</f>
        <v>0.9999028639311921</v>
      </c>
      <c r="AG154" s="88">
        <f>IF($A155="","",Summary!$Q$13)</f>
        <v>0</v>
      </c>
      <c r="AH154" s="88">
        <f>IF($A155="","",IF(Summary!$R$12="Y",(VLOOKUP($A154,Summary!$AD$6:$AF$9,3)+'Escalating commodity'!I167),'Escalating commodity'!I167))</f>
        <v>5.6871992197469891E-2</v>
      </c>
      <c r="AI154" s="88">
        <f t="shared" si="108"/>
        <v>5.6871992197469891E-2</v>
      </c>
      <c r="AJ154" s="236">
        <f t="shared" si="94"/>
        <v>41440</v>
      </c>
      <c r="AK154" s="58">
        <f t="shared" ca="1" si="95"/>
        <v>4400</v>
      </c>
      <c r="AL154" s="26">
        <f ca="1">IF($A155="","",_xll.SPRDOPT(P154,X154,AI154,0,AB154,AE154,AF154,AK154,$AJ$2,0))</f>
        <v>0.54184882912624388</v>
      </c>
      <c r="AM154" s="209">
        <f t="shared" si="96"/>
        <v>0.54184748444873265</v>
      </c>
      <c r="AN154" s="89">
        <f t="shared" ca="1" si="97"/>
        <v>1.3446775112280207E-6</v>
      </c>
      <c r="AO154" s="3">
        <f t="shared" si="98"/>
        <v>30</v>
      </c>
      <c r="AP154" s="33">
        <f t="shared" si="99"/>
        <v>41426</v>
      </c>
      <c r="AQ154" s="58">
        <f t="shared" ca="1" si="100"/>
        <v>4400</v>
      </c>
      <c r="AR154" s="38">
        <f>'ANR OK vs ML7'!AR154</f>
        <v>0.1</v>
      </c>
      <c r="AS154" s="35">
        <f t="shared" ca="1" si="101"/>
        <v>0.30866285974947888</v>
      </c>
      <c r="AT154" s="3">
        <f t="shared" si="102"/>
        <v>1</v>
      </c>
      <c r="AU154" s="3">
        <f t="shared" si="103"/>
        <v>30</v>
      </c>
      <c r="AW154" s="32">
        <f t="shared" ca="1" si="104"/>
        <v>461655.20241555979</v>
      </c>
      <c r="AX154" s="32">
        <f t="shared" si="105"/>
        <v>461654.05675032025</v>
      </c>
      <c r="AY154" s="32">
        <f t="shared" ca="1" si="106"/>
        <v>1.1456652395662736</v>
      </c>
      <c r="BA154" s="32">
        <f ca="1">IF($A155="","",F154*Summary!$Q$13)</f>
        <v>0</v>
      </c>
      <c r="BC154" s="256">
        <f t="shared" ca="1" si="109"/>
        <v>142495.46137150205</v>
      </c>
    </row>
    <row r="155" spans="1:55">
      <c r="A155" s="67">
        <f t="shared" si="107"/>
        <v>41456</v>
      </c>
      <c r="B155" s="69">
        <f t="shared" si="110"/>
        <v>28400</v>
      </c>
      <c r="C155" s="71"/>
      <c r="D155" s="69">
        <f t="shared" si="74"/>
        <v>28400</v>
      </c>
      <c r="E155" s="70">
        <f t="shared" si="75"/>
        <v>880400</v>
      </c>
      <c r="F155" s="70">
        <f t="shared" ca="1" si="76"/>
        <v>269577.4873844476</v>
      </c>
      <c r="G155" s="63">
        <f t="shared" si="77"/>
        <v>4.53</v>
      </c>
      <c r="H155" s="64">
        <f t="shared" si="78"/>
        <v>4.53</v>
      </c>
      <c r="I155" s="43"/>
      <c r="J155" s="63">
        <f t="shared" si="79"/>
        <v>0.23499999999999999</v>
      </c>
      <c r="K155" s="64">
        <f t="shared" si="80"/>
        <v>0.23499999999999999</v>
      </c>
      <c r="L155" s="38">
        <v>0</v>
      </c>
      <c r="M155" s="64">
        <f t="shared" si="81"/>
        <v>0</v>
      </c>
      <c r="N155" s="65"/>
      <c r="O155" s="63">
        <f t="shared" si="82"/>
        <v>4.7650000000000006</v>
      </c>
      <c r="P155" s="63">
        <f t="shared" si="83"/>
        <v>4.7650000000000006</v>
      </c>
      <c r="Q155" s="66"/>
      <c r="R155" s="63">
        <f t="shared" si="84"/>
        <v>-0.66736118121062504</v>
      </c>
      <c r="S155" s="64">
        <f t="shared" si="85"/>
        <v>-0.66736118121062504</v>
      </c>
      <c r="T155" s="38">
        <v>0</v>
      </c>
      <c r="U155" s="64">
        <f t="shared" si="86"/>
        <v>0</v>
      </c>
      <c r="V155" s="219">
        <f>(G155+R155)/(1-Summary!$T$13)*Summary!$T$13</f>
        <v>0.30801946309783551</v>
      </c>
      <c r="W155" s="43">
        <f t="shared" si="87"/>
        <v>4.1706582818872109</v>
      </c>
      <c r="X155" s="43">
        <f t="shared" si="88"/>
        <v>4.1706582818872109</v>
      </c>
      <c r="Y155" s="43"/>
      <c r="Z155" s="38">
        <f t="shared" si="89"/>
        <v>0.55000000000000004</v>
      </c>
      <c r="AA155" s="38">
        <f t="shared" si="90"/>
        <v>0.17</v>
      </c>
      <c r="AB155" s="38">
        <f t="shared" ca="1" si="91"/>
        <v>0.17310381936834818</v>
      </c>
      <c r="AC155" s="38">
        <f t="shared" si="92"/>
        <v>0.5</v>
      </c>
      <c r="AD155" s="38">
        <f t="shared" si="92"/>
        <v>0.17</v>
      </c>
      <c r="AE155" s="38">
        <f t="shared" ca="1" si="93"/>
        <v>0.17257242402825754</v>
      </c>
      <c r="AF155" s="237">
        <f ca="1">((Summary!$N$13*(AA155*AD155)*(A155-$D$3))+(Summary!$M$13*Z155*AC155*(AJ155-EOMONTH(EDATE(A155,-1),0))))/(AK155*AB155*AE155)</f>
        <v>0.99976155511750509</v>
      </c>
      <c r="AG155" s="88">
        <f>IF($A156="","",Summary!$Q$13)</f>
        <v>0</v>
      </c>
      <c r="AH155" s="88">
        <f>IF($A156="","",IF(Summary!$R$12="Y",(VLOOKUP($A155,Summary!$AD$6:$AF$9,3)+'Escalating commodity'!I168),'Escalating commodity'!I168))</f>
        <v>5.6871992197469891E-2</v>
      </c>
      <c r="AI155" s="88">
        <f t="shared" si="108"/>
        <v>5.6871992197469891E-2</v>
      </c>
      <c r="AJ155" s="236">
        <f t="shared" si="94"/>
        <v>41470.5</v>
      </c>
      <c r="AK155" s="58">
        <f t="shared" ca="1" si="95"/>
        <v>4430</v>
      </c>
      <c r="AL155" s="26">
        <f ca="1">IF($A156="","",_xll.SPRDOPT(P155,X155,AI155,0,AB155,AE155,AF155,AK155,$AJ$2,0))</f>
        <v>0.53747288369649837</v>
      </c>
      <c r="AM155" s="209">
        <f t="shared" si="96"/>
        <v>0.53746972591531983</v>
      </c>
      <c r="AN155" s="89">
        <f t="shared" ca="1" si="97"/>
        <v>3.1577811785421517E-6</v>
      </c>
      <c r="AO155" s="3">
        <f t="shared" si="98"/>
        <v>31</v>
      </c>
      <c r="AP155" s="33">
        <f t="shared" si="99"/>
        <v>41456</v>
      </c>
      <c r="AQ155" s="58">
        <f t="shared" ca="1" si="100"/>
        <v>4430</v>
      </c>
      <c r="AR155" s="38">
        <f>'ANR OK vs ML7'!AR155</f>
        <v>0.1</v>
      </c>
      <c r="AS155" s="35">
        <f t="shared" ca="1" si="101"/>
        <v>0.30619887254026307</v>
      </c>
      <c r="AT155" s="3">
        <f t="shared" si="102"/>
        <v>1</v>
      </c>
      <c r="AU155" s="3">
        <f t="shared" si="103"/>
        <v>31</v>
      </c>
      <c r="AW155" s="32">
        <f t="shared" ca="1" si="104"/>
        <v>473191.12680639717</v>
      </c>
      <c r="AX155" s="32">
        <f t="shared" si="105"/>
        <v>473188.34669584758</v>
      </c>
      <c r="AY155" s="32">
        <f t="shared" ca="1" si="106"/>
        <v>2.7801105495885103</v>
      </c>
      <c r="BA155" s="32">
        <f ca="1">IF($A156="","",F155*Summary!$Q$13)</f>
        <v>0</v>
      </c>
      <c r="BC155" s="256">
        <f t="shared" ca="1" si="109"/>
        <v>144889.73825745963</v>
      </c>
    </row>
    <row r="156" spans="1:55">
      <c r="A156" s="67">
        <f t="shared" si="107"/>
        <v>41487</v>
      </c>
      <c r="B156" s="69">
        <f t="shared" si="110"/>
        <v>28400</v>
      </c>
      <c r="C156" s="71"/>
      <c r="D156" s="69">
        <f t="shared" si="74"/>
        <v>28400</v>
      </c>
      <c r="E156" s="70">
        <f t="shared" si="75"/>
        <v>880400</v>
      </c>
      <c r="F156" s="70">
        <f t="shared" ca="1" si="76"/>
        <v>267354.07408374647</v>
      </c>
      <c r="G156" s="63">
        <f t="shared" si="77"/>
        <v>4.5860000000000003</v>
      </c>
      <c r="H156" s="64">
        <f t="shared" si="78"/>
        <v>4.5860000000000003</v>
      </c>
      <c r="I156" s="43"/>
      <c r="J156" s="63">
        <f t="shared" si="79"/>
        <v>0.23499999999999999</v>
      </c>
      <c r="K156" s="64">
        <f t="shared" si="80"/>
        <v>0.23499999999999999</v>
      </c>
      <c r="L156" s="38">
        <v>0</v>
      </c>
      <c r="M156" s="64">
        <f t="shared" si="81"/>
        <v>0</v>
      </c>
      <c r="N156" s="65"/>
      <c r="O156" s="63">
        <f t="shared" si="82"/>
        <v>4.8210000000000006</v>
      </c>
      <c r="P156" s="63">
        <f t="shared" si="83"/>
        <v>4.8210000000000006</v>
      </c>
      <c r="Q156" s="66"/>
      <c r="R156" s="63">
        <f t="shared" si="84"/>
        <v>-0.66736911069674687</v>
      </c>
      <c r="S156" s="64">
        <f t="shared" si="85"/>
        <v>-0.66736911069674687</v>
      </c>
      <c r="T156" s="38">
        <v>0</v>
      </c>
      <c r="U156" s="64">
        <f t="shared" si="86"/>
        <v>0</v>
      </c>
      <c r="V156" s="219">
        <f>(G156+R156)/(1-Summary!$T$13)*Summary!$T$13</f>
        <v>0.31248445408107905</v>
      </c>
      <c r="W156" s="43">
        <f t="shared" si="87"/>
        <v>4.2311153433843325</v>
      </c>
      <c r="X156" s="43">
        <f t="shared" si="88"/>
        <v>4.2311153433843325</v>
      </c>
      <c r="Y156" s="43"/>
      <c r="Z156" s="38">
        <f t="shared" si="89"/>
        <v>0.6</v>
      </c>
      <c r="AA156" s="38">
        <f t="shared" si="90"/>
        <v>0.17</v>
      </c>
      <c r="AB156" s="38">
        <f t="shared" ca="1" si="91"/>
        <v>0.17365862773491639</v>
      </c>
      <c r="AC156" s="38">
        <f t="shared" si="92"/>
        <v>0.45</v>
      </c>
      <c r="AD156" s="38">
        <f t="shared" si="92"/>
        <v>0.17</v>
      </c>
      <c r="AE156" s="38">
        <f t="shared" ca="1" si="93"/>
        <v>0.1720757862573786</v>
      </c>
      <c r="AF156" s="237">
        <f ca="1">((Summary!$N$13*(AA156*AD156)*(A156-$D$3))+(Summary!$M$13*Z156*AC156*(AJ156-EOMONTH(EDATE(A156,-1),0))))/(AK156*AB156*AE156)</f>
        <v>0.99863710202678868</v>
      </c>
      <c r="AG156" s="88">
        <f>IF($A157="","",Summary!$Q$13)</f>
        <v>0</v>
      </c>
      <c r="AH156" s="88">
        <f>IF($A157="","",IF(Summary!$R$12="Y",(VLOOKUP($A156,Summary!$AD$6:$AF$9,3)+'Escalating commodity'!I169),'Escalating commodity'!I169))</f>
        <v>5.6871992197469891E-2</v>
      </c>
      <c r="AI156" s="88">
        <f t="shared" si="108"/>
        <v>5.6871992197469891E-2</v>
      </c>
      <c r="AJ156" s="236">
        <f t="shared" si="94"/>
        <v>41501.5</v>
      </c>
      <c r="AK156" s="58">
        <f t="shared" ca="1" si="95"/>
        <v>4461</v>
      </c>
      <c r="AL156" s="26">
        <f ca="1">IF($A157="","",_xll.SPRDOPT(P156,X156,AI156,0,AB156,AE156,AF156,AK156,$AJ$2,0))</f>
        <v>0.53305317346808245</v>
      </c>
      <c r="AM156" s="209">
        <f t="shared" si="96"/>
        <v>0.53301266441819828</v>
      </c>
      <c r="AN156" s="89">
        <f t="shared" ca="1" si="97"/>
        <v>4.0509049884174253E-5</v>
      </c>
      <c r="AO156" s="3">
        <f t="shared" si="98"/>
        <v>31</v>
      </c>
      <c r="AP156" s="33">
        <f t="shared" si="99"/>
        <v>41487</v>
      </c>
      <c r="AQ156" s="58">
        <f t="shared" ca="1" si="100"/>
        <v>4461</v>
      </c>
      <c r="AR156" s="38">
        <f>'ANR OK vs ML7'!AR156</f>
        <v>0.1</v>
      </c>
      <c r="AS156" s="35">
        <f t="shared" ca="1" si="101"/>
        <v>0.30367341445223361</v>
      </c>
      <c r="AT156" s="3">
        <f t="shared" si="102"/>
        <v>1</v>
      </c>
      <c r="AU156" s="3">
        <f t="shared" si="103"/>
        <v>31</v>
      </c>
      <c r="AW156" s="32">
        <f t="shared" ca="1" si="104"/>
        <v>469300.01392129977</v>
      </c>
      <c r="AX156" s="32">
        <f t="shared" si="105"/>
        <v>469264.34975378175</v>
      </c>
      <c r="AY156" s="32">
        <f t="shared" ca="1" si="106"/>
        <v>35.664167518027014</v>
      </c>
      <c r="BA156" s="32">
        <f ca="1">IF($A157="","",F156*Summary!$Q$13)</f>
        <v>0</v>
      </c>
      <c r="BC156" s="256">
        <f t="shared" ca="1" si="109"/>
        <v>142503.10737043808</v>
      </c>
    </row>
    <row r="157" spans="1:55">
      <c r="A157" s="67">
        <f t="shared" si="107"/>
        <v>41518</v>
      </c>
      <c r="B157" s="69">
        <f t="shared" si="110"/>
        <v>28400</v>
      </c>
      <c r="C157" s="71"/>
      <c r="D157" s="69">
        <f t="shared" si="74"/>
        <v>28400</v>
      </c>
      <c r="E157" s="70">
        <f t="shared" si="75"/>
        <v>852000</v>
      </c>
      <c r="F157" s="70">
        <f t="shared" ca="1" si="76"/>
        <v>256595.80547043044</v>
      </c>
      <c r="G157" s="63">
        <f t="shared" si="77"/>
        <v>4.5999999999999996</v>
      </c>
      <c r="H157" s="64">
        <f t="shared" si="78"/>
        <v>4.5999999999999996</v>
      </c>
      <c r="I157" s="43"/>
      <c r="J157" s="63">
        <f t="shared" si="79"/>
        <v>0.23499999999999999</v>
      </c>
      <c r="K157" s="64">
        <f t="shared" si="80"/>
        <v>0.23499999999999999</v>
      </c>
      <c r="L157" s="38">
        <v>0</v>
      </c>
      <c r="M157" s="64">
        <f t="shared" si="81"/>
        <v>0</v>
      </c>
      <c r="N157" s="65"/>
      <c r="O157" s="63">
        <f t="shared" si="82"/>
        <v>4.835</v>
      </c>
      <c r="P157" s="63">
        <f t="shared" si="83"/>
        <v>4.835</v>
      </c>
      <c r="Q157" s="66"/>
      <c r="R157" s="63">
        <f t="shared" si="84"/>
        <v>-0.66737719977436893</v>
      </c>
      <c r="S157" s="64">
        <f t="shared" si="85"/>
        <v>-0.66737719977436893</v>
      </c>
      <c r="T157" s="38">
        <v>0</v>
      </c>
      <c r="U157" s="64">
        <f t="shared" si="86"/>
        <v>0</v>
      </c>
      <c r="V157" s="219">
        <f>(G157+R157)/(1-Summary!$T$13)*Summary!$T$13</f>
        <v>0.31360021485815687</v>
      </c>
      <c r="W157" s="43">
        <f t="shared" si="87"/>
        <v>4.2462230150837881</v>
      </c>
      <c r="X157" s="43">
        <f t="shared" si="88"/>
        <v>4.2462230150837881</v>
      </c>
      <c r="Y157" s="43"/>
      <c r="Z157" s="38">
        <f t="shared" si="89"/>
        <v>0.6</v>
      </c>
      <c r="AA157" s="38">
        <f t="shared" si="90"/>
        <v>0.17</v>
      </c>
      <c r="AB157" s="38">
        <f t="shared" ca="1" si="91"/>
        <v>0.17351821458429095</v>
      </c>
      <c r="AC157" s="38">
        <f t="shared" si="92"/>
        <v>0.5</v>
      </c>
      <c r="AD157" s="38">
        <f t="shared" si="92"/>
        <v>0.17</v>
      </c>
      <c r="AE157" s="38">
        <f t="shared" ca="1" si="93"/>
        <v>0.17245651948560814</v>
      </c>
      <c r="AF157" s="237">
        <f ca="1">((Summary!$N$13*(AA157*AD157)*(A157-$D$3))+(Summary!$M$13*Z157*AC157*(AJ157-EOMONTH(EDATE(A157,-1),0))))/(AK157*AB157*AE157)</f>
        <v>0.99936428373978214</v>
      </c>
      <c r="AG157" s="88">
        <f>IF($A158="","",Summary!$Q$13)</f>
        <v>0</v>
      </c>
      <c r="AH157" s="88">
        <f>IF($A158="","",IF(Summary!$R$12="Y",(VLOOKUP($A157,Summary!$AD$6:$AF$9,3)+'Escalating commodity'!I170),'Escalating commodity'!I170))</f>
        <v>5.6871992197469891E-2</v>
      </c>
      <c r="AI157" s="88">
        <f t="shared" si="108"/>
        <v>5.6871992197469891E-2</v>
      </c>
      <c r="AJ157" s="236">
        <f t="shared" si="94"/>
        <v>41532</v>
      </c>
      <c r="AK157" s="58">
        <f t="shared" ca="1" si="95"/>
        <v>4492</v>
      </c>
      <c r="AL157" s="26">
        <f ca="1">IF($A158="","",_xll.SPRDOPT(P157,X157,AI157,0,AB157,AE157,AF157,AK157,$AJ$2,0))</f>
        <v>0.53191523964981346</v>
      </c>
      <c r="AM157" s="209">
        <f t="shared" si="96"/>
        <v>0.53190499271874203</v>
      </c>
      <c r="AN157" s="89">
        <f t="shared" ca="1" si="97"/>
        <v>1.0246931071433707E-5</v>
      </c>
      <c r="AO157" s="3">
        <f t="shared" si="98"/>
        <v>30</v>
      </c>
      <c r="AP157" s="33">
        <f t="shared" si="99"/>
        <v>41518</v>
      </c>
      <c r="AQ157" s="58">
        <f t="shared" ca="1" si="100"/>
        <v>4492</v>
      </c>
      <c r="AR157" s="38">
        <f>'ANR OK vs ML7'!AR157</f>
        <v>0.1</v>
      </c>
      <c r="AS157" s="35">
        <f t="shared" ca="1" si="101"/>
        <v>0.30116878576341599</v>
      </c>
      <c r="AT157" s="3">
        <f t="shared" si="102"/>
        <v>1</v>
      </c>
      <c r="AU157" s="3">
        <f t="shared" si="103"/>
        <v>30</v>
      </c>
      <c r="AW157" s="32">
        <f t="shared" ca="1" si="104"/>
        <v>453191.78418164107</v>
      </c>
      <c r="AX157" s="32">
        <f t="shared" si="105"/>
        <v>453183.05379636819</v>
      </c>
      <c r="AY157" s="32">
        <f t="shared" ca="1" si="106"/>
        <v>8.7303852728615183</v>
      </c>
      <c r="BA157" s="32">
        <f ca="1">IF($A158="","",F157*Summary!$Q$13)</f>
        <v>0</v>
      </c>
      <c r="BC157" s="256">
        <f t="shared" ca="1" si="109"/>
        <v>136484.59004040904</v>
      </c>
    </row>
    <row r="158" spans="1:55">
      <c r="A158" s="67">
        <f t="shared" si="107"/>
        <v>41548</v>
      </c>
      <c r="B158" s="69">
        <f t="shared" si="110"/>
        <v>28400</v>
      </c>
      <c r="C158" s="71"/>
      <c r="D158" s="69">
        <f t="shared" si="74"/>
        <v>28400</v>
      </c>
      <c r="E158" s="70">
        <f t="shared" si="75"/>
        <v>880400</v>
      </c>
      <c r="F158" s="70">
        <f t="shared" ca="1" si="76"/>
        <v>263032.37328463118</v>
      </c>
      <c r="G158" s="63">
        <f t="shared" si="77"/>
        <v>4.6310000000000002</v>
      </c>
      <c r="H158" s="64">
        <f t="shared" si="78"/>
        <v>4.6310000000000002</v>
      </c>
      <c r="I158" s="43"/>
      <c r="J158" s="63">
        <f t="shared" si="79"/>
        <v>0.23499999999999999</v>
      </c>
      <c r="K158" s="64">
        <f t="shared" si="80"/>
        <v>0.23499999999999999</v>
      </c>
      <c r="L158" s="38">
        <v>0</v>
      </c>
      <c r="M158" s="64">
        <f t="shared" si="81"/>
        <v>0</v>
      </c>
      <c r="N158" s="65"/>
      <c r="O158" s="63">
        <f t="shared" si="82"/>
        <v>4.8660000000000005</v>
      </c>
      <c r="P158" s="63">
        <f t="shared" si="83"/>
        <v>4.8660000000000005</v>
      </c>
      <c r="Q158" s="66"/>
      <c r="R158" s="63">
        <f t="shared" si="84"/>
        <v>-0.66738517981680301</v>
      </c>
      <c r="S158" s="64">
        <f t="shared" si="85"/>
        <v>-0.66738517981680301</v>
      </c>
      <c r="T158" s="38">
        <v>0</v>
      </c>
      <c r="U158" s="64">
        <f t="shared" si="86"/>
        <v>0</v>
      </c>
      <c r="V158" s="219">
        <f>(G158+R158)/(1-Summary!$T$13)*Summary!$T$13</f>
        <v>0.31607161997665018</v>
      </c>
      <c r="W158" s="43">
        <f t="shared" si="87"/>
        <v>4.2796864401598471</v>
      </c>
      <c r="X158" s="43">
        <f t="shared" si="88"/>
        <v>4.2796864401598471</v>
      </c>
      <c r="Y158" s="43"/>
      <c r="Z158" s="38">
        <f t="shared" si="89"/>
        <v>0.65</v>
      </c>
      <c r="AA158" s="38">
        <f t="shared" si="90"/>
        <v>0.17</v>
      </c>
      <c r="AB158" s="38">
        <f t="shared" ca="1" si="91"/>
        <v>0.17422568317437101</v>
      </c>
      <c r="AC158" s="38">
        <f t="shared" si="92"/>
        <v>0.5</v>
      </c>
      <c r="AD158" s="38">
        <f t="shared" si="92"/>
        <v>0.17</v>
      </c>
      <c r="AE158" s="38">
        <f t="shared" ca="1" si="93"/>
        <v>0.17252047036076171</v>
      </c>
      <c r="AF158" s="237">
        <f ca="1">((Summary!$N$13*(AA158*AD158)*(A158-$D$3))+(Summary!$M$13*Z158*AC158*(AJ158-EOMONTH(EDATE(A158,-1),0))))/(AK158*AB158*AE158)</f>
        <v>0.99866927571504083</v>
      </c>
      <c r="AG158" s="88">
        <f>IF($A159="","",Summary!$Q$13)</f>
        <v>0</v>
      </c>
      <c r="AH158" s="88">
        <f>IF($A159="","",IF(Summary!$R$12="Y",(VLOOKUP($A158,Summary!$AD$6:$AF$9,3)+'Escalating commodity'!I171),'Escalating commodity'!I171))</f>
        <v>5.6871992197469891E-2</v>
      </c>
      <c r="AI158" s="88">
        <f t="shared" si="108"/>
        <v>5.6871992197469891E-2</v>
      </c>
      <c r="AJ158" s="236">
        <f t="shared" si="94"/>
        <v>41562.5</v>
      </c>
      <c r="AK158" s="58">
        <f t="shared" ca="1" si="95"/>
        <v>4522</v>
      </c>
      <c r="AL158" s="26">
        <f ca="1">IF($A159="","",_xll.SPRDOPT(P158,X158,AI158,0,AB158,AE158,AF158,AK158,$AJ$2,0))</f>
        <v>0.52949362701369007</v>
      </c>
      <c r="AM158" s="209">
        <f t="shared" si="96"/>
        <v>0.52944156764268357</v>
      </c>
      <c r="AN158" s="89">
        <f t="shared" ca="1" si="97"/>
        <v>5.2059371006496491E-5</v>
      </c>
      <c r="AO158" s="3">
        <f t="shared" si="98"/>
        <v>31</v>
      </c>
      <c r="AP158" s="33">
        <f t="shared" si="99"/>
        <v>41548</v>
      </c>
      <c r="AQ158" s="58">
        <f t="shared" ca="1" si="100"/>
        <v>4522</v>
      </c>
      <c r="AR158" s="38">
        <f>'ANR OK vs ML7'!AR158</f>
        <v>0.1</v>
      </c>
      <c r="AS158" s="35">
        <f t="shared" ca="1" si="101"/>
        <v>0.29876462208613264</v>
      </c>
      <c r="AT158" s="3">
        <f t="shared" si="102"/>
        <v>1</v>
      </c>
      <c r="AU158" s="3">
        <f t="shared" si="103"/>
        <v>31</v>
      </c>
      <c r="AW158" s="32">
        <f t="shared" ca="1" si="104"/>
        <v>466166.18922285276</v>
      </c>
      <c r="AX158" s="32">
        <f t="shared" si="105"/>
        <v>466120.35615261859</v>
      </c>
      <c r="AY158" s="32">
        <f t="shared" ca="1" si="106"/>
        <v>45.833070234119511</v>
      </c>
      <c r="BA158" s="32">
        <f ca="1">IF($A159="","",F158*Summary!$Q$13)</f>
        <v>0</v>
      </c>
      <c r="BC158" s="256">
        <f t="shared" ca="1" si="109"/>
        <v>139260.27205259065</v>
      </c>
    </row>
    <row r="159" spans="1:55">
      <c r="A159" s="67">
        <f t="shared" si="107"/>
        <v>41579</v>
      </c>
      <c r="B159" s="69">
        <f t="shared" si="110"/>
        <v>28400</v>
      </c>
      <c r="C159" s="71"/>
      <c r="D159" s="69">
        <f t="shared" si="74"/>
        <v>28400</v>
      </c>
      <c r="E159" s="70">
        <f t="shared" si="75"/>
        <v>852000</v>
      </c>
      <c r="F159" s="70">
        <f t="shared" ca="1" si="76"/>
        <v>252448.00895245478</v>
      </c>
      <c r="G159" s="63">
        <f t="shared" si="77"/>
        <v>4.7640000000000002</v>
      </c>
      <c r="H159" s="64">
        <f t="shared" si="78"/>
        <v>4.7640000000000002</v>
      </c>
      <c r="I159" s="43"/>
      <c r="J159" s="63">
        <f t="shared" si="79"/>
        <v>0.42499999999999999</v>
      </c>
      <c r="K159" s="64">
        <f t="shared" si="80"/>
        <v>0.42499999999999999</v>
      </c>
      <c r="L159" s="38">
        <v>0</v>
      </c>
      <c r="M159" s="64">
        <f t="shared" si="81"/>
        <v>0</v>
      </c>
      <c r="N159" s="65"/>
      <c r="O159" s="63">
        <f t="shared" si="82"/>
        <v>5.1890000000000001</v>
      </c>
      <c r="P159" s="63">
        <f t="shared" si="83"/>
        <v>5.1890000000000001</v>
      </c>
      <c r="Q159" s="66"/>
      <c r="R159" s="63">
        <f t="shared" si="84"/>
        <v>-0.60363410409217932</v>
      </c>
      <c r="S159" s="64">
        <f t="shared" si="85"/>
        <v>-0.60363410409217932</v>
      </c>
      <c r="T159" s="38">
        <v>0</v>
      </c>
      <c r="U159" s="64">
        <f t="shared" si="86"/>
        <v>0</v>
      </c>
      <c r="V159" s="219">
        <f>(G159+R159)/(1-Summary!$T$13)*Summary!$T$13</f>
        <v>0.33176119478592897</v>
      </c>
      <c r="W159" s="43">
        <f t="shared" si="87"/>
        <v>4.4921270906937503</v>
      </c>
      <c r="X159" s="43">
        <f t="shared" si="88"/>
        <v>4.4921270906937503</v>
      </c>
      <c r="Y159" s="43"/>
      <c r="Z159" s="38">
        <f t="shared" si="89"/>
        <v>0.8</v>
      </c>
      <c r="AA159" s="38">
        <f t="shared" si="90"/>
        <v>0.17</v>
      </c>
      <c r="AB159" s="38">
        <f t="shared" ca="1" si="91"/>
        <v>0.17611032721959655</v>
      </c>
      <c r="AC159" s="38">
        <f t="shared" si="92"/>
        <v>0.95</v>
      </c>
      <c r="AD159" s="38">
        <f t="shared" si="92"/>
        <v>0.17</v>
      </c>
      <c r="AE159" s="38">
        <f t="shared" ca="1" si="93"/>
        <v>0.178548765779761</v>
      </c>
      <c r="AF159" s="237">
        <f ca="1">((Summary!$N$13*(AA159*AD159)*(A159-$D$3))+(Summary!$M$13*Z159*AC159*(AJ159-EOMONTH(EDATE(A159,-1),0))))/(AK159*AB159*AE159)</f>
        <v>0.99882391594812558</v>
      </c>
      <c r="AG159" s="88">
        <f>IF($A160="","",Summary!$Q$13)</f>
        <v>0</v>
      </c>
      <c r="AH159" s="88">
        <f>IF($A160="","",IF(Summary!$R$12="Y",(VLOOKUP($A159,Summary!$AD$6:$AF$9,3)+'Escalating commodity'!I172),'Escalating commodity'!I172))</f>
        <v>5.6871992197469891E-2</v>
      </c>
      <c r="AI159" s="88">
        <f t="shared" si="108"/>
        <v>5.6871992197469891E-2</v>
      </c>
      <c r="AJ159" s="236">
        <f t="shared" si="94"/>
        <v>41593</v>
      </c>
      <c r="AK159" s="58">
        <f t="shared" ca="1" si="95"/>
        <v>4553</v>
      </c>
      <c r="AL159" s="26">
        <f ca="1">IF($A160="","",_xll.SPRDOPT(P159,X159,AI159,0,AB159,AE159,AF159,AK159,$AJ$2,0))</f>
        <v>0.64000168092702847</v>
      </c>
      <c r="AM159" s="209">
        <f t="shared" si="96"/>
        <v>0.64000091710877993</v>
      </c>
      <c r="AN159" s="89">
        <f t="shared" ca="1" si="97"/>
        <v>7.6381824853921643E-7</v>
      </c>
      <c r="AO159" s="3">
        <f t="shared" si="98"/>
        <v>30</v>
      </c>
      <c r="AP159" s="33">
        <f t="shared" si="99"/>
        <v>41579</v>
      </c>
      <c r="AQ159" s="58">
        <f t="shared" ca="1" si="100"/>
        <v>4553</v>
      </c>
      <c r="AR159" s="38">
        <f>'ANR OK vs ML7'!AR159</f>
        <v>0.1</v>
      </c>
      <c r="AS159" s="35">
        <f t="shared" ca="1" si="101"/>
        <v>0.29630047999114412</v>
      </c>
      <c r="AT159" s="3">
        <f t="shared" si="102"/>
        <v>1</v>
      </c>
      <c r="AU159" s="3">
        <f t="shared" si="103"/>
        <v>30</v>
      </c>
      <c r="AW159" s="32">
        <f t="shared" ca="1" si="104"/>
        <v>545281.4321498283</v>
      </c>
      <c r="AX159" s="32">
        <f t="shared" si="105"/>
        <v>545280.78137668048</v>
      </c>
      <c r="AY159" s="32">
        <f t="shared" ca="1" si="106"/>
        <v>0.6507731477554124</v>
      </c>
      <c r="BA159" s="32">
        <f ca="1">IF($A160="","",F159*Summary!$Q$13)</f>
        <v>0</v>
      </c>
      <c r="BC159" s="256">
        <f t="shared" ca="1" si="109"/>
        <v>161566.95725185654</v>
      </c>
    </row>
    <row r="160" spans="1:55">
      <c r="A160" s="67">
        <f t="shared" si="107"/>
        <v>41609</v>
      </c>
      <c r="B160" s="69">
        <f t="shared" si="110"/>
        <v>28400</v>
      </c>
      <c r="C160" s="71"/>
      <c r="D160" s="69">
        <f t="shared" si="74"/>
        <v>28400</v>
      </c>
      <c r="E160" s="70">
        <f t="shared" si="75"/>
        <v>880400</v>
      </c>
      <c r="F160" s="70">
        <f t="shared" ca="1" si="76"/>
        <v>258780.53152118271</v>
      </c>
      <c r="G160" s="63">
        <f t="shared" si="77"/>
        <v>4.9020000000000001</v>
      </c>
      <c r="H160" s="64">
        <f t="shared" si="78"/>
        <v>4.9020000000000001</v>
      </c>
      <c r="I160" s="43"/>
      <c r="J160" s="63">
        <f t="shared" si="79"/>
        <v>0.42499999999999999</v>
      </c>
      <c r="K160" s="64">
        <f t="shared" si="80"/>
        <v>0.42499999999999999</v>
      </c>
      <c r="L160" s="38">
        <v>0</v>
      </c>
      <c r="M160" s="64">
        <f t="shared" si="81"/>
        <v>0</v>
      </c>
      <c r="N160" s="65"/>
      <c r="O160" s="63">
        <f t="shared" si="82"/>
        <v>5.327</v>
      </c>
      <c r="P160" s="63">
        <f t="shared" si="83"/>
        <v>5.327</v>
      </c>
      <c r="Q160" s="66"/>
      <c r="R160" s="63">
        <f t="shared" si="84"/>
        <v>-0.60364273149949443</v>
      </c>
      <c r="S160" s="64">
        <f t="shared" si="85"/>
        <v>-0.60364273149949443</v>
      </c>
      <c r="T160" s="38">
        <v>0</v>
      </c>
      <c r="U160" s="64">
        <f t="shared" si="86"/>
        <v>0</v>
      </c>
      <c r="V160" s="219">
        <f>(G160+R160)/(1-Summary!$T$13)*Summary!$T$13</f>
        <v>0.34276507852762805</v>
      </c>
      <c r="W160" s="43">
        <f t="shared" si="87"/>
        <v>4.6411223470281335</v>
      </c>
      <c r="X160" s="43">
        <f t="shared" si="88"/>
        <v>4.6411223470281335</v>
      </c>
      <c r="Y160" s="43"/>
      <c r="Z160" s="38">
        <f t="shared" si="89"/>
        <v>1.1000000000000001</v>
      </c>
      <c r="AA160" s="38">
        <f t="shared" si="90"/>
        <v>0.17</v>
      </c>
      <c r="AB160" s="38">
        <f t="shared" ca="1" si="91"/>
        <v>0.18165517756123148</v>
      </c>
      <c r="AC160" s="38">
        <f t="shared" si="92"/>
        <v>1.35</v>
      </c>
      <c r="AD160" s="38">
        <f t="shared" si="92"/>
        <v>0.17</v>
      </c>
      <c r="AE160" s="38">
        <f t="shared" ca="1" si="93"/>
        <v>0.187270173350566</v>
      </c>
      <c r="AF160" s="237">
        <f ca="1">((Summary!$N$13*(AA160*AD160)*(A160-$D$3))+(Summary!$M$13*Z160*AC160*(AJ160-EOMONTH(EDATE(A160,-1),0))))/(AK160*AB160*AE160)</f>
        <v>0.99727160859870723</v>
      </c>
      <c r="AG160" s="88">
        <f>IF($A161="","",Summary!$Q$13)</f>
        <v>0</v>
      </c>
      <c r="AH160" s="88">
        <f>IF($A161="","",IF(Summary!$R$12="Y",(VLOOKUP($A160,Summary!$AD$6:$AF$9,3)+'Escalating commodity'!I173),'Escalating commodity'!I173))</f>
        <v>5.6871992197469891E-2</v>
      </c>
      <c r="AI160" s="88">
        <f t="shared" si="108"/>
        <v>5.6871992197469891E-2</v>
      </c>
      <c r="AJ160" s="236">
        <f t="shared" si="94"/>
        <v>41623.5</v>
      </c>
      <c r="AK160" s="58">
        <f t="shared" ca="1" si="95"/>
        <v>4583</v>
      </c>
      <c r="AL160" s="26">
        <f ca="1">IF($A161="","",_xll.SPRDOPT(P160,X160,AI160,0,AB160,AE160,AF160,AK160,$AJ$2,0))</f>
        <v>0.62948768311917158</v>
      </c>
      <c r="AM160" s="209">
        <f t="shared" si="96"/>
        <v>0.62900566077439657</v>
      </c>
      <c r="AN160" s="89">
        <f t="shared" ca="1" si="97"/>
        <v>4.8202234477501271E-4</v>
      </c>
      <c r="AO160" s="3">
        <f t="shared" si="98"/>
        <v>31</v>
      </c>
      <c r="AP160" s="33">
        <f t="shared" si="99"/>
        <v>41609</v>
      </c>
      <c r="AQ160" s="58">
        <f t="shared" ca="1" si="100"/>
        <v>4583</v>
      </c>
      <c r="AR160" s="38">
        <f>'ANR OK vs ML7'!AR160</f>
        <v>0.1</v>
      </c>
      <c r="AS160" s="35">
        <f t="shared" ca="1" si="101"/>
        <v>0.29393517892001669</v>
      </c>
      <c r="AT160" s="3">
        <f t="shared" si="102"/>
        <v>1</v>
      </c>
      <c r="AU160" s="3">
        <f t="shared" si="103"/>
        <v>31</v>
      </c>
      <c r="AW160" s="32">
        <f t="shared" ca="1" si="104"/>
        <v>554200.95621811866</v>
      </c>
      <c r="AX160" s="32">
        <f t="shared" si="105"/>
        <v>553776.58374577877</v>
      </c>
      <c r="AY160" s="32">
        <f t="shared" ca="1" si="106"/>
        <v>424.37247233992122</v>
      </c>
      <c r="BA160" s="32">
        <f ca="1">IF($A161="","",F160*Summary!$Q$13)</f>
        <v>0</v>
      </c>
      <c r="BC160" s="256">
        <f t="shared" ca="1" si="109"/>
        <v>162774.4192250311</v>
      </c>
    </row>
    <row r="161" spans="1:55">
      <c r="A161" s="67">
        <f t="shared" si="107"/>
        <v>41640</v>
      </c>
      <c r="B161" s="69">
        <f t="shared" si="110"/>
        <v>28400</v>
      </c>
      <c r="C161" s="71"/>
      <c r="D161" s="69">
        <f t="shared" si="74"/>
        <v>28400</v>
      </c>
      <c r="E161" s="70">
        <f t="shared" si="75"/>
        <v>880400</v>
      </c>
      <c r="F161" s="70">
        <f t="shared" ca="1" si="76"/>
        <v>256646.16903665452</v>
      </c>
      <c r="G161" s="63">
        <f t="shared" si="77"/>
        <v>4.9540000000000006</v>
      </c>
      <c r="H161" s="64">
        <f t="shared" si="78"/>
        <v>4.9540000000000006</v>
      </c>
      <c r="I161" s="43"/>
      <c r="J161" s="63">
        <f t="shared" si="79"/>
        <v>0.42499999999999999</v>
      </c>
      <c r="K161" s="64">
        <f t="shared" si="80"/>
        <v>0.42499999999999999</v>
      </c>
      <c r="L161" s="38">
        <v>0</v>
      </c>
      <c r="M161" s="64">
        <f t="shared" si="81"/>
        <v>0</v>
      </c>
      <c r="N161" s="65"/>
      <c r="O161" s="63">
        <f t="shared" si="82"/>
        <v>5.3790000000000004</v>
      </c>
      <c r="P161" s="63">
        <f t="shared" si="83"/>
        <v>5.3790000000000004</v>
      </c>
      <c r="Q161" s="66"/>
      <c r="R161" s="63">
        <f t="shared" si="84"/>
        <v>-0.60365180980172162</v>
      </c>
      <c r="S161" s="64">
        <f t="shared" si="85"/>
        <v>-0.60365180980172162</v>
      </c>
      <c r="T161" s="38">
        <v>0</v>
      </c>
      <c r="U161" s="64">
        <f t="shared" si="86"/>
        <v>0</v>
      </c>
      <c r="V161" s="219">
        <f>(G161+R161)/(1-Summary!$T$13)*Summary!$T$13</f>
        <v>0.34691100480719894</v>
      </c>
      <c r="W161" s="43">
        <f t="shared" si="87"/>
        <v>4.6972591950054774</v>
      </c>
      <c r="X161" s="43">
        <f t="shared" si="88"/>
        <v>4.6972591950054774</v>
      </c>
      <c r="Y161" s="43"/>
      <c r="Z161" s="38">
        <f t="shared" si="89"/>
        <v>1.1000000000000001</v>
      </c>
      <c r="AA161" s="38">
        <f t="shared" si="90"/>
        <v>0.17</v>
      </c>
      <c r="AB161" s="38">
        <f t="shared" ca="1" si="91"/>
        <v>0.18157936644865785</v>
      </c>
      <c r="AC161" s="38">
        <f t="shared" si="92"/>
        <v>1.35</v>
      </c>
      <c r="AD161" s="38">
        <f t="shared" si="92"/>
        <v>0.17</v>
      </c>
      <c r="AE161" s="38">
        <f t="shared" ca="1" si="93"/>
        <v>0.18715945812460646</v>
      </c>
      <c r="AF161" s="237">
        <f ca="1">((Summary!$N$13*(AA161*AD161)*(A161-$D$3))+(Summary!$M$13*Z161*AC161*(AJ161-EOMONTH(EDATE(A161,-1),0))))/(AK161*AB161*AE161)</f>
        <v>0.997284000652919</v>
      </c>
      <c r="AG161" s="88">
        <f>IF($A162="","",Summary!$Q$13)</f>
        <v>0</v>
      </c>
      <c r="AH161" s="88">
        <f>IF($A162="","",IF(Summary!$R$12="Y",(VLOOKUP($A161,Summary!$AD$6:$AF$9,3)+'Escalating commodity'!I174),'Escalating commodity'!I174))</f>
        <v>5.8009432041419291E-2</v>
      </c>
      <c r="AI161" s="88">
        <f t="shared" si="108"/>
        <v>5.8009432041419291E-2</v>
      </c>
      <c r="AJ161" s="236">
        <f t="shared" si="94"/>
        <v>41654.5</v>
      </c>
      <c r="AK161" s="58">
        <f t="shared" ca="1" si="95"/>
        <v>4614</v>
      </c>
      <c r="AL161" s="26">
        <f ca="1">IF($A162="","",_xll.SPRDOPT(P161,X161,AI161,0,AB161,AE161,AF161,AK161,$AJ$2,0))</f>
        <v>0.62429512653307129</v>
      </c>
      <c r="AM161" s="209">
        <f t="shared" si="96"/>
        <v>0.62373137295310377</v>
      </c>
      <c r="AN161" s="89">
        <f t="shared" ca="1" si="97"/>
        <v>5.6375357996751863E-4</v>
      </c>
      <c r="AO161" s="3">
        <f t="shared" si="98"/>
        <v>31</v>
      </c>
      <c r="AP161" s="33">
        <f t="shared" si="99"/>
        <v>41640</v>
      </c>
      <c r="AQ161" s="58">
        <f t="shared" ca="1" si="100"/>
        <v>4614</v>
      </c>
      <c r="AR161" s="38">
        <f>'ANR OK vs ML7'!AR161</f>
        <v>0.1</v>
      </c>
      <c r="AS161" s="35">
        <f t="shared" ca="1" si="101"/>
        <v>0.29151086896485068</v>
      </c>
      <c r="AT161" s="3">
        <f t="shared" si="102"/>
        <v>1</v>
      </c>
      <c r="AU161" s="3">
        <f t="shared" si="103"/>
        <v>31</v>
      </c>
      <c r="AW161" s="32">
        <f t="shared" ca="1" si="104"/>
        <v>549629.42939971597</v>
      </c>
      <c r="AX161" s="32">
        <f t="shared" si="105"/>
        <v>549133.10074791254</v>
      </c>
      <c r="AY161" s="32">
        <f t="shared" ca="1" si="106"/>
        <v>496.32865180340337</v>
      </c>
      <c r="BA161" s="32">
        <f ca="1">IF($A162="","",F161*Summary!$Q$13)</f>
        <v>0</v>
      </c>
      <c r="BC161" s="256">
        <f t="shared" ca="1" si="109"/>
        <v>160078.26737638688</v>
      </c>
    </row>
    <row r="162" spans="1:55">
      <c r="A162" s="67">
        <f t="shared" si="107"/>
        <v>41671</v>
      </c>
      <c r="B162" s="69">
        <f t="shared" si="110"/>
        <v>28400</v>
      </c>
      <c r="C162" s="71"/>
      <c r="D162" s="69">
        <f t="shared" si="74"/>
        <v>28400</v>
      </c>
      <c r="E162" s="70">
        <f t="shared" si="75"/>
        <v>795200</v>
      </c>
      <c r="F162" s="70">
        <f t="shared" ca="1" si="76"/>
        <v>229897.53186985344</v>
      </c>
      <c r="G162" s="63">
        <f t="shared" si="77"/>
        <v>4.8340000000000005</v>
      </c>
      <c r="H162" s="64">
        <f t="shared" si="78"/>
        <v>4.8340000000000005</v>
      </c>
      <c r="I162" s="43"/>
      <c r="J162" s="63">
        <f t="shared" si="79"/>
        <v>0.42499999999999999</v>
      </c>
      <c r="K162" s="64">
        <f t="shared" si="80"/>
        <v>0.42499999999999999</v>
      </c>
      <c r="L162" s="38">
        <v>0</v>
      </c>
      <c r="M162" s="64">
        <f t="shared" si="81"/>
        <v>0</v>
      </c>
      <c r="N162" s="65"/>
      <c r="O162" s="63">
        <f t="shared" si="82"/>
        <v>5.2590000000000003</v>
      </c>
      <c r="P162" s="63">
        <f t="shared" si="83"/>
        <v>5.2590000000000003</v>
      </c>
      <c r="Q162" s="66"/>
      <c r="R162" s="63">
        <f t="shared" si="84"/>
        <v>-0.60366105403828019</v>
      </c>
      <c r="S162" s="64">
        <f t="shared" si="85"/>
        <v>-0.60366105403828019</v>
      </c>
      <c r="T162" s="38">
        <v>0</v>
      </c>
      <c r="U162" s="64">
        <f t="shared" si="86"/>
        <v>0</v>
      </c>
      <c r="V162" s="219">
        <f>(G162+R162)/(1-Summary!$T$13)*Summary!$T$13</f>
        <v>0.33734107484203923</v>
      </c>
      <c r="W162" s="43">
        <f t="shared" si="87"/>
        <v>4.5676800208037598</v>
      </c>
      <c r="X162" s="43">
        <f t="shared" si="88"/>
        <v>4.5676800208037598</v>
      </c>
      <c r="Y162" s="43"/>
      <c r="Z162" s="38">
        <f t="shared" si="89"/>
        <v>1.1000000000000001</v>
      </c>
      <c r="AA162" s="38">
        <f t="shared" si="90"/>
        <v>0.17</v>
      </c>
      <c r="AB162" s="38">
        <f t="shared" ca="1" si="91"/>
        <v>0.18042492601898405</v>
      </c>
      <c r="AC162" s="38">
        <f t="shared" si="92"/>
        <v>1.35</v>
      </c>
      <c r="AD162" s="38">
        <f t="shared" si="92"/>
        <v>0.17</v>
      </c>
      <c r="AE162" s="38">
        <f t="shared" ca="1" si="93"/>
        <v>0.18547028056561879</v>
      </c>
      <c r="AF162" s="237">
        <f ca="1">((Summary!$N$13*(AA162*AD162)*(A162-$D$3))+(Summary!$M$13*Z162*AC162*(AJ162-EOMONTH(EDATE(A162,-1),0))))/(AK162*AB162*AE162)</f>
        <v>0.99747933671726408</v>
      </c>
      <c r="AG162" s="88">
        <f>IF($A163="","",Summary!$Q$13)</f>
        <v>0</v>
      </c>
      <c r="AH162" s="88">
        <f>IF($A163="","",IF(Summary!$R$12="Y",(VLOOKUP($A162,Summary!$AD$6:$AF$9,3)+'Escalating commodity'!I175),'Escalating commodity'!I175))</f>
        <v>5.8009432041419291E-2</v>
      </c>
      <c r="AI162" s="88">
        <f t="shared" si="108"/>
        <v>5.8009432041419291E-2</v>
      </c>
      <c r="AJ162" s="236">
        <f t="shared" si="94"/>
        <v>41684</v>
      </c>
      <c r="AK162" s="58">
        <f t="shared" ca="1" si="95"/>
        <v>4645</v>
      </c>
      <c r="AL162" s="26">
        <f ca="1">IF($A163="","",_xll.SPRDOPT(P162,X162,AI162,0,AB162,AE162,AF162,AK162,$AJ$2,0))</f>
        <v>0.63356254570567472</v>
      </c>
      <c r="AM162" s="209">
        <f t="shared" si="96"/>
        <v>0.63331054715482127</v>
      </c>
      <c r="AN162" s="89">
        <f t="shared" ca="1" si="97"/>
        <v>2.5199855085344947E-4</v>
      </c>
      <c r="AO162" s="3">
        <f t="shared" si="98"/>
        <v>28</v>
      </c>
      <c r="AP162" s="33">
        <f t="shared" si="99"/>
        <v>41671</v>
      </c>
      <c r="AQ162" s="58">
        <f t="shared" ca="1" si="100"/>
        <v>4645</v>
      </c>
      <c r="AR162" s="38">
        <f>'ANR OK vs ML7'!AR162</f>
        <v>0.1</v>
      </c>
      <c r="AS162" s="35">
        <f t="shared" ca="1" si="101"/>
        <v>0.28910655416229053</v>
      </c>
      <c r="AT162" s="3">
        <f t="shared" si="102"/>
        <v>1</v>
      </c>
      <c r="AU162" s="3">
        <f t="shared" si="103"/>
        <v>28</v>
      </c>
      <c r="AW162" s="32">
        <f t="shared" ca="1" si="104"/>
        <v>503808.93634515256</v>
      </c>
      <c r="AX162" s="32">
        <f t="shared" si="105"/>
        <v>503608.54709751386</v>
      </c>
      <c r="AY162" s="32">
        <f t="shared" ca="1" si="106"/>
        <v>200.38924763866302</v>
      </c>
      <c r="BA162" s="32">
        <f ca="1">IF($A163="","",F162*Summary!$Q$13)</f>
        <v>0</v>
      </c>
      <c r="BC162" s="256">
        <f t="shared" ca="1" si="109"/>
        <v>145596.53169803985</v>
      </c>
    </row>
    <row r="163" spans="1:55">
      <c r="A163" s="67">
        <f t="shared" si="107"/>
        <v>41699</v>
      </c>
      <c r="B163" s="69">
        <f t="shared" si="110"/>
        <v>28400</v>
      </c>
      <c r="C163" s="71"/>
      <c r="D163" s="69">
        <f t="shared" si="74"/>
        <v>28400</v>
      </c>
      <c r="E163" s="70">
        <f t="shared" si="75"/>
        <v>880400</v>
      </c>
      <c r="F163" s="70">
        <f t="shared" ca="1" si="76"/>
        <v>252632.50914324264</v>
      </c>
      <c r="G163" s="63">
        <f t="shared" si="77"/>
        <v>4.6950000000000003</v>
      </c>
      <c r="H163" s="64">
        <f t="shared" si="78"/>
        <v>4.6950000000000003</v>
      </c>
      <c r="I163" s="43"/>
      <c r="J163" s="63">
        <f t="shared" si="79"/>
        <v>0.42499999999999999</v>
      </c>
      <c r="K163" s="64">
        <f t="shared" si="80"/>
        <v>0.42499999999999999</v>
      </c>
      <c r="L163" s="38">
        <v>0</v>
      </c>
      <c r="M163" s="64">
        <f t="shared" si="81"/>
        <v>0</v>
      </c>
      <c r="N163" s="65"/>
      <c r="O163" s="63">
        <f t="shared" si="82"/>
        <v>5.12</v>
      </c>
      <c r="P163" s="63">
        <f t="shared" si="83"/>
        <v>5.12</v>
      </c>
      <c r="Q163" s="66"/>
      <c r="R163" s="63">
        <f t="shared" si="84"/>
        <v>-0.60366954624624181</v>
      </c>
      <c r="S163" s="64">
        <f t="shared" si="85"/>
        <v>-0.60366954624624181</v>
      </c>
      <c r="T163" s="38">
        <v>0</v>
      </c>
      <c r="U163" s="64">
        <f t="shared" si="86"/>
        <v>0</v>
      </c>
      <c r="V163" s="219">
        <f>(G163+R163)/(1-Summary!$T$13)*Summary!$T$13</f>
        <v>0.32625608265285078</v>
      </c>
      <c r="W163" s="43">
        <f t="shared" si="87"/>
        <v>4.4175865364066089</v>
      </c>
      <c r="X163" s="43">
        <f t="shared" si="88"/>
        <v>4.4175865364066089</v>
      </c>
      <c r="Y163" s="43"/>
      <c r="Z163" s="38">
        <f t="shared" si="89"/>
        <v>0.75</v>
      </c>
      <c r="AA163" s="38">
        <f t="shared" si="90"/>
        <v>0.17</v>
      </c>
      <c r="AB163" s="38">
        <f t="shared" ca="1" si="91"/>
        <v>0.17541937155562332</v>
      </c>
      <c r="AC163" s="38">
        <f t="shared" si="92"/>
        <v>0.95</v>
      </c>
      <c r="AD163" s="38">
        <f t="shared" si="92"/>
        <v>0.17</v>
      </c>
      <c r="AE163" s="38">
        <f t="shared" ca="1" si="93"/>
        <v>0.17860490224614683</v>
      </c>
      <c r="AF163" s="237">
        <f ca="1">((Summary!$N$13*(AA163*AD163)*(A163-$D$3))+(Summary!$M$13*Z163*AC163*(AJ163-EOMONTH(EDATE(A163,-1),0))))/(AK163*AB163*AE163)</f>
        <v>0.99795232044467785</v>
      </c>
      <c r="AG163" s="88">
        <f>IF($A164="","",Summary!$Q$13)</f>
        <v>0</v>
      </c>
      <c r="AH163" s="88">
        <f>IF($A164="","",IF(Summary!$R$12="Y",(VLOOKUP($A163,Summary!$AD$6:$AF$9,3)+'Escalating commodity'!I176),'Escalating commodity'!I176))</f>
        <v>5.8009432041419291E-2</v>
      </c>
      <c r="AI163" s="88">
        <f t="shared" si="108"/>
        <v>5.8009432041419291E-2</v>
      </c>
      <c r="AJ163" s="236">
        <f t="shared" si="94"/>
        <v>41713.5</v>
      </c>
      <c r="AK163" s="58">
        <f t="shared" ca="1" si="95"/>
        <v>4673</v>
      </c>
      <c r="AL163" s="26">
        <f ca="1">IF($A164="","",_xll.SPRDOPT(P163,X163,AI163,0,AB163,AE163,AF163,AK163,$AJ$2,0))</f>
        <v>0.64442892333878687</v>
      </c>
      <c r="AM163" s="209">
        <f t="shared" si="96"/>
        <v>0.6444040315519719</v>
      </c>
      <c r="AN163" s="89">
        <f t="shared" ca="1" si="97"/>
        <v>2.4891786814973393E-5</v>
      </c>
      <c r="AO163" s="3">
        <f t="shared" si="98"/>
        <v>31</v>
      </c>
      <c r="AP163" s="33">
        <f t="shared" si="99"/>
        <v>41699</v>
      </c>
      <c r="AQ163" s="58">
        <f t="shared" ca="1" si="100"/>
        <v>4673</v>
      </c>
      <c r="AR163" s="38">
        <f>'ANR OK vs ML7'!AR163</f>
        <v>0.1</v>
      </c>
      <c r="AS163" s="35">
        <f t="shared" ca="1" si="101"/>
        <v>0.2869519640427563</v>
      </c>
      <c r="AT163" s="3">
        <f t="shared" si="102"/>
        <v>1</v>
      </c>
      <c r="AU163" s="3">
        <f t="shared" si="103"/>
        <v>31</v>
      </c>
      <c r="AW163" s="32">
        <f t="shared" ca="1" si="104"/>
        <v>567355.22410746792</v>
      </c>
      <c r="AX163" s="32">
        <f t="shared" si="105"/>
        <v>567333.30937835609</v>
      </c>
      <c r="AY163" s="32">
        <f t="shared" ca="1" si="106"/>
        <v>21.914729111902574</v>
      </c>
      <c r="BA163" s="32">
        <f ca="1">IF($A164="","",F163*Summary!$Q$13)</f>
        <v>0</v>
      </c>
      <c r="BC163" s="256">
        <f t="shared" ca="1" si="109"/>
        <v>162797.40739299596</v>
      </c>
    </row>
    <row r="164" spans="1:55">
      <c r="A164" s="67">
        <f t="shared" si="107"/>
        <v>41730</v>
      </c>
      <c r="B164" s="69">
        <f t="shared" si="110"/>
        <v>28400</v>
      </c>
      <c r="C164" s="71"/>
      <c r="D164" s="69">
        <f t="shared" si="74"/>
        <v>28400</v>
      </c>
      <c r="E164" s="70">
        <f t="shared" si="75"/>
        <v>852000</v>
      </c>
      <c r="F164" s="70">
        <f t="shared" ca="1" si="76"/>
        <v>242466.63303631017</v>
      </c>
      <c r="G164" s="63">
        <f t="shared" si="77"/>
        <v>4.5199999999999996</v>
      </c>
      <c r="H164" s="64">
        <f t="shared" si="78"/>
        <v>4.5199999999999996</v>
      </c>
      <c r="I164" s="43"/>
      <c r="J164" s="63">
        <f t="shared" si="79"/>
        <v>0.23499999999999999</v>
      </c>
      <c r="K164" s="64">
        <f t="shared" si="80"/>
        <v>0.23499999999999999</v>
      </c>
      <c r="L164" s="38">
        <v>0</v>
      </c>
      <c r="M164" s="64">
        <f t="shared" si="81"/>
        <v>0</v>
      </c>
      <c r="N164" s="65"/>
      <c r="O164" s="63">
        <f t="shared" si="82"/>
        <v>4.7549999999999999</v>
      </c>
      <c r="P164" s="63">
        <f t="shared" si="83"/>
        <v>4.7549999999999999</v>
      </c>
      <c r="Q164" s="66"/>
      <c r="R164" s="63">
        <f t="shared" si="84"/>
        <v>-0.70743679195871756</v>
      </c>
      <c r="S164" s="64">
        <f t="shared" si="85"/>
        <v>-0.70743679195871756</v>
      </c>
      <c r="T164" s="38">
        <v>0</v>
      </c>
      <c r="U164" s="64">
        <f t="shared" si="86"/>
        <v>0</v>
      </c>
      <c r="V164" s="219">
        <f>(G164+R164)/(1-Summary!$T$13)*Summary!$T$13</f>
        <v>0.30402626998283488</v>
      </c>
      <c r="W164" s="43">
        <f t="shared" si="87"/>
        <v>4.1165894780241166</v>
      </c>
      <c r="X164" s="43">
        <f t="shared" si="88"/>
        <v>4.1165894780241166</v>
      </c>
      <c r="Y164" s="43"/>
      <c r="Z164" s="38">
        <f t="shared" si="89"/>
        <v>0.45</v>
      </c>
      <c r="AA164" s="38">
        <f t="shared" si="90"/>
        <v>0.17</v>
      </c>
      <c r="AB164" s="38">
        <f t="shared" ca="1" si="91"/>
        <v>0.17190657564008227</v>
      </c>
      <c r="AC164" s="38">
        <f t="shared" si="92"/>
        <v>0.5</v>
      </c>
      <c r="AD164" s="38">
        <f t="shared" si="92"/>
        <v>0.17</v>
      </c>
      <c r="AE164" s="38">
        <f t="shared" ca="1" si="93"/>
        <v>0.17234656244043287</v>
      </c>
      <c r="AF164" s="237">
        <f ca="1">((Summary!$N$13*(AA164*AD164)*(A164-$D$3))+(Summary!$M$13*Z164*AC164*(AJ164-EOMONTH(EDATE(A164,-1),0))))/(AK164*AB164*AE164)</f>
        <v>0.99977116571161295</v>
      </c>
      <c r="AG164" s="88">
        <f>IF($A165="","",Summary!$Q$13)</f>
        <v>0</v>
      </c>
      <c r="AH164" s="88">
        <f>IF($A165="","",IF(Summary!$R$12="Y",(VLOOKUP($A164,Summary!$AD$6:$AF$9,3)+'Escalating commodity'!I177),'Escalating commodity'!I177))</f>
        <v>5.8009432041419291E-2</v>
      </c>
      <c r="AI164" s="88">
        <f t="shared" si="108"/>
        <v>5.8009432041419291E-2</v>
      </c>
      <c r="AJ164" s="236">
        <f t="shared" si="94"/>
        <v>41744</v>
      </c>
      <c r="AK164" s="58">
        <f t="shared" ca="1" si="95"/>
        <v>4704</v>
      </c>
      <c r="AL164" s="26">
        <f ca="1">IF($A165="","",_xll.SPRDOPT(P164,X164,AI164,0,AB164,AE164,AF164,AK164,$AJ$2,0))</f>
        <v>0.58040258803563261</v>
      </c>
      <c r="AM164" s="209">
        <f t="shared" si="96"/>
        <v>0.58040108993446404</v>
      </c>
      <c r="AN164" s="89">
        <f t="shared" ca="1" si="97"/>
        <v>1.4981011685621937E-6</v>
      </c>
      <c r="AO164" s="3">
        <f t="shared" si="98"/>
        <v>30</v>
      </c>
      <c r="AP164" s="33">
        <f t="shared" si="99"/>
        <v>41730</v>
      </c>
      <c r="AQ164" s="58">
        <f t="shared" ca="1" si="100"/>
        <v>4704</v>
      </c>
      <c r="AR164" s="38">
        <f>'ANR OK vs ML7'!AR164</f>
        <v>0.1</v>
      </c>
      <c r="AS164" s="35">
        <f t="shared" ca="1" si="101"/>
        <v>0.28458525004261759</v>
      </c>
      <c r="AT164" s="3">
        <f t="shared" si="102"/>
        <v>1</v>
      </c>
      <c r="AU164" s="3">
        <f t="shared" si="103"/>
        <v>30</v>
      </c>
      <c r="AW164" s="32">
        <f t="shared" ca="1" si="104"/>
        <v>494503.00500635896</v>
      </c>
      <c r="AX164" s="32">
        <f t="shared" si="105"/>
        <v>494501.72862416337</v>
      </c>
      <c r="AY164" s="32">
        <f t="shared" ca="1" si="106"/>
        <v>1.276382195614989</v>
      </c>
      <c r="BA164" s="32">
        <f ca="1">IF($A165="","",F164*Summary!$Q$13)</f>
        <v>0</v>
      </c>
      <c r="BC164" s="256">
        <f t="shared" ca="1" si="109"/>
        <v>140727.89808701415</v>
      </c>
    </row>
    <row r="165" spans="1:55">
      <c r="A165" s="67">
        <f t="shared" si="107"/>
        <v>41760</v>
      </c>
      <c r="B165" s="69">
        <f t="shared" si="110"/>
        <v>28400</v>
      </c>
      <c r="C165" s="71"/>
      <c r="D165" s="69">
        <f t="shared" si="74"/>
        <v>28400</v>
      </c>
      <c r="E165" s="70">
        <f t="shared" si="75"/>
        <v>880400</v>
      </c>
      <c r="F165" s="70">
        <f t="shared" ca="1" si="76"/>
        <v>248548.77815695197</v>
      </c>
      <c r="G165" s="63">
        <f t="shared" si="77"/>
        <v>4.49</v>
      </c>
      <c r="H165" s="64">
        <f t="shared" si="78"/>
        <v>4.49</v>
      </c>
      <c r="I165" s="43"/>
      <c r="J165" s="63">
        <f t="shared" si="79"/>
        <v>0.23499999999999999</v>
      </c>
      <c r="K165" s="64">
        <f t="shared" si="80"/>
        <v>0.23499999999999999</v>
      </c>
      <c r="L165" s="38">
        <v>0</v>
      </c>
      <c r="M165" s="64">
        <f t="shared" si="81"/>
        <v>0</v>
      </c>
      <c r="N165" s="65"/>
      <c r="O165" s="63">
        <f t="shared" si="82"/>
        <v>4.7250000000000005</v>
      </c>
      <c r="P165" s="63">
        <f t="shared" si="83"/>
        <v>4.7250000000000005</v>
      </c>
      <c r="Q165" s="66"/>
      <c r="R165" s="63">
        <f t="shared" si="84"/>
        <v>-0.70744582642320375</v>
      </c>
      <c r="S165" s="64">
        <f t="shared" si="85"/>
        <v>-0.70744582642320375</v>
      </c>
      <c r="T165" s="38">
        <v>0</v>
      </c>
      <c r="U165" s="64">
        <f t="shared" si="86"/>
        <v>0</v>
      </c>
      <c r="V165" s="219">
        <f>(G165+R165)/(1-Summary!$T$13)*Summary!$T$13</f>
        <v>0.30163325134519481</v>
      </c>
      <c r="W165" s="43">
        <f t="shared" si="87"/>
        <v>4.0841874249219918</v>
      </c>
      <c r="X165" s="43">
        <f t="shared" si="88"/>
        <v>4.0841874249219918</v>
      </c>
      <c r="Y165" s="43"/>
      <c r="Z165" s="38">
        <f t="shared" si="89"/>
        <v>0.5</v>
      </c>
      <c r="AA165" s="38">
        <f t="shared" si="90"/>
        <v>0.17</v>
      </c>
      <c r="AB165" s="38">
        <f t="shared" ca="1" si="91"/>
        <v>0.17240838569379738</v>
      </c>
      <c r="AC165" s="38">
        <f t="shared" si="92"/>
        <v>0.45</v>
      </c>
      <c r="AD165" s="38">
        <f t="shared" si="92"/>
        <v>0.17</v>
      </c>
      <c r="AE165" s="38">
        <f t="shared" ca="1" si="93"/>
        <v>0.17195676080824421</v>
      </c>
      <c r="AF165" s="237">
        <f ca="1">((Summary!$N$13*(AA165*AD165)*(A165-$D$3))+(Summary!$M$13*Z165*AC165*(AJ165-EOMONTH(EDATE(A165,-1),0))))/(AK165*AB165*AE165)</f>
        <v>0.99976788846456666</v>
      </c>
      <c r="AG165" s="88">
        <f>IF($A166="","",Summary!$Q$13)</f>
        <v>0</v>
      </c>
      <c r="AH165" s="88">
        <f>IF($A166="","",IF(Summary!$R$12="Y",(VLOOKUP($A165,Summary!$AD$6:$AF$9,3)+'Escalating commodity'!I178),'Escalating commodity'!I178))</f>
        <v>5.8009432041419291E-2</v>
      </c>
      <c r="AI165" s="88">
        <f t="shared" si="108"/>
        <v>5.8009432041419291E-2</v>
      </c>
      <c r="AJ165" s="236">
        <f t="shared" si="94"/>
        <v>41774.5</v>
      </c>
      <c r="AK165" s="58">
        <f t="shared" ca="1" si="95"/>
        <v>4734</v>
      </c>
      <c r="AL165" s="26">
        <f ca="1">IF($A166="","",_xll.SPRDOPT(P165,X165,AI165,0,AB165,AE165,AF165,AK165,$AJ$2,0))</f>
        <v>0.58280607490806768</v>
      </c>
      <c r="AM165" s="209">
        <f t="shared" si="96"/>
        <v>0.58280314303658942</v>
      </c>
      <c r="AN165" s="89">
        <f t="shared" ca="1" si="97"/>
        <v>2.9318714782622379E-6</v>
      </c>
      <c r="AO165" s="3">
        <f t="shared" si="98"/>
        <v>31</v>
      </c>
      <c r="AP165" s="33">
        <f t="shared" si="99"/>
        <v>41760</v>
      </c>
      <c r="AQ165" s="58">
        <f t="shared" ca="1" si="100"/>
        <v>4734</v>
      </c>
      <c r="AR165" s="38">
        <f>'ANR OK vs ML7'!AR165</f>
        <v>0.1</v>
      </c>
      <c r="AS165" s="35">
        <f t="shared" ca="1" si="101"/>
        <v>0.28231346905605631</v>
      </c>
      <c r="AT165" s="3">
        <f t="shared" si="102"/>
        <v>1</v>
      </c>
      <c r="AU165" s="3">
        <f t="shared" si="103"/>
        <v>31</v>
      </c>
      <c r="AW165" s="32">
        <f t="shared" ca="1" si="104"/>
        <v>513102.46834906278</v>
      </c>
      <c r="AX165" s="32">
        <f t="shared" si="105"/>
        <v>513099.88712941331</v>
      </c>
      <c r="AY165" s="32">
        <f t="shared" ca="1" si="106"/>
        <v>2.5812196494620743</v>
      </c>
      <c r="BA165" s="32">
        <f ca="1">IF($A166="","",F165*Summary!$Q$13)</f>
        <v>0</v>
      </c>
      <c r="BC165" s="256">
        <f t="shared" ca="1" si="109"/>
        <v>144855.00910777561</v>
      </c>
    </row>
    <row r="166" spans="1:55">
      <c r="A166" s="67">
        <f t="shared" si="107"/>
        <v>41791</v>
      </c>
      <c r="B166" s="69">
        <f t="shared" si="110"/>
        <v>28400</v>
      </c>
      <c r="C166" s="71"/>
      <c r="D166" s="69">
        <f t="shared" si="74"/>
        <v>28400</v>
      </c>
      <c r="E166" s="70">
        <f t="shared" si="75"/>
        <v>852000</v>
      </c>
      <c r="F166" s="70">
        <f t="shared" ca="1" si="76"/>
        <v>238547.23047869827</v>
      </c>
      <c r="G166" s="63">
        <f t="shared" si="77"/>
        <v>4.5599999999999996</v>
      </c>
      <c r="H166" s="64">
        <f t="shared" si="78"/>
        <v>4.5599999999999996</v>
      </c>
      <c r="I166" s="43"/>
      <c r="J166" s="63">
        <f t="shared" si="79"/>
        <v>0.23499999999999999</v>
      </c>
      <c r="K166" s="64">
        <f t="shared" si="80"/>
        <v>0.23499999999999999</v>
      </c>
      <c r="L166" s="38">
        <v>0</v>
      </c>
      <c r="M166" s="64">
        <f t="shared" si="81"/>
        <v>0</v>
      </c>
      <c r="N166" s="65"/>
      <c r="O166" s="63">
        <f t="shared" si="82"/>
        <v>4.7949999999999999</v>
      </c>
      <c r="P166" s="63">
        <f t="shared" si="83"/>
        <v>4.7949999999999999</v>
      </c>
      <c r="Q166" s="66"/>
      <c r="R166" s="63">
        <f t="shared" si="84"/>
        <v>-0.70745531856900912</v>
      </c>
      <c r="S166" s="64">
        <f t="shared" si="85"/>
        <v>-0.70745531856900912</v>
      </c>
      <c r="T166" s="38">
        <v>0</v>
      </c>
      <c r="U166" s="64">
        <f t="shared" si="86"/>
        <v>0</v>
      </c>
      <c r="V166" s="219">
        <f>(G166+R166)/(1-Summary!$T$13)*Summary!$T$13</f>
        <v>0.30721452354344569</v>
      </c>
      <c r="W166" s="43">
        <f t="shared" si="87"/>
        <v>4.1597592049744367</v>
      </c>
      <c r="X166" s="43">
        <f t="shared" si="88"/>
        <v>4.1597592049744367</v>
      </c>
      <c r="Y166" s="43"/>
      <c r="Z166" s="38">
        <f t="shared" si="89"/>
        <v>0.5</v>
      </c>
      <c r="AA166" s="38">
        <f t="shared" si="90"/>
        <v>0.17</v>
      </c>
      <c r="AB166" s="38">
        <f t="shared" ca="1" si="91"/>
        <v>0.17231672442109361</v>
      </c>
      <c r="AC166" s="38">
        <f t="shared" si="92"/>
        <v>0.5</v>
      </c>
      <c r="AD166" s="38">
        <f t="shared" si="92"/>
        <v>0.17</v>
      </c>
      <c r="AE166" s="38">
        <f t="shared" ca="1" si="93"/>
        <v>0.17231672442109361</v>
      </c>
      <c r="AF166" s="237">
        <f ca="1">((Summary!$N$13*(AA166*AD166)*(A166-$D$3))+(Summary!$M$13*Z166*AC166*(AJ166-EOMONTH(EDATE(A166,-1),0))))/(AK166*AB166*AE166)</f>
        <v>0.99990265041268689</v>
      </c>
      <c r="AG166" s="88">
        <f>IF($A167="","",Summary!$Q$13)</f>
        <v>0</v>
      </c>
      <c r="AH166" s="88">
        <f>IF($A167="","",IF(Summary!$R$12="Y",(VLOOKUP($A166,Summary!$AD$6:$AF$9,3)+'Escalating commodity'!I179),'Escalating commodity'!I179))</f>
        <v>5.8009432041419291E-2</v>
      </c>
      <c r="AI166" s="88">
        <f t="shared" si="108"/>
        <v>5.8009432041419291E-2</v>
      </c>
      <c r="AJ166" s="236">
        <f t="shared" si="94"/>
        <v>41805</v>
      </c>
      <c r="AK166" s="58">
        <f t="shared" ca="1" si="95"/>
        <v>4765</v>
      </c>
      <c r="AL166" s="26">
        <f ca="1">IF($A167="","",_xll.SPRDOPT(P166,X166,AI166,0,AB166,AE166,AF166,AK166,$AJ$2,0))</f>
        <v>0.57723333325473036</v>
      </c>
      <c r="AM166" s="209">
        <f t="shared" si="96"/>
        <v>0.5772313629841439</v>
      </c>
      <c r="AN166" s="89">
        <f t="shared" ca="1" si="97"/>
        <v>1.9702705864599324E-6</v>
      </c>
      <c r="AO166" s="3">
        <f t="shared" si="98"/>
        <v>30</v>
      </c>
      <c r="AP166" s="33">
        <f t="shared" si="99"/>
        <v>41791</v>
      </c>
      <c r="AQ166" s="58">
        <f t="shared" ca="1" si="100"/>
        <v>4765</v>
      </c>
      <c r="AR166" s="38">
        <f>'ANR OK vs ML7'!AR166</f>
        <v>0.1</v>
      </c>
      <c r="AS166" s="35">
        <f t="shared" ca="1" si="101"/>
        <v>0.27998501229894163</v>
      </c>
      <c r="AT166" s="3">
        <f t="shared" si="102"/>
        <v>1</v>
      </c>
      <c r="AU166" s="3">
        <f t="shared" si="103"/>
        <v>30</v>
      </c>
      <c r="AW166" s="32">
        <f t="shared" ca="1" si="104"/>
        <v>491802.79993303027</v>
      </c>
      <c r="AX166" s="32">
        <f t="shared" si="105"/>
        <v>491801.12126249063</v>
      </c>
      <c r="AY166" s="32">
        <f t="shared" ca="1" si="106"/>
        <v>1.6786705396638624</v>
      </c>
      <c r="BA166" s="32">
        <f ca="1">IF($A167="","",F166*Summary!$Q$13)</f>
        <v>0</v>
      </c>
      <c r="BC166" s="256">
        <f t="shared" ca="1" si="109"/>
        <v>137696.9429853117</v>
      </c>
    </row>
    <row r="167" spans="1:55">
      <c r="A167" s="67">
        <f t="shared" si="107"/>
        <v>41821</v>
      </c>
      <c r="B167" s="69">
        <f t="shared" si="110"/>
        <v>28400</v>
      </c>
      <c r="C167" s="71"/>
      <c r="D167" s="69">
        <f t="shared" si="74"/>
        <v>28400</v>
      </c>
      <c r="E167" s="70">
        <f t="shared" si="75"/>
        <v>880400</v>
      </c>
      <c r="F167" s="70">
        <f t="shared" ca="1" si="76"/>
        <v>244531.05949356046</v>
      </c>
      <c r="G167" s="63">
        <f t="shared" si="77"/>
        <v>4.6150000000000002</v>
      </c>
      <c r="H167" s="64">
        <f t="shared" si="78"/>
        <v>4.6150000000000002</v>
      </c>
      <c r="I167" s="43"/>
      <c r="J167" s="63">
        <f t="shared" si="79"/>
        <v>0.23499999999999999</v>
      </c>
      <c r="K167" s="64">
        <f t="shared" si="80"/>
        <v>0.23499999999999999</v>
      </c>
      <c r="L167" s="38">
        <v>0</v>
      </c>
      <c r="M167" s="64">
        <f t="shared" si="81"/>
        <v>0</v>
      </c>
      <c r="N167" s="65"/>
      <c r="O167" s="63">
        <f t="shared" si="82"/>
        <v>4.8500000000000005</v>
      </c>
      <c r="P167" s="63">
        <f t="shared" si="83"/>
        <v>4.8500000000000005</v>
      </c>
      <c r="Q167" s="66"/>
      <c r="R167" s="63">
        <f t="shared" si="84"/>
        <v>-0.70746465594373731</v>
      </c>
      <c r="S167" s="64">
        <f t="shared" si="85"/>
        <v>-0.70746465594373731</v>
      </c>
      <c r="T167" s="38">
        <v>0</v>
      </c>
      <c r="U167" s="64">
        <f t="shared" si="86"/>
        <v>0</v>
      </c>
      <c r="V167" s="219">
        <f>(G167+R167)/(1-Summary!$T$13)*Summary!$T$13</f>
        <v>0.31159965898371422</v>
      </c>
      <c r="W167" s="43">
        <f t="shared" si="87"/>
        <v>4.2191350030399768</v>
      </c>
      <c r="X167" s="43">
        <f t="shared" si="88"/>
        <v>4.2191350030399768</v>
      </c>
      <c r="Y167" s="43"/>
      <c r="Z167" s="38">
        <f t="shared" si="89"/>
        <v>0.55000000000000004</v>
      </c>
      <c r="AA167" s="38">
        <f t="shared" si="90"/>
        <v>0.17</v>
      </c>
      <c r="AB167" s="38">
        <f t="shared" ca="1" si="91"/>
        <v>0.1728695132553415</v>
      </c>
      <c r="AC167" s="38">
        <f t="shared" si="92"/>
        <v>0.5</v>
      </c>
      <c r="AD167" s="38">
        <f t="shared" si="92"/>
        <v>0.17</v>
      </c>
      <c r="AE167" s="38">
        <f t="shared" ca="1" si="93"/>
        <v>0.17237795852121468</v>
      </c>
      <c r="AF167" s="237">
        <f ca="1">((Summary!$N$13*(AA167*AD167)*(A167-$D$3))+(Summary!$M$13*Z167*AC167*(AJ167-EOMONTH(EDATE(A167,-1),0))))/(AK167*AB167*AE167)</f>
        <v>0.99977145268902623</v>
      </c>
      <c r="AG167" s="88">
        <f>IF($A168="","",Summary!$Q$13)</f>
        <v>0</v>
      </c>
      <c r="AH167" s="88">
        <f>IF($A168="","",IF(Summary!$R$12="Y",(VLOOKUP($A167,Summary!$AD$6:$AF$9,3)+'Escalating commodity'!I180),'Escalating commodity'!I180))</f>
        <v>5.8009432041419291E-2</v>
      </c>
      <c r="AI167" s="88">
        <f t="shared" si="108"/>
        <v>5.8009432041419291E-2</v>
      </c>
      <c r="AJ167" s="236">
        <f t="shared" si="94"/>
        <v>41835.5</v>
      </c>
      <c r="AK167" s="58">
        <f t="shared" ca="1" si="95"/>
        <v>4795</v>
      </c>
      <c r="AL167" s="26">
        <f ca="1">IF($A168="","",_xll.SPRDOPT(P167,X167,AI167,0,AB167,AE167,AF167,AK167,$AJ$2,0))</f>
        <v>0.57285962763460618</v>
      </c>
      <c r="AM167" s="209">
        <f t="shared" si="96"/>
        <v>0.57285556491860445</v>
      </c>
      <c r="AN167" s="89">
        <f t="shared" ca="1" si="97"/>
        <v>4.0627160017292496E-6</v>
      </c>
      <c r="AO167" s="3">
        <f t="shared" si="98"/>
        <v>31</v>
      </c>
      <c r="AP167" s="33">
        <f t="shared" si="99"/>
        <v>41821</v>
      </c>
      <c r="AQ167" s="58">
        <f t="shared" ca="1" si="100"/>
        <v>4795</v>
      </c>
      <c r="AR167" s="38">
        <f>'ANR OK vs ML7'!AR167</f>
        <v>0.1</v>
      </c>
      <c r="AS167" s="35">
        <f t="shared" ca="1" si="101"/>
        <v>0.27774995399086833</v>
      </c>
      <c r="AT167" s="3">
        <f t="shared" si="102"/>
        <v>1</v>
      </c>
      <c r="AU167" s="3">
        <f t="shared" si="103"/>
        <v>31</v>
      </c>
      <c r="AW167" s="32">
        <f t="shared" ca="1" si="104"/>
        <v>504345.61616950727</v>
      </c>
      <c r="AX167" s="32">
        <f t="shared" si="105"/>
        <v>504342.03935433936</v>
      </c>
      <c r="AY167" s="32">
        <f t="shared" ca="1" si="106"/>
        <v>3.5768151679224314</v>
      </c>
      <c r="BA167" s="32">
        <f ca="1">IF($A168="","",F167*Summary!$Q$13)</f>
        <v>0</v>
      </c>
      <c r="BC167" s="256">
        <f t="shared" ca="1" si="109"/>
        <v>140080.97822632844</v>
      </c>
    </row>
    <row r="168" spans="1:55">
      <c r="A168" s="67">
        <f t="shared" si="107"/>
        <v>41852</v>
      </c>
      <c r="B168" s="69">
        <f t="shared" si="110"/>
        <v>28400</v>
      </c>
      <c r="C168" s="71"/>
      <c r="D168" s="69">
        <f t="shared" si="74"/>
        <v>28400</v>
      </c>
      <c r="E168" s="70">
        <f t="shared" si="75"/>
        <v>880400</v>
      </c>
      <c r="F168" s="70">
        <f t="shared" ca="1" si="76"/>
        <v>242514.22338685262</v>
      </c>
      <c r="G168" s="63">
        <f t="shared" si="77"/>
        <v>4.6710000000000003</v>
      </c>
      <c r="H168" s="64">
        <f t="shared" si="78"/>
        <v>4.6710000000000003</v>
      </c>
      <c r="I168" s="43"/>
      <c r="J168" s="63">
        <f t="shared" si="79"/>
        <v>0.23499999999999999</v>
      </c>
      <c r="K168" s="64">
        <f t="shared" si="80"/>
        <v>0.23499999999999999</v>
      </c>
      <c r="L168" s="38">
        <v>0</v>
      </c>
      <c r="M168" s="64">
        <f t="shared" si="81"/>
        <v>0</v>
      </c>
      <c r="N168" s="65"/>
      <c r="O168" s="63">
        <f t="shared" si="82"/>
        <v>4.9060000000000006</v>
      </c>
      <c r="P168" s="63">
        <f t="shared" si="83"/>
        <v>4.9060000000000006</v>
      </c>
      <c r="Q168" s="66"/>
      <c r="R168" s="63">
        <f t="shared" si="84"/>
        <v>-0.70747446097984934</v>
      </c>
      <c r="S168" s="64">
        <f t="shared" si="85"/>
        <v>-0.70747446097984934</v>
      </c>
      <c r="T168" s="38">
        <v>0</v>
      </c>
      <c r="U168" s="64">
        <f t="shared" si="86"/>
        <v>0</v>
      </c>
      <c r="V168" s="219">
        <f>(G168+R168)/(1-Summary!$T$13)*Summary!$T$13</f>
        <v>0.31606450040446227</v>
      </c>
      <c r="W168" s="43">
        <f t="shared" si="87"/>
        <v>4.2795900394246136</v>
      </c>
      <c r="X168" s="43">
        <f t="shared" si="88"/>
        <v>4.2795900394246136</v>
      </c>
      <c r="Y168" s="43"/>
      <c r="Z168" s="38">
        <f t="shared" si="89"/>
        <v>0.6</v>
      </c>
      <c r="AA168" s="38">
        <f t="shared" si="90"/>
        <v>0.17</v>
      </c>
      <c r="AB168" s="38">
        <f t="shared" ca="1" si="91"/>
        <v>0.17338461709593367</v>
      </c>
      <c r="AC168" s="38">
        <f t="shared" si="92"/>
        <v>0.45</v>
      </c>
      <c r="AD168" s="38">
        <f t="shared" si="92"/>
        <v>0.17</v>
      </c>
      <c r="AE168" s="38">
        <f t="shared" ca="1" si="93"/>
        <v>0.17191966652023175</v>
      </c>
      <c r="AF168" s="237">
        <f ca="1">((Summary!$N$13*(AA168*AD168)*(A168-$D$3))+(Summary!$M$13*Z168*AC168*(AJ168-EOMONTH(EDATE(A168,-1),0))))/(AK168*AB168*AE168)</f>
        <v>0.9987268626080622</v>
      </c>
      <c r="AG168" s="88">
        <f>IF($A169="","",Summary!$Q$13)</f>
        <v>0</v>
      </c>
      <c r="AH168" s="88">
        <f>IF($A169="","",IF(Summary!$R$12="Y",(VLOOKUP($A168,Summary!$AD$6:$AF$9,3)+'Escalating commodity'!I181),'Escalating commodity'!I181))</f>
        <v>5.8009432041419291E-2</v>
      </c>
      <c r="AI168" s="88">
        <f t="shared" si="108"/>
        <v>5.8009432041419291E-2</v>
      </c>
      <c r="AJ168" s="236">
        <f t="shared" si="94"/>
        <v>41866.5</v>
      </c>
      <c r="AK168" s="58">
        <f t="shared" ca="1" si="95"/>
        <v>4826</v>
      </c>
      <c r="AL168" s="26">
        <f ca="1">IF($A169="","",_xll.SPRDOPT(P168,X168,AI168,0,AB168,AE168,AF168,AK168,$AJ$2,0))</f>
        <v>0.56843454026916884</v>
      </c>
      <c r="AM168" s="209">
        <f t="shared" si="96"/>
        <v>0.56840052853396772</v>
      </c>
      <c r="AN168" s="89">
        <f t="shared" ca="1" si="97"/>
        <v>3.4011735201122661E-5</v>
      </c>
      <c r="AO168" s="3">
        <f t="shared" si="98"/>
        <v>31</v>
      </c>
      <c r="AP168" s="33">
        <f t="shared" si="99"/>
        <v>41852</v>
      </c>
      <c r="AQ168" s="58">
        <f t="shared" ca="1" si="100"/>
        <v>4826</v>
      </c>
      <c r="AR168" s="38">
        <f>'ANR OK vs ML7'!AR168</f>
        <v>0.1</v>
      </c>
      <c r="AS168" s="35">
        <f t="shared" ca="1" si="101"/>
        <v>0.27545913605957817</v>
      </c>
      <c r="AT168" s="3">
        <f t="shared" si="102"/>
        <v>1</v>
      </c>
      <c r="AU168" s="3">
        <f t="shared" si="103"/>
        <v>31</v>
      </c>
      <c r="AW168" s="32">
        <f t="shared" ca="1" si="104"/>
        <v>500449.76925297623</v>
      </c>
      <c r="AX168" s="32">
        <f t="shared" si="105"/>
        <v>500419.82532130519</v>
      </c>
      <c r="AY168" s="32">
        <f t="shared" ca="1" si="106"/>
        <v>29.943931671068391</v>
      </c>
      <c r="BA168" s="32">
        <f ca="1">IF($A169="","",F168*Summary!$Q$13)</f>
        <v>0</v>
      </c>
      <c r="BC168" s="256">
        <f t="shared" ca="1" si="109"/>
        <v>137845.21275009174</v>
      </c>
    </row>
    <row r="169" spans="1:55">
      <c r="A169" s="67">
        <f t="shared" si="107"/>
        <v>41883</v>
      </c>
      <c r="B169" s="69">
        <f t="shared" si="110"/>
        <v>28400</v>
      </c>
      <c r="C169" s="71"/>
      <c r="D169" s="69">
        <f t="shared" si="74"/>
        <v>28400</v>
      </c>
      <c r="E169" s="70">
        <f t="shared" si="75"/>
        <v>852000</v>
      </c>
      <c r="F169" s="70">
        <f t="shared" ca="1" si="76"/>
        <v>232755.50485343611</v>
      </c>
      <c r="G169" s="63">
        <f t="shared" si="77"/>
        <v>4.6849999999999996</v>
      </c>
      <c r="H169" s="64">
        <f t="shared" si="78"/>
        <v>4.6849999999999996</v>
      </c>
      <c r="I169" s="43"/>
      <c r="J169" s="63">
        <f t="shared" si="79"/>
        <v>0.23499999999999999</v>
      </c>
      <c r="K169" s="64">
        <f t="shared" si="80"/>
        <v>0.23499999999999999</v>
      </c>
      <c r="L169" s="38">
        <v>0</v>
      </c>
      <c r="M169" s="64">
        <f t="shared" si="81"/>
        <v>0</v>
      </c>
      <c r="N169" s="65"/>
      <c r="O169" s="63">
        <f t="shared" si="82"/>
        <v>4.92</v>
      </c>
      <c r="P169" s="63">
        <f t="shared" si="83"/>
        <v>4.92</v>
      </c>
      <c r="Q169" s="66"/>
      <c r="R169" s="63">
        <f t="shared" si="84"/>
        <v>-0.70748442493473396</v>
      </c>
      <c r="S169" s="64">
        <f t="shared" si="85"/>
        <v>-0.70748442493473396</v>
      </c>
      <c r="T169" s="38">
        <v>0</v>
      </c>
      <c r="U169" s="64">
        <f t="shared" si="86"/>
        <v>0</v>
      </c>
      <c r="V169" s="219">
        <f>(G169+R169)/(1-Summary!$T$13)*Summary!$T$13</f>
        <v>0.31718011167269</v>
      </c>
      <c r="W169" s="43">
        <f t="shared" si="87"/>
        <v>4.2946956867379553</v>
      </c>
      <c r="X169" s="43">
        <f t="shared" si="88"/>
        <v>4.2946956867379553</v>
      </c>
      <c r="Y169" s="43"/>
      <c r="Z169" s="38">
        <f t="shared" si="89"/>
        <v>0.6</v>
      </c>
      <c r="AA169" s="38">
        <f t="shared" si="90"/>
        <v>0.17</v>
      </c>
      <c r="AB169" s="38">
        <f t="shared" ca="1" si="91"/>
        <v>0.17325630603476228</v>
      </c>
      <c r="AC169" s="38">
        <f t="shared" si="92"/>
        <v>0.5</v>
      </c>
      <c r="AD169" s="38">
        <f t="shared" si="92"/>
        <v>0.17</v>
      </c>
      <c r="AE169" s="38">
        <f t="shared" ca="1" si="93"/>
        <v>0.17227313112268816</v>
      </c>
      <c r="AF169" s="237">
        <f ca="1">((Summary!$N$13*(AA169*AD169)*(A169-$D$3))+(Summary!$M$13*Z169*AC169*(AJ169-EOMONTH(EDATE(A169,-1),0))))/(AK169*AB169*AE169)</f>
        <v>0.99940199463216117</v>
      </c>
      <c r="AG169" s="88">
        <f>IF($A170="","",Summary!$Q$13)</f>
        <v>0</v>
      </c>
      <c r="AH169" s="88">
        <f>IF($A170="","",IF(Summary!$R$12="Y",(VLOOKUP($A169,Summary!$AD$6:$AF$9,3)+'Escalating commodity'!I182),'Escalating commodity'!I182))</f>
        <v>5.8009432041419291E-2</v>
      </c>
      <c r="AI169" s="88">
        <f t="shared" si="108"/>
        <v>5.8009432041419291E-2</v>
      </c>
      <c r="AJ169" s="236">
        <f t="shared" si="94"/>
        <v>41897</v>
      </c>
      <c r="AK169" s="58">
        <f t="shared" ca="1" si="95"/>
        <v>4857</v>
      </c>
      <c r="AL169" s="26">
        <f ca="1">IF($A170="","",_xll.SPRDOPT(P169,X169,AI169,0,AB169,AE169,AF169,AK169,$AJ$2,0))</f>
        <v>0.5673061624444159</v>
      </c>
      <c r="AM169" s="209">
        <f t="shared" si="96"/>
        <v>0.56729488122062532</v>
      </c>
      <c r="AN169" s="89">
        <f t="shared" ca="1" si="97"/>
        <v>1.1281223790571282E-5</v>
      </c>
      <c r="AO169" s="3">
        <f t="shared" si="98"/>
        <v>30</v>
      </c>
      <c r="AP169" s="33">
        <f t="shared" si="99"/>
        <v>41883</v>
      </c>
      <c r="AQ169" s="58">
        <f t="shared" ca="1" si="100"/>
        <v>4857</v>
      </c>
      <c r="AR169" s="38">
        <f>'ANR OK vs ML7'!AR169</f>
        <v>0.1</v>
      </c>
      <c r="AS169" s="35">
        <f t="shared" ca="1" si="101"/>
        <v>0.27318721226929121</v>
      </c>
      <c r="AT169" s="3">
        <f t="shared" si="102"/>
        <v>1</v>
      </c>
      <c r="AU169" s="3">
        <f t="shared" si="103"/>
        <v>30</v>
      </c>
      <c r="AW169" s="32">
        <f t="shared" ca="1" si="104"/>
        <v>483344.85040264233</v>
      </c>
      <c r="AX169" s="32">
        <f t="shared" si="105"/>
        <v>483335.23879997275</v>
      </c>
      <c r="AY169" s="32">
        <f t="shared" ca="1" si="106"/>
        <v>9.6116026695667323</v>
      </c>
      <c r="BA169" s="32">
        <f ca="1">IF($A170="","",F169*Summary!$Q$13)</f>
        <v>0</v>
      </c>
      <c r="BC169" s="256">
        <f t="shared" ca="1" si="109"/>
        <v>132041.00647927672</v>
      </c>
    </row>
    <row r="170" spans="1:55" ht="12" customHeight="1">
      <c r="A170" s="67">
        <f t="shared" si="107"/>
        <v>41913</v>
      </c>
      <c r="B170" s="69">
        <f t="shared" si="110"/>
        <v>28400</v>
      </c>
      <c r="C170" s="71"/>
      <c r="D170" s="69">
        <f t="shared" si="74"/>
        <v>28400</v>
      </c>
      <c r="E170" s="70">
        <f t="shared" si="75"/>
        <v>880400</v>
      </c>
      <c r="F170" s="70">
        <f t="shared" ca="1" si="76"/>
        <v>238594.05154507444</v>
      </c>
      <c r="G170" s="63">
        <f t="shared" si="77"/>
        <v>4.7160000000000002</v>
      </c>
      <c r="H170" s="64">
        <f t="shared" si="78"/>
        <v>4.7160000000000002</v>
      </c>
      <c r="I170" s="43"/>
      <c r="J170" s="63">
        <f t="shared" si="79"/>
        <v>0.23499999999999999</v>
      </c>
      <c r="K170" s="64">
        <f t="shared" si="80"/>
        <v>0.23499999999999999</v>
      </c>
      <c r="L170" s="38">
        <v>0</v>
      </c>
      <c r="M170" s="64">
        <f t="shared" si="81"/>
        <v>0</v>
      </c>
      <c r="N170" s="65"/>
      <c r="O170" s="63">
        <f t="shared" si="82"/>
        <v>4.9510000000000005</v>
      </c>
      <c r="P170" s="63">
        <f t="shared" si="83"/>
        <v>4.9510000000000005</v>
      </c>
      <c r="Q170" s="66"/>
      <c r="R170" s="63">
        <f t="shared" si="84"/>
        <v>-0.70749421872473273</v>
      </c>
      <c r="S170" s="64">
        <f t="shared" si="85"/>
        <v>-0.70749421872473273</v>
      </c>
      <c r="T170" s="38">
        <v>0</v>
      </c>
      <c r="U170" s="64">
        <f t="shared" si="86"/>
        <v>0</v>
      </c>
      <c r="V170" s="219">
        <f>(G170+R170)/(1-Summary!$T$13)*Summary!$T$13</f>
        <v>0.31965137215701556</v>
      </c>
      <c r="W170" s="43">
        <f t="shared" si="87"/>
        <v>4.3281571534322829</v>
      </c>
      <c r="X170" s="43">
        <f t="shared" si="88"/>
        <v>4.3281571534322829</v>
      </c>
      <c r="Y170" s="43"/>
      <c r="Z170" s="38">
        <f t="shared" si="89"/>
        <v>0.65</v>
      </c>
      <c r="AA170" s="38">
        <f t="shared" si="90"/>
        <v>0.17</v>
      </c>
      <c r="AB170" s="38">
        <f t="shared" ca="1" si="91"/>
        <v>0.17391362348770287</v>
      </c>
      <c r="AC170" s="38">
        <f t="shared" si="92"/>
        <v>0.5</v>
      </c>
      <c r="AD170" s="38">
        <f t="shared" si="92"/>
        <v>0.17</v>
      </c>
      <c r="AE170" s="38">
        <f t="shared" ca="1" si="93"/>
        <v>0.17233349541012075</v>
      </c>
      <c r="AF170" s="237">
        <f ca="1">((Summary!$N$13*(AA170*AD170)*(A170-$D$3))+(Summary!$M$13*Z170*AC170*(AJ170-EOMONTH(EDATE(A170,-1),0))))/(AK170*AB170*AE170)</f>
        <v>0.99875468249308386</v>
      </c>
      <c r="AG170" s="88">
        <f>IF($A171="","",Summary!$Q$13)</f>
        <v>0</v>
      </c>
      <c r="AH170" s="88">
        <f>IF($A171="","",IF(Summary!$R$12="Y",(VLOOKUP($A170,Summary!$AD$6:$AF$9,3)+'Escalating commodity'!I183),'Escalating commodity'!I183))</f>
        <v>5.8009432041419291E-2</v>
      </c>
      <c r="AI170" s="88">
        <f t="shared" si="108"/>
        <v>5.8009432041419291E-2</v>
      </c>
      <c r="AJ170" s="236">
        <f t="shared" si="94"/>
        <v>41927.5</v>
      </c>
      <c r="AK170" s="58">
        <f t="shared" ca="1" si="95"/>
        <v>4887</v>
      </c>
      <c r="AL170" s="26">
        <f ca="1">IF($A171="","",_xll.SPRDOPT(P170,X170,AI170,0,AB170,AE170,AF170,AK170,$AJ$2,0))</f>
        <v>0.56487672678271894</v>
      </c>
      <c r="AM170" s="209">
        <f t="shared" si="96"/>
        <v>0.56483341452629832</v>
      </c>
      <c r="AN170" s="89">
        <f t="shared" ca="1" si="97"/>
        <v>4.3312256420624529E-5</v>
      </c>
      <c r="AO170" s="3">
        <f t="shared" si="98"/>
        <v>31</v>
      </c>
      <c r="AP170" s="33">
        <f t="shared" si="99"/>
        <v>41913</v>
      </c>
      <c r="AQ170" s="58">
        <f t="shared" ca="1" si="100"/>
        <v>4887</v>
      </c>
      <c r="AR170" s="38">
        <f>'ANR OK vs ML7'!AR170</f>
        <v>0.1</v>
      </c>
      <c r="AS170" s="35">
        <f t="shared" ca="1" si="101"/>
        <v>0.27100641929245167</v>
      </c>
      <c r="AT170" s="3">
        <f t="shared" si="102"/>
        <v>1</v>
      </c>
      <c r="AU170" s="3">
        <f t="shared" si="103"/>
        <v>31</v>
      </c>
      <c r="AW170" s="32">
        <f t="shared" ca="1" si="104"/>
        <v>497317.47025950573</v>
      </c>
      <c r="AX170" s="32">
        <f t="shared" si="105"/>
        <v>497279.33814895304</v>
      </c>
      <c r="AY170" s="32">
        <f t="shared" ca="1" si="106"/>
        <v>38.132110552717833</v>
      </c>
      <c r="BA170" s="32">
        <f ca="1">IF($A171="","",F170*Summary!$Q$13)</f>
        <v>0</v>
      </c>
      <c r="BC170" s="256">
        <f t="shared" ca="1" si="109"/>
        <v>134765.89281986802</v>
      </c>
    </row>
    <row r="171" spans="1:55" ht="12" customHeight="1">
      <c r="A171" s="67">
        <f t="shared" si="107"/>
        <v>41944</v>
      </c>
      <c r="B171" s="69">
        <f t="shared" si="110"/>
        <v>28400</v>
      </c>
      <c r="C171" s="71"/>
      <c r="D171" s="69">
        <f t="shared" si="74"/>
        <v>28400</v>
      </c>
      <c r="E171" s="70">
        <f t="shared" si="75"/>
        <v>852000</v>
      </c>
      <c r="F171" s="70">
        <f t="shared" ca="1" si="76"/>
        <v>228993.0798566564</v>
      </c>
      <c r="G171" s="63">
        <f t="shared" si="77"/>
        <v>4.8490000000000002</v>
      </c>
      <c r="H171" s="64">
        <f t="shared" si="78"/>
        <v>4.8490000000000002</v>
      </c>
      <c r="I171" s="43"/>
      <c r="J171" s="328">
        <f>J159</f>
        <v>0.42499999999999999</v>
      </c>
      <c r="K171" s="64">
        <f t="shared" si="80"/>
        <v>0.42499999999999999</v>
      </c>
      <c r="L171" s="38">
        <v>0</v>
      </c>
      <c r="M171" s="64">
        <f t="shared" si="81"/>
        <v>0</v>
      </c>
      <c r="N171" s="65"/>
      <c r="O171" s="63">
        <f t="shared" si="82"/>
        <v>5.274</v>
      </c>
      <c r="P171" s="63">
        <f t="shared" si="83"/>
        <v>5.274</v>
      </c>
      <c r="Q171" s="66"/>
      <c r="R171" s="63">
        <f t="shared" si="84"/>
        <v>-0.64374961854913515</v>
      </c>
      <c r="S171" s="64">
        <f t="shared" si="85"/>
        <v>-0.64374961854913515</v>
      </c>
      <c r="T171" s="38">
        <v>0</v>
      </c>
      <c r="U171" s="64">
        <f t="shared" si="86"/>
        <v>0</v>
      </c>
      <c r="V171" s="219">
        <f>(G171+R171)/(1-Summary!$T$13)*Summary!$T$13</f>
        <v>0.33534043058481844</v>
      </c>
      <c r="W171" s="43">
        <f t="shared" si="87"/>
        <v>4.540590812035683</v>
      </c>
      <c r="X171" s="43">
        <f t="shared" si="88"/>
        <v>4.540590812035683</v>
      </c>
      <c r="Y171" s="43"/>
      <c r="Z171" s="38">
        <f t="shared" si="89"/>
        <v>0.8</v>
      </c>
      <c r="AA171" s="38">
        <f t="shared" si="90"/>
        <v>0.17</v>
      </c>
      <c r="AB171" s="38">
        <f t="shared" ca="1" si="91"/>
        <v>0.17566413801891734</v>
      </c>
      <c r="AC171" s="38">
        <f t="shared" si="92"/>
        <v>0.95</v>
      </c>
      <c r="AD171" s="38">
        <f t="shared" si="92"/>
        <v>0.17</v>
      </c>
      <c r="AE171" s="38">
        <f t="shared" ca="1" si="93"/>
        <v>0.17792841179380214</v>
      </c>
      <c r="AF171" s="237">
        <f ca="1">((Summary!$N$13*(AA171*AD171)*(A171-$D$3))+(Summary!$M$13*Z171*AC171*(AJ171-EOMONTH(EDATE(A171,-1),0))))/(AK171*AB171*AE171)</f>
        <v>0.99889172490723444</v>
      </c>
      <c r="AG171" s="88">
        <f>IF($A172="","",Summary!$Q$13)</f>
        <v>0</v>
      </c>
      <c r="AH171" s="88">
        <f>IF($A172="","",IF(Summary!$R$12="Y",(VLOOKUP($A171,Summary!$AD$6:$AF$9,3)+'Escalating commodity'!I184),'Escalating commodity'!I184))</f>
        <v>5.8009432041419291E-2</v>
      </c>
      <c r="AI171" s="88">
        <f t="shared" si="108"/>
        <v>5.8009432041419291E-2</v>
      </c>
      <c r="AJ171" s="236">
        <f t="shared" si="94"/>
        <v>41958</v>
      </c>
      <c r="AK171" s="58">
        <f t="shared" ca="1" si="95"/>
        <v>4918</v>
      </c>
      <c r="AL171" s="26">
        <f ca="1">IF($A172="","",_xll.SPRDOPT(P171,X171,AI171,0,AB171,AE171,AF171,AK171,$AJ$2,0))</f>
        <v>0.67540070636446747</v>
      </c>
      <c r="AM171" s="209">
        <f t="shared" si="96"/>
        <v>0.67539975592289769</v>
      </c>
      <c r="AN171" s="89">
        <f t="shared" ca="1" si="97"/>
        <v>9.5044156978030259E-7</v>
      </c>
      <c r="AO171" s="3">
        <f t="shared" si="98"/>
        <v>30</v>
      </c>
      <c r="AP171" s="33">
        <f t="shared" si="99"/>
        <v>41944</v>
      </c>
      <c r="AQ171" s="58">
        <f t="shared" ca="1" si="100"/>
        <v>4918</v>
      </c>
      <c r="AR171" s="38">
        <f>'ANR OK vs ML7'!AR171</f>
        <v>0.1</v>
      </c>
      <c r="AS171" s="35">
        <f t="shared" ca="1" si="101"/>
        <v>0.26877122048903335</v>
      </c>
      <c r="AT171" s="3">
        <f t="shared" si="102"/>
        <v>1</v>
      </c>
      <c r="AU171" s="3">
        <f t="shared" si="103"/>
        <v>30</v>
      </c>
      <c r="AW171" s="32">
        <f t="shared" ca="1" si="104"/>
        <v>575441.40182252624</v>
      </c>
      <c r="AX171" s="32">
        <f t="shared" si="105"/>
        <v>575440.5920463088</v>
      </c>
      <c r="AY171" s="32">
        <f t="shared" ca="1" si="106"/>
        <v>0.8097762174528178</v>
      </c>
      <c r="BA171" s="32">
        <f ca="1">IF($A172="","",F171*Summary!$Q$13)</f>
        <v>0</v>
      </c>
      <c r="BC171" s="256">
        <f t="shared" ca="1" si="109"/>
        <v>154661.87024321835</v>
      </c>
    </row>
    <row r="172" spans="1:55" ht="12" customHeight="1">
      <c r="A172" s="67">
        <f t="shared" si="107"/>
        <v>41974</v>
      </c>
      <c r="B172" s="69">
        <f t="shared" si="110"/>
        <v>28400</v>
      </c>
      <c r="C172" s="71"/>
      <c r="D172" s="69">
        <f t="shared" si="74"/>
        <v>28400</v>
      </c>
      <c r="E172" s="70">
        <f t="shared" si="75"/>
        <v>880400</v>
      </c>
      <c r="F172" s="70">
        <f t="shared" ca="1" si="76"/>
        <v>234737.24814022527</v>
      </c>
      <c r="G172" s="63">
        <f t="shared" si="77"/>
        <v>4.9870000000000001</v>
      </c>
      <c r="H172" s="64">
        <f t="shared" si="78"/>
        <v>4.9870000000000001</v>
      </c>
      <c r="I172" s="43"/>
      <c r="J172" s="328">
        <f>J160</f>
        <v>0.42499999999999999</v>
      </c>
      <c r="K172" s="64">
        <f t="shared" si="80"/>
        <v>0.42499999999999999</v>
      </c>
      <c r="L172" s="38">
        <v>0</v>
      </c>
      <c r="M172" s="64">
        <f t="shared" si="81"/>
        <v>0</v>
      </c>
      <c r="N172" s="65"/>
      <c r="O172" s="63">
        <f t="shared" si="82"/>
        <v>5.4119999999999999</v>
      </c>
      <c r="P172" s="63">
        <f t="shared" si="83"/>
        <v>5.4119999999999999</v>
      </c>
      <c r="Q172" s="66"/>
      <c r="R172" s="63">
        <f t="shared" si="84"/>
        <v>-0.64376013357847151</v>
      </c>
      <c r="S172" s="64">
        <f t="shared" si="85"/>
        <v>-0.64376013357847151</v>
      </c>
      <c r="T172" s="38">
        <v>0</v>
      </c>
      <c r="U172" s="64">
        <f t="shared" si="86"/>
        <v>0</v>
      </c>
      <c r="V172" s="219">
        <f>(G172+R172)/(1-Summary!$T$13)*Summary!$T$13</f>
        <v>0.34634416380135874</v>
      </c>
      <c r="W172" s="43">
        <f t="shared" si="87"/>
        <v>4.6895840302228873</v>
      </c>
      <c r="X172" s="43">
        <f t="shared" si="88"/>
        <v>4.6895840302228873</v>
      </c>
      <c r="Y172" s="43"/>
      <c r="Z172" s="38">
        <f t="shared" si="89"/>
        <v>1.1000000000000001</v>
      </c>
      <c r="AA172" s="38">
        <f t="shared" si="90"/>
        <v>0.17</v>
      </c>
      <c r="AB172" s="38">
        <f t="shared" ca="1" si="91"/>
        <v>0.18082107486574198</v>
      </c>
      <c r="AC172" s="38">
        <f t="shared" si="92"/>
        <v>1.35</v>
      </c>
      <c r="AD172" s="38">
        <f t="shared" si="92"/>
        <v>0.17</v>
      </c>
      <c r="AE172" s="38">
        <f t="shared" ca="1" si="93"/>
        <v>0.18605097592510478</v>
      </c>
      <c r="AF172" s="237">
        <f ca="1">((Summary!$N$13*(AA172*AD172)*(A172-$D$3))+(Summary!$M$13*Z172*AC172*(AJ172-EOMONTH(EDATE(A172,-1),0))))/(AK172*AB172*AE172)</f>
        <v>0.99741073950382053</v>
      </c>
      <c r="AG172" s="88">
        <f>IF($A173="","",Summary!$Q$13)</f>
        <v>0</v>
      </c>
      <c r="AH172" s="88">
        <f>IF($A173="","",IF(Summary!$R$12="Y",(VLOOKUP($A172,Summary!$AD$6:$AF$9,3)+'Escalating commodity'!I185),'Escalating commodity'!I185))</f>
        <v>5.8009432041419291E-2</v>
      </c>
      <c r="AI172" s="88">
        <f t="shared" si="108"/>
        <v>5.8009432041419291E-2</v>
      </c>
      <c r="AJ172" s="236">
        <f t="shared" si="94"/>
        <v>41988.5</v>
      </c>
      <c r="AK172" s="58">
        <f t="shared" ca="1" si="95"/>
        <v>4948</v>
      </c>
      <c r="AL172" s="26">
        <f ca="1">IF($A173="","",_xll.SPRDOPT(P172,X172,AI172,0,AB172,AE172,AF172,AK172,$AJ$2,0))</f>
        <v>0.66476146824676996</v>
      </c>
      <c r="AM172" s="209">
        <f t="shared" si="96"/>
        <v>0.66440653773569336</v>
      </c>
      <c r="AN172" s="89">
        <f t="shared" ca="1" si="97"/>
        <v>3.5493051107660101E-4</v>
      </c>
      <c r="AO172" s="3">
        <f t="shared" si="98"/>
        <v>31</v>
      </c>
      <c r="AP172" s="33">
        <f t="shared" si="99"/>
        <v>41974</v>
      </c>
      <c r="AQ172" s="58">
        <f t="shared" ca="1" si="100"/>
        <v>4948</v>
      </c>
      <c r="AR172" s="38">
        <f>'ANR OK vs ML7'!AR172</f>
        <v>0.1</v>
      </c>
      <c r="AS172" s="35">
        <f t="shared" ca="1" si="101"/>
        <v>0.26662567939598508</v>
      </c>
      <c r="AT172" s="3">
        <f t="shared" si="102"/>
        <v>1</v>
      </c>
      <c r="AU172" s="3">
        <f t="shared" si="103"/>
        <v>31</v>
      </c>
      <c r="AW172" s="32">
        <f t="shared" ca="1" si="104"/>
        <v>585255.99664445629</v>
      </c>
      <c r="AX172" s="32">
        <f t="shared" si="105"/>
        <v>584943.51582250441</v>
      </c>
      <c r="AY172" s="32">
        <f t="shared" ca="1" si="106"/>
        <v>312.48082195183952</v>
      </c>
      <c r="BA172" s="32">
        <f ca="1">IF($A173="","",F172*Summary!$Q$13)</f>
        <v>0</v>
      </c>
      <c r="BC172" s="256">
        <f t="shared" ca="1" si="109"/>
        <v>155960.9623144514</v>
      </c>
    </row>
    <row r="173" spans="1:55" ht="12" customHeight="1">
      <c r="A173" s="67">
        <f t="shared" si="107"/>
        <v>42005</v>
      </c>
      <c r="B173" s="69">
        <f t="shared" si="110"/>
        <v>28400</v>
      </c>
      <c r="C173" s="71"/>
      <c r="D173" s="69">
        <f t="shared" si="74"/>
        <v>28400</v>
      </c>
      <c r="E173" s="70">
        <f t="shared" si="75"/>
        <v>880400</v>
      </c>
      <c r="F173" s="70">
        <f t="shared" ca="1" si="76"/>
        <v>232801.18914379782</v>
      </c>
      <c r="G173" s="63">
        <f t="shared" si="77"/>
        <v>5.0440000000000005</v>
      </c>
      <c r="H173" s="64">
        <f t="shared" si="78"/>
        <v>5.0440000000000005</v>
      </c>
      <c r="I173" s="43"/>
      <c r="J173" s="328">
        <f>J161</f>
        <v>0.42499999999999999</v>
      </c>
      <c r="K173" s="64">
        <f t="shared" si="80"/>
        <v>0.42499999999999999</v>
      </c>
      <c r="L173" s="38">
        <v>0</v>
      </c>
      <c r="M173" s="64">
        <f t="shared" si="81"/>
        <v>0</v>
      </c>
      <c r="N173" s="65"/>
      <c r="O173" s="63">
        <f t="shared" si="82"/>
        <v>5.4690000000000003</v>
      </c>
      <c r="P173" s="63">
        <f t="shared" si="83"/>
        <v>5.4690000000000003</v>
      </c>
      <c r="Q173" s="66"/>
      <c r="R173" s="328">
        <f>R161</f>
        <v>-0.60365180980172162</v>
      </c>
      <c r="S173" s="64">
        <f t="shared" si="85"/>
        <v>-0.60365180980172162</v>
      </c>
      <c r="T173" s="38">
        <v>0</v>
      </c>
      <c r="U173" s="64">
        <f t="shared" si="86"/>
        <v>0</v>
      </c>
      <c r="V173" s="219"/>
      <c r="W173" s="43">
        <f t="shared" si="87"/>
        <v>4.4403481901982786</v>
      </c>
      <c r="X173" s="43">
        <f t="shared" si="88"/>
        <v>4.4403481901982786</v>
      </c>
      <c r="Y173" s="43"/>
      <c r="Z173" s="38">
        <f t="shared" si="89"/>
        <v>1.1000000000000001</v>
      </c>
      <c r="AA173" s="38">
        <f t="shared" si="90"/>
        <v>0.17</v>
      </c>
      <c r="AB173" s="38">
        <f t="shared" ca="1" si="91"/>
        <v>0.18075570537359381</v>
      </c>
      <c r="AC173" s="38">
        <f t="shared" si="92"/>
        <v>1.35</v>
      </c>
      <c r="AD173" s="38">
        <f t="shared" si="92"/>
        <v>0.17</v>
      </c>
      <c r="AE173" s="38">
        <f t="shared" ca="1" si="93"/>
        <v>0.18595532638331005</v>
      </c>
      <c r="AF173" s="237">
        <f ca="1">((Summary!$N$13*(AA173*AD173)*(A173-$D$3))+(Summary!$M$13*Z173*AC173*(AJ173-EOMONTH(EDATE(A173,-1),0))))/(AK173*AB173*AE173)</f>
        <v>0.99742190620139326</v>
      </c>
      <c r="AG173" s="88">
        <f>IF($A174="","",Summary!$Q$13)</f>
        <v>0</v>
      </c>
      <c r="AH173" s="88">
        <f>IF($A174="","",IF(Summary!$R$12="Y",(VLOOKUP($A173,Summary!$AD$6:$AF$9,3)+'Escalating commodity'!I186),'Escalating commodity'!I186))</f>
        <v>0</v>
      </c>
      <c r="AI173" s="88">
        <f t="shared" si="108"/>
        <v>0</v>
      </c>
      <c r="AJ173" s="236">
        <f t="shared" si="94"/>
        <v>42019.5</v>
      </c>
      <c r="AK173" s="58">
        <f t="shared" ca="1" si="95"/>
        <v>4979</v>
      </c>
      <c r="AL173" s="26">
        <f ca="1">IF($A174="","",_xll.SPRDOPT(P173,X173,AI173,0,AB173,AE173,AF173,AK173,$AJ$2,0))</f>
        <v>1.0286538562640972</v>
      </c>
      <c r="AM173" s="209">
        <f t="shared" si="96"/>
        <v>1.0286518098017217</v>
      </c>
      <c r="AN173" s="89">
        <f t="shared" ca="1" si="97"/>
        <v>2.0464623755600542E-6</v>
      </c>
      <c r="AO173" s="3">
        <f t="shared" si="98"/>
        <v>31</v>
      </c>
      <c r="AP173" s="33">
        <f t="shared" si="99"/>
        <v>42005</v>
      </c>
      <c r="AQ173" s="58">
        <f t="shared" ca="1" si="100"/>
        <v>4979</v>
      </c>
      <c r="AR173" s="38">
        <f>'ANR OK vs ML7'!AR173</f>
        <v>0.1</v>
      </c>
      <c r="AS173" s="35">
        <f t="shared" ca="1" si="101"/>
        <v>0.26442661193071082</v>
      </c>
      <c r="AT173" s="3">
        <f t="shared" si="102"/>
        <v>1</v>
      </c>
      <c r="AU173" s="3">
        <f t="shared" si="103"/>
        <v>31</v>
      </c>
      <c r="AW173" s="32">
        <f t="shared" ca="1" si="104"/>
        <v>905626.85505491123</v>
      </c>
      <c r="AX173" s="32">
        <f t="shared" si="105"/>
        <v>905625.0533494358</v>
      </c>
      <c r="AY173" s="32">
        <f t="shared" ca="1" si="106"/>
        <v>1.8017054754430717</v>
      </c>
      <c r="BA173" s="32">
        <f ca="1">IF($A174="","",F173*Summary!$Q$13)</f>
        <v>0</v>
      </c>
      <c r="BC173" s="256">
        <f t="shared" ca="1" si="109"/>
        <v>239471.36453676055</v>
      </c>
    </row>
    <row r="174" spans="1:55" ht="12" customHeight="1">
      <c r="A174" s="67">
        <f t="shared" si="107"/>
        <v>42036</v>
      </c>
      <c r="B174" s="69">
        <f t="shared" si="110"/>
        <v>28400</v>
      </c>
      <c r="C174" s="71"/>
      <c r="D174" s="69">
        <f t="shared" si="74"/>
        <v>28400</v>
      </c>
      <c r="E174" s="70">
        <f t="shared" si="75"/>
        <v>795200</v>
      </c>
      <c r="F174" s="70">
        <f t="shared" ca="1" si="76"/>
        <v>208537.7662227336</v>
      </c>
      <c r="G174" s="63">
        <f t="shared" si="77"/>
        <v>4.9240000000000004</v>
      </c>
      <c r="H174" s="64">
        <f t="shared" si="78"/>
        <v>4.9240000000000004</v>
      </c>
      <c r="I174" s="43"/>
      <c r="J174" s="328">
        <f>J162</f>
        <v>0.42499999999999999</v>
      </c>
      <c r="K174" s="64">
        <f t="shared" si="80"/>
        <v>0.42499999999999999</v>
      </c>
      <c r="L174" s="38">
        <v>0</v>
      </c>
      <c r="M174" s="64">
        <f t="shared" si="81"/>
        <v>0</v>
      </c>
      <c r="N174" s="65"/>
      <c r="O174" s="63">
        <f t="shared" si="82"/>
        <v>5.3490000000000002</v>
      </c>
      <c r="P174" s="63">
        <f t="shared" si="83"/>
        <v>5.3490000000000002</v>
      </c>
      <c r="Q174" s="66"/>
      <c r="R174" s="328">
        <f>R162</f>
        <v>-0.60366105403828019</v>
      </c>
      <c r="S174" s="64">
        <f t="shared" si="85"/>
        <v>-0.60366105403828019</v>
      </c>
      <c r="T174" s="38">
        <v>0</v>
      </c>
      <c r="U174" s="64">
        <f t="shared" si="86"/>
        <v>0</v>
      </c>
      <c r="V174" s="219"/>
      <c r="W174" s="43">
        <f t="shared" si="87"/>
        <v>4.3203389459617201</v>
      </c>
      <c r="X174" s="43">
        <f t="shared" si="88"/>
        <v>4.3203389459617201</v>
      </c>
      <c r="Y174" s="43"/>
      <c r="Z174" s="38">
        <f t="shared" si="89"/>
        <v>1.1000000000000001</v>
      </c>
      <c r="AA174" s="38">
        <f t="shared" si="90"/>
        <v>0.17</v>
      </c>
      <c r="AB174" s="38">
        <f t="shared" ca="1" si="91"/>
        <v>0.17968585361130676</v>
      </c>
      <c r="AC174" s="38">
        <f t="shared" si="92"/>
        <v>1.35</v>
      </c>
      <c r="AD174" s="38">
        <f t="shared" si="92"/>
        <v>0.17</v>
      </c>
      <c r="AE174" s="38">
        <f t="shared" ca="1" si="93"/>
        <v>0.18438704627584701</v>
      </c>
      <c r="AF174" s="237">
        <f ca="1">((Summary!$N$13*(AA174*AD174)*(A174-$D$3))+(Summary!$M$13*Z174*AC174*(AJ174-EOMONTH(EDATE(A174,-1),0))))/(AK174*AB174*AE174)</f>
        <v>0.99761059000156416</v>
      </c>
      <c r="AG174" s="88">
        <f>IF($A175="","",Summary!$Q$13)</f>
        <v>0</v>
      </c>
      <c r="AH174" s="88">
        <f>IF($A175="","",IF(Summary!$R$12="Y",(VLOOKUP($A174,Summary!$AD$6:$AF$9,3)+'Escalating commodity'!I187),'Escalating commodity'!I187))</f>
        <v>0</v>
      </c>
      <c r="AI174" s="88">
        <f t="shared" si="108"/>
        <v>0</v>
      </c>
      <c r="AJ174" s="236">
        <f t="shared" si="94"/>
        <v>42049</v>
      </c>
      <c r="AK174" s="58">
        <f t="shared" ca="1" si="95"/>
        <v>5010</v>
      </c>
      <c r="AL174" s="26">
        <f ca="1">IF($A175="","",_xll.SPRDOPT(P174,X174,AI174,0,AB174,AE174,AF174,AK174,$AJ$2,0))</f>
        <v>1.0286616012961076</v>
      </c>
      <c r="AM174" s="209">
        <f t="shared" si="96"/>
        <v>1.0286610540382801</v>
      </c>
      <c r="AN174" s="89">
        <f t="shared" ca="1" si="97"/>
        <v>5.4725782749898144E-7</v>
      </c>
      <c r="AO174" s="3">
        <f t="shared" si="98"/>
        <v>28</v>
      </c>
      <c r="AP174" s="33">
        <f t="shared" si="99"/>
        <v>42036</v>
      </c>
      <c r="AQ174" s="58">
        <f t="shared" ca="1" si="100"/>
        <v>5010</v>
      </c>
      <c r="AR174" s="38">
        <f>'ANR OK vs ML7'!AR174</f>
        <v>0.1</v>
      </c>
      <c r="AS174" s="35">
        <f t="shared" ca="1" si="101"/>
        <v>0.26224568186963482</v>
      </c>
      <c r="AT174" s="3">
        <f t="shared" si="102"/>
        <v>1</v>
      </c>
      <c r="AU174" s="3">
        <f t="shared" si="103"/>
        <v>28</v>
      </c>
      <c r="AW174" s="32">
        <f t="shared" ca="1" si="104"/>
        <v>817991.70535066479</v>
      </c>
      <c r="AX174" s="32">
        <f t="shared" si="105"/>
        <v>817991.27017124032</v>
      </c>
      <c r="AY174" s="32">
        <f t="shared" ca="1" si="106"/>
        <v>0.43517942442719004</v>
      </c>
      <c r="BA174" s="32">
        <f ca="1">IF($A175="","",F174*Summary!$Q$13)</f>
        <v>0</v>
      </c>
    </row>
    <row r="175" spans="1:55" ht="12" customHeight="1">
      <c r="A175" s="67">
        <f t="shared" si="107"/>
        <v>42064</v>
      </c>
      <c r="B175" s="69">
        <f t="shared" si="110"/>
        <v>28400</v>
      </c>
      <c r="C175" s="71"/>
      <c r="D175" s="69">
        <f t="shared" si="74"/>
        <v>28400</v>
      </c>
      <c r="E175" s="70">
        <f t="shared" si="75"/>
        <v>880400</v>
      </c>
      <c r="F175" s="70">
        <f t="shared" ca="1" si="76"/>
        <v>229160.43814598492</v>
      </c>
      <c r="G175" s="63">
        <f t="shared" si="77"/>
        <v>4.7850000000000001</v>
      </c>
      <c r="H175" s="64">
        <f t="shared" si="78"/>
        <v>4.7850000000000001</v>
      </c>
      <c r="I175" s="43"/>
      <c r="J175" s="328">
        <f>J163</f>
        <v>0.42499999999999999</v>
      </c>
      <c r="K175" s="64">
        <f t="shared" si="80"/>
        <v>0.42499999999999999</v>
      </c>
      <c r="L175" s="38">
        <v>0</v>
      </c>
      <c r="M175" s="64">
        <f t="shared" si="81"/>
        <v>0</v>
      </c>
      <c r="N175" s="65"/>
      <c r="O175" s="63">
        <f t="shared" si="82"/>
        <v>5.21</v>
      </c>
      <c r="P175" s="63">
        <f t="shared" si="83"/>
        <v>5.21</v>
      </c>
      <c r="Q175" s="66"/>
      <c r="R175" s="328">
        <f>R163</f>
        <v>-0.60366954624624181</v>
      </c>
      <c r="S175" s="64">
        <f t="shared" si="85"/>
        <v>-0.60366954624624181</v>
      </c>
      <c r="T175" s="38">
        <v>0</v>
      </c>
      <c r="U175" s="64">
        <f t="shared" si="86"/>
        <v>0</v>
      </c>
      <c r="V175" s="219"/>
      <c r="W175" s="43">
        <f t="shared" si="87"/>
        <v>4.1813304537537581</v>
      </c>
      <c r="X175" s="43">
        <f t="shared" si="88"/>
        <v>4.1813304537537581</v>
      </c>
      <c r="Y175" s="43"/>
      <c r="Z175" s="38">
        <f t="shared" si="89"/>
        <v>0.75</v>
      </c>
      <c r="AA175" s="38">
        <f t="shared" si="90"/>
        <v>0.17</v>
      </c>
      <c r="AB175" s="38">
        <f t="shared" ca="1" si="91"/>
        <v>0.17503237946918254</v>
      </c>
      <c r="AC175" s="38">
        <f t="shared" si="92"/>
        <v>0.95</v>
      </c>
      <c r="AD175" s="38">
        <f t="shared" si="92"/>
        <v>0.17</v>
      </c>
      <c r="AE175" s="38">
        <f t="shared" ca="1" si="93"/>
        <v>0.1779954602861912</v>
      </c>
      <c r="AF175" s="237">
        <f ca="1">((Summary!$N$13*(AA175*AD175)*(A175-$D$3))+(Summary!$M$13*Z175*AC175*(AJ175-EOMONTH(EDATE(A175,-1),0))))/(AK175*AB175*AE175)</f>
        <v>0.99807308413999418</v>
      </c>
      <c r="AG175" s="88">
        <f>IF($A176="","",Summary!$Q$13)</f>
        <v>0</v>
      </c>
      <c r="AH175" s="88">
        <f>IF($A176="","",IF(Summary!$R$12="Y",(VLOOKUP($A175,Summary!$AD$6:$AF$9,3)+'Escalating commodity'!I188),'Escalating commodity'!I188))</f>
        <v>0</v>
      </c>
      <c r="AI175" s="88">
        <f t="shared" si="108"/>
        <v>0</v>
      </c>
      <c r="AJ175" s="236">
        <f t="shared" si="94"/>
        <v>42078.5</v>
      </c>
      <c r="AK175" s="58">
        <f t="shared" ca="1" si="95"/>
        <v>5038</v>
      </c>
      <c r="AL175" s="26">
        <f ca="1">IF($A176="","",_xll.SPRDOPT(P175,X175,AI175,0,AB175,AE175,AF175,AK175,$AJ$2,0))</f>
        <v>1.0286696476698645</v>
      </c>
      <c r="AM175" s="209">
        <f t="shared" si="96"/>
        <v>1.0286695462462419</v>
      </c>
      <c r="AN175" s="89">
        <f t="shared" ca="1" si="97"/>
        <v>1.0142362261156279E-7</v>
      </c>
      <c r="AO175" s="3">
        <f t="shared" si="98"/>
        <v>31</v>
      </c>
      <c r="AP175" s="33">
        <f t="shared" si="99"/>
        <v>42064</v>
      </c>
      <c r="AQ175" s="58">
        <f t="shared" ca="1" si="100"/>
        <v>5038</v>
      </c>
      <c r="AR175" s="38">
        <f>'ANR OK vs ML7'!AR175</f>
        <v>0.1</v>
      </c>
      <c r="AS175" s="35">
        <f t="shared" ca="1" si="101"/>
        <v>0.26029127458653445</v>
      </c>
      <c r="AT175" s="3">
        <f t="shared" si="102"/>
        <v>1</v>
      </c>
      <c r="AU175" s="3">
        <f t="shared" si="103"/>
        <v>31</v>
      </c>
      <c r="AW175" s="32">
        <f t="shared" ca="1" si="104"/>
        <v>905640.75780854863</v>
      </c>
      <c r="AX175" s="32">
        <f t="shared" si="105"/>
        <v>905640.6685151913</v>
      </c>
      <c r="AY175" s="32">
        <f t="shared" ca="1" si="106"/>
        <v>8.9293357347219882E-2</v>
      </c>
      <c r="BA175" s="32">
        <f ca="1">IF($A176="","",F175*Summary!$Q$13)</f>
        <v>0</v>
      </c>
    </row>
    <row r="176" spans="1:55" ht="12" customHeight="1">
      <c r="A176" s="67">
        <f t="shared" si="107"/>
        <v>42095</v>
      </c>
      <c r="B176" s="69" t="str">
        <f t="shared" si="110"/>
        <v/>
      </c>
      <c r="C176" s="71"/>
      <c r="D176" s="69" t="str">
        <f t="shared" si="74"/>
        <v/>
      </c>
      <c r="E176" s="70" t="str">
        <f t="shared" si="75"/>
        <v/>
      </c>
      <c r="F176" s="70" t="str">
        <f t="shared" si="76"/>
        <v/>
      </c>
      <c r="G176" s="63" t="str">
        <f t="shared" si="77"/>
        <v/>
      </c>
      <c r="H176" s="64" t="str">
        <f t="shared" si="78"/>
        <v/>
      </c>
      <c r="I176" s="43"/>
      <c r="J176" s="63" t="str">
        <f t="shared" si="79"/>
        <v/>
      </c>
      <c r="K176" s="64" t="str">
        <f t="shared" si="80"/>
        <v/>
      </c>
      <c r="L176" s="38">
        <v>0</v>
      </c>
      <c r="M176" s="64" t="str">
        <f t="shared" si="81"/>
        <v/>
      </c>
      <c r="N176" s="65"/>
      <c r="O176" s="63" t="str">
        <f t="shared" si="82"/>
        <v/>
      </c>
      <c r="P176" s="63" t="str">
        <f t="shared" si="83"/>
        <v/>
      </c>
      <c r="Q176" s="66"/>
      <c r="R176" s="63" t="str">
        <f t="shared" si="84"/>
        <v/>
      </c>
      <c r="S176" s="64" t="str">
        <f t="shared" si="85"/>
        <v/>
      </c>
      <c r="T176" s="38">
        <v>0</v>
      </c>
      <c r="U176" s="64" t="str">
        <f t="shared" si="86"/>
        <v/>
      </c>
      <c r="V176" s="219"/>
      <c r="W176" s="43" t="str">
        <f t="shared" si="87"/>
        <v/>
      </c>
      <c r="X176" s="43" t="str">
        <f t="shared" si="88"/>
        <v/>
      </c>
      <c r="Y176" s="43"/>
      <c r="Z176" s="38" t="str">
        <f t="shared" si="89"/>
        <v/>
      </c>
      <c r="AA176" s="38" t="str">
        <f t="shared" si="90"/>
        <v/>
      </c>
      <c r="AB176" s="38" t="e">
        <f t="shared" si="91"/>
        <v>#VALUE!</v>
      </c>
      <c r="AC176" s="38" t="str">
        <f t="shared" si="92"/>
        <v/>
      </c>
      <c r="AD176" s="38" t="str">
        <f t="shared" si="92"/>
        <v/>
      </c>
      <c r="AE176" s="38" t="e">
        <f t="shared" si="93"/>
        <v>#VALUE!</v>
      </c>
      <c r="AF176" s="237" t="e">
        <f>((Summary!$N$13*(AA176*AD176)*(A176-$D$3))+(Summary!$M$13*Z176*AC176*(AJ176-EOMONTH(EDATE(A176,-1),0))))/(AK176*AB176*AE176)</f>
        <v>#VALUE!</v>
      </c>
      <c r="AG176" s="88" t="str">
        <f>IF($A177="","",Summary!$Q$13)</f>
        <v/>
      </c>
      <c r="AH176" s="88" t="str">
        <f>IF($A177="","",IF(Summary!$R$12="Y",(VLOOKUP($A176,Summary!$AD$6:$AF$9,3)+'Escalating commodity'!I189),'Escalating commodity'!I189))</f>
        <v/>
      </c>
      <c r="AI176" s="88" t="str">
        <f t="shared" si="108"/>
        <v/>
      </c>
      <c r="AJ176" s="236">
        <f t="shared" si="94"/>
        <v>42109</v>
      </c>
      <c r="AK176" s="58" t="str">
        <f t="shared" si="95"/>
        <v/>
      </c>
      <c r="AL176" s="26" t="str">
        <f>IF($A177="","",_xll.SPRDOPT(P176,X176,AI176,0,AB176,AE176,AF176,AK176,$AJ$2,0))</f>
        <v/>
      </c>
      <c r="AM176" s="209" t="str">
        <f t="shared" si="96"/>
        <v/>
      </c>
      <c r="AN176" s="89" t="str">
        <f t="shared" si="97"/>
        <v/>
      </c>
      <c r="AO176" s="3" t="str">
        <f t="shared" si="98"/>
        <v/>
      </c>
      <c r="AP176" s="33" t="str">
        <f t="shared" si="99"/>
        <v/>
      </c>
      <c r="AQ176" s="58" t="str">
        <f t="shared" si="100"/>
        <v/>
      </c>
      <c r="AR176" s="38">
        <f>'ANR OK vs ML7'!AR176</f>
        <v>0.1</v>
      </c>
      <c r="AS176" s="35" t="str">
        <f t="shared" si="101"/>
        <v/>
      </c>
      <c r="AT176" s="3" t="str">
        <f t="shared" si="102"/>
        <v/>
      </c>
      <c r="AU176" s="3" t="str">
        <f t="shared" si="103"/>
        <v/>
      </c>
      <c r="AW176" s="32" t="str">
        <f t="shared" si="104"/>
        <v/>
      </c>
      <c r="AX176" s="32" t="str">
        <f t="shared" si="105"/>
        <v/>
      </c>
      <c r="AY176" s="32" t="str">
        <f t="shared" si="106"/>
        <v/>
      </c>
      <c r="BA176" s="32" t="str">
        <f>IF($A177="","",F176*Summary!$Q$13)</f>
        <v/>
      </c>
    </row>
    <row r="177" spans="1:53" ht="12" customHeight="1">
      <c r="A177" s="67" t="str">
        <f t="shared" si="107"/>
        <v/>
      </c>
      <c r="B177" s="69" t="str">
        <f t="shared" si="110"/>
        <v/>
      </c>
      <c r="C177" s="71"/>
      <c r="D177" s="69" t="str">
        <f t="shared" si="74"/>
        <v/>
      </c>
      <c r="E177" s="70" t="str">
        <f t="shared" si="75"/>
        <v/>
      </c>
      <c r="F177" s="70" t="str">
        <f t="shared" si="76"/>
        <v/>
      </c>
      <c r="G177" s="63" t="str">
        <f t="shared" si="77"/>
        <v/>
      </c>
      <c r="H177" s="64" t="str">
        <f t="shared" si="78"/>
        <v/>
      </c>
      <c r="I177" s="43"/>
      <c r="J177" s="63" t="str">
        <f t="shared" si="79"/>
        <v/>
      </c>
      <c r="K177" s="64" t="str">
        <f t="shared" si="80"/>
        <v/>
      </c>
      <c r="L177" s="38">
        <v>0</v>
      </c>
      <c r="M177" s="64" t="str">
        <f t="shared" si="81"/>
        <v/>
      </c>
      <c r="N177" s="65"/>
      <c r="O177" s="63" t="str">
        <f t="shared" si="82"/>
        <v/>
      </c>
      <c r="P177" s="63" t="str">
        <f t="shared" si="83"/>
        <v/>
      </c>
      <c r="Q177" s="66"/>
      <c r="R177" s="63" t="str">
        <f t="shared" si="84"/>
        <v/>
      </c>
      <c r="S177" s="64" t="str">
        <f t="shared" si="85"/>
        <v/>
      </c>
      <c r="T177" s="38">
        <v>0</v>
      </c>
      <c r="U177" s="64" t="str">
        <f t="shared" si="86"/>
        <v/>
      </c>
      <c r="V177" s="219"/>
      <c r="W177" s="43" t="str">
        <f t="shared" si="87"/>
        <v/>
      </c>
      <c r="X177" s="43" t="str">
        <f t="shared" si="88"/>
        <v/>
      </c>
      <c r="Y177" s="43"/>
      <c r="Z177" s="38" t="str">
        <f t="shared" si="89"/>
        <v/>
      </c>
      <c r="AA177" s="38" t="str">
        <f t="shared" si="90"/>
        <v/>
      </c>
      <c r="AB177" s="38" t="e">
        <f t="shared" si="91"/>
        <v>#VALUE!</v>
      </c>
      <c r="AC177" s="38" t="str">
        <f t="shared" si="92"/>
        <v/>
      </c>
      <c r="AD177" s="38" t="str">
        <f t="shared" si="92"/>
        <v/>
      </c>
      <c r="AE177" s="38" t="e">
        <f t="shared" si="93"/>
        <v>#VALUE!</v>
      </c>
      <c r="AF177" s="237" t="e">
        <f>((Summary!$N$13*(AA177*AD177)*(A177-$D$3))+(Summary!$M$13*Z177*AC177*(AJ177-EOMONTH(EDATE(A177,-1),0))))/(AK177*AB177*AE177)</f>
        <v>#VALUE!</v>
      </c>
      <c r="AG177" s="88" t="str">
        <f>IF($A178="","",Summary!$Q$13)</f>
        <v/>
      </c>
      <c r="AH177" s="88" t="str">
        <f>IF($A178="","",IF(Summary!$R$12="Y",(VLOOKUP($A177,Summary!$AD$6:$AF$9,3)+'Escalating commodity'!I190),'Escalating commodity'!I190))</f>
        <v/>
      </c>
      <c r="AI177" s="88" t="str">
        <f t="shared" si="108"/>
        <v/>
      </c>
      <c r="AJ177" s="236" t="e">
        <f t="shared" si="94"/>
        <v>#VALUE!</v>
      </c>
      <c r="AK177" s="58" t="str">
        <f t="shared" si="95"/>
        <v/>
      </c>
      <c r="AL177" s="26" t="str">
        <f>IF($A178="","",_xll.SPRDOPT(P177,X177,AI177,0,AB177,AE177,AF177,AK177,$AJ$2,0))</f>
        <v/>
      </c>
      <c r="AM177" s="209" t="str">
        <f t="shared" si="96"/>
        <v/>
      </c>
      <c r="AN177" s="89" t="str">
        <f t="shared" si="97"/>
        <v/>
      </c>
      <c r="AO177" s="3" t="str">
        <f t="shared" si="98"/>
        <v/>
      </c>
      <c r="AP177" s="33" t="str">
        <f t="shared" si="99"/>
        <v/>
      </c>
      <c r="AQ177" s="58" t="str">
        <f t="shared" si="100"/>
        <v/>
      </c>
      <c r="AR177" s="38">
        <f>'ANR OK vs ML7'!AR177</f>
        <v>0.1</v>
      </c>
      <c r="AS177" s="35" t="str">
        <f t="shared" si="101"/>
        <v/>
      </c>
      <c r="AT177" s="3" t="str">
        <f t="shared" si="102"/>
        <v/>
      </c>
      <c r="AU177" s="3" t="str">
        <f t="shared" si="103"/>
        <v/>
      </c>
      <c r="AW177" s="32" t="str">
        <f t="shared" si="104"/>
        <v/>
      </c>
      <c r="AX177" s="32" t="str">
        <f t="shared" si="105"/>
        <v/>
      </c>
      <c r="AY177" s="32" t="str">
        <f t="shared" si="106"/>
        <v/>
      </c>
      <c r="BA177" s="32" t="str">
        <f>IF($A178="","",F177*Summary!$Q$13)</f>
        <v/>
      </c>
    </row>
    <row r="178" spans="1:53" ht="12" customHeight="1">
      <c r="A178" s="67" t="str">
        <f t="shared" si="107"/>
        <v/>
      </c>
      <c r="B178" s="69" t="str">
        <f t="shared" si="110"/>
        <v/>
      </c>
      <c r="C178" s="71"/>
      <c r="D178" s="69" t="str">
        <f t="shared" si="74"/>
        <v/>
      </c>
      <c r="E178" s="70" t="str">
        <f t="shared" si="75"/>
        <v/>
      </c>
      <c r="F178" s="70" t="str">
        <f t="shared" si="76"/>
        <v/>
      </c>
      <c r="G178" s="63" t="str">
        <f t="shared" si="77"/>
        <v/>
      </c>
      <c r="H178" s="64" t="str">
        <f t="shared" si="78"/>
        <v/>
      </c>
      <c r="I178" s="43"/>
      <c r="J178" s="63" t="str">
        <f t="shared" si="79"/>
        <v/>
      </c>
      <c r="K178" s="64" t="str">
        <f t="shared" si="80"/>
        <v/>
      </c>
      <c r="L178" s="38">
        <v>0</v>
      </c>
      <c r="M178" s="64" t="str">
        <f t="shared" si="81"/>
        <v/>
      </c>
      <c r="N178" s="65"/>
      <c r="O178" s="63" t="str">
        <f t="shared" si="82"/>
        <v/>
      </c>
      <c r="P178" s="63" t="str">
        <f t="shared" si="83"/>
        <v/>
      </c>
      <c r="Q178" s="66"/>
      <c r="R178" s="63" t="str">
        <f t="shared" si="84"/>
        <v/>
      </c>
      <c r="S178" s="64" t="str">
        <f t="shared" si="85"/>
        <v/>
      </c>
      <c r="T178" s="38">
        <v>0</v>
      </c>
      <c r="U178" s="64" t="str">
        <f t="shared" si="86"/>
        <v/>
      </c>
      <c r="V178" s="219"/>
      <c r="W178" s="43" t="str">
        <f t="shared" si="87"/>
        <v/>
      </c>
      <c r="X178" s="43" t="str">
        <f t="shared" si="88"/>
        <v/>
      </c>
      <c r="Y178" s="43"/>
      <c r="Z178" s="38" t="str">
        <f t="shared" si="89"/>
        <v/>
      </c>
      <c r="AA178" s="38" t="str">
        <f t="shared" si="90"/>
        <v/>
      </c>
      <c r="AB178" s="38" t="e">
        <f t="shared" si="91"/>
        <v>#VALUE!</v>
      </c>
      <c r="AC178" s="38" t="str">
        <f t="shared" si="92"/>
        <v/>
      </c>
      <c r="AD178" s="38" t="str">
        <f t="shared" si="92"/>
        <v/>
      </c>
      <c r="AE178" s="38" t="e">
        <f t="shared" si="93"/>
        <v>#VALUE!</v>
      </c>
      <c r="AF178" s="237" t="e">
        <f>((Summary!$N$13*(AA178*AD178)*(A178-$D$3))+(Summary!$M$13*Z178*AC178*(AJ178-EOMONTH(EDATE(A178,-1),0))))/(AK178*AB178*AE178)</f>
        <v>#VALUE!</v>
      </c>
      <c r="AG178" s="88" t="str">
        <f>IF($A179="","",Summary!$Q$13)</f>
        <v/>
      </c>
      <c r="AH178" s="88" t="str">
        <f>IF($A179="","",IF(Summary!$R$12="Y",(VLOOKUP($A178,Summary!$AD$6:$AF$9,3)+'Escalating commodity'!I191),'Escalating commodity'!I191))</f>
        <v/>
      </c>
      <c r="AI178" s="88" t="str">
        <f t="shared" si="108"/>
        <v/>
      </c>
      <c r="AJ178" s="236" t="e">
        <f t="shared" si="94"/>
        <v>#VALUE!</v>
      </c>
      <c r="AK178" s="58" t="str">
        <f t="shared" si="95"/>
        <v/>
      </c>
      <c r="AL178" s="26" t="str">
        <f>IF($A179="","",_xll.SPRDOPT(P178,X178,AI178,0,AB178,AE178,AF178,AK178,$AJ$2,0))</f>
        <v/>
      </c>
      <c r="AM178" s="209" t="str">
        <f t="shared" si="96"/>
        <v/>
      </c>
      <c r="AN178" s="89" t="str">
        <f t="shared" si="97"/>
        <v/>
      </c>
      <c r="AO178" s="3" t="str">
        <f t="shared" si="98"/>
        <v/>
      </c>
      <c r="AP178" s="33" t="str">
        <f t="shared" si="99"/>
        <v/>
      </c>
      <c r="AQ178" s="58" t="str">
        <f t="shared" si="100"/>
        <v/>
      </c>
      <c r="AR178" s="38">
        <f>'ANR OK vs ML7'!AR178</f>
        <v>0.1</v>
      </c>
      <c r="AS178" s="35" t="str">
        <f t="shared" si="101"/>
        <v/>
      </c>
      <c r="AT178" s="3" t="str">
        <f t="shared" si="102"/>
        <v/>
      </c>
      <c r="AU178" s="3" t="str">
        <f t="shared" si="103"/>
        <v/>
      </c>
      <c r="AW178" s="32" t="str">
        <f t="shared" si="104"/>
        <v/>
      </c>
      <c r="AX178" s="32" t="str">
        <f t="shared" si="105"/>
        <v/>
      </c>
      <c r="AY178" s="32" t="str">
        <f t="shared" si="106"/>
        <v/>
      </c>
      <c r="BA178" s="32" t="str">
        <f>IF($A179="","",F178*Summary!$Q$13)</f>
        <v/>
      </c>
    </row>
    <row r="179" spans="1:53" ht="12" customHeight="1">
      <c r="A179" s="67" t="str">
        <f t="shared" si="107"/>
        <v/>
      </c>
      <c r="B179" s="69" t="str">
        <f t="shared" si="110"/>
        <v/>
      </c>
      <c r="C179" s="71"/>
      <c r="D179" s="69" t="str">
        <f t="shared" si="74"/>
        <v/>
      </c>
      <c r="E179" s="70" t="str">
        <f t="shared" si="75"/>
        <v/>
      </c>
      <c r="F179" s="70" t="str">
        <f t="shared" si="76"/>
        <v/>
      </c>
      <c r="G179" s="63" t="str">
        <f t="shared" si="77"/>
        <v/>
      </c>
      <c r="H179" s="64" t="str">
        <f t="shared" si="78"/>
        <v/>
      </c>
      <c r="I179" s="43"/>
      <c r="J179" s="63" t="str">
        <f t="shared" si="79"/>
        <v/>
      </c>
      <c r="K179" s="64" t="str">
        <f t="shared" si="80"/>
        <v/>
      </c>
      <c r="L179" s="38">
        <v>0</v>
      </c>
      <c r="M179" s="64" t="str">
        <f t="shared" si="81"/>
        <v/>
      </c>
      <c r="N179" s="65"/>
      <c r="O179" s="63" t="str">
        <f t="shared" si="82"/>
        <v/>
      </c>
      <c r="P179" s="63" t="str">
        <f t="shared" si="83"/>
        <v/>
      </c>
      <c r="Q179" s="66"/>
      <c r="R179" s="63" t="str">
        <f t="shared" si="84"/>
        <v/>
      </c>
      <c r="S179" s="64" t="str">
        <f t="shared" si="85"/>
        <v/>
      </c>
      <c r="T179" s="38">
        <v>0</v>
      </c>
      <c r="U179" s="64" t="str">
        <f t="shared" si="86"/>
        <v/>
      </c>
      <c r="V179" s="219"/>
      <c r="W179" s="43" t="str">
        <f t="shared" si="87"/>
        <v/>
      </c>
      <c r="X179" s="43" t="str">
        <f t="shared" si="88"/>
        <v/>
      </c>
      <c r="Y179" s="43"/>
      <c r="Z179" s="38" t="str">
        <f t="shared" si="89"/>
        <v/>
      </c>
      <c r="AA179" s="38" t="str">
        <f t="shared" si="90"/>
        <v/>
      </c>
      <c r="AB179" s="38" t="e">
        <f t="shared" si="91"/>
        <v>#VALUE!</v>
      </c>
      <c r="AC179" s="38" t="str">
        <f t="shared" si="92"/>
        <v/>
      </c>
      <c r="AD179" s="38" t="str">
        <f t="shared" si="92"/>
        <v/>
      </c>
      <c r="AE179" s="38" t="e">
        <f t="shared" si="93"/>
        <v>#VALUE!</v>
      </c>
      <c r="AF179" s="237" t="e">
        <f>((Summary!$N$13*(AA179*AD179)*(A179-$D$3))+(Summary!$M$13*Z179*AC179*(AJ179-EOMONTH(EDATE(A179,-1),0))))/(AK179*AB179*AE179)</f>
        <v>#VALUE!</v>
      </c>
      <c r="AG179" s="88" t="str">
        <f>IF($A180="","",Summary!$Q$13)</f>
        <v/>
      </c>
      <c r="AH179" s="88" t="str">
        <f>IF($A180="","",IF(Summary!$R$12="Y",(VLOOKUP($A179,Summary!$AD$6:$AF$9,3)+'Escalating commodity'!I192),'Escalating commodity'!I192))</f>
        <v/>
      </c>
      <c r="AI179" s="88" t="str">
        <f t="shared" si="108"/>
        <v/>
      </c>
      <c r="AJ179" s="236" t="e">
        <f t="shared" si="94"/>
        <v>#VALUE!</v>
      </c>
      <c r="AK179" s="58" t="str">
        <f t="shared" si="95"/>
        <v/>
      </c>
      <c r="AL179" s="26" t="str">
        <f>IF($A180="","",_xll.SPRDOPT(P179,X179,AI179,0,AB179,AE179,AF179,AK179,$AJ$2,0))</f>
        <v/>
      </c>
      <c r="AM179" s="209" t="str">
        <f t="shared" si="96"/>
        <v/>
      </c>
      <c r="AN179" s="89" t="str">
        <f t="shared" si="97"/>
        <v/>
      </c>
      <c r="AO179" s="3" t="str">
        <f t="shared" si="98"/>
        <v/>
      </c>
      <c r="AP179" s="33" t="str">
        <f t="shared" si="99"/>
        <v/>
      </c>
      <c r="AQ179" s="58" t="str">
        <f t="shared" si="100"/>
        <v/>
      </c>
      <c r="AR179" s="38">
        <f>'ANR OK vs ML7'!AR179</f>
        <v>0.1</v>
      </c>
      <c r="AS179" s="35" t="str">
        <f t="shared" si="101"/>
        <v/>
      </c>
      <c r="AT179" s="3" t="str">
        <f t="shared" si="102"/>
        <v/>
      </c>
      <c r="AU179" s="3" t="str">
        <f t="shared" si="103"/>
        <v/>
      </c>
      <c r="AW179" s="32" t="str">
        <f t="shared" si="104"/>
        <v/>
      </c>
      <c r="AX179" s="32" t="str">
        <f t="shared" si="105"/>
        <v/>
      </c>
      <c r="AY179" s="32" t="str">
        <f t="shared" si="106"/>
        <v/>
      </c>
      <c r="BA179" s="32" t="str">
        <f>IF($A180="","",F179*Summary!$Q$13)</f>
        <v/>
      </c>
    </row>
    <row r="180" spans="1:53" ht="12" customHeight="1">
      <c r="A180" s="67" t="str">
        <f t="shared" si="107"/>
        <v/>
      </c>
      <c r="B180" s="69" t="str">
        <f t="shared" si="110"/>
        <v/>
      </c>
      <c r="C180" s="71"/>
      <c r="D180" s="69" t="str">
        <f t="shared" si="74"/>
        <v/>
      </c>
      <c r="E180" s="70" t="str">
        <f t="shared" si="75"/>
        <v/>
      </c>
      <c r="F180" s="70" t="str">
        <f t="shared" si="76"/>
        <v/>
      </c>
      <c r="G180" s="63" t="str">
        <f t="shared" si="77"/>
        <v/>
      </c>
      <c r="H180" s="64" t="str">
        <f t="shared" si="78"/>
        <v/>
      </c>
      <c r="I180" s="43"/>
      <c r="J180" s="63" t="str">
        <f t="shared" si="79"/>
        <v/>
      </c>
      <c r="K180" s="64" t="str">
        <f t="shared" si="80"/>
        <v/>
      </c>
      <c r="L180" s="38">
        <v>0</v>
      </c>
      <c r="M180" s="64" t="str">
        <f t="shared" si="81"/>
        <v/>
      </c>
      <c r="N180" s="65"/>
      <c r="O180" s="63" t="str">
        <f t="shared" si="82"/>
        <v/>
      </c>
      <c r="P180" s="63" t="str">
        <f t="shared" si="83"/>
        <v/>
      </c>
      <c r="Q180" s="66"/>
      <c r="R180" s="63" t="str">
        <f t="shared" si="84"/>
        <v/>
      </c>
      <c r="S180" s="64" t="str">
        <f t="shared" si="85"/>
        <v/>
      </c>
      <c r="T180" s="38">
        <v>0</v>
      </c>
      <c r="U180" s="64" t="str">
        <f t="shared" si="86"/>
        <v/>
      </c>
      <c r="V180" s="219"/>
      <c r="W180" s="43" t="str">
        <f t="shared" si="87"/>
        <v/>
      </c>
      <c r="X180" s="43" t="str">
        <f t="shared" si="88"/>
        <v/>
      </c>
      <c r="Y180" s="43"/>
      <c r="Z180" s="38" t="str">
        <f t="shared" si="89"/>
        <v/>
      </c>
      <c r="AA180" s="38" t="str">
        <f t="shared" si="90"/>
        <v/>
      </c>
      <c r="AB180" s="38" t="e">
        <f t="shared" si="91"/>
        <v>#VALUE!</v>
      </c>
      <c r="AC180" s="38" t="str">
        <f t="shared" si="92"/>
        <v/>
      </c>
      <c r="AD180" s="38" t="str">
        <f t="shared" si="92"/>
        <v/>
      </c>
      <c r="AE180" s="38" t="e">
        <f t="shared" si="93"/>
        <v>#VALUE!</v>
      </c>
      <c r="AF180" s="237" t="e">
        <f>((Summary!$N$13*(AA180*AD180)*(A180-$D$3))+(Summary!$M$13*Z180*AC180*(AJ180-EOMONTH(EDATE(A180,-1),0))))/(AK180*AB180*AE180)</f>
        <v>#VALUE!</v>
      </c>
      <c r="AG180" s="88" t="str">
        <f>IF($A181="","",Summary!$Q$13)</f>
        <v/>
      </c>
      <c r="AH180" s="88" t="str">
        <f>IF($A181="","",IF(Summary!$R$12="Y",(VLOOKUP($A180,Summary!$AD$6:$AF$9,3)+'Escalating commodity'!I193),'Escalating commodity'!I193))</f>
        <v/>
      </c>
      <c r="AI180" s="88" t="str">
        <f t="shared" si="108"/>
        <v/>
      </c>
      <c r="AJ180" s="236" t="e">
        <f t="shared" si="94"/>
        <v>#VALUE!</v>
      </c>
      <c r="AK180" s="58" t="str">
        <f t="shared" si="95"/>
        <v/>
      </c>
      <c r="AL180" s="26" t="str">
        <f>IF($A181="","",_xll.SPRDOPT(P180,X180,AI180,0,AB180,AE180,AF180,AK180,$AJ$2,0))</f>
        <v/>
      </c>
      <c r="AM180" s="209" t="str">
        <f t="shared" si="96"/>
        <v/>
      </c>
      <c r="AN180" s="89" t="str">
        <f t="shared" si="97"/>
        <v/>
      </c>
      <c r="AO180" s="3" t="str">
        <f t="shared" si="98"/>
        <v/>
      </c>
      <c r="AP180" s="33" t="str">
        <f t="shared" si="99"/>
        <v/>
      </c>
      <c r="AQ180" s="58" t="str">
        <f t="shared" si="100"/>
        <v/>
      </c>
      <c r="AR180" s="38">
        <f>'ANR OK vs ML7'!AR180</f>
        <v>0.1</v>
      </c>
      <c r="AS180" s="35" t="str">
        <f t="shared" si="101"/>
        <v/>
      </c>
      <c r="AT180" s="3" t="str">
        <f t="shared" si="102"/>
        <v/>
      </c>
      <c r="AU180" s="3" t="str">
        <f t="shared" si="103"/>
        <v/>
      </c>
      <c r="AW180" s="32" t="str">
        <f t="shared" si="104"/>
        <v/>
      </c>
      <c r="AX180" s="32" t="str">
        <f t="shared" si="105"/>
        <v/>
      </c>
      <c r="AY180" s="32" t="str">
        <f t="shared" si="106"/>
        <v/>
      </c>
      <c r="BA180" s="32" t="str">
        <f>IF($A181="","",F180*Summary!$Q$13)</f>
        <v/>
      </c>
    </row>
    <row r="181" spans="1:53" ht="12" customHeight="1">
      <c r="A181" s="67" t="str">
        <f t="shared" si="107"/>
        <v/>
      </c>
      <c r="B181" s="69" t="str">
        <f t="shared" si="110"/>
        <v/>
      </c>
      <c r="C181" s="71"/>
      <c r="D181" s="69" t="str">
        <f t="shared" si="74"/>
        <v/>
      </c>
      <c r="E181" s="70" t="str">
        <f t="shared" si="75"/>
        <v/>
      </c>
      <c r="F181" s="70" t="str">
        <f t="shared" si="76"/>
        <v/>
      </c>
      <c r="G181" s="63" t="str">
        <f t="shared" si="77"/>
        <v/>
      </c>
      <c r="H181" s="64" t="str">
        <f t="shared" si="78"/>
        <v/>
      </c>
      <c r="I181" s="43"/>
      <c r="J181" s="63" t="str">
        <f t="shared" si="79"/>
        <v/>
      </c>
      <c r="K181" s="64" t="str">
        <f t="shared" si="80"/>
        <v/>
      </c>
      <c r="L181" s="38">
        <v>0</v>
      </c>
      <c r="M181" s="64" t="str">
        <f t="shared" si="81"/>
        <v/>
      </c>
      <c r="N181" s="65"/>
      <c r="O181" s="63" t="str">
        <f t="shared" si="82"/>
        <v/>
      </c>
      <c r="P181" s="63" t="str">
        <f t="shared" si="83"/>
        <v/>
      </c>
      <c r="Q181" s="66"/>
      <c r="R181" s="63" t="str">
        <f t="shared" si="84"/>
        <v/>
      </c>
      <c r="S181" s="64" t="str">
        <f t="shared" si="85"/>
        <v/>
      </c>
      <c r="T181" s="38">
        <v>0</v>
      </c>
      <c r="U181" s="64" t="str">
        <f t="shared" si="86"/>
        <v/>
      </c>
      <c r="V181" s="219"/>
      <c r="W181" s="43" t="str">
        <f t="shared" si="87"/>
        <v/>
      </c>
      <c r="X181" s="43" t="str">
        <f t="shared" si="88"/>
        <v/>
      </c>
      <c r="Y181" s="43"/>
      <c r="Z181" s="38" t="str">
        <f t="shared" si="89"/>
        <v/>
      </c>
      <c r="AA181" s="38" t="str">
        <f t="shared" si="90"/>
        <v/>
      </c>
      <c r="AB181" s="38" t="e">
        <f t="shared" si="91"/>
        <v>#VALUE!</v>
      </c>
      <c r="AC181" s="38" t="str">
        <f t="shared" si="92"/>
        <v/>
      </c>
      <c r="AD181" s="38" t="str">
        <f t="shared" si="92"/>
        <v/>
      </c>
      <c r="AE181" s="38" t="e">
        <f t="shared" si="93"/>
        <v>#VALUE!</v>
      </c>
      <c r="AF181" s="237" t="e">
        <f>((Summary!$N$13*(AA181*AD181)*(A181-$D$3))+(Summary!$M$13*Z181*AC181*(AJ181-EOMONTH(EDATE(A181,-1),0))))/(AK181*AB181*AE181)</f>
        <v>#VALUE!</v>
      </c>
      <c r="AG181" s="88" t="str">
        <f>IF($A182="","",Summary!$Q$13)</f>
        <v/>
      </c>
      <c r="AH181" s="88" t="str">
        <f>IF($A182="","",IF(Summary!$R$12="Y",(VLOOKUP($A181,Summary!$AD$6:$AF$9,3)+'Escalating commodity'!I194),'Escalating commodity'!I194))</f>
        <v/>
      </c>
      <c r="AI181" s="88" t="str">
        <f t="shared" si="108"/>
        <v/>
      </c>
      <c r="AJ181" s="236" t="e">
        <f t="shared" si="94"/>
        <v>#VALUE!</v>
      </c>
      <c r="AK181" s="58" t="str">
        <f t="shared" si="95"/>
        <v/>
      </c>
      <c r="AL181" s="26" t="str">
        <f>IF($A182="","",_xll.SPRDOPT(P181,X181,AI181,0,AB181,AE181,AF181,AK181,$AJ$2,0))</f>
        <v/>
      </c>
      <c r="AM181" s="209" t="str">
        <f t="shared" si="96"/>
        <v/>
      </c>
      <c r="AN181" s="89" t="str">
        <f t="shared" si="97"/>
        <v/>
      </c>
      <c r="AO181" s="3" t="str">
        <f t="shared" si="98"/>
        <v/>
      </c>
      <c r="AP181" s="33" t="str">
        <f t="shared" si="99"/>
        <v/>
      </c>
      <c r="AQ181" s="58" t="str">
        <f t="shared" si="100"/>
        <v/>
      </c>
      <c r="AR181" s="38">
        <f>'ANR OK vs ML7'!AR181</f>
        <v>0.1</v>
      </c>
      <c r="AS181" s="35" t="str">
        <f t="shared" si="101"/>
        <v/>
      </c>
      <c r="AT181" s="3" t="str">
        <f t="shared" si="102"/>
        <v/>
      </c>
      <c r="AU181" s="3" t="str">
        <f t="shared" si="103"/>
        <v/>
      </c>
      <c r="AW181" s="32" t="str">
        <f t="shared" si="104"/>
        <v/>
      </c>
      <c r="AX181" s="32" t="str">
        <f t="shared" si="105"/>
        <v/>
      </c>
      <c r="AY181" s="32" t="str">
        <f t="shared" si="106"/>
        <v/>
      </c>
      <c r="BA181" s="32" t="str">
        <f>IF($A182="","",F181*Summary!$Q$13)</f>
        <v/>
      </c>
    </row>
    <row r="182" spans="1:53" ht="12" customHeight="1">
      <c r="A182" s="67" t="str">
        <f t="shared" si="107"/>
        <v/>
      </c>
      <c r="B182" s="69" t="str">
        <f t="shared" si="110"/>
        <v/>
      </c>
      <c r="C182" s="71"/>
      <c r="D182" s="69" t="str">
        <f t="shared" si="74"/>
        <v/>
      </c>
      <c r="E182" s="70" t="str">
        <f t="shared" si="75"/>
        <v/>
      </c>
      <c r="F182" s="70" t="str">
        <f t="shared" si="76"/>
        <v/>
      </c>
      <c r="G182" s="63" t="str">
        <f t="shared" si="77"/>
        <v/>
      </c>
      <c r="H182" s="64" t="str">
        <f t="shared" si="78"/>
        <v/>
      </c>
      <c r="I182" s="43"/>
      <c r="J182" s="63" t="str">
        <f t="shared" si="79"/>
        <v/>
      </c>
      <c r="K182" s="64" t="str">
        <f t="shared" si="80"/>
        <v/>
      </c>
      <c r="L182" s="38">
        <v>0</v>
      </c>
      <c r="M182" s="64" t="str">
        <f t="shared" si="81"/>
        <v/>
      </c>
      <c r="N182" s="65"/>
      <c r="O182" s="63" t="str">
        <f t="shared" si="82"/>
        <v/>
      </c>
      <c r="P182" s="63" t="str">
        <f t="shared" si="83"/>
        <v/>
      </c>
      <c r="Q182" s="66"/>
      <c r="R182" s="63" t="str">
        <f t="shared" si="84"/>
        <v/>
      </c>
      <c r="S182" s="64" t="str">
        <f t="shared" si="85"/>
        <v/>
      </c>
      <c r="T182" s="38">
        <v>0</v>
      </c>
      <c r="U182" s="64" t="str">
        <f t="shared" si="86"/>
        <v/>
      </c>
      <c r="V182" s="219"/>
      <c r="W182" s="43" t="str">
        <f t="shared" si="87"/>
        <v/>
      </c>
      <c r="X182" s="43" t="str">
        <f t="shared" si="88"/>
        <v/>
      </c>
      <c r="Y182" s="43"/>
      <c r="Z182" s="38" t="str">
        <f t="shared" si="89"/>
        <v/>
      </c>
      <c r="AA182" s="38" t="str">
        <f t="shared" si="90"/>
        <v/>
      </c>
      <c r="AB182" s="38" t="e">
        <f t="shared" si="91"/>
        <v>#VALUE!</v>
      </c>
      <c r="AC182" s="38" t="str">
        <f t="shared" si="92"/>
        <v/>
      </c>
      <c r="AD182" s="38" t="str">
        <f t="shared" si="92"/>
        <v/>
      </c>
      <c r="AE182" s="38" t="e">
        <f t="shared" si="93"/>
        <v>#VALUE!</v>
      </c>
      <c r="AF182" s="237" t="e">
        <f>((Summary!$N$13*(AA182*AD182)*(A182-$D$3))+(Summary!$M$13*Z182*AC182*(AJ182-EOMONTH(EDATE(A182,-1),0))))/(AK182*AB182*AE182)</f>
        <v>#VALUE!</v>
      </c>
      <c r="AG182" s="88" t="str">
        <f>IF($A183="","",Summary!$Q$13)</f>
        <v/>
      </c>
      <c r="AH182" s="88" t="str">
        <f>IF($A183="","",IF(Summary!$R$12="Y",(VLOOKUP($A182,Summary!$AD$6:$AF$9,3)+'Escalating commodity'!I195),'Escalating commodity'!I195))</f>
        <v/>
      </c>
      <c r="AI182" s="88" t="str">
        <f t="shared" si="108"/>
        <v/>
      </c>
      <c r="AJ182" s="236" t="e">
        <f t="shared" si="94"/>
        <v>#VALUE!</v>
      </c>
      <c r="AK182" s="58" t="str">
        <f t="shared" si="95"/>
        <v/>
      </c>
      <c r="AL182" s="26" t="str">
        <f>IF($A183="","",_xll.SPRDOPT(P182,X182,AI182,0,AB182,AE182,AF182,AK182,$AJ$2,0))</f>
        <v/>
      </c>
      <c r="AM182" s="209" t="str">
        <f t="shared" si="96"/>
        <v/>
      </c>
      <c r="AN182" s="89" t="str">
        <f t="shared" si="97"/>
        <v/>
      </c>
      <c r="AO182" s="3" t="str">
        <f t="shared" si="98"/>
        <v/>
      </c>
      <c r="AP182" s="33" t="str">
        <f t="shared" si="99"/>
        <v/>
      </c>
      <c r="AQ182" s="58" t="str">
        <f t="shared" si="100"/>
        <v/>
      </c>
      <c r="AR182" s="38">
        <f>'ANR OK vs ML7'!AR182</f>
        <v>0.1</v>
      </c>
      <c r="AS182" s="35" t="str">
        <f t="shared" si="101"/>
        <v/>
      </c>
      <c r="AT182" s="3" t="str">
        <f t="shared" si="102"/>
        <v/>
      </c>
      <c r="AU182" s="3" t="str">
        <f t="shared" si="103"/>
        <v/>
      </c>
      <c r="AW182" s="32" t="str">
        <f t="shared" si="104"/>
        <v/>
      </c>
      <c r="AX182" s="32" t="str">
        <f t="shared" si="105"/>
        <v/>
      </c>
      <c r="AY182" s="32" t="str">
        <f t="shared" si="106"/>
        <v/>
      </c>
      <c r="BA182" s="32" t="str">
        <f>IF($A183="","",F182*Summary!$Q$13)</f>
        <v/>
      </c>
    </row>
    <row r="183" spans="1:53" ht="12" customHeight="1">
      <c r="A183" s="67" t="str">
        <f t="shared" si="107"/>
        <v/>
      </c>
      <c r="B183" s="69" t="str">
        <f t="shared" si="110"/>
        <v/>
      </c>
      <c r="C183" s="71"/>
      <c r="D183" s="69" t="str">
        <f t="shared" si="74"/>
        <v/>
      </c>
      <c r="E183" s="70" t="str">
        <f t="shared" si="75"/>
        <v/>
      </c>
      <c r="F183" s="70" t="str">
        <f t="shared" si="76"/>
        <v/>
      </c>
      <c r="G183" s="63" t="str">
        <f t="shared" si="77"/>
        <v/>
      </c>
      <c r="H183" s="64" t="str">
        <f t="shared" si="78"/>
        <v/>
      </c>
      <c r="I183" s="43"/>
      <c r="J183" s="63" t="str">
        <f t="shared" si="79"/>
        <v/>
      </c>
      <c r="K183" s="64" t="str">
        <f t="shared" si="80"/>
        <v/>
      </c>
      <c r="L183" s="38">
        <v>0</v>
      </c>
      <c r="M183" s="64" t="str">
        <f t="shared" si="81"/>
        <v/>
      </c>
      <c r="N183" s="65"/>
      <c r="O183" s="63" t="str">
        <f t="shared" si="82"/>
        <v/>
      </c>
      <c r="P183" s="63" t="str">
        <f t="shared" si="83"/>
        <v/>
      </c>
      <c r="Q183" s="66"/>
      <c r="R183" s="63" t="str">
        <f t="shared" si="84"/>
        <v/>
      </c>
      <c r="S183" s="64" t="str">
        <f t="shared" si="85"/>
        <v/>
      </c>
      <c r="T183" s="38">
        <v>0</v>
      </c>
      <c r="U183" s="64" t="str">
        <f t="shared" si="86"/>
        <v/>
      </c>
      <c r="V183" s="219"/>
      <c r="W183" s="43" t="str">
        <f t="shared" si="87"/>
        <v/>
      </c>
      <c r="X183" s="43" t="str">
        <f t="shared" si="88"/>
        <v/>
      </c>
      <c r="Y183" s="43"/>
      <c r="Z183" s="38" t="str">
        <f t="shared" si="89"/>
        <v/>
      </c>
      <c r="AA183" s="38" t="str">
        <f t="shared" si="90"/>
        <v/>
      </c>
      <c r="AB183" s="38" t="e">
        <f t="shared" si="91"/>
        <v>#VALUE!</v>
      </c>
      <c r="AC183" s="38" t="str">
        <f t="shared" si="92"/>
        <v/>
      </c>
      <c r="AD183" s="38" t="str">
        <f t="shared" si="92"/>
        <v/>
      </c>
      <c r="AE183" s="38" t="e">
        <f t="shared" si="93"/>
        <v>#VALUE!</v>
      </c>
      <c r="AF183" s="237" t="e">
        <f>((Summary!$N$13*(AA183*AD183)*(A183-$D$3))+(Summary!$M$13*Z183*AC183*(AJ183-EOMONTH(EDATE(A183,-1),0))))/(AK183*AB183*AE183)</f>
        <v>#VALUE!</v>
      </c>
      <c r="AG183" s="88" t="str">
        <f>IF($A184="","",Summary!$Q$13)</f>
        <v/>
      </c>
      <c r="AH183" s="88" t="str">
        <f>IF($A184="","",IF(Summary!$R$12="Y",(VLOOKUP($A183,Summary!$AD$6:$AF$9,3)+'Escalating commodity'!I196),'Escalating commodity'!I196))</f>
        <v/>
      </c>
      <c r="AI183" s="88" t="str">
        <f t="shared" si="108"/>
        <v/>
      </c>
      <c r="AJ183" s="236" t="e">
        <f t="shared" si="94"/>
        <v>#VALUE!</v>
      </c>
      <c r="AK183" s="58" t="str">
        <f t="shared" si="95"/>
        <v/>
      </c>
      <c r="AL183" s="26" t="str">
        <f>IF($A184="","",_xll.SPRDOPT(P183,X183,AI183,0,AB183,AE183,AF183,AK183,$AJ$2,0))</f>
        <v/>
      </c>
      <c r="AM183" s="209" t="str">
        <f t="shared" si="96"/>
        <v/>
      </c>
      <c r="AN183" s="89" t="str">
        <f t="shared" si="97"/>
        <v/>
      </c>
      <c r="AO183" s="3" t="str">
        <f t="shared" si="98"/>
        <v/>
      </c>
      <c r="AP183" s="33" t="str">
        <f t="shared" si="99"/>
        <v/>
      </c>
      <c r="AQ183" s="58" t="str">
        <f t="shared" si="100"/>
        <v/>
      </c>
      <c r="AR183" s="38">
        <f>'ANR OK vs ML7'!AR183</f>
        <v>0.1</v>
      </c>
      <c r="AS183" s="35" t="str">
        <f t="shared" si="101"/>
        <v/>
      </c>
      <c r="AT183" s="3" t="str">
        <f t="shared" si="102"/>
        <v/>
      </c>
      <c r="AU183" s="3" t="str">
        <f t="shared" si="103"/>
        <v/>
      </c>
      <c r="AW183" s="32" t="str">
        <f t="shared" si="104"/>
        <v/>
      </c>
      <c r="AX183" s="32" t="str">
        <f t="shared" si="105"/>
        <v/>
      </c>
      <c r="AY183" s="32" t="str">
        <f t="shared" si="106"/>
        <v/>
      </c>
      <c r="BA183" s="32" t="str">
        <f>IF($A184="","",F183*Summary!$Q$13)</f>
        <v/>
      </c>
    </row>
    <row r="184" spans="1:53" ht="12" customHeight="1">
      <c r="A184" s="67" t="str">
        <f t="shared" si="107"/>
        <v/>
      </c>
      <c r="B184" s="69" t="str">
        <f t="shared" si="110"/>
        <v/>
      </c>
      <c r="C184" s="71"/>
      <c r="D184" s="69" t="str">
        <f t="shared" si="74"/>
        <v/>
      </c>
      <c r="E184" s="70" t="str">
        <f t="shared" si="75"/>
        <v/>
      </c>
      <c r="F184" s="70" t="str">
        <f t="shared" si="76"/>
        <v/>
      </c>
      <c r="G184" s="63" t="str">
        <f t="shared" si="77"/>
        <v/>
      </c>
      <c r="H184" s="64" t="str">
        <f t="shared" si="78"/>
        <v/>
      </c>
      <c r="I184" s="43"/>
      <c r="J184" s="63" t="str">
        <f t="shared" si="79"/>
        <v/>
      </c>
      <c r="K184" s="64" t="str">
        <f t="shared" si="80"/>
        <v/>
      </c>
      <c r="L184" s="38">
        <v>0</v>
      </c>
      <c r="M184" s="64" t="str">
        <f t="shared" si="81"/>
        <v/>
      </c>
      <c r="N184" s="65"/>
      <c r="O184" s="63" t="str">
        <f t="shared" si="82"/>
        <v/>
      </c>
      <c r="P184" s="63" t="str">
        <f t="shared" si="83"/>
        <v/>
      </c>
      <c r="Q184" s="66"/>
      <c r="R184" s="63" t="str">
        <f t="shared" si="84"/>
        <v/>
      </c>
      <c r="S184" s="64" t="str">
        <f t="shared" si="85"/>
        <v/>
      </c>
      <c r="T184" s="38">
        <v>0</v>
      </c>
      <c r="U184" s="64" t="str">
        <f t="shared" si="86"/>
        <v/>
      </c>
      <c r="V184" s="219"/>
      <c r="W184" s="43" t="str">
        <f t="shared" si="87"/>
        <v/>
      </c>
      <c r="X184" s="43" t="str">
        <f t="shared" si="88"/>
        <v/>
      </c>
      <c r="Y184" s="43"/>
      <c r="Z184" s="38" t="str">
        <f t="shared" si="89"/>
        <v/>
      </c>
      <c r="AA184" s="38" t="str">
        <f t="shared" si="90"/>
        <v/>
      </c>
      <c r="AB184" s="38" t="e">
        <f t="shared" si="91"/>
        <v>#VALUE!</v>
      </c>
      <c r="AC184" s="38" t="str">
        <f t="shared" si="92"/>
        <v/>
      </c>
      <c r="AD184" s="38" t="str">
        <f t="shared" si="92"/>
        <v/>
      </c>
      <c r="AE184" s="38" t="e">
        <f t="shared" si="93"/>
        <v>#VALUE!</v>
      </c>
      <c r="AF184" s="237" t="e">
        <f>((Summary!$N$13*(AA184*AD184)*(A184-$D$3))+(Summary!$M$13*Z184*AC184*(AJ184-EOMONTH(EDATE(A184,-1),0))))/(AK184*AB184*AE184)</f>
        <v>#VALUE!</v>
      </c>
      <c r="AG184" s="88" t="str">
        <f>IF($A185="","",Summary!$Q$13)</f>
        <v/>
      </c>
      <c r="AH184" s="88" t="str">
        <f>IF($A185="","",IF(Summary!$R$12="Y",(VLOOKUP($A184,Summary!$AD$6:$AF$9,3)+'Escalating commodity'!I197),'Escalating commodity'!I197))</f>
        <v/>
      </c>
      <c r="AI184" s="88" t="str">
        <f t="shared" si="108"/>
        <v/>
      </c>
      <c r="AJ184" s="236" t="e">
        <f t="shared" si="94"/>
        <v>#VALUE!</v>
      </c>
      <c r="AK184" s="58" t="str">
        <f t="shared" si="95"/>
        <v/>
      </c>
      <c r="AL184" s="26" t="str">
        <f>IF($A185="","",_xll.SPRDOPT(P184,X184,AI184,0,AB184,AE184,AF184,AK184,$AJ$2,0))</f>
        <v/>
      </c>
      <c r="AM184" s="209" t="str">
        <f t="shared" si="96"/>
        <v/>
      </c>
      <c r="AN184" s="89" t="str">
        <f t="shared" si="97"/>
        <v/>
      </c>
      <c r="AO184" s="3" t="str">
        <f t="shared" si="98"/>
        <v/>
      </c>
      <c r="AP184" s="33" t="str">
        <f t="shared" si="99"/>
        <v/>
      </c>
      <c r="AQ184" s="58" t="str">
        <f t="shared" si="100"/>
        <v/>
      </c>
      <c r="AR184" s="38">
        <f>'ANR OK vs ML7'!AR184</f>
        <v>0.1</v>
      </c>
      <c r="AS184" s="35" t="str">
        <f t="shared" si="101"/>
        <v/>
      </c>
      <c r="AT184" s="3" t="str">
        <f t="shared" si="102"/>
        <v/>
      </c>
      <c r="AU184" s="3" t="str">
        <f t="shared" si="103"/>
        <v/>
      </c>
      <c r="AW184" s="32" t="str">
        <f t="shared" si="104"/>
        <v/>
      </c>
      <c r="AX184" s="32" t="str">
        <f t="shared" si="105"/>
        <v/>
      </c>
      <c r="AY184" s="32" t="str">
        <f t="shared" si="106"/>
        <v/>
      </c>
      <c r="BA184" s="32" t="str">
        <f>IF($A185="","",F184*Summary!$Q$13)</f>
        <v/>
      </c>
    </row>
    <row r="185" spans="1:53" ht="12" customHeight="1">
      <c r="A185" s="67" t="str">
        <f t="shared" si="107"/>
        <v/>
      </c>
      <c r="B185" s="69" t="str">
        <f t="shared" si="110"/>
        <v/>
      </c>
      <c r="C185" s="71"/>
      <c r="D185" s="69" t="str">
        <f t="shared" si="74"/>
        <v/>
      </c>
      <c r="E185" s="70" t="str">
        <f t="shared" si="75"/>
        <v/>
      </c>
      <c r="F185" s="70" t="str">
        <f t="shared" si="76"/>
        <v/>
      </c>
      <c r="G185" s="63" t="str">
        <f t="shared" si="77"/>
        <v/>
      </c>
      <c r="H185" s="64" t="str">
        <f t="shared" si="78"/>
        <v/>
      </c>
      <c r="I185" s="43"/>
      <c r="J185" s="63" t="str">
        <f t="shared" si="79"/>
        <v/>
      </c>
      <c r="K185" s="64" t="str">
        <f t="shared" si="80"/>
        <v/>
      </c>
      <c r="L185" s="38">
        <v>0</v>
      </c>
      <c r="M185" s="64" t="str">
        <f t="shared" si="81"/>
        <v/>
      </c>
      <c r="N185" s="65"/>
      <c r="O185" s="63" t="str">
        <f t="shared" si="82"/>
        <v/>
      </c>
      <c r="P185" s="63" t="str">
        <f t="shared" si="83"/>
        <v/>
      </c>
      <c r="Q185" s="66"/>
      <c r="R185" s="63" t="str">
        <f t="shared" si="84"/>
        <v/>
      </c>
      <c r="S185" s="64" t="str">
        <f t="shared" si="85"/>
        <v/>
      </c>
      <c r="T185" s="38">
        <v>0</v>
      </c>
      <c r="U185" s="64" t="str">
        <f t="shared" si="86"/>
        <v/>
      </c>
      <c r="V185" s="219"/>
      <c r="W185" s="43" t="str">
        <f t="shared" si="87"/>
        <v/>
      </c>
      <c r="X185" s="43" t="str">
        <f t="shared" si="88"/>
        <v/>
      </c>
      <c r="Y185" s="43"/>
      <c r="Z185" s="38" t="str">
        <f t="shared" si="89"/>
        <v/>
      </c>
      <c r="AA185" s="38" t="str">
        <f t="shared" si="90"/>
        <v/>
      </c>
      <c r="AB185" s="38" t="e">
        <f t="shared" si="91"/>
        <v>#VALUE!</v>
      </c>
      <c r="AC185" s="38" t="str">
        <f t="shared" si="92"/>
        <v/>
      </c>
      <c r="AD185" s="38" t="str">
        <f t="shared" si="92"/>
        <v/>
      </c>
      <c r="AE185" s="38" t="e">
        <f t="shared" si="93"/>
        <v>#VALUE!</v>
      </c>
      <c r="AF185" s="237" t="e">
        <f>((Summary!$N$13*(AA185*AD185)*(A185-$D$3))+(Summary!$M$13*Z185*AC185*(AJ185-EOMONTH(EDATE(A185,-1),0))))/(AK185*AB185*AE185)</f>
        <v>#VALUE!</v>
      </c>
      <c r="AG185" s="88" t="str">
        <f>IF($A186="","",Summary!$Q$13)</f>
        <v/>
      </c>
      <c r="AH185" s="88" t="str">
        <f>IF($A186="","",IF(Summary!$R$12="Y",(VLOOKUP($A185,Summary!$AD$6:$AF$9,3)+'Escalating commodity'!I198),'Escalating commodity'!I198))</f>
        <v/>
      </c>
      <c r="AI185" s="88" t="str">
        <f t="shared" si="108"/>
        <v/>
      </c>
      <c r="AJ185" s="236" t="e">
        <f t="shared" si="94"/>
        <v>#VALUE!</v>
      </c>
      <c r="AK185" s="58" t="str">
        <f t="shared" si="95"/>
        <v/>
      </c>
      <c r="AL185" s="26" t="str">
        <f>IF($A186="","",_xll.SPRDOPT(P185,X185,AI185,0,AB185,AE185,AF185,AK185,$AJ$2,0))</f>
        <v/>
      </c>
      <c r="AM185" s="209" t="str">
        <f t="shared" si="96"/>
        <v/>
      </c>
      <c r="AN185" s="89" t="str">
        <f t="shared" si="97"/>
        <v/>
      </c>
      <c r="AO185" s="3" t="str">
        <f t="shared" si="98"/>
        <v/>
      </c>
      <c r="AP185" s="33" t="str">
        <f t="shared" si="99"/>
        <v/>
      </c>
      <c r="AQ185" s="58" t="str">
        <f t="shared" si="100"/>
        <v/>
      </c>
      <c r="AR185" s="38">
        <f>'ANR OK vs ML7'!AR185</f>
        <v>0.1</v>
      </c>
      <c r="AS185" s="35" t="str">
        <f t="shared" si="101"/>
        <v/>
      </c>
      <c r="AT185" s="3" t="str">
        <f t="shared" si="102"/>
        <v/>
      </c>
      <c r="AU185" s="3" t="str">
        <f t="shared" si="103"/>
        <v/>
      </c>
      <c r="AW185" s="32" t="str">
        <f t="shared" si="104"/>
        <v/>
      </c>
      <c r="AX185" s="32" t="str">
        <f t="shared" si="105"/>
        <v/>
      </c>
      <c r="AY185" s="32" t="str">
        <f t="shared" si="106"/>
        <v/>
      </c>
      <c r="BA185" s="32" t="str">
        <f>IF($A186="","",F185*Summary!$Q$13)</f>
        <v/>
      </c>
    </row>
    <row r="186" spans="1:53" ht="12" customHeight="1">
      <c r="A186" s="67" t="str">
        <f t="shared" si="107"/>
        <v/>
      </c>
      <c r="B186" s="69" t="str">
        <f t="shared" si="110"/>
        <v/>
      </c>
      <c r="C186" s="71"/>
      <c r="D186" s="69" t="str">
        <f t="shared" si="74"/>
        <v/>
      </c>
      <c r="E186" s="70" t="str">
        <f t="shared" si="75"/>
        <v/>
      </c>
      <c r="F186" s="70" t="str">
        <f t="shared" si="76"/>
        <v/>
      </c>
      <c r="G186" s="63" t="str">
        <f t="shared" si="77"/>
        <v/>
      </c>
      <c r="H186" s="64" t="str">
        <f t="shared" si="78"/>
        <v/>
      </c>
      <c r="I186" s="43"/>
      <c r="J186" s="63" t="str">
        <f t="shared" si="79"/>
        <v/>
      </c>
      <c r="K186" s="64" t="str">
        <f t="shared" si="80"/>
        <v/>
      </c>
      <c r="L186" s="38">
        <v>0</v>
      </c>
      <c r="M186" s="64" t="str">
        <f t="shared" si="81"/>
        <v/>
      </c>
      <c r="N186" s="65"/>
      <c r="O186" s="63" t="str">
        <f t="shared" si="82"/>
        <v/>
      </c>
      <c r="P186" s="63" t="str">
        <f t="shared" si="83"/>
        <v/>
      </c>
      <c r="Q186" s="66"/>
      <c r="R186" s="63" t="str">
        <f t="shared" si="84"/>
        <v/>
      </c>
      <c r="S186" s="64" t="str">
        <f t="shared" si="85"/>
        <v/>
      </c>
      <c r="T186" s="38">
        <v>0</v>
      </c>
      <c r="U186" s="64" t="str">
        <f t="shared" si="86"/>
        <v/>
      </c>
      <c r="V186" s="219"/>
      <c r="W186" s="43" t="str">
        <f t="shared" si="87"/>
        <v/>
      </c>
      <c r="X186" s="43" t="str">
        <f t="shared" si="88"/>
        <v/>
      </c>
      <c r="Y186" s="43"/>
      <c r="Z186" s="38" t="str">
        <f t="shared" si="89"/>
        <v/>
      </c>
      <c r="AA186" s="38" t="str">
        <f t="shared" si="90"/>
        <v/>
      </c>
      <c r="AB186" s="38" t="e">
        <f t="shared" si="91"/>
        <v>#VALUE!</v>
      </c>
      <c r="AC186" s="38" t="str">
        <f t="shared" si="92"/>
        <v/>
      </c>
      <c r="AD186" s="38" t="str">
        <f t="shared" si="92"/>
        <v/>
      </c>
      <c r="AE186" s="38" t="e">
        <f t="shared" si="93"/>
        <v>#VALUE!</v>
      </c>
      <c r="AF186" s="237" t="e">
        <f>((Summary!$N$13*(AA186*AD186)*(A186-$D$3))+(Summary!$M$13*Z186*AC186*(AJ186-EOMONTH(EDATE(A186,-1),0))))/(AK186*AB186*AE186)</f>
        <v>#VALUE!</v>
      </c>
      <c r="AG186" s="88" t="str">
        <f>IF($A187="","",Summary!$Q$13)</f>
        <v/>
      </c>
      <c r="AH186" s="88" t="str">
        <f>IF($A187="","",IF(Summary!$R$12="Y",(VLOOKUP($A186,Summary!$AD$6:$AF$9,3)+'Escalating commodity'!I199),'Escalating commodity'!I199))</f>
        <v/>
      </c>
      <c r="AI186" s="88" t="str">
        <f t="shared" si="108"/>
        <v/>
      </c>
      <c r="AJ186" s="236" t="e">
        <f t="shared" si="94"/>
        <v>#VALUE!</v>
      </c>
      <c r="AK186" s="58" t="str">
        <f t="shared" si="95"/>
        <v/>
      </c>
      <c r="AL186" s="26" t="str">
        <f>IF($A187="","",_xll.SPRDOPT(P186,X186,AI186,0,AB186,AE186,AF186,AK186,$AJ$2,0))</f>
        <v/>
      </c>
      <c r="AM186" s="209" t="str">
        <f t="shared" si="96"/>
        <v/>
      </c>
      <c r="AN186" s="89" t="str">
        <f t="shared" si="97"/>
        <v/>
      </c>
      <c r="AO186" s="3" t="str">
        <f t="shared" si="98"/>
        <v/>
      </c>
      <c r="AP186" s="33" t="str">
        <f t="shared" si="99"/>
        <v/>
      </c>
      <c r="AQ186" s="58" t="str">
        <f t="shared" si="100"/>
        <v/>
      </c>
      <c r="AR186" s="38">
        <f>'ANR OK vs ML7'!AR186</f>
        <v>0.1</v>
      </c>
      <c r="AS186" s="35" t="str">
        <f t="shared" si="101"/>
        <v/>
      </c>
      <c r="AT186" s="3" t="str">
        <f t="shared" si="102"/>
        <v/>
      </c>
      <c r="AU186" s="3" t="str">
        <f t="shared" si="103"/>
        <v/>
      </c>
      <c r="AW186" s="32" t="str">
        <f t="shared" si="104"/>
        <v/>
      </c>
      <c r="AX186" s="32" t="str">
        <f t="shared" si="105"/>
        <v/>
      </c>
      <c r="AY186" s="32" t="str">
        <f t="shared" si="106"/>
        <v/>
      </c>
      <c r="BA186" s="32" t="str">
        <f>IF($A187="","",F186*Summary!$Q$13)</f>
        <v/>
      </c>
    </row>
    <row r="187" spans="1:53" ht="12" customHeight="1">
      <c r="A187" s="67" t="str">
        <f t="shared" si="107"/>
        <v/>
      </c>
      <c r="B187" s="69" t="str">
        <f t="shared" si="110"/>
        <v/>
      </c>
      <c r="C187" s="71"/>
      <c r="D187" s="69" t="str">
        <f t="shared" si="74"/>
        <v/>
      </c>
      <c r="E187" s="70" t="str">
        <f t="shared" si="75"/>
        <v/>
      </c>
      <c r="F187" s="70" t="str">
        <f t="shared" si="76"/>
        <v/>
      </c>
      <c r="G187" s="63" t="str">
        <f t="shared" si="77"/>
        <v/>
      </c>
      <c r="H187" s="64" t="str">
        <f t="shared" si="78"/>
        <v/>
      </c>
      <c r="I187" s="43"/>
      <c r="J187" s="63" t="str">
        <f t="shared" si="79"/>
        <v/>
      </c>
      <c r="K187" s="64" t="str">
        <f t="shared" si="80"/>
        <v/>
      </c>
      <c r="L187" s="38">
        <v>0</v>
      </c>
      <c r="M187" s="64" t="str">
        <f t="shared" si="81"/>
        <v/>
      </c>
      <c r="N187" s="65"/>
      <c r="O187" s="63" t="str">
        <f t="shared" si="82"/>
        <v/>
      </c>
      <c r="P187" s="63" t="str">
        <f t="shared" si="83"/>
        <v/>
      </c>
      <c r="Q187" s="66"/>
      <c r="R187" s="63" t="str">
        <f t="shared" si="84"/>
        <v/>
      </c>
      <c r="S187" s="64" t="str">
        <f t="shared" si="85"/>
        <v/>
      </c>
      <c r="T187" s="38">
        <v>0</v>
      </c>
      <c r="U187" s="64" t="str">
        <f t="shared" si="86"/>
        <v/>
      </c>
      <c r="V187" s="219"/>
      <c r="W187" s="43" t="str">
        <f t="shared" si="87"/>
        <v/>
      </c>
      <c r="X187" s="43" t="str">
        <f t="shared" si="88"/>
        <v/>
      </c>
      <c r="Y187" s="43"/>
      <c r="Z187" s="38" t="str">
        <f t="shared" si="89"/>
        <v/>
      </c>
      <c r="AA187" s="38" t="str">
        <f t="shared" si="90"/>
        <v/>
      </c>
      <c r="AB187" s="38" t="e">
        <f t="shared" si="91"/>
        <v>#VALUE!</v>
      </c>
      <c r="AC187" s="38" t="str">
        <f t="shared" si="92"/>
        <v/>
      </c>
      <c r="AD187" s="38" t="str">
        <f t="shared" si="92"/>
        <v/>
      </c>
      <c r="AE187" s="38" t="e">
        <f t="shared" si="93"/>
        <v>#VALUE!</v>
      </c>
      <c r="AF187" s="237" t="e">
        <f>((Summary!$N$13*(AA187*AD187)*(A187-$D$3))+(Summary!$M$13*Z187*AC187*(AJ187-EOMONTH(EDATE(A187,-1),0))))/(AK187*AB187*AE187)</f>
        <v>#VALUE!</v>
      </c>
      <c r="AG187" s="88" t="str">
        <f>IF($A188="","",Summary!$Q$13)</f>
        <v/>
      </c>
      <c r="AH187" s="88" t="str">
        <f>IF($A188="","",IF(Summary!$R$12="Y",(VLOOKUP($A187,Summary!$AD$6:$AF$9,3)+'Escalating commodity'!I200),'Escalating commodity'!I200))</f>
        <v/>
      </c>
      <c r="AI187" s="88" t="str">
        <f t="shared" si="108"/>
        <v/>
      </c>
      <c r="AJ187" s="236" t="e">
        <f t="shared" si="94"/>
        <v>#VALUE!</v>
      </c>
      <c r="AK187" s="58" t="str">
        <f t="shared" si="95"/>
        <v/>
      </c>
      <c r="AL187" s="26" t="str">
        <f>IF($A188="","",_xll.SPRDOPT(P187,X187,AI187,0,AB187,AE187,AF187,AK187,$AJ$2,0))</f>
        <v/>
      </c>
      <c r="AM187" s="209" t="str">
        <f t="shared" si="96"/>
        <v/>
      </c>
      <c r="AN187" s="89" t="str">
        <f t="shared" si="97"/>
        <v/>
      </c>
      <c r="AO187" s="3" t="str">
        <f t="shared" si="98"/>
        <v/>
      </c>
      <c r="AP187" s="33" t="str">
        <f t="shared" si="99"/>
        <v/>
      </c>
      <c r="AQ187" s="58" t="str">
        <f t="shared" si="100"/>
        <v/>
      </c>
      <c r="AR187" s="38">
        <f>'ANR OK vs ML7'!AR187</f>
        <v>0.1</v>
      </c>
      <c r="AS187" s="35" t="str">
        <f t="shared" si="101"/>
        <v/>
      </c>
      <c r="AT187" s="3" t="str">
        <f t="shared" si="102"/>
        <v/>
      </c>
      <c r="AU187" s="3" t="str">
        <f t="shared" si="103"/>
        <v/>
      </c>
      <c r="AW187" s="32" t="str">
        <f t="shared" si="104"/>
        <v/>
      </c>
      <c r="AX187" s="32" t="str">
        <f t="shared" si="105"/>
        <v/>
      </c>
      <c r="AY187" s="32" t="str">
        <f t="shared" si="106"/>
        <v/>
      </c>
      <c r="BA187" s="32" t="str">
        <f>IF($A188="","",F187*Summary!$Q$13)</f>
        <v/>
      </c>
    </row>
    <row r="188" spans="1:53" ht="12" customHeight="1">
      <c r="A188" s="67" t="str">
        <f t="shared" si="107"/>
        <v/>
      </c>
      <c r="B188" s="69" t="str">
        <f t="shared" si="110"/>
        <v/>
      </c>
      <c r="C188" s="71"/>
      <c r="D188" s="69" t="str">
        <f t="shared" si="74"/>
        <v/>
      </c>
      <c r="E188" s="70" t="str">
        <f t="shared" si="75"/>
        <v/>
      </c>
      <c r="F188" s="70" t="str">
        <f t="shared" si="76"/>
        <v/>
      </c>
      <c r="G188" s="63" t="str">
        <f t="shared" si="77"/>
        <v/>
      </c>
      <c r="H188" s="64" t="str">
        <f t="shared" si="78"/>
        <v/>
      </c>
      <c r="I188" s="43"/>
      <c r="J188" s="63" t="str">
        <f t="shared" si="79"/>
        <v/>
      </c>
      <c r="K188" s="64" t="str">
        <f t="shared" si="80"/>
        <v/>
      </c>
      <c r="L188" s="38">
        <v>0</v>
      </c>
      <c r="M188" s="64" t="str">
        <f t="shared" si="81"/>
        <v/>
      </c>
      <c r="N188" s="65"/>
      <c r="O188" s="63" t="str">
        <f t="shared" si="82"/>
        <v/>
      </c>
      <c r="P188" s="63" t="str">
        <f t="shared" si="83"/>
        <v/>
      </c>
      <c r="Q188" s="66"/>
      <c r="R188" s="63" t="str">
        <f t="shared" si="84"/>
        <v/>
      </c>
      <c r="S188" s="64" t="str">
        <f t="shared" si="85"/>
        <v/>
      </c>
      <c r="T188" s="38">
        <v>0</v>
      </c>
      <c r="U188" s="64" t="str">
        <f t="shared" si="86"/>
        <v/>
      </c>
      <c r="V188" s="219"/>
      <c r="W188" s="43" t="str">
        <f t="shared" si="87"/>
        <v/>
      </c>
      <c r="X188" s="43" t="str">
        <f t="shared" si="88"/>
        <v/>
      </c>
      <c r="Y188" s="43"/>
      <c r="Z188" s="38" t="str">
        <f t="shared" si="89"/>
        <v/>
      </c>
      <c r="AA188" s="38" t="str">
        <f t="shared" si="90"/>
        <v/>
      </c>
      <c r="AB188" s="38" t="e">
        <f t="shared" si="91"/>
        <v>#VALUE!</v>
      </c>
      <c r="AC188" s="38" t="str">
        <f t="shared" si="92"/>
        <v/>
      </c>
      <c r="AD188" s="38" t="str">
        <f t="shared" si="92"/>
        <v/>
      </c>
      <c r="AE188" s="38" t="e">
        <f t="shared" si="93"/>
        <v>#VALUE!</v>
      </c>
      <c r="AF188" s="237" t="e">
        <f>((Summary!$N$13*(AA188*AD188)*(A188-$D$3))+(Summary!$M$13*Z188*AC188*(AJ188-EOMONTH(EDATE(A188,-1),0))))/(AK188*AB188*AE188)</f>
        <v>#VALUE!</v>
      </c>
      <c r="AG188" s="88" t="str">
        <f>IF($A189="","",Summary!$Q$13)</f>
        <v/>
      </c>
      <c r="AH188" s="88" t="str">
        <f>IF($A189="","",IF(Summary!$R$12="Y",(VLOOKUP($A188,Summary!$AD$6:$AF$9,3)+'Escalating commodity'!I201),'Escalating commodity'!I201))</f>
        <v/>
      </c>
      <c r="AI188" s="88" t="str">
        <f t="shared" si="108"/>
        <v/>
      </c>
      <c r="AJ188" s="236" t="e">
        <f t="shared" si="94"/>
        <v>#VALUE!</v>
      </c>
      <c r="AK188" s="58" t="str">
        <f t="shared" si="95"/>
        <v/>
      </c>
      <c r="AL188" s="26" t="str">
        <f>IF($A189="","",_xll.SPRDOPT(P188,X188,AI188,0,AB188,AE188,AF188,AK188,$AJ$2,0))</f>
        <v/>
      </c>
      <c r="AM188" s="209" t="str">
        <f t="shared" si="96"/>
        <v/>
      </c>
      <c r="AN188" s="89" t="str">
        <f t="shared" si="97"/>
        <v/>
      </c>
      <c r="AO188" s="3" t="str">
        <f t="shared" si="98"/>
        <v/>
      </c>
      <c r="AP188" s="33" t="str">
        <f t="shared" si="99"/>
        <v/>
      </c>
      <c r="AQ188" s="58" t="str">
        <f t="shared" si="100"/>
        <v/>
      </c>
      <c r="AR188" s="38">
        <f>'ANR OK vs ML7'!AR188</f>
        <v>0.1</v>
      </c>
      <c r="AS188" s="35" t="str">
        <f t="shared" si="101"/>
        <v/>
      </c>
      <c r="AT188" s="3" t="str">
        <f t="shared" si="102"/>
        <v/>
      </c>
      <c r="AU188" s="3" t="str">
        <f t="shared" si="103"/>
        <v/>
      </c>
      <c r="AW188" s="32" t="str">
        <f t="shared" si="104"/>
        <v/>
      </c>
      <c r="AX188" s="32" t="str">
        <f t="shared" si="105"/>
        <v/>
      </c>
      <c r="AY188" s="32" t="str">
        <f t="shared" si="106"/>
        <v/>
      </c>
      <c r="BA188" s="32" t="str">
        <f>IF($A189="","",F188*Summary!$Q$13)</f>
        <v/>
      </c>
    </row>
    <row r="189" spans="1:53" ht="12" customHeight="1">
      <c r="A189" s="67" t="str">
        <f t="shared" si="107"/>
        <v/>
      </c>
      <c r="B189" s="69" t="str">
        <f t="shared" si="110"/>
        <v/>
      </c>
      <c r="C189" s="71"/>
      <c r="D189" s="69" t="str">
        <f t="shared" si="74"/>
        <v/>
      </c>
      <c r="E189" s="70" t="str">
        <f t="shared" si="75"/>
        <v/>
      </c>
      <c r="F189" s="70" t="str">
        <f t="shared" si="76"/>
        <v/>
      </c>
      <c r="G189" s="63" t="str">
        <f t="shared" si="77"/>
        <v/>
      </c>
      <c r="H189" s="64" t="str">
        <f t="shared" si="78"/>
        <v/>
      </c>
      <c r="I189" s="43"/>
      <c r="J189" s="63" t="str">
        <f t="shared" si="79"/>
        <v/>
      </c>
      <c r="K189" s="64" t="str">
        <f t="shared" si="80"/>
        <v/>
      </c>
      <c r="L189" s="38">
        <v>0</v>
      </c>
      <c r="M189" s="64" t="str">
        <f t="shared" si="81"/>
        <v/>
      </c>
      <c r="N189" s="65"/>
      <c r="O189" s="63" t="str">
        <f t="shared" si="82"/>
        <v/>
      </c>
      <c r="P189" s="63" t="str">
        <f t="shared" si="83"/>
        <v/>
      </c>
      <c r="Q189" s="66"/>
      <c r="R189" s="63" t="str">
        <f t="shared" si="84"/>
        <v/>
      </c>
      <c r="S189" s="64" t="str">
        <f t="shared" si="85"/>
        <v/>
      </c>
      <c r="T189" s="38">
        <v>0</v>
      </c>
      <c r="U189" s="64" t="str">
        <f t="shared" si="86"/>
        <v/>
      </c>
      <c r="V189" s="219"/>
      <c r="W189" s="43" t="str">
        <f t="shared" si="87"/>
        <v/>
      </c>
      <c r="X189" s="43" t="str">
        <f t="shared" si="88"/>
        <v/>
      </c>
      <c r="Y189" s="43"/>
      <c r="Z189" s="38" t="str">
        <f t="shared" si="89"/>
        <v/>
      </c>
      <c r="AA189" s="38" t="str">
        <f t="shared" si="90"/>
        <v/>
      </c>
      <c r="AB189" s="38" t="e">
        <f t="shared" si="91"/>
        <v>#VALUE!</v>
      </c>
      <c r="AC189" s="38" t="str">
        <f t="shared" si="92"/>
        <v/>
      </c>
      <c r="AD189" s="38" t="str">
        <f t="shared" si="92"/>
        <v/>
      </c>
      <c r="AE189" s="38" t="e">
        <f t="shared" si="93"/>
        <v>#VALUE!</v>
      </c>
      <c r="AF189" s="237" t="e">
        <f>((Summary!$N$13*(AA189*AD189)*(A189-$D$3))+(Summary!$M$13*Z189*AC189*(AJ189-EOMONTH(EDATE(A189,-1),0))))/(AK189*AB189*AE189)</f>
        <v>#VALUE!</v>
      </c>
      <c r="AG189" s="88" t="str">
        <f>IF($A190="","",Summary!$Q$13)</f>
        <v/>
      </c>
      <c r="AH189" s="88" t="str">
        <f>IF($A190="","",IF(Summary!$R$12="Y",(VLOOKUP($A189,Summary!$AD$6:$AF$9,3)+'Escalating commodity'!I202),'Escalating commodity'!I202))</f>
        <v/>
      </c>
      <c r="AI189" s="88" t="str">
        <f t="shared" si="108"/>
        <v/>
      </c>
      <c r="AJ189" s="236" t="e">
        <f t="shared" si="94"/>
        <v>#VALUE!</v>
      </c>
      <c r="AK189" s="58" t="str">
        <f t="shared" si="95"/>
        <v/>
      </c>
      <c r="AL189" s="26" t="str">
        <f>IF($A190="","",_xll.SPRDOPT(P189,X189,AI189,0,AB189,AE189,AF189,AK189,$AJ$2,0))</f>
        <v/>
      </c>
      <c r="AM189" s="209" t="str">
        <f t="shared" si="96"/>
        <v/>
      </c>
      <c r="AN189" s="89" t="str">
        <f t="shared" si="97"/>
        <v/>
      </c>
      <c r="AO189" s="3" t="str">
        <f t="shared" si="98"/>
        <v/>
      </c>
      <c r="AP189" s="33" t="str">
        <f t="shared" si="99"/>
        <v/>
      </c>
      <c r="AQ189" s="58" t="str">
        <f t="shared" si="100"/>
        <v/>
      </c>
      <c r="AR189" s="38">
        <f>'ANR OK vs ML7'!AR189</f>
        <v>0.1</v>
      </c>
      <c r="AS189" s="35" t="str">
        <f t="shared" si="101"/>
        <v/>
      </c>
      <c r="AT189" s="3" t="str">
        <f t="shared" si="102"/>
        <v/>
      </c>
      <c r="AU189" s="3" t="str">
        <f t="shared" si="103"/>
        <v/>
      </c>
      <c r="AW189" s="32" t="str">
        <f t="shared" si="104"/>
        <v/>
      </c>
      <c r="AX189" s="32" t="str">
        <f t="shared" si="105"/>
        <v/>
      </c>
      <c r="AY189" s="32" t="str">
        <f t="shared" si="106"/>
        <v/>
      </c>
      <c r="BA189" s="32" t="str">
        <f>IF($A190="","",F189*Summary!$Q$13)</f>
        <v/>
      </c>
    </row>
    <row r="190" spans="1:53" ht="12" customHeight="1">
      <c r="A190" s="67" t="str">
        <f t="shared" si="107"/>
        <v/>
      </c>
      <c r="B190" s="69" t="str">
        <f t="shared" si="110"/>
        <v/>
      </c>
      <c r="C190" s="71"/>
      <c r="D190" s="69" t="str">
        <f t="shared" si="74"/>
        <v/>
      </c>
      <c r="E190" s="70" t="str">
        <f t="shared" si="75"/>
        <v/>
      </c>
      <c r="F190" s="70" t="str">
        <f t="shared" si="76"/>
        <v/>
      </c>
      <c r="G190" s="63" t="str">
        <f t="shared" si="77"/>
        <v/>
      </c>
      <c r="H190" s="64" t="str">
        <f t="shared" si="78"/>
        <v/>
      </c>
      <c r="I190" s="43"/>
      <c r="J190" s="63" t="str">
        <f t="shared" si="79"/>
        <v/>
      </c>
      <c r="K190" s="64" t="str">
        <f t="shared" si="80"/>
        <v/>
      </c>
      <c r="L190" s="38">
        <v>0</v>
      </c>
      <c r="M190" s="64" t="str">
        <f t="shared" si="81"/>
        <v/>
      </c>
      <c r="N190" s="65"/>
      <c r="O190" s="63" t="str">
        <f t="shared" si="82"/>
        <v/>
      </c>
      <c r="P190" s="63" t="str">
        <f t="shared" si="83"/>
        <v/>
      </c>
      <c r="Q190" s="66"/>
      <c r="R190" s="63" t="str">
        <f t="shared" si="84"/>
        <v/>
      </c>
      <c r="S190" s="64" t="str">
        <f t="shared" si="85"/>
        <v/>
      </c>
      <c r="T190" s="38">
        <v>0</v>
      </c>
      <c r="U190" s="64" t="str">
        <f t="shared" si="86"/>
        <v/>
      </c>
      <c r="V190" s="219"/>
      <c r="W190" s="43" t="str">
        <f t="shared" si="87"/>
        <v/>
      </c>
      <c r="X190" s="43" t="str">
        <f t="shared" si="88"/>
        <v/>
      </c>
      <c r="Y190" s="43"/>
      <c r="Z190" s="38" t="str">
        <f t="shared" si="89"/>
        <v/>
      </c>
      <c r="AA190" s="38" t="str">
        <f t="shared" si="90"/>
        <v/>
      </c>
      <c r="AB190" s="38" t="e">
        <f t="shared" si="91"/>
        <v>#VALUE!</v>
      </c>
      <c r="AC190" s="38" t="str">
        <f t="shared" si="92"/>
        <v/>
      </c>
      <c r="AD190" s="38" t="str">
        <f t="shared" si="92"/>
        <v/>
      </c>
      <c r="AE190" s="38" t="e">
        <f t="shared" si="93"/>
        <v>#VALUE!</v>
      </c>
      <c r="AF190" s="237" t="e">
        <f>((Summary!$N$13*(AA190*AD190)*(A190-$D$3))+(Summary!$M$13*Z190*AC190*(AJ190-EOMONTH(EDATE(A190,-1),0))))/(AK190*AB190*AE190)</f>
        <v>#VALUE!</v>
      </c>
      <c r="AG190" s="88" t="str">
        <f>IF($A191="","",Summary!$Q$13)</f>
        <v/>
      </c>
      <c r="AH190" s="88" t="str">
        <f>IF($A191="","",IF(Summary!$R$12="Y",(VLOOKUP($A190,Summary!$AD$6:$AF$9,3)+'Escalating commodity'!I203),'Escalating commodity'!I203))</f>
        <v/>
      </c>
      <c r="AI190" s="88" t="str">
        <f t="shared" si="108"/>
        <v/>
      </c>
      <c r="AJ190" s="236" t="e">
        <f t="shared" si="94"/>
        <v>#VALUE!</v>
      </c>
      <c r="AK190" s="58" t="str">
        <f t="shared" si="95"/>
        <v/>
      </c>
      <c r="AL190" s="26" t="str">
        <f>IF($A191="","",_xll.SPRDOPT(P190,X190,AI190,0,AB190,AE190,AF190,AK190,$AJ$2,0))</f>
        <v/>
      </c>
      <c r="AM190" s="209" t="str">
        <f t="shared" si="96"/>
        <v/>
      </c>
      <c r="AN190" s="89" t="str">
        <f t="shared" si="97"/>
        <v/>
      </c>
      <c r="AO190" s="3" t="str">
        <f t="shared" si="98"/>
        <v/>
      </c>
      <c r="AP190" s="33" t="str">
        <f t="shared" si="99"/>
        <v/>
      </c>
      <c r="AQ190" s="58" t="str">
        <f t="shared" si="100"/>
        <v/>
      </c>
      <c r="AR190" s="38">
        <f>'ANR OK vs ML7'!AR190</f>
        <v>0.1</v>
      </c>
      <c r="AS190" s="35" t="str">
        <f t="shared" si="101"/>
        <v/>
      </c>
      <c r="AT190" s="3" t="str">
        <f t="shared" si="102"/>
        <v/>
      </c>
      <c r="AU190" s="3" t="str">
        <f t="shared" si="103"/>
        <v/>
      </c>
      <c r="AW190" s="32" t="str">
        <f t="shared" si="104"/>
        <v/>
      </c>
      <c r="AX190" s="32" t="str">
        <f t="shared" si="105"/>
        <v/>
      </c>
      <c r="AY190" s="32" t="str">
        <f t="shared" si="106"/>
        <v/>
      </c>
      <c r="BA190" s="32" t="str">
        <f>IF($A191="","",F190*Summary!$Q$13)</f>
        <v/>
      </c>
    </row>
    <row r="191" spans="1:53" ht="12" customHeight="1">
      <c r="A191" s="67" t="str">
        <f t="shared" si="107"/>
        <v/>
      </c>
      <c r="B191" s="69" t="str">
        <f t="shared" si="110"/>
        <v/>
      </c>
      <c r="C191" s="71"/>
      <c r="D191" s="69" t="str">
        <f t="shared" si="74"/>
        <v/>
      </c>
      <c r="E191" s="70" t="str">
        <f t="shared" si="75"/>
        <v/>
      </c>
      <c r="F191" s="70" t="str">
        <f t="shared" si="76"/>
        <v/>
      </c>
      <c r="G191" s="63" t="str">
        <f t="shared" si="77"/>
        <v/>
      </c>
      <c r="H191" s="64" t="str">
        <f t="shared" si="78"/>
        <v/>
      </c>
      <c r="I191" s="43"/>
      <c r="J191" s="63" t="str">
        <f t="shared" si="79"/>
        <v/>
      </c>
      <c r="K191" s="64" t="str">
        <f t="shared" si="80"/>
        <v/>
      </c>
      <c r="L191" s="38">
        <v>0</v>
      </c>
      <c r="M191" s="64" t="str">
        <f t="shared" si="81"/>
        <v/>
      </c>
      <c r="N191" s="65"/>
      <c r="O191" s="63" t="str">
        <f t="shared" si="82"/>
        <v/>
      </c>
      <c r="P191" s="63" t="str">
        <f t="shared" si="83"/>
        <v/>
      </c>
      <c r="Q191" s="66"/>
      <c r="R191" s="63" t="str">
        <f t="shared" si="84"/>
        <v/>
      </c>
      <c r="S191" s="64" t="str">
        <f t="shared" si="85"/>
        <v/>
      </c>
      <c r="T191" s="38">
        <v>0</v>
      </c>
      <c r="U191" s="64" t="str">
        <f t="shared" si="86"/>
        <v/>
      </c>
      <c r="V191" s="219"/>
      <c r="W191" s="43" t="str">
        <f t="shared" si="87"/>
        <v/>
      </c>
      <c r="X191" s="43" t="str">
        <f t="shared" si="88"/>
        <v/>
      </c>
      <c r="Y191" s="43"/>
      <c r="Z191" s="38" t="str">
        <f t="shared" si="89"/>
        <v/>
      </c>
      <c r="AA191" s="38" t="str">
        <f t="shared" si="90"/>
        <v/>
      </c>
      <c r="AB191" s="38" t="e">
        <f t="shared" si="91"/>
        <v>#VALUE!</v>
      </c>
      <c r="AC191" s="38" t="str">
        <f t="shared" si="92"/>
        <v/>
      </c>
      <c r="AD191" s="38" t="str">
        <f t="shared" si="92"/>
        <v/>
      </c>
      <c r="AE191" s="38" t="e">
        <f t="shared" si="93"/>
        <v>#VALUE!</v>
      </c>
      <c r="AF191" s="237" t="e">
        <f>((Summary!$N$13*(AA191*AD191)*(A191-$D$3))+(Summary!$M$13*Z191*AC191*(AJ191-EOMONTH(EDATE(A191,-1),0))))/(AK191*AB191*AE191)</f>
        <v>#VALUE!</v>
      </c>
      <c r="AG191" s="88" t="str">
        <f>IF($A192="","",Summary!$Q$13)</f>
        <v/>
      </c>
      <c r="AH191" s="88" t="str">
        <f>IF($A192="","",IF(Summary!$R$12="Y",(VLOOKUP($A191,Summary!$AD$6:$AF$9,3)+'Escalating commodity'!I204),'Escalating commodity'!I204))</f>
        <v/>
      </c>
      <c r="AI191" s="88" t="str">
        <f t="shared" si="108"/>
        <v/>
      </c>
      <c r="AJ191" s="236" t="e">
        <f t="shared" si="94"/>
        <v>#VALUE!</v>
      </c>
      <c r="AK191" s="58" t="str">
        <f t="shared" si="95"/>
        <v/>
      </c>
      <c r="AL191" s="26" t="str">
        <f>IF($A192="","",_xll.SPRDOPT(P191,X191,AI191,0,AB191,AE191,AF191,AK191,$AJ$2,0))</f>
        <v/>
      </c>
      <c r="AM191" s="209" t="str">
        <f t="shared" si="96"/>
        <v/>
      </c>
      <c r="AN191" s="89" t="str">
        <f t="shared" si="97"/>
        <v/>
      </c>
      <c r="AO191" s="3" t="str">
        <f t="shared" si="98"/>
        <v/>
      </c>
      <c r="AP191" s="33" t="str">
        <f t="shared" si="99"/>
        <v/>
      </c>
      <c r="AQ191" s="58" t="str">
        <f t="shared" si="100"/>
        <v/>
      </c>
      <c r="AR191" s="38">
        <f>'ANR OK vs ML7'!AR191</f>
        <v>0.1</v>
      </c>
      <c r="AS191" s="35" t="str">
        <f t="shared" si="101"/>
        <v/>
      </c>
      <c r="AT191" s="3" t="str">
        <f t="shared" si="102"/>
        <v/>
      </c>
      <c r="AU191" s="3" t="str">
        <f t="shared" si="103"/>
        <v/>
      </c>
      <c r="AW191" s="32" t="str">
        <f t="shared" si="104"/>
        <v/>
      </c>
      <c r="AX191" s="32" t="str">
        <f t="shared" si="105"/>
        <v/>
      </c>
      <c r="AY191" s="32" t="str">
        <f t="shared" si="106"/>
        <v/>
      </c>
      <c r="BA191" s="32" t="str">
        <f>IF($A192="","",F191*Summary!$Q$13)</f>
        <v/>
      </c>
    </row>
    <row r="192" spans="1:53" ht="12" customHeight="1">
      <c r="A192" s="67" t="str">
        <f t="shared" si="107"/>
        <v/>
      </c>
      <c r="B192" s="69" t="str">
        <f t="shared" si="110"/>
        <v/>
      </c>
      <c r="C192" s="71"/>
      <c r="D192" s="69" t="str">
        <f t="shared" si="74"/>
        <v/>
      </c>
      <c r="E192" s="70" t="str">
        <f t="shared" si="75"/>
        <v/>
      </c>
      <c r="F192" s="70" t="str">
        <f t="shared" si="76"/>
        <v/>
      </c>
      <c r="G192" s="63" t="str">
        <f t="shared" si="77"/>
        <v/>
      </c>
      <c r="H192" s="64" t="str">
        <f t="shared" si="78"/>
        <v/>
      </c>
      <c r="I192" s="43"/>
      <c r="J192" s="63" t="str">
        <f t="shared" si="79"/>
        <v/>
      </c>
      <c r="K192" s="64" t="str">
        <f t="shared" si="80"/>
        <v/>
      </c>
      <c r="L192" s="38">
        <v>0</v>
      </c>
      <c r="M192" s="64" t="str">
        <f t="shared" si="81"/>
        <v/>
      </c>
      <c r="N192" s="65"/>
      <c r="O192" s="63" t="str">
        <f t="shared" si="82"/>
        <v/>
      </c>
      <c r="P192" s="63" t="str">
        <f t="shared" si="83"/>
        <v/>
      </c>
      <c r="Q192" s="66"/>
      <c r="R192" s="63" t="str">
        <f t="shared" si="84"/>
        <v/>
      </c>
      <c r="S192" s="64" t="str">
        <f t="shared" si="85"/>
        <v/>
      </c>
      <c r="T192" s="38">
        <v>0</v>
      </c>
      <c r="U192" s="64" t="str">
        <f t="shared" si="86"/>
        <v/>
      </c>
      <c r="V192" s="219"/>
      <c r="W192" s="43" t="str">
        <f t="shared" si="87"/>
        <v/>
      </c>
      <c r="X192" s="43" t="str">
        <f t="shared" si="88"/>
        <v/>
      </c>
      <c r="Y192" s="43"/>
      <c r="Z192" s="38" t="str">
        <f t="shared" si="89"/>
        <v/>
      </c>
      <c r="AA192" s="38" t="str">
        <f t="shared" si="90"/>
        <v/>
      </c>
      <c r="AB192" s="38" t="e">
        <f t="shared" si="91"/>
        <v>#VALUE!</v>
      </c>
      <c r="AC192" s="38" t="str">
        <f t="shared" si="92"/>
        <v/>
      </c>
      <c r="AD192" s="38" t="str">
        <f t="shared" si="92"/>
        <v/>
      </c>
      <c r="AE192" s="38" t="e">
        <f t="shared" si="93"/>
        <v>#VALUE!</v>
      </c>
      <c r="AF192" s="237" t="e">
        <f>((Summary!$N$13*(AA192*AD192)*(A192-$D$3))+(Summary!$M$13*Z192*AC192*(AJ192-EOMONTH(EDATE(A192,-1),0))))/(AK192*AB192*AE192)</f>
        <v>#VALUE!</v>
      </c>
      <c r="AG192" s="88" t="str">
        <f>IF($A193="","",Summary!$Q$13)</f>
        <v/>
      </c>
      <c r="AH192" s="88" t="str">
        <f>IF($A193="","",IF(Summary!$R$12="Y",(VLOOKUP($A192,Summary!$AD$6:$AF$9,3)+'Escalating commodity'!I205),'Escalating commodity'!I205))</f>
        <v/>
      </c>
      <c r="AI192" s="88" t="str">
        <f t="shared" si="108"/>
        <v/>
      </c>
      <c r="AJ192" s="236" t="e">
        <f t="shared" si="94"/>
        <v>#VALUE!</v>
      </c>
      <c r="AK192" s="58" t="str">
        <f t="shared" si="95"/>
        <v/>
      </c>
      <c r="AL192" s="26" t="str">
        <f>IF($A193="","",_xll.SPRDOPT(P192,X192,AI192,0,AB192,AE192,AF192,AK192,$AJ$2,0))</f>
        <v/>
      </c>
      <c r="AM192" s="209" t="str">
        <f t="shared" si="96"/>
        <v/>
      </c>
      <c r="AN192" s="89" t="str">
        <f t="shared" si="97"/>
        <v/>
      </c>
      <c r="AO192" s="3" t="str">
        <f t="shared" si="98"/>
        <v/>
      </c>
      <c r="AP192" s="33" t="str">
        <f t="shared" si="99"/>
        <v/>
      </c>
      <c r="AQ192" s="58" t="str">
        <f t="shared" si="100"/>
        <v/>
      </c>
      <c r="AR192" s="38">
        <f>'ANR OK vs ML7'!AR192</f>
        <v>0.1</v>
      </c>
      <c r="AS192" s="35" t="str">
        <f t="shared" si="101"/>
        <v/>
      </c>
      <c r="AT192" s="3" t="str">
        <f t="shared" si="102"/>
        <v/>
      </c>
      <c r="AU192" s="3" t="str">
        <f t="shared" si="103"/>
        <v/>
      </c>
      <c r="AW192" s="32" t="str">
        <f t="shared" si="104"/>
        <v/>
      </c>
      <c r="AX192" s="32" t="str">
        <f t="shared" si="105"/>
        <v/>
      </c>
      <c r="AY192" s="32" t="str">
        <f t="shared" si="106"/>
        <v/>
      </c>
      <c r="BA192" s="32" t="str">
        <f>IF($A193="","",F192*Summary!$Q$13)</f>
        <v/>
      </c>
    </row>
    <row r="193" spans="1:53" ht="12" customHeight="1">
      <c r="A193" s="67" t="str">
        <f t="shared" si="107"/>
        <v/>
      </c>
      <c r="B193" s="69" t="str">
        <f t="shared" si="110"/>
        <v/>
      </c>
      <c r="C193" s="71"/>
      <c r="D193" s="69" t="str">
        <f t="shared" si="74"/>
        <v/>
      </c>
      <c r="E193" s="70" t="str">
        <f t="shared" si="75"/>
        <v/>
      </c>
      <c r="F193" s="70" t="str">
        <f t="shared" si="76"/>
        <v/>
      </c>
      <c r="G193" s="63" t="str">
        <f t="shared" si="77"/>
        <v/>
      </c>
      <c r="H193" s="64" t="str">
        <f t="shared" si="78"/>
        <v/>
      </c>
      <c r="I193" s="43"/>
      <c r="J193" s="63" t="str">
        <f t="shared" si="79"/>
        <v/>
      </c>
      <c r="K193" s="64" t="str">
        <f t="shared" si="80"/>
        <v/>
      </c>
      <c r="L193" s="38">
        <v>0</v>
      </c>
      <c r="M193" s="64" t="str">
        <f t="shared" si="81"/>
        <v/>
      </c>
      <c r="N193" s="65"/>
      <c r="O193" s="63" t="str">
        <f t="shared" si="82"/>
        <v/>
      </c>
      <c r="P193" s="63" t="str">
        <f t="shared" si="83"/>
        <v/>
      </c>
      <c r="Q193" s="66"/>
      <c r="R193" s="63" t="str">
        <f t="shared" si="84"/>
        <v/>
      </c>
      <c r="S193" s="64" t="str">
        <f t="shared" si="85"/>
        <v/>
      </c>
      <c r="T193" s="38">
        <v>0</v>
      </c>
      <c r="U193" s="64" t="str">
        <f t="shared" si="86"/>
        <v/>
      </c>
      <c r="V193" s="219"/>
      <c r="W193" s="43" t="str">
        <f t="shared" si="87"/>
        <v/>
      </c>
      <c r="X193" s="43" t="str">
        <f t="shared" si="88"/>
        <v/>
      </c>
      <c r="Y193" s="43"/>
      <c r="Z193" s="38" t="str">
        <f t="shared" si="89"/>
        <v/>
      </c>
      <c r="AA193" s="38" t="str">
        <f t="shared" si="90"/>
        <v/>
      </c>
      <c r="AB193" s="38" t="e">
        <f t="shared" si="91"/>
        <v>#VALUE!</v>
      </c>
      <c r="AC193" s="38" t="str">
        <f t="shared" si="92"/>
        <v/>
      </c>
      <c r="AD193" s="38" t="str">
        <f t="shared" si="92"/>
        <v/>
      </c>
      <c r="AE193" s="38" t="e">
        <f t="shared" si="93"/>
        <v>#VALUE!</v>
      </c>
      <c r="AF193" s="237" t="e">
        <f>((Summary!$N$13*(AA193*AD193)*(A193-$D$3))+(Summary!$M$13*Z193*AC193*(AJ193-EOMONTH(EDATE(A193,-1),0))))/(AK193*AB193*AE193)</f>
        <v>#VALUE!</v>
      </c>
      <c r="AG193" s="88" t="str">
        <f>IF($A194="","",Summary!$Q$13)</f>
        <v/>
      </c>
      <c r="AH193" s="88" t="str">
        <f>IF($A194="","",IF(Summary!$R$12="Y",(VLOOKUP($A193,Summary!$AD$6:$AF$9,3)+'Escalating commodity'!I206),'Escalating commodity'!I206))</f>
        <v/>
      </c>
      <c r="AI193" s="88" t="str">
        <f t="shared" si="108"/>
        <v/>
      </c>
      <c r="AJ193" s="236" t="e">
        <f t="shared" si="94"/>
        <v>#VALUE!</v>
      </c>
      <c r="AK193" s="58" t="str">
        <f t="shared" si="95"/>
        <v/>
      </c>
      <c r="AL193" s="26" t="str">
        <f>IF($A194="","",_xll.SPRDOPT(P193,X193,AI193,0,AB193,AE193,AF193,AK193,$AJ$2,0))</f>
        <v/>
      </c>
      <c r="AM193" s="209" t="str">
        <f t="shared" si="96"/>
        <v/>
      </c>
      <c r="AN193" s="89" t="str">
        <f t="shared" si="97"/>
        <v/>
      </c>
      <c r="AO193" s="3" t="str">
        <f t="shared" si="98"/>
        <v/>
      </c>
      <c r="AP193" s="33" t="str">
        <f t="shared" si="99"/>
        <v/>
      </c>
      <c r="AQ193" s="58" t="str">
        <f t="shared" si="100"/>
        <v/>
      </c>
      <c r="AR193" s="38">
        <f>'ANR OK vs ML7'!AR193</f>
        <v>0.1</v>
      </c>
      <c r="AS193" s="35" t="str">
        <f t="shared" si="101"/>
        <v/>
      </c>
      <c r="AT193" s="3" t="str">
        <f t="shared" si="102"/>
        <v/>
      </c>
      <c r="AU193" s="3" t="str">
        <f t="shared" si="103"/>
        <v/>
      </c>
      <c r="AW193" s="32" t="str">
        <f t="shared" si="104"/>
        <v/>
      </c>
      <c r="AX193" s="32" t="str">
        <f t="shared" si="105"/>
        <v/>
      </c>
      <c r="AY193" s="32" t="str">
        <f t="shared" si="106"/>
        <v/>
      </c>
      <c r="BA193" s="32" t="str">
        <f>IF($A194="","",F193*Summary!$Q$13)</f>
        <v/>
      </c>
    </row>
    <row r="194" spans="1:53" ht="12" customHeight="1">
      <c r="A194" s="67" t="str">
        <f t="shared" si="107"/>
        <v/>
      </c>
      <c r="B194" s="69" t="str">
        <f t="shared" si="110"/>
        <v/>
      </c>
      <c r="C194" s="71"/>
      <c r="D194" s="69" t="str">
        <f t="shared" si="74"/>
        <v/>
      </c>
      <c r="E194" s="70" t="str">
        <f t="shared" si="75"/>
        <v/>
      </c>
      <c r="F194" s="70" t="str">
        <f t="shared" si="76"/>
        <v/>
      </c>
      <c r="G194" s="63" t="str">
        <f t="shared" si="77"/>
        <v/>
      </c>
      <c r="H194" s="64" t="str">
        <f t="shared" si="78"/>
        <v/>
      </c>
      <c r="I194" s="43"/>
      <c r="J194" s="63" t="str">
        <f t="shared" si="79"/>
        <v/>
      </c>
      <c r="K194" s="64" t="str">
        <f t="shared" si="80"/>
        <v/>
      </c>
      <c r="L194" s="38">
        <v>0</v>
      </c>
      <c r="M194" s="64" t="str">
        <f t="shared" si="81"/>
        <v/>
      </c>
      <c r="N194" s="65"/>
      <c r="O194" s="63" t="str">
        <f t="shared" si="82"/>
        <v/>
      </c>
      <c r="P194" s="63" t="str">
        <f t="shared" si="83"/>
        <v/>
      </c>
      <c r="Q194" s="66"/>
      <c r="R194" s="63" t="str">
        <f t="shared" si="84"/>
        <v/>
      </c>
      <c r="S194" s="64" t="str">
        <f t="shared" si="85"/>
        <v/>
      </c>
      <c r="T194" s="38">
        <v>0</v>
      </c>
      <c r="U194" s="64" t="str">
        <f t="shared" si="86"/>
        <v/>
      </c>
      <c r="V194" s="219"/>
      <c r="W194" s="43" t="str">
        <f t="shared" si="87"/>
        <v/>
      </c>
      <c r="X194" s="43" t="str">
        <f t="shared" si="88"/>
        <v/>
      </c>
      <c r="Y194" s="43"/>
      <c r="Z194" s="38" t="str">
        <f t="shared" si="89"/>
        <v/>
      </c>
      <c r="AA194" s="38" t="str">
        <f t="shared" si="90"/>
        <v/>
      </c>
      <c r="AB194" s="38" t="e">
        <f t="shared" si="91"/>
        <v>#VALUE!</v>
      </c>
      <c r="AC194" s="38" t="str">
        <f t="shared" si="92"/>
        <v/>
      </c>
      <c r="AD194" s="38" t="str">
        <f t="shared" si="92"/>
        <v/>
      </c>
      <c r="AE194" s="38" t="e">
        <f t="shared" si="93"/>
        <v>#VALUE!</v>
      </c>
      <c r="AF194" s="237" t="e">
        <f>((Summary!$N$13*(AA194*AD194)*(A194-$D$3))+(Summary!$M$13*Z194*AC194*(AJ194-EOMONTH(EDATE(A194,-1),0))))/(AK194*AB194*AE194)</f>
        <v>#VALUE!</v>
      </c>
      <c r="AG194" s="88" t="str">
        <f>IF($A195="","",Summary!$Q$13)</f>
        <v/>
      </c>
      <c r="AH194" s="88" t="str">
        <f>IF($A195="","",IF(Summary!$R$12="Y",(VLOOKUP($A194,Summary!$AD$6:$AF$9,3)+'Escalating commodity'!I207),'Escalating commodity'!I207))</f>
        <v/>
      </c>
      <c r="AI194" s="88" t="str">
        <f t="shared" si="108"/>
        <v/>
      </c>
      <c r="AJ194" s="236" t="e">
        <f t="shared" si="94"/>
        <v>#VALUE!</v>
      </c>
      <c r="AK194" s="58" t="str">
        <f t="shared" si="95"/>
        <v/>
      </c>
      <c r="AL194" s="26" t="str">
        <f>IF($A195="","",_xll.SPRDOPT(P194,X194,AI194,0,AB194,AE194,AF194,AK194,$AJ$2,0))</f>
        <v/>
      </c>
      <c r="AM194" s="209" t="str">
        <f t="shared" si="96"/>
        <v/>
      </c>
      <c r="AN194" s="89" t="str">
        <f t="shared" si="97"/>
        <v/>
      </c>
      <c r="AO194" s="3" t="str">
        <f t="shared" si="98"/>
        <v/>
      </c>
      <c r="AP194" s="33" t="str">
        <f t="shared" si="99"/>
        <v/>
      </c>
      <c r="AQ194" s="58" t="str">
        <f t="shared" si="100"/>
        <v/>
      </c>
      <c r="AR194" s="38">
        <f>'ANR OK vs ML7'!AR194</f>
        <v>0.1</v>
      </c>
      <c r="AS194" s="35" t="str">
        <f t="shared" si="101"/>
        <v/>
      </c>
      <c r="AT194" s="3" t="str">
        <f t="shared" si="102"/>
        <v/>
      </c>
      <c r="AU194" s="3" t="str">
        <f t="shared" si="103"/>
        <v/>
      </c>
      <c r="AW194" s="32" t="str">
        <f t="shared" si="104"/>
        <v/>
      </c>
      <c r="AX194" s="32" t="str">
        <f t="shared" si="105"/>
        <v/>
      </c>
      <c r="AY194" s="32" t="str">
        <f t="shared" si="106"/>
        <v/>
      </c>
      <c r="BA194" s="32" t="str">
        <f>IF($A195="","",F194*Summary!$Q$13)</f>
        <v/>
      </c>
    </row>
    <row r="195" spans="1:53" ht="12" customHeight="1">
      <c r="A195" s="67" t="str">
        <f t="shared" si="107"/>
        <v/>
      </c>
      <c r="B195" s="69" t="str">
        <f t="shared" si="110"/>
        <v/>
      </c>
      <c r="C195" s="71"/>
      <c r="D195" s="69" t="str">
        <f t="shared" si="74"/>
        <v/>
      </c>
      <c r="E195" s="70" t="str">
        <f t="shared" si="75"/>
        <v/>
      </c>
      <c r="F195" s="70" t="str">
        <f t="shared" si="76"/>
        <v/>
      </c>
      <c r="G195" s="63" t="str">
        <f t="shared" si="77"/>
        <v/>
      </c>
      <c r="H195" s="64" t="str">
        <f t="shared" si="78"/>
        <v/>
      </c>
      <c r="I195" s="43"/>
      <c r="J195" s="63" t="str">
        <f t="shared" si="79"/>
        <v/>
      </c>
      <c r="K195" s="64" t="str">
        <f t="shared" si="80"/>
        <v/>
      </c>
      <c r="L195" s="38">
        <v>0</v>
      </c>
      <c r="M195" s="64" t="str">
        <f t="shared" si="81"/>
        <v/>
      </c>
      <c r="N195" s="65"/>
      <c r="O195" s="63" t="str">
        <f t="shared" si="82"/>
        <v/>
      </c>
      <c r="P195" s="63" t="str">
        <f t="shared" si="83"/>
        <v/>
      </c>
      <c r="Q195" s="66"/>
      <c r="R195" s="63" t="str">
        <f t="shared" si="84"/>
        <v/>
      </c>
      <c r="S195" s="64" t="str">
        <f t="shared" si="85"/>
        <v/>
      </c>
      <c r="T195" s="38">
        <v>0</v>
      </c>
      <c r="U195" s="64" t="str">
        <f t="shared" si="86"/>
        <v/>
      </c>
      <c r="V195" s="219"/>
      <c r="W195" s="43" t="str">
        <f t="shared" si="87"/>
        <v/>
      </c>
      <c r="X195" s="43" t="str">
        <f t="shared" si="88"/>
        <v/>
      </c>
      <c r="Y195" s="43"/>
      <c r="Z195" s="38" t="str">
        <f t="shared" si="89"/>
        <v/>
      </c>
      <c r="AA195" s="38" t="str">
        <f t="shared" si="90"/>
        <v/>
      </c>
      <c r="AB195" s="38" t="e">
        <f t="shared" si="91"/>
        <v>#VALUE!</v>
      </c>
      <c r="AC195" s="38" t="str">
        <f t="shared" si="92"/>
        <v/>
      </c>
      <c r="AD195" s="38" t="str">
        <f t="shared" si="92"/>
        <v/>
      </c>
      <c r="AE195" s="38" t="e">
        <f t="shared" si="93"/>
        <v>#VALUE!</v>
      </c>
      <c r="AF195" s="237" t="e">
        <f>((Summary!$N$13*(AA195*AD195)*(A195-$D$3))+(Summary!$M$13*Z195*AC195*(AJ195-EOMONTH(EDATE(A195,-1),0))))/(AK195*AB195*AE195)</f>
        <v>#VALUE!</v>
      </c>
      <c r="AG195" s="88" t="str">
        <f>IF($A196="","",Summary!$Q$13)</f>
        <v/>
      </c>
      <c r="AH195" s="88" t="str">
        <f>IF($A196="","",IF(Summary!$R$12="Y",(VLOOKUP($A195,Summary!$AD$6:$AF$9,3)+'Escalating commodity'!I208),'Escalating commodity'!I208))</f>
        <v/>
      </c>
      <c r="AI195" s="88" t="str">
        <f t="shared" si="108"/>
        <v/>
      </c>
      <c r="AJ195" s="236" t="e">
        <f t="shared" si="94"/>
        <v>#VALUE!</v>
      </c>
      <c r="AK195" s="58" t="str">
        <f t="shared" si="95"/>
        <v/>
      </c>
      <c r="AL195" s="26" t="str">
        <f>IF($A196="","",_xll.SPRDOPT(P195,X195,AI195,0,AB195,AE195,AF195,AK195,$AJ$2,0))</f>
        <v/>
      </c>
      <c r="AM195" s="209" t="str">
        <f t="shared" si="96"/>
        <v/>
      </c>
      <c r="AN195" s="89" t="str">
        <f t="shared" si="97"/>
        <v/>
      </c>
      <c r="AO195" s="3" t="str">
        <f t="shared" si="98"/>
        <v/>
      </c>
      <c r="AP195" s="33" t="str">
        <f t="shared" si="99"/>
        <v/>
      </c>
      <c r="AQ195" s="58" t="str">
        <f t="shared" si="100"/>
        <v/>
      </c>
      <c r="AR195" s="38">
        <f>'ANR OK vs ML7'!AR195</f>
        <v>0.1</v>
      </c>
      <c r="AS195" s="35" t="str">
        <f t="shared" si="101"/>
        <v/>
      </c>
      <c r="AT195" s="3" t="str">
        <f t="shared" si="102"/>
        <v/>
      </c>
      <c r="AU195" s="3" t="str">
        <f t="shared" si="103"/>
        <v/>
      </c>
      <c r="AW195" s="32" t="str">
        <f t="shared" si="104"/>
        <v/>
      </c>
      <c r="AX195" s="32" t="str">
        <f t="shared" si="105"/>
        <v/>
      </c>
      <c r="AY195" s="32" t="str">
        <f t="shared" si="106"/>
        <v/>
      </c>
      <c r="BA195" s="32" t="str">
        <f>IF($A196="","",F195*Summary!$Q$13)</f>
        <v/>
      </c>
    </row>
    <row r="196" spans="1:53" ht="12" customHeight="1">
      <c r="A196" s="67" t="str">
        <f t="shared" si="107"/>
        <v/>
      </c>
      <c r="B196" s="69" t="str">
        <f t="shared" si="110"/>
        <v/>
      </c>
      <c r="C196" s="71"/>
      <c r="D196" s="69" t="str">
        <f t="shared" si="74"/>
        <v/>
      </c>
      <c r="E196" s="70" t="str">
        <f t="shared" si="75"/>
        <v/>
      </c>
      <c r="F196" s="70" t="str">
        <f t="shared" si="76"/>
        <v/>
      </c>
      <c r="G196" s="63" t="str">
        <f t="shared" si="77"/>
        <v/>
      </c>
      <c r="H196" s="64" t="str">
        <f t="shared" si="78"/>
        <v/>
      </c>
      <c r="I196" s="43"/>
      <c r="J196" s="63" t="str">
        <f t="shared" si="79"/>
        <v/>
      </c>
      <c r="K196" s="64" t="str">
        <f t="shared" si="80"/>
        <v/>
      </c>
      <c r="L196" s="38">
        <v>0</v>
      </c>
      <c r="M196" s="64" t="str">
        <f t="shared" si="81"/>
        <v/>
      </c>
      <c r="N196" s="65"/>
      <c r="O196" s="63" t="str">
        <f t="shared" si="82"/>
        <v/>
      </c>
      <c r="P196" s="63" t="str">
        <f t="shared" si="83"/>
        <v/>
      </c>
      <c r="Q196" s="66"/>
      <c r="R196" s="63" t="str">
        <f t="shared" si="84"/>
        <v/>
      </c>
      <c r="S196" s="64" t="str">
        <f t="shared" si="85"/>
        <v/>
      </c>
      <c r="T196" s="38">
        <v>0</v>
      </c>
      <c r="U196" s="64" t="str">
        <f t="shared" si="86"/>
        <v/>
      </c>
      <c r="V196" s="219"/>
      <c r="W196" s="43" t="str">
        <f t="shared" si="87"/>
        <v/>
      </c>
      <c r="X196" s="43" t="str">
        <f t="shared" si="88"/>
        <v/>
      </c>
      <c r="Y196" s="43"/>
      <c r="Z196" s="38" t="str">
        <f t="shared" si="89"/>
        <v/>
      </c>
      <c r="AA196" s="38" t="str">
        <f t="shared" si="90"/>
        <v/>
      </c>
      <c r="AB196" s="38" t="e">
        <f t="shared" si="91"/>
        <v>#VALUE!</v>
      </c>
      <c r="AC196" s="38" t="str">
        <f t="shared" si="92"/>
        <v/>
      </c>
      <c r="AD196" s="38" t="str">
        <f t="shared" si="92"/>
        <v/>
      </c>
      <c r="AE196" s="38" t="e">
        <f t="shared" si="93"/>
        <v>#VALUE!</v>
      </c>
      <c r="AF196" s="237" t="e">
        <f>((Summary!$N$13*(AA196*AD196)*(A196-$D$3))+(Summary!$M$13*Z196*AC196*(AJ196-EOMONTH(EDATE(A196,-1),0))))/(AK196*AB196*AE196)</f>
        <v>#VALUE!</v>
      </c>
      <c r="AG196" s="88" t="str">
        <f>IF($A197="","",Summary!$Q$13)</f>
        <v/>
      </c>
      <c r="AH196" s="88" t="str">
        <f>IF($A197="","",IF(Summary!$R$12="Y",(VLOOKUP($A196,Summary!$AD$6:$AF$9,3)+'Escalating commodity'!I209),'Escalating commodity'!I209))</f>
        <v/>
      </c>
      <c r="AI196" s="88" t="str">
        <f t="shared" si="108"/>
        <v/>
      </c>
      <c r="AJ196" s="236" t="e">
        <f t="shared" si="94"/>
        <v>#VALUE!</v>
      </c>
      <c r="AK196" s="58" t="str">
        <f t="shared" si="95"/>
        <v/>
      </c>
      <c r="AL196" s="26" t="str">
        <f>IF($A197="","",_xll.SPRDOPT(P196,X196,AI196,0,AB196,AE196,AF196,AK196,$AJ$2,0))</f>
        <v/>
      </c>
      <c r="AM196" s="209" t="str">
        <f t="shared" si="96"/>
        <v/>
      </c>
      <c r="AN196" s="89" t="str">
        <f t="shared" si="97"/>
        <v/>
      </c>
      <c r="AO196" s="3" t="str">
        <f t="shared" si="98"/>
        <v/>
      </c>
      <c r="AP196" s="33" t="str">
        <f t="shared" si="99"/>
        <v/>
      </c>
      <c r="AQ196" s="58" t="str">
        <f t="shared" si="100"/>
        <v/>
      </c>
      <c r="AR196" s="38">
        <f>'ANR OK vs ML7'!AR196</f>
        <v>0.1</v>
      </c>
      <c r="AS196" s="35" t="str">
        <f t="shared" si="101"/>
        <v/>
      </c>
      <c r="AT196" s="3" t="str">
        <f t="shared" si="102"/>
        <v/>
      </c>
      <c r="AU196" s="3" t="str">
        <f t="shared" si="103"/>
        <v/>
      </c>
      <c r="AW196" s="32" t="str">
        <f t="shared" si="104"/>
        <v/>
      </c>
      <c r="AX196" s="32" t="str">
        <f t="shared" si="105"/>
        <v/>
      </c>
      <c r="AY196" s="32" t="str">
        <f t="shared" si="106"/>
        <v/>
      </c>
      <c r="BA196" s="32" t="str">
        <f>IF($A197="","",F196*Summary!$Q$13)</f>
        <v/>
      </c>
    </row>
    <row r="197" spans="1:53" ht="12" customHeight="1">
      <c r="A197" s="67" t="str">
        <f t="shared" si="107"/>
        <v/>
      </c>
      <c r="B197" s="69" t="str">
        <f t="shared" si="110"/>
        <v/>
      </c>
      <c r="C197" s="71"/>
      <c r="D197" s="69" t="str">
        <f t="shared" si="74"/>
        <v/>
      </c>
      <c r="E197" s="70" t="str">
        <f t="shared" si="75"/>
        <v/>
      </c>
      <c r="F197" s="70" t="str">
        <f t="shared" si="76"/>
        <v/>
      </c>
      <c r="G197" s="63" t="str">
        <f t="shared" si="77"/>
        <v/>
      </c>
      <c r="H197" s="64" t="str">
        <f t="shared" si="78"/>
        <v/>
      </c>
      <c r="I197" s="43"/>
      <c r="J197" s="63" t="str">
        <f t="shared" si="79"/>
        <v/>
      </c>
      <c r="K197" s="64" t="str">
        <f t="shared" si="80"/>
        <v/>
      </c>
      <c r="L197" s="38">
        <v>0</v>
      </c>
      <c r="M197" s="64" t="str">
        <f t="shared" si="81"/>
        <v/>
      </c>
      <c r="N197" s="65"/>
      <c r="O197" s="63" t="str">
        <f t="shared" si="82"/>
        <v/>
      </c>
      <c r="P197" s="63" t="str">
        <f t="shared" si="83"/>
        <v/>
      </c>
      <c r="Q197" s="66"/>
      <c r="R197" s="63" t="str">
        <f t="shared" si="84"/>
        <v/>
      </c>
      <c r="S197" s="64" t="str">
        <f t="shared" si="85"/>
        <v/>
      </c>
      <c r="T197" s="38">
        <v>0</v>
      </c>
      <c r="U197" s="64" t="str">
        <f t="shared" si="86"/>
        <v/>
      </c>
      <c r="V197" s="219"/>
      <c r="W197" s="43" t="str">
        <f t="shared" si="87"/>
        <v/>
      </c>
      <c r="X197" s="43" t="str">
        <f t="shared" si="88"/>
        <v/>
      </c>
      <c r="Y197" s="43"/>
      <c r="Z197" s="38" t="str">
        <f t="shared" si="89"/>
        <v/>
      </c>
      <c r="AA197" s="38" t="str">
        <f t="shared" si="90"/>
        <v/>
      </c>
      <c r="AB197" s="38" t="e">
        <f t="shared" si="91"/>
        <v>#VALUE!</v>
      </c>
      <c r="AC197" s="38" t="str">
        <f t="shared" si="92"/>
        <v/>
      </c>
      <c r="AD197" s="38" t="str">
        <f t="shared" si="92"/>
        <v/>
      </c>
      <c r="AE197" s="38" t="e">
        <f t="shared" si="93"/>
        <v>#VALUE!</v>
      </c>
      <c r="AF197" s="237" t="e">
        <f>((Summary!$N$13*(AA197*AD197)*(A197-$D$3))+(Summary!$M$13*Z197*AC197*(AJ197-EOMONTH(EDATE(A197,-1),0))))/(AK197*AB197*AE197)</f>
        <v>#VALUE!</v>
      </c>
      <c r="AG197" s="88" t="str">
        <f>IF($A198="","",Summary!$Q$13)</f>
        <v/>
      </c>
      <c r="AH197" s="88" t="str">
        <f>IF($A198="","",IF(Summary!$R$12="Y",(VLOOKUP($A197,Summary!$AD$6:$AF$9,3)+'Escalating commodity'!I210),'Escalating commodity'!I210))</f>
        <v/>
      </c>
      <c r="AI197" s="88" t="str">
        <f t="shared" si="108"/>
        <v/>
      </c>
      <c r="AJ197" s="236" t="e">
        <f t="shared" si="94"/>
        <v>#VALUE!</v>
      </c>
      <c r="AK197" s="58" t="str">
        <f t="shared" si="95"/>
        <v/>
      </c>
      <c r="AL197" s="26" t="str">
        <f>IF($A198="","",_xll.SPRDOPT(P197,X197,AI197,0,AB197,AE197,AF197,AK197,$AJ$2,0))</f>
        <v/>
      </c>
      <c r="AM197" s="209" t="str">
        <f t="shared" si="96"/>
        <v/>
      </c>
      <c r="AN197" s="89" t="str">
        <f t="shared" si="97"/>
        <v/>
      </c>
      <c r="AO197" s="3" t="str">
        <f t="shared" si="98"/>
        <v/>
      </c>
      <c r="AP197" s="33" t="str">
        <f t="shared" si="99"/>
        <v/>
      </c>
      <c r="AQ197" s="58" t="str">
        <f t="shared" si="100"/>
        <v/>
      </c>
      <c r="AR197" s="38">
        <f>'ANR OK vs ML7'!AR197</f>
        <v>0.1</v>
      </c>
      <c r="AS197" s="35" t="str">
        <f t="shared" si="101"/>
        <v/>
      </c>
      <c r="AT197" s="3" t="str">
        <f t="shared" si="102"/>
        <v/>
      </c>
      <c r="AU197" s="3" t="str">
        <f t="shared" si="103"/>
        <v/>
      </c>
      <c r="AW197" s="32" t="str">
        <f t="shared" si="104"/>
        <v/>
      </c>
      <c r="AX197" s="32" t="str">
        <f t="shared" si="105"/>
        <v/>
      </c>
      <c r="AY197" s="32" t="str">
        <f t="shared" si="106"/>
        <v/>
      </c>
      <c r="BA197" s="32" t="str">
        <f>IF($A198="","",F197*Summary!$Q$13)</f>
        <v/>
      </c>
    </row>
    <row r="198" spans="1:53" ht="12" customHeight="1">
      <c r="A198" s="67" t="str">
        <f t="shared" si="107"/>
        <v/>
      </c>
      <c r="B198" s="69" t="str">
        <f t="shared" si="110"/>
        <v/>
      </c>
      <c r="C198" s="71"/>
      <c r="D198" s="69" t="str">
        <f t="shared" si="74"/>
        <v/>
      </c>
      <c r="E198" s="70" t="str">
        <f t="shared" si="75"/>
        <v/>
      </c>
      <c r="F198" s="70" t="str">
        <f t="shared" si="76"/>
        <v/>
      </c>
      <c r="G198" s="63" t="str">
        <f t="shared" si="77"/>
        <v/>
      </c>
      <c r="H198" s="64" t="str">
        <f t="shared" si="78"/>
        <v/>
      </c>
      <c r="I198" s="43"/>
      <c r="J198" s="63" t="str">
        <f t="shared" si="79"/>
        <v/>
      </c>
      <c r="K198" s="64" t="str">
        <f t="shared" si="80"/>
        <v/>
      </c>
      <c r="L198" s="38">
        <v>0</v>
      </c>
      <c r="M198" s="64" t="str">
        <f t="shared" si="81"/>
        <v/>
      </c>
      <c r="N198" s="65"/>
      <c r="O198" s="63" t="str">
        <f t="shared" si="82"/>
        <v/>
      </c>
      <c r="P198" s="63" t="str">
        <f t="shared" si="83"/>
        <v/>
      </c>
      <c r="Q198" s="66"/>
      <c r="R198" s="63" t="str">
        <f t="shared" si="84"/>
        <v/>
      </c>
      <c r="S198" s="64" t="str">
        <f t="shared" si="85"/>
        <v/>
      </c>
      <c r="T198" s="38">
        <v>0</v>
      </c>
      <c r="U198" s="64" t="str">
        <f t="shared" si="86"/>
        <v/>
      </c>
      <c r="V198" s="219"/>
      <c r="W198" s="43" t="str">
        <f t="shared" si="87"/>
        <v/>
      </c>
      <c r="X198" s="43" t="str">
        <f t="shared" si="88"/>
        <v/>
      </c>
      <c r="Y198" s="43"/>
      <c r="Z198" s="38" t="str">
        <f t="shared" si="89"/>
        <v/>
      </c>
      <c r="AA198" s="38" t="str">
        <f t="shared" si="90"/>
        <v/>
      </c>
      <c r="AB198" s="38" t="e">
        <f t="shared" si="91"/>
        <v>#VALUE!</v>
      </c>
      <c r="AC198" s="38" t="str">
        <f t="shared" si="92"/>
        <v/>
      </c>
      <c r="AD198" s="38" t="str">
        <f t="shared" si="92"/>
        <v/>
      </c>
      <c r="AE198" s="38" t="e">
        <f t="shared" si="93"/>
        <v>#VALUE!</v>
      </c>
      <c r="AF198" s="237" t="e">
        <f>((Summary!$N$13*(AA198*AD198)*(A198-$D$3))+(Summary!$M$13*Z198*AC198*(AJ198-EOMONTH(EDATE(A198,-1),0))))/(AK198*AB198*AE198)</f>
        <v>#VALUE!</v>
      </c>
      <c r="AG198" s="88" t="str">
        <f>IF($A199="","",Summary!$Q$13)</f>
        <v/>
      </c>
      <c r="AH198" s="88" t="str">
        <f>IF($A199="","",IF(Summary!$R$12="Y",(VLOOKUP($A198,Summary!$AD$6:$AF$9,3)+'Escalating commodity'!I211),'Escalating commodity'!I211))</f>
        <v/>
      </c>
      <c r="AI198" s="88" t="str">
        <f t="shared" si="108"/>
        <v/>
      </c>
      <c r="AJ198" s="236" t="e">
        <f t="shared" si="94"/>
        <v>#VALUE!</v>
      </c>
      <c r="AK198" s="58" t="str">
        <f t="shared" si="95"/>
        <v/>
      </c>
      <c r="AL198" s="26" t="str">
        <f>IF($A199="","",_xll.SPRDOPT(P198,X198,AI198,0,AB198,AE198,AF198,AK198,$AJ$2,0))</f>
        <v/>
      </c>
      <c r="AM198" s="209" t="str">
        <f t="shared" si="96"/>
        <v/>
      </c>
      <c r="AN198" s="89" t="str">
        <f t="shared" si="97"/>
        <v/>
      </c>
      <c r="AO198" s="3" t="str">
        <f t="shared" si="98"/>
        <v/>
      </c>
      <c r="AP198" s="33" t="str">
        <f t="shared" si="99"/>
        <v/>
      </c>
      <c r="AQ198" s="58" t="str">
        <f t="shared" si="100"/>
        <v/>
      </c>
      <c r="AR198" s="38">
        <f>'ANR OK vs ML7'!AR198</f>
        <v>0.1</v>
      </c>
      <c r="AS198" s="35" t="str">
        <f t="shared" si="101"/>
        <v/>
      </c>
      <c r="AT198" s="3" t="str">
        <f t="shared" si="102"/>
        <v/>
      </c>
      <c r="AU198" s="3" t="str">
        <f t="shared" si="103"/>
        <v/>
      </c>
      <c r="AW198" s="32" t="str">
        <f t="shared" si="104"/>
        <v/>
      </c>
      <c r="AX198" s="32" t="str">
        <f t="shared" si="105"/>
        <v/>
      </c>
      <c r="AY198" s="32" t="str">
        <f t="shared" si="106"/>
        <v/>
      </c>
      <c r="BA198" s="32" t="str">
        <f>IF($A199="","",F198*Summary!$Q$13)</f>
        <v/>
      </c>
    </row>
    <row r="199" spans="1:53" ht="12" customHeight="1">
      <c r="A199" s="67" t="str">
        <f t="shared" si="107"/>
        <v/>
      </c>
      <c r="B199" s="69" t="str">
        <f t="shared" si="110"/>
        <v/>
      </c>
      <c r="C199" s="71"/>
      <c r="D199" s="69" t="str">
        <f t="shared" si="74"/>
        <v/>
      </c>
      <c r="E199" s="70" t="str">
        <f t="shared" si="75"/>
        <v/>
      </c>
      <c r="F199" s="70" t="str">
        <f t="shared" si="76"/>
        <v/>
      </c>
      <c r="G199" s="63" t="str">
        <f t="shared" si="77"/>
        <v/>
      </c>
      <c r="H199" s="64" t="str">
        <f t="shared" si="78"/>
        <v/>
      </c>
      <c r="I199" s="43"/>
      <c r="J199" s="63" t="str">
        <f t="shared" si="79"/>
        <v/>
      </c>
      <c r="K199" s="64" t="str">
        <f t="shared" si="80"/>
        <v/>
      </c>
      <c r="L199" s="38">
        <v>0</v>
      </c>
      <c r="M199" s="64" t="str">
        <f t="shared" si="81"/>
        <v/>
      </c>
      <c r="N199" s="65"/>
      <c r="O199" s="63" t="str">
        <f t="shared" si="82"/>
        <v/>
      </c>
      <c r="P199" s="63" t="str">
        <f t="shared" si="83"/>
        <v/>
      </c>
      <c r="Q199" s="66"/>
      <c r="R199" s="63" t="str">
        <f t="shared" si="84"/>
        <v/>
      </c>
      <c r="S199" s="64" t="str">
        <f t="shared" si="85"/>
        <v/>
      </c>
      <c r="T199" s="38">
        <v>0</v>
      </c>
      <c r="U199" s="64" t="str">
        <f t="shared" si="86"/>
        <v/>
      </c>
      <c r="V199" s="219"/>
      <c r="W199" s="43" t="str">
        <f t="shared" si="87"/>
        <v/>
      </c>
      <c r="X199" s="43" t="str">
        <f t="shared" si="88"/>
        <v/>
      </c>
      <c r="Y199" s="43"/>
      <c r="Z199" s="38" t="str">
        <f t="shared" si="89"/>
        <v/>
      </c>
      <c r="AA199" s="38" t="str">
        <f t="shared" si="90"/>
        <v/>
      </c>
      <c r="AB199" s="38" t="e">
        <f t="shared" si="91"/>
        <v>#VALUE!</v>
      </c>
      <c r="AC199" s="38" t="str">
        <f t="shared" si="92"/>
        <v/>
      </c>
      <c r="AD199" s="38" t="str">
        <f t="shared" si="92"/>
        <v/>
      </c>
      <c r="AE199" s="38" t="e">
        <f t="shared" si="93"/>
        <v>#VALUE!</v>
      </c>
      <c r="AF199" s="237" t="e">
        <f>((Summary!$N$13*(AA199*AD199)*(A199-$D$3))+(Summary!$M$13*Z199*AC199*(AJ199-EOMONTH(EDATE(A199,-1),0))))/(AK199*AB199*AE199)</f>
        <v>#VALUE!</v>
      </c>
      <c r="AG199" s="88" t="str">
        <f>IF($A200="","",Summary!$Q$13)</f>
        <v/>
      </c>
      <c r="AH199" s="88" t="str">
        <f>IF($A200="","",IF(Summary!$R$12="Y",(VLOOKUP($A199,Summary!$AD$6:$AF$9,3)+'Escalating commodity'!I212),'Escalating commodity'!I212))</f>
        <v/>
      </c>
      <c r="AI199" s="88" t="str">
        <f t="shared" si="108"/>
        <v/>
      </c>
      <c r="AJ199" s="236" t="e">
        <f t="shared" si="94"/>
        <v>#VALUE!</v>
      </c>
      <c r="AK199" s="58" t="str">
        <f t="shared" si="95"/>
        <v/>
      </c>
      <c r="AL199" s="26" t="str">
        <f>IF($A200="","",_xll.SPRDOPT(P199,X199,AI199,0,AB199,AE199,AF199,AK199,$AJ$2,0))</f>
        <v/>
      </c>
      <c r="AM199" s="209" t="str">
        <f t="shared" si="96"/>
        <v/>
      </c>
      <c r="AN199" s="89" t="str">
        <f t="shared" si="97"/>
        <v/>
      </c>
      <c r="AO199" s="3" t="str">
        <f t="shared" si="98"/>
        <v/>
      </c>
      <c r="AP199" s="33" t="str">
        <f t="shared" si="99"/>
        <v/>
      </c>
      <c r="AQ199" s="58" t="str">
        <f t="shared" si="100"/>
        <v/>
      </c>
      <c r="AR199" s="38">
        <f>'ANR OK vs ML7'!AR199</f>
        <v>0.1</v>
      </c>
      <c r="AS199" s="35" t="str">
        <f t="shared" si="101"/>
        <v/>
      </c>
      <c r="AT199" s="3" t="str">
        <f t="shared" si="102"/>
        <v/>
      </c>
      <c r="AU199" s="3" t="str">
        <f t="shared" si="103"/>
        <v/>
      </c>
      <c r="AW199" s="32" t="str">
        <f t="shared" si="104"/>
        <v/>
      </c>
      <c r="AX199" s="32" t="str">
        <f t="shared" si="105"/>
        <v/>
      </c>
      <c r="AY199" s="32" t="str">
        <f t="shared" si="106"/>
        <v/>
      </c>
      <c r="BA199" s="32" t="str">
        <f>IF($A200="","",F199*Summary!$Q$13)</f>
        <v/>
      </c>
    </row>
    <row r="200" spans="1:53" ht="12" customHeight="1">
      <c r="A200" s="67" t="str">
        <f t="shared" si="107"/>
        <v/>
      </c>
      <c r="B200" s="69" t="str">
        <f t="shared" si="110"/>
        <v/>
      </c>
      <c r="C200" s="71"/>
      <c r="D200" s="69" t="str">
        <f t="shared" si="74"/>
        <v/>
      </c>
      <c r="E200" s="70" t="str">
        <f t="shared" si="75"/>
        <v/>
      </c>
      <c r="F200" s="70" t="str">
        <f t="shared" si="76"/>
        <v/>
      </c>
      <c r="G200" s="63" t="str">
        <f t="shared" si="77"/>
        <v/>
      </c>
      <c r="H200" s="64" t="str">
        <f t="shared" si="78"/>
        <v/>
      </c>
      <c r="I200" s="43"/>
      <c r="J200" s="63" t="str">
        <f t="shared" si="79"/>
        <v/>
      </c>
      <c r="K200" s="64" t="str">
        <f t="shared" si="80"/>
        <v/>
      </c>
      <c r="L200" s="38">
        <v>0</v>
      </c>
      <c r="M200" s="64" t="str">
        <f t="shared" si="81"/>
        <v/>
      </c>
      <c r="N200" s="65"/>
      <c r="O200" s="63" t="str">
        <f t="shared" si="82"/>
        <v/>
      </c>
      <c r="P200" s="63" t="str">
        <f t="shared" si="83"/>
        <v/>
      </c>
      <c r="Q200" s="66"/>
      <c r="R200" s="63" t="str">
        <f t="shared" si="84"/>
        <v/>
      </c>
      <c r="S200" s="64" t="str">
        <f t="shared" si="85"/>
        <v/>
      </c>
      <c r="T200" s="38">
        <v>0</v>
      </c>
      <c r="U200" s="64" t="str">
        <f t="shared" si="86"/>
        <v/>
      </c>
      <c r="V200" s="219"/>
      <c r="W200" s="43" t="str">
        <f t="shared" si="87"/>
        <v/>
      </c>
      <c r="X200" s="43" t="str">
        <f t="shared" si="88"/>
        <v/>
      </c>
      <c r="Y200" s="43"/>
      <c r="Z200" s="38" t="str">
        <f t="shared" si="89"/>
        <v/>
      </c>
      <c r="AA200" s="38" t="str">
        <f t="shared" si="90"/>
        <v/>
      </c>
      <c r="AB200" s="38" t="e">
        <f t="shared" si="91"/>
        <v>#VALUE!</v>
      </c>
      <c r="AC200" s="38" t="str">
        <f t="shared" si="92"/>
        <v/>
      </c>
      <c r="AD200" s="38" t="str">
        <f t="shared" si="92"/>
        <v/>
      </c>
      <c r="AE200" s="38" t="e">
        <f t="shared" si="93"/>
        <v>#VALUE!</v>
      </c>
      <c r="AF200" s="237" t="e">
        <f>((Summary!$N$13*(AA200*AD200)*(A200-$D$3))+(Summary!$M$13*Z200*AC200*(AJ200-EOMONTH(EDATE(A200,-1),0))))/(AK200*AB200*AE200)</f>
        <v>#VALUE!</v>
      </c>
      <c r="AG200" s="88" t="str">
        <f>IF($A201="","",Summary!$Q$13)</f>
        <v/>
      </c>
      <c r="AH200" s="88" t="str">
        <f>IF($A201="","",IF(Summary!$R$12="Y",(VLOOKUP($A200,Summary!$AD$6:$AF$9,3)+'Escalating commodity'!I213),'Escalating commodity'!I213))</f>
        <v/>
      </c>
      <c r="AI200" s="88" t="str">
        <f t="shared" si="108"/>
        <v/>
      </c>
      <c r="AJ200" s="236" t="e">
        <f t="shared" si="94"/>
        <v>#VALUE!</v>
      </c>
      <c r="AK200" s="58" t="str">
        <f t="shared" si="95"/>
        <v/>
      </c>
      <c r="AL200" s="26" t="str">
        <f>IF($A201="","",_xll.SPRDOPT(P200,X200,AI200,0,AB200,AE200,AF200,AK200,$AJ$2,0))</f>
        <v/>
      </c>
      <c r="AM200" s="209" t="str">
        <f t="shared" si="96"/>
        <v/>
      </c>
      <c r="AN200" s="89" t="str">
        <f t="shared" si="97"/>
        <v/>
      </c>
      <c r="AO200" s="3" t="str">
        <f t="shared" si="98"/>
        <v/>
      </c>
      <c r="AP200" s="33" t="str">
        <f t="shared" si="99"/>
        <v/>
      </c>
      <c r="AQ200" s="58" t="str">
        <f t="shared" si="100"/>
        <v/>
      </c>
      <c r="AR200" s="38">
        <f>'ANR OK vs ML7'!AR200</f>
        <v>0.1</v>
      </c>
      <c r="AS200" s="35" t="str">
        <f t="shared" si="101"/>
        <v/>
      </c>
      <c r="AT200" s="3" t="str">
        <f t="shared" si="102"/>
        <v/>
      </c>
      <c r="AU200" s="3" t="str">
        <f t="shared" si="103"/>
        <v/>
      </c>
      <c r="AW200" s="32" t="str">
        <f t="shared" si="104"/>
        <v/>
      </c>
      <c r="AX200" s="32" t="str">
        <f t="shared" si="105"/>
        <v/>
      </c>
      <c r="AY200" s="32" t="str">
        <f t="shared" si="106"/>
        <v/>
      </c>
      <c r="BA200" s="32" t="str">
        <f>IF($A201="","",F200*Summary!$Q$13)</f>
        <v/>
      </c>
    </row>
    <row r="201" spans="1:53" ht="12" customHeight="1">
      <c r="A201" s="67" t="str">
        <f t="shared" si="107"/>
        <v/>
      </c>
      <c r="B201" s="69" t="str">
        <f t="shared" si="110"/>
        <v/>
      </c>
      <c r="C201" s="71"/>
      <c r="D201" s="69" t="str">
        <f t="shared" si="74"/>
        <v/>
      </c>
      <c r="E201" s="70" t="str">
        <f t="shared" si="75"/>
        <v/>
      </c>
      <c r="F201" s="70" t="str">
        <f t="shared" si="76"/>
        <v/>
      </c>
      <c r="G201" s="63" t="str">
        <f t="shared" si="77"/>
        <v/>
      </c>
      <c r="H201" s="64" t="str">
        <f t="shared" si="78"/>
        <v/>
      </c>
      <c r="I201" s="43"/>
      <c r="J201" s="63" t="str">
        <f t="shared" si="79"/>
        <v/>
      </c>
      <c r="K201" s="64" t="str">
        <f t="shared" si="80"/>
        <v/>
      </c>
      <c r="L201" s="38">
        <v>0</v>
      </c>
      <c r="M201" s="64" t="str">
        <f t="shared" si="81"/>
        <v/>
      </c>
      <c r="N201" s="65"/>
      <c r="O201" s="63" t="str">
        <f t="shared" si="82"/>
        <v/>
      </c>
      <c r="P201" s="63" t="str">
        <f t="shared" si="83"/>
        <v/>
      </c>
      <c r="Q201" s="66"/>
      <c r="R201" s="63" t="str">
        <f t="shared" si="84"/>
        <v/>
      </c>
      <c r="S201" s="64" t="str">
        <f t="shared" si="85"/>
        <v/>
      </c>
      <c r="T201" s="38">
        <v>0</v>
      </c>
      <c r="U201" s="64" t="str">
        <f t="shared" si="86"/>
        <v/>
      </c>
      <c r="V201" s="219"/>
      <c r="W201" s="43" t="str">
        <f t="shared" si="87"/>
        <v/>
      </c>
      <c r="X201" s="43" t="str">
        <f t="shared" si="88"/>
        <v/>
      </c>
      <c r="Y201" s="43"/>
      <c r="Z201" s="38" t="str">
        <f t="shared" si="89"/>
        <v/>
      </c>
      <c r="AA201" s="38" t="str">
        <f t="shared" si="90"/>
        <v/>
      </c>
      <c r="AB201" s="38" t="e">
        <f t="shared" si="91"/>
        <v>#VALUE!</v>
      </c>
      <c r="AC201" s="38" t="str">
        <f t="shared" si="92"/>
        <v/>
      </c>
      <c r="AD201" s="38" t="str">
        <f t="shared" si="92"/>
        <v/>
      </c>
      <c r="AE201" s="38" t="e">
        <f t="shared" si="93"/>
        <v>#VALUE!</v>
      </c>
      <c r="AF201" s="237" t="e">
        <f>((Summary!$N$13*(AA201*AD201)*(A201-$D$3))+(Summary!$M$13*Z201*AC201*(AJ201-EOMONTH(EDATE(A201,-1),0))))/(AK201*AB201*AE201)</f>
        <v>#VALUE!</v>
      </c>
      <c r="AG201" s="88" t="str">
        <f>IF($A202="","",Summary!$Q$13)</f>
        <v/>
      </c>
      <c r="AH201" s="88" t="str">
        <f>IF($A202="","",IF(Summary!$R$12="Y",(VLOOKUP($A201,Summary!$AD$6:$AF$9,3)+'Escalating commodity'!I214),'Escalating commodity'!I214))</f>
        <v/>
      </c>
      <c r="AI201" s="88" t="str">
        <f t="shared" si="108"/>
        <v/>
      </c>
      <c r="AJ201" s="236" t="e">
        <f t="shared" si="94"/>
        <v>#VALUE!</v>
      </c>
      <c r="AK201" s="58" t="str">
        <f t="shared" si="95"/>
        <v/>
      </c>
      <c r="AL201" s="26" t="str">
        <f>IF($A202="","",_xll.SPRDOPT(P201,X201,AI201,0,AB201,AE201,AF201,AK201,$AJ$2,0))</f>
        <v/>
      </c>
      <c r="AM201" s="209" t="str">
        <f t="shared" si="96"/>
        <v/>
      </c>
      <c r="AN201" s="89" t="str">
        <f t="shared" si="97"/>
        <v/>
      </c>
      <c r="AO201" s="3" t="str">
        <f t="shared" si="98"/>
        <v/>
      </c>
      <c r="AP201" s="33" t="str">
        <f t="shared" si="99"/>
        <v/>
      </c>
      <c r="AQ201" s="58" t="str">
        <f t="shared" si="100"/>
        <v/>
      </c>
      <c r="AR201" s="38">
        <f>'ANR OK vs ML7'!AR201</f>
        <v>0.1</v>
      </c>
      <c r="AS201" s="35" t="str">
        <f t="shared" si="101"/>
        <v/>
      </c>
      <c r="AT201" s="3" t="str">
        <f t="shared" si="102"/>
        <v/>
      </c>
      <c r="AU201" s="3" t="str">
        <f t="shared" si="103"/>
        <v/>
      </c>
      <c r="AW201" s="32" t="str">
        <f t="shared" si="104"/>
        <v/>
      </c>
      <c r="AX201" s="32" t="str">
        <f t="shared" si="105"/>
        <v/>
      </c>
      <c r="AY201" s="32" t="str">
        <f t="shared" si="106"/>
        <v/>
      </c>
      <c r="BA201" s="32" t="str">
        <f>IF($A202="","",F201*Summary!$Q$13)</f>
        <v/>
      </c>
    </row>
    <row r="202" spans="1:53" ht="12" customHeight="1">
      <c r="A202" s="67" t="str">
        <f t="shared" si="107"/>
        <v/>
      </c>
      <c r="B202" s="69" t="str">
        <f t="shared" si="110"/>
        <v/>
      </c>
      <c r="C202" s="71"/>
      <c r="D202" s="69" t="str">
        <f t="shared" ref="D202:D265" si="111">IF(A203&lt;&gt;"",B202+C202,"")</f>
        <v/>
      </c>
      <c r="E202" s="70" t="str">
        <f t="shared" ref="E202:E265" si="112">IF(A203="","",IF(AND(AT202=1,$H$3=1),D202*AO202,IF($H$3=2,D202,"N/A")))</f>
        <v/>
      </c>
      <c r="F202" s="70" t="str">
        <f t="shared" ref="F202:F265" si="113">IF(A203="","",E202*AS202)</f>
        <v/>
      </c>
      <c r="G202" s="63" t="str">
        <f t="shared" ref="G202:G265" si="114">IF($A203="","",VLOOKUP($A202,Table,MATCH(G$4,Curves,0)))</f>
        <v/>
      </c>
      <c r="H202" s="64" t="str">
        <f t="shared" ref="H202:H265" si="115">IF(A203="","",G202)</f>
        <v/>
      </c>
      <c r="I202" s="43"/>
      <c r="J202" s="63" t="str">
        <f t="shared" ref="J202:J265" si="116">IF($A203="","",VLOOKUP($A202,Table,MATCH(J$4,Curves,0)))</f>
        <v/>
      </c>
      <c r="K202" s="64" t="str">
        <f t="shared" ref="K202:K265" si="117">IF(A203="","",J202)</f>
        <v/>
      </c>
      <c r="L202" s="38">
        <v>0</v>
      </c>
      <c r="M202" s="64" t="str">
        <f t="shared" ref="M202:M265" si="118">IF(A203="","",L202)</f>
        <v/>
      </c>
      <c r="N202" s="65"/>
      <c r="O202" s="63" t="str">
        <f t="shared" ref="O202:O265" si="119">IF(A203="","",L202+J202+G202)</f>
        <v/>
      </c>
      <c r="P202" s="63" t="str">
        <f t="shared" ref="P202:P265" si="120">IF(A203="","",M202+K202+H202)</f>
        <v/>
      </c>
      <c r="Q202" s="66"/>
      <c r="R202" s="63" t="str">
        <f t="shared" ref="R202:R265" si="121">IF($A203="","",VLOOKUP($A202,Table,MATCH(R$4,Curves,0)))</f>
        <v/>
      </c>
      <c r="S202" s="64" t="str">
        <f t="shared" ref="S202:S265" si="122">IF(A203="","",R202)</f>
        <v/>
      </c>
      <c r="T202" s="38">
        <v>0</v>
      </c>
      <c r="U202" s="64" t="str">
        <f t="shared" ref="U202:U265" si="123">IF(A203="","",T202)</f>
        <v/>
      </c>
      <c r="V202" s="219"/>
      <c r="W202" s="43" t="str">
        <f t="shared" ref="W202:W265" si="124">IF($A203="","",(T202+R202+G202+V202))</f>
        <v/>
      </c>
      <c r="X202" s="43" t="str">
        <f t="shared" ref="X202:X265" si="125">IF($A203="","",(U202+S202+H202+V202))</f>
        <v/>
      </c>
      <c r="Y202" s="43"/>
      <c r="Z202" s="38" t="str">
        <f t="shared" ref="Z202:Z265" si="126">IF($A203="","",VLOOKUP($A202,Table,MATCH(Z$4,Curves,0)))</f>
        <v/>
      </c>
      <c r="AA202" s="38" t="str">
        <f t="shared" ref="AA202:AA265" si="127">IF($A203="","",VLOOKUP($A202,Table,MATCH(AA$4,Curves,0)))</f>
        <v/>
      </c>
      <c r="AB202" s="38" t="e">
        <f t="shared" ref="AB202:AB265" si="128">SQRT((AA202^2*(A202-$D$3)+Z202^2*(DAY(EOMONTH(A202,0))/2))/AK202)</f>
        <v>#VALUE!</v>
      </c>
      <c r="AC202" s="38" t="str">
        <f t="shared" ref="AC202:AD265" si="129">IF($A203="","",VLOOKUP($A202,Table,MATCH(AC$4,Curves,0)))</f>
        <v/>
      </c>
      <c r="AD202" s="38" t="str">
        <f t="shared" si="129"/>
        <v/>
      </c>
      <c r="AE202" s="38" t="e">
        <f t="shared" ref="AE202:AE265" si="130">SQRT((AD202^2*(A202-$D$3)+AC202^2*(DAY(EOMONTH(A202,0))/2))/AK202)</f>
        <v>#VALUE!</v>
      </c>
      <c r="AF202" s="237" t="e">
        <f>((Summary!$N$13*(AA202*AD202)*(A202-$D$3))+(Summary!$M$13*Z202*AC202*(AJ202-EOMONTH(EDATE(A202,-1),0))))/(AK202*AB202*AE202)</f>
        <v>#VALUE!</v>
      </c>
      <c r="AG202" s="88" t="str">
        <f>IF($A203="","",Summary!$Q$13)</f>
        <v/>
      </c>
      <c r="AH202" s="88" t="str">
        <f>IF($A203="","",IF(Summary!$R$12="Y",(VLOOKUP($A202,Summary!$AD$6:$AF$9,3)+'Escalating commodity'!I215),'Escalating commodity'!I215))</f>
        <v/>
      </c>
      <c r="AI202" s="88" t="str">
        <f t="shared" si="108"/>
        <v/>
      </c>
      <c r="AJ202" s="236" t="e">
        <f t="shared" ref="AJ202:AJ265" si="131">A202+DAY(EOMONTH(A202,0))/2-1</f>
        <v>#VALUE!</v>
      </c>
      <c r="AK202" s="58" t="str">
        <f t="shared" ref="AK202:AK265" si="132">IF($A203="","",$A202-$E$1)</f>
        <v/>
      </c>
      <c r="AL202" s="26" t="str">
        <f>IF($A203="","",_xll.SPRDOPT(P202,X202,AI202,0,AB202,AE202,AF202,AK202,$AJ$2,0))</f>
        <v/>
      </c>
      <c r="AM202" s="209" t="str">
        <f t="shared" ref="AM202:AM265" si="133">IF($A203="","",MAX(0,O202-W202-AI202))</f>
        <v/>
      </c>
      <c r="AN202" s="89" t="str">
        <f t="shared" ref="AN202:AN265" si="134">IF($A203="","",AL202-AM202)</f>
        <v/>
      </c>
      <c r="AO202" s="3" t="str">
        <f t="shared" ref="AO202:AO265" si="135">IF(A203="","",A203-A202)</f>
        <v/>
      </c>
      <c r="AP202" s="33" t="str">
        <f t="shared" ref="AP202:AP265" si="136">IF(A203="","",CHOOSE(F$3,A203+24,A202))</f>
        <v/>
      </c>
      <c r="AQ202" s="58" t="str">
        <f t="shared" ref="AQ202:AQ265" si="137">IF(A203="","",AP202-$E$1)</f>
        <v/>
      </c>
      <c r="AR202" s="38">
        <f>'ANR OK vs ML7'!AR202</f>
        <v>0.1</v>
      </c>
      <c r="AS202" s="35" t="str">
        <f t="shared" ref="AS202:AS265" si="138">IF(A203="","",1/(1+CHOOSE(F$3,(AR203+($I$3/10000))/2,(AR202+($I$3/10000))/2))^(2*AQ202/365.25))</f>
        <v/>
      </c>
      <c r="AT202" s="3" t="str">
        <f t="shared" ref="AT202:AT265" si="139">IF(A203="","",IF(AND(mthbeg&lt;=A202,mthend&gt;=A202),1,0))</f>
        <v/>
      </c>
      <c r="AU202" s="3" t="str">
        <f t="shared" ref="AU202:AU265" si="140">IF(A203="","",AO202*AT202)</f>
        <v/>
      </c>
      <c r="AW202" s="32" t="str">
        <f t="shared" ref="AW202:AW265" si="141">IF($A203="","",AL202*$E202)</f>
        <v/>
      </c>
      <c r="AX202" s="32" t="str">
        <f t="shared" ref="AX202:AX265" si="142">IF($A203="","",AM202*$E202)</f>
        <v/>
      </c>
      <c r="AY202" s="32" t="str">
        <f t="shared" ref="AY202:AY265" si="143">IF($A203="","",AN202*$E202)</f>
        <v/>
      </c>
      <c r="BA202" s="32" t="str">
        <f>IF($A203="","",F202*Summary!$Q$13)</f>
        <v/>
      </c>
    </row>
    <row r="203" spans="1:53" ht="12" customHeight="1">
      <c r="A203" s="67" t="str">
        <f t="shared" ref="A203:A266" si="144">IF(A202&lt;mthend,EDATE(A202,1),"")</f>
        <v/>
      </c>
      <c r="B203" s="69" t="str">
        <f t="shared" si="110"/>
        <v/>
      </c>
      <c r="C203" s="71"/>
      <c r="D203" s="69" t="str">
        <f t="shared" si="111"/>
        <v/>
      </c>
      <c r="E203" s="70" t="str">
        <f t="shared" si="112"/>
        <v/>
      </c>
      <c r="F203" s="70" t="str">
        <f t="shared" si="113"/>
        <v/>
      </c>
      <c r="G203" s="63" t="str">
        <f t="shared" si="114"/>
        <v/>
      </c>
      <c r="H203" s="64" t="str">
        <f t="shared" si="115"/>
        <v/>
      </c>
      <c r="I203" s="43"/>
      <c r="J203" s="63" t="str">
        <f t="shared" si="116"/>
        <v/>
      </c>
      <c r="K203" s="64" t="str">
        <f t="shared" si="117"/>
        <v/>
      </c>
      <c r="L203" s="38">
        <v>0</v>
      </c>
      <c r="M203" s="64" t="str">
        <f t="shared" si="118"/>
        <v/>
      </c>
      <c r="N203" s="65"/>
      <c r="O203" s="63" t="str">
        <f t="shared" si="119"/>
        <v/>
      </c>
      <c r="P203" s="63" t="str">
        <f t="shared" si="120"/>
        <v/>
      </c>
      <c r="Q203" s="66"/>
      <c r="R203" s="63" t="str">
        <f t="shared" si="121"/>
        <v/>
      </c>
      <c r="S203" s="64" t="str">
        <f t="shared" si="122"/>
        <v/>
      </c>
      <c r="T203" s="38">
        <v>0</v>
      </c>
      <c r="U203" s="64" t="str">
        <f t="shared" si="123"/>
        <v/>
      </c>
      <c r="V203" s="219"/>
      <c r="W203" s="43" t="str">
        <f t="shared" si="124"/>
        <v/>
      </c>
      <c r="X203" s="43" t="str">
        <f t="shared" si="125"/>
        <v/>
      </c>
      <c r="Y203" s="43"/>
      <c r="Z203" s="38" t="str">
        <f t="shared" si="126"/>
        <v/>
      </c>
      <c r="AA203" s="38" t="str">
        <f t="shared" si="127"/>
        <v/>
      </c>
      <c r="AB203" s="38" t="e">
        <f t="shared" si="128"/>
        <v>#VALUE!</v>
      </c>
      <c r="AC203" s="38" t="str">
        <f t="shared" si="129"/>
        <v/>
      </c>
      <c r="AD203" s="38" t="str">
        <f t="shared" si="129"/>
        <v/>
      </c>
      <c r="AE203" s="38" t="e">
        <f t="shared" si="130"/>
        <v>#VALUE!</v>
      </c>
      <c r="AF203" s="237" t="e">
        <f>((Summary!$N$13*(AA203*AD203)*(A203-$D$3))+(Summary!$M$13*Z203*AC203*(AJ203-EOMONTH(EDATE(A203,-1),0))))/(AK203*AB203*AE203)</f>
        <v>#VALUE!</v>
      </c>
      <c r="AG203" s="88" t="str">
        <f>IF($A204="","",Summary!$Q$13)</f>
        <v/>
      </c>
      <c r="AH203" s="88" t="str">
        <f>IF($A204="","",IF(Summary!$R$12="Y",(VLOOKUP($A203,Summary!$AD$6:$AF$9,3)+'Escalating commodity'!I216),'Escalating commodity'!I216))</f>
        <v/>
      </c>
      <c r="AI203" s="88" t="str">
        <f t="shared" ref="AI203:AI266" si="145">IF($A204="","",AH203)</f>
        <v/>
      </c>
      <c r="AJ203" s="236" t="e">
        <f t="shared" si="131"/>
        <v>#VALUE!</v>
      </c>
      <c r="AK203" s="58" t="str">
        <f t="shared" si="132"/>
        <v/>
      </c>
      <c r="AL203" s="26" t="str">
        <f>IF($A204="","",_xll.SPRDOPT(P203,X203,AI203,0,AB203,AE203,AF203,AK203,$AJ$2,0))</f>
        <v/>
      </c>
      <c r="AM203" s="209" t="str">
        <f t="shared" si="133"/>
        <v/>
      </c>
      <c r="AN203" s="89" t="str">
        <f t="shared" si="134"/>
        <v/>
      </c>
      <c r="AO203" s="3" t="str">
        <f t="shared" si="135"/>
        <v/>
      </c>
      <c r="AP203" s="33" t="str">
        <f t="shared" si="136"/>
        <v/>
      </c>
      <c r="AQ203" s="58" t="str">
        <f t="shared" si="137"/>
        <v/>
      </c>
      <c r="AR203" s="38">
        <f>'ANR OK vs ML7'!AR203</f>
        <v>0.1</v>
      </c>
      <c r="AS203" s="35" t="str">
        <f t="shared" si="138"/>
        <v/>
      </c>
      <c r="AT203" s="3" t="str">
        <f t="shared" si="139"/>
        <v/>
      </c>
      <c r="AU203" s="3" t="str">
        <f t="shared" si="140"/>
        <v/>
      </c>
      <c r="AW203" s="32" t="str">
        <f t="shared" si="141"/>
        <v/>
      </c>
      <c r="AX203" s="32" t="str">
        <f t="shared" si="142"/>
        <v/>
      </c>
      <c r="AY203" s="32" t="str">
        <f t="shared" si="143"/>
        <v/>
      </c>
      <c r="BA203" s="32" t="str">
        <f>IF($A204="","",F203*Summary!$Q$13)</f>
        <v/>
      </c>
    </row>
    <row r="204" spans="1:53" ht="12" customHeight="1">
      <c r="A204" s="67" t="str">
        <f t="shared" si="144"/>
        <v/>
      </c>
      <c r="B204" s="69" t="str">
        <f t="shared" ref="B204:B267" si="146">IF(A204&lt;mthend,B203,"")</f>
        <v/>
      </c>
      <c r="C204" s="71"/>
      <c r="D204" s="69" t="str">
        <f t="shared" si="111"/>
        <v/>
      </c>
      <c r="E204" s="70" t="str">
        <f t="shared" si="112"/>
        <v/>
      </c>
      <c r="F204" s="70" t="str">
        <f t="shared" si="113"/>
        <v/>
      </c>
      <c r="G204" s="63" t="str">
        <f t="shared" si="114"/>
        <v/>
      </c>
      <c r="H204" s="64" t="str">
        <f t="shared" si="115"/>
        <v/>
      </c>
      <c r="I204" s="43"/>
      <c r="J204" s="63" t="str">
        <f t="shared" si="116"/>
        <v/>
      </c>
      <c r="K204" s="64" t="str">
        <f t="shared" si="117"/>
        <v/>
      </c>
      <c r="L204" s="38">
        <v>0</v>
      </c>
      <c r="M204" s="64" t="str">
        <f t="shared" si="118"/>
        <v/>
      </c>
      <c r="N204" s="65"/>
      <c r="O204" s="63" t="str">
        <f t="shared" si="119"/>
        <v/>
      </c>
      <c r="P204" s="63" t="str">
        <f t="shared" si="120"/>
        <v/>
      </c>
      <c r="Q204" s="66"/>
      <c r="R204" s="63" t="str">
        <f t="shared" si="121"/>
        <v/>
      </c>
      <c r="S204" s="64" t="str">
        <f t="shared" si="122"/>
        <v/>
      </c>
      <c r="T204" s="38">
        <v>0</v>
      </c>
      <c r="U204" s="64" t="str">
        <f t="shared" si="123"/>
        <v/>
      </c>
      <c r="V204" s="219"/>
      <c r="W204" s="43" t="str">
        <f t="shared" si="124"/>
        <v/>
      </c>
      <c r="X204" s="43" t="str">
        <f t="shared" si="125"/>
        <v/>
      </c>
      <c r="Y204" s="43"/>
      <c r="Z204" s="38" t="str">
        <f t="shared" si="126"/>
        <v/>
      </c>
      <c r="AA204" s="38" t="str">
        <f t="shared" si="127"/>
        <v/>
      </c>
      <c r="AB204" s="38" t="e">
        <f t="shared" si="128"/>
        <v>#VALUE!</v>
      </c>
      <c r="AC204" s="38" t="str">
        <f t="shared" si="129"/>
        <v/>
      </c>
      <c r="AD204" s="38" t="str">
        <f t="shared" si="129"/>
        <v/>
      </c>
      <c r="AE204" s="38" t="e">
        <f t="shared" si="130"/>
        <v>#VALUE!</v>
      </c>
      <c r="AF204" s="237" t="e">
        <f>((Summary!$N$13*(AA204*AD204)*(A204-$D$3))+(Summary!$M$13*Z204*AC204*(AJ204-EOMONTH(EDATE(A204,-1),0))))/(AK204*AB204*AE204)</f>
        <v>#VALUE!</v>
      </c>
      <c r="AG204" s="88" t="str">
        <f>IF($A205="","",Summary!$Q$13)</f>
        <v/>
      </c>
      <c r="AH204" s="88" t="str">
        <f>IF($A205="","",IF(Summary!$R$12="Y",(VLOOKUP($A204,Summary!$AD$6:$AF$9,3)+'Escalating commodity'!I217),'Escalating commodity'!I217))</f>
        <v/>
      </c>
      <c r="AI204" s="88" t="str">
        <f t="shared" si="145"/>
        <v/>
      </c>
      <c r="AJ204" s="236" t="e">
        <f t="shared" si="131"/>
        <v>#VALUE!</v>
      </c>
      <c r="AK204" s="58" t="str">
        <f t="shared" si="132"/>
        <v/>
      </c>
      <c r="AL204" s="26" t="str">
        <f>IF($A205="","",_xll.SPRDOPT(P204,X204,AI204,0,AB204,AE204,AF204,AK204,$AJ$2,0))</f>
        <v/>
      </c>
      <c r="AM204" s="209" t="str">
        <f t="shared" si="133"/>
        <v/>
      </c>
      <c r="AN204" s="89" t="str">
        <f t="shared" si="134"/>
        <v/>
      </c>
      <c r="AO204" s="3" t="str">
        <f t="shared" si="135"/>
        <v/>
      </c>
      <c r="AP204" s="33" t="str">
        <f t="shared" si="136"/>
        <v/>
      </c>
      <c r="AQ204" s="58" t="str">
        <f t="shared" si="137"/>
        <v/>
      </c>
      <c r="AR204" s="38">
        <f>'ANR OK vs ML7'!AR204</f>
        <v>0.1</v>
      </c>
      <c r="AS204" s="35" t="str">
        <f t="shared" si="138"/>
        <v/>
      </c>
      <c r="AT204" s="3" t="str">
        <f t="shared" si="139"/>
        <v/>
      </c>
      <c r="AU204" s="3" t="str">
        <f t="shared" si="140"/>
        <v/>
      </c>
      <c r="AW204" s="32" t="str">
        <f t="shared" si="141"/>
        <v/>
      </c>
      <c r="AX204" s="32" t="str">
        <f t="shared" si="142"/>
        <v/>
      </c>
      <c r="AY204" s="32" t="str">
        <f t="shared" si="143"/>
        <v/>
      </c>
      <c r="BA204" s="32" t="str">
        <f>IF($A205="","",F204*Summary!$Q$13)</f>
        <v/>
      </c>
    </row>
    <row r="205" spans="1:53" ht="12" customHeight="1">
      <c r="A205" s="67" t="str">
        <f t="shared" si="144"/>
        <v/>
      </c>
      <c r="B205" s="69" t="str">
        <f t="shared" si="146"/>
        <v/>
      </c>
      <c r="C205" s="71"/>
      <c r="D205" s="69" t="str">
        <f t="shared" si="111"/>
        <v/>
      </c>
      <c r="E205" s="70" t="str">
        <f t="shared" si="112"/>
        <v/>
      </c>
      <c r="F205" s="70" t="str">
        <f t="shared" si="113"/>
        <v/>
      </c>
      <c r="G205" s="63" t="str">
        <f t="shared" si="114"/>
        <v/>
      </c>
      <c r="H205" s="64" t="str">
        <f t="shared" si="115"/>
        <v/>
      </c>
      <c r="I205" s="43"/>
      <c r="J205" s="63" t="str">
        <f t="shared" si="116"/>
        <v/>
      </c>
      <c r="K205" s="64" t="str">
        <f t="shared" si="117"/>
        <v/>
      </c>
      <c r="L205" s="38">
        <v>0</v>
      </c>
      <c r="M205" s="64" t="str">
        <f t="shared" si="118"/>
        <v/>
      </c>
      <c r="N205" s="65"/>
      <c r="O205" s="63" t="str">
        <f t="shared" si="119"/>
        <v/>
      </c>
      <c r="P205" s="63" t="str">
        <f t="shared" si="120"/>
        <v/>
      </c>
      <c r="Q205" s="66"/>
      <c r="R205" s="63" t="str">
        <f t="shared" si="121"/>
        <v/>
      </c>
      <c r="S205" s="64" t="str">
        <f t="shared" si="122"/>
        <v/>
      </c>
      <c r="T205" s="38">
        <v>0</v>
      </c>
      <c r="U205" s="64" t="str">
        <f t="shared" si="123"/>
        <v/>
      </c>
      <c r="V205" s="219"/>
      <c r="W205" s="43" t="str">
        <f t="shared" si="124"/>
        <v/>
      </c>
      <c r="X205" s="43" t="str">
        <f t="shared" si="125"/>
        <v/>
      </c>
      <c r="Y205" s="43"/>
      <c r="Z205" s="38" t="str">
        <f t="shared" si="126"/>
        <v/>
      </c>
      <c r="AA205" s="38" t="str">
        <f t="shared" si="127"/>
        <v/>
      </c>
      <c r="AB205" s="38" t="e">
        <f t="shared" si="128"/>
        <v>#VALUE!</v>
      </c>
      <c r="AC205" s="38" t="str">
        <f t="shared" si="129"/>
        <v/>
      </c>
      <c r="AD205" s="38" t="str">
        <f t="shared" si="129"/>
        <v/>
      </c>
      <c r="AE205" s="38" t="e">
        <f t="shared" si="130"/>
        <v>#VALUE!</v>
      </c>
      <c r="AF205" s="237" t="e">
        <f>((Summary!$N$13*(AA205*AD205)*(A205-$D$3))+(Summary!$M$13*Z205*AC205*(AJ205-EOMONTH(EDATE(A205,-1),0))))/(AK205*AB205*AE205)</f>
        <v>#VALUE!</v>
      </c>
      <c r="AG205" s="88" t="str">
        <f>IF($A206="","",Summary!$Q$13)</f>
        <v/>
      </c>
      <c r="AH205" s="88" t="str">
        <f>IF($A206="","",IF(Summary!$R$12="Y",(VLOOKUP($A205,Summary!$AD$6:$AF$9,3)+'Escalating commodity'!I218),'Escalating commodity'!I218))</f>
        <v/>
      </c>
      <c r="AI205" s="88" t="str">
        <f t="shared" si="145"/>
        <v/>
      </c>
      <c r="AJ205" s="236" t="e">
        <f t="shared" si="131"/>
        <v>#VALUE!</v>
      </c>
      <c r="AK205" s="58" t="str">
        <f t="shared" si="132"/>
        <v/>
      </c>
      <c r="AL205" s="26" t="str">
        <f>IF($A206="","",_xll.SPRDOPT(P205,X205,AI205,0,AB205,AE205,AF205,AK205,$AJ$2,0))</f>
        <v/>
      </c>
      <c r="AM205" s="209" t="str">
        <f t="shared" si="133"/>
        <v/>
      </c>
      <c r="AN205" s="89" t="str">
        <f t="shared" si="134"/>
        <v/>
      </c>
      <c r="AO205" s="3" t="str">
        <f t="shared" si="135"/>
        <v/>
      </c>
      <c r="AP205" s="33" t="str">
        <f t="shared" si="136"/>
        <v/>
      </c>
      <c r="AQ205" s="58" t="str">
        <f t="shared" si="137"/>
        <v/>
      </c>
      <c r="AR205" s="38">
        <f>'ANR OK vs ML7'!AR205</f>
        <v>0.1</v>
      </c>
      <c r="AS205" s="35" t="str">
        <f t="shared" si="138"/>
        <v/>
      </c>
      <c r="AT205" s="3" t="str">
        <f t="shared" si="139"/>
        <v/>
      </c>
      <c r="AU205" s="3" t="str">
        <f t="shared" si="140"/>
        <v/>
      </c>
      <c r="AW205" s="32" t="str">
        <f t="shared" si="141"/>
        <v/>
      </c>
      <c r="AX205" s="32" t="str">
        <f t="shared" si="142"/>
        <v/>
      </c>
      <c r="AY205" s="32" t="str">
        <f t="shared" si="143"/>
        <v/>
      </c>
      <c r="BA205" s="32" t="str">
        <f>IF($A206="","",F205*Summary!$Q$13)</f>
        <v/>
      </c>
    </row>
    <row r="206" spans="1:53" ht="12" customHeight="1">
      <c r="A206" s="67" t="str">
        <f t="shared" si="144"/>
        <v/>
      </c>
      <c r="B206" s="69" t="str">
        <f t="shared" si="146"/>
        <v/>
      </c>
      <c r="C206" s="71"/>
      <c r="D206" s="69" t="str">
        <f t="shared" si="111"/>
        <v/>
      </c>
      <c r="E206" s="70" t="str">
        <f t="shared" si="112"/>
        <v/>
      </c>
      <c r="F206" s="70" t="str">
        <f t="shared" si="113"/>
        <v/>
      </c>
      <c r="G206" s="63" t="str">
        <f t="shared" si="114"/>
        <v/>
      </c>
      <c r="H206" s="64" t="str">
        <f t="shared" si="115"/>
        <v/>
      </c>
      <c r="I206" s="43"/>
      <c r="J206" s="63" t="str">
        <f t="shared" si="116"/>
        <v/>
      </c>
      <c r="K206" s="64" t="str">
        <f t="shared" si="117"/>
        <v/>
      </c>
      <c r="L206" s="38">
        <v>0</v>
      </c>
      <c r="M206" s="64" t="str">
        <f t="shared" si="118"/>
        <v/>
      </c>
      <c r="N206" s="65"/>
      <c r="O206" s="63" t="str">
        <f t="shared" si="119"/>
        <v/>
      </c>
      <c r="P206" s="63" t="str">
        <f t="shared" si="120"/>
        <v/>
      </c>
      <c r="Q206" s="66"/>
      <c r="R206" s="63" t="str">
        <f t="shared" si="121"/>
        <v/>
      </c>
      <c r="S206" s="64" t="str">
        <f t="shared" si="122"/>
        <v/>
      </c>
      <c r="T206" s="38">
        <v>0</v>
      </c>
      <c r="U206" s="64" t="str">
        <f t="shared" si="123"/>
        <v/>
      </c>
      <c r="V206" s="219"/>
      <c r="W206" s="43" t="str">
        <f t="shared" si="124"/>
        <v/>
      </c>
      <c r="X206" s="43" t="str">
        <f t="shared" si="125"/>
        <v/>
      </c>
      <c r="Y206" s="43"/>
      <c r="Z206" s="38" t="str">
        <f t="shared" si="126"/>
        <v/>
      </c>
      <c r="AA206" s="38" t="str">
        <f t="shared" si="127"/>
        <v/>
      </c>
      <c r="AB206" s="38" t="e">
        <f t="shared" si="128"/>
        <v>#VALUE!</v>
      </c>
      <c r="AC206" s="38" t="str">
        <f t="shared" si="129"/>
        <v/>
      </c>
      <c r="AD206" s="38" t="str">
        <f t="shared" si="129"/>
        <v/>
      </c>
      <c r="AE206" s="38" t="e">
        <f t="shared" si="130"/>
        <v>#VALUE!</v>
      </c>
      <c r="AF206" s="237" t="e">
        <f>((Summary!$N$13*(AA206*AD206)*(A206-$D$3))+(Summary!$M$13*Z206*AC206*(AJ206-EOMONTH(EDATE(A206,-1),0))))/(AK206*AB206*AE206)</f>
        <v>#VALUE!</v>
      </c>
      <c r="AG206" s="88" t="str">
        <f>IF($A207="","",Summary!$Q$13)</f>
        <v/>
      </c>
      <c r="AH206" s="88" t="str">
        <f>IF($A207="","",IF(Summary!$R$12="Y",(VLOOKUP($A206,Summary!$AD$6:$AF$9,3)+'Escalating commodity'!I219),'Escalating commodity'!I219))</f>
        <v/>
      </c>
      <c r="AI206" s="88" t="str">
        <f t="shared" si="145"/>
        <v/>
      </c>
      <c r="AJ206" s="236" t="e">
        <f t="shared" si="131"/>
        <v>#VALUE!</v>
      </c>
      <c r="AK206" s="58" t="str">
        <f t="shared" si="132"/>
        <v/>
      </c>
      <c r="AL206" s="26" t="str">
        <f>IF($A207="","",_xll.SPRDOPT(P206,X206,AI206,0,AB206,AE206,AF206,AK206,$AJ$2,0))</f>
        <v/>
      </c>
      <c r="AM206" s="209" t="str">
        <f t="shared" si="133"/>
        <v/>
      </c>
      <c r="AN206" s="89" t="str">
        <f t="shared" si="134"/>
        <v/>
      </c>
      <c r="AO206" s="3" t="str">
        <f t="shared" si="135"/>
        <v/>
      </c>
      <c r="AP206" s="33" t="str">
        <f t="shared" si="136"/>
        <v/>
      </c>
      <c r="AQ206" s="58" t="str">
        <f t="shared" si="137"/>
        <v/>
      </c>
      <c r="AR206" s="38">
        <f>'ANR OK vs ML7'!AR206</f>
        <v>0.1</v>
      </c>
      <c r="AS206" s="35" t="str">
        <f t="shared" si="138"/>
        <v/>
      </c>
      <c r="AT206" s="3" t="str">
        <f t="shared" si="139"/>
        <v/>
      </c>
      <c r="AU206" s="3" t="str">
        <f t="shared" si="140"/>
        <v/>
      </c>
      <c r="AW206" s="32" t="str">
        <f t="shared" si="141"/>
        <v/>
      </c>
      <c r="AX206" s="32" t="str">
        <f t="shared" si="142"/>
        <v/>
      </c>
      <c r="AY206" s="32" t="str">
        <f t="shared" si="143"/>
        <v/>
      </c>
      <c r="BA206" s="32" t="str">
        <f>IF($A207="","",F206*Summary!$Q$13)</f>
        <v/>
      </c>
    </row>
    <row r="207" spans="1:53" ht="12" customHeight="1">
      <c r="A207" s="67" t="str">
        <f t="shared" si="144"/>
        <v/>
      </c>
      <c r="B207" s="69" t="str">
        <f t="shared" si="146"/>
        <v/>
      </c>
      <c r="C207" s="71"/>
      <c r="D207" s="69" t="str">
        <f t="shared" si="111"/>
        <v/>
      </c>
      <c r="E207" s="70" t="str">
        <f t="shared" si="112"/>
        <v/>
      </c>
      <c r="F207" s="70" t="str">
        <f t="shared" si="113"/>
        <v/>
      </c>
      <c r="G207" s="63" t="str">
        <f t="shared" si="114"/>
        <v/>
      </c>
      <c r="H207" s="64" t="str">
        <f t="shared" si="115"/>
        <v/>
      </c>
      <c r="I207" s="43"/>
      <c r="J207" s="63" t="str">
        <f t="shared" si="116"/>
        <v/>
      </c>
      <c r="K207" s="64" t="str">
        <f t="shared" si="117"/>
        <v/>
      </c>
      <c r="L207" s="38">
        <v>0</v>
      </c>
      <c r="M207" s="64" t="str">
        <f t="shared" si="118"/>
        <v/>
      </c>
      <c r="N207" s="65"/>
      <c r="O207" s="63" t="str">
        <f t="shared" si="119"/>
        <v/>
      </c>
      <c r="P207" s="63" t="str">
        <f t="shared" si="120"/>
        <v/>
      </c>
      <c r="Q207" s="66"/>
      <c r="R207" s="63" t="str">
        <f t="shared" si="121"/>
        <v/>
      </c>
      <c r="S207" s="64" t="str">
        <f t="shared" si="122"/>
        <v/>
      </c>
      <c r="T207" s="38">
        <v>0</v>
      </c>
      <c r="U207" s="64" t="str">
        <f t="shared" si="123"/>
        <v/>
      </c>
      <c r="V207" s="219"/>
      <c r="W207" s="43" t="str">
        <f t="shared" si="124"/>
        <v/>
      </c>
      <c r="X207" s="43" t="str">
        <f t="shared" si="125"/>
        <v/>
      </c>
      <c r="Y207" s="43"/>
      <c r="Z207" s="38" t="str">
        <f t="shared" si="126"/>
        <v/>
      </c>
      <c r="AA207" s="38" t="str">
        <f t="shared" si="127"/>
        <v/>
      </c>
      <c r="AB207" s="38" t="e">
        <f t="shared" si="128"/>
        <v>#VALUE!</v>
      </c>
      <c r="AC207" s="38" t="str">
        <f t="shared" si="129"/>
        <v/>
      </c>
      <c r="AD207" s="38" t="str">
        <f t="shared" si="129"/>
        <v/>
      </c>
      <c r="AE207" s="38" t="e">
        <f t="shared" si="130"/>
        <v>#VALUE!</v>
      </c>
      <c r="AF207" s="237" t="e">
        <f>((Summary!$N$13*(AA207*AD207)*(A207-$D$3))+(Summary!$M$13*Z207*AC207*(AJ207-EOMONTH(EDATE(A207,-1),0))))/(AK207*AB207*AE207)</f>
        <v>#VALUE!</v>
      </c>
      <c r="AG207" s="88" t="str">
        <f>IF($A208="","",Summary!$Q$13)</f>
        <v/>
      </c>
      <c r="AH207" s="88" t="str">
        <f>IF($A208="","",IF(Summary!$R$12="Y",(VLOOKUP($A207,Summary!$AD$6:$AF$9,3)+'Escalating commodity'!I220),'Escalating commodity'!I220))</f>
        <v/>
      </c>
      <c r="AI207" s="88" t="str">
        <f t="shared" si="145"/>
        <v/>
      </c>
      <c r="AJ207" s="236" t="e">
        <f t="shared" si="131"/>
        <v>#VALUE!</v>
      </c>
      <c r="AK207" s="58" t="str">
        <f t="shared" si="132"/>
        <v/>
      </c>
      <c r="AL207" s="26" t="str">
        <f>IF($A208="","",_xll.SPRDOPT(P207,X207,AI207,0,AB207,AE207,AF207,AK207,$AJ$2,0))</f>
        <v/>
      </c>
      <c r="AM207" s="209" t="str">
        <f t="shared" si="133"/>
        <v/>
      </c>
      <c r="AN207" s="89" t="str">
        <f t="shared" si="134"/>
        <v/>
      </c>
      <c r="AO207" s="3" t="str">
        <f t="shared" si="135"/>
        <v/>
      </c>
      <c r="AP207" s="33" t="str">
        <f t="shared" si="136"/>
        <v/>
      </c>
      <c r="AQ207" s="58" t="str">
        <f t="shared" si="137"/>
        <v/>
      </c>
      <c r="AR207" s="38">
        <f>'ANR OK vs ML7'!AR207</f>
        <v>0.1</v>
      </c>
      <c r="AS207" s="35" t="str">
        <f t="shared" si="138"/>
        <v/>
      </c>
      <c r="AT207" s="3" t="str">
        <f t="shared" si="139"/>
        <v/>
      </c>
      <c r="AU207" s="3" t="str">
        <f t="shared" si="140"/>
        <v/>
      </c>
      <c r="AW207" s="32" t="str">
        <f t="shared" si="141"/>
        <v/>
      </c>
      <c r="AX207" s="32" t="str">
        <f t="shared" si="142"/>
        <v/>
      </c>
      <c r="AY207" s="32" t="str">
        <f t="shared" si="143"/>
        <v/>
      </c>
      <c r="BA207" s="32" t="str">
        <f>IF($A208="","",F207*Summary!$Q$13)</f>
        <v/>
      </c>
    </row>
    <row r="208" spans="1:53" ht="12" customHeight="1">
      <c r="A208" s="67" t="str">
        <f t="shared" si="144"/>
        <v/>
      </c>
      <c r="B208" s="69" t="str">
        <f t="shared" si="146"/>
        <v/>
      </c>
      <c r="C208" s="71"/>
      <c r="D208" s="69" t="str">
        <f t="shared" si="111"/>
        <v/>
      </c>
      <c r="E208" s="70" t="str">
        <f t="shared" si="112"/>
        <v/>
      </c>
      <c r="F208" s="70" t="str">
        <f t="shared" si="113"/>
        <v/>
      </c>
      <c r="G208" s="63" t="str">
        <f t="shared" si="114"/>
        <v/>
      </c>
      <c r="H208" s="64" t="str">
        <f t="shared" si="115"/>
        <v/>
      </c>
      <c r="I208" s="43"/>
      <c r="J208" s="63" t="str">
        <f t="shared" si="116"/>
        <v/>
      </c>
      <c r="K208" s="64" t="str">
        <f t="shared" si="117"/>
        <v/>
      </c>
      <c r="L208" s="38">
        <v>0</v>
      </c>
      <c r="M208" s="64" t="str">
        <f t="shared" si="118"/>
        <v/>
      </c>
      <c r="N208" s="65"/>
      <c r="O208" s="63" t="str">
        <f t="shared" si="119"/>
        <v/>
      </c>
      <c r="P208" s="63" t="str">
        <f t="shared" si="120"/>
        <v/>
      </c>
      <c r="Q208" s="66"/>
      <c r="R208" s="63" t="str">
        <f t="shared" si="121"/>
        <v/>
      </c>
      <c r="S208" s="64" t="str">
        <f t="shared" si="122"/>
        <v/>
      </c>
      <c r="T208" s="38">
        <v>0</v>
      </c>
      <c r="U208" s="64" t="str">
        <f t="shared" si="123"/>
        <v/>
      </c>
      <c r="V208" s="219"/>
      <c r="W208" s="43" t="str">
        <f t="shared" si="124"/>
        <v/>
      </c>
      <c r="X208" s="43" t="str">
        <f t="shared" si="125"/>
        <v/>
      </c>
      <c r="Y208" s="43"/>
      <c r="Z208" s="38" t="str">
        <f t="shared" si="126"/>
        <v/>
      </c>
      <c r="AA208" s="38" t="str">
        <f t="shared" si="127"/>
        <v/>
      </c>
      <c r="AB208" s="38" t="e">
        <f t="shared" si="128"/>
        <v>#VALUE!</v>
      </c>
      <c r="AC208" s="38" t="str">
        <f t="shared" si="129"/>
        <v/>
      </c>
      <c r="AD208" s="38" t="str">
        <f t="shared" si="129"/>
        <v/>
      </c>
      <c r="AE208" s="38" t="e">
        <f t="shared" si="130"/>
        <v>#VALUE!</v>
      </c>
      <c r="AF208" s="237" t="e">
        <f>((Summary!$N$13*(AA208*AD208)*(A208-$D$3))+(Summary!$M$13*Z208*AC208*(AJ208-EOMONTH(EDATE(A208,-1),0))))/(AK208*AB208*AE208)</f>
        <v>#VALUE!</v>
      </c>
      <c r="AG208" s="88" t="str">
        <f>IF($A209="","",Summary!$Q$13)</f>
        <v/>
      </c>
      <c r="AH208" s="88" t="str">
        <f>IF($A209="","",IF(Summary!$R$12="Y",(VLOOKUP($A208,Summary!$AD$6:$AF$9,3)+'Escalating commodity'!I221),'Escalating commodity'!I221))</f>
        <v/>
      </c>
      <c r="AI208" s="88" t="str">
        <f t="shared" si="145"/>
        <v/>
      </c>
      <c r="AJ208" s="236" t="e">
        <f t="shared" si="131"/>
        <v>#VALUE!</v>
      </c>
      <c r="AK208" s="58" t="str">
        <f t="shared" si="132"/>
        <v/>
      </c>
      <c r="AL208" s="26" t="str">
        <f>IF($A209="","",_xll.SPRDOPT(P208,X208,AI208,0,AB208,AE208,AF208,AK208,$AJ$2,0))</f>
        <v/>
      </c>
      <c r="AM208" s="209" t="str">
        <f t="shared" si="133"/>
        <v/>
      </c>
      <c r="AN208" s="89" t="str">
        <f t="shared" si="134"/>
        <v/>
      </c>
      <c r="AO208" s="3" t="str">
        <f t="shared" si="135"/>
        <v/>
      </c>
      <c r="AP208" s="33" t="str">
        <f t="shared" si="136"/>
        <v/>
      </c>
      <c r="AQ208" s="58" t="str">
        <f t="shared" si="137"/>
        <v/>
      </c>
      <c r="AR208" s="38">
        <f>'ANR OK vs ML7'!AR208</f>
        <v>0.1</v>
      </c>
      <c r="AS208" s="35" t="str">
        <f t="shared" si="138"/>
        <v/>
      </c>
      <c r="AT208" s="3" t="str">
        <f t="shared" si="139"/>
        <v/>
      </c>
      <c r="AU208" s="3" t="str">
        <f t="shared" si="140"/>
        <v/>
      </c>
      <c r="AW208" s="32" t="str">
        <f t="shared" si="141"/>
        <v/>
      </c>
      <c r="AX208" s="32" t="str">
        <f t="shared" si="142"/>
        <v/>
      </c>
      <c r="AY208" s="32" t="str">
        <f t="shared" si="143"/>
        <v/>
      </c>
      <c r="BA208" s="32" t="str">
        <f>IF($A209="","",F208*Summary!$Q$13)</f>
        <v/>
      </c>
    </row>
    <row r="209" spans="1:53" ht="12" customHeight="1">
      <c r="A209" s="67" t="str">
        <f t="shared" si="144"/>
        <v/>
      </c>
      <c r="B209" s="69" t="str">
        <f t="shared" si="146"/>
        <v/>
      </c>
      <c r="C209" s="71"/>
      <c r="D209" s="69" t="str">
        <f t="shared" si="111"/>
        <v/>
      </c>
      <c r="E209" s="70" t="str">
        <f t="shared" si="112"/>
        <v/>
      </c>
      <c r="F209" s="70" t="str">
        <f t="shared" si="113"/>
        <v/>
      </c>
      <c r="G209" s="63" t="str">
        <f t="shared" si="114"/>
        <v/>
      </c>
      <c r="H209" s="64" t="str">
        <f t="shared" si="115"/>
        <v/>
      </c>
      <c r="I209" s="43"/>
      <c r="J209" s="63" t="str">
        <f t="shared" si="116"/>
        <v/>
      </c>
      <c r="K209" s="64" t="str">
        <f t="shared" si="117"/>
        <v/>
      </c>
      <c r="L209" s="38">
        <v>0</v>
      </c>
      <c r="M209" s="64" t="str">
        <f t="shared" si="118"/>
        <v/>
      </c>
      <c r="N209" s="65"/>
      <c r="O209" s="63" t="str">
        <f t="shared" si="119"/>
        <v/>
      </c>
      <c r="P209" s="63" t="str">
        <f t="shared" si="120"/>
        <v/>
      </c>
      <c r="Q209" s="66"/>
      <c r="R209" s="63" t="str">
        <f t="shared" si="121"/>
        <v/>
      </c>
      <c r="S209" s="64" t="str">
        <f t="shared" si="122"/>
        <v/>
      </c>
      <c r="T209" s="38">
        <v>0</v>
      </c>
      <c r="U209" s="64" t="str">
        <f t="shared" si="123"/>
        <v/>
      </c>
      <c r="V209" s="219"/>
      <c r="W209" s="43" t="str">
        <f t="shared" si="124"/>
        <v/>
      </c>
      <c r="X209" s="43" t="str">
        <f t="shared" si="125"/>
        <v/>
      </c>
      <c r="Y209" s="43"/>
      <c r="Z209" s="38" t="str">
        <f t="shared" si="126"/>
        <v/>
      </c>
      <c r="AA209" s="38" t="str">
        <f t="shared" si="127"/>
        <v/>
      </c>
      <c r="AB209" s="38" t="e">
        <f t="shared" si="128"/>
        <v>#VALUE!</v>
      </c>
      <c r="AC209" s="38" t="str">
        <f t="shared" si="129"/>
        <v/>
      </c>
      <c r="AD209" s="38" t="str">
        <f t="shared" si="129"/>
        <v/>
      </c>
      <c r="AE209" s="38" t="e">
        <f t="shared" si="130"/>
        <v>#VALUE!</v>
      </c>
      <c r="AF209" s="237" t="e">
        <f>((Summary!$N$13*(AA209*AD209)*(A209-$D$3))+(Summary!$M$13*Z209*AC209*(AJ209-EOMONTH(EDATE(A209,-1),0))))/(AK209*AB209*AE209)</f>
        <v>#VALUE!</v>
      </c>
      <c r="AG209" s="88" t="str">
        <f>IF($A210="","",Summary!$Q$13)</f>
        <v/>
      </c>
      <c r="AH209" s="88" t="str">
        <f>IF($A210="","",IF(Summary!$R$12="Y",(VLOOKUP($A209,Summary!$AD$6:$AF$9,3)+'Escalating commodity'!I222),'Escalating commodity'!I222))</f>
        <v/>
      </c>
      <c r="AI209" s="88" t="str">
        <f t="shared" si="145"/>
        <v/>
      </c>
      <c r="AJ209" s="236" t="e">
        <f t="shared" si="131"/>
        <v>#VALUE!</v>
      </c>
      <c r="AK209" s="58" t="str">
        <f t="shared" si="132"/>
        <v/>
      </c>
      <c r="AL209" s="26" t="str">
        <f>IF($A210="","",_xll.SPRDOPT(P209,X209,AI209,0,AB209,AE209,AF209,AK209,$AJ$2,0))</f>
        <v/>
      </c>
      <c r="AM209" s="209" t="str">
        <f t="shared" si="133"/>
        <v/>
      </c>
      <c r="AN209" s="89" t="str">
        <f t="shared" si="134"/>
        <v/>
      </c>
      <c r="AO209" s="3" t="str">
        <f t="shared" si="135"/>
        <v/>
      </c>
      <c r="AP209" s="33" t="str">
        <f t="shared" si="136"/>
        <v/>
      </c>
      <c r="AQ209" s="58" t="str">
        <f t="shared" si="137"/>
        <v/>
      </c>
      <c r="AR209" s="38">
        <f>'ANR OK vs ML7'!AR209</f>
        <v>0.1</v>
      </c>
      <c r="AS209" s="35" t="str">
        <f t="shared" si="138"/>
        <v/>
      </c>
      <c r="AT209" s="3" t="str">
        <f t="shared" si="139"/>
        <v/>
      </c>
      <c r="AU209" s="3" t="str">
        <f t="shared" si="140"/>
        <v/>
      </c>
      <c r="AW209" s="32" t="str">
        <f t="shared" si="141"/>
        <v/>
      </c>
      <c r="AX209" s="32" t="str">
        <f t="shared" si="142"/>
        <v/>
      </c>
      <c r="AY209" s="32" t="str">
        <f t="shared" si="143"/>
        <v/>
      </c>
      <c r="BA209" s="32" t="str">
        <f>IF($A210="","",F209*Summary!$Q$13)</f>
        <v/>
      </c>
    </row>
    <row r="210" spans="1:53" ht="12" customHeight="1">
      <c r="A210" s="67" t="str">
        <f t="shared" si="144"/>
        <v/>
      </c>
      <c r="B210" s="69" t="str">
        <f t="shared" si="146"/>
        <v/>
      </c>
      <c r="C210" s="71"/>
      <c r="D210" s="69" t="str">
        <f t="shared" si="111"/>
        <v/>
      </c>
      <c r="E210" s="70" t="str">
        <f t="shared" si="112"/>
        <v/>
      </c>
      <c r="F210" s="70" t="str">
        <f t="shared" si="113"/>
        <v/>
      </c>
      <c r="G210" s="63" t="str">
        <f t="shared" si="114"/>
        <v/>
      </c>
      <c r="H210" s="64" t="str">
        <f t="shared" si="115"/>
        <v/>
      </c>
      <c r="I210" s="43"/>
      <c r="J210" s="63" t="str">
        <f t="shared" si="116"/>
        <v/>
      </c>
      <c r="K210" s="64" t="str">
        <f t="shared" si="117"/>
        <v/>
      </c>
      <c r="L210" s="38">
        <v>0</v>
      </c>
      <c r="M210" s="64" t="str">
        <f t="shared" si="118"/>
        <v/>
      </c>
      <c r="N210" s="65"/>
      <c r="O210" s="63" t="str">
        <f t="shared" si="119"/>
        <v/>
      </c>
      <c r="P210" s="63" t="str">
        <f t="shared" si="120"/>
        <v/>
      </c>
      <c r="Q210" s="66"/>
      <c r="R210" s="63" t="str">
        <f t="shared" si="121"/>
        <v/>
      </c>
      <c r="S210" s="64" t="str">
        <f t="shared" si="122"/>
        <v/>
      </c>
      <c r="T210" s="38">
        <v>0</v>
      </c>
      <c r="U210" s="64" t="str">
        <f t="shared" si="123"/>
        <v/>
      </c>
      <c r="V210" s="219"/>
      <c r="W210" s="43" t="str">
        <f t="shared" si="124"/>
        <v/>
      </c>
      <c r="X210" s="43" t="str">
        <f t="shared" si="125"/>
        <v/>
      </c>
      <c r="Y210" s="43"/>
      <c r="Z210" s="38" t="str">
        <f t="shared" si="126"/>
        <v/>
      </c>
      <c r="AA210" s="38" t="str">
        <f t="shared" si="127"/>
        <v/>
      </c>
      <c r="AB210" s="38" t="e">
        <f t="shared" si="128"/>
        <v>#VALUE!</v>
      </c>
      <c r="AC210" s="38" t="str">
        <f t="shared" si="129"/>
        <v/>
      </c>
      <c r="AD210" s="38" t="str">
        <f t="shared" si="129"/>
        <v/>
      </c>
      <c r="AE210" s="38" t="e">
        <f t="shared" si="130"/>
        <v>#VALUE!</v>
      </c>
      <c r="AF210" s="237" t="e">
        <f>((Summary!$N$13*(AA210*AD210)*(A210-$D$3))+(Summary!$M$13*Z210*AC210*(AJ210-EOMONTH(EDATE(A210,-1),0))))/(AK210*AB210*AE210)</f>
        <v>#VALUE!</v>
      </c>
      <c r="AG210" s="88" t="str">
        <f>IF($A211="","",Summary!$Q$13)</f>
        <v/>
      </c>
      <c r="AH210" s="88" t="str">
        <f>IF($A211="","",IF(Summary!$R$12="Y",(VLOOKUP($A210,Summary!$AD$6:$AF$9,3)+'Escalating commodity'!I223),'Escalating commodity'!I223))</f>
        <v/>
      </c>
      <c r="AI210" s="88" t="str">
        <f t="shared" si="145"/>
        <v/>
      </c>
      <c r="AJ210" s="236" t="e">
        <f t="shared" si="131"/>
        <v>#VALUE!</v>
      </c>
      <c r="AK210" s="58" t="str">
        <f t="shared" si="132"/>
        <v/>
      </c>
      <c r="AL210" s="26" t="str">
        <f>IF($A211="","",_xll.SPRDOPT(P210,X210,AI210,0,AB210,AE210,AF210,AK210,$AJ$2,0))</f>
        <v/>
      </c>
      <c r="AM210" s="209" t="str">
        <f t="shared" si="133"/>
        <v/>
      </c>
      <c r="AN210" s="89" t="str">
        <f t="shared" si="134"/>
        <v/>
      </c>
      <c r="AO210" s="3" t="str">
        <f t="shared" si="135"/>
        <v/>
      </c>
      <c r="AP210" s="33" t="str">
        <f t="shared" si="136"/>
        <v/>
      </c>
      <c r="AQ210" s="58" t="str">
        <f t="shared" si="137"/>
        <v/>
      </c>
      <c r="AR210" s="38">
        <f>'ANR OK vs ML7'!AR210</f>
        <v>0.1</v>
      </c>
      <c r="AS210" s="35" t="str">
        <f t="shared" si="138"/>
        <v/>
      </c>
      <c r="AT210" s="3" t="str">
        <f t="shared" si="139"/>
        <v/>
      </c>
      <c r="AU210" s="3" t="str">
        <f t="shared" si="140"/>
        <v/>
      </c>
      <c r="AW210" s="32" t="str">
        <f t="shared" si="141"/>
        <v/>
      </c>
      <c r="AX210" s="32" t="str">
        <f t="shared" si="142"/>
        <v/>
      </c>
      <c r="AY210" s="32" t="str">
        <f t="shared" si="143"/>
        <v/>
      </c>
      <c r="BA210" s="32" t="str">
        <f>IF($A211="","",F210*Summary!$Q$13)</f>
        <v/>
      </c>
    </row>
    <row r="211" spans="1:53" ht="12" customHeight="1">
      <c r="A211" s="67" t="str">
        <f t="shared" si="144"/>
        <v/>
      </c>
      <c r="B211" s="69" t="str">
        <f t="shared" si="146"/>
        <v/>
      </c>
      <c r="C211" s="71"/>
      <c r="D211" s="69" t="str">
        <f t="shared" si="111"/>
        <v/>
      </c>
      <c r="E211" s="70" t="str">
        <f t="shared" si="112"/>
        <v/>
      </c>
      <c r="F211" s="70" t="str">
        <f t="shared" si="113"/>
        <v/>
      </c>
      <c r="G211" s="63" t="str">
        <f t="shared" si="114"/>
        <v/>
      </c>
      <c r="H211" s="64" t="str">
        <f t="shared" si="115"/>
        <v/>
      </c>
      <c r="I211" s="43"/>
      <c r="J211" s="63" t="str">
        <f t="shared" si="116"/>
        <v/>
      </c>
      <c r="K211" s="64" t="str">
        <f t="shared" si="117"/>
        <v/>
      </c>
      <c r="L211" s="38">
        <v>0</v>
      </c>
      <c r="M211" s="64" t="str">
        <f t="shared" si="118"/>
        <v/>
      </c>
      <c r="N211" s="65"/>
      <c r="O211" s="63" t="str">
        <f t="shared" si="119"/>
        <v/>
      </c>
      <c r="P211" s="63" t="str">
        <f t="shared" si="120"/>
        <v/>
      </c>
      <c r="Q211" s="66"/>
      <c r="R211" s="63" t="str">
        <f t="shared" si="121"/>
        <v/>
      </c>
      <c r="S211" s="64" t="str">
        <f t="shared" si="122"/>
        <v/>
      </c>
      <c r="T211" s="38">
        <v>0</v>
      </c>
      <c r="U211" s="64" t="str">
        <f t="shared" si="123"/>
        <v/>
      </c>
      <c r="V211" s="219"/>
      <c r="W211" s="43" t="str">
        <f t="shared" si="124"/>
        <v/>
      </c>
      <c r="X211" s="43" t="str">
        <f t="shared" si="125"/>
        <v/>
      </c>
      <c r="Y211" s="43"/>
      <c r="Z211" s="38" t="str">
        <f t="shared" si="126"/>
        <v/>
      </c>
      <c r="AA211" s="38" t="str">
        <f t="shared" si="127"/>
        <v/>
      </c>
      <c r="AB211" s="38" t="e">
        <f t="shared" si="128"/>
        <v>#VALUE!</v>
      </c>
      <c r="AC211" s="38" t="str">
        <f t="shared" si="129"/>
        <v/>
      </c>
      <c r="AD211" s="38" t="str">
        <f t="shared" si="129"/>
        <v/>
      </c>
      <c r="AE211" s="38" t="e">
        <f t="shared" si="130"/>
        <v>#VALUE!</v>
      </c>
      <c r="AF211" s="237" t="e">
        <f>((Summary!$N$13*(AA211*AD211)*(A211-$D$3))+(Summary!$M$13*Z211*AC211*(AJ211-EOMONTH(EDATE(A211,-1),0))))/(AK211*AB211*AE211)</f>
        <v>#VALUE!</v>
      </c>
      <c r="AG211" s="88" t="str">
        <f>IF($A212="","",Summary!$Q$13)</f>
        <v/>
      </c>
      <c r="AH211" s="88" t="str">
        <f>IF($A212="","",IF(Summary!$R$12="Y",(VLOOKUP($A211,Summary!$AD$6:$AF$9,3)+'Escalating commodity'!I224),'Escalating commodity'!I224))</f>
        <v/>
      </c>
      <c r="AI211" s="88" t="str">
        <f t="shared" si="145"/>
        <v/>
      </c>
      <c r="AJ211" s="236" t="e">
        <f t="shared" si="131"/>
        <v>#VALUE!</v>
      </c>
      <c r="AK211" s="58" t="str">
        <f t="shared" si="132"/>
        <v/>
      </c>
      <c r="AL211" s="26" t="str">
        <f>IF($A212="","",_xll.SPRDOPT(P211,X211,AI211,0,AB211,AE211,AF211,AK211,$AJ$2,0))</f>
        <v/>
      </c>
      <c r="AM211" s="209" t="str">
        <f t="shared" si="133"/>
        <v/>
      </c>
      <c r="AN211" s="89" t="str">
        <f t="shared" si="134"/>
        <v/>
      </c>
      <c r="AO211" s="3" t="str">
        <f t="shared" si="135"/>
        <v/>
      </c>
      <c r="AP211" s="33" t="str">
        <f t="shared" si="136"/>
        <v/>
      </c>
      <c r="AQ211" s="58" t="str">
        <f t="shared" si="137"/>
        <v/>
      </c>
      <c r="AR211" s="38">
        <f>'ANR OK vs ML7'!AR211</f>
        <v>0.1</v>
      </c>
      <c r="AS211" s="35" t="str">
        <f t="shared" si="138"/>
        <v/>
      </c>
      <c r="AT211" s="3" t="str">
        <f t="shared" si="139"/>
        <v/>
      </c>
      <c r="AU211" s="3" t="str">
        <f t="shared" si="140"/>
        <v/>
      </c>
      <c r="AW211" s="32" t="str">
        <f t="shared" si="141"/>
        <v/>
      </c>
      <c r="AX211" s="32" t="str">
        <f t="shared" si="142"/>
        <v/>
      </c>
      <c r="AY211" s="32" t="str">
        <f t="shared" si="143"/>
        <v/>
      </c>
      <c r="BA211" s="32" t="str">
        <f>IF($A212="","",F211*Summary!$Q$13)</f>
        <v/>
      </c>
    </row>
    <row r="212" spans="1:53" ht="12" customHeight="1">
      <c r="A212" s="67" t="str">
        <f t="shared" si="144"/>
        <v/>
      </c>
      <c r="B212" s="69" t="str">
        <f t="shared" si="146"/>
        <v/>
      </c>
      <c r="C212" s="71"/>
      <c r="D212" s="69" t="str">
        <f t="shared" si="111"/>
        <v/>
      </c>
      <c r="E212" s="70" t="str">
        <f t="shared" si="112"/>
        <v/>
      </c>
      <c r="F212" s="70" t="str">
        <f t="shared" si="113"/>
        <v/>
      </c>
      <c r="G212" s="63" t="str">
        <f t="shared" si="114"/>
        <v/>
      </c>
      <c r="H212" s="64" t="str">
        <f t="shared" si="115"/>
        <v/>
      </c>
      <c r="I212" s="43"/>
      <c r="J212" s="63" t="str">
        <f t="shared" si="116"/>
        <v/>
      </c>
      <c r="K212" s="64" t="str">
        <f t="shared" si="117"/>
        <v/>
      </c>
      <c r="L212" s="38">
        <v>0</v>
      </c>
      <c r="M212" s="64" t="str">
        <f t="shared" si="118"/>
        <v/>
      </c>
      <c r="N212" s="65"/>
      <c r="O212" s="63" t="str">
        <f t="shared" si="119"/>
        <v/>
      </c>
      <c r="P212" s="63" t="str">
        <f t="shared" si="120"/>
        <v/>
      </c>
      <c r="Q212" s="66"/>
      <c r="R212" s="63" t="str">
        <f t="shared" si="121"/>
        <v/>
      </c>
      <c r="S212" s="64" t="str">
        <f t="shared" si="122"/>
        <v/>
      </c>
      <c r="T212" s="38">
        <v>0</v>
      </c>
      <c r="U212" s="64" t="str">
        <f t="shared" si="123"/>
        <v/>
      </c>
      <c r="V212" s="219"/>
      <c r="W212" s="43" t="str">
        <f t="shared" si="124"/>
        <v/>
      </c>
      <c r="X212" s="43" t="str">
        <f t="shared" si="125"/>
        <v/>
      </c>
      <c r="Y212" s="43"/>
      <c r="Z212" s="38" t="str">
        <f t="shared" si="126"/>
        <v/>
      </c>
      <c r="AA212" s="38" t="str">
        <f t="shared" si="127"/>
        <v/>
      </c>
      <c r="AB212" s="38" t="e">
        <f t="shared" si="128"/>
        <v>#VALUE!</v>
      </c>
      <c r="AC212" s="38" t="str">
        <f t="shared" si="129"/>
        <v/>
      </c>
      <c r="AD212" s="38" t="str">
        <f t="shared" si="129"/>
        <v/>
      </c>
      <c r="AE212" s="38" t="e">
        <f t="shared" si="130"/>
        <v>#VALUE!</v>
      </c>
      <c r="AF212" s="237" t="e">
        <f>((Summary!$N$13*(AA212*AD212)*(A212-$D$3))+(Summary!$M$13*Z212*AC212*(AJ212-EOMONTH(EDATE(A212,-1),0))))/(AK212*AB212*AE212)</f>
        <v>#VALUE!</v>
      </c>
      <c r="AG212" s="88" t="str">
        <f>IF($A213="","",Summary!$Q$13)</f>
        <v/>
      </c>
      <c r="AH212" s="88" t="str">
        <f>IF($A213="","",IF(Summary!$R$12="Y",(VLOOKUP($A212,Summary!$AD$6:$AF$9,3)+'Escalating commodity'!I225),'Escalating commodity'!I225))</f>
        <v/>
      </c>
      <c r="AI212" s="88" t="str">
        <f t="shared" si="145"/>
        <v/>
      </c>
      <c r="AJ212" s="236" t="e">
        <f t="shared" si="131"/>
        <v>#VALUE!</v>
      </c>
      <c r="AK212" s="58" t="str">
        <f t="shared" si="132"/>
        <v/>
      </c>
      <c r="AL212" s="26" t="str">
        <f>IF($A213="","",_xll.SPRDOPT(P212,X212,AI212,0,AB212,AE212,AF212,AK212,$AJ$2,0))</f>
        <v/>
      </c>
      <c r="AM212" s="209" t="str">
        <f t="shared" si="133"/>
        <v/>
      </c>
      <c r="AN212" s="89" t="str">
        <f t="shared" si="134"/>
        <v/>
      </c>
      <c r="AO212" s="3" t="str">
        <f t="shared" si="135"/>
        <v/>
      </c>
      <c r="AP212" s="33" t="str">
        <f t="shared" si="136"/>
        <v/>
      </c>
      <c r="AQ212" s="58" t="str">
        <f t="shared" si="137"/>
        <v/>
      </c>
      <c r="AR212" s="38">
        <f>'ANR OK vs ML7'!AR212</f>
        <v>0.1</v>
      </c>
      <c r="AS212" s="35" t="str">
        <f t="shared" si="138"/>
        <v/>
      </c>
      <c r="AT212" s="3" t="str">
        <f t="shared" si="139"/>
        <v/>
      </c>
      <c r="AU212" s="3" t="str">
        <f t="shared" si="140"/>
        <v/>
      </c>
      <c r="AW212" s="32" t="str">
        <f t="shared" si="141"/>
        <v/>
      </c>
      <c r="AX212" s="32" t="str">
        <f t="shared" si="142"/>
        <v/>
      </c>
      <c r="AY212" s="32" t="str">
        <f t="shared" si="143"/>
        <v/>
      </c>
      <c r="BA212" s="32" t="str">
        <f>IF($A213="","",F212*Summary!$Q$13)</f>
        <v/>
      </c>
    </row>
    <row r="213" spans="1:53" ht="12" customHeight="1">
      <c r="A213" s="67" t="str">
        <f t="shared" si="144"/>
        <v/>
      </c>
      <c r="B213" s="69" t="str">
        <f t="shared" si="146"/>
        <v/>
      </c>
      <c r="C213" s="71"/>
      <c r="D213" s="69" t="str">
        <f t="shared" si="111"/>
        <v/>
      </c>
      <c r="E213" s="70" t="str">
        <f t="shared" si="112"/>
        <v/>
      </c>
      <c r="F213" s="70" t="str">
        <f t="shared" si="113"/>
        <v/>
      </c>
      <c r="G213" s="63" t="str">
        <f t="shared" si="114"/>
        <v/>
      </c>
      <c r="H213" s="64" t="str">
        <f t="shared" si="115"/>
        <v/>
      </c>
      <c r="I213" s="43"/>
      <c r="J213" s="63" t="str">
        <f t="shared" si="116"/>
        <v/>
      </c>
      <c r="K213" s="64" t="str">
        <f t="shared" si="117"/>
        <v/>
      </c>
      <c r="L213" s="38">
        <v>0</v>
      </c>
      <c r="M213" s="64" t="str">
        <f t="shared" si="118"/>
        <v/>
      </c>
      <c r="N213" s="65"/>
      <c r="O213" s="63" t="str">
        <f t="shared" si="119"/>
        <v/>
      </c>
      <c r="P213" s="63" t="str">
        <f t="shared" si="120"/>
        <v/>
      </c>
      <c r="Q213" s="66"/>
      <c r="R213" s="63" t="str">
        <f t="shared" si="121"/>
        <v/>
      </c>
      <c r="S213" s="64" t="str">
        <f t="shared" si="122"/>
        <v/>
      </c>
      <c r="T213" s="38">
        <v>0</v>
      </c>
      <c r="U213" s="64" t="str">
        <f t="shared" si="123"/>
        <v/>
      </c>
      <c r="V213" s="219"/>
      <c r="W213" s="43" t="str">
        <f t="shared" si="124"/>
        <v/>
      </c>
      <c r="X213" s="43" t="str">
        <f t="shared" si="125"/>
        <v/>
      </c>
      <c r="Y213" s="43"/>
      <c r="Z213" s="38" t="str">
        <f t="shared" si="126"/>
        <v/>
      </c>
      <c r="AA213" s="38" t="str">
        <f t="shared" si="127"/>
        <v/>
      </c>
      <c r="AB213" s="38" t="e">
        <f t="shared" si="128"/>
        <v>#VALUE!</v>
      </c>
      <c r="AC213" s="38" t="str">
        <f t="shared" si="129"/>
        <v/>
      </c>
      <c r="AD213" s="38" t="str">
        <f t="shared" si="129"/>
        <v/>
      </c>
      <c r="AE213" s="38" t="e">
        <f t="shared" si="130"/>
        <v>#VALUE!</v>
      </c>
      <c r="AF213" s="237" t="e">
        <f>((Summary!$N$13*(AA213*AD213)*(A213-$D$3))+(Summary!$M$13*Z213*AC213*(AJ213-EOMONTH(EDATE(A213,-1),0))))/(AK213*AB213*AE213)</f>
        <v>#VALUE!</v>
      </c>
      <c r="AG213" s="88" t="str">
        <f>IF($A214="","",Summary!$Q$13)</f>
        <v/>
      </c>
      <c r="AH213" s="88" t="str">
        <f>IF($A214="","",IF(Summary!$R$12="Y",(VLOOKUP($A213,Summary!$AD$6:$AF$9,3)+'Escalating commodity'!I226),'Escalating commodity'!I226))</f>
        <v/>
      </c>
      <c r="AI213" s="88" t="str">
        <f t="shared" si="145"/>
        <v/>
      </c>
      <c r="AJ213" s="236" t="e">
        <f t="shared" si="131"/>
        <v>#VALUE!</v>
      </c>
      <c r="AK213" s="58" t="str">
        <f t="shared" si="132"/>
        <v/>
      </c>
      <c r="AL213" s="26" t="str">
        <f>IF($A214="","",_xll.SPRDOPT(P213,X213,AI213,0,AB213,AE213,AF213,AK213,$AJ$2,0))</f>
        <v/>
      </c>
      <c r="AM213" s="209" t="str">
        <f t="shared" si="133"/>
        <v/>
      </c>
      <c r="AN213" s="89" t="str">
        <f t="shared" si="134"/>
        <v/>
      </c>
      <c r="AO213" s="3" t="str">
        <f t="shared" si="135"/>
        <v/>
      </c>
      <c r="AP213" s="33" t="str">
        <f t="shared" si="136"/>
        <v/>
      </c>
      <c r="AQ213" s="58" t="str">
        <f t="shared" si="137"/>
        <v/>
      </c>
      <c r="AR213" s="38">
        <f>'ANR OK vs ML7'!AR213</f>
        <v>0.1</v>
      </c>
      <c r="AS213" s="35" t="str">
        <f t="shared" si="138"/>
        <v/>
      </c>
      <c r="AT213" s="3" t="str">
        <f t="shared" si="139"/>
        <v/>
      </c>
      <c r="AU213" s="3" t="str">
        <f t="shared" si="140"/>
        <v/>
      </c>
      <c r="AW213" s="32" t="str">
        <f t="shared" si="141"/>
        <v/>
      </c>
      <c r="AX213" s="32" t="str">
        <f t="shared" si="142"/>
        <v/>
      </c>
      <c r="AY213" s="32" t="str">
        <f t="shared" si="143"/>
        <v/>
      </c>
      <c r="BA213" s="32" t="str">
        <f>IF($A214="","",F213*Summary!$Q$13)</f>
        <v/>
      </c>
    </row>
    <row r="214" spans="1:53" ht="12" customHeight="1">
      <c r="A214" s="67" t="str">
        <f t="shared" si="144"/>
        <v/>
      </c>
      <c r="B214" s="69" t="str">
        <f t="shared" si="146"/>
        <v/>
      </c>
      <c r="C214" s="71"/>
      <c r="D214" s="69" t="str">
        <f t="shared" si="111"/>
        <v/>
      </c>
      <c r="E214" s="70" t="str">
        <f t="shared" si="112"/>
        <v/>
      </c>
      <c r="F214" s="70" t="str">
        <f t="shared" si="113"/>
        <v/>
      </c>
      <c r="G214" s="63" t="str">
        <f t="shared" si="114"/>
        <v/>
      </c>
      <c r="H214" s="64" t="str">
        <f t="shared" si="115"/>
        <v/>
      </c>
      <c r="I214" s="43"/>
      <c r="J214" s="63" t="str">
        <f t="shared" si="116"/>
        <v/>
      </c>
      <c r="K214" s="64" t="str">
        <f t="shared" si="117"/>
        <v/>
      </c>
      <c r="L214" s="38">
        <v>0</v>
      </c>
      <c r="M214" s="64" t="str">
        <f t="shared" si="118"/>
        <v/>
      </c>
      <c r="N214" s="65"/>
      <c r="O214" s="63" t="str">
        <f t="shared" si="119"/>
        <v/>
      </c>
      <c r="P214" s="63" t="str">
        <f t="shared" si="120"/>
        <v/>
      </c>
      <c r="Q214" s="66"/>
      <c r="R214" s="63" t="str">
        <f t="shared" si="121"/>
        <v/>
      </c>
      <c r="S214" s="64" t="str">
        <f t="shared" si="122"/>
        <v/>
      </c>
      <c r="T214" s="38">
        <v>0</v>
      </c>
      <c r="U214" s="64" t="str">
        <f t="shared" si="123"/>
        <v/>
      </c>
      <c r="V214" s="219"/>
      <c r="W214" s="43" t="str">
        <f t="shared" si="124"/>
        <v/>
      </c>
      <c r="X214" s="43" t="str">
        <f t="shared" si="125"/>
        <v/>
      </c>
      <c r="Y214" s="43"/>
      <c r="Z214" s="38" t="str">
        <f t="shared" si="126"/>
        <v/>
      </c>
      <c r="AA214" s="38" t="str">
        <f t="shared" si="127"/>
        <v/>
      </c>
      <c r="AB214" s="38" t="e">
        <f t="shared" si="128"/>
        <v>#VALUE!</v>
      </c>
      <c r="AC214" s="38" t="str">
        <f t="shared" si="129"/>
        <v/>
      </c>
      <c r="AD214" s="38" t="str">
        <f t="shared" si="129"/>
        <v/>
      </c>
      <c r="AE214" s="38" t="e">
        <f t="shared" si="130"/>
        <v>#VALUE!</v>
      </c>
      <c r="AF214" s="237" t="e">
        <f>((Summary!$N$13*(AA214*AD214)*(A214-$D$3))+(Summary!$M$13*Z214*AC214*(AJ214-EOMONTH(EDATE(A214,-1),0))))/(AK214*AB214*AE214)</f>
        <v>#VALUE!</v>
      </c>
      <c r="AG214" s="88" t="str">
        <f>IF($A215="","",Summary!$Q$13)</f>
        <v/>
      </c>
      <c r="AH214" s="88" t="str">
        <f>IF($A215="","",IF(Summary!$R$12="Y",(VLOOKUP($A214,Summary!$AD$6:$AF$9,3)+'Escalating commodity'!I227),'Escalating commodity'!I227))</f>
        <v/>
      </c>
      <c r="AI214" s="88" t="str">
        <f t="shared" si="145"/>
        <v/>
      </c>
      <c r="AJ214" s="236" t="e">
        <f t="shared" si="131"/>
        <v>#VALUE!</v>
      </c>
      <c r="AK214" s="58" t="str">
        <f t="shared" si="132"/>
        <v/>
      </c>
      <c r="AL214" s="26" t="str">
        <f>IF($A215="","",_xll.SPRDOPT(P214,X214,AI214,0,AB214,AE214,AF214,AK214,$AJ$2,0))</f>
        <v/>
      </c>
      <c r="AM214" s="209" t="str">
        <f t="shared" si="133"/>
        <v/>
      </c>
      <c r="AN214" s="89" t="str">
        <f t="shared" si="134"/>
        <v/>
      </c>
      <c r="AO214" s="3" t="str">
        <f t="shared" si="135"/>
        <v/>
      </c>
      <c r="AP214" s="33" t="str">
        <f t="shared" si="136"/>
        <v/>
      </c>
      <c r="AQ214" s="58" t="str">
        <f t="shared" si="137"/>
        <v/>
      </c>
      <c r="AR214" s="38">
        <f>'ANR OK vs ML7'!AR214</f>
        <v>0.1</v>
      </c>
      <c r="AS214" s="35" t="str">
        <f t="shared" si="138"/>
        <v/>
      </c>
      <c r="AT214" s="3" t="str">
        <f t="shared" si="139"/>
        <v/>
      </c>
      <c r="AU214" s="3" t="str">
        <f t="shared" si="140"/>
        <v/>
      </c>
      <c r="AW214" s="32" t="str">
        <f t="shared" si="141"/>
        <v/>
      </c>
      <c r="AX214" s="32" t="str">
        <f t="shared" si="142"/>
        <v/>
      </c>
      <c r="AY214" s="32" t="str">
        <f t="shared" si="143"/>
        <v/>
      </c>
      <c r="BA214" s="32" t="str">
        <f>IF($A215="","",F214*Summary!$Q$13)</f>
        <v/>
      </c>
    </row>
    <row r="215" spans="1:53" ht="12" customHeight="1">
      <c r="A215" s="67" t="str">
        <f t="shared" si="144"/>
        <v/>
      </c>
      <c r="B215" s="69" t="str">
        <f t="shared" si="146"/>
        <v/>
      </c>
      <c r="C215" s="71"/>
      <c r="D215" s="69" t="str">
        <f t="shared" si="111"/>
        <v/>
      </c>
      <c r="E215" s="70" t="str">
        <f t="shared" si="112"/>
        <v/>
      </c>
      <c r="F215" s="70" t="str">
        <f t="shared" si="113"/>
        <v/>
      </c>
      <c r="G215" s="63" t="str">
        <f t="shared" si="114"/>
        <v/>
      </c>
      <c r="H215" s="64" t="str">
        <f t="shared" si="115"/>
        <v/>
      </c>
      <c r="I215" s="43"/>
      <c r="J215" s="63" t="str">
        <f t="shared" si="116"/>
        <v/>
      </c>
      <c r="K215" s="64" t="str">
        <f t="shared" si="117"/>
        <v/>
      </c>
      <c r="L215" s="38">
        <v>0</v>
      </c>
      <c r="M215" s="64" t="str">
        <f t="shared" si="118"/>
        <v/>
      </c>
      <c r="N215" s="65"/>
      <c r="O215" s="63" t="str">
        <f t="shared" si="119"/>
        <v/>
      </c>
      <c r="P215" s="63" t="str">
        <f t="shared" si="120"/>
        <v/>
      </c>
      <c r="Q215" s="66"/>
      <c r="R215" s="63" t="str">
        <f t="shared" si="121"/>
        <v/>
      </c>
      <c r="S215" s="64" t="str">
        <f t="shared" si="122"/>
        <v/>
      </c>
      <c r="T215" s="38">
        <v>0</v>
      </c>
      <c r="U215" s="64" t="str">
        <f t="shared" si="123"/>
        <v/>
      </c>
      <c r="V215" s="219"/>
      <c r="W215" s="43" t="str">
        <f t="shared" si="124"/>
        <v/>
      </c>
      <c r="X215" s="43" t="str">
        <f t="shared" si="125"/>
        <v/>
      </c>
      <c r="Y215" s="43"/>
      <c r="Z215" s="38" t="str">
        <f t="shared" si="126"/>
        <v/>
      </c>
      <c r="AA215" s="38" t="str">
        <f t="shared" si="127"/>
        <v/>
      </c>
      <c r="AB215" s="38" t="e">
        <f t="shared" si="128"/>
        <v>#VALUE!</v>
      </c>
      <c r="AC215" s="38" t="str">
        <f t="shared" si="129"/>
        <v/>
      </c>
      <c r="AD215" s="38" t="str">
        <f t="shared" si="129"/>
        <v/>
      </c>
      <c r="AE215" s="38" t="e">
        <f t="shared" si="130"/>
        <v>#VALUE!</v>
      </c>
      <c r="AF215" s="237" t="e">
        <f>((Summary!$N$13*(AA215*AD215)*(A215-$D$3))+(Summary!$M$13*Z215*AC215*(AJ215-EOMONTH(EDATE(A215,-1),0))))/(AK215*AB215*AE215)</f>
        <v>#VALUE!</v>
      </c>
      <c r="AG215" s="88" t="str">
        <f>IF($A216="","",Summary!$Q$13)</f>
        <v/>
      </c>
      <c r="AH215" s="88" t="str">
        <f>IF($A216="","",IF(Summary!$R$12="Y",(VLOOKUP($A215,Summary!$AD$6:$AF$9,3)+'Escalating commodity'!I228),'Escalating commodity'!I228))</f>
        <v/>
      </c>
      <c r="AI215" s="88" t="str">
        <f t="shared" si="145"/>
        <v/>
      </c>
      <c r="AJ215" s="236" t="e">
        <f t="shared" si="131"/>
        <v>#VALUE!</v>
      </c>
      <c r="AK215" s="58" t="str">
        <f t="shared" si="132"/>
        <v/>
      </c>
      <c r="AL215" s="26" t="str">
        <f>IF($A216="","",_xll.SPRDOPT(P215,X215,AI215,0,AB215,AE215,AF215,AK215,$AJ$2,0))</f>
        <v/>
      </c>
      <c r="AM215" s="209" t="str">
        <f t="shared" si="133"/>
        <v/>
      </c>
      <c r="AN215" s="89" t="str">
        <f t="shared" si="134"/>
        <v/>
      </c>
      <c r="AO215" s="3" t="str">
        <f t="shared" si="135"/>
        <v/>
      </c>
      <c r="AP215" s="33" t="str">
        <f t="shared" si="136"/>
        <v/>
      </c>
      <c r="AQ215" s="58" t="str">
        <f t="shared" si="137"/>
        <v/>
      </c>
      <c r="AR215" s="38">
        <f>'ANR OK vs ML7'!AR215</f>
        <v>0.1</v>
      </c>
      <c r="AS215" s="35" t="str">
        <f t="shared" si="138"/>
        <v/>
      </c>
      <c r="AT215" s="3" t="str">
        <f t="shared" si="139"/>
        <v/>
      </c>
      <c r="AU215" s="3" t="str">
        <f t="shared" si="140"/>
        <v/>
      </c>
      <c r="AW215" s="32" t="str">
        <f t="shared" si="141"/>
        <v/>
      </c>
      <c r="AX215" s="32" t="str">
        <f t="shared" si="142"/>
        <v/>
      </c>
      <c r="AY215" s="32" t="str">
        <f t="shared" si="143"/>
        <v/>
      </c>
      <c r="BA215" s="32" t="str">
        <f>IF($A216="","",F215*Summary!$Q$13)</f>
        <v/>
      </c>
    </row>
    <row r="216" spans="1:53" ht="12" customHeight="1">
      <c r="A216" s="67" t="str">
        <f t="shared" si="144"/>
        <v/>
      </c>
      <c r="B216" s="69" t="str">
        <f t="shared" si="146"/>
        <v/>
      </c>
      <c r="C216" s="71"/>
      <c r="D216" s="69" t="str">
        <f t="shared" si="111"/>
        <v/>
      </c>
      <c r="E216" s="70" t="str">
        <f t="shared" si="112"/>
        <v/>
      </c>
      <c r="F216" s="70" t="str">
        <f t="shared" si="113"/>
        <v/>
      </c>
      <c r="G216" s="63" t="str">
        <f t="shared" si="114"/>
        <v/>
      </c>
      <c r="H216" s="64" t="str">
        <f t="shared" si="115"/>
        <v/>
      </c>
      <c r="I216" s="43"/>
      <c r="J216" s="63" t="str">
        <f t="shared" si="116"/>
        <v/>
      </c>
      <c r="K216" s="64" t="str">
        <f t="shared" si="117"/>
        <v/>
      </c>
      <c r="L216" s="38">
        <v>0</v>
      </c>
      <c r="M216" s="64" t="str">
        <f t="shared" si="118"/>
        <v/>
      </c>
      <c r="N216" s="65"/>
      <c r="O216" s="63" t="str">
        <f t="shared" si="119"/>
        <v/>
      </c>
      <c r="P216" s="63" t="str">
        <f t="shared" si="120"/>
        <v/>
      </c>
      <c r="Q216" s="66"/>
      <c r="R216" s="63" t="str">
        <f t="shared" si="121"/>
        <v/>
      </c>
      <c r="S216" s="64" t="str">
        <f t="shared" si="122"/>
        <v/>
      </c>
      <c r="T216" s="38">
        <v>0</v>
      </c>
      <c r="U216" s="64" t="str">
        <f t="shared" si="123"/>
        <v/>
      </c>
      <c r="V216" s="219"/>
      <c r="W216" s="43" t="str">
        <f t="shared" si="124"/>
        <v/>
      </c>
      <c r="X216" s="43" t="str">
        <f t="shared" si="125"/>
        <v/>
      </c>
      <c r="Y216" s="43"/>
      <c r="Z216" s="38" t="str">
        <f t="shared" si="126"/>
        <v/>
      </c>
      <c r="AA216" s="38" t="str">
        <f t="shared" si="127"/>
        <v/>
      </c>
      <c r="AB216" s="38" t="e">
        <f t="shared" si="128"/>
        <v>#VALUE!</v>
      </c>
      <c r="AC216" s="38" t="str">
        <f t="shared" si="129"/>
        <v/>
      </c>
      <c r="AD216" s="38" t="str">
        <f t="shared" si="129"/>
        <v/>
      </c>
      <c r="AE216" s="38" t="e">
        <f t="shared" si="130"/>
        <v>#VALUE!</v>
      </c>
      <c r="AF216" s="237" t="e">
        <f>((Summary!$N$13*(AA216*AD216)*(A216-$D$3))+(Summary!$M$13*Z216*AC216*(AJ216-EOMONTH(EDATE(A216,-1),0))))/(AK216*AB216*AE216)</f>
        <v>#VALUE!</v>
      </c>
      <c r="AG216" s="88" t="str">
        <f>IF($A217="","",Summary!$Q$13)</f>
        <v/>
      </c>
      <c r="AH216" s="88" t="str">
        <f>IF($A217="","",IF(Summary!$R$12="Y",(VLOOKUP($A216,Summary!$AD$6:$AF$9,3)+'Escalating commodity'!I229),'Escalating commodity'!I229))</f>
        <v/>
      </c>
      <c r="AI216" s="88" t="str">
        <f t="shared" si="145"/>
        <v/>
      </c>
      <c r="AJ216" s="236" t="e">
        <f t="shared" si="131"/>
        <v>#VALUE!</v>
      </c>
      <c r="AK216" s="58" t="str">
        <f t="shared" si="132"/>
        <v/>
      </c>
      <c r="AL216" s="26" t="str">
        <f>IF($A217="","",_xll.SPRDOPT(P216,X216,AI216,0,AB216,AE216,AF216,AK216,$AJ$2,0))</f>
        <v/>
      </c>
      <c r="AM216" s="209" t="str">
        <f t="shared" si="133"/>
        <v/>
      </c>
      <c r="AN216" s="89" t="str">
        <f t="shared" si="134"/>
        <v/>
      </c>
      <c r="AO216" s="3" t="str">
        <f t="shared" si="135"/>
        <v/>
      </c>
      <c r="AP216" s="33" t="str">
        <f t="shared" si="136"/>
        <v/>
      </c>
      <c r="AQ216" s="58" t="str">
        <f t="shared" si="137"/>
        <v/>
      </c>
      <c r="AR216" s="38">
        <f>'ANR OK vs ML7'!AR216</f>
        <v>0.1</v>
      </c>
      <c r="AS216" s="35" t="str">
        <f t="shared" si="138"/>
        <v/>
      </c>
      <c r="AT216" s="3" t="str">
        <f t="shared" si="139"/>
        <v/>
      </c>
      <c r="AU216" s="3" t="str">
        <f t="shared" si="140"/>
        <v/>
      </c>
      <c r="AW216" s="32" t="str">
        <f t="shared" si="141"/>
        <v/>
      </c>
      <c r="AX216" s="32" t="str">
        <f t="shared" si="142"/>
        <v/>
      </c>
      <c r="AY216" s="32" t="str">
        <f t="shared" si="143"/>
        <v/>
      </c>
      <c r="BA216" s="32" t="str">
        <f>IF($A217="","",F216*Summary!$Q$13)</f>
        <v/>
      </c>
    </row>
    <row r="217" spans="1:53" ht="12" customHeight="1">
      <c r="A217" s="67" t="str">
        <f t="shared" si="144"/>
        <v/>
      </c>
      <c r="B217" s="69" t="str">
        <f t="shared" si="146"/>
        <v/>
      </c>
      <c r="C217" s="71"/>
      <c r="D217" s="69" t="str">
        <f t="shared" si="111"/>
        <v/>
      </c>
      <c r="E217" s="70" t="str">
        <f t="shared" si="112"/>
        <v/>
      </c>
      <c r="F217" s="70" t="str">
        <f t="shared" si="113"/>
        <v/>
      </c>
      <c r="G217" s="63" t="str">
        <f t="shared" si="114"/>
        <v/>
      </c>
      <c r="H217" s="64" t="str">
        <f t="shared" si="115"/>
        <v/>
      </c>
      <c r="I217" s="43"/>
      <c r="J217" s="63" t="str">
        <f t="shared" si="116"/>
        <v/>
      </c>
      <c r="K217" s="64" t="str">
        <f t="shared" si="117"/>
        <v/>
      </c>
      <c r="L217" s="38">
        <v>0</v>
      </c>
      <c r="M217" s="64" t="str">
        <f t="shared" si="118"/>
        <v/>
      </c>
      <c r="N217" s="65"/>
      <c r="O217" s="63" t="str">
        <f t="shared" si="119"/>
        <v/>
      </c>
      <c r="P217" s="63" t="str">
        <f t="shared" si="120"/>
        <v/>
      </c>
      <c r="Q217" s="66"/>
      <c r="R217" s="63" t="str">
        <f t="shared" si="121"/>
        <v/>
      </c>
      <c r="S217" s="64" t="str">
        <f t="shared" si="122"/>
        <v/>
      </c>
      <c r="T217" s="38">
        <v>0</v>
      </c>
      <c r="U217" s="64" t="str">
        <f t="shared" si="123"/>
        <v/>
      </c>
      <c r="V217" s="219"/>
      <c r="W217" s="43" t="str">
        <f t="shared" si="124"/>
        <v/>
      </c>
      <c r="X217" s="43" t="str">
        <f t="shared" si="125"/>
        <v/>
      </c>
      <c r="Y217" s="43"/>
      <c r="Z217" s="38" t="str">
        <f t="shared" si="126"/>
        <v/>
      </c>
      <c r="AA217" s="38" t="str">
        <f t="shared" si="127"/>
        <v/>
      </c>
      <c r="AB217" s="38" t="e">
        <f t="shared" si="128"/>
        <v>#VALUE!</v>
      </c>
      <c r="AC217" s="38" t="str">
        <f t="shared" si="129"/>
        <v/>
      </c>
      <c r="AD217" s="38" t="str">
        <f t="shared" si="129"/>
        <v/>
      </c>
      <c r="AE217" s="38" t="e">
        <f t="shared" si="130"/>
        <v>#VALUE!</v>
      </c>
      <c r="AF217" s="237" t="e">
        <f>((Summary!$N$13*(AA217*AD217)*(A217-$D$3))+(Summary!$M$13*Z217*AC217*(AJ217-EOMONTH(EDATE(A217,-1),0))))/(AK217*AB217*AE217)</f>
        <v>#VALUE!</v>
      </c>
      <c r="AG217" s="88" t="str">
        <f>IF($A218="","",Summary!$Q$13)</f>
        <v/>
      </c>
      <c r="AH217" s="88" t="str">
        <f>IF($A218="","",IF(Summary!$R$12="Y",(VLOOKUP($A217,Summary!$AD$6:$AF$9,3)+'Escalating commodity'!I230),'Escalating commodity'!I230))</f>
        <v/>
      </c>
      <c r="AI217" s="88" t="str">
        <f t="shared" si="145"/>
        <v/>
      </c>
      <c r="AJ217" s="236" t="e">
        <f t="shared" si="131"/>
        <v>#VALUE!</v>
      </c>
      <c r="AK217" s="58" t="str">
        <f t="shared" si="132"/>
        <v/>
      </c>
      <c r="AL217" s="26" t="str">
        <f>IF($A218="","",_xll.SPRDOPT(P217,X217,AI217,0,AB217,AE217,AF217,AK217,$AJ$2,0))</f>
        <v/>
      </c>
      <c r="AM217" s="209" t="str">
        <f t="shared" si="133"/>
        <v/>
      </c>
      <c r="AN217" s="89" t="str">
        <f t="shared" si="134"/>
        <v/>
      </c>
      <c r="AO217" s="3" t="str">
        <f t="shared" si="135"/>
        <v/>
      </c>
      <c r="AP217" s="33" t="str">
        <f t="shared" si="136"/>
        <v/>
      </c>
      <c r="AQ217" s="58" t="str">
        <f t="shared" si="137"/>
        <v/>
      </c>
      <c r="AR217" s="38">
        <f>'ANR OK vs ML7'!AR217</f>
        <v>0.1</v>
      </c>
      <c r="AS217" s="35" t="str">
        <f t="shared" si="138"/>
        <v/>
      </c>
      <c r="AT217" s="3" t="str">
        <f t="shared" si="139"/>
        <v/>
      </c>
      <c r="AU217" s="3" t="str">
        <f t="shared" si="140"/>
        <v/>
      </c>
      <c r="AW217" s="32" t="str">
        <f t="shared" si="141"/>
        <v/>
      </c>
      <c r="AX217" s="32" t="str">
        <f t="shared" si="142"/>
        <v/>
      </c>
      <c r="AY217" s="32" t="str">
        <f t="shared" si="143"/>
        <v/>
      </c>
      <c r="BA217" s="32" t="str">
        <f>IF($A218="","",F217*Summary!$Q$13)</f>
        <v/>
      </c>
    </row>
    <row r="218" spans="1:53" ht="12" customHeight="1">
      <c r="A218" s="67" t="str">
        <f t="shared" si="144"/>
        <v/>
      </c>
      <c r="B218" s="69" t="str">
        <f t="shared" si="146"/>
        <v/>
      </c>
      <c r="C218" s="71"/>
      <c r="D218" s="69" t="str">
        <f t="shared" si="111"/>
        <v/>
      </c>
      <c r="E218" s="70" t="str">
        <f t="shared" si="112"/>
        <v/>
      </c>
      <c r="F218" s="70" t="str">
        <f t="shared" si="113"/>
        <v/>
      </c>
      <c r="G218" s="63" t="str">
        <f t="shared" si="114"/>
        <v/>
      </c>
      <c r="H218" s="64" t="str">
        <f t="shared" si="115"/>
        <v/>
      </c>
      <c r="I218" s="43"/>
      <c r="J218" s="63" t="str">
        <f t="shared" si="116"/>
        <v/>
      </c>
      <c r="K218" s="64" t="str">
        <f t="shared" si="117"/>
        <v/>
      </c>
      <c r="L218" s="38">
        <v>0</v>
      </c>
      <c r="M218" s="64" t="str">
        <f t="shared" si="118"/>
        <v/>
      </c>
      <c r="N218" s="65"/>
      <c r="O218" s="63" t="str">
        <f t="shared" si="119"/>
        <v/>
      </c>
      <c r="P218" s="63" t="str">
        <f t="shared" si="120"/>
        <v/>
      </c>
      <c r="Q218" s="66"/>
      <c r="R218" s="63" t="str">
        <f t="shared" si="121"/>
        <v/>
      </c>
      <c r="S218" s="64" t="str">
        <f t="shared" si="122"/>
        <v/>
      </c>
      <c r="T218" s="38">
        <v>0</v>
      </c>
      <c r="U218" s="64" t="str">
        <f t="shared" si="123"/>
        <v/>
      </c>
      <c r="V218" s="219"/>
      <c r="W218" s="43" t="str">
        <f t="shared" si="124"/>
        <v/>
      </c>
      <c r="X218" s="43" t="str">
        <f t="shared" si="125"/>
        <v/>
      </c>
      <c r="Y218" s="43"/>
      <c r="Z218" s="38" t="str">
        <f t="shared" si="126"/>
        <v/>
      </c>
      <c r="AA218" s="38" t="str">
        <f t="shared" si="127"/>
        <v/>
      </c>
      <c r="AB218" s="38" t="e">
        <f t="shared" si="128"/>
        <v>#VALUE!</v>
      </c>
      <c r="AC218" s="38" t="str">
        <f t="shared" si="129"/>
        <v/>
      </c>
      <c r="AD218" s="38" t="str">
        <f t="shared" si="129"/>
        <v/>
      </c>
      <c r="AE218" s="38" t="e">
        <f t="shared" si="130"/>
        <v>#VALUE!</v>
      </c>
      <c r="AF218" s="237" t="e">
        <f>((Summary!$N$13*(AA218*AD218)*(A218-$D$3))+(Summary!$M$13*Z218*AC218*(AJ218-EOMONTH(EDATE(A218,-1),0))))/(AK218*AB218*AE218)</f>
        <v>#VALUE!</v>
      </c>
      <c r="AG218" s="88" t="str">
        <f>IF($A219="","",Summary!$Q$13)</f>
        <v/>
      </c>
      <c r="AH218" s="88" t="str">
        <f>IF($A219="","",IF(Summary!$R$12="Y",(VLOOKUP($A218,Summary!$AD$6:$AF$9,3)+'Escalating commodity'!I231),'Escalating commodity'!I231))</f>
        <v/>
      </c>
      <c r="AI218" s="88" t="str">
        <f t="shared" si="145"/>
        <v/>
      </c>
      <c r="AJ218" s="236" t="e">
        <f t="shared" si="131"/>
        <v>#VALUE!</v>
      </c>
      <c r="AK218" s="58" t="str">
        <f t="shared" si="132"/>
        <v/>
      </c>
      <c r="AL218" s="26" t="str">
        <f>IF($A219="","",_xll.SPRDOPT(P218,X218,AI218,0,AB218,AE218,AF218,AK218,$AJ$2,0))</f>
        <v/>
      </c>
      <c r="AM218" s="209" t="str">
        <f t="shared" si="133"/>
        <v/>
      </c>
      <c r="AN218" s="89" t="str">
        <f t="shared" si="134"/>
        <v/>
      </c>
      <c r="AO218" s="3" t="str">
        <f t="shared" si="135"/>
        <v/>
      </c>
      <c r="AP218" s="33" t="str">
        <f t="shared" si="136"/>
        <v/>
      </c>
      <c r="AQ218" s="58" t="str">
        <f t="shared" si="137"/>
        <v/>
      </c>
      <c r="AR218" s="38">
        <f>'ANR OK vs ML7'!AR218</f>
        <v>0.1</v>
      </c>
      <c r="AS218" s="35" t="str">
        <f t="shared" si="138"/>
        <v/>
      </c>
      <c r="AT218" s="3" t="str">
        <f t="shared" si="139"/>
        <v/>
      </c>
      <c r="AU218" s="3" t="str">
        <f t="shared" si="140"/>
        <v/>
      </c>
      <c r="AW218" s="32" t="str">
        <f t="shared" si="141"/>
        <v/>
      </c>
      <c r="AX218" s="32" t="str">
        <f t="shared" si="142"/>
        <v/>
      </c>
      <c r="AY218" s="32" t="str">
        <f t="shared" si="143"/>
        <v/>
      </c>
      <c r="BA218" s="32" t="str">
        <f>IF($A219="","",F218*Summary!$Q$13)</f>
        <v/>
      </c>
    </row>
    <row r="219" spans="1:53" ht="12" customHeight="1">
      <c r="A219" s="67" t="str">
        <f t="shared" si="144"/>
        <v/>
      </c>
      <c r="B219" s="69" t="str">
        <f t="shared" si="146"/>
        <v/>
      </c>
      <c r="C219" s="71"/>
      <c r="D219" s="69" t="str">
        <f t="shared" si="111"/>
        <v/>
      </c>
      <c r="E219" s="70" t="str">
        <f t="shared" si="112"/>
        <v/>
      </c>
      <c r="F219" s="70" t="str">
        <f t="shared" si="113"/>
        <v/>
      </c>
      <c r="G219" s="63" t="str">
        <f t="shared" si="114"/>
        <v/>
      </c>
      <c r="H219" s="64" t="str">
        <f t="shared" si="115"/>
        <v/>
      </c>
      <c r="I219" s="43"/>
      <c r="J219" s="63" t="str">
        <f t="shared" si="116"/>
        <v/>
      </c>
      <c r="K219" s="64" t="str">
        <f t="shared" si="117"/>
        <v/>
      </c>
      <c r="L219" s="38">
        <v>0</v>
      </c>
      <c r="M219" s="64" t="str">
        <f t="shared" si="118"/>
        <v/>
      </c>
      <c r="N219" s="65"/>
      <c r="O219" s="63" t="str">
        <f t="shared" si="119"/>
        <v/>
      </c>
      <c r="P219" s="63" t="str">
        <f t="shared" si="120"/>
        <v/>
      </c>
      <c r="Q219" s="66"/>
      <c r="R219" s="63" t="str">
        <f t="shared" si="121"/>
        <v/>
      </c>
      <c r="S219" s="64" t="str">
        <f t="shared" si="122"/>
        <v/>
      </c>
      <c r="T219" s="38">
        <v>0</v>
      </c>
      <c r="U219" s="64" t="str">
        <f t="shared" si="123"/>
        <v/>
      </c>
      <c r="V219" s="219"/>
      <c r="W219" s="43" t="str">
        <f t="shared" si="124"/>
        <v/>
      </c>
      <c r="X219" s="43" t="str">
        <f t="shared" si="125"/>
        <v/>
      </c>
      <c r="Y219" s="43"/>
      <c r="Z219" s="38" t="str">
        <f t="shared" si="126"/>
        <v/>
      </c>
      <c r="AA219" s="38" t="str">
        <f t="shared" si="127"/>
        <v/>
      </c>
      <c r="AB219" s="38" t="e">
        <f t="shared" si="128"/>
        <v>#VALUE!</v>
      </c>
      <c r="AC219" s="38" t="str">
        <f t="shared" si="129"/>
        <v/>
      </c>
      <c r="AD219" s="38" t="str">
        <f t="shared" si="129"/>
        <v/>
      </c>
      <c r="AE219" s="38" t="e">
        <f t="shared" si="130"/>
        <v>#VALUE!</v>
      </c>
      <c r="AF219" s="237" t="e">
        <f>((Summary!$N$13*(AA219*AD219)*(A219-$D$3))+(Summary!$M$13*Z219*AC219*(AJ219-EOMONTH(EDATE(A219,-1),0))))/(AK219*AB219*AE219)</f>
        <v>#VALUE!</v>
      </c>
      <c r="AG219" s="88" t="str">
        <f>IF($A220="","",Summary!$Q$13)</f>
        <v/>
      </c>
      <c r="AH219" s="88" t="str">
        <f>IF($A220="","",IF(Summary!$R$12="Y",(VLOOKUP($A219,Summary!$AD$6:$AF$9,3)+'Escalating commodity'!I232),'Escalating commodity'!I232))</f>
        <v/>
      </c>
      <c r="AI219" s="88" t="str">
        <f t="shared" si="145"/>
        <v/>
      </c>
      <c r="AJ219" s="236" t="e">
        <f t="shared" si="131"/>
        <v>#VALUE!</v>
      </c>
      <c r="AK219" s="58" t="str">
        <f t="shared" si="132"/>
        <v/>
      </c>
      <c r="AL219" s="26" t="str">
        <f>IF($A220="","",_xll.SPRDOPT(P219,X219,AI219,0,AB219,AE219,AF219,AK219,$AJ$2,0))</f>
        <v/>
      </c>
      <c r="AM219" s="209" t="str">
        <f t="shared" si="133"/>
        <v/>
      </c>
      <c r="AN219" s="89" t="str">
        <f t="shared" si="134"/>
        <v/>
      </c>
      <c r="AO219" s="3" t="str">
        <f t="shared" si="135"/>
        <v/>
      </c>
      <c r="AP219" s="33" t="str">
        <f t="shared" si="136"/>
        <v/>
      </c>
      <c r="AQ219" s="58" t="str">
        <f t="shared" si="137"/>
        <v/>
      </c>
      <c r="AR219" s="38">
        <f>'ANR OK vs ML7'!AR219</f>
        <v>0.1</v>
      </c>
      <c r="AS219" s="35" t="str">
        <f t="shared" si="138"/>
        <v/>
      </c>
      <c r="AT219" s="3" t="str">
        <f t="shared" si="139"/>
        <v/>
      </c>
      <c r="AU219" s="3" t="str">
        <f t="shared" si="140"/>
        <v/>
      </c>
      <c r="AW219" s="32" t="str">
        <f t="shared" si="141"/>
        <v/>
      </c>
      <c r="AX219" s="32" t="str">
        <f t="shared" si="142"/>
        <v/>
      </c>
      <c r="AY219" s="32" t="str">
        <f t="shared" si="143"/>
        <v/>
      </c>
      <c r="BA219" s="32" t="str">
        <f>IF($A220="","",F219*Summary!$Q$13)</f>
        <v/>
      </c>
    </row>
    <row r="220" spans="1:53" ht="12" customHeight="1">
      <c r="A220" s="67" t="str">
        <f t="shared" si="144"/>
        <v/>
      </c>
      <c r="B220" s="69" t="str">
        <f t="shared" si="146"/>
        <v/>
      </c>
      <c r="C220" s="71"/>
      <c r="D220" s="69" t="str">
        <f t="shared" si="111"/>
        <v/>
      </c>
      <c r="E220" s="70" t="str">
        <f t="shared" si="112"/>
        <v/>
      </c>
      <c r="F220" s="70" t="str">
        <f t="shared" si="113"/>
        <v/>
      </c>
      <c r="G220" s="63" t="str">
        <f t="shared" si="114"/>
        <v/>
      </c>
      <c r="H220" s="64" t="str">
        <f t="shared" si="115"/>
        <v/>
      </c>
      <c r="I220" s="43"/>
      <c r="J220" s="63" t="str">
        <f t="shared" si="116"/>
        <v/>
      </c>
      <c r="K220" s="64" t="str">
        <f t="shared" si="117"/>
        <v/>
      </c>
      <c r="L220" s="38">
        <v>0</v>
      </c>
      <c r="M220" s="64" t="str">
        <f t="shared" si="118"/>
        <v/>
      </c>
      <c r="N220" s="65"/>
      <c r="O220" s="63" t="str">
        <f t="shared" si="119"/>
        <v/>
      </c>
      <c r="P220" s="63" t="str">
        <f t="shared" si="120"/>
        <v/>
      </c>
      <c r="Q220" s="66"/>
      <c r="R220" s="63" t="str">
        <f t="shared" si="121"/>
        <v/>
      </c>
      <c r="S220" s="64" t="str">
        <f t="shared" si="122"/>
        <v/>
      </c>
      <c r="T220" s="38">
        <v>0</v>
      </c>
      <c r="U220" s="64" t="str">
        <f t="shared" si="123"/>
        <v/>
      </c>
      <c r="V220" s="219"/>
      <c r="W220" s="43" t="str">
        <f t="shared" si="124"/>
        <v/>
      </c>
      <c r="X220" s="43" t="str">
        <f t="shared" si="125"/>
        <v/>
      </c>
      <c r="Y220" s="43"/>
      <c r="Z220" s="38" t="str">
        <f t="shared" si="126"/>
        <v/>
      </c>
      <c r="AA220" s="38" t="str">
        <f t="shared" si="127"/>
        <v/>
      </c>
      <c r="AB220" s="38" t="e">
        <f t="shared" si="128"/>
        <v>#VALUE!</v>
      </c>
      <c r="AC220" s="38" t="str">
        <f t="shared" si="129"/>
        <v/>
      </c>
      <c r="AD220" s="38" t="str">
        <f t="shared" si="129"/>
        <v/>
      </c>
      <c r="AE220" s="38" t="e">
        <f t="shared" si="130"/>
        <v>#VALUE!</v>
      </c>
      <c r="AF220" s="237" t="e">
        <f>((Summary!$N$13*(AA220*AD220)*(A220-$D$3))+(Summary!$M$13*Z220*AC220*(AJ220-EOMONTH(EDATE(A220,-1),0))))/(AK220*AB220*AE220)</f>
        <v>#VALUE!</v>
      </c>
      <c r="AG220" s="88" t="str">
        <f>IF($A221="","",Summary!$Q$13)</f>
        <v/>
      </c>
      <c r="AH220" s="88" t="str">
        <f>IF($A221="","",IF(Summary!$R$12="Y",(VLOOKUP($A220,Summary!$AD$6:$AF$9,3)+'Escalating commodity'!I233),'Escalating commodity'!I233))</f>
        <v/>
      </c>
      <c r="AI220" s="88" t="str">
        <f t="shared" si="145"/>
        <v/>
      </c>
      <c r="AJ220" s="236" t="e">
        <f t="shared" si="131"/>
        <v>#VALUE!</v>
      </c>
      <c r="AK220" s="58" t="str">
        <f t="shared" si="132"/>
        <v/>
      </c>
      <c r="AL220" s="26" t="str">
        <f>IF($A221="","",_xll.SPRDOPT(P220,X220,AI220,0,AB220,AE220,AF220,AK220,$AJ$2,0))</f>
        <v/>
      </c>
      <c r="AM220" s="209" t="str">
        <f t="shared" si="133"/>
        <v/>
      </c>
      <c r="AN220" s="89" t="str">
        <f t="shared" si="134"/>
        <v/>
      </c>
      <c r="AO220" s="3" t="str">
        <f t="shared" si="135"/>
        <v/>
      </c>
      <c r="AP220" s="33" t="str">
        <f t="shared" si="136"/>
        <v/>
      </c>
      <c r="AQ220" s="58" t="str">
        <f t="shared" si="137"/>
        <v/>
      </c>
      <c r="AR220" s="38">
        <f>'ANR OK vs ML7'!AR220</f>
        <v>0.1</v>
      </c>
      <c r="AS220" s="35" t="str">
        <f t="shared" si="138"/>
        <v/>
      </c>
      <c r="AT220" s="3" t="str">
        <f t="shared" si="139"/>
        <v/>
      </c>
      <c r="AU220" s="3" t="str">
        <f t="shared" si="140"/>
        <v/>
      </c>
      <c r="AW220" s="32" t="str">
        <f t="shared" si="141"/>
        <v/>
      </c>
      <c r="AX220" s="32" t="str">
        <f t="shared" si="142"/>
        <v/>
      </c>
      <c r="AY220" s="32" t="str">
        <f t="shared" si="143"/>
        <v/>
      </c>
      <c r="BA220" s="32" t="str">
        <f>IF($A221="","",F220*Summary!$Q$13)</f>
        <v/>
      </c>
    </row>
    <row r="221" spans="1:53" ht="12" customHeight="1">
      <c r="A221" s="67" t="str">
        <f t="shared" si="144"/>
        <v/>
      </c>
      <c r="B221" s="69" t="str">
        <f t="shared" si="146"/>
        <v/>
      </c>
      <c r="C221" s="71"/>
      <c r="D221" s="69" t="str">
        <f t="shared" si="111"/>
        <v/>
      </c>
      <c r="E221" s="70" t="str">
        <f t="shared" si="112"/>
        <v/>
      </c>
      <c r="F221" s="70" t="str">
        <f t="shared" si="113"/>
        <v/>
      </c>
      <c r="G221" s="63" t="str">
        <f t="shared" si="114"/>
        <v/>
      </c>
      <c r="H221" s="64" t="str">
        <f t="shared" si="115"/>
        <v/>
      </c>
      <c r="I221" s="43"/>
      <c r="J221" s="63" t="str">
        <f t="shared" si="116"/>
        <v/>
      </c>
      <c r="K221" s="64" t="str">
        <f t="shared" si="117"/>
        <v/>
      </c>
      <c r="L221" s="38">
        <v>0</v>
      </c>
      <c r="M221" s="64" t="str">
        <f t="shared" si="118"/>
        <v/>
      </c>
      <c r="N221" s="65"/>
      <c r="O221" s="63" t="str">
        <f t="shared" si="119"/>
        <v/>
      </c>
      <c r="P221" s="63" t="str">
        <f t="shared" si="120"/>
        <v/>
      </c>
      <c r="Q221" s="66"/>
      <c r="R221" s="63" t="str">
        <f t="shared" si="121"/>
        <v/>
      </c>
      <c r="S221" s="64" t="str">
        <f t="shared" si="122"/>
        <v/>
      </c>
      <c r="T221" s="38">
        <v>0</v>
      </c>
      <c r="U221" s="64" t="str">
        <f t="shared" si="123"/>
        <v/>
      </c>
      <c r="V221" s="219"/>
      <c r="W221" s="43" t="str">
        <f t="shared" si="124"/>
        <v/>
      </c>
      <c r="X221" s="43" t="str">
        <f t="shared" si="125"/>
        <v/>
      </c>
      <c r="Y221" s="43"/>
      <c r="Z221" s="38" t="str">
        <f t="shared" si="126"/>
        <v/>
      </c>
      <c r="AA221" s="38" t="str">
        <f t="shared" si="127"/>
        <v/>
      </c>
      <c r="AB221" s="38" t="e">
        <f t="shared" si="128"/>
        <v>#VALUE!</v>
      </c>
      <c r="AC221" s="38" t="str">
        <f t="shared" si="129"/>
        <v/>
      </c>
      <c r="AD221" s="38" t="str">
        <f t="shared" si="129"/>
        <v/>
      </c>
      <c r="AE221" s="38" t="e">
        <f t="shared" si="130"/>
        <v>#VALUE!</v>
      </c>
      <c r="AF221" s="237" t="e">
        <f>((Summary!$N$13*(AA221*AD221)*(A221-$D$3))+(Summary!$M$13*Z221*AC221*(AJ221-EOMONTH(EDATE(A221,-1),0))))/(AK221*AB221*AE221)</f>
        <v>#VALUE!</v>
      </c>
      <c r="AG221" s="88" t="str">
        <f>IF($A222="","",Summary!$Q$13)</f>
        <v/>
      </c>
      <c r="AH221" s="88" t="str">
        <f>IF($A222="","",IF(Summary!$R$12="Y",(VLOOKUP($A221,Summary!$AD$6:$AF$9,3)+'Escalating commodity'!I234),'Escalating commodity'!I234))</f>
        <v/>
      </c>
      <c r="AI221" s="88" t="str">
        <f t="shared" si="145"/>
        <v/>
      </c>
      <c r="AJ221" s="236" t="e">
        <f t="shared" si="131"/>
        <v>#VALUE!</v>
      </c>
      <c r="AK221" s="58" t="str">
        <f t="shared" si="132"/>
        <v/>
      </c>
      <c r="AL221" s="26" t="str">
        <f>IF($A222="","",_xll.SPRDOPT(P221,X221,AI221,0,AB221,AE221,AF221,AK221,$AJ$2,0))</f>
        <v/>
      </c>
      <c r="AM221" s="209" t="str">
        <f t="shared" si="133"/>
        <v/>
      </c>
      <c r="AN221" s="89" t="str">
        <f t="shared" si="134"/>
        <v/>
      </c>
      <c r="AO221" s="3" t="str">
        <f t="shared" si="135"/>
        <v/>
      </c>
      <c r="AP221" s="33" t="str">
        <f t="shared" si="136"/>
        <v/>
      </c>
      <c r="AQ221" s="58" t="str">
        <f t="shared" si="137"/>
        <v/>
      </c>
      <c r="AR221" s="38">
        <f>'ANR OK vs ML7'!AR221</f>
        <v>0.1</v>
      </c>
      <c r="AS221" s="35" t="str">
        <f t="shared" si="138"/>
        <v/>
      </c>
      <c r="AT221" s="3" t="str">
        <f t="shared" si="139"/>
        <v/>
      </c>
      <c r="AU221" s="3" t="str">
        <f t="shared" si="140"/>
        <v/>
      </c>
      <c r="AW221" s="32" t="str">
        <f t="shared" si="141"/>
        <v/>
      </c>
      <c r="AX221" s="32" t="str">
        <f t="shared" si="142"/>
        <v/>
      </c>
      <c r="AY221" s="32" t="str">
        <f t="shared" si="143"/>
        <v/>
      </c>
      <c r="BA221" s="32" t="str">
        <f>IF($A222="","",F221*Summary!$Q$13)</f>
        <v/>
      </c>
    </row>
    <row r="222" spans="1:53" ht="12" customHeight="1">
      <c r="A222" s="67" t="str">
        <f t="shared" si="144"/>
        <v/>
      </c>
      <c r="B222" s="69" t="str">
        <f t="shared" si="146"/>
        <v/>
      </c>
      <c r="C222" s="71"/>
      <c r="D222" s="69" t="str">
        <f t="shared" si="111"/>
        <v/>
      </c>
      <c r="E222" s="70" t="str">
        <f t="shared" si="112"/>
        <v/>
      </c>
      <c r="F222" s="70" t="str">
        <f t="shared" si="113"/>
        <v/>
      </c>
      <c r="G222" s="63" t="str">
        <f t="shared" si="114"/>
        <v/>
      </c>
      <c r="H222" s="64" t="str">
        <f t="shared" si="115"/>
        <v/>
      </c>
      <c r="I222" s="43"/>
      <c r="J222" s="63" t="str">
        <f t="shared" si="116"/>
        <v/>
      </c>
      <c r="K222" s="64" t="str">
        <f t="shared" si="117"/>
        <v/>
      </c>
      <c r="L222" s="38">
        <v>0</v>
      </c>
      <c r="M222" s="64" t="str">
        <f t="shared" si="118"/>
        <v/>
      </c>
      <c r="N222" s="65"/>
      <c r="O222" s="63" t="str">
        <f t="shared" si="119"/>
        <v/>
      </c>
      <c r="P222" s="63" t="str">
        <f t="shared" si="120"/>
        <v/>
      </c>
      <c r="Q222" s="66"/>
      <c r="R222" s="63" t="str">
        <f t="shared" si="121"/>
        <v/>
      </c>
      <c r="S222" s="64" t="str">
        <f t="shared" si="122"/>
        <v/>
      </c>
      <c r="T222" s="38">
        <v>0</v>
      </c>
      <c r="U222" s="64" t="str">
        <f t="shared" si="123"/>
        <v/>
      </c>
      <c r="V222" s="219"/>
      <c r="W222" s="43" t="str">
        <f t="shared" si="124"/>
        <v/>
      </c>
      <c r="X222" s="43" t="str">
        <f t="shared" si="125"/>
        <v/>
      </c>
      <c r="Y222" s="43"/>
      <c r="Z222" s="38" t="str">
        <f t="shared" si="126"/>
        <v/>
      </c>
      <c r="AA222" s="38" t="str">
        <f t="shared" si="127"/>
        <v/>
      </c>
      <c r="AB222" s="38" t="e">
        <f t="shared" si="128"/>
        <v>#VALUE!</v>
      </c>
      <c r="AC222" s="38" t="str">
        <f t="shared" si="129"/>
        <v/>
      </c>
      <c r="AD222" s="38" t="str">
        <f t="shared" si="129"/>
        <v/>
      </c>
      <c r="AE222" s="38" t="e">
        <f t="shared" si="130"/>
        <v>#VALUE!</v>
      </c>
      <c r="AF222" s="237" t="e">
        <f>((Summary!$N$13*(AA222*AD222)*(A222-$D$3))+(Summary!$M$13*Z222*AC222*(AJ222-EOMONTH(EDATE(A222,-1),0))))/(AK222*AB222*AE222)</f>
        <v>#VALUE!</v>
      </c>
      <c r="AG222" s="88" t="str">
        <f>IF($A223="","",Summary!$Q$13)</f>
        <v/>
      </c>
      <c r="AH222" s="88" t="str">
        <f>IF($A223="","",IF(Summary!$R$12="Y",(VLOOKUP($A222,Summary!$AD$6:$AF$9,3)+'Escalating commodity'!I235),'Escalating commodity'!I235))</f>
        <v/>
      </c>
      <c r="AI222" s="88" t="str">
        <f t="shared" si="145"/>
        <v/>
      </c>
      <c r="AJ222" s="236" t="e">
        <f t="shared" si="131"/>
        <v>#VALUE!</v>
      </c>
      <c r="AK222" s="58" t="str">
        <f t="shared" si="132"/>
        <v/>
      </c>
      <c r="AL222" s="26" t="str">
        <f>IF($A223="","",_xll.SPRDOPT(P222,X222,AI222,0,AB222,AE222,AF222,AK222,$AJ$2,0))</f>
        <v/>
      </c>
      <c r="AM222" s="209" t="str">
        <f t="shared" si="133"/>
        <v/>
      </c>
      <c r="AN222" s="89" t="str">
        <f t="shared" si="134"/>
        <v/>
      </c>
      <c r="AO222" s="3" t="str">
        <f t="shared" si="135"/>
        <v/>
      </c>
      <c r="AP222" s="33" t="str">
        <f t="shared" si="136"/>
        <v/>
      </c>
      <c r="AQ222" s="58" t="str">
        <f t="shared" si="137"/>
        <v/>
      </c>
      <c r="AR222" s="38">
        <f>'ANR OK vs ML7'!AR222</f>
        <v>0.1</v>
      </c>
      <c r="AS222" s="35" t="str">
        <f t="shared" si="138"/>
        <v/>
      </c>
      <c r="AT222" s="3" t="str">
        <f t="shared" si="139"/>
        <v/>
      </c>
      <c r="AU222" s="3" t="str">
        <f t="shared" si="140"/>
        <v/>
      </c>
      <c r="AW222" s="32" t="str">
        <f t="shared" si="141"/>
        <v/>
      </c>
      <c r="AX222" s="32" t="str">
        <f t="shared" si="142"/>
        <v/>
      </c>
      <c r="AY222" s="32" t="str">
        <f t="shared" si="143"/>
        <v/>
      </c>
      <c r="BA222" s="32" t="str">
        <f>IF($A223="","",F222*Summary!$Q$13)</f>
        <v/>
      </c>
    </row>
    <row r="223" spans="1:53" ht="12" customHeight="1">
      <c r="A223" s="67" t="str">
        <f t="shared" si="144"/>
        <v/>
      </c>
      <c r="B223" s="69" t="str">
        <f t="shared" si="146"/>
        <v/>
      </c>
      <c r="C223" s="71"/>
      <c r="D223" s="69" t="str">
        <f t="shared" si="111"/>
        <v/>
      </c>
      <c r="E223" s="70" t="str">
        <f t="shared" si="112"/>
        <v/>
      </c>
      <c r="F223" s="70" t="str">
        <f t="shared" si="113"/>
        <v/>
      </c>
      <c r="G223" s="63" t="str">
        <f t="shared" si="114"/>
        <v/>
      </c>
      <c r="H223" s="64" t="str">
        <f t="shared" si="115"/>
        <v/>
      </c>
      <c r="I223" s="43"/>
      <c r="J223" s="63" t="str">
        <f t="shared" si="116"/>
        <v/>
      </c>
      <c r="K223" s="64" t="str">
        <f t="shared" si="117"/>
        <v/>
      </c>
      <c r="L223" s="38">
        <v>0</v>
      </c>
      <c r="M223" s="64" t="str">
        <f t="shared" si="118"/>
        <v/>
      </c>
      <c r="N223" s="65"/>
      <c r="O223" s="63" t="str">
        <f t="shared" si="119"/>
        <v/>
      </c>
      <c r="P223" s="63" t="str">
        <f t="shared" si="120"/>
        <v/>
      </c>
      <c r="Q223" s="66"/>
      <c r="R223" s="63" t="str">
        <f t="shared" si="121"/>
        <v/>
      </c>
      <c r="S223" s="64" t="str">
        <f t="shared" si="122"/>
        <v/>
      </c>
      <c r="T223" s="38">
        <v>0</v>
      </c>
      <c r="U223" s="64" t="str">
        <f t="shared" si="123"/>
        <v/>
      </c>
      <c r="V223" s="219"/>
      <c r="W223" s="43" t="str">
        <f t="shared" si="124"/>
        <v/>
      </c>
      <c r="X223" s="43" t="str">
        <f t="shared" si="125"/>
        <v/>
      </c>
      <c r="Y223" s="43"/>
      <c r="Z223" s="38" t="str">
        <f t="shared" si="126"/>
        <v/>
      </c>
      <c r="AA223" s="38" t="str">
        <f t="shared" si="127"/>
        <v/>
      </c>
      <c r="AB223" s="38" t="e">
        <f t="shared" si="128"/>
        <v>#VALUE!</v>
      </c>
      <c r="AC223" s="38" t="str">
        <f t="shared" si="129"/>
        <v/>
      </c>
      <c r="AD223" s="38" t="str">
        <f t="shared" si="129"/>
        <v/>
      </c>
      <c r="AE223" s="38" t="e">
        <f t="shared" si="130"/>
        <v>#VALUE!</v>
      </c>
      <c r="AF223" s="237" t="e">
        <f>((Summary!$N$13*(AA223*AD223)*(A223-$D$3))+(Summary!$M$13*Z223*AC223*(AJ223-EOMONTH(EDATE(A223,-1),0))))/(AK223*AB223*AE223)</f>
        <v>#VALUE!</v>
      </c>
      <c r="AG223" s="88" t="str">
        <f>IF($A224="","",Summary!$Q$13)</f>
        <v/>
      </c>
      <c r="AH223" s="88" t="str">
        <f>IF($A224="","",IF(Summary!$R$12="Y",(VLOOKUP($A223,Summary!$AD$6:$AF$9,3)+'Escalating commodity'!I236),'Escalating commodity'!I236))</f>
        <v/>
      </c>
      <c r="AI223" s="88" t="str">
        <f t="shared" si="145"/>
        <v/>
      </c>
      <c r="AJ223" s="236" t="e">
        <f t="shared" si="131"/>
        <v>#VALUE!</v>
      </c>
      <c r="AK223" s="58" t="str">
        <f t="shared" si="132"/>
        <v/>
      </c>
      <c r="AL223" s="26" t="str">
        <f>IF($A224="","",_xll.SPRDOPT(P223,X223,AI223,0,AB223,AE223,AF223,AK223,$AJ$2,0))</f>
        <v/>
      </c>
      <c r="AM223" s="209" t="str">
        <f t="shared" si="133"/>
        <v/>
      </c>
      <c r="AN223" s="89" t="str">
        <f t="shared" si="134"/>
        <v/>
      </c>
      <c r="AO223" s="3" t="str">
        <f t="shared" si="135"/>
        <v/>
      </c>
      <c r="AP223" s="33" t="str">
        <f t="shared" si="136"/>
        <v/>
      </c>
      <c r="AQ223" s="58" t="str">
        <f t="shared" si="137"/>
        <v/>
      </c>
      <c r="AR223" s="38">
        <f>'ANR OK vs ML7'!AR223</f>
        <v>0.1</v>
      </c>
      <c r="AS223" s="35" t="str">
        <f t="shared" si="138"/>
        <v/>
      </c>
      <c r="AT223" s="3" t="str">
        <f t="shared" si="139"/>
        <v/>
      </c>
      <c r="AU223" s="3" t="str">
        <f t="shared" si="140"/>
        <v/>
      </c>
      <c r="AW223" s="32" t="str">
        <f t="shared" si="141"/>
        <v/>
      </c>
      <c r="AX223" s="32" t="str">
        <f t="shared" si="142"/>
        <v/>
      </c>
      <c r="AY223" s="32" t="str">
        <f t="shared" si="143"/>
        <v/>
      </c>
      <c r="BA223" s="32" t="str">
        <f>IF($A224="","",F223*Summary!$Q$13)</f>
        <v/>
      </c>
    </row>
    <row r="224" spans="1:53" ht="12" customHeight="1">
      <c r="A224" s="67" t="str">
        <f t="shared" si="144"/>
        <v/>
      </c>
      <c r="B224" s="69" t="str">
        <f t="shared" si="146"/>
        <v/>
      </c>
      <c r="C224" s="71"/>
      <c r="D224" s="69" t="str">
        <f t="shared" si="111"/>
        <v/>
      </c>
      <c r="E224" s="70" t="str">
        <f t="shared" si="112"/>
        <v/>
      </c>
      <c r="F224" s="70" t="str">
        <f t="shared" si="113"/>
        <v/>
      </c>
      <c r="G224" s="63" t="str">
        <f t="shared" si="114"/>
        <v/>
      </c>
      <c r="H224" s="64" t="str">
        <f t="shared" si="115"/>
        <v/>
      </c>
      <c r="I224" s="43"/>
      <c r="J224" s="63" t="str">
        <f t="shared" si="116"/>
        <v/>
      </c>
      <c r="K224" s="64" t="str">
        <f t="shared" si="117"/>
        <v/>
      </c>
      <c r="L224" s="38">
        <v>0</v>
      </c>
      <c r="M224" s="64" t="str">
        <f t="shared" si="118"/>
        <v/>
      </c>
      <c r="N224" s="65"/>
      <c r="O224" s="63" t="str">
        <f t="shared" si="119"/>
        <v/>
      </c>
      <c r="P224" s="63" t="str">
        <f t="shared" si="120"/>
        <v/>
      </c>
      <c r="Q224" s="66"/>
      <c r="R224" s="63" t="str">
        <f t="shared" si="121"/>
        <v/>
      </c>
      <c r="S224" s="64" t="str">
        <f t="shared" si="122"/>
        <v/>
      </c>
      <c r="T224" s="38">
        <v>0</v>
      </c>
      <c r="U224" s="64" t="str">
        <f t="shared" si="123"/>
        <v/>
      </c>
      <c r="V224" s="219"/>
      <c r="W224" s="43" t="str">
        <f t="shared" si="124"/>
        <v/>
      </c>
      <c r="X224" s="43" t="str">
        <f t="shared" si="125"/>
        <v/>
      </c>
      <c r="Y224" s="43"/>
      <c r="Z224" s="38" t="str">
        <f t="shared" si="126"/>
        <v/>
      </c>
      <c r="AA224" s="38" t="str">
        <f t="shared" si="127"/>
        <v/>
      </c>
      <c r="AB224" s="38" t="e">
        <f t="shared" si="128"/>
        <v>#VALUE!</v>
      </c>
      <c r="AC224" s="38" t="str">
        <f t="shared" si="129"/>
        <v/>
      </c>
      <c r="AD224" s="38" t="str">
        <f t="shared" si="129"/>
        <v/>
      </c>
      <c r="AE224" s="38" t="e">
        <f t="shared" si="130"/>
        <v>#VALUE!</v>
      </c>
      <c r="AF224" s="237" t="e">
        <f>((Summary!$N$13*(AA224*AD224)*(A224-$D$3))+(Summary!$M$13*Z224*AC224*(AJ224-EOMONTH(EDATE(A224,-1),0))))/(AK224*AB224*AE224)</f>
        <v>#VALUE!</v>
      </c>
      <c r="AG224" s="88" t="str">
        <f>IF($A225="","",Summary!$Q$13)</f>
        <v/>
      </c>
      <c r="AH224" s="88" t="str">
        <f>IF($A225="","",IF(Summary!$R$12="Y",(VLOOKUP($A224,Summary!$AD$6:$AF$9,3)+'Escalating commodity'!I237),'Escalating commodity'!I237))</f>
        <v/>
      </c>
      <c r="AI224" s="88" t="str">
        <f t="shared" si="145"/>
        <v/>
      </c>
      <c r="AJ224" s="236" t="e">
        <f t="shared" si="131"/>
        <v>#VALUE!</v>
      </c>
      <c r="AK224" s="58" t="str">
        <f t="shared" si="132"/>
        <v/>
      </c>
      <c r="AL224" s="26" t="str">
        <f>IF($A225="","",_xll.SPRDOPT(P224,X224,AI224,0,AB224,AE224,AF224,AK224,$AJ$2,0))</f>
        <v/>
      </c>
      <c r="AM224" s="209" t="str">
        <f t="shared" si="133"/>
        <v/>
      </c>
      <c r="AN224" s="89" t="str">
        <f t="shared" si="134"/>
        <v/>
      </c>
      <c r="AO224" s="3" t="str">
        <f t="shared" si="135"/>
        <v/>
      </c>
      <c r="AP224" s="33" t="str">
        <f t="shared" si="136"/>
        <v/>
      </c>
      <c r="AQ224" s="58" t="str">
        <f t="shared" si="137"/>
        <v/>
      </c>
      <c r="AR224" s="38">
        <f>'ANR OK vs ML7'!AR224</f>
        <v>0.1</v>
      </c>
      <c r="AS224" s="35" t="str">
        <f t="shared" si="138"/>
        <v/>
      </c>
      <c r="AT224" s="3" t="str">
        <f t="shared" si="139"/>
        <v/>
      </c>
      <c r="AU224" s="3" t="str">
        <f t="shared" si="140"/>
        <v/>
      </c>
      <c r="AW224" s="32" t="str">
        <f t="shared" si="141"/>
        <v/>
      </c>
      <c r="AX224" s="32" t="str">
        <f t="shared" si="142"/>
        <v/>
      </c>
      <c r="AY224" s="32" t="str">
        <f t="shared" si="143"/>
        <v/>
      </c>
      <c r="BA224" s="32" t="str">
        <f>IF($A225="","",F224*Summary!$Q$13)</f>
        <v/>
      </c>
    </row>
    <row r="225" spans="1:53" ht="12" customHeight="1">
      <c r="A225" s="67" t="str">
        <f t="shared" si="144"/>
        <v/>
      </c>
      <c r="B225" s="69" t="str">
        <f t="shared" si="146"/>
        <v/>
      </c>
      <c r="C225" s="71"/>
      <c r="D225" s="69" t="str">
        <f t="shared" si="111"/>
        <v/>
      </c>
      <c r="E225" s="70" t="str">
        <f t="shared" si="112"/>
        <v/>
      </c>
      <c r="F225" s="70" t="str">
        <f t="shared" si="113"/>
        <v/>
      </c>
      <c r="G225" s="63" t="str">
        <f t="shared" si="114"/>
        <v/>
      </c>
      <c r="H225" s="64" t="str">
        <f t="shared" si="115"/>
        <v/>
      </c>
      <c r="I225" s="43"/>
      <c r="J225" s="63" t="str">
        <f t="shared" si="116"/>
        <v/>
      </c>
      <c r="K225" s="64" t="str">
        <f t="shared" si="117"/>
        <v/>
      </c>
      <c r="L225" s="38">
        <v>0</v>
      </c>
      <c r="M225" s="64" t="str">
        <f t="shared" si="118"/>
        <v/>
      </c>
      <c r="N225" s="65"/>
      <c r="O225" s="63" t="str">
        <f t="shared" si="119"/>
        <v/>
      </c>
      <c r="P225" s="63" t="str">
        <f t="shared" si="120"/>
        <v/>
      </c>
      <c r="Q225" s="66"/>
      <c r="R225" s="63" t="str">
        <f t="shared" si="121"/>
        <v/>
      </c>
      <c r="S225" s="64" t="str">
        <f t="shared" si="122"/>
        <v/>
      </c>
      <c r="T225" s="38">
        <v>0</v>
      </c>
      <c r="U225" s="64" t="str">
        <f t="shared" si="123"/>
        <v/>
      </c>
      <c r="V225" s="219"/>
      <c r="W225" s="43" t="str">
        <f t="shared" si="124"/>
        <v/>
      </c>
      <c r="X225" s="43" t="str">
        <f t="shared" si="125"/>
        <v/>
      </c>
      <c r="Y225" s="43"/>
      <c r="Z225" s="38" t="str">
        <f t="shared" si="126"/>
        <v/>
      </c>
      <c r="AA225" s="38" t="str">
        <f t="shared" si="127"/>
        <v/>
      </c>
      <c r="AB225" s="38" t="e">
        <f t="shared" si="128"/>
        <v>#VALUE!</v>
      </c>
      <c r="AC225" s="38" t="str">
        <f t="shared" si="129"/>
        <v/>
      </c>
      <c r="AD225" s="38" t="str">
        <f t="shared" si="129"/>
        <v/>
      </c>
      <c r="AE225" s="38" t="e">
        <f t="shared" si="130"/>
        <v>#VALUE!</v>
      </c>
      <c r="AF225" s="237" t="e">
        <f>((Summary!$N$13*(AA225*AD225)*(A225-$D$3))+(Summary!$M$13*Z225*AC225*(AJ225-EOMONTH(EDATE(A225,-1),0))))/(AK225*AB225*AE225)</f>
        <v>#VALUE!</v>
      </c>
      <c r="AG225" s="88" t="str">
        <f>IF($A226="","",Summary!$Q$13)</f>
        <v/>
      </c>
      <c r="AH225" s="88" t="str">
        <f>IF($A226="","",IF(Summary!$R$12="Y",(VLOOKUP($A225,Summary!$AD$6:$AF$9,3)+'Escalating commodity'!I238),'Escalating commodity'!I238))</f>
        <v/>
      </c>
      <c r="AI225" s="88" t="str">
        <f t="shared" si="145"/>
        <v/>
      </c>
      <c r="AJ225" s="236" t="e">
        <f t="shared" si="131"/>
        <v>#VALUE!</v>
      </c>
      <c r="AK225" s="58" t="str">
        <f t="shared" si="132"/>
        <v/>
      </c>
      <c r="AL225" s="26" t="str">
        <f>IF($A226="","",_xll.SPRDOPT(P225,X225,AI225,0,AB225,AE225,AF225,AK225,$AJ$2,0))</f>
        <v/>
      </c>
      <c r="AM225" s="209" t="str">
        <f t="shared" si="133"/>
        <v/>
      </c>
      <c r="AN225" s="89" t="str">
        <f t="shared" si="134"/>
        <v/>
      </c>
      <c r="AO225" s="3" t="str">
        <f t="shared" si="135"/>
        <v/>
      </c>
      <c r="AP225" s="33" t="str">
        <f t="shared" si="136"/>
        <v/>
      </c>
      <c r="AQ225" s="58" t="str">
        <f t="shared" si="137"/>
        <v/>
      </c>
      <c r="AR225" s="38">
        <f>'ANR OK vs ML7'!AR225</f>
        <v>0.1</v>
      </c>
      <c r="AS225" s="35" t="str">
        <f t="shared" si="138"/>
        <v/>
      </c>
      <c r="AT225" s="3" t="str">
        <f t="shared" si="139"/>
        <v/>
      </c>
      <c r="AU225" s="3" t="str">
        <f t="shared" si="140"/>
        <v/>
      </c>
      <c r="AW225" s="32" t="str">
        <f t="shared" si="141"/>
        <v/>
      </c>
      <c r="AX225" s="32" t="str">
        <f t="shared" si="142"/>
        <v/>
      </c>
      <c r="AY225" s="32" t="str">
        <f t="shared" si="143"/>
        <v/>
      </c>
      <c r="BA225" s="32" t="str">
        <f>IF($A226="","",F225*Summary!$Q$13)</f>
        <v/>
      </c>
    </row>
    <row r="226" spans="1:53" ht="12" customHeight="1">
      <c r="A226" s="67" t="str">
        <f t="shared" si="144"/>
        <v/>
      </c>
      <c r="B226" s="69" t="str">
        <f t="shared" si="146"/>
        <v/>
      </c>
      <c r="C226" s="71"/>
      <c r="D226" s="69" t="str">
        <f t="shared" si="111"/>
        <v/>
      </c>
      <c r="E226" s="70" t="str">
        <f t="shared" si="112"/>
        <v/>
      </c>
      <c r="F226" s="70" t="str">
        <f t="shared" si="113"/>
        <v/>
      </c>
      <c r="G226" s="63" t="str">
        <f t="shared" si="114"/>
        <v/>
      </c>
      <c r="H226" s="64" t="str">
        <f t="shared" si="115"/>
        <v/>
      </c>
      <c r="I226" s="43"/>
      <c r="J226" s="63" t="str">
        <f t="shared" si="116"/>
        <v/>
      </c>
      <c r="K226" s="64" t="str">
        <f t="shared" si="117"/>
        <v/>
      </c>
      <c r="L226" s="38">
        <v>0</v>
      </c>
      <c r="M226" s="64" t="str">
        <f t="shared" si="118"/>
        <v/>
      </c>
      <c r="N226" s="65"/>
      <c r="O226" s="63" t="str">
        <f t="shared" si="119"/>
        <v/>
      </c>
      <c r="P226" s="63" t="str">
        <f t="shared" si="120"/>
        <v/>
      </c>
      <c r="Q226" s="66"/>
      <c r="R226" s="63" t="str">
        <f t="shared" si="121"/>
        <v/>
      </c>
      <c r="S226" s="64" t="str">
        <f t="shared" si="122"/>
        <v/>
      </c>
      <c r="T226" s="38">
        <v>0</v>
      </c>
      <c r="U226" s="64" t="str">
        <f t="shared" si="123"/>
        <v/>
      </c>
      <c r="V226" s="219"/>
      <c r="W226" s="43" t="str">
        <f t="shared" si="124"/>
        <v/>
      </c>
      <c r="X226" s="43" t="str">
        <f t="shared" si="125"/>
        <v/>
      </c>
      <c r="Y226" s="43"/>
      <c r="Z226" s="38" t="str">
        <f t="shared" si="126"/>
        <v/>
      </c>
      <c r="AA226" s="38" t="str">
        <f t="shared" si="127"/>
        <v/>
      </c>
      <c r="AB226" s="38" t="e">
        <f t="shared" si="128"/>
        <v>#VALUE!</v>
      </c>
      <c r="AC226" s="38" t="str">
        <f t="shared" si="129"/>
        <v/>
      </c>
      <c r="AD226" s="38" t="str">
        <f t="shared" si="129"/>
        <v/>
      </c>
      <c r="AE226" s="38" t="e">
        <f t="shared" si="130"/>
        <v>#VALUE!</v>
      </c>
      <c r="AF226" s="237" t="e">
        <f>((Summary!$N$13*(AA226*AD226)*(A226-$D$3))+(Summary!$M$13*Z226*AC226*(AJ226-EOMONTH(EDATE(A226,-1),0))))/(AK226*AB226*AE226)</f>
        <v>#VALUE!</v>
      </c>
      <c r="AG226" s="88" t="str">
        <f>IF($A227="","",Summary!$Q$13)</f>
        <v/>
      </c>
      <c r="AH226" s="88" t="str">
        <f>IF($A227="","",IF(Summary!$R$12="Y",(VLOOKUP($A226,Summary!$AD$6:$AF$9,3)+'Escalating commodity'!I239),'Escalating commodity'!I239))</f>
        <v/>
      </c>
      <c r="AI226" s="88" t="str">
        <f t="shared" si="145"/>
        <v/>
      </c>
      <c r="AJ226" s="236" t="e">
        <f t="shared" si="131"/>
        <v>#VALUE!</v>
      </c>
      <c r="AK226" s="58" t="str">
        <f t="shared" si="132"/>
        <v/>
      </c>
      <c r="AL226" s="26" t="str">
        <f>IF($A227="","",_xll.SPRDOPT(P226,X226,AI226,0,AB226,AE226,AF226,AK226,$AJ$2,0))</f>
        <v/>
      </c>
      <c r="AM226" s="209" t="str">
        <f t="shared" si="133"/>
        <v/>
      </c>
      <c r="AN226" s="89" t="str">
        <f t="shared" si="134"/>
        <v/>
      </c>
      <c r="AO226" s="3" t="str">
        <f t="shared" si="135"/>
        <v/>
      </c>
      <c r="AP226" s="33" t="str">
        <f t="shared" si="136"/>
        <v/>
      </c>
      <c r="AQ226" s="58" t="str">
        <f t="shared" si="137"/>
        <v/>
      </c>
      <c r="AR226" s="38">
        <f>'ANR OK vs ML7'!AR226</f>
        <v>0.1</v>
      </c>
      <c r="AS226" s="35" t="str">
        <f t="shared" si="138"/>
        <v/>
      </c>
      <c r="AT226" s="3" t="str">
        <f t="shared" si="139"/>
        <v/>
      </c>
      <c r="AU226" s="3" t="str">
        <f t="shared" si="140"/>
        <v/>
      </c>
      <c r="AW226" s="32" t="str">
        <f t="shared" si="141"/>
        <v/>
      </c>
      <c r="AX226" s="32" t="str">
        <f t="shared" si="142"/>
        <v/>
      </c>
      <c r="AY226" s="32" t="str">
        <f t="shared" si="143"/>
        <v/>
      </c>
      <c r="BA226" s="32" t="str">
        <f>IF($A227="","",F226*Summary!$Q$13)</f>
        <v/>
      </c>
    </row>
    <row r="227" spans="1:53" ht="12" customHeight="1">
      <c r="A227" s="67" t="str">
        <f t="shared" si="144"/>
        <v/>
      </c>
      <c r="B227" s="69" t="str">
        <f t="shared" si="146"/>
        <v/>
      </c>
      <c r="C227" s="71"/>
      <c r="D227" s="69" t="str">
        <f t="shared" si="111"/>
        <v/>
      </c>
      <c r="E227" s="70" t="str">
        <f t="shared" si="112"/>
        <v/>
      </c>
      <c r="F227" s="70" t="str">
        <f t="shared" si="113"/>
        <v/>
      </c>
      <c r="G227" s="63" t="str">
        <f t="shared" si="114"/>
        <v/>
      </c>
      <c r="H227" s="64" t="str">
        <f t="shared" si="115"/>
        <v/>
      </c>
      <c r="I227" s="43"/>
      <c r="J227" s="63" t="str">
        <f t="shared" si="116"/>
        <v/>
      </c>
      <c r="K227" s="64" t="str">
        <f t="shared" si="117"/>
        <v/>
      </c>
      <c r="L227" s="38">
        <v>0</v>
      </c>
      <c r="M227" s="64" t="str">
        <f t="shared" si="118"/>
        <v/>
      </c>
      <c r="N227" s="65"/>
      <c r="O227" s="63" t="str">
        <f t="shared" si="119"/>
        <v/>
      </c>
      <c r="P227" s="63" t="str">
        <f t="shared" si="120"/>
        <v/>
      </c>
      <c r="Q227" s="66"/>
      <c r="R227" s="63" t="str">
        <f t="shared" si="121"/>
        <v/>
      </c>
      <c r="S227" s="64" t="str">
        <f t="shared" si="122"/>
        <v/>
      </c>
      <c r="T227" s="38">
        <v>0</v>
      </c>
      <c r="U227" s="64" t="str">
        <f t="shared" si="123"/>
        <v/>
      </c>
      <c r="V227" s="219"/>
      <c r="W227" s="43" t="str">
        <f t="shared" si="124"/>
        <v/>
      </c>
      <c r="X227" s="43" t="str">
        <f t="shared" si="125"/>
        <v/>
      </c>
      <c r="Y227" s="43"/>
      <c r="Z227" s="38" t="str">
        <f t="shared" si="126"/>
        <v/>
      </c>
      <c r="AA227" s="38" t="str">
        <f t="shared" si="127"/>
        <v/>
      </c>
      <c r="AB227" s="38" t="e">
        <f t="shared" si="128"/>
        <v>#VALUE!</v>
      </c>
      <c r="AC227" s="38" t="str">
        <f t="shared" si="129"/>
        <v/>
      </c>
      <c r="AD227" s="38" t="str">
        <f t="shared" si="129"/>
        <v/>
      </c>
      <c r="AE227" s="38" t="e">
        <f t="shared" si="130"/>
        <v>#VALUE!</v>
      </c>
      <c r="AF227" s="237" t="e">
        <f>((Summary!$N$13*(AA227*AD227)*(A227-$D$3))+(Summary!$M$13*Z227*AC227*(AJ227-EOMONTH(EDATE(A227,-1),0))))/(AK227*AB227*AE227)</f>
        <v>#VALUE!</v>
      </c>
      <c r="AG227" s="88" t="str">
        <f>IF($A228="","",Summary!$Q$13)</f>
        <v/>
      </c>
      <c r="AH227" s="88" t="str">
        <f>IF($A228="","",IF(Summary!$R$12="Y",(VLOOKUP($A227,Summary!$AD$6:$AF$9,3)+'Escalating commodity'!I240),'Escalating commodity'!I240))</f>
        <v/>
      </c>
      <c r="AI227" s="88" t="str">
        <f t="shared" si="145"/>
        <v/>
      </c>
      <c r="AJ227" s="236" t="e">
        <f t="shared" si="131"/>
        <v>#VALUE!</v>
      </c>
      <c r="AK227" s="58" t="str">
        <f t="shared" si="132"/>
        <v/>
      </c>
      <c r="AL227" s="26" t="str">
        <f>IF($A228="","",_xll.SPRDOPT(P227,X227,AI227,0,AB227,AE227,AF227,AK227,$AJ$2,0))</f>
        <v/>
      </c>
      <c r="AM227" s="209" t="str">
        <f t="shared" si="133"/>
        <v/>
      </c>
      <c r="AN227" s="89" t="str">
        <f t="shared" si="134"/>
        <v/>
      </c>
      <c r="AO227" s="3" t="str">
        <f t="shared" si="135"/>
        <v/>
      </c>
      <c r="AP227" s="33" t="str">
        <f t="shared" si="136"/>
        <v/>
      </c>
      <c r="AQ227" s="58" t="str">
        <f t="shared" si="137"/>
        <v/>
      </c>
      <c r="AR227" s="38">
        <f>'ANR OK vs ML7'!AR227</f>
        <v>0.1</v>
      </c>
      <c r="AS227" s="35" t="str">
        <f t="shared" si="138"/>
        <v/>
      </c>
      <c r="AT227" s="3" t="str">
        <f t="shared" si="139"/>
        <v/>
      </c>
      <c r="AU227" s="3" t="str">
        <f t="shared" si="140"/>
        <v/>
      </c>
      <c r="AW227" s="32" t="str">
        <f t="shared" si="141"/>
        <v/>
      </c>
      <c r="AX227" s="32" t="str">
        <f t="shared" si="142"/>
        <v/>
      </c>
      <c r="AY227" s="32" t="str">
        <f t="shared" si="143"/>
        <v/>
      </c>
      <c r="BA227" s="32" t="str">
        <f>IF($A228="","",F227*Summary!$Q$13)</f>
        <v/>
      </c>
    </row>
    <row r="228" spans="1:53" ht="12" customHeight="1">
      <c r="A228" s="67" t="str">
        <f t="shared" si="144"/>
        <v/>
      </c>
      <c r="B228" s="69" t="str">
        <f t="shared" si="146"/>
        <v/>
      </c>
      <c r="C228" s="71"/>
      <c r="D228" s="69" t="str">
        <f t="shared" si="111"/>
        <v/>
      </c>
      <c r="E228" s="70" t="str">
        <f t="shared" si="112"/>
        <v/>
      </c>
      <c r="F228" s="70" t="str">
        <f t="shared" si="113"/>
        <v/>
      </c>
      <c r="G228" s="63" t="str">
        <f t="shared" si="114"/>
        <v/>
      </c>
      <c r="H228" s="64" t="str">
        <f t="shared" si="115"/>
        <v/>
      </c>
      <c r="I228" s="43"/>
      <c r="J228" s="63" t="str">
        <f t="shared" si="116"/>
        <v/>
      </c>
      <c r="K228" s="64" t="str">
        <f t="shared" si="117"/>
        <v/>
      </c>
      <c r="L228" s="38">
        <v>0</v>
      </c>
      <c r="M228" s="64" t="str">
        <f t="shared" si="118"/>
        <v/>
      </c>
      <c r="N228" s="65"/>
      <c r="O228" s="63" t="str">
        <f t="shared" si="119"/>
        <v/>
      </c>
      <c r="P228" s="63" t="str">
        <f t="shared" si="120"/>
        <v/>
      </c>
      <c r="Q228" s="66"/>
      <c r="R228" s="63" t="str">
        <f t="shared" si="121"/>
        <v/>
      </c>
      <c r="S228" s="64" t="str">
        <f t="shared" si="122"/>
        <v/>
      </c>
      <c r="T228" s="38">
        <v>0</v>
      </c>
      <c r="U228" s="64" t="str">
        <f t="shared" si="123"/>
        <v/>
      </c>
      <c r="V228" s="219"/>
      <c r="W228" s="43" t="str">
        <f t="shared" si="124"/>
        <v/>
      </c>
      <c r="X228" s="43" t="str">
        <f t="shared" si="125"/>
        <v/>
      </c>
      <c r="Y228" s="43"/>
      <c r="Z228" s="38" t="str">
        <f t="shared" si="126"/>
        <v/>
      </c>
      <c r="AA228" s="38" t="str">
        <f t="shared" si="127"/>
        <v/>
      </c>
      <c r="AB228" s="38" t="e">
        <f t="shared" si="128"/>
        <v>#VALUE!</v>
      </c>
      <c r="AC228" s="38" t="str">
        <f t="shared" si="129"/>
        <v/>
      </c>
      <c r="AD228" s="38" t="str">
        <f t="shared" si="129"/>
        <v/>
      </c>
      <c r="AE228" s="38" t="e">
        <f t="shared" si="130"/>
        <v>#VALUE!</v>
      </c>
      <c r="AF228" s="237" t="e">
        <f>((Summary!$N$13*(AA228*AD228)*(A228-$D$3))+(Summary!$M$13*Z228*AC228*(AJ228-EOMONTH(EDATE(A228,-1),0))))/(AK228*AB228*AE228)</f>
        <v>#VALUE!</v>
      </c>
      <c r="AG228" s="88" t="str">
        <f>IF($A229="","",Summary!$Q$13)</f>
        <v/>
      </c>
      <c r="AH228" s="88" t="str">
        <f>IF($A229="","",IF(Summary!$R$12="Y",(VLOOKUP($A228,Summary!$AD$6:$AF$9,3)+'Escalating commodity'!I241),'Escalating commodity'!I241))</f>
        <v/>
      </c>
      <c r="AI228" s="88" t="str">
        <f t="shared" si="145"/>
        <v/>
      </c>
      <c r="AJ228" s="236" t="e">
        <f t="shared" si="131"/>
        <v>#VALUE!</v>
      </c>
      <c r="AK228" s="58" t="str">
        <f t="shared" si="132"/>
        <v/>
      </c>
      <c r="AL228" s="26" t="str">
        <f>IF($A229="","",_xll.SPRDOPT(P228,X228,AI228,0,AB228,AE228,AF228,AK228,$AJ$2,0))</f>
        <v/>
      </c>
      <c r="AM228" s="209" t="str">
        <f t="shared" si="133"/>
        <v/>
      </c>
      <c r="AN228" s="89" t="str">
        <f t="shared" si="134"/>
        <v/>
      </c>
      <c r="AO228" s="3" t="str">
        <f t="shared" si="135"/>
        <v/>
      </c>
      <c r="AP228" s="33" t="str">
        <f t="shared" si="136"/>
        <v/>
      </c>
      <c r="AQ228" s="58" t="str">
        <f t="shared" si="137"/>
        <v/>
      </c>
      <c r="AR228" s="38">
        <f>'ANR OK vs ML7'!AR228</f>
        <v>0.1</v>
      </c>
      <c r="AS228" s="35" t="str">
        <f t="shared" si="138"/>
        <v/>
      </c>
      <c r="AT228" s="3" t="str">
        <f t="shared" si="139"/>
        <v/>
      </c>
      <c r="AU228" s="3" t="str">
        <f t="shared" si="140"/>
        <v/>
      </c>
      <c r="AW228" s="32" t="str">
        <f t="shared" si="141"/>
        <v/>
      </c>
      <c r="AX228" s="32" t="str">
        <f t="shared" si="142"/>
        <v/>
      </c>
      <c r="AY228" s="32" t="str">
        <f t="shared" si="143"/>
        <v/>
      </c>
      <c r="BA228" s="32" t="str">
        <f>IF($A229="","",F228*Summary!$Q$13)</f>
        <v/>
      </c>
    </row>
    <row r="229" spans="1:53" ht="12" customHeight="1">
      <c r="A229" s="67" t="str">
        <f t="shared" si="144"/>
        <v/>
      </c>
      <c r="B229" s="69" t="str">
        <f t="shared" si="146"/>
        <v/>
      </c>
      <c r="C229" s="71"/>
      <c r="D229" s="69" t="str">
        <f t="shared" si="111"/>
        <v/>
      </c>
      <c r="E229" s="70" t="str">
        <f t="shared" si="112"/>
        <v/>
      </c>
      <c r="F229" s="70" t="str">
        <f t="shared" si="113"/>
        <v/>
      </c>
      <c r="G229" s="63" t="str">
        <f t="shared" si="114"/>
        <v/>
      </c>
      <c r="H229" s="64" t="str">
        <f t="shared" si="115"/>
        <v/>
      </c>
      <c r="I229" s="43"/>
      <c r="J229" s="63" t="str">
        <f t="shared" si="116"/>
        <v/>
      </c>
      <c r="K229" s="64" t="str">
        <f t="shared" si="117"/>
        <v/>
      </c>
      <c r="L229" s="38">
        <v>0</v>
      </c>
      <c r="M229" s="64" t="str">
        <f t="shared" si="118"/>
        <v/>
      </c>
      <c r="N229" s="65"/>
      <c r="O229" s="63" t="str">
        <f t="shared" si="119"/>
        <v/>
      </c>
      <c r="P229" s="63" t="str">
        <f t="shared" si="120"/>
        <v/>
      </c>
      <c r="Q229" s="66"/>
      <c r="R229" s="63" t="str">
        <f t="shared" si="121"/>
        <v/>
      </c>
      <c r="S229" s="64" t="str">
        <f t="shared" si="122"/>
        <v/>
      </c>
      <c r="T229" s="38">
        <v>0</v>
      </c>
      <c r="U229" s="64" t="str">
        <f t="shared" si="123"/>
        <v/>
      </c>
      <c r="V229" s="219"/>
      <c r="W229" s="43" t="str">
        <f t="shared" si="124"/>
        <v/>
      </c>
      <c r="X229" s="43" t="str">
        <f t="shared" si="125"/>
        <v/>
      </c>
      <c r="Y229" s="43"/>
      <c r="Z229" s="38" t="str">
        <f t="shared" si="126"/>
        <v/>
      </c>
      <c r="AA229" s="38" t="str">
        <f t="shared" si="127"/>
        <v/>
      </c>
      <c r="AB229" s="38" t="e">
        <f t="shared" si="128"/>
        <v>#VALUE!</v>
      </c>
      <c r="AC229" s="38" t="str">
        <f t="shared" si="129"/>
        <v/>
      </c>
      <c r="AD229" s="38" t="str">
        <f t="shared" si="129"/>
        <v/>
      </c>
      <c r="AE229" s="38" t="e">
        <f t="shared" si="130"/>
        <v>#VALUE!</v>
      </c>
      <c r="AF229" s="237" t="e">
        <f>((Summary!$N$13*(AA229*AD229)*(A229-$D$3))+(Summary!$M$13*Z229*AC229*(AJ229-EOMONTH(EDATE(A229,-1),0))))/(AK229*AB229*AE229)</f>
        <v>#VALUE!</v>
      </c>
      <c r="AG229" s="88" t="str">
        <f>IF($A230="","",Summary!$Q$13)</f>
        <v/>
      </c>
      <c r="AH229" s="88" t="str">
        <f>IF($A230="","",IF(Summary!$R$12="Y",(VLOOKUP($A229,Summary!$AD$6:$AF$9,3)+'Escalating commodity'!I242),'Escalating commodity'!I242))</f>
        <v/>
      </c>
      <c r="AI229" s="88" t="str">
        <f t="shared" si="145"/>
        <v/>
      </c>
      <c r="AJ229" s="236" t="e">
        <f t="shared" si="131"/>
        <v>#VALUE!</v>
      </c>
      <c r="AK229" s="58" t="str">
        <f t="shared" si="132"/>
        <v/>
      </c>
      <c r="AL229" s="26" t="str">
        <f>IF($A230="","",_xll.SPRDOPT(P229,X229,AI229,0,AB229,AE229,AF229,AK229,$AJ$2,0))</f>
        <v/>
      </c>
      <c r="AM229" s="209" t="str">
        <f t="shared" si="133"/>
        <v/>
      </c>
      <c r="AN229" s="89" t="str">
        <f t="shared" si="134"/>
        <v/>
      </c>
      <c r="AO229" s="3" t="str">
        <f t="shared" si="135"/>
        <v/>
      </c>
      <c r="AP229" s="33" t="str">
        <f t="shared" si="136"/>
        <v/>
      </c>
      <c r="AQ229" s="58" t="str">
        <f t="shared" si="137"/>
        <v/>
      </c>
      <c r="AR229" s="38">
        <f>'ANR OK vs ML7'!AR229</f>
        <v>0.1</v>
      </c>
      <c r="AS229" s="35" t="str">
        <f t="shared" si="138"/>
        <v/>
      </c>
      <c r="AT229" s="3" t="str">
        <f t="shared" si="139"/>
        <v/>
      </c>
      <c r="AU229" s="3" t="str">
        <f t="shared" si="140"/>
        <v/>
      </c>
      <c r="AW229" s="32" t="str">
        <f t="shared" si="141"/>
        <v/>
      </c>
      <c r="AX229" s="32" t="str">
        <f t="shared" si="142"/>
        <v/>
      </c>
      <c r="AY229" s="32" t="str">
        <f t="shared" si="143"/>
        <v/>
      </c>
      <c r="BA229" s="32" t="str">
        <f>IF($A230="","",F229*Summary!$Q$13)</f>
        <v/>
      </c>
    </row>
    <row r="230" spans="1:53" ht="12" customHeight="1">
      <c r="A230" s="67" t="str">
        <f t="shared" si="144"/>
        <v/>
      </c>
      <c r="B230" s="69" t="str">
        <f t="shared" si="146"/>
        <v/>
      </c>
      <c r="C230" s="71"/>
      <c r="D230" s="69" t="str">
        <f t="shared" si="111"/>
        <v/>
      </c>
      <c r="E230" s="70" t="str">
        <f t="shared" si="112"/>
        <v/>
      </c>
      <c r="F230" s="70" t="str">
        <f t="shared" si="113"/>
        <v/>
      </c>
      <c r="G230" s="63" t="str">
        <f t="shared" si="114"/>
        <v/>
      </c>
      <c r="H230" s="64" t="str">
        <f t="shared" si="115"/>
        <v/>
      </c>
      <c r="I230" s="43"/>
      <c r="J230" s="63" t="str">
        <f t="shared" si="116"/>
        <v/>
      </c>
      <c r="K230" s="64" t="str">
        <f t="shared" si="117"/>
        <v/>
      </c>
      <c r="L230" s="38">
        <v>0</v>
      </c>
      <c r="M230" s="64" t="str">
        <f t="shared" si="118"/>
        <v/>
      </c>
      <c r="N230" s="65"/>
      <c r="O230" s="63" t="str">
        <f t="shared" si="119"/>
        <v/>
      </c>
      <c r="P230" s="63" t="str">
        <f t="shared" si="120"/>
        <v/>
      </c>
      <c r="Q230" s="66"/>
      <c r="R230" s="63" t="str">
        <f t="shared" si="121"/>
        <v/>
      </c>
      <c r="S230" s="64" t="str">
        <f t="shared" si="122"/>
        <v/>
      </c>
      <c r="T230" s="38">
        <v>0</v>
      </c>
      <c r="U230" s="64" t="str">
        <f t="shared" si="123"/>
        <v/>
      </c>
      <c r="V230" s="219"/>
      <c r="W230" s="43" t="str">
        <f t="shared" si="124"/>
        <v/>
      </c>
      <c r="X230" s="43" t="str">
        <f t="shared" si="125"/>
        <v/>
      </c>
      <c r="Y230" s="43"/>
      <c r="Z230" s="38" t="str">
        <f t="shared" si="126"/>
        <v/>
      </c>
      <c r="AA230" s="38" t="str">
        <f t="shared" si="127"/>
        <v/>
      </c>
      <c r="AB230" s="38" t="e">
        <f t="shared" si="128"/>
        <v>#VALUE!</v>
      </c>
      <c r="AC230" s="38" t="str">
        <f t="shared" si="129"/>
        <v/>
      </c>
      <c r="AD230" s="38" t="str">
        <f t="shared" si="129"/>
        <v/>
      </c>
      <c r="AE230" s="38" t="e">
        <f t="shared" si="130"/>
        <v>#VALUE!</v>
      </c>
      <c r="AF230" s="237" t="e">
        <f>((Summary!$N$13*(AA230*AD230)*(A230-$D$3))+(Summary!$M$13*Z230*AC230*(AJ230-EOMONTH(EDATE(A230,-1),0))))/(AK230*AB230*AE230)</f>
        <v>#VALUE!</v>
      </c>
      <c r="AG230" s="88" t="str">
        <f>IF($A231="","",Summary!$Q$13)</f>
        <v/>
      </c>
      <c r="AH230" s="88" t="str">
        <f>IF($A231="","",IF(Summary!$R$12="Y",(VLOOKUP($A230,Summary!$AD$6:$AF$9,3)+'Escalating commodity'!I243),'Escalating commodity'!I243))</f>
        <v/>
      </c>
      <c r="AI230" s="88" t="str">
        <f t="shared" si="145"/>
        <v/>
      </c>
      <c r="AJ230" s="236" t="e">
        <f t="shared" si="131"/>
        <v>#VALUE!</v>
      </c>
      <c r="AK230" s="58" t="str">
        <f t="shared" si="132"/>
        <v/>
      </c>
      <c r="AL230" s="26" t="str">
        <f>IF($A231="","",_xll.SPRDOPT(P230,X230,AI230,0,AB230,AE230,AF230,AK230,$AJ$2,0))</f>
        <v/>
      </c>
      <c r="AM230" s="209" t="str">
        <f t="shared" si="133"/>
        <v/>
      </c>
      <c r="AN230" s="89" t="str">
        <f t="shared" si="134"/>
        <v/>
      </c>
      <c r="AO230" s="3" t="str">
        <f t="shared" si="135"/>
        <v/>
      </c>
      <c r="AP230" s="33" t="str">
        <f t="shared" si="136"/>
        <v/>
      </c>
      <c r="AQ230" s="58" t="str">
        <f t="shared" si="137"/>
        <v/>
      </c>
      <c r="AR230" s="38">
        <f>'ANR OK vs ML7'!AR230</f>
        <v>0.1</v>
      </c>
      <c r="AS230" s="35" t="str">
        <f t="shared" si="138"/>
        <v/>
      </c>
      <c r="AT230" s="3" t="str">
        <f t="shared" si="139"/>
        <v/>
      </c>
      <c r="AU230" s="3" t="str">
        <f t="shared" si="140"/>
        <v/>
      </c>
      <c r="AW230" s="32" t="str">
        <f t="shared" si="141"/>
        <v/>
      </c>
      <c r="AX230" s="32" t="str">
        <f t="shared" si="142"/>
        <v/>
      </c>
      <c r="AY230" s="32" t="str">
        <f t="shared" si="143"/>
        <v/>
      </c>
      <c r="BA230" s="32" t="str">
        <f>IF($A231="","",F230*Summary!$Q$13)</f>
        <v/>
      </c>
    </row>
    <row r="231" spans="1:53" ht="12" customHeight="1">
      <c r="A231" s="67" t="str">
        <f t="shared" si="144"/>
        <v/>
      </c>
      <c r="B231" s="69" t="str">
        <f t="shared" si="146"/>
        <v/>
      </c>
      <c r="C231" s="71"/>
      <c r="D231" s="69" t="str">
        <f t="shared" si="111"/>
        <v/>
      </c>
      <c r="E231" s="70" t="str">
        <f t="shared" si="112"/>
        <v/>
      </c>
      <c r="F231" s="70" t="str">
        <f t="shared" si="113"/>
        <v/>
      </c>
      <c r="G231" s="63" t="str">
        <f t="shared" si="114"/>
        <v/>
      </c>
      <c r="H231" s="64" t="str">
        <f t="shared" si="115"/>
        <v/>
      </c>
      <c r="I231" s="43"/>
      <c r="J231" s="63" t="str">
        <f t="shared" si="116"/>
        <v/>
      </c>
      <c r="K231" s="64" t="str">
        <f t="shared" si="117"/>
        <v/>
      </c>
      <c r="L231" s="38">
        <v>0</v>
      </c>
      <c r="M231" s="64" t="str">
        <f t="shared" si="118"/>
        <v/>
      </c>
      <c r="N231" s="65"/>
      <c r="O231" s="63" t="str">
        <f t="shared" si="119"/>
        <v/>
      </c>
      <c r="P231" s="63" t="str">
        <f t="shared" si="120"/>
        <v/>
      </c>
      <c r="Q231" s="66"/>
      <c r="R231" s="63" t="str">
        <f t="shared" si="121"/>
        <v/>
      </c>
      <c r="S231" s="64" t="str">
        <f t="shared" si="122"/>
        <v/>
      </c>
      <c r="T231" s="38">
        <v>0</v>
      </c>
      <c r="U231" s="64" t="str">
        <f t="shared" si="123"/>
        <v/>
      </c>
      <c r="V231" s="219"/>
      <c r="W231" s="43" t="str">
        <f t="shared" si="124"/>
        <v/>
      </c>
      <c r="X231" s="43" t="str">
        <f t="shared" si="125"/>
        <v/>
      </c>
      <c r="Y231" s="43"/>
      <c r="Z231" s="38" t="str">
        <f t="shared" si="126"/>
        <v/>
      </c>
      <c r="AA231" s="38" t="str">
        <f t="shared" si="127"/>
        <v/>
      </c>
      <c r="AB231" s="38" t="e">
        <f t="shared" si="128"/>
        <v>#VALUE!</v>
      </c>
      <c r="AC231" s="38" t="str">
        <f t="shared" si="129"/>
        <v/>
      </c>
      <c r="AD231" s="38" t="str">
        <f t="shared" si="129"/>
        <v/>
      </c>
      <c r="AE231" s="38" t="e">
        <f t="shared" si="130"/>
        <v>#VALUE!</v>
      </c>
      <c r="AF231" s="237" t="e">
        <f>((Summary!$N$13*(AA231*AD231)*(A231-$D$3))+(Summary!$M$13*Z231*AC231*(AJ231-EOMONTH(EDATE(A231,-1),0))))/(AK231*AB231*AE231)</f>
        <v>#VALUE!</v>
      </c>
      <c r="AG231" s="88" t="str">
        <f>IF($A232="","",Summary!$Q$13)</f>
        <v/>
      </c>
      <c r="AH231" s="88" t="str">
        <f>IF($A232="","",IF(Summary!$R$12="Y",(VLOOKUP($A231,Summary!$AD$6:$AF$9,3)+'Escalating commodity'!I244),'Escalating commodity'!I244))</f>
        <v/>
      </c>
      <c r="AI231" s="88" t="str">
        <f t="shared" si="145"/>
        <v/>
      </c>
      <c r="AJ231" s="236" t="e">
        <f t="shared" si="131"/>
        <v>#VALUE!</v>
      </c>
      <c r="AK231" s="58" t="str">
        <f t="shared" si="132"/>
        <v/>
      </c>
      <c r="AL231" s="26" t="str">
        <f>IF($A232="","",_xll.SPRDOPT(P231,X231,AI231,0,AB231,AE231,AF231,AK231,$AJ$2,0))</f>
        <v/>
      </c>
      <c r="AM231" s="209" t="str">
        <f t="shared" si="133"/>
        <v/>
      </c>
      <c r="AN231" s="89" t="str">
        <f t="shared" si="134"/>
        <v/>
      </c>
      <c r="AO231" s="3" t="str">
        <f t="shared" si="135"/>
        <v/>
      </c>
      <c r="AP231" s="33" t="str">
        <f t="shared" si="136"/>
        <v/>
      </c>
      <c r="AQ231" s="58" t="str">
        <f t="shared" si="137"/>
        <v/>
      </c>
      <c r="AR231" s="38">
        <f>'ANR OK vs ML7'!AR231</f>
        <v>0.1</v>
      </c>
      <c r="AS231" s="35" t="str">
        <f t="shared" si="138"/>
        <v/>
      </c>
      <c r="AT231" s="3" t="str">
        <f t="shared" si="139"/>
        <v/>
      </c>
      <c r="AU231" s="3" t="str">
        <f t="shared" si="140"/>
        <v/>
      </c>
      <c r="AW231" s="32" t="str">
        <f t="shared" si="141"/>
        <v/>
      </c>
      <c r="AX231" s="32" t="str">
        <f t="shared" si="142"/>
        <v/>
      </c>
      <c r="AY231" s="32" t="str">
        <f t="shared" si="143"/>
        <v/>
      </c>
      <c r="BA231" s="32" t="str">
        <f>IF($A232="","",F231*Summary!$Q$13)</f>
        <v/>
      </c>
    </row>
    <row r="232" spans="1:53" ht="12" customHeight="1">
      <c r="A232" s="67" t="str">
        <f t="shared" si="144"/>
        <v/>
      </c>
      <c r="B232" s="69" t="str">
        <f t="shared" si="146"/>
        <v/>
      </c>
      <c r="C232" s="71"/>
      <c r="D232" s="69" t="str">
        <f t="shared" si="111"/>
        <v/>
      </c>
      <c r="E232" s="70" t="str">
        <f t="shared" si="112"/>
        <v/>
      </c>
      <c r="F232" s="70" t="str">
        <f t="shared" si="113"/>
        <v/>
      </c>
      <c r="G232" s="63" t="str">
        <f t="shared" si="114"/>
        <v/>
      </c>
      <c r="H232" s="64" t="str">
        <f t="shared" si="115"/>
        <v/>
      </c>
      <c r="I232" s="43"/>
      <c r="J232" s="63" t="str">
        <f t="shared" si="116"/>
        <v/>
      </c>
      <c r="K232" s="64" t="str">
        <f t="shared" si="117"/>
        <v/>
      </c>
      <c r="L232" s="38">
        <v>0</v>
      </c>
      <c r="M232" s="64" t="str">
        <f t="shared" si="118"/>
        <v/>
      </c>
      <c r="N232" s="65"/>
      <c r="O232" s="63" t="str">
        <f t="shared" si="119"/>
        <v/>
      </c>
      <c r="P232" s="63" t="str">
        <f t="shared" si="120"/>
        <v/>
      </c>
      <c r="Q232" s="66"/>
      <c r="R232" s="63" t="str">
        <f t="shared" si="121"/>
        <v/>
      </c>
      <c r="S232" s="64" t="str">
        <f t="shared" si="122"/>
        <v/>
      </c>
      <c r="T232" s="38">
        <v>0</v>
      </c>
      <c r="U232" s="64" t="str">
        <f t="shared" si="123"/>
        <v/>
      </c>
      <c r="V232" s="219"/>
      <c r="W232" s="43" t="str">
        <f t="shared" si="124"/>
        <v/>
      </c>
      <c r="X232" s="43" t="str">
        <f t="shared" si="125"/>
        <v/>
      </c>
      <c r="Y232" s="43"/>
      <c r="Z232" s="38" t="str">
        <f t="shared" si="126"/>
        <v/>
      </c>
      <c r="AA232" s="38" t="str">
        <f t="shared" si="127"/>
        <v/>
      </c>
      <c r="AB232" s="38" t="e">
        <f t="shared" si="128"/>
        <v>#VALUE!</v>
      </c>
      <c r="AC232" s="38" t="str">
        <f t="shared" si="129"/>
        <v/>
      </c>
      <c r="AD232" s="38" t="str">
        <f t="shared" si="129"/>
        <v/>
      </c>
      <c r="AE232" s="38" t="e">
        <f t="shared" si="130"/>
        <v>#VALUE!</v>
      </c>
      <c r="AF232" s="237" t="e">
        <f>((Summary!$N$13*(AA232*AD232)*(A232-$D$3))+(Summary!$M$13*Z232*AC232*(AJ232-EOMONTH(EDATE(A232,-1),0))))/(AK232*AB232*AE232)</f>
        <v>#VALUE!</v>
      </c>
      <c r="AG232" s="88" t="str">
        <f>IF($A233="","",Summary!$Q$13)</f>
        <v/>
      </c>
      <c r="AH232" s="88" t="str">
        <f>IF($A233="","",IF(Summary!$R$12="Y",(VLOOKUP($A232,Summary!$AD$6:$AF$9,3)+'Escalating commodity'!I245),'Escalating commodity'!I245))</f>
        <v/>
      </c>
      <c r="AI232" s="88" t="str">
        <f t="shared" si="145"/>
        <v/>
      </c>
      <c r="AJ232" s="236" t="e">
        <f t="shared" si="131"/>
        <v>#VALUE!</v>
      </c>
      <c r="AK232" s="58" t="str">
        <f t="shared" si="132"/>
        <v/>
      </c>
      <c r="AL232" s="26" t="str">
        <f>IF($A233="","",_xll.SPRDOPT(P232,X232,AI232,0,AB232,AE232,AF232,AK232,$AJ$2,0))</f>
        <v/>
      </c>
      <c r="AM232" s="209" t="str">
        <f t="shared" si="133"/>
        <v/>
      </c>
      <c r="AN232" s="89" t="str">
        <f t="shared" si="134"/>
        <v/>
      </c>
      <c r="AO232" s="3" t="str">
        <f t="shared" si="135"/>
        <v/>
      </c>
      <c r="AP232" s="33" t="str">
        <f t="shared" si="136"/>
        <v/>
      </c>
      <c r="AQ232" s="58" t="str">
        <f t="shared" si="137"/>
        <v/>
      </c>
      <c r="AR232" s="38">
        <f>'ANR OK vs ML7'!AR232</f>
        <v>0.1</v>
      </c>
      <c r="AS232" s="35" t="str">
        <f t="shared" si="138"/>
        <v/>
      </c>
      <c r="AT232" s="3" t="str">
        <f t="shared" si="139"/>
        <v/>
      </c>
      <c r="AU232" s="3" t="str">
        <f t="shared" si="140"/>
        <v/>
      </c>
      <c r="AW232" s="32" t="str">
        <f t="shared" si="141"/>
        <v/>
      </c>
      <c r="AX232" s="32" t="str">
        <f t="shared" si="142"/>
        <v/>
      </c>
      <c r="AY232" s="32" t="str">
        <f t="shared" si="143"/>
        <v/>
      </c>
      <c r="BA232" s="32" t="str">
        <f>IF($A233="","",F232*Summary!$Q$13)</f>
        <v/>
      </c>
    </row>
    <row r="233" spans="1:53" ht="12" customHeight="1">
      <c r="A233" s="67" t="str">
        <f t="shared" si="144"/>
        <v/>
      </c>
      <c r="B233" s="69" t="str">
        <f t="shared" si="146"/>
        <v/>
      </c>
      <c r="C233" s="71"/>
      <c r="D233" s="69" t="str">
        <f t="shared" si="111"/>
        <v/>
      </c>
      <c r="E233" s="70" t="str">
        <f t="shared" si="112"/>
        <v/>
      </c>
      <c r="F233" s="70" t="str">
        <f t="shared" si="113"/>
        <v/>
      </c>
      <c r="G233" s="63" t="str">
        <f t="shared" si="114"/>
        <v/>
      </c>
      <c r="H233" s="64" t="str">
        <f t="shared" si="115"/>
        <v/>
      </c>
      <c r="I233" s="43"/>
      <c r="J233" s="63" t="str">
        <f t="shared" si="116"/>
        <v/>
      </c>
      <c r="K233" s="64" t="str">
        <f t="shared" si="117"/>
        <v/>
      </c>
      <c r="L233" s="38">
        <v>0</v>
      </c>
      <c r="M233" s="64" t="str">
        <f t="shared" si="118"/>
        <v/>
      </c>
      <c r="N233" s="65"/>
      <c r="O233" s="63" t="str">
        <f t="shared" si="119"/>
        <v/>
      </c>
      <c r="P233" s="63" t="str">
        <f t="shared" si="120"/>
        <v/>
      </c>
      <c r="Q233" s="66"/>
      <c r="R233" s="63" t="str">
        <f t="shared" si="121"/>
        <v/>
      </c>
      <c r="S233" s="64" t="str">
        <f t="shared" si="122"/>
        <v/>
      </c>
      <c r="T233" s="38">
        <v>0</v>
      </c>
      <c r="U233" s="64" t="str">
        <f t="shared" si="123"/>
        <v/>
      </c>
      <c r="V233" s="219"/>
      <c r="W233" s="43" t="str">
        <f t="shared" si="124"/>
        <v/>
      </c>
      <c r="X233" s="43" t="str">
        <f t="shared" si="125"/>
        <v/>
      </c>
      <c r="Y233" s="43"/>
      <c r="Z233" s="38" t="str">
        <f t="shared" si="126"/>
        <v/>
      </c>
      <c r="AA233" s="38" t="str">
        <f t="shared" si="127"/>
        <v/>
      </c>
      <c r="AB233" s="38" t="e">
        <f t="shared" si="128"/>
        <v>#VALUE!</v>
      </c>
      <c r="AC233" s="38" t="str">
        <f t="shared" si="129"/>
        <v/>
      </c>
      <c r="AD233" s="38" t="str">
        <f t="shared" si="129"/>
        <v/>
      </c>
      <c r="AE233" s="38" t="e">
        <f t="shared" si="130"/>
        <v>#VALUE!</v>
      </c>
      <c r="AF233" s="237" t="e">
        <f>((Summary!$N$13*(AA233*AD233)*(A233-$D$3))+(Summary!$M$13*Z233*AC233*(AJ233-EOMONTH(EDATE(A233,-1),0))))/(AK233*AB233*AE233)</f>
        <v>#VALUE!</v>
      </c>
      <c r="AG233" s="88" t="str">
        <f>IF($A234="","",Summary!$Q$13)</f>
        <v/>
      </c>
      <c r="AH233" s="88" t="str">
        <f>IF($A234="","",IF(Summary!$R$12="Y",(VLOOKUP($A233,Summary!$AD$6:$AF$9,3)+'Escalating commodity'!I246),'Escalating commodity'!I246))</f>
        <v/>
      </c>
      <c r="AI233" s="88" t="str">
        <f t="shared" si="145"/>
        <v/>
      </c>
      <c r="AJ233" s="236" t="e">
        <f t="shared" si="131"/>
        <v>#VALUE!</v>
      </c>
      <c r="AK233" s="58" t="str">
        <f t="shared" si="132"/>
        <v/>
      </c>
      <c r="AL233" s="26" t="str">
        <f>IF($A234="","",_xll.SPRDOPT(P233,X233,AI233,0,AB233,AE233,AF233,AK233,$AJ$2,0))</f>
        <v/>
      </c>
      <c r="AM233" s="209" t="str">
        <f t="shared" si="133"/>
        <v/>
      </c>
      <c r="AN233" s="89" t="str">
        <f t="shared" si="134"/>
        <v/>
      </c>
      <c r="AO233" s="3" t="str">
        <f t="shared" si="135"/>
        <v/>
      </c>
      <c r="AP233" s="33" t="str">
        <f t="shared" si="136"/>
        <v/>
      </c>
      <c r="AQ233" s="58" t="str">
        <f t="shared" si="137"/>
        <v/>
      </c>
      <c r="AR233" s="38">
        <f>'ANR OK vs ML7'!AR233</f>
        <v>0.1</v>
      </c>
      <c r="AS233" s="35" t="str">
        <f t="shared" si="138"/>
        <v/>
      </c>
      <c r="AT233" s="3" t="str">
        <f t="shared" si="139"/>
        <v/>
      </c>
      <c r="AU233" s="3" t="str">
        <f t="shared" si="140"/>
        <v/>
      </c>
      <c r="AW233" s="32" t="str">
        <f t="shared" si="141"/>
        <v/>
      </c>
      <c r="AX233" s="32" t="str">
        <f t="shared" si="142"/>
        <v/>
      </c>
      <c r="AY233" s="32" t="str">
        <f t="shared" si="143"/>
        <v/>
      </c>
      <c r="BA233" s="32" t="str">
        <f>IF($A234="","",F233*Summary!$Q$13)</f>
        <v/>
      </c>
    </row>
    <row r="234" spans="1:53" ht="12" customHeight="1">
      <c r="A234" s="67" t="str">
        <f t="shared" si="144"/>
        <v/>
      </c>
      <c r="B234" s="69" t="str">
        <f t="shared" si="146"/>
        <v/>
      </c>
      <c r="C234" s="71"/>
      <c r="D234" s="69" t="str">
        <f t="shared" si="111"/>
        <v/>
      </c>
      <c r="E234" s="70" t="str">
        <f t="shared" si="112"/>
        <v/>
      </c>
      <c r="F234" s="70" t="str">
        <f t="shared" si="113"/>
        <v/>
      </c>
      <c r="G234" s="63" t="str">
        <f t="shared" si="114"/>
        <v/>
      </c>
      <c r="H234" s="64" t="str">
        <f t="shared" si="115"/>
        <v/>
      </c>
      <c r="I234" s="43"/>
      <c r="J234" s="63" t="str">
        <f t="shared" si="116"/>
        <v/>
      </c>
      <c r="K234" s="64" t="str">
        <f t="shared" si="117"/>
        <v/>
      </c>
      <c r="L234" s="38">
        <v>0</v>
      </c>
      <c r="M234" s="64" t="str">
        <f t="shared" si="118"/>
        <v/>
      </c>
      <c r="N234" s="65"/>
      <c r="O234" s="63" t="str">
        <f t="shared" si="119"/>
        <v/>
      </c>
      <c r="P234" s="63" t="str">
        <f t="shared" si="120"/>
        <v/>
      </c>
      <c r="Q234" s="66"/>
      <c r="R234" s="63" t="str">
        <f t="shared" si="121"/>
        <v/>
      </c>
      <c r="S234" s="64" t="str">
        <f t="shared" si="122"/>
        <v/>
      </c>
      <c r="T234" s="38">
        <v>0</v>
      </c>
      <c r="U234" s="64" t="str">
        <f t="shared" si="123"/>
        <v/>
      </c>
      <c r="V234" s="219"/>
      <c r="W234" s="43" t="str">
        <f t="shared" si="124"/>
        <v/>
      </c>
      <c r="X234" s="43" t="str">
        <f t="shared" si="125"/>
        <v/>
      </c>
      <c r="Y234" s="43"/>
      <c r="Z234" s="38" t="str">
        <f t="shared" si="126"/>
        <v/>
      </c>
      <c r="AA234" s="38" t="str">
        <f t="shared" si="127"/>
        <v/>
      </c>
      <c r="AB234" s="38" t="e">
        <f t="shared" si="128"/>
        <v>#VALUE!</v>
      </c>
      <c r="AC234" s="38" t="str">
        <f t="shared" si="129"/>
        <v/>
      </c>
      <c r="AD234" s="38" t="str">
        <f t="shared" si="129"/>
        <v/>
      </c>
      <c r="AE234" s="38" t="e">
        <f t="shared" si="130"/>
        <v>#VALUE!</v>
      </c>
      <c r="AF234" s="237" t="e">
        <f>((Summary!$N$13*(AA234*AD234)*(A234-$D$3))+(Summary!$M$13*Z234*AC234*(AJ234-EOMONTH(EDATE(A234,-1),0))))/(AK234*AB234*AE234)</f>
        <v>#VALUE!</v>
      </c>
      <c r="AG234" s="88" t="str">
        <f>IF($A235="","",Summary!$Q$13)</f>
        <v/>
      </c>
      <c r="AH234" s="88" t="str">
        <f>IF($A235="","",IF(Summary!$R$12="Y",(VLOOKUP($A234,Summary!$AD$6:$AF$9,3)+'Escalating commodity'!I247),'Escalating commodity'!I247))</f>
        <v/>
      </c>
      <c r="AI234" s="88" t="str">
        <f t="shared" si="145"/>
        <v/>
      </c>
      <c r="AJ234" s="236" t="e">
        <f t="shared" si="131"/>
        <v>#VALUE!</v>
      </c>
      <c r="AK234" s="58" t="str">
        <f t="shared" si="132"/>
        <v/>
      </c>
      <c r="AL234" s="26" t="str">
        <f>IF($A235="","",_xll.SPRDOPT(P234,X234,AI234,0,AB234,AE234,AF234,AK234,$AJ$2,0))</f>
        <v/>
      </c>
      <c r="AM234" s="209" t="str">
        <f t="shared" si="133"/>
        <v/>
      </c>
      <c r="AN234" s="89" t="str">
        <f t="shared" si="134"/>
        <v/>
      </c>
      <c r="AO234" s="3" t="str">
        <f t="shared" si="135"/>
        <v/>
      </c>
      <c r="AP234" s="33" t="str">
        <f t="shared" si="136"/>
        <v/>
      </c>
      <c r="AQ234" s="58" t="str">
        <f t="shared" si="137"/>
        <v/>
      </c>
      <c r="AR234" s="38">
        <f>'ANR OK vs ML7'!AR234</f>
        <v>0.1</v>
      </c>
      <c r="AS234" s="35" t="str">
        <f t="shared" si="138"/>
        <v/>
      </c>
      <c r="AT234" s="3" t="str">
        <f t="shared" si="139"/>
        <v/>
      </c>
      <c r="AU234" s="3" t="str">
        <f t="shared" si="140"/>
        <v/>
      </c>
      <c r="AW234" s="32" t="str">
        <f t="shared" si="141"/>
        <v/>
      </c>
      <c r="AX234" s="32" t="str">
        <f t="shared" si="142"/>
        <v/>
      </c>
      <c r="AY234" s="32" t="str">
        <f t="shared" si="143"/>
        <v/>
      </c>
      <c r="BA234" s="32" t="str">
        <f>IF($A235="","",F234*Summary!$Q$13)</f>
        <v/>
      </c>
    </row>
    <row r="235" spans="1:53" ht="12" customHeight="1">
      <c r="A235" s="67" t="str">
        <f t="shared" si="144"/>
        <v/>
      </c>
      <c r="B235" s="69" t="str">
        <f t="shared" si="146"/>
        <v/>
      </c>
      <c r="C235" s="71"/>
      <c r="D235" s="69" t="str">
        <f t="shared" si="111"/>
        <v/>
      </c>
      <c r="E235" s="70" t="str">
        <f t="shared" si="112"/>
        <v/>
      </c>
      <c r="F235" s="70" t="str">
        <f t="shared" si="113"/>
        <v/>
      </c>
      <c r="G235" s="63" t="str">
        <f t="shared" si="114"/>
        <v/>
      </c>
      <c r="H235" s="64" t="str">
        <f t="shared" si="115"/>
        <v/>
      </c>
      <c r="I235" s="43"/>
      <c r="J235" s="63" t="str">
        <f t="shared" si="116"/>
        <v/>
      </c>
      <c r="K235" s="64" t="str">
        <f t="shared" si="117"/>
        <v/>
      </c>
      <c r="L235" s="38">
        <v>0</v>
      </c>
      <c r="M235" s="64" t="str">
        <f t="shared" si="118"/>
        <v/>
      </c>
      <c r="N235" s="65"/>
      <c r="O235" s="63" t="str">
        <f t="shared" si="119"/>
        <v/>
      </c>
      <c r="P235" s="63" t="str">
        <f t="shared" si="120"/>
        <v/>
      </c>
      <c r="Q235" s="66"/>
      <c r="R235" s="63" t="str">
        <f t="shared" si="121"/>
        <v/>
      </c>
      <c r="S235" s="64" t="str">
        <f t="shared" si="122"/>
        <v/>
      </c>
      <c r="T235" s="38">
        <v>0</v>
      </c>
      <c r="U235" s="64" t="str">
        <f t="shared" si="123"/>
        <v/>
      </c>
      <c r="V235" s="219"/>
      <c r="W235" s="43" t="str">
        <f t="shared" si="124"/>
        <v/>
      </c>
      <c r="X235" s="43" t="str">
        <f t="shared" si="125"/>
        <v/>
      </c>
      <c r="Y235" s="43"/>
      <c r="Z235" s="38" t="str">
        <f t="shared" si="126"/>
        <v/>
      </c>
      <c r="AA235" s="38" t="str">
        <f t="shared" si="127"/>
        <v/>
      </c>
      <c r="AB235" s="38" t="e">
        <f t="shared" si="128"/>
        <v>#VALUE!</v>
      </c>
      <c r="AC235" s="38" t="str">
        <f t="shared" si="129"/>
        <v/>
      </c>
      <c r="AD235" s="38" t="str">
        <f t="shared" si="129"/>
        <v/>
      </c>
      <c r="AE235" s="38" t="e">
        <f t="shared" si="130"/>
        <v>#VALUE!</v>
      </c>
      <c r="AF235" s="237" t="e">
        <f>((Summary!$N$13*(AA235*AD235)*(A235-$D$3))+(Summary!$M$13*Z235*AC235*(AJ235-EOMONTH(EDATE(A235,-1),0))))/(AK235*AB235*AE235)</f>
        <v>#VALUE!</v>
      </c>
      <c r="AG235" s="88" t="str">
        <f>IF($A236="","",Summary!$Q$13)</f>
        <v/>
      </c>
      <c r="AH235" s="88" t="str">
        <f>IF($A236="","",IF(Summary!$R$12="Y",(VLOOKUP($A235,Summary!$AD$6:$AF$9,3)+'Escalating commodity'!I248),'Escalating commodity'!I248))</f>
        <v/>
      </c>
      <c r="AI235" s="88" t="str">
        <f t="shared" si="145"/>
        <v/>
      </c>
      <c r="AJ235" s="236" t="e">
        <f t="shared" si="131"/>
        <v>#VALUE!</v>
      </c>
      <c r="AK235" s="58" t="str">
        <f t="shared" si="132"/>
        <v/>
      </c>
      <c r="AL235" s="26" t="str">
        <f>IF($A236="","",_xll.SPRDOPT(P235,X235,AI235,0,AB235,AE235,AF235,AK235,$AJ$2,0))</f>
        <v/>
      </c>
      <c r="AM235" s="209" t="str">
        <f t="shared" si="133"/>
        <v/>
      </c>
      <c r="AN235" s="89" t="str">
        <f t="shared" si="134"/>
        <v/>
      </c>
      <c r="AO235" s="3" t="str">
        <f t="shared" si="135"/>
        <v/>
      </c>
      <c r="AP235" s="33" t="str">
        <f t="shared" si="136"/>
        <v/>
      </c>
      <c r="AQ235" s="58" t="str">
        <f t="shared" si="137"/>
        <v/>
      </c>
      <c r="AR235" s="38">
        <f>'ANR OK vs ML7'!AR235</f>
        <v>0.1</v>
      </c>
      <c r="AS235" s="35" t="str">
        <f t="shared" si="138"/>
        <v/>
      </c>
      <c r="AT235" s="3" t="str">
        <f t="shared" si="139"/>
        <v/>
      </c>
      <c r="AU235" s="3" t="str">
        <f t="shared" si="140"/>
        <v/>
      </c>
      <c r="AW235" s="32" t="str">
        <f t="shared" si="141"/>
        <v/>
      </c>
      <c r="AX235" s="32" t="str">
        <f t="shared" si="142"/>
        <v/>
      </c>
      <c r="AY235" s="32" t="str">
        <f t="shared" si="143"/>
        <v/>
      </c>
      <c r="BA235" s="32" t="str">
        <f>IF($A236="","",F235*Summary!$Q$13)</f>
        <v/>
      </c>
    </row>
    <row r="236" spans="1:53" ht="12" customHeight="1">
      <c r="A236" s="67" t="str">
        <f t="shared" si="144"/>
        <v/>
      </c>
      <c r="B236" s="69" t="str">
        <f t="shared" si="146"/>
        <v/>
      </c>
      <c r="C236" s="71"/>
      <c r="D236" s="69" t="str">
        <f t="shared" si="111"/>
        <v/>
      </c>
      <c r="E236" s="70" t="str">
        <f t="shared" si="112"/>
        <v/>
      </c>
      <c r="F236" s="70" t="str">
        <f t="shared" si="113"/>
        <v/>
      </c>
      <c r="G236" s="63" t="str">
        <f t="shared" si="114"/>
        <v/>
      </c>
      <c r="H236" s="64" t="str">
        <f t="shared" si="115"/>
        <v/>
      </c>
      <c r="I236" s="43"/>
      <c r="J236" s="63" t="str">
        <f t="shared" si="116"/>
        <v/>
      </c>
      <c r="K236" s="64" t="str">
        <f t="shared" si="117"/>
        <v/>
      </c>
      <c r="L236" s="38">
        <v>0</v>
      </c>
      <c r="M236" s="64" t="str">
        <f t="shared" si="118"/>
        <v/>
      </c>
      <c r="N236" s="65"/>
      <c r="O236" s="63" t="str">
        <f t="shared" si="119"/>
        <v/>
      </c>
      <c r="P236" s="63" t="str">
        <f t="shared" si="120"/>
        <v/>
      </c>
      <c r="Q236" s="66"/>
      <c r="R236" s="63" t="str">
        <f t="shared" si="121"/>
        <v/>
      </c>
      <c r="S236" s="64" t="str">
        <f t="shared" si="122"/>
        <v/>
      </c>
      <c r="T236" s="38">
        <v>0</v>
      </c>
      <c r="U236" s="64" t="str">
        <f t="shared" si="123"/>
        <v/>
      </c>
      <c r="V236" s="219"/>
      <c r="W236" s="43" t="str">
        <f t="shared" si="124"/>
        <v/>
      </c>
      <c r="X236" s="43" t="str">
        <f t="shared" si="125"/>
        <v/>
      </c>
      <c r="Y236" s="43"/>
      <c r="Z236" s="38" t="str">
        <f t="shared" si="126"/>
        <v/>
      </c>
      <c r="AA236" s="38" t="str">
        <f t="shared" si="127"/>
        <v/>
      </c>
      <c r="AB236" s="38" t="e">
        <f t="shared" si="128"/>
        <v>#VALUE!</v>
      </c>
      <c r="AC236" s="38" t="str">
        <f t="shared" si="129"/>
        <v/>
      </c>
      <c r="AD236" s="38" t="str">
        <f t="shared" si="129"/>
        <v/>
      </c>
      <c r="AE236" s="38" t="e">
        <f t="shared" si="130"/>
        <v>#VALUE!</v>
      </c>
      <c r="AF236" s="237" t="e">
        <f>((Summary!$N$13*(AA236*AD236)*(A236-$D$3))+(Summary!$M$13*Z236*AC236*(AJ236-EOMONTH(EDATE(A236,-1),0))))/(AK236*AB236*AE236)</f>
        <v>#VALUE!</v>
      </c>
      <c r="AG236" s="88" t="str">
        <f>IF($A237="","",Summary!$Q$13)</f>
        <v/>
      </c>
      <c r="AH236" s="88" t="str">
        <f>IF($A237="","",IF(Summary!$R$12="Y",(VLOOKUP($A236,Summary!$AD$6:$AF$9,3)+'Escalating commodity'!I249),'Escalating commodity'!I249))</f>
        <v/>
      </c>
      <c r="AI236" s="88" t="str">
        <f t="shared" si="145"/>
        <v/>
      </c>
      <c r="AJ236" s="236" t="e">
        <f t="shared" si="131"/>
        <v>#VALUE!</v>
      </c>
      <c r="AK236" s="58" t="str">
        <f t="shared" si="132"/>
        <v/>
      </c>
      <c r="AL236" s="26" t="str">
        <f>IF($A237="","",_xll.SPRDOPT(P236,X236,AI236,0,AB236,AE236,AF236,AK236,$AJ$2,0))</f>
        <v/>
      </c>
      <c r="AM236" s="209" t="str">
        <f t="shared" si="133"/>
        <v/>
      </c>
      <c r="AN236" s="89" t="str">
        <f t="shared" si="134"/>
        <v/>
      </c>
      <c r="AO236" s="3" t="str">
        <f t="shared" si="135"/>
        <v/>
      </c>
      <c r="AP236" s="33" t="str">
        <f t="shared" si="136"/>
        <v/>
      </c>
      <c r="AQ236" s="58" t="str">
        <f t="shared" si="137"/>
        <v/>
      </c>
      <c r="AR236" s="38">
        <f>'ANR OK vs ML7'!AR236</f>
        <v>0.1</v>
      </c>
      <c r="AS236" s="35" t="str">
        <f t="shared" si="138"/>
        <v/>
      </c>
      <c r="AT236" s="3" t="str">
        <f t="shared" si="139"/>
        <v/>
      </c>
      <c r="AU236" s="3" t="str">
        <f t="shared" si="140"/>
        <v/>
      </c>
      <c r="AW236" s="32" t="str">
        <f t="shared" si="141"/>
        <v/>
      </c>
      <c r="AX236" s="32" t="str">
        <f t="shared" si="142"/>
        <v/>
      </c>
      <c r="AY236" s="32" t="str">
        <f t="shared" si="143"/>
        <v/>
      </c>
      <c r="BA236" s="32" t="str">
        <f>IF($A237="","",F236*Summary!$Q$13)</f>
        <v/>
      </c>
    </row>
    <row r="237" spans="1:53" ht="12" customHeight="1">
      <c r="A237" s="67" t="str">
        <f t="shared" si="144"/>
        <v/>
      </c>
      <c r="B237" s="69" t="str">
        <f t="shared" si="146"/>
        <v/>
      </c>
      <c r="C237" s="71"/>
      <c r="D237" s="69" t="str">
        <f t="shared" si="111"/>
        <v/>
      </c>
      <c r="E237" s="70" t="str">
        <f t="shared" si="112"/>
        <v/>
      </c>
      <c r="F237" s="70" t="str">
        <f t="shared" si="113"/>
        <v/>
      </c>
      <c r="G237" s="63" t="str">
        <f t="shared" si="114"/>
        <v/>
      </c>
      <c r="H237" s="64" t="str">
        <f t="shared" si="115"/>
        <v/>
      </c>
      <c r="I237" s="43"/>
      <c r="J237" s="63" t="str">
        <f t="shared" si="116"/>
        <v/>
      </c>
      <c r="K237" s="64" t="str">
        <f t="shared" si="117"/>
        <v/>
      </c>
      <c r="L237" s="38">
        <v>0</v>
      </c>
      <c r="M237" s="64" t="str">
        <f t="shared" si="118"/>
        <v/>
      </c>
      <c r="N237" s="65"/>
      <c r="O237" s="63" t="str">
        <f t="shared" si="119"/>
        <v/>
      </c>
      <c r="P237" s="63" t="str">
        <f t="shared" si="120"/>
        <v/>
      </c>
      <c r="Q237" s="66"/>
      <c r="R237" s="63" t="str">
        <f t="shared" si="121"/>
        <v/>
      </c>
      <c r="S237" s="64" t="str">
        <f t="shared" si="122"/>
        <v/>
      </c>
      <c r="T237" s="38">
        <v>0</v>
      </c>
      <c r="U237" s="64" t="str">
        <f t="shared" si="123"/>
        <v/>
      </c>
      <c r="V237" s="219"/>
      <c r="W237" s="43" t="str">
        <f t="shared" si="124"/>
        <v/>
      </c>
      <c r="X237" s="43" t="str">
        <f t="shared" si="125"/>
        <v/>
      </c>
      <c r="Y237" s="43"/>
      <c r="Z237" s="38" t="str">
        <f t="shared" si="126"/>
        <v/>
      </c>
      <c r="AA237" s="38" t="str">
        <f t="shared" si="127"/>
        <v/>
      </c>
      <c r="AB237" s="38" t="e">
        <f t="shared" si="128"/>
        <v>#VALUE!</v>
      </c>
      <c r="AC237" s="38" t="str">
        <f t="shared" si="129"/>
        <v/>
      </c>
      <c r="AD237" s="38" t="str">
        <f t="shared" si="129"/>
        <v/>
      </c>
      <c r="AE237" s="38" t="e">
        <f t="shared" si="130"/>
        <v>#VALUE!</v>
      </c>
      <c r="AF237" s="237" t="e">
        <f>((Summary!$N$13*(AA237*AD237)*(A237-$D$3))+(Summary!$M$13*Z237*AC237*(AJ237-EOMONTH(EDATE(A237,-1),0))))/(AK237*AB237*AE237)</f>
        <v>#VALUE!</v>
      </c>
      <c r="AG237" s="88" t="str">
        <f>IF($A238="","",Summary!$Q$13)</f>
        <v/>
      </c>
      <c r="AH237" s="88" t="str">
        <f>IF($A238="","",IF(Summary!$R$12="Y",(VLOOKUP($A237,Summary!$AD$6:$AF$9,3)+'Escalating commodity'!I250),'Escalating commodity'!I250))</f>
        <v/>
      </c>
      <c r="AI237" s="88" t="str">
        <f t="shared" si="145"/>
        <v/>
      </c>
      <c r="AJ237" s="236" t="e">
        <f t="shared" si="131"/>
        <v>#VALUE!</v>
      </c>
      <c r="AK237" s="58" t="str">
        <f t="shared" si="132"/>
        <v/>
      </c>
      <c r="AL237" s="26" t="str">
        <f>IF($A238="","",_xll.SPRDOPT(P237,X237,AI237,0,AB237,AE237,AF237,AK237,$AJ$2,0))</f>
        <v/>
      </c>
      <c r="AM237" s="209" t="str">
        <f t="shared" si="133"/>
        <v/>
      </c>
      <c r="AN237" s="89" t="str">
        <f t="shared" si="134"/>
        <v/>
      </c>
      <c r="AO237" s="3" t="str">
        <f t="shared" si="135"/>
        <v/>
      </c>
      <c r="AP237" s="33" t="str">
        <f t="shared" si="136"/>
        <v/>
      </c>
      <c r="AQ237" s="58" t="str">
        <f t="shared" si="137"/>
        <v/>
      </c>
      <c r="AR237" s="38">
        <f>'ANR OK vs ML7'!AR237</f>
        <v>0.1</v>
      </c>
      <c r="AS237" s="35" t="str">
        <f t="shared" si="138"/>
        <v/>
      </c>
      <c r="AT237" s="3" t="str">
        <f t="shared" si="139"/>
        <v/>
      </c>
      <c r="AU237" s="3" t="str">
        <f t="shared" si="140"/>
        <v/>
      </c>
      <c r="AW237" s="32" t="str">
        <f t="shared" si="141"/>
        <v/>
      </c>
      <c r="AX237" s="32" t="str">
        <f t="shared" si="142"/>
        <v/>
      </c>
      <c r="AY237" s="32" t="str">
        <f t="shared" si="143"/>
        <v/>
      </c>
      <c r="BA237" s="32" t="str">
        <f>IF($A238="","",F237*Summary!$Q$13)</f>
        <v/>
      </c>
    </row>
    <row r="238" spans="1:53" ht="12" customHeight="1">
      <c r="A238" s="67" t="str">
        <f t="shared" si="144"/>
        <v/>
      </c>
      <c r="B238" s="69" t="str">
        <f t="shared" si="146"/>
        <v/>
      </c>
      <c r="C238" s="71"/>
      <c r="D238" s="69" t="str">
        <f t="shared" si="111"/>
        <v/>
      </c>
      <c r="E238" s="70" t="str">
        <f t="shared" si="112"/>
        <v/>
      </c>
      <c r="F238" s="70" t="str">
        <f t="shared" si="113"/>
        <v/>
      </c>
      <c r="G238" s="63" t="str">
        <f t="shared" si="114"/>
        <v/>
      </c>
      <c r="H238" s="64" t="str">
        <f t="shared" si="115"/>
        <v/>
      </c>
      <c r="I238" s="43"/>
      <c r="J238" s="63" t="str">
        <f t="shared" si="116"/>
        <v/>
      </c>
      <c r="K238" s="64" t="str">
        <f t="shared" si="117"/>
        <v/>
      </c>
      <c r="L238" s="38">
        <v>0</v>
      </c>
      <c r="M238" s="64" t="str">
        <f t="shared" si="118"/>
        <v/>
      </c>
      <c r="N238" s="65"/>
      <c r="O238" s="63" t="str">
        <f t="shared" si="119"/>
        <v/>
      </c>
      <c r="P238" s="63" t="str">
        <f t="shared" si="120"/>
        <v/>
      </c>
      <c r="Q238" s="66"/>
      <c r="R238" s="63" t="str">
        <f t="shared" si="121"/>
        <v/>
      </c>
      <c r="S238" s="64" t="str">
        <f t="shared" si="122"/>
        <v/>
      </c>
      <c r="T238" s="38">
        <v>0</v>
      </c>
      <c r="U238" s="64" t="str">
        <f t="shared" si="123"/>
        <v/>
      </c>
      <c r="V238" s="219"/>
      <c r="W238" s="43" t="str">
        <f t="shared" si="124"/>
        <v/>
      </c>
      <c r="X238" s="43" t="str">
        <f t="shared" si="125"/>
        <v/>
      </c>
      <c r="Y238" s="43"/>
      <c r="Z238" s="38" t="str">
        <f t="shared" si="126"/>
        <v/>
      </c>
      <c r="AA238" s="38" t="str">
        <f t="shared" si="127"/>
        <v/>
      </c>
      <c r="AB238" s="38" t="e">
        <f t="shared" si="128"/>
        <v>#VALUE!</v>
      </c>
      <c r="AC238" s="38" t="str">
        <f t="shared" si="129"/>
        <v/>
      </c>
      <c r="AD238" s="38" t="str">
        <f t="shared" si="129"/>
        <v/>
      </c>
      <c r="AE238" s="38" t="e">
        <f t="shared" si="130"/>
        <v>#VALUE!</v>
      </c>
      <c r="AF238" s="237" t="e">
        <f>((Summary!$N$13*(AA238*AD238)*(A238-$D$3))+(Summary!$M$13*Z238*AC238*(AJ238-EOMONTH(EDATE(A238,-1),0))))/(AK238*AB238*AE238)</f>
        <v>#VALUE!</v>
      </c>
      <c r="AG238" s="88" t="str">
        <f>IF($A239="","",Summary!$Q$13)</f>
        <v/>
      </c>
      <c r="AH238" s="88" t="str">
        <f>IF($A239="","",IF(Summary!$R$12="Y",(VLOOKUP($A238,Summary!$AD$6:$AF$9,3)+'Escalating commodity'!I251),'Escalating commodity'!I251))</f>
        <v/>
      </c>
      <c r="AI238" s="88" t="str">
        <f t="shared" si="145"/>
        <v/>
      </c>
      <c r="AJ238" s="236" t="e">
        <f t="shared" si="131"/>
        <v>#VALUE!</v>
      </c>
      <c r="AK238" s="58" t="str">
        <f t="shared" si="132"/>
        <v/>
      </c>
      <c r="AL238" s="26" t="str">
        <f>IF($A239="","",_xll.SPRDOPT(P238,X238,AI238,0,AB238,AE238,AF238,AK238,$AJ$2,0))</f>
        <v/>
      </c>
      <c r="AM238" s="209" t="str">
        <f t="shared" si="133"/>
        <v/>
      </c>
      <c r="AN238" s="89" t="str">
        <f t="shared" si="134"/>
        <v/>
      </c>
      <c r="AO238" s="3" t="str">
        <f t="shared" si="135"/>
        <v/>
      </c>
      <c r="AP238" s="33" t="str">
        <f t="shared" si="136"/>
        <v/>
      </c>
      <c r="AQ238" s="58" t="str">
        <f t="shared" si="137"/>
        <v/>
      </c>
      <c r="AR238" s="38">
        <f>'ANR OK vs ML7'!AR238</f>
        <v>0.1</v>
      </c>
      <c r="AS238" s="35" t="str">
        <f t="shared" si="138"/>
        <v/>
      </c>
      <c r="AT238" s="3" t="str">
        <f t="shared" si="139"/>
        <v/>
      </c>
      <c r="AU238" s="3" t="str">
        <f t="shared" si="140"/>
        <v/>
      </c>
      <c r="AW238" s="32" t="str">
        <f t="shared" si="141"/>
        <v/>
      </c>
      <c r="AX238" s="32" t="str">
        <f t="shared" si="142"/>
        <v/>
      </c>
      <c r="AY238" s="32" t="str">
        <f t="shared" si="143"/>
        <v/>
      </c>
      <c r="BA238" s="32" t="str">
        <f>IF($A239="","",F238*Summary!$Q$13)</f>
        <v/>
      </c>
    </row>
    <row r="239" spans="1:53" ht="12" customHeight="1">
      <c r="A239" s="67" t="str">
        <f t="shared" si="144"/>
        <v/>
      </c>
      <c r="B239" s="69" t="str">
        <f t="shared" si="146"/>
        <v/>
      </c>
      <c r="C239" s="71"/>
      <c r="D239" s="69" t="str">
        <f t="shared" si="111"/>
        <v/>
      </c>
      <c r="E239" s="70" t="str">
        <f t="shared" si="112"/>
        <v/>
      </c>
      <c r="F239" s="70" t="str">
        <f t="shared" si="113"/>
        <v/>
      </c>
      <c r="G239" s="63" t="str">
        <f t="shared" si="114"/>
        <v/>
      </c>
      <c r="H239" s="64" t="str">
        <f t="shared" si="115"/>
        <v/>
      </c>
      <c r="I239" s="43"/>
      <c r="J239" s="63" t="str">
        <f t="shared" si="116"/>
        <v/>
      </c>
      <c r="K239" s="64" t="str">
        <f t="shared" si="117"/>
        <v/>
      </c>
      <c r="L239" s="38">
        <v>0</v>
      </c>
      <c r="M239" s="64" t="str">
        <f t="shared" si="118"/>
        <v/>
      </c>
      <c r="N239" s="65"/>
      <c r="O239" s="63" t="str">
        <f t="shared" si="119"/>
        <v/>
      </c>
      <c r="P239" s="63" t="str">
        <f t="shared" si="120"/>
        <v/>
      </c>
      <c r="Q239" s="66"/>
      <c r="R239" s="63" t="str">
        <f t="shared" si="121"/>
        <v/>
      </c>
      <c r="S239" s="64" t="str">
        <f t="shared" si="122"/>
        <v/>
      </c>
      <c r="T239" s="38">
        <v>0</v>
      </c>
      <c r="U239" s="64" t="str">
        <f t="shared" si="123"/>
        <v/>
      </c>
      <c r="V239" s="219"/>
      <c r="W239" s="43" t="str">
        <f t="shared" si="124"/>
        <v/>
      </c>
      <c r="X239" s="43" t="str">
        <f t="shared" si="125"/>
        <v/>
      </c>
      <c r="Y239" s="43"/>
      <c r="Z239" s="38" t="str">
        <f t="shared" si="126"/>
        <v/>
      </c>
      <c r="AA239" s="38" t="str">
        <f t="shared" si="127"/>
        <v/>
      </c>
      <c r="AB239" s="38" t="e">
        <f t="shared" si="128"/>
        <v>#VALUE!</v>
      </c>
      <c r="AC239" s="38" t="str">
        <f t="shared" si="129"/>
        <v/>
      </c>
      <c r="AD239" s="38" t="str">
        <f t="shared" si="129"/>
        <v/>
      </c>
      <c r="AE239" s="38" t="e">
        <f t="shared" si="130"/>
        <v>#VALUE!</v>
      </c>
      <c r="AF239" s="237" t="e">
        <f>((Summary!$N$13*(AA239*AD239)*(A239-$D$3))+(Summary!$M$13*Z239*AC239*(AJ239-EOMONTH(EDATE(A239,-1),0))))/(AK239*AB239*AE239)</f>
        <v>#VALUE!</v>
      </c>
      <c r="AG239" s="88" t="str">
        <f>IF($A240="","",Summary!$Q$13)</f>
        <v/>
      </c>
      <c r="AH239" s="88" t="str">
        <f>IF($A240="","",IF(Summary!$R$12="Y",(VLOOKUP($A239,Summary!$AD$6:$AF$9,3)+'Escalating commodity'!I252),'Escalating commodity'!I252))</f>
        <v/>
      </c>
      <c r="AI239" s="88" t="str">
        <f t="shared" si="145"/>
        <v/>
      </c>
      <c r="AJ239" s="236" t="e">
        <f t="shared" si="131"/>
        <v>#VALUE!</v>
      </c>
      <c r="AK239" s="58" t="str">
        <f t="shared" si="132"/>
        <v/>
      </c>
      <c r="AL239" s="26" t="str">
        <f>IF($A240="","",_xll.SPRDOPT(P239,X239,AI239,0,AB239,AE239,AF239,AK239,$AJ$2,0))</f>
        <v/>
      </c>
      <c r="AM239" s="209" t="str">
        <f t="shared" si="133"/>
        <v/>
      </c>
      <c r="AN239" s="89" t="str">
        <f t="shared" si="134"/>
        <v/>
      </c>
      <c r="AO239" s="3" t="str">
        <f t="shared" si="135"/>
        <v/>
      </c>
      <c r="AP239" s="33" t="str">
        <f t="shared" si="136"/>
        <v/>
      </c>
      <c r="AQ239" s="58" t="str">
        <f t="shared" si="137"/>
        <v/>
      </c>
      <c r="AR239" s="38">
        <f>'ANR OK vs ML7'!AR239</f>
        <v>0.1</v>
      </c>
      <c r="AS239" s="35" t="str">
        <f t="shared" si="138"/>
        <v/>
      </c>
      <c r="AT239" s="3" t="str">
        <f t="shared" si="139"/>
        <v/>
      </c>
      <c r="AU239" s="3" t="str">
        <f t="shared" si="140"/>
        <v/>
      </c>
      <c r="AW239" s="32" t="str">
        <f t="shared" si="141"/>
        <v/>
      </c>
      <c r="AX239" s="32" t="str">
        <f t="shared" si="142"/>
        <v/>
      </c>
      <c r="AY239" s="32" t="str">
        <f t="shared" si="143"/>
        <v/>
      </c>
      <c r="BA239" s="32" t="str">
        <f>IF($A240="","",F239*Summary!$Q$13)</f>
        <v/>
      </c>
    </row>
    <row r="240" spans="1:53" ht="12" customHeight="1">
      <c r="A240" s="67" t="str">
        <f t="shared" si="144"/>
        <v/>
      </c>
      <c r="B240" s="69" t="str">
        <f t="shared" si="146"/>
        <v/>
      </c>
      <c r="C240" s="71"/>
      <c r="D240" s="69" t="str">
        <f t="shared" si="111"/>
        <v/>
      </c>
      <c r="E240" s="70" t="str">
        <f t="shared" si="112"/>
        <v/>
      </c>
      <c r="F240" s="70" t="str">
        <f t="shared" si="113"/>
        <v/>
      </c>
      <c r="G240" s="63" t="str">
        <f t="shared" si="114"/>
        <v/>
      </c>
      <c r="H240" s="64" t="str">
        <f t="shared" si="115"/>
        <v/>
      </c>
      <c r="I240" s="43"/>
      <c r="J240" s="63" t="str">
        <f t="shared" si="116"/>
        <v/>
      </c>
      <c r="K240" s="64" t="str">
        <f t="shared" si="117"/>
        <v/>
      </c>
      <c r="L240" s="38">
        <v>0</v>
      </c>
      <c r="M240" s="64" t="str">
        <f t="shared" si="118"/>
        <v/>
      </c>
      <c r="N240" s="65"/>
      <c r="O240" s="63" t="str">
        <f t="shared" si="119"/>
        <v/>
      </c>
      <c r="P240" s="63" t="str">
        <f t="shared" si="120"/>
        <v/>
      </c>
      <c r="Q240" s="66"/>
      <c r="R240" s="63" t="str">
        <f t="shared" si="121"/>
        <v/>
      </c>
      <c r="S240" s="64" t="str">
        <f t="shared" si="122"/>
        <v/>
      </c>
      <c r="T240" s="38">
        <v>0</v>
      </c>
      <c r="U240" s="64" t="str">
        <f t="shared" si="123"/>
        <v/>
      </c>
      <c r="V240" s="219"/>
      <c r="W240" s="43" t="str">
        <f t="shared" si="124"/>
        <v/>
      </c>
      <c r="X240" s="43" t="str">
        <f t="shared" si="125"/>
        <v/>
      </c>
      <c r="Y240" s="43"/>
      <c r="Z240" s="38" t="str">
        <f t="shared" si="126"/>
        <v/>
      </c>
      <c r="AA240" s="38" t="str">
        <f t="shared" si="127"/>
        <v/>
      </c>
      <c r="AB240" s="38" t="e">
        <f t="shared" si="128"/>
        <v>#VALUE!</v>
      </c>
      <c r="AC240" s="38" t="str">
        <f t="shared" si="129"/>
        <v/>
      </c>
      <c r="AD240" s="38" t="str">
        <f t="shared" si="129"/>
        <v/>
      </c>
      <c r="AE240" s="38" t="e">
        <f t="shared" si="130"/>
        <v>#VALUE!</v>
      </c>
      <c r="AF240" s="237" t="e">
        <f>((Summary!$N$13*(AA240*AD240)*(A240-$D$3))+(Summary!$M$13*Z240*AC240*(AJ240-EOMONTH(EDATE(A240,-1),0))))/(AK240*AB240*AE240)</f>
        <v>#VALUE!</v>
      </c>
      <c r="AG240" s="88" t="str">
        <f>IF($A241="","",Summary!$Q$13)</f>
        <v/>
      </c>
      <c r="AH240" s="88" t="str">
        <f>IF($A241="","",IF(Summary!$R$12="Y",(VLOOKUP($A240,Summary!$AD$6:$AF$9,3)+'Escalating commodity'!I253),'Escalating commodity'!I253))</f>
        <v/>
      </c>
      <c r="AI240" s="88" t="str">
        <f t="shared" si="145"/>
        <v/>
      </c>
      <c r="AJ240" s="236" t="e">
        <f t="shared" si="131"/>
        <v>#VALUE!</v>
      </c>
      <c r="AK240" s="58" t="str">
        <f t="shared" si="132"/>
        <v/>
      </c>
      <c r="AL240" s="26" t="str">
        <f>IF($A241="","",_xll.SPRDOPT(P240,X240,AI240,0,AB240,AE240,AF240,AK240,$AJ$2,0))</f>
        <v/>
      </c>
      <c r="AM240" s="209" t="str">
        <f t="shared" si="133"/>
        <v/>
      </c>
      <c r="AN240" s="89" t="str">
        <f t="shared" si="134"/>
        <v/>
      </c>
      <c r="AO240" s="3" t="str">
        <f t="shared" si="135"/>
        <v/>
      </c>
      <c r="AP240" s="33" t="str">
        <f t="shared" si="136"/>
        <v/>
      </c>
      <c r="AQ240" s="58" t="str">
        <f t="shared" si="137"/>
        <v/>
      </c>
      <c r="AR240" s="38">
        <f>'ANR OK vs ML7'!AR240</f>
        <v>0.1</v>
      </c>
      <c r="AS240" s="35" t="str">
        <f t="shared" si="138"/>
        <v/>
      </c>
      <c r="AT240" s="3" t="str">
        <f t="shared" si="139"/>
        <v/>
      </c>
      <c r="AU240" s="3" t="str">
        <f t="shared" si="140"/>
        <v/>
      </c>
      <c r="AW240" s="32" t="str">
        <f t="shared" si="141"/>
        <v/>
      </c>
      <c r="AX240" s="32" t="str">
        <f t="shared" si="142"/>
        <v/>
      </c>
      <c r="AY240" s="32" t="str">
        <f t="shared" si="143"/>
        <v/>
      </c>
      <c r="BA240" s="32" t="str">
        <f>IF($A241="","",F240*Summary!$Q$13)</f>
        <v/>
      </c>
    </row>
    <row r="241" spans="1:53" ht="12" customHeight="1">
      <c r="A241" s="67" t="str">
        <f t="shared" si="144"/>
        <v/>
      </c>
      <c r="B241" s="69" t="str">
        <f t="shared" si="146"/>
        <v/>
      </c>
      <c r="C241" s="71"/>
      <c r="D241" s="69" t="str">
        <f t="shared" si="111"/>
        <v/>
      </c>
      <c r="E241" s="70" t="str">
        <f t="shared" si="112"/>
        <v/>
      </c>
      <c r="F241" s="70" t="str">
        <f t="shared" si="113"/>
        <v/>
      </c>
      <c r="G241" s="63" t="str">
        <f t="shared" si="114"/>
        <v/>
      </c>
      <c r="H241" s="64" t="str">
        <f t="shared" si="115"/>
        <v/>
      </c>
      <c r="I241" s="43"/>
      <c r="J241" s="63" t="str">
        <f t="shared" si="116"/>
        <v/>
      </c>
      <c r="K241" s="64" t="str">
        <f t="shared" si="117"/>
        <v/>
      </c>
      <c r="L241" s="38">
        <v>0</v>
      </c>
      <c r="M241" s="64" t="str">
        <f t="shared" si="118"/>
        <v/>
      </c>
      <c r="N241" s="65"/>
      <c r="O241" s="63" t="str">
        <f t="shared" si="119"/>
        <v/>
      </c>
      <c r="P241" s="63" t="str">
        <f t="shared" si="120"/>
        <v/>
      </c>
      <c r="Q241" s="66"/>
      <c r="R241" s="63" t="str">
        <f t="shared" si="121"/>
        <v/>
      </c>
      <c r="S241" s="64" t="str">
        <f t="shared" si="122"/>
        <v/>
      </c>
      <c r="T241" s="38">
        <v>0</v>
      </c>
      <c r="U241" s="64" t="str">
        <f t="shared" si="123"/>
        <v/>
      </c>
      <c r="V241" s="219"/>
      <c r="W241" s="43" t="str">
        <f t="shared" si="124"/>
        <v/>
      </c>
      <c r="X241" s="43" t="str">
        <f t="shared" si="125"/>
        <v/>
      </c>
      <c r="Y241" s="43"/>
      <c r="Z241" s="38" t="str">
        <f t="shared" si="126"/>
        <v/>
      </c>
      <c r="AA241" s="38" t="str">
        <f t="shared" si="127"/>
        <v/>
      </c>
      <c r="AB241" s="38" t="e">
        <f t="shared" si="128"/>
        <v>#VALUE!</v>
      </c>
      <c r="AC241" s="38" t="str">
        <f t="shared" si="129"/>
        <v/>
      </c>
      <c r="AD241" s="38" t="str">
        <f t="shared" si="129"/>
        <v/>
      </c>
      <c r="AE241" s="38" t="e">
        <f t="shared" si="130"/>
        <v>#VALUE!</v>
      </c>
      <c r="AF241" s="237" t="e">
        <f>((Summary!$N$13*(AA241*AD241)*(A241-$D$3))+(Summary!$M$13*Z241*AC241*(AJ241-EOMONTH(EDATE(A241,-1),0))))/(AK241*AB241*AE241)</f>
        <v>#VALUE!</v>
      </c>
      <c r="AG241" s="88" t="str">
        <f>IF($A242="","",Summary!$Q$13)</f>
        <v/>
      </c>
      <c r="AH241" s="88" t="str">
        <f>IF($A242="","",IF(Summary!$R$12="Y",(VLOOKUP($A241,Summary!$AD$6:$AF$9,3)+'Escalating commodity'!I254),'Escalating commodity'!I254))</f>
        <v/>
      </c>
      <c r="AI241" s="88" t="str">
        <f t="shared" si="145"/>
        <v/>
      </c>
      <c r="AJ241" s="236" t="e">
        <f t="shared" si="131"/>
        <v>#VALUE!</v>
      </c>
      <c r="AK241" s="58" t="str">
        <f t="shared" si="132"/>
        <v/>
      </c>
      <c r="AL241" s="26" t="str">
        <f>IF($A242="","",_xll.SPRDOPT(P241,X241,AI241,0,AB241,AE241,AF241,AK241,$AJ$2,0))</f>
        <v/>
      </c>
      <c r="AM241" s="209" t="str">
        <f t="shared" si="133"/>
        <v/>
      </c>
      <c r="AN241" s="89" t="str">
        <f t="shared" si="134"/>
        <v/>
      </c>
      <c r="AO241" s="3" t="str">
        <f t="shared" si="135"/>
        <v/>
      </c>
      <c r="AP241" s="33" t="str">
        <f t="shared" si="136"/>
        <v/>
      </c>
      <c r="AQ241" s="58" t="str">
        <f t="shared" si="137"/>
        <v/>
      </c>
      <c r="AR241" s="38">
        <f>'ANR OK vs ML7'!AR241</f>
        <v>0.1</v>
      </c>
      <c r="AS241" s="35" t="str">
        <f t="shared" si="138"/>
        <v/>
      </c>
      <c r="AT241" s="3" t="str">
        <f t="shared" si="139"/>
        <v/>
      </c>
      <c r="AU241" s="3" t="str">
        <f t="shared" si="140"/>
        <v/>
      </c>
      <c r="AW241" s="32" t="str">
        <f t="shared" si="141"/>
        <v/>
      </c>
      <c r="AX241" s="32" t="str">
        <f t="shared" si="142"/>
        <v/>
      </c>
      <c r="AY241" s="32" t="str">
        <f t="shared" si="143"/>
        <v/>
      </c>
      <c r="BA241" s="32" t="str">
        <f>IF($A242="","",F241*Summary!$Q$13)</f>
        <v/>
      </c>
    </row>
    <row r="242" spans="1:53" ht="12" customHeight="1">
      <c r="A242" s="67" t="str">
        <f t="shared" si="144"/>
        <v/>
      </c>
      <c r="B242" s="69" t="str">
        <f t="shared" si="146"/>
        <v/>
      </c>
      <c r="C242" s="71"/>
      <c r="D242" s="69" t="str">
        <f t="shared" si="111"/>
        <v/>
      </c>
      <c r="E242" s="70" t="str">
        <f t="shared" si="112"/>
        <v/>
      </c>
      <c r="F242" s="70" t="str">
        <f t="shared" si="113"/>
        <v/>
      </c>
      <c r="G242" s="63" t="str">
        <f t="shared" si="114"/>
        <v/>
      </c>
      <c r="H242" s="64" t="str">
        <f t="shared" si="115"/>
        <v/>
      </c>
      <c r="I242" s="43"/>
      <c r="J242" s="63" t="str">
        <f t="shared" si="116"/>
        <v/>
      </c>
      <c r="K242" s="64" t="str">
        <f t="shared" si="117"/>
        <v/>
      </c>
      <c r="L242" s="38">
        <v>0</v>
      </c>
      <c r="M242" s="64" t="str">
        <f t="shared" si="118"/>
        <v/>
      </c>
      <c r="N242" s="65"/>
      <c r="O242" s="63" t="str">
        <f t="shared" si="119"/>
        <v/>
      </c>
      <c r="P242" s="63" t="str">
        <f t="shared" si="120"/>
        <v/>
      </c>
      <c r="Q242" s="66"/>
      <c r="R242" s="63" t="str">
        <f t="shared" si="121"/>
        <v/>
      </c>
      <c r="S242" s="64" t="str">
        <f t="shared" si="122"/>
        <v/>
      </c>
      <c r="T242" s="38">
        <v>0</v>
      </c>
      <c r="U242" s="64" t="str">
        <f t="shared" si="123"/>
        <v/>
      </c>
      <c r="V242" s="219"/>
      <c r="W242" s="43" t="str">
        <f t="shared" si="124"/>
        <v/>
      </c>
      <c r="X242" s="43" t="str">
        <f t="shared" si="125"/>
        <v/>
      </c>
      <c r="Y242" s="43"/>
      <c r="Z242" s="38" t="str">
        <f t="shared" si="126"/>
        <v/>
      </c>
      <c r="AA242" s="38" t="str">
        <f t="shared" si="127"/>
        <v/>
      </c>
      <c r="AB242" s="38" t="e">
        <f t="shared" si="128"/>
        <v>#VALUE!</v>
      </c>
      <c r="AC242" s="38" t="str">
        <f t="shared" si="129"/>
        <v/>
      </c>
      <c r="AD242" s="38" t="str">
        <f t="shared" si="129"/>
        <v/>
      </c>
      <c r="AE242" s="38" t="e">
        <f t="shared" si="130"/>
        <v>#VALUE!</v>
      </c>
      <c r="AF242" s="237" t="e">
        <f>((Summary!$N$13*(AA242*AD242)*(A242-$D$3))+(Summary!$M$13*Z242*AC242*(AJ242-EOMONTH(EDATE(A242,-1),0))))/(AK242*AB242*AE242)</f>
        <v>#VALUE!</v>
      </c>
      <c r="AG242" s="88" t="str">
        <f>IF($A243="","",Summary!$Q$13)</f>
        <v/>
      </c>
      <c r="AH242" s="88" t="str">
        <f>IF($A243="","",IF(Summary!$R$12="Y",(VLOOKUP($A242,Summary!$AD$6:$AF$9,3)+'Escalating commodity'!I255),'Escalating commodity'!I255))</f>
        <v/>
      </c>
      <c r="AI242" s="88" t="str">
        <f t="shared" si="145"/>
        <v/>
      </c>
      <c r="AJ242" s="236" t="e">
        <f t="shared" si="131"/>
        <v>#VALUE!</v>
      </c>
      <c r="AK242" s="58" t="str">
        <f t="shared" si="132"/>
        <v/>
      </c>
      <c r="AL242" s="26" t="str">
        <f>IF($A243="","",_xll.SPRDOPT(P242,X242,AI242,0,AB242,AE242,AF242,AK242,$AJ$2,0))</f>
        <v/>
      </c>
      <c r="AM242" s="209" t="str">
        <f t="shared" si="133"/>
        <v/>
      </c>
      <c r="AN242" s="89" t="str">
        <f t="shared" si="134"/>
        <v/>
      </c>
      <c r="AO242" s="3" t="str">
        <f t="shared" si="135"/>
        <v/>
      </c>
      <c r="AP242" s="33" t="str">
        <f t="shared" si="136"/>
        <v/>
      </c>
      <c r="AQ242" s="58" t="str">
        <f t="shared" si="137"/>
        <v/>
      </c>
      <c r="AR242" s="38">
        <f>'ANR OK vs ML7'!AR242</f>
        <v>0.1</v>
      </c>
      <c r="AS242" s="35" t="str">
        <f t="shared" si="138"/>
        <v/>
      </c>
      <c r="AT242" s="3" t="str">
        <f t="shared" si="139"/>
        <v/>
      </c>
      <c r="AU242" s="3" t="str">
        <f t="shared" si="140"/>
        <v/>
      </c>
      <c r="AW242" s="32" t="str">
        <f t="shared" si="141"/>
        <v/>
      </c>
      <c r="AX242" s="32" t="str">
        <f t="shared" si="142"/>
        <v/>
      </c>
      <c r="AY242" s="32" t="str">
        <f t="shared" si="143"/>
        <v/>
      </c>
      <c r="BA242" s="32" t="str">
        <f>IF($A243="","",F242*Summary!$Q$13)</f>
        <v/>
      </c>
    </row>
    <row r="243" spans="1:53" ht="12" customHeight="1">
      <c r="A243" s="67" t="str">
        <f t="shared" si="144"/>
        <v/>
      </c>
      <c r="B243" s="69" t="str">
        <f t="shared" si="146"/>
        <v/>
      </c>
      <c r="C243" s="71"/>
      <c r="D243" s="69" t="str">
        <f t="shared" si="111"/>
        <v/>
      </c>
      <c r="E243" s="70" t="str">
        <f t="shared" si="112"/>
        <v/>
      </c>
      <c r="F243" s="70" t="str">
        <f t="shared" si="113"/>
        <v/>
      </c>
      <c r="G243" s="63" t="str">
        <f t="shared" si="114"/>
        <v/>
      </c>
      <c r="H243" s="64" t="str">
        <f t="shared" si="115"/>
        <v/>
      </c>
      <c r="I243" s="43"/>
      <c r="J243" s="63" t="str">
        <f t="shared" si="116"/>
        <v/>
      </c>
      <c r="K243" s="64" t="str">
        <f t="shared" si="117"/>
        <v/>
      </c>
      <c r="L243" s="38">
        <v>0</v>
      </c>
      <c r="M243" s="64" t="str">
        <f t="shared" si="118"/>
        <v/>
      </c>
      <c r="N243" s="65"/>
      <c r="O243" s="63" t="str">
        <f t="shared" si="119"/>
        <v/>
      </c>
      <c r="P243" s="63" t="str">
        <f t="shared" si="120"/>
        <v/>
      </c>
      <c r="Q243" s="66"/>
      <c r="R243" s="63" t="str">
        <f t="shared" si="121"/>
        <v/>
      </c>
      <c r="S243" s="64" t="str">
        <f t="shared" si="122"/>
        <v/>
      </c>
      <c r="T243" s="38">
        <v>0</v>
      </c>
      <c r="U243" s="64" t="str">
        <f t="shared" si="123"/>
        <v/>
      </c>
      <c r="V243" s="219"/>
      <c r="W243" s="43" t="str">
        <f t="shared" si="124"/>
        <v/>
      </c>
      <c r="X243" s="43" t="str">
        <f t="shared" si="125"/>
        <v/>
      </c>
      <c r="Y243" s="43"/>
      <c r="Z243" s="38" t="str">
        <f t="shared" si="126"/>
        <v/>
      </c>
      <c r="AA243" s="38" t="str">
        <f t="shared" si="127"/>
        <v/>
      </c>
      <c r="AB243" s="38" t="e">
        <f t="shared" si="128"/>
        <v>#VALUE!</v>
      </c>
      <c r="AC243" s="38" t="str">
        <f t="shared" si="129"/>
        <v/>
      </c>
      <c r="AD243" s="38" t="str">
        <f t="shared" si="129"/>
        <v/>
      </c>
      <c r="AE243" s="38" t="e">
        <f t="shared" si="130"/>
        <v>#VALUE!</v>
      </c>
      <c r="AF243" s="237" t="e">
        <f>((Summary!$N$13*(AA243*AD243)*(A243-$D$3))+(Summary!$M$13*Z243*AC243*(AJ243-EOMONTH(EDATE(A243,-1),0))))/(AK243*AB243*AE243)</f>
        <v>#VALUE!</v>
      </c>
      <c r="AG243" s="88" t="str">
        <f>IF($A244="","",Summary!$Q$13)</f>
        <v/>
      </c>
      <c r="AH243" s="88" t="str">
        <f>IF($A244="","",IF(Summary!$R$12="Y",(VLOOKUP($A243,Summary!$AD$6:$AF$9,3)+'Escalating commodity'!I256),'Escalating commodity'!I256))</f>
        <v/>
      </c>
      <c r="AI243" s="88" t="str">
        <f t="shared" si="145"/>
        <v/>
      </c>
      <c r="AJ243" s="236" t="e">
        <f t="shared" si="131"/>
        <v>#VALUE!</v>
      </c>
      <c r="AK243" s="58" t="str">
        <f t="shared" si="132"/>
        <v/>
      </c>
      <c r="AL243" s="26" t="str">
        <f>IF($A244="","",_xll.SPRDOPT(P243,X243,AI243,0,AB243,AE243,AF243,AK243,$AJ$2,0))</f>
        <v/>
      </c>
      <c r="AM243" s="209" t="str">
        <f t="shared" si="133"/>
        <v/>
      </c>
      <c r="AN243" s="89" t="str">
        <f t="shared" si="134"/>
        <v/>
      </c>
      <c r="AO243" s="3" t="str">
        <f t="shared" si="135"/>
        <v/>
      </c>
      <c r="AP243" s="33" t="str">
        <f t="shared" si="136"/>
        <v/>
      </c>
      <c r="AQ243" s="58" t="str">
        <f t="shared" si="137"/>
        <v/>
      </c>
      <c r="AR243" s="38">
        <f>'ANR OK vs ML7'!AR243</f>
        <v>0.1</v>
      </c>
      <c r="AS243" s="35" t="str">
        <f t="shared" si="138"/>
        <v/>
      </c>
      <c r="AT243" s="3" t="str">
        <f t="shared" si="139"/>
        <v/>
      </c>
      <c r="AU243" s="3" t="str">
        <f t="shared" si="140"/>
        <v/>
      </c>
      <c r="AW243" s="32" t="str">
        <f t="shared" si="141"/>
        <v/>
      </c>
      <c r="AX243" s="32" t="str">
        <f t="shared" si="142"/>
        <v/>
      </c>
      <c r="AY243" s="32" t="str">
        <f t="shared" si="143"/>
        <v/>
      </c>
      <c r="BA243" s="32" t="str">
        <f>IF($A244="","",F243*Summary!$Q$13)</f>
        <v/>
      </c>
    </row>
    <row r="244" spans="1:53" ht="12" customHeight="1">
      <c r="A244" s="67" t="str">
        <f t="shared" si="144"/>
        <v/>
      </c>
      <c r="B244" s="69" t="str">
        <f t="shared" si="146"/>
        <v/>
      </c>
      <c r="C244" s="71"/>
      <c r="D244" s="69" t="str">
        <f t="shared" si="111"/>
        <v/>
      </c>
      <c r="E244" s="70" t="str">
        <f t="shared" si="112"/>
        <v/>
      </c>
      <c r="F244" s="70" t="str">
        <f t="shared" si="113"/>
        <v/>
      </c>
      <c r="G244" s="63" t="str">
        <f t="shared" si="114"/>
        <v/>
      </c>
      <c r="H244" s="64" t="str">
        <f t="shared" si="115"/>
        <v/>
      </c>
      <c r="I244" s="43"/>
      <c r="J244" s="63" t="str">
        <f t="shared" si="116"/>
        <v/>
      </c>
      <c r="K244" s="64" t="str">
        <f t="shared" si="117"/>
        <v/>
      </c>
      <c r="L244" s="38">
        <v>0</v>
      </c>
      <c r="M244" s="64" t="str">
        <f t="shared" si="118"/>
        <v/>
      </c>
      <c r="N244" s="65"/>
      <c r="O244" s="63" t="str">
        <f t="shared" si="119"/>
        <v/>
      </c>
      <c r="P244" s="63" t="str">
        <f t="shared" si="120"/>
        <v/>
      </c>
      <c r="Q244" s="66"/>
      <c r="R244" s="63" t="str">
        <f t="shared" si="121"/>
        <v/>
      </c>
      <c r="S244" s="64" t="str">
        <f t="shared" si="122"/>
        <v/>
      </c>
      <c r="T244" s="38">
        <v>0</v>
      </c>
      <c r="U244" s="64" t="str">
        <f t="shared" si="123"/>
        <v/>
      </c>
      <c r="V244" s="219"/>
      <c r="W244" s="43" t="str">
        <f t="shared" si="124"/>
        <v/>
      </c>
      <c r="X244" s="43" t="str">
        <f t="shared" si="125"/>
        <v/>
      </c>
      <c r="Y244" s="43"/>
      <c r="Z244" s="38" t="str">
        <f t="shared" si="126"/>
        <v/>
      </c>
      <c r="AA244" s="38" t="str">
        <f t="shared" si="127"/>
        <v/>
      </c>
      <c r="AB244" s="38" t="e">
        <f t="shared" si="128"/>
        <v>#VALUE!</v>
      </c>
      <c r="AC244" s="38" t="str">
        <f t="shared" si="129"/>
        <v/>
      </c>
      <c r="AD244" s="38" t="str">
        <f t="shared" si="129"/>
        <v/>
      </c>
      <c r="AE244" s="38" t="e">
        <f t="shared" si="130"/>
        <v>#VALUE!</v>
      </c>
      <c r="AF244" s="237" t="e">
        <f>((Summary!$N$13*(AA244*AD244)*(A244-$D$3))+(Summary!$M$13*Z244*AC244*(AJ244-EOMONTH(EDATE(A244,-1),0))))/(AK244*AB244*AE244)</f>
        <v>#VALUE!</v>
      </c>
      <c r="AG244" s="88" t="str">
        <f>IF($A245="","",Summary!$Q$13)</f>
        <v/>
      </c>
      <c r="AH244" s="88" t="str">
        <f>IF($A245="","",IF(Summary!$R$12="Y",(VLOOKUP($A244,Summary!$AD$6:$AF$9,3)+'Escalating commodity'!I257),'Escalating commodity'!I257))</f>
        <v/>
      </c>
      <c r="AI244" s="88" t="str">
        <f t="shared" si="145"/>
        <v/>
      </c>
      <c r="AJ244" s="236" t="e">
        <f t="shared" si="131"/>
        <v>#VALUE!</v>
      </c>
      <c r="AK244" s="58" t="str">
        <f t="shared" si="132"/>
        <v/>
      </c>
      <c r="AL244" s="26" t="str">
        <f>IF($A245="","",_xll.SPRDOPT(P244,X244,AI244,0,AB244,AE244,AF244,AK244,$AJ$2,0))</f>
        <v/>
      </c>
      <c r="AM244" s="209" t="str">
        <f t="shared" si="133"/>
        <v/>
      </c>
      <c r="AN244" s="89" t="str">
        <f t="shared" si="134"/>
        <v/>
      </c>
      <c r="AO244" s="3" t="str">
        <f t="shared" si="135"/>
        <v/>
      </c>
      <c r="AP244" s="33" t="str">
        <f t="shared" si="136"/>
        <v/>
      </c>
      <c r="AQ244" s="58" t="str">
        <f t="shared" si="137"/>
        <v/>
      </c>
      <c r="AR244" s="38">
        <f>'ANR OK vs ML7'!AR244</f>
        <v>0.1</v>
      </c>
      <c r="AS244" s="35" t="str">
        <f t="shared" si="138"/>
        <v/>
      </c>
      <c r="AT244" s="3" t="str">
        <f t="shared" si="139"/>
        <v/>
      </c>
      <c r="AU244" s="3" t="str">
        <f t="shared" si="140"/>
        <v/>
      </c>
      <c r="AW244" s="32" t="str">
        <f t="shared" si="141"/>
        <v/>
      </c>
      <c r="AX244" s="32" t="str">
        <f t="shared" si="142"/>
        <v/>
      </c>
      <c r="AY244" s="32" t="str">
        <f t="shared" si="143"/>
        <v/>
      </c>
      <c r="BA244" s="32" t="str">
        <f>IF($A245="","",F244*Summary!$Q$13)</f>
        <v/>
      </c>
    </row>
    <row r="245" spans="1:53" ht="12" customHeight="1">
      <c r="A245" s="67" t="str">
        <f t="shared" si="144"/>
        <v/>
      </c>
      <c r="B245" s="69" t="str">
        <f t="shared" si="146"/>
        <v/>
      </c>
      <c r="C245" s="71"/>
      <c r="D245" s="69" t="str">
        <f t="shared" si="111"/>
        <v/>
      </c>
      <c r="E245" s="70" t="str">
        <f t="shared" si="112"/>
        <v/>
      </c>
      <c r="F245" s="70" t="str">
        <f t="shared" si="113"/>
        <v/>
      </c>
      <c r="G245" s="63" t="str">
        <f t="shared" si="114"/>
        <v/>
      </c>
      <c r="H245" s="64" t="str">
        <f t="shared" si="115"/>
        <v/>
      </c>
      <c r="I245" s="43"/>
      <c r="J245" s="63" t="str">
        <f t="shared" si="116"/>
        <v/>
      </c>
      <c r="K245" s="64" t="str">
        <f t="shared" si="117"/>
        <v/>
      </c>
      <c r="L245" s="38">
        <v>0</v>
      </c>
      <c r="M245" s="64" t="str">
        <f t="shared" si="118"/>
        <v/>
      </c>
      <c r="N245" s="65"/>
      <c r="O245" s="63" t="str">
        <f t="shared" si="119"/>
        <v/>
      </c>
      <c r="P245" s="63" t="str">
        <f t="shared" si="120"/>
        <v/>
      </c>
      <c r="Q245" s="66"/>
      <c r="R245" s="63" t="str">
        <f t="shared" si="121"/>
        <v/>
      </c>
      <c r="S245" s="64" t="str">
        <f t="shared" si="122"/>
        <v/>
      </c>
      <c r="T245" s="38">
        <v>0</v>
      </c>
      <c r="U245" s="64" t="str">
        <f t="shared" si="123"/>
        <v/>
      </c>
      <c r="V245" s="219"/>
      <c r="W245" s="43" t="str">
        <f t="shared" si="124"/>
        <v/>
      </c>
      <c r="X245" s="43" t="str">
        <f t="shared" si="125"/>
        <v/>
      </c>
      <c r="Y245" s="43"/>
      <c r="Z245" s="38" t="str">
        <f t="shared" si="126"/>
        <v/>
      </c>
      <c r="AA245" s="38" t="str">
        <f t="shared" si="127"/>
        <v/>
      </c>
      <c r="AB245" s="38" t="e">
        <f t="shared" si="128"/>
        <v>#VALUE!</v>
      </c>
      <c r="AC245" s="38" t="str">
        <f t="shared" si="129"/>
        <v/>
      </c>
      <c r="AD245" s="38" t="str">
        <f t="shared" si="129"/>
        <v/>
      </c>
      <c r="AE245" s="38" t="e">
        <f t="shared" si="130"/>
        <v>#VALUE!</v>
      </c>
      <c r="AF245" s="237" t="e">
        <f>((Summary!$N$13*(AA245*AD245)*(A245-$D$3))+(Summary!$M$13*Z245*AC245*(AJ245-EOMONTH(EDATE(A245,-1),0))))/(AK245*AB245*AE245)</f>
        <v>#VALUE!</v>
      </c>
      <c r="AG245" s="88" t="str">
        <f>IF($A246="","",Summary!$Q$13)</f>
        <v/>
      </c>
      <c r="AH245" s="88" t="str">
        <f>IF($A246="","",IF(Summary!$R$12="Y",(VLOOKUP($A245,Summary!$AD$6:$AF$9,3)+'Escalating commodity'!I258),'Escalating commodity'!I258))</f>
        <v/>
      </c>
      <c r="AI245" s="88" t="str">
        <f t="shared" si="145"/>
        <v/>
      </c>
      <c r="AJ245" s="236" t="e">
        <f t="shared" si="131"/>
        <v>#VALUE!</v>
      </c>
      <c r="AK245" s="58" t="str">
        <f t="shared" si="132"/>
        <v/>
      </c>
      <c r="AL245" s="26" t="str">
        <f>IF($A246="","",_xll.SPRDOPT(P245,X245,AI245,0,AB245,AE245,AF245,AK245,$AJ$2,0))</f>
        <v/>
      </c>
      <c r="AM245" s="209" t="str">
        <f t="shared" si="133"/>
        <v/>
      </c>
      <c r="AN245" s="89" t="str">
        <f t="shared" si="134"/>
        <v/>
      </c>
      <c r="AO245" s="3" t="str">
        <f t="shared" si="135"/>
        <v/>
      </c>
      <c r="AP245" s="33" t="str">
        <f t="shared" si="136"/>
        <v/>
      </c>
      <c r="AQ245" s="58" t="str">
        <f t="shared" si="137"/>
        <v/>
      </c>
      <c r="AR245" s="38">
        <f>'ANR OK vs ML7'!AR245</f>
        <v>0.1</v>
      </c>
      <c r="AS245" s="35" t="str">
        <f t="shared" si="138"/>
        <v/>
      </c>
      <c r="AT245" s="3" t="str">
        <f t="shared" si="139"/>
        <v/>
      </c>
      <c r="AU245" s="3" t="str">
        <f t="shared" si="140"/>
        <v/>
      </c>
      <c r="AW245" s="32" t="str">
        <f t="shared" si="141"/>
        <v/>
      </c>
      <c r="AX245" s="32" t="str">
        <f t="shared" si="142"/>
        <v/>
      </c>
      <c r="AY245" s="32" t="str">
        <f t="shared" si="143"/>
        <v/>
      </c>
      <c r="BA245" s="32" t="str">
        <f>IF($A246="","",F245*Summary!$Q$13)</f>
        <v/>
      </c>
    </row>
    <row r="246" spans="1:53" ht="12" customHeight="1">
      <c r="A246" s="67" t="str">
        <f t="shared" si="144"/>
        <v/>
      </c>
      <c r="B246" s="69" t="str">
        <f t="shared" si="146"/>
        <v/>
      </c>
      <c r="C246" s="71"/>
      <c r="D246" s="69" t="str">
        <f t="shared" si="111"/>
        <v/>
      </c>
      <c r="E246" s="70" t="str">
        <f t="shared" si="112"/>
        <v/>
      </c>
      <c r="F246" s="70" t="str">
        <f t="shared" si="113"/>
        <v/>
      </c>
      <c r="G246" s="63" t="str">
        <f t="shared" si="114"/>
        <v/>
      </c>
      <c r="H246" s="64" t="str">
        <f t="shared" si="115"/>
        <v/>
      </c>
      <c r="I246" s="43"/>
      <c r="J246" s="63" t="str">
        <f t="shared" si="116"/>
        <v/>
      </c>
      <c r="K246" s="64" t="str">
        <f t="shared" si="117"/>
        <v/>
      </c>
      <c r="L246" s="38">
        <v>0</v>
      </c>
      <c r="M246" s="64" t="str">
        <f t="shared" si="118"/>
        <v/>
      </c>
      <c r="N246" s="65"/>
      <c r="O246" s="63" t="str">
        <f t="shared" si="119"/>
        <v/>
      </c>
      <c r="P246" s="63" t="str">
        <f t="shared" si="120"/>
        <v/>
      </c>
      <c r="Q246" s="66"/>
      <c r="R246" s="63" t="str">
        <f t="shared" si="121"/>
        <v/>
      </c>
      <c r="S246" s="64" t="str">
        <f t="shared" si="122"/>
        <v/>
      </c>
      <c r="T246" s="38">
        <v>0</v>
      </c>
      <c r="U246" s="64" t="str">
        <f t="shared" si="123"/>
        <v/>
      </c>
      <c r="V246" s="219"/>
      <c r="W246" s="43" t="str">
        <f t="shared" si="124"/>
        <v/>
      </c>
      <c r="X246" s="43" t="str">
        <f t="shared" si="125"/>
        <v/>
      </c>
      <c r="Y246" s="43"/>
      <c r="Z246" s="38" t="str">
        <f t="shared" si="126"/>
        <v/>
      </c>
      <c r="AA246" s="38" t="str">
        <f t="shared" si="127"/>
        <v/>
      </c>
      <c r="AB246" s="38" t="e">
        <f t="shared" si="128"/>
        <v>#VALUE!</v>
      </c>
      <c r="AC246" s="38" t="str">
        <f t="shared" si="129"/>
        <v/>
      </c>
      <c r="AD246" s="38" t="str">
        <f t="shared" si="129"/>
        <v/>
      </c>
      <c r="AE246" s="38" t="e">
        <f t="shared" si="130"/>
        <v>#VALUE!</v>
      </c>
      <c r="AF246" s="237" t="e">
        <f>((Summary!$N$13*(AA246*AD246)*(A246-$D$3))+(Summary!$M$13*Z246*AC246*(AJ246-EOMONTH(EDATE(A246,-1),0))))/(AK246*AB246*AE246)</f>
        <v>#VALUE!</v>
      </c>
      <c r="AG246" s="88" t="str">
        <f>IF($A247="","",Summary!$Q$13)</f>
        <v/>
      </c>
      <c r="AH246" s="88" t="str">
        <f>IF($A247="","",IF(Summary!$R$12="Y",(VLOOKUP($A246,Summary!$AD$6:$AF$9,3)+'Escalating commodity'!I259),'Escalating commodity'!I259))</f>
        <v/>
      </c>
      <c r="AI246" s="88" t="str">
        <f t="shared" si="145"/>
        <v/>
      </c>
      <c r="AJ246" s="236" t="e">
        <f t="shared" si="131"/>
        <v>#VALUE!</v>
      </c>
      <c r="AK246" s="58" t="str">
        <f t="shared" si="132"/>
        <v/>
      </c>
      <c r="AL246" s="26" t="str">
        <f>IF($A247="","",_xll.SPRDOPT(P246,X246,AI246,0,AB246,AE246,AF246,AK246,$AJ$2,0))</f>
        <v/>
      </c>
      <c r="AM246" s="209" t="str">
        <f t="shared" si="133"/>
        <v/>
      </c>
      <c r="AN246" s="89" t="str">
        <f t="shared" si="134"/>
        <v/>
      </c>
      <c r="AO246" s="3" t="str">
        <f t="shared" si="135"/>
        <v/>
      </c>
      <c r="AP246" s="33" t="str">
        <f t="shared" si="136"/>
        <v/>
      </c>
      <c r="AQ246" s="58" t="str">
        <f t="shared" si="137"/>
        <v/>
      </c>
      <c r="AR246" s="38">
        <f>'ANR OK vs ML7'!AR246</f>
        <v>0.1</v>
      </c>
      <c r="AS246" s="35" t="str">
        <f t="shared" si="138"/>
        <v/>
      </c>
      <c r="AT246" s="3" t="str">
        <f t="shared" si="139"/>
        <v/>
      </c>
      <c r="AU246" s="3" t="str">
        <f t="shared" si="140"/>
        <v/>
      </c>
      <c r="AW246" s="32" t="str">
        <f t="shared" si="141"/>
        <v/>
      </c>
      <c r="AX246" s="32" t="str">
        <f t="shared" si="142"/>
        <v/>
      </c>
      <c r="AY246" s="32" t="str">
        <f t="shared" si="143"/>
        <v/>
      </c>
      <c r="BA246" s="32" t="str">
        <f>IF($A247="","",F246*Summary!$Q$13)</f>
        <v/>
      </c>
    </row>
    <row r="247" spans="1:53" ht="12" customHeight="1">
      <c r="A247" s="67" t="str">
        <f t="shared" si="144"/>
        <v/>
      </c>
      <c r="B247" s="69" t="str">
        <f t="shared" si="146"/>
        <v/>
      </c>
      <c r="C247" s="71"/>
      <c r="D247" s="69" t="str">
        <f t="shared" si="111"/>
        <v/>
      </c>
      <c r="E247" s="70" t="str">
        <f t="shared" si="112"/>
        <v/>
      </c>
      <c r="F247" s="70" t="str">
        <f t="shared" si="113"/>
        <v/>
      </c>
      <c r="G247" s="63" t="str">
        <f t="shared" si="114"/>
        <v/>
      </c>
      <c r="H247" s="64" t="str">
        <f t="shared" si="115"/>
        <v/>
      </c>
      <c r="I247" s="43"/>
      <c r="J247" s="63" t="str">
        <f t="shared" si="116"/>
        <v/>
      </c>
      <c r="K247" s="64" t="str">
        <f t="shared" si="117"/>
        <v/>
      </c>
      <c r="L247" s="38">
        <v>0</v>
      </c>
      <c r="M247" s="64" t="str">
        <f t="shared" si="118"/>
        <v/>
      </c>
      <c r="N247" s="65"/>
      <c r="O247" s="63" t="str">
        <f t="shared" si="119"/>
        <v/>
      </c>
      <c r="P247" s="63" t="str">
        <f t="shared" si="120"/>
        <v/>
      </c>
      <c r="Q247" s="66"/>
      <c r="R247" s="63" t="str">
        <f t="shared" si="121"/>
        <v/>
      </c>
      <c r="S247" s="64" t="str">
        <f t="shared" si="122"/>
        <v/>
      </c>
      <c r="T247" s="38">
        <v>0</v>
      </c>
      <c r="U247" s="64" t="str">
        <f t="shared" si="123"/>
        <v/>
      </c>
      <c r="V247" s="219"/>
      <c r="W247" s="43" t="str">
        <f t="shared" si="124"/>
        <v/>
      </c>
      <c r="X247" s="43" t="str">
        <f t="shared" si="125"/>
        <v/>
      </c>
      <c r="Y247" s="43"/>
      <c r="Z247" s="38" t="str">
        <f t="shared" si="126"/>
        <v/>
      </c>
      <c r="AA247" s="38" t="str">
        <f t="shared" si="127"/>
        <v/>
      </c>
      <c r="AB247" s="38" t="e">
        <f t="shared" si="128"/>
        <v>#VALUE!</v>
      </c>
      <c r="AC247" s="38" t="str">
        <f t="shared" si="129"/>
        <v/>
      </c>
      <c r="AD247" s="38" t="str">
        <f t="shared" si="129"/>
        <v/>
      </c>
      <c r="AE247" s="38" t="e">
        <f t="shared" si="130"/>
        <v>#VALUE!</v>
      </c>
      <c r="AF247" s="237" t="e">
        <f>((Summary!$N$13*(AA247*AD247)*(A247-$D$3))+(Summary!$M$13*Z247*AC247*(AJ247-EOMONTH(EDATE(A247,-1),0))))/(AK247*AB247*AE247)</f>
        <v>#VALUE!</v>
      </c>
      <c r="AG247" s="88" t="str">
        <f>IF($A248="","",Summary!$Q$13)</f>
        <v/>
      </c>
      <c r="AH247" s="88" t="str">
        <f>IF($A248="","",IF(Summary!$R$12="Y",(VLOOKUP($A247,Summary!$AD$6:$AF$9,3)+'Escalating commodity'!I260),'Escalating commodity'!I260))</f>
        <v/>
      </c>
      <c r="AI247" s="88" t="str">
        <f t="shared" si="145"/>
        <v/>
      </c>
      <c r="AJ247" s="236" t="e">
        <f t="shared" si="131"/>
        <v>#VALUE!</v>
      </c>
      <c r="AK247" s="58" t="str">
        <f t="shared" si="132"/>
        <v/>
      </c>
      <c r="AL247" s="26" t="str">
        <f>IF($A248="","",_xll.SPRDOPT(P247,X247,AI247,0,AB247,AE247,AF247,AK247,$AJ$2,0))</f>
        <v/>
      </c>
      <c r="AM247" s="209" t="str">
        <f t="shared" si="133"/>
        <v/>
      </c>
      <c r="AN247" s="89" t="str">
        <f t="shared" si="134"/>
        <v/>
      </c>
      <c r="AO247" s="3" t="str">
        <f t="shared" si="135"/>
        <v/>
      </c>
      <c r="AP247" s="33" t="str">
        <f t="shared" si="136"/>
        <v/>
      </c>
      <c r="AQ247" s="58" t="str">
        <f t="shared" si="137"/>
        <v/>
      </c>
      <c r="AR247" s="38">
        <f>'ANR OK vs ML7'!AR247</f>
        <v>0.1</v>
      </c>
      <c r="AS247" s="35" t="str">
        <f t="shared" si="138"/>
        <v/>
      </c>
      <c r="AT247" s="3" t="str">
        <f t="shared" si="139"/>
        <v/>
      </c>
      <c r="AU247" s="3" t="str">
        <f t="shared" si="140"/>
        <v/>
      </c>
      <c r="AW247" s="32" t="str">
        <f t="shared" si="141"/>
        <v/>
      </c>
      <c r="AX247" s="32" t="str">
        <f t="shared" si="142"/>
        <v/>
      </c>
      <c r="AY247" s="32" t="str">
        <f t="shared" si="143"/>
        <v/>
      </c>
      <c r="BA247" s="32" t="str">
        <f>IF($A248="","",F247*Summary!$Q$13)</f>
        <v/>
      </c>
    </row>
    <row r="248" spans="1:53" ht="12" customHeight="1">
      <c r="A248" s="67" t="str">
        <f t="shared" si="144"/>
        <v/>
      </c>
      <c r="B248" s="69" t="str">
        <f t="shared" si="146"/>
        <v/>
      </c>
      <c r="C248" s="71"/>
      <c r="D248" s="69" t="str">
        <f t="shared" si="111"/>
        <v/>
      </c>
      <c r="E248" s="70" t="str">
        <f t="shared" si="112"/>
        <v/>
      </c>
      <c r="F248" s="70" t="str">
        <f t="shared" si="113"/>
        <v/>
      </c>
      <c r="G248" s="63" t="str">
        <f t="shared" si="114"/>
        <v/>
      </c>
      <c r="H248" s="64" t="str">
        <f t="shared" si="115"/>
        <v/>
      </c>
      <c r="I248" s="43"/>
      <c r="J248" s="63" t="str">
        <f t="shared" si="116"/>
        <v/>
      </c>
      <c r="K248" s="64" t="str">
        <f t="shared" si="117"/>
        <v/>
      </c>
      <c r="L248" s="38">
        <v>0</v>
      </c>
      <c r="M248" s="64" t="str">
        <f t="shared" si="118"/>
        <v/>
      </c>
      <c r="N248" s="65"/>
      <c r="O248" s="63" t="str">
        <f t="shared" si="119"/>
        <v/>
      </c>
      <c r="P248" s="63" t="str">
        <f t="shared" si="120"/>
        <v/>
      </c>
      <c r="Q248" s="66"/>
      <c r="R248" s="63" t="str">
        <f t="shared" si="121"/>
        <v/>
      </c>
      <c r="S248" s="64" t="str">
        <f t="shared" si="122"/>
        <v/>
      </c>
      <c r="T248" s="38">
        <v>0</v>
      </c>
      <c r="U248" s="64" t="str">
        <f t="shared" si="123"/>
        <v/>
      </c>
      <c r="V248" s="219"/>
      <c r="W248" s="43" t="str">
        <f t="shared" si="124"/>
        <v/>
      </c>
      <c r="X248" s="43" t="str">
        <f t="shared" si="125"/>
        <v/>
      </c>
      <c r="Y248" s="43"/>
      <c r="Z248" s="38" t="str">
        <f t="shared" si="126"/>
        <v/>
      </c>
      <c r="AA248" s="38" t="str">
        <f t="shared" si="127"/>
        <v/>
      </c>
      <c r="AB248" s="38" t="e">
        <f t="shared" si="128"/>
        <v>#VALUE!</v>
      </c>
      <c r="AC248" s="38" t="str">
        <f t="shared" si="129"/>
        <v/>
      </c>
      <c r="AD248" s="38" t="str">
        <f t="shared" si="129"/>
        <v/>
      </c>
      <c r="AE248" s="38" t="e">
        <f t="shared" si="130"/>
        <v>#VALUE!</v>
      </c>
      <c r="AF248" s="237" t="e">
        <f>((Summary!$N$13*(AA248*AD248)*(A248-$D$3))+(Summary!$M$13*Z248*AC248*(AJ248-EOMONTH(EDATE(A248,-1),0))))/(AK248*AB248*AE248)</f>
        <v>#VALUE!</v>
      </c>
      <c r="AG248" s="88" t="str">
        <f>IF($A249="","",Summary!$Q$13)</f>
        <v/>
      </c>
      <c r="AH248" s="88" t="str">
        <f>IF($A249="","",IF(Summary!$R$12="Y",(VLOOKUP($A248,Summary!$AD$6:$AF$9,3)+'Escalating commodity'!I261),'Escalating commodity'!I261))</f>
        <v/>
      </c>
      <c r="AI248" s="88" t="str">
        <f t="shared" si="145"/>
        <v/>
      </c>
      <c r="AJ248" s="236" t="e">
        <f t="shared" si="131"/>
        <v>#VALUE!</v>
      </c>
      <c r="AK248" s="58" t="str">
        <f t="shared" si="132"/>
        <v/>
      </c>
      <c r="AL248" s="26" t="str">
        <f>IF($A249="","",_xll.SPRDOPT(P248,X248,AI248,0,AB248,AE248,AF248,AK248,$AJ$2,0))</f>
        <v/>
      </c>
      <c r="AM248" s="209" t="str">
        <f t="shared" si="133"/>
        <v/>
      </c>
      <c r="AN248" s="89" t="str">
        <f t="shared" si="134"/>
        <v/>
      </c>
      <c r="AO248" s="3" t="str">
        <f t="shared" si="135"/>
        <v/>
      </c>
      <c r="AP248" s="33" t="str">
        <f t="shared" si="136"/>
        <v/>
      </c>
      <c r="AQ248" s="58" t="str">
        <f t="shared" si="137"/>
        <v/>
      </c>
      <c r="AR248" s="38">
        <f>'ANR OK vs ML7'!AR248</f>
        <v>0.1</v>
      </c>
      <c r="AS248" s="35" t="str">
        <f t="shared" si="138"/>
        <v/>
      </c>
      <c r="AT248" s="3" t="str">
        <f t="shared" si="139"/>
        <v/>
      </c>
      <c r="AU248" s="3" t="str">
        <f t="shared" si="140"/>
        <v/>
      </c>
      <c r="AW248" s="32" t="str">
        <f t="shared" si="141"/>
        <v/>
      </c>
      <c r="AX248" s="32" t="str">
        <f t="shared" si="142"/>
        <v/>
      </c>
      <c r="AY248" s="32" t="str">
        <f t="shared" si="143"/>
        <v/>
      </c>
      <c r="BA248" s="32" t="str">
        <f>IF($A249="","",F248*Summary!$Q$13)</f>
        <v/>
      </c>
    </row>
    <row r="249" spans="1:53" ht="12" customHeight="1">
      <c r="A249" s="67" t="str">
        <f t="shared" si="144"/>
        <v/>
      </c>
      <c r="B249" s="69" t="str">
        <f t="shared" si="146"/>
        <v/>
      </c>
      <c r="C249" s="71"/>
      <c r="D249" s="69" t="str">
        <f t="shared" si="111"/>
        <v/>
      </c>
      <c r="E249" s="70" t="str">
        <f t="shared" si="112"/>
        <v/>
      </c>
      <c r="F249" s="70" t="str">
        <f t="shared" si="113"/>
        <v/>
      </c>
      <c r="G249" s="63" t="str">
        <f t="shared" si="114"/>
        <v/>
      </c>
      <c r="H249" s="64" t="str">
        <f t="shared" si="115"/>
        <v/>
      </c>
      <c r="I249" s="43"/>
      <c r="J249" s="63" t="str">
        <f t="shared" si="116"/>
        <v/>
      </c>
      <c r="K249" s="64" t="str">
        <f t="shared" si="117"/>
        <v/>
      </c>
      <c r="L249" s="38">
        <v>0</v>
      </c>
      <c r="M249" s="64" t="str">
        <f t="shared" si="118"/>
        <v/>
      </c>
      <c r="N249" s="65"/>
      <c r="O249" s="63" t="str">
        <f t="shared" si="119"/>
        <v/>
      </c>
      <c r="P249" s="63" t="str">
        <f t="shared" si="120"/>
        <v/>
      </c>
      <c r="Q249" s="66"/>
      <c r="R249" s="63" t="str">
        <f t="shared" si="121"/>
        <v/>
      </c>
      <c r="S249" s="64" t="str">
        <f t="shared" si="122"/>
        <v/>
      </c>
      <c r="T249" s="38">
        <v>0</v>
      </c>
      <c r="U249" s="64" t="str">
        <f t="shared" si="123"/>
        <v/>
      </c>
      <c r="V249" s="219"/>
      <c r="W249" s="43" t="str">
        <f t="shared" si="124"/>
        <v/>
      </c>
      <c r="X249" s="43" t="str">
        <f t="shared" si="125"/>
        <v/>
      </c>
      <c r="Y249" s="43"/>
      <c r="Z249" s="38" t="str">
        <f t="shared" si="126"/>
        <v/>
      </c>
      <c r="AA249" s="38" t="str">
        <f t="shared" si="127"/>
        <v/>
      </c>
      <c r="AB249" s="38" t="e">
        <f t="shared" si="128"/>
        <v>#VALUE!</v>
      </c>
      <c r="AC249" s="38" t="str">
        <f t="shared" si="129"/>
        <v/>
      </c>
      <c r="AD249" s="38" t="str">
        <f t="shared" si="129"/>
        <v/>
      </c>
      <c r="AE249" s="38" t="e">
        <f t="shared" si="130"/>
        <v>#VALUE!</v>
      </c>
      <c r="AF249" s="237" t="e">
        <f>((Summary!$N$13*(AA249*AD249)*(A249-$D$3))+(Summary!$M$13*Z249*AC249*(AJ249-EOMONTH(EDATE(A249,-1),0))))/(AK249*AB249*AE249)</f>
        <v>#VALUE!</v>
      </c>
      <c r="AG249" s="88" t="str">
        <f>IF($A250="","",Summary!$Q$13)</f>
        <v/>
      </c>
      <c r="AH249" s="88" t="str">
        <f>IF($A250="","",IF(Summary!$R$12="Y",(VLOOKUP($A249,Summary!$AD$6:$AF$9,3)+'Escalating commodity'!I262),'Escalating commodity'!I262))</f>
        <v/>
      </c>
      <c r="AI249" s="88" t="str">
        <f t="shared" si="145"/>
        <v/>
      </c>
      <c r="AJ249" s="236" t="e">
        <f t="shared" si="131"/>
        <v>#VALUE!</v>
      </c>
      <c r="AK249" s="58" t="str">
        <f t="shared" si="132"/>
        <v/>
      </c>
      <c r="AL249" s="26" t="str">
        <f>IF($A250="","",_xll.SPRDOPT(P249,X249,AI249,0,AB249,AE249,AF249,AK249,$AJ$2,0))</f>
        <v/>
      </c>
      <c r="AM249" s="209" t="str">
        <f t="shared" si="133"/>
        <v/>
      </c>
      <c r="AN249" s="89" t="str">
        <f t="shared" si="134"/>
        <v/>
      </c>
      <c r="AO249" s="3" t="str">
        <f t="shared" si="135"/>
        <v/>
      </c>
      <c r="AP249" s="33" t="str">
        <f t="shared" si="136"/>
        <v/>
      </c>
      <c r="AQ249" s="58" t="str">
        <f t="shared" si="137"/>
        <v/>
      </c>
      <c r="AR249" s="38">
        <f>'ANR OK vs ML7'!AR249</f>
        <v>0.1</v>
      </c>
      <c r="AS249" s="35" t="str">
        <f t="shared" si="138"/>
        <v/>
      </c>
      <c r="AT249" s="3" t="str">
        <f t="shared" si="139"/>
        <v/>
      </c>
      <c r="AU249" s="3" t="str">
        <f t="shared" si="140"/>
        <v/>
      </c>
      <c r="AW249" s="32" t="str">
        <f t="shared" si="141"/>
        <v/>
      </c>
      <c r="AX249" s="32" t="str">
        <f t="shared" si="142"/>
        <v/>
      </c>
      <c r="AY249" s="32" t="str">
        <f t="shared" si="143"/>
        <v/>
      </c>
      <c r="BA249" s="32" t="str">
        <f>IF($A250="","",F249*Summary!$Q$13)</f>
        <v/>
      </c>
    </row>
    <row r="250" spans="1:53" ht="12" customHeight="1">
      <c r="A250" s="67" t="str">
        <f t="shared" si="144"/>
        <v/>
      </c>
      <c r="B250" s="69" t="str">
        <f t="shared" si="146"/>
        <v/>
      </c>
      <c r="C250" s="71"/>
      <c r="D250" s="69" t="str">
        <f t="shared" si="111"/>
        <v/>
      </c>
      <c r="E250" s="70" t="str">
        <f t="shared" si="112"/>
        <v/>
      </c>
      <c r="F250" s="70" t="str">
        <f t="shared" si="113"/>
        <v/>
      </c>
      <c r="G250" s="63" t="str">
        <f t="shared" si="114"/>
        <v/>
      </c>
      <c r="H250" s="64" t="str">
        <f t="shared" si="115"/>
        <v/>
      </c>
      <c r="I250" s="43"/>
      <c r="J250" s="63" t="str">
        <f t="shared" si="116"/>
        <v/>
      </c>
      <c r="K250" s="64" t="str">
        <f t="shared" si="117"/>
        <v/>
      </c>
      <c r="L250" s="38">
        <v>0</v>
      </c>
      <c r="M250" s="64" t="str">
        <f t="shared" si="118"/>
        <v/>
      </c>
      <c r="N250" s="65"/>
      <c r="O250" s="63" t="str">
        <f t="shared" si="119"/>
        <v/>
      </c>
      <c r="P250" s="63" t="str">
        <f t="shared" si="120"/>
        <v/>
      </c>
      <c r="Q250" s="66"/>
      <c r="R250" s="63" t="str">
        <f t="shared" si="121"/>
        <v/>
      </c>
      <c r="S250" s="64" t="str">
        <f t="shared" si="122"/>
        <v/>
      </c>
      <c r="T250" s="38">
        <v>0</v>
      </c>
      <c r="U250" s="64" t="str">
        <f t="shared" si="123"/>
        <v/>
      </c>
      <c r="V250" s="219"/>
      <c r="W250" s="43" t="str">
        <f t="shared" si="124"/>
        <v/>
      </c>
      <c r="X250" s="43" t="str">
        <f t="shared" si="125"/>
        <v/>
      </c>
      <c r="Y250" s="43"/>
      <c r="Z250" s="38" t="str">
        <f t="shared" si="126"/>
        <v/>
      </c>
      <c r="AA250" s="38" t="str">
        <f t="shared" si="127"/>
        <v/>
      </c>
      <c r="AB250" s="38" t="e">
        <f t="shared" si="128"/>
        <v>#VALUE!</v>
      </c>
      <c r="AC250" s="38" t="str">
        <f t="shared" si="129"/>
        <v/>
      </c>
      <c r="AD250" s="38" t="str">
        <f t="shared" si="129"/>
        <v/>
      </c>
      <c r="AE250" s="38" t="e">
        <f t="shared" si="130"/>
        <v>#VALUE!</v>
      </c>
      <c r="AF250" s="237" t="e">
        <f>((Summary!$N$13*(AA250*AD250)*(A250-$D$3))+(Summary!$M$13*Z250*AC250*(AJ250-EOMONTH(EDATE(A250,-1),0))))/(AK250*AB250*AE250)</f>
        <v>#VALUE!</v>
      </c>
      <c r="AG250" s="88" t="str">
        <f>IF($A251="","",Summary!$Q$13)</f>
        <v/>
      </c>
      <c r="AH250" s="88" t="str">
        <f>IF($A251="","",IF(Summary!$R$12="Y",(VLOOKUP($A250,Summary!$AD$6:$AF$9,3)+'Escalating commodity'!I263),'Escalating commodity'!I263))</f>
        <v/>
      </c>
      <c r="AI250" s="88" t="str">
        <f t="shared" si="145"/>
        <v/>
      </c>
      <c r="AJ250" s="236" t="e">
        <f t="shared" si="131"/>
        <v>#VALUE!</v>
      </c>
      <c r="AK250" s="58" t="str">
        <f t="shared" si="132"/>
        <v/>
      </c>
      <c r="AL250" s="26" t="str">
        <f>IF($A251="","",_xll.SPRDOPT(P250,X250,AI250,0,AB250,AE250,AF250,AK250,$AJ$2,0))</f>
        <v/>
      </c>
      <c r="AM250" s="209" t="str">
        <f t="shared" si="133"/>
        <v/>
      </c>
      <c r="AN250" s="89" t="str">
        <f t="shared" si="134"/>
        <v/>
      </c>
      <c r="AO250" s="3" t="str">
        <f t="shared" si="135"/>
        <v/>
      </c>
      <c r="AP250" s="33" t="str">
        <f t="shared" si="136"/>
        <v/>
      </c>
      <c r="AQ250" s="58" t="str">
        <f t="shared" si="137"/>
        <v/>
      </c>
      <c r="AR250" s="38">
        <f>'ANR OK vs ML7'!AR250</f>
        <v>0.1</v>
      </c>
      <c r="AS250" s="35" t="str">
        <f t="shared" si="138"/>
        <v/>
      </c>
      <c r="AT250" s="3" t="str">
        <f t="shared" si="139"/>
        <v/>
      </c>
      <c r="AU250" s="3" t="str">
        <f t="shared" si="140"/>
        <v/>
      </c>
      <c r="AW250" s="32" t="str">
        <f t="shared" si="141"/>
        <v/>
      </c>
      <c r="AX250" s="32" t="str">
        <f t="shared" si="142"/>
        <v/>
      </c>
      <c r="AY250" s="32" t="str">
        <f t="shared" si="143"/>
        <v/>
      </c>
      <c r="BA250" s="32" t="str">
        <f>IF($A251="","",F250*Summary!$Q$13)</f>
        <v/>
      </c>
    </row>
    <row r="251" spans="1:53" ht="12" customHeight="1">
      <c r="A251" s="67" t="str">
        <f t="shared" si="144"/>
        <v/>
      </c>
      <c r="B251" s="69" t="str">
        <f t="shared" si="146"/>
        <v/>
      </c>
      <c r="C251" s="71"/>
      <c r="D251" s="69" t="str">
        <f t="shared" si="111"/>
        <v/>
      </c>
      <c r="E251" s="70" t="str">
        <f t="shared" si="112"/>
        <v/>
      </c>
      <c r="F251" s="70" t="str">
        <f t="shared" si="113"/>
        <v/>
      </c>
      <c r="G251" s="63" t="str">
        <f t="shared" si="114"/>
        <v/>
      </c>
      <c r="H251" s="64" t="str">
        <f t="shared" si="115"/>
        <v/>
      </c>
      <c r="I251" s="43"/>
      <c r="J251" s="63" t="str">
        <f t="shared" si="116"/>
        <v/>
      </c>
      <c r="K251" s="64" t="str">
        <f t="shared" si="117"/>
        <v/>
      </c>
      <c r="L251" s="38">
        <v>0</v>
      </c>
      <c r="M251" s="64" t="str">
        <f t="shared" si="118"/>
        <v/>
      </c>
      <c r="N251" s="65"/>
      <c r="O251" s="63" t="str">
        <f t="shared" si="119"/>
        <v/>
      </c>
      <c r="P251" s="63" t="str">
        <f t="shared" si="120"/>
        <v/>
      </c>
      <c r="Q251" s="66"/>
      <c r="R251" s="63" t="str">
        <f t="shared" si="121"/>
        <v/>
      </c>
      <c r="S251" s="64" t="str">
        <f t="shared" si="122"/>
        <v/>
      </c>
      <c r="T251" s="38">
        <v>0</v>
      </c>
      <c r="U251" s="64" t="str">
        <f t="shared" si="123"/>
        <v/>
      </c>
      <c r="V251" s="219"/>
      <c r="W251" s="43" t="str">
        <f t="shared" si="124"/>
        <v/>
      </c>
      <c r="X251" s="43" t="str">
        <f t="shared" si="125"/>
        <v/>
      </c>
      <c r="Y251" s="43"/>
      <c r="Z251" s="38" t="str">
        <f t="shared" si="126"/>
        <v/>
      </c>
      <c r="AA251" s="38" t="str">
        <f t="shared" si="127"/>
        <v/>
      </c>
      <c r="AB251" s="38" t="e">
        <f t="shared" si="128"/>
        <v>#VALUE!</v>
      </c>
      <c r="AC251" s="38" t="str">
        <f t="shared" si="129"/>
        <v/>
      </c>
      <c r="AD251" s="38" t="str">
        <f t="shared" si="129"/>
        <v/>
      </c>
      <c r="AE251" s="38" t="e">
        <f t="shared" si="130"/>
        <v>#VALUE!</v>
      </c>
      <c r="AF251" s="237" t="e">
        <f>((Summary!$N$13*(AA251*AD251)*(A251-$D$3))+(Summary!$M$13*Z251*AC251*(AJ251-EOMONTH(EDATE(A251,-1),0))))/(AK251*AB251*AE251)</f>
        <v>#VALUE!</v>
      </c>
      <c r="AG251" s="88" t="str">
        <f>IF($A252="","",Summary!$Q$13)</f>
        <v/>
      </c>
      <c r="AH251" s="88" t="str">
        <f>IF($A252="","",IF(Summary!$R$12="Y",(VLOOKUP($A251,Summary!$AD$6:$AF$9,3)+'Escalating commodity'!I264),'Escalating commodity'!I264))</f>
        <v/>
      </c>
      <c r="AI251" s="88" t="str">
        <f t="shared" si="145"/>
        <v/>
      </c>
      <c r="AJ251" s="236" t="e">
        <f t="shared" si="131"/>
        <v>#VALUE!</v>
      </c>
      <c r="AK251" s="58" t="str">
        <f t="shared" si="132"/>
        <v/>
      </c>
      <c r="AL251" s="26" t="str">
        <f>IF($A252="","",_xll.SPRDOPT(P251,X251,AI251,0,AB251,AE251,AF251,AK251,$AJ$2,0))</f>
        <v/>
      </c>
      <c r="AM251" s="209" t="str">
        <f t="shared" si="133"/>
        <v/>
      </c>
      <c r="AN251" s="89" t="str">
        <f t="shared" si="134"/>
        <v/>
      </c>
      <c r="AO251" s="3" t="str">
        <f t="shared" si="135"/>
        <v/>
      </c>
      <c r="AP251" s="33" t="str">
        <f t="shared" si="136"/>
        <v/>
      </c>
      <c r="AQ251" s="58" t="str">
        <f t="shared" si="137"/>
        <v/>
      </c>
      <c r="AR251" s="38">
        <f>'ANR OK vs ML7'!AR251</f>
        <v>0.1</v>
      </c>
      <c r="AS251" s="35" t="str">
        <f t="shared" si="138"/>
        <v/>
      </c>
      <c r="AT251" s="3" t="str">
        <f t="shared" si="139"/>
        <v/>
      </c>
      <c r="AU251" s="3" t="str">
        <f t="shared" si="140"/>
        <v/>
      </c>
      <c r="AW251" s="32" t="str">
        <f t="shared" si="141"/>
        <v/>
      </c>
      <c r="AX251" s="32" t="str">
        <f t="shared" si="142"/>
        <v/>
      </c>
      <c r="AY251" s="32" t="str">
        <f t="shared" si="143"/>
        <v/>
      </c>
      <c r="BA251" s="32" t="str">
        <f>IF($A252="","",F251*Summary!$Q$13)</f>
        <v/>
      </c>
    </row>
    <row r="252" spans="1:53" ht="12" customHeight="1">
      <c r="A252" s="67" t="str">
        <f t="shared" si="144"/>
        <v/>
      </c>
      <c r="B252" s="69" t="str">
        <f t="shared" si="146"/>
        <v/>
      </c>
      <c r="C252" s="71"/>
      <c r="D252" s="69" t="str">
        <f t="shared" si="111"/>
        <v/>
      </c>
      <c r="E252" s="70" t="str">
        <f t="shared" si="112"/>
        <v/>
      </c>
      <c r="F252" s="70" t="str">
        <f t="shared" si="113"/>
        <v/>
      </c>
      <c r="G252" s="63" t="str">
        <f t="shared" si="114"/>
        <v/>
      </c>
      <c r="H252" s="64" t="str">
        <f t="shared" si="115"/>
        <v/>
      </c>
      <c r="I252" s="43"/>
      <c r="J252" s="63" t="str">
        <f t="shared" si="116"/>
        <v/>
      </c>
      <c r="K252" s="64" t="str">
        <f t="shared" si="117"/>
        <v/>
      </c>
      <c r="L252" s="38">
        <v>0</v>
      </c>
      <c r="M252" s="64" t="str">
        <f t="shared" si="118"/>
        <v/>
      </c>
      <c r="N252" s="65"/>
      <c r="O252" s="63" t="str">
        <f t="shared" si="119"/>
        <v/>
      </c>
      <c r="P252" s="63" t="str">
        <f t="shared" si="120"/>
        <v/>
      </c>
      <c r="Q252" s="66"/>
      <c r="R252" s="63" t="str">
        <f t="shared" si="121"/>
        <v/>
      </c>
      <c r="S252" s="64" t="str">
        <f t="shared" si="122"/>
        <v/>
      </c>
      <c r="T252" s="38">
        <v>0</v>
      </c>
      <c r="U252" s="64" t="str">
        <f t="shared" si="123"/>
        <v/>
      </c>
      <c r="V252" s="219"/>
      <c r="W252" s="43" t="str">
        <f t="shared" si="124"/>
        <v/>
      </c>
      <c r="X252" s="43" t="str">
        <f t="shared" si="125"/>
        <v/>
      </c>
      <c r="Y252" s="43"/>
      <c r="Z252" s="38" t="str">
        <f t="shared" si="126"/>
        <v/>
      </c>
      <c r="AA252" s="38" t="str">
        <f t="shared" si="127"/>
        <v/>
      </c>
      <c r="AB252" s="38" t="e">
        <f t="shared" si="128"/>
        <v>#VALUE!</v>
      </c>
      <c r="AC252" s="38" t="str">
        <f t="shared" si="129"/>
        <v/>
      </c>
      <c r="AD252" s="38" t="str">
        <f t="shared" si="129"/>
        <v/>
      </c>
      <c r="AE252" s="38" t="e">
        <f t="shared" si="130"/>
        <v>#VALUE!</v>
      </c>
      <c r="AF252" s="237" t="e">
        <f>((Summary!$N$13*(AA252*AD252)*(A252-$D$3))+(Summary!$M$13*Z252*AC252*(AJ252-EOMONTH(EDATE(A252,-1),0))))/(AK252*AB252*AE252)</f>
        <v>#VALUE!</v>
      </c>
      <c r="AG252" s="88" t="str">
        <f>IF($A253="","",Summary!$Q$13)</f>
        <v/>
      </c>
      <c r="AH252" s="88" t="str">
        <f>IF($A253="","",IF(Summary!$R$12="Y",(VLOOKUP($A252,Summary!$AD$6:$AF$9,3)+'Escalating commodity'!I265),'Escalating commodity'!I265))</f>
        <v/>
      </c>
      <c r="AI252" s="88" t="str">
        <f t="shared" si="145"/>
        <v/>
      </c>
      <c r="AJ252" s="236" t="e">
        <f t="shared" si="131"/>
        <v>#VALUE!</v>
      </c>
      <c r="AK252" s="58" t="str">
        <f t="shared" si="132"/>
        <v/>
      </c>
      <c r="AL252" s="26" t="str">
        <f>IF($A253="","",_xll.SPRDOPT(P252,X252,AI252,0,AB252,AE252,AF252,AK252,$AJ$2,0))</f>
        <v/>
      </c>
      <c r="AM252" s="209" t="str">
        <f t="shared" si="133"/>
        <v/>
      </c>
      <c r="AN252" s="89" t="str">
        <f t="shared" si="134"/>
        <v/>
      </c>
      <c r="AO252" s="3" t="str">
        <f t="shared" si="135"/>
        <v/>
      </c>
      <c r="AP252" s="33" t="str">
        <f t="shared" si="136"/>
        <v/>
      </c>
      <c r="AQ252" s="58" t="str">
        <f t="shared" si="137"/>
        <v/>
      </c>
      <c r="AR252" s="38">
        <f>'ANR OK vs ML7'!AR252</f>
        <v>0.1</v>
      </c>
      <c r="AS252" s="35" t="str">
        <f t="shared" si="138"/>
        <v/>
      </c>
      <c r="AT252" s="3" t="str">
        <f t="shared" si="139"/>
        <v/>
      </c>
      <c r="AU252" s="3" t="str">
        <f t="shared" si="140"/>
        <v/>
      </c>
      <c r="AW252" s="32" t="str">
        <f t="shared" si="141"/>
        <v/>
      </c>
      <c r="AX252" s="32" t="str">
        <f t="shared" si="142"/>
        <v/>
      </c>
      <c r="AY252" s="32" t="str">
        <f t="shared" si="143"/>
        <v/>
      </c>
      <c r="BA252" s="32" t="str">
        <f>IF($A253="","",F252*Summary!$Q$13)</f>
        <v/>
      </c>
    </row>
    <row r="253" spans="1:53" ht="12" customHeight="1">
      <c r="A253" s="67" t="str">
        <f t="shared" si="144"/>
        <v/>
      </c>
      <c r="B253" s="69" t="str">
        <f t="shared" si="146"/>
        <v/>
      </c>
      <c r="C253" s="71"/>
      <c r="D253" s="69" t="str">
        <f t="shared" si="111"/>
        <v/>
      </c>
      <c r="E253" s="70" t="str">
        <f t="shared" si="112"/>
        <v/>
      </c>
      <c r="F253" s="70" t="str">
        <f t="shared" si="113"/>
        <v/>
      </c>
      <c r="G253" s="63" t="str">
        <f t="shared" si="114"/>
        <v/>
      </c>
      <c r="H253" s="64" t="str">
        <f t="shared" si="115"/>
        <v/>
      </c>
      <c r="I253" s="43"/>
      <c r="J253" s="63" t="str">
        <f t="shared" si="116"/>
        <v/>
      </c>
      <c r="K253" s="64" t="str">
        <f t="shared" si="117"/>
        <v/>
      </c>
      <c r="L253" s="38">
        <v>0</v>
      </c>
      <c r="M253" s="64" t="str">
        <f t="shared" si="118"/>
        <v/>
      </c>
      <c r="N253" s="65"/>
      <c r="O253" s="63" t="str">
        <f t="shared" si="119"/>
        <v/>
      </c>
      <c r="P253" s="63" t="str">
        <f t="shared" si="120"/>
        <v/>
      </c>
      <c r="Q253" s="66"/>
      <c r="R253" s="63" t="str">
        <f t="shared" si="121"/>
        <v/>
      </c>
      <c r="S253" s="64" t="str">
        <f t="shared" si="122"/>
        <v/>
      </c>
      <c r="T253" s="38">
        <v>0</v>
      </c>
      <c r="U253" s="64" t="str">
        <f t="shared" si="123"/>
        <v/>
      </c>
      <c r="V253" s="219"/>
      <c r="W253" s="43" t="str">
        <f t="shared" si="124"/>
        <v/>
      </c>
      <c r="X253" s="43" t="str">
        <f t="shared" si="125"/>
        <v/>
      </c>
      <c r="Y253" s="43"/>
      <c r="Z253" s="38" t="str">
        <f t="shared" si="126"/>
        <v/>
      </c>
      <c r="AA253" s="38" t="str">
        <f t="shared" si="127"/>
        <v/>
      </c>
      <c r="AB253" s="38" t="e">
        <f t="shared" si="128"/>
        <v>#VALUE!</v>
      </c>
      <c r="AC253" s="38" t="str">
        <f t="shared" si="129"/>
        <v/>
      </c>
      <c r="AD253" s="38" t="str">
        <f t="shared" si="129"/>
        <v/>
      </c>
      <c r="AE253" s="38" t="e">
        <f t="shared" si="130"/>
        <v>#VALUE!</v>
      </c>
      <c r="AF253" s="237" t="e">
        <f>((Summary!$N$13*(AA253*AD253)*(A253-$D$3))+(Summary!$M$13*Z253*AC253*(AJ253-EOMONTH(EDATE(A253,-1),0))))/(AK253*AB253*AE253)</f>
        <v>#VALUE!</v>
      </c>
      <c r="AG253" s="88" t="str">
        <f>IF($A254="","",Summary!$Q$13)</f>
        <v/>
      </c>
      <c r="AH253" s="88" t="str">
        <f>IF($A254="","",IF(Summary!$R$12="Y",(VLOOKUP($A253,Summary!$AD$6:$AF$9,3)+'Escalating commodity'!I266),'Escalating commodity'!I266))</f>
        <v/>
      </c>
      <c r="AI253" s="88" t="str">
        <f t="shared" si="145"/>
        <v/>
      </c>
      <c r="AJ253" s="236" t="e">
        <f t="shared" si="131"/>
        <v>#VALUE!</v>
      </c>
      <c r="AK253" s="58" t="str">
        <f t="shared" si="132"/>
        <v/>
      </c>
      <c r="AL253" s="26" t="str">
        <f>IF($A254="","",_xll.SPRDOPT(P253,X253,AI253,0,AB253,AE253,AF253,AK253,$AJ$2,0))</f>
        <v/>
      </c>
      <c r="AM253" s="209" t="str">
        <f t="shared" si="133"/>
        <v/>
      </c>
      <c r="AN253" s="89" t="str">
        <f t="shared" si="134"/>
        <v/>
      </c>
      <c r="AO253" s="3" t="str">
        <f t="shared" si="135"/>
        <v/>
      </c>
      <c r="AP253" s="33" t="str">
        <f t="shared" si="136"/>
        <v/>
      </c>
      <c r="AQ253" s="58" t="str">
        <f t="shared" si="137"/>
        <v/>
      </c>
      <c r="AR253" s="38">
        <f>'ANR OK vs ML7'!AR253</f>
        <v>0.1</v>
      </c>
      <c r="AS253" s="35" t="str">
        <f t="shared" si="138"/>
        <v/>
      </c>
      <c r="AT253" s="3" t="str">
        <f t="shared" si="139"/>
        <v/>
      </c>
      <c r="AU253" s="3" t="str">
        <f t="shared" si="140"/>
        <v/>
      </c>
      <c r="AW253" s="32" t="str">
        <f t="shared" si="141"/>
        <v/>
      </c>
      <c r="AX253" s="32" t="str">
        <f t="shared" si="142"/>
        <v/>
      </c>
      <c r="AY253" s="32" t="str">
        <f t="shared" si="143"/>
        <v/>
      </c>
      <c r="BA253" s="32" t="str">
        <f>IF($A254="","",F253*Summary!$Q$13)</f>
        <v/>
      </c>
    </row>
    <row r="254" spans="1:53" ht="12" customHeight="1">
      <c r="A254" s="67" t="str">
        <f t="shared" si="144"/>
        <v/>
      </c>
      <c r="B254" s="69" t="str">
        <f t="shared" si="146"/>
        <v/>
      </c>
      <c r="C254" s="71"/>
      <c r="D254" s="69" t="str">
        <f t="shared" si="111"/>
        <v/>
      </c>
      <c r="E254" s="70" t="str">
        <f t="shared" si="112"/>
        <v/>
      </c>
      <c r="F254" s="70" t="str">
        <f t="shared" si="113"/>
        <v/>
      </c>
      <c r="G254" s="63" t="str">
        <f t="shared" si="114"/>
        <v/>
      </c>
      <c r="H254" s="64" t="str">
        <f t="shared" si="115"/>
        <v/>
      </c>
      <c r="I254" s="43"/>
      <c r="J254" s="63" t="str">
        <f t="shared" si="116"/>
        <v/>
      </c>
      <c r="K254" s="64" t="str">
        <f t="shared" si="117"/>
        <v/>
      </c>
      <c r="L254" s="38">
        <v>0</v>
      </c>
      <c r="M254" s="64" t="str">
        <f t="shared" si="118"/>
        <v/>
      </c>
      <c r="N254" s="65"/>
      <c r="O254" s="63" t="str">
        <f t="shared" si="119"/>
        <v/>
      </c>
      <c r="P254" s="63" t="str">
        <f t="shared" si="120"/>
        <v/>
      </c>
      <c r="Q254" s="66"/>
      <c r="R254" s="63" t="str">
        <f t="shared" si="121"/>
        <v/>
      </c>
      <c r="S254" s="64" t="str">
        <f t="shared" si="122"/>
        <v/>
      </c>
      <c r="T254" s="38">
        <v>0</v>
      </c>
      <c r="U254" s="64" t="str">
        <f t="shared" si="123"/>
        <v/>
      </c>
      <c r="V254" s="219"/>
      <c r="W254" s="43" t="str">
        <f t="shared" si="124"/>
        <v/>
      </c>
      <c r="X254" s="43" t="str">
        <f t="shared" si="125"/>
        <v/>
      </c>
      <c r="Y254" s="43"/>
      <c r="Z254" s="38" t="str">
        <f t="shared" si="126"/>
        <v/>
      </c>
      <c r="AA254" s="38" t="str">
        <f t="shared" si="127"/>
        <v/>
      </c>
      <c r="AB254" s="38" t="e">
        <f t="shared" si="128"/>
        <v>#VALUE!</v>
      </c>
      <c r="AC254" s="38" t="str">
        <f t="shared" si="129"/>
        <v/>
      </c>
      <c r="AD254" s="38" t="str">
        <f t="shared" si="129"/>
        <v/>
      </c>
      <c r="AE254" s="38" t="e">
        <f t="shared" si="130"/>
        <v>#VALUE!</v>
      </c>
      <c r="AF254" s="237" t="e">
        <f>((Summary!$N$13*(AA254*AD254)*(A254-$D$3))+(Summary!$M$13*Z254*AC254*(AJ254-EOMONTH(EDATE(A254,-1),0))))/(AK254*AB254*AE254)</f>
        <v>#VALUE!</v>
      </c>
      <c r="AG254" s="88" t="str">
        <f>IF($A255="","",Summary!$Q$13)</f>
        <v/>
      </c>
      <c r="AH254" s="88" t="str">
        <f>IF($A255="","",IF(Summary!$R$12="Y",(VLOOKUP($A254,Summary!$AD$6:$AF$9,3)+'Escalating commodity'!I267),'Escalating commodity'!I267))</f>
        <v/>
      </c>
      <c r="AI254" s="88" t="str">
        <f t="shared" si="145"/>
        <v/>
      </c>
      <c r="AJ254" s="236" t="e">
        <f t="shared" si="131"/>
        <v>#VALUE!</v>
      </c>
      <c r="AK254" s="58" t="str">
        <f t="shared" si="132"/>
        <v/>
      </c>
      <c r="AL254" s="26" t="str">
        <f>IF($A255="","",_xll.SPRDOPT(P254,X254,AI254,0,AB254,AE254,AF254,AK254,$AJ$2,0))</f>
        <v/>
      </c>
      <c r="AM254" s="209" t="str">
        <f t="shared" si="133"/>
        <v/>
      </c>
      <c r="AN254" s="89" t="str">
        <f t="shared" si="134"/>
        <v/>
      </c>
      <c r="AO254" s="3" t="str">
        <f t="shared" si="135"/>
        <v/>
      </c>
      <c r="AP254" s="33" t="str">
        <f t="shared" si="136"/>
        <v/>
      </c>
      <c r="AQ254" s="58" t="str">
        <f t="shared" si="137"/>
        <v/>
      </c>
      <c r="AR254" s="38">
        <f>'ANR OK vs ML7'!AR254</f>
        <v>0.1</v>
      </c>
      <c r="AS254" s="35" t="str">
        <f t="shared" si="138"/>
        <v/>
      </c>
      <c r="AT254" s="3" t="str">
        <f t="shared" si="139"/>
        <v/>
      </c>
      <c r="AU254" s="3" t="str">
        <f t="shared" si="140"/>
        <v/>
      </c>
      <c r="AW254" s="32" t="str">
        <f t="shared" si="141"/>
        <v/>
      </c>
      <c r="AX254" s="32" t="str">
        <f t="shared" si="142"/>
        <v/>
      </c>
      <c r="AY254" s="32" t="str">
        <f t="shared" si="143"/>
        <v/>
      </c>
      <c r="BA254" s="32" t="str">
        <f>IF($A255="","",F254*Summary!$Q$13)</f>
        <v/>
      </c>
    </row>
    <row r="255" spans="1:53" ht="12" customHeight="1">
      <c r="A255" s="67" t="str">
        <f t="shared" si="144"/>
        <v/>
      </c>
      <c r="B255" s="69" t="str">
        <f t="shared" si="146"/>
        <v/>
      </c>
      <c r="C255" s="71"/>
      <c r="D255" s="69" t="str">
        <f t="shared" si="111"/>
        <v/>
      </c>
      <c r="E255" s="70" t="str">
        <f t="shared" si="112"/>
        <v/>
      </c>
      <c r="F255" s="70" t="str">
        <f t="shared" si="113"/>
        <v/>
      </c>
      <c r="G255" s="63" t="str">
        <f t="shared" si="114"/>
        <v/>
      </c>
      <c r="H255" s="64" t="str">
        <f t="shared" si="115"/>
        <v/>
      </c>
      <c r="I255" s="43"/>
      <c r="J255" s="63" t="str">
        <f t="shared" si="116"/>
        <v/>
      </c>
      <c r="K255" s="64" t="str">
        <f t="shared" si="117"/>
        <v/>
      </c>
      <c r="L255" s="38">
        <v>0</v>
      </c>
      <c r="M255" s="64" t="str">
        <f t="shared" si="118"/>
        <v/>
      </c>
      <c r="N255" s="65"/>
      <c r="O255" s="63" t="str">
        <f t="shared" si="119"/>
        <v/>
      </c>
      <c r="P255" s="63" t="str">
        <f t="shared" si="120"/>
        <v/>
      </c>
      <c r="Q255" s="66"/>
      <c r="R255" s="63" t="str">
        <f t="shared" si="121"/>
        <v/>
      </c>
      <c r="S255" s="64" t="str">
        <f t="shared" si="122"/>
        <v/>
      </c>
      <c r="T255" s="38">
        <v>0</v>
      </c>
      <c r="U255" s="64" t="str">
        <f t="shared" si="123"/>
        <v/>
      </c>
      <c r="V255" s="219"/>
      <c r="W255" s="43" t="str">
        <f t="shared" si="124"/>
        <v/>
      </c>
      <c r="X255" s="43" t="str">
        <f t="shared" si="125"/>
        <v/>
      </c>
      <c r="Y255" s="43"/>
      <c r="Z255" s="38" t="str">
        <f t="shared" si="126"/>
        <v/>
      </c>
      <c r="AA255" s="38" t="str">
        <f t="shared" si="127"/>
        <v/>
      </c>
      <c r="AB255" s="38" t="e">
        <f t="shared" si="128"/>
        <v>#VALUE!</v>
      </c>
      <c r="AC255" s="38" t="str">
        <f t="shared" si="129"/>
        <v/>
      </c>
      <c r="AD255" s="38" t="str">
        <f t="shared" si="129"/>
        <v/>
      </c>
      <c r="AE255" s="38" t="e">
        <f t="shared" si="130"/>
        <v>#VALUE!</v>
      </c>
      <c r="AF255" s="237" t="e">
        <f>((Summary!$N$13*(AA255*AD255)*(A255-$D$3))+(Summary!$M$13*Z255*AC255*(AJ255-EOMONTH(EDATE(A255,-1),0))))/(AK255*AB255*AE255)</f>
        <v>#VALUE!</v>
      </c>
      <c r="AG255" s="88" t="str">
        <f>IF($A256="","",Summary!$Q$13)</f>
        <v/>
      </c>
      <c r="AH255" s="88" t="str">
        <f>IF($A256="","",IF(Summary!$R$12="Y",(VLOOKUP($A255,Summary!$AD$6:$AF$9,3)+'Escalating commodity'!I268),'Escalating commodity'!I268))</f>
        <v/>
      </c>
      <c r="AI255" s="88" t="str">
        <f t="shared" si="145"/>
        <v/>
      </c>
      <c r="AJ255" s="236" t="e">
        <f t="shared" si="131"/>
        <v>#VALUE!</v>
      </c>
      <c r="AK255" s="58" t="str">
        <f t="shared" si="132"/>
        <v/>
      </c>
      <c r="AL255" s="26" t="str">
        <f>IF($A256="","",_xll.SPRDOPT(P255,X255,AI255,0,AB255,AE255,AF255,AK255,$AJ$2,0))</f>
        <v/>
      </c>
      <c r="AM255" s="209" t="str">
        <f t="shared" si="133"/>
        <v/>
      </c>
      <c r="AN255" s="89" t="str">
        <f t="shared" si="134"/>
        <v/>
      </c>
      <c r="AO255" s="3" t="str">
        <f t="shared" si="135"/>
        <v/>
      </c>
      <c r="AP255" s="33" t="str">
        <f t="shared" si="136"/>
        <v/>
      </c>
      <c r="AQ255" s="58" t="str">
        <f t="shared" si="137"/>
        <v/>
      </c>
      <c r="AR255" s="38">
        <f>'ANR OK vs ML7'!AR255</f>
        <v>0.1</v>
      </c>
      <c r="AS255" s="35" t="str">
        <f t="shared" si="138"/>
        <v/>
      </c>
      <c r="AT255" s="3" t="str">
        <f t="shared" si="139"/>
        <v/>
      </c>
      <c r="AU255" s="3" t="str">
        <f t="shared" si="140"/>
        <v/>
      </c>
      <c r="AW255" s="32" t="str">
        <f t="shared" si="141"/>
        <v/>
      </c>
      <c r="AX255" s="32" t="str">
        <f t="shared" si="142"/>
        <v/>
      </c>
      <c r="AY255" s="32" t="str">
        <f t="shared" si="143"/>
        <v/>
      </c>
      <c r="BA255" s="32" t="str">
        <f>IF($A256="","",F255*Summary!$Q$13)</f>
        <v/>
      </c>
    </row>
    <row r="256" spans="1:53" ht="12" customHeight="1">
      <c r="A256" s="67" t="str">
        <f t="shared" si="144"/>
        <v/>
      </c>
      <c r="B256" s="69" t="str">
        <f t="shared" si="146"/>
        <v/>
      </c>
      <c r="C256" s="71"/>
      <c r="D256" s="69" t="str">
        <f t="shared" si="111"/>
        <v/>
      </c>
      <c r="E256" s="70" t="str">
        <f t="shared" si="112"/>
        <v/>
      </c>
      <c r="F256" s="70" t="str">
        <f t="shared" si="113"/>
        <v/>
      </c>
      <c r="G256" s="63" t="str">
        <f t="shared" si="114"/>
        <v/>
      </c>
      <c r="H256" s="64" t="str">
        <f t="shared" si="115"/>
        <v/>
      </c>
      <c r="I256" s="43"/>
      <c r="J256" s="63" t="str">
        <f t="shared" si="116"/>
        <v/>
      </c>
      <c r="K256" s="64" t="str">
        <f t="shared" si="117"/>
        <v/>
      </c>
      <c r="L256" s="38">
        <v>0</v>
      </c>
      <c r="M256" s="64" t="str">
        <f t="shared" si="118"/>
        <v/>
      </c>
      <c r="N256" s="65"/>
      <c r="O256" s="63" t="str">
        <f t="shared" si="119"/>
        <v/>
      </c>
      <c r="P256" s="63" t="str">
        <f t="shared" si="120"/>
        <v/>
      </c>
      <c r="Q256" s="66"/>
      <c r="R256" s="63" t="str">
        <f t="shared" si="121"/>
        <v/>
      </c>
      <c r="S256" s="64" t="str">
        <f t="shared" si="122"/>
        <v/>
      </c>
      <c r="T256" s="38">
        <v>0</v>
      </c>
      <c r="U256" s="64" t="str">
        <f t="shared" si="123"/>
        <v/>
      </c>
      <c r="V256" s="219"/>
      <c r="W256" s="43" t="str">
        <f t="shared" si="124"/>
        <v/>
      </c>
      <c r="X256" s="43" t="str">
        <f t="shared" si="125"/>
        <v/>
      </c>
      <c r="Y256" s="43"/>
      <c r="Z256" s="38" t="str">
        <f t="shared" si="126"/>
        <v/>
      </c>
      <c r="AA256" s="38" t="str">
        <f t="shared" si="127"/>
        <v/>
      </c>
      <c r="AB256" s="38" t="e">
        <f t="shared" si="128"/>
        <v>#VALUE!</v>
      </c>
      <c r="AC256" s="38" t="str">
        <f t="shared" si="129"/>
        <v/>
      </c>
      <c r="AD256" s="38" t="str">
        <f t="shared" si="129"/>
        <v/>
      </c>
      <c r="AE256" s="38" t="e">
        <f t="shared" si="130"/>
        <v>#VALUE!</v>
      </c>
      <c r="AF256" s="237" t="e">
        <f>((Summary!$N$13*(AA256*AD256)*(A256-$D$3))+(Summary!$M$13*Z256*AC256*(AJ256-EOMONTH(EDATE(A256,-1),0))))/(AK256*AB256*AE256)</f>
        <v>#VALUE!</v>
      </c>
      <c r="AG256" s="88" t="str">
        <f>IF($A257="","",Summary!$Q$13)</f>
        <v/>
      </c>
      <c r="AH256" s="88" t="str">
        <f>IF($A257="","",IF(Summary!$R$12="Y",(VLOOKUP($A256,Summary!$AD$6:$AF$9,3)+'Escalating commodity'!I269),'Escalating commodity'!I269))</f>
        <v/>
      </c>
      <c r="AI256" s="88" t="str">
        <f t="shared" si="145"/>
        <v/>
      </c>
      <c r="AJ256" s="236" t="e">
        <f t="shared" si="131"/>
        <v>#VALUE!</v>
      </c>
      <c r="AK256" s="58" t="str">
        <f t="shared" si="132"/>
        <v/>
      </c>
      <c r="AL256" s="26" t="str">
        <f>IF($A257="","",_xll.SPRDOPT(P256,X256,AI256,0,AB256,AE256,AF256,AK256,$AJ$2,0))</f>
        <v/>
      </c>
      <c r="AM256" s="209" t="str">
        <f t="shared" si="133"/>
        <v/>
      </c>
      <c r="AN256" s="89" t="str">
        <f t="shared" si="134"/>
        <v/>
      </c>
      <c r="AO256" s="3" t="str">
        <f t="shared" si="135"/>
        <v/>
      </c>
      <c r="AP256" s="33" t="str">
        <f t="shared" si="136"/>
        <v/>
      </c>
      <c r="AQ256" s="58" t="str">
        <f t="shared" si="137"/>
        <v/>
      </c>
      <c r="AR256" s="38">
        <f>'ANR OK vs ML7'!AR256</f>
        <v>0.1</v>
      </c>
      <c r="AS256" s="35" t="str">
        <f t="shared" si="138"/>
        <v/>
      </c>
      <c r="AT256" s="3" t="str">
        <f t="shared" si="139"/>
        <v/>
      </c>
      <c r="AU256" s="3" t="str">
        <f t="shared" si="140"/>
        <v/>
      </c>
      <c r="AW256" s="32" t="str">
        <f t="shared" si="141"/>
        <v/>
      </c>
      <c r="AX256" s="32" t="str">
        <f t="shared" si="142"/>
        <v/>
      </c>
      <c r="AY256" s="32" t="str">
        <f t="shared" si="143"/>
        <v/>
      </c>
      <c r="BA256" s="32" t="str">
        <f>IF($A257="","",F256*Summary!$Q$13)</f>
        <v/>
      </c>
    </row>
    <row r="257" spans="1:53" ht="12" customHeight="1">
      <c r="A257" s="67" t="str">
        <f t="shared" si="144"/>
        <v/>
      </c>
      <c r="B257" s="69" t="str">
        <f t="shared" si="146"/>
        <v/>
      </c>
      <c r="C257" s="71"/>
      <c r="D257" s="69" t="str">
        <f t="shared" si="111"/>
        <v/>
      </c>
      <c r="E257" s="70" t="str">
        <f t="shared" si="112"/>
        <v/>
      </c>
      <c r="F257" s="70" t="str">
        <f t="shared" si="113"/>
        <v/>
      </c>
      <c r="G257" s="63" t="str">
        <f t="shared" si="114"/>
        <v/>
      </c>
      <c r="H257" s="64" t="str">
        <f t="shared" si="115"/>
        <v/>
      </c>
      <c r="I257" s="43"/>
      <c r="J257" s="63" t="str">
        <f t="shared" si="116"/>
        <v/>
      </c>
      <c r="K257" s="64" t="str">
        <f t="shared" si="117"/>
        <v/>
      </c>
      <c r="L257" s="38">
        <v>0</v>
      </c>
      <c r="M257" s="64" t="str">
        <f t="shared" si="118"/>
        <v/>
      </c>
      <c r="N257" s="65"/>
      <c r="O257" s="63" t="str">
        <f t="shared" si="119"/>
        <v/>
      </c>
      <c r="P257" s="63" t="str">
        <f t="shared" si="120"/>
        <v/>
      </c>
      <c r="Q257" s="66"/>
      <c r="R257" s="63" t="str">
        <f t="shared" si="121"/>
        <v/>
      </c>
      <c r="S257" s="64" t="str">
        <f t="shared" si="122"/>
        <v/>
      </c>
      <c r="T257" s="38">
        <v>0</v>
      </c>
      <c r="U257" s="64" t="str">
        <f t="shared" si="123"/>
        <v/>
      </c>
      <c r="V257" s="219"/>
      <c r="W257" s="43" t="str">
        <f t="shared" si="124"/>
        <v/>
      </c>
      <c r="X257" s="43" t="str">
        <f t="shared" si="125"/>
        <v/>
      </c>
      <c r="Y257" s="43"/>
      <c r="Z257" s="38" t="str">
        <f t="shared" si="126"/>
        <v/>
      </c>
      <c r="AA257" s="38" t="str">
        <f t="shared" si="127"/>
        <v/>
      </c>
      <c r="AB257" s="38" t="e">
        <f t="shared" si="128"/>
        <v>#VALUE!</v>
      </c>
      <c r="AC257" s="38" t="str">
        <f t="shared" si="129"/>
        <v/>
      </c>
      <c r="AD257" s="38" t="str">
        <f t="shared" si="129"/>
        <v/>
      </c>
      <c r="AE257" s="38" t="e">
        <f t="shared" si="130"/>
        <v>#VALUE!</v>
      </c>
      <c r="AF257" s="237" t="e">
        <f>((Summary!$N$13*(AA257*AD257)*(A257-$D$3))+(Summary!$M$13*Z257*AC257*(AJ257-EOMONTH(EDATE(A257,-1),0))))/(AK257*AB257*AE257)</f>
        <v>#VALUE!</v>
      </c>
      <c r="AG257" s="88" t="str">
        <f>IF($A258="","",Summary!$Q$13)</f>
        <v/>
      </c>
      <c r="AH257" s="88" t="str">
        <f>IF($A258="","",IF(Summary!$R$12="Y",(VLOOKUP($A257,Summary!$AD$6:$AF$9,3)+'Escalating commodity'!I270),'Escalating commodity'!I270))</f>
        <v/>
      </c>
      <c r="AI257" s="88" t="str">
        <f t="shared" si="145"/>
        <v/>
      </c>
      <c r="AJ257" s="236" t="e">
        <f t="shared" si="131"/>
        <v>#VALUE!</v>
      </c>
      <c r="AK257" s="58" t="str">
        <f t="shared" si="132"/>
        <v/>
      </c>
      <c r="AL257" s="26" t="str">
        <f>IF($A258="","",_xll.SPRDOPT(P257,X257,AI257,0,AB257,AE257,AF257,AK257,$AJ$2,0))</f>
        <v/>
      </c>
      <c r="AM257" s="209" t="str">
        <f t="shared" si="133"/>
        <v/>
      </c>
      <c r="AN257" s="89" t="str">
        <f t="shared" si="134"/>
        <v/>
      </c>
      <c r="AO257" s="3" t="str">
        <f t="shared" si="135"/>
        <v/>
      </c>
      <c r="AP257" s="33" t="str">
        <f t="shared" si="136"/>
        <v/>
      </c>
      <c r="AQ257" s="58" t="str">
        <f t="shared" si="137"/>
        <v/>
      </c>
      <c r="AR257" s="38">
        <f>'ANR OK vs ML7'!AR257</f>
        <v>0.1</v>
      </c>
      <c r="AS257" s="35" t="str">
        <f t="shared" si="138"/>
        <v/>
      </c>
      <c r="AT257" s="3" t="str">
        <f t="shared" si="139"/>
        <v/>
      </c>
      <c r="AU257" s="3" t="str">
        <f t="shared" si="140"/>
        <v/>
      </c>
      <c r="AW257" s="32" t="str">
        <f t="shared" si="141"/>
        <v/>
      </c>
      <c r="AX257" s="32" t="str">
        <f t="shared" si="142"/>
        <v/>
      </c>
      <c r="AY257" s="32" t="str">
        <f t="shared" si="143"/>
        <v/>
      </c>
      <c r="BA257" s="32" t="str">
        <f>IF($A258="","",F257*Summary!$Q$13)</f>
        <v/>
      </c>
    </row>
    <row r="258" spans="1:53" ht="12" customHeight="1">
      <c r="A258" s="67" t="str">
        <f t="shared" si="144"/>
        <v/>
      </c>
      <c r="B258" s="69" t="str">
        <f t="shared" si="146"/>
        <v/>
      </c>
      <c r="C258" s="71"/>
      <c r="D258" s="69" t="str">
        <f t="shared" si="111"/>
        <v/>
      </c>
      <c r="E258" s="70" t="str">
        <f t="shared" si="112"/>
        <v/>
      </c>
      <c r="F258" s="70" t="str">
        <f t="shared" si="113"/>
        <v/>
      </c>
      <c r="G258" s="63" t="str">
        <f t="shared" si="114"/>
        <v/>
      </c>
      <c r="H258" s="64" t="str">
        <f t="shared" si="115"/>
        <v/>
      </c>
      <c r="I258" s="43"/>
      <c r="J258" s="63" t="str">
        <f t="shared" si="116"/>
        <v/>
      </c>
      <c r="K258" s="64" t="str">
        <f t="shared" si="117"/>
        <v/>
      </c>
      <c r="L258" s="38">
        <v>0</v>
      </c>
      <c r="M258" s="64" t="str">
        <f t="shared" si="118"/>
        <v/>
      </c>
      <c r="N258" s="65"/>
      <c r="O258" s="63" t="str">
        <f t="shared" si="119"/>
        <v/>
      </c>
      <c r="P258" s="63" t="str">
        <f t="shared" si="120"/>
        <v/>
      </c>
      <c r="Q258" s="66"/>
      <c r="R258" s="63" t="str">
        <f t="shared" si="121"/>
        <v/>
      </c>
      <c r="S258" s="64" t="str">
        <f t="shared" si="122"/>
        <v/>
      </c>
      <c r="T258" s="38">
        <v>0</v>
      </c>
      <c r="U258" s="64" t="str">
        <f t="shared" si="123"/>
        <v/>
      </c>
      <c r="V258" s="219"/>
      <c r="W258" s="43" t="str">
        <f t="shared" si="124"/>
        <v/>
      </c>
      <c r="X258" s="43" t="str">
        <f t="shared" si="125"/>
        <v/>
      </c>
      <c r="Y258" s="43"/>
      <c r="Z258" s="38" t="str">
        <f t="shared" si="126"/>
        <v/>
      </c>
      <c r="AA258" s="38" t="str">
        <f t="shared" si="127"/>
        <v/>
      </c>
      <c r="AB258" s="38" t="e">
        <f t="shared" si="128"/>
        <v>#VALUE!</v>
      </c>
      <c r="AC258" s="38" t="str">
        <f t="shared" si="129"/>
        <v/>
      </c>
      <c r="AD258" s="38" t="str">
        <f t="shared" si="129"/>
        <v/>
      </c>
      <c r="AE258" s="38" t="e">
        <f t="shared" si="130"/>
        <v>#VALUE!</v>
      </c>
      <c r="AF258" s="237" t="e">
        <f>((Summary!$N$13*(AA258*AD258)*(A258-$D$3))+(Summary!$M$13*Z258*AC258*(AJ258-EOMONTH(EDATE(A258,-1),0))))/(AK258*AB258*AE258)</f>
        <v>#VALUE!</v>
      </c>
      <c r="AG258" s="88" t="str">
        <f>IF($A259="","",Summary!$Q$13)</f>
        <v/>
      </c>
      <c r="AH258" s="88" t="str">
        <f>IF($A259="","",IF(Summary!$R$12="Y",(VLOOKUP($A258,Summary!$AD$6:$AF$9,3)+'Escalating commodity'!I271),'Escalating commodity'!I271))</f>
        <v/>
      </c>
      <c r="AI258" s="88" t="str">
        <f t="shared" si="145"/>
        <v/>
      </c>
      <c r="AJ258" s="236" t="e">
        <f t="shared" si="131"/>
        <v>#VALUE!</v>
      </c>
      <c r="AK258" s="58" t="str">
        <f t="shared" si="132"/>
        <v/>
      </c>
      <c r="AL258" s="26" t="str">
        <f>IF($A259="","",_xll.SPRDOPT(P258,X258,AI258,0,AB258,AE258,AF258,AK258,$AJ$2,0))</f>
        <v/>
      </c>
      <c r="AM258" s="209" t="str">
        <f t="shared" si="133"/>
        <v/>
      </c>
      <c r="AN258" s="89" t="str">
        <f t="shared" si="134"/>
        <v/>
      </c>
      <c r="AO258" s="3" t="str">
        <f t="shared" si="135"/>
        <v/>
      </c>
      <c r="AP258" s="33" t="str">
        <f t="shared" si="136"/>
        <v/>
      </c>
      <c r="AQ258" s="58" t="str">
        <f t="shared" si="137"/>
        <v/>
      </c>
      <c r="AR258" s="38">
        <f>'ANR OK vs ML7'!AR258</f>
        <v>0.1</v>
      </c>
      <c r="AS258" s="35" t="str">
        <f t="shared" si="138"/>
        <v/>
      </c>
      <c r="AT258" s="3" t="str">
        <f t="shared" si="139"/>
        <v/>
      </c>
      <c r="AU258" s="3" t="str">
        <f t="shared" si="140"/>
        <v/>
      </c>
      <c r="AW258" s="32" t="str">
        <f t="shared" si="141"/>
        <v/>
      </c>
      <c r="AX258" s="32" t="str">
        <f t="shared" si="142"/>
        <v/>
      </c>
      <c r="AY258" s="32" t="str">
        <f t="shared" si="143"/>
        <v/>
      </c>
      <c r="BA258" s="32" t="str">
        <f>IF($A259="","",F258*Summary!$Q$13)</f>
        <v/>
      </c>
    </row>
    <row r="259" spans="1:53" ht="12" customHeight="1">
      <c r="A259" s="67" t="str">
        <f t="shared" si="144"/>
        <v/>
      </c>
      <c r="B259" s="69" t="str">
        <f t="shared" si="146"/>
        <v/>
      </c>
      <c r="C259" s="71"/>
      <c r="D259" s="69" t="str">
        <f t="shared" si="111"/>
        <v/>
      </c>
      <c r="E259" s="70" t="str">
        <f t="shared" si="112"/>
        <v/>
      </c>
      <c r="F259" s="70" t="str">
        <f t="shared" si="113"/>
        <v/>
      </c>
      <c r="G259" s="63" t="str">
        <f t="shared" si="114"/>
        <v/>
      </c>
      <c r="H259" s="64" t="str">
        <f t="shared" si="115"/>
        <v/>
      </c>
      <c r="I259" s="43"/>
      <c r="J259" s="63" t="str">
        <f t="shared" si="116"/>
        <v/>
      </c>
      <c r="K259" s="64" t="str">
        <f t="shared" si="117"/>
        <v/>
      </c>
      <c r="L259" s="38">
        <v>0</v>
      </c>
      <c r="M259" s="64" t="str">
        <f t="shared" si="118"/>
        <v/>
      </c>
      <c r="N259" s="65"/>
      <c r="O259" s="63" t="str">
        <f t="shared" si="119"/>
        <v/>
      </c>
      <c r="P259" s="63" t="str">
        <f t="shared" si="120"/>
        <v/>
      </c>
      <c r="Q259" s="66"/>
      <c r="R259" s="63" t="str">
        <f t="shared" si="121"/>
        <v/>
      </c>
      <c r="S259" s="64" t="str">
        <f t="shared" si="122"/>
        <v/>
      </c>
      <c r="T259" s="38">
        <v>0</v>
      </c>
      <c r="U259" s="64" t="str">
        <f t="shared" si="123"/>
        <v/>
      </c>
      <c r="V259" s="219"/>
      <c r="W259" s="43" t="str">
        <f t="shared" si="124"/>
        <v/>
      </c>
      <c r="X259" s="43" t="str">
        <f t="shared" si="125"/>
        <v/>
      </c>
      <c r="Y259" s="43"/>
      <c r="Z259" s="38" t="str">
        <f t="shared" si="126"/>
        <v/>
      </c>
      <c r="AA259" s="38" t="str">
        <f t="shared" si="127"/>
        <v/>
      </c>
      <c r="AB259" s="38" t="e">
        <f t="shared" si="128"/>
        <v>#VALUE!</v>
      </c>
      <c r="AC259" s="38" t="str">
        <f t="shared" si="129"/>
        <v/>
      </c>
      <c r="AD259" s="38" t="str">
        <f t="shared" si="129"/>
        <v/>
      </c>
      <c r="AE259" s="38" t="e">
        <f t="shared" si="130"/>
        <v>#VALUE!</v>
      </c>
      <c r="AF259" s="237" t="e">
        <f>((Summary!$N$13*(AA259*AD259)*(A259-$D$3))+(Summary!$M$13*Z259*AC259*(AJ259-EOMONTH(EDATE(A259,-1),0))))/(AK259*AB259*AE259)</f>
        <v>#VALUE!</v>
      </c>
      <c r="AG259" s="88" t="str">
        <f>IF($A260="","",Summary!$Q$13)</f>
        <v/>
      </c>
      <c r="AH259" s="88" t="str">
        <f>IF($A260="","",IF(Summary!$R$12="Y",(VLOOKUP($A259,Summary!$AD$6:$AF$9,3)+'Escalating commodity'!I272),'Escalating commodity'!I272))</f>
        <v/>
      </c>
      <c r="AI259" s="88" t="str">
        <f t="shared" si="145"/>
        <v/>
      </c>
      <c r="AJ259" s="236" t="e">
        <f t="shared" si="131"/>
        <v>#VALUE!</v>
      </c>
      <c r="AK259" s="58" t="str">
        <f t="shared" si="132"/>
        <v/>
      </c>
      <c r="AL259" s="26" t="str">
        <f>IF($A260="","",_xll.SPRDOPT(P259,X259,AI259,0,AB259,AE259,AF259,AK259,$AJ$2,0))</f>
        <v/>
      </c>
      <c r="AM259" s="209" t="str">
        <f t="shared" si="133"/>
        <v/>
      </c>
      <c r="AN259" s="89" t="str">
        <f t="shared" si="134"/>
        <v/>
      </c>
      <c r="AO259" s="3" t="str">
        <f t="shared" si="135"/>
        <v/>
      </c>
      <c r="AP259" s="33" t="str">
        <f t="shared" si="136"/>
        <v/>
      </c>
      <c r="AQ259" s="58" t="str">
        <f t="shared" si="137"/>
        <v/>
      </c>
      <c r="AR259" s="38">
        <f>'ANR OK vs ML7'!AR259</f>
        <v>0.1</v>
      </c>
      <c r="AS259" s="35" t="str">
        <f t="shared" si="138"/>
        <v/>
      </c>
      <c r="AT259" s="3" t="str">
        <f t="shared" si="139"/>
        <v/>
      </c>
      <c r="AU259" s="3" t="str">
        <f t="shared" si="140"/>
        <v/>
      </c>
      <c r="AW259" s="32" t="str">
        <f t="shared" si="141"/>
        <v/>
      </c>
      <c r="AX259" s="32" t="str">
        <f t="shared" si="142"/>
        <v/>
      </c>
      <c r="AY259" s="32" t="str">
        <f t="shared" si="143"/>
        <v/>
      </c>
      <c r="BA259" s="32" t="str">
        <f>IF($A260="","",F259*Summary!$Q$13)</f>
        <v/>
      </c>
    </row>
    <row r="260" spans="1:53" ht="12" customHeight="1">
      <c r="A260" s="67" t="str">
        <f t="shared" si="144"/>
        <v/>
      </c>
      <c r="B260" s="69" t="str">
        <f t="shared" si="146"/>
        <v/>
      </c>
      <c r="C260" s="71"/>
      <c r="D260" s="69" t="str">
        <f t="shared" si="111"/>
        <v/>
      </c>
      <c r="E260" s="70" t="str">
        <f t="shared" si="112"/>
        <v/>
      </c>
      <c r="F260" s="70" t="str">
        <f t="shared" si="113"/>
        <v/>
      </c>
      <c r="G260" s="63" t="str">
        <f t="shared" si="114"/>
        <v/>
      </c>
      <c r="H260" s="64" t="str">
        <f t="shared" si="115"/>
        <v/>
      </c>
      <c r="I260" s="43"/>
      <c r="J260" s="63" t="str">
        <f t="shared" si="116"/>
        <v/>
      </c>
      <c r="K260" s="64" t="str">
        <f t="shared" si="117"/>
        <v/>
      </c>
      <c r="L260" s="38">
        <v>0</v>
      </c>
      <c r="M260" s="64" t="str">
        <f t="shared" si="118"/>
        <v/>
      </c>
      <c r="N260" s="65"/>
      <c r="O260" s="63" t="str">
        <f t="shared" si="119"/>
        <v/>
      </c>
      <c r="P260" s="63" t="str">
        <f t="shared" si="120"/>
        <v/>
      </c>
      <c r="Q260" s="66"/>
      <c r="R260" s="63" t="str">
        <f t="shared" si="121"/>
        <v/>
      </c>
      <c r="S260" s="64" t="str">
        <f t="shared" si="122"/>
        <v/>
      </c>
      <c r="T260" s="38">
        <v>0</v>
      </c>
      <c r="U260" s="64" t="str">
        <f t="shared" si="123"/>
        <v/>
      </c>
      <c r="V260" s="219"/>
      <c r="W260" s="43" t="str">
        <f t="shared" si="124"/>
        <v/>
      </c>
      <c r="X260" s="43" t="str">
        <f t="shared" si="125"/>
        <v/>
      </c>
      <c r="Y260" s="43"/>
      <c r="Z260" s="38" t="str">
        <f t="shared" si="126"/>
        <v/>
      </c>
      <c r="AA260" s="38" t="str">
        <f t="shared" si="127"/>
        <v/>
      </c>
      <c r="AB260" s="38" t="e">
        <f t="shared" si="128"/>
        <v>#VALUE!</v>
      </c>
      <c r="AC260" s="38" t="str">
        <f t="shared" si="129"/>
        <v/>
      </c>
      <c r="AD260" s="38" t="str">
        <f t="shared" si="129"/>
        <v/>
      </c>
      <c r="AE260" s="38" t="e">
        <f t="shared" si="130"/>
        <v>#VALUE!</v>
      </c>
      <c r="AF260" s="237" t="e">
        <f>((Summary!$N$13*(AA260*AD260)*(A260-$D$3))+(Summary!$M$13*Z260*AC260*(AJ260-EOMONTH(EDATE(A260,-1),0))))/(AK260*AB260*AE260)</f>
        <v>#VALUE!</v>
      </c>
      <c r="AG260" s="88" t="str">
        <f>IF($A261="","",Summary!$Q$13)</f>
        <v/>
      </c>
      <c r="AH260" s="88" t="str">
        <f>IF($A261="","",IF(Summary!$R$12="Y",(VLOOKUP($A260,Summary!$AD$6:$AF$9,3)+'Escalating commodity'!I273),'Escalating commodity'!I273))</f>
        <v/>
      </c>
      <c r="AI260" s="88" t="str">
        <f t="shared" si="145"/>
        <v/>
      </c>
      <c r="AJ260" s="236" t="e">
        <f t="shared" si="131"/>
        <v>#VALUE!</v>
      </c>
      <c r="AK260" s="58" t="str">
        <f t="shared" si="132"/>
        <v/>
      </c>
      <c r="AL260" s="26" t="str">
        <f>IF($A261="","",_xll.SPRDOPT(P260,X260,AI260,0,AB260,AE260,AF260,AK260,$AJ$2,0))</f>
        <v/>
      </c>
      <c r="AM260" s="209" t="str">
        <f t="shared" si="133"/>
        <v/>
      </c>
      <c r="AN260" s="89" t="str">
        <f t="shared" si="134"/>
        <v/>
      </c>
      <c r="AO260" s="3" t="str">
        <f t="shared" si="135"/>
        <v/>
      </c>
      <c r="AP260" s="33" t="str">
        <f t="shared" si="136"/>
        <v/>
      </c>
      <c r="AQ260" s="58" t="str">
        <f t="shared" si="137"/>
        <v/>
      </c>
      <c r="AR260" s="38">
        <f>'ANR OK vs ML7'!AR260</f>
        <v>0.1</v>
      </c>
      <c r="AS260" s="35" t="str">
        <f t="shared" si="138"/>
        <v/>
      </c>
      <c r="AT260" s="3" t="str">
        <f t="shared" si="139"/>
        <v/>
      </c>
      <c r="AU260" s="3" t="str">
        <f t="shared" si="140"/>
        <v/>
      </c>
      <c r="AW260" s="32" t="str">
        <f t="shared" si="141"/>
        <v/>
      </c>
      <c r="AX260" s="32" t="str">
        <f t="shared" si="142"/>
        <v/>
      </c>
      <c r="AY260" s="32" t="str">
        <f t="shared" si="143"/>
        <v/>
      </c>
      <c r="BA260" s="32" t="str">
        <f>IF($A261="","",F260*Summary!$Q$13)</f>
        <v/>
      </c>
    </row>
    <row r="261" spans="1:53" ht="12" customHeight="1">
      <c r="A261" s="67" t="str">
        <f t="shared" si="144"/>
        <v/>
      </c>
      <c r="B261" s="69" t="str">
        <f t="shared" si="146"/>
        <v/>
      </c>
      <c r="C261" s="71"/>
      <c r="D261" s="69" t="str">
        <f t="shared" si="111"/>
        <v/>
      </c>
      <c r="E261" s="70" t="str">
        <f t="shared" si="112"/>
        <v/>
      </c>
      <c r="F261" s="70" t="str">
        <f t="shared" si="113"/>
        <v/>
      </c>
      <c r="G261" s="63" t="str">
        <f t="shared" si="114"/>
        <v/>
      </c>
      <c r="H261" s="64" t="str">
        <f t="shared" si="115"/>
        <v/>
      </c>
      <c r="I261" s="43"/>
      <c r="J261" s="63" t="str">
        <f t="shared" si="116"/>
        <v/>
      </c>
      <c r="K261" s="64" t="str">
        <f t="shared" si="117"/>
        <v/>
      </c>
      <c r="L261" s="38">
        <v>0</v>
      </c>
      <c r="M261" s="64" t="str">
        <f t="shared" si="118"/>
        <v/>
      </c>
      <c r="N261" s="65"/>
      <c r="O261" s="63" t="str">
        <f t="shared" si="119"/>
        <v/>
      </c>
      <c r="P261" s="63" t="str">
        <f t="shared" si="120"/>
        <v/>
      </c>
      <c r="Q261" s="66"/>
      <c r="R261" s="63" t="str">
        <f t="shared" si="121"/>
        <v/>
      </c>
      <c r="S261" s="64" t="str">
        <f t="shared" si="122"/>
        <v/>
      </c>
      <c r="T261" s="38">
        <v>0</v>
      </c>
      <c r="U261" s="64" t="str">
        <f t="shared" si="123"/>
        <v/>
      </c>
      <c r="V261" s="219"/>
      <c r="W261" s="43" t="str">
        <f t="shared" si="124"/>
        <v/>
      </c>
      <c r="X261" s="43" t="str">
        <f t="shared" si="125"/>
        <v/>
      </c>
      <c r="Y261" s="43"/>
      <c r="Z261" s="38" t="str">
        <f t="shared" si="126"/>
        <v/>
      </c>
      <c r="AA261" s="38" t="str">
        <f t="shared" si="127"/>
        <v/>
      </c>
      <c r="AB261" s="38" t="e">
        <f t="shared" si="128"/>
        <v>#VALUE!</v>
      </c>
      <c r="AC261" s="38" t="str">
        <f t="shared" si="129"/>
        <v/>
      </c>
      <c r="AD261" s="38" t="str">
        <f t="shared" si="129"/>
        <v/>
      </c>
      <c r="AE261" s="38" t="e">
        <f t="shared" si="130"/>
        <v>#VALUE!</v>
      </c>
      <c r="AF261" s="237" t="e">
        <f>((Summary!$N$13*(AA261*AD261)*(A261-$D$3))+(Summary!$M$13*Z261*AC261*(AJ261-EOMONTH(EDATE(A261,-1),0))))/(AK261*AB261*AE261)</f>
        <v>#VALUE!</v>
      </c>
      <c r="AG261" s="88" t="str">
        <f>IF($A262="","",Summary!$Q$13)</f>
        <v/>
      </c>
      <c r="AH261" s="88" t="str">
        <f>IF($A262="","",IF(Summary!$R$12="Y",(VLOOKUP($A261,Summary!$AD$6:$AF$9,3)+'Escalating commodity'!I274),'Escalating commodity'!I274))</f>
        <v/>
      </c>
      <c r="AI261" s="88" t="str">
        <f t="shared" si="145"/>
        <v/>
      </c>
      <c r="AJ261" s="236" t="e">
        <f t="shared" si="131"/>
        <v>#VALUE!</v>
      </c>
      <c r="AK261" s="58" t="str">
        <f t="shared" si="132"/>
        <v/>
      </c>
      <c r="AL261" s="26" t="str">
        <f>IF($A262="","",_xll.SPRDOPT(P261,X261,AI261,0,AB261,AE261,AF261,AK261,$AJ$2,0))</f>
        <v/>
      </c>
      <c r="AM261" s="209" t="str">
        <f t="shared" si="133"/>
        <v/>
      </c>
      <c r="AN261" s="89" t="str">
        <f t="shared" si="134"/>
        <v/>
      </c>
      <c r="AO261" s="3" t="str">
        <f t="shared" si="135"/>
        <v/>
      </c>
      <c r="AP261" s="33" t="str">
        <f t="shared" si="136"/>
        <v/>
      </c>
      <c r="AQ261" s="58" t="str">
        <f t="shared" si="137"/>
        <v/>
      </c>
      <c r="AR261" s="38">
        <f>'ANR OK vs ML7'!AR261</f>
        <v>0.1</v>
      </c>
      <c r="AS261" s="35" t="str">
        <f t="shared" si="138"/>
        <v/>
      </c>
      <c r="AT261" s="3" t="str">
        <f t="shared" si="139"/>
        <v/>
      </c>
      <c r="AU261" s="3" t="str">
        <f t="shared" si="140"/>
        <v/>
      </c>
      <c r="AW261" s="32" t="str">
        <f t="shared" si="141"/>
        <v/>
      </c>
      <c r="AX261" s="32" t="str">
        <f t="shared" si="142"/>
        <v/>
      </c>
      <c r="AY261" s="32" t="str">
        <f t="shared" si="143"/>
        <v/>
      </c>
      <c r="BA261" s="32" t="str">
        <f>IF($A262="","",F261*Summary!$Q$13)</f>
        <v/>
      </c>
    </row>
    <row r="262" spans="1:53" ht="12" customHeight="1">
      <c r="A262" s="67" t="str">
        <f t="shared" si="144"/>
        <v/>
      </c>
      <c r="B262" s="69" t="str">
        <f t="shared" si="146"/>
        <v/>
      </c>
      <c r="C262" s="71"/>
      <c r="D262" s="69" t="str">
        <f t="shared" si="111"/>
        <v/>
      </c>
      <c r="E262" s="70" t="str">
        <f t="shared" si="112"/>
        <v/>
      </c>
      <c r="F262" s="70" t="str">
        <f t="shared" si="113"/>
        <v/>
      </c>
      <c r="G262" s="63" t="str">
        <f t="shared" si="114"/>
        <v/>
      </c>
      <c r="H262" s="64" t="str">
        <f t="shared" si="115"/>
        <v/>
      </c>
      <c r="I262" s="43"/>
      <c r="J262" s="63" t="str">
        <f t="shared" si="116"/>
        <v/>
      </c>
      <c r="K262" s="64" t="str">
        <f t="shared" si="117"/>
        <v/>
      </c>
      <c r="L262" s="38">
        <v>0</v>
      </c>
      <c r="M262" s="64" t="str">
        <f t="shared" si="118"/>
        <v/>
      </c>
      <c r="N262" s="65"/>
      <c r="O262" s="63" t="str">
        <f t="shared" si="119"/>
        <v/>
      </c>
      <c r="P262" s="63" t="str">
        <f t="shared" si="120"/>
        <v/>
      </c>
      <c r="Q262" s="66"/>
      <c r="R262" s="63" t="str">
        <f t="shared" si="121"/>
        <v/>
      </c>
      <c r="S262" s="64" t="str">
        <f t="shared" si="122"/>
        <v/>
      </c>
      <c r="T262" s="38">
        <v>0</v>
      </c>
      <c r="U262" s="64" t="str">
        <f t="shared" si="123"/>
        <v/>
      </c>
      <c r="V262" s="219"/>
      <c r="W262" s="43" t="str">
        <f t="shared" si="124"/>
        <v/>
      </c>
      <c r="X262" s="43" t="str">
        <f t="shared" si="125"/>
        <v/>
      </c>
      <c r="Y262" s="43"/>
      <c r="Z262" s="38" t="str">
        <f t="shared" si="126"/>
        <v/>
      </c>
      <c r="AA262" s="38" t="str">
        <f t="shared" si="127"/>
        <v/>
      </c>
      <c r="AB262" s="38" t="e">
        <f t="shared" si="128"/>
        <v>#VALUE!</v>
      </c>
      <c r="AC262" s="38" t="str">
        <f t="shared" si="129"/>
        <v/>
      </c>
      <c r="AD262" s="38" t="str">
        <f t="shared" si="129"/>
        <v/>
      </c>
      <c r="AE262" s="38" t="e">
        <f t="shared" si="130"/>
        <v>#VALUE!</v>
      </c>
      <c r="AF262" s="237" t="e">
        <f>((Summary!$N$13*(AA262*AD262)*(A262-$D$3))+(Summary!$M$13*Z262*AC262*(AJ262-EOMONTH(EDATE(A262,-1),0))))/(AK262*AB262*AE262)</f>
        <v>#VALUE!</v>
      </c>
      <c r="AG262" s="88" t="str">
        <f>IF($A263="","",Summary!$Q$13)</f>
        <v/>
      </c>
      <c r="AH262" s="88" t="str">
        <f>IF($A263="","",IF(Summary!$R$12="Y",(VLOOKUP($A262,Summary!$AD$6:$AF$9,3)+'Escalating commodity'!I275),'Escalating commodity'!I275))</f>
        <v/>
      </c>
      <c r="AI262" s="88" t="str">
        <f t="shared" si="145"/>
        <v/>
      </c>
      <c r="AJ262" s="236" t="e">
        <f t="shared" si="131"/>
        <v>#VALUE!</v>
      </c>
      <c r="AK262" s="58" t="str">
        <f t="shared" si="132"/>
        <v/>
      </c>
      <c r="AL262" s="26" t="str">
        <f>IF($A263="","",_xll.SPRDOPT(P262,X262,AI262,0,AB262,AE262,AF262,AK262,$AJ$2,0))</f>
        <v/>
      </c>
      <c r="AM262" s="209" t="str">
        <f t="shared" si="133"/>
        <v/>
      </c>
      <c r="AN262" s="89" t="str">
        <f t="shared" si="134"/>
        <v/>
      </c>
      <c r="AO262" s="3" t="str">
        <f t="shared" si="135"/>
        <v/>
      </c>
      <c r="AP262" s="33" t="str">
        <f t="shared" si="136"/>
        <v/>
      </c>
      <c r="AQ262" s="58" t="str">
        <f t="shared" si="137"/>
        <v/>
      </c>
      <c r="AR262" s="38">
        <f>'ANR OK vs ML7'!AR262</f>
        <v>0.1</v>
      </c>
      <c r="AS262" s="35" t="str">
        <f t="shared" si="138"/>
        <v/>
      </c>
      <c r="AT262" s="3" t="str">
        <f t="shared" si="139"/>
        <v/>
      </c>
      <c r="AU262" s="3" t="str">
        <f t="shared" si="140"/>
        <v/>
      </c>
      <c r="AW262" s="32" t="str">
        <f t="shared" si="141"/>
        <v/>
      </c>
      <c r="AX262" s="32" t="str">
        <f t="shared" si="142"/>
        <v/>
      </c>
      <c r="AY262" s="32" t="str">
        <f t="shared" si="143"/>
        <v/>
      </c>
      <c r="BA262" s="32" t="str">
        <f>IF($A263="","",F262*Summary!$Q$13)</f>
        <v/>
      </c>
    </row>
    <row r="263" spans="1:53" ht="12" customHeight="1">
      <c r="A263" s="67" t="str">
        <f t="shared" si="144"/>
        <v/>
      </c>
      <c r="B263" s="69" t="str">
        <f t="shared" si="146"/>
        <v/>
      </c>
      <c r="C263" s="71"/>
      <c r="D263" s="69" t="str">
        <f t="shared" si="111"/>
        <v/>
      </c>
      <c r="E263" s="70" t="str">
        <f t="shared" si="112"/>
        <v/>
      </c>
      <c r="F263" s="70" t="str">
        <f t="shared" si="113"/>
        <v/>
      </c>
      <c r="G263" s="63" t="str">
        <f t="shared" si="114"/>
        <v/>
      </c>
      <c r="H263" s="64" t="str">
        <f t="shared" si="115"/>
        <v/>
      </c>
      <c r="I263" s="43"/>
      <c r="J263" s="63" t="str">
        <f t="shared" si="116"/>
        <v/>
      </c>
      <c r="K263" s="64" t="str">
        <f t="shared" si="117"/>
        <v/>
      </c>
      <c r="L263" s="38">
        <v>0</v>
      </c>
      <c r="M263" s="64" t="str">
        <f t="shared" si="118"/>
        <v/>
      </c>
      <c r="N263" s="65"/>
      <c r="O263" s="63" t="str">
        <f t="shared" si="119"/>
        <v/>
      </c>
      <c r="P263" s="63" t="str">
        <f t="shared" si="120"/>
        <v/>
      </c>
      <c r="Q263" s="66"/>
      <c r="R263" s="63" t="str">
        <f t="shared" si="121"/>
        <v/>
      </c>
      <c r="S263" s="64" t="str">
        <f t="shared" si="122"/>
        <v/>
      </c>
      <c r="T263" s="38">
        <v>0</v>
      </c>
      <c r="U263" s="64" t="str">
        <f t="shared" si="123"/>
        <v/>
      </c>
      <c r="V263" s="219"/>
      <c r="W263" s="43" t="str">
        <f t="shared" si="124"/>
        <v/>
      </c>
      <c r="X263" s="43" t="str">
        <f t="shared" si="125"/>
        <v/>
      </c>
      <c r="Y263" s="43"/>
      <c r="Z263" s="38" t="str">
        <f t="shared" si="126"/>
        <v/>
      </c>
      <c r="AA263" s="38" t="str">
        <f t="shared" si="127"/>
        <v/>
      </c>
      <c r="AB263" s="38" t="e">
        <f t="shared" si="128"/>
        <v>#VALUE!</v>
      </c>
      <c r="AC263" s="38" t="str">
        <f t="shared" si="129"/>
        <v/>
      </c>
      <c r="AD263" s="38" t="str">
        <f t="shared" si="129"/>
        <v/>
      </c>
      <c r="AE263" s="38" t="e">
        <f t="shared" si="130"/>
        <v>#VALUE!</v>
      </c>
      <c r="AF263" s="237" t="e">
        <f>((Summary!$N$13*(AA263*AD263)*(A263-$D$3))+(Summary!$M$13*Z263*AC263*(AJ263-EOMONTH(EDATE(A263,-1),0))))/(AK263*AB263*AE263)</f>
        <v>#VALUE!</v>
      </c>
      <c r="AG263" s="88" t="str">
        <f>IF($A264="","",Summary!$Q$13)</f>
        <v/>
      </c>
      <c r="AH263" s="88" t="str">
        <f>IF($A264="","",IF(Summary!$R$12="Y",(VLOOKUP($A263,Summary!$AD$6:$AF$9,3)+'Escalating commodity'!I276),'Escalating commodity'!I276))</f>
        <v/>
      </c>
      <c r="AI263" s="88" t="str">
        <f t="shared" si="145"/>
        <v/>
      </c>
      <c r="AJ263" s="236" t="e">
        <f t="shared" si="131"/>
        <v>#VALUE!</v>
      </c>
      <c r="AK263" s="58" t="str">
        <f t="shared" si="132"/>
        <v/>
      </c>
      <c r="AL263" s="26" t="str">
        <f>IF($A264="","",_xll.SPRDOPT(P263,X263,AI263,0,AB263,AE263,AF263,AK263,$AJ$2,0))</f>
        <v/>
      </c>
      <c r="AM263" s="209" t="str">
        <f t="shared" si="133"/>
        <v/>
      </c>
      <c r="AN263" s="89" t="str">
        <f t="shared" si="134"/>
        <v/>
      </c>
      <c r="AO263" s="3" t="str">
        <f t="shared" si="135"/>
        <v/>
      </c>
      <c r="AP263" s="33" t="str">
        <f t="shared" si="136"/>
        <v/>
      </c>
      <c r="AQ263" s="58" t="str">
        <f t="shared" si="137"/>
        <v/>
      </c>
      <c r="AR263" s="38">
        <f>'ANR OK vs ML7'!AR263</f>
        <v>0.1</v>
      </c>
      <c r="AS263" s="35" t="str">
        <f t="shared" si="138"/>
        <v/>
      </c>
      <c r="AT263" s="3" t="str">
        <f t="shared" si="139"/>
        <v/>
      </c>
      <c r="AU263" s="3" t="str">
        <f t="shared" si="140"/>
        <v/>
      </c>
      <c r="AW263" s="32" t="str">
        <f t="shared" si="141"/>
        <v/>
      </c>
      <c r="AX263" s="32" t="str">
        <f t="shared" si="142"/>
        <v/>
      </c>
      <c r="AY263" s="32" t="str">
        <f t="shared" si="143"/>
        <v/>
      </c>
      <c r="BA263" s="32" t="str">
        <f>IF($A264="","",F263*Summary!$Q$13)</f>
        <v/>
      </c>
    </row>
    <row r="264" spans="1:53" ht="12" customHeight="1">
      <c r="A264" s="67" t="str">
        <f t="shared" si="144"/>
        <v/>
      </c>
      <c r="B264" s="69" t="str">
        <f t="shared" si="146"/>
        <v/>
      </c>
      <c r="C264" s="71"/>
      <c r="D264" s="69" t="str">
        <f t="shared" si="111"/>
        <v/>
      </c>
      <c r="E264" s="70" t="str">
        <f t="shared" si="112"/>
        <v/>
      </c>
      <c r="F264" s="70" t="str">
        <f t="shared" si="113"/>
        <v/>
      </c>
      <c r="G264" s="63" t="str">
        <f t="shared" si="114"/>
        <v/>
      </c>
      <c r="H264" s="64" t="str">
        <f t="shared" si="115"/>
        <v/>
      </c>
      <c r="I264" s="43"/>
      <c r="J264" s="63" t="str">
        <f t="shared" si="116"/>
        <v/>
      </c>
      <c r="K264" s="64" t="str">
        <f t="shared" si="117"/>
        <v/>
      </c>
      <c r="L264" s="38">
        <v>0</v>
      </c>
      <c r="M264" s="64" t="str">
        <f t="shared" si="118"/>
        <v/>
      </c>
      <c r="N264" s="65"/>
      <c r="O264" s="63" t="str">
        <f t="shared" si="119"/>
        <v/>
      </c>
      <c r="P264" s="63" t="str">
        <f t="shared" si="120"/>
        <v/>
      </c>
      <c r="Q264" s="66"/>
      <c r="R264" s="63" t="str">
        <f t="shared" si="121"/>
        <v/>
      </c>
      <c r="S264" s="64" t="str">
        <f t="shared" si="122"/>
        <v/>
      </c>
      <c r="T264" s="38">
        <v>0</v>
      </c>
      <c r="U264" s="64" t="str">
        <f t="shared" si="123"/>
        <v/>
      </c>
      <c r="V264" s="219"/>
      <c r="W264" s="43" t="str">
        <f t="shared" si="124"/>
        <v/>
      </c>
      <c r="X264" s="43" t="str">
        <f t="shared" si="125"/>
        <v/>
      </c>
      <c r="Y264" s="43"/>
      <c r="Z264" s="38" t="str">
        <f t="shared" si="126"/>
        <v/>
      </c>
      <c r="AA264" s="38" t="str">
        <f t="shared" si="127"/>
        <v/>
      </c>
      <c r="AB264" s="38" t="e">
        <f t="shared" si="128"/>
        <v>#VALUE!</v>
      </c>
      <c r="AC264" s="38" t="str">
        <f t="shared" si="129"/>
        <v/>
      </c>
      <c r="AD264" s="38" t="str">
        <f t="shared" si="129"/>
        <v/>
      </c>
      <c r="AE264" s="38" t="e">
        <f t="shared" si="130"/>
        <v>#VALUE!</v>
      </c>
      <c r="AF264" s="237" t="e">
        <f>((Summary!$N$13*(AA264*AD264)*(A264-$D$3))+(Summary!$M$13*Z264*AC264*(AJ264-EOMONTH(EDATE(A264,-1),0))))/(AK264*AB264*AE264)</f>
        <v>#VALUE!</v>
      </c>
      <c r="AG264" s="88" t="str">
        <f>IF($A265="","",Summary!$Q$13)</f>
        <v/>
      </c>
      <c r="AH264" s="88" t="str">
        <f>IF($A265="","",IF(Summary!$R$12="Y",(VLOOKUP($A264,Summary!$AD$6:$AF$9,3)+'Escalating commodity'!I277),'Escalating commodity'!I277))</f>
        <v/>
      </c>
      <c r="AI264" s="88" t="str">
        <f t="shared" si="145"/>
        <v/>
      </c>
      <c r="AJ264" s="236" t="e">
        <f t="shared" si="131"/>
        <v>#VALUE!</v>
      </c>
      <c r="AK264" s="58" t="str">
        <f t="shared" si="132"/>
        <v/>
      </c>
      <c r="AL264" s="26" t="str">
        <f>IF($A265="","",_xll.SPRDOPT(P264,X264,AI264,0,AB264,AE264,AF264,AK264,$AJ$2,0))</f>
        <v/>
      </c>
      <c r="AM264" s="209" t="str">
        <f t="shared" si="133"/>
        <v/>
      </c>
      <c r="AN264" s="89" t="str">
        <f t="shared" si="134"/>
        <v/>
      </c>
      <c r="AO264" s="3" t="str">
        <f t="shared" si="135"/>
        <v/>
      </c>
      <c r="AP264" s="33" t="str">
        <f t="shared" si="136"/>
        <v/>
      </c>
      <c r="AQ264" s="58" t="str">
        <f t="shared" si="137"/>
        <v/>
      </c>
      <c r="AR264" s="38">
        <f>'ANR OK vs ML7'!AR264</f>
        <v>0.1</v>
      </c>
      <c r="AS264" s="35" t="str">
        <f t="shared" si="138"/>
        <v/>
      </c>
      <c r="AT264" s="3" t="str">
        <f t="shared" si="139"/>
        <v/>
      </c>
      <c r="AU264" s="3" t="str">
        <f t="shared" si="140"/>
        <v/>
      </c>
      <c r="AW264" s="32" t="str">
        <f t="shared" si="141"/>
        <v/>
      </c>
      <c r="AX264" s="32" t="str">
        <f t="shared" si="142"/>
        <v/>
      </c>
      <c r="AY264" s="32" t="str">
        <f t="shared" si="143"/>
        <v/>
      </c>
      <c r="BA264" s="32" t="str">
        <f>IF($A265="","",F264*Summary!$Q$13)</f>
        <v/>
      </c>
    </row>
    <row r="265" spans="1:53" ht="12" customHeight="1">
      <c r="A265" s="67" t="str">
        <f t="shared" si="144"/>
        <v/>
      </c>
      <c r="B265" s="69" t="str">
        <f t="shared" si="146"/>
        <v/>
      </c>
      <c r="C265" s="71"/>
      <c r="D265" s="69" t="str">
        <f t="shared" si="111"/>
        <v/>
      </c>
      <c r="E265" s="70" t="str">
        <f t="shared" si="112"/>
        <v/>
      </c>
      <c r="F265" s="70" t="str">
        <f t="shared" si="113"/>
        <v/>
      </c>
      <c r="G265" s="63" t="str">
        <f t="shared" si="114"/>
        <v/>
      </c>
      <c r="H265" s="64" t="str">
        <f t="shared" si="115"/>
        <v/>
      </c>
      <c r="I265" s="43"/>
      <c r="J265" s="63" t="str">
        <f t="shared" si="116"/>
        <v/>
      </c>
      <c r="K265" s="64" t="str">
        <f t="shared" si="117"/>
        <v/>
      </c>
      <c r="L265" s="38">
        <v>0</v>
      </c>
      <c r="M265" s="64" t="str">
        <f t="shared" si="118"/>
        <v/>
      </c>
      <c r="N265" s="65"/>
      <c r="O265" s="63" t="str">
        <f t="shared" si="119"/>
        <v/>
      </c>
      <c r="P265" s="63" t="str">
        <f t="shared" si="120"/>
        <v/>
      </c>
      <c r="Q265" s="66"/>
      <c r="R265" s="63" t="str">
        <f t="shared" si="121"/>
        <v/>
      </c>
      <c r="S265" s="64" t="str">
        <f t="shared" si="122"/>
        <v/>
      </c>
      <c r="T265" s="38">
        <v>0</v>
      </c>
      <c r="U265" s="64" t="str">
        <f t="shared" si="123"/>
        <v/>
      </c>
      <c r="V265" s="219"/>
      <c r="W265" s="43" t="str">
        <f t="shared" si="124"/>
        <v/>
      </c>
      <c r="X265" s="43" t="str">
        <f t="shared" si="125"/>
        <v/>
      </c>
      <c r="Y265" s="43"/>
      <c r="Z265" s="38" t="str">
        <f t="shared" si="126"/>
        <v/>
      </c>
      <c r="AA265" s="38" t="str">
        <f t="shared" si="127"/>
        <v/>
      </c>
      <c r="AB265" s="38" t="e">
        <f t="shared" si="128"/>
        <v>#VALUE!</v>
      </c>
      <c r="AC265" s="38" t="str">
        <f t="shared" si="129"/>
        <v/>
      </c>
      <c r="AD265" s="38" t="str">
        <f t="shared" si="129"/>
        <v/>
      </c>
      <c r="AE265" s="38" t="e">
        <f t="shared" si="130"/>
        <v>#VALUE!</v>
      </c>
      <c r="AF265" s="237" t="e">
        <f>((Summary!$N$13*(AA265*AD265)*(A265-$D$3))+(Summary!$M$13*Z265*AC265*(AJ265-EOMONTH(EDATE(A265,-1),0))))/(AK265*AB265*AE265)</f>
        <v>#VALUE!</v>
      </c>
      <c r="AG265" s="88" t="str">
        <f>IF($A266="","",Summary!$Q$13)</f>
        <v/>
      </c>
      <c r="AH265" s="88" t="str">
        <f>IF($A266="","",IF(Summary!$R$12="Y",(VLOOKUP($A265,Summary!$AD$6:$AF$9,3)+'Escalating commodity'!I278),'Escalating commodity'!I278))</f>
        <v/>
      </c>
      <c r="AI265" s="88" t="str">
        <f t="shared" si="145"/>
        <v/>
      </c>
      <c r="AJ265" s="236" t="e">
        <f t="shared" si="131"/>
        <v>#VALUE!</v>
      </c>
      <c r="AK265" s="58" t="str">
        <f t="shared" si="132"/>
        <v/>
      </c>
      <c r="AL265" s="26" t="str">
        <f>IF($A266="","",_xll.SPRDOPT(P265,X265,AI265,0,AB265,AE265,AF265,AK265,$AJ$2,0))</f>
        <v/>
      </c>
      <c r="AM265" s="209" t="str">
        <f t="shared" si="133"/>
        <v/>
      </c>
      <c r="AN265" s="89" t="str">
        <f t="shared" si="134"/>
        <v/>
      </c>
      <c r="AO265" s="3" t="str">
        <f t="shared" si="135"/>
        <v/>
      </c>
      <c r="AP265" s="33" t="str">
        <f t="shared" si="136"/>
        <v/>
      </c>
      <c r="AQ265" s="58" t="str">
        <f t="shared" si="137"/>
        <v/>
      </c>
      <c r="AR265" s="38">
        <f>'ANR OK vs ML7'!AR265</f>
        <v>0.1</v>
      </c>
      <c r="AS265" s="35" t="str">
        <f t="shared" si="138"/>
        <v/>
      </c>
      <c r="AT265" s="3" t="str">
        <f t="shared" si="139"/>
        <v/>
      </c>
      <c r="AU265" s="3" t="str">
        <f t="shared" si="140"/>
        <v/>
      </c>
      <c r="AW265" s="32" t="str">
        <f t="shared" si="141"/>
        <v/>
      </c>
      <c r="AX265" s="32" t="str">
        <f t="shared" si="142"/>
        <v/>
      </c>
      <c r="AY265" s="32" t="str">
        <f t="shared" si="143"/>
        <v/>
      </c>
      <c r="BA265" s="32" t="str">
        <f>IF($A266="","",F265*Summary!$Q$13)</f>
        <v/>
      </c>
    </row>
    <row r="266" spans="1:53" ht="12" customHeight="1">
      <c r="A266" s="67" t="str">
        <f t="shared" si="144"/>
        <v/>
      </c>
      <c r="B266" s="69" t="str">
        <f t="shared" si="146"/>
        <v/>
      </c>
      <c r="C266" s="71"/>
      <c r="D266" s="69" t="str">
        <f t="shared" ref="D266:D329" si="147">IF(A267&lt;&gt;"",B266+C266,"")</f>
        <v/>
      </c>
      <c r="E266" s="70" t="str">
        <f t="shared" ref="E266:E329" si="148">IF(A267="","",IF(AND(AT266=1,$H$3=1),D266*AO266,IF($H$3=2,D266,"N/A")))</f>
        <v/>
      </c>
      <c r="F266" s="70" t="str">
        <f t="shared" ref="F266:F329" si="149">IF(A267="","",E266*AS266)</f>
        <v/>
      </c>
      <c r="G266" s="63" t="str">
        <f t="shared" ref="G266:G329" si="150">IF($A267="","",VLOOKUP($A266,Table,MATCH(G$4,Curves,0)))</f>
        <v/>
      </c>
      <c r="H266" s="64" t="str">
        <f t="shared" ref="H266:H329" si="151">IF(A267="","",G266)</f>
        <v/>
      </c>
      <c r="I266" s="43"/>
      <c r="J266" s="63" t="str">
        <f t="shared" ref="J266:J329" si="152">IF($A267="","",VLOOKUP($A266,Table,MATCH(J$4,Curves,0)))</f>
        <v/>
      </c>
      <c r="K266" s="64" t="str">
        <f t="shared" ref="K266:K329" si="153">IF(A267="","",J266)</f>
        <v/>
      </c>
      <c r="L266" s="38">
        <v>0</v>
      </c>
      <c r="M266" s="64" t="str">
        <f t="shared" ref="M266:M329" si="154">IF(A267="","",L266)</f>
        <v/>
      </c>
      <c r="N266" s="65"/>
      <c r="O266" s="63" t="str">
        <f t="shared" ref="O266:O329" si="155">IF(A267="","",L266+J266+G266)</f>
        <v/>
      </c>
      <c r="P266" s="63" t="str">
        <f t="shared" ref="P266:P329" si="156">IF(A267="","",M266+K266+H266)</f>
        <v/>
      </c>
      <c r="Q266" s="66"/>
      <c r="R266" s="63" t="str">
        <f t="shared" ref="R266:R329" si="157">IF($A267="","",VLOOKUP($A266,Table,MATCH(R$4,Curves,0)))</f>
        <v/>
      </c>
      <c r="S266" s="64" t="str">
        <f t="shared" ref="S266:S329" si="158">IF(A267="","",R266)</f>
        <v/>
      </c>
      <c r="T266" s="38">
        <v>0</v>
      </c>
      <c r="U266" s="64" t="str">
        <f t="shared" ref="U266:U329" si="159">IF(A267="","",T266)</f>
        <v/>
      </c>
      <c r="V266" s="219"/>
      <c r="W266" s="43" t="str">
        <f t="shared" ref="W266:W329" si="160">IF($A267="","",(T266+R266+G266+V266))</f>
        <v/>
      </c>
      <c r="X266" s="43" t="str">
        <f t="shared" ref="X266:X329" si="161">IF($A267="","",(U266+S266+H266+V266))</f>
        <v/>
      </c>
      <c r="Y266" s="43"/>
      <c r="Z266" s="38" t="str">
        <f t="shared" ref="Z266:Z329" si="162">IF($A267="","",VLOOKUP($A266,Table,MATCH(Z$4,Curves,0)))</f>
        <v/>
      </c>
      <c r="AA266" s="38" t="str">
        <f t="shared" ref="AA266:AA329" si="163">IF($A267="","",VLOOKUP($A266,Table,MATCH(AA$4,Curves,0)))</f>
        <v/>
      </c>
      <c r="AB266" s="38" t="e">
        <f t="shared" ref="AB266:AB329" si="164">SQRT((AA266^2*(A266-$D$3)+Z266^2*(DAY(EOMONTH(A266,0))/2))/AK266)</f>
        <v>#VALUE!</v>
      </c>
      <c r="AC266" s="38" t="str">
        <f t="shared" ref="AC266:AD329" si="165">IF($A267="","",VLOOKUP($A266,Table,MATCH(AC$4,Curves,0)))</f>
        <v/>
      </c>
      <c r="AD266" s="38" t="str">
        <f t="shared" si="165"/>
        <v/>
      </c>
      <c r="AE266" s="38" t="e">
        <f t="shared" ref="AE266:AE329" si="166">SQRT((AD266^2*(A266-$D$3)+AC266^2*(DAY(EOMONTH(A266,0))/2))/AK266)</f>
        <v>#VALUE!</v>
      </c>
      <c r="AF266" s="237" t="e">
        <f>((Summary!$N$13*(AA266*AD266)*(A266-$D$3))+(Summary!$M$13*Z266*AC266*(AJ266-EOMONTH(EDATE(A266,-1),0))))/(AK266*AB266*AE266)</f>
        <v>#VALUE!</v>
      </c>
      <c r="AG266" s="88" t="str">
        <f>IF($A267="","",Summary!$Q$13)</f>
        <v/>
      </c>
      <c r="AH266" s="88" t="str">
        <f>IF($A267="","",IF(Summary!$R$12="Y",(VLOOKUP($A266,Summary!$AD$6:$AF$9,3)+'Escalating commodity'!I279),'Escalating commodity'!I279))</f>
        <v/>
      </c>
      <c r="AI266" s="88" t="str">
        <f t="shared" si="145"/>
        <v/>
      </c>
      <c r="AJ266" s="236" t="e">
        <f t="shared" ref="AJ266:AJ329" si="167">A266+DAY(EOMONTH(A266,0))/2-1</f>
        <v>#VALUE!</v>
      </c>
      <c r="AK266" s="58" t="str">
        <f t="shared" ref="AK266:AK329" si="168">IF($A267="","",$A266-$E$1)</f>
        <v/>
      </c>
      <c r="AL266" s="26" t="str">
        <f>IF($A267="","",_xll.SPRDOPT(P266,X266,AI266,0,AB266,AE266,AF266,AK266,$AJ$2,0))</f>
        <v/>
      </c>
      <c r="AM266" s="209" t="str">
        <f t="shared" ref="AM266:AM329" si="169">IF($A267="","",MAX(0,O266-W266-AI266))</f>
        <v/>
      </c>
      <c r="AN266" s="89" t="str">
        <f t="shared" ref="AN266:AN329" si="170">IF($A267="","",AL266-AM266)</f>
        <v/>
      </c>
      <c r="AO266" s="3" t="str">
        <f t="shared" ref="AO266:AO329" si="171">IF(A267="","",A267-A266)</f>
        <v/>
      </c>
      <c r="AP266" s="33" t="str">
        <f t="shared" ref="AP266:AP329" si="172">IF(A267="","",CHOOSE(F$3,A267+24,A266))</f>
        <v/>
      </c>
      <c r="AQ266" s="58" t="str">
        <f t="shared" ref="AQ266:AQ329" si="173">IF(A267="","",AP266-$E$1)</f>
        <v/>
      </c>
      <c r="AR266" s="38">
        <f>'ANR OK vs ML7'!AR266</f>
        <v>0.1</v>
      </c>
      <c r="AS266" s="35" t="str">
        <f t="shared" ref="AS266:AS329" si="174">IF(A267="","",1/(1+CHOOSE(F$3,(AR267+($I$3/10000))/2,(AR266+($I$3/10000))/2))^(2*AQ266/365.25))</f>
        <v/>
      </c>
      <c r="AT266" s="3" t="str">
        <f t="shared" ref="AT266:AT329" si="175">IF(A267="","",IF(AND(mthbeg&lt;=A266,mthend&gt;=A266),1,0))</f>
        <v/>
      </c>
      <c r="AU266" s="3" t="str">
        <f t="shared" ref="AU266:AU329" si="176">IF(A267="","",AO266*AT266)</f>
        <v/>
      </c>
      <c r="AW266" s="32" t="str">
        <f t="shared" ref="AW266:AW329" si="177">IF($A267="","",AL266*$E266)</f>
        <v/>
      </c>
      <c r="AX266" s="32" t="str">
        <f t="shared" ref="AX266:AX329" si="178">IF($A267="","",AM266*$E266)</f>
        <v/>
      </c>
      <c r="AY266" s="32" t="str">
        <f t="shared" ref="AY266:AY329" si="179">IF($A267="","",AN266*$E266)</f>
        <v/>
      </c>
      <c r="BA266" s="32" t="str">
        <f>IF($A267="","",F266*Summary!$Q$13)</f>
        <v/>
      </c>
    </row>
    <row r="267" spans="1:53" ht="12" customHeight="1">
      <c r="A267" s="67" t="str">
        <f t="shared" ref="A267:A330" si="180">IF(A266&lt;mthend,EDATE(A266,1),"")</f>
        <v/>
      </c>
      <c r="B267" s="69" t="str">
        <f t="shared" si="146"/>
        <v/>
      </c>
      <c r="C267" s="71"/>
      <c r="D267" s="69" t="str">
        <f t="shared" si="147"/>
        <v/>
      </c>
      <c r="E267" s="70" t="str">
        <f t="shared" si="148"/>
        <v/>
      </c>
      <c r="F267" s="70" t="str">
        <f t="shared" si="149"/>
        <v/>
      </c>
      <c r="G267" s="63" t="str">
        <f t="shared" si="150"/>
        <v/>
      </c>
      <c r="H267" s="64" t="str">
        <f t="shared" si="151"/>
        <v/>
      </c>
      <c r="I267" s="43"/>
      <c r="J267" s="63" t="str">
        <f t="shared" si="152"/>
        <v/>
      </c>
      <c r="K267" s="64" t="str">
        <f t="shared" si="153"/>
        <v/>
      </c>
      <c r="L267" s="38">
        <v>0</v>
      </c>
      <c r="M267" s="64" t="str">
        <f t="shared" si="154"/>
        <v/>
      </c>
      <c r="N267" s="65"/>
      <c r="O267" s="63" t="str">
        <f t="shared" si="155"/>
        <v/>
      </c>
      <c r="P267" s="63" t="str">
        <f t="shared" si="156"/>
        <v/>
      </c>
      <c r="Q267" s="66"/>
      <c r="R267" s="63" t="str">
        <f t="shared" si="157"/>
        <v/>
      </c>
      <c r="S267" s="64" t="str">
        <f t="shared" si="158"/>
        <v/>
      </c>
      <c r="T267" s="38">
        <v>0</v>
      </c>
      <c r="U267" s="64" t="str">
        <f t="shared" si="159"/>
        <v/>
      </c>
      <c r="V267" s="219"/>
      <c r="W267" s="43" t="str">
        <f t="shared" si="160"/>
        <v/>
      </c>
      <c r="X267" s="43" t="str">
        <f t="shared" si="161"/>
        <v/>
      </c>
      <c r="Y267" s="43"/>
      <c r="Z267" s="38" t="str">
        <f t="shared" si="162"/>
        <v/>
      </c>
      <c r="AA267" s="38" t="str">
        <f t="shared" si="163"/>
        <v/>
      </c>
      <c r="AB267" s="38" t="e">
        <f t="shared" si="164"/>
        <v>#VALUE!</v>
      </c>
      <c r="AC267" s="38" t="str">
        <f t="shared" si="165"/>
        <v/>
      </c>
      <c r="AD267" s="38" t="str">
        <f t="shared" si="165"/>
        <v/>
      </c>
      <c r="AE267" s="38" t="e">
        <f t="shared" si="166"/>
        <v>#VALUE!</v>
      </c>
      <c r="AF267" s="237" t="e">
        <f>((Summary!$N$13*(AA267*AD267)*(A267-$D$3))+(Summary!$M$13*Z267*AC267*(AJ267-EOMONTH(EDATE(A267,-1),0))))/(AK267*AB267*AE267)</f>
        <v>#VALUE!</v>
      </c>
      <c r="AG267" s="88" t="str">
        <f>IF($A268="","",Summary!$Q$13)</f>
        <v/>
      </c>
      <c r="AH267" s="88" t="str">
        <f>IF($A268="","",IF(Summary!$R$12="Y",(VLOOKUP($A267,Summary!$AD$6:$AF$9,3)+'Escalating commodity'!I280),'Escalating commodity'!I280))</f>
        <v/>
      </c>
      <c r="AI267" s="88" t="str">
        <f t="shared" ref="AI267:AI330" si="181">IF($A268="","",AH267)</f>
        <v/>
      </c>
      <c r="AJ267" s="236" t="e">
        <f t="shared" si="167"/>
        <v>#VALUE!</v>
      </c>
      <c r="AK267" s="58" t="str">
        <f t="shared" si="168"/>
        <v/>
      </c>
      <c r="AL267" s="26" t="str">
        <f>IF($A268="","",_xll.SPRDOPT(P267,X267,AI267,0,AB267,AE267,AF267,AK267,$AJ$2,0))</f>
        <v/>
      </c>
      <c r="AM267" s="209" t="str">
        <f t="shared" si="169"/>
        <v/>
      </c>
      <c r="AN267" s="89" t="str">
        <f t="shared" si="170"/>
        <v/>
      </c>
      <c r="AO267" s="3" t="str">
        <f t="shared" si="171"/>
        <v/>
      </c>
      <c r="AP267" s="33" t="str">
        <f t="shared" si="172"/>
        <v/>
      </c>
      <c r="AQ267" s="58" t="str">
        <f t="shared" si="173"/>
        <v/>
      </c>
      <c r="AR267" s="38">
        <f>'ANR OK vs ML7'!AR267</f>
        <v>0.1</v>
      </c>
      <c r="AS267" s="35" t="str">
        <f t="shared" si="174"/>
        <v/>
      </c>
      <c r="AT267" s="3" t="str">
        <f t="shared" si="175"/>
        <v/>
      </c>
      <c r="AU267" s="3" t="str">
        <f t="shared" si="176"/>
        <v/>
      </c>
      <c r="AW267" s="32" t="str">
        <f t="shared" si="177"/>
        <v/>
      </c>
      <c r="AX267" s="32" t="str">
        <f t="shared" si="178"/>
        <v/>
      </c>
      <c r="AY267" s="32" t="str">
        <f t="shared" si="179"/>
        <v/>
      </c>
      <c r="BA267" s="32" t="str">
        <f>IF($A268="","",F267*Summary!$Q$13)</f>
        <v/>
      </c>
    </row>
    <row r="268" spans="1:53" ht="12" customHeight="1">
      <c r="A268" s="67" t="str">
        <f t="shared" si="180"/>
        <v/>
      </c>
      <c r="B268" s="69" t="str">
        <f t="shared" ref="B268:B331" si="182">IF(A268&lt;mthend,B267,"")</f>
        <v/>
      </c>
      <c r="C268" s="71"/>
      <c r="D268" s="69" t="str">
        <f t="shared" si="147"/>
        <v/>
      </c>
      <c r="E268" s="70" t="str">
        <f t="shared" si="148"/>
        <v/>
      </c>
      <c r="F268" s="70" t="str">
        <f t="shared" si="149"/>
        <v/>
      </c>
      <c r="G268" s="63" t="str">
        <f t="shared" si="150"/>
        <v/>
      </c>
      <c r="H268" s="64" t="str">
        <f t="shared" si="151"/>
        <v/>
      </c>
      <c r="I268" s="43"/>
      <c r="J268" s="63" t="str">
        <f t="shared" si="152"/>
        <v/>
      </c>
      <c r="K268" s="64" t="str">
        <f t="shared" si="153"/>
        <v/>
      </c>
      <c r="L268" s="38">
        <v>0</v>
      </c>
      <c r="M268" s="64" t="str">
        <f t="shared" si="154"/>
        <v/>
      </c>
      <c r="N268" s="65"/>
      <c r="O268" s="63" t="str">
        <f t="shared" si="155"/>
        <v/>
      </c>
      <c r="P268" s="63" t="str">
        <f t="shared" si="156"/>
        <v/>
      </c>
      <c r="Q268" s="66"/>
      <c r="R268" s="63" t="str">
        <f t="shared" si="157"/>
        <v/>
      </c>
      <c r="S268" s="64" t="str">
        <f t="shared" si="158"/>
        <v/>
      </c>
      <c r="T268" s="38">
        <v>0</v>
      </c>
      <c r="U268" s="64" t="str">
        <f t="shared" si="159"/>
        <v/>
      </c>
      <c r="V268" s="219"/>
      <c r="W268" s="43" t="str">
        <f t="shared" si="160"/>
        <v/>
      </c>
      <c r="X268" s="43" t="str">
        <f t="shared" si="161"/>
        <v/>
      </c>
      <c r="Y268" s="43"/>
      <c r="Z268" s="38" t="str">
        <f t="shared" si="162"/>
        <v/>
      </c>
      <c r="AA268" s="38" t="str">
        <f t="shared" si="163"/>
        <v/>
      </c>
      <c r="AB268" s="38" t="e">
        <f t="shared" si="164"/>
        <v>#VALUE!</v>
      </c>
      <c r="AC268" s="38" t="str">
        <f t="shared" si="165"/>
        <v/>
      </c>
      <c r="AD268" s="38" t="str">
        <f t="shared" si="165"/>
        <v/>
      </c>
      <c r="AE268" s="38" t="e">
        <f t="shared" si="166"/>
        <v>#VALUE!</v>
      </c>
      <c r="AF268" s="237" t="e">
        <f>((Summary!$N$13*(AA268*AD268)*(A268-$D$3))+(Summary!$M$13*Z268*AC268*(AJ268-EOMONTH(EDATE(A268,-1),0))))/(AK268*AB268*AE268)</f>
        <v>#VALUE!</v>
      </c>
      <c r="AG268" s="88" t="str">
        <f>IF($A269="","",Summary!$Q$13)</f>
        <v/>
      </c>
      <c r="AH268" s="88" t="str">
        <f>IF($A269="","",IF(Summary!$R$12="Y",(VLOOKUP($A268,Summary!$AD$6:$AF$9,3)+'Escalating commodity'!I281),'Escalating commodity'!I281))</f>
        <v/>
      </c>
      <c r="AI268" s="88" t="str">
        <f t="shared" si="181"/>
        <v/>
      </c>
      <c r="AJ268" s="236" t="e">
        <f t="shared" si="167"/>
        <v>#VALUE!</v>
      </c>
      <c r="AK268" s="58" t="str">
        <f t="shared" si="168"/>
        <v/>
      </c>
      <c r="AL268" s="26" t="str">
        <f>IF($A269="","",_xll.SPRDOPT(P268,X268,AI268,0,AB268,AE268,AF268,AK268,$AJ$2,0))</f>
        <v/>
      </c>
      <c r="AM268" s="209" t="str">
        <f t="shared" si="169"/>
        <v/>
      </c>
      <c r="AN268" s="89" t="str">
        <f t="shared" si="170"/>
        <v/>
      </c>
      <c r="AO268" s="3" t="str">
        <f t="shared" si="171"/>
        <v/>
      </c>
      <c r="AP268" s="33" t="str">
        <f t="shared" si="172"/>
        <v/>
      </c>
      <c r="AQ268" s="58" t="str">
        <f t="shared" si="173"/>
        <v/>
      </c>
      <c r="AR268" s="38">
        <f>'ANR OK vs ML7'!AR268</f>
        <v>0.1</v>
      </c>
      <c r="AS268" s="35" t="str">
        <f t="shared" si="174"/>
        <v/>
      </c>
      <c r="AT268" s="3" t="str">
        <f t="shared" si="175"/>
        <v/>
      </c>
      <c r="AU268" s="3" t="str">
        <f t="shared" si="176"/>
        <v/>
      </c>
      <c r="AW268" s="32" t="str">
        <f t="shared" si="177"/>
        <v/>
      </c>
      <c r="AX268" s="32" t="str">
        <f t="shared" si="178"/>
        <v/>
      </c>
      <c r="AY268" s="32" t="str">
        <f t="shared" si="179"/>
        <v/>
      </c>
      <c r="BA268" s="32" t="str">
        <f>IF($A269="","",F268*Summary!$Q$13)</f>
        <v/>
      </c>
    </row>
    <row r="269" spans="1:53" ht="12" customHeight="1">
      <c r="A269" s="67" t="str">
        <f t="shared" si="180"/>
        <v/>
      </c>
      <c r="B269" s="69" t="str">
        <f t="shared" si="182"/>
        <v/>
      </c>
      <c r="C269" s="71"/>
      <c r="D269" s="69" t="str">
        <f t="shared" si="147"/>
        <v/>
      </c>
      <c r="E269" s="70" t="str">
        <f t="shared" si="148"/>
        <v/>
      </c>
      <c r="F269" s="70" t="str">
        <f t="shared" si="149"/>
        <v/>
      </c>
      <c r="G269" s="63" t="str">
        <f t="shared" si="150"/>
        <v/>
      </c>
      <c r="H269" s="64" t="str">
        <f t="shared" si="151"/>
        <v/>
      </c>
      <c r="I269" s="43"/>
      <c r="J269" s="63" t="str">
        <f t="shared" si="152"/>
        <v/>
      </c>
      <c r="K269" s="64" t="str">
        <f t="shared" si="153"/>
        <v/>
      </c>
      <c r="L269" s="38">
        <v>0</v>
      </c>
      <c r="M269" s="64" t="str">
        <f t="shared" si="154"/>
        <v/>
      </c>
      <c r="N269" s="65"/>
      <c r="O269" s="63" t="str">
        <f t="shared" si="155"/>
        <v/>
      </c>
      <c r="P269" s="63" t="str">
        <f t="shared" si="156"/>
        <v/>
      </c>
      <c r="Q269" s="66"/>
      <c r="R269" s="63" t="str">
        <f t="shared" si="157"/>
        <v/>
      </c>
      <c r="S269" s="64" t="str">
        <f t="shared" si="158"/>
        <v/>
      </c>
      <c r="T269" s="38">
        <v>0</v>
      </c>
      <c r="U269" s="64" t="str">
        <f t="shared" si="159"/>
        <v/>
      </c>
      <c r="V269" s="219"/>
      <c r="W269" s="43" t="str">
        <f t="shared" si="160"/>
        <v/>
      </c>
      <c r="X269" s="43" t="str">
        <f t="shared" si="161"/>
        <v/>
      </c>
      <c r="Y269" s="43"/>
      <c r="Z269" s="38" t="str">
        <f t="shared" si="162"/>
        <v/>
      </c>
      <c r="AA269" s="38" t="str">
        <f t="shared" si="163"/>
        <v/>
      </c>
      <c r="AB269" s="38" t="e">
        <f t="shared" si="164"/>
        <v>#VALUE!</v>
      </c>
      <c r="AC269" s="38" t="str">
        <f t="shared" si="165"/>
        <v/>
      </c>
      <c r="AD269" s="38" t="str">
        <f t="shared" si="165"/>
        <v/>
      </c>
      <c r="AE269" s="38" t="e">
        <f t="shared" si="166"/>
        <v>#VALUE!</v>
      </c>
      <c r="AF269" s="237" t="e">
        <f>((Summary!$N$13*(AA269*AD269)*(A269-$D$3))+(Summary!$M$13*Z269*AC269*(AJ269-EOMONTH(EDATE(A269,-1),0))))/(AK269*AB269*AE269)</f>
        <v>#VALUE!</v>
      </c>
      <c r="AG269" s="88" t="str">
        <f>IF($A270="","",Summary!$Q$13)</f>
        <v/>
      </c>
      <c r="AH269" s="88" t="str">
        <f>IF($A270="","",IF(Summary!$R$12="Y",(VLOOKUP($A269,Summary!$AD$6:$AF$9,3)+'Escalating commodity'!I282),'Escalating commodity'!I282))</f>
        <v/>
      </c>
      <c r="AI269" s="88" t="str">
        <f t="shared" si="181"/>
        <v/>
      </c>
      <c r="AJ269" s="236" t="e">
        <f t="shared" si="167"/>
        <v>#VALUE!</v>
      </c>
      <c r="AK269" s="58" t="str">
        <f t="shared" si="168"/>
        <v/>
      </c>
      <c r="AL269" s="26" t="str">
        <f>IF($A270="","",_xll.SPRDOPT(P269,X269,AI269,0,AB269,AE269,AF269,AK269,$AJ$2,0))</f>
        <v/>
      </c>
      <c r="AM269" s="209" t="str">
        <f t="shared" si="169"/>
        <v/>
      </c>
      <c r="AN269" s="89" t="str">
        <f t="shared" si="170"/>
        <v/>
      </c>
      <c r="AO269" s="3" t="str">
        <f t="shared" si="171"/>
        <v/>
      </c>
      <c r="AP269" s="33" t="str">
        <f t="shared" si="172"/>
        <v/>
      </c>
      <c r="AQ269" s="58" t="str">
        <f t="shared" si="173"/>
        <v/>
      </c>
      <c r="AR269" s="38">
        <f>'ANR OK vs ML7'!AR269</f>
        <v>0.1</v>
      </c>
      <c r="AS269" s="35" t="str">
        <f t="shared" si="174"/>
        <v/>
      </c>
      <c r="AT269" s="3" t="str">
        <f t="shared" si="175"/>
        <v/>
      </c>
      <c r="AU269" s="3" t="str">
        <f t="shared" si="176"/>
        <v/>
      </c>
      <c r="AW269" s="32" t="str">
        <f t="shared" si="177"/>
        <v/>
      </c>
      <c r="AX269" s="32" t="str">
        <f t="shared" si="178"/>
        <v/>
      </c>
      <c r="AY269" s="32" t="str">
        <f t="shared" si="179"/>
        <v/>
      </c>
      <c r="BA269" s="32" t="str">
        <f>IF($A270="","",F269*Summary!$Q$13)</f>
        <v/>
      </c>
    </row>
    <row r="270" spans="1:53" ht="12" customHeight="1">
      <c r="A270" s="67" t="str">
        <f t="shared" si="180"/>
        <v/>
      </c>
      <c r="B270" s="69" t="str">
        <f t="shared" si="182"/>
        <v/>
      </c>
      <c r="C270" s="71"/>
      <c r="D270" s="69" t="str">
        <f t="shared" si="147"/>
        <v/>
      </c>
      <c r="E270" s="70" t="str">
        <f t="shared" si="148"/>
        <v/>
      </c>
      <c r="F270" s="70" t="str">
        <f t="shared" si="149"/>
        <v/>
      </c>
      <c r="G270" s="63" t="str">
        <f t="shared" si="150"/>
        <v/>
      </c>
      <c r="H270" s="64" t="str">
        <f t="shared" si="151"/>
        <v/>
      </c>
      <c r="I270" s="43"/>
      <c r="J270" s="63" t="str">
        <f t="shared" si="152"/>
        <v/>
      </c>
      <c r="K270" s="64" t="str">
        <f t="shared" si="153"/>
        <v/>
      </c>
      <c r="L270" s="38">
        <v>0</v>
      </c>
      <c r="M270" s="64" t="str">
        <f t="shared" si="154"/>
        <v/>
      </c>
      <c r="N270" s="65"/>
      <c r="O270" s="63" t="str">
        <f t="shared" si="155"/>
        <v/>
      </c>
      <c r="P270" s="63" t="str">
        <f t="shared" si="156"/>
        <v/>
      </c>
      <c r="Q270" s="66"/>
      <c r="R270" s="63" t="str">
        <f t="shared" si="157"/>
        <v/>
      </c>
      <c r="S270" s="64" t="str">
        <f t="shared" si="158"/>
        <v/>
      </c>
      <c r="T270" s="38">
        <v>0</v>
      </c>
      <c r="U270" s="64" t="str">
        <f t="shared" si="159"/>
        <v/>
      </c>
      <c r="V270" s="219"/>
      <c r="W270" s="43" t="str">
        <f t="shared" si="160"/>
        <v/>
      </c>
      <c r="X270" s="43" t="str">
        <f t="shared" si="161"/>
        <v/>
      </c>
      <c r="Y270" s="43"/>
      <c r="Z270" s="38" t="str">
        <f t="shared" si="162"/>
        <v/>
      </c>
      <c r="AA270" s="38" t="str">
        <f t="shared" si="163"/>
        <v/>
      </c>
      <c r="AB270" s="38" t="e">
        <f t="shared" si="164"/>
        <v>#VALUE!</v>
      </c>
      <c r="AC270" s="38" t="str">
        <f t="shared" si="165"/>
        <v/>
      </c>
      <c r="AD270" s="38" t="str">
        <f t="shared" si="165"/>
        <v/>
      </c>
      <c r="AE270" s="38" t="e">
        <f t="shared" si="166"/>
        <v>#VALUE!</v>
      </c>
      <c r="AF270" s="237" t="e">
        <f>((Summary!$N$13*(AA270*AD270)*(A270-$D$3))+(Summary!$M$13*Z270*AC270*(AJ270-EOMONTH(EDATE(A270,-1),0))))/(AK270*AB270*AE270)</f>
        <v>#VALUE!</v>
      </c>
      <c r="AG270" s="88" t="str">
        <f>IF($A271="","",Summary!$Q$13)</f>
        <v/>
      </c>
      <c r="AH270" s="88" t="str">
        <f>IF($A271="","",IF(Summary!$R$12="Y",(VLOOKUP($A270,Summary!$AD$6:$AF$9,3)+'Escalating commodity'!I283),'Escalating commodity'!I283))</f>
        <v/>
      </c>
      <c r="AI270" s="88" t="str">
        <f t="shared" si="181"/>
        <v/>
      </c>
      <c r="AJ270" s="236" t="e">
        <f t="shared" si="167"/>
        <v>#VALUE!</v>
      </c>
      <c r="AK270" s="58" t="str">
        <f t="shared" si="168"/>
        <v/>
      </c>
      <c r="AL270" s="26" t="str">
        <f>IF($A271="","",_xll.SPRDOPT(P270,X270,AI270,0,AB270,AE270,AF270,AK270,$AJ$2,0))</f>
        <v/>
      </c>
      <c r="AM270" s="209" t="str">
        <f t="shared" si="169"/>
        <v/>
      </c>
      <c r="AN270" s="89" t="str">
        <f t="shared" si="170"/>
        <v/>
      </c>
      <c r="AO270" s="3" t="str">
        <f t="shared" si="171"/>
        <v/>
      </c>
      <c r="AP270" s="33" t="str">
        <f t="shared" si="172"/>
        <v/>
      </c>
      <c r="AQ270" s="58" t="str">
        <f t="shared" si="173"/>
        <v/>
      </c>
      <c r="AR270" s="38">
        <f>'ANR OK vs ML7'!AR270</f>
        <v>0.1</v>
      </c>
      <c r="AS270" s="35" t="str">
        <f t="shared" si="174"/>
        <v/>
      </c>
      <c r="AT270" s="3" t="str">
        <f t="shared" si="175"/>
        <v/>
      </c>
      <c r="AU270" s="3" t="str">
        <f t="shared" si="176"/>
        <v/>
      </c>
      <c r="AW270" s="32" t="str">
        <f t="shared" si="177"/>
        <v/>
      </c>
      <c r="AX270" s="32" t="str">
        <f t="shared" si="178"/>
        <v/>
      </c>
      <c r="AY270" s="32" t="str">
        <f t="shared" si="179"/>
        <v/>
      </c>
      <c r="BA270" s="32" t="str">
        <f>IF($A271="","",F270*Summary!$Q$13)</f>
        <v/>
      </c>
    </row>
    <row r="271" spans="1:53" ht="12" customHeight="1">
      <c r="A271" s="67" t="str">
        <f t="shared" si="180"/>
        <v/>
      </c>
      <c r="B271" s="69" t="str">
        <f t="shared" si="182"/>
        <v/>
      </c>
      <c r="C271" s="71"/>
      <c r="D271" s="69" t="str">
        <f t="shared" si="147"/>
        <v/>
      </c>
      <c r="E271" s="70" t="str">
        <f t="shared" si="148"/>
        <v/>
      </c>
      <c r="F271" s="70" t="str">
        <f t="shared" si="149"/>
        <v/>
      </c>
      <c r="G271" s="63" t="str">
        <f t="shared" si="150"/>
        <v/>
      </c>
      <c r="H271" s="64" t="str">
        <f t="shared" si="151"/>
        <v/>
      </c>
      <c r="I271" s="43"/>
      <c r="J271" s="63" t="str">
        <f t="shared" si="152"/>
        <v/>
      </c>
      <c r="K271" s="64" t="str">
        <f t="shared" si="153"/>
        <v/>
      </c>
      <c r="L271" s="38">
        <v>0</v>
      </c>
      <c r="M271" s="64" t="str">
        <f t="shared" si="154"/>
        <v/>
      </c>
      <c r="N271" s="65"/>
      <c r="O271" s="63" t="str">
        <f t="shared" si="155"/>
        <v/>
      </c>
      <c r="P271" s="63" t="str">
        <f t="shared" si="156"/>
        <v/>
      </c>
      <c r="Q271" s="66"/>
      <c r="R271" s="63" t="str">
        <f t="shared" si="157"/>
        <v/>
      </c>
      <c r="S271" s="64" t="str">
        <f t="shared" si="158"/>
        <v/>
      </c>
      <c r="T271" s="38">
        <v>0</v>
      </c>
      <c r="U271" s="64" t="str">
        <f t="shared" si="159"/>
        <v/>
      </c>
      <c r="V271" s="219"/>
      <c r="W271" s="43" t="str">
        <f t="shared" si="160"/>
        <v/>
      </c>
      <c r="X271" s="43" t="str">
        <f t="shared" si="161"/>
        <v/>
      </c>
      <c r="Y271" s="43"/>
      <c r="Z271" s="38" t="str">
        <f t="shared" si="162"/>
        <v/>
      </c>
      <c r="AA271" s="38" t="str">
        <f t="shared" si="163"/>
        <v/>
      </c>
      <c r="AB271" s="38" t="e">
        <f t="shared" si="164"/>
        <v>#VALUE!</v>
      </c>
      <c r="AC271" s="38" t="str">
        <f t="shared" si="165"/>
        <v/>
      </c>
      <c r="AD271" s="38" t="str">
        <f t="shared" si="165"/>
        <v/>
      </c>
      <c r="AE271" s="38" t="e">
        <f t="shared" si="166"/>
        <v>#VALUE!</v>
      </c>
      <c r="AF271" s="237" t="e">
        <f>((Summary!$N$13*(AA271*AD271)*(A271-$D$3))+(Summary!$M$13*Z271*AC271*(AJ271-EOMONTH(EDATE(A271,-1),0))))/(AK271*AB271*AE271)</f>
        <v>#VALUE!</v>
      </c>
      <c r="AG271" s="88" t="str">
        <f>IF($A272="","",Summary!$Q$13)</f>
        <v/>
      </c>
      <c r="AH271" s="88" t="str">
        <f>IF($A272="","",IF(Summary!$R$12="Y",(VLOOKUP($A271,Summary!$AD$6:$AF$9,3)+'Escalating commodity'!I284),'Escalating commodity'!I284))</f>
        <v/>
      </c>
      <c r="AI271" s="88" t="str">
        <f t="shared" si="181"/>
        <v/>
      </c>
      <c r="AJ271" s="236" t="e">
        <f t="shared" si="167"/>
        <v>#VALUE!</v>
      </c>
      <c r="AK271" s="58" t="str">
        <f t="shared" si="168"/>
        <v/>
      </c>
      <c r="AL271" s="26" t="str">
        <f>IF($A272="","",_xll.SPRDOPT(P271,X271,AI271,0,AB271,AE271,AF271,AK271,$AJ$2,0))</f>
        <v/>
      </c>
      <c r="AM271" s="209" t="str">
        <f t="shared" si="169"/>
        <v/>
      </c>
      <c r="AN271" s="89" t="str">
        <f t="shared" si="170"/>
        <v/>
      </c>
      <c r="AO271" s="3" t="str">
        <f t="shared" si="171"/>
        <v/>
      </c>
      <c r="AP271" s="33" t="str">
        <f t="shared" si="172"/>
        <v/>
      </c>
      <c r="AQ271" s="58" t="str">
        <f t="shared" si="173"/>
        <v/>
      </c>
      <c r="AR271" s="38">
        <f>'ANR OK vs ML7'!AR271</f>
        <v>0.1</v>
      </c>
      <c r="AS271" s="35" t="str">
        <f t="shared" si="174"/>
        <v/>
      </c>
      <c r="AT271" s="3" t="str">
        <f t="shared" si="175"/>
        <v/>
      </c>
      <c r="AU271" s="3" t="str">
        <f t="shared" si="176"/>
        <v/>
      </c>
      <c r="AW271" s="32" t="str">
        <f t="shared" si="177"/>
        <v/>
      </c>
      <c r="AX271" s="32" t="str">
        <f t="shared" si="178"/>
        <v/>
      </c>
      <c r="AY271" s="32" t="str">
        <f t="shared" si="179"/>
        <v/>
      </c>
      <c r="BA271" s="32" t="str">
        <f>IF($A272="","",F271*Summary!$Q$13)</f>
        <v/>
      </c>
    </row>
    <row r="272" spans="1:53" ht="12" customHeight="1">
      <c r="A272" s="67" t="str">
        <f t="shared" si="180"/>
        <v/>
      </c>
      <c r="B272" s="69" t="str">
        <f t="shared" si="182"/>
        <v/>
      </c>
      <c r="C272" s="71"/>
      <c r="D272" s="69" t="str">
        <f t="shared" si="147"/>
        <v/>
      </c>
      <c r="E272" s="70" t="str">
        <f t="shared" si="148"/>
        <v/>
      </c>
      <c r="F272" s="70" t="str">
        <f t="shared" si="149"/>
        <v/>
      </c>
      <c r="G272" s="63" t="str">
        <f t="shared" si="150"/>
        <v/>
      </c>
      <c r="H272" s="64" t="str">
        <f t="shared" si="151"/>
        <v/>
      </c>
      <c r="I272" s="43"/>
      <c r="J272" s="63" t="str">
        <f t="shared" si="152"/>
        <v/>
      </c>
      <c r="K272" s="64" t="str">
        <f t="shared" si="153"/>
        <v/>
      </c>
      <c r="L272" s="38">
        <v>0</v>
      </c>
      <c r="M272" s="64" t="str">
        <f t="shared" si="154"/>
        <v/>
      </c>
      <c r="N272" s="65"/>
      <c r="O272" s="63" t="str">
        <f t="shared" si="155"/>
        <v/>
      </c>
      <c r="P272" s="63" t="str">
        <f t="shared" si="156"/>
        <v/>
      </c>
      <c r="Q272" s="66"/>
      <c r="R272" s="63" t="str">
        <f t="shared" si="157"/>
        <v/>
      </c>
      <c r="S272" s="64" t="str">
        <f t="shared" si="158"/>
        <v/>
      </c>
      <c r="T272" s="38">
        <v>0</v>
      </c>
      <c r="U272" s="64" t="str">
        <f t="shared" si="159"/>
        <v/>
      </c>
      <c r="V272" s="219"/>
      <c r="W272" s="43" t="str">
        <f t="shared" si="160"/>
        <v/>
      </c>
      <c r="X272" s="43" t="str">
        <f t="shared" si="161"/>
        <v/>
      </c>
      <c r="Y272" s="43"/>
      <c r="Z272" s="38" t="str">
        <f t="shared" si="162"/>
        <v/>
      </c>
      <c r="AA272" s="38" t="str">
        <f t="shared" si="163"/>
        <v/>
      </c>
      <c r="AB272" s="38" t="e">
        <f t="shared" si="164"/>
        <v>#VALUE!</v>
      </c>
      <c r="AC272" s="38" t="str">
        <f t="shared" si="165"/>
        <v/>
      </c>
      <c r="AD272" s="38" t="str">
        <f t="shared" si="165"/>
        <v/>
      </c>
      <c r="AE272" s="38" t="e">
        <f t="shared" si="166"/>
        <v>#VALUE!</v>
      </c>
      <c r="AF272" s="237" t="e">
        <f>((Summary!$N$13*(AA272*AD272)*(A272-$D$3))+(Summary!$M$13*Z272*AC272*(AJ272-EOMONTH(EDATE(A272,-1),0))))/(AK272*AB272*AE272)</f>
        <v>#VALUE!</v>
      </c>
      <c r="AG272" s="88" t="str">
        <f>IF($A273="","",Summary!$Q$13)</f>
        <v/>
      </c>
      <c r="AH272" s="88" t="str">
        <f>IF($A273="","",IF(Summary!$R$12="Y",(VLOOKUP($A272,Summary!$AD$6:$AF$9,3)+'Escalating commodity'!I285),'Escalating commodity'!I285))</f>
        <v/>
      </c>
      <c r="AI272" s="88" t="str">
        <f t="shared" si="181"/>
        <v/>
      </c>
      <c r="AJ272" s="236" t="e">
        <f t="shared" si="167"/>
        <v>#VALUE!</v>
      </c>
      <c r="AK272" s="58" t="str">
        <f t="shared" si="168"/>
        <v/>
      </c>
      <c r="AL272" s="26" t="str">
        <f>IF($A273="","",_xll.SPRDOPT(P272,X272,AI272,0,AB272,AE272,AF272,AK272,$AJ$2,0))</f>
        <v/>
      </c>
      <c r="AM272" s="209" t="str">
        <f t="shared" si="169"/>
        <v/>
      </c>
      <c r="AN272" s="89" t="str">
        <f t="shared" si="170"/>
        <v/>
      </c>
      <c r="AO272" s="3" t="str">
        <f t="shared" si="171"/>
        <v/>
      </c>
      <c r="AP272" s="33" t="str">
        <f t="shared" si="172"/>
        <v/>
      </c>
      <c r="AQ272" s="58" t="str">
        <f t="shared" si="173"/>
        <v/>
      </c>
      <c r="AR272" s="38">
        <f>'ANR OK vs ML7'!AR272</f>
        <v>0.1</v>
      </c>
      <c r="AS272" s="35" t="str">
        <f t="shared" si="174"/>
        <v/>
      </c>
      <c r="AT272" s="3" t="str">
        <f t="shared" si="175"/>
        <v/>
      </c>
      <c r="AU272" s="3" t="str">
        <f t="shared" si="176"/>
        <v/>
      </c>
      <c r="AW272" s="32" t="str">
        <f t="shared" si="177"/>
        <v/>
      </c>
      <c r="AX272" s="32" t="str">
        <f t="shared" si="178"/>
        <v/>
      </c>
      <c r="AY272" s="32" t="str">
        <f t="shared" si="179"/>
        <v/>
      </c>
      <c r="BA272" s="32" t="str">
        <f>IF($A273="","",F272*Summary!$Q$13)</f>
        <v/>
      </c>
    </row>
    <row r="273" spans="1:53" ht="12" customHeight="1">
      <c r="A273" s="67" t="str">
        <f t="shared" si="180"/>
        <v/>
      </c>
      <c r="B273" s="69" t="str">
        <f t="shared" si="182"/>
        <v/>
      </c>
      <c r="C273" s="71"/>
      <c r="D273" s="69" t="str">
        <f t="shared" si="147"/>
        <v/>
      </c>
      <c r="E273" s="70" t="str">
        <f t="shared" si="148"/>
        <v/>
      </c>
      <c r="F273" s="70" t="str">
        <f t="shared" si="149"/>
        <v/>
      </c>
      <c r="G273" s="63" t="str">
        <f t="shared" si="150"/>
        <v/>
      </c>
      <c r="H273" s="64" t="str">
        <f t="shared" si="151"/>
        <v/>
      </c>
      <c r="I273" s="43"/>
      <c r="J273" s="63" t="str">
        <f t="shared" si="152"/>
        <v/>
      </c>
      <c r="K273" s="64" t="str">
        <f t="shared" si="153"/>
        <v/>
      </c>
      <c r="L273" s="38">
        <v>0</v>
      </c>
      <c r="M273" s="64" t="str">
        <f t="shared" si="154"/>
        <v/>
      </c>
      <c r="N273" s="65"/>
      <c r="O273" s="63" t="str">
        <f t="shared" si="155"/>
        <v/>
      </c>
      <c r="P273" s="63" t="str">
        <f t="shared" si="156"/>
        <v/>
      </c>
      <c r="Q273" s="66"/>
      <c r="R273" s="63" t="str">
        <f t="shared" si="157"/>
        <v/>
      </c>
      <c r="S273" s="64" t="str">
        <f t="shared" si="158"/>
        <v/>
      </c>
      <c r="T273" s="38">
        <v>0</v>
      </c>
      <c r="U273" s="64" t="str">
        <f t="shared" si="159"/>
        <v/>
      </c>
      <c r="V273" s="219"/>
      <c r="W273" s="43" t="str">
        <f t="shared" si="160"/>
        <v/>
      </c>
      <c r="X273" s="43" t="str">
        <f t="shared" si="161"/>
        <v/>
      </c>
      <c r="Y273" s="43"/>
      <c r="Z273" s="38" t="str">
        <f t="shared" si="162"/>
        <v/>
      </c>
      <c r="AA273" s="38" t="str">
        <f t="shared" si="163"/>
        <v/>
      </c>
      <c r="AB273" s="38" t="e">
        <f t="shared" si="164"/>
        <v>#VALUE!</v>
      </c>
      <c r="AC273" s="38" t="str">
        <f t="shared" si="165"/>
        <v/>
      </c>
      <c r="AD273" s="38" t="str">
        <f t="shared" si="165"/>
        <v/>
      </c>
      <c r="AE273" s="38" t="e">
        <f t="shared" si="166"/>
        <v>#VALUE!</v>
      </c>
      <c r="AF273" s="237" t="e">
        <f>((Summary!$N$13*(AA273*AD273)*(A273-$D$3))+(Summary!$M$13*Z273*AC273*(AJ273-EOMONTH(EDATE(A273,-1),0))))/(AK273*AB273*AE273)</f>
        <v>#VALUE!</v>
      </c>
      <c r="AG273" s="88" t="str">
        <f>IF($A274="","",Summary!$Q$13)</f>
        <v/>
      </c>
      <c r="AH273" s="88" t="str">
        <f>IF($A274="","",IF(Summary!$R$12="Y",(VLOOKUP($A273,Summary!$AD$6:$AF$9,3)+'Escalating commodity'!I286),'Escalating commodity'!I286))</f>
        <v/>
      </c>
      <c r="AI273" s="88" t="str">
        <f t="shared" si="181"/>
        <v/>
      </c>
      <c r="AJ273" s="236" t="e">
        <f t="shared" si="167"/>
        <v>#VALUE!</v>
      </c>
      <c r="AK273" s="58" t="str">
        <f t="shared" si="168"/>
        <v/>
      </c>
      <c r="AL273" s="26" t="str">
        <f>IF($A274="","",_xll.SPRDOPT(P273,X273,AI273,0,AB273,AE273,AF273,AK273,$AJ$2,0))</f>
        <v/>
      </c>
      <c r="AM273" s="209" t="str">
        <f t="shared" si="169"/>
        <v/>
      </c>
      <c r="AN273" s="89" t="str">
        <f t="shared" si="170"/>
        <v/>
      </c>
      <c r="AO273" s="3" t="str">
        <f t="shared" si="171"/>
        <v/>
      </c>
      <c r="AP273" s="33" t="str">
        <f t="shared" si="172"/>
        <v/>
      </c>
      <c r="AQ273" s="58" t="str">
        <f t="shared" si="173"/>
        <v/>
      </c>
      <c r="AR273" s="38">
        <f>'ANR OK vs ML7'!AR273</f>
        <v>0.1</v>
      </c>
      <c r="AS273" s="35" t="str">
        <f t="shared" si="174"/>
        <v/>
      </c>
      <c r="AT273" s="3" t="str">
        <f t="shared" si="175"/>
        <v/>
      </c>
      <c r="AU273" s="3" t="str">
        <f t="shared" si="176"/>
        <v/>
      </c>
      <c r="AW273" s="32" t="str">
        <f t="shared" si="177"/>
        <v/>
      </c>
      <c r="AX273" s="32" t="str">
        <f t="shared" si="178"/>
        <v/>
      </c>
      <c r="AY273" s="32" t="str">
        <f t="shared" si="179"/>
        <v/>
      </c>
      <c r="BA273" s="32" t="str">
        <f>IF($A274="","",F273*Summary!$Q$13)</f>
        <v/>
      </c>
    </row>
    <row r="274" spans="1:53" ht="12" customHeight="1">
      <c r="A274" s="67" t="str">
        <f t="shared" si="180"/>
        <v/>
      </c>
      <c r="B274" s="69" t="str">
        <f t="shared" si="182"/>
        <v/>
      </c>
      <c r="C274" s="71"/>
      <c r="D274" s="69" t="str">
        <f t="shared" si="147"/>
        <v/>
      </c>
      <c r="E274" s="70" t="str">
        <f t="shared" si="148"/>
        <v/>
      </c>
      <c r="F274" s="70" t="str">
        <f t="shared" si="149"/>
        <v/>
      </c>
      <c r="G274" s="63" t="str">
        <f t="shared" si="150"/>
        <v/>
      </c>
      <c r="H274" s="64" t="str">
        <f t="shared" si="151"/>
        <v/>
      </c>
      <c r="I274" s="43"/>
      <c r="J274" s="63" t="str">
        <f t="shared" si="152"/>
        <v/>
      </c>
      <c r="K274" s="64" t="str">
        <f t="shared" si="153"/>
        <v/>
      </c>
      <c r="L274" s="38">
        <v>0</v>
      </c>
      <c r="M274" s="64" t="str">
        <f t="shared" si="154"/>
        <v/>
      </c>
      <c r="N274" s="65"/>
      <c r="O274" s="63" t="str">
        <f t="shared" si="155"/>
        <v/>
      </c>
      <c r="P274" s="63" t="str">
        <f t="shared" si="156"/>
        <v/>
      </c>
      <c r="Q274" s="66"/>
      <c r="R274" s="63" t="str">
        <f t="shared" si="157"/>
        <v/>
      </c>
      <c r="S274" s="64" t="str">
        <f t="shared" si="158"/>
        <v/>
      </c>
      <c r="T274" s="38">
        <v>0</v>
      </c>
      <c r="U274" s="64" t="str">
        <f t="shared" si="159"/>
        <v/>
      </c>
      <c r="V274" s="219"/>
      <c r="W274" s="43" t="str">
        <f t="shared" si="160"/>
        <v/>
      </c>
      <c r="X274" s="43" t="str">
        <f t="shared" si="161"/>
        <v/>
      </c>
      <c r="Y274" s="43"/>
      <c r="Z274" s="38" t="str">
        <f t="shared" si="162"/>
        <v/>
      </c>
      <c r="AA274" s="38" t="str">
        <f t="shared" si="163"/>
        <v/>
      </c>
      <c r="AB274" s="38" t="e">
        <f t="shared" si="164"/>
        <v>#VALUE!</v>
      </c>
      <c r="AC274" s="38" t="str">
        <f t="shared" si="165"/>
        <v/>
      </c>
      <c r="AD274" s="38" t="str">
        <f t="shared" si="165"/>
        <v/>
      </c>
      <c r="AE274" s="38" t="e">
        <f t="shared" si="166"/>
        <v>#VALUE!</v>
      </c>
      <c r="AF274" s="237" t="e">
        <f>((Summary!$N$13*(AA274*AD274)*(A274-$D$3))+(Summary!$M$13*Z274*AC274*(AJ274-EOMONTH(EDATE(A274,-1),0))))/(AK274*AB274*AE274)</f>
        <v>#VALUE!</v>
      </c>
      <c r="AG274" s="88" t="str">
        <f>IF($A275="","",Summary!$Q$13)</f>
        <v/>
      </c>
      <c r="AH274" s="88" t="str">
        <f>IF($A275="","",IF(Summary!$R$12="Y",(VLOOKUP($A274,Summary!$AD$6:$AF$9,3)+'Escalating commodity'!I287),'Escalating commodity'!I287))</f>
        <v/>
      </c>
      <c r="AI274" s="88" t="str">
        <f t="shared" si="181"/>
        <v/>
      </c>
      <c r="AJ274" s="236" t="e">
        <f t="shared" si="167"/>
        <v>#VALUE!</v>
      </c>
      <c r="AK274" s="58" t="str">
        <f t="shared" si="168"/>
        <v/>
      </c>
      <c r="AL274" s="26" t="str">
        <f>IF($A275="","",_xll.SPRDOPT(P274,X274,AI274,0,AB274,AE274,AF274,AK274,$AJ$2,0))</f>
        <v/>
      </c>
      <c r="AM274" s="209" t="str">
        <f t="shared" si="169"/>
        <v/>
      </c>
      <c r="AN274" s="89" t="str">
        <f t="shared" si="170"/>
        <v/>
      </c>
      <c r="AO274" s="3" t="str">
        <f t="shared" si="171"/>
        <v/>
      </c>
      <c r="AP274" s="33" t="str">
        <f t="shared" si="172"/>
        <v/>
      </c>
      <c r="AQ274" s="58" t="str">
        <f t="shared" si="173"/>
        <v/>
      </c>
      <c r="AR274" s="38">
        <f>'ANR OK vs ML7'!AR274</f>
        <v>0.1</v>
      </c>
      <c r="AS274" s="35" t="str">
        <f t="shared" si="174"/>
        <v/>
      </c>
      <c r="AT274" s="3" t="str">
        <f t="shared" si="175"/>
        <v/>
      </c>
      <c r="AU274" s="3" t="str">
        <f t="shared" si="176"/>
        <v/>
      </c>
      <c r="AW274" s="32" t="str">
        <f t="shared" si="177"/>
        <v/>
      </c>
      <c r="AX274" s="32" t="str">
        <f t="shared" si="178"/>
        <v/>
      </c>
      <c r="AY274" s="32" t="str">
        <f t="shared" si="179"/>
        <v/>
      </c>
      <c r="BA274" s="32" t="str">
        <f>IF($A275="","",F274*Summary!$Q$13)</f>
        <v/>
      </c>
    </row>
    <row r="275" spans="1:53" ht="12" customHeight="1">
      <c r="A275" s="67" t="str">
        <f t="shared" si="180"/>
        <v/>
      </c>
      <c r="B275" s="69" t="str">
        <f t="shared" si="182"/>
        <v/>
      </c>
      <c r="C275" s="71"/>
      <c r="D275" s="69" t="str">
        <f t="shared" si="147"/>
        <v/>
      </c>
      <c r="E275" s="70" t="str">
        <f t="shared" si="148"/>
        <v/>
      </c>
      <c r="F275" s="70" t="str">
        <f t="shared" si="149"/>
        <v/>
      </c>
      <c r="G275" s="63" t="str">
        <f t="shared" si="150"/>
        <v/>
      </c>
      <c r="H275" s="64" t="str">
        <f t="shared" si="151"/>
        <v/>
      </c>
      <c r="I275" s="43"/>
      <c r="J275" s="63" t="str">
        <f t="shared" si="152"/>
        <v/>
      </c>
      <c r="K275" s="64" t="str">
        <f t="shared" si="153"/>
        <v/>
      </c>
      <c r="L275" s="38">
        <v>0</v>
      </c>
      <c r="M275" s="64" t="str">
        <f t="shared" si="154"/>
        <v/>
      </c>
      <c r="N275" s="65"/>
      <c r="O275" s="63" t="str">
        <f t="shared" si="155"/>
        <v/>
      </c>
      <c r="P275" s="63" t="str">
        <f t="shared" si="156"/>
        <v/>
      </c>
      <c r="Q275" s="66"/>
      <c r="R275" s="63" t="str">
        <f t="shared" si="157"/>
        <v/>
      </c>
      <c r="S275" s="64" t="str">
        <f t="shared" si="158"/>
        <v/>
      </c>
      <c r="T275" s="38">
        <v>0</v>
      </c>
      <c r="U275" s="64" t="str">
        <f t="shared" si="159"/>
        <v/>
      </c>
      <c r="V275" s="219"/>
      <c r="W275" s="43" t="str">
        <f t="shared" si="160"/>
        <v/>
      </c>
      <c r="X275" s="43" t="str">
        <f t="shared" si="161"/>
        <v/>
      </c>
      <c r="Y275" s="43"/>
      <c r="Z275" s="38" t="str">
        <f t="shared" si="162"/>
        <v/>
      </c>
      <c r="AA275" s="38" t="str">
        <f t="shared" si="163"/>
        <v/>
      </c>
      <c r="AB275" s="38" t="e">
        <f t="shared" si="164"/>
        <v>#VALUE!</v>
      </c>
      <c r="AC275" s="38" t="str">
        <f t="shared" si="165"/>
        <v/>
      </c>
      <c r="AD275" s="38" t="str">
        <f t="shared" si="165"/>
        <v/>
      </c>
      <c r="AE275" s="38" t="e">
        <f t="shared" si="166"/>
        <v>#VALUE!</v>
      </c>
      <c r="AF275" s="237" t="e">
        <f>((Summary!$N$13*(AA275*AD275)*(A275-$D$3))+(Summary!$M$13*Z275*AC275*(AJ275-EOMONTH(EDATE(A275,-1),0))))/(AK275*AB275*AE275)</f>
        <v>#VALUE!</v>
      </c>
      <c r="AG275" s="88" t="str">
        <f>IF($A276="","",Summary!$Q$13)</f>
        <v/>
      </c>
      <c r="AH275" s="88" t="str">
        <f>IF($A276="","",IF(Summary!$R$12="Y",(VLOOKUP($A275,Summary!$AD$6:$AF$9,3)+'Escalating commodity'!I288),'Escalating commodity'!I288))</f>
        <v/>
      </c>
      <c r="AI275" s="88" t="str">
        <f t="shared" si="181"/>
        <v/>
      </c>
      <c r="AJ275" s="236" t="e">
        <f t="shared" si="167"/>
        <v>#VALUE!</v>
      </c>
      <c r="AK275" s="58" t="str">
        <f t="shared" si="168"/>
        <v/>
      </c>
      <c r="AL275" s="26" t="str">
        <f>IF($A276="","",_xll.SPRDOPT(P275,X275,AI275,0,AB275,AE275,AF275,AK275,$AJ$2,0))</f>
        <v/>
      </c>
      <c r="AM275" s="209" t="str">
        <f t="shared" si="169"/>
        <v/>
      </c>
      <c r="AN275" s="89" t="str">
        <f t="shared" si="170"/>
        <v/>
      </c>
      <c r="AO275" s="3" t="str">
        <f t="shared" si="171"/>
        <v/>
      </c>
      <c r="AP275" s="33" t="str">
        <f t="shared" si="172"/>
        <v/>
      </c>
      <c r="AQ275" s="58" t="str">
        <f t="shared" si="173"/>
        <v/>
      </c>
      <c r="AR275" s="38">
        <f>'ANR OK vs ML7'!AR275</f>
        <v>0.1</v>
      </c>
      <c r="AS275" s="35" t="str">
        <f t="shared" si="174"/>
        <v/>
      </c>
      <c r="AT275" s="3" t="str">
        <f t="shared" si="175"/>
        <v/>
      </c>
      <c r="AU275" s="3" t="str">
        <f t="shared" si="176"/>
        <v/>
      </c>
      <c r="AW275" s="32" t="str">
        <f t="shared" si="177"/>
        <v/>
      </c>
      <c r="AX275" s="32" t="str">
        <f t="shared" si="178"/>
        <v/>
      </c>
      <c r="AY275" s="32" t="str">
        <f t="shared" si="179"/>
        <v/>
      </c>
      <c r="BA275" s="32" t="str">
        <f>IF($A276="","",F275*Summary!$Q$13)</f>
        <v/>
      </c>
    </row>
    <row r="276" spans="1:53" ht="12" customHeight="1">
      <c r="A276" s="67" t="str">
        <f t="shared" si="180"/>
        <v/>
      </c>
      <c r="B276" s="69" t="str">
        <f t="shared" si="182"/>
        <v/>
      </c>
      <c r="C276" s="71"/>
      <c r="D276" s="69" t="str">
        <f t="shared" si="147"/>
        <v/>
      </c>
      <c r="E276" s="70" t="str">
        <f t="shared" si="148"/>
        <v/>
      </c>
      <c r="F276" s="70" t="str">
        <f t="shared" si="149"/>
        <v/>
      </c>
      <c r="G276" s="63" t="str">
        <f t="shared" si="150"/>
        <v/>
      </c>
      <c r="H276" s="64" t="str">
        <f t="shared" si="151"/>
        <v/>
      </c>
      <c r="I276" s="43"/>
      <c r="J276" s="63" t="str">
        <f t="shared" si="152"/>
        <v/>
      </c>
      <c r="K276" s="64" t="str">
        <f t="shared" si="153"/>
        <v/>
      </c>
      <c r="L276" s="38">
        <v>0</v>
      </c>
      <c r="M276" s="64" t="str">
        <f t="shared" si="154"/>
        <v/>
      </c>
      <c r="N276" s="65"/>
      <c r="O276" s="63" t="str">
        <f t="shared" si="155"/>
        <v/>
      </c>
      <c r="P276" s="63" t="str">
        <f t="shared" si="156"/>
        <v/>
      </c>
      <c r="Q276" s="66"/>
      <c r="R276" s="63" t="str">
        <f t="shared" si="157"/>
        <v/>
      </c>
      <c r="S276" s="64" t="str">
        <f t="shared" si="158"/>
        <v/>
      </c>
      <c r="T276" s="38">
        <v>0</v>
      </c>
      <c r="U276" s="64" t="str">
        <f t="shared" si="159"/>
        <v/>
      </c>
      <c r="V276" s="219"/>
      <c r="W276" s="43" t="str">
        <f t="shared" si="160"/>
        <v/>
      </c>
      <c r="X276" s="43" t="str">
        <f t="shared" si="161"/>
        <v/>
      </c>
      <c r="Y276" s="43"/>
      <c r="Z276" s="38" t="str">
        <f t="shared" si="162"/>
        <v/>
      </c>
      <c r="AA276" s="38" t="str">
        <f t="shared" si="163"/>
        <v/>
      </c>
      <c r="AB276" s="38" t="e">
        <f t="shared" si="164"/>
        <v>#VALUE!</v>
      </c>
      <c r="AC276" s="38" t="str">
        <f t="shared" si="165"/>
        <v/>
      </c>
      <c r="AD276" s="38" t="str">
        <f t="shared" si="165"/>
        <v/>
      </c>
      <c r="AE276" s="38" t="e">
        <f t="shared" si="166"/>
        <v>#VALUE!</v>
      </c>
      <c r="AF276" s="237" t="e">
        <f>((Summary!$N$13*(AA276*AD276)*(A276-$D$3))+(Summary!$M$13*Z276*AC276*(AJ276-EOMONTH(EDATE(A276,-1),0))))/(AK276*AB276*AE276)</f>
        <v>#VALUE!</v>
      </c>
      <c r="AG276" s="88" t="str">
        <f>IF($A277="","",Summary!$Q$13)</f>
        <v/>
      </c>
      <c r="AH276" s="88" t="str">
        <f>IF($A277="","",IF(Summary!$R$12="Y",(VLOOKUP($A276,Summary!$AD$6:$AF$9,3)+'Escalating commodity'!I289),'Escalating commodity'!I289))</f>
        <v/>
      </c>
      <c r="AI276" s="88" t="str">
        <f t="shared" si="181"/>
        <v/>
      </c>
      <c r="AJ276" s="236" t="e">
        <f t="shared" si="167"/>
        <v>#VALUE!</v>
      </c>
      <c r="AK276" s="58" t="str">
        <f t="shared" si="168"/>
        <v/>
      </c>
      <c r="AL276" s="26" t="str">
        <f>IF($A277="","",_xll.SPRDOPT(P276,X276,AI276,0,AB276,AE276,AF276,AK276,$AJ$2,0))</f>
        <v/>
      </c>
      <c r="AM276" s="209" t="str">
        <f t="shared" si="169"/>
        <v/>
      </c>
      <c r="AN276" s="89" t="str">
        <f t="shared" si="170"/>
        <v/>
      </c>
      <c r="AO276" s="3" t="str">
        <f t="shared" si="171"/>
        <v/>
      </c>
      <c r="AP276" s="33" t="str">
        <f t="shared" si="172"/>
        <v/>
      </c>
      <c r="AQ276" s="58" t="str">
        <f t="shared" si="173"/>
        <v/>
      </c>
      <c r="AR276" s="38">
        <f>'ANR OK vs ML7'!AR276</f>
        <v>0.1</v>
      </c>
      <c r="AS276" s="35" t="str">
        <f t="shared" si="174"/>
        <v/>
      </c>
      <c r="AT276" s="3" t="str">
        <f t="shared" si="175"/>
        <v/>
      </c>
      <c r="AU276" s="3" t="str">
        <f t="shared" si="176"/>
        <v/>
      </c>
      <c r="AW276" s="32" t="str">
        <f t="shared" si="177"/>
        <v/>
      </c>
      <c r="AX276" s="32" t="str">
        <f t="shared" si="178"/>
        <v/>
      </c>
      <c r="AY276" s="32" t="str">
        <f t="shared" si="179"/>
        <v/>
      </c>
      <c r="BA276" s="32" t="str">
        <f>IF($A277="","",F276*Summary!$Q$13)</f>
        <v/>
      </c>
    </row>
    <row r="277" spans="1:53" ht="12" customHeight="1">
      <c r="A277" s="67" t="str">
        <f t="shared" si="180"/>
        <v/>
      </c>
      <c r="B277" s="69" t="str">
        <f t="shared" si="182"/>
        <v/>
      </c>
      <c r="C277" s="71"/>
      <c r="D277" s="69" t="str">
        <f t="shared" si="147"/>
        <v/>
      </c>
      <c r="E277" s="70" t="str">
        <f t="shared" si="148"/>
        <v/>
      </c>
      <c r="F277" s="70" t="str">
        <f t="shared" si="149"/>
        <v/>
      </c>
      <c r="G277" s="63" t="str">
        <f t="shared" si="150"/>
        <v/>
      </c>
      <c r="H277" s="64" t="str">
        <f t="shared" si="151"/>
        <v/>
      </c>
      <c r="I277" s="43"/>
      <c r="J277" s="63" t="str">
        <f t="shared" si="152"/>
        <v/>
      </c>
      <c r="K277" s="64" t="str">
        <f t="shared" si="153"/>
        <v/>
      </c>
      <c r="L277" s="38">
        <v>0</v>
      </c>
      <c r="M277" s="64" t="str">
        <f t="shared" si="154"/>
        <v/>
      </c>
      <c r="N277" s="65"/>
      <c r="O277" s="63" t="str">
        <f t="shared" si="155"/>
        <v/>
      </c>
      <c r="P277" s="63" t="str">
        <f t="shared" si="156"/>
        <v/>
      </c>
      <c r="Q277" s="66"/>
      <c r="R277" s="63" t="str">
        <f t="shared" si="157"/>
        <v/>
      </c>
      <c r="S277" s="64" t="str">
        <f t="shared" si="158"/>
        <v/>
      </c>
      <c r="T277" s="38">
        <v>0</v>
      </c>
      <c r="U277" s="64" t="str">
        <f t="shared" si="159"/>
        <v/>
      </c>
      <c r="V277" s="219"/>
      <c r="W277" s="43" t="str">
        <f t="shared" si="160"/>
        <v/>
      </c>
      <c r="X277" s="43" t="str">
        <f t="shared" si="161"/>
        <v/>
      </c>
      <c r="Y277" s="43"/>
      <c r="Z277" s="38" t="str">
        <f t="shared" si="162"/>
        <v/>
      </c>
      <c r="AA277" s="38" t="str">
        <f t="shared" si="163"/>
        <v/>
      </c>
      <c r="AB277" s="38" t="e">
        <f t="shared" si="164"/>
        <v>#VALUE!</v>
      </c>
      <c r="AC277" s="38" t="str">
        <f t="shared" si="165"/>
        <v/>
      </c>
      <c r="AD277" s="38" t="str">
        <f t="shared" si="165"/>
        <v/>
      </c>
      <c r="AE277" s="38" t="e">
        <f t="shared" si="166"/>
        <v>#VALUE!</v>
      </c>
      <c r="AF277" s="237" t="e">
        <f>((Summary!$N$13*(AA277*AD277)*(A277-$D$3))+(Summary!$M$13*Z277*AC277*(AJ277-EOMONTH(EDATE(A277,-1),0))))/(AK277*AB277*AE277)</f>
        <v>#VALUE!</v>
      </c>
      <c r="AG277" s="88" t="str">
        <f>IF($A278="","",Summary!$Q$13)</f>
        <v/>
      </c>
      <c r="AH277" s="88" t="str">
        <f>IF($A278="","",IF(Summary!$R$12="Y",(VLOOKUP($A277,Summary!$AD$6:$AF$9,3)+'Escalating commodity'!I290),'Escalating commodity'!I290))</f>
        <v/>
      </c>
      <c r="AI277" s="88" t="str">
        <f t="shared" si="181"/>
        <v/>
      </c>
      <c r="AJ277" s="236" t="e">
        <f t="shared" si="167"/>
        <v>#VALUE!</v>
      </c>
      <c r="AK277" s="58" t="str">
        <f t="shared" si="168"/>
        <v/>
      </c>
      <c r="AL277" s="26" t="str">
        <f>IF($A278="","",_xll.SPRDOPT(P277,X277,AI277,0,AB277,AE277,AF277,AK277,$AJ$2,0))</f>
        <v/>
      </c>
      <c r="AM277" s="209" t="str">
        <f t="shared" si="169"/>
        <v/>
      </c>
      <c r="AN277" s="89" t="str">
        <f t="shared" si="170"/>
        <v/>
      </c>
      <c r="AO277" s="3" t="str">
        <f t="shared" si="171"/>
        <v/>
      </c>
      <c r="AP277" s="33" t="str">
        <f t="shared" si="172"/>
        <v/>
      </c>
      <c r="AQ277" s="58" t="str">
        <f t="shared" si="173"/>
        <v/>
      </c>
      <c r="AR277" s="38">
        <f>'ANR OK vs ML7'!AR277</f>
        <v>0.1</v>
      </c>
      <c r="AS277" s="35" t="str">
        <f t="shared" si="174"/>
        <v/>
      </c>
      <c r="AT277" s="3" t="str">
        <f t="shared" si="175"/>
        <v/>
      </c>
      <c r="AU277" s="3" t="str">
        <f t="shared" si="176"/>
        <v/>
      </c>
      <c r="AW277" s="32" t="str">
        <f t="shared" si="177"/>
        <v/>
      </c>
      <c r="AX277" s="32" t="str">
        <f t="shared" si="178"/>
        <v/>
      </c>
      <c r="AY277" s="32" t="str">
        <f t="shared" si="179"/>
        <v/>
      </c>
      <c r="BA277" s="32" t="str">
        <f>IF($A278="","",F277*Summary!$Q$13)</f>
        <v/>
      </c>
    </row>
    <row r="278" spans="1:53" ht="12" customHeight="1">
      <c r="A278" s="67" t="str">
        <f t="shared" si="180"/>
        <v/>
      </c>
      <c r="B278" s="69" t="str">
        <f t="shared" si="182"/>
        <v/>
      </c>
      <c r="C278" s="71"/>
      <c r="D278" s="69" t="str">
        <f t="shared" si="147"/>
        <v/>
      </c>
      <c r="E278" s="70" t="str">
        <f t="shared" si="148"/>
        <v/>
      </c>
      <c r="F278" s="70" t="str">
        <f t="shared" si="149"/>
        <v/>
      </c>
      <c r="G278" s="63" t="str">
        <f t="shared" si="150"/>
        <v/>
      </c>
      <c r="H278" s="64" t="str">
        <f t="shared" si="151"/>
        <v/>
      </c>
      <c r="I278" s="43"/>
      <c r="J278" s="63" t="str">
        <f t="shared" si="152"/>
        <v/>
      </c>
      <c r="K278" s="64" t="str">
        <f t="shared" si="153"/>
        <v/>
      </c>
      <c r="L278" s="38">
        <v>0</v>
      </c>
      <c r="M278" s="64" t="str">
        <f t="shared" si="154"/>
        <v/>
      </c>
      <c r="N278" s="65"/>
      <c r="O278" s="63" t="str">
        <f t="shared" si="155"/>
        <v/>
      </c>
      <c r="P278" s="63" t="str">
        <f t="shared" si="156"/>
        <v/>
      </c>
      <c r="Q278" s="66"/>
      <c r="R278" s="63" t="str">
        <f t="shared" si="157"/>
        <v/>
      </c>
      <c r="S278" s="64" t="str">
        <f t="shared" si="158"/>
        <v/>
      </c>
      <c r="T278" s="38">
        <v>0</v>
      </c>
      <c r="U278" s="64" t="str">
        <f t="shared" si="159"/>
        <v/>
      </c>
      <c r="V278" s="219"/>
      <c r="W278" s="43" t="str">
        <f t="shared" si="160"/>
        <v/>
      </c>
      <c r="X278" s="43" t="str">
        <f t="shared" si="161"/>
        <v/>
      </c>
      <c r="Y278" s="43"/>
      <c r="Z278" s="38" t="str">
        <f t="shared" si="162"/>
        <v/>
      </c>
      <c r="AA278" s="38" t="str">
        <f t="shared" si="163"/>
        <v/>
      </c>
      <c r="AB278" s="38" t="e">
        <f t="shared" si="164"/>
        <v>#VALUE!</v>
      </c>
      <c r="AC278" s="38" t="str">
        <f t="shared" si="165"/>
        <v/>
      </c>
      <c r="AD278" s="38" t="str">
        <f t="shared" si="165"/>
        <v/>
      </c>
      <c r="AE278" s="38" t="e">
        <f t="shared" si="166"/>
        <v>#VALUE!</v>
      </c>
      <c r="AF278" s="237" t="e">
        <f>((Summary!$N$13*(AA278*AD278)*(A278-$D$3))+(Summary!$M$13*Z278*AC278*(AJ278-EOMONTH(EDATE(A278,-1),0))))/(AK278*AB278*AE278)</f>
        <v>#VALUE!</v>
      </c>
      <c r="AG278" s="88" t="str">
        <f>IF($A279="","",Summary!$Q$13)</f>
        <v/>
      </c>
      <c r="AH278" s="88" t="str">
        <f>IF($A279="","",IF(Summary!$R$12="Y",(VLOOKUP($A278,Summary!$AD$6:$AF$9,3)+'Escalating commodity'!I291),'Escalating commodity'!I291))</f>
        <v/>
      </c>
      <c r="AI278" s="88" t="str">
        <f t="shared" si="181"/>
        <v/>
      </c>
      <c r="AJ278" s="236" t="e">
        <f t="shared" si="167"/>
        <v>#VALUE!</v>
      </c>
      <c r="AK278" s="58" t="str">
        <f t="shared" si="168"/>
        <v/>
      </c>
      <c r="AL278" s="26" t="str">
        <f>IF($A279="","",_xll.SPRDOPT(P278,X278,AI278,0,AB278,AE278,AF278,AK278,$AJ$2,0))</f>
        <v/>
      </c>
      <c r="AM278" s="209" t="str">
        <f t="shared" si="169"/>
        <v/>
      </c>
      <c r="AN278" s="89" t="str">
        <f t="shared" si="170"/>
        <v/>
      </c>
      <c r="AO278" s="3" t="str">
        <f t="shared" si="171"/>
        <v/>
      </c>
      <c r="AP278" s="33" t="str">
        <f t="shared" si="172"/>
        <v/>
      </c>
      <c r="AQ278" s="58" t="str">
        <f t="shared" si="173"/>
        <v/>
      </c>
      <c r="AR278" s="38">
        <f>'ANR OK vs ML7'!AR278</f>
        <v>0.1</v>
      </c>
      <c r="AS278" s="35" t="str">
        <f t="shared" si="174"/>
        <v/>
      </c>
      <c r="AT278" s="3" t="str">
        <f t="shared" si="175"/>
        <v/>
      </c>
      <c r="AU278" s="3" t="str">
        <f t="shared" si="176"/>
        <v/>
      </c>
      <c r="AW278" s="32" t="str">
        <f t="shared" si="177"/>
        <v/>
      </c>
      <c r="AX278" s="32" t="str">
        <f t="shared" si="178"/>
        <v/>
      </c>
      <c r="AY278" s="32" t="str">
        <f t="shared" si="179"/>
        <v/>
      </c>
      <c r="BA278" s="32" t="str">
        <f>IF($A279="","",F278*Summary!$Q$13)</f>
        <v/>
      </c>
    </row>
    <row r="279" spans="1:53" ht="12" customHeight="1">
      <c r="A279" s="67" t="str">
        <f t="shared" si="180"/>
        <v/>
      </c>
      <c r="B279" s="69" t="str">
        <f t="shared" si="182"/>
        <v/>
      </c>
      <c r="C279" s="71"/>
      <c r="D279" s="69" t="str">
        <f t="shared" si="147"/>
        <v/>
      </c>
      <c r="E279" s="70" t="str">
        <f t="shared" si="148"/>
        <v/>
      </c>
      <c r="F279" s="70" t="str">
        <f t="shared" si="149"/>
        <v/>
      </c>
      <c r="G279" s="63" t="str">
        <f t="shared" si="150"/>
        <v/>
      </c>
      <c r="H279" s="64" t="str">
        <f t="shared" si="151"/>
        <v/>
      </c>
      <c r="I279" s="43"/>
      <c r="J279" s="63" t="str">
        <f t="shared" si="152"/>
        <v/>
      </c>
      <c r="K279" s="64" t="str">
        <f t="shared" si="153"/>
        <v/>
      </c>
      <c r="L279" s="38">
        <v>0</v>
      </c>
      <c r="M279" s="64" t="str">
        <f t="shared" si="154"/>
        <v/>
      </c>
      <c r="N279" s="65"/>
      <c r="O279" s="63" t="str">
        <f t="shared" si="155"/>
        <v/>
      </c>
      <c r="P279" s="63" t="str">
        <f t="shared" si="156"/>
        <v/>
      </c>
      <c r="Q279" s="66"/>
      <c r="R279" s="63" t="str">
        <f t="shared" si="157"/>
        <v/>
      </c>
      <c r="S279" s="64" t="str">
        <f t="shared" si="158"/>
        <v/>
      </c>
      <c r="T279" s="38">
        <v>0</v>
      </c>
      <c r="U279" s="64" t="str">
        <f t="shared" si="159"/>
        <v/>
      </c>
      <c r="V279" s="219"/>
      <c r="W279" s="43" t="str">
        <f t="shared" si="160"/>
        <v/>
      </c>
      <c r="X279" s="43" t="str">
        <f t="shared" si="161"/>
        <v/>
      </c>
      <c r="Y279" s="43"/>
      <c r="Z279" s="38" t="str">
        <f t="shared" si="162"/>
        <v/>
      </c>
      <c r="AA279" s="38" t="str">
        <f t="shared" si="163"/>
        <v/>
      </c>
      <c r="AB279" s="38" t="e">
        <f t="shared" si="164"/>
        <v>#VALUE!</v>
      </c>
      <c r="AC279" s="38" t="str">
        <f t="shared" si="165"/>
        <v/>
      </c>
      <c r="AD279" s="38" t="str">
        <f t="shared" si="165"/>
        <v/>
      </c>
      <c r="AE279" s="38" t="e">
        <f t="shared" si="166"/>
        <v>#VALUE!</v>
      </c>
      <c r="AF279" s="237" t="e">
        <f>((Summary!$N$13*(AA279*AD279)*(A279-$D$3))+(Summary!$M$13*Z279*AC279*(AJ279-EOMONTH(EDATE(A279,-1),0))))/(AK279*AB279*AE279)</f>
        <v>#VALUE!</v>
      </c>
      <c r="AG279" s="88" t="str">
        <f>IF($A280="","",Summary!$Q$13)</f>
        <v/>
      </c>
      <c r="AH279" s="88" t="str">
        <f>IF($A280="","",IF(Summary!$R$12="Y",(VLOOKUP($A279,Summary!$AD$6:$AF$9,3)+'Escalating commodity'!I292),'Escalating commodity'!I292))</f>
        <v/>
      </c>
      <c r="AI279" s="88" t="str">
        <f t="shared" si="181"/>
        <v/>
      </c>
      <c r="AJ279" s="236" t="e">
        <f t="shared" si="167"/>
        <v>#VALUE!</v>
      </c>
      <c r="AK279" s="58" t="str">
        <f t="shared" si="168"/>
        <v/>
      </c>
      <c r="AL279" s="26" t="str">
        <f>IF($A280="","",_xll.SPRDOPT(P279,X279,AI279,0,AB279,AE279,AF279,AK279,$AJ$2,0))</f>
        <v/>
      </c>
      <c r="AM279" s="209" t="str">
        <f t="shared" si="169"/>
        <v/>
      </c>
      <c r="AN279" s="89" t="str">
        <f t="shared" si="170"/>
        <v/>
      </c>
      <c r="AO279" s="3" t="str">
        <f t="shared" si="171"/>
        <v/>
      </c>
      <c r="AP279" s="33" t="str">
        <f t="shared" si="172"/>
        <v/>
      </c>
      <c r="AQ279" s="58" t="str">
        <f t="shared" si="173"/>
        <v/>
      </c>
      <c r="AR279" s="38">
        <f>'ANR OK vs ML7'!AR279</f>
        <v>0.1</v>
      </c>
      <c r="AS279" s="35" t="str">
        <f t="shared" si="174"/>
        <v/>
      </c>
      <c r="AT279" s="3" t="str">
        <f t="shared" si="175"/>
        <v/>
      </c>
      <c r="AU279" s="3" t="str">
        <f t="shared" si="176"/>
        <v/>
      </c>
      <c r="AW279" s="32" t="str">
        <f t="shared" si="177"/>
        <v/>
      </c>
      <c r="AX279" s="32" t="str">
        <f t="shared" si="178"/>
        <v/>
      </c>
      <c r="AY279" s="32" t="str">
        <f t="shared" si="179"/>
        <v/>
      </c>
      <c r="BA279" s="32" t="str">
        <f>IF($A280="","",F279*Summary!$Q$13)</f>
        <v/>
      </c>
    </row>
    <row r="280" spans="1:53" ht="12" customHeight="1">
      <c r="A280" s="67" t="str">
        <f t="shared" si="180"/>
        <v/>
      </c>
      <c r="B280" s="69" t="str">
        <f t="shared" si="182"/>
        <v/>
      </c>
      <c r="C280" s="71"/>
      <c r="D280" s="69" t="str">
        <f t="shared" si="147"/>
        <v/>
      </c>
      <c r="E280" s="70" t="str">
        <f t="shared" si="148"/>
        <v/>
      </c>
      <c r="F280" s="70" t="str">
        <f t="shared" si="149"/>
        <v/>
      </c>
      <c r="G280" s="63" t="str">
        <f t="shared" si="150"/>
        <v/>
      </c>
      <c r="H280" s="64" t="str">
        <f t="shared" si="151"/>
        <v/>
      </c>
      <c r="I280" s="43"/>
      <c r="J280" s="63" t="str">
        <f t="shared" si="152"/>
        <v/>
      </c>
      <c r="K280" s="64" t="str">
        <f t="shared" si="153"/>
        <v/>
      </c>
      <c r="L280" s="38">
        <v>0</v>
      </c>
      <c r="M280" s="64" t="str">
        <f t="shared" si="154"/>
        <v/>
      </c>
      <c r="N280" s="65"/>
      <c r="O280" s="63" t="str">
        <f t="shared" si="155"/>
        <v/>
      </c>
      <c r="P280" s="63" t="str">
        <f t="shared" si="156"/>
        <v/>
      </c>
      <c r="Q280" s="66"/>
      <c r="R280" s="63" t="str">
        <f t="shared" si="157"/>
        <v/>
      </c>
      <c r="S280" s="64" t="str">
        <f t="shared" si="158"/>
        <v/>
      </c>
      <c r="T280" s="38">
        <v>0</v>
      </c>
      <c r="U280" s="64" t="str">
        <f t="shared" si="159"/>
        <v/>
      </c>
      <c r="V280" s="219"/>
      <c r="W280" s="43" t="str">
        <f t="shared" si="160"/>
        <v/>
      </c>
      <c r="X280" s="43" t="str">
        <f t="shared" si="161"/>
        <v/>
      </c>
      <c r="Y280" s="43"/>
      <c r="Z280" s="38" t="str">
        <f t="shared" si="162"/>
        <v/>
      </c>
      <c r="AA280" s="38" t="str">
        <f t="shared" si="163"/>
        <v/>
      </c>
      <c r="AB280" s="38" t="e">
        <f t="shared" si="164"/>
        <v>#VALUE!</v>
      </c>
      <c r="AC280" s="38" t="str">
        <f t="shared" si="165"/>
        <v/>
      </c>
      <c r="AD280" s="38" t="str">
        <f t="shared" si="165"/>
        <v/>
      </c>
      <c r="AE280" s="38" t="e">
        <f t="shared" si="166"/>
        <v>#VALUE!</v>
      </c>
      <c r="AF280" s="237" t="e">
        <f>((Summary!$N$13*(AA280*AD280)*(A280-$D$3))+(Summary!$M$13*Z280*AC280*(AJ280-EOMONTH(EDATE(A280,-1),0))))/(AK280*AB280*AE280)</f>
        <v>#VALUE!</v>
      </c>
      <c r="AG280" s="88" t="str">
        <f>IF($A281="","",Summary!$Q$13)</f>
        <v/>
      </c>
      <c r="AH280" s="88" t="str">
        <f>IF($A281="","",IF(Summary!$R$12="Y",(VLOOKUP($A280,Summary!$AD$6:$AF$9,3)+'Escalating commodity'!I293),'Escalating commodity'!I293))</f>
        <v/>
      </c>
      <c r="AI280" s="88" t="str">
        <f t="shared" si="181"/>
        <v/>
      </c>
      <c r="AJ280" s="236" t="e">
        <f t="shared" si="167"/>
        <v>#VALUE!</v>
      </c>
      <c r="AK280" s="58" t="str">
        <f t="shared" si="168"/>
        <v/>
      </c>
      <c r="AL280" s="26" t="str">
        <f>IF($A281="","",_xll.SPRDOPT(P280,X280,AI280,0,AB280,AE280,AF280,AK280,$AJ$2,0))</f>
        <v/>
      </c>
      <c r="AM280" s="209" t="str">
        <f t="shared" si="169"/>
        <v/>
      </c>
      <c r="AN280" s="89" t="str">
        <f t="shared" si="170"/>
        <v/>
      </c>
      <c r="AO280" s="3" t="str">
        <f t="shared" si="171"/>
        <v/>
      </c>
      <c r="AP280" s="33" t="str">
        <f t="shared" si="172"/>
        <v/>
      </c>
      <c r="AQ280" s="58" t="str">
        <f t="shared" si="173"/>
        <v/>
      </c>
      <c r="AR280" s="38">
        <f>'ANR OK vs ML7'!AR280</f>
        <v>0.1</v>
      </c>
      <c r="AS280" s="35" t="str">
        <f t="shared" si="174"/>
        <v/>
      </c>
      <c r="AT280" s="3" t="str">
        <f t="shared" si="175"/>
        <v/>
      </c>
      <c r="AU280" s="3" t="str">
        <f t="shared" si="176"/>
        <v/>
      </c>
      <c r="AW280" s="32" t="str">
        <f t="shared" si="177"/>
        <v/>
      </c>
      <c r="AX280" s="32" t="str">
        <f t="shared" si="178"/>
        <v/>
      </c>
      <c r="AY280" s="32" t="str">
        <f t="shared" si="179"/>
        <v/>
      </c>
      <c r="BA280" s="32" t="str">
        <f>IF($A281="","",F280*Summary!$Q$13)</f>
        <v/>
      </c>
    </row>
    <row r="281" spans="1:53" ht="12" customHeight="1">
      <c r="A281" s="67" t="str">
        <f t="shared" si="180"/>
        <v/>
      </c>
      <c r="B281" s="69" t="str">
        <f t="shared" si="182"/>
        <v/>
      </c>
      <c r="C281" s="71"/>
      <c r="D281" s="69" t="str">
        <f t="shared" si="147"/>
        <v/>
      </c>
      <c r="E281" s="70" t="str">
        <f t="shared" si="148"/>
        <v/>
      </c>
      <c r="F281" s="70" t="str">
        <f t="shared" si="149"/>
        <v/>
      </c>
      <c r="G281" s="63" t="str">
        <f t="shared" si="150"/>
        <v/>
      </c>
      <c r="H281" s="64" t="str">
        <f t="shared" si="151"/>
        <v/>
      </c>
      <c r="I281" s="43"/>
      <c r="J281" s="63" t="str">
        <f t="shared" si="152"/>
        <v/>
      </c>
      <c r="K281" s="64" t="str">
        <f t="shared" si="153"/>
        <v/>
      </c>
      <c r="L281" s="38">
        <v>0</v>
      </c>
      <c r="M281" s="64" t="str">
        <f t="shared" si="154"/>
        <v/>
      </c>
      <c r="N281" s="65"/>
      <c r="O281" s="63" t="str">
        <f t="shared" si="155"/>
        <v/>
      </c>
      <c r="P281" s="63" t="str">
        <f t="shared" si="156"/>
        <v/>
      </c>
      <c r="Q281" s="66"/>
      <c r="R281" s="63" t="str">
        <f t="shared" si="157"/>
        <v/>
      </c>
      <c r="S281" s="64" t="str">
        <f t="shared" si="158"/>
        <v/>
      </c>
      <c r="T281" s="38">
        <v>0</v>
      </c>
      <c r="U281" s="64" t="str">
        <f t="shared" si="159"/>
        <v/>
      </c>
      <c r="V281" s="219"/>
      <c r="W281" s="43" t="str">
        <f t="shared" si="160"/>
        <v/>
      </c>
      <c r="X281" s="43" t="str">
        <f t="shared" si="161"/>
        <v/>
      </c>
      <c r="Y281" s="43"/>
      <c r="Z281" s="38" t="str">
        <f t="shared" si="162"/>
        <v/>
      </c>
      <c r="AA281" s="38" t="str">
        <f t="shared" si="163"/>
        <v/>
      </c>
      <c r="AB281" s="38" t="e">
        <f t="shared" si="164"/>
        <v>#VALUE!</v>
      </c>
      <c r="AC281" s="38" t="str">
        <f t="shared" si="165"/>
        <v/>
      </c>
      <c r="AD281" s="38" t="str">
        <f t="shared" si="165"/>
        <v/>
      </c>
      <c r="AE281" s="38" t="e">
        <f t="shared" si="166"/>
        <v>#VALUE!</v>
      </c>
      <c r="AF281" s="237" t="e">
        <f>((Summary!$N$13*(AA281*AD281)*(A281-$D$3))+(Summary!$M$13*Z281*AC281*(AJ281-EOMONTH(EDATE(A281,-1),0))))/(AK281*AB281*AE281)</f>
        <v>#VALUE!</v>
      </c>
      <c r="AG281" s="88" t="str">
        <f>IF($A282="","",Summary!$Q$13)</f>
        <v/>
      </c>
      <c r="AH281" s="88" t="str">
        <f>IF($A282="","",IF(Summary!$R$12="Y",(VLOOKUP($A281,Summary!$AD$6:$AF$9,3)+'Escalating commodity'!I294),'Escalating commodity'!I294))</f>
        <v/>
      </c>
      <c r="AI281" s="88" t="str">
        <f t="shared" si="181"/>
        <v/>
      </c>
      <c r="AJ281" s="236" t="e">
        <f t="shared" si="167"/>
        <v>#VALUE!</v>
      </c>
      <c r="AK281" s="58" t="str">
        <f t="shared" si="168"/>
        <v/>
      </c>
      <c r="AL281" s="26" t="str">
        <f>IF($A282="","",_xll.SPRDOPT(P281,X281,AI281,0,AB281,AE281,AF281,AK281,$AJ$2,0))</f>
        <v/>
      </c>
      <c r="AM281" s="209" t="str">
        <f t="shared" si="169"/>
        <v/>
      </c>
      <c r="AN281" s="89" t="str">
        <f t="shared" si="170"/>
        <v/>
      </c>
      <c r="AO281" s="3" t="str">
        <f t="shared" si="171"/>
        <v/>
      </c>
      <c r="AP281" s="33" t="str">
        <f t="shared" si="172"/>
        <v/>
      </c>
      <c r="AQ281" s="58" t="str">
        <f t="shared" si="173"/>
        <v/>
      </c>
      <c r="AR281" s="38">
        <f>'ANR OK vs ML7'!AR281</f>
        <v>0.1</v>
      </c>
      <c r="AS281" s="35" t="str">
        <f t="shared" si="174"/>
        <v/>
      </c>
      <c r="AT281" s="3" t="str">
        <f t="shared" si="175"/>
        <v/>
      </c>
      <c r="AU281" s="3" t="str">
        <f t="shared" si="176"/>
        <v/>
      </c>
      <c r="AW281" s="32" t="str">
        <f t="shared" si="177"/>
        <v/>
      </c>
      <c r="AX281" s="32" t="str">
        <f t="shared" si="178"/>
        <v/>
      </c>
      <c r="AY281" s="32" t="str">
        <f t="shared" si="179"/>
        <v/>
      </c>
      <c r="BA281" s="32" t="str">
        <f>IF($A282="","",F281*Summary!$Q$13)</f>
        <v/>
      </c>
    </row>
    <row r="282" spans="1:53" ht="12" customHeight="1">
      <c r="A282" s="67" t="str">
        <f t="shared" si="180"/>
        <v/>
      </c>
      <c r="B282" s="69" t="str">
        <f t="shared" si="182"/>
        <v/>
      </c>
      <c r="C282" s="71"/>
      <c r="D282" s="69" t="str">
        <f t="shared" si="147"/>
        <v/>
      </c>
      <c r="E282" s="70" t="str">
        <f t="shared" si="148"/>
        <v/>
      </c>
      <c r="F282" s="70" t="str">
        <f t="shared" si="149"/>
        <v/>
      </c>
      <c r="G282" s="63" t="str">
        <f t="shared" si="150"/>
        <v/>
      </c>
      <c r="H282" s="64" t="str">
        <f t="shared" si="151"/>
        <v/>
      </c>
      <c r="I282" s="43"/>
      <c r="J282" s="63" t="str">
        <f t="shared" si="152"/>
        <v/>
      </c>
      <c r="K282" s="64" t="str">
        <f t="shared" si="153"/>
        <v/>
      </c>
      <c r="L282" s="38">
        <v>0</v>
      </c>
      <c r="M282" s="64" t="str">
        <f t="shared" si="154"/>
        <v/>
      </c>
      <c r="N282" s="65"/>
      <c r="O282" s="63" t="str">
        <f t="shared" si="155"/>
        <v/>
      </c>
      <c r="P282" s="63" t="str">
        <f t="shared" si="156"/>
        <v/>
      </c>
      <c r="Q282" s="66"/>
      <c r="R282" s="63" t="str">
        <f t="shared" si="157"/>
        <v/>
      </c>
      <c r="S282" s="64" t="str">
        <f t="shared" si="158"/>
        <v/>
      </c>
      <c r="T282" s="38">
        <v>0</v>
      </c>
      <c r="U282" s="64" t="str">
        <f t="shared" si="159"/>
        <v/>
      </c>
      <c r="V282" s="219"/>
      <c r="W282" s="43" t="str">
        <f t="shared" si="160"/>
        <v/>
      </c>
      <c r="X282" s="43" t="str">
        <f t="shared" si="161"/>
        <v/>
      </c>
      <c r="Y282" s="43"/>
      <c r="Z282" s="38" t="str">
        <f t="shared" si="162"/>
        <v/>
      </c>
      <c r="AA282" s="38" t="str">
        <f t="shared" si="163"/>
        <v/>
      </c>
      <c r="AB282" s="38" t="e">
        <f t="shared" si="164"/>
        <v>#VALUE!</v>
      </c>
      <c r="AC282" s="38" t="str">
        <f t="shared" si="165"/>
        <v/>
      </c>
      <c r="AD282" s="38" t="str">
        <f t="shared" si="165"/>
        <v/>
      </c>
      <c r="AE282" s="38" t="e">
        <f t="shared" si="166"/>
        <v>#VALUE!</v>
      </c>
      <c r="AF282" s="237" t="e">
        <f>((Summary!$N$13*(AA282*AD282)*(A282-$D$3))+(Summary!$M$13*Z282*AC282*(AJ282-EOMONTH(EDATE(A282,-1),0))))/(AK282*AB282*AE282)</f>
        <v>#VALUE!</v>
      </c>
      <c r="AG282" s="88" t="str">
        <f>IF($A283="","",Summary!$Q$13)</f>
        <v/>
      </c>
      <c r="AH282" s="88" t="str">
        <f>IF($A283="","",IF(Summary!$R$12="Y",(VLOOKUP($A282,Summary!$AD$6:$AF$9,3)+'Escalating commodity'!I295),'Escalating commodity'!I295))</f>
        <v/>
      </c>
      <c r="AI282" s="88" t="str">
        <f t="shared" si="181"/>
        <v/>
      </c>
      <c r="AJ282" s="236" t="e">
        <f t="shared" si="167"/>
        <v>#VALUE!</v>
      </c>
      <c r="AK282" s="58" t="str">
        <f t="shared" si="168"/>
        <v/>
      </c>
      <c r="AL282" s="26" t="str">
        <f>IF($A283="","",_xll.SPRDOPT(P282,X282,AI282,0,AB282,AE282,AF282,AK282,$AJ$2,0))</f>
        <v/>
      </c>
      <c r="AM282" s="209" t="str">
        <f t="shared" si="169"/>
        <v/>
      </c>
      <c r="AN282" s="89" t="str">
        <f t="shared" si="170"/>
        <v/>
      </c>
      <c r="AO282" s="3" t="str">
        <f t="shared" si="171"/>
        <v/>
      </c>
      <c r="AP282" s="33" t="str">
        <f t="shared" si="172"/>
        <v/>
      </c>
      <c r="AQ282" s="58" t="str">
        <f t="shared" si="173"/>
        <v/>
      </c>
      <c r="AR282" s="38">
        <f>'ANR OK vs ML7'!AR282</f>
        <v>0.1</v>
      </c>
      <c r="AS282" s="35" t="str">
        <f t="shared" si="174"/>
        <v/>
      </c>
      <c r="AT282" s="3" t="str">
        <f t="shared" si="175"/>
        <v/>
      </c>
      <c r="AU282" s="3" t="str">
        <f t="shared" si="176"/>
        <v/>
      </c>
      <c r="AW282" s="32" t="str">
        <f t="shared" si="177"/>
        <v/>
      </c>
      <c r="AX282" s="32" t="str">
        <f t="shared" si="178"/>
        <v/>
      </c>
      <c r="AY282" s="32" t="str">
        <f t="shared" si="179"/>
        <v/>
      </c>
      <c r="BA282" s="32" t="str">
        <f>IF($A283="","",F282*Summary!$Q$13)</f>
        <v/>
      </c>
    </row>
    <row r="283" spans="1:53" ht="12" customHeight="1">
      <c r="A283" s="67" t="str">
        <f t="shared" si="180"/>
        <v/>
      </c>
      <c r="B283" s="69" t="str">
        <f t="shared" si="182"/>
        <v/>
      </c>
      <c r="C283" s="71"/>
      <c r="D283" s="69" t="str">
        <f t="shared" si="147"/>
        <v/>
      </c>
      <c r="E283" s="70" t="str">
        <f t="shared" si="148"/>
        <v/>
      </c>
      <c r="F283" s="70" t="str">
        <f t="shared" si="149"/>
        <v/>
      </c>
      <c r="G283" s="63" t="str">
        <f t="shared" si="150"/>
        <v/>
      </c>
      <c r="H283" s="64" t="str">
        <f t="shared" si="151"/>
        <v/>
      </c>
      <c r="I283" s="43"/>
      <c r="J283" s="63" t="str">
        <f t="shared" si="152"/>
        <v/>
      </c>
      <c r="K283" s="64" t="str">
        <f t="shared" si="153"/>
        <v/>
      </c>
      <c r="L283" s="38">
        <v>0</v>
      </c>
      <c r="M283" s="64" t="str">
        <f t="shared" si="154"/>
        <v/>
      </c>
      <c r="N283" s="65"/>
      <c r="O283" s="63" t="str">
        <f t="shared" si="155"/>
        <v/>
      </c>
      <c r="P283" s="63" t="str">
        <f t="shared" si="156"/>
        <v/>
      </c>
      <c r="Q283" s="66"/>
      <c r="R283" s="63" t="str">
        <f t="shared" si="157"/>
        <v/>
      </c>
      <c r="S283" s="64" t="str">
        <f t="shared" si="158"/>
        <v/>
      </c>
      <c r="T283" s="38">
        <v>0</v>
      </c>
      <c r="U283" s="64" t="str">
        <f t="shared" si="159"/>
        <v/>
      </c>
      <c r="V283" s="219"/>
      <c r="W283" s="43" t="str">
        <f t="shared" si="160"/>
        <v/>
      </c>
      <c r="X283" s="43" t="str">
        <f t="shared" si="161"/>
        <v/>
      </c>
      <c r="Y283" s="43"/>
      <c r="Z283" s="38" t="str">
        <f t="shared" si="162"/>
        <v/>
      </c>
      <c r="AA283" s="38" t="str">
        <f t="shared" si="163"/>
        <v/>
      </c>
      <c r="AB283" s="38" t="e">
        <f t="shared" si="164"/>
        <v>#VALUE!</v>
      </c>
      <c r="AC283" s="38" t="str">
        <f t="shared" si="165"/>
        <v/>
      </c>
      <c r="AD283" s="38" t="str">
        <f t="shared" si="165"/>
        <v/>
      </c>
      <c r="AE283" s="38" t="e">
        <f t="shared" si="166"/>
        <v>#VALUE!</v>
      </c>
      <c r="AF283" s="237" t="e">
        <f>((Summary!$N$13*(AA283*AD283)*(A283-$D$3))+(Summary!$M$13*Z283*AC283*(AJ283-EOMONTH(EDATE(A283,-1),0))))/(AK283*AB283*AE283)</f>
        <v>#VALUE!</v>
      </c>
      <c r="AG283" s="88" t="str">
        <f>IF($A284="","",Summary!$Q$13)</f>
        <v/>
      </c>
      <c r="AH283" s="88" t="str">
        <f>IF($A284="","",IF(Summary!$R$12="Y",(VLOOKUP($A283,Summary!$AD$6:$AF$9,3)+'Escalating commodity'!I296),'Escalating commodity'!I296))</f>
        <v/>
      </c>
      <c r="AI283" s="88" t="str">
        <f t="shared" si="181"/>
        <v/>
      </c>
      <c r="AJ283" s="236" t="e">
        <f t="shared" si="167"/>
        <v>#VALUE!</v>
      </c>
      <c r="AK283" s="58" t="str">
        <f t="shared" si="168"/>
        <v/>
      </c>
      <c r="AL283" s="26" t="str">
        <f>IF($A284="","",_xll.SPRDOPT(P283,X283,AI283,0,AB283,AE283,AF283,AK283,$AJ$2,0))</f>
        <v/>
      </c>
      <c r="AM283" s="209" t="str">
        <f t="shared" si="169"/>
        <v/>
      </c>
      <c r="AN283" s="89" t="str">
        <f t="shared" si="170"/>
        <v/>
      </c>
      <c r="AO283" s="3" t="str">
        <f t="shared" si="171"/>
        <v/>
      </c>
      <c r="AP283" s="33" t="str">
        <f t="shared" si="172"/>
        <v/>
      </c>
      <c r="AQ283" s="58" t="str">
        <f t="shared" si="173"/>
        <v/>
      </c>
      <c r="AR283" s="38">
        <f>'ANR OK vs ML7'!AR283</f>
        <v>0.1</v>
      </c>
      <c r="AS283" s="35" t="str">
        <f t="shared" si="174"/>
        <v/>
      </c>
      <c r="AT283" s="3" t="str">
        <f t="shared" si="175"/>
        <v/>
      </c>
      <c r="AU283" s="3" t="str">
        <f t="shared" si="176"/>
        <v/>
      </c>
      <c r="AW283" s="32" t="str">
        <f t="shared" si="177"/>
        <v/>
      </c>
      <c r="AX283" s="32" t="str">
        <f t="shared" si="178"/>
        <v/>
      </c>
      <c r="AY283" s="32" t="str">
        <f t="shared" si="179"/>
        <v/>
      </c>
      <c r="BA283" s="32" t="str">
        <f>IF($A284="","",F283*Summary!$Q$13)</f>
        <v/>
      </c>
    </row>
    <row r="284" spans="1:53" ht="12" customHeight="1">
      <c r="A284" s="67" t="str">
        <f t="shared" si="180"/>
        <v/>
      </c>
      <c r="B284" s="69" t="str">
        <f t="shared" si="182"/>
        <v/>
      </c>
      <c r="C284" s="71"/>
      <c r="D284" s="69" t="str">
        <f t="shared" si="147"/>
        <v/>
      </c>
      <c r="E284" s="70" t="str">
        <f t="shared" si="148"/>
        <v/>
      </c>
      <c r="F284" s="70" t="str">
        <f t="shared" si="149"/>
        <v/>
      </c>
      <c r="G284" s="63" t="str">
        <f t="shared" si="150"/>
        <v/>
      </c>
      <c r="H284" s="64" t="str">
        <f t="shared" si="151"/>
        <v/>
      </c>
      <c r="I284" s="43"/>
      <c r="J284" s="63" t="str">
        <f t="shared" si="152"/>
        <v/>
      </c>
      <c r="K284" s="64" t="str">
        <f t="shared" si="153"/>
        <v/>
      </c>
      <c r="L284" s="38">
        <v>0</v>
      </c>
      <c r="M284" s="64" t="str">
        <f t="shared" si="154"/>
        <v/>
      </c>
      <c r="N284" s="65"/>
      <c r="O284" s="63" t="str">
        <f t="shared" si="155"/>
        <v/>
      </c>
      <c r="P284" s="63" t="str">
        <f t="shared" si="156"/>
        <v/>
      </c>
      <c r="Q284" s="66"/>
      <c r="R284" s="63" t="str">
        <f t="shared" si="157"/>
        <v/>
      </c>
      <c r="S284" s="64" t="str">
        <f t="shared" si="158"/>
        <v/>
      </c>
      <c r="T284" s="38">
        <v>0</v>
      </c>
      <c r="U284" s="64" t="str">
        <f t="shared" si="159"/>
        <v/>
      </c>
      <c r="V284" s="219"/>
      <c r="W284" s="43" t="str">
        <f t="shared" si="160"/>
        <v/>
      </c>
      <c r="X284" s="43" t="str">
        <f t="shared" si="161"/>
        <v/>
      </c>
      <c r="Y284" s="43"/>
      <c r="Z284" s="38" t="str">
        <f t="shared" si="162"/>
        <v/>
      </c>
      <c r="AA284" s="38" t="str">
        <f t="shared" si="163"/>
        <v/>
      </c>
      <c r="AB284" s="38" t="e">
        <f t="shared" si="164"/>
        <v>#VALUE!</v>
      </c>
      <c r="AC284" s="38" t="str">
        <f t="shared" si="165"/>
        <v/>
      </c>
      <c r="AD284" s="38" t="str">
        <f t="shared" si="165"/>
        <v/>
      </c>
      <c r="AE284" s="38" t="e">
        <f t="shared" si="166"/>
        <v>#VALUE!</v>
      </c>
      <c r="AF284" s="237" t="e">
        <f>((Summary!$N$13*(AA284*AD284)*(A284-$D$3))+(Summary!$M$13*Z284*AC284*(AJ284-EOMONTH(EDATE(A284,-1),0))))/(AK284*AB284*AE284)</f>
        <v>#VALUE!</v>
      </c>
      <c r="AG284" s="88" t="str">
        <f>IF($A285="","",Summary!$Q$13)</f>
        <v/>
      </c>
      <c r="AH284" s="88" t="str">
        <f>IF($A285="","",IF(Summary!$R$12="Y",(VLOOKUP($A284,Summary!$AD$6:$AF$9,3)+'Escalating commodity'!I297),'Escalating commodity'!I297))</f>
        <v/>
      </c>
      <c r="AI284" s="88" t="str">
        <f t="shared" si="181"/>
        <v/>
      </c>
      <c r="AJ284" s="236" t="e">
        <f t="shared" si="167"/>
        <v>#VALUE!</v>
      </c>
      <c r="AK284" s="58" t="str">
        <f t="shared" si="168"/>
        <v/>
      </c>
      <c r="AL284" s="26" t="str">
        <f>IF($A285="","",_xll.SPRDOPT(P284,X284,AI284,0,AB284,AE284,AF284,AK284,$AJ$2,0))</f>
        <v/>
      </c>
      <c r="AM284" s="209" t="str">
        <f t="shared" si="169"/>
        <v/>
      </c>
      <c r="AN284" s="89" t="str">
        <f t="shared" si="170"/>
        <v/>
      </c>
      <c r="AO284" s="3" t="str">
        <f t="shared" si="171"/>
        <v/>
      </c>
      <c r="AP284" s="33" t="str">
        <f t="shared" si="172"/>
        <v/>
      </c>
      <c r="AQ284" s="58" t="str">
        <f t="shared" si="173"/>
        <v/>
      </c>
      <c r="AR284" s="38">
        <f>'ANR OK vs ML7'!AR284</f>
        <v>0.1</v>
      </c>
      <c r="AS284" s="35" t="str">
        <f t="shared" si="174"/>
        <v/>
      </c>
      <c r="AT284" s="3" t="str">
        <f t="shared" si="175"/>
        <v/>
      </c>
      <c r="AU284" s="3" t="str">
        <f t="shared" si="176"/>
        <v/>
      </c>
      <c r="AW284" s="32" t="str">
        <f t="shared" si="177"/>
        <v/>
      </c>
      <c r="AX284" s="32" t="str">
        <f t="shared" si="178"/>
        <v/>
      </c>
      <c r="AY284" s="32" t="str">
        <f t="shared" si="179"/>
        <v/>
      </c>
      <c r="BA284" s="32" t="str">
        <f>IF($A285="","",F284*Summary!$Q$13)</f>
        <v/>
      </c>
    </row>
    <row r="285" spans="1:53" ht="12" customHeight="1">
      <c r="A285" s="67" t="str">
        <f t="shared" si="180"/>
        <v/>
      </c>
      <c r="B285" s="69" t="str">
        <f t="shared" si="182"/>
        <v/>
      </c>
      <c r="C285" s="71"/>
      <c r="D285" s="69" t="str">
        <f t="shared" si="147"/>
        <v/>
      </c>
      <c r="E285" s="70" t="str">
        <f t="shared" si="148"/>
        <v/>
      </c>
      <c r="F285" s="70" t="str">
        <f t="shared" si="149"/>
        <v/>
      </c>
      <c r="G285" s="63" t="str">
        <f t="shared" si="150"/>
        <v/>
      </c>
      <c r="H285" s="64" t="str">
        <f t="shared" si="151"/>
        <v/>
      </c>
      <c r="I285" s="43"/>
      <c r="J285" s="63" t="str">
        <f t="shared" si="152"/>
        <v/>
      </c>
      <c r="K285" s="64" t="str">
        <f t="shared" si="153"/>
        <v/>
      </c>
      <c r="L285" s="38">
        <v>0</v>
      </c>
      <c r="M285" s="64" t="str">
        <f t="shared" si="154"/>
        <v/>
      </c>
      <c r="N285" s="65"/>
      <c r="O285" s="63" t="str">
        <f t="shared" si="155"/>
        <v/>
      </c>
      <c r="P285" s="63" t="str">
        <f t="shared" si="156"/>
        <v/>
      </c>
      <c r="Q285" s="66"/>
      <c r="R285" s="63" t="str">
        <f t="shared" si="157"/>
        <v/>
      </c>
      <c r="S285" s="64" t="str">
        <f t="shared" si="158"/>
        <v/>
      </c>
      <c r="T285" s="38">
        <v>0</v>
      </c>
      <c r="U285" s="64" t="str">
        <f t="shared" si="159"/>
        <v/>
      </c>
      <c r="V285" s="219"/>
      <c r="W285" s="43" t="str">
        <f t="shared" si="160"/>
        <v/>
      </c>
      <c r="X285" s="43" t="str">
        <f t="shared" si="161"/>
        <v/>
      </c>
      <c r="Y285" s="43"/>
      <c r="Z285" s="38" t="str">
        <f t="shared" si="162"/>
        <v/>
      </c>
      <c r="AA285" s="38" t="str">
        <f t="shared" si="163"/>
        <v/>
      </c>
      <c r="AB285" s="38" t="e">
        <f t="shared" si="164"/>
        <v>#VALUE!</v>
      </c>
      <c r="AC285" s="38" t="str">
        <f t="shared" si="165"/>
        <v/>
      </c>
      <c r="AD285" s="38" t="str">
        <f t="shared" si="165"/>
        <v/>
      </c>
      <c r="AE285" s="38" t="e">
        <f t="shared" si="166"/>
        <v>#VALUE!</v>
      </c>
      <c r="AF285" s="237" t="e">
        <f>((Summary!$N$13*(AA285*AD285)*(A285-$D$3))+(Summary!$M$13*Z285*AC285*(AJ285-EOMONTH(EDATE(A285,-1),0))))/(AK285*AB285*AE285)</f>
        <v>#VALUE!</v>
      </c>
      <c r="AG285" s="88" t="str">
        <f>IF($A286="","",Summary!$Q$13)</f>
        <v/>
      </c>
      <c r="AH285" s="88" t="str">
        <f>IF($A286="","",IF(Summary!$R$12="Y",(VLOOKUP($A285,Summary!$AD$6:$AF$9,3)+'Escalating commodity'!I298),'Escalating commodity'!I298))</f>
        <v/>
      </c>
      <c r="AI285" s="88" t="str">
        <f t="shared" si="181"/>
        <v/>
      </c>
      <c r="AJ285" s="236" t="e">
        <f t="shared" si="167"/>
        <v>#VALUE!</v>
      </c>
      <c r="AK285" s="58" t="str">
        <f t="shared" si="168"/>
        <v/>
      </c>
      <c r="AL285" s="26" t="str">
        <f>IF($A286="","",_xll.SPRDOPT(P285,X285,AI285,0,AB285,AE285,AF285,AK285,$AJ$2,0))</f>
        <v/>
      </c>
      <c r="AM285" s="209" t="str">
        <f t="shared" si="169"/>
        <v/>
      </c>
      <c r="AN285" s="89" t="str">
        <f t="shared" si="170"/>
        <v/>
      </c>
      <c r="AO285" s="3" t="str">
        <f t="shared" si="171"/>
        <v/>
      </c>
      <c r="AP285" s="33" t="str">
        <f t="shared" si="172"/>
        <v/>
      </c>
      <c r="AQ285" s="58" t="str">
        <f t="shared" si="173"/>
        <v/>
      </c>
      <c r="AR285" s="38">
        <f>'ANR OK vs ML7'!AR285</f>
        <v>0.1</v>
      </c>
      <c r="AS285" s="35" t="str">
        <f t="shared" si="174"/>
        <v/>
      </c>
      <c r="AT285" s="3" t="str">
        <f t="shared" si="175"/>
        <v/>
      </c>
      <c r="AU285" s="3" t="str">
        <f t="shared" si="176"/>
        <v/>
      </c>
      <c r="AW285" s="32" t="str">
        <f t="shared" si="177"/>
        <v/>
      </c>
      <c r="AX285" s="32" t="str">
        <f t="shared" si="178"/>
        <v/>
      </c>
      <c r="AY285" s="32" t="str">
        <f t="shared" si="179"/>
        <v/>
      </c>
      <c r="BA285" s="32" t="str">
        <f>IF($A286="","",F285*Summary!$Q$13)</f>
        <v/>
      </c>
    </row>
    <row r="286" spans="1:53" ht="12" customHeight="1">
      <c r="A286" s="67" t="str">
        <f t="shared" si="180"/>
        <v/>
      </c>
      <c r="B286" s="69" t="str">
        <f t="shared" si="182"/>
        <v/>
      </c>
      <c r="C286" s="71"/>
      <c r="D286" s="69" t="str">
        <f t="shared" si="147"/>
        <v/>
      </c>
      <c r="E286" s="70" t="str">
        <f t="shared" si="148"/>
        <v/>
      </c>
      <c r="F286" s="70" t="str">
        <f t="shared" si="149"/>
        <v/>
      </c>
      <c r="G286" s="63" t="str">
        <f t="shared" si="150"/>
        <v/>
      </c>
      <c r="H286" s="64" t="str">
        <f t="shared" si="151"/>
        <v/>
      </c>
      <c r="I286" s="43"/>
      <c r="J286" s="63" t="str">
        <f t="shared" si="152"/>
        <v/>
      </c>
      <c r="K286" s="64" t="str">
        <f t="shared" si="153"/>
        <v/>
      </c>
      <c r="L286" s="38">
        <v>0</v>
      </c>
      <c r="M286" s="64" t="str">
        <f t="shared" si="154"/>
        <v/>
      </c>
      <c r="N286" s="65"/>
      <c r="O286" s="63" t="str">
        <f t="shared" si="155"/>
        <v/>
      </c>
      <c r="P286" s="63" t="str">
        <f t="shared" si="156"/>
        <v/>
      </c>
      <c r="Q286" s="66"/>
      <c r="R286" s="63" t="str">
        <f t="shared" si="157"/>
        <v/>
      </c>
      <c r="S286" s="64" t="str">
        <f t="shared" si="158"/>
        <v/>
      </c>
      <c r="T286" s="38">
        <v>0</v>
      </c>
      <c r="U286" s="64" t="str">
        <f t="shared" si="159"/>
        <v/>
      </c>
      <c r="V286" s="219"/>
      <c r="W286" s="43" t="str">
        <f t="shared" si="160"/>
        <v/>
      </c>
      <c r="X286" s="43" t="str">
        <f t="shared" si="161"/>
        <v/>
      </c>
      <c r="Y286" s="43"/>
      <c r="Z286" s="38" t="str">
        <f t="shared" si="162"/>
        <v/>
      </c>
      <c r="AA286" s="38" t="str">
        <f t="shared" si="163"/>
        <v/>
      </c>
      <c r="AB286" s="38" t="e">
        <f t="shared" si="164"/>
        <v>#VALUE!</v>
      </c>
      <c r="AC286" s="38" t="str">
        <f t="shared" si="165"/>
        <v/>
      </c>
      <c r="AD286" s="38" t="str">
        <f t="shared" si="165"/>
        <v/>
      </c>
      <c r="AE286" s="38" t="e">
        <f t="shared" si="166"/>
        <v>#VALUE!</v>
      </c>
      <c r="AF286" s="237" t="e">
        <f>((Summary!$N$13*(AA286*AD286)*(A286-$D$3))+(Summary!$M$13*Z286*AC286*(AJ286-EOMONTH(EDATE(A286,-1),0))))/(AK286*AB286*AE286)</f>
        <v>#VALUE!</v>
      </c>
      <c r="AG286" s="88" t="str">
        <f>IF($A287="","",Summary!$Q$13)</f>
        <v/>
      </c>
      <c r="AH286" s="88" t="str">
        <f>IF($A287="","",IF(Summary!$R$12="Y",(VLOOKUP($A286,Summary!$AD$6:$AF$9,3)+'Escalating commodity'!I299),'Escalating commodity'!I299))</f>
        <v/>
      </c>
      <c r="AI286" s="88" t="str">
        <f t="shared" si="181"/>
        <v/>
      </c>
      <c r="AJ286" s="236" t="e">
        <f t="shared" si="167"/>
        <v>#VALUE!</v>
      </c>
      <c r="AK286" s="58" t="str">
        <f t="shared" si="168"/>
        <v/>
      </c>
      <c r="AL286" s="26" t="str">
        <f>IF($A287="","",_xll.SPRDOPT(P286,X286,AI286,0,AB286,AE286,AF286,AK286,$AJ$2,0))</f>
        <v/>
      </c>
      <c r="AM286" s="209" t="str">
        <f t="shared" si="169"/>
        <v/>
      </c>
      <c r="AN286" s="89" t="str">
        <f t="shared" si="170"/>
        <v/>
      </c>
      <c r="AO286" s="3" t="str">
        <f t="shared" si="171"/>
        <v/>
      </c>
      <c r="AP286" s="33" t="str">
        <f t="shared" si="172"/>
        <v/>
      </c>
      <c r="AQ286" s="58" t="str">
        <f t="shared" si="173"/>
        <v/>
      </c>
      <c r="AR286" s="38">
        <f>'ANR OK vs ML7'!AR286</f>
        <v>0.1</v>
      </c>
      <c r="AS286" s="35" t="str">
        <f t="shared" si="174"/>
        <v/>
      </c>
      <c r="AT286" s="3" t="str">
        <f t="shared" si="175"/>
        <v/>
      </c>
      <c r="AU286" s="3" t="str">
        <f t="shared" si="176"/>
        <v/>
      </c>
      <c r="AW286" s="32" t="str">
        <f t="shared" si="177"/>
        <v/>
      </c>
      <c r="AX286" s="32" t="str">
        <f t="shared" si="178"/>
        <v/>
      </c>
      <c r="AY286" s="32" t="str">
        <f t="shared" si="179"/>
        <v/>
      </c>
      <c r="BA286" s="32" t="str">
        <f>IF($A287="","",F286*Summary!$Q$13)</f>
        <v/>
      </c>
    </row>
    <row r="287" spans="1:53" ht="12" customHeight="1">
      <c r="A287" s="67" t="str">
        <f t="shared" si="180"/>
        <v/>
      </c>
      <c r="B287" s="69" t="str">
        <f t="shared" si="182"/>
        <v/>
      </c>
      <c r="C287" s="71"/>
      <c r="D287" s="69" t="str">
        <f t="shared" si="147"/>
        <v/>
      </c>
      <c r="E287" s="70" t="str">
        <f t="shared" si="148"/>
        <v/>
      </c>
      <c r="F287" s="70" t="str">
        <f t="shared" si="149"/>
        <v/>
      </c>
      <c r="G287" s="63" t="str">
        <f t="shared" si="150"/>
        <v/>
      </c>
      <c r="H287" s="64" t="str">
        <f t="shared" si="151"/>
        <v/>
      </c>
      <c r="I287" s="43"/>
      <c r="J287" s="63" t="str">
        <f t="shared" si="152"/>
        <v/>
      </c>
      <c r="K287" s="64" t="str">
        <f t="shared" si="153"/>
        <v/>
      </c>
      <c r="L287" s="38">
        <v>0</v>
      </c>
      <c r="M287" s="64" t="str">
        <f t="shared" si="154"/>
        <v/>
      </c>
      <c r="N287" s="65"/>
      <c r="O287" s="63" t="str">
        <f t="shared" si="155"/>
        <v/>
      </c>
      <c r="P287" s="63" t="str">
        <f t="shared" si="156"/>
        <v/>
      </c>
      <c r="Q287" s="66"/>
      <c r="R287" s="63" t="str">
        <f t="shared" si="157"/>
        <v/>
      </c>
      <c r="S287" s="64" t="str">
        <f t="shared" si="158"/>
        <v/>
      </c>
      <c r="T287" s="38">
        <v>0</v>
      </c>
      <c r="U287" s="64" t="str">
        <f t="shared" si="159"/>
        <v/>
      </c>
      <c r="V287" s="219"/>
      <c r="W287" s="43" t="str">
        <f t="shared" si="160"/>
        <v/>
      </c>
      <c r="X287" s="43" t="str">
        <f t="shared" si="161"/>
        <v/>
      </c>
      <c r="Y287" s="43"/>
      <c r="Z287" s="38" t="str">
        <f t="shared" si="162"/>
        <v/>
      </c>
      <c r="AA287" s="38" t="str">
        <f t="shared" si="163"/>
        <v/>
      </c>
      <c r="AB287" s="38" t="e">
        <f t="shared" si="164"/>
        <v>#VALUE!</v>
      </c>
      <c r="AC287" s="38" t="str">
        <f t="shared" si="165"/>
        <v/>
      </c>
      <c r="AD287" s="38" t="str">
        <f t="shared" si="165"/>
        <v/>
      </c>
      <c r="AE287" s="38" t="e">
        <f t="shared" si="166"/>
        <v>#VALUE!</v>
      </c>
      <c r="AF287" s="237" t="e">
        <f>((Summary!$N$13*(AA287*AD287)*(A287-$D$3))+(Summary!$M$13*Z287*AC287*(AJ287-EOMONTH(EDATE(A287,-1),0))))/(AK287*AB287*AE287)</f>
        <v>#VALUE!</v>
      </c>
      <c r="AG287" s="88" t="str">
        <f>IF($A288="","",Summary!$Q$13)</f>
        <v/>
      </c>
      <c r="AH287" s="88" t="str">
        <f>IF($A288="","",IF(Summary!$R$12="Y",(VLOOKUP($A287,Summary!$AD$6:$AF$9,3)+'Escalating commodity'!I300),'Escalating commodity'!I300))</f>
        <v/>
      </c>
      <c r="AI287" s="88" t="str">
        <f t="shared" si="181"/>
        <v/>
      </c>
      <c r="AJ287" s="236" t="e">
        <f t="shared" si="167"/>
        <v>#VALUE!</v>
      </c>
      <c r="AK287" s="58" t="str">
        <f t="shared" si="168"/>
        <v/>
      </c>
      <c r="AL287" s="26" t="str">
        <f>IF($A288="","",_xll.SPRDOPT(P287,X287,AI287,0,AB287,AE287,AF287,AK287,$AJ$2,0))</f>
        <v/>
      </c>
      <c r="AM287" s="209" t="str">
        <f t="shared" si="169"/>
        <v/>
      </c>
      <c r="AN287" s="89" t="str">
        <f t="shared" si="170"/>
        <v/>
      </c>
      <c r="AO287" s="3" t="str">
        <f t="shared" si="171"/>
        <v/>
      </c>
      <c r="AP287" s="33" t="str">
        <f t="shared" si="172"/>
        <v/>
      </c>
      <c r="AQ287" s="58" t="str">
        <f t="shared" si="173"/>
        <v/>
      </c>
      <c r="AR287" s="38">
        <f>'ANR OK vs ML7'!AR287</f>
        <v>0.1</v>
      </c>
      <c r="AS287" s="35" t="str">
        <f t="shared" si="174"/>
        <v/>
      </c>
      <c r="AT287" s="3" t="str">
        <f t="shared" si="175"/>
        <v/>
      </c>
      <c r="AU287" s="3" t="str">
        <f t="shared" si="176"/>
        <v/>
      </c>
      <c r="AW287" s="32" t="str">
        <f t="shared" si="177"/>
        <v/>
      </c>
      <c r="AX287" s="32" t="str">
        <f t="shared" si="178"/>
        <v/>
      </c>
      <c r="AY287" s="32" t="str">
        <f t="shared" si="179"/>
        <v/>
      </c>
      <c r="BA287" s="32" t="str">
        <f>IF($A288="","",F287*Summary!$Q$13)</f>
        <v/>
      </c>
    </row>
    <row r="288" spans="1:53" ht="12" customHeight="1">
      <c r="A288" s="67" t="str">
        <f t="shared" si="180"/>
        <v/>
      </c>
      <c r="B288" s="69" t="str">
        <f t="shared" si="182"/>
        <v/>
      </c>
      <c r="C288" s="71"/>
      <c r="D288" s="69" t="str">
        <f t="shared" si="147"/>
        <v/>
      </c>
      <c r="E288" s="70" t="str">
        <f t="shared" si="148"/>
        <v/>
      </c>
      <c r="F288" s="70" t="str">
        <f t="shared" si="149"/>
        <v/>
      </c>
      <c r="G288" s="63" t="str">
        <f t="shared" si="150"/>
        <v/>
      </c>
      <c r="H288" s="64" t="str">
        <f t="shared" si="151"/>
        <v/>
      </c>
      <c r="I288" s="43"/>
      <c r="J288" s="63" t="str">
        <f t="shared" si="152"/>
        <v/>
      </c>
      <c r="K288" s="64" t="str">
        <f t="shared" si="153"/>
        <v/>
      </c>
      <c r="L288" s="38">
        <v>0</v>
      </c>
      <c r="M288" s="64" t="str">
        <f t="shared" si="154"/>
        <v/>
      </c>
      <c r="N288" s="65"/>
      <c r="O288" s="63" t="str">
        <f t="shared" si="155"/>
        <v/>
      </c>
      <c r="P288" s="63" t="str">
        <f t="shared" si="156"/>
        <v/>
      </c>
      <c r="Q288" s="66"/>
      <c r="R288" s="63" t="str">
        <f t="shared" si="157"/>
        <v/>
      </c>
      <c r="S288" s="64" t="str">
        <f t="shared" si="158"/>
        <v/>
      </c>
      <c r="T288" s="38">
        <v>0</v>
      </c>
      <c r="U288" s="64" t="str">
        <f t="shared" si="159"/>
        <v/>
      </c>
      <c r="V288" s="219"/>
      <c r="W288" s="43" t="str">
        <f t="shared" si="160"/>
        <v/>
      </c>
      <c r="X288" s="43" t="str">
        <f t="shared" si="161"/>
        <v/>
      </c>
      <c r="Y288" s="43"/>
      <c r="Z288" s="38" t="str">
        <f t="shared" si="162"/>
        <v/>
      </c>
      <c r="AA288" s="38" t="str">
        <f t="shared" si="163"/>
        <v/>
      </c>
      <c r="AB288" s="38" t="e">
        <f t="shared" si="164"/>
        <v>#VALUE!</v>
      </c>
      <c r="AC288" s="38" t="str">
        <f t="shared" si="165"/>
        <v/>
      </c>
      <c r="AD288" s="38" t="str">
        <f t="shared" si="165"/>
        <v/>
      </c>
      <c r="AE288" s="38" t="e">
        <f t="shared" si="166"/>
        <v>#VALUE!</v>
      </c>
      <c r="AF288" s="237" t="e">
        <f>((Summary!$N$13*(AA288*AD288)*(A288-$D$3))+(Summary!$M$13*Z288*AC288*(AJ288-EOMONTH(EDATE(A288,-1),0))))/(AK288*AB288*AE288)</f>
        <v>#VALUE!</v>
      </c>
      <c r="AG288" s="88" t="str">
        <f>IF($A289="","",Summary!$Q$13)</f>
        <v/>
      </c>
      <c r="AH288" s="88" t="str">
        <f>IF($A289="","",IF(Summary!$R$12="Y",(VLOOKUP($A288,Summary!$AD$6:$AF$9,3)+'Escalating commodity'!I301),'Escalating commodity'!I301))</f>
        <v/>
      </c>
      <c r="AI288" s="88" t="str">
        <f t="shared" si="181"/>
        <v/>
      </c>
      <c r="AJ288" s="236" t="e">
        <f t="shared" si="167"/>
        <v>#VALUE!</v>
      </c>
      <c r="AK288" s="58" t="str">
        <f t="shared" si="168"/>
        <v/>
      </c>
      <c r="AL288" s="26" t="str">
        <f>IF($A289="","",_xll.SPRDOPT(P288,X288,AI288,0,AB288,AE288,AF288,AK288,$AJ$2,0))</f>
        <v/>
      </c>
      <c r="AM288" s="209" t="str">
        <f t="shared" si="169"/>
        <v/>
      </c>
      <c r="AN288" s="89" t="str">
        <f t="shared" si="170"/>
        <v/>
      </c>
      <c r="AO288" s="3" t="str">
        <f t="shared" si="171"/>
        <v/>
      </c>
      <c r="AP288" s="33" t="str">
        <f t="shared" si="172"/>
        <v/>
      </c>
      <c r="AQ288" s="58" t="str">
        <f t="shared" si="173"/>
        <v/>
      </c>
      <c r="AR288" s="38">
        <f>'ANR OK vs ML7'!AR288</f>
        <v>0.1</v>
      </c>
      <c r="AS288" s="35" t="str">
        <f t="shared" si="174"/>
        <v/>
      </c>
      <c r="AT288" s="3" t="str">
        <f t="shared" si="175"/>
        <v/>
      </c>
      <c r="AU288" s="3" t="str">
        <f t="shared" si="176"/>
        <v/>
      </c>
      <c r="AW288" s="32" t="str">
        <f t="shared" si="177"/>
        <v/>
      </c>
      <c r="AX288" s="32" t="str">
        <f t="shared" si="178"/>
        <v/>
      </c>
      <c r="AY288" s="32" t="str">
        <f t="shared" si="179"/>
        <v/>
      </c>
      <c r="BA288" s="32" t="str">
        <f>IF($A289="","",F288*Summary!$Q$13)</f>
        <v/>
      </c>
    </row>
    <row r="289" spans="1:53" ht="12" customHeight="1">
      <c r="A289" s="67" t="str">
        <f t="shared" si="180"/>
        <v/>
      </c>
      <c r="B289" s="69" t="str">
        <f t="shared" si="182"/>
        <v/>
      </c>
      <c r="C289" s="71"/>
      <c r="D289" s="69" t="str">
        <f t="shared" si="147"/>
        <v/>
      </c>
      <c r="E289" s="70" t="str">
        <f t="shared" si="148"/>
        <v/>
      </c>
      <c r="F289" s="70" t="str">
        <f t="shared" si="149"/>
        <v/>
      </c>
      <c r="G289" s="63" t="str">
        <f t="shared" si="150"/>
        <v/>
      </c>
      <c r="H289" s="64" t="str">
        <f t="shared" si="151"/>
        <v/>
      </c>
      <c r="I289" s="43"/>
      <c r="J289" s="63" t="str">
        <f t="shared" si="152"/>
        <v/>
      </c>
      <c r="K289" s="64" t="str">
        <f t="shared" si="153"/>
        <v/>
      </c>
      <c r="L289" s="38">
        <v>0</v>
      </c>
      <c r="M289" s="64" t="str">
        <f t="shared" si="154"/>
        <v/>
      </c>
      <c r="N289" s="65"/>
      <c r="O289" s="63" t="str">
        <f t="shared" si="155"/>
        <v/>
      </c>
      <c r="P289" s="63" t="str">
        <f t="shared" si="156"/>
        <v/>
      </c>
      <c r="Q289" s="66"/>
      <c r="R289" s="63" t="str">
        <f t="shared" si="157"/>
        <v/>
      </c>
      <c r="S289" s="64" t="str">
        <f t="shared" si="158"/>
        <v/>
      </c>
      <c r="T289" s="38">
        <v>0</v>
      </c>
      <c r="U289" s="64" t="str">
        <f t="shared" si="159"/>
        <v/>
      </c>
      <c r="V289" s="219"/>
      <c r="W289" s="43" t="str">
        <f t="shared" si="160"/>
        <v/>
      </c>
      <c r="X289" s="43" t="str">
        <f t="shared" si="161"/>
        <v/>
      </c>
      <c r="Y289" s="43"/>
      <c r="Z289" s="38" t="str">
        <f t="shared" si="162"/>
        <v/>
      </c>
      <c r="AA289" s="38" t="str">
        <f t="shared" si="163"/>
        <v/>
      </c>
      <c r="AB289" s="38" t="e">
        <f t="shared" si="164"/>
        <v>#VALUE!</v>
      </c>
      <c r="AC289" s="38" t="str">
        <f t="shared" si="165"/>
        <v/>
      </c>
      <c r="AD289" s="38" t="str">
        <f t="shared" si="165"/>
        <v/>
      </c>
      <c r="AE289" s="38" t="e">
        <f t="shared" si="166"/>
        <v>#VALUE!</v>
      </c>
      <c r="AF289" s="237" t="e">
        <f>((Summary!$N$13*(AA289*AD289)*(A289-$D$3))+(Summary!$M$13*Z289*AC289*(AJ289-EOMONTH(EDATE(A289,-1),0))))/(AK289*AB289*AE289)</f>
        <v>#VALUE!</v>
      </c>
      <c r="AG289" s="88" t="str">
        <f>IF($A290="","",Summary!$Q$13)</f>
        <v/>
      </c>
      <c r="AH289" s="88" t="str">
        <f>IF($A290="","",IF(Summary!$R$12="Y",(VLOOKUP($A289,Summary!$AD$6:$AF$9,3)+'Escalating commodity'!I302),'Escalating commodity'!I302))</f>
        <v/>
      </c>
      <c r="AI289" s="88" t="str">
        <f t="shared" si="181"/>
        <v/>
      </c>
      <c r="AJ289" s="236" t="e">
        <f t="shared" si="167"/>
        <v>#VALUE!</v>
      </c>
      <c r="AK289" s="58" t="str">
        <f t="shared" si="168"/>
        <v/>
      </c>
      <c r="AL289" s="26" t="str">
        <f>IF($A290="","",_xll.SPRDOPT(P289,X289,AI289,0,AB289,AE289,AF289,AK289,$AJ$2,0))</f>
        <v/>
      </c>
      <c r="AM289" s="209" t="str">
        <f t="shared" si="169"/>
        <v/>
      </c>
      <c r="AN289" s="89" t="str">
        <f t="shared" si="170"/>
        <v/>
      </c>
      <c r="AO289" s="3" t="str">
        <f t="shared" si="171"/>
        <v/>
      </c>
      <c r="AP289" s="33" t="str">
        <f t="shared" si="172"/>
        <v/>
      </c>
      <c r="AQ289" s="58" t="str">
        <f t="shared" si="173"/>
        <v/>
      </c>
      <c r="AR289" s="38">
        <f>'ANR OK vs ML7'!AR289</f>
        <v>0.1</v>
      </c>
      <c r="AS289" s="35" t="str">
        <f t="shared" si="174"/>
        <v/>
      </c>
      <c r="AT289" s="3" t="str">
        <f t="shared" si="175"/>
        <v/>
      </c>
      <c r="AU289" s="3" t="str">
        <f t="shared" si="176"/>
        <v/>
      </c>
      <c r="AW289" s="32" t="str">
        <f t="shared" si="177"/>
        <v/>
      </c>
      <c r="AX289" s="32" t="str">
        <f t="shared" si="178"/>
        <v/>
      </c>
      <c r="AY289" s="32" t="str">
        <f t="shared" si="179"/>
        <v/>
      </c>
      <c r="BA289" s="32" t="str">
        <f>IF($A290="","",F289*Summary!$Q$13)</f>
        <v/>
      </c>
    </row>
    <row r="290" spans="1:53" ht="12" customHeight="1">
      <c r="A290" s="67" t="str">
        <f t="shared" si="180"/>
        <v/>
      </c>
      <c r="B290" s="69" t="str">
        <f t="shared" si="182"/>
        <v/>
      </c>
      <c r="C290" s="71"/>
      <c r="D290" s="69" t="str">
        <f t="shared" si="147"/>
        <v/>
      </c>
      <c r="E290" s="70" t="str">
        <f t="shared" si="148"/>
        <v/>
      </c>
      <c r="F290" s="70" t="str">
        <f t="shared" si="149"/>
        <v/>
      </c>
      <c r="G290" s="63" t="str">
        <f t="shared" si="150"/>
        <v/>
      </c>
      <c r="H290" s="64" t="str">
        <f t="shared" si="151"/>
        <v/>
      </c>
      <c r="I290" s="43"/>
      <c r="J290" s="63" t="str">
        <f t="shared" si="152"/>
        <v/>
      </c>
      <c r="K290" s="64" t="str">
        <f t="shared" si="153"/>
        <v/>
      </c>
      <c r="L290" s="38">
        <v>0</v>
      </c>
      <c r="M290" s="64" t="str">
        <f t="shared" si="154"/>
        <v/>
      </c>
      <c r="N290" s="65"/>
      <c r="O290" s="63" t="str">
        <f t="shared" si="155"/>
        <v/>
      </c>
      <c r="P290" s="63" t="str">
        <f t="shared" si="156"/>
        <v/>
      </c>
      <c r="Q290" s="66"/>
      <c r="R290" s="63" t="str">
        <f t="shared" si="157"/>
        <v/>
      </c>
      <c r="S290" s="64" t="str">
        <f t="shared" si="158"/>
        <v/>
      </c>
      <c r="T290" s="38">
        <v>0</v>
      </c>
      <c r="U290" s="64" t="str">
        <f t="shared" si="159"/>
        <v/>
      </c>
      <c r="V290" s="219"/>
      <c r="W290" s="43" t="str">
        <f t="shared" si="160"/>
        <v/>
      </c>
      <c r="X290" s="43" t="str">
        <f t="shared" si="161"/>
        <v/>
      </c>
      <c r="Y290" s="43"/>
      <c r="Z290" s="38" t="str">
        <f t="shared" si="162"/>
        <v/>
      </c>
      <c r="AA290" s="38" t="str">
        <f t="shared" si="163"/>
        <v/>
      </c>
      <c r="AB290" s="38" t="e">
        <f t="shared" si="164"/>
        <v>#VALUE!</v>
      </c>
      <c r="AC290" s="38" t="str">
        <f t="shared" si="165"/>
        <v/>
      </c>
      <c r="AD290" s="38" t="str">
        <f t="shared" si="165"/>
        <v/>
      </c>
      <c r="AE290" s="38" t="e">
        <f t="shared" si="166"/>
        <v>#VALUE!</v>
      </c>
      <c r="AF290" s="237" t="e">
        <f>((Summary!$N$13*(AA290*AD290)*(A290-$D$3))+(Summary!$M$13*Z290*AC290*(AJ290-EOMONTH(EDATE(A290,-1),0))))/(AK290*AB290*AE290)</f>
        <v>#VALUE!</v>
      </c>
      <c r="AG290" s="88" t="str">
        <f>IF($A291="","",Summary!$Q$13)</f>
        <v/>
      </c>
      <c r="AH290" s="88" t="str">
        <f>IF($A291="","",IF(Summary!$R$12="Y",(VLOOKUP($A290,Summary!$AD$6:$AF$9,3)+'Escalating commodity'!I303),'Escalating commodity'!I303))</f>
        <v/>
      </c>
      <c r="AI290" s="88" t="str">
        <f t="shared" si="181"/>
        <v/>
      </c>
      <c r="AJ290" s="236" t="e">
        <f t="shared" si="167"/>
        <v>#VALUE!</v>
      </c>
      <c r="AK290" s="58" t="str">
        <f t="shared" si="168"/>
        <v/>
      </c>
      <c r="AL290" s="26" t="str">
        <f>IF($A291="","",_xll.SPRDOPT(P290,X290,AI290,0,AB290,AE290,AF290,AK290,$AJ$2,0))</f>
        <v/>
      </c>
      <c r="AM290" s="209" t="str">
        <f t="shared" si="169"/>
        <v/>
      </c>
      <c r="AN290" s="89" t="str">
        <f t="shared" si="170"/>
        <v/>
      </c>
      <c r="AO290" s="3" t="str">
        <f t="shared" si="171"/>
        <v/>
      </c>
      <c r="AP290" s="33" t="str">
        <f t="shared" si="172"/>
        <v/>
      </c>
      <c r="AQ290" s="58" t="str">
        <f t="shared" si="173"/>
        <v/>
      </c>
      <c r="AR290" s="38">
        <f>'ANR OK vs ML7'!AR290</f>
        <v>0.1</v>
      </c>
      <c r="AS290" s="35" t="str">
        <f t="shared" si="174"/>
        <v/>
      </c>
      <c r="AT290" s="3" t="str">
        <f t="shared" si="175"/>
        <v/>
      </c>
      <c r="AU290" s="3" t="str">
        <f t="shared" si="176"/>
        <v/>
      </c>
      <c r="AW290" s="32" t="str">
        <f t="shared" si="177"/>
        <v/>
      </c>
      <c r="AX290" s="32" t="str">
        <f t="shared" si="178"/>
        <v/>
      </c>
      <c r="AY290" s="32" t="str">
        <f t="shared" si="179"/>
        <v/>
      </c>
      <c r="BA290" s="32" t="str">
        <f>IF($A291="","",F290*Summary!$Q$13)</f>
        <v/>
      </c>
    </row>
    <row r="291" spans="1:53" ht="12" customHeight="1">
      <c r="A291" s="67" t="str">
        <f t="shared" si="180"/>
        <v/>
      </c>
      <c r="B291" s="69" t="str">
        <f t="shared" si="182"/>
        <v/>
      </c>
      <c r="C291" s="71"/>
      <c r="D291" s="69" t="str">
        <f t="shared" si="147"/>
        <v/>
      </c>
      <c r="E291" s="70" t="str">
        <f t="shared" si="148"/>
        <v/>
      </c>
      <c r="F291" s="70" t="str">
        <f t="shared" si="149"/>
        <v/>
      </c>
      <c r="G291" s="63" t="str">
        <f t="shared" si="150"/>
        <v/>
      </c>
      <c r="H291" s="64" t="str">
        <f t="shared" si="151"/>
        <v/>
      </c>
      <c r="I291" s="43"/>
      <c r="J291" s="63" t="str">
        <f t="shared" si="152"/>
        <v/>
      </c>
      <c r="K291" s="64" t="str">
        <f t="shared" si="153"/>
        <v/>
      </c>
      <c r="L291" s="38">
        <v>0</v>
      </c>
      <c r="M291" s="64" t="str">
        <f t="shared" si="154"/>
        <v/>
      </c>
      <c r="N291" s="65"/>
      <c r="O291" s="63" t="str">
        <f t="shared" si="155"/>
        <v/>
      </c>
      <c r="P291" s="63" t="str">
        <f t="shared" si="156"/>
        <v/>
      </c>
      <c r="Q291" s="66"/>
      <c r="R291" s="63" t="str">
        <f t="shared" si="157"/>
        <v/>
      </c>
      <c r="S291" s="64" t="str">
        <f t="shared" si="158"/>
        <v/>
      </c>
      <c r="T291" s="38">
        <v>0</v>
      </c>
      <c r="U291" s="64" t="str">
        <f t="shared" si="159"/>
        <v/>
      </c>
      <c r="V291" s="219"/>
      <c r="W291" s="43" t="str">
        <f t="shared" si="160"/>
        <v/>
      </c>
      <c r="X291" s="43" t="str">
        <f t="shared" si="161"/>
        <v/>
      </c>
      <c r="Y291" s="43"/>
      <c r="Z291" s="38" t="str">
        <f t="shared" si="162"/>
        <v/>
      </c>
      <c r="AA291" s="38" t="str">
        <f t="shared" si="163"/>
        <v/>
      </c>
      <c r="AB291" s="38" t="e">
        <f t="shared" si="164"/>
        <v>#VALUE!</v>
      </c>
      <c r="AC291" s="38" t="str">
        <f t="shared" si="165"/>
        <v/>
      </c>
      <c r="AD291" s="38" t="str">
        <f t="shared" si="165"/>
        <v/>
      </c>
      <c r="AE291" s="38" t="e">
        <f t="shared" si="166"/>
        <v>#VALUE!</v>
      </c>
      <c r="AF291" s="237" t="e">
        <f>((Summary!$N$13*(AA291*AD291)*(A291-$D$3))+(Summary!$M$13*Z291*AC291*(AJ291-EOMONTH(EDATE(A291,-1),0))))/(AK291*AB291*AE291)</f>
        <v>#VALUE!</v>
      </c>
      <c r="AG291" s="88" t="str">
        <f>IF($A292="","",Summary!$Q$13)</f>
        <v/>
      </c>
      <c r="AH291" s="88" t="str">
        <f>IF($A292="","",IF(Summary!$R$12="Y",(VLOOKUP($A291,Summary!$AD$6:$AF$9,3)+'Escalating commodity'!I304),'Escalating commodity'!I304))</f>
        <v/>
      </c>
      <c r="AI291" s="88" t="str">
        <f t="shared" si="181"/>
        <v/>
      </c>
      <c r="AJ291" s="236" t="e">
        <f t="shared" si="167"/>
        <v>#VALUE!</v>
      </c>
      <c r="AK291" s="58" t="str">
        <f t="shared" si="168"/>
        <v/>
      </c>
      <c r="AL291" s="26" t="str">
        <f>IF($A292="","",_xll.SPRDOPT(P291,X291,AI291,0,AB291,AE291,AF291,AK291,$AJ$2,0))</f>
        <v/>
      </c>
      <c r="AM291" s="209" t="str">
        <f t="shared" si="169"/>
        <v/>
      </c>
      <c r="AN291" s="89" t="str">
        <f t="shared" si="170"/>
        <v/>
      </c>
      <c r="AO291" s="3" t="str">
        <f t="shared" si="171"/>
        <v/>
      </c>
      <c r="AP291" s="33" t="str">
        <f t="shared" si="172"/>
        <v/>
      </c>
      <c r="AQ291" s="58" t="str">
        <f t="shared" si="173"/>
        <v/>
      </c>
      <c r="AR291" s="38">
        <f>'ANR OK vs ML7'!AR291</f>
        <v>0.1</v>
      </c>
      <c r="AS291" s="35" t="str">
        <f t="shared" si="174"/>
        <v/>
      </c>
      <c r="AT291" s="3" t="str">
        <f t="shared" si="175"/>
        <v/>
      </c>
      <c r="AU291" s="3" t="str">
        <f t="shared" si="176"/>
        <v/>
      </c>
      <c r="AW291" s="32" t="str">
        <f t="shared" si="177"/>
        <v/>
      </c>
      <c r="AX291" s="32" t="str">
        <f t="shared" si="178"/>
        <v/>
      </c>
      <c r="AY291" s="32" t="str">
        <f t="shared" si="179"/>
        <v/>
      </c>
      <c r="BA291" s="32" t="str">
        <f>IF($A292="","",F291*Summary!$Q$13)</f>
        <v/>
      </c>
    </row>
    <row r="292" spans="1:53" ht="12" customHeight="1">
      <c r="A292" s="67" t="str">
        <f t="shared" si="180"/>
        <v/>
      </c>
      <c r="B292" s="69" t="str">
        <f t="shared" si="182"/>
        <v/>
      </c>
      <c r="C292" s="71"/>
      <c r="D292" s="69" t="str">
        <f t="shared" si="147"/>
        <v/>
      </c>
      <c r="E292" s="70" t="str">
        <f t="shared" si="148"/>
        <v/>
      </c>
      <c r="F292" s="70" t="str">
        <f t="shared" si="149"/>
        <v/>
      </c>
      <c r="G292" s="63" t="str">
        <f t="shared" si="150"/>
        <v/>
      </c>
      <c r="H292" s="64" t="str">
        <f t="shared" si="151"/>
        <v/>
      </c>
      <c r="I292" s="43"/>
      <c r="J292" s="63" t="str">
        <f t="shared" si="152"/>
        <v/>
      </c>
      <c r="K292" s="64" t="str">
        <f t="shared" si="153"/>
        <v/>
      </c>
      <c r="L292" s="38">
        <v>0</v>
      </c>
      <c r="M292" s="64" t="str">
        <f t="shared" si="154"/>
        <v/>
      </c>
      <c r="N292" s="65"/>
      <c r="O292" s="63" t="str">
        <f t="shared" si="155"/>
        <v/>
      </c>
      <c r="P292" s="63" t="str">
        <f t="shared" si="156"/>
        <v/>
      </c>
      <c r="Q292" s="66"/>
      <c r="R292" s="63" t="str">
        <f t="shared" si="157"/>
        <v/>
      </c>
      <c r="S292" s="64" t="str">
        <f t="shared" si="158"/>
        <v/>
      </c>
      <c r="T292" s="38">
        <v>0</v>
      </c>
      <c r="U292" s="64" t="str">
        <f t="shared" si="159"/>
        <v/>
      </c>
      <c r="V292" s="219"/>
      <c r="W292" s="43" t="str">
        <f t="shared" si="160"/>
        <v/>
      </c>
      <c r="X292" s="43" t="str">
        <f t="shared" si="161"/>
        <v/>
      </c>
      <c r="Y292" s="43"/>
      <c r="Z292" s="38" t="str">
        <f t="shared" si="162"/>
        <v/>
      </c>
      <c r="AA292" s="38" t="str">
        <f t="shared" si="163"/>
        <v/>
      </c>
      <c r="AB292" s="38" t="e">
        <f t="shared" si="164"/>
        <v>#VALUE!</v>
      </c>
      <c r="AC292" s="38" t="str">
        <f t="shared" si="165"/>
        <v/>
      </c>
      <c r="AD292" s="38" t="str">
        <f t="shared" si="165"/>
        <v/>
      </c>
      <c r="AE292" s="38" t="e">
        <f t="shared" si="166"/>
        <v>#VALUE!</v>
      </c>
      <c r="AF292" s="237" t="e">
        <f>((Summary!$N$13*(AA292*AD292)*(A292-$D$3))+(Summary!$M$13*Z292*AC292*(AJ292-EOMONTH(EDATE(A292,-1),0))))/(AK292*AB292*AE292)</f>
        <v>#VALUE!</v>
      </c>
      <c r="AG292" s="88" t="str">
        <f>IF($A293="","",Summary!$Q$13)</f>
        <v/>
      </c>
      <c r="AH292" s="88" t="str">
        <f>IF($A293="","",IF(Summary!$R$12="Y",(VLOOKUP($A292,Summary!$AD$6:$AF$9,3)+'Escalating commodity'!I305),'Escalating commodity'!I305))</f>
        <v/>
      </c>
      <c r="AI292" s="88" t="str">
        <f t="shared" si="181"/>
        <v/>
      </c>
      <c r="AJ292" s="236" t="e">
        <f t="shared" si="167"/>
        <v>#VALUE!</v>
      </c>
      <c r="AK292" s="58" t="str">
        <f t="shared" si="168"/>
        <v/>
      </c>
      <c r="AL292" s="26" t="str">
        <f>IF($A293="","",_xll.SPRDOPT(P292,X292,AI292,0,AB292,AE292,AF292,AK292,$AJ$2,0))</f>
        <v/>
      </c>
      <c r="AM292" s="209" t="str">
        <f t="shared" si="169"/>
        <v/>
      </c>
      <c r="AN292" s="89" t="str">
        <f t="shared" si="170"/>
        <v/>
      </c>
      <c r="AO292" s="3" t="str">
        <f t="shared" si="171"/>
        <v/>
      </c>
      <c r="AP292" s="33" t="str">
        <f t="shared" si="172"/>
        <v/>
      </c>
      <c r="AQ292" s="58" t="str">
        <f t="shared" si="173"/>
        <v/>
      </c>
      <c r="AR292" s="38">
        <f>'ANR OK vs ML7'!AR292</f>
        <v>0.1</v>
      </c>
      <c r="AS292" s="35" t="str">
        <f t="shared" si="174"/>
        <v/>
      </c>
      <c r="AT292" s="3" t="str">
        <f t="shared" si="175"/>
        <v/>
      </c>
      <c r="AU292" s="3" t="str">
        <f t="shared" si="176"/>
        <v/>
      </c>
      <c r="AW292" s="32" t="str">
        <f t="shared" si="177"/>
        <v/>
      </c>
      <c r="AX292" s="32" t="str">
        <f t="shared" si="178"/>
        <v/>
      </c>
      <c r="AY292" s="32" t="str">
        <f t="shared" si="179"/>
        <v/>
      </c>
      <c r="BA292" s="32" t="str">
        <f>IF($A293="","",F292*Summary!$Q$13)</f>
        <v/>
      </c>
    </row>
    <row r="293" spans="1:53" ht="12" customHeight="1">
      <c r="A293" s="67" t="str">
        <f t="shared" si="180"/>
        <v/>
      </c>
      <c r="B293" s="69" t="str">
        <f t="shared" si="182"/>
        <v/>
      </c>
      <c r="C293" s="71"/>
      <c r="D293" s="69" t="str">
        <f t="shared" si="147"/>
        <v/>
      </c>
      <c r="E293" s="70" t="str">
        <f t="shared" si="148"/>
        <v/>
      </c>
      <c r="F293" s="70" t="str">
        <f t="shared" si="149"/>
        <v/>
      </c>
      <c r="G293" s="63" t="str">
        <f t="shared" si="150"/>
        <v/>
      </c>
      <c r="H293" s="64" t="str">
        <f t="shared" si="151"/>
        <v/>
      </c>
      <c r="I293" s="43"/>
      <c r="J293" s="63" t="str">
        <f t="shared" si="152"/>
        <v/>
      </c>
      <c r="K293" s="64" t="str">
        <f t="shared" si="153"/>
        <v/>
      </c>
      <c r="L293" s="38">
        <v>0</v>
      </c>
      <c r="M293" s="64" t="str">
        <f t="shared" si="154"/>
        <v/>
      </c>
      <c r="N293" s="65"/>
      <c r="O293" s="63" t="str">
        <f t="shared" si="155"/>
        <v/>
      </c>
      <c r="P293" s="63" t="str">
        <f t="shared" si="156"/>
        <v/>
      </c>
      <c r="Q293" s="66"/>
      <c r="R293" s="63" t="str">
        <f t="shared" si="157"/>
        <v/>
      </c>
      <c r="S293" s="64" t="str">
        <f t="shared" si="158"/>
        <v/>
      </c>
      <c r="T293" s="38">
        <v>0</v>
      </c>
      <c r="U293" s="64" t="str">
        <f t="shared" si="159"/>
        <v/>
      </c>
      <c r="V293" s="219"/>
      <c r="W293" s="43" t="str">
        <f t="shared" si="160"/>
        <v/>
      </c>
      <c r="X293" s="43" t="str">
        <f t="shared" si="161"/>
        <v/>
      </c>
      <c r="Y293" s="43"/>
      <c r="Z293" s="38" t="str">
        <f t="shared" si="162"/>
        <v/>
      </c>
      <c r="AA293" s="38" t="str">
        <f t="shared" si="163"/>
        <v/>
      </c>
      <c r="AB293" s="38" t="e">
        <f t="shared" si="164"/>
        <v>#VALUE!</v>
      </c>
      <c r="AC293" s="38" t="str">
        <f t="shared" si="165"/>
        <v/>
      </c>
      <c r="AD293" s="38" t="str">
        <f t="shared" si="165"/>
        <v/>
      </c>
      <c r="AE293" s="38" t="e">
        <f t="shared" si="166"/>
        <v>#VALUE!</v>
      </c>
      <c r="AF293" s="237" t="e">
        <f>((Summary!$N$13*(AA293*AD293)*(A293-$D$3))+(Summary!$M$13*Z293*AC293*(AJ293-EOMONTH(EDATE(A293,-1),0))))/(AK293*AB293*AE293)</f>
        <v>#VALUE!</v>
      </c>
      <c r="AG293" s="88" t="str">
        <f>IF($A294="","",Summary!$Q$13)</f>
        <v/>
      </c>
      <c r="AH293" s="88" t="str">
        <f>IF($A294="","",IF(Summary!$R$12="Y",(VLOOKUP($A293,Summary!$AD$6:$AF$9,3)+'Escalating commodity'!I306),'Escalating commodity'!I306))</f>
        <v/>
      </c>
      <c r="AI293" s="88" t="str">
        <f t="shared" si="181"/>
        <v/>
      </c>
      <c r="AJ293" s="236" t="e">
        <f t="shared" si="167"/>
        <v>#VALUE!</v>
      </c>
      <c r="AK293" s="58" t="str">
        <f t="shared" si="168"/>
        <v/>
      </c>
      <c r="AL293" s="26" t="str">
        <f>IF($A294="","",_xll.SPRDOPT(P293,X293,AI293,0,AB293,AE293,AF293,AK293,$AJ$2,0))</f>
        <v/>
      </c>
      <c r="AM293" s="209" t="str">
        <f t="shared" si="169"/>
        <v/>
      </c>
      <c r="AN293" s="89" t="str">
        <f t="shared" si="170"/>
        <v/>
      </c>
      <c r="AO293" s="3" t="str">
        <f t="shared" si="171"/>
        <v/>
      </c>
      <c r="AP293" s="33" t="str">
        <f t="shared" si="172"/>
        <v/>
      </c>
      <c r="AQ293" s="58" t="str">
        <f t="shared" si="173"/>
        <v/>
      </c>
      <c r="AR293" s="38">
        <f>'ANR OK vs ML7'!AR293</f>
        <v>0.1</v>
      </c>
      <c r="AS293" s="35" t="str">
        <f t="shared" si="174"/>
        <v/>
      </c>
      <c r="AT293" s="3" t="str">
        <f t="shared" si="175"/>
        <v/>
      </c>
      <c r="AU293" s="3" t="str">
        <f t="shared" si="176"/>
        <v/>
      </c>
      <c r="AW293" s="32" t="str">
        <f t="shared" si="177"/>
        <v/>
      </c>
      <c r="AX293" s="32" t="str">
        <f t="shared" si="178"/>
        <v/>
      </c>
      <c r="AY293" s="32" t="str">
        <f t="shared" si="179"/>
        <v/>
      </c>
      <c r="BA293" s="32" t="str">
        <f>IF($A294="","",F293*Summary!$Q$13)</f>
        <v/>
      </c>
    </row>
    <row r="294" spans="1:53" ht="12" customHeight="1">
      <c r="A294" s="67" t="str">
        <f t="shared" si="180"/>
        <v/>
      </c>
      <c r="B294" s="69" t="str">
        <f t="shared" si="182"/>
        <v/>
      </c>
      <c r="C294" s="71"/>
      <c r="D294" s="69" t="str">
        <f t="shared" si="147"/>
        <v/>
      </c>
      <c r="E294" s="70" t="str">
        <f t="shared" si="148"/>
        <v/>
      </c>
      <c r="F294" s="70" t="str">
        <f t="shared" si="149"/>
        <v/>
      </c>
      <c r="G294" s="63" t="str">
        <f t="shared" si="150"/>
        <v/>
      </c>
      <c r="H294" s="64" t="str">
        <f t="shared" si="151"/>
        <v/>
      </c>
      <c r="I294" s="43"/>
      <c r="J294" s="63" t="str">
        <f t="shared" si="152"/>
        <v/>
      </c>
      <c r="K294" s="64" t="str">
        <f t="shared" si="153"/>
        <v/>
      </c>
      <c r="L294" s="38">
        <v>0</v>
      </c>
      <c r="M294" s="64" t="str">
        <f t="shared" si="154"/>
        <v/>
      </c>
      <c r="N294" s="65"/>
      <c r="O294" s="63" t="str">
        <f t="shared" si="155"/>
        <v/>
      </c>
      <c r="P294" s="63" t="str">
        <f t="shared" si="156"/>
        <v/>
      </c>
      <c r="Q294" s="66"/>
      <c r="R294" s="63" t="str">
        <f t="shared" si="157"/>
        <v/>
      </c>
      <c r="S294" s="64" t="str">
        <f t="shared" si="158"/>
        <v/>
      </c>
      <c r="T294" s="38">
        <v>0</v>
      </c>
      <c r="U294" s="64" t="str">
        <f t="shared" si="159"/>
        <v/>
      </c>
      <c r="V294" s="219"/>
      <c r="W294" s="43" t="str">
        <f t="shared" si="160"/>
        <v/>
      </c>
      <c r="X294" s="43" t="str">
        <f t="shared" si="161"/>
        <v/>
      </c>
      <c r="Y294" s="43"/>
      <c r="Z294" s="38" t="str">
        <f t="shared" si="162"/>
        <v/>
      </c>
      <c r="AA294" s="38" t="str">
        <f t="shared" si="163"/>
        <v/>
      </c>
      <c r="AB294" s="38" t="e">
        <f t="shared" si="164"/>
        <v>#VALUE!</v>
      </c>
      <c r="AC294" s="38" t="str">
        <f t="shared" si="165"/>
        <v/>
      </c>
      <c r="AD294" s="38" t="str">
        <f t="shared" si="165"/>
        <v/>
      </c>
      <c r="AE294" s="38" t="e">
        <f t="shared" si="166"/>
        <v>#VALUE!</v>
      </c>
      <c r="AF294" s="237" t="e">
        <f>((Summary!$N$13*(AA294*AD294)*(A294-$D$3))+(Summary!$M$13*Z294*AC294*(AJ294-EOMONTH(EDATE(A294,-1),0))))/(AK294*AB294*AE294)</f>
        <v>#VALUE!</v>
      </c>
      <c r="AG294" s="88" t="str">
        <f>IF($A295="","",Summary!$Q$13)</f>
        <v/>
      </c>
      <c r="AH294" s="88" t="str">
        <f>IF($A295="","",IF(Summary!$R$12="Y",(VLOOKUP($A294,Summary!$AD$6:$AF$9,3)+'Escalating commodity'!I307),'Escalating commodity'!I307))</f>
        <v/>
      </c>
      <c r="AI294" s="88" t="str">
        <f t="shared" si="181"/>
        <v/>
      </c>
      <c r="AJ294" s="236" t="e">
        <f t="shared" si="167"/>
        <v>#VALUE!</v>
      </c>
      <c r="AK294" s="58" t="str">
        <f t="shared" si="168"/>
        <v/>
      </c>
      <c r="AL294" s="26" t="str">
        <f>IF($A295="","",_xll.SPRDOPT(P294,X294,AI294,0,AB294,AE294,AF294,AK294,$AJ$2,0))</f>
        <v/>
      </c>
      <c r="AM294" s="209" t="str">
        <f t="shared" si="169"/>
        <v/>
      </c>
      <c r="AN294" s="89" t="str">
        <f t="shared" si="170"/>
        <v/>
      </c>
      <c r="AO294" s="3" t="str">
        <f t="shared" si="171"/>
        <v/>
      </c>
      <c r="AP294" s="33" t="str">
        <f t="shared" si="172"/>
        <v/>
      </c>
      <c r="AQ294" s="58" t="str">
        <f t="shared" si="173"/>
        <v/>
      </c>
      <c r="AR294" s="38">
        <f>'ANR OK vs ML7'!AR294</f>
        <v>0.1</v>
      </c>
      <c r="AS294" s="35" t="str">
        <f t="shared" si="174"/>
        <v/>
      </c>
      <c r="AT294" s="3" t="str">
        <f t="shared" si="175"/>
        <v/>
      </c>
      <c r="AU294" s="3" t="str">
        <f t="shared" si="176"/>
        <v/>
      </c>
      <c r="AW294" s="32" t="str">
        <f t="shared" si="177"/>
        <v/>
      </c>
      <c r="AX294" s="32" t="str">
        <f t="shared" si="178"/>
        <v/>
      </c>
      <c r="AY294" s="32" t="str">
        <f t="shared" si="179"/>
        <v/>
      </c>
      <c r="BA294" s="32" t="str">
        <f>IF($A295="","",F294*Summary!$Q$13)</f>
        <v/>
      </c>
    </row>
    <row r="295" spans="1:53" ht="12" customHeight="1">
      <c r="A295" s="67" t="str">
        <f t="shared" si="180"/>
        <v/>
      </c>
      <c r="B295" s="69" t="str">
        <f t="shared" si="182"/>
        <v/>
      </c>
      <c r="C295" s="71"/>
      <c r="D295" s="69" t="str">
        <f t="shared" si="147"/>
        <v/>
      </c>
      <c r="E295" s="70" t="str">
        <f t="shared" si="148"/>
        <v/>
      </c>
      <c r="F295" s="70" t="str">
        <f t="shared" si="149"/>
        <v/>
      </c>
      <c r="G295" s="63" t="str">
        <f t="shared" si="150"/>
        <v/>
      </c>
      <c r="H295" s="64" t="str">
        <f t="shared" si="151"/>
        <v/>
      </c>
      <c r="I295" s="43"/>
      <c r="J295" s="63" t="str">
        <f t="shared" si="152"/>
        <v/>
      </c>
      <c r="K295" s="64" t="str">
        <f t="shared" si="153"/>
        <v/>
      </c>
      <c r="L295" s="38">
        <v>0</v>
      </c>
      <c r="M295" s="64" t="str">
        <f t="shared" si="154"/>
        <v/>
      </c>
      <c r="N295" s="65"/>
      <c r="O295" s="63" t="str">
        <f t="shared" si="155"/>
        <v/>
      </c>
      <c r="P295" s="63" t="str">
        <f t="shared" si="156"/>
        <v/>
      </c>
      <c r="Q295" s="66"/>
      <c r="R295" s="63" t="str">
        <f t="shared" si="157"/>
        <v/>
      </c>
      <c r="S295" s="64" t="str">
        <f t="shared" si="158"/>
        <v/>
      </c>
      <c r="T295" s="38">
        <v>0</v>
      </c>
      <c r="U295" s="64" t="str">
        <f t="shared" si="159"/>
        <v/>
      </c>
      <c r="V295" s="219"/>
      <c r="W295" s="43" t="str">
        <f t="shared" si="160"/>
        <v/>
      </c>
      <c r="X295" s="43" t="str">
        <f t="shared" si="161"/>
        <v/>
      </c>
      <c r="Y295" s="43"/>
      <c r="Z295" s="38" t="str">
        <f t="shared" si="162"/>
        <v/>
      </c>
      <c r="AA295" s="38" t="str">
        <f t="shared" si="163"/>
        <v/>
      </c>
      <c r="AB295" s="38" t="e">
        <f t="shared" si="164"/>
        <v>#VALUE!</v>
      </c>
      <c r="AC295" s="38" t="str">
        <f t="shared" si="165"/>
        <v/>
      </c>
      <c r="AD295" s="38" t="str">
        <f t="shared" si="165"/>
        <v/>
      </c>
      <c r="AE295" s="38" t="e">
        <f t="shared" si="166"/>
        <v>#VALUE!</v>
      </c>
      <c r="AF295" s="237" t="e">
        <f>((Summary!$N$13*(AA295*AD295)*(A295-$D$3))+(Summary!$M$13*Z295*AC295*(AJ295-EOMONTH(EDATE(A295,-1),0))))/(AK295*AB295*AE295)</f>
        <v>#VALUE!</v>
      </c>
      <c r="AG295" s="88" t="str">
        <f>IF($A296="","",Summary!$Q$13)</f>
        <v/>
      </c>
      <c r="AH295" s="88" t="str">
        <f>IF($A296="","",IF(Summary!$R$12="Y",(VLOOKUP($A295,Summary!$AD$6:$AF$9,3)+'Escalating commodity'!I308),'Escalating commodity'!I308))</f>
        <v/>
      </c>
      <c r="AI295" s="88" t="str">
        <f t="shared" si="181"/>
        <v/>
      </c>
      <c r="AJ295" s="236" t="e">
        <f t="shared" si="167"/>
        <v>#VALUE!</v>
      </c>
      <c r="AK295" s="58" t="str">
        <f t="shared" si="168"/>
        <v/>
      </c>
      <c r="AL295" s="26" t="str">
        <f>IF($A296="","",_xll.SPRDOPT(P295,X295,AI295,0,AB295,AE295,AF295,AK295,$AJ$2,0))</f>
        <v/>
      </c>
      <c r="AM295" s="209" t="str">
        <f t="shared" si="169"/>
        <v/>
      </c>
      <c r="AN295" s="89" t="str">
        <f t="shared" si="170"/>
        <v/>
      </c>
      <c r="AO295" s="3" t="str">
        <f t="shared" si="171"/>
        <v/>
      </c>
      <c r="AP295" s="33" t="str">
        <f t="shared" si="172"/>
        <v/>
      </c>
      <c r="AQ295" s="58" t="str">
        <f t="shared" si="173"/>
        <v/>
      </c>
      <c r="AR295" s="38">
        <f>'ANR OK vs ML7'!AR295</f>
        <v>0.1</v>
      </c>
      <c r="AS295" s="35" t="str">
        <f t="shared" si="174"/>
        <v/>
      </c>
      <c r="AT295" s="3" t="str">
        <f t="shared" si="175"/>
        <v/>
      </c>
      <c r="AU295" s="3" t="str">
        <f t="shared" si="176"/>
        <v/>
      </c>
      <c r="AW295" s="32" t="str">
        <f t="shared" si="177"/>
        <v/>
      </c>
      <c r="AX295" s="32" t="str">
        <f t="shared" si="178"/>
        <v/>
      </c>
      <c r="AY295" s="32" t="str">
        <f t="shared" si="179"/>
        <v/>
      </c>
      <c r="BA295" s="32" t="str">
        <f>IF($A296="","",F295*Summary!$Q$13)</f>
        <v/>
      </c>
    </row>
    <row r="296" spans="1:53" ht="12" customHeight="1">
      <c r="A296" s="67" t="str">
        <f t="shared" si="180"/>
        <v/>
      </c>
      <c r="B296" s="69" t="str">
        <f t="shared" si="182"/>
        <v/>
      </c>
      <c r="C296" s="71"/>
      <c r="D296" s="69" t="str">
        <f t="shared" si="147"/>
        <v/>
      </c>
      <c r="E296" s="70" t="str">
        <f t="shared" si="148"/>
        <v/>
      </c>
      <c r="F296" s="70" t="str">
        <f t="shared" si="149"/>
        <v/>
      </c>
      <c r="G296" s="63" t="str">
        <f t="shared" si="150"/>
        <v/>
      </c>
      <c r="H296" s="64" t="str">
        <f t="shared" si="151"/>
        <v/>
      </c>
      <c r="I296" s="43"/>
      <c r="J296" s="63" t="str">
        <f t="shared" si="152"/>
        <v/>
      </c>
      <c r="K296" s="64" t="str">
        <f t="shared" si="153"/>
        <v/>
      </c>
      <c r="L296" s="38">
        <v>0</v>
      </c>
      <c r="M296" s="64" t="str">
        <f t="shared" si="154"/>
        <v/>
      </c>
      <c r="N296" s="65"/>
      <c r="O296" s="63" t="str">
        <f t="shared" si="155"/>
        <v/>
      </c>
      <c r="P296" s="63" t="str">
        <f t="shared" si="156"/>
        <v/>
      </c>
      <c r="Q296" s="66"/>
      <c r="R296" s="63" t="str">
        <f t="shared" si="157"/>
        <v/>
      </c>
      <c r="S296" s="64" t="str">
        <f t="shared" si="158"/>
        <v/>
      </c>
      <c r="T296" s="38">
        <v>0</v>
      </c>
      <c r="U296" s="64" t="str">
        <f t="shared" si="159"/>
        <v/>
      </c>
      <c r="V296" s="219"/>
      <c r="W296" s="43" t="str">
        <f t="shared" si="160"/>
        <v/>
      </c>
      <c r="X296" s="43" t="str">
        <f t="shared" si="161"/>
        <v/>
      </c>
      <c r="Y296" s="43"/>
      <c r="Z296" s="38" t="str">
        <f t="shared" si="162"/>
        <v/>
      </c>
      <c r="AA296" s="38" t="str">
        <f t="shared" si="163"/>
        <v/>
      </c>
      <c r="AB296" s="38" t="e">
        <f t="shared" si="164"/>
        <v>#VALUE!</v>
      </c>
      <c r="AC296" s="38" t="str">
        <f t="shared" si="165"/>
        <v/>
      </c>
      <c r="AD296" s="38" t="str">
        <f t="shared" si="165"/>
        <v/>
      </c>
      <c r="AE296" s="38" t="e">
        <f t="shared" si="166"/>
        <v>#VALUE!</v>
      </c>
      <c r="AF296" s="237" t="e">
        <f>((Summary!$N$13*(AA296*AD296)*(A296-$D$3))+(Summary!$M$13*Z296*AC296*(AJ296-EOMONTH(EDATE(A296,-1),0))))/(AK296*AB296*AE296)</f>
        <v>#VALUE!</v>
      </c>
      <c r="AG296" s="88" t="str">
        <f>IF($A297="","",Summary!$Q$13)</f>
        <v/>
      </c>
      <c r="AH296" s="88" t="str">
        <f>IF($A297="","",IF(Summary!$R$12="Y",(VLOOKUP($A296,Summary!$AD$6:$AF$9,3)+'Escalating commodity'!I309),'Escalating commodity'!I309))</f>
        <v/>
      </c>
      <c r="AI296" s="88" t="str">
        <f t="shared" si="181"/>
        <v/>
      </c>
      <c r="AJ296" s="236" t="e">
        <f t="shared" si="167"/>
        <v>#VALUE!</v>
      </c>
      <c r="AK296" s="58" t="str">
        <f t="shared" si="168"/>
        <v/>
      </c>
      <c r="AL296" s="26" t="str">
        <f>IF($A297="","",_xll.SPRDOPT(P296,X296,AI296,0,AB296,AE296,AF296,AK296,$AJ$2,0))</f>
        <v/>
      </c>
      <c r="AM296" s="209" t="str">
        <f t="shared" si="169"/>
        <v/>
      </c>
      <c r="AN296" s="89" t="str">
        <f t="shared" si="170"/>
        <v/>
      </c>
      <c r="AO296" s="3" t="str">
        <f t="shared" si="171"/>
        <v/>
      </c>
      <c r="AP296" s="33" t="str">
        <f t="shared" si="172"/>
        <v/>
      </c>
      <c r="AQ296" s="58" t="str">
        <f t="shared" si="173"/>
        <v/>
      </c>
      <c r="AR296" s="38">
        <f>'ANR OK vs ML7'!AR296</f>
        <v>0.1</v>
      </c>
      <c r="AS296" s="35" t="str">
        <f t="shared" si="174"/>
        <v/>
      </c>
      <c r="AT296" s="3" t="str">
        <f t="shared" si="175"/>
        <v/>
      </c>
      <c r="AU296" s="3" t="str">
        <f t="shared" si="176"/>
        <v/>
      </c>
      <c r="AW296" s="32" t="str">
        <f t="shared" si="177"/>
        <v/>
      </c>
      <c r="AX296" s="32" t="str">
        <f t="shared" si="178"/>
        <v/>
      </c>
      <c r="AY296" s="32" t="str">
        <f t="shared" si="179"/>
        <v/>
      </c>
      <c r="BA296" s="32" t="str">
        <f>IF($A297="","",F296*Summary!$Q$13)</f>
        <v/>
      </c>
    </row>
    <row r="297" spans="1:53" ht="12" customHeight="1">
      <c r="A297" s="67" t="str">
        <f t="shared" si="180"/>
        <v/>
      </c>
      <c r="B297" s="69" t="str">
        <f t="shared" si="182"/>
        <v/>
      </c>
      <c r="C297" s="71"/>
      <c r="D297" s="69" t="str">
        <f t="shared" si="147"/>
        <v/>
      </c>
      <c r="E297" s="70" t="str">
        <f t="shared" si="148"/>
        <v/>
      </c>
      <c r="F297" s="70" t="str">
        <f t="shared" si="149"/>
        <v/>
      </c>
      <c r="G297" s="63" t="str">
        <f t="shared" si="150"/>
        <v/>
      </c>
      <c r="H297" s="64" t="str">
        <f t="shared" si="151"/>
        <v/>
      </c>
      <c r="I297" s="43"/>
      <c r="J297" s="63" t="str">
        <f t="shared" si="152"/>
        <v/>
      </c>
      <c r="K297" s="64" t="str">
        <f t="shared" si="153"/>
        <v/>
      </c>
      <c r="L297" s="38">
        <v>0</v>
      </c>
      <c r="M297" s="64" t="str">
        <f t="shared" si="154"/>
        <v/>
      </c>
      <c r="N297" s="65"/>
      <c r="O297" s="63" t="str">
        <f t="shared" si="155"/>
        <v/>
      </c>
      <c r="P297" s="63" t="str">
        <f t="shared" si="156"/>
        <v/>
      </c>
      <c r="Q297" s="66"/>
      <c r="R297" s="63" t="str">
        <f t="shared" si="157"/>
        <v/>
      </c>
      <c r="S297" s="64" t="str">
        <f t="shared" si="158"/>
        <v/>
      </c>
      <c r="T297" s="38">
        <v>0</v>
      </c>
      <c r="U297" s="64" t="str">
        <f t="shared" si="159"/>
        <v/>
      </c>
      <c r="V297" s="219"/>
      <c r="W297" s="43" t="str">
        <f t="shared" si="160"/>
        <v/>
      </c>
      <c r="X297" s="43" t="str">
        <f t="shared" si="161"/>
        <v/>
      </c>
      <c r="Y297" s="43"/>
      <c r="Z297" s="38" t="str">
        <f t="shared" si="162"/>
        <v/>
      </c>
      <c r="AA297" s="38" t="str">
        <f t="shared" si="163"/>
        <v/>
      </c>
      <c r="AB297" s="38" t="e">
        <f t="shared" si="164"/>
        <v>#VALUE!</v>
      </c>
      <c r="AC297" s="38" t="str">
        <f t="shared" si="165"/>
        <v/>
      </c>
      <c r="AD297" s="38" t="str">
        <f t="shared" si="165"/>
        <v/>
      </c>
      <c r="AE297" s="38" t="e">
        <f t="shared" si="166"/>
        <v>#VALUE!</v>
      </c>
      <c r="AF297" s="237" t="e">
        <f>((Summary!$N$13*(AA297*AD297)*(A297-$D$3))+(Summary!$M$13*Z297*AC297*(AJ297-EOMONTH(EDATE(A297,-1),0))))/(AK297*AB297*AE297)</f>
        <v>#VALUE!</v>
      </c>
      <c r="AG297" s="88" t="str">
        <f>IF($A298="","",Summary!$Q$13)</f>
        <v/>
      </c>
      <c r="AH297" s="88" t="str">
        <f>IF($A298="","",IF(Summary!$R$12="Y",(VLOOKUP($A297,Summary!$AD$6:$AF$9,3)+'Escalating commodity'!I310),'Escalating commodity'!I310))</f>
        <v/>
      </c>
      <c r="AI297" s="88" t="str">
        <f t="shared" si="181"/>
        <v/>
      </c>
      <c r="AJ297" s="236" t="e">
        <f t="shared" si="167"/>
        <v>#VALUE!</v>
      </c>
      <c r="AK297" s="58" t="str">
        <f t="shared" si="168"/>
        <v/>
      </c>
      <c r="AL297" s="26" t="str">
        <f>IF($A298="","",_xll.SPRDOPT(P297,X297,AI297,0,AB297,AE297,AF297,AK297,$AJ$2,0))</f>
        <v/>
      </c>
      <c r="AM297" s="209" t="str">
        <f t="shared" si="169"/>
        <v/>
      </c>
      <c r="AN297" s="89" t="str">
        <f t="shared" si="170"/>
        <v/>
      </c>
      <c r="AO297" s="3" t="str">
        <f t="shared" si="171"/>
        <v/>
      </c>
      <c r="AP297" s="33" t="str">
        <f t="shared" si="172"/>
        <v/>
      </c>
      <c r="AQ297" s="58" t="str">
        <f t="shared" si="173"/>
        <v/>
      </c>
      <c r="AR297" s="38">
        <f>'ANR OK vs ML7'!AR297</f>
        <v>0.1</v>
      </c>
      <c r="AS297" s="35" t="str">
        <f t="shared" si="174"/>
        <v/>
      </c>
      <c r="AT297" s="3" t="str">
        <f t="shared" si="175"/>
        <v/>
      </c>
      <c r="AU297" s="3" t="str">
        <f t="shared" si="176"/>
        <v/>
      </c>
      <c r="AW297" s="32" t="str">
        <f t="shared" si="177"/>
        <v/>
      </c>
      <c r="AX297" s="32" t="str">
        <f t="shared" si="178"/>
        <v/>
      </c>
      <c r="AY297" s="32" t="str">
        <f t="shared" si="179"/>
        <v/>
      </c>
      <c r="BA297" s="32" t="str">
        <f>IF($A298="","",F297*Summary!$Q$13)</f>
        <v/>
      </c>
    </row>
    <row r="298" spans="1:53" ht="12" customHeight="1">
      <c r="A298" s="67" t="str">
        <f t="shared" si="180"/>
        <v/>
      </c>
      <c r="B298" s="69" t="str">
        <f t="shared" si="182"/>
        <v/>
      </c>
      <c r="C298" s="71"/>
      <c r="D298" s="69" t="str">
        <f t="shared" si="147"/>
        <v/>
      </c>
      <c r="E298" s="70" t="str">
        <f t="shared" si="148"/>
        <v/>
      </c>
      <c r="F298" s="70" t="str">
        <f t="shared" si="149"/>
        <v/>
      </c>
      <c r="G298" s="63" t="str">
        <f t="shared" si="150"/>
        <v/>
      </c>
      <c r="H298" s="64" t="str">
        <f t="shared" si="151"/>
        <v/>
      </c>
      <c r="I298" s="43"/>
      <c r="J298" s="63" t="str">
        <f t="shared" si="152"/>
        <v/>
      </c>
      <c r="K298" s="64" t="str">
        <f t="shared" si="153"/>
        <v/>
      </c>
      <c r="L298" s="38">
        <v>0</v>
      </c>
      <c r="M298" s="64" t="str">
        <f t="shared" si="154"/>
        <v/>
      </c>
      <c r="N298" s="65"/>
      <c r="O298" s="63" t="str">
        <f t="shared" si="155"/>
        <v/>
      </c>
      <c r="P298" s="63" t="str">
        <f t="shared" si="156"/>
        <v/>
      </c>
      <c r="Q298" s="66"/>
      <c r="R298" s="63" t="str">
        <f t="shared" si="157"/>
        <v/>
      </c>
      <c r="S298" s="64" t="str">
        <f t="shared" si="158"/>
        <v/>
      </c>
      <c r="T298" s="38">
        <v>0</v>
      </c>
      <c r="U298" s="64" t="str">
        <f t="shared" si="159"/>
        <v/>
      </c>
      <c r="V298" s="219"/>
      <c r="W298" s="43" t="str">
        <f t="shared" si="160"/>
        <v/>
      </c>
      <c r="X298" s="43" t="str">
        <f t="shared" si="161"/>
        <v/>
      </c>
      <c r="Y298" s="43"/>
      <c r="Z298" s="38" t="str">
        <f t="shared" si="162"/>
        <v/>
      </c>
      <c r="AA298" s="38" t="str">
        <f t="shared" si="163"/>
        <v/>
      </c>
      <c r="AB298" s="38" t="e">
        <f t="shared" si="164"/>
        <v>#VALUE!</v>
      </c>
      <c r="AC298" s="38" t="str">
        <f t="shared" si="165"/>
        <v/>
      </c>
      <c r="AD298" s="38" t="str">
        <f t="shared" si="165"/>
        <v/>
      </c>
      <c r="AE298" s="38" t="e">
        <f t="shared" si="166"/>
        <v>#VALUE!</v>
      </c>
      <c r="AF298" s="237" t="e">
        <f>((Summary!$N$13*(AA298*AD298)*(A298-$D$3))+(Summary!$M$13*Z298*AC298*(AJ298-EOMONTH(EDATE(A298,-1),0))))/(AK298*AB298*AE298)</f>
        <v>#VALUE!</v>
      </c>
      <c r="AG298" s="88" t="str">
        <f>IF($A299="","",Summary!$Q$13)</f>
        <v/>
      </c>
      <c r="AH298" s="88" t="str">
        <f>IF($A299="","",IF(Summary!$R$12="Y",(VLOOKUP($A298,Summary!$AD$6:$AF$9,3)+'Escalating commodity'!I311),'Escalating commodity'!I311))</f>
        <v/>
      </c>
      <c r="AI298" s="88" t="str">
        <f t="shared" si="181"/>
        <v/>
      </c>
      <c r="AJ298" s="236" t="e">
        <f t="shared" si="167"/>
        <v>#VALUE!</v>
      </c>
      <c r="AK298" s="58" t="str">
        <f t="shared" si="168"/>
        <v/>
      </c>
      <c r="AL298" s="26" t="str">
        <f>IF($A299="","",_xll.SPRDOPT(P298,X298,AI298,0,AB298,AE298,AF298,AK298,$AJ$2,0))</f>
        <v/>
      </c>
      <c r="AM298" s="209" t="str">
        <f t="shared" si="169"/>
        <v/>
      </c>
      <c r="AN298" s="89" t="str">
        <f t="shared" si="170"/>
        <v/>
      </c>
      <c r="AO298" s="3" t="str">
        <f t="shared" si="171"/>
        <v/>
      </c>
      <c r="AP298" s="33" t="str">
        <f t="shared" si="172"/>
        <v/>
      </c>
      <c r="AQ298" s="58" t="str">
        <f t="shared" si="173"/>
        <v/>
      </c>
      <c r="AR298" s="38">
        <f>'ANR OK vs ML7'!AR298</f>
        <v>0.1</v>
      </c>
      <c r="AS298" s="35" t="str">
        <f t="shared" si="174"/>
        <v/>
      </c>
      <c r="AT298" s="3" t="str">
        <f t="shared" si="175"/>
        <v/>
      </c>
      <c r="AU298" s="3" t="str">
        <f t="shared" si="176"/>
        <v/>
      </c>
      <c r="AW298" s="32" t="str">
        <f t="shared" si="177"/>
        <v/>
      </c>
      <c r="AX298" s="32" t="str">
        <f t="shared" si="178"/>
        <v/>
      </c>
      <c r="AY298" s="32" t="str">
        <f t="shared" si="179"/>
        <v/>
      </c>
      <c r="BA298" s="32" t="str">
        <f>IF($A299="","",F298*Summary!$Q$13)</f>
        <v/>
      </c>
    </row>
    <row r="299" spans="1:53" ht="12" customHeight="1">
      <c r="A299" s="67" t="str">
        <f t="shared" si="180"/>
        <v/>
      </c>
      <c r="B299" s="69" t="str">
        <f t="shared" si="182"/>
        <v/>
      </c>
      <c r="C299" s="71"/>
      <c r="D299" s="69" t="str">
        <f t="shared" si="147"/>
        <v/>
      </c>
      <c r="E299" s="70" t="str">
        <f t="shared" si="148"/>
        <v/>
      </c>
      <c r="F299" s="70" t="str">
        <f t="shared" si="149"/>
        <v/>
      </c>
      <c r="G299" s="63" t="str">
        <f t="shared" si="150"/>
        <v/>
      </c>
      <c r="H299" s="64" t="str">
        <f t="shared" si="151"/>
        <v/>
      </c>
      <c r="I299" s="43"/>
      <c r="J299" s="63" t="str">
        <f t="shared" si="152"/>
        <v/>
      </c>
      <c r="K299" s="64" t="str">
        <f t="shared" si="153"/>
        <v/>
      </c>
      <c r="L299" s="38">
        <v>0</v>
      </c>
      <c r="M299" s="64" t="str">
        <f t="shared" si="154"/>
        <v/>
      </c>
      <c r="N299" s="65"/>
      <c r="O299" s="63" t="str">
        <f t="shared" si="155"/>
        <v/>
      </c>
      <c r="P299" s="63" t="str">
        <f t="shared" si="156"/>
        <v/>
      </c>
      <c r="Q299" s="66"/>
      <c r="R299" s="63" t="str">
        <f t="shared" si="157"/>
        <v/>
      </c>
      <c r="S299" s="64" t="str">
        <f t="shared" si="158"/>
        <v/>
      </c>
      <c r="T299" s="38">
        <v>0</v>
      </c>
      <c r="U299" s="64" t="str">
        <f t="shared" si="159"/>
        <v/>
      </c>
      <c r="V299" s="219"/>
      <c r="W299" s="43" t="str">
        <f t="shared" si="160"/>
        <v/>
      </c>
      <c r="X299" s="43" t="str">
        <f t="shared" si="161"/>
        <v/>
      </c>
      <c r="Y299" s="43"/>
      <c r="Z299" s="38" t="str">
        <f t="shared" si="162"/>
        <v/>
      </c>
      <c r="AA299" s="38" t="str">
        <f t="shared" si="163"/>
        <v/>
      </c>
      <c r="AB299" s="38" t="e">
        <f t="shared" si="164"/>
        <v>#VALUE!</v>
      </c>
      <c r="AC299" s="38" t="str">
        <f t="shared" si="165"/>
        <v/>
      </c>
      <c r="AD299" s="38" t="str">
        <f t="shared" si="165"/>
        <v/>
      </c>
      <c r="AE299" s="38" t="e">
        <f t="shared" si="166"/>
        <v>#VALUE!</v>
      </c>
      <c r="AF299" s="237" t="e">
        <f>((Summary!$N$13*(AA299*AD299)*(A299-$D$3))+(Summary!$M$13*Z299*AC299*(AJ299-EOMONTH(EDATE(A299,-1),0))))/(AK299*AB299*AE299)</f>
        <v>#VALUE!</v>
      </c>
      <c r="AG299" s="88" t="str">
        <f>IF($A300="","",Summary!$Q$13)</f>
        <v/>
      </c>
      <c r="AH299" s="88" t="str">
        <f>IF($A300="","",IF(Summary!$R$12="Y",(VLOOKUP($A299,Summary!$AD$6:$AF$9,3)+'Escalating commodity'!I312),'Escalating commodity'!I312))</f>
        <v/>
      </c>
      <c r="AI299" s="88" t="str">
        <f t="shared" si="181"/>
        <v/>
      </c>
      <c r="AJ299" s="236" t="e">
        <f t="shared" si="167"/>
        <v>#VALUE!</v>
      </c>
      <c r="AK299" s="58" t="str">
        <f t="shared" si="168"/>
        <v/>
      </c>
      <c r="AL299" s="26" t="str">
        <f>IF($A300="","",_xll.SPRDOPT(P299,X299,AI299,0,AB299,AE299,AF299,AK299,$AJ$2,0))</f>
        <v/>
      </c>
      <c r="AM299" s="209" t="str">
        <f t="shared" si="169"/>
        <v/>
      </c>
      <c r="AN299" s="89" t="str">
        <f t="shared" si="170"/>
        <v/>
      </c>
      <c r="AO299" s="3" t="str">
        <f t="shared" si="171"/>
        <v/>
      </c>
      <c r="AP299" s="33" t="str">
        <f t="shared" si="172"/>
        <v/>
      </c>
      <c r="AQ299" s="58" t="str">
        <f t="shared" si="173"/>
        <v/>
      </c>
      <c r="AR299" s="38">
        <f>'ANR OK vs ML7'!AR299</f>
        <v>0.1</v>
      </c>
      <c r="AS299" s="35" t="str">
        <f t="shared" si="174"/>
        <v/>
      </c>
      <c r="AT299" s="3" t="str">
        <f t="shared" si="175"/>
        <v/>
      </c>
      <c r="AU299" s="3" t="str">
        <f t="shared" si="176"/>
        <v/>
      </c>
      <c r="AW299" s="32" t="str">
        <f t="shared" si="177"/>
        <v/>
      </c>
      <c r="AX299" s="32" t="str">
        <f t="shared" si="178"/>
        <v/>
      </c>
      <c r="AY299" s="32" t="str">
        <f t="shared" si="179"/>
        <v/>
      </c>
      <c r="BA299" s="32" t="str">
        <f>IF($A300="","",F299*Summary!$Q$13)</f>
        <v/>
      </c>
    </row>
    <row r="300" spans="1:53" ht="12" customHeight="1">
      <c r="A300" s="67" t="str">
        <f t="shared" si="180"/>
        <v/>
      </c>
      <c r="B300" s="69" t="str">
        <f t="shared" si="182"/>
        <v/>
      </c>
      <c r="C300" s="71"/>
      <c r="D300" s="69" t="str">
        <f t="shared" si="147"/>
        <v/>
      </c>
      <c r="E300" s="70" t="str">
        <f t="shared" si="148"/>
        <v/>
      </c>
      <c r="F300" s="70" t="str">
        <f t="shared" si="149"/>
        <v/>
      </c>
      <c r="G300" s="63" t="str">
        <f t="shared" si="150"/>
        <v/>
      </c>
      <c r="H300" s="64" t="str">
        <f t="shared" si="151"/>
        <v/>
      </c>
      <c r="I300" s="43"/>
      <c r="J300" s="63" t="str">
        <f t="shared" si="152"/>
        <v/>
      </c>
      <c r="K300" s="64" t="str">
        <f t="shared" si="153"/>
        <v/>
      </c>
      <c r="L300" s="38">
        <v>0</v>
      </c>
      <c r="M300" s="64" t="str">
        <f t="shared" si="154"/>
        <v/>
      </c>
      <c r="N300" s="65"/>
      <c r="O300" s="63" t="str">
        <f t="shared" si="155"/>
        <v/>
      </c>
      <c r="P300" s="63" t="str">
        <f t="shared" si="156"/>
        <v/>
      </c>
      <c r="Q300" s="66"/>
      <c r="R300" s="63" t="str">
        <f t="shared" si="157"/>
        <v/>
      </c>
      <c r="S300" s="64" t="str">
        <f t="shared" si="158"/>
        <v/>
      </c>
      <c r="T300" s="38">
        <v>0</v>
      </c>
      <c r="U300" s="64" t="str">
        <f t="shared" si="159"/>
        <v/>
      </c>
      <c r="V300" s="219"/>
      <c r="W300" s="43" t="str">
        <f t="shared" si="160"/>
        <v/>
      </c>
      <c r="X300" s="43" t="str">
        <f t="shared" si="161"/>
        <v/>
      </c>
      <c r="Y300" s="43"/>
      <c r="Z300" s="38" t="str">
        <f t="shared" si="162"/>
        <v/>
      </c>
      <c r="AA300" s="38" t="str">
        <f t="shared" si="163"/>
        <v/>
      </c>
      <c r="AB300" s="38" t="e">
        <f t="shared" si="164"/>
        <v>#VALUE!</v>
      </c>
      <c r="AC300" s="38" t="str">
        <f t="shared" si="165"/>
        <v/>
      </c>
      <c r="AD300" s="38" t="str">
        <f t="shared" si="165"/>
        <v/>
      </c>
      <c r="AE300" s="38" t="e">
        <f t="shared" si="166"/>
        <v>#VALUE!</v>
      </c>
      <c r="AF300" s="237" t="e">
        <f>((Summary!$N$13*(AA300*AD300)*(A300-$D$3))+(Summary!$M$13*Z300*AC300*(AJ300-EOMONTH(EDATE(A300,-1),0))))/(AK300*AB300*AE300)</f>
        <v>#VALUE!</v>
      </c>
      <c r="AG300" s="88" t="str">
        <f>IF($A301="","",Summary!$Q$13)</f>
        <v/>
      </c>
      <c r="AH300" s="88" t="str">
        <f>IF($A301="","",IF(Summary!$R$12="Y",(VLOOKUP($A300,Summary!$AD$6:$AF$9,3)+'Escalating commodity'!I313),'Escalating commodity'!I313))</f>
        <v/>
      </c>
      <c r="AI300" s="88" t="str">
        <f t="shared" si="181"/>
        <v/>
      </c>
      <c r="AJ300" s="236" t="e">
        <f t="shared" si="167"/>
        <v>#VALUE!</v>
      </c>
      <c r="AK300" s="58" t="str">
        <f t="shared" si="168"/>
        <v/>
      </c>
      <c r="AL300" s="26" t="str">
        <f>IF($A301="","",_xll.SPRDOPT(P300,X300,AI300,0,AB300,AE300,AF300,AK300,$AJ$2,0))</f>
        <v/>
      </c>
      <c r="AM300" s="209" t="str">
        <f t="shared" si="169"/>
        <v/>
      </c>
      <c r="AN300" s="89" t="str">
        <f t="shared" si="170"/>
        <v/>
      </c>
      <c r="AO300" s="3" t="str">
        <f t="shared" si="171"/>
        <v/>
      </c>
      <c r="AP300" s="33" t="str">
        <f t="shared" si="172"/>
        <v/>
      </c>
      <c r="AQ300" s="58" t="str">
        <f t="shared" si="173"/>
        <v/>
      </c>
      <c r="AR300" s="38">
        <f>'ANR OK vs ML7'!AR300</f>
        <v>0.1</v>
      </c>
      <c r="AS300" s="35" t="str">
        <f t="shared" si="174"/>
        <v/>
      </c>
      <c r="AT300" s="3" t="str">
        <f t="shared" si="175"/>
        <v/>
      </c>
      <c r="AU300" s="3" t="str">
        <f t="shared" si="176"/>
        <v/>
      </c>
      <c r="AW300" s="32" t="str">
        <f t="shared" si="177"/>
        <v/>
      </c>
      <c r="AX300" s="32" t="str">
        <f t="shared" si="178"/>
        <v/>
      </c>
      <c r="AY300" s="32" t="str">
        <f t="shared" si="179"/>
        <v/>
      </c>
      <c r="BA300" s="32" t="str">
        <f>IF($A301="","",F300*Summary!$Q$13)</f>
        <v/>
      </c>
    </row>
    <row r="301" spans="1:53" ht="12" customHeight="1">
      <c r="A301" s="67" t="str">
        <f t="shared" si="180"/>
        <v/>
      </c>
      <c r="B301" s="69" t="str">
        <f t="shared" si="182"/>
        <v/>
      </c>
      <c r="C301" s="71"/>
      <c r="D301" s="69" t="str">
        <f t="shared" si="147"/>
        <v/>
      </c>
      <c r="E301" s="70" t="str">
        <f t="shared" si="148"/>
        <v/>
      </c>
      <c r="F301" s="70" t="str">
        <f t="shared" si="149"/>
        <v/>
      </c>
      <c r="G301" s="63" t="str">
        <f t="shared" si="150"/>
        <v/>
      </c>
      <c r="H301" s="64" t="str">
        <f t="shared" si="151"/>
        <v/>
      </c>
      <c r="I301" s="43"/>
      <c r="J301" s="63" t="str">
        <f t="shared" si="152"/>
        <v/>
      </c>
      <c r="K301" s="64" t="str">
        <f t="shared" si="153"/>
        <v/>
      </c>
      <c r="L301" s="38">
        <v>0</v>
      </c>
      <c r="M301" s="64" t="str">
        <f t="shared" si="154"/>
        <v/>
      </c>
      <c r="N301" s="65"/>
      <c r="O301" s="63" t="str">
        <f t="shared" si="155"/>
        <v/>
      </c>
      <c r="P301" s="63" t="str">
        <f t="shared" si="156"/>
        <v/>
      </c>
      <c r="Q301" s="66"/>
      <c r="R301" s="63" t="str">
        <f t="shared" si="157"/>
        <v/>
      </c>
      <c r="S301" s="64" t="str">
        <f t="shared" si="158"/>
        <v/>
      </c>
      <c r="T301" s="38">
        <v>0</v>
      </c>
      <c r="U301" s="64" t="str">
        <f t="shared" si="159"/>
        <v/>
      </c>
      <c r="V301" s="219"/>
      <c r="W301" s="43" t="str">
        <f t="shared" si="160"/>
        <v/>
      </c>
      <c r="X301" s="43" t="str">
        <f t="shared" si="161"/>
        <v/>
      </c>
      <c r="Y301" s="43"/>
      <c r="Z301" s="38" t="str">
        <f t="shared" si="162"/>
        <v/>
      </c>
      <c r="AA301" s="38" t="str">
        <f t="shared" si="163"/>
        <v/>
      </c>
      <c r="AB301" s="38" t="e">
        <f t="shared" si="164"/>
        <v>#VALUE!</v>
      </c>
      <c r="AC301" s="38" t="str">
        <f t="shared" si="165"/>
        <v/>
      </c>
      <c r="AD301" s="38" t="str">
        <f t="shared" si="165"/>
        <v/>
      </c>
      <c r="AE301" s="38" t="e">
        <f t="shared" si="166"/>
        <v>#VALUE!</v>
      </c>
      <c r="AF301" s="237" t="e">
        <f>((Summary!$N$13*(AA301*AD301)*(A301-$D$3))+(Summary!$M$13*Z301*AC301*(AJ301-EOMONTH(EDATE(A301,-1),0))))/(AK301*AB301*AE301)</f>
        <v>#VALUE!</v>
      </c>
      <c r="AG301" s="88" t="str">
        <f>IF($A302="","",Summary!$Q$13)</f>
        <v/>
      </c>
      <c r="AH301" s="88" t="str">
        <f>IF($A302="","",IF(Summary!$R$12="Y",(VLOOKUP($A301,Summary!$AD$6:$AF$9,3)+'Escalating commodity'!I314),'Escalating commodity'!I314))</f>
        <v/>
      </c>
      <c r="AI301" s="88" t="str">
        <f t="shared" si="181"/>
        <v/>
      </c>
      <c r="AJ301" s="236" t="e">
        <f t="shared" si="167"/>
        <v>#VALUE!</v>
      </c>
      <c r="AK301" s="58" t="str">
        <f t="shared" si="168"/>
        <v/>
      </c>
      <c r="AL301" s="26" t="str">
        <f>IF($A302="","",_xll.SPRDOPT(P301,X301,AI301,0,AB301,AE301,AF301,AK301,$AJ$2,0))</f>
        <v/>
      </c>
      <c r="AM301" s="209" t="str">
        <f t="shared" si="169"/>
        <v/>
      </c>
      <c r="AN301" s="89" t="str">
        <f t="shared" si="170"/>
        <v/>
      </c>
      <c r="AO301" s="3" t="str">
        <f t="shared" si="171"/>
        <v/>
      </c>
      <c r="AP301" s="33" t="str">
        <f t="shared" si="172"/>
        <v/>
      </c>
      <c r="AQ301" s="58" t="str">
        <f t="shared" si="173"/>
        <v/>
      </c>
      <c r="AR301" s="38">
        <f>'ANR OK vs ML7'!AR301</f>
        <v>0.1</v>
      </c>
      <c r="AS301" s="35" t="str">
        <f t="shared" si="174"/>
        <v/>
      </c>
      <c r="AT301" s="3" t="str">
        <f t="shared" si="175"/>
        <v/>
      </c>
      <c r="AU301" s="3" t="str">
        <f t="shared" si="176"/>
        <v/>
      </c>
      <c r="AW301" s="32" t="str">
        <f t="shared" si="177"/>
        <v/>
      </c>
      <c r="AX301" s="32" t="str">
        <f t="shared" si="178"/>
        <v/>
      </c>
      <c r="AY301" s="32" t="str">
        <f t="shared" si="179"/>
        <v/>
      </c>
      <c r="BA301" s="32" t="str">
        <f>IF($A302="","",F301*Summary!$Q$13)</f>
        <v/>
      </c>
    </row>
    <row r="302" spans="1:53" ht="12" customHeight="1">
      <c r="A302" s="67" t="str">
        <f t="shared" si="180"/>
        <v/>
      </c>
      <c r="B302" s="69" t="str">
        <f t="shared" si="182"/>
        <v/>
      </c>
      <c r="C302" s="71"/>
      <c r="D302" s="69" t="str">
        <f t="shared" si="147"/>
        <v/>
      </c>
      <c r="E302" s="70" t="str">
        <f t="shared" si="148"/>
        <v/>
      </c>
      <c r="F302" s="70" t="str">
        <f t="shared" si="149"/>
        <v/>
      </c>
      <c r="G302" s="63" t="str">
        <f t="shared" si="150"/>
        <v/>
      </c>
      <c r="H302" s="64" t="str">
        <f t="shared" si="151"/>
        <v/>
      </c>
      <c r="I302" s="43"/>
      <c r="J302" s="63" t="str">
        <f t="shared" si="152"/>
        <v/>
      </c>
      <c r="K302" s="64" t="str">
        <f t="shared" si="153"/>
        <v/>
      </c>
      <c r="L302" s="38">
        <v>0</v>
      </c>
      <c r="M302" s="64" t="str">
        <f t="shared" si="154"/>
        <v/>
      </c>
      <c r="N302" s="65"/>
      <c r="O302" s="63" t="str">
        <f t="shared" si="155"/>
        <v/>
      </c>
      <c r="P302" s="63" t="str">
        <f t="shared" si="156"/>
        <v/>
      </c>
      <c r="Q302" s="66"/>
      <c r="R302" s="63" t="str">
        <f t="shared" si="157"/>
        <v/>
      </c>
      <c r="S302" s="64" t="str">
        <f t="shared" si="158"/>
        <v/>
      </c>
      <c r="T302" s="38">
        <v>0</v>
      </c>
      <c r="U302" s="64" t="str">
        <f t="shared" si="159"/>
        <v/>
      </c>
      <c r="V302" s="219"/>
      <c r="W302" s="43" t="str">
        <f t="shared" si="160"/>
        <v/>
      </c>
      <c r="X302" s="43" t="str">
        <f t="shared" si="161"/>
        <v/>
      </c>
      <c r="Y302" s="43"/>
      <c r="Z302" s="38" t="str">
        <f t="shared" si="162"/>
        <v/>
      </c>
      <c r="AA302" s="38" t="str">
        <f t="shared" si="163"/>
        <v/>
      </c>
      <c r="AB302" s="38" t="e">
        <f t="shared" si="164"/>
        <v>#VALUE!</v>
      </c>
      <c r="AC302" s="38" t="str">
        <f t="shared" si="165"/>
        <v/>
      </c>
      <c r="AD302" s="38" t="str">
        <f t="shared" si="165"/>
        <v/>
      </c>
      <c r="AE302" s="38" t="e">
        <f t="shared" si="166"/>
        <v>#VALUE!</v>
      </c>
      <c r="AF302" s="237" t="e">
        <f>((Summary!$N$13*(AA302*AD302)*(A302-$D$3))+(Summary!$M$13*Z302*AC302*(AJ302-EOMONTH(EDATE(A302,-1),0))))/(AK302*AB302*AE302)</f>
        <v>#VALUE!</v>
      </c>
      <c r="AG302" s="88" t="str">
        <f>IF($A303="","",Summary!$Q$13)</f>
        <v/>
      </c>
      <c r="AH302" s="88" t="str">
        <f>IF($A303="","",IF(Summary!$R$12="Y",(VLOOKUP($A302,Summary!$AD$6:$AF$9,3)+'Escalating commodity'!I315),'Escalating commodity'!I315))</f>
        <v/>
      </c>
      <c r="AI302" s="88" t="str">
        <f t="shared" si="181"/>
        <v/>
      </c>
      <c r="AJ302" s="236" t="e">
        <f t="shared" si="167"/>
        <v>#VALUE!</v>
      </c>
      <c r="AK302" s="58" t="str">
        <f t="shared" si="168"/>
        <v/>
      </c>
      <c r="AL302" s="26" t="str">
        <f>IF($A303="","",_xll.SPRDOPT(P302,X302,AI302,0,AB302,AE302,AF302,AK302,$AJ$2,0))</f>
        <v/>
      </c>
      <c r="AM302" s="209" t="str">
        <f t="shared" si="169"/>
        <v/>
      </c>
      <c r="AN302" s="89" t="str">
        <f t="shared" si="170"/>
        <v/>
      </c>
      <c r="AO302" s="3" t="str">
        <f t="shared" si="171"/>
        <v/>
      </c>
      <c r="AP302" s="33" t="str">
        <f t="shared" si="172"/>
        <v/>
      </c>
      <c r="AQ302" s="58" t="str">
        <f t="shared" si="173"/>
        <v/>
      </c>
      <c r="AR302" s="38">
        <f>'ANR OK vs ML7'!AR302</f>
        <v>0.1</v>
      </c>
      <c r="AS302" s="35" t="str">
        <f t="shared" si="174"/>
        <v/>
      </c>
      <c r="AT302" s="3" t="str">
        <f t="shared" si="175"/>
        <v/>
      </c>
      <c r="AU302" s="3" t="str">
        <f t="shared" si="176"/>
        <v/>
      </c>
      <c r="AW302" s="32" t="str">
        <f t="shared" si="177"/>
        <v/>
      </c>
      <c r="AX302" s="32" t="str">
        <f t="shared" si="178"/>
        <v/>
      </c>
      <c r="AY302" s="32" t="str">
        <f t="shared" si="179"/>
        <v/>
      </c>
      <c r="BA302" s="32" t="str">
        <f>IF($A303="","",F302*Summary!$Q$13)</f>
        <v/>
      </c>
    </row>
    <row r="303" spans="1:53" ht="12" customHeight="1">
      <c r="A303" s="67" t="str">
        <f t="shared" si="180"/>
        <v/>
      </c>
      <c r="B303" s="69" t="str">
        <f t="shared" si="182"/>
        <v/>
      </c>
      <c r="C303" s="71"/>
      <c r="D303" s="69" t="str">
        <f t="shared" si="147"/>
        <v/>
      </c>
      <c r="E303" s="70" t="str">
        <f t="shared" si="148"/>
        <v/>
      </c>
      <c r="F303" s="70" t="str">
        <f t="shared" si="149"/>
        <v/>
      </c>
      <c r="G303" s="63" t="str">
        <f t="shared" si="150"/>
        <v/>
      </c>
      <c r="H303" s="64" t="str">
        <f t="shared" si="151"/>
        <v/>
      </c>
      <c r="I303" s="43"/>
      <c r="J303" s="63" t="str">
        <f t="shared" si="152"/>
        <v/>
      </c>
      <c r="K303" s="64" t="str">
        <f t="shared" si="153"/>
        <v/>
      </c>
      <c r="L303" s="38">
        <v>0</v>
      </c>
      <c r="M303" s="64" t="str">
        <f t="shared" si="154"/>
        <v/>
      </c>
      <c r="N303" s="65"/>
      <c r="O303" s="63" t="str">
        <f t="shared" si="155"/>
        <v/>
      </c>
      <c r="P303" s="63" t="str">
        <f t="shared" si="156"/>
        <v/>
      </c>
      <c r="Q303" s="66"/>
      <c r="R303" s="63" t="str">
        <f t="shared" si="157"/>
        <v/>
      </c>
      <c r="S303" s="64" t="str">
        <f t="shared" si="158"/>
        <v/>
      </c>
      <c r="T303" s="38">
        <v>0</v>
      </c>
      <c r="U303" s="64" t="str">
        <f t="shared" si="159"/>
        <v/>
      </c>
      <c r="V303" s="219"/>
      <c r="W303" s="43" t="str">
        <f t="shared" si="160"/>
        <v/>
      </c>
      <c r="X303" s="43" t="str">
        <f t="shared" si="161"/>
        <v/>
      </c>
      <c r="Y303" s="43"/>
      <c r="Z303" s="38" t="str">
        <f t="shared" si="162"/>
        <v/>
      </c>
      <c r="AA303" s="38" t="str">
        <f t="shared" si="163"/>
        <v/>
      </c>
      <c r="AB303" s="38" t="e">
        <f t="shared" si="164"/>
        <v>#VALUE!</v>
      </c>
      <c r="AC303" s="38" t="str">
        <f t="shared" si="165"/>
        <v/>
      </c>
      <c r="AD303" s="38" t="str">
        <f t="shared" si="165"/>
        <v/>
      </c>
      <c r="AE303" s="38" t="e">
        <f t="shared" si="166"/>
        <v>#VALUE!</v>
      </c>
      <c r="AF303" s="237" t="e">
        <f>((Summary!$N$13*(AA303*AD303)*(A303-$D$3))+(Summary!$M$13*Z303*AC303*(AJ303-EOMONTH(EDATE(A303,-1),0))))/(AK303*AB303*AE303)</f>
        <v>#VALUE!</v>
      </c>
      <c r="AG303" s="88" t="str">
        <f>IF($A304="","",Summary!$Q$13)</f>
        <v/>
      </c>
      <c r="AH303" s="88" t="str">
        <f>IF($A304="","",IF(Summary!$R$12="Y",(VLOOKUP($A303,Summary!$AD$6:$AF$9,3)+'Escalating commodity'!I316),'Escalating commodity'!I316))</f>
        <v/>
      </c>
      <c r="AI303" s="88" t="str">
        <f t="shared" si="181"/>
        <v/>
      </c>
      <c r="AJ303" s="236" t="e">
        <f t="shared" si="167"/>
        <v>#VALUE!</v>
      </c>
      <c r="AK303" s="58" t="str">
        <f t="shared" si="168"/>
        <v/>
      </c>
      <c r="AL303" s="26" t="str">
        <f>IF($A304="","",_xll.SPRDOPT(P303,X303,AI303,0,AB303,AE303,AF303,AK303,$AJ$2,0))</f>
        <v/>
      </c>
      <c r="AM303" s="209" t="str">
        <f t="shared" si="169"/>
        <v/>
      </c>
      <c r="AN303" s="89" t="str">
        <f t="shared" si="170"/>
        <v/>
      </c>
      <c r="AO303" s="3" t="str">
        <f t="shared" si="171"/>
        <v/>
      </c>
      <c r="AP303" s="33" t="str">
        <f t="shared" si="172"/>
        <v/>
      </c>
      <c r="AQ303" s="58" t="str">
        <f t="shared" si="173"/>
        <v/>
      </c>
      <c r="AR303" s="38">
        <f>'ANR OK vs ML7'!AR303</f>
        <v>0.1</v>
      </c>
      <c r="AS303" s="35" t="str">
        <f t="shared" si="174"/>
        <v/>
      </c>
      <c r="AT303" s="3" t="str">
        <f t="shared" si="175"/>
        <v/>
      </c>
      <c r="AU303" s="3" t="str">
        <f t="shared" si="176"/>
        <v/>
      </c>
      <c r="AW303" s="32" t="str">
        <f t="shared" si="177"/>
        <v/>
      </c>
      <c r="AX303" s="32" t="str">
        <f t="shared" si="178"/>
        <v/>
      </c>
      <c r="AY303" s="32" t="str">
        <f t="shared" si="179"/>
        <v/>
      </c>
      <c r="BA303" s="32" t="str">
        <f>IF($A304="","",F303*Summary!$Q$13)</f>
        <v/>
      </c>
    </row>
    <row r="304" spans="1:53" ht="12" customHeight="1">
      <c r="A304" s="67" t="str">
        <f t="shared" si="180"/>
        <v/>
      </c>
      <c r="B304" s="69" t="str">
        <f t="shared" si="182"/>
        <v/>
      </c>
      <c r="C304" s="71"/>
      <c r="D304" s="69" t="str">
        <f t="shared" si="147"/>
        <v/>
      </c>
      <c r="E304" s="70" t="str">
        <f t="shared" si="148"/>
        <v/>
      </c>
      <c r="F304" s="70" t="str">
        <f t="shared" si="149"/>
        <v/>
      </c>
      <c r="G304" s="63" t="str">
        <f t="shared" si="150"/>
        <v/>
      </c>
      <c r="H304" s="64" t="str">
        <f t="shared" si="151"/>
        <v/>
      </c>
      <c r="I304" s="43"/>
      <c r="J304" s="63" t="str">
        <f t="shared" si="152"/>
        <v/>
      </c>
      <c r="K304" s="64" t="str">
        <f t="shared" si="153"/>
        <v/>
      </c>
      <c r="L304" s="38">
        <v>0</v>
      </c>
      <c r="M304" s="64" t="str">
        <f t="shared" si="154"/>
        <v/>
      </c>
      <c r="N304" s="65"/>
      <c r="O304" s="63" t="str">
        <f t="shared" si="155"/>
        <v/>
      </c>
      <c r="P304" s="63" t="str">
        <f t="shared" si="156"/>
        <v/>
      </c>
      <c r="Q304" s="66"/>
      <c r="R304" s="63" t="str">
        <f t="shared" si="157"/>
        <v/>
      </c>
      <c r="S304" s="64" t="str">
        <f t="shared" si="158"/>
        <v/>
      </c>
      <c r="T304" s="38">
        <v>0</v>
      </c>
      <c r="U304" s="64" t="str">
        <f t="shared" si="159"/>
        <v/>
      </c>
      <c r="V304" s="219"/>
      <c r="W304" s="43" t="str">
        <f t="shared" si="160"/>
        <v/>
      </c>
      <c r="X304" s="43" t="str">
        <f t="shared" si="161"/>
        <v/>
      </c>
      <c r="Y304" s="43"/>
      <c r="Z304" s="38" t="str">
        <f t="shared" si="162"/>
        <v/>
      </c>
      <c r="AA304" s="38" t="str">
        <f t="shared" si="163"/>
        <v/>
      </c>
      <c r="AB304" s="38" t="e">
        <f t="shared" si="164"/>
        <v>#VALUE!</v>
      </c>
      <c r="AC304" s="38" t="str">
        <f t="shared" si="165"/>
        <v/>
      </c>
      <c r="AD304" s="38" t="str">
        <f t="shared" si="165"/>
        <v/>
      </c>
      <c r="AE304" s="38" t="e">
        <f t="shared" si="166"/>
        <v>#VALUE!</v>
      </c>
      <c r="AF304" s="237" t="e">
        <f>((Summary!$N$13*(AA304*AD304)*(A304-$D$3))+(Summary!$M$13*Z304*AC304*(AJ304-EOMONTH(EDATE(A304,-1),0))))/(AK304*AB304*AE304)</f>
        <v>#VALUE!</v>
      </c>
      <c r="AG304" s="88" t="str">
        <f>IF($A305="","",Summary!$Q$13)</f>
        <v/>
      </c>
      <c r="AH304" s="88" t="str">
        <f>IF($A305="","",IF(Summary!$R$12="Y",(VLOOKUP($A304,Summary!$AD$6:$AF$9,3)+'Escalating commodity'!I317),'Escalating commodity'!I317))</f>
        <v/>
      </c>
      <c r="AI304" s="88" t="str">
        <f t="shared" si="181"/>
        <v/>
      </c>
      <c r="AJ304" s="236" t="e">
        <f t="shared" si="167"/>
        <v>#VALUE!</v>
      </c>
      <c r="AK304" s="58" t="str">
        <f t="shared" si="168"/>
        <v/>
      </c>
      <c r="AL304" s="26" t="str">
        <f>IF($A305="","",_xll.SPRDOPT(P304,X304,AI304,0,AB304,AE304,AF304,AK304,$AJ$2,0))</f>
        <v/>
      </c>
      <c r="AM304" s="209" t="str">
        <f t="shared" si="169"/>
        <v/>
      </c>
      <c r="AN304" s="89" t="str">
        <f t="shared" si="170"/>
        <v/>
      </c>
      <c r="AO304" s="3" t="str">
        <f t="shared" si="171"/>
        <v/>
      </c>
      <c r="AP304" s="33" t="str">
        <f t="shared" si="172"/>
        <v/>
      </c>
      <c r="AQ304" s="58" t="str">
        <f t="shared" si="173"/>
        <v/>
      </c>
      <c r="AR304" s="38">
        <f>'ANR OK vs ML7'!AR304</f>
        <v>0.1</v>
      </c>
      <c r="AS304" s="35" t="str">
        <f t="shared" si="174"/>
        <v/>
      </c>
      <c r="AT304" s="3" t="str">
        <f t="shared" si="175"/>
        <v/>
      </c>
      <c r="AU304" s="3" t="str">
        <f t="shared" si="176"/>
        <v/>
      </c>
      <c r="AW304" s="32" t="str">
        <f t="shared" si="177"/>
        <v/>
      </c>
      <c r="AX304" s="32" t="str">
        <f t="shared" si="178"/>
        <v/>
      </c>
      <c r="AY304" s="32" t="str">
        <f t="shared" si="179"/>
        <v/>
      </c>
      <c r="BA304" s="32" t="str">
        <f>IF($A305="","",F304*Summary!$Q$13)</f>
        <v/>
      </c>
    </row>
    <row r="305" spans="1:53" ht="12" customHeight="1">
      <c r="A305" s="67" t="str">
        <f t="shared" si="180"/>
        <v/>
      </c>
      <c r="B305" s="69" t="str">
        <f t="shared" si="182"/>
        <v/>
      </c>
      <c r="C305" s="71"/>
      <c r="D305" s="69" t="str">
        <f t="shared" si="147"/>
        <v/>
      </c>
      <c r="E305" s="70" t="str">
        <f t="shared" si="148"/>
        <v/>
      </c>
      <c r="F305" s="70" t="str">
        <f t="shared" si="149"/>
        <v/>
      </c>
      <c r="G305" s="63" t="str">
        <f t="shared" si="150"/>
        <v/>
      </c>
      <c r="H305" s="64" t="str">
        <f t="shared" si="151"/>
        <v/>
      </c>
      <c r="I305" s="43"/>
      <c r="J305" s="63" t="str">
        <f t="shared" si="152"/>
        <v/>
      </c>
      <c r="K305" s="64" t="str">
        <f t="shared" si="153"/>
        <v/>
      </c>
      <c r="L305" s="38">
        <v>0</v>
      </c>
      <c r="M305" s="64" t="str">
        <f t="shared" si="154"/>
        <v/>
      </c>
      <c r="N305" s="65"/>
      <c r="O305" s="63" t="str">
        <f t="shared" si="155"/>
        <v/>
      </c>
      <c r="P305" s="63" t="str">
        <f t="shared" si="156"/>
        <v/>
      </c>
      <c r="Q305" s="66"/>
      <c r="R305" s="63" t="str">
        <f t="shared" si="157"/>
        <v/>
      </c>
      <c r="S305" s="64" t="str">
        <f t="shared" si="158"/>
        <v/>
      </c>
      <c r="T305" s="38">
        <v>0</v>
      </c>
      <c r="U305" s="64" t="str">
        <f t="shared" si="159"/>
        <v/>
      </c>
      <c r="V305" s="219"/>
      <c r="W305" s="43" t="str">
        <f t="shared" si="160"/>
        <v/>
      </c>
      <c r="X305" s="43" t="str">
        <f t="shared" si="161"/>
        <v/>
      </c>
      <c r="Y305" s="43"/>
      <c r="Z305" s="38" t="str">
        <f t="shared" si="162"/>
        <v/>
      </c>
      <c r="AA305" s="38" t="str">
        <f t="shared" si="163"/>
        <v/>
      </c>
      <c r="AB305" s="38" t="e">
        <f t="shared" si="164"/>
        <v>#VALUE!</v>
      </c>
      <c r="AC305" s="38" t="str">
        <f t="shared" si="165"/>
        <v/>
      </c>
      <c r="AD305" s="38" t="str">
        <f t="shared" si="165"/>
        <v/>
      </c>
      <c r="AE305" s="38" t="e">
        <f t="shared" si="166"/>
        <v>#VALUE!</v>
      </c>
      <c r="AF305" s="237" t="e">
        <f>((Summary!$N$13*(AA305*AD305)*(A305-$D$3))+(Summary!$M$13*Z305*AC305*(AJ305-EOMONTH(EDATE(A305,-1),0))))/(AK305*AB305*AE305)</f>
        <v>#VALUE!</v>
      </c>
      <c r="AG305" s="88" t="str">
        <f>IF($A306="","",Summary!$Q$13)</f>
        <v/>
      </c>
      <c r="AH305" s="88" t="str">
        <f>IF($A306="","",IF(Summary!$R$12="Y",(VLOOKUP($A305,Summary!$AD$6:$AF$9,3)+'Escalating commodity'!I318),'Escalating commodity'!I318))</f>
        <v/>
      </c>
      <c r="AI305" s="88" t="str">
        <f t="shared" si="181"/>
        <v/>
      </c>
      <c r="AJ305" s="236" t="e">
        <f t="shared" si="167"/>
        <v>#VALUE!</v>
      </c>
      <c r="AK305" s="58" t="str">
        <f t="shared" si="168"/>
        <v/>
      </c>
      <c r="AL305" s="26" t="str">
        <f>IF($A306="","",_xll.SPRDOPT(P305,X305,AI305,0,AB305,AE305,AF305,AK305,$AJ$2,0))</f>
        <v/>
      </c>
      <c r="AM305" s="209" t="str">
        <f t="shared" si="169"/>
        <v/>
      </c>
      <c r="AN305" s="89" t="str">
        <f t="shared" si="170"/>
        <v/>
      </c>
      <c r="AO305" s="3" t="str">
        <f t="shared" si="171"/>
        <v/>
      </c>
      <c r="AP305" s="33" t="str">
        <f t="shared" si="172"/>
        <v/>
      </c>
      <c r="AQ305" s="58" t="str">
        <f t="shared" si="173"/>
        <v/>
      </c>
      <c r="AR305" s="38">
        <f>'ANR OK vs ML7'!AR305</f>
        <v>0.1</v>
      </c>
      <c r="AS305" s="35" t="str">
        <f t="shared" si="174"/>
        <v/>
      </c>
      <c r="AT305" s="3" t="str">
        <f t="shared" si="175"/>
        <v/>
      </c>
      <c r="AU305" s="3" t="str">
        <f t="shared" si="176"/>
        <v/>
      </c>
      <c r="AW305" s="32" t="str">
        <f t="shared" si="177"/>
        <v/>
      </c>
      <c r="AX305" s="32" t="str">
        <f t="shared" si="178"/>
        <v/>
      </c>
      <c r="AY305" s="32" t="str">
        <f t="shared" si="179"/>
        <v/>
      </c>
      <c r="BA305" s="32" t="str">
        <f>IF($A306="","",F305*Summary!$Q$13)</f>
        <v/>
      </c>
    </row>
    <row r="306" spans="1:53" ht="12" customHeight="1">
      <c r="A306" s="67" t="str">
        <f t="shared" si="180"/>
        <v/>
      </c>
      <c r="B306" s="69" t="str">
        <f t="shared" si="182"/>
        <v/>
      </c>
      <c r="C306" s="71"/>
      <c r="D306" s="69" t="str">
        <f t="shared" si="147"/>
        <v/>
      </c>
      <c r="E306" s="70" t="str">
        <f t="shared" si="148"/>
        <v/>
      </c>
      <c r="F306" s="70" t="str">
        <f t="shared" si="149"/>
        <v/>
      </c>
      <c r="G306" s="63" t="str">
        <f t="shared" si="150"/>
        <v/>
      </c>
      <c r="H306" s="64" t="str">
        <f t="shared" si="151"/>
        <v/>
      </c>
      <c r="I306" s="43"/>
      <c r="J306" s="63" t="str">
        <f t="shared" si="152"/>
        <v/>
      </c>
      <c r="K306" s="64" t="str">
        <f t="shared" si="153"/>
        <v/>
      </c>
      <c r="L306" s="38">
        <v>0</v>
      </c>
      <c r="M306" s="64" t="str">
        <f t="shared" si="154"/>
        <v/>
      </c>
      <c r="N306" s="65"/>
      <c r="O306" s="63" t="str">
        <f t="shared" si="155"/>
        <v/>
      </c>
      <c r="P306" s="63" t="str">
        <f t="shared" si="156"/>
        <v/>
      </c>
      <c r="Q306" s="66"/>
      <c r="R306" s="63" t="str">
        <f t="shared" si="157"/>
        <v/>
      </c>
      <c r="S306" s="64" t="str">
        <f t="shared" si="158"/>
        <v/>
      </c>
      <c r="T306" s="38">
        <v>0</v>
      </c>
      <c r="U306" s="64" t="str">
        <f t="shared" si="159"/>
        <v/>
      </c>
      <c r="V306" s="219"/>
      <c r="W306" s="43" t="str">
        <f t="shared" si="160"/>
        <v/>
      </c>
      <c r="X306" s="43" t="str">
        <f t="shared" si="161"/>
        <v/>
      </c>
      <c r="Y306" s="43"/>
      <c r="Z306" s="38" t="str">
        <f t="shared" si="162"/>
        <v/>
      </c>
      <c r="AA306" s="38" t="str">
        <f t="shared" si="163"/>
        <v/>
      </c>
      <c r="AB306" s="38" t="e">
        <f t="shared" si="164"/>
        <v>#VALUE!</v>
      </c>
      <c r="AC306" s="38" t="str">
        <f t="shared" si="165"/>
        <v/>
      </c>
      <c r="AD306" s="38" t="str">
        <f t="shared" si="165"/>
        <v/>
      </c>
      <c r="AE306" s="38" t="e">
        <f t="shared" si="166"/>
        <v>#VALUE!</v>
      </c>
      <c r="AF306" s="237" t="e">
        <f>((Summary!$N$13*(AA306*AD306)*(A306-$D$3))+(Summary!$M$13*Z306*AC306*(AJ306-EOMONTH(EDATE(A306,-1),0))))/(AK306*AB306*AE306)</f>
        <v>#VALUE!</v>
      </c>
      <c r="AG306" s="88" t="str">
        <f>IF($A307="","",Summary!$Q$13)</f>
        <v/>
      </c>
      <c r="AH306" s="88" t="str">
        <f>IF($A307="","",IF(Summary!$R$12="Y",(VLOOKUP($A306,Summary!$AD$6:$AF$9,3)+'Escalating commodity'!I319),'Escalating commodity'!I319))</f>
        <v/>
      </c>
      <c r="AI306" s="88" t="str">
        <f t="shared" si="181"/>
        <v/>
      </c>
      <c r="AJ306" s="236" t="e">
        <f t="shared" si="167"/>
        <v>#VALUE!</v>
      </c>
      <c r="AK306" s="58" t="str">
        <f t="shared" si="168"/>
        <v/>
      </c>
      <c r="AL306" s="26" t="str">
        <f>IF($A307="","",_xll.SPRDOPT(P306,X306,AI306,0,AB306,AE306,AF306,AK306,$AJ$2,0))</f>
        <v/>
      </c>
      <c r="AM306" s="209" t="str">
        <f t="shared" si="169"/>
        <v/>
      </c>
      <c r="AN306" s="89" t="str">
        <f t="shared" si="170"/>
        <v/>
      </c>
      <c r="AO306" s="3" t="str">
        <f t="shared" si="171"/>
        <v/>
      </c>
      <c r="AP306" s="33" t="str">
        <f t="shared" si="172"/>
        <v/>
      </c>
      <c r="AQ306" s="58" t="str">
        <f t="shared" si="173"/>
        <v/>
      </c>
      <c r="AR306" s="38">
        <f>'ANR OK vs ML7'!AR306</f>
        <v>0.1</v>
      </c>
      <c r="AS306" s="35" t="str">
        <f t="shared" si="174"/>
        <v/>
      </c>
      <c r="AT306" s="3" t="str">
        <f t="shared" si="175"/>
        <v/>
      </c>
      <c r="AU306" s="3" t="str">
        <f t="shared" si="176"/>
        <v/>
      </c>
      <c r="AW306" s="32" t="str">
        <f t="shared" si="177"/>
        <v/>
      </c>
      <c r="AX306" s="32" t="str">
        <f t="shared" si="178"/>
        <v/>
      </c>
      <c r="AY306" s="32" t="str">
        <f t="shared" si="179"/>
        <v/>
      </c>
      <c r="BA306" s="32" t="str">
        <f>IF($A307="","",F306*Summary!$Q$13)</f>
        <v/>
      </c>
    </row>
    <row r="307" spans="1:53" ht="12" customHeight="1">
      <c r="A307" s="67" t="str">
        <f t="shared" si="180"/>
        <v/>
      </c>
      <c r="B307" s="69" t="str">
        <f t="shared" si="182"/>
        <v/>
      </c>
      <c r="C307" s="71"/>
      <c r="D307" s="69" t="str">
        <f t="shared" si="147"/>
        <v/>
      </c>
      <c r="E307" s="70" t="str">
        <f t="shared" si="148"/>
        <v/>
      </c>
      <c r="F307" s="70" t="str">
        <f t="shared" si="149"/>
        <v/>
      </c>
      <c r="G307" s="63" t="str">
        <f t="shared" si="150"/>
        <v/>
      </c>
      <c r="H307" s="64" t="str">
        <f t="shared" si="151"/>
        <v/>
      </c>
      <c r="I307" s="43"/>
      <c r="J307" s="63" t="str">
        <f t="shared" si="152"/>
        <v/>
      </c>
      <c r="K307" s="64" t="str">
        <f t="shared" si="153"/>
        <v/>
      </c>
      <c r="L307" s="38">
        <v>0</v>
      </c>
      <c r="M307" s="64" t="str">
        <f t="shared" si="154"/>
        <v/>
      </c>
      <c r="N307" s="65"/>
      <c r="O307" s="63" t="str">
        <f t="shared" si="155"/>
        <v/>
      </c>
      <c r="P307" s="63" t="str">
        <f t="shared" si="156"/>
        <v/>
      </c>
      <c r="Q307" s="66"/>
      <c r="R307" s="63" t="str">
        <f t="shared" si="157"/>
        <v/>
      </c>
      <c r="S307" s="64" t="str">
        <f t="shared" si="158"/>
        <v/>
      </c>
      <c r="T307" s="38">
        <v>0</v>
      </c>
      <c r="U307" s="64" t="str">
        <f t="shared" si="159"/>
        <v/>
      </c>
      <c r="V307" s="219"/>
      <c r="W307" s="43" t="str">
        <f t="shared" si="160"/>
        <v/>
      </c>
      <c r="X307" s="43" t="str">
        <f t="shared" si="161"/>
        <v/>
      </c>
      <c r="Y307" s="43"/>
      <c r="Z307" s="38" t="str">
        <f t="shared" si="162"/>
        <v/>
      </c>
      <c r="AA307" s="38" t="str">
        <f t="shared" si="163"/>
        <v/>
      </c>
      <c r="AB307" s="38" t="e">
        <f t="shared" si="164"/>
        <v>#VALUE!</v>
      </c>
      <c r="AC307" s="38" t="str">
        <f t="shared" si="165"/>
        <v/>
      </c>
      <c r="AD307" s="38" t="str">
        <f t="shared" si="165"/>
        <v/>
      </c>
      <c r="AE307" s="38" t="e">
        <f t="shared" si="166"/>
        <v>#VALUE!</v>
      </c>
      <c r="AF307" s="237" t="e">
        <f>((Summary!$N$13*(AA307*AD307)*(A307-$D$3))+(Summary!$M$13*Z307*AC307*(AJ307-EOMONTH(EDATE(A307,-1),0))))/(AK307*AB307*AE307)</f>
        <v>#VALUE!</v>
      </c>
      <c r="AG307" s="88" t="str">
        <f>IF($A308="","",Summary!$Q$13)</f>
        <v/>
      </c>
      <c r="AH307" s="88" t="str">
        <f>IF($A308="","",IF(Summary!$R$12="Y",(VLOOKUP($A307,Summary!$AD$6:$AF$9,3)+'Escalating commodity'!I320),'Escalating commodity'!I320))</f>
        <v/>
      </c>
      <c r="AI307" s="88" t="str">
        <f t="shared" si="181"/>
        <v/>
      </c>
      <c r="AJ307" s="236" t="e">
        <f t="shared" si="167"/>
        <v>#VALUE!</v>
      </c>
      <c r="AK307" s="58" t="str">
        <f t="shared" si="168"/>
        <v/>
      </c>
      <c r="AL307" s="26" t="str">
        <f>IF($A308="","",_xll.SPRDOPT(P307,X307,AI307,0,AB307,AE307,AF307,AK307,$AJ$2,0))</f>
        <v/>
      </c>
      <c r="AM307" s="209" t="str">
        <f t="shared" si="169"/>
        <v/>
      </c>
      <c r="AN307" s="89" t="str">
        <f t="shared" si="170"/>
        <v/>
      </c>
      <c r="AO307" s="3" t="str">
        <f t="shared" si="171"/>
        <v/>
      </c>
      <c r="AP307" s="33" t="str">
        <f t="shared" si="172"/>
        <v/>
      </c>
      <c r="AQ307" s="58" t="str">
        <f t="shared" si="173"/>
        <v/>
      </c>
      <c r="AR307" s="38">
        <f>'ANR OK vs ML7'!AR307</f>
        <v>0.1</v>
      </c>
      <c r="AS307" s="35" t="str">
        <f t="shared" si="174"/>
        <v/>
      </c>
      <c r="AT307" s="3" t="str">
        <f t="shared" si="175"/>
        <v/>
      </c>
      <c r="AU307" s="3" t="str">
        <f t="shared" si="176"/>
        <v/>
      </c>
      <c r="AW307" s="32" t="str">
        <f t="shared" si="177"/>
        <v/>
      </c>
      <c r="AX307" s="32" t="str">
        <f t="shared" si="178"/>
        <v/>
      </c>
      <c r="AY307" s="32" t="str">
        <f t="shared" si="179"/>
        <v/>
      </c>
      <c r="BA307" s="32" t="str">
        <f>IF($A308="","",F307*Summary!$Q$13)</f>
        <v/>
      </c>
    </row>
    <row r="308" spans="1:53" ht="12" customHeight="1">
      <c r="A308" s="67" t="str">
        <f t="shared" si="180"/>
        <v/>
      </c>
      <c r="B308" s="69" t="str">
        <f t="shared" si="182"/>
        <v/>
      </c>
      <c r="C308" s="71"/>
      <c r="D308" s="69" t="str">
        <f t="shared" si="147"/>
        <v/>
      </c>
      <c r="E308" s="70" t="str">
        <f t="shared" si="148"/>
        <v/>
      </c>
      <c r="F308" s="70" t="str">
        <f t="shared" si="149"/>
        <v/>
      </c>
      <c r="G308" s="63" t="str">
        <f t="shared" si="150"/>
        <v/>
      </c>
      <c r="H308" s="64" t="str">
        <f t="shared" si="151"/>
        <v/>
      </c>
      <c r="I308" s="43"/>
      <c r="J308" s="63" t="str">
        <f t="shared" si="152"/>
        <v/>
      </c>
      <c r="K308" s="64" t="str">
        <f t="shared" si="153"/>
        <v/>
      </c>
      <c r="L308" s="38">
        <v>0</v>
      </c>
      <c r="M308" s="64" t="str">
        <f t="shared" si="154"/>
        <v/>
      </c>
      <c r="N308" s="65"/>
      <c r="O308" s="63" t="str">
        <f t="shared" si="155"/>
        <v/>
      </c>
      <c r="P308" s="63" t="str">
        <f t="shared" si="156"/>
        <v/>
      </c>
      <c r="Q308" s="66"/>
      <c r="R308" s="63" t="str">
        <f t="shared" si="157"/>
        <v/>
      </c>
      <c r="S308" s="64" t="str">
        <f t="shared" si="158"/>
        <v/>
      </c>
      <c r="T308" s="38">
        <v>0</v>
      </c>
      <c r="U308" s="64" t="str">
        <f t="shared" si="159"/>
        <v/>
      </c>
      <c r="V308" s="219"/>
      <c r="W308" s="43" t="str">
        <f t="shared" si="160"/>
        <v/>
      </c>
      <c r="X308" s="43" t="str">
        <f t="shared" si="161"/>
        <v/>
      </c>
      <c r="Y308" s="43"/>
      <c r="Z308" s="38" t="str">
        <f t="shared" si="162"/>
        <v/>
      </c>
      <c r="AA308" s="38" t="str">
        <f t="shared" si="163"/>
        <v/>
      </c>
      <c r="AB308" s="38" t="e">
        <f t="shared" si="164"/>
        <v>#VALUE!</v>
      </c>
      <c r="AC308" s="38" t="str">
        <f t="shared" si="165"/>
        <v/>
      </c>
      <c r="AD308" s="38" t="str">
        <f t="shared" si="165"/>
        <v/>
      </c>
      <c r="AE308" s="38" t="e">
        <f t="shared" si="166"/>
        <v>#VALUE!</v>
      </c>
      <c r="AF308" s="237" t="e">
        <f>((Summary!$N$13*(AA308*AD308)*(A308-$D$3))+(Summary!$M$13*Z308*AC308*(AJ308-EOMONTH(EDATE(A308,-1),0))))/(AK308*AB308*AE308)</f>
        <v>#VALUE!</v>
      </c>
      <c r="AG308" s="88" t="str">
        <f>IF($A309="","",Summary!$Q$13)</f>
        <v/>
      </c>
      <c r="AH308" s="88" t="str">
        <f>IF($A309="","",IF(Summary!$R$12="Y",(VLOOKUP($A308,Summary!$AD$6:$AF$9,3)+'Escalating commodity'!I321),'Escalating commodity'!I321))</f>
        <v/>
      </c>
      <c r="AI308" s="88" t="str">
        <f t="shared" si="181"/>
        <v/>
      </c>
      <c r="AJ308" s="236" t="e">
        <f t="shared" si="167"/>
        <v>#VALUE!</v>
      </c>
      <c r="AK308" s="58" t="str">
        <f t="shared" si="168"/>
        <v/>
      </c>
      <c r="AL308" s="26" t="str">
        <f>IF($A309="","",_xll.SPRDOPT(P308,X308,AI308,0,AB308,AE308,AF308,AK308,$AJ$2,0))</f>
        <v/>
      </c>
      <c r="AM308" s="209" t="str">
        <f t="shared" si="169"/>
        <v/>
      </c>
      <c r="AN308" s="89" t="str">
        <f t="shared" si="170"/>
        <v/>
      </c>
      <c r="AO308" s="3" t="str">
        <f t="shared" si="171"/>
        <v/>
      </c>
      <c r="AP308" s="33" t="str">
        <f t="shared" si="172"/>
        <v/>
      </c>
      <c r="AQ308" s="58" t="str">
        <f t="shared" si="173"/>
        <v/>
      </c>
      <c r="AR308" s="38">
        <f>'ANR OK vs ML7'!AR308</f>
        <v>0.1</v>
      </c>
      <c r="AS308" s="35" t="str">
        <f t="shared" si="174"/>
        <v/>
      </c>
      <c r="AT308" s="3" t="str">
        <f t="shared" si="175"/>
        <v/>
      </c>
      <c r="AU308" s="3" t="str">
        <f t="shared" si="176"/>
        <v/>
      </c>
      <c r="AW308" s="32" t="str">
        <f t="shared" si="177"/>
        <v/>
      </c>
      <c r="AX308" s="32" t="str">
        <f t="shared" si="178"/>
        <v/>
      </c>
      <c r="AY308" s="32" t="str">
        <f t="shared" si="179"/>
        <v/>
      </c>
      <c r="BA308" s="32" t="str">
        <f>IF($A309="","",F308*Summary!$Q$13)</f>
        <v/>
      </c>
    </row>
    <row r="309" spans="1:53" ht="12" customHeight="1">
      <c r="A309" s="67" t="str">
        <f t="shared" si="180"/>
        <v/>
      </c>
      <c r="B309" s="69" t="str">
        <f t="shared" si="182"/>
        <v/>
      </c>
      <c r="C309" s="71"/>
      <c r="D309" s="69" t="str">
        <f t="shared" si="147"/>
        <v/>
      </c>
      <c r="E309" s="70" t="str">
        <f t="shared" si="148"/>
        <v/>
      </c>
      <c r="F309" s="70" t="str">
        <f t="shared" si="149"/>
        <v/>
      </c>
      <c r="G309" s="63" t="str">
        <f t="shared" si="150"/>
        <v/>
      </c>
      <c r="H309" s="64" t="str">
        <f t="shared" si="151"/>
        <v/>
      </c>
      <c r="I309" s="43"/>
      <c r="J309" s="63" t="str">
        <f t="shared" si="152"/>
        <v/>
      </c>
      <c r="K309" s="64" t="str">
        <f t="shared" si="153"/>
        <v/>
      </c>
      <c r="L309" s="38">
        <v>0</v>
      </c>
      <c r="M309" s="64" t="str">
        <f t="shared" si="154"/>
        <v/>
      </c>
      <c r="N309" s="65"/>
      <c r="O309" s="63" t="str">
        <f t="shared" si="155"/>
        <v/>
      </c>
      <c r="P309" s="63" t="str">
        <f t="shared" si="156"/>
        <v/>
      </c>
      <c r="Q309" s="66"/>
      <c r="R309" s="63" t="str">
        <f t="shared" si="157"/>
        <v/>
      </c>
      <c r="S309" s="64" t="str">
        <f t="shared" si="158"/>
        <v/>
      </c>
      <c r="T309" s="38">
        <v>0</v>
      </c>
      <c r="U309" s="64" t="str">
        <f t="shared" si="159"/>
        <v/>
      </c>
      <c r="V309" s="219"/>
      <c r="W309" s="43" t="str">
        <f t="shared" si="160"/>
        <v/>
      </c>
      <c r="X309" s="43" t="str">
        <f t="shared" si="161"/>
        <v/>
      </c>
      <c r="Y309" s="43"/>
      <c r="Z309" s="38" t="str">
        <f t="shared" si="162"/>
        <v/>
      </c>
      <c r="AA309" s="38" t="str">
        <f t="shared" si="163"/>
        <v/>
      </c>
      <c r="AB309" s="38" t="e">
        <f t="shared" si="164"/>
        <v>#VALUE!</v>
      </c>
      <c r="AC309" s="38" t="str">
        <f t="shared" si="165"/>
        <v/>
      </c>
      <c r="AD309" s="38" t="str">
        <f t="shared" si="165"/>
        <v/>
      </c>
      <c r="AE309" s="38" t="e">
        <f t="shared" si="166"/>
        <v>#VALUE!</v>
      </c>
      <c r="AF309" s="237" t="e">
        <f>((Summary!$N$13*(AA309*AD309)*(A309-$D$3))+(Summary!$M$13*Z309*AC309*(AJ309-EOMONTH(EDATE(A309,-1),0))))/(AK309*AB309*AE309)</f>
        <v>#VALUE!</v>
      </c>
      <c r="AG309" s="88" t="str">
        <f>IF($A310="","",Summary!$Q$13)</f>
        <v/>
      </c>
      <c r="AH309" s="88" t="str">
        <f>IF($A310="","",IF(Summary!$R$12="Y",(VLOOKUP($A309,Summary!$AD$6:$AF$9,3)+'Escalating commodity'!I322),'Escalating commodity'!I322))</f>
        <v/>
      </c>
      <c r="AI309" s="88" t="str">
        <f t="shared" si="181"/>
        <v/>
      </c>
      <c r="AJ309" s="236" t="e">
        <f t="shared" si="167"/>
        <v>#VALUE!</v>
      </c>
      <c r="AK309" s="58" t="str">
        <f t="shared" si="168"/>
        <v/>
      </c>
      <c r="AL309" s="26" t="str">
        <f>IF($A310="","",_xll.SPRDOPT(P309,X309,AI309,0,AB309,AE309,AF309,AK309,$AJ$2,0))</f>
        <v/>
      </c>
      <c r="AM309" s="209" t="str">
        <f t="shared" si="169"/>
        <v/>
      </c>
      <c r="AN309" s="89" t="str">
        <f t="shared" si="170"/>
        <v/>
      </c>
      <c r="AO309" s="3" t="str">
        <f t="shared" si="171"/>
        <v/>
      </c>
      <c r="AP309" s="33" t="str">
        <f t="shared" si="172"/>
        <v/>
      </c>
      <c r="AQ309" s="58" t="str">
        <f t="shared" si="173"/>
        <v/>
      </c>
      <c r="AR309" s="38">
        <f>'ANR OK vs ML7'!AR309</f>
        <v>0.1</v>
      </c>
      <c r="AS309" s="35" t="str">
        <f t="shared" si="174"/>
        <v/>
      </c>
      <c r="AT309" s="3" t="str">
        <f t="shared" si="175"/>
        <v/>
      </c>
      <c r="AU309" s="3" t="str">
        <f t="shared" si="176"/>
        <v/>
      </c>
      <c r="AW309" s="32" t="str">
        <f t="shared" si="177"/>
        <v/>
      </c>
      <c r="AX309" s="32" t="str">
        <f t="shared" si="178"/>
        <v/>
      </c>
      <c r="AY309" s="32" t="str">
        <f t="shared" si="179"/>
        <v/>
      </c>
      <c r="BA309" s="32" t="str">
        <f>IF($A310="","",F309*Summary!$Q$13)</f>
        <v/>
      </c>
    </row>
    <row r="310" spans="1:53" ht="12" customHeight="1">
      <c r="A310" s="67" t="str">
        <f t="shared" si="180"/>
        <v/>
      </c>
      <c r="B310" s="69" t="str">
        <f t="shared" si="182"/>
        <v/>
      </c>
      <c r="C310" s="71"/>
      <c r="D310" s="69" t="str">
        <f t="shared" si="147"/>
        <v/>
      </c>
      <c r="E310" s="70" t="str">
        <f t="shared" si="148"/>
        <v/>
      </c>
      <c r="F310" s="70" t="str">
        <f t="shared" si="149"/>
        <v/>
      </c>
      <c r="G310" s="63" t="str">
        <f t="shared" si="150"/>
        <v/>
      </c>
      <c r="H310" s="64" t="str">
        <f t="shared" si="151"/>
        <v/>
      </c>
      <c r="I310" s="43"/>
      <c r="J310" s="63" t="str">
        <f t="shared" si="152"/>
        <v/>
      </c>
      <c r="K310" s="64" t="str">
        <f t="shared" si="153"/>
        <v/>
      </c>
      <c r="L310" s="38">
        <v>0</v>
      </c>
      <c r="M310" s="64" t="str">
        <f t="shared" si="154"/>
        <v/>
      </c>
      <c r="N310" s="65"/>
      <c r="O310" s="63" t="str">
        <f t="shared" si="155"/>
        <v/>
      </c>
      <c r="P310" s="63" t="str">
        <f t="shared" si="156"/>
        <v/>
      </c>
      <c r="Q310" s="66"/>
      <c r="R310" s="63" t="str">
        <f t="shared" si="157"/>
        <v/>
      </c>
      <c r="S310" s="64" t="str">
        <f t="shared" si="158"/>
        <v/>
      </c>
      <c r="T310" s="38">
        <v>0</v>
      </c>
      <c r="U310" s="64" t="str">
        <f t="shared" si="159"/>
        <v/>
      </c>
      <c r="V310" s="219"/>
      <c r="W310" s="43" t="str">
        <f t="shared" si="160"/>
        <v/>
      </c>
      <c r="X310" s="43" t="str">
        <f t="shared" si="161"/>
        <v/>
      </c>
      <c r="Y310" s="43"/>
      <c r="Z310" s="38" t="str">
        <f t="shared" si="162"/>
        <v/>
      </c>
      <c r="AA310" s="38" t="str">
        <f t="shared" si="163"/>
        <v/>
      </c>
      <c r="AB310" s="38" t="e">
        <f t="shared" si="164"/>
        <v>#VALUE!</v>
      </c>
      <c r="AC310" s="38" t="str">
        <f t="shared" si="165"/>
        <v/>
      </c>
      <c r="AD310" s="38" t="str">
        <f t="shared" si="165"/>
        <v/>
      </c>
      <c r="AE310" s="38" t="e">
        <f t="shared" si="166"/>
        <v>#VALUE!</v>
      </c>
      <c r="AF310" s="237" t="e">
        <f>((Summary!$N$13*(AA310*AD310)*(A310-$D$3))+(Summary!$M$13*Z310*AC310*(AJ310-EOMONTH(EDATE(A310,-1),0))))/(AK310*AB310*AE310)</f>
        <v>#VALUE!</v>
      </c>
      <c r="AG310" s="88" t="str">
        <f>IF($A311="","",Summary!$Q$13)</f>
        <v/>
      </c>
      <c r="AH310" s="88" t="str">
        <f>IF($A311="","",IF(Summary!$R$12="Y",(VLOOKUP($A310,Summary!$AD$6:$AF$9,3)+'Escalating commodity'!I323),'Escalating commodity'!I323))</f>
        <v/>
      </c>
      <c r="AI310" s="88" t="str">
        <f t="shared" si="181"/>
        <v/>
      </c>
      <c r="AJ310" s="236" t="e">
        <f t="shared" si="167"/>
        <v>#VALUE!</v>
      </c>
      <c r="AK310" s="58" t="str">
        <f t="shared" si="168"/>
        <v/>
      </c>
      <c r="AL310" s="26" t="str">
        <f>IF($A311="","",_xll.SPRDOPT(P310,X310,AI310,0,AB310,AE310,AF310,AK310,$AJ$2,0))</f>
        <v/>
      </c>
      <c r="AM310" s="209" t="str">
        <f t="shared" si="169"/>
        <v/>
      </c>
      <c r="AN310" s="89" t="str">
        <f t="shared" si="170"/>
        <v/>
      </c>
      <c r="AO310" s="3" t="str">
        <f t="shared" si="171"/>
        <v/>
      </c>
      <c r="AP310" s="33" t="str">
        <f t="shared" si="172"/>
        <v/>
      </c>
      <c r="AQ310" s="58" t="str">
        <f t="shared" si="173"/>
        <v/>
      </c>
      <c r="AR310" s="38">
        <f>'ANR OK vs ML7'!AR310</f>
        <v>0.1</v>
      </c>
      <c r="AS310" s="35" t="str">
        <f t="shared" si="174"/>
        <v/>
      </c>
      <c r="AT310" s="3" t="str">
        <f t="shared" si="175"/>
        <v/>
      </c>
      <c r="AU310" s="3" t="str">
        <f t="shared" si="176"/>
        <v/>
      </c>
      <c r="AW310" s="32" t="str">
        <f t="shared" si="177"/>
        <v/>
      </c>
      <c r="AX310" s="32" t="str">
        <f t="shared" si="178"/>
        <v/>
      </c>
      <c r="AY310" s="32" t="str">
        <f t="shared" si="179"/>
        <v/>
      </c>
      <c r="BA310" s="32" t="str">
        <f>IF($A311="","",F310*Summary!$Q$13)</f>
        <v/>
      </c>
    </row>
    <row r="311" spans="1:53" ht="12" customHeight="1">
      <c r="A311" s="67" t="str">
        <f t="shared" si="180"/>
        <v/>
      </c>
      <c r="B311" s="69" t="str">
        <f t="shared" si="182"/>
        <v/>
      </c>
      <c r="C311" s="71"/>
      <c r="D311" s="69" t="str">
        <f t="shared" si="147"/>
        <v/>
      </c>
      <c r="E311" s="70" t="str">
        <f t="shared" si="148"/>
        <v/>
      </c>
      <c r="F311" s="70" t="str">
        <f t="shared" si="149"/>
        <v/>
      </c>
      <c r="G311" s="63" t="str">
        <f t="shared" si="150"/>
        <v/>
      </c>
      <c r="H311" s="64" t="str">
        <f t="shared" si="151"/>
        <v/>
      </c>
      <c r="I311" s="43"/>
      <c r="J311" s="63" t="str">
        <f t="shared" si="152"/>
        <v/>
      </c>
      <c r="K311" s="64" t="str">
        <f t="shared" si="153"/>
        <v/>
      </c>
      <c r="L311" s="38">
        <v>0</v>
      </c>
      <c r="M311" s="64" t="str">
        <f t="shared" si="154"/>
        <v/>
      </c>
      <c r="N311" s="65"/>
      <c r="O311" s="63" t="str">
        <f t="shared" si="155"/>
        <v/>
      </c>
      <c r="P311" s="63" t="str">
        <f t="shared" si="156"/>
        <v/>
      </c>
      <c r="Q311" s="66"/>
      <c r="R311" s="63" t="str">
        <f t="shared" si="157"/>
        <v/>
      </c>
      <c r="S311" s="64" t="str">
        <f t="shared" si="158"/>
        <v/>
      </c>
      <c r="T311" s="38">
        <v>0</v>
      </c>
      <c r="U311" s="64" t="str">
        <f t="shared" si="159"/>
        <v/>
      </c>
      <c r="V311" s="219"/>
      <c r="W311" s="43" t="str">
        <f t="shared" si="160"/>
        <v/>
      </c>
      <c r="X311" s="43" t="str">
        <f t="shared" si="161"/>
        <v/>
      </c>
      <c r="Y311" s="43"/>
      <c r="Z311" s="38" t="str">
        <f t="shared" si="162"/>
        <v/>
      </c>
      <c r="AA311" s="38" t="str">
        <f t="shared" si="163"/>
        <v/>
      </c>
      <c r="AB311" s="38" t="e">
        <f t="shared" si="164"/>
        <v>#VALUE!</v>
      </c>
      <c r="AC311" s="38" t="str">
        <f t="shared" si="165"/>
        <v/>
      </c>
      <c r="AD311" s="38" t="str">
        <f t="shared" si="165"/>
        <v/>
      </c>
      <c r="AE311" s="38" t="e">
        <f t="shared" si="166"/>
        <v>#VALUE!</v>
      </c>
      <c r="AF311" s="237" t="e">
        <f>((Summary!$N$13*(AA311*AD311)*(A311-$D$3))+(Summary!$M$13*Z311*AC311*(AJ311-EOMONTH(EDATE(A311,-1),0))))/(AK311*AB311*AE311)</f>
        <v>#VALUE!</v>
      </c>
      <c r="AG311" s="88" t="str">
        <f>IF($A312="","",Summary!$Q$13)</f>
        <v/>
      </c>
      <c r="AH311" s="88" t="str">
        <f>IF($A312="","",IF(Summary!$R$12="Y",(VLOOKUP($A311,Summary!$AD$6:$AF$9,3)+'Escalating commodity'!I324),'Escalating commodity'!I324))</f>
        <v/>
      </c>
      <c r="AI311" s="88" t="str">
        <f t="shared" si="181"/>
        <v/>
      </c>
      <c r="AJ311" s="236" t="e">
        <f t="shared" si="167"/>
        <v>#VALUE!</v>
      </c>
      <c r="AK311" s="58" t="str">
        <f t="shared" si="168"/>
        <v/>
      </c>
      <c r="AL311" s="26" t="str">
        <f>IF($A312="","",_xll.SPRDOPT(P311,X311,AI311,0,AB311,AE311,AF311,AK311,$AJ$2,0))</f>
        <v/>
      </c>
      <c r="AM311" s="209" t="str">
        <f t="shared" si="169"/>
        <v/>
      </c>
      <c r="AN311" s="89" t="str">
        <f t="shared" si="170"/>
        <v/>
      </c>
      <c r="AO311" s="3" t="str">
        <f t="shared" si="171"/>
        <v/>
      </c>
      <c r="AP311" s="33" t="str">
        <f t="shared" si="172"/>
        <v/>
      </c>
      <c r="AQ311" s="58" t="str">
        <f t="shared" si="173"/>
        <v/>
      </c>
      <c r="AR311" s="38">
        <f>'ANR OK vs ML7'!AR311</f>
        <v>0.1</v>
      </c>
      <c r="AS311" s="35" t="str">
        <f t="shared" si="174"/>
        <v/>
      </c>
      <c r="AT311" s="3" t="str">
        <f t="shared" si="175"/>
        <v/>
      </c>
      <c r="AU311" s="3" t="str">
        <f t="shared" si="176"/>
        <v/>
      </c>
      <c r="AW311" s="32" t="str">
        <f t="shared" si="177"/>
        <v/>
      </c>
      <c r="AX311" s="32" t="str">
        <f t="shared" si="178"/>
        <v/>
      </c>
      <c r="AY311" s="32" t="str">
        <f t="shared" si="179"/>
        <v/>
      </c>
      <c r="BA311" s="32" t="str">
        <f>IF($A312="","",F311*Summary!$Q$13)</f>
        <v/>
      </c>
    </row>
    <row r="312" spans="1:53" ht="12" customHeight="1">
      <c r="A312" s="67" t="str">
        <f t="shared" si="180"/>
        <v/>
      </c>
      <c r="B312" s="69" t="str">
        <f t="shared" si="182"/>
        <v/>
      </c>
      <c r="C312" s="71"/>
      <c r="D312" s="69" t="str">
        <f t="shared" si="147"/>
        <v/>
      </c>
      <c r="E312" s="70" t="str">
        <f t="shared" si="148"/>
        <v/>
      </c>
      <c r="F312" s="70" t="str">
        <f t="shared" si="149"/>
        <v/>
      </c>
      <c r="G312" s="63" t="str">
        <f t="shared" si="150"/>
        <v/>
      </c>
      <c r="H312" s="64" t="str">
        <f t="shared" si="151"/>
        <v/>
      </c>
      <c r="I312" s="43"/>
      <c r="J312" s="63" t="str">
        <f t="shared" si="152"/>
        <v/>
      </c>
      <c r="K312" s="64" t="str">
        <f t="shared" si="153"/>
        <v/>
      </c>
      <c r="L312" s="38">
        <v>0</v>
      </c>
      <c r="M312" s="64" t="str">
        <f t="shared" si="154"/>
        <v/>
      </c>
      <c r="N312" s="65"/>
      <c r="O312" s="63" t="str">
        <f t="shared" si="155"/>
        <v/>
      </c>
      <c r="P312" s="63" t="str">
        <f t="shared" si="156"/>
        <v/>
      </c>
      <c r="Q312" s="66"/>
      <c r="R312" s="63" t="str">
        <f t="shared" si="157"/>
        <v/>
      </c>
      <c r="S312" s="64" t="str">
        <f t="shared" si="158"/>
        <v/>
      </c>
      <c r="T312" s="38">
        <v>0</v>
      </c>
      <c r="U312" s="64" t="str">
        <f t="shared" si="159"/>
        <v/>
      </c>
      <c r="V312" s="219"/>
      <c r="W312" s="43" t="str">
        <f t="shared" si="160"/>
        <v/>
      </c>
      <c r="X312" s="43" t="str">
        <f t="shared" si="161"/>
        <v/>
      </c>
      <c r="Y312" s="43"/>
      <c r="Z312" s="38" t="str">
        <f t="shared" si="162"/>
        <v/>
      </c>
      <c r="AA312" s="38" t="str">
        <f t="shared" si="163"/>
        <v/>
      </c>
      <c r="AB312" s="38" t="e">
        <f t="shared" si="164"/>
        <v>#VALUE!</v>
      </c>
      <c r="AC312" s="38" t="str">
        <f t="shared" si="165"/>
        <v/>
      </c>
      <c r="AD312" s="38" t="str">
        <f t="shared" si="165"/>
        <v/>
      </c>
      <c r="AE312" s="38" t="e">
        <f t="shared" si="166"/>
        <v>#VALUE!</v>
      </c>
      <c r="AF312" s="237" t="e">
        <f>((Summary!$N$13*(AA312*AD312)*(A312-$D$3))+(Summary!$M$13*Z312*AC312*(AJ312-EOMONTH(EDATE(A312,-1),0))))/(AK312*AB312*AE312)</f>
        <v>#VALUE!</v>
      </c>
      <c r="AG312" s="88" t="str">
        <f>IF($A313="","",Summary!$Q$13)</f>
        <v/>
      </c>
      <c r="AH312" s="88" t="str">
        <f>IF($A313="","",IF(Summary!$R$12="Y",(VLOOKUP($A312,Summary!$AD$6:$AF$9,3)+'Escalating commodity'!I325),'Escalating commodity'!I325))</f>
        <v/>
      </c>
      <c r="AI312" s="88" t="str">
        <f t="shared" si="181"/>
        <v/>
      </c>
      <c r="AJ312" s="236" t="e">
        <f t="shared" si="167"/>
        <v>#VALUE!</v>
      </c>
      <c r="AK312" s="58" t="str">
        <f t="shared" si="168"/>
        <v/>
      </c>
      <c r="AL312" s="26" t="str">
        <f>IF($A313="","",_xll.SPRDOPT(P312,X312,AI312,0,AB312,AE312,AF312,AK312,$AJ$2,0))</f>
        <v/>
      </c>
      <c r="AM312" s="209" t="str">
        <f t="shared" si="169"/>
        <v/>
      </c>
      <c r="AN312" s="89" t="str">
        <f t="shared" si="170"/>
        <v/>
      </c>
      <c r="AO312" s="3" t="str">
        <f t="shared" si="171"/>
        <v/>
      </c>
      <c r="AP312" s="33" t="str">
        <f t="shared" si="172"/>
        <v/>
      </c>
      <c r="AQ312" s="58" t="str">
        <f t="shared" si="173"/>
        <v/>
      </c>
      <c r="AR312" s="38">
        <f>'ANR OK vs ML7'!AR312</f>
        <v>0.1</v>
      </c>
      <c r="AS312" s="35" t="str">
        <f t="shared" si="174"/>
        <v/>
      </c>
      <c r="AT312" s="3" t="str">
        <f t="shared" si="175"/>
        <v/>
      </c>
      <c r="AU312" s="3" t="str">
        <f t="shared" si="176"/>
        <v/>
      </c>
      <c r="AW312" s="32" t="str">
        <f t="shared" si="177"/>
        <v/>
      </c>
      <c r="AX312" s="32" t="str">
        <f t="shared" si="178"/>
        <v/>
      </c>
      <c r="AY312" s="32" t="str">
        <f t="shared" si="179"/>
        <v/>
      </c>
      <c r="BA312" s="32" t="str">
        <f>IF($A313="","",F312*Summary!$Q$13)</f>
        <v/>
      </c>
    </row>
    <row r="313" spans="1:53" ht="12" customHeight="1">
      <c r="A313" s="67" t="str">
        <f t="shared" si="180"/>
        <v/>
      </c>
      <c r="B313" s="69" t="str">
        <f t="shared" si="182"/>
        <v/>
      </c>
      <c r="C313" s="71"/>
      <c r="D313" s="69" t="str">
        <f t="shared" si="147"/>
        <v/>
      </c>
      <c r="E313" s="70" t="str">
        <f t="shared" si="148"/>
        <v/>
      </c>
      <c r="F313" s="70" t="str">
        <f t="shared" si="149"/>
        <v/>
      </c>
      <c r="G313" s="63" t="str">
        <f t="shared" si="150"/>
        <v/>
      </c>
      <c r="H313" s="64" t="str">
        <f t="shared" si="151"/>
        <v/>
      </c>
      <c r="I313" s="43"/>
      <c r="J313" s="63" t="str">
        <f t="shared" si="152"/>
        <v/>
      </c>
      <c r="K313" s="64" t="str">
        <f t="shared" si="153"/>
        <v/>
      </c>
      <c r="L313" s="38">
        <v>0</v>
      </c>
      <c r="M313" s="64" t="str">
        <f t="shared" si="154"/>
        <v/>
      </c>
      <c r="N313" s="65"/>
      <c r="O313" s="63" t="str">
        <f t="shared" si="155"/>
        <v/>
      </c>
      <c r="P313" s="63" t="str">
        <f t="shared" si="156"/>
        <v/>
      </c>
      <c r="Q313" s="66"/>
      <c r="R313" s="63" t="str">
        <f t="shared" si="157"/>
        <v/>
      </c>
      <c r="S313" s="64" t="str">
        <f t="shared" si="158"/>
        <v/>
      </c>
      <c r="T313" s="38">
        <v>0</v>
      </c>
      <c r="U313" s="64" t="str">
        <f t="shared" si="159"/>
        <v/>
      </c>
      <c r="V313" s="219"/>
      <c r="W313" s="43" t="str">
        <f t="shared" si="160"/>
        <v/>
      </c>
      <c r="X313" s="43" t="str">
        <f t="shared" si="161"/>
        <v/>
      </c>
      <c r="Y313" s="43"/>
      <c r="Z313" s="38" t="str">
        <f t="shared" si="162"/>
        <v/>
      </c>
      <c r="AA313" s="38" t="str">
        <f t="shared" si="163"/>
        <v/>
      </c>
      <c r="AB313" s="38" t="e">
        <f t="shared" si="164"/>
        <v>#VALUE!</v>
      </c>
      <c r="AC313" s="38" t="str">
        <f t="shared" si="165"/>
        <v/>
      </c>
      <c r="AD313" s="38" t="str">
        <f t="shared" si="165"/>
        <v/>
      </c>
      <c r="AE313" s="38" t="e">
        <f t="shared" si="166"/>
        <v>#VALUE!</v>
      </c>
      <c r="AF313" s="237" t="e">
        <f>((Summary!$N$13*(AA313*AD313)*(A313-$D$3))+(Summary!$M$13*Z313*AC313*(AJ313-EOMONTH(EDATE(A313,-1),0))))/(AK313*AB313*AE313)</f>
        <v>#VALUE!</v>
      </c>
      <c r="AG313" s="88" t="str">
        <f>IF($A314="","",Summary!$Q$13)</f>
        <v/>
      </c>
      <c r="AH313" s="88" t="str">
        <f>IF($A314="","",IF(Summary!$R$12="Y",(VLOOKUP($A313,Summary!$AD$6:$AF$9,3)+'Escalating commodity'!I326),'Escalating commodity'!I326))</f>
        <v/>
      </c>
      <c r="AI313" s="88" t="str">
        <f t="shared" si="181"/>
        <v/>
      </c>
      <c r="AJ313" s="236" t="e">
        <f t="shared" si="167"/>
        <v>#VALUE!</v>
      </c>
      <c r="AK313" s="58" t="str">
        <f t="shared" si="168"/>
        <v/>
      </c>
      <c r="AL313" s="26" t="str">
        <f>IF($A314="","",_xll.SPRDOPT(P313,X313,AI313,0,AB313,AE313,AF313,AK313,$AJ$2,0))</f>
        <v/>
      </c>
      <c r="AM313" s="209" t="str">
        <f t="shared" si="169"/>
        <v/>
      </c>
      <c r="AN313" s="89" t="str">
        <f t="shared" si="170"/>
        <v/>
      </c>
      <c r="AO313" s="3" t="str">
        <f t="shared" si="171"/>
        <v/>
      </c>
      <c r="AP313" s="33" t="str">
        <f t="shared" si="172"/>
        <v/>
      </c>
      <c r="AQ313" s="58" t="str">
        <f t="shared" si="173"/>
        <v/>
      </c>
      <c r="AR313" s="38">
        <f>'ANR OK vs ML7'!AR313</f>
        <v>0.1</v>
      </c>
      <c r="AS313" s="35" t="str">
        <f t="shared" si="174"/>
        <v/>
      </c>
      <c r="AT313" s="3" t="str">
        <f t="shared" si="175"/>
        <v/>
      </c>
      <c r="AU313" s="3" t="str">
        <f t="shared" si="176"/>
        <v/>
      </c>
      <c r="AW313" s="32" t="str">
        <f t="shared" si="177"/>
        <v/>
      </c>
      <c r="AX313" s="32" t="str">
        <f t="shared" si="178"/>
        <v/>
      </c>
      <c r="AY313" s="32" t="str">
        <f t="shared" si="179"/>
        <v/>
      </c>
      <c r="BA313" s="32" t="str">
        <f>IF($A314="","",F313*Summary!$Q$13)</f>
        <v/>
      </c>
    </row>
    <row r="314" spans="1:53" ht="12" customHeight="1">
      <c r="A314" s="67" t="str">
        <f t="shared" si="180"/>
        <v/>
      </c>
      <c r="B314" s="69" t="str">
        <f t="shared" si="182"/>
        <v/>
      </c>
      <c r="C314" s="71"/>
      <c r="D314" s="69" t="str">
        <f t="shared" si="147"/>
        <v/>
      </c>
      <c r="E314" s="70" t="str">
        <f t="shared" si="148"/>
        <v/>
      </c>
      <c r="F314" s="70" t="str">
        <f t="shared" si="149"/>
        <v/>
      </c>
      <c r="G314" s="63" t="str">
        <f t="shared" si="150"/>
        <v/>
      </c>
      <c r="H314" s="64" t="str">
        <f t="shared" si="151"/>
        <v/>
      </c>
      <c r="I314" s="43"/>
      <c r="J314" s="63" t="str">
        <f t="shared" si="152"/>
        <v/>
      </c>
      <c r="K314" s="64" t="str">
        <f t="shared" si="153"/>
        <v/>
      </c>
      <c r="L314" s="38">
        <v>0</v>
      </c>
      <c r="M314" s="64" t="str">
        <f t="shared" si="154"/>
        <v/>
      </c>
      <c r="N314" s="65"/>
      <c r="O314" s="63" t="str">
        <f t="shared" si="155"/>
        <v/>
      </c>
      <c r="P314" s="63" t="str">
        <f t="shared" si="156"/>
        <v/>
      </c>
      <c r="Q314" s="66"/>
      <c r="R314" s="63" t="str">
        <f t="shared" si="157"/>
        <v/>
      </c>
      <c r="S314" s="64" t="str">
        <f t="shared" si="158"/>
        <v/>
      </c>
      <c r="T314" s="38">
        <v>0</v>
      </c>
      <c r="U314" s="64" t="str">
        <f t="shared" si="159"/>
        <v/>
      </c>
      <c r="V314" s="219"/>
      <c r="W314" s="43" t="str">
        <f t="shared" si="160"/>
        <v/>
      </c>
      <c r="X314" s="43" t="str">
        <f t="shared" si="161"/>
        <v/>
      </c>
      <c r="Y314" s="43"/>
      <c r="Z314" s="38" t="str">
        <f t="shared" si="162"/>
        <v/>
      </c>
      <c r="AA314" s="38" t="str">
        <f t="shared" si="163"/>
        <v/>
      </c>
      <c r="AB314" s="38" t="e">
        <f t="shared" si="164"/>
        <v>#VALUE!</v>
      </c>
      <c r="AC314" s="38" t="str">
        <f t="shared" si="165"/>
        <v/>
      </c>
      <c r="AD314" s="38" t="str">
        <f t="shared" si="165"/>
        <v/>
      </c>
      <c r="AE314" s="38" t="e">
        <f t="shared" si="166"/>
        <v>#VALUE!</v>
      </c>
      <c r="AF314" s="237" t="e">
        <f>((Summary!$N$13*(AA314*AD314)*(A314-$D$3))+(Summary!$M$13*Z314*AC314*(AJ314-EOMONTH(EDATE(A314,-1),0))))/(AK314*AB314*AE314)</f>
        <v>#VALUE!</v>
      </c>
      <c r="AG314" s="88" t="str">
        <f>IF($A315="","",Summary!$Q$13)</f>
        <v/>
      </c>
      <c r="AH314" s="88" t="str">
        <f>IF($A315="","",IF(Summary!$R$12="Y",(VLOOKUP($A314,Summary!$AD$6:$AF$9,3)+'Escalating commodity'!I327),'Escalating commodity'!I327))</f>
        <v/>
      </c>
      <c r="AI314" s="88" t="str">
        <f t="shared" si="181"/>
        <v/>
      </c>
      <c r="AJ314" s="236" t="e">
        <f t="shared" si="167"/>
        <v>#VALUE!</v>
      </c>
      <c r="AK314" s="58" t="str">
        <f t="shared" si="168"/>
        <v/>
      </c>
      <c r="AL314" s="26" t="str">
        <f>IF($A315="","",_xll.SPRDOPT(P314,X314,AI314,0,AB314,AE314,AF314,AK314,$AJ$2,0))</f>
        <v/>
      </c>
      <c r="AM314" s="209" t="str">
        <f t="shared" si="169"/>
        <v/>
      </c>
      <c r="AN314" s="89" t="str">
        <f t="shared" si="170"/>
        <v/>
      </c>
      <c r="AO314" s="3" t="str">
        <f t="shared" si="171"/>
        <v/>
      </c>
      <c r="AP314" s="33" t="str">
        <f t="shared" si="172"/>
        <v/>
      </c>
      <c r="AQ314" s="58" t="str">
        <f t="shared" si="173"/>
        <v/>
      </c>
      <c r="AR314" s="38">
        <f>'ANR OK vs ML7'!AR314</f>
        <v>0.1</v>
      </c>
      <c r="AS314" s="35" t="str">
        <f t="shared" si="174"/>
        <v/>
      </c>
      <c r="AT314" s="3" t="str">
        <f t="shared" si="175"/>
        <v/>
      </c>
      <c r="AU314" s="3" t="str">
        <f t="shared" si="176"/>
        <v/>
      </c>
      <c r="AW314" s="32" t="str">
        <f t="shared" si="177"/>
        <v/>
      </c>
      <c r="AX314" s="32" t="str">
        <f t="shared" si="178"/>
        <v/>
      </c>
      <c r="AY314" s="32" t="str">
        <f t="shared" si="179"/>
        <v/>
      </c>
      <c r="BA314" s="32" t="str">
        <f>IF($A315="","",F314*Summary!$Q$13)</f>
        <v/>
      </c>
    </row>
    <row r="315" spans="1:53" ht="12" customHeight="1">
      <c r="A315" s="67" t="str">
        <f t="shared" si="180"/>
        <v/>
      </c>
      <c r="B315" s="69" t="str">
        <f t="shared" si="182"/>
        <v/>
      </c>
      <c r="C315" s="71"/>
      <c r="D315" s="69" t="str">
        <f t="shared" si="147"/>
        <v/>
      </c>
      <c r="E315" s="70" t="str">
        <f t="shared" si="148"/>
        <v/>
      </c>
      <c r="F315" s="70" t="str">
        <f t="shared" si="149"/>
        <v/>
      </c>
      <c r="G315" s="63" t="str">
        <f t="shared" si="150"/>
        <v/>
      </c>
      <c r="H315" s="64" t="str">
        <f t="shared" si="151"/>
        <v/>
      </c>
      <c r="I315" s="43"/>
      <c r="J315" s="63" t="str">
        <f t="shared" si="152"/>
        <v/>
      </c>
      <c r="K315" s="64" t="str">
        <f t="shared" si="153"/>
        <v/>
      </c>
      <c r="L315" s="38">
        <v>0</v>
      </c>
      <c r="M315" s="64" t="str">
        <f t="shared" si="154"/>
        <v/>
      </c>
      <c r="N315" s="65"/>
      <c r="O315" s="63" t="str">
        <f t="shared" si="155"/>
        <v/>
      </c>
      <c r="P315" s="63" t="str">
        <f t="shared" si="156"/>
        <v/>
      </c>
      <c r="Q315" s="66"/>
      <c r="R315" s="63" t="str">
        <f t="shared" si="157"/>
        <v/>
      </c>
      <c r="S315" s="64" t="str">
        <f t="shared" si="158"/>
        <v/>
      </c>
      <c r="T315" s="38">
        <v>0</v>
      </c>
      <c r="U315" s="64" t="str">
        <f t="shared" si="159"/>
        <v/>
      </c>
      <c r="V315" s="219"/>
      <c r="W315" s="43" t="str">
        <f t="shared" si="160"/>
        <v/>
      </c>
      <c r="X315" s="43" t="str">
        <f t="shared" si="161"/>
        <v/>
      </c>
      <c r="Y315" s="43"/>
      <c r="Z315" s="38" t="str">
        <f t="shared" si="162"/>
        <v/>
      </c>
      <c r="AA315" s="38" t="str">
        <f t="shared" si="163"/>
        <v/>
      </c>
      <c r="AB315" s="38" t="e">
        <f t="shared" si="164"/>
        <v>#VALUE!</v>
      </c>
      <c r="AC315" s="38" t="str">
        <f t="shared" si="165"/>
        <v/>
      </c>
      <c r="AD315" s="38" t="str">
        <f t="shared" si="165"/>
        <v/>
      </c>
      <c r="AE315" s="38" t="e">
        <f t="shared" si="166"/>
        <v>#VALUE!</v>
      </c>
      <c r="AF315" s="237" t="e">
        <f>((Summary!$N$13*(AA315*AD315)*(A315-$D$3))+(Summary!$M$13*Z315*AC315*(AJ315-EOMONTH(EDATE(A315,-1),0))))/(AK315*AB315*AE315)</f>
        <v>#VALUE!</v>
      </c>
      <c r="AG315" s="88" t="str">
        <f>IF($A316="","",Summary!$Q$13)</f>
        <v/>
      </c>
      <c r="AH315" s="88" t="str">
        <f>IF($A316="","",IF(Summary!$R$12="Y",(VLOOKUP($A315,Summary!$AD$6:$AF$9,3)+'Escalating commodity'!I328),'Escalating commodity'!I328))</f>
        <v/>
      </c>
      <c r="AI315" s="88" t="str">
        <f t="shared" si="181"/>
        <v/>
      </c>
      <c r="AJ315" s="236" t="e">
        <f t="shared" si="167"/>
        <v>#VALUE!</v>
      </c>
      <c r="AK315" s="58" t="str">
        <f t="shared" si="168"/>
        <v/>
      </c>
      <c r="AL315" s="26" t="str">
        <f>IF($A316="","",_xll.SPRDOPT(P315,X315,AI315,0,AB315,AE315,AF315,AK315,$AJ$2,0))</f>
        <v/>
      </c>
      <c r="AM315" s="209" t="str">
        <f t="shared" si="169"/>
        <v/>
      </c>
      <c r="AN315" s="89" t="str">
        <f t="shared" si="170"/>
        <v/>
      </c>
      <c r="AO315" s="3" t="str">
        <f t="shared" si="171"/>
        <v/>
      </c>
      <c r="AP315" s="33" t="str">
        <f t="shared" si="172"/>
        <v/>
      </c>
      <c r="AQ315" s="58" t="str">
        <f t="shared" si="173"/>
        <v/>
      </c>
      <c r="AR315" s="38">
        <f>'ANR OK vs ML7'!AR315</f>
        <v>0.1</v>
      </c>
      <c r="AS315" s="35" t="str">
        <f t="shared" si="174"/>
        <v/>
      </c>
      <c r="AT315" s="3" t="str">
        <f t="shared" si="175"/>
        <v/>
      </c>
      <c r="AU315" s="3" t="str">
        <f t="shared" si="176"/>
        <v/>
      </c>
      <c r="AW315" s="32" t="str">
        <f t="shared" si="177"/>
        <v/>
      </c>
      <c r="AX315" s="32" t="str">
        <f t="shared" si="178"/>
        <v/>
      </c>
      <c r="AY315" s="32" t="str">
        <f t="shared" si="179"/>
        <v/>
      </c>
      <c r="BA315" s="32" t="str">
        <f>IF($A316="","",F315*Summary!$Q$13)</f>
        <v/>
      </c>
    </row>
    <row r="316" spans="1:53" ht="12" customHeight="1">
      <c r="A316" s="67" t="str">
        <f t="shared" si="180"/>
        <v/>
      </c>
      <c r="B316" s="69" t="str">
        <f t="shared" si="182"/>
        <v/>
      </c>
      <c r="C316" s="71"/>
      <c r="D316" s="69" t="str">
        <f t="shared" si="147"/>
        <v/>
      </c>
      <c r="E316" s="70" t="str">
        <f t="shared" si="148"/>
        <v/>
      </c>
      <c r="F316" s="70" t="str">
        <f t="shared" si="149"/>
        <v/>
      </c>
      <c r="G316" s="63" t="str">
        <f t="shared" si="150"/>
        <v/>
      </c>
      <c r="H316" s="64" t="str">
        <f t="shared" si="151"/>
        <v/>
      </c>
      <c r="I316" s="43"/>
      <c r="J316" s="63" t="str">
        <f t="shared" si="152"/>
        <v/>
      </c>
      <c r="K316" s="64" t="str">
        <f t="shared" si="153"/>
        <v/>
      </c>
      <c r="L316" s="38">
        <v>0</v>
      </c>
      <c r="M316" s="64" t="str">
        <f t="shared" si="154"/>
        <v/>
      </c>
      <c r="N316" s="65"/>
      <c r="O316" s="63" t="str">
        <f t="shared" si="155"/>
        <v/>
      </c>
      <c r="P316" s="63" t="str">
        <f t="shared" si="156"/>
        <v/>
      </c>
      <c r="Q316" s="66"/>
      <c r="R316" s="63" t="str">
        <f t="shared" si="157"/>
        <v/>
      </c>
      <c r="S316" s="64" t="str">
        <f t="shared" si="158"/>
        <v/>
      </c>
      <c r="T316" s="38">
        <v>0</v>
      </c>
      <c r="U316" s="64" t="str">
        <f t="shared" si="159"/>
        <v/>
      </c>
      <c r="V316" s="219"/>
      <c r="W316" s="43" t="str">
        <f t="shared" si="160"/>
        <v/>
      </c>
      <c r="X316" s="43" t="str">
        <f t="shared" si="161"/>
        <v/>
      </c>
      <c r="Y316" s="43"/>
      <c r="Z316" s="38" t="str">
        <f t="shared" si="162"/>
        <v/>
      </c>
      <c r="AA316" s="38" t="str">
        <f t="shared" si="163"/>
        <v/>
      </c>
      <c r="AB316" s="38" t="e">
        <f t="shared" si="164"/>
        <v>#VALUE!</v>
      </c>
      <c r="AC316" s="38" t="str">
        <f t="shared" si="165"/>
        <v/>
      </c>
      <c r="AD316" s="38" t="str">
        <f t="shared" si="165"/>
        <v/>
      </c>
      <c r="AE316" s="38" t="e">
        <f t="shared" si="166"/>
        <v>#VALUE!</v>
      </c>
      <c r="AF316" s="237" t="e">
        <f>((Summary!$N$13*(AA316*AD316)*(A316-$D$3))+(Summary!$M$13*Z316*AC316*(AJ316-EOMONTH(EDATE(A316,-1),0))))/(AK316*AB316*AE316)</f>
        <v>#VALUE!</v>
      </c>
      <c r="AG316" s="88" t="str">
        <f>IF($A317="","",Summary!$Q$13)</f>
        <v/>
      </c>
      <c r="AH316" s="88" t="str">
        <f>IF($A317="","",IF(Summary!$R$12="Y",(VLOOKUP($A316,Summary!$AD$6:$AF$9,3)+'Escalating commodity'!I329),'Escalating commodity'!I329))</f>
        <v/>
      </c>
      <c r="AI316" s="88" t="str">
        <f t="shared" si="181"/>
        <v/>
      </c>
      <c r="AJ316" s="236" t="e">
        <f t="shared" si="167"/>
        <v>#VALUE!</v>
      </c>
      <c r="AK316" s="58" t="str">
        <f t="shared" si="168"/>
        <v/>
      </c>
      <c r="AL316" s="26" t="str">
        <f>IF($A317="","",_xll.SPRDOPT(P316,X316,AI316,0,AB316,AE316,AF316,AK316,$AJ$2,0))</f>
        <v/>
      </c>
      <c r="AM316" s="209" t="str">
        <f t="shared" si="169"/>
        <v/>
      </c>
      <c r="AN316" s="89" t="str">
        <f t="shared" si="170"/>
        <v/>
      </c>
      <c r="AO316" s="3" t="str">
        <f t="shared" si="171"/>
        <v/>
      </c>
      <c r="AP316" s="33" t="str">
        <f t="shared" si="172"/>
        <v/>
      </c>
      <c r="AQ316" s="58" t="str">
        <f t="shared" si="173"/>
        <v/>
      </c>
      <c r="AR316" s="38">
        <f>'ANR OK vs ML7'!AR316</f>
        <v>0.1</v>
      </c>
      <c r="AS316" s="35" t="str">
        <f t="shared" si="174"/>
        <v/>
      </c>
      <c r="AT316" s="3" t="str">
        <f t="shared" si="175"/>
        <v/>
      </c>
      <c r="AU316" s="3" t="str">
        <f t="shared" si="176"/>
        <v/>
      </c>
      <c r="AW316" s="32" t="str">
        <f t="shared" si="177"/>
        <v/>
      </c>
      <c r="AX316" s="32" t="str">
        <f t="shared" si="178"/>
        <v/>
      </c>
      <c r="AY316" s="32" t="str">
        <f t="shared" si="179"/>
        <v/>
      </c>
      <c r="BA316" s="32" t="str">
        <f>IF($A317="","",F316*Summary!$Q$13)</f>
        <v/>
      </c>
    </row>
    <row r="317" spans="1:53" ht="12" customHeight="1">
      <c r="A317" s="67" t="str">
        <f t="shared" si="180"/>
        <v/>
      </c>
      <c r="B317" s="69" t="str">
        <f t="shared" si="182"/>
        <v/>
      </c>
      <c r="C317" s="71"/>
      <c r="D317" s="69" t="str">
        <f t="shared" si="147"/>
        <v/>
      </c>
      <c r="E317" s="70" t="str">
        <f t="shared" si="148"/>
        <v/>
      </c>
      <c r="F317" s="70" t="str">
        <f t="shared" si="149"/>
        <v/>
      </c>
      <c r="G317" s="63" t="str">
        <f t="shared" si="150"/>
        <v/>
      </c>
      <c r="H317" s="64" t="str">
        <f t="shared" si="151"/>
        <v/>
      </c>
      <c r="I317" s="43"/>
      <c r="J317" s="63" t="str">
        <f t="shared" si="152"/>
        <v/>
      </c>
      <c r="K317" s="64" t="str">
        <f t="shared" si="153"/>
        <v/>
      </c>
      <c r="L317" s="38">
        <v>0</v>
      </c>
      <c r="M317" s="64" t="str">
        <f t="shared" si="154"/>
        <v/>
      </c>
      <c r="N317" s="65"/>
      <c r="O317" s="63" t="str">
        <f t="shared" si="155"/>
        <v/>
      </c>
      <c r="P317" s="63" t="str">
        <f t="shared" si="156"/>
        <v/>
      </c>
      <c r="Q317" s="66"/>
      <c r="R317" s="63" t="str">
        <f t="shared" si="157"/>
        <v/>
      </c>
      <c r="S317" s="64" t="str">
        <f t="shared" si="158"/>
        <v/>
      </c>
      <c r="T317" s="38">
        <v>0</v>
      </c>
      <c r="U317" s="64" t="str">
        <f t="shared" si="159"/>
        <v/>
      </c>
      <c r="V317" s="219"/>
      <c r="W317" s="43" t="str">
        <f t="shared" si="160"/>
        <v/>
      </c>
      <c r="X317" s="43" t="str">
        <f t="shared" si="161"/>
        <v/>
      </c>
      <c r="Y317" s="43"/>
      <c r="Z317" s="38" t="str">
        <f t="shared" si="162"/>
        <v/>
      </c>
      <c r="AA317" s="38" t="str">
        <f t="shared" si="163"/>
        <v/>
      </c>
      <c r="AB317" s="38" t="e">
        <f t="shared" si="164"/>
        <v>#VALUE!</v>
      </c>
      <c r="AC317" s="38" t="str">
        <f t="shared" si="165"/>
        <v/>
      </c>
      <c r="AD317" s="38" t="str">
        <f t="shared" si="165"/>
        <v/>
      </c>
      <c r="AE317" s="38" t="e">
        <f t="shared" si="166"/>
        <v>#VALUE!</v>
      </c>
      <c r="AF317" s="237" t="e">
        <f>((Summary!$N$13*(AA317*AD317)*(A317-$D$3))+(Summary!$M$13*Z317*AC317*(AJ317-EOMONTH(EDATE(A317,-1),0))))/(AK317*AB317*AE317)</f>
        <v>#VALUE!</v>
      </c>
      <c r="AG317" s="88" t="str">
        <f>IF($A318="","",Summary!$Q$13)</f>
        <v/>
      </c>
      <c r="AH317" s="88" t="str">
        <f>IF($A318="","",IF(Summary!$R$12="Y",(VLOOKUP($A317,Summary!$AD$6:$AF$9,3)+'Escalating commodity'!I330),'Escalating commodity'!I330))</f>
        <v/>
      </c>
      <c r="AI317" s="88" t="str">
        <f t="shared" si="181"/>
        <v/>
      </c>
      <c r="AJ317" s="236" t="e">
        <f t="shared" si="167"/>
        <v>#VALUE!</v>
      </c>
      <c r="AK317" s="58" t="str">
        <f t="shared" si="168"/>
        <v/>
      </c>
      <c r="AL317" s="26" t="str">
        <f>IF($A318="","",_xll.SPRDOPT(P317,X317,AI317,0,AB317,AE317,AF317,AK317,$AJ$2,0))</f>
        <v/>
      </c>
      <c r="AM317" s="209" t="str">
        <f t="shared" si="169"/>
        <v/>
      </c>
      <c r="AN317" s="89" t="str">
        <f t="shared" si="170"/>
        <v/>
      </c>
      <c r="AO317" s="3" t="str">
        <f t="shared" si="171"/>
        <v/>
      </c>
      <c r="AP317" s="33" t="str">
        <f t="shared" si="172"/>
        <v/>
      </c>
      <c r="AQ317" s="58" t="str">
        <f t="shared" si="173"/>
        <v/>
      </c>
      <c r="AR317" s="38">
        <f>'ANR OK vs ML7'!AR317</f>
        <v>0.1</v>
      </c>
      <c r="AS317" s="35" t="str">
        <f t="shared" si="174"/>
        <v/>
      </c>
      <c r="AT317" s="3" t="str">
        <f t="shared" si="175"/>
        <v/>
      </c>
      <c r="AU317" s="3" t="str">
        <f t="shared" si="176"/>
        <v/>
      </c>
      <c r="AW317" s="32" t="str">
        <f t="shared" si="177"/>
        <v/>
      </c>
      <c r="AX317" s="32" t="str">
        <f t="shared" si="178"/>
        <v/>
      </c>
      <c r="AY317" s="32" t="str">
        <f t="shared" si="179"/>
        <v/>
      </c>
      <c r="BA317" s="32" t="str">
        <f>IF($A318="","",F317*Summary!$Q$13)</f>
        <v/>
      </c>
    </row>
    <row r="318" spans="1:53" ht="12" customHeight="1">
      <c r="A318" s="67" t="str">
        <f t="shared" si="180"/>
        <v/>
      </c>
      <c r="B318" s="69" t="str">
        <f t="shared" si="182"/>
        <v/>
      </c>
      <c r="C318" s="71"/>
      <c r="D318" s="69" t="str">
        <f t="shared" si="147"/>
        <v/>
      </c>
      <c r="E318" s="70" t="str">
        <f t="shared" si="148"/>
        <v/>
      </c>
      <c r="F318" s="70" t="str">
        <f t="shared" si="149"/>
        <v/>
      </c>
      <c r="G318" s="63" t="str">
        <f t="shared" si="150"/>
        <v/>
      </c>
      <c r="H318" s="64" t="str">
        <f t="shared" si="151"/>
        <v/>
      </c>
      <c r="I318" s="43"/>
      <c r="J318" s="63" t="str">
        <f t="shared" si="152"/>
        <v/>
      </c>
      <c r="K318" s="64" t="str">
        <f t="shared" si="153"/>
        <v/>
      </c>
      <c r="L318" s="38">
        <v>0</v>
      </c>
      <c r="M318" s="64" t="str">
        <f t="shared" si="154"/>
        <v/>
      </c>
      <c r="N318" s="65"/>
      <c r="O318" s="63" t="str">
        <f t="shared" si="155"/>
        <v/>
      </c>
      <c r="P318" s="63" t="str">
        <f t="shared" si="156"/>
        <v/>
      </c>
      <c r="Q318" s="66"/>
      <c r="R318" s="63" t="str">
        <f t="shared" si="157"/>
        <v/>
      </c>
      <c r="S318" s="64" t="str">
        <f t="shared" si="158"/>
        <v/>
      </c>
      <c r="T318" s="38">
        <v>0</v>
      </c>
      <c r="U318" s="64" t="str">
        <f t="shared" si="159"/>
        <v/>
      </c>
      <c r="V318" s="219"/>
      <c r="W318" s="43" t="str">
        <f t="shared" si="160"/>
        <v/>
      </c>
      <c r="X318" s="43" t="str">
        <f t="shared" si="161"/>
        <v/>
      </c>
      <c r="Y318" s="43"/>
      <c r="Z318" s="38" t="str">
        <f t="shared" si="162"/>
        <v/>
      </c>
      <c r="AA318" s="38" t="str">
        <f t="shared" si="163"/>
        <v/>
      </c>
      <c r="AB318" s="38" t="e">
        <f t="shared" si="164"/>
        <v>#VALUE!</v>
      </c>
      <c r="AC318" s="38" t="str">
        <f t="shared" si="165"/>
        <v/>
      </c>
      <c r="AD318" s="38" t="str">
        <f t="shared" si="165"/>
        <v/>
      </c>
      <c r="AE318" s="38" t="e">
        <f t="shared" si="166"/>
        <v>#VALUE!</v>
      </c>
      <c r="AF318" s="237" t="e">
        <f>((Summary!$N$13*(AA318*AD318)*(A318-$D$3))+(Summary!$M$13*Z318*AC318*(AJ318-EOMONTH(EDATE(A318,-1),0))))/(AK318*AB318*AE318)</f>
        <v>#VALUE!</v>
      </c>
      <c r="AG318" s="88" t="str">
        <f>IF($A319="","",Summary!$Q$13)</f>
        <v/>
      </c>
      <c r="AH318" s="88" t="str">
        <f>IF($A319="","",IF(Summary!$R$12="Y",(VLOOKUP($A318,Summary!$AD$6:$AF$9,3)+'Escalating commodity'!I331),'Escalating commodity'!I331))</f>
        <v/>
      </c>
      <c r="AI318" s="88" t="str">
        <f t="shared" si="181"/>
        <v/>
      </c>
      <c r="AJ318" s="236" t="e">
        <f t="shared" si="167"/>
        <v>#VALUE!</v>
      </c>
      <c r="AK318" s="58" t="str">
        <f t="shared" si="168"/>
        <v/>
      </c>
      <c r="AL318" s="26" t="str">
        <f>IF($A319="","",_xll.SPRDOPT(P318,X318,AI318,0,AB318,AE318,AF318,AK318,$AJ$2,0))</f>
        <v/>
      </c>
      <c r="AM318" s="209" t="str">
        <f t="shared" si="169"/>
        <v/>
      </c>
      <c r="AN318" s="89" t="str">
        <f t="shared" si="170"/>
        <v/>
      </c>
      <c r="AO318" s="3" t="str">
        <f t="shared" si="171"/>
        <v/>
      </c>
      <c r="AP318" s="33" t="str">
        <f t="shared" si="172"/>
        <v/>
      </c>
      <c r="AQ318" s="58" t="str">
        <f t="shared" si="173"/>
        <v/>
      </c>
      <c r="AR318" s="38">
        <f>'ANR OK vs ML7'!AR318</f>
        <v>0.1</v>
      </c>
      <c r="AS318" s="35" t="str">
        <f t="shared" si="174"/>
        <v/>
      </c>
      <c r="AT318" s="3" t="str">
        <f t="shared" si="175"/>
        <v/>
      </c>
      <c r="AU318" s="3" t="str">
        <f t="shared" si="176"/>
        <v/>
      </c>
      <c r="AW318" s="32" t="str">
        <f t="shared" si="177"/>
        <v/>
      </c>
      <c r="AX318" s="32" t="str">
        <f t="shared" si="178"/>
        <v/>
      </c>
      <c r="AY318" s="32" t="str">
        <f t="shared" si="179"/>
        <v/>
      </c>
      <c r="BA318" s="32" t="str">
        <f>IF($A319="","",F318*Summary!$Q$13)</f>
        <v/>
      </c>
    </row>
    <row r="319" spans="1:53" ht="12" customHeight="1">
      <c r="A319" s="67" t="str">
        <f t="shared" si="180"/>
        <v/>
      </c>
      <c r="B319" s="69" t="str">
        <f t="shared" si="182"/>
        <v/>
      </c>
      <c r="C319" s="71"/>
      <c r="D319" s="69" t="str">
        <f t="shared" si="147"/>
        <v/>
      </c>
      <c r="E319" s="70" t="str">
        <f t="shared" si="148"/>
        <v/>
      </c>
      <c r="F319" s="70" t="str">
        <f t="shared" si="149"/>
        <v/>
      </c>
      <c r="G319" s="63" t="str">
        <f t="shared" si="150"/>
        <v/>
      </c>
      <c r="H319" s="64" t="str">
        <f t="shared" si="151"/>
        <v/>
      </c>
      <c r="I319" s="43"/>
      <c r="J319" s="63" t="str">
        <f t="shared" si="152"/>
        <v/>
      </c>
      <c r="K319" s="64" t="str">
        <f t="shared" si="153"/>
        <v/>
      </c>
      <c r="L319" s="38">
        <v>0</v>
      </c>
      <c r="M319" s="64" t="str">
        <f t="shared" si="154"/>
        <v/>
      </c>
      <c r="N319" s="65"/>
      <c r="O319" s="63" t="str">
        <f t="shared" si="155"/>
        <v/>
      </c>
      <c r="P319" s="63" t="str">
        <f t="shared" si="156"/>
        <v/>
      </c>
      <c r="Q319" s="66"/>
      <c r="R319" s="63" t="str">
        <f t="shared" si="157"/>
        <v/>
      </c>
      <c r="S319" s="64" t="str">
        <f t="shared" si="158"/>
        <v/>
      </c>
      <c r="T319" s="38">
        <v>0</v>
      </c>
      <c r="U319" s="64" t="str">
        <f t="shared" si="159"/>
        <v/>
      </c>
      <c r="V319" s="219"/>
      <c r="W319" s="43" t="str">
        <f t="shared" si="160"/>
        <v/>
      </c>
      <c r="X319" s="43" t="str">
        <f t="shared" si="161"/>
        <v/>
      </c>
      <c r="Y319" s="43"/>
      <c r="Z319" s="38" t="str">
        <f t="shared" si="162"/>
        <v/>
      </c>
      <c r="AA319" s="38" t="str">
        <f t="shared" si="163"/>
        <v/>
      </c>
      <c r="AB319" s="38" t="e">
        <f t="shared" si="164"/>
        <v>#VALUE!</v>
      </c>
      <c r="AC319" s="38" t="str">
        <f t="shared" si="165"/>
        <v/>
      </c>
      <c r="AD319" s="38" t="str">
        <f t="shared" si="165"/>
        <v/>
      </c>
      <c r="AE319" s="38" t="e">
        <f t="shared" si="166"/>
        <v>#VALUE!</v>
      </c>
      <c r="AF319" s="237" t="e">
        <f>((Summary!$N$13*(AA319*AD319)*(A319-$D$3))+(Summary!$M$13*Z319*AC319*(AJ319-EOMONTH(EDATE(A319,-1),0))))/(AK319*AB319*AE319)</f>
        <v>#VALUE!</v>
      </c>
      <c r="AG319" s="88" t="str">
        <f>IF($A320="","",Summary!$Q$13)</f>
        <v/>
      </c>
      <c r="AH319" s="88" t="str">
        <f>IF($A320="","",IF(Summary!$R$12="Y",(VLOOKUP($A319,Summary!$AD$6:$AF$9,3)+'Escalating commodity'!I332),'Escalating commodity'!I332))</f>
        <v/>
      </c>
      <c r="AI319" s="88" t="str">
        <f t="shared" si="181"/>
        <v/>
      </c>
      <c r="AJ319" s="236" t="e">
        <f t="shared" si="167"/>
        <v>#VALUE!</v>
      </c>
      <c r="AK319" s="58" t="str">
        <f t="shared" si="168"/>
        <v/>
      </c>
      <c r="AL319" s="26" t="str">
        <f>IF($A320="","",_xll.SPRDOPT(P319,X319,AI319,0,AB319,AE319,AF319,AK319,$AJ$2,0))</f>
        <v/>
      </c>
      <c r="AM319" s="209" t="str">
        <f t="shared" si="169"/>
        <v/>
      </c>
      <c r="AN319" s="89" t="str">
        <f t="shared" si="170"/>
        <v/>
      </c>
      <c r="AO319" s="3" t="str">
        <f t="shared" si="171"/>
        <v/>
      </c>
      <c r="AP319" s="33" t="str">
        <f t="shared" si="172"/>
        <v/>
      </c>
      <c r="AQ319" s="58" t="str">
        <f t="shared" si="173"/>
        <v/>
      </c>
      <c r="AR319" s="38">
        <f>'ANR OK vs ML7'!AR319</f>
        <v>0.1</v>
      </c>
      <c r="AS319" s="35" t="str">
        <f t="shared" si="174"/>
        <v/>
      </c>
      <c r="AT319" s="3" t="str">
        <f t="shared" si="175"/>
        <v/>
      </c>
      <c r="AU319" s="3" t="str">
        <f t="shared" si="176"/>
        <v/>
      </c>
      <c r="AW319" s="32" t="str">
        <f t="shared" si="177"/>
        <v/>
      </c>
      <c r="AX319" s="32" t="str">
        <f t="shared" si="178"/>
        <v/>
      </c>
      <c r="AY319" s="32" t="str">
        <f t="shared" si="179"/>
        <v/>
      </c>
      <c r="BA319" s="32" t="str">
        <f>IF($A320="","",F319*Summary!$Q$13)</f>
        <v/>
      </c>
    </row>
    <row r="320" spans="1:53" ht="12" customHeight="1">
      <c r="A320" s="67" t="str">
        <f t="shared" si="180"/>
        <v/>
      </c>
      <c r="B320" s="69" t="str">
        <f t="shared" si="182"/>
        <v/>
      </c>
      <c r="C320" s="71"/>
      <c r="D320" s="69" t="str">
        <f t="shared" si="147"/>
        <v/>
      </c>
      <c r="E320" s="70" t="str">
        <f t="shared" si="148"/>
        <v/>
      </c>
      <c r="F320" s="70" t="str">
        <f t="shared" si="149"/>
        <v/>
      </c>
      <c r="G320" s="63" t="str">
        <f t="shared" si="150"/>
        <v/>
      </c>
      <c r="H320" s="64" t="str">
        <f t="shared" si="151"/>
        <v/>
      </c>
      <c r="I320" s="43"/>
      <c r="J320" s="63" t="str">
        <f t="shared" si="152"/>
        <v/>
      </c>
      <c r="K320" s="64" t="str">
        <f t="shared" si="153"/>
        <v/>
      </c>
      <c r="L320" s="38">
        <v>0</v>
      </c>
      <c r="M320" s="64" t="str">
        <f t="shared" si="154"/>
        <v/>
      </c>
      <c r="N320" s="65"/>
      <c r="O320" s="63" t="str">
        <f t="shared" si="155"/>
        <v/>
      </c>
      <c r="P320" s="63" t="str">
        <f t="shared" si="156"/>
        <v/>
      </c>
      <c r="Q320" s="66"/>
      <c r="R320" s="63" t="str">
        <f t="shared" si="157"/>
        <v/>
      </c>
      <c r="S320" s="64" t="str">
        <f t="shared" si="158"/>
        <v/>
      </c>
      <c r="T320" s="38">
        <v>0</v>
      </c>
      <c r="U320" s="64" t="str">
        <f t="shared" si="159"/>
        <v/>
      </c>
      <c r="V320" s="219"/>
      <c r="W320" s="43" t="str">
        <f t="shared" si="160"/>
        <v/>
      </c>
      <c r="X320" s="43" t="str">
        <f t="shared" si="161"/>
        <v/>
      </c>
      <c r="Y320" s="43"/>
      <c r="Z320" s="38" t="str">
        <f t="shared" si="162"/>
        <v/>
      </c>
      <c r="AA320" s="38" t="str">
        <f t="shared" si="163"/>
        <v/>
      </c>
      <c r="AB320" s="38" t="e">
        <f t="shared" si="164"/>
        <v>#VALUE!</v>
      </c>
      <c r="AC320" s="38" t="str">
        <f t="shared" si="165"/>
        <v/>
      </c>
      <c r="AD320" s="38" t="str">
        <f t="shared" si="165"/>
        <v/>
      </c>
      <c r="AE320" s="38" t="e">
        <f t="shared" si="166"/>
        <v>#VALUE!</v>
      </c>
      <c r="AF320" s="237" t="e">
        <f>((Summary!$N$13*(AA320*AD320)*(A320-$D$3))+(Summary!$M$13*Z320*AC320*(AJ320-EOMONTH(EDATE(A320,-1),0))))/(AK320*AB320*AE320)</f>
        <v>#VALUE!</v>
      </c>
      <c r="AG320" s="88" t="str">
        <f>IF($A321="","",Summary!$Q$13)</f>
        <v/>
      </c>
      <c r="AH320" s="88" t="str">
        <f>IF($A321="","",IF(Summary!$R$12="Y",(VLOOKUP($A320,Summary!$AD$6:$AF$9,3)+'Escalating commodity'!I333),'Escalating commodity'!I333))</f>
        <v/>
      </c>
      <c r="AI320" s="88" t="str">
        <f t="shared" si="181"/>
        <v/>
      </c>
      <c r="AJ320" s="236" t="e">
        <f t="shared" si="167"/>
        <v>#VALUE!</v>
      </c>
      <c r="AK320" s="58" t="str">
        <f t="shared" si="168"/>
        <v/>
      </c>
      <c r="AL320" s="26" t="str">
        <f>IF($A321="","",_xll.SPRDOPT(P320,X320,AI320,0,AB320,AE320,AF320,AK320,$AJ$2,0))</f>
        <v/>
      </c>
      <c r="AM320" s="209" t="str">
        <f t="shared" si="169"/>
        <v/>
      </c>
      <c r="AN320" s="89" t="str">
        <f t="shared" si="170"/>
        <v/>
      </c>
      <c r="AO320" s="3" t="str">
        <f t="shared" si="171"/>
        <v/>
      </c>
      <c r="AP320" s="33" t="str">
        <f t="shared" si="172"/>
        <v/>
      </c>
      <c r="AQ320" s="58" t="str">
        <f t="shared" si="173"/>
        <v/>
      </c>
      <c r="AR320" s="38">
        <f>'ANR OK vs ML7'!AR320</f>
        <v>0.1</v>
      </c>
      <c r="AS320" s="35" t="str">
        <f t="shared" si="174"/>
        <v/>
      </c>
      <c r="AT320" s="3" t="str">
        <f t="shared" si="175"/>
        <v/>
      </c>
      <c r="AU320" s="3" t="str">
        <f t="shared" si="176"/>
        <v/>
      </c>
      <c r="AW320" s="32" t="str">
        <f t="shared" si="177"/>
        <v/>
      </c>
      <c r="AX320" s="32" t="str">
        <f t="shared" si="178"/>
        <v/>
      </c>
      <c r="AY320" s="32" t="str">
        <f t="shared" si="179"/>
        <v/>
      </c>
      <c r="BA320" s="32" t="str">
        <f>IF($A321="","",F320*Summary!$Q$13)</f>
        <v/>
      </c>
    </row>
    <row r="321" spans="1:53" ht="12" customHeight="1">
      <c r="A321" s="67" t="str">
        <f t="shared" si="180"/>
        <v/>
      </c>
      <c r="B321" s="69" t="str">
        <f t="shared" si="182"/>
        <v/>
      </c>
      <c r="C321" s="71"/>
      <c r="D321" s="69" t="str">
        <f t="shared" si="147"/>
        <v/>
      </c>
      <c r="E321" s="70" t="str">
        <f t="shared" si="148"/>
        <v/>
      </c>
      <c r="F321" s="70" t="str">
        <f t="shared" si="149"/>
        <v/>
      </c>
      <c r="G321" s="63" t="str">
        <f t="shared" si="150"/>
        <v/>
      </c>
      <c r="H321" s="64" t="str">
        <f t="shared" si="151"/>
        <v/>
      </c>
      <c r="I321" s="43"/>
      <c r="J321" s="63" t="str">
        <f t="shared" si="152"/>
        <v/>
      </c>
      <c r="K321" s="64" t="str">
        <f t="shared" si="153"/>
        <v/>
      </c>
      <c r="L321" s="38">
        <v>0</v>
      </c>
      <c r="M321" s="64" t="str">
        <f t="shared" si="154"/>
        <v/>
      </c>
      <c r="N321" s="65"/>
      <c r="O321" s="63" t="str">
        <f t="shared" si="155"/>
        <v/>
      </c>
      <c r="P321" s="63" t="str">
        <f t="shared" si="156"/>
        <v/>
      </c>
      <c r="Q321" s="66"/>
      <c r="R321" s="63" t="str">
        <f t="shared" si="157"/>
        <v/>
      </c>
      <c r="S321" s="64" t="str">
        <f t="shared" si="158"/>
        <v/>
      </c>
      <c r="T321" s="38">
        <v>0</v>
      </c>
      <c r="U321" s="64" t="str">
        <f t="shared" si="159"/>
        <v/>
      </c>
      <c r="V321" s="219"/>
      <c r="W321" s="43" t="str">
        <f t="shared" si="160"/>
        <v/>
      </c>
      <c r="X321" s="43" t="str">
        <f t="shared" si="161"/>
        <v/>
      </c>
      <c r="Y321" s="43"/>
      <c r="Z321" s="38" t="str">
        <f t="shared" si="162"/>
        <v/>
      </c>
      <c r="AA321" s="38" t="str">
        <f t="shared" si="163"/>
        <v/>
      </c>
      <c r="AB321" s="38" t="e">
        <f t="shared" si="164"/>
        <v>#VALUE!</v>
      </c>
      <c r="AC321" s="38" t="str">
        <f t="shared" si="165"/>
        <v/>
      </c>
      <c r="AD321" s="38" t="str">
        <f t="shared" si="165"/>
        <v/>
      </c>
      <c r="AE321" s="38" t="e">
        <f t="shared" si="166"/>
        <v>#VALUE!</v>
      </c>
      <c r="AF321" s="237" t="e">
        <f>((Summary!$N$13*(AA321*AD321)*(A321-$D$3))+(Summary!$M$13*Z321*AC321*(AJ321-EOMONTH(EDATE(A321,-1),0))))/(AK321*AB321*AE321)</f>
        <v>#VALUE!</v>
      </c>
      <c r="AG321" s="88" t="str">
        <f>IF($A322="","",Summary!$Q$13)</f>
        <v/>
      </c>
      <c r="AH321" s="88" t="str">
        <f>IF($A322="","",IF(Summary!$R$12="Y",(VLOOKUP($A321,Summary!$AD$6:$AF$9,3)+'Escalating commodity'!I334),'Escalating commodity'!I334))</f>
        <v/>
      </c>
      <c r="AI321" s="88" t="str">
        <f t="shared" si="181"/>
        <v/>
      </c>
      <c r="AJ321" s="236" t="e">
        <f t="shared" si="167"/>
        <v>#VALUE!</v>
      </c>
      <c r="AK321" s="58" t="str">
        <f t="shared" si="168"/>
        <v/>
      </c>
      <c r="AL321" s="26" t="str">
        <f>IF($A322="","",_xll.SPRDOPT(P321,X321,AI321,0,AB321,AE321,AF321,AK321,$AJ$2,0))</f>
        <v/>
      </c>
      <c r="AM321" s="209" t="str">
        <f t="shared" si="169"/>
        <v/>
      </c>
      <c r="AN321" s="89" t="str">
        <f t="shared" si="170"/>
        <v/>
      </c>
      <c r="AO321" s="3" t="str">
        <f t="shared" si="171"/>
        <v/>
      </c>
      <c r="AP321" s="33" t="str">
        <f t="shared" si="172"/>
        <v/>
      </c>
      <c r="AQ321" s="58" t="str">
        <f t="shared" si="173"/>
        <v/>
      </c>
      <c r="AR321" s="38">
        <f>'ANR OK vs ML7'!AR321</f>
        <v>0.1</v>
      </c>
      <c r="AS321" s="35" t="str">
        <f t="shared" si="174"/>
        <v/>
      </c>
      <c r="AT321" s="3" t="str">
        <f t="shared" si="175"/>
        <v/>
      </c>
      <c r="AU321" s="3" t="str">
        <f t="shared" si="176"/>
        <v/>
      </c>
      <c r="AW321" s="32" t="str">
        <f t="shared" si="177"/>
        <v/>
      </c>
      <c r="AX321" s="32" t="str">
        <f t="shared" si="178"/>
        <v/>
      </c>
      <c r="AY321" s="32" t="str">
        <f t="shared" si="179"/>
        <v/>
      </c>
      <c r="BA321" s="32" t="str">
        <f>IF($A322="","",F321*Summary!$Q$13)</f>
        <v/>
      </c>
    </row>
    <row r="322" spans="1:53" ht="12" customHeight="1">
      <c r="A322" s="67" t="str">
        <f t="shared" si="180"/>
        <v/>
      </c>
      <c r="B322" s="69" t="str">
        <f t="shared" si="182"/>
        <v/>
      </c>
      <c r="C322" s="71"/>
      <c r="D322" s="69" t="str">
        <f t="shared" si="147"/>
        <v/>
      </c>
      <c r="E322" s="70" t="str">
        <f t="shared" si="148"/>
        <v/>
      </c>
      <c r="F322" s="70" t="str">
        <f t="shared" si="149"/>
        <v/>
      </c>
      <c r="G322" s="63" t="str">
        <f t="shared" si="150"/>
        <v/>
      </c>
      <c r="H322" s="64" t="str">
        <f t="shared" si="151"/>
        <v/>
      </c>
      <c r="I322" s="43"/>
      <c r="J322" s="63" t="str">
        <f t="shared" si="152"/>
        <v/>
      </c>
      <c r="K322" s="64" t="str">
        <f t="shared" si="153"/>
        <v/>
      </c>
      <c r="L322" s="38">
        <v>0</v>
      </c>
      <c r="M322" s="64" t="str">
        <f t="shared" si="154"/>
        <v/>
      </c>
      <c r="N322" s="65"/>
      <c r="O322" s="63" t="str">
        <f t="shared" si="155"/>
        <v/>
      </c>
      <c r="P322" s="63" t="str">
        <f t="shared" si="156"/>
        <v/>
      </c>
      <c r="Q322" s="66"/>
      <c r="R322" s="63" t="str">
        <f t="shared" si="157"/>
        <v/>
      </c>
      <c r="S322" s="64" t="str">
        <f t="shared" si="158"/>
        <v/>
      </c>
      <c r="T322" s="38">
        <v>0</v>
      </c>
      <c r="U322" s="64" t="str">
        <f t="shared" si="159"/>
        <v/>
      </c>
      <c r="V322" s="219"/>
      <c r="W322" s="43" t="str">
        <f t="shared" si="160"/>
        <v/>
      </c>
      <c r="X322" s="43" t="str">
        <f t="shared" si="161"/>
        <v/>
      </c>
      <c r="Y322" s="43"/>
      <c r="Z322" s="38" t="str">
        <f t="shared" si="162"/>
        <v/>
      </c>
      <c r="AA322" s="38" t="str">
        <f t="shared" si="163"/>
        <v/>
      </c>
      <c r="AB322" s="38" t="e">
        <f t="shared" si="164"/>
        <v>#VALUE!</v>
      </c>
      <c r="AC322" s="38" t="str">
        <f t="shared" si="165"/>
        <v/>
      </c>
      <c r="AD322" s="38" t="str">
        <f t="shared" si="165"/>
        <v/>
      </c>
      <c r="AE322" s="38" t="e">
        <f t="shared" si="166"/>
        <v>#VALUE!</v>
      </c>
      <c r="AF322" s="237" t="e">
        <f>((Summary!$N$13*(AA322*AD322)*(A322-$D$3))+(Summary!$M$13*Z322*AC322*(AJ322-EOMONTH(EDATE(A322,-1),0))))/(AK322*AB322*AE322)</f>
        <v>#VALUE!</v>
      </c>
      <c r="AG322" s="88" t="str">
        <f>IF($A323="","",Summary!$Q$13)</f>
        <v/>
      </c>
      <c r="AH322" s="88" t="str">
        <f>IF($A323="","",IF(Summary!$R$12="Y",(VLOOKUP($A322,Summary!$AD$6:$AF$9,3)+'Escalating commodity'!I335),'Escalating commodity'!I335))</f>
        <v/>
      </c>
      <c r="AI322" s="88" t="str">
        <f t="shared" si="181"/>
        <v/>
      </c>
      <c r="AJ322" s="236" t="e">
        <f t="shared" si="167"/>
        <v>#VALUE!</v>
      </c>
      <c r="AK322" s="58" t="str">
        <f t="shared" si="168"/>
        <v/>
      </c>
      <c r="AL322" s="26" t="str">
        <f>IF($A323="","",_xll.SPRDOPT(P322,X322,AI322,0,AB322,AE322,AF322,AK322,$AJ$2,0))</f>
        <v/>
      </c>
      <c r="AM322" s="209" t="str">
        <f t="shared" si="169"/>
        <v/>
      </c>
      <c r="AN322" s="89" t="str">
        <f t="shared" si="170"/>
        <v/>
      </c>
      <c r="AO322" s="3" t="str">
        <f t="shared" si="171"/>
        <v/>
      </c>
      <c r="AP322" s="33" t="str">
        <f t="shared" si="172"/>
        <v/>
      </c>
      <c r="AQ322" s="58" t="str">
        <f t="shared" si="173"/>
        <v/>
      </c>
      <c r="AR322" s="38">
        <f>'ANR OK vs ML7'!AR322</f>
        <v>0.1</v>
      </c>
      <c r="AS322" s="35" t="str">
        <f t="shared" si="174"/>
        <v/>
      </c>
      <c r="AT322" s="3" t="str">
        <f t="shared" si="175"/>
        <v/>
      </c>
      <c r="AU322" s="3" t="str">
        <f t="shared" si="176"/>
        <v/>
      </c>
      <c r="AW322" s="32" t="str">
        <f t="shared" si="177"/>
        <v/>
      </c>
      <c r="AX322" s="32" t="str">
        <f t="shared" si="178"/>
        <v/>
      </c>
      <c r="AY322" s="32" t="str">
        <f t="shared" si="179"/>
        <v/>
      </c>
      <c r="BA322" s="32" t="str">
        <f>IF($A323="","",F322*Summary!$Q$13)</f>
        <v/>
      </c>
    </row>
    <row r="323" spans="1:53" ht="12" customHeight="1">
      <c r="A323" s="67" t="str">
        <f t="shared" si="180"/>
        <v/>
      </c>
      <c r="B323" s="69" t="str">
        <f t="shared" si="182"/>
        <v/>
      </c>
      <c r="C323" s="71"/>
      <c r="D323" s="69" t="str">
        <f t="shared" si="147"/>
        <v/>
      </c>
      <c r="E323" s="70" t="str">
        <f t="shared" si="148"/>
        <v/>
      </c>
      <c r="F323" s="70" t="str">
        <f t="shared" si="149"/>
        <v/>
      </c>
      <c r="G323" s="63" t="str">
        <f t="shared" si="150"/>
        <v/>
      </c>
      <c r="H323" s="64" t="str">
        <f t="shared" si="151"/>
        <v/>
      </c>
      <c r="I323" s="43"/>
      <c r="J323" s="63" t="str">
        <f t="shared" si="152"/>
        <v/>
      </c>
      <c r="K323" s="64" t="str">
        <f t="shared" si="153"/>
        <v/>
      </c>
      <c r="L323" s="38">
        <v>0</v>
      </c>
      <c r="M323" s="64" t="str">
        <f t="shared" si="154"/>
        <v/>
      </c>
      <c r="N323" s="65"/>
      <c r="O323" s="63" t="str">
        <f t="shared" si="155"/>
        <v/>
      </c>
      <c r="P323" s="63" t="str">
        <f t="shared" si="156"/>
        <v/>
      </c>
      <c r="Q323" s="66"/>
      <c r="R323" s="63" t="str">
        <f t="shared" si="157"/>
        <v/>
      </c>
      <c r="S323" s="64" t="str">
        <f t="shared" si="158"/>
        <v/>
      </c>
      <c r="T323" s="38">
        <v>0</v>
      </c>
      <c r="U323" s="64" t="str">
        <f t="shared" si="159"/>
        <v/>
      </c>
      <c r="V323" s="219"/>
      <c r="W323" s="43" t="str">
        <f t="shared" si="160"/>
        <v/>
      </c>
      <c r="X323" s="43" t="str">
        <f t="shared" si="161"/>
        <v/>
      </c>
      <c r="Y323" s="43"/>
      <c r="Z323" s="38" t="str">
        <f t="shared" si="162"/>
        <v/>
      </c>
      <c r="AA323" s="38" t="str">
        <f t="shared" si="163"/>
        <v/>
      </c>
      <c r="AB323" s="38" t="e">
        <f t="shared" si="164"/>
        <v>#VALUE!</v>
      </c>
      <c r="AC323" s="38" t="str">
        <f t="shared" si="165"/>
        <v/>
      </c>
      <c r="AD323" s="38" t="str">
        <f t="shared" si="165"/>
        <v/>
      </c>
      <c r="AE323" s="38" t="e">
        <f t="shared" si="166"/>
        <v>#VALUE!</v>
      </c>
      <c r="AF323" s="237" t="e">
        <f>((Summary!$N$13*(AA323*AD323)*(A323-$D$3))+(Summary!$M$13*Z323*AC323*(AJ323-EOMONTH(EDATE(A323,-1),0))))/(AK323*AB323*AE323)</f>
        <v>#VALUE!</v>
      </c>
      <c r="AG323" s="88" t="str">
        <f>IF($A324="","",Summary!$Q$13)</f>
        <v/>
      </c>
      <c r="AH323" s="88" t="str">
        <f>IF($A324="","",IF(Summary!$R$12="Y",(VLOOKUP($A323,Summary!$AD$6:$AF$9,3)+'Escalating commodity'!I336),'Escalating commodity'!I336))</f>
        <v/>
      </c>
      <c r="AI323" s="88" t="str">
        <f t="shared" si="181"/>
        <v/>
      </c>
      <c r="AJ323" s="236" t="e">
        <f t="shared" si="167"/>
        <v>#VALUE!</v>
      </c>
      <c r="AK323" s="58" t="str">
        <f t="shared" si="168"/>
        <v/>
      </c>
      <c r="AL323" s="26" t="str">
        <f>IF($A324="","",_xll.SPRDOPT(P323,X323,AI323,0,AB323,AE323,AF323,AK323,$AJ$2,0))</f>
        <v/>
      </c>
      <c r="AM323" s="209" t="str">
        <f t="shared" si="169"/>
        <v/>
      </c>
      <c r="AN323" s="89" t="str">
        <f t="shared" si="170"/>
        <v/>
      </c>
      <c r="AO323" s="3" t="str">
        <f t="shared" si="171"/>
        <v/>
      </c>
      <c r="AP323" s="33" t="str">
        <f t="shared" si="172"/>
        <v/>
      </c>
      <c r="AQ323" s="58" t="str">
        <f t="shared" si="173"/>
        <v/>
      </c>
      <c r="AR323" s="38">
        <f>'ANR OK vs ML7'!AR323</f>
        <v>0.1</v>
      </c>
      <c r="AS323" s="35" t="str">
        <f t="shared" si="174"/>
        <v/>
      </c>
      <c r="AT323" s="3" t="str">
        <f t="shared" si="175"/>
        <v/>
      </c>
      <c r="AU323" s="3" t="str">
        <f t="shared" si="176"/>
        <v/>
      </c>
      <c r="AW323" s="32" t="str">
        <f t="shared" si="177"/>
        <v/>
      </c>
      <c r="AX323" s="32" t="str">
        <f t="shared" si="178"/>
        <v/>
      </c>
      <c r="AY323" s="32" t="str">
        <f t="shared" si="179"/>
        <v/>
      </c>
      <c r="BA323" s="32" t="str">
        <f>IF($A324="","",F323*Summary!$Q$13)</f>
        <v/>
      </c>
    </row>
    <row r="324" spans="1:53" ht="12" customHeight="1">
      <c r="A324" s="67" t="str">
        <f t="shared" si="180"/>
        <v/>
      </c>
      <c r="B324" s="69" t="str">
        <f t="shared" si="182"/>
        <v/>
      </c>
      <c r="C324" s="71"/>
      <c r="D324" s="69" t="str">
        <f t="shared" si="147"/>
        <v/>
      </c>
      <c r="E324" s="70" t="str">
        <f t="shared" si="148"/>
        <v/>
      </c>
      <c r="F324" s="70" t="str">
        <f t="shared" si="149"/>
        <v/>
      </c>
      <c r="G324" s="63" t="str">
        <f t="shared" si="150"/>
        <v/>
      </c>
      <c r="H324" s="64" t="str">
        <f t="shared" si="151"/>
        <v/>
      </c>
      <c r="I324" s="43"/>
      <c r="J324" s="63" t="str">
        <f t="shared" si="152"/>
        <v/>
      </c>
      <c r="K324" s="64" t="str">
        <f t="shared" si="153"/>
        <v/>
      </c>
      <c r="L324" s="38">
        <v>0</v>
      </c>
      <c r="M324" s="64" t="str">
        <f t="shared" si="154"/>
        <v/>
      </c>
      <c r="N324" s="65"/>
      <c r="O324" s="63" t="str">
        <f t="shared" si="155"/>
        <v/>
      </c>
      <c r="P324" s="63" t="str">
        <f t="shared" si="156"/>
        <v/>
      </c>
      <c r="Q324" s="66"/>
      <c r="R324" s="63" t="str">
        <f t="shared" si="157"/>
        <v/>
      </c>
      <c r="S324" s="64" t="str">
        <f t="shared" si="158"/>
        <v/>
      </c>
      <c r="T324" s="38">
        <v>0</v>
      </c>
      <c r="U324" s="64" t="str">
        <f t="shared" si="159"/>
        <v/>
      </c>
      <c r="V324" s="219"/>
      <c r="W324" s="43" t="str">
        <f t="shared" si="160"/>
        <v/>
      </c>
      <c r="X324" s="43" t="str">
        <f t="shared" si="161"/>
        <v/>
      </c>
      <c r="Y324" s="43"/>
      <c r="Z324" s="38" t="str">
        <f t="shared" si="162"/>
        <v/>
      </c>
      <c r="AA324" s="38" t="str">
        <f t="shared" si="163"/>
        <v/>
      </c>
      <c r="AB324" s="38" t="e">
        <f t="shared" si="164"/>
        <v>#VALUE!</v>
      </c>
      <c r="AC324" s="38" t="str">
        <f t="shared" si="165"/>
        <v/>
      </c>
      <c r="AD324" s="38" t="str">
        <f t="shared" si="165"/>
        <v/>
      </c>
      <c r="AE324" s="38" t="e">
        <f t="shared" si="166"/>
        <v>#VALUE!</v>
      </c>
      <c r="AF324" s="237" t="e">
        <f>((Summary!$N$13*(AA324*AD324)*(A324-$D$3))+(Summary!$M$13*Z324*AC324*(AJ324-EOMONTH(EDATE(A324,-1),0))))/(AK324*AB324*AE324)</f>
        <v>#VALUE!</v>
      </c>
      <c r="AG324" s="88" t="str">
        <f>IF($A325="","",Summary!$Q$13)</f>
        <v/>
      </c>
      <c r="AH324" s="88" t="str">
        <f>IF($A325="","",IF(Summary!$R$12="Y",(VLOOKUP($A324,Summary!$AD$6:$AF$9,3)+'Escalating commodity'!I337),'Escalating commodity'!I337))</f>
        <v/>
      </c>
      <c r="AI324" s="88" t="str">
        <f t="shared" si="181"/>
        <v/>
      </c>
      <c r="AJ324" s="236" t="e">
        <f t="shared" si="167"/>
        <v>#VALUE!</v>
      </c>
      <c r="AK324" s="58" t="str">
        <f t="shared" si="168"/>
        <v/>
      </c>
      <c r="AL324" s="26" t="str">
        <f>IF($A325="","",_xll.SPRDOPT(P324,X324,AI324,0,AB324,AE324,AF324,AK324,$AJ$2,0))</f>
        <v/>
      </c>
      <c r="AM324" s="209" t="str">
        <f t="shared" si="169"/>
        <v/>
      </c>
      <c r="AN324" s="89" t="str">
        <f t="shared" si="170"/>
        <v/>
      </c>
      <c r="AO324" s="3" t="str">
        <f t="shared" si="171"/>
        <v/>
      </c>
      <c r="AP324" s="33" t="str">
        <f t="shared" si="172"/>
        <v/>
      </c>
      <c r="AQ324" s="58" t="str">
        <f t="shared" si="173"/>
        <v/>
      </c>
      <c r="AR324" s="38">
        <f>'ANR OK vs ML7'!AR324</f>
        <v>0.1</v>
      </c>
      <c r="AS324" s="35" t="str">
        <f t="shared" si="174"/>
        <v/>
      </c>
      <c r="AT324" s="3" t="str">
        <f t="shared" si="175"/>
        <v/>
      </c>
      <c r="AU324" s="3" t="str">
        <f t="shared" si="176"/>
        <v/>
      </c>
      <c r="AW324" s="32" t="str">
        <f t="shared" si="177"/>
        <v/>
      </c>
      <c r="AX324" s="32" t="str">
        <f t="shared" si="178"/>
        <v/>
      </c>
      <c r="AY324" s="32" t="str">
        <f t="shared" si="179"/>
        <v/>
      </c>
      <c r="BA324" s="32" t="str">
        <f>IF($A325="","",F324*Summary!$Q$13)</f>
        <v/>
      </c>
    </row>
    <row r="325" spans="1:53" ht="12" customHeight="1">
      <c r="A325" s="67" t="str">
        <f t="shared" si="180"/>
        <v/>
      </c>
      <c r="B325" s="69" t="str">
        <f t="shared" si="182"/>
        <v/>
      </c>
      <c r="C325" s="71"/>
      <c r="D325" s="69" t="str">
        <f t="shared" si="147"/>
        <v/>
      </c>
      <c r="E325" s="70" t="str">
        <f t="shared" si="148"/>
        <v/>
      </c>
      <c r="F325" s="70" t="str">
        <f t="shared" si="149"/>
        <v/>
      </c>
      <c r="G325" s="63" t="str">
        <f t="shared" si="150"/>
        <v/>
      </c>
      <c r="H325" s="64" t="str">
        <f t="shared" si="151"/>
        <v/>
      </c>
      <c r="I325" s="43"/>
      <c r="J325" s="63" t="str">
        <f t="shared" si="152"/>
        <v/>
      </c>
      <c r="K325" s="64" t="str">
        <f t="shared" si="153"/>
        <v/>
      </c>
      <c r="L325" s="38">
        <v>0</v>
      </c>
      <c r="M325" s="64" t="str">
        <f t="shared" si="154"/>
        <v/>
      </c>
      <c r="N325" s="65"/>
      <c r="O325" s="63" t="str">
        <f t="shared" si="155"/>
        <v/>
      </c>
      <c r="P325" s="63" t="str">
        <f t="shared" si="156"/>
        <v/>
      </c>
      <c r="Q325" s="66"/>
      <c r="R325" s="63" t="str">
        <f t="shared" si="157"/>
        <v/>
      </c>
      <c r="S325" s="64" t="str">
        <f t="shared" si="158"/>
        <v/>
      </c>
      <c r="T325" s="38">
        <v>0</v>
      </c>
      <c r="U325" s="64" t="str">
        <f t="shared" si="159"/>
        <v/>
      </c>
      <c r="V325" s="219"/>
      <c r="W325" s="43" t="str">
        <f t="shared" si="160"/>
        <v/>
      </c>
      <c r="X325" s="43" t="str">
        <f t="shared" si="161"/>
        <v/>
      </c>
      <c r="Y325" s="43"/>
      <c r="Z325" s="38" t="str">
        <f t="shared" si="162"/>
        <v/>
      </c>
      <c r="AA325" s="38" t="str">
        <f t="shared" si="163"/>
        <v/>
      </c>
      <c r="AB325" s="38" t="e">
        <f t="shared" si="164"/>
        <v>#VALUE!</v>
      </c>
      <c r="AC325" s="38" t="str">
        <f t="shared" si="165"/>
        <v/>
      </c>
      <c r="AD325" s="38" t="str">
        <f t="shared" si="165"/>
        <v/>
      </c>
      <c r="AE325" s="38" t="e">
        <f t="shared" si="166"/>
        <v>#VALUE!</v>
      </c>
      <c r="AF325" s="237" t="e">
        <f>((Summary!$N$13*(AA325*AD325)*(A325-$D$3))+(Summary!$M$13*Z325*AC325*(AJ325-EOMONTH(EDATE(A325,-1),0))))/(AK325*AB325*AE325)</f>
        <v>#VALUE!</v>
      </c>
      <c r="AG325" s="88" t="str">
        <f>IF($A326="","",Summary!$Q$13)</f>
        <v/>
      </c>
      <c r="AH325" s="88" t="str">
        <f>IF($A326="","",IF(Summary!$R$12="Y",(VLOOKUP($A325,Summary!$AD$6:$AF$9,3)+'Escalating commodity'!I338),'Escalating commodity'!I338))</f>
        <v/>
      </c>
      <c r="AI325" s="88" t="str">
        <f t="shared" si="181"/>
        <v/>
      </c>
      <c r="AJ325" s="236" t="e">
        <f t="shared" si="167"/>
        <v>#VALUE!</v>
      </c>
      <c r="AK325" s="58" t="str">
        <f t="shared" si="168"/>
        <v/>
      </c>
      <c r="AL325" s="26" t="str">
        <f>IF($A326="","",_xll.SPRDOPT(P325,X325,AI325,0,AB325,AE325,AF325,AK325,$AJ$2,0))</f>
        <v/>
      </c>
      <c r="AM325" s="209" t="str">
        <f t="shared" si="169"/>
        <v/>
      </c>
      <c r="AN325" s="89" t="str">
        <f t="shared" si="170"/>
        <v/>
      </c>
      <c r="AO325" s="3" t="str">
        <f t="shared" si="171"/>
        <v/>
      </c>
      <c r="AP325" s="33" t="str">
        <f t="shared" si="172"/>
        <v/>
      </c>
      <c r="AQ325" s="58" t="str">
        <f t="shared" si="173"/>
        <v/>
      </c>
      <c r="AR325" s="38">
        <f>'ANR OK vs ML7'!AR325</f>
        <v>0.1</v>
      </c>
      <c r="AS325" s="35" t="str">
        <f t="shared" si="174"/>
        <v/>
      </c>
      <c r="AT325" s="3" t="str">
        <f t="shared" si="175"/>
        <v/>
      </c>
      <c r="AU325" s="3" t="str">
        <f t="shared" si="176"/>
        <v/>
      </c>
      <c r="AW325" s="32" t="str">
        <f t="shared" si="177"/>
        <v/>
      </c>
      <c r="AX325" s="32" t="str">
        <f t="shared" si="178"/>
        <v/>
      </c>
      <c r="AY325" s="32" t="str">
        <f t="shared" si="179"/>
        <v/>
      </c>
      <c r="BA325" s="32" t="str">
        <f>IF($A326="","",F325*Summary!$Q$13)</f>
        <v/>
      </c>
    </row>
    <row r="326" spans="1:53" ht="12" customHeight="1">
      <c r="A326" s="67" t="str">
        <f t="shared" si="180"/>
        <v/>
      </c>
      <c r="B326" s="69" t="str">
        <f t="shared" si="182"/>
        <v/>
      </c>
      <c r="C326" s="71"/>
      <c r="D326" s="69" t="str">
        <f t="shared" si="147"/>
        <v/>
      </c>
      <c r="E326" s="70" t="str">
        <f t="shared" si="148"/>
        <v/>
      </c>
      <c r="F326" s="70" t="str">
        <f t="shared" si="149"/>
        <v/>
      </c>
      <c r="G326" s="63" t="str">
        <f t="shared" si="150"/>
        <v/>
      </c>
      <c r="H326" s="64" t="str">
        <f t="shared" si="151"/>
        <v/>
      </c>
      <c r="I326" s="43"/>
      <c r="J326" s="63" t="str">
        <f t="shared" si="152"/>
        <v/>
      </c>
      <c r="K326" s="64" t="str">
        <f t="shared" si="153"/>
        <v/>
      </c>
      <c r="L326" s="38">
        <v>0</v>
      </c>
      <c r="M326" s="64" t="str">
        <f t="shared" si="154"/>
        <v/>
      </c>
      <c r="N326" s="65"/>
      <c r="O326" s="63" t="str">
        <f t="shared" si="155"/>
        <v/>
      </c>
      <c r="P326" s="63" t="str">
        <f t="shared" si="156"/>
        <v/>
      </c>
      <c r="Q326" s="66"/>
      <c r="R326" s="63" t="str">
        <f t="shared" si="157"/>
        <v/>
      </c>
      <c r="S326" s="64" t="str">
        <f t="shared" si="158"/>
        <v/>
      </c>
      <c r="T326" s="38">
        <v>0</v>
      </c>
      <c r="U326" s="64" t="str">
        <f t="shared" si="159"/>
        <v/>
      </c>
      <c r="V326" s="219"/>
      <c r="W326" s="43" t="str">
        <f t="shared" si="160"/>
        <v/>
      </c>
      <c r="X326" s="43" t="str">
        <f t="shared" si="161"/>
        <v/>
      </c>
      <c r="Y326" s="43"/>
      <c r="Z326" s="38" t="str">
        <f t="shared" si="162"/>
        <v/>
      </c>
      <c r="AA326" s="38" t="str">
        <f t="shared" si="163"/>
        <v/>
      </c>
      <c r="AB326" s="38" t="e">
        <f t="shared" si="164"/>
        <v>#VALUE!</v>
      </c>
      <c r="AC326" s="38" t="str">
        <f t="shared" si="165"/>
        <v/>
      </c>
      <c r="AD326" s="38" t="str">
        <f t="shared" si="165"/>
        <v/>
      </c>
      <c r="AE326" s="38" t="e">
        <f t="shared" si="166"/>
        <v>#VALUE!</v>
      </c>
      <c r="AF326" s="237" t="e">
        <f>((Summary!$N$13*(AA326*AD326)*(A326-$D$3))+(Summary!$M$13*Z326*AC326*(AJ326-EOMONTH(EDATE(A326,-1),0))))/(AK326*AB326*AE326)</f>
        <v>#VALUE!</v>
      </c>
      <c r="AG326" s="88" t="str">
        <f>IF($A327="","",Summary!$Q$13)</f>
        <v/>
      </c>
      <c r="AH326" s="88" t="str">
        <f>IF($A327="","",IF(Summary!$R$12="Y",(VLOOKUP($A326,Summary!$AD$6:$AF$9,3)+'Escalating commodity'!I339),'Escalating commodity'!I339))</f>
        <v/>
      </c>
      <c r="AI326" s="88" t="str">
        <f t="shared" si="181"/>
        <v/>
      </c>
      <c r="AJ326" s="236" t="e">
        <f t="shared" si="167"/>
        <v>#VALUE!</v>
      </c>
      <c r="AK326" s="58" t="str">
        <f t="shared" si="168"/>
        <v/>
      </c>
      <c r="AL326" s="26" t="str">
        <f>IF($A327="","",_xll.SPRDOPT(P326,X326,AI326,0,AB326,AE326,AF326,AK326,$AJ$2,0))</f>
        <v/>
      </c>
      <c r="AM326" s="209" t="str">
        <f t="shared" si="169"/>
        <v/>
      </c>
      <c r="AN326" s="89" t="str">
        <f t="shared" si="170"/>
        <v/>
      </c>
      <c r="AO326" s="3" t="str">
        <f t="shared" si="171"/>
        <v/>
      </c>
      <c r="AP326" s="33" t="str">
        <f t="shared" si="172"/>
        <v/>
      </c>
      <c r="AQ326" s="58" t="str">
        <f t="shared" si="173"/>
        <v/>
      </c>
      <c r="AR326" s="38">
        <f>'ANR OK vs ML7'!AR326</f>
        <v>0.1</v>
      </c>
      <c r="AS326" s="35" t="str">
        <f t="shared" si="174"/>
        <v/>
      </c>
      <c r="AT326" s="3" t="str">
        <f t="shared" si="175"/>
        <v/>
      </c>
      <c r="AU326" s="3" t="str">
        <f t="shared" si="176"/>
        <v/>
      </c>
      <c r="AW326" s="32" t="str">
        <f t="shared" si="177"/>
        <v/>
      </c>
      <c r="AX326" s="32" t="str">
        <f t="shared" si="178"/>
        <v/>
      </c>
      <c r="AY326" s="32" t="str">
        <f t="shared" si="179"/>
        <v/>
      </c>
      <c r="BA326" s="32" t="str">
        <f>IF($A327="","",F326*Summary!$Q$13)</f>
        <v/>
      </c>
    </row>
    <row r="327" spans="1:53" ht="12" customHeight="1">
      <c r="A327" s="67" t="str">
        <f t="shared" si="180"/>
        <v/>
      </c>
      <c r="B327" s="69" t="str">
        <f t="shared" si="182"/>
        <v/>
      </c>
      <c r="C327" s="71"/>
      <c r="D327" s="69" t="str">
        <f t="shared" si="147"/>
        <v/>
      </c>
      <c r="E327" s="70" t="str">
        <f t="shared" si="148"/>
        <v/>
      </c>
      <c r="F327" s="70" t="str">
        <f t="shared" si="149"/>
        <v/>
      </c>
      <c r="G327" s="63" t="str">
        <f t="shared" si="150"/>
        <v/>
      </c>
      <c r="H327" s="64" t="str">
        <f t="shared" si="151"/>
        <v/>
      </c>
      <c r="I327" s="43"/>
      <c r="J327" s="63" t="str">
        <f t="shared" si="152"/>
        <v/>
      </c>
      <c r="K327" s="64" t="str">
        <f t="shared" si="153"/>
        <v/>
      </c>
      <c r="L327" s="38">
        <v>0</v>
      </c>
      <c r="M327" s="64" t="str">
        <f t="shared" si="154"/>
        <v/>
      </c>
      <c r="N327" s="65"/>
      <c r="O327" s="63" t="str">
        <f t="shared" si="155"/>
        <v/>
      </c>
      <c r="P327" s="63" t="str">
        <f t="shared" si="156"/>
        <v/>
      </c>
      <c r="Q327" s="66"/>
      <c r="R327" s="63" t="str">
        <f t="shared" si="157"/>
        <v/>
      </c>
      <c r="S327" s="64" t="str">
        <f t="shared" si="158"/>
        <v/>
      </c>
      <c r="T327" s="38">
        <v>0</v>
      </c>
      <c r="U327" s="64" t="str">
        <f t="shared" si="159"/>
        <v/>
      </c>
      <c r="V327" s="219"/>
      <c r="W327" s="43" t="str">
        <f t="shared" si="160"/>
        <v/>
      </c>
      <c r="X327" s="43" t="str">
        <f t="shared" si="161"/>
        <v/>
      </c>
      <c r="Y327" s="43"/>
      <c r="Z327" s="38" t="str">
        <f t="shared" si="162"/>
        <v/>
      </c>
      <c r="AA327" s="38" t="str">
        <f t="shared" si="163"/>
        <v/>
      </c>
      <c r="AB327" s="38" t="e">
        <f t="shared" si="164"/>
        <v>#VALUE!</v>
      </c>
      <c r="AC327" s="38" t="str">
        <f t="shared" si="165"/>
        <v/>
      </c>
      <c r="AD327" s="38" t="str">
        <f t="shared" si="165"/>
        <v/>
      </c>
      <c r="AE327" s="38" t="e">
        <f t="shared" si="166"/>
        <v>#VALUE!</v>
      </c>
      <c r="AF327" s="237" t="e">
        <f>((Summary!$N$13*(AA327*AD327)*(A327-$D$3))+(Summary!$M$13*Z327*AC327*(AJ327-EOMONTH(EDATE(A327,-1),0))))/(AK327*AB327*AE327)</f>
        <v>#VALUE!</v>
      </c>
      <c r="AG327" s="88" t="str">
        <f>IF($A328="","",Summary!$Q$13)</f>
        <v/>
      </c>
      <c r="AH327" s="88" t="str">
        <f>IF($A328="","",IF(Summary!$R$12="Y",(VLOOKUP($A327,Summary!$AD$6:$AF$9,3)+'Escalating commodity'!I340),'Escalating commodity'!I340))</f>
        <v/>
      </c>
      <c r="AI327" s="88" t="str">
        <f t="shared" si="181"/>
        <v/>
      </c>
      <c r="AJ327" s="236" t="e">
        <f t="shared" si="167"/>
        <v>#VALUE!</v>
      </c>
      <c r="AK327" s="58" t="str">
        <f t="shared" si="168"/>
        <v/>
      </c>
      <c r="AL327" s="26" t="str">
        <f>IF($A328="","",_xll.SPRDOPT(P327,X327,AI327,0,AB327,AE327,AF327,AK327,$AJ$2,0))</f>
        <v/>
      </c>
      <c r="AM327" s="209" t="str">
        <f t="shared" si="169"/>
        <v/>
      </c>
      <c r="AN327" s="89" t="str">
        <f t="shared" si="170"/>
        <v/>
      </c>
      <c r="AO327" s="3" t="str">
        <f t="shared" si="171"/>
        <v/>
      </c>
      <c r="AP327" s="33" t="str">
        <f t="shared" si="172"/>
        <v/>
      </c>
      <c r="AQ327" s="58" t="str">
        <f t="shared" si="173"/>
        <v/>
      </c>
      <c r="AR327" s="38">
        <f>'ANR OK vs ML7'!AR327</f>
        <v>0.1</v>
      </c>
      <c r="AS327" s="35" t="str">
        <f t="shared" si="174"/>
        <v/>
      </c>
      <c r="AT327" s="3" t="str">
        <f t="shared" si="175"/>
        <v/>
      </c>
      <c r="AU327" s="3" t="str">
        <f t="shared" si="176"/>
        <v/>
      </c>
      <c r="AW327" s="32" t="str">
        <f t="shared" si="177"/>
        <v/>
      </c>
      <c r="AX327" s="32" t="str">
        <f t="shared" si="178"/>
        <v/>
      </c>
      <c r="AY327" s="32" t="str">
        <f t="shared" si="179"/>
        <v/>
      </c>
      <c r="BA327" s="32" t="str">
        <f>IF($A328="","",F327*Summary!$Q$13)</f>
        <v/>
      </c>
    </row>
    <row r="328" spans="1:53" ht="12" customHeight="1">
      <c r="A328" s="67" t="str">
        <f t="shared" si="180"/>
        <v/>
      </c>
      <c r="B328" s="69" t="str">
        <f t="shared" si="182"/>
        <v/>
      </c>
      <c r="C328" s="71"/>
      <c r="D328" s="69" t="str">
        <f t="shared" si="147"/>
        <v/>
      </c>
      <c r="E328" s="70" t="str">
        <f t="shared" si="148"/>
        <v/>
      </c>
      <c r="F328" s="70" t="str">
        <f t="shared" si="149"/>
        <v/>
      </c>
      <c r="G328" s="63" t="str">
        <f t="shared" si="150"/>
        <v/>
      </c>
      <c r="H328" s="64" t="str">
        <f t="shared" si="151"/>
        <v/>
      </c>
      <c r="I328" s="43"/>
      <c r="J328" s="63" t="str">
        <f t="shared" si="152"/>
        <v/>
      </c>
      <c r="K328" s="64" t="str">
        <f t="shared" si="153"/>
        <v/>
      </c>
      <c r="L328" s="38">
        <v>0</v>
      </c>
      <c r="M328" s="64" t="str">
        <f t="shared" si="154"/>
        <v/>
      </c>
      <c r="N328" s="65"/>
      <c r="O328" s="63" t="str">
        <f t="shared" si="155"/>
        <v/>
      </c>
      <c r="P328" s="63" t="str">
        <f t="shared" si="156"/>
        <v/>
      </c>
      <c r="Q328" s="66"/>
      <c r="R328" s="63" t="str">
        <f t="shared" si="157"/>
        <v/>
      </c>
      <c r="S328" s="64" t="str">
        <f t="shared" si="158"/>
        <v/>
      </c>
      <c r="T328" s="38">
        <v>0</v>
      </c>
      <c r="U328" s="64" t="str">
        <f t="shared" si="159"/>
        <v/>
      </c>
      <c r="V328" s="219"/>
      <c r="W328" s="43" t="str">
        <f t="shared" si="160"/>
        <v/>
      </c>
      <c r="X328" s="43" t="str">
        <f t="shared" si="161"/>
        <v/>
      </c>
      <c r="Y328" s="43"/>
      <c r="Z328" s="38" t="str">
        <f t="shared" si="162"/>
        <v/>
      </c>
      <c r="AA328" s="38" t="str">
        <f t="shared" si="163"/>
        <v/>
      </c>
      <c r="AB328" s="38" t="e">
        <f t="shared" si="164"/>
        <v>#VALUE!</v>
      </c>
      <c r="AC328" s="38" t="str">
        <f t="shared" si="165"/>
        <v/>
      </c>
      <c r="AD328" s="38" t="str">
        <f t="shared" si="165"/>
        <v/>
      </c>
      <c r="AE328" s="38" t="e">
        <f t="shared" si="166"/>
        <v>#VALUE!</v>
      </c>
      <c r="AF328" s="237" t="e">
        <f>((Summary!$N$13*(AA328*AD328)*(A328-$D$3))+(Summary!$M$13*Z328*AC328*(AJ328-EOMONTH(EDATE(A328,-1),0))))/(AK328*AB328*AE328)</f>
        <v>#VALUE!</v>
      </c>
      <c r="AG328" s="88" t="str">
        <f>IF($A329="","",Summary!$Q$13)</f>
        <v/>
      </c>
      <c r="AH328" s="88" t="str">
        <f>IF($A329="","",IF(Summary!$R$12="Y",(VLOOKUP($A328,Summary!$AD$6:$AF$9,3)+'Escalating commodity'!I341),'Escalating commodity'!I341))</f>
        <v/>
      </c>
      <c r="AI328" s="88" t="str">
        <f t="shared" si="181"/>
        <v/>
      </c>
      <c r="AJ328" s="236" t="e">
        <f t="shared" si="167"/>
        <v>#VALUE!</v>
      </c>
      <c r="AK328" s="58" t="str">
        <f t="shared" si="168"/>
        <v/>
      </c>
      <c r="AL328" s="26" t="str">
        <f>IF($A329="","",_xll.SPRDOPT(P328,X328,AI328,0,AB328,AE328,AF328,AK328,$AJ$2,0))</f>
        <v/>
      </c>
      <c r="AM328" s="209" t="str">
        <f t="shared" si="169"/>
        <v/>
      </c>
      <c r="AN328" s="89" t="str">
        <f t="shared" si="170"/>
        <v/>
      </c>
      <c r="AO328" s="3" t="str">
        <f t="shared" si="171"/>
        <v/>
      </c>
      <c r="AP328" s="33" t="str">
        <f t="shared" si="172"/>
        <v/>
      </c>
      <c r="AQ328" s="58" t="str">
        <f t="shared" si="173"/>
        <v/>
      </c>
      <c r="AR328" s="38">
        <f>'ANR OK vs ML7'!AR328</f>
        <v>0.1</v>
      </c>
      <c r="AS328" s="35" t="str">
        <f t="shared" si="174"/>
        <v/>
      </c>
      <c r="AT328" s="3" t="str">
        <f t="shared" si="175"/>
        <v/>
      </c>
      <c r="AU328" s="3" t="str">
        <f t="shared" si="176"/>
        <v/>
      </c>
      <c r="AW328" s="32" t="str">
        <f t="shared" si="177"/>
        <v/>
      </c>
      <c r="AX328" s="32" t="str">
        <f t="shared" si="178"/>
        <v/>
      </c>
      <c r="AY328" s="32" t="str">
        <f t="shared" si="179"/>
        <v/>
      </c>
      <c r="BA328" s="32" t="str">
        <f>IF($A329="","",F328*Summary!$Q$13)</f>
        <v/>
      </c>
    </row>
    <row r="329" spans="1:53" ht="12" customHeight="1">
      <c r="A329" s="67" t="str">
        <f t="shared" si="180"/>
        <v/>
      </c>
      <c r="B329" s="69" t="str">
        <f t="shared" si="182"/>
        <v/>
      </c>
      <c r="C329" s="71"/>
      <c r="D329" s="69" t="str">
        <f t="shared" si="147"/>
        <v/>
      </c>
      <c r="E329" s="70" t="str">
        <f t="shared" si="148"/>
        <v/>
      </c>
      <c r="F329" s="70" t="str">
        <f t="shared" si="149"/>
        <v/>
      </c>
      <c r="G329" s="63" t="str">
        <f t="shared" si="150"/>
        <v/>
      </c>
      <c r="H329" s="64" t="str">
        <f t="shared" si="151"/>
        <v/>
      </c>
      <c r="I329" s="43"/>
      <c r="J329" s="63" t="str">
        <f t="shared" si="152"/>
        <v/>
      </c>
      <c r="K329" s="64" t="str">
        <f t="shared" si="153"/>
        <v/>
      </c>
      <c r="L329" s="38">
        <v>0</v>
      </c>
      <c r="M329" s="64" t="str">
        <f t="shared" si="154"/>
        <v/>
      </c>
      <c r="N329" s="65"/>
      <c r="O329" s="63" t="str">
        <f t="shared" si="155"/>
        <v/>
      </c>
      <c r="P329" s="63" t="str">
        <f t="shared" si="156"/>
        <v/>
      </c>
      <c r="Q329" s="66"/>
      <c r="R329" s="63" t="str">
        <f t="shared" si="157"/>
        <v/>
      </c>
      <c r="S329" s="64" t="str">
        <f t="shared" si="158"/>
        <v/>
      </c>
      <c r="T329" s="38">
        <v>0</v>
      </c>
      <c r="U329" s="64" t="str">
        <f t="shared" si="159"/>
        <v/>
      </c>
      <c r="V329" s="219"/>
      <c r="W329" s="43" t="str">
        <f t="shared" si="160"/>
        <v/>
      </c>
      <c r="X329" s="43" t="str">
        <f t="shared" si="161"/>
        <v/>
      </c>
      <c r="Y329" s="43"/>
      <c r="Z329" s="38" t="str">
        <f t="shared" si="162"/>
        <v/>
      </c>
      <c r="AA329" s="38" t="str">
        <f t="shared" si="163"/>
        <v/>
      </c>
      <c r="AB329" s="38" t="e">
        <f t="shared" si="164"/>
        <v>#VALUE!</v>
      </c>
      <c r="AC329" s="38" t="str">
        <f t="shared" si="165"/>
        <v/>
      </c>
      <c r="AD329" s="38" t="str">
        <f t="shared" si="165"/>
        <v/>
      </c>
      <c r="AE329" s="38" t="e">
        <f t="shared" si="166"/>
        <v>#VALUE!</v>
      </c>
      <c r="AF329" s="237" t="e">
        <f>((Summary!$N$13*(AA329*AD329)*(A329-$D$3))+(Summary!$M$13*Z329*AC329*(AJ329-EOMONTH(EDATE(A329,-1),0))))/(AK329*AB329*AE329)</f>
        <v>#VALUE!</v>
      </c>
      <c r="AG329" s="88" t="str">
        <f>IF($A330="","",Summary!$Q$13)</f>
        <v/>
      </c>
      <c r="AH329" s="88" t="str">
        <f>IF($A330="","",IF(Summary!$R$12="Y",(VLOOKUP($A329,Summary!$AD$6:$AF$9,3)+'Escalating commodity'!I342),'Escalating commodity'!I342))</f>
        <v/>
      </c>
      <c r="AI329" s="88" t="str">
        <f t="shared" si="181"/>
        <v/>
      </c>
      <c r="AJ329" s="236" t="e">
        <f t="shared" si="167"/>
        <v>#VALUE!</v>
      </c>
      <c r="AK329" s="58" t="str">
        <f t="shared" si="168"/>
        <v/>
      </c>
      <c r="AL329" s="26" t="str">
        <f>IF($A330="","",_xll.SPRDOPT(P329,X329,AI329,0,AB329,AE329,AF329,AK329,$AJ$2,0))</f>
        <v/>
      </c>
      <c r="AM329" s="209" t="str">
        <f t="shared" si="169"/>
        <v/>
      </c>
      <c r="AN329" s="89" t="str">
        <f t="shared" si="170"/>
        <v/>
      </c>
      <c r="AO329" s="3" t="str">
        <f t="shared" si="171"/>
        <v/>
      </c>
      <c r="AP329" s="33" t="str">
        <f t="shared" si="172"/>
        <v/>
      </c>
      <c r="AQ329" s="58" t="str">
        <f t="shared" si="173"/>
        <v/>
      </c>
      <c r="AR329" s="38">
        <f>'ANR OK vs ML7'!AR329</f>
        <v>0.1</v>
      </c>
      <c r="AS329" s="35" t="str">
        <f t="shared" si="174"/>
        <v/>
      </c>
      <c r="AT329" s="3" t="str">
        <f t="shared" si="175"/>
        <v/>
      </c>
      <c r="AU329" s="3" t="str">
        <f t="shared" si="176"/>
        <v/>
      </c>
      <c r="AW329" s="32" t="str">
        <f t="shared" si="177"/>
        <v/>
      </c>
      <c r="AX329" s="32" t="str">
        <f t="shared" si="178"/>
        <v/>
      </c>
      <c r="AY329" s="32" t="str">
        <f t="shared" si="179"/>
        <v/>
      </c>
      <c r="BA329" s="32" t="str">
        <f>IF($A330="","",F329*Summary!$Q$13)</f>
        <v/>
      </c>
    </row>
    <row r="330" spans="1:53" ht="12" customHeight="1">
      <c r="A330" s="67" t="str">
        <f t="shared" si="180"/>
        <v/>
      </c>
      <c r="B330" s="69" t="str">
        <f t="shared" si="182"/>
        <v/>
      </c>
      <c r="C330" s="71"/>
      <c r="D330" s="69" t="str">
        <f t="shared" ref="D330:D393" si="183">IF(A331&lt;&gt;"",B330+C330,"")</f>
        <v/>
      </c>
      <c r="E330" s="70" t="str">
        <f t="shared" ref="E330:E393" si="184">IF(A331="","",IF(AND(AT330=1,$H$3=1),D330*AO330,IF($H$3=2,D330,"N/A")))</f>
        <v/>
      </c>
      <c r="F330" s="70" t="str">
        <f t="shared" ref="F330:F393" si="185">IF(A331="","",E330*AS330)</f>
        <v/>
      </c>
      <c r="G330" s="63" t="str">
        <f t="shared" ref="G330:G393" si="186">IF($A331="","",VLOOKUP($A330,Table,MATCH(G$4,Curves,0)))</f>
        <v/>
      </c>
      <c r="H330" s="64" t="str">
        <f t="shared" ref="H330:H393" si="187">IF(A331="","",G330)</f>
        <v/>
      </c>
      <c r="I330" s="43"/>
      <c r="J330" s="63" t="str">
        <f t="shared" ref="J330:J393" si="188">IF($A331="","",VLOOKUP($A330,Table,MATCH(J$4,Curves,0)))</f>
        <v/>
      </c>
      <c r="K330" s="64" t="str">
        <f t="shared" ref="K330:K393" si="189">IF(A331="","",J330)</f>
        <v/>
      </c>
      <c r="L330" s="38">
        <v>0</v>
      </c>
      <c r="M330" s="64" t="str">
        <f t="shared" ref="M330:M393" si="190">IF(A331="","",L330)</f>
        <v/>
      </c>
      <c r="N330" s="65"/>
      <c r="O330" s="63" t="str">
        <f t="shared" ref="O330:O393" si="191">IF(A331="","",L330+J330+G330)</f>
        <v/>
      </c>
      <c r="P330" s="63" t="str">
        <f t="shared" ref="P330:P393" si="192">IF(A331="","",M330+K330+H330)</f>
        <v/>
      </c>
      <c r="Q330" s="66"/>
      <c r="R330" s="63" t="str">
        <f t="shared" ref="R330:R393" si="193">IF($A331="","",VLOOKUP($A330,Table,MATCH(R$4,Curves,0)))</f>
        <v/>
      </c>
      <c r="S330" s="64" t="str">
        <f t="shared" ref="S330:S393" si="194">IF(A331="","",R330)</f>
        <v/>
      </c>
      <c r="T330" s="38">
        <v>0</v>
      </c>
      <c r="U330" s="64" t="str">
        <f t="shared" ref="U330:U393" si="195">IF(A331="","",T330)</f>
        <v/>
      </c>
      <c r="V330" s="219"/>
      <c r="W330" s="43" t="str">
        <f t="shared" ref="W330:W393" si="196">IF($A331="","",(T330+R330+G330+V330))</f>
        <v/>
      </c>
      <c r="X330" s="43" t="str">
        <f t="shared" ref="X330:X393" si="197">IF($A331="","",(U330+S330+H330+V330))</f>
        <v/>
      </c>
      <c r="Y330" s="43"/>
      <c r="Z330" s="38" t="str">
        <f t="shared" ref="Z330:Z369" si="198">IF($A331="","",VLOOKUP($A330,Table,MATCH(Z$4,Curves,0)))</f>
        <v/>
      </c>
      <c r="AA330" s="38" t="str">
        <f t="shared" ref="AA330:AA369" si="199">IF($A331="","",VLOOKUP($A330,Table,MATCH(AA$4,Curves,0)))</f>
        <v/>
      </c>
      <c r="AB330" s="38" t="e">
        <f t="shared" ref="AB330:AB393" si="200">SQRT((AA330^2*(A330-$D$3)+Z330^2*(DAY(EOMONTH(A330,0))/2))/AK330)</f>
        <v>#VALUE!</v>
      </c>
      <c r="AC330" s="38" t="str">
        <f t="shared" ref="AC330:AD369" si="201">IF($A331="","",VLOOKUP($A330,Table,MATCH(AC$4,Curves,0)))</f>
        <v/>
      </c>
      <c r="AD330" s="38" t="str">
        <f t="shared" si="201"/>
        <v/>
      </c>
      <c r="AE330" s="38" t="e">
        <f t="shared" ref="AE330:AE393" si="202">SQRT((AD330^2*(A330-$D$3)+AC330^2*(DAY(EOMONTH(A330,0))/2))/AK330)</f>
        <v>#VALUE!</v>
      </c>
      <c r="AF330" s="237" t="e">
        <f>((Summary!$N$13*(AA330*AD330)*(A330-$D$3))+(Summary!$M$13*Z330*AC330*(AJ330-EOMONTH(EDATE(A330,-1),0))))/(AK330*AB330*AE330)</f>
        <v>#VALUE!</v>
      </c>
      <c r="AG330" s="88" t="str">
        <f>IF($A331="","",Summary!$Q$13)</f>
        <v/>
      </c>
      <c r="AH330" s="88" t="str">
        <f>IF($A331="","",IF(Summary!$R$12="Y",(VLOOKUP($A330,Summary!$AD$6:$AF$9,3)+'Escalating commodity'!I343),'Escalating commodity'!I343))</f>
        <v/>
      </c>
      <c r="AI330" s="88" t="str">
        <f t="shared" si="181"/>
        <v/>
      </c>
      <c r="AJ330" s="236" t="e">
        <f t="shared" ref="AJ330:AJ369" si="203">A330+DAY(EOMONTH(A330,0))/2-1</f>
        <v>#VALUE!</v>
      </c>
      <c r="AK330" s="58" t="str">
        <f t="shared" ref="AK330:AK369" si="204">IF($A331="","",$A330-$E$1)</f>
        <v/>
      </c>
      <c r="AL330" s="26" t="str">
        <f>IF($A331="","",_xll.SPRDOPT(P330,X330,AI330,0,AB330,AE330,AF330,AK330,$AJ$2,0))</f>
        <v/>
      </c>
      <c r="AM330" s="209" t="str">
        <f t="shared" ref="AM330:AM369" si="205">IF($A331="","",MAX(0,O330-W330-AI330))</f>
        <v/>
      </c>
      <c r="AN330" s="89" t="str">
        <f t="shared" ref="AN330:AN369" si="206">IF($A331="","",AL330-AM330)</f>
        <v/>
      </c>
      <c r="AO330" s="3" t="str">
        <f t="shared" ref="AO330:AO393" si="207">IF(A331="","",A331-A330)</f>
        <v/>
      </c>
      <c r="AP330" s="33" t="str">
        <f t="shared" ref="AP330:AP393" si="208">IF(A331="","",CHOOSE(F$3,A331+24,A330))</f>
        <v/>
      </c>
      <c r="AQ330" s="58" t="str">
        <f t="shared" ref="AQ330:AQ393" si="209">IF(A331="","",AP330-$E$1)</f>
        <v/>
      </c>
      <c r="AR330" s="38">
        <f>'ANR OK vs ML7'!AR330</f>
        <v>0.1</v>
      </c>
      <c r="AS330" s="35" t="str">
        <f t="shared" ref="AS330:AS393" si="210">IF(A331="","",1/(1+CHOOSE(F$3,(AR331+($I$3/10000))/2,(AR330+($I$3/10000))/2))^(2*AQ330/365.25))</f>
        <v/>
      </c>
      <c r="AT330" s="3" t="str">
        <f t="shared" ref="AT330:AT393" si="211">IF(A331="","",IF(AND(mthbeg&lt;=A330,mthend&gt;=A330),1,0))</f>
        <v/>
      </c>
      <c r="AU330" s="3" t="str">
        <f t="shared" ref="AU330:AU393" si="212">IF(A331="","",AO330*AT330)</f>
        <v/>
      </c>
      <c r="AW330" s="32" t="str">
        <f t="shared" ref="AW330:AW393" si="213">IF($A331="","",AL330*$E330)</f>
        <v/>
      </c>
      <c r="AX330" s="32" t="str">
        <f t="shared" ref="AX330:AX393" si="214">IF($A331="","",AM330*$E330)</f>
        <v/>
      </c>
      <c r="AY330" s="32" t="str">
        <f t="shared" ref="AY330:AY393" si="215">IF($A331="","",AN330*$E330)</f>
        <v/>
      </c>
      <c r="BA330" s="32" t="str">
        <f>IF($A331="","",F330*Summary!$Q$13)</f>
        <v/>
      </c>
    </row>
    <row r="331" spans="1:53" ht="12" customHeight="1">
      <c r="A331" s="67" t="str">
        <f t="shared" ref="A331:A394" si="216">IF(A330&lt;mthend,EDATE(A330,1),"")</f>
        <v/>
      </c>
      <c r="B331" s="69" t="str">
        <f t="shared" si="182"/>
        <v/>
      </c>
      <c r="C331" s="71"/>
      <c r="D331" s="69" t="str">
        <f t="shared" si="183"/>
        <v/>
      </c>
      <c r="E331" s="70" t="str">
        <f t="shared" si="184"/>
        <v/>
      </c>
      <c r="F331" s="70" t="str">
        <f t="shared" si="185"/>
        <v/>
      </c>
      <c r="G331" s="63" t="str">
        <f t="shared" si="186"/>
        <v/>
      </c>
      <c r="H331" s="64" t="str">
        <f t="shared" si="187"/>
        <v/>
      </c>
      <c r="I331" s="43"/>
      <c r="J331" s="63" t="str">
        <f t="shared" si="188"/>
        <v/>
      </c>
      <c r="K331" s="64" t="str">
        <f t="shared" si="189"/>
        <v/>
      </c>
      <c r="L331" s="38">
        <v>0</v>
      </c>
      <c r="M331" s="64" t="str">
        <f t="shared" si="190"/>
        <v/>
      </c>
      <c r="N331" s="65"/>
      <c r="O331" s="63" t="str">
        <f t="shared" si="191"/>
        <v/>
      </c>
      <c r="P331" s="63" t="str">
        <f t="shared" si="192"/>
        <v/>
      </c>
      <c r="Q331" s="66"/>
      <c r="R331" s="63" t="str">
        <f t="shared" si="193"/>
        <v/>
      </c>
      <c r="S331" s="64" t="str">
        <f t="shared" si="194"/>
        <v/>
      </c>
      <c r="T331" s="38">
        <v>0</v>
      </c>
      <c r="U331" s="64" t="str">
        <f t="shared" si="195"/>
        <v/>
      </c>
      <c r="V331" s="219"/>
      <c r="W331" s="43" t="str">
        <f t="shared" si="196"/>
        <v/>
      </c>
      <c r="X331" s="43" t="str">
        <f t="shared" si="197"/>
        <v/>
      </c>
      <c r="Y331" s="43"/>
      <c r="Z331" s="38" t="str">
        <f t="shared" si="198"/>
        <v/>
      </c>
      <c r="AA331" s="38" t="str">
        <f t="shared" si="199"/>
        <v/>
      </c>
      <c r="AB331" s="38" t="e">
        <f t="shared" si="200"/>
        <v>#VALUE!</v>
      </c>
      <c r="AC331" s="38" t="str">
        <f t="shared" si="201"/>
        <v/>
      </c>
      <c r="AD331" s="38" t="str">
        <f t="shared" si="201"/>
        <v/>
      </c>
      <c r="AE331" s="38" t="e">
        <f t="shared" si="202"/>
        <v>#VALUE!</v>
      </c>
      <c r="AF331" s="237" t="e">
        <f>((Summary!$N$13*(AA331*AD331)*(A331-$D$3))+(Summary!$M$13*Z331*AC331*(AJ331-EOMONTH(EDATE(A331,-1),0))))/(AK331*AB331*AE331)</f>
        <v>#VALUE!</v>
      </c>
      <c r="AG331" s="88" t="str">
        <f>IF($A332="","",Summary!$Q$13)</f>
        <v/>
      </c>
      <c r="AH331" s="88" t="str">
        <f>IF($A332="","",IF(Summary!$R$12="Y",(VLOOKUP($A331,Summary!$AD$6:$AF$9,3)+'Escalating commodity'!I344),'Escalating commodity'!I344))</f>
        <v/>
      </c>
      <c r="AI331" s="88" t="str">
        <f t="shared" ref="AI331:AI369" si="217">IF($A332="","",AH331)</f>
        <v/>
      </c>
      <c r="AJ331" s="236" t="e">
        <f t="shared" si="203"/>
        <v>#VALUE!</v>
      </c>
      <c r="AK331" s="58" t="str">
        <f t="shared" si="204"/>
        <v/>
      </c>
      <c r="AL331" s="26" t="str">
        <f>IF($A332="","",_xll.SPRDOPT(P331,X331,AI331,0,AB331,AE331,AF331,AK331,$AJ$2,0))</f>
        <v/>
      </c>
      <c r="AM331" s="209" t="str">
        <f t="shared" si="205"/>
        <v/>
      </c>
      <c r="AN331" s="89" t="str">
        <f t="shared" si="206"/>
        <v/>
      </c>
      <c r="AO331" s="3" t="str">
        <f t="shared" si="207"/>
        <v/>
      </c>
      <c r="AP331" s="33" t="str">
        <f t="shared" si="208"/>
        <v/>
      </c>
      <c r="AQ331" s="58" t="str">
        <f t="shared" si="209"/>
        <v/>
      </c>
      <c r="AR331" s="38">
        <f>'ANR OK vs ML7'!AR331</f>
        <v>0.1</v>
      </c>
      <c r="AS331" s="35" t="str">
        <f t="shared" si="210"/>
        <v/>
      </c>
      <c r="AT331" s="3" t="str">
        <f t="shared" si="211"/>
        <v/>
      </c>
      <c r="AU331" s="3" t="str">
        <f t="shared" si="212"/>
        <v/>
      </c>
      <c r="AW331" s="32" t="str">
        <f t="shared" si="213"/>
        <v/>
      </c>
      <c r="AX331" s="32" t="str">
        <f t="shared" si="214"/>
        <v/>
      </c>
      <c r="AY331" s="32" t="str">
        <f t="shared" si="215"/>
        <v/>
      </c>
      <c r="BA331" s="32" t="str">
        <f>IF($A332="","",F331*Summary!$Q$13)</f>
        <v/>
      </c>
    </row>
    <row r="332" spans="1:53" ht="12" customHeight="1">
      <c r="A332" s="67" t="str">
        <f t="shared" si="216"/>
        <v/>
      </c>
      <c r="B332" s="69" t="str">
        <f t="shared" ref="B332:B395" si="218">IF(A332&lt;mthend,B331,"")</f>
        <v/>
      </c>
      <c r="C332" s="71"/>
      <c r="D332" s="69" t="str">
        <f t="shared" si="183"/>
        <v/>
      </c>
      <c r="E332" s="70" t="str">
        <f t="shared" si="184"/>
        <v/>
      </c>
      <c r="F332" s="70" t="str">
        <f t="shared" si="185"/>
        <v/>
      </c>
      <c r="G332" s="63" t="str">
        <f t="shared" si="186"/>
        <v/>
      </c>
      <c r="H332" s="64" t="str">
        <f t="shared" si="187"/>
        <v/>
      </c>
      <c r="I332" s="43"/>
      <c r="J332" s="63" t="str">
        <f t="shared" si="188"/>
        <v/>
      </c>
      <c r="K332" s="64" t="str">
        <f t="shared" si="189"/>
        <v/>
      </c>
      <c r="L332" s="38">
        <v>0</v>
      </c>
      <c r="M332" s="64" t="str">
        <f t="shared" si="190"/>
        <v/>
      </c>
      <c r="N332" s="65"/>
      <c r="O332" s="63" t="str">
        <f t="shared" si="191"/>
        <v/>
      </c>
      <c r="P332" s="63" t="str">
        <f t="shared" si="192"/>
        <v/>
      </c>
      <c r="Q332" s="66"/>
      <c r="R332" s="63" t="str">
        <f t="shared" si="193"/>
        <v/>
      </c>
      <c r="S332" s="64" t="str">
        <f t="shared" si="194"/>
        <v/>
      </c>
      <c r="T332" s="38">
        <v>0</v>
      </c>
      <c r="U332" s="64" t="str">
        <f t="shared" si="195"/>
        <v/>
      </c>
      <c r="V332" s="219"/>
      <c r="W332" s="43" t="str">
        <f t="shared" si="196"/>
        <v/>
      </c>
      <c r="X332" s="43" t="str">
        <f t="shared" si="197"/>
        <v/>
      </c>
      <c r="Y332" s="43"/>
      <c r="Z332" s="38" t="str">
        <f t="shared" si="198"/>
        <v/>
      </c>
      <c r="AA332" s="38" t="str">
        <f t="shared" si="199"/>
        <v/>
      </c>
      <c r="AB332" s="38" t="e">
        <f t="shared" si="200"/>
        <v>#VALUE!</v>
      </c>
      <c r="AC332" s="38" t="str">
        <f t="shared" si="201"/>
        <v/>
      </c>
      <c r="AD332" s="38" t="str">
        <f t="shared" si="201"/>
        <v/>
      </c>
      <c r="AE332" s="38" t="e">
        <f t="shared" si="202"/>
        <v>#VALUE!</v>
      </c>
      <c r="AF332" s="237" t="e">
        <f>((Summary!$N$13*(AA332*AD332)*(A332-$D$3))+(Summary!$M$13*Z332*AC332*(AJ332-EOMONTH(EDATE(A332,-1),0))))/(AK332*AB332*AE332)</f>
        <v>#VALUE!</v>
      </c>
      <c r="AG332" s="88" t="str">
        <f>IF($A333="","",Summary!$Q$13)</f>
        <v/>
      </c>
      <c r="AH332" s="88" t="str">
        <f>IF($A333="","",IF(Summary!$R$12="Y",(VLOOKUP($A332,Summary!$AD$6:$AF$9,3)+'Escalating commodity'!I345),'Escalating commodity'!I345))</f>
        <v/>
      </c>
      <c r="AI332" s="88" t="str">
        <f t="shared" si="217"/>
        <v/>
      </c>
      <c r="AJ332" s="236" t="e">
        <f t="shared" si="203"/>
        <v>#VALUE!</v>
      </c>
      <c r="AK332" s="58" t="str">
        <f t="shared" si="204"/>
        <v/>
      </c>
      <c r="AL332" s="26" t="str">
        <f>IF($A333="","",_xll.SPRDOPT(P332,X332,AI332,0,AB332,AE332,AF332,AK332,$AJ$2,0))</f>
        <v/>
      </c>
      <c r="AM332" s="209" t="str">
        <f t="shared" si="205"/>
        <v/>
      </c>
      <c r="AN332" s="89" t="str">
        <f t="shared" si="206"/>
        <v/>
      </c>
      <c r="AO332" s="3" t="str">
        <f t="shared" si="207"/>
        <v/>
      </c>
      <c r="AP332" s="33" t="str">
        <f t="shared" si="208"/>
        <v/>
      </c>
      <c r="AQ332" s="58" t="str">
        <f t="shared" si="209"/>
        <v/>
      </c>
      <c r="AR332" s="38">
        <f>'ANR OK vs ML7'!AR332</f>
        <v>0.1</v>
      </c>
      <c r="AS332" s="35" t="str">
        <f t="shared" si="210"/>
        <v/>
      </c>
      <c r="AT332" s="3" t="str">
        <f t="shared" si="211"/>
        <v/>
      </c>
      <c r="AU332" s="3" t="str">
        <f t="shared" si="212"/>
        <v/>
      </c>
      <c r="AW332" s="32" t="str">
        <f t="shared" si="213"/>
        <v/>
      </c>
      <c r="AX332" s="32" t="str">
        <f t="shared" si="214"/>
        <v/>
      </c>
      <c r="AY332" s="32" t="str">
        <f t="shared" si="215"/>
        <v/>
      </c>
      <c r="BA332" s="32" t="str">
        <f>IF($A333="","",F332*Summary!$Q$13)</f>
        <v/>
      </c>
    </row>
    <row r="333" spans="1:53" ht="12" customHeight="1">
      <c r="A333" s="67" t="str">
        <f t="shared" si="216"/>
        <v/>
      </c>
      <c r="B333" s="69" t="str">
        <f t="shared" si="218"/>
        <v/>
      </c>
      <c r="C333" s="71"/>
      <c r="D333" s="69" t="str">
        <f t="shared" si="183"/>
        <v/>
      </c>
      <c r="E333" s="70" t="str">
        <f t="shared" si="184"/>
        <v/>
      </c>
      <c r="F333" s="70" t="str">
        <f t="shared" si="185"/>
        <v/>
      </c>
      <c r="G333" s="63" t="str">
        <f t="shared" si="186"/>
        <v/>
      </c>
      <c r="H333" s="64" t="str">
        <f t="shared" si="187"/>
        <v/>
      </c>
      <c r="I333" s="43"/>
      <c r="J333" s="63" t="str">
        <f t="shared" si="188"/>
        <v/>
      </c>
      <c r="K333" s="64" t="str">
        <f t="shared" si="189"/>
        <v/>
      </c>
      <c r="L333" s="38">
        <v>0</v>
      </c>
      <c r="M333" s="64" t="str">
        <f t="shared" si="190"/>
        <v/>
      </c>
      <c r="N333" s="65"/>
      <c r="O333" s="63" t="str">
        <f t="shared" si="191"/>
        <v/>
      </c>
      <c r="P333" s="63" t="str">
        <f t="shared" si="192"/>
        <v/>
      </c>
      <c r="Q333" s="66"/>
      <c r="R333" s="63" t="str">
        <f t="shared" si="193"/>
        <v/>
      </c>
      <c r="S333" s="64" t="str">
        <f t="shared" si="194"/>
        <v/>
      </c>
      <c r="T333" s="38">
        <v>0</v>
      </c>
      <c r="U333" s="64" t="str">
        <f t="shared" si="195"/>
        <v/>
      </c>
      <c r="V333" s="219"/>
      <c r="W333" s="43" t="str">
        <f t="shared" si="196"/>
        <v/>
      </c>
      <c r="X333" s="43" t="str">
        <f t="shared" si="197"/>
        <v/>
      </c>
      <c r="Y333" s="43"/>
      <c r="Z333" s="38" t="str">
        <f t="shared" si="198"/>
        <v/>
      </c>
      <c r="AA333" s="38" t="str">
        <f t="shared" si="199"/>
        <v/>
      </c>
      <c r="AB333" s="38" t="e">
        <f t="shared" si="200"/>
        <v>#VALUE!</v>
      </c>
      <c r="AC333" s="38" t="str">
        <f t="shared" si="201"/>
        <v/>
      </c>
      <c r="AD333" s="38" t="str">
        <f t="shared" si="201"/>
        <v/>
      </c>
      <c r="AE333" s="38" t="e">
        <f t="shared" si="202"/>
        <v>#VALUE!</v>
      </c>
      <c r="AF333" s="237" t="e">
        <f>((Summary!$N$13*(AA333*AD333)*(A333-$D$3))+(Summary!$M$13*Z333*AC333*(AJ333-EOMONTH(EDATE(A333,-1),0))))/(AK333*AB333*AE333)</f>
        <v>#VALUE!</v>
      </c>
      <c r="AG333" s="88" t="str">
        <f>IF($A334="","",Summary!$Q$13)</f>
        <v/>
      </c>
      <c r="AH333" s="88" t="str">
        <f>IF($A334="","",IF(Summary!$R$12="Y",(VLOOKUP($A333,Summary!$AD$6:$AF$9,3)+'Escalating commodity'!I346),'Escalating commodity'!I346))</f>
        <v/>
      </c>
      <c r="AI333" s="88" t="str">
        <f t="shared" si="217"/>
        <v/>
      </c>
      <c r="AJ333" s="236" t="e">
        <f t="shared" si="203"/>
        <v>#VALUE!</v>
      </c>
      <c r="AK333" s="58" t="str">
        <f t="shared" si="204"/>
        <v/>
      </c>
      <c r="AL333" s="26" t="str">
        <f>IF($A334="","",_xll.SPRDOPT(P333,X333,AI333,0,AB333,AE333,AF333,AK333,$AJ$2,0))</f>
        <v/>
      </c>
      <c r="AM333" s="209" t="str">
        <f t="shared" si="205"/>
        <v/>
      </c>
      <c r="AN333" s="89" t="str">
        <f t="shared" si="206"/>
        <v/>
      </c>
      <c r="AO333" s="3" t="str">
        <f t="shared" si="207"/>
        <v/>
      </c>
      <c r="AP333" s="33" t="str">
        <f t="shared" si="208"/>
        <v/>
      </c>
      <c r="AQ333" s="58" t="str">
        <f t="shared" si="209"/>
        <v/>
      </c>
      <c r="AR333" s="38">
        <f>'ANR OK vs ML7'!AR333</f>
        <v>0.1</v>
      </c>
      <c r="AS333" s="35" t="str">
        <f t="shared" si="210"/>
        <v/>
      </c>
      <c r="AT333" s="3" t="str">
        <f t="shared" si="211"/>
        <v/>
      </c>
      <c r="AU333" s="3" t="str">
        <f t="shared" si="212"/>
        <v/>
      </c>
      <c r="AW333" s="32" t="str">
        <f t="shared" si="213"/>
        <v/>
      </c>
      <c r="AX333" s="32" t="str">
        <f t="shared" si="214"/>
        <v/>
      </c>
      <c r="AY333" s="32" t="str">
        <f t="shared" si="215"/>
        <v/>
      </c>
      <c r="BA333" s="32" t="str">
        <f>IF($A334="","",F333*Summary!$Q$13)</f>
        <v/>
      </c>
    </row>
    <row r="334" spans="1:53" ht="12" customHeight="1">
      <c r="A334" s="67" t="str">
        <f t="shared" si="216"/>
        <v/>
      </c>
      <c r="B334" s="69" t="str">
        <f t="shared" si="218"/>
        <v/>
      </c>
      <c r="C334" s="71"/>
      <c r="D334" s="69" t="str">
        <f t="shared" si="183"/>
        <v/>
      </c>
      <c r="E334" s="70" t="str">
        <f t="shared" si="184"/>
        <v/>
      </c>
      <c r="F334" s="70" t="str">
        <f t="shared" si="185"/>
        <v/>
      </c>
      <c r="G334" s="63" t="str">
        <f t="shared" si="186"/>
        <v/>
      </c>
      <c r="H334" s="64" t="str">
        <f t="shared" si="187"/>
        <v/>
      </c>
      <c r="I334" s="43"/>
      <c r="J334" s="63" t="str">
        <f t="shared" si="188"/>
        <v/>
      </c>
      <c r="K334" s="64" t="str">
        <f t="shared" si="189"/>
        <v/>
      </c>
      <c r="L334" s="38">
        <v>0</v>
      </c>
      <c r="M334" s="64" t="str">
        <f t="shared" si="190"/>
        <v/>
      </c>
      <c r="N334" s="65"/>
      <c r="O334" s="63" t="str">
        <f t="shared" si="191"/>
        <v/>
      </c>
      <c r="P334" s="63" t="str">
        <f t="shared" si="192"/>
        <v/>
      </c>
      <c r="Q334" s="66"/>
      <c r="R334" s="63" t="str">
        <f t="shared" si="193"/>
        <v/>
      </c>
      <c r="S334" s="64" t="str">
        <f t="shared" si="194"/>
        <v/>
      </c>
      <c r="T334" s="38">
        <v>0</v>
      </c>
      <c r="U334" s="64" t="str">
        <f t="shared" si="195"/>
        <v/>
      </c>
      <c r="V334" s="219"/>
      <c r="W334" s="43" t="str">
        <f t="shared" si="196"/>
        <v/>
      </c>
      <c r="X334" s="43" t="str">
        <f t="shared" si="197"/>
        <v/>
      </c>
      <c r="Y334" s="43"/>
      <c r="Z334" s="38" t="str">
        <f t="shared" si="198"/>
        <v/>
      </c>
      <c r="AA334" s="38" t="str">
        <f t="shared" si="199"/>
        <v/>
      </c>
      <c r="AB334" s="38" t="e">
        <f t="shared" si="200"/>
        <v>#VALUE!</v>
      </c>
      <c r="AC334" s="38" t="str">
        <f t="shared" si="201"/>
        <v/>
      </c>
      <c r="AD334" s="38" t="str">
        <f t="shared" si="201"/>
        <v/>
      </c>
      <c r="AE334" s="38" t="e">
        <f t="shared" si="202"/>
        <v>#VALUE!</v>
      </c>
      <c r="AF334" s="237" t="e">
        <f>((Summary!$N$13*(AA334*AD334)*(A334-$D$3))+(Summary!$M$13*Z334*AC334*(AJ334-EOMONTH(EDATE(A334,-1),0))))/(AK334*AB334*AE334)</f>
        <v>#VALUE!</v>
      </c>
      <c r="AG334" s="88" t="str">
        <f>IF($A335="","",Summary!$Q$13)</f>
        <v/>
      </c>
      <c r="AH334" s="88" t="str">
        <f>IF($A335="","",IF(Summary!$R$12="Y",(VLOOKUP($A334,Summary!$AD$6:$AF$9,3)+'Escalating commodity'!I347),'Escalating commodity'!I347))</f>
        <v/>
      </c>
      <c r="AI334" s="88" t="str">
        <f t="shared" si="217"/>
        <v/>
      </c>
      <c r="AJ334" s="236" t="e">
        <f t="shared" si="203"/>
        <v>#VALUE!</v>
      </c>
      <c r="AK334" s="58" t="str">
        <f t="shared" si="204"/>
        <v/>
      </c>
      <c r="AL334" s="26" t="str">
        <f>IF($A335="","",_xll.SPRDOPT(P334,X334,AI334,0,AB334,AE334,AF334,AK334,$AJ$2,0))</f>
        <v/>
      </c>
      <c r="AM334" s="209" t="str">
        <f t="shared" si="205"/>
        <v/>
      </c>
      <c r="AN334" s="89" t="str">
        <f t="shared" si="206"/>
        <v/>
      </c>
      <c r="AO334" s="3" t="str">
        <f t="shared" si="207"/>
        <v/>
      </c>
      <c r="AP334" s="33" t="str">
        <f t="shared" si="208"/>
        <v/>
      </c>
      <c r="AQ334" s="58" t="str">
        <f t="shared" si="209"/>
        <v/>
      </c>
      <c r="AR334" s="38">
        <f>'ANR OK vs ML7'!AR334</f>
        <v>0.1</v>
      </c>
      <c r="AS334" s="35" t="str">
        <f t="shared" si="210"/>
        <v/>
      </c>
      <c r="AT334" s="3" t="str">
        <f t="shared" si="211"/>
        <v/>
      </c>
      <c r="AU334" s="3" t="str">
        <f t="shared" si="212"/>
        <v/>
      </c>
      <c r="AW334" s="32" t="str">
        <f t="shared" si="213"/>
        <v/>
      </c>
      <c r="AX334" s="32" t="str">
        <f t="shared" si="214"/>
        <v/>
      </c>
      <c r="AY334" s="32" t="str">
        <f t="shared" si="215"/>
        <v/>
      </c>
      <c r="BA334" s="32" t="str">
        <f>IF($A335="","",F334*Summary!$Q$13)</f>
        <v/>
      </c>
    </row>
    <row r="335" spans="1:53" ht="12" customHeight="1">
      <c r="A335" s="67" t="str">
        <f t="shared" si="216"/>
        <v/>
      </c>
      <c r="B335" s="69" t="str">
        <f t="shared" si="218"/>
        <v/>
      </c>
      <c r="C335" s="71"/>
      <c r="D335" s="69" t="str">
        <f t="shared" si="183"/>
        <v/>
      </c>
      <c r="E335" s="70" t="str">
        <f t="shared" si="184"/>
        <v/>
      </c>
      <c r="F335" s="70" t="str">
        <f t="shared" si="185"/>
        <v/>
      </c>
      <c r="G335" s="63" t="str">
        <f t="shared" si="186"/>
        <v/>
      </c>
      <c r="H335" s="64" t="str">
        <f t="shared" si="187"/>
        <v/>
      </c>
      <c r="I335" s="43"/>
      <c r="J335" s="63" t="str">
        <f t="shared" si="188"/>
        <v/>
      </c>
      <c r="K335" s="64" t="str">
        <f t="shared" si="189"/>
        <v/>
      </c>
      <c r="L335" s="38">
        <v>0</v>
      </c>
      <c r="M335" s="64" t="str">
        <f t="shared" si="190"/>
        <v/>
      </c>
      <c r="N335" s="65"/>
      <c r="O335" s="63" t="str">
        <f t="shared" si="191"/>
        <v/>
      </c>
      <c r="P335" s="63" t="str">
        <f t="shared" si="192"/>
        <v/>
      </c>
      <c r="Q335" s="66"/>
      <c r="R335" s="63" t="str">
        <f t="shared" si="193"/>
        <v/>
      </c>
      <c r="S335" s="64" t="str">
        <f t="shared" si="194"/>
        <v/>
      </c>
      <c r="T335" s="38">
        <v>0</v>
      </c>
      <c r="U335" s="64" t="str">
        <f t="shared" si="195"/>
        <v/>
      </c>
      <c r="V335" s="219"/>
      <c r="W335" s="43" t="str">
        <f t="shared" si="196"/>
        <v/>
      </c>
      <c r="X335" s="43" t="str">
        <f t="shared" si="197"/>
        <v/>
      </c>
      <c r="Y335" s="43"/>
      <c r="Z335" s="38" t="str">
        <f t="shared" si="198"/>
        <v/>
      </c>
      <c r="AA335" s="38" t="str">
        <f t="shared" si="199"/>
        <v/>
      </c>
      <c r="AB335" s="38" t="e">
        <f t="shared" si="200"/>
        <v>#VALUE!</v>
      </c>
      <c r="AC335" s="38" t="str">
        <f t="shared" si="201"/>
        <v/>
      </c>
      <c r="AD335" s="38" t="str">
        <f t="shared" si="201"/>
        <v/>
      </c>
      <c r="AE335" s="38" t="e">
        <f t="shared" si="202"/>
        <v>#VALUE!</v>
      </c>
      <c r="AF335" s="237" t="e">
        <f>((Summary!$N$13*(AA335*AD335)*(A335-$D$3))+(Summary!$M$13*Z335*AC335*(AJ335-EOMONTH(EDATE(A335,-1),0))))/(AK335*AB335*AE335)</f>
        <v>#VALUE!</v>
      </c>
      <c r="AG335" s="88" t="str">
        <f>IF($A336="","",Summary!$Q$13)</f>
        <v/>
      </c>
      <c r="AH335" s="88" t="str">
        <f>IF($A336="","",IF(Summary!$R$12="Y",(VLOOKUP($A335,Summary!$AD$6:$AF$9,3)+'Escalating commodity'!I348),'Escalating commodity'!I348))</f>
        <v/>
      </c>
      <c r="AI335" s="88" t="str">
        <f t="shared" si="217"/>
        <v/>
      </c>
      <c r="AJ335" s="236" t="e">
        <f t="shared" si="203"/>
        <v>#VALUE!</v>
      </c>
      <c r="AK335" s="58" t="str">
        <f t="shared" si="204"/>
        <v/>
      </c>
      <c r="AL335" s="26" t="str">
        <f>IF($A336="","",_xll.SPRDOPT(P335,X335,AI335,0,AB335,AE335,AF335,AK335,$AJ$2,0))</f>
        <v/>
      </c>
      <c r="AM335" s="209" t="str">
        <f t="shared" si="205"/>
        <v/>
      </c>
      <c r="AN335" s="89" t="str">
        <f t="shared" si="206"/>
        <v/>
      </c>
      <c r="AO335" s="3" t="str">
        <f t="shared" si="207"/>
        <v/>
      </c>
      <c r="AP335" s="33" t="str">
        <f t="shared" si="208"/>
        <v/>
      </c>
      <c r="AQ335" s="58" t="str">
        <f t="shared" si="209"/>
        <v/>
      </c>
      <c r="AR335" s="38">
        <f>'ANR OK vs ML7'!AR335</f>
        <v>0.1</v>
      </c>
      <c r="AS335" s="35" t="str">
        <f t="shared" si="210"/>
        <v/>
      </c>
      <c r="AT335" s="3" t="str">
        <f t="shared" si="211"/>
        <v/>
      </c>
      <c r="AU335" s="3" t="str">
        <f t="shared" si="212"/>
        <v/>
      </c>
      <c r="AW335" s="32" t="str">
        <f t="shared" si="213"/>
        <v/>
      </c>
      <c r="AX335" s="32" t="str">
        <f t="shared" si="214"/>
        <v/>
      </c>
      <c r="AY335" s="32" t="str">
        <f t="shared" si="215"/>
        <v/>
      </c>
      <c r="BA335" s="32" t="str">
        <f>IF($A336="","",F335*Summary!$Q$13)</f>
        <v/>
      </c>
    </row>
    <row r="336" spans="1:53" ht="12" customHeight="1">
      <c r="A336" s="67" t="str">
        <f t="shared" si="216"/>
        <v/>
      </c>
      <c r="B336" s="69" t="str">
        <f t="shared" si="218"/>
        <v/>
      </c>
      <c r="C336" s="71"/>
      <c r="D336" s="69" t="str">
        <f t="shared" si="183"/>
        <v/>
      </c>
      <c r="E336" s="70" t="str">
        <f t="shared" si="184"/>
        <v/>
      </c>
      <c r="F336" s="70" t="str">
        <f t="shared" si="185"/>
        <v/>
      </c>
      <c r="G336" s="63" t="str">
        <f t="shared" si="186"/>
        <v/>
      </c>
      <c r="H336" s="64" t="str">
        <f t="shared" si="187"/>
        <v/>
      </c>
      <c r="I336" s="43"/>
      <c r="J336" s="63" t="str">
        <f t="shared" si="188"/>
        <v/>
      </c>
      <c r="K336" s="64" t="str">
        <f t="shared" si="189"/>
        <v/>
      </c>
      <c r="L336" s="38">
        <v>0</v>
      </c>
      <c r="M336" s="64" t="str">
        <f t="shared" si="190"/>
        <v/>
      </c>
      <c r="N336" s="65"/>
      <c r="O336" s="63" t="str">
        <f t="shared" si="191"/>
        <v/>
      </c>
      <c r="P336" s="63" t="str">
        <f t="shared" si="192"/>
        <v/>
      </c>
      <c r="Q336" s="66"/>
      <c r="R336" s="63" t="str">
        <f t="shared" si="193"/>
        <v/>
      </c>
      <c r="S336" s="64" t="str">
        <f t="shared" si="194"/>
        <v/>
      </c>
      <c r="T336" s="38">
        <v>0</v>
      </c>
      <c r="U336" s="64" t="str">
        <f t="shared" si="195"/>
        <v/>
      </c>
      <c r="V336" s="219"/>
      <c r="W336" s="43" t="str">
        <f t="shared" si="196"/>
        <v/>
      </c>
      <c r="X336" s="43" t="str">
        <f t="shared" si="197"/>
        <v/>
      </c>
      <c r="Y336" s="43"/>
      <c r="Z336" s="38" t="str">
        <f t="shared" si="198"/>
        <v/>
      </c>
      <c r="AA336" s="38" t="str">
        <f t="shared" si="199"/>
        <v/>
      </c>
      <c r="AB336" s="38" t="e">
        <f t="shared" si="200"/>
        <v>#VALUE!</v>
      </c>
      <c r="AC336" s="38" t="str">
        <f t="shared" si="201"/>
        <v/>
      </c>
      <c r="AD336" s="38" t="str">
        <f t="shared" si="201"/>
        <v/>
      </c>
      <c r="AE336" s="38" t="e">
        <f t="shared" si="202"/>
        <v>#VALUE!</v>
      </c>
      <c r="AF336" s="237" t="e">
        <f>((Summary!$N$13*(AA336*AD336)*(A336-$D$3))+(Summary!$M$13*Z336*AC336*(AJ336-EOMONTH(EDATE(A336,-1),0))))/(AK336*AB336*AE336)</f>
        <v>#VALUE!</v>
      </c>
      <c r="AG336" s="88" t="str">
        <f>IF($A337="","",Summary!$Q$13)</f>
        <v/>
      </c>
      <c r="AH336" s="88" t="str">
        <f>IF($A337="","",IF(Summary!$R$12="Y",(VLOOKUP($A336,Summary!$AD$6:$AF$9,3)+'Escalating commodity'!I349),'Escalating commodity'!I349))</f>
        <v/>
      </c>
      <c r="AI336" s="88" t="str">
        <f t="shared" si="217"/>
        <v/>
      </c>
      <c r="AJ336" s="236" t="e">
        <f t="shared" si="203"/>
        <v>#VALUE!</v>
      </c>
      <c r="AK336" s="58" t="str">
        <f t="shared" si="204"/>
        <v/>
      </c>
      <c r="AL336" s="26" t="str">
        <f>IF($A337="","",_xll.SPRDOPT(P336,X336,AI336,0,AB336,AE336,AF336,AK336,$AJ$2,0))</f>
        <v/>
      </c>
      <c r="AM336" s="209" t="str">
        <f t="shared" si="205"/>
        <v/>
      </c>
      <c r="AN336" s="89" t="str">
        <f t="shared" si="206"/>
        <v/>
      </c>
      <c r="AO336" s="3" t="str">
        <f t="shared" si="207"/>
        <v/>
      </c>
      <c r="AP336" s="33" t="str">
        <f t="shared" si="208"/>
        <v/>
      </c>
      <c r="AQ336" s="58" t="str">
        <f t="shared" si="209"/>
        <v/>
      </c>
      <c r="AR336" s="38">
        <f>'ANR OK vs ML7'!AR336</f>
        <v>0.1</v>
      </c>
      <c r="AS336" s="35" t="str">
        <f t="shared" si="210"/>
        <v/>
      </c>
      <c r="AT336" s="3" t="str">
        <f t="shared" si="211"/>
        <v/>
      </c>
      <c r="AU336" s="3" t="str">
        <f t="shared" si="212"/>
        <v/>
      </c>
      <c r="AW336" s="32" t="str">
        <f t="shared" si="213"/>
        <v/>
      </c>
      <c r="AX336" s="32" t="str">
        <f t="shared" si="214"/>
        <v/>
      </c>
      <c r="AY336" s="32" t="str">
        <f t="shared" si="215"/>
        <v/>
      </c>
      <c r="BA336" s="32" t="str">
        <f>IF($A337="","",F336*Summary!$Q$13)</f>
        <v/>
      </c>
    </row>
    <row r="337" spans="1:53" ht="12" customHeight="1">
      <c r="A337" s="67" t="str">
        <f t="shared" si="216"/>
        <v/>
      </c>
      <c r="B337" s="69" t="str">
        <f t="shared" si="218"/>
        <v/>
      </c>
      <c r="C337" s="71"/>
      <c r="D337" s="69" t="str">
        <f t="shared" si="183"/>
        <v/>
      </c>
      <c r="E337" s="70" t="str">
        <f t="shared" si="184"/>
        <v/>
      </c>
      <c r="F337" s="70" t="str">
        <f t="shared" si="185"/>
        <v/>
      </c>
      <c r="G337" s="63" t="str">
        <f t="shared" si="186"/>
        <v/>
      </c>
      <c r="H337" s="64" t="str">
        <f t="shared" si="187"/>
        <v/>
      </c>
      <c r="I337" s="43"/>
      <c r="J337" s="63" t="str">
        <f t="shared" si="188"/>
        <v/>
      </c>
      <c r="K337" s="64" t="str">
        <f t="shared" si="189"/>
        <v/>
      </c>
      <c r="L337" s="38">
        <v>0</v>
      </c>
      <c r="M337" s="64" t="str">
        <f t="shared" si="190"/>
        <v/>
      </c>
      <c r="N337" s="65"/>
      <c r="O337" s="63" t="str">
        <f t="shared" si="191"/>
        <v/>
      </c>
      <c r="P337" s="63" t="str">
        <f t="shared" si="192"/>
        <v/>
      </c>
      <c r="Q337" s="66"/>
      <c r="R337" s="63" t="str">
        <f t="shared" si="193"/>
        <v/>
      </c>
      <c r="S337" s="64" t="str">
        <f t="shared" si="194"/>
        <v/>
      </c>
      <c r="T337" s="38">
        <v>0</v>
      </c>
      <c r="U337" s="64" t="str">
        <f t="shared" si="195"/>
        <v/>
      </c>
      <c r="V337" s="219"/>
      <c r="W337" s="43" t="str">
        <f t="shared" si="196"/>
        <v/>
      </c>
      <c r="X337" s="43" t="str">
        <f t="shared" si="197"/>
        <v/>
      </c>
      <c r="Y337" s="43"/>
      <c r="Z337" s="38" t="str">
        <f t="shared" si="198"/>
        <v/>
      </c>
      <c r="AA337" s="38" t="str">
        <f t="shared" si="199"/>
        <v/>
      </c>
      <c r="AB337" s="38" t="e">
        <f t="shared" si="200"/>
        <v>#VALUE!</v>
      </c>
      <c r="AC337" s="38" t="str">
        <f t="shared" si="201"/>
        <v/>
      </c>
      <c r="AD337" s="38" t="str">
        <f t="shared" si="201"/>
        <v/>
      </c>
      <c r="AE337" s="38" t="e">
        <f t="shared" si="202"/>
        <v>#VALUE!</v>
      </c>
      <c r="AF337" s="237" t="e">
        <f>((Summary!$N$13*(AA337*AD337)*(A337-$D$3))+(Summary!$M$13*Z337*AC337*(AJ337-EOMONTH(EDATE(A337,-1),0))))/(AK337*AB337*AE337)</f>
        <v>#VALUE!</v>
      </c>
      <c r="AG337" s="88" t="str">
        <f>IF($A338="","",Summary!$Q$13)</f>
        <v/>
      </c>
      <c r="AH337" s="88" t="str">
        <f>IF($A338="","",IF(Summary!$R$12="Y",(VLOOKUP($A337,Summary!$AD$6:$AF$9,3)+'Escalating commodity'!I350),'Escalating commodity'!I350))</f>
        <v/>
      </c>
      <c r="AI337" s="88" t="str">
        <f t="shared" si="217"/>
        <v/>
      </c>
      <c r="AJ337" s="236" t="e">
        <f t="shared" si="203"/>
        <v>#VALUE!</v>
      </c>
      <c r="AK337" s="58" t="str">
        <f t="shared" si="204"/>
        <v/>
      </c>
      <c r="AL337" s="26" t="str">
        <f>IF($A338="","",_xll.SPRDOPT(P337,X337,AI337,0,AB337,AE337,AF337,AK337,$AJ$2,0))</f>
        <v/>
      </c>
      <c r="AM337" s="209" t="str">
        <f t="shared" si="205"/>
        <v/>
      </c>
      <c r="AN337" s="89" t="str">
        <f t="shared" si="206"/>
        <v/>
      </c>
      <c r="AO337" s="3" t="str">
        <f t="shared" si="207"/>
        <v/>
      </c>
      <c r="AP337" s="33" t="str">
        <f t="shared" si="208"/>
        <v/>
      </c>
      <c r="AQ337" s="58" t="str">
        <f t="shared" si="209"/>
        <v/>
      </c>
      <c r="AR337" s="38">
        <f>'ANR OK vs ML7'!AR337</f>
        <v>0.1</v>
      </c>
      <c r="AS337" s="35" t="str">
        <f t="shared" si="210"/>
        <v/>
      </c>
      <c r="AT337" s="3" t="str">
        <f t="shared" si="211"/>
        <v/>
      </c>
      <c r="AU337" s="3" t="str">
        <f t="shared" si="212"/>
        <v/>
      </c>
      <c r="AW337" s="32" t="str">
        <f t="shared" si="213"/>
        <v/>
      </c>
      <c r="AX337" s="32" t="str">
        <f t="shared" si="214"/>
        <v/>
      </c>
      <c r="AY337" s="32" t="str">
        <f t="shared" si="215"/>
        <v/>
      </c>
      <c r="BA337" s="32" t="str">
        <f>IF($A338="","",F337*Summary!$Q$13)</f>
        <v/>
      </c>
    </row>
    <row r="338" spans="1:53" ht="12" customHeight="1">
      <c r="A338" s="67" t="str">
        <f t="shared" si="216"/>
        <v/>
      </c>
      <c r="B338" s="69" t="str">
        <f t="shared" si="218"/>
        <v/>
      </c>
      <c r="C338" s="71"/>
      <c r="D338" s="69" t="str">
        <f t="shared" si="183"/>
        <v/>
      </c>
      <c r="E338" s="70" t="str">
        <f t="shared" si="184"/>
        <v/>
      </c>
      <c r="F338" s="70" t="str">
        <f t="shared" si="185"/>
        <v/>
      </c>
      <c r="G338" s="63" t="str">
        <f t="shared" si="186"/>
        <v/>
      </c>
      <c r="H338" s="64" t="str">
        <f t="shared" si="187"/>
        <v/>
      </c>
      <c r="I338" s="43"/>
      <c r="J338" s="63" t="str">
        <f t="shared" si="188"/>
        <v/>
      </c>
      <c r="K338" s="64" t="str">
        <f t="shared" si="189"/>
        <v/>
      </c>
      <c r="L338" s="38">
        <v>0</v>
      </c>
      <c r="M338" s="64" t="str">
        <f t="shared" si="190"/>
        <v/>
      </c>
      <c r="N338" s="65"/>
      <c r="O338" s="63" t="str">
        <f t="shared" si="191"/>
        <v/>
      </c>
      <c r="P338" s="63" t="str">
        <f t="shared" si="192"/>
        <v/>
      </c>
      <c r="Q338" s="66"/>
      <c r="R338" s="63" t="str">
        <f t="shared" si="193"/>
        <v/>
      </c>
      <c r="S338" s="64" t="str">
        <f t="shared" si="194"/>
        <v/>
      </c>
      <c r="T338" s="38">
        <v>0</v>
      </c>
      <c r="U338" s="64" t="str">
        <f t="shared" si="195"/>
        <v/>
      </c>
      <c r="V338" s="219"/>
      <c r="W338" s="43" t="str">
        <f t="shared" si="196"/>
        <v/>
      </c>
      <c r="X338" s="43" t="str">
        <f t="shared" si="197"/>
        <v/>
      </c>
      <c r="Y338" s="43"/>
      <c r="Z338" s="38" t="str">
        <f t="shared" si="198"/>
        <v/>
      </c>
      <c r="AA338" s="38" t="str">
        <f t="shared" si="199"/>
        <v/>
      </c>
      <c r="AB338" s="38" t="e">
        <f t="shared" si="200"/>
        <v>#VALUE!</v>
      </c>
      <c r="AC338" s="38" t="str">
        <f t="shared" si="201"/>
        <v/>
      </c>
      <c r="AD338" s="38" t="str">
        <f t="shared" si="201"/>
        <v/>
      </c>
      <c r="AE338" s="38" t="e">
        <f t="shared" si="202"/>
        <v>#VALUE!</v>
      </c>
      <c r="AF338" s="237" t="e">
        <f>((Summary!$N$13*(AA338*AD338)*(A338-$D$3))+(Summary!$M$13*Z338*AC338*(AJ338-EOMONTH(EDATE(A338,-1),0))))/(AK338*AB338*AE338)</f>
        <v>#VALUE!</v>
      </c>
      <c r="AG338" s="88" t="str">
        <f>IF($A339="","",Summary!$Q$13)</f>
        <v/>
      </c>
      <c r="AH338" s="88" t="str">
        <f>IF($A339="","",IF(Summary!$R$12="Y",(VLOOKUP($A338,Summary!$AD$6:$AF$9,3)+'Escalating commodity'!I351),'Escalating commodity'!I351))</f>
        <v/>
      </c>
      <c r="AI338" s="88" t="str">
        <f t="shared" si="217"/>
        <v/>
      </c>
      <c r="AJ338" s="236" t="e">
        <f t="shared" si="203"/>
        <v>#VALUE!</v>
      </c>
      <c r="AK338" s="58" t="str">
        <f t="shared" si="204"/>
        <v/>
      </c>
      <c r="AL338" s="26" t="str">
        <f>IF($A339="","",_xll.SPRDOPT(P338,X338,AI338,0,AB338,AE338,AF338,AK338,$AJ$2,0))</f>
        <v/>
      </c>
      <c r="AM338" s="209" t="str">
        <f t="shared" si="205"/>
        <v/>
      </c>
      <c r="AN338" s="89" t="str">
        <f t="shared" si="206"/>
        <v/>
      </c>
      <c r="AO338" s="3" t="str">
        <f t="shared" si="207"/>
        <v/>
      </c>
      <c r="AP338" s="33" t="str">
        <f t="shared" si="208"/>
        <v/>
      </c>
      <c r="AQ338" s="58" t="str">
        <f t="shared" si="209"/>
        <v/>
      </c>
      <c r="AR338" s="38">
        <f>'ANR OK vs ML7'!AR338</f>
        <v>0.1</v>
      </c>
      <c r="AS338" s="35" t="str">
        <f t="shared" si="210"/>
        <v/>
      </c>
      <c r="AT338" s="3" t="str">
        <f t="shared" si="211"/>
        <v/>
      </c>
      <c r="AU338" s="3" t="str">
        <f t="shared" si="212"/>
        <v/>
      </c>
      <c r="AW338" s="32" t="str">
        <f t="shared" si="213"/>
        <v/>
      </c>
      <c r="AX338" s="32" t="str">
        <f t="shared" si="214"/>
        <v/>
      </c>
      <c r="AY338" s="32" t="str">
        <f t="shared" si="215"/>
        <v/>
      </c>
      <c r="BA338" s="32" t="str">
        <f>IF($A339="","",F338*Summary!$Q$13)</f>
        <v/>
      </c>
    </row>
    <row r="339" spans="1:53" ht="12" customHeight="1">
      <c r="A339" s="67" t="str">
        <f t="shared" si="216"/>
        <v/>
      </c>
      <c r="B339" s="69" t="str">
        <f t="shared" si="218"/>
        <v/>
      </c>
      <c r="C339" s="71"/>
      <c r="D339" s="69" t="str">
        <f t="shared" si="183"/>
        <v/>
      </c>
      <c r="E339" s="70" t="str">
        <f t="shared" si="184"/>
        <v/>
      </c>
      <c r="F339" s="70" t="str">
        <f t="shared" si="185"/>
        <v/>
      </c>
      <c r="G339" s="63" t="str">
        <f t="shared" si="186"/>
        <v/>
      </c>
      <c r="H339" s="64" t="str">
        <f t="shared" si="187"/>
        <v/>
      </c>
      <c r="I339" s="43"/>
      <c r="J339" s="63" t="str">
        <f t="shared" si="188"/>
        <v/>
      </c>
      <c r="K339" s="64" t="str">
        <f t="shared" si="189"/>
        <v/>
      </c>
      <c r="L339" s="38">
        <v>0</v>
      </c>
      <c r="M339" s="64" t="str">
        <f t="shared" si="190"/>
        <v/>
      </c>
      <c r="N339" s="65"/>
      <c r="O339" s="63" t="str">
        <f t="shared" si="191"/>
        <v/>
      </c>
      <c r="P339" s="63" t="str">
        <f t="shared" si="192"/>
        <v/>
      </c>
      <c r="Q339" s="66"/>
      <c r="R339" s="63" t="str">
        <f t="shared" si="193"/>
        <v/>
      </c>
      <c r="S339" s="64" t="str">
        <f t="shared" si="194"/>
        <v/>
      </c>
      <c r="T339" s="38">
        <v>0</v>
      </c>
      <c r="U339" s="64" t="str">
        <f t="shared" si="195"/>
        <v/>
      </c>
      <c r="V339" s="219"/>
      <c r="W339" s="43" t="str">
        <f t="shared" si="196"/>
        <v/>
      </c>
      <c r="X339" s="43" t="str">
        <f t="shared" si="197"/>
        <v/>
      </c>
      <c r="Y339" s="43"/>
      <c r="Z339" s="38" t="str">
        <f t="shared" si="198"/>
        <v/>
      </c>
      <c r="AA339" s="38" t="str">
        <f t="shared" si="199"/>
        <v/>
      </c>
      <c r="AB339" s="38" t="e">
        <f t="shared" si="200"/>
        <v>#VALUE!</v>
      </c>
      <c r="AC339" s="38" t="str">
        <f t="shared" si="201"/>
        <v/>
      </c>
      <c r="AD339" s="38" t="str">
        <f t="shared" si="201"/>
        <v/>
      </c>
      <c r="AE339" s="38" t="e">
        <f t="shared" si="202"/>
        <v>#VALUE!</v>
      </c>
      <c r="AF339" s="237" t="e">
        <f>((Summary!$N$13*(AA339*AD339)*(A339-$D$3))+(Summary!$M$13*Z339*AC339*(AJ339-EOMONTH(EDATE(A339,-1),0))))/(AK339*AB339*AE339)</f>
        <v>#VALUE!</v>
      </c>
      <c r="AG339" s="88" t="str">
        <f>IF($A340="","",Summary!$Q$13)</f>
        <v/>
      </c>
      <c r="AH339" s="88" t="str">
        <f>IF($A340="","",IF(Summary!$R$12="Y",(VLOOKUP($A339,Summary!$AD$6:$AF$9,3)+'Escalating commodity'!I352),'Escalating commodity'!I352))</f>
        <v/>
      </c>
      <c r="AI339" s="88" t="str">
        <f t="shared" si="217"/>
        <v/>
      </c>
      <c r="AJ339" s="236" t="e">
        <f t="shared" si="203"/>
        <v>#VALUE!</v>
      </c>
      <c r="AK339" s="58" t="str">
        <f t="shared" si="204"/>
        <v/>
      </c>
      <c r="AL339" s="26" t="str">
        <f>IF($A340="","",_xll.SPRDOPT(P339,X339,AI339,0,AB339,AE339,AF339,AK339,$AJ$2,0))</f>
        <v/>
      </c>
      <c r="AM339" s="209" t="str">
        <f t="shared" si="205"/>
        <v/>
      </c>
      <c r="AN339" s="89" t="str">
        <f t="shared" si="206"/>
        <v/>
      </c>
      <c r="AO339" s="3" t="str">
        <f t="shared" si="207"/>
        <v/>
      </c>
      <c r="AP339" s="33" t="str">
        <f t="shared" si="208"/>
        <v/>
      </c>
      <c r="AQ339" s="58" t="str">
        <f t="shared" si="209"/>
        <v/>
      </c>
      <c r="AR339" s="38">
        <f>'ANR OK vs ML7'!AR339</f>
        <v>0.1</v>
      </c>
      <c r="AS339" s="35" t="str">
        <f t="shared" si="210"/>
        <v/>
      </c>
      <c r="AT339" s="3" t="str">
        <f t="shared" si="211"/>
        <v/>
      </c>
      <c r="AU339" s="3" t="str">
        <f t="shared" si="212"/>
        <v/>
      </c>
      <c r="AW339" s="32" t="str">
        <f t="shared" si="213"/>
        <v/>
      </c>
      <c r="AX339" s="32" t="str">
        <f t="shared" si="214"/>
        <v/>
      </c>
      <c r="AY339" s="32" t="str">
        <f t="shared" si="215"/>
        <v/>
      </c>
      <c r="BA339" s="32" t="str">
        <f>IF($A340="","",F339*Summary!$Q$13)</f>
        <v/>
      </c>
    </row>
    <row r="340" spans="1:53" ht="12" customHeight="1">
      <c r="A340" s="67" t="str">
        <f t="shared" si="216"/>
        <v/>
      </c>
      <c r="B340" s="69" t="str">
        <f t="shared" si="218"/>
        <v/>
      </c>
      <c r="C340" s="71"/>
      <c r="D340" s="69" t="str">
        <f t="shared" si="183"/>
        <v/>
      </c>
      <c r="E340" s="70" t="str">
        <f t="shared" si="184"/>
        <v/>
      </c>
      <c r="F340" s="70" t="str">
        <f t="shared" si="185"/>
        <v/>
      </c>
      <c r="G340" s="63" t="str">
        <f t="shared" si="186"/>
        <v/>
      </c>
      <c r="H340" s="64" t="str">
        <f t="shared" si="187"/>
        <v/>
      </c>
      <c r="I340" s="43"/>
      <c r="J340" s="63" t="str">
        <f t="shared" si="188"/>
        <v/>
      </c>
      <c r="K340" s="64" t="str">
        <f t="shared" si="189"/>
        <v/>
      </c>
      <c r="L340" s="38">
        <v>0</v>
      </c>
      <c r="M340" s="64" t="str">
        <f t="shared" si="190"/>
        <v/>
      </c>
      <c r="N340" s="65"/>
      <c r="O340" s="63" t="str">
        <f t="shared" si="191"/>
        <v/>
      </c>
      <c r="P340" s="63" t="str">
        <f t="shared" si="192"/>
        <v/>
      </c>
      <c r="Q340" s="66"/>
      <c r="R340" s="63" t="str">
        <f t="shared" si="193"/>
        <v/>
      </c>
      <c r="S340" s="64" t="str">
        <f t="shared" si="194"/>
        <v/>
      </c>
      <c r="T340" s="38">
        <v>0</v>
      </c>
      <c r="U340" s="64" t="str">
        <f t="shared" si="195"/>
        <v/>
      </c>
      <c r="V340" s="219"/>
      <c r="W340" s="43" t="str">
        <f t="shared" si="196"/>
        <v/>
      </c>
      <c r="X340" s="43" t="str">
        <f t="shared" si="197"/>
        <v/>
      </c>
      <c r="Y340" s="43"/>
      <c r="Z340" s="38" t="str">
        <f t="shared" si="198"/>
        <v/>
      </c>
      <c r="AA340" s="38" t="str">
        <f t="shared" si="199"/>
        <v/>
      </c>
      <c r="AB340" s="38" t="e">
        <f t="shared" si="200"/>
        <v>#VALUE!</v>
      </c>
      <c r="AC340" s="38" t="str">
        <f t="shared" si="201"/>
        <v/>
      </c>
      <c r="AD340" s="38" t="str">
        <f t="shared" si="201"/>
        <v/>
      </c>
      <c r="AE340" s="38" t="e">
        <f t="shared" si="202"/>
        <v>#VALUE!</v>
      </c>
      <c r="AF340" s="237" t="e">
        <f>((Summary!$N$13*(AA340*AD340)*(A340-$D$3))+(Summary!$M$13*Z340*AC340*(AJ340-EOMONTH(EDATE(A340,-1),0))))/(AK340*AB340*AE340)</f>
        <v>#VALUE!</v>
      </c>
      <c r="AG340" s="88" t="str">
        <f>IF($A341="","",Summary!$Q$13)</f>
        <v/>
      </c>
      <c r="AH340" s="88" t="str">
        <f>IF($A341="","",IF(Summary!$R$12="Y",(VLOOKUP($A340,Summary!$AD$6:$AF$9,3)+'Escalating commodity'!I353),'Escalating commodity'!I353))</f>
        <v/>
      </c>
      <c r="AI340" s="88" t="str">
        <f t="shared" si="217"/>
        <v/>
      </c>
      <c r="AJ340" s="236" t="e">
        <f t="shared" si="203"/>
        <v>#VALUE!</v>
      </c>
      <c r="AK340" s="58" t="str">
        <f t="shared" si="204"/>
        <v/>
      </c>
      <c r="AL340" s="26" t="str">
        <f>IF($A341="","",_xll.SPRDOPT(P340,X340,AI340,0,AB340,AE340,AF340,AK340,$AJ$2,0))</f>
        <v/>
      </c>
      <c r="AM340" s="209" t="str">
        <f t="shared" si="205"/>
        <v/>
      </c>
      <c r="AN340" s="89" t="str">
        <f t="shared" si="206"/>
        <v/>
      </c>
      <c r="AO340" s="3" t="str">
        <f t="shared" si="207"/>
        <v/>
      </c>
      <c r="AP340" s="33" t="str">
        <f t="shared" si="208"/>
        <v/>
      </c>
      <c r="AQ340" s="58" t="str">
        <f t="shared" si="209"/>
        <v/>
      </c>
      <c r="AR340" s="38">
        <f>'ANR OK vs ML7'!AR340</f>
        <v>0.1</v>
      </c>
      <c r="AS340" s="35" t="str">
        <f t="shared" si="210"/>
        <v/>
      </c>
      <c r="AT340" s="3" t="str">
        <f t="shared" si="211"/>
        <v/>
      </c>
      <c r="AU340" s="3" t="str">
        <f t="shared" si="212"/>
        <v/>
      </c>
      <c r="AW340" s="32" t="str">
        <f t="shared" si="213"/>
        <v/>
      </c>
      <c r="AX340" s="32" t="str">
        <f t="shared" si="214"/>
        <v/>
      </c>
      <c r="AY340" s="32" t="str">
        <f t="shared" si="215"/>
        <v/>
      </c>
      <c r="BA340" s="32" t="str">
        <f>IF($A341="","",F340*Summary!$Q$13)</f>
        <v/>
      </c>
    </row>
    <row r="341" spans="1:53" ht="12" customHeight="1">
      <c r="A341" s="67" t="str">
        <f t="shared" si="216"/>
        <v/>
      </c>
      <c r="B341" s="69" t="str">
        <f t="shared" si="218"/>
        <v/>
      </c>
      <c r="C341" s="71"/>
      <c r="D341" s="69" t="str">
        <f t="shared" si="183"/>
        <v/>
      </c>
      <c r="E341" s="70" t="str">
        <f t="shared" si="184"/>
        <v/>
      </c>
      <c r="F341" s="70" t="str">
        <f t="shared" si="185"/>
        <v/>
      </c>
      <c r="G341" s="63" t="str">
        <f t="shared" si="186"/>
        <v/>
      </c>
      <c r="H341" s="64" t="str">
        <f t="shared" si="187"/>
        <v/>
      </c>
      <c r="I341" s="43"/>
      <c r="J341" s="63" t="str">
        <f t="shared" si="188"/>
        <v/>
      </c>
      <c r="K341" s="64" t="str">
        <f t="shared" si="189"/>
        <v/>
      </c>
      <c r="L341" s="38">
        <v>0</v>
      </c>
      <c r="M341" s="64" t="str">
        <f t="shared" si="190"/>
        <v/>
      </c>
      <c r="N341" s="65"/>
      <c r="O341" s="63" t="str">
        <f t="shared" si="191"/>
        <v/>
      </c>
      <c r="P341" s="63" t="str">
        <f t="shared" si="192"/>
        <v/>
      </c>
      <c r="Q341" s="66"/>
      <c r="R341" s="63" t="str">
        <f t="shared" si="193"/>
        <v/>
      </c>
      <c r="S341" s="64" t="str">
        <f t="shared" si="194"/>
        <v/>
      </c>
      <c r="T341" s="38">
        <v>0</v>
      </c>
      <c r="U341" s="64" t="str">
        <f t="shared" si="195"/>
        <v/>
      </c>
      <c r="V341" s="219"/>
      <c r="W341" s="43" t="str">
        <f t="shared" si="196"/>
        <v/>
      </c>
      <c r="X341" s="43" t="str">
        <f t="shared" si="197"/>
        <v/>
      </c>
      <c r="Y341" s="43"/>
      <c r="Z341" s="38" t="str">
        <f t="shared" si="198"/>
        <v/>
      </c>
      <c r="AA341" s="38" t="str">
        <f t="shared" si="199"/>
        <v/>
      </c>
      <c r="AB341" s="38" t="e">
        <f t="shared" si="200"/>
        <v>#VALUE!</v>
      </c>
      <c r="AC341" s="38" t="str">
        <f t="shared" si="201"/>
        <v/>
      </c>
      <c r="AD341" s="38" t="str">
        <f t="shared" si="201"/>
        <v/>
      </c>
      <c r="AE341" s="38" t="e">
        <f t="shared" si="202"/>
        <v>#VALUE!</v>
      </c>
      <c r="AF341" s="237" t="e">
        <f>((Summary!$N$13*(AA341*AD341)*(A341-$D$3))+(Summary!$M$13*Z341*AC341*(AJ341-EOMONTH(EDATE(A341,-1),0))))/(AK341*AB341*AE341)</f>
        <v>#VALUE!</v>
      </c>
      <c r="AG341" s="88" t="str">
        <f>IF($A342="","",Summary!$Q$13)</f>
        <v/>
      </c>
      <c r="AH341" s="88" t="str">
        <f>IF($A342="","",IF(Summary!$R$12="Y",(VLOOKUP($A341,Summary!$AD$6:$AF$9,3)+'Escalating commodity'!I354),'Escalating commodity'!I354))</f>
        <v/>
      </c>
      <c r="AI341" s="88" t="str">
        <f t="shared" si="217"/>
        <v/>
      </c>
      <c r="AJ341" s="236" t="e">
        <f t="shared" si="203"/>
        <v>#VALUE!</v>
      </c>
      <c r="AK341" s="58" t="str">
        <f t="shared" si="204"/>
        <v/>
      </c>
      <c r="AL341" s="26" t="str">
        <f>IF($A342="","",_xll.SPRDOPT(P341,X341,AI341,0,AB341,AE341,AF341,AK341,$AJ$2,0))</f>
        <v/>
      </c>
      <c r="AM341" s="209" t="str">
        <f t="shared" si="205"/>
        <v/>
      </c>
      <c r="AN341" s="89" t="str">
        <f t="shared" si="206"/>
        <v/>
      </c>
      <c r="AO341" s="3" t="str">
        <f t="shared" si="207"/>
        <v/>
      </c>
      <c r="AP341" s="33" t="str">
        <f t="shared" si="208"/>
        <v/>
      </c>
      <c r="AQ341" s="58" t="str">
        <f t="shared" si="209"/>
        <v/>
      </c>
      <c r="AR341" s="38">
        <f>'ANR OK vs ML7'!AR341</f>
        <v>0.1</v>
      </c>
      <c r="AS341" s="35" t="str">
        <f t="shared" si="210"/>
        <v/>
      </c>
      <c r="AT341" s="3" t="str">
        <f t="shared" si="211"/>
        <v/>
      </c>
      <c r="AU341" s="3" t="str">
        <f t="shared" si="212"/>
        <v/>
      </c>
      <c r="AW341" s="32" t="str">
        <f t="shared" si="213"/>
        <v/>
      </c>
      <c r="AX341" s="32" t="str">
        <f t="shared" si="214"/>
        <v/>
      </c>
      <c r="AY341" s="32" t="str">
        <f t="shared" si="215"/>
        <v/>
      </c>
      <c r="BA341" s="32" t="str">
        <f>IF($A342="","",F341*Summary!$Q$13)</f>
        <v/>
      </c>
    </row>
    <row r="342" spans="1:53" ht="12" customHeight="1">
      <c r="A342" s="67" t="str">
        <f t="shared" si="216"/>
        <v/>
      </c>
      <c r="B342" s="69" t="str">
        <f t="shared" si="218"/>
        <v/>
      </c>
      <c r="C342" s="71"/>
      <c r="D342" s="69" t="str">
        <f t="shared" si="183"/>
        <v/>
      </c>
      <c r="E342" s="70" t="str">
        <f t="shared" si="184"/>
        <v/>
      </c>
      <c r="F342" s="70" t="str">
        <f t="shared" si="185"/>
        <v/>
      </c>
      <c r="G342" s="63" t="str">
        <f t="shared" si="186"/>
        <v/>
      </c>
      <c r="H342" s="64" t="str">
        <f t="shared" si="187"/>
        <v/>
      </c>
      <c r="I342" s="43"/>
      <c r="J342" s="63" t="str">
        <f t="shared" si="188"/>
        <v/>
      </c>
      <c r="K342" s="64" t="str">
        <f t="shared" si="189"/>
        <v/>
      </c>
      <c r="L342" s="38">
        <v>0</v>
      </c>
      <c r="M342" s="64" t="str">
        <f t="shared" si="190"/>
        <v/>
      </c>
      <c r="N342" s="65"/>
      <c r="O342" s="63" t="str">
        <f t="shared" si="191"/>
        <v/>
      </c>
      <c r="P342" s="63" t="str">
        <f t="shared" si="192"/>
        <v/>
      </c>
      <c r="Q342" s="66"/>
      <c r="R342" s="63" t="str">
        <f t="shared" si="193"/>
        <v/>
      </c>
      <c r="S342" s="64" t="str">
        <f t="shared" si="194"/>
        <v/>
      </c>
      <c r="T342" s="38">
        <v>0</v>
      </c>
      <c r="U342" s="64" t="str">
        <f t="shared" si="195"/>
        <v/>
      </c>
      <c r="V342" s="219"/>
      <c r="W342" s="43" t="str">
        <f t="shared" si="196"/>
        <v/>
      </c>
      <c r="X342" s="43" t="str">
        <f t="shared" si="197"/>
        <v/>
      </c>
      <c r="Y342" s="43"/>
      <c r="Z342" s="38" t="str">
        <f t="shared" si="198"/>
        <v/>
      </c>
      <c r="AA342" s="38" t="str">
        <f t="shared" si="199"/>
        <v/>
      </c>
      <c r="AB342" s="38" t="e">
        <f t="shared" si="200"/>
        <v>#VALUE!</v>
      </c>
      <c r="AC342" s="38" t="str">
        <f t="shared" si="201"/>
        <v/>
      </c>
      <c r="AD342" s="38" t="str">
        <f t="shared" si="201"/>
        <v/>
      </c>
      <c r="AE342" s="38" t="e">
        <f t="shared" si="202"/>
        <v>#VALUE!</v>
      </c>
      <c r="AF342" s="237" t="e">
        <f>((Summary!$N$13*(AA342*AD342)*(A342-$D$3))+(Summary!$M$13*Z342*AC342*(AJ342-EOMONTH(EDATE(A342,-1),0))))/(AK342*AB342*AE342)</f>
        <v>#VALUE!</v>
      </c>
      <c r="AG342" s="88" t="str">
        <f>IF($A343="","",Summary!$Q$13)</f>
        <v/>
      </c>
      <c r="AH342" s="88" t="str">
        <f>IF($A343="","",IF(Summary!$R$12="Y",(VLOOKUP($A342,Summary!$AD$6:$AF$9,3)+'Escalating commodity'!I355),'Escalating commodity'!I355))</f>
        <v/>
      </c>
      <c r="AI342" s="88" t="str">
        <f t="shared" si="217"/>
        <v/>
      </c>
      <c r="AJ342" s="236" t="e">
        <f t="shared" si="203"/>
        <v>#VALUE!</v>
      </c>
      <c r="AK342" s="58" t="str">
        <f t="shared" si="204"/>
        <v/>
      </c>
      <c r="AL342" s="26" t="str">
        <f>IF($A343="","",_xll.SPRDOPT(P342,X342,AI342,0,AB342,AE342,AF342,AK342,$AJ$2,0))</f>
        <v/>
      </c>
      <c r="AM342" s="209" t="str">
        <f t="shared" si="205"/>
        <v/>
      </c>
      <c r="AN342" s="89" t="str">
        <f t="shared" si="206"/>
        <v/>
      </c>
      <c r="AO342" s="3" t="str">
        <f t="shared" si="207"/>
        <v/>
      </c>
      <c r="AP342" s="33" t="str">
        <f t="shared" si="208"/>
        <v/>
      </c>
      <c r="AQ342" s="58" t="str">
        <f t="shared" si="209"/>
        <v/>
      </c>
      <c r="AR342" s="38">
        <f>'ANR OK vs ML7'!AR342</f>
        <v>0.1</v>
      </c>
      <c r="AS342" s="35" t="str">
        <f t="shared" si="210"/>
        <v/>
      </c>
      <c r="AT342" s="3" t="str">
        <f t="shared" si="211"/>
        <v/>
      </c>
      <c r="AU342" s="3" t="str">
        <f t="shared" si="212"/>
        <v/>
      </c>
      <c r="AW342" s="32" t="str">
        <f t="shared" si="213"/>
        <v/>
      </c>
      <c r="AX342" s="32" t="str">
        <f t="shared" si="214"/>
        <v/>
      </c>
      <c r="AY342" s="32" t="str">
        <f t="shared" si="215"/>
        <v/>
      </c>
      <c r="BA342" s="32" t="str">
        <f>IF($A343="","",F342*Summary!$Q$13)</f>
        <v/>
      </c>
    </row>
    <row r="343" spans="1:53" ht="12" customHeight="1">
      <c r="A343" s="67" t="str">
        <f t="shared" si="216"/>
        <v/>
      </c>
      <c r="B343" s="69" t="str">
        <f t="shared" si="218"/>
        <v/>
      </c>
      <c r="C343" s="71"/>
      <c r="D343" s="69" t="str">
        <f t="shared" si="183"/>
        <v/>
      </c>
      <c r="E343" s="70" t="str">
        <f t="shared" si="184"/>
        <v/>
      </c>
      <c r="F343" s="70" t="str">
        <f t="shared" si="185"/>
        <v/>
      </c>
      <c r="G343" s="63" t="str">
        <f t="shared" si="186"/>
        <v/>
      </c>
      <c r="H343" s="64" t="str">
        <f t="shared" si="187"/>
        <v/>
      </c>
      <c r="I343" s="43"/>
      <c r="J343" s="63" t="str">
        <f t="shared" si="188"/>
        <v/>
      </c>
      <c r="K343" s="64" t="str">
        <f t="shared" si="189"/>
        <v/>
      </c>
      <c r="L343" s="38">
        <v>0</v>
      </c>
      <c r="M343" s="64" t="str">
        <f t="shared" si="190"/>
        <v/>
      </c>
      <c r="N343" s="65"/>
      <c r="O343" s="63" t="str">
        <f t="shared" si="191"/>
        <v/>
      </c>
      <c r="P343" s="63" t="str">
        <f t="shared" si="192"/>
        <v/>
      </c>
      <c r="Q343" s="66"/>
      <c r="R343" s="63" t="str">
        <f t="shared" si="193"/>
        <v/>
      </c>
      <c r="S343" s="64" t="str">
        <f t="shared" si="194"/>
        <v/>
      </c>
      <c r="T343" s="38">
        <v>0</v>
      </c>
      <c r="U343" s="64" t="str">
        <f t="shared" si="195"/>
        <v/>
      </c>
      <c r="V343" s="219"/>
      <c r="W343" s="43" t="str">
        <f t="shared" si="196"/>
        <v/>
      </c>
      <c r="X343" s="43" t="str">
        <f t="shared" si="197"/>
        <v/>
      </c>
      <c r="Y343" s="43"/>
      <c r="Z343" s="38" t="str">
        <f t="shared" si="198"/>
        <v/>
      </c>
      <c r="AA343" s="38" t="str">
        <f t="shared" si="199"/>
        <v/>
      </c>
      <c r="AB343" s="38" t="e">
        <f t="shared" si="200"/>
        <v>#VALUE!</v>
      </c>
      <c r="AC343" s="38" t="str">
        <f t="shared" si="201"/>
        <v/>
      </c>
      <c r="AD343" s="38" t="str">
        <f t="shared" si="201"/>
        <v/>
      </c>
      <c r="AE343" s="38" t="e">
        <f t="shared" si="202"/>
        <v>#VALUE!</v>
      </c>
      <c r="AF343" s="237" t="e">
        <f>((Summary!$N$13*(AA343*AD343)*(A343-$D$3))+(Summary!$M$13*Z343*AC343*(AJ343-EOMONTH(EDATE(A343,-1),0))))/(AK343*AB343*AE343)</f>
        <v>#VALUE!</v>
      </c>
      <c r="AG343" s="88" t="str">
        <f>IF($A344="","",Summary!$Q$13)</f>
        <v/>
      </c>
      <c r="AH343" s="88" t="str">
        <f>IF($A344="","",IF(Summary!$R$12="Y",(VLOOKUP($A343,Summary!$AD$6:$AF$9,3)+'Escalating commodity'!I356),'Escalating commodity'!I356))</f>
        <v/>
      </c>
      <c r="AI343" s="88" t="str">
        <f t="shared" si="217"/>
        <v/>
      </c>
      <c r="AJ343" s="236" t="e">
        <f t="shared" si="203"/>
        <v>#VALUE!</v>
      </c>
      <c r="AK343" s="58" t="str">
        <f t="shared" si="204"/>
        <v/>
      </c>
      <c r="AL343" s="26" t="str">
        <f>IF($A344="","",_xll.SPRDOPT(P343,X343,AI343,0,AB343,AE343,AF343,AK343,$AJ$2,0))</f>
        <v/>
      </c>
      <c r="AM343" s="209" t="str">
        <f t="shared" si="205"/>
        <v/>
      </c>
      <c r="AN343" s="89" t="str">
        <f t="shared" si="206"/>
        <v/>
      </c>
      <c r="AO343" s="3" t="str">
        <f t="shared" si="207"/>
        <v/>
      </c>
      <c r="AP343" s="33" t="str">
        <f t="shared" si="208"/>
        <v/>
      </c>
      <c r="AQ343" s="58" t="str">
        <f t="shared" si="209"/>
        <v/>
      </c>
      <c r="AR343" s="38">
        <f>'ANR OK vs ML7'!AR343</f>
        <v>0.1</v>
      </c>
      <c r="AS343" s="35" t="str">
        <f t="shared" si="210"/>
        <v/>
      </c>
      <c r="AT343" s="3" t="str">
        <f t="shared" si="211"/>
        <v/>
      </c>
      <c r="AU343" s="3" t="str">
        <f t="shared" si="212"/>
        <v/>
      </c>
      <c r="AW343" s="32" t="str">
        <f t="shared" si="213"/>
        <v/>
      </c>
      <c r="AX343" s="32" t="str">
        <f t="shared" si="214"/>
        <v/>
      </c>
      <c r="AY343" s="32" t="str">
        <f t="shared" si="215"/>
        <v/>
      </c>
      <c r="BA343" s="32" t="str">
        <f>IF($A344="","",F343*Summary!$Q$13)</f>
        <v/>
      </c>
    </row>
    <row r="344" spans="1:53" ht="12" customHeight="1">
      <c r="A344" s="67" t="str">
        <f t="shared" si="216"/>
        <v/>
      </c>
      <c r="B344" s="69" t="str">
        <f t="shared" si="218"/>
        <v/>
      </c>
      <c r="C344" s="71"/>
      <c r="D344" s="69" t="str">
        <f t="shared" si="183"/>
        <v/>
      </c>
      <c r="E344" s="70" t="str">
        <f t="shared" si="184"/>
        <v/>
      </c>
      <c r="F344" s="70" t="str">
        <f t="shared" si="185"/>
        <v/>
      </c>
      <c r="G344" s="63" t="str">
        <f t="shared" si="186"/>
        <v/>
      </c>
      <c r="H344" s="64" t="str">
        <f t="shared" si="187"/>
        <v/>
      </c>
      <c r="I344" s="43"/>
      <c r="J344" s="63" t="str">
        <f t="shared" si="188"/>
        <v/>
      </c>
      <c r="K344" s="64" t="str">
        <f t="shared" si="189"/>
        <v/>
      </c>
      <c r="L344" s="38">
        <v>0</v>
      </c>
      <c r="M344" s="64" t="str">
        <f t="shared" si="190"/>
        <v/>
      </c>
      <c r="N344" s="65"/>
      <c r="O344" s="63" t="str">
        <f t="shared" si="191"/>
        <v/>
      </c>
      <c r="P344" s="63" t="str">
        <f t="shared" si="192"/>
        <v/>
      </c>
      <c r="Q344" s="66"/>
      <c r="R344" s="63" t="str">
        <f t="shared" si="193"/>
        <v/>
      </c>
      <c r="S344" s="64" t="str">
        <f t="shared" si="194"/>
        <v/>
      </c>
      <c r="T344" s="38">
        <v>0</v>
      </c>
      <c r="U344" s="64" t="str">
        <f t="shared" si="195"/>
        <v/>
      </c>
      <c r="V344" s="219"/>
      <c r="W344" s="43" t="str">
        <f t="shared" si="196"/>
        <v/>
      </c>
      <c r="X344" s="43" t="str">
        <f t="shared" si="197"/>
        <v/>
      </c>
      <c r="Y344" s="43"/>
      <c r="Z344" s="38" t="str">
        <f t="shared" si="198"/>
        <v/>
      </c>
      <c r="AA344" s="38" t="str">
        <f t="shared" si="199"/>
        <v/>
      </c>
      <c r="AB344" s="38" t="e">
        <f t="shared" si="200"/>
        <v>#VALUE!</v>
      </c>
      <c r="AC344" s="38" t="str">
        <f t="shared" si="201"/>
        <v/>
      </c>
      <c r="AD344" s="38" t="str">
        <f t="shared" si="201"/>
        <v/>
      </c>
      <c r="AE344" s="38" t="e">
        <f t="shared" si="202"/>
        <v>#VALUE!</v>
      </c>
      <c r="AF344" s="237" t="e">
        <f>((Summary!$N$13*(AA344*AD344)*(A344-$D$3))+(Summary!$M$13*Z344*AC344*(AJ344-EOMONTH(EDATE(A344,-1),0))))/(AK344*AB344*AE344)</f>
        <v>#VALUE!</v>
      </c>
      <c r="AG344" s="88" t="str">
        <f>IF($A345="","",Summary!$Q$13)</f>
        <v/>
      </c>
      <c r="AH344" s="88" t="str">
        <f>IF($A345="","",IF(Summary!$R$12="Y",(VLOOKUP($A344,Summary!$AD$6:$AF$9,3)+'Escalating commodity'!I357),'Escalating commodity'!I357))</f>
        <v/>
      </c>
      <c r="AI344" s="88" t="str">
        <f t="shared" si="217"/>
        <v/>
      </c>
      <c r="AJ344" s="236" t="e">
        <f t="shared" si="203"/>
        <v>#VALUE!</v>
      </c>
      <c r="AK344" s="58" t="str">
        <f t="shared" si="204"/>
        <v/>
      </c>
      <c r="AL344" s="26" t="str">
        <f>IF($A345="","",_xll.SPRDOPT(P344,X344,AI344,0,AB344,AE344,AF344,AK344,$AJ$2,0))</f>
        <v/>
      </c>
      <c r="AM344" s="209" t="str">
        <f t="shared" si="205"/>
        <v/>
      </c>
      <c r="AN344" s="89" t="str">
        <f t="shared" si="206"/>
        <v/>
      </c>
      <c r="AO344" s="3" t="str">
        <f t="shared" si="207"/>
        <v/>
      </c>
      <c r="AP344" s="33" t="str">
        <f t="shared" si="208"/>
        <v/>
      </c>
      <c r="AQ344" s="58" t="str">
        <f t="shared" si="209"/>
        <v/>
      </c>
      <c r="AR344" s="38">
        <f>'ANR OK vs ML7'!AR344</f>
        <v>0.1</v>
      </c>
      <c r="AS344" s="35" t="str">
        <f t="shared" si="210"/>
        <v/>
      </c>
      <c r="AT344" s="3" t="str">
        <f t="shared" si="211"/>
        <v/>
      </c>
      <c r="AU344" s="3" t="str">
        <f t="shared" si="212"/>
        <v/>
      </c>
      <c r="AW344" s="32" t="str">
        <f t="shared" si="213"/>
        <v/>
      </c>
      <c r="AX344" s="32" t="str">
        <f t="shared" si="214"/>
        <v/>
      </c>
      <c r="AY344" s="32" t="str">
        <f t="shared" si="215"/>
        <v/>
      </c>
      <c r="BA344" s="32" t="str">
        <f>IF($A345="","",F344*Summary!$Q$13)</f>
        <v/>
      </c>
    </row>
    <row r="345" spans="1:53" ht="12" customHeight="1">
      <c r="A345" s="67" t="str">
        <f t="shared" si="216"/>
        <v/>
      </c>
      <c r="B345" s="69" t="str">
        <f t="shared" si="218"/>
        <v/>
      </c>
      <c r="C345" s="71"/>
      <c r="D345" s="69" t="str">
        <f t="shared" si="183"/>
        <v/>
      </c>
      <c r="E345" s="70" t="str">
        <f t="shared" si="184"/>
        <v/>
      </c>
      <c r="F345" s="70" t="str">
        <f t="shared" si="185"/>
        <v/>
      </c>
      <c r="G345" s="63" t="str">
        <f t="shared" si="186"/>
        <v/>
      </c>
      <c r="H345" s="64" t="str">
        <f t="shared" si="187"/>
        <v/>
      </c>
      <c r="I345" s="43"/>
      <c r="J345" s="63" t="str">
        <f t="shared" si="188"/>
        <v/>
      </c>
      <c r="K345" s="64" t="str">
        <f t="shared" si="189"/>
        <v/>
      </c>
      <c r="L345" s="38">
        <v>0</v>
      </c>
      <c r="M345" s="64" t="str">
        <f t="shared" si="190"/>
        <v/>
      </c>
      <c r="N345" s="65"/>
      <c r="O345" s="63" t="str">
        <f t="shared" si="191"/>
        <v/>
      </c>
      <c r="P345" s="63" t="str">
        <f t="shared" si="192"/>
        <v/>
      </c>
      <c r="Q345" s="66"/>
      <c r="R345" s="63" t="str">
        <f t="shared" si="193"/>
        <v/>
      </c>
      <c r="S345" s="64" t="str">
        <f t="shared" si="194"/>
        <v/>
      </c>
      <c r="T345" s="38">
        <v>0</v>
      </c>
      <c r="U345" s="64" t="str">
        <f t="shared" si="195"/>
        <v/>
      </c>
      <c r="V345" s="219"/>
      <c r="W345" s="43" t="str">
        <f t="shared" si="196"/>
        <v/>
      </c>
      <c r="X345" s="43" t="str">
        <f t="shared" si="197"/>
        <v/>
      </c>
      <c r="Y345" s="43"/>
      <c r="Z345" s="38" t="str">
        <f t="shared" si="198"/>
        <v/>
      </c>
      <c r="AA345" s="38" t="str">
        <f t="shared" si="199"/>
        <v/>
      </c>
      <c r="AB345" s="38" t="e">
        <f t="shared" si="200"/>
        <v>#VALUE!</v>
      </c>
      <c r="AC345" s="38" t="str">
        <f t="shared" si="201"/>
        <v/>
      </c>
      <c r="AD345" s="38" t="str">
        <f t="shared" si="201"/>
        <v/>
      </c>
      <c r="AE345" s="38" t="e">
        <f t="shared" si="202"/>
        <v>#VALUE!</v>
      </c>
      <c r="AF345" s="237" t="e">
        <f>((Summary!$N$13*(AA345*AD345)*(A345-$D$3))+(Summary!$M$13*Z345*AC345*(AJ345-EOMONTH(EDATE(A345,-1),0))))/(AK345*AB345*AE345)</f>
        <v>#VALUE!</v>
      </c>
      <c r="AG345" s="88" t="str">
        <f>IF($A346="","",Summary!$Q$13)</f>
        <v/>
      </c>
      <c r="AH345" s="88" t="str">
        <f>IF($A346="","",IF(Summary!$R$12="Y",(VLOOKUP($A345,Summary!$AD$6:$AF$9,3)+'Escalating commodity'!I358),'Escalating commodity'!I358))</f>
        <v/>
      </c>
      <c r="AI345" s="88" t="str">
        <f t="shared" si="217"/>
        <v/>
      </c>
      <c r="AJ345" s="236" t="e">
        <f t="shared" si="203"/>
        <v>#VALUE!</v>
      </c>
      <c r="AK345" s="58" t="str">
        <f t="shared" si="204"/>
        <v/>
      </c>
      <c r="AL345" s="26" t="str">
        <f>IF($A346="","",_xll.SPRDOPT(P345,X345,AI345,0,AB345,AE345,AF345,AK345,$AJ$2,0))</f>
        <v/>
      </c>
      <c r="AM345" s="209" t="str">
        <f t="shared" si="205"/>
        <v/>
      </c>
      <c r="AN345" s="89" t="str">
        <f t="shared" si="206"/>
        <v/>
      </c>
      <c r="AO345" s="3" t="str">
        <f t="shared" si="207"/>
        <v/>
      </c>
      <c r="AP345" s="33" t="str">
        <f t="shared" si="208"/>
        <v/>
      </c>
      <c r="AQ345" s="58" t="str">
        <f t="shared" si="209"/>
        <v/>
      </c>
      <c r="AR345" s="38">
        <f>'ANR OK vs ML7'!AR345</f>
        <v>0.1</v>
      </c>
      <c r="AS345" s="35" t="str">
        <f t="shared" si="210"/>
        <v/>
      </c>
      <c r="AT345" s="3" t="str">
        <f t="shared" si="211"/>
        <v/>
      </c>
      <c r="AU345" s="3" t="str">
        <f t="shared" si="212"/>
        <v/>
      </c>
      <c r="AW345" s="32" t="str">
        <f t="shared" si="213"/>
        <v/>
      </c>
      <c r="AX345" s="32" t="str">
        <f t="shared" si="214"/>
        <v/>
      </c>
      <c r="AY345" s="32" t="str">
        <f t="shared" si="215"/>
        <v/>
      </c>
      <c r="BA345" s="32" t="str">
        <f>IF($A346="","",F345*Summary!$Q$13)</f>
        <v/>
      </c>
    </row>
    <row r="346" spans="1:53" ht="12" customHeight="1">
      <c r="A346" s="67" t="str">
        <f t="shared" si="216"/>
        <v/>
      </c>
      <c r="B346" s="69" t="str">
        <f t="shared" si="218"/>
        <v/>
      </c>
      <c r="C346" s="71"/>
      <c r="D346" s="69" t="str">
        <f t="shared" si="183"/>
        <v/>
      </c>
      <c r="E346" s="70" t="str">
        <f t="shared" si="184"/>
        <v/>
      </c>
      <c r="F346" s="70" t="str">
        <f t="shared" si="185"/>
        <v/>
      </c>
      <c r="G346" s="63" t="str">
        <f t="shared" si="186"/>
        <v/>
      </c>
      <c r="H346" s="64" t="str">
        <f t="shared" si="187"/>
        <v/>
      </c>
      <c r="I346" s="43"/>
      <c r="J346" s="63" t="str">
        <f t="shared" si="188"/>
        <v/>
      </c>
      <c r="K346" s="64" t="str">
        <f t="shared" si="189"/>
        <v/>
      </c>
      <c r="L346" s="38">
        <v>0</v>
      </c>
      <c r="M346" s="64" t="str">
        <f t="shared" si="190"/>
        <v/>
      </c>
      <c r="N346" s="65"/>
      <c r="O346" s="63" t="str">
        <f t="shared" si="191"/>
        <v/>
      </c>
      <c r="P346" s="63" t="str">
        <f t="shared" si="192"/>
        <v/>
      </c>
      <c r="Q346" s="66"/>
      <c r="R346" s="63" t="str">
        <f t="shared" si="193"/>
        <v/>
      </c>
      <c r="S346" s="64" t="str">
        <f t="shared" si="194"/>
        <v/>
      </c>
      <c r="T346" s="38">
        <v>0</v>
      </c>
      <c r="U346" s="64" t="str">
        <f t="shared" si="195"/>
        <v/>
      </c>
      <c r="V346" s="219"/>
      <c r="W346" s="43" t="str">
        <f t="shared" si="196"/>
        <v/>
      </c>
      <c r="X346" s="43" t="str">
        <f t="shared" si="197"/>
        <v/>
      </c>
      <c r="Y346" s="43"/>
      <c r="Z346" s="38" t="str">
        <f t="shared" si="198"/>
        <v/>
      </c>
      <c r="AA346" s="38" t="str">
        <f t="shared" si="199"/>
        <v/>
      </c>
      <c r="AB346" s="38" t="e">
        <f t="shared" si="200"/>
        <v>#VALUE!</v>
      </c>
      <c r="AC346" s="38" t="str">
        <f t="shared" si="201"/>
        <v/>
      </c>
      <c r="AD346" s="38" t="str">
        <f t="shared" si="201"/>
        <v/>
      </c>
      <c r="AE346" s="38" t="e">
        <f t="shared" si="202"/>
        <v>#VALUE!</v>
      </c>
      <c r="AF346" s="237" t="e">
        <f>((Summary!$N$13*(AA346*AD346)*(A346-$D$3))+(Summary!$M$13*Z346*AC346*(AJ346-EOMONTH(EDATE(A346,-1),0))))/(AK346*AB346*AE346)</f>
        <v>#VALUE!</v>
      </c>
      <c r="AG346" s="88" t="str">
        <f>IF($A347="","",Summary!$Q$13)</f>
        <v/>
      </c>
      <c r="AH346" s="88" t="str">
        <f>IF($A347="","",IF(Summary!$R$12="Y",(VLOOKUP($A346,Summary!$AD$6:$AF$9,3)+'Escalating commodity'!I359),'Escalating commodity'!I359))</f>
        <v/>
      </c>
      <c r="AI346" s="88" t="str">
        <f t="shared" si="217"/>
        <v/>
      </c>
      <c r="AJ346" s="236" t="e">
        <f t="shared" si="203"/>
        <v>#VALUE!</v>
      </c>
      <c r="AK346" s="58" t="str">
        <f t="shared" si="204"/>
        <v/>
      </c>
      <c r="AL346" s="26" t="str">
        <f>IF($A347="","",_xll.SPRDOPT(P346,X346,AI346,0,AB346,AE346,AF346,AK346,$AJ$2,0))</f>
        <v/>
      </c>
      <c r="AM346" s="209" t="str">
        <f t="shared" si="205"/>
        <v/>
      </c>
      <c r="AN346" s="89" t="str">
        <f t="shared" si="206"/>
        <v/>
      </c>
      <c r="AO346" s="3" t="str">
        <f t="shared" si="207"/>
        <v/>
      </c>
      <c r="AP346" s="33" t="str">
        <f t="shared" si="208"/>
        <v/>
      </c>
      <c r="AQ346" s="58" t="str">
        <f t="shared" si="209"/>
        <v/>
      </c>
      <c r="AR346" s="38">
        <f>'ANR OK vs ML7'!AR346</f>
        <v>0.1</v>
      </c>
      <c r="AS346" s="35" t="str">
        <f t="shared" si="210"/>
        <v/>
      </c>
      <c r="AT346" s="3" t="str">
        <f t="shared" si="211"/>
        <v/>
      </c>
      <c r="AU346" s="3" t="str">
        <f t="shared" si="212"/>
        <v/>
      </c>
      <c r="AW346" s="32" t="str">
        <f t="shared" si="213"/>
        <v/>
      </c>
      <c r="AX346" s="32" t="str">
        <f t="shared" si="214"/>
        <v/>
      </c>
      <c r="AY346" s="32" t="str">
        <f t="shared" si="215"/>
        <v/>
      </c>
      <c r="BA346" s="32" t="str">
        <f>IF($A347="","",F346*Summary!$Q$13)</f>
        <v/>
      </c>
    </row>
    <row r="347" spans="1:53" ht="12" customHeight="1">
      <c r="A347" s="67" t="str">
        <f t="shared" si="216"/>
        <v/>
      </c>
      <c r="B347" s="69" t="str">
        <f t="shared" si="218"/>
        <v/>
      </c>
      <c r="C347" s="71"/>
      <c r="D347" s="69" t="str">
        <f t="shared" si="183"/>
        <v/>
      </c>
      <c r="E347" s="70" t="str">
        <f t="shared" si="184"/>
        <v/>
      </c>
      <c r="F347" s="70" t="str">
        <f t="shared" si="185"/>
        <v/>
      </c>
      <c r="G347" s="63" t="str">
        <f t="shared" si="186"/>
        <v/>
      </c>
      <c r="H347" s="64" t="str">
        <f t="shared" si="187"/>
        <v/>
      </c>
      <c r="I347" s="43"/>
      <c r="J347" s="63" t="str">
        <f t="shared" si="188"/>
        <v/>
      </c>
      <c r="K347" s="64" t="str">
        <f t="shared" si="189"/>
        <v/>
      </c>
      <c r="L347" s="38">
        <v>0</v>
      </c>
      <c r="M347" s="64" t="str">
        <f t="shared" si="190"/>
        <v/>
      </c>
      <c r="N347" s="65"/>
      <c r="O347" s="63" t="str">
        <f t="shared" si="191"/>
        <v/>
      </c>
      <c r="P347" s="63" t="str">
        <f t="shared" si="192"/>
        <v/>
      </c>
      <c r="Q347" s="66"/>
      <c r="R347" s="63" t="str">
        <f t="shared" si="193"/>
        <v/>
      </c>
      <c r="S347" s="64" t="str">
        <f t="shared" si="194"/>
        <v/>
      </c>
      <c r="T347" s="38">
        <v>0</v>
      </c>
      <c r="U347" s="64" t="str">
        <f t="shared" si="195"/>
        <v/>
      </c>
      <c r="V347" s="219"/>
      <c r="W347" s="43" t="str">
        <f t="shared" si="196"/>
        <v/>
      </c>
      <c r="X347" s="43" t="str">
        <f t="shared" si="197"/>
        <v/>
      </c>
      <c r="Y347" s="43"/>
      <c r="Z347" s="38" t="str">
        <f t="shared" si="198"/>
        <v/>
      </c>
      <c r="AA347" s="38" t="str">
        <f t="shared" si="199"/>
        <v/>
      </c>
      <c r="AB347" s="38" t="e">
        <f t="shared" si="200"/>
        <v>#VALUE!</v>
      </c>
      <c r="AC347" s="38" t="str">
        <f t="shared" si="201"/>
        <v/>
      </c>
      <c r="AD347" s="38" t="str">
        <f t="shared" si="201"/>
        <v/>
      </c>
      <c r="AE347" s="38" t="e">
        <f t="shared" si="202"/>
        <v>#VALUE!</v>
      </c>
      <c r="AF347" s="237" t="e">
        <f>((Summary!$N$13*(AA347*AD347)*(A347-$D$3))+(Summary!$M$13*Z347*AC347*(AJ347-EOMONTH(EDATE(A347,-1),0))))/(AK347*AB347*AE347)</f>
        <v>#VALUE!</v>
      </c>
      <c r="AG347" s="88" t="str">
        <f>IF($A348="","",Summary!$Q$13)</f>
        <v/>
      </c>
      <c r="AH347" s="88" t="str">
        <f>IF($A348="","",IF(Summary!$R$12="Y",(VLOOKUP($A347,Summary!$AD$6:$AF$9,3)+'Escalating commodity'!I360),'Escalating commodity'!I360))</f>
        <v/>
      </c>
      <c r="AI347" s="88" t="str">
        <f t="shared" si="217"/>
        <v/>
      </c>
      <c r="AJ347" s="236" t="e">
        <f t="shared" si="203"/>
        <v>#VALUE!</v>
      </c>
      <c r="AK347" s="58" t="str">
        <f t="shared" si="204"/>
        <v/>
      </c>
      <c r="AL347" s="26" t="str">
        <f>IF($A348="","",_xll.SPRDOPT(P347,X347,AI347,0,AB347,AE347,AF347,AK347,$AJ$2,0))</f>
        <v/>
      </c>
      <c r="AM347" s="209" t="str">
        <f t="shared" si="205"/>
        <v/>
      </c>
      <c r="AN347" s="89" t="str">
        <f t="shared" si="206"/>
        <v/>
      </c>
      <c r="AO347" s="3" t="str">
        <f t="shared" si="207"/>
        <v/>
      </c>
      <c r="AP347" s="33" t="str">
        <f t="shared" si="208"/>
        <v/>
      </c>
      <c r="AQ347" s="58" t="str">
        <f t="shared" si="209"/>
        <v/>
      </c>
      <c r="AR347" s="38">
        <f>'ANR OK vs ML7'!AR347</f>
        <v>0.1</v>
      </c>
      <c r="AS347" s="35" t="str">
        <f t="shared" si="210"/>
        <v/>
      </c>
      <c r="AT347" s="3" t="str">
        <f t="shared" si="211"/>
        <v/>
      </c>
      <c r="AU347" s="3" t="str">
        <f t="shared" si="212"/>
        <v/>
      </c>
      <c r="AW347" s="32" t="str">
        <f t="shared" si="213"/>
        <v/>
      </c>
      <c r="AX347" s="32" t="str">
        <f t="shared" si="214"/>
        <v/>
      </c>
      <c r="AY347" s="32" t="str">
        <f t="shared" si="215"/>
        <v/>
      </c>
      <c r="BA347" s="32" t="str">
        <f>IF($A348="","",F347*Summary!$Q$13)</f>
        <v/>
      </c>
    </row>
    <row r="348" spans="1:53" ht="12" customHeight="1">
      <c r="A348" s="67" t="str">
        <f t="shared" si="216"/>
        <v/>
      </c>
      <c r="B348" s="69" t="str">
        <f t="shared" si="218"/>
        <v/>
      </c>
      <c r="C348" s="71"/>
      <c r="D348" s="69" t="str">
        <f t="shared" si="183"/>
        <v/>
      </c>
      <c r="E348" s="70" t="str">
        <f t="shared" si="184"/>
        <v/>
      </c>
      <c r="F348" s="70" t="str">
        <f t="shared" si="185"/>
        <v/>
      </c>
      <c r="G348" s="63" t="str">
        <f t="shared" si="186"/>
        <v/>
      </c>
      <c r="H348" s="64" t="str">
        <f t="shared" si="187"/>
        <v/>
      </c>
      <c r="I348" s="43"/>
      <c r="J348" s="63" t="str">
        <f t="shared" si="188"/>
        <v/>
      </c>
      <c r="K348" s="64" t="str">
        <f t="shared" si="189"/>
        <v/>
      </c>
      <c r="L348" s="38">
        <v>0</v>
      </c>
      <c r="M348" s="64" t="str">
        <f t="shared" si="190"/>
        <v/>
      </c>
      <c r="N348" s="65"/>
      <c r="O348" s="63" t="str">
        <f t="shared" si="191"/>
        <v/>
      </c>
      <c r="P348" s="63" t="str">
        <f t="shared" si="192"/>
        <v/>
      </c>
      <c r="Q348" s="66"/>
      <c r="R348" s="63" t="str">
        <f t="shared" si="193"/>
        <v/>
      </c>
      <c r="S348" s="64" t="str">
        <f t="shared" si="194"/>
        <v/>
      </c>
      <c r="T348" s="38">
        <v>0</v>
      </c>
      <c r="U348" s="64" t="str">
        <f t="shared" si="195"/>
        <v/>
      </c>
      <c r="V348" s="219"/>
      <c r="W348" s="43" t="str">
        <f t="shared" si="196"/>
        <v/>
      </c>
      <c r="X348" s="43" t="str">
        <f t="shared" si="197"/>
        <v/>
      </c>
      <c r="Y348" s="43"/>
      <c r="Z348" s="38" t="str">
        <f t="shared" si="198"/>
        <v/>
      </c>
      <c r="AA348" s="38" t="str">
        <f t="shared" si="199"/>
        <v/>
      </c>
      <c r="AB348" s="38" t="e">
        <f t="shared" si="200"/>
        <v>#VALUE!</v>
      </c>
      <c r="AC348" s="38" t="str">
        <f t="shared" si="201"/>
        <v/>
      </c>
      <c r="AD348" s="38" t="str">
        <f t="shared" si="201"/>
        <v/>
      </c>
      <c r="AE348" s="38" t="e">
        <f t="shared" si="202"/>
        <v>#VALUE!</v>
      </c>
      <c r="AF348" s="237" t="e">
        <f>((Summary!$N$13*(AA348*AD348)*(A348-$D$3))+(Summary!$M$13*Z348*AC348*(AJ348-EOMONTH(EDATE(A348,-1),0))))/(AK348*AB348*AE348)</f>
        <v>#VALUE!</v>
      </c>
      <c r="AG348" s="88" t="str">
        <f>IF($A349="","",Summary!$Q$13)</f>
        <v/>
      </c>
      <c r="AH348" s="88" t="str">
        <f>IF($A349="","",IF(Summary!$R$12="Y",(VLOOKUP($A348,Summary!$AD$6:$AF$9,3)+'Escalating commodity'!I361),'Escalating commodity'!I361))</f>
        <v/>
      </c>
      <c r="AI348" s="88" t="str">
        <f t="shared" si="217"/>
        <v/>
      </c>
      <c r="AJ348" s="236" t="e">
        <f t="shared" si="203"/>
        <v>#VALUE!</v>
      </c>
      <c r="AK348" s="58" t="str">
        <f t="shared" si="204"/>
        <v/>
      </c>
      <c r="AL348" s="26" t="str">
        <f>IF($A349="","",_xll.SPRDOPT(P348,X348,AI348,0,AB348,AE348,AF348,AK348,$AJ$2,0))</f>
        <v/>
      </c>
      <c r="AM348" s="209" t="str">
        <f t="shared" si="205"/>
        <v/>
      </c>
      <c r="AN348" s="89" t="str">
        <f t="shared" si="206"/>
        <v/>
      </c>
      <c r="AO348" s="3" t="str">
        <f t="shared" si="207"/>
        <v/>
      </c>
      <c r="AP348" s="33" t="str">
        <f t="shared" si="208"/>
        <v/>
      </c>
      <c r="AQ348" s="58" t="str">
        <f t="shared" si="209"/>
        <v/>
      </c>
      <c r="AR348" s="38">
        <f>'ANR OK vs ML7'!AR348</f>
        <v>0.1</v>
      </c>
      <c r="AS348" s="35" t="str">
        <f t="shared" si="210"/>
        <v/>
      </c>
      <c r="AT348" s="3" t="str">
        <f t="shared" si="211"/>
        <v/>
      </c>
      <c r="AU348" s="3" t="str">
        <f t="shared" si="212"/>
        <v/>
      </c>
      <c r="AW348" s="32" t="str">
        <f t="shared" si="213"/>
        <v/>
      </c>
      <c r="AX348" s="32" t="str">
        <f t="shared" si="214"/>
        <v/>
      </c>
      <c r="AY348" s="32" t="str">
        <f t="shared" si="215"/>
        <v/>
      </c>
      <c r="BA348" s="32" t="str">
        <f>IF($A349="","",F348*Summary!$Q$13)</f>
        <v/>
      </c>
    </row>
    <row r="349" spans="1:53" ht="12" customHeight="1">
      <c r="A349" s="67" t="str">
        <f t="shared" si="216"/>
        <v/>
      </c>
      <c r="B349" s="69" t="str">
        <f t="shared" si="218"/>
        <v/>
      </c>
      <c r="C349" s="71"/>
      <c r="D349" s="69" t="str">
        <f t="shared" si="183"/>
        <v/>
      </c>
      <c r="E349" s="70" t="str">
        <f t="shared" si="184"/>
        <v/>
      </c>
      <c r="F349" s="70" t="str">
        <f t="shared" si="185"/>
        <v/>
      </c>
      <c r="G349" s="63" t="str">
        <f t="shared" si="186"/>
        <v/>
      </c>
      <c r="H349" s="64" t="str">
        <f t="shared" si="187"/>
        <v/>
      </c>
      <c r="I349" s="43"/>
      <c r="J349" s="63" t="str">
        <f t="shared" si="188"/>
        <v/>
      </c>
      <c r="K349" s="64" t="str">
        <f t="shared" si="189"/>
        <v/>
      </c>
      <c r="L349" s="38">
        <v>0</v>
      </c>
      <c r="M349" s="64" t="str">
        <f t="shared" si="190"/>
        <v/>
      </c>
      <c r="N349" s="65"/>
      <c r="O349" s="63" t="str">
        <f t="shared" si="191"/>
        <v/>
      </c>
      <c r="P349" s="63" t="str">
        <f t="shared" si="192"/>
        <v/>
      </c>
      <c r="Q349" s="66"/>
      <c r="R349" s="63" t="str">
        <f t="shared" si="193"/>
        <v/>
      </c>
      <c r="S349" s="64" t="str">
        <f t="shared" si="194"/>
        <v/>
      </c>
      <c r="T349" s="38">
        <v>0</v>
      </c>
      <c r="U349" s="64" t="str">
        <f t="shared" si="195"/>
        <v/>
      </c>
      <c r="V349" s="219"/>
      <c r="W349" s="43" t="str">
        <f t="shared" si="196"/>
        <v/>
      </c>
      <c r="X349" s="43" t="str">
        <f t="shared" si="197"/>
        <v/>
      </c>
      <c r="Y349" s="43"/>
      <c r="Z349" s="38" t="str">
        <f t="shared" si="198"/>
        <v/>
      </c>
      <c r="AA349" s="38" t="str">
        <f t="shared" si="199"/>
        <v/>
      </c>
      <c r="AB349" s="38" t="e">
        <f t="shared" si="200"/>
        <v>#VALUE!</v>
      </c>
      <c r="AC349" s="38" t="str">
        <f t="shared" si="201"/>
        <v/>
      </c>
      <c r="AD349" s="38" t="str">
        <f t="shared" si="201"/>
        <v/>
      </c>
      <c r="AE349" s="38" t="e">
        <f t="shared" si="202"/>
        <v>#VALUE!</v>
      </c>
      <c r="AF349" s="237" t="e">
        <f>((Summary!$N$13*(AA349*AD349)*(A349-$D$3))+(Summary!$M$13*Z349*AC349*(AJ349-EOMONTH(EDATE(A349,-1),0))))/(AK349*AB349*AE349)</f>
        <v>#VALUE!</v>
      </c>
      <c r="AG349" s="88" t="str">
        <f>IF($A350="","",Summary!$Q$13)</f>
        <v/>
      </c>
      <c r="AH349" s="88" t="str">
        <f>IF($A350="","",IF(Summary!$R$12="Y",(VLOOKUP($A349,Summary!$AD$6:$AF$9,3)+'Escalating commodity'!I362),'Escalating commodity'!I362))</f>
        <v/>
      </c>
      <c r="AI349" s="88" t="str">
        <f t="shared" si="217"/>
        <v/>
      </c>
      <c r="AJ349" s="236" t="e">
        <f t="shared" si="203"/>
        <v>#VALUE!</v>
      </c>
      <c r="AK349" s="58" t="str">
        <f t="shared" si="204"/>
        <v/>
      </c>
      <c r="AL349" s="26" t="str">
        <f>IF($A350="","",_xll.SPRDOPT(P349,X349,AI349,0,AB349,AE349,AF349,AK349,$AJ$2,0))</f>
        <v/>
      </c>
      <c r="AM349" s="209" t="str">
        <f t="shared" si="205"/>
        <v/>
      </c>
      <c r="AN349" s="89" t="str">
        <f t="shared" si="206"/>
        <v/>
      </c>
      <c r="AO349" s="3" t="str">
        <f t="shared" si="207"/>
        <v/>
      </c>
      <c r="AP349" s="33" t="str">
        <f t="shared" si="208"/>
        <v/>
      </c>
      <c r="AQ349" s="58" t="str">
        <f t="shared" si="209"/>
        <v/>
      </c>
      <c r="AR349" s="38">
        <f>'ANR OK vs ML7'!AR349</f>
        <v>0.1</v>
      </c>
      <c r="AS349" s="35" t="str">
        <f t="shared" si="210"/>
        <v/>
      </c>
      <c r="AT349" s="3" t="str">
        <f t="shared" si="211"/>
        <v/>
      </c>
      <c r="AU349" s="3" t="str">
        <f t="shared" si="212"/>
        <v/>
      </c>
      <c r="AW349" s="32" t="str">
        <f t="shared" si="213"/>
        <v/>
      </c>
      <c r="AX349" s="32" t="str">
        <f t="shared" si="214"/>
        <v/>
      </c>
      <c r="AY349" s="32" t="str">
        <f t="shared" si="215"/>
        <v/>
      </c>
      <c r="BA349" s="32" t="str">
        <f>IF($A350="","",F349*Summary!$Q$13)</f>
        <v/>
      </c>
    </row>
    <row r="350" spans="1:53" ht="12" customHeight="1">
      <c r="A350" s="67" t="str">
        <f t="shared" si="216"/>
        <v/>
      </c>
      <c r="B350" s="69" t="str">
        <f t="shared" si="218"/>
        <v/>
      </c>
      <c r="C350" s="71"/>
      <c r="D350" s="69" t="str">
        <f t="shared" si="183"/>
        <v/>
      </c>
      <c r="E350" s="70" t="str">
        <f t="shared" si="184"/>
        <v/>
      </c>
      <c r="F350" s="70" t="str">
        <f t="shared" si="185"/>
        <v/>
      </c>
      <c r="G350" s="63" t="str">
        <f t="shared" si="186"/>
        <v/>
      </c>
      <c r="H350" s="64" t="str">
        <f t="shared" si="187"/>
        <v/>
      </c>
      <c r="I350" s="43"/>
      <c r="J350" s="63" t="str">
        <f t="shared" si="188"/>
        <v/>
      </c>
      <c r="K350" s="64" t="str">
        <f t="shared" si="189"/>
        <v/>
      </c>
      <c r="L350" s="38">
        <v>0</v>
      </c>
      <c r="M350" s="64" t="str">
        <f t="shared" si="190"/>
        <v/>
      </c>
      <c r="N350" s="65"/>
      <c r="O350" s="63" t="str">
        <f t="shared" si="191"/>
        <v/>
      </c>
      <c r="P350" s="63" t="str">
        <f t="shared" si="192"/>
        <v/>
      </c>
      <c r="Q350" s="66"/>
      <c r="R350" s="63" t="str">
        <f t="shared" si="193"/>
        <v/>
      </c>
      <c r="S350" s="64" t="str">
        <f t="shared" si="194"/>
        <v/>
      </c>
      <c r="T350" s="38">
        <v>0</v>
      </c>
      <c r="U350" s="64" t="str">
        <f t="shared" si="195"/>
        <v/>
      </c>
      <c r="V350" s="219"/>
      <c r="W350" s="43" t="str">
        <f t="shared" si="196"/>
        <v/>
      </c>
      <c r="X350" s="43" t="str">
        <f t="shared" si="197"/>
        <v/>
      </c>
      <c r="Y350" s="43"/>
      <c r="Z350" s="38" t="str">
        <f t="shared" si="198"/>
        <v/>
      </c>
      <c r="AA350" s="38" t="str">
        <f t="shared" si="199"/>
        <v/>
      </c>
      <c r="AB350" s="38" t="e">
        <f t="shared" si="200"/>
        <v>#VALUE!</v>
      </c>
      <c r="AC350" s="38" t="str">
        <f t="shared" si="201"/>
        <v/>
      </c>
      <c r="AD350" s="38" t="str">
        <f t="shared" si="201"/>
        <v/>
      </c>
      <c r="AE350" s="38" t="e">
        <f t="shared" si="202"/>
        <v>#VALUE!</v>
      </c>
      <c r="AF350" s="237" t="e">
        <f>((Summary!$N$13*(AA350*AD350)*(A350-$D$3))+(Summary!$M$13*Z350*AC350*(AJ350-EOMONTH(EDATE(A350,-1),0))))/(AK350*AB350*AE350)</f>
        <v>#VALUE!</v>
      </c>
      <c r="AG350" s="88" t="str">
        <f>IF($A351="","",Summary!$Q$13)</f>
        <v/>
      </c>
      <c r="AH350" s="88" t="str">
        <f>IF($A351="","",IF(Summary!$R$12="Y",(VLOOKUP($A350,Summary!$AD$6:$AF$9,3)+'Escalating commodity'!I363),'Escalating commodity'!I363))</f>
        <v/>
      </c>
      <c r="AI350" s="88" t="str">
        <f t="shared" si="217"/>
        <v/>
      </c>
      <c r="AJ350" s="236" t="e">
        <f t="shared" si="203"/>
        <v>#VALUE!</v>
      </c>
      <c r="AK350" s="58" t="str">
        <f t="shared" si="204"/>
        <v/>
      </c>
      <c r="AL350" s="26" t="str">
        <f>IF($A351="","",_xll.SPRDOPT(P350,X350,AI350,0,AB350,AE350,AF350,AK350,$AJ$2,0))</f>
        <v/>
      </c>
      <c r="AM350" s="209" t="str">
        <f t="shared" si="205"/>
        <v/>
      </c>
      <c r="AN350" s="89" t="str">
        <f t="shared" si="206"/>
        <v/>
      </c>
      <c r="AO350" s="3" t="str">
        <f t="shared" si="207"/>
        <v/>
      </c>
      <c r="AP350" s="33" t="str">
        <f t="shared" si="208"/>
        <v/>
      </c>
      <c r="AQ350" s="58" t="str">
        <f t="shared" si="209"/>
        <v/>
      </c>
      <c r="AR350" s="38">
        <f>'ANR OK vs ML7'!AR350</f>
        <v>0.1</v>
      </c>
      <c r="AS350" s="35" t="str">
        <f t="shared" si="210"/>
        <v/>
      </c>
      <c r="AT350" s="3" t="str">
        <f t="shared" si="211"/>
        <v/>
      </c>
      <c r="AU350" s="3" t="str">
        <f t="shared" si="212"/>
        <v/>
      </c>
      <c r="AW350" s="32" t="str">
        <f t="shared" si="213"/>
        <v/>
      </c>
      <c r="AX350" s="32" t="str">
        <f t="shared" si="214"/>
        <v/>
      </c>
      <c r="AY350" s="32" t="str">
        <f t="shared" si="215"/>
        <v/>
      </c>
      <c r="BA350" s="32" t="str">
        <f>IF($A351="","",F350*Summary!$Q$13)</f>
        <v/>
      </c>
    </row>
    <row r="351" spans="1:53" ht="12" customHeight="1">
      <c r="A351" s="67" t="str">
        <f t="shared" si="216"/>
        <v/>
      </c>
      <c r="B351" s="69" t="str">
        <f t="shared" si="218"/>
        <v/>
      </c>
      <c r="C351" s="71"/>
      <c r="D351" s="69" t="str">
        <f t="shared" si="183"/>
        <v/>
      </c>
      <c r="E351" s="70" t="str">
        <f t="shared" si="184"/>
        <v/>
      </c>
      <c r="F351" s="70" t="str">
        <f t="shared" si="185"/>
        <v/>
      </c>
      <c r="G351" s="63" t="str">
        <f t="shared" si="186"/>
        <v/>
      </c>
      <c r="H351" s="64" t="str">
        <f t="shared" si="187"/>
        <v/>
      </c>
      <c r="I351" s="43"/>
      <c r="J351" s="63" t="str">
        <f t="shared" si="188"/>
        <v/>
      </c>
      <c r="K351" s="64" t="str">
        <f t="shared" si="189"/>
        <v/>
      </c>
      <c r="L351" s="38">
        <v>0</v>
      </c>
      <c r="M351" s="64" t="str">
        <f t="shared" si="190"/>
        <v/>
      </c>
      <c r="N351" s="65"/>
      <c r="O351" s="63" t="str">
        <f t="shared" si="191"/>
        <v/>
      </c>
      <c r="P351" s="63" t="str">
        <f t="shared" si="192"/>
        <v/>
      </c>
      <c r="Q351" s="66"/>
      <c r="R351" s="63" t="str">
        <f t="shared" si="193"/>
        <v/>
      </c>
      <c r="S351" s="64" t="str">
        <f t="shared" si="194"/>
        <v/>
      </c>
      <c r="T351" s="38">
        <v>0</v>
      </c>
      <c r="U351" s="64" t="str">
        <f t="shared" si="195"/>
        <v/>
      </c>
      <c r="V351" s="219"/>
      <c r="W351" s="43" t="str">
        <f t="shared" si="196"/>
        <v/>
      </c>
      <c r="X351" s="43" t="str">
        <f t="shared" si="197"/>
        <v/>
      </c>
      <c r="Y351" s="43"/>
      <c r="Z351" s="38" t="str">
        <f t="shared" si="198"/>
        <v/>
      </c>
      <c r="AA351" s="38" t="str">
        <f t="shared" si="199"/>
        <v/>
      </c>
      <c r="AB351" s="38" t="e">
        <f t="shared" si="200"/>
        <v>#VALUE!</v>
      </c>
      <c r="AC351" s="38" t="str">
        <f t="shared" si="201"/>
        <v/>
      </c>
      <c r="AD351" s="38" t="str">
        <f t="shared" si="201"/>
        <v/>
      </c>
      <c r="AE351" s="38" t="e">
        <f t="shared" si="202"/>
        <v>#VALUE!</v>
      </c>
      <c r="AF351" s="237" t="e">
        <f>((Summary!$N$13*(AA351*AD351)*(A351-$D$3))+(Summary!$M$13*Z351*AC351*(AJ351-EOMONTH(EDATE(A351,-1),0))))/(AK351*AB351*AE351)</f>
        <v>#VALUE!</v>
      </c>
      <c r="AG351" s="88" t="str">
        <f>IF($A352="","",Summary!$Q$13)</f>
        <v/>
      </c>
      <c r="AH351" s="88" t="str">
        <f>IF($A352="","",IF(Summary!$R$12="Y",(VLOOKUP($A351,Summary!$AD$6:$AF$9,3)+'Escalating commodity'!I364),'Escalating commodity'!I364))</f>
        <v/>
      </c>
      <c r="AI351" s="88" t="str">
        <f t="shared" si="217"/>
        <v/>
      </c>
      <c r="AJ351" s="236" t="e">
        <f t="shared" si="203"/>
        <v>#VALUE!</v>
      </c>
      <c r="AK351" s="58" t="str">
        <f t="shared" si="204"/>
        <v/>
      </c>
      <c r="AL351" s="26" t="str">
        <f>IF($A352="","",_xll.SPRDOPT(P351,X351,AI351,0,AB351,AE351,AF351,AK351,$AJ$2,0))</f>
        <v/>
      </c>
      <c r="AM351" s="209" t="str">
        <f t="shared" si="205"/>
        <v/>
      </c>
      <c r="AN351" s="89" t="str">
        <f t="shared" si="206"/>
        <v/>
      </c>
      <c r="AO351" s="3" t="str">
        <f t="shared" si="207"/>
        <v/>
      </c>
      <c r="AP351" s="33" t="str">
        <f t="shared" si="208"/>
        <v/>
      </c>
      <c r="AQ351" s="58" t="str">
        <f t="shared" si="209"/>
        <v/>
      </c>
      <c r="AR351" s="38">
        <f>'ANR OK vs ML7'!AR351</f>
        <v>0.1</v>
      </c>
      <c r="AS351" s="35" t="str">
        <f t="shared" si="210"/>
        <v/>
      </c>
      <c r="AT351" s="3" t="str">
        <f t="shared" si="211"/>
        <v/>
      </c>
      <c r="AU351" s="3" t="str">
        <f t="shared" si="212"/>
        <v/>
      </c>
      <c r="AW351" s="32" t="str">
        <f t="shared" si="213"/>
        <v/>
      </c>
      <c r="AX351" s="32" t="str">
        <f t="shared" si="214"/>
        <v/>
      </c>
      <c r="AY351" s="32" t="str">
        <f t="shared" si="215"/>
        <v/>
      </c>
      <c r="BA351" s="32" t="str">
        <f>IF($A352="","",F351*Summary!$Q$13)</f>
        <v/>
      </c>
    </row>
    <row r="352" spans="1:53" ht="12" customHeight="1">
      <c r="A352" s="67" t="str">
        <f t="shared" si="216"/>
        <v/>
      </c>
      <c r="B352" s="69" t="str">
        <f t="shared" si="218"/>
        <v/>
      </c>
      <c r="C352" s="71"/>
      <c r="D352" s="69" t="str">
        <f t="shared" si="183"/>
        <v/>
      </c>
      <c r="E352" s="70" t="str">
        <f t="shared" si="184"/>
        <v/>
      </c>
      <c r="F352" s="70" t="str">
        <f t="shared" si="185"/>
        <v/>
      </c>
      <c r="G352" s="63" t="str">
        <f t="shared" si="186"/>
        <v/>
      </c>
      <c r="H352" s="64" t="str">
        <f t="shared" si="187"/>
        <v/>
      </c>
      <c r="I352" s="43"/>
      <c r="J352" s="63" t="str">
        <f t="shared" si="188"/>
        <v/>
      </c>
      <c r="K352" s="64" t="str">
        <f t="shared" si="189"/>
        <v/>
      </c>
      <c r="L352" s="38">
        <v>0</v>
      </c>
      <c r="M352" s="64" t="str">
        <f t="shared" si="190"/>
        <v/>
      </c>
      <c r="N352" s="65"/>
      <c r="O352" s="63" t="str">
        <f t="shared" si="191"/>
        <v/>
      </c>
      <c r="P352" s="63" t="str">
        <f t="shared" si="192"/>
        <v/>
      </c>
      <c r="Q352" s="66"/>
      <c r="R352" s="63" t="str">
        <f t="shared" si="193"/>
        <v/>
      </c>
      <c r="S352" s="64" t="str">
        <f t="shared" si="194"/>
        <v/>
      </c>
      <c r="T352" s="38">
        <v>0</v>
      </c>
      <c r="U352" s="64" t="str">
        <f t="shared" si="195"/>
        <v/>
      </c>
      <c r="V352" s="219"/>
      <c r="W352" s="43" t="str">
        <f t="shared" si="196"/>
        <v/>
      </c>
      <c r="X352" s="43" t="str">
        <f t="shared" si="197"/>
        <v/>
      </c>
      <c r="Y352" s="43"/>
      <c r="Z352" s="38" t="str">
        <f t="shared" si="198"/>
        <v/>
      </c>
      <c r="AA352" s="38" t="str">
        <f t="shared" si="199"/>
        <v/>
      </c>
      <c r="AB352" s="38" t="e">
        <f t="shared" si="200"/>
        <v>#VALUE!</v>
      </c>
      <c r="AC352" s="38" t="str">
        <f t="shared" si="201"/>
        <v/>
      </c>
      <c r="AD352" s="38" t="str">
        <f t="shared" si="201"/>
        <v/>
      </c>
      <c r="AE352" s="38" t="e">
        <f t="shared" si="202"/>
        <v>#VALUE!</v>
      </c>
      <c r="AF352" s="237" t="e">
        <f>((Summary!$N$13*(AA352*AD352)*(A352-$D$3))+(Summary!$M$13*Z352*AC352*(AJ352-EOMONTH(EDATE(A352,-1),0))))/(AK352*AB352*AE352)</f>
        <v>#VALUE!</v>
      </c>
      <c r="AG352" s="88" t="str">
        <f>IF($A353="","",Summary!$Q$13)</f>
        <v/>
      </c>
      <c r="AH352" s="88" t="str">
        <f>IF($A353="","",IF(Summary!$R$12="Y",(VLOOKUP($A352,Summary!$AD$6:$AF$9,3)+'Escalating commodity'!I365),'Escalating commodity'!I365))</f>
        <v/>
      </c>
      <c r="AI352" s="88" t="str">
        <f t="shared" si="217"/>
        <v/>
      </c>
      <c r="AJ352" s="236" t="e">
        <f t="shared" si="203"/>
        <v>#VALUE!</v>
      </c>
      <c r="AK352" s="58" t="str">
        <f t="shared" si="204"/>
        <v/>
      </c>
      <c r="AL352" s="26" t="str">
        <f>IF($A353="","",_xll.SPRDOPT(P352,X352,AI352,0,AB352,AE352,AF352,AK352,$AJ$2,0))</f>
        <v/>
      </c>
      <c r="AM352" s="209" t="str">
        <f t="shared" si="205"/>
        <v/>
      </c>
      <c r="AN352" s="89" t="str">
        <f t="shared" si="206"/>
        <v/>
      </c>
      <c r="AO352" s="3" t="str">
        <f t="shared" si="207"/>
        <v/>
      </c>
      <c r="AP352" s="33" t="str">
        <f t="shared" si="208"/>
        <v/>
      </c>
      <c r="AQ352" s="58" t="str">
        <f t="shared" si="209"/>
        <v/>
      </c>
      <c r="AR352" s="38">
        <f>'ANR OK vs ML7'!AR352</f>
        <v>0.1</v>
      </c>
      <c r="AS352" s="35" t="str">
        <f t="shared" si="210"/>
        <v/>
      </c>
      <c r="AT352" s="3" t="str">
        <f t="shared" si="211"/>
        <v/>
      </c>
      <c r="AU352" s="3" t="str">
        <f t="shared" si="212"/>
        <v/>
      </c>
      <c r="AW352" s="32" t="str">
        <f t="shared" si="213"/>
        <v/>
      </c>
      <c r="AX352" s="32" t="str">
        <f t="shared" si="214"/>
        <v/>
      </c>
      <c r="AY352" s="32" t="str">
        <f t="shared" si="215"/>
        <v/>
      </c>
      <c r="BA352" s="32" t="str">
        <f>IF($A353="","",F352*Summary!$Q$13)</f>
        <v/>
      </c>
    </row>
    <row r="353" spans="1:53" ht="12" customHeight="1">
      <c r="A353" s="67" t="str">
        <f t="shared" si="216"/>
        <v/>
      </c>
      <c r="B353" s="69" t="str">
        <f t="shared" si="218"/>
        <v/>
      </c>
      <c r="C353" s="71"/>
      <c r="D353" s="69" t="str">
        <f t="shared" si="183"/>
        <v/>
      </c>
      <c r="E353" s="70" t="str">
        <f t="shared" si="184"/>
        <v/>
      </c>
      <c r="F353" s="70" t="str">
        <f t="shared" si="185"/>
        <v/>
      </c>
      <c r="G353" s="63" t="str">
        <f t="shared" si="186"/>
        <v/>
      </c>
      <c r="H353" s="64" t="str">
        <f t="shared" si="187"/>
        <v/>
      </c>
      <c r="I353" s="43"/>
      <c r="J353" s="63" t="str">
        <f t="shared" si="188"/>
        <v/>
      </c>
      <c r="K353" s="64" t="str">
        <f t="shared" si="189"/>
        <v/>
      </c>
      <c r="L353" s="38">
        <v>0</v>
      </c>
      <c r="M353" s="64" t="str">
        <f t="shared" si="190"/>
        <v/>
      </c>
      <c r="N353" s="65"/>
      <c r="O353" s="63" t="str">
        <f t="shared" si="191"/>
        <v/>
      </c>
      <c r="P353" s="63" t="str">
        <f t="shared" si="192"/>
        <v/>
      </c>
      <c r="Q353" s="66"/>
      <c r="R353" s="63" t="str">
        <f t="shared" si="193"/>
        <v/>
      </c>
      <c r="S353" s="64" t="str">
        <f t="shared" si="194"/>
        <v/>
      </c>
      <c r="T353" s="38">
        <v>0</v>
      </c>
      <c r="U353" s="64" t="str">
        <f t="shared" si="195"/>
        <v/>
      </c>
      <c r="V353" s="219"/>
      <c r="W353" s="43" t="str">
        <f t="shared" si="196"/>
        <v/>
      </c>
      <c r="X353" s="43" t="str">
        <f t="shared" si="197"/>
        <v/>
      </c>
      <c r="Y353" s="43"/>
      <c r="Z353" s="38" t="str">
        <f t="shared" si="198"/>
        <v/>
      </c>
      <c r="AA353" s="38" t="str">
        <f t="shared" si="199"/>
        <v/>
      </c>
      <c r="AB353" s="38" t="e">
        <f t="shared" si="200"/>
        <v>#VALUE!</v>
      </c>
      <c r="AC353" s="38" t="str">
        <f t="shared" si="201"/>
        <v/>
      </c>
      <c r="AD353" s="38" t="str">
        <f t="shared" si="201"/>
        <v/>
      </c>
      <c r="AE353" s="38" t="e">
        <f t="shared" si="202"/>
        <v>#VALUE!</v>
      </c>
      <c r="AF353" s="237" t="e">
        <f>((Summary!$N$13*(AA353*AD353)*(A353-$D$3))+(Summary!$M$13*Z353*AC353*(AJ353-EOMONTH(EDATE(A353,-1),0))))/(AK353*AB353*AE353)</f>
        <v>#VALUE!</v>
      </c>
      <c r="AG353" s="88" t="str">
        <f>IF($A354="","",Summary!$Q$13)</f>
        <v/>
      </c>
      <c r="AH353" s="88" t="str">
        <f>IF($A354="","",IF(Summary!$R$12="Y",(VLOOKUP($A353,Summary!$AD$6:$AF$9,3)+'Escalating commodity'!I366),'Escalating commodity'!I366))</f>
        <v/>
      </c>
      <c r="AI353" s="88" t="str">
        <f t="shared" si="217"/>
        <v/>
      </c>
      <c r="AJ353" s="236" t="e">
        <f t="shared" si="203"/>
        <v>#VALUE!</v>
      </c>
      <c r="AK353" s="58" t="str">
        <f t="shared" si="204"/>
        <v/>
      </c>
      <c r="AL353" s="26" t="str">
        <f>IF($A354="","",_xll.SPRDOPT(P353,X353,AI353,0,AB353,AE353,AF353,AK353,$AJ$2,0))</f>
        <v/>
      </c>
      <c r="AM353" s="209" t="str">
        <f t="shared" si="205"/>
        <v/>
      </c>
      <c r="AN353" s="89" t="str">
        <f t="shared" si="206"/>
        <v/>
      </c>
      <c r="AO353" s="3" t="str">
        <f t="shared" si="207"/>
        <v/>
      </c>
      <c r="AP353" s="33" t="str">
        <f t="shared" si="208"/>
        <v/>
      </c>
      <c r="AQ353" s="58" t="str">
        <f t="shared" si="209"/>
        <v/>
      </c>
      <c r="AR353" s="38">
        <f>'ANR OK vs ML7'!AR353</f>
        <v>0.1</v>
      </c>
      <c r="AS353" s="35" t="str">
        <f t="shared" si="210"/>
        <v/>
      </c>
      <c r="AT353" s="3" t="str">
        <f t="shared" si="211"/>
        <v/>
      </c>
      <c r="AU353" s="3" t="str">
        <f t="shared" si="212"/>
        <v/>
      </c>
      <c r="AW353" s="32" t="str">
        <f t="shared" si="213"/>
        <v/>
      </c>
      <c r="AX353" s="32" t="str">
        <f t="shared" si="214"/>
        <v/>
      </c>
      <c r="AY353" s="32" t="str">
        <f t="shared" si="215"/>
        <v/>
      </c>
      <c r="BA353" s="32" t="str">
        <f>IF($A354="","",F353*Summary!$Q$13)</f>
        <v/>
      </c>
    </row>
    <row r="354" spans="1:53" ht="12" customHeight="1">
      <c r="A354" s="67" t="str">
        <f t="shared" si="216"/>
        <v/>
      </c>
      <c r="B354" s="69" t="str">
        <f t="shared" si="218"/>
        <v/>
      </c>
      <c r="C354" s="71"/>
      <c r="D354" s="69" t="str">
        <f t="shared" si="183"/>
        <v/>
      </c>
      <c r="E354" s="70" t="str">
        <f t="shared" si="184"/>
        <v/>
      </c>
      <c r="F354" s="70" t="str">
        <f t="shared" si="185"/>
        <v/>
      </c>
      <c r="G354" s="63" t="str">
        <f t="shared" si="186"/>
        <v/>
      </c>
      <c r="H354" s="64" t="str">
        <f t="shared" si="187"/>
        <v/>
      </c>
      <c r="I354" s="43"/>
      <c r="J354" s="63" t="str">
        <f t="shared" si="188"/>
        <v/>
      </c>
      <c r="K354" s="64" t="str">
        <f t="shared" si="189"/>
        <v/>
      </c>
      <c r="L354" s="38">
        <v>0</v>
      </c>
      <c r="M354" s="64" t="str">
        <f t="shared" si="190"/>
        <v/>
      </c>
      <c r="N354" s="65"/>
      <c r="O354" s="63" t="str">
        <f t="shared" si="191"/>
        <v/>
      </c>
      <c r="P354" s="63" t="str">
        <f t="shared" si="192"/>
        <v/>
      </c>
      <c r="Q354" s="66"/>
      <c r="R354" s="63" t="str">
        <f t="shared" si="193"/>
        <v/>
      </c>
      <c r="S354" s="64" t="str">
        <f t="shared" si="194"/>
        <v/>
      </c>
      <c r="T354" s="38">
        <v>0</v>
      </c>
      <c r="U354" s="64" t="str">
        <f t="shared" si="195"/>
        <v/>
      </c>
      <c r="V354" s="219"/>
      <c r="W354" s="43" t="str">
        <f t="shared" si="196"/>
        <v/>
      </c>
      <c r="X354" s="43" t="str">
        <f t="shared" si="197"/>
        <v/>
      </c>
      <c r="Y354" s="43"/>
      <c r="Z354" s="38" t="str">
        <f t="shared" si="198"/>
        <v/>
      </c>
      <c r="AA354" s="38" t="str">
        <f t="shared" si="199"/>
        <v/>
      </c>
      <c r="AB354" s="38" t="e">
        <f t="shared" si="200"/>
        <v>#VALUE!</v>
      </c>
      <c r="AC354" s="38" t="str">
        <f t="shared" si="201"/>
        <v/>
      </c>
      <c r="AD354" s="38" t="str">
        <f t="shared" si="201"/>
        <v/>
      </c>
      <c r="AE354" s="38" t="e">
        <f t="shared" si="202"/>
        <v>#VALUE!</v>
      </c>
      <c r="AF354" s="237" t="e">
        <f>((Summary!$N$13*(AA354*AD354)*(A354-$D$3))+(Summary!$M$13*Z354*AC354*(AJ354-EOMONTH(EDATE(A354,-1),0))))/(AK354*AB354*AE354)</f>
        <v>#VALUE!</v>
      </c>
      <c r="AG354" s="88" t="str">
        <f>IF($A355="","",Summary!$Q$13)</f>
        <v/>
      </c>
      <c r="AH354" s="88" t="str">
        <f>IF($A355="","",IF(Summary!$R$12="Y",(VLOOKUP($A354,Summary!$AD$6:$AF$9,3)+'Escalating commodity'!I367),'Escalating commodity'!I367))</f>
        <v/>
      </c>
      <c r="AI354" s="88" t="str">
        <f t="shared" si="217"/>
        <v/>
      </c>
      <c r="AJ354" s="236" t="e">
        <f t="shared" si="203"/>
        <v>#VALUE!</v>
      </c>
      <c r="AK354" s="58" t="str">
        <f t="shared" si="204"/>
        <v/>
      </c>
      <c r="AL354" s="26" t="str">
        <f>IF($A355="","",_xll.SPRDOPT(P354,X354,AI354,0,AB354,AE354,AF354,AK354,$AJ$2,0))</f>
        <v/>
      </c>
      <c r="AM354" s="209" t="str">
        <f t="shared" si="205"/>
        <v/>
      </c>
      <c r="AN354" s="89" t="str">
        <f t="shared" si="206"/>
        <v/>
      </c>
      <c r="AO354" s="3" t="str">
        <f t="shared" si="207"/>
        <v/>
      </c>
      <c r="AP354" s="33" t="str">
        <f t="shared" si="208"/>
        <v/>
      </c>
      <c r="AQ354" s="58" t="str">
        <f t="shared" si="209"/>
        <v/>
      </c>
      <c r="AR354" s="38">
        <f>'ANR OK vs ML7'!AR354</f>
        <v>0.1</v>
      </c>
      <c r="AS354" s="35" t="str">
        <f t="shared" si="210"/>
        <v/>
      </c>
      <c r="AT354" s="3" t="str">
        <f t="shared" si="211"/>
        <v/>
      </c>
      <c r="AU354" s="3" t="str">
        <f t="shared" si="212"/>
        <v/>
      </c>
      <c r="AW354" s="32" t="str">
        <f t="shared" si="213"/>
        <v/>
      </c>
      <c r="AX354" s="32" t="str">
        <f t="shared" si="214"/>
        <v/>
      </c>
      <c r="AY354" s="32" t="str">
        <f t="shared" si="215"/>
        <v/>
      </c>
      <c r="BA354" s="32" t="str">
        <f>IF($A355="","",F354*Summary!$Q$13)</f>
        <v/>
      </c>
    </row>
    <row r="355" spans="1:53" ht="12" customHeight="1">
      <c r="A355" s="67" t="str">
        <f t="shared" si="216"/>
        <v/>
      </c>
      <c r="B355" s="69" t="str">
        <f t="shared" si="218"/>
        <v/>
      </c>
      <c r="C355" s="71"/>
      <c r="D355" s="69" t="str">
        <f t="shared" si="183"/>
        <v/>
      </c>
      <c r="E355" s="70" t="str">
        <f t="shared" si="184"/>
        <v/>
      </c>
      <c r="F355" s="70" t="str">
        <f t="shared" si="185"/>
        <v/>
      </c>
      <c r="G355" s="63" t="str">
        <f t="shared" si="186"/>
        <v/>
      </c>
      <c r="H355" s="64" t="str">
        <f t="shared" si="187"/>
        <v/>
      </c>
      <c r="I355" s="43"/>
      <c r="J355" s="63" t="str">
        <f t="shared" si="188"/>
        <v/>
      </c>
      <c r="K355" s="64" t="str">
        <f t="shared" si="189"/>
        <v/>
      </c>
      <c r="L355" s="38">
        <v>0</v>
      </c>
      <c r="M355" s="64" t="str">
        <f t="shared" si="190"/>
        <v/>
      </c>
      <c r="N355" s="65"/>
      <c r="O355" s="63" t="str">
        <f t="shared" si="191"/>
        <v/>
      </c>
      <c r="P355" s="63" t="str">
        <f t="shared" si="192"/>
        <v/>
      </c>
      <c r="Q355" s="66"/>
      <c r="R355" s="63" t="str">
        <f t="shared" si="193"/>
        <v/>
      </c>
      <c r="S355" s="64" t="str">
        <f t="shared" si="194"/>
        <v/>
      </c>
      <c r="T355" s="38">
        <v>0</v>
      </c>
      <c r="U355" s="64" t="str">
        <f t="shared" si="195"/>
        <v/>
      </c>
      <c r="V355" s="219"/>
      <c r="W355" s="43" t="str">
        <f t="shared" si="196"/>
        <v/>
      </c>
      <c r="X355" s="43" t="str">
        <f t="shared" si="197"/>
        <v/>
      </c>
      <c r="Y355" s="43"/>
      <c r="Z355" s="38" t="str">
        <f t="shared" si="198"/>
        <v/>
      </c>
      <c r="AA355" s="38" t="str">
        <f t="shared" si="199"/>
        <v/>
      </c>
      <c r="AB355" s="38" t="e">
        <f t="shared" si="200"/>
        <v>#VALUE!</v>
      </c>
      <c r="AC355" s="38" t="str">
        <f t="shared" si="201"/>
        <v/>
      </c>
      <c r="AD355" s="38" t="str">
        <f t="shared" si="201"/>
        <v/>
      </c>
      <c r="AE355" s="38" t="e">
        <f t="shared" si="202"/>
        <v>#VALUE!</v>
      </c>
      <c r="AF355" s="237" t="e">
        <f>((Summary!$N$13*(AA355*AD355)*(A355-$D$3))+(Summary!$M$13*Z355*AC355*(AJ355-EOMONTH(EDATE(A355,-1),0))))/(AK355*AB355*AE355)</f>
        <v>#VALUE!</v>
      </c>
      <c r="AG355" s="88" t="str">
        <f>IF($A356="","",Summary!$Q$13)</f>
        <v/>
      </c>
      <c r="AH355" s="88" t="str">
        <f>IF($A356="","",IF(Summary!$R$12="Y",(VLOOKUP($A355,Summary!$AD$6:$AF$9,3)+'Escalating commodity'!I368),'Escalating commodity'!I368))</f>
        <v/>
      </c>
      <c r="AI355" s="88" t="str">
        <f t="shared" si="217"/>
        <v/>
      </c>
      <c r="AJ355" s="236" t="e">
        <f t="shared" si="203"/>
        <v>#VALUE!</v>
      </c>
      <c r="AK355" s="58" t="str">
        <f t="shared" si="204"/>
        <v/>
      </c>
      <c r="AL355" s="26" t="str">
        <f>IF($A356="","",_xll.SPRDOPT(P355,X355,AI355,0,AB355,AE355,AF355,AK355,$AJ$2,0))</f>
        <v/>
      </c>
      <c r="AM355" s="209" t="str">
        <f t="shared" si="205"/>
        <v/>
      </c>
      <c r="AN355" s="89" t="str">
        <f t="shared" si="206"/>
        <v/>
      </c>
      <c r="AO355" s="3" t="str">
        <f t="shared" si="207"/>
        <v/>
      </c>
      <c r="AP355" s="33" t="str">
        <f t="shared" si="208"/>
        <v/>
      </c>
      <c r="AQ355" s="58" t="str">
        <f t="shared" si="209"/>
        <v/>
      </c>
      <c r="AR355" s="38">
        <f>'ANR OK vs ML7'!AR355</f>
        <v>0.1</v>
      </c>
      <c r="AS355" s="35" t="str">
        <f t="shared" si="210"/>
        <v/>
      </c>
      <c r="AT355" s="3" t="str">
        <f t="shared" si="211"/>
        <v/>
      </c>
      <c r="AU355" s="3" t="str">
        <f t="shared" si="212"/>
        <v/>
      </c>
      <c r="AW355" s="32" t="str">
        <f t="shared" si="213"/>
        <v/>
      </c>
      <c r="AX355" s="32" t="str">
        <f t="shared" si="214"/>
        <v/>
      </c>
      <c r="AY355" s="32" t="str">
        <f t="shared" si="215"/>
        <v/>
      </c>
      <c r="BA355" s="32" t="str">
        <f>IF($A356="","",F355*Summary!$Q$13)</f>
        <v/>
      </c>
    </row>
    <row r="356" spans="1:53" ht="12" customHeight="1">
      <c r="A356" s="67" t="str">
        <f t="shared" si="216"/>
        <v/>
      </c>
      <c r="B356" s="69" t="str">
        <f t="shared" si="218"/>
        <v/>
      </c>
      <c r="C356" s="71"/>
      <c r="D356" s="69" t="str">
        <f t="shared" si="183"/>
        <v/>
      </c>
      <c r="E356" s="70" t="str">
        <f t="shared" si="184"/>
        <v/>
      </c>
      <c r="F356" s="70" t="str">
        <f t="shared" si="185"/>
        <v/>
      </c>
      <c r="G356" s="63" t="str">
        <f t="shared" si="186"/>
        <v/>
      </c>
      <c r="H356" s="64" t="str">
        <f t="shared" si="187"/>
        <v/>
      </c>
      <c r="I356" s="43"/>
      <c r="J356" s="63" t="str">
        <f t="shared" si="188"/>
        <v/>
      </c>
      <c r="K356" s="64" t="str">
        <f t="shared" si="189"/>
        <v/>
      </c>
      <c r="L356" s="38">
        <v>0</v>
      </c>
      <c r="M356" s="64" t="str">
        <f t="shared" si="190"/>
        <v/>
      </c>
      <c r="N356" s="65"/>
      <c r="O356" s="63" t="str">
        <f t="shared" si="191"/>
        <v/>
      </c>
      <c r="P356" s="63" t="str">
        <f t="shared" si="192"/>
        <v/>
      </c>
      <c r="Q356" s="66"/>
      <c r="R356" s="63" t="str">
        <f t="shared" si="193"/>
        <v/>
      </c>
      <c r="S356" s="64" t="str">
        <f t="shared" si="194"/>
        <v/>
      </c>
      <c r="T356" s="38">
        <v>0</v>
      </c>
      <c r="U356" s="64" t="str">
        <f t="shared" si="195"/>
        <v/>
      </c>
      <c r="V356" s="219"/>
      <c r="W356" s="43" t="str">
        <f t="shared" si="196"/>
        <v/>
      </c>
      <c r="X356" s="43" t="str">
        <f t="shared" si="197"/>
        <v/>
      </c>
      <c r="Y356" s="43"/>
      <c r="Z356" s="38" t="str">
        <f t="shared" si="198"/>
        <v/>
      </c>
      <c r="AA356" s="38" t="str">
        <f t="shared" si="199"/>
        <v/>
      </c>
      <c r="AB356" s="38" t="e">
        <f t="shared" si="200"/>
        <v>#VALUE!</v>
      </c>
      <c r="AC356" s="38" t="str">
        <f t="shared" si="201"/>
        <v/>
      </c>
      <c r="AD356" s="38" t="str">
        <f t="shared" si="201"/>
        <v/>
      </c>
      <c r="AE356" s="38" t="e">
        <f t="shared" si="202"/>
        <v>#VALUE!</v>
      </c>
      <c r="AF356" s="237" t="e">
        <f>((Summary!$N$13*(AA356*AD356)*(A356-$D$3))+(Summary!$M$13*Z356*AC356*(AJ356-EOMONTH(EDATE(A356,-1),0))))/(AK356*AB356*AE356)</f>
        <v>#VALUE!</v>
      </c>
      <c r="AG356" s="88" t="str">
        <f>IF($A357="","",Summary!$Q$13)</f>
        <v/>
      </c>
      <c r="AH356" s="88" t="str">
        <f>IF($A357="","",IF(Summary!$R$12="Y",(VLOOKUP($A356,Summary!$AD$6:$AF$9,3)+'Escalating commodity'!I369),'Escalating commodity'!I369))</f>
        <v/>
      </c>
      <c r="AI356" s="88" t="str">
        <f t="shared" si="217"/>
        <v/>
      </c>
      <c r="AJ356" s="236" t="e">
        <f t="shared" si="203"/>
        <v>#VALUE!</v>
      </c>
      <c r="AK356" s="58" t="str">
        <f t="shared" si="204"/>
        <v/>
      </c>
      <c r="AL356" s="26" t="str">
        <f>IF($A357="","",_xll.SPRDOPT(P356,X356,AI356,0,AB356,AE356,AF356,AK356,$AJ$2,0))</f>
        <v/>
      </c>
      <c r="AM356" s="209" t="str">
        <f t="shared" si="205"/>
        <v/>
      </c>
      <c r="AN356" s="89" t="str">
        <f t="shared" si="206"/>
        <v/>
      </c>
      <c r="AO356" s="3" t="str">
        <f t="shared" si="207"/>
        <v/>
      </c>
      <c r="AP356" s="33" t="str">
        <f t="shared" si="208"/>
        <v/>
      </c>
      <c r="AQ356" s="58" t="str">
        <f t="shared" si="209"/>
        <v/>
      </c>
      <c r="AR356" s="38">
        <f>'ANR OK vs ML7'!AR356</f>
        <v>0.1</v>
      </c>
      <c r="AS356" s="35" t="str">
        <f t="shared" si="210"/>
        <v/>
      </c>
      <c r="AT356" s="3" t="str">
        <f t="shared" si="211"/>
        <v/>
      </c>
      <c r="AU356" s="3" t="str">
        <f t="shared" si="212"/>
        <v/>
      </c>
      <c r="AW356" s="32" t="str">
        <f t="shared" si="213"/>
        <v/>
      </c>
      <c r="AX356" s="32" t="str">
        <f t="shared" si="214"/>
        <v/>
      </c>
      <c r="AY356" s="32" t="str">
        <f t="shared" si="215"/>
        <v/>
      </c>
      <c r="BA356" s="32" t="str">
        <f>IF($A357="","",F356*Summary!$Q$13)</f>
        <v/>
      </c>
    </row>
    <row r="357" spans="1:53" ht="12" customHeight="1">
      <c r="A357" s="67" t="str">
        <f t="shared" si="216"/>
        <v/>
      </c>
      <c r="B357" s="69" t="str">
        <f t="shared" si="218"/>
        <v/>
      </c>
      <c r="C357" s="71"/>
      <c r="D357" s="69" t="str">
        <f t="shared" si="183"/>
        <v/>
      </c>
      <c r="E357" s="70" t="str">
        <f t="shared" si="184"/>
        <v/>
      </c>
      <c r="F357" s="70" t="str">
        <f t="shared" si="185"/>
        <v/>
      </c>
      <c r="G357" s="63" t="str">
        <f t="shared" si="186"/>
        <v/>
      </c>
      <c r="H357" s="64" t="str">
        <f t="shared" si="187"/>
        <v/>
      </c>
      <c r="I357" s="43"/>
      <c r="J357" s="63" t="str">
        <f t="shared" si="188"/>
        <v/>
      </c>
      <c r="K357" s="64" t="str">
        <f t="shared" si="189"/>
        <v/>
      </c>
      <c r="L357" s="38">
        <v>0</v>
      </c>
      <c r="M357" s="64" t="str">
        <f t="shared" si="190"/>
        <v/>
      </c>
      <c r="N357" s="65"/>
      <c r="O357" s="63" t="str">
        <f t="shared" si="191"/>
        <v/>
      </c>
      <c r="P357" s="63" t="str">
        <f t="shared" si="192"/>
        <v/>
      </c>
      <c r="Q357" s="66"/>
      <c r="R357" s="63" t="str">
        <f t="shared" si="193"/>
        <v/>
      </c>
      <c r="S357" s="64" t="str">
        <f t="shared" si="194"/>
        <v/>
      </c>
      <c r="T357" s="38">
        <v>0</v>
      </c>
      <c r="U357" s="64" t="str">
        <f t="shared" si="195"/>
        <v/>
      </c>
      <c r="V357" s="219"/>
      <c r="W357" s="43" t="str">
        <f t="shared" si="196"/>
        <v/>
      </c>
      <c r="X357" s="43" t="str">
        <f t="shared" si="197"/>
        <v/>
      </c>
      <c r="Y357" s="43"/>
      <c r="Z357" s="38" t="str">
        <f t="shared" si="198"/>
        <v/>
      </c>
      <c r="AA357" s="38" t="str">
        <f t="shared" si="199"/>
        <v/>
      </c>
      <c r="AB357" s="38" t="e">
        <f t="shared" si="200"/>
        <v>#VALUE!</v>
      </c>
      <c r="AC357" s="38" t="str">
        <f t="shared" si="201"/>
        <v/>
      </c>
      <c r="AD357" s="38" t="str">
        <f t="shared" si="201"/>
        <v/>
      </c>
      <c r="AE357" s="38" t="e">
        <f t="shared" si="202"/>
        <v>#VALUE!</v>
      </c>
      <c r="AF357" s="237" t="e">
        <f>((Summary!$N$13*(AA357*AD357)*(A357-$D$3))+(Summary!$M$13*Z357*AC357*(AJ357-EOMONTH(EDATE(A357,-1),0))))/(AK357*AB357*AE357)</f>
        <v>#VALUE!</v>
      </c>
      <c r="AG357" s="88" t="str">
        <f>IF($A358="","",Summary!$Q$13)</f>
        <v/>
      </c>
      <c r="AH357" s="88" t="str">
        <f>IF($A358="","",IF(Summary!$R$12="Y",(VLOOKUP($A357,Summary!$AD$6:$AF$9,3)+'Escalating commodity'!I370),'Escalating commodity'!I370))</f>
        <v/>
      </c>
      <c r="AI357" s="88" t="str">
        <f t="shared" si="217"/>
        <v/>
      </c>
      <c r="AJ357" s="236" t="e">
        <f t="shared" si="203"/>
        <v>#VALUE!</v>
      </c>
      <c r="AK357" s="58" t="str">
        <f t="shared" si="204"/>
        <v/>
      </c>
      <c r="AL357" s="26" t="str">
        <f>IF($A358="","",_xll.SPRDOPT(P357,X357,AI357,0,AB357,AE357,AF357,AK357,$AJ$2,0))</f>
        <v/>
      </c>
      <c r="AM357" s="209" t="str">
        <f t="shared" si="205"/>
        <v/>
      </c>
      <c r="AN357" s="89" t="str">
        <f t="shared" si="206"/>
        <v/>
      </c>
      <c r="AO357" s="3" t="str">
        <f t="shared" si="207"/>
        <v/>
      </c>
      <c r="AP357" s="33" t="str">
        <f t="shared" si="208"/>
        <v/>
      </c>
      <c r="AQ357" s="58" t="str">
        <f t="shared" si="209"/>
        <v/>
      </c>
      <c r="AR357" s="38">
        <f>'ANR OK vs ML7'!AR357</f>
        <v>0.1</v>
      </c>
      <c r="AS357" s="35" t="str">
        <f t="shared" si="210"/>
        <v/>
      </c>
      <c r="AT357" s="3" t="str">
        <f t="shared" si="211"/>
        <v/>
      </c>
      <c r="AU357" s="3" t="str">
        <f t="shared" si="212"/>
        <v/>
      </c>
      <c r="AW357" s="32" t="str">
        <f t="shared" si="213"/>
        <v/>
      </c>
      <c r="AX357" s="32" t="str">
        <f t="shared" si="214"/>
        <v/>
      </c>
      <c r="AY357" s="32" t="str">
        <f t="shared" si="215"/>
        <v/>
      </c>
      <c r="BA357" s="32" t="str">
        <f>IF($A358="","",F357*Summary!$Q$13)</f>
        <v/>
      </c>
    </row>
    <row r="358" spans="1:53" ht="12" customHeight="1">
      <c r="A358" s="67" t="str">
        <f t="shared" si="216"/>
        <v/>
      </c>
      <c r="B358" s="69" t="str">
        <f t="shared" si="218"/>
        <v/>
      </c>
      <c r="C358" s="71"/>
      <c r="D358" s="69" t="str">
        <f t="shared" si="183"/>
        <v/>
      </c>
      <c r="E358" s="70" t="str">
        <f t="shared" si="184"/>
        <v/>
      </c>
      <c r="F358" s="70" t="str">
        <f t="shared" si="185"/>
        <v/>
      </c>
      <c r="G358" s="63" t="str">
        <f t="shared" si="186"/>
        <v/>
      </c>
      <c r="H358" s="64" t="str">
        <f t="shared" si="187"/>
        <v/>
      </c>
      <c r="I358" s="43"/>
      <c r="J358" s="63" t="str">
        <f t="shared" si="188"/>
        <v/>
      </c>
      <c r="K358" s="64" t="str">
        <f t="shared" si="189"/>
        <v/>
      </c>
      <c r="L358" s="38">
        <v>0</v>
      </c>
      <c r="M358" s="64" t="str">
        <f t="shared" si="190"/>
        <v/>
      </c>
      <c r="N358" s="65"/>
      <c r="O358" s="63" t="str">
        <f t="shared" si="191"/>
        <v/>
      </c>
      <c r="P358" s="63" t="str">
        <f t="shared" si="192"/>
        <v/>
      </c>
      <c r="Q358" s="66"/>
      <c r="R358" s="63" t="str">
        <f t="shared" si="193"/>
        <v/>
      </c>
      <c r="S358" s="64" t="str">
        <f t="shared" si="194"/>
        <v/>
      </c>
      <c r="T358" s="38">
        <v>0</v>
      </c>
      <c r="U358" s="64" t="str">
        <f t="shared" si="195"/>
        <v/>
      </c>
      <c r="V358" s="219"/>
      <c r="W358" s="43" t="str">
        <f t="shared" si="196"/>
        <v/>
      </c>
      <c r="X358" s="43" t="str">
        <f t="shared" si="197"/>
        <v/>
      </c>
      <c r="Y358" s="43"/>
      <c r="Z358" s="38" t="str">
        <f t="shared" si="198"/>
        <v/>
      </c>
      <c r="AA358" s="38" t="str">
        <f t="shared" si="199"/>
        <v/>
      </c>
      <c r="AB358" s="38" t="e">
        <f t="shared" si="200"/>
        <v>#VALUE!</v>
      </c>
      <c r="AC358" s="38" t="str">
        <f t="shared" si="201"/>
        <v/>
      </c>
      <c r="AD358" s="38" t="str">
        <f t="shared" si="201"/>
        <v/>
      </c>
      <c r="AE358" s="38" t="e">
        <f t="shared" si="202"/>
        <v>#VALUE!</v>
      </c>
      <c r="AF358" s="237" t="e">
        <f>((Summary!$N$13*(AA358*AD358)*(A358-$D$3))+(Summary!$M$13*Z358*AC358*(AJ358-EOMONTH(EDATE(A358,-1),0))))/(AK358*AB358*AE358)</f>
        <v>#VALUE!</v>
      </c>
      <c r="AG358" s="88" t="str">
        <f>IF($A359="","",Summary!$Q$13)</f>
        <v/>
      </c>
      <c r="AH358" s="88" t="str">
        <f>IF($A359="","",IF(Summary!$R$12="Y",(VLOOKUP($A358,Summary!$AD$6:$AF$9,3)+'Escalating commodity'!I371),'Escalating commodity'!I371))</f>
        <v/>
      </c>
      <c r="AI358" s="88" t="str">
        <f t="shared" si="217"/>
        <v/>
      </c>
      <c r="AJ358" s="236" t="e">
        <f t="shared" si="203"/>
        <v>#VALUE!</v>
      </c>
      <c r="AK358" s="58" t="str">
        <f t="shared" si="204"/>
        <v/>
      </c>
      <c r="AL358" s="26" t="str">
        <f>IF($A359="","",_xll.SPRDOPT(P358,X358,AI358,0,AB358,AE358,AF358,AK358,$AJ$2,0))</f>
        <v/>
      </c>
      <c r="AM358" s="209" t="str">
        <f t="shared" si="205"/>
        <v/>
      </c>
      <c r="AN358" s="89" t="str">
        <f t="shared" si="206"/>
        <v/>
      </c>
      <c r="AO358" s="3" t="str">
        <f t="shared" si="207"/>
        <v/>
      </c>
      <c r="AP358" s="33" t="str">
        <f t="shared" si="208"/>
        <v/>
      </c>
      <c r="AQ358" s="58" t="str">
        <f t="shared" si="209"/>
        <v/>
      </c>
      <c r="AR358" s="38">
        <f>'ANR OK vs ML7'!AR358</f>
        <v>0.1</v>
      </c>
      <c r="AS358" s="35" t="str">
        <f t="shared" si="210"/>
        <v/>
      </c>
      <c r="AT358" s="3" t="str">
        <f t="shared" si="211"/>
        <v/>
      </c>
      <c r="AU358" s="3" t="str">
        <f t="shared" si="212"/>
        <v/>
      </c>
      <c r="AW358" s="32" t="str">
        <f t="shared" si="213"/>
        <v/>
      </c>
      <c r="AX358" s="32" t="str">
        <f t="shared" si="214"/>
        <v/>
      </c>
      <c r="AY358" s="32" t="str">
        <f t="shared" si="215"/>
        <v/>
      </c>
      <c r="BA358" s="32" t="str">
        <f>IF($A359="","",F358*Summary!$Q$13)</f>
        <v/>
      </c>
    </row>
    <row r="359" spans="1:53" ht="12" customHeight="1">
      <c r="A359" s="67" t="str">
        <f t="shared" si="216"/>
        <v/>
      </c>
      <c r="B359" s="69" t="str">
        <f t="shared" si="218"/>
        <v/>
      </c>
      <c r="C359" s="71"/>
      <c r="D359" s="69" t="str">
        <f t="shared" si="183"/>
        <v/>
      </c>
      <c r="E359" s="70" t="str">
        <f t="shared" si="184"/>
        <v/>
      </c>
      <c r="F359" s="70" t="str">
        <f t="shared" si="185"/>
        <v/>
      </c>
      <c r="G359" s="63" t="str">
        <f t="shared" si="186"/>
        <v/>
      </c>
      <c r="H359" s="64" t="str">
        <f t="shared" si="187"/>
        <v/>
      </c>
      <c r="I359" s="43"/>
      <c r="J359" s="63" t="str">
        <f t="shared" si="188"/>
        <v/>
      </c>
      <c r="K359" s="64" t="str">
        <f t="shared" si="189"/>
        <v/>
      </c>
      <c r="L359" s="38">
        <v>0</v>
      </c>
      <c r="M359" s="64" t="str">
        <f t="shared" si="190"/>
        <v/>
      </c>
      <c r="N359" s="65"/>
      <c r="O359" s="63" t="str">
        <f t="shared" si="191"/>
        <v/>
      </c>
      <c r="P359" s="63" t="str">
        <f t="shared" si="192"/>
        <v/>
      </c>
      <c r="Q359" s="66"/>
      <c r="R359" s="63" t="str">
        <f t="shared" si="193"/>
        <v/>
      </c>
      <c r="S359" s="64" t="str">
        <f t="shared" si="194"/>
        <v/>
      </c>
      <c r="T359" s="38">
        <v>0</v>
      </c>
      <c r="U359" s="64" t="str">
        <f t="shared" si="195"/>
        <v/>
      </c>
      <c r="V359" s="219"/>
      <c r="W359" s="43" t="str">
        <f t="shared" si="196"/>
        <v/>
      </c>
      <c r="X359" s="43" t="str">
        <f t="shared" si="197"/>
        <v/>
      </c>
      <c r="Y359" s="43"/>
      <c r="Z359" s="38" t="str">
        <f t="shared" si="198"/>
        <v/>
      </c>
      <c r="AA359" s="38" t="str">
        <f t="shared" si="199"/>
        <v/>
      </c>
      <c r="AB359" s="38" t="e">
        <f t="shared" si="200"/>
        <v>#VALUE!</v>
      </c>
      <c r="AC359" s="38" t="str">
        <f t="shared" si="201"/>
        <v/>
      </c>
      <c r="AD359" s="38" t="str">
        <f t="shared" si="201"/>
        <v/>
      </c>
      <c r="AE359" s="38" t="e">
        <f t="shared" si="202"/>
        <v>#VALUE!</v>
      </c>
      <c r="AF359" s="237" t="e">
        <f>((Summary!$N$13*(AA359*AD359)*(A359-$D$3))+(Summary!$M$13*Z359*AC359*(AJ359-EOMONTH(EDATE(A359,-1),0))))/(AK359*AB359*AE359)</f>
        <v>#VALUE!</v>
      </c>
      <c r="AG359" s="88" t="str">
        <f>IF($A360="","",Summary!$Q$13)</f>
        <v/>
      </c>
      <c r="AH359" s="88" t="str">
        <f>IF($A360="","",IF(Summary!$R$12="Y",(VLOOKUP($A359,Summary!$AD$6:$AF$9,3)+'Escalating commodity'!I372),'Escalating commodity'!I372))</f>
        <v/>
      </c>
      <c r="AI359" s="88" t="str">
        <f t="shared" si="217"/>
        <v/>
      </c>
      <c r="AJ359" s="236" t="e">
        <f t="shared" si="203"/>
        <v>#VALUE!</v>
      </c>
      <c r="AK359" s="58" t="str">
        <f t="shared" si="204"/>
        <v/>
      </c>
      <c r="AL359" s="26" t="str">
        <f>IF($A360="","",_xll.SPRDOPT(P359,X359,AI359,0,AB359,AE359,AF359,AK359,$AJ$2,0))</f>
        <v/>
      </c>
      <c r="AM359" s="209" t="str">
        <f t="shared" si="205"/>
        <v/>
      </c>
      <c r="AN359" s="89" t="str">
        <f t="shared" si="206"/>
        <v/>
      </c>
      <c r="AO359" s="3" t="str">
        <f t="shared" si="207"/>
        <v/>
      </c>
      <c r="AP359" s="33" t="str">
        <f t="shared" si="208"/>
        <v/>
      </c>
      <c r="AQ359" s="58" t="str">
        <f t="shared" si="209"/>
        <v/>
      </c>
      <c r="AR359" s="38">
        <f>'ANR OK vs ML7'!AR359</f>
        <v>0.1</v>
      </c>
      <c r="AS359" s="35" t="str">
        <f t="shared" si="210"/>
        <v/>
      </c>
      <c r="AT359" s="3" t="str">
        <f t="shared" si="211"/>
        <v/>
      </c>
      <c r="AU359" s="3" t="str">
        <f t="shared" si="212"/>
        <v/>
      </c>
      <c r="AW359" s="32" t="str">
        <f t="shared" si="213"/>
        <v/>
      </c>
      <c r="AX359" s="32" t="str">
        <f t="shared" si="214"/>
        <v/>
      </c>
      <c r="AY359" s="32" t="str">
        <f t="shared" si="215"/>
        <v/>
      </c>
      <c r="BA359" s="32" t="str">
        <f>IF($A360="","",F359*Summary!$Q$13)</f>
        <v/>
      </c>
    </row>
    <row r="360" spans="1:53" ht="12" customHeight="1">
      <c r="A360" s="67" t="str">
        <f t="shared" si="216"/>
        <v/>
      </c>
      <c r="B360" s="69" t="str">
        <f t="shared" si="218"/>
        <v/>
      </c>
      <c r="C360" s="71"/>
      <c r="D360" s="69" t="str">
        <f t="shared" si="183"/>
        <v/>
      </c>
      <c r="E360" s="70" t="str">
        <f t="shared" si="184"/>
        <v/>
      </c>
      <c r="F360" s="70" t="str">
        <f t="shared" si="185"/>
        <v/>
      </c>
      <c r="G360" s="63" t="str">
        <f t="shared" si="186"/>
        <v/>
      </c>
      <c r="H360" s="64" t="str">
        <f t="shared" si="187"/>
        <v/>
      </c>
      <c r="I360" s="43"/>
      <c r="J360" s="63" t="str">
        <f t="shared" si="188"/>
        <v/>
      </c>
      <c r="K360" s="64" t="str">
        <f t="shared" si="189"/>
        <v/>
      </c>
      <c r="L360" s="38">
        <v>0</v>
      </c>
      <c r="M360" s="64" t="str">
        <f t="shared" si="190"/>
        <v/>
      </c>
      <c r="N360" s="65"/>
      <c r="O360" s="63" t="str">
        <f t="shared" si="191"/>
        <v/>
      </c>
      <c r="P360" s="63" t="str">
        <f t="shared" si="192"/>
        <v/>
      </c>
      <c r="Q360" s="66"/>
      <c r="R360" s="63" t="str">
        <f t="shared" si="193"/>
        <v/>
      </c>
      <c r="S360" s="64" t="str">
        <f t="shared" si="194"/>
        <v/>
      </c>
      <c r="T360" s="38">
        <v>0</v>
      </c>
      <c r="U360" s="64" t="str">
        <f t="shared" si="195"/>
        <v/>
      </c>
      <c r="V360" s="219"/>
      <c r="W360" s="43" t="str">
        <f t="shared" si="196"/>
        <v/>
      </c>
      <c r="X360" s="43" t="str">
        <f t="shared" si="197"/>
        <v/>
      </c>
      <c r="Y360" s="43"/>
      <c r="Z360" s="38" t="str">
        <f t="shared" si="198"/>
        <v/>
      </c>
      <c r="AA360" s="38" t="str">
        <f t="shared" si="199"/>
        <v/>
      </c>
      <c r="AB360" s="38" t="e">
        <f t="shared" si="200"/>
        <v>#VALUE!</v>
      </c>
      <c r="AC360" s="38" t="str">
        <f t="shared" si="201"/>
        <v/>
      </c>
      <c r="AD360" s="38" t="str">
        <f t="shared" si="201"/>
        <v/>
      </c>
      <c r="AE360" s="38" t="e">
        <f t="shared" si="202"/>
        <v>#VALUE!</v>
      </c>
      <c r="AF360" s="237" t="e">
        <f>((Summary!$N$13*(AA360*AD360)*(A360-$D$3))+(Summary!$M$13*Z360*AC360*(AJ360-EOMONTH(EDATE(A360,-1),0))))/(AK360*AB360*AE360)</f>
        <v>#VALUE!</v>
      </c>
      <c r="AG360" s="88" t="str">
        <f>IF($A361="","",Summary!$Q$13)</f>
        <v/>
      </c>
      <c r="AH360" s="88" t="str">
        <f>IF($A361="","",IF(Summary!$R$12="Y",(VLOOKUP($A360,Summary!$AD$6:$AF$9,3)+'Escalating commodity'!I373),'Escalating commodity'!I373))</f>
        <v/>
      </c>
      <c r="AI360" s="88" t="str">
        <f t="shared" si="217"/>
        <v/>
      </c>
      <c r="AJ360" s="236" t="e">
        <f t="shared" si="203"/>
        <v>#VALUE!</v>
      </c>
      <c r="AK360" s="58" t="str">
        <f t="shared" si="204"/>
        <v/>
      </c>
      <c r="AL360" s="26" t="str">
        <f>IF($A361="","",_xll.SPRDOPT(P360,X360,AI360,0,AB360,AE360,AF360,AK360,$AJ$2,0))</f>
        <v/>
      </c>
      <c r="AM360" s="209" t="str">
        <f t="shared" si="205"/>
        <v/>
      </c>
      <c r="AN360" s="89" t="str">
        <f t="shared" si="206"/>
        <v/>
      </c>
      <c r="AO360" s="3" t="str">
        <f t="shared" si="207"/>
        <v/>
      </c>
      <c r="AP360" s="33" t="str">
        <f t="shared" si="208"/>
        <v/>
      </c>
      <c r="AQ360" s="58" t="str">
        <f t="shared" si="209"/>
        <v/>
      </c>
      <c r="AR360" s="38">
        <f>'ANR OK vs ML7'!AR360</f>
        <v>0.1</v>
      </c>
      <c r="AS360" s="35" t="str">
        <f t="shared" si="210"/>
        <v/>
      </c>
      <c r="AT360" s="3" t="str">
        <f t="shared" si="211"/>
        <v/>
      </c>
      <c r="AU360" s="3" t="str">
        <f t="shared" si="212"/>
        <v/>
      </c>
      <c r="AW360" s="32" t="str">
        <f t="shared" si="213"/>
        <v/>
      </c>
      <c r="AX360" s="32" t="str">
        <f t="shared" si="214"/>
        <v/>
      </c>
      <c r="AY360" s="32" t="str">
        <f t="shared" si="215"/>
        <v/>
      </c>
      <c r="BA360" s="32" t="str">
        <f>IF($A361="","",F360*Summary!$Q$13)</f>
        <v/>
      </c>
    </row>
    <row r="361" spans="1:53" ht="12" customHeight="1">
      <c r="A361" s="67" t="str">
        <f t="shared" si="216"/>
        <v/>
      </c>
      <c r="B361" s="69" t="str">
        <f t="shared" si="218"/>
        <v/>
      </c>
      <c r="C361" s="71"/>
      <c r="D361" s="69" t="str">
        <f t="shared" si="183"/>
        <v/>
      </c>
      <c r="E361" s="70" t="str">
        <f t="shared" si="184"/>
        <v/>
      </c>
      <c r="F361" s="70" t="str">
        <f t="shared" si="185"/>
        <v/>
      </c>
      <c r="G361" s="63" t="str">
        <f t="shared" si="186"/>
        <v/>
      </c>
      <c r="H361" s="64" t="str">
        <f t="shared" si="187"/>
        <v/>
      </c>
      <c r="I361" s="43"/>
      <c r="J361" s="63" t="str">
        <f t="shared" si="188"/>
        <v/>
      </c>
      <c r="K361" s="64" t="str">
        <f t="shared" si="189"/>
        <v/>
      </c>
      <c r="L361" s="38">
        <v>0</v>
      </c>
      <c r="M361" s="64" t="str">
        <f t="shared" si="190"/>
        <v/>
      </c>
      <c r="N361" s="65"/>
      <c r="O361" s="63" t="str">
        <f t="shared" si="191"/>
        <v/>
      </c>
      <c r="P361" s="63" t="str">
        <f t="shared" si="192"/>
        <v/>
      </c>
      <c r="Q361" s="66"/>
      <c r="R361" s="63" t="str">
        <f t="shared" si="193"/>
        <v/>
      </c>
      <c r="S361" s="64" t="str">
        <f t="shared" si="194"/>
        <v/>
      </c>
      <c r="T361" s="38">
        <v>0</v>
      </c>
      <c r="U361" s="64" t="str">
        <f t="shared" si="195"/>
        <v/>
      </c>
      <c r="V361" s="219"/>
      <c r="W361" s="43" t="str">
        <f t="shared" si="196"/>
        <v/>
      </c>
      <c r="X361" s="43" t="str">
        <f t="shared" si="197"/>
        <v/>
      </c>
      <c r="Y361" s="43"/>
      <c r="Z361" s="38" t="str">
        <f t="shared" si="198"/>
        <v/>
      </c>
      <c r="AA361" s="38" t="str">
        <f t="shared" si="199"/>
        <v/>
      </c>
      <c r="AB361" s="38" t="e">
        <f t="shared" si="200"/>
        <v>#VALUE!</v>
      </c>
      <c r="AC361" s="38" t="str">
        <f t="shared" si="201"/>
        <v/>
      </c>
      <c r="AD361" s="38" t="str">
        <f t="shared" si="201"/>
        <v/>
      </c>
      <c r="AE361" s="38" t="e">
        <f t="shared" si="202"/>
        <v>#VALUE!</v>
      </c>
      <c r="AF361" s="237" t="e">
        <f>((Summary!$N$13*(AA361*AD361)*(A361-$D$3))+(Summary!$M$13*Z361*AC361*(AJ361-EOMONTH(EDATE(A361,-1),0))))/(AK361*AB361*AE361)</f>
        <v>#VALUE!</v>
      </c>
      <c r="AG361" s="88" t="str">
        <f>IF($A362="","",Summary!$Q$13)</f>
        <v/>
      </c>
      <c r="AH361" s="88" t="str">
        <f>IF($A362="","",IF(Summary!$R$12="Y",(VLOOKUP($A361,Summary!$AD$6:$AF$9,3)+'Escalating commodity'!I374),'Escalating commodity'!I374))</f>
        <v/>
      </c>
      <c r="AI361" s="88" t="str">
        <f t="shared" si="217"/>
        <v/>
      </c>
      <c r="AJ361" s="236" t="e">
        <f t="shared" si="203"/>
        <v>#VALUE!</v>
      </c>
      <c r="AK361" s="58" t="str">
        <f t="shared" si="204"/>
        <v/>
      </c>
      <c r="AL361" s="26" t="str">
        <f>IF($A362="","",_xll.SPRDOPT(P361,X361,AI361,0,AB361,AE361,AF361,AK361,$AJ$2,0))</f>
        <v/>
      </c>
      <c r="AM361" s="209" t="str">
        <f t="shared" si="205"/>
        <v/>
      </c>
      <c r="AN361" s="89" t="str">
        <f t="shared" si="206"/>
        <v/>
      </c>
      <c r="AO361" s="3" t="str">
        <f t="shared" si="207"/>
        <v/>
      </c>
      <c r="AP361" s="33" t="str">
        <f t="shared" si="208"/>
        <v/>
      </c>
      <c r="AQ361" s="58" t="str">
        <f t="shared" si="209"/>
        <v/>
      </c>
      <c r="AR361" s="38">
        <f>'ANR OK vs ML7'!AR361</f>
        <v>0.1</v>
      </c>
      <c r="AS361" s="35" t="str">
        <f t="shared" si="210"/>
        <v/>
      </c>
      <c r="AT361" s="3" t="str">
        <f t="shared" si="211"/>
        <v/>
      </c>
      <c r="AU361" s="3" t="str">
        <f t="shared" si="212"/>
        <v/>
      </c>
      <c r="AW361" s="32" t="str">
        <f t="shared" si="213"/>
        <v/>
      </c>
      <c r="AX361" s="32" t="str">
        <f t="shared" si="214"/>
        <v/>
      </c>
      <c r="AY361" s="32" t="str">
        <f t="shared" si="215"/>
        <v/>
      </c>
      <c r="BA361" s="32" t="str">
        <f>IF($A362="","",F361*Summary!$Q$13)</f>
        <v/>
      </c>
    </row>
    <row r="362" spans="1:53" ht="12" customHeight="1">
      <c r="A362" s="67" t="str">
        <f t="shared" si="216"/>
        <v/>
      </c>
      <c r="B362" s="69" t="str">
        <f t="shared" si="218"/>
        <v/>
      </c>
      <c r="C362" s="71"/>
      <c r="D362" s="69" t="str">
        <f t="shared" si="183"/>
        <v/>
      </c>
      <c r="E362" s="70" t="str">
        <f t="shared" si="184"/>
        <v/>
      </c>
      <c r="F362" s="70" t="str">
        <f t="shared" si="185"/>
        <v/>
      </c>
      <c r="G362" s="63" t="str">
        <f t="shared" si="186"/>
        <v/>
      </c>
      <c r="H362" s="64" t="str">
        <f t="shared" si="187"/>
        <v/>
      </c>
      <c r="I362" s="43"/>
      <c r="J362" s="63" t="str">
        <f t="shared" si="188"/>
        <v/>
      </c>
      <c r="K362" s="64" t="str">
        <f t="shared" si="189"/>
        <v/>
      </c>
      <c r="L362" s="38">
        <v>0</v>
      </c>
      <c r="M362" s="64" t="str">
        <f t="shared" si="190"/>
        <v/>
      </c>
      <c r="N362" s="65"/>
      <c r="O362" s="63" t="str">
        <f t="shared" si="191"/>
        <v/>
      </c>
      <c r="P362" s="63" t="str">
        <f t="shared" si="192"/>
        <v/>
      </c>
      <c r="Q362" s="66"/>
      <c r="R362" s="63" t="str">
        <f t="shared" si="193"/>
        <v/>
      </c>
      <c r="S362" s="64" t="str">
        <f t="shared" si="194"/>
        <v/>
      </c>
      <c r="T362" s="38">
        <v>0</v>
      </c>
      <c r="U362" s="64" t="str">
        <f t="shared" si="195"/>
        <v/>
      </c>
      <c r="V362" s="219"/>
      <c r="W362" s="43" t="str">
        <f t="shared" si="196"/>
        <v/>
      </c>
      <c r="X362" s="43" t="str">
        <f t="shared" si="197"/>
        <v/>
      </c>
      <c r="Y362" s="43"/>
      <c r="Z362" s="38" t="str">
        <f t="shared" si="198"/>
        <v/>
      </c>
      <c r="AA362" s="38" t="str">
        <f t="shared" si="199"/>
        <v/>
      </c>
      <c r="AB362" s="38" t="e">
        <f t="shared" si="200"/>
        <v>#VALUE!</v>
      </c>
      <c r="AC362" s="38" t="str">
        <f t="shared" si="201"/>
        <v/>
      </c>
      <c r="AD362" s="38" t="str">
        <f t="shared" si="201"/>
        <v/>
      </c>
      <c r="AE362" s="38" t="e">
        <f t="shared" si="202"/>
        <v>#VALUE!</v>
      </c>
      <c r="AF362" s="237" t="e">
        <f>((Summary!$N$13*(AA362*AD362)*(A362-$D$3))+(Summary!$M$13*Z362*AC362*(AJ362-EOMONTH(EDATE(A362,-1),0))))/(AK362*AB362*AE362)</f>
        <v>#VALUE!</v>
      </c>
      <c r="AG362" s="88" t="str">
        <f>IF($A363="","",Summary!$Q$13)</f>
        <v/>
      </c>
      <c r="AH362" s="88" t="str">
        <f>IF($A363="","",IF(Summary!$R$12="Y",(VLOOKUP($A362,Summary!$AD$6:$AF$9,3)+'Escalating commodity'!I375),'Escalating commodity'!I375))</f>
        <v/>
      </c>
      <c r="AI362" s="88" t="str">
        <f t="shared" si="217"/>
        <v/>
      </c>
      <c r="AJ362" s="236" t="e">
        <f t="shared" si="203"/>
        <v>#VALUE!</v>
      </c>
      <c r="AK362" s="58" t="str">
        <f t="shared" si="204"/>
        <v/>
      </c>
      <c r="AL362" s="26" t="str">
        <f>IF($A363="","",_xll.SPRDOPT(P362,X362,AI362,0,AB362,AE362,AF362,AK362,$AJ$2,0))</f>
        <v/>
      </c>
      <c r="AM362" s="209" t="str">
        <f t="shared" si="205"/>
        <v/>
      </c>
      <c r="AN362" s="89" t="str">
        <f t="shared" si="206"/>
        <v/>
      </c>
      <c r="AO362" s="3" t="str">
        <f t="shared" si="207"/>
        <v/>
      </c>
      <c r="AP362" s="33" t="str">
        <f t="shared" si="208"/>
        <v/>
      </c>
      <c r="AQ362" s="58" t="str">
        <f t="shared" si="209"/>
        <v/>
      </c>
      <c r="AR362" s="38">
        <f>'ANR OK vs ML7'!AR362</f>
        <v>0.1</v>
      </c>
      <c r="AS362" s="35" t="str">
        <f t="shared" si="210"/>
        <v/>
      </c>
      <c r="AT362" s="3" t="str">
        <f t="shared" si="211"/>
        <v/>
      </c>
      <c r="AU362" s="3" t="str">
        <f t="shared" si="212"/>
        <v/>
      </c>
      <c r="AW362" s="32" t="str">
        <f t="shared" si="213"/>
        <v/>
      </c>
      <c r="AX362" s="32" t="str">
        <f t="shared" si="214"/>
        <v/>
      </c>
      <c r="AY362" s="32" t="str">
        <f t="shared" si="215"/>
        <v/>
      </c>
      <c r="BA362" s="32" t="str">
        <f>IF($A363="","",F362*Summary!$Q$13)</f>
        <v/>
      </c>
    </row>
    <row r="363" spans="1:53" ht="12" customHeight="1">
      <c r="A363" s="67" t="str">
        <f t="shared" si="216"/>
        <v/>
      </c>
      <c r="B363" s="69" t="str">
        <f t="shared" si="218"/>
        <v/>
      </c>
      <c r="C363" s="71"/>
      <c r="D363" s="69" t="str">
        <f t="shared" si="183"/>
        <v/>
      </c>
      <c r="E363" s="70" t="str">
        <f t="shared" si="184"/>
        <v/>
      </c>
      <c r="F363" s="70" t="str">
        <f t="shared" si="185"/>
        <v/>
      </c>
      <c r="G363" s="63" t="str">
        <f t="shared" si="186"/>
        <v/>
      </c>
      <c r="H363" s="64" t="str">
        <f t="shared" si="187"/>
        <v/>
      </c>
      <c r="I363" s="43"/>
      <c r="J363" s="63" t="str">
        <f t="shared" si="188"/>
        <v/>
      </c>
      <c r="K363" s="64" t="str">
        <f t="shared" si="189"/>
        <v/>
      </c>
      <c r="L363" s="38">
        <v>0</v>
      </c>
      <c r="M363" s="64" t="str">
        <f t="shared" si="190"/>
        <v/>
      </c>
      <c r="N363" s="65"/>
      <c r="O363" s="63" t="str">
        <f t="shared" si="191"/>
        <v/>
      </c>
      <c r="P363" s="63" t="str">
        <f t="shared" si="192"/>
        <v/>
      </c>
      <c r="Q363" s="66"/>
      <c r="R363" s="63" t="str">
        <f t="shared" si="193"/>
        <v/>
      </c>
      <c r="S363" s="64" t="str">
        <f t="shared" si="194"/>
        <v/>
      </c>
      <c r="T363" s="38">
        <v>0</v>
      </c>
      <c r="U363" s="64" t="str">
        <f t="shared" si="195"/>
        <v/>
      </c>
      <c r="V363" s="219"/>
      <c r="W363" s="43" t="str">
        <f t="shared" si="196"/>
        <v/>
      </c>
      <c r="X363" s="43" t="str">
        <f t="shared" si="197"/>
        <v/>
      </c>
      <c r="Y363" s="43"/>
      <c r="Z363" s="38" t="str">
        <f t="shared" si="198"/>
        <v/>
      </c>
      <c r="AA363" s="38" t="str">
        <f t="shared" si="199"/>
        <v/>
      </c>
      <c r="AB363" s="38" t="e">
        <f t="shared" si="200"/>
        <v>#VALUE!</v>
      </c>
      <c r="AC363" s="38" t="str">
        <f t="shared" si="201"/>
        <v/>
      </c>
      <c r="AD363" s="38" t="str">
        <f t="shared" si="201"/>
        <v/>
      </c>
      <c r="AE363" s="38" t="e">
        <f t="shared" si="202"/>
        <v>#VALUE!</v>
      </c>
      <c r="AF363" s="237" t="e">
        <f>((Summary!$N$13*(AA363*AD363)*(A363-$D$3))+(Summary!$M$13*Z363*AC363*(AJ363-EOMONTH(EDATE(A363,-1),0))))/(AK363*AB363*AE363)</f>
        <v>#VALUE!</v>
      </c>
      <c r="AG363" s="88" t="str">
        <f>IF($A364="","",Summary!$Q$13)</f>
        <v/>
      </c>
      <c r="AH363" s="88" t="str">
        <f>IF($A364="","",IF(Summary!$R$12="Y",(VLOOKUP($A363,Summary!$AD$6:$AF$9,3)+'Escalating commodity'!I376),'Escalating commodity'!I376))</f>
        <v/>
      </c>
      <c r="AI363" s="88" t="str">
        <f t="shared" si="217"/>
        <v/>
      </c>
      <c r="AJ363" s="236" t="e">
        <f t="shared" si="203"/>
        <v>#VALUE!</v>
      </c>
      <c r="AK363" s="58" t="str">
        <f t="shared" si="204"/>
        <v/>
      </c>
      <c r="AL363" s="26" t="str">
        <f>IF($A364="","",_xll.SPRDOPT(P363,X363,AI363,0,AB363,AE363,AF363,AK363,$AJ$2,0))</f>
        <v/>
      </c>
      <c r="AM363" s="209" t="str">
        <f t="shared" si="205"/>
        <v/>
      </c>
      <c r="AN363" s="89" t="str">
        <f t="shared" si="206"/>
        <v/>
      </c>
      <c r="AO363" s="3" t="str">
        <f t="shared" si="207"/>
        <v/>
      </c>
      <c r="AP363" s="33" t="str">
        <f t="shared" si="208"/>
        <v/>
      </c>
      <c r="AQ363" s="58" t="str">
        <f t="shared" si="209"/>
        <v/>
      </c>
      <c r="AR363" s="38">
        <f>'ANR OK vs ML7'!AR363</f>
        <v>0.1</v>
      </c>
      <c r="AS363" s="35" t="str">
        <f t="shared" si="210"/>
        <v/>
      </c>
      <c r="AT363" s="3" t="str">
        <f t="shared" si="211"/>
        <v/>
      </c>
      <c r="AU363" s="3" t="str">
        <f t="shared" si="212"/>
        <v/>
      </c>
      <c r="AW363" s="32" t="str">
        <f t="shared" si="213"/>
        <v/>
      </c>
      <c r="AX363" s="32" t="str">
        <f t="shared" si="214"/>
        <v/>
      </c>
      <c r="AY363" s="32" t="str">
        <f t="shared" si="215"/>
        <v/>
      </c>
      <c r="BA363" s="32" t="str">
        <f>IF($A364="","",F363*Summary!$Q$13)</f>
        <v/>
      </c>
    </row>
    <row r="364" spans="1:53" ht="12" customHeight="1">
      <c r="A364" s="67" t="str">
        <f t="shared" si="216"/>
        <v/>
      </c>
      <c r="B364" s="69" t="str">
        <f t="shared" si="218"/>
        <v/>
      </c>
      <c r="C364" s="71"/>
      <c r="D364" s="69" t="str">
        <f t="shared" si="183"/>
        <v/>
      </c>
      <c r="E364" s="70" t="str">
        <f t="shared" si="184"/>
        <v/>
      </c>
      <c r="F364" s="70" t="str">
        <f t="shared" si="185"/>
        <v/>
      </c>
      <c r="G364" s="63" t="str">
        <f t="shared" si="186"/>
        <v/>
      </c>
      <c r="H364" s="64" t="str">
        <f t="shared" si="187"/>
        <v/>
      </c>
      <c r="I364" s="43"/>
      <c r="J364" s="63" t="str">
        <f t="shared" si="188"/>
        <v/>
      </c>
      <c r="K364" s="64" t="str">
        <f t="shared" si="189"/>
        <v/>
      </c>
      <c r="L364" s="38">
        <v>0</v>
      </c>
      <c r="M364" s="64" t="str">
        <f t="shared" si="190"/>
        <v/>
      </c>
      <c r="N364" s="65"/>
      <c r="O364" s="63" t="str">
        <f t="shared" si="191"/>
        <v/>
      </c>
      <c r="P364" s="63" t="str">
        <f t="shared" si="192"/>
        <v/>
      </c>
      <c r="Q364" s="66"/>
      <c r="R364" s="63" t="str">
        <f t="shared" si="193"/>
        <v/>
      </c>
      <c r="S364" s="64" t="str">
        <f t="shared" si="194"/>
        <v/>
      </c>
      <c r="T364" s="38">
        <v>0</v>
      </c>
      <c r="U364" s="64" t="str">
        <f t="shared" si="195"/>
        <v/>
      </c>
      <c r="V364" s="219"/>
      <c r="W364" s="43" t="str">
        <f t="shared" si="196"/>
        <v/>
      </c>
      <c r="X364" s="43" t="str">
        <f t="shared" si="197"/>
        <v/>
      </c>
      <c r="Y364" s="43"/>
      <c r="Z364" s="38" t="str">
        <f t="shared" si="198"/>
        <v/>
      </c>
      <c r="AA364" s="38" t="str">
        <f t="shared" si="199"/>
        <v/>
      </c>
      <c r="AB364" s="38" t="e">
        <f t="shared" si="200"/>
        <v>#VALUE!</v>
      </c>
      <c r="AC364" s="38" t="str">
        <f t="shared" si="201"/>
        <v/>
      </c>
      <c r="AD364" s="38" t="str">
        <f t="shared" si="201"/>
        <v/>
      </c>
      <c r="AE364" s="38" t="e">
        <f t="shared" si="202"/>
        <v>#VALUE!</v>
      </c>
      <c r="AF364" s="237" t="e">
        <f>((Summary!$N$13*(AA364*AD364)*(A364-$D$3))+(Summary!$M$13*Z364*AC364*(AJ364-EOMONTH(EDATE(A364,-1),0))))/(AK364*AB364*AE364)</f>
        <v>#VALUE!</v>
      </c>
      <c r="AG364" s="88" t="str">
        <f>IF($A365="","",Summary!$Q$13)</f>
        <v/>
      </c>
      <c r="AH364" s="88" t="str">
        <f>IF($A365="","",IF(Summary!$R$12="Y",(VLOOKUP($A364,Summary!$AD$6:$AF$9,3)+'Escalating commodity'!I377),'Escalating commodity'!I377))</f>
        <v/>
      </c>
      <c r="AI364" s="88" t="str">
        <f t="shared" si="217"/>
        <v/>
      </c>
      <c r="AJ364" s="236" t="e">
        <f t="shared" si="203"/>
        <v>#VALUE!</v>
      </c>
      <c r="AK364" s="58" t="str">
        <f t="shared" si="204"/>
        <v/>
      </c>
      <c r="AL364" s="26" t="str">
        <f>IF($A365="","",_xll.SPRDOPT(P364,X364,AI364,0,AB364,AE364,AF364,AK364,$AJ$2,0))</f>
        <v/>
      </c>
      <c r="AM364" s="209" t="str">
        <f t="shared" si="205"/>
        <v/>
      </c>
      <c r="AN364" s="89" t="str">
        <f t="shared" si="206"/>
        <v/>
      </c>
      <c r="AO364" s="3" t="str">
        <f t="shared" si="207"/>
        <v/>
      </c>
      <c r="AP364" s="33" t="str">
        <f t="shared" si="208"/>
        <v/>
      </c>
      <c r="AQ364" s="58" t="str">
        <f t="shared" si="209"/>
        <v/>
      </c>
      <c r="AR364" s="38">
        <f>'ANR OK vs ML7'!AR364</f>
        <v>0.1</v>
      </c>
      <c r="AS364" s="35" t="str">
        <f t="shared" si="210"/>
        <v/>
      </c>
      <c r="AT364" s="3" t="str">
        <f t="shared" si="211"/>
        <v/>
      </c>
      <c r="AU364" s="3" t="str">
        <f t="shared" si="212"/>
        <v/>
      </c>
      <c r="AW364" s="32" t="str">
        <f t="shared" si="213"/>
        <v/>
      </c>
      <c r="AX364" s="32" t="str">
        <f t="shared" si="214"/>
        <v/>
      </c>
      <c r="AY364" s="32" t="str">
        <f t="shared" si="215"/>
        <v/>
      </c>
      <c r="BA364" s="32" t="str">
        <f>IF($A365="","",F364*Summary!$Q$13)</f>
        <v/>
      </c>
    </row>
    <row r="365" spans="1:53" ht="12" customHeight="1">
      <c r="A365" s="67" t="str">
        <f t="shared" si="216"/>
        <v/>
      </c>
      <c r="B365" s="69" t="str">
        <f t="shared" si="218"/>
        <v/>
      </c>
      <c r="C365" s="71"/>
      <c r="D365" s="69" t="str">
        <f t="shared" si="183"/>
        <v/>
      </c>
      <c r="E365" s="70" t="str">
        <f t="shared" si="184"/>
        <v/>
      </c>
      <c r="F365" s="70" t="str">
        <f t="shared" si="185"/>
        <v/>
      </c>
      <c r="G365" s="63" t="str">
        <f t="shared" si="186"/>
        <v/>
      </c>
      <c r="H365" s="64" t="str">
        <f t="shared" si="187"/>
        <v/>
      </c>
      <c r="I365" s="43"/>
      <c r="J365" s="63" t="str">
        <f t="shared" si="188"/>
        <v/>
      </c>
      <c r="K365" s="64" t="str">
        <f t="shared" si="189"/>
        <v/>
      </c>
      <c r="L365" s="38">
        <v>0</v>
      </c>
      <c r="M365" s="64" t="str">
        <f t="shared" si="190"/>
        <v/>
      </c>
      <c r="N365" s="65"/>
      <c r="O365" s="63" t="str">
        <f t="shared" si="191"/>
        <v/>
      </c>
      <c r="P365" s="63" t="str">
        <f t="shared" si="192"/>
        <v/>
      </c>
      <c r="Q365" s="66"/>
      <c r="R365" s="63" t="str">
        <f t="shared" si="193"/>
        <v/>
      </c>
      <c r="S365" s="64" t="str">
        <f t="shared" si="194"/>
        <v/>
      </c>
      <c r="T365" s="38">
        <v>0</v>
      </c>
      <c r="U365" s="64" t="str">
        <f t="shared" si="195"/>
        <v/>
      </c>
      <c r="V365" s="219"/>
      <c r="W365" s="43" t="str">
        <f t="shared" si="196"/>
        <v/>
      </c>
      <c r="X365" s="43" t="str">
        <f t="shared" si="197"/>
        <v/>
      </c>
      <c r="Y365" s="43"/>
      <c r="Z365" s="38" t="str">
        <f t="shared" si="198"/>
        <v/>
      </c>
      <c r="AA365" s="38" t="str">
        <f t="shared" si="199"/>
        <v/>
      </c>
      <c r="AB365" s="38" t="e">
        <f t="shared" si="200"/>
        <v>#VALUE!</v>
      </c>
      <c r="AC365" s="38" t="str">
        <f t="shared" si="201"/>
        <v/>
      </c>
      <c r="AD365" s="38" t="str">
        <f t="shared" si="201"/>
        <v/>
      </c>
      <c r="AE365" s="38" t="e">
        <f t="shared" si="202"/>
        <v>#VALUE!</v>
      </c>
      <c r="AF365" s="237" t="e">
        <f>((Summary!$N$13*(AA365*AD365)*(A365-$D$3))+(Summary!$M$13*Z365*AC365*(AJ365-EOMONTH(EDATE(A365,-1),0))))/(AK365*AB365*AE365)</f>
        <v>#VALUE!</v>
      </c>
      <c r="AG365" s="88" t="str">
        <f>IF($A366="","",Summary!$Q$13)</f>
        <v/>
      </c>
      <c r="AH365" s="88" t="str">
        <f>IF($A366="","",IF(Summary!$R$12="Y",(VLOOKUP($A365,Summary!$AD$6:$AF$9,3)+'Escalating commodity'!I378),'Escalating commodity'!I378))</f>
        <v/>
      </c>
      <c r="AI365" s="88" t="str">
        <f t="shared" si="217"/>
        <v/>
      </c>
      <c r="AJ365" s="236" t="e">
        <f t="shared" si="203"/>
        <v>#VALUE!</v>
      </c>
      <c r="AK365" s="58" t="str">
        <f t="shared" si="204"/>
        <v/>
      </c>
      <c r="AL365" s="26" t="str">
        <f>IF($A366="","",_xll.SPRDOPT(P365,X365,AI365,0,AB365,AE365,AF365,AK365,$AJ$2,0))</f>
        <v/>
      </c>
      <c r="AM365" s="209" t="str">
        <f t="shared" si="205"/>
        <v/>
      </c>
      <c r="AN365" s="89" t="str">
        <f t="shared" si="206"/>
        <v/>
      </c>
      <c r="AO365" s="3" t="str">
        <f t="shared" si="207"/>
        <v/>
      </c>
      <c r="AP365" s="33" t="str">
        <f t="shared" si="208"/>
        <v/>
      </c>
      <c r="AQ365" s="58" t="str">
        <f t="shared" si="209"/>
        <v/>
      </c>
      <c r="AR365" s="38">
        <f>'ANR OK vs ML7'!AR365</f>
        <v>0.1</v>
      </c>
      <c r="AS365" s="35" t="str">
        <f t="shared" si="210"/>
        <v/>
      </c>
      <c r="AT365" s="3" t="str">
        <f t="shared" si="211"/>
        <v/>
      </c>
      <c r="AU365" s="3" t="str">
        <f t="shared" si="212"/>
        <v/>
      </c>
      <c r="AW365" s="32" t="str">
        <f t="shared" si="213"/>
        <v/>
      </c>
      <c r="AX365" s="32" t="str">
        <f t="shared" si="214"/>
        <v/>
      </c>
      <c r="AY365" s="32" t="str">
        <f t="shared" si="215"/>
        <v/>
      </c>
      <c r="BA365" s="32" t="str">
        <f>IF($A366="","",F365*Summary!$Q$13)</f>
        <v/>
      </c>
    </row>
    <row r="366" spans="1:53" ht="12" customHeight="1">
      <c r="A366" s="67" t="str">
        <f t="shared" si="216"/>
        <v/>
      </c>
      <c r="B366" s="69" t="str">
        <f t="shared" si="218"/>
        <v/>
      </c>
      <c r="C366" s="71"/>
      <c r="D366" s="69" t="str">
        <f t="shared" si="183"/>
        <v/>
      </c>
      <c r="E366" s="70" t="str">
        <f t="shared" si="184"/>
        <v/>
      </c>
      <c r="F366" s="70" t="str">
        <f t="shared" si="185"/>
        <v/>
      </c>
      <c r="G366" s="63" t="str">
        <f t="shared" si="186"/>
        <v/>
      </c>
      <c r="H366" s="64" t="str">
        <f t="shared" si="187"/>
        <v/>
      </c>
      <c r="I366" s="43"/>
      <c r="J366" s="63" t="str">
        <f t="shared" si="188"/>
        <v/>
      </c>
      <c r="K366" s="64" t="str">
        <f t="shared" si="189"/>
        <v/>
      </c>
      <c r="L366" s="38">
        <v>0</v>
      </c>
      <c r="M366" s="64" t="str">
        <f t="shared" si="190"/>
        <v/>
      </c>
      <c r="N366" s="65"/>
      <c r="O366" s="63" t="str">
        <f t="shared" si="191"/>
        <v/>
      </c>
      <c r="P366" s="63" t="str">
        <f t="shared" si="192"/>
        <v/>
      </c>
      <c r="Q366" s="66"/>
      <c r="R366" s="63" t="str">
        <f t="shared" si="193"/>
        <v/>
      </c>
      <c r="S366" s="64" t="str">
        <f t="shared" si="194"/>
        <v/>
      </c>
      <c r="T366" s="38">
        <v>0</v>
      </c>
      <c r="U366" s="64" t="str">
        <f t="shared" si="195"/>
        <v/>
      </c>
      <c r="V366" s="219"/>
      <c r="W366" s="43" t="str">
        <f t="shared" si="196"/>
        <v/>
      </c>
      <c r="X366" s="43" t="str">
        <f t="shared" si="197"/>
        <v/>
      </c>
      <c r="Y366" s="43"/>
      <c r="Z366" s="38" t="str">
        <f t="shared" si="198"/>
        <v/>
      </c>
      <c r="AA366" s="38" t="str">
        <f t="shared" si="199"/>
        <v/>
      </c>
      <c r="AB366" s="38" t="e">
        <f t="shared" si="200"/>
        <v>#VALUE!</v>
      </c>
      <c r="AC366" s="38" t="str">
        <f t="shared" si="201"/>
        <v/>
      </c>
      <c r="AD366" s="38" t="str">
        <f t="shared" si="201"/>
        <v/>
      </c>
      <c r="AE366" s="38" t="e">
        <f t="shared" si="202"/>
        <v>#VALUE!</v>
      </c>
      <c r="AF366" s="237" t="e">
        <f>((Summary!$N$13*(AA366*AD366)*(A366-$D$3))+(Summary!$M$13*Z366*AC366*(AJ366-EOMONTH(EDATE(A366,-1),0))))/(AK366*AB366*AE366)</f>
        <v>#VALUE!</v>
      </c>
      <c r="AG366" s="88" t="str">
        <f>IF($A367="","",Summary!$Q$13)</f>
        <v/>
      </c>
      <c r="AH366" s="88" t="str">
        <f>IF($A367="","",IF(Summary!$R$12="Y",(VLOOKUP($A366,Summary!$AD$6:$AF$9,3)+'Escalating commodity'!I379),'Escalating commodity'!I379))</f>
        <v/>
      </c>
      <c r="AI366" s="88" t="str">
        <f t="shared" si="217"/>
        <v/>
      </c>
      <c r="AJ366" s="236" t="e">
        <f t="shared" si="203"/>
        <v>#VALUE!</v>
      </c>
      <c r="AK366" s="58" t="str">
        <f t="shared" si="204"/>
        <v/>
      </c>
      <c r="AL366" s="26" t="str">
        <f>IF($A367="","",_xll.SPRDOPT(P366,X366,AI366,0,AB366,AE366,AF366,AK366,$AJ$2,0))</f>
        <v/>
      </c>
      <c r="AM366" s="209" t="str">
        <f t="shared" si="205"/>
        <v/>
      </c>
      <c r="AN366" s="89" t="str">
        <f t="shared" si="206"/>
        <v/>
      </c>
      <c r="AO366" s="3" t="str">
        <f t="shared" si="207"/>
        <v/>
      </c>
      <c r="AP366" s="33" t="str">
        <f t="shared" si="208"/>
        <v/>
      </c>
      <c r="AQ366" s="58" t="str">
        <f t="shared" si="209"/>
        <v/>
      </c>
      <c r="AR366" s="38">
        <f>'ANR OK vs ML7'!AR366</f>
        <v>0.1</v>
      </c>
      <c r="AS366" s="35" t="str">
        <f t="shared" si="210"/>
        <v/>
      </c>
      <c r="AT366" s="3" t="str">
        <f t="shared" si="211"/>
        <v/>
      </c>
      <c r="AU366" s="3" t="str">
        <f t="shared" si="212"/>
        <v/>
      </c>
      <c r="AW366" s="32" t="str">
        <f t="shared" si="213"/>
        <v/>
      </c>
      <c r="AX366" s="32" t="str">
        <f t="shared" si="214"/>
        <v/>
      </c>
      <c r="AY366" s="32" t="str">
        <f t="shared" si="215"/>
        <v/>
      </c>
      <c r="BA366" s="32" t="str">
        <f>IF($A367="","",F366*Summary!$Q$13)</f>
        <v/>
      </c>
    </row>
    <row r="367" spans="1:53" ht="12" customHeight="1">
      <c r="A367" s="67" t="str">
        <f t="shared" si="216"/>
        <v/>
      </c>
      <c r="B367" s="69" t="str">
        <f t="shared" si="218"/>
        <v/>
      </c>
      <c r="C367" s="71"/>
      <c r="D367" s="69" t="str">
        <f t="shared" si="183"/>
        <v/>
      </c>
      <c r="E367" s="70" t="str">
        <f t="shared" si="184"/>
        <v/>
      </c>
      <c r="F367" s="70" t="str">
        <f t="shared" si="185"/>
        <v/>
      </c>
      <c r="G367" s="63" t="str">
        <f t="shared" si="186"/>
        <v/>
      </c>
      <c r="H367" s="64" t="str">
        <f t="shared" si="187"/>
        <v/>
      </c>
      <c r="I367" s="43"/>
      <c r="J367" s="63" t="str">
        <f t="shared" si="188"/>
        <v/>
      </c>
      <c r="K367" s="64" t="str">
        <f t="shared" si="189"/>
        <v/>
      </c>
      <c r="L367" s="38">
        <v>0</v>
      </c>
      <c r="M367" s="64" t="str">
        <f t="shared" si="190"/>
        <v/>
      </c>
      <c r="N367" s="65"/>
      <c r="O367" s="63" t="str">
        <f t="shared" si="191"/>
        <v/>
      </c>
      <c r="P367" s="63" t="str">
        <f t="shared" si="192"/>
        <v/>
      </c>
      <c r="Q367" s="66"/>
      <c r="R367" s="63" t="str">
        <f t="shared" si="193"/>
        <v/>
      </c>
      <c r="S367" s="64" t="str">
        <f t="shared" si="194"/>
        <v/>
      </c>
      <c r="T367" s="38">
        <v>0</v>
      </c>
      <c r="U367" s="64" t="str">
        <f t="shared" si="195"/>
        <v/>
      </c>
      <c r="V367" s="219"/>
      <c r="W367" s="43" t="str">
        <f t="shared" si="196"/>
        <v/>
      </c>
      <c r="X367" s="43" t="str">
        <f t="shared" si="197"/>
        <v/>
      </c>
      <c r="Y367" s="43"/>
      <c r="Z367" s="38" t="str">
        <f t="shared" si="198"/>
        <v/>
      </c>
      <c r="AA367" s="38" t="str">
        <f t="shared" si="199"/>
        <v/>
      </c>
      <c r="AB367" s="38" t="e">
        <f t="shared" si="200"/>
        <v>#VALUE!</v>
      </c>
      <c r="AC367" s="38" t="str">
        <f t="shared" si="201"/>
        <v/>
      </c>
      <c r="AD367" s="38" t="str">
        <f t="shared" si="201"/>
        <v/>
      </c>
      <c r="AE367" s="38" t="e">
        <f t="shared" si="202"/>
        <v>#VALUE!</v>
      </c>
      <c r="AF367" s="237" t="e">
        <f>((Summary!$N$13*(AA367*AD367)*(A367-$D$3))+(Summary!$M$13*Z367*AC367*(AJ367-EOMONTH(EDATE(A367,-1),0))))/(AK367*AB367*AE367)</f>
        <v>#VALUE!</v>
      </c>
      <c r="AG367" s="88" t="str">
        <f>IF($A368="","",Summary!$Q$13)</f>
        <v/>
      </c>
      <c r="AH367" s="88" t="str">
        <f>IF($A368="","",IF(Summary!$R$12="Y",(VLOOKUP($A367,Summary!$AD$6:$AF$9,3)+'Escalating commodity'!I380),'Escalating commodity'!I380))</f>
        <v/>
      </c>
      <c r="AI367" s="88" t="str">
        <f t="shared" si="217"/>
        <v/>
      </c>
      <c r="AJ367" s="236" t="e">
        <f t="shared" si="203"/>
        <v>#VALUE!</v>
      </c>
      <c r="AK367" s="58" t="str">
        <f t="shared" si="204"/>
        <v/>
      </c>
      <c r="AL367" s="26" t="str">
        <f>IF($A368="","",_xll.SPRDOPT(P367,X367,AI367,0,AB367,AE367,AF367,AK367,$AJ$2,0))</f>
        <v/>
      </c>
      <c r="AM367" s="209" t="str">
        <f t="shared" si="205"/>
        <v/>
      </c>
      <c r="AN367" s="89" t="str">
        <f t="shared" si="206"/>
        <v/>
      </c>
      <c r="AO367" s="3" t="str">
        <f t="shared" si="207"/>
        <v/>
      </c>
      <c r="AP367" s="33" t="str">
        <f t="shared" si="208"/>
        <v/>
      </c>
      <c r="AQ367" s="58" t="str">
        <f t="shared" si="209"/>
        <v/>
      </c>
      <c r="AR367" s="38">
        <f>'ANR OK vs ML7'!AR367</f>
        <v>0.1</v>
      </c>
      <c r="AS367" s="35" t="str">
        <f t="shared" si="210"/>
        <v/>
      </c>
      <c r="AT367" s="3" t="str">
        <f t="shared" si="211"/>
        <v/>
      </c>
      <c r="AU367" s="3" t="str">
        <f t="shared" si="212"/>
        <v/>
      </c>
      <c r="AW367" s="32" t="str">
        <f t="shared" si="213"/>
        <v/>
      </c>
      <c r="AX367" s="32" t="str">
        <f t="shared" si="214"/>
        <v/>
      </c>
      <c r="AY367" s="32" t="str">
        <f t="shared" si="215"/>
        <v/>
      </c>
      <c r="BA367" s="32" t="str">
        <f>IF($A368="","",F367*Summary!$Q$13)</f>
        <v/>
      </c>
    </row>
    <row r="368" spans="1:53" ht="12" customHeight="1">
      <c r="A368" s="67" t="str">
        <f t="shared" si="216"/>
        <v/>
      </c>
      <c r="B368" s="69" t="str">
        <f t="shared" si="218"/>
        <v/>
      </c>
      <c r="C368" s="71"/>
      <c r="D368" s="69" t="str">
        <f t="shared" si="183"/>
        <v/>
      </c>
      <c r="E368" s="70" t="str">
        <f t="shared" si="184"/>
        <v/>
      </c>
      <c r="F368" s="70" t="str">
        <f t="shared" si="185"/>
        <v/>
      </c>
      <c r="G368" s="63" t="str">
        <f t="shared" si="186"/>
        <v/>
      </c>
      <c r="H368" s="64" t="str">
        <f t="shared" si="187"/>
        <v/>
      </c>
      <c r="I368" s="43"/>
      <c r="J368" s="63" t="str">
        <f t="shared" si="188"/>
        <v/>
      </c>
      <c r="K368" s="64" t="str">
        <f t="shared" si="189"/>
        <v/>
      </c>
      <c r="L368" s="38">
        <v>0</v>
      </c>
      <c r="M368" s="64" t="str">
        <f t="shared" si="190"/>
        <v/>
      </c>
      <c r="N368" s="65"/>
      <c r="O368" s="63" t="str">
        <f t="shared" si="191"/>
        <v/>
      </c>
      <c r="P368" s="63" t="str">
        <f t="shared" si="192"/>
        <v/>
      </c>
      <c r="Q368" s="66"/>
      <c r="R368" s="63" t="str">
        <f t="shared" si="193"/>
        <v/>
      </c>
      <c r="S368" s="64" t="str">
        <f t="shared" si="194"/>
        <v/>
      </c>
      <c r="T368" s="38">
        <v>0</v>
      </c>
      <c r="U368" s="64" t="str">
        <f t="shared" si="195"/>
        <v/>
      </c>
      <c r="V368" s="219"/>
      <c r="W368" s="43" t="str">
        <f t="shared" si="196"/>
        <v/>
      </c>
      <c r="X368" s="43" t="str">
        <f t="shared" si="197"/>
        <v/>
      </c>
      <c r="Y368" s="43"/>
      <c r="Z368" s="38" t="str">
        <f t="shared" si="198"/>
        <v/>
      </c>
      <c r="AA368" s="38" t="str">
        <f t="shared" si="199"/>
        <v/>
      </c>
      <c r="AB368" s="38" t="e">
        <f t="shared" si="200"/>
        <v>#VALUE!</v>
      </c>
      <c r="AC368" s="38" t="str">
        <f t="shared" si="201"/>
        <v/>
      </c>
      <c r="AD368" s="38" t="str">
        <f t="shared" si="201"/>
        <v/>
      </c>
      <c r="AE368" s="38" t="e">
        <f t="shared" si="202"/>
        <v>#VALUE!</v>
      </c>
      <c r="AF368" s="237" t="e">
        <f>((Summary!$N$13*(AA368*AD368)*(A368-$D$3))+(Summary!$M$13*Z368*AC368*(AJ368-EOMONTH(EDATE(A368,-1),0))))/(AK368*AB368*AE368)</f>
        <v>#VALUE!</v>
      </c>
      <c r="AG368" s="88" t="str">
        <f>IF($A369="","",Summary!$Q$13)</f>
        <v/>
      </c>
      <c r="AH368" s="88" t="str">
        <f>IF($A369="","",IF(Summary!$R$12="Y",(VLOOKUP($A368,Summary!$AD$6:$AF$9,3)+'Escalating commodity'!I381),'Escalating commodity'!I381))</f>
        <v/>
      </c>
      <c r="AI368" s="88" t="str">
        <f t="shared" si="217"/>
        <v/>
      </c>
      <c r="AJ368" s="236" t="e">
        <f t="shared" si="203"/>
        <v>#VALUE!</v>
      </c>
      <c r="AK368" s="58" t="str">
        <f t="shared" si="204"/>
        <v/>
      </c>
      <c r="AL368" s="26" t="str">
        <f>IF($A369="","",_xll.SPRDOPT(P368,X368,AI368,0,AB368,AE368,AF368,AK368,$AJ$2,0))</f>
        <v/>
      </c>
      <c r="AM368" s="209" t="str">
        <f t="shared" si="205"/>
        <v/>
      </c>
      <c r="AN368" s="89" t="str">
        <f t="shared" si="206"/>
        <v/>
      </c>
      <c r="AO368" s="3" t="str">
        <f t="shared" si="207"/>
        <v/>
      </c>
      <c r="AP368" s="33" t="str">
        <f t="shared" si="208"/>
        <v/>
      </c>
      <c r="AQ368" s="58" t="str">
        <f t="shared" si="209"/>
        <v/>
      </c>
      <c r="AR368" s="38">
        <f>'ANR OK vs ML7'!AR368</f>
        <v>0.1</v>
      </c>
      <c r="AS368" s="35" t="str">
        <f t="shared" si="210"/>
        <v/>
      </c>
      <c r="AT368" s="3" t="str">
        <f t="shared" si="211"/>
        <v/>
      </c>
      <c r="AU368" s="3" t="str">
        <f t="shared" si="212"/>
        <v/>
      </c>
      <c r="AW368" s="32" t="str">
        <f t="shared" si="213"/>
        <v/>
      </c>
      <c r="AX368" s="32" t="str">
        <f t="shared" si="214"/>
        <v/>
      </c>
      <c r="AY368" s="32" t="str">
        <f t="shared" si="215"/>
        <v/>
      </c>
      <c r="BA368" s="32" t="str">
        <f>IF($A369="","",F368*Summary!$Q$13)</f>
        <v/>
      </c>
    </row>
    <row r="369" spans="1:53" ht="12" customHeight="1">
      <c r="A369" s="67" t="str">
        <f t="shared" si="216"/>
        <v/>
      </c>
      <c r="B369" s="69" t="str">
        <f t="shared" si="218"/>
        <v/>
      </c>
      <c r="C369" s="71"/>
      <c r="D369" s="69" t="str">
        <f t="shared" si="183"/>
        <v/>
      </c>
      <c r="E369" s="70" t="str">
        <f t="shared" si="184"/>
        <v/>
      </c>
      <c r="F369" s="70" t="str">
        <f t="shared" si="185"/>
        <v/>
      </c>
      <c r="G369" s="63" t="str">
        <f t="shared" si="186"/>
        <v/>
      </c>
      <c r="H369" s="64" t="str">
        <f t="shared" si="187"/>
        <v/>
      </c>
      <c r="I369" s="43"/>
      <c r="J369" s="63" t="str">
        <f t="shared" si="188"/>
        <v/>
      </c>
      <c r="K369" s="64" t="str">
        <f t="shared" si="189"/>
        <v/>
      </c>
      <c r="L369" s="38">
        <v>0</v>
      </c>
      <c r="M369" s="64" t="str">
        <f t="shared" si="190"/>
        <v/>
      </c>
      <c r="N369" s="65"/>
      <c r="O369" s="63" t="str">
        <f t="shared" si="191"/>
        <v/>
      </c>
      <c r="P369" s="63" t="str">
        <f t="shared" si="192"/>
        <v/>
      </c>
      <c r="Q369" s="66"/>
      <c r="R369" s="63" t="str">
        <f t="shared" si="193"/>
        <v/>
      </c>
      <c r="S369" s="64" t="str">
        <f t="shared" si="194"/>
        <v/>
      </c>
      <c r="T369" s="38">
        <v>0</v>
      </c>
      <c r="U369" s="64" t="str">
        <f t="shared" si="195"/>
        <v/>
      </c>
      <c r="V369" s="219"/>
      <c r="W369" s="43" t="str">
        <f t="shared" si="196"/>
        <v/>
      </c>
      <c r="X369" s="43" t="str">
        <f t="shared" si="197"/>
        <v/>
      </c>
      <c r="Y369" s="43"/>
      <c r="Z369" s="38" t="str">
        <f t="shared" si="198"/>
        <v/>
      </c>
      <c r="AA369" s="38" t="str">
        <f t="shared" si="199"/>
        <v/>
      </c>
      <c r="AB369" s="38" t="e">
        <f t="shared" si="200"/>
        <v>#VALUE!</v>
      </c>
      <c r="AC369" s="38" t="str">
        <f t="shared" si="201"/>
        <v/>
      </c>
      <c r="AD369" s="38" t="str">
        <f t="shared" si="201"/>
        <v/>
      </c>
      <c r="AE369" s="38" t="e">
        <f t="shared" si="202"/>
        <v>#VALUE!</v>
      </c>
      <c r="AF369" s="237" t="e">
        <f>((Summary!$N$13*(AA369*AD369)*(A369-$D$3))+(Summary!$M$13*Z369*AC369*(AJ369-EOMONTH(EDATE(A369,-1),0))))/(AK369*AB369*AE369)</f>
        <v>#VALUE!</v>
      </c>
      <c r="AG369" s="88" t="str">
        <f>IF($A370="","",Summary!$Q$13)</f>
        <v/>
      </c>
      <c r="AH369" s="88" t="str">
        <f>IF($A370="","",IF(Summary!$R$12="Y",(VLOOKUP($A369,Summary!$AD$6:$AF$9,3)+'Escalating commodity'!I382),'Escalating commodity'!I382))</f>
        <v/>
      </c>
      <c r="AI369" s="88" t="str">
        <f t="shared" si="217"/>
        <v/>
      </c>
      <c r="AJ369" s="236" t="e">
        <f t="shared" si="203"/>
        <v>#VALUE!</v>
      </c>
      <c r="AK369" s="58" t="str">
        <f t="shared" si="204"/>
        <v/>
      </c>
      <c r="AL369" s="26" t="str">
        <f>IF($A370="","",_xll.SPRDOPT(P369,X369,AI369,0,AB369,AE369,AF369,AK369,$AJ$2,0))</f>
        <v/>
      </c>
      <c r="AM369" s="209" t="str">
        <f t="shared" si="205"/>
        <v/>
      </c>
      <c r="AN369" s="89" t="str">
        <f t="shared" si="206"/>
        <v/>
      </c>
      <c r="AO369" s="3" t="str">
        <f t="shared" si="207"/>
        <v/>
      </c>
      <c r="AP369" s="33" t="str">
        <f t="shared" si="208"/>
        <v/>
      </c>
      <c r="AQ369" s="58" t="str">
        <f t="shared" si="209"/>
        <v/>
      </c>
      <c r="AR369" s="38">
        <f>'ANR OK vs ML7'!AR369</f>
        <v>0.1</v>
      </c>
      <c r="AS369" s="35" t="str">
        <f t="shared" si="210"/>
        <v/>
      </c>
      <c r="AT369" s="3" t="str">
        <f t="shared" si="211"/>
        <v/>
      </c>
      <c r="AU369" s="3" t="str">
        <f t="shared" si="212"/>
        <v/>
      </c>
      <c r="AW369" s="32" t="str">
        <f t="shared" si="213"/>
        <v/>
      </c>
      <c r="AX369" s="32" t="str">
        <f t="shared" si="214"/>
        <v/>
      </c>
      <c r="AY369" s="32" t="str">
        <f t="shared" si="215"/>
        <v/>
      </c>
      <c r="BA369" s="32" t="str">
        <f>IF($A370="","",F369*Summary!$Q$13)</f>
        <v/>
      </c>
    </row>
    <row r="370" spans="1:53">
      <c r="A370" s="67" t="str">
        <f t="shared" si="216"/>
        <v/>
      </c>
      <c r="B370" s="69" t="str">
        <f t="shared" si="218"/>
        <v/>
      </c>
      <c r="C370" s="72"/>
      <c r="D370" s="69" t="str">
        <f t="shared" si="183"/>
        <v/>
      </c>
      <c r="E370" s="70" t="str">
        <f t="shared" si="184"/>
        <v/>
      </c>
      <c r="F370" s="70" t="str">
        <f t="shared" si="185"/>
        <v/>
      </c>
      <c r="G370" s="63" t="str">
        <f t="shared" si="186"/>
        <v/>
      </c>
      <c r="H370" s="64" t="str">
        <f t="shared" si="187"/>
        <v/>
      </c>
      <c r="J370" s="63" t="str">
        <f t="shared" si="188"/>
        <v/>
      </c>
      <c r="K370" s="64" t="str">
        <f t="shared" si="189"/>
        <v/>
      </c>
      <c r="L370" s="38">
        <v>0</v>
      </c>
      <c r="M370" s="64" t="str">
        <f t="shared" si="190"/>
        <v/>
      </c>
      <c r="O370" s="63" t="str">
        <f t="shared" si="191"/>
        <v/>
      </c>
      <c r="P370" s="63" t="str">
        <f t="shared" si="192"/>
        <v/>
      </c>
      <c r="R370" s="63" t="str">
        <f t="shared" si="193"/>
        <v/>
      </c>
      <c r="S370" s="64" t="str">
        <f t="shared" si="194"/>
        <v/>
      </c>
      <c r="T370" s="38">
        <v>0</v>
      </c>
      <c r="U370" s="64" t="str">
        <f t="shared" si="195"/>
        <v/>
      </c>
      <c r="V370" s="219"/>
      <c r="W370" s="43" t="str">
        <f t="shared" si="196"/>
        <v/>
      </c>
      <c r="X370" s="43" t="str">
        <f t="shared" si="197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07"/>
        <v/>
      </c>
      <c r="AP370" s="33" t="str">
        <f t="shared" si="208"/>
        <v/>
      </c>
      <c r="AQ370" s="58" t="str">
        <f t="shared" si="209"/>
        <v/>
      </c>
      <c r="AR370" s="38">
        <f>'ANR OK vs ML7'!AR370</f>
        <v>0.1</v>
      </c>
      <c r="AS370" s="35" t="str">
        <f t="shared" si="210"/>
        <v/>
      </c>
      <c r="AT370" s="3" t="str">
        <f t="shared" si="211"/>
        <v/>
      </c>
      <c r="AU370" s="3" t="str">
        <f t="shared" si="212"/>
        <v/>
      </c>
      <c r="AW370" s="32" t="str">
        <f t="shared" si="213"/>
        <v/>
      </c>
      <c r="AX370" s="32" t="str">
        <f t="shared" si="214"/>
        <v/>
      </c>
      <c r="AY370" s="32" t="str">
        <f t="shared" si="215"/>
        <v/>
      </c>
      <c r="BA370" s="32" t="str">
        <f>IF($A371="","",F370*Summary!$Q$13)</f>
        <v/>
      </c>
    </row>
    <row r="371" spans="1:53">
      <c r="A371" s="67" t="str">
        <f t="shared" si="216"/>
        <v/>
      </c>
      <c r="B371" s="69" t="str">
        <f t="shared" si="218"/>
        <v/>
      </c>
      <c r="D371" s="69" t="str">
        <f t="shared" si="183"/>
        <v/>
      </c>
      <c r="E371" s="70" t="str">
        <f t="shared" si="184"/>
        <v/>
      </c>
      <c r="F371" s="70" t="str">
        <f t="shared" si="185"/>
        <v/>
      </c>
      <c r="G371" s="63" t="str">
        <f t="shared" si="186"/>
        <v/>
      </c>
      <c r="H371" s="64" t="str">
        <f t="shared" si="187"/>
        <v/>
      </c>
      <c r="J371" s="63" t="str">
        <f t="shared" si="188"/>
        <v/>
      </c>
      <c r="K371" s="64" t="str">
        <f t="shared" si="189"/>
        <v/>
      </c>
      <c r="L371" s="38">
        <v>0</v>
      </c>
      <c r="M371" s="64" t="str">
        <f t="shared" si="190"/>
        <v/>
      </c>
      <c r="O371" s="63" t="str">
        <f t="shared" si="191"/>
        <v/>
      </c>
      <c r="P371" s="63" t="str">
        <f t="shared" si="192"/>
        <v/>
      </c>
      <c r="R371" s="63" t="str">
        <f t="shared" si="193"/>
        <v/>
      </c>
      <c r="S371" s="64" t="str">
        <f t="shared" si="194"/>
        <v/>
      </c>
      <c r="T371" s="38">
        <v>0</v>
      </c>
      <c r="U371" s="64" t="str">
        <f t="shared" si="195"/>
        <v/>
      </c>
      <c r="V371" s="219"/>
      <c r="W371" s="43" t="str">
        <f t="shared" si="196"/>
        <v/>
      </c>
      <c r="X371" s="43" t="str">
        <f t="shared" si="197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07"/>
        <v/>
      </c>
      <c r="AP371" s="33" t="str">
        <f t="shared" si="208"/>
        <v/>
      </c>
      <c r="AQ371" s="58" t="str">
        <f t="shared" si="209"/>
        <v/>
      </c>
      <c r="AR371" s="38">
        <f>'ANR OK vs ML7'!AR371</f>
        <v>0.1</v>
      </c>
      <c r="AS371" s="35" t="str">
        <f t="shared" si="210"/>
        <v/>
      </c>
      <c r="AT371" s="3" t="str">
        <f t="shared" si="211"/>
        <v/>
      </c>
      <c r="AU371" s="3" t="str">
        <f t="shared" si="212"/>
        <v/>
      </c>
      <c r="AW371" s="32" t="str">
        <f t="shared" si="213"/>
        <v/>
      </c>
      <c r="AX371" s="32" t="str">
        <f t="shared" si="214"/>
        <v/>
      </c>
      <c r="AY371" s="32" t="str">
        <f t="shared" si="215"/>
        <v/>
      </c>
      <c r="BA371" s="32" t="str">
        <f>IF($A372="","",F371*Summary!$Q$13)</f>
        <v/>
      </c>
    </row>
    <row r="372" spans="1:53">
      <c r="A372" s="67" t="str">
        <f t="shared" si="216"/>
        <v/>
      </c>
      <c r="B372" s="69" t="str">
        <f t="shared" si="218"/>
        <v/>
      </c>
      <c r="D372" s="69" t="str">
        <f t="shared" si="183"/>
        <v/>
      </c>
      <c r="E372" s="70" t="str">
        <f t="shared" si="184"/>
        <v/>
      </c>
      <c r="F372" s="70" t="str">
        <f t="shared" si="185"/>
        <v/>
      </c>
      <c r="G372" s="63" t="str">
        <f t="shared" si="186"/>
        <v/>
      </c>
      <c r="H372" s="64" t="str">
        <f t="shared" si="187"/>
        <v/>
      </c>
      <c r="J372" s="63" t="str">
        <f t="shared" si="188"/>
        <v/>
      </c>
      <c r="K372" s="64" t="str">
        <f t="shared" si="189"/>
        <v/>
      </c>
      <c r="L372" s="38">
        <v>0</v>
      </c>
      <c r="M372" s="64" t="str">
        <f t="shared" si="190"/>
        <v/>
      </c>
      <c r="O372" s="63" t="str">
        <f t="shared" si="191"/>
        <v/>
      </c>
      <c r="P372" s="63" t="str">
        <f t="shared" si="192"/>
        <v/>
      </c>
      <c r="R372" s="63" t="str">
        <f t="shared" si="193"/>
        <v/>
      </c>
      <c r="S372" s="64" t="str">
        <f t="shared" si="194"/>
        <v/>
      </c>
      <c r="T372" s="38">
        <v>0</v>
      </c>
      <c r="U372" s="64" t="str">
        <f t="shared" si="195"/>
        <v/>
      </c>
      <c r="V372" s="219"/>
      <c r="W372" s="43" t="str">
        <f t="shared" si="196"/>
        <v/>
      </c>
      <c r="X372" s="43" t="str">
        <f t="shared" si="197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07"/>
        <v/>
      </c>
      <c r="AP372" s="33" t="str">
        <f t="shared" si="208"/>
        <v/>
      </c>
      <c r="AQ372" s="58" t="str">
        <f t="shared" si="209"/>
        <v/>
      </c>
      <c r="AR372" s="38">
        <f>'ANR OK vs ML7'!AR372</f>
        <v>0.1</v>
      </c>
      <c r="AS372" s="35" t="str">
        <f t="shared" si="210"/>
        <v/>
      </c>
      <c r="AT372" s="3" t="str">
        <f t="shared" si="211"/>
        <v/>
      </c>
      <c r="AU372" s="3" t="str">
        <f t="shared" si="212"/>
        <v/>
      </c>
      <c r="AW372" s="32" t="str">
        <f t="shared" si="213"/>
        <v/>
      </c>
      <c r="AX372" s="32" t="str">
        <f t="shared" si="214"/>
        <v/>
      </c>
      <c r="AY372" s="32" t="str">
        <f t="shared" si="215"/>
        <v/>
      </c>
      <c r="BA372" s="32" t="str">
        <f>IF($A373="","",F372*Summary!$Q$13)</f>
        <v/>
      </c>
    </row>
    <row r="373" spans="1:53">
      <c r="A373" s="67" t="str">
        <f t="shared" si="216"/>
        <v/>
      </c>
      <c r="B373" s="69" t="str">
        <f t="shared" si="218"/>
        <v/>
      </c>
      <c r="D373" s="69" t="str">
        <f t="shared" si="183"/>
        <v/>
      </c>
      <c r="E373" s="70" t="str">
        <f t="shared" si="184"/>
        <v/>
      </c>
      <c r="F373" s="70" t="str">
        <f t="shared" si="185"/>
        <v/>
      </c>
      <c r="G373" s="63" t="str">
        <f t="shared" si="186"/>
        <v/>
      </c>
      <c r="H373" s="64" t="str">
        <f t="shared" si="187"/>
        <v/>
      </c>
      <c r="J373" s="63" t="str">
        <f t="shared" si="188"/>
        <v/>
      </c>
      <c r="K373" s="64" t="str">
        <f t="shared" si="189"/>
        <v/>
      </c>
      <c r="L373" s="38">
        <v>0</v>
      </c>
      <c r="M373" s="64" t="str">
        <f t="shared" si="190"/>
        <v/>
      </c>
      <c r="O373" s="63" t="str">
        <f t="shared" si="191"/>
        <v/>
      </c>
      <c r="P373" s="63" t="str">
        <f t="shared" si="192"/>
        <v/>
      </c>
      <c r="R373" s="63" t="str">
        <f t="shared" si="193"/>
        <v/>
      </c>
      <c r="S373" s="64" t="str">
        <f t="shared" si="194"/>
        <v/>
      </c>
      <c r="T373" s="38">
        <v>0</v>
      </c>
      <c r="U373" s="64" t="str">
        <f t="shared" si="195"/>
        <v/>
      </c>
      <c r="V373" s="219"/>
      <c r="W373" s="43" t="str">
        <f t="shared" si="196"/>
        <v/>
      </c>
      <c r="X373" s="43" t="str">
        <f t="shared" si="197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07"/>
        <v/>
      </c>
      <c r="AP373" s="33" t="str">
        <f t="shared" si="208"/>
        <v/>
      </c>
      <c r="AQ373" s="58" t="str">
        <f t="shared" si="209"/>
        <v/>
      </c>
      <c r="AR373" s="38">
        <f>'ANR OK vs ML7'!AR373</f>
        <v>0.1</v>
      </c>
      <c r="AS373" s="35" t="str">
        <f t="shared" si="210"/>
        <v/>
      </c>
      <c r="AT373" s="3" t="str">
        <f t="shared" si="211"/>
        <v/>
      </c>
      <c r="AU373" s="3" t="str">
        <f t="shared" si="212"/>
        <v/>
      </c>
      <c r="AW373" s="32" t="str">
        <f t="shared" si="213"/>
        <v/>
      </c>
      <c r="AX373" s="32" t="str">
        <f t="shared" si="214"/>
        <v/>
      </c>
      <c r="AY373" s="32" t="str">
        <f t="shared" si="215"/>
        <v/>
      </c>
      <c r="BA373" s="32" t="str">
        <f>IF($A374="","",F373*Summary!$Q$13)</f>
        <v/>
      </c>
    </row>
    <row r="374" spans="1:53">
      <c r="A374" s="67" t="str">
        <f t="shared" si="216"/>
        <v/>
      </c>
      <c r="B374" s="69" t="str">
        <f t="shared" si="218"/>
        <v/>
      </c>
      <c r="D374" s="69" t="str">
        <f t="shared" si="183"/>
        <v/>
      </c>
      <c r="E374" s="70" t="str">
        <f t="shared" si="184"/>
        <v/>
      </c>
      <c r="F374" s="70" t="str">
        <f t="shared" si="185"/>
        <v/>
      </c>
      <c r="G374" s="63" t="str">
        <f t="shared" si="186"/>
        <v/>
      </c>
      <c r="H374" s="64" t="str">
        <f t="shared" si="187"/>
        <v/>
      </c>
      <c r="J374" s="63" t="str">
        <f t="shared" si="188"/>
        <v/>
      </c>
      <c r="K374" s="64" t="str">
        <f t="shared" si="189"/>
        <v/>
      </c>
      <c r="L374" s="38">
        <v>0</v>
      </c>
      <c r="M374" s="64" t="str">
        <f t="shared" si="190"/>
        <v/>
      </c>
      <c r="O374" s="63" t="str">
        <f t="shared" si="191"/>
        <v/>
      </c>
      <c r="P374" s="63" t="str">
        <f t="shared" si="192"/>
        <v/>
      </c>
      <c r="R374" s="63" t="str">
        <f t="shared" si="193"/>
        <v/>
      </c>
      <c r="S374" s="64" t="str">
        <f t="shared" si="194"/>
        <v/>
      </c>
      <c r="T374" s="38">
        <v>0</v>
      </c>
      <c r="U374" s="64" t="str">
        <f t="shared" si="195"/>
        <v/>
      </c>
      <c r="V374" s="219"/>
      <c r="W374" s="43" t="str">
        <f t="shared" si="196"/>
        <v/>
      </c>
      <c r="X374" s="43" t="str">
        <f t="shared" si="197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07"/>
        <v/>
      </c>
      <c r="AP374" s="33" t="str">
        <f t="shared" si="208"/>
        <v/>
      </c>
      <c r="AQ374" s="58" t="str">
        <f t="shared" si="209"/>
        <v/>
      </c>
      <c r="AR374" s="38">
        <f>'ANR OK vs ML7'!AR374</f>
        <v>0.1</v>
      </c>
      <c r="AS374" s="35" t="str">
        <f t="shared" si="210"/>
        <v/>
      </c>
      <c r="AT374" s="3" t="str">
        <f t="shared" si="211"/>
        <v/>
      </c>
      <c r="AU374" s="3" t="str">
        <f t="shared" si="212"/>
        <v/>
      </c>
      <c r="AW374" s="32" t="str">
        <f t="shared" si="213"/>
        <v/>
      </c>
      <c r="AX374" s="32" t="str">
        <f t="shared" si="214"/>
        <v/>
      </c>
      <c r="AY374" s="32" t="str">
        <f t="shared" si="215"/>
        <v/>
      </c>
      <c r="BA374" s="32" t="str">
        <f>IF($A375="","",F374*Summary!$Q$13)</f>
        <v/>
      </c>
    </row>
    <row r="375" spans="1:53">
      <c r="A375" s="67" t="str">
        <f t="shared" si="216"/>
        <v/>
      </c>
      <c r="B375" s="69" t="str">
        <f t="shared" si="218"/>
        <v/>
      </c>
      <c r="D375" s="69" t="str">
        <f t="shared" si="183"/>
        <v/>
      </c>
      <c r="E375" s="70" t="str">
        <f t="shared" si="184"/>
        <v/>
      </c>
      <c r="F375" s="70" t="str">
        <f t="shared" si="185"/>
        <v/>
      </c>
      <c r="G375" s="63" t="str">
        <f t="shared" si="186"/>
        <v/>
      </c>
      <c r="H375" s="64" t="str">
        <f t="shared" si="187"/>
        <v/>
      </c>
      <c r="J375" s="63" t="str">
        <f t="shared" si="188"/>
        <v/>
      </c>
      <c r="K375" s="64" t="str">
        <f t="shared" si="189"/>
        <v/>
      </c>
      <c r="L375" s="38">
        <v>0</v>
      </c>
      <c r="M375" s="64" t="str">
        <f t="shared" si="190"/>
        <v/>
      </c>
      <c r="O375" s="63" t="str">
        <f t="shared" si="191"/>
        <v/>
      </c>
      <c r="P375" s="63" t="str">
        <f t="shared" si="192"/>
        <v/>
      </c>
      <c r="R375" s="63" t="str">
        <f t="shared" si="193"/>
        <v/>
      </c>
      <c r="S375" s="64" t="str">
        <f t="shared" si="194"/>
        <v/>
      </c>
      <c r="T375" s="38">
        <v>0</v>
      </c>
      <c r="U375" s="64" t="str">
        <f t="shared" si="195"/>
        <v/>
      </c>
      <c r="V375" s="219"/>
      <c r="W375" s="43" t="str">
        <f t="shared" si="196"/>
        <v/>
      </c>
      <c r="X375" s="43" t="str">
        <f t="shared" si="197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07"/>
        <v/>
      </c>
      <c r="AP375" s="33" t="str">
        <f t="shared" si="208"/>
        <v/>
      </c>
      <c r="AQ375" s="58" t="str">
        <f t="shared" si="209"/>
        <v/>
      </c>
      <c r="AR375" s="38">
        <f>'ANR OK vs ML7'!AR375</f>
        <v>0.1</v>
      </c>
      <c r="AS375" s="35" t="str">
        <f t="shared" si="210"/>
        <v/>
      </c>
      <c r="AT375" s="3" t="str">
        <f t="shared" si="211"/>
        <v/>
      </c>
      <c r="AU375" s="3" t="str">
        <f t="shared" si="212"/>
        <v/>
      </c>
      <c r="AW375" s="32" t="str">
        <f t="shared" si="213"/>
        <v/>
      </c>
      <c r="AX375" s="32" t="str">
        <f t="shared" si="214"/>
        <v/>
      </c>
      <c r="AY375" s="32" t="str">
        <f t="shared" si="215"/>
        <v/>
      </c>
      <c r="BA375" s="32" t="str">
        <f>IF($A376="","",F375*Summary!$Q$13)</f>
        <v/>
      </c>
    </row>
    <row r="376" spans="1:53">
      <c r="A376" s="67" t="str">
        <f t="shared" si="216"/>
        <v/>
      </c>
      <c r="B376" s="69" t="str">
        <f t="shared" si="218"/>
        <v/>
      </c>
      <c r="D376" s="69" t="str">
        <f t="shared" si="183"/>
        <v/>
      </c>
      <c r="E376" s="70" t="str">
        <f t="shared" si="184"/>
        <v/>
      </c>
      <c r="F376" s="70" t="str">
        <f t="shared" si="185"/>
        <v/>
      </c>
      <c r="G376" s="63" t="str">
        <f t="shared" si="186"/>
        <v/>
      </c>
      <c r="H376" s="64" t="str">
        <f t="shared" si="187"/>
        <v/>
      </c>
      <c r="J376" s="63" t="str">
        <f t="shared" si="188"/>
        <v/>
      </c>
      <c r="K376" s="64" t="str">
        <f t="shared" si="189"/>
        <v/>
      </c>
      <c r="L376" s="38">
        <v>0</v>
      </c>
      <c r="M376" s="64" t="str">
        <f t="shared" si="190"/>
        <v/>
      </c>
      <c r="O376" s="63" t="str">
        <f t="shared" si="191"/>
        <v/>
      </c>
      <c r="P376" s="63" t="str">
        <f t="shared" si="192"/>
        <v/>
      </c>
      <c r="R376" s="63" t="str">
        <f t="shared" si="193"/>
        <v/>
      </c>
      <c r="S376" s="64" t="str">
        <f t="shared" si="194"/>
        <v/>
      </c>
      <c r="T376" s="38">
        <v>0</v>
      </c>
      <c r="U376" s="64" t="str">
        <f t="shared" si="195"/>
        <v/>
      </c>
      <c r="V376" s="219"/>
      <c r="W376" s="43" t="str">
        <f t="shared" si="196"/>
        <v/>
      </c>
      <c r="X376" s="43" t="str">
        <f t="shared" si="197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07"/>
        <v/>
      </c>
      <c r="AP376" s="33" t="str">
        <f t="shared" si="208"/>
        <v/>
      </c>
      <c r="AQ376" s="58" t="str">
        <f t="shared" si="209"/>
        <v/>
      </c>
      <c r="AR376" s="38">
        <f>'ANR OK vs ML7'!AR376</f>
        <v>0.1</v>
      </c>
      <c r="AS376" s="35" t="str">
        <f t="shared" si="210"/>
        <v/>
      </c>
      <c r="AT376" s="3" t="str">
        <f t="shared" si="211"/>
        <v/>
      </c>
      <c r="AU376" s="3" t="str">
        <f t="shared" si="212"/>
        <v/>
      </c>
      <c r="AW376" s="32" t="str">
        <f t="shared" si="213"/>
        <v/>
      </c>
      <c r="AX376" s="32" t="str">
        <f t="shared" si="214"/>
        <v/>
      </c>
      <c r="AY376" s="32" t="str">
        <f t="shared" si="215"/>
        <v/>
      </c>
      <c r="BA376" s="32" t="str">
        <f>IF($A377="","",F376*Summary!$Q$13)</f>
        <v/>
      </c>
    </row>
    <row r="377" spans="1:53">
      <c r="A377" s="67" t="str">
        <f t="shared" si="216"/>
        <v/>
      </c>
      <c r="B377" s="69" t="str">
        <f t="shared" si="218"/>
        <v/>
      </c>
      <c r="D377" s="69" t="str">
        <f t="shared" si="183"/>
        <v/>
      </c>
      <c r="E377" s="70" t="str">
        <f t="shared" si="184"/>
        <v/>
      </c>
      <c r="F377" s="70" t="str">
        <f t="shared" si="185"/>
        <v/>
      </c>
      <c r="G377" s="63" t="str">
        <f t="shared" si="186"/>
        <v/>
      </c>
      <c r="H377" s="64" t="str">
        <f t="shared" si="187"/>
        <v/>
      </c>
      <c r="J377" s="63" t="str">
        <f t="shared" si="188"/>
        <v/>
      </c>
      <c r="K377" s="64" t="str">
        <f t="shared" si="189"/>
        <v/>
      </c>
      <c r="L377" s="38">
        <v>0</v>
      </c>
      <c r="M377" s="64" t="str">
        <f t="shared" si="190"/>
        <v/>
      </c>
      <c r="O377" s="63" t="str">
        <f t="shared" si="191"/>
        <v/>
      </c>
      <c r="P377" s="63" t="str">
        <f t="shared" si="192"/>
        <v/>
      </c>
      <c r="R377" s="63" t="str">
        <f t="shared" si="193"/>
        <v/>
      </c>
      <c r="S377" s="64" t="str">
        <f t="shared" si="194"/>
        <v/>
      </c>
      <c r="T377" s="38">
        <v>0</v>
      </c>
      <c r="U377" s="64" t="str">
        <f t="shared" si="195"/>
        <v/>
      </c>
      <c r="V377" s="219"/>
      <c r="W377" s="43" t="str">
        <f t="shared" si="196"/>
        <v/>
      </c>
      <c r="X377" s="43" t="str">
        <f t="shared" si="197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07"/>
        <v/>
      </c>
      <c r="AP377" s="33" t="str">
        <f t="shared" si="208"/>
        <v/>
      </c>
      <c r="AQ377" s="58" t="str">
        <f t="shared" si="209"/>
        <v/>
      </c>
      <c r="AR377" s="38">
        <f>'ANR OK vs ML7'!AR377</f>
        <v>0.1</v>
      </c>
      <c r="AS377" s="35" t="str">
        <f t="shared" si="210"/>
        <v/>
      </c>
      <c r="AT377" s="3" t="str">
        <f t="shared" si="211"/>
        <v/>
      </c>
      <c r="AU377" s="3" t="str">
        <f t="shared" si="212"/>
        <v/>
      </c>
      <c r="AW377" s="32" t="str">
        <f t="shared" si="213"/>
        <v/>
      </c>
      <c r="AX377" s="32" t="str">
        <f t="shared" si="214"/>
        <v/>
      </c>
      <c r="AY377" s="32" t="str">
        <f t="shared" si="215"/>
        <v/>
      </c>
      <c r="BA377" s="32" t="str">
        <f>IF($A378="","",F377*Summary!$Q$13)</f>
        <v/>
      </c>
    </row>
    <row r="378" spans="1:53">
      <c r="A378" s="67" t="str">
        <f t="shared" si="216"/>
        <v/>
      </c>
      <c r="B378" s="69" t="str">
        <f t="shared" si="218"/>
        <v/>
      </c>
      <c r="D378" s="69" t="str">
        <f t="shared" si="183"/>
        <v/>
      </c>
      <c r="E378" s="70" t="str">
        <f t="shared" si="184"/>
        <v/>
      </c>
      <c r="F378" s="70" t="str">
        <f t="shared" si="185"/>
        <v/>
      </c>
      <c r="G378" s="63" t="str">
        <f t="shared" si="186"/>
        <v/>
      </c>
      <c r="H378" s="64" t="str">
        <f t="shared" si="187"/>
        <v/>
      </c>
      <c r="J378" s="63" t="str">
        <f t="shared" si="188"/>
        <v/>
      </c>
      <c r="K378" s="64" t="str">
        <f t="shared" si="189"/>
        <v/>
      </c>
      <c r="L378" s="38">
        <v>0</v>
      </c>
      <c r="M378" s="64" t="str">
        <f t="shared" si="190"/>
        <v/>
      </c>
      <c r="O378" s="63" t="str">
        <f t="shared" si="191"/>
        <v/>
      </c>
      <c r="P378" s="63" t="str">
        <f t="shared" si="192"/>
        <v/>
      </c>
      <c r="R378" s="63" t="str">
        <f t="shared" si="193"/>
        <v/>
      </c>
      <c r="S378" s="64" t="str">
        <f t="shared" si="194"/>
        <v/>
      </c>
      <c r="T378" s="38">
        <v>0</v>
      </c>
      <c r="U378" s="64" t="str">
        <f t="shared" si="195"/>
        <v/>
      </c>
      <c r="V378" s="219"/>
      <c r="W378" s="43" t="str">
        <f t="shared" si="196"/>
        <v/>
      </c>
      <c r="X378" s="43" t="str">
        <f t="shared" si="197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07"/>
        <v/>
      </c>
      <c r="AP378" s="33" t="str">
        <f t="shared" si="208"/>
        <v/>
      </c>
      <c r="AQ378" s="58" t="str">
        <f t="shared" si="209"/>
        <v/>
      </c>
      <c r="AR378" s="38">
        <f>'ANR OK vs ML7'!AR378</f>
        <v>0.1</v>
      </c>
      <c r="AS378" s="35" t="str">
        <f t="shared" si="210"/>
        <v/>
      </c>
      <c r="AT378" s="3" t="str">
        <f t="shared" si="211"/>
        <v/>
      </c>
      <c r="AU378" s="3" t="str">
        <f t="shared" si="212"/>
        <v/>
      </c>
      <c r="AW378" s="32" t="str">
        <f t="shared" si="213"/>
        <v/>
      </c>
      <c r="AX378" s="32" t="str">
        <f t="shared" si="214"/>
        <v/>
      </c>
      <c r="AY378" s="32" t="str">
        <f t="shared" si="215"/>
        <v/>
      </c>
      <c r="BA378" s="32" t="str">
        <f>IF($A379="","",F378*Summary!$Q$13)</f>
        <v/>
      </c>
    </row>
    <row r="379" spans="1:53">
      <c r="A379" s="67" t="str">
        <f t="shared" si="216"/>
        <v/>
      </c>
      <c r="B379" s="69" t="str">
        <f t="shared" si="218"/>
        <v/>
      </c>
      <c r="D379" s="69" t="str">
        <f t="shared" si="183"/>
        <v/>
      </c>
      <c r="E379" s="70" t="str">
        <f t="shared" si="184"/>
        <v/>
      </c>
      <c r="F379" s="70" t="str">
        <f t="shared" si="185"/>
        <v/>
      </c>
      <c r="G379" s="63" t="str">
        <f t="shared" si="186"/>
        <v/>
      </c>
      <c r="H379" s="64" t="str">
        <f t="shared" si="187"/>
        <v/>
      </c>
      <c r="J379" s="63" t="str">
        <f t="shared" si="188"/>
        <v/>
      </c>
      <c r="K379" s="64" t="str">
        <f t="shared" si="189"/>
        <v/>
      </c>
      <c r="L379" s="38">
        <v>0</v>
      </c>
      <c r="M379" s="64" t="str">
        <f t="shared" si="190"/>
        <v/>
      </c>
      <c r="O379" s="63" t="str">
        <f t="shared" si="191"/>
        <v/>
      </c>
      <c r="P379" s="63" t="str">
        <f t="shared" si="192"/>
        <v/>
      </c>
      <c r="R379" s="63" t="str">
        <f t="shared" si="193"/>
        <v/>
      </c>
      <c r="S379" s="64" t="str">
        <f t="shared" si="194"/>
        <v/>
      </c>
      <c r="T379" s="38">
        <v>0</v>
      </c>
      <c r="U379" s="64" t="str">
        <f t="shared" si="195"/>
        <v/>
      </c>
      <c r="V379" s="219"/>
      <c r="W379" s="43" t="str">
        <f t="shared" si="196"/>
        <v/>
      </c>
      <c r="X379" s="43" t="str">
        <f t="shared" si="197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07"/>
        <v/>
      </c>
      <c r="AP379" s="33" t="str">
        <f t="shared" si="208"/>
        <v/>
      </c>
      <c r="AQ379" s="58" t="str">
        <f t="shared" si="209"/>
        <v/>
      </c>
      <c r="AR379" s="38">
        <f>'ANR OK vs ML7'!AR379</f>
        <v>0.1</v>
      </c>
      <c r="AS379" s="35" t="str">
        <f t="shared" si="210"/>
        <v/>
      </c>
      <c r="AT379" s="3" t="str">
        <f t="shared" si="211"/>
        <v/>
      </c>
      <c r="AU379" s="3" t="str">
        <f t="shared" si="212"/>
        <v/>
      </c>
      <c r="AW379" s="32" t="str">
        <f t="shared" si="213"/>
        <v/>
      </c>
      <c r="AX379" s="32" t="str">
        <f t="shared" si="214"/>
        <v/>
      </c>
      <c r="AY379" s="32" t="str">
        <f t="shared" si="215"/>
        <v/>
      </c>
      <c r="BA379" s="32" t="str">
        <f>IF($A380="","",F379*Summary!$Q$13)</f>
        <v/>
      </c>
    </row>
    <row r="380" spans="1:53">
      <c r="A380" s="67" t="str">
        <f t="shared" si="216"/>
        <v/>
      </c>
      <c r="B380" s="69" t="str">
        <f t="shared" si="218"/>
        <v/>
      </c>
      <c r="D380" s="69" t="str">
        <f t="shared" si="183"/>
        <v/>
      </c>
      <c r="E380" s="70" t="str">
        <f t="shared" si="184"/>
        <v/>
      </c>
      <c r="F380" s="70" t="str">
        <f t="shared" si="185"/>
        <v/>
      </c>
      <c r="G380" s="63" t="str">
        <f t="shared" si="186"/>
        <v/>
      </c>
      <c r="H380" s="64" t="str">
        <f t="shared" si="187"/>
        <v/>
      </c>
      <c r="J380" s="63" t="str">
        <f t="shared" si="188"/>
        <v/>
      </c>
      <c r="K380" s="64" t="str">
        <f t="shared" si="189"/>
        <v/>
      </c>
      <c r="L380" s="38">
        <v>0</v>
      </c>
      <c r="M380" s="64" t="str">
        <f t="shared" si="190"/>
        <v/>
      </c>
      <c r="O380" s="63" t="str">
        <f t="shared" si="191"/>
        <v/>
      </c>
      <c r="P380" s="63" t="str">
        <f t="shared" si="192"/>
        <v/>
      </c>
      <c r="R380" s="63" t="str">
        <f t="shared" si="193"/>
        <v/>
      </c>
      <c r="S380" s="64" t="str">
        <f t="shared" si="194"/>
        <v/>
      </c>
      <c r="T380" s="38">
        <v>0</v>
      </c>
      <c r="U380" s="64" t="str">
        <f t="shared" si="195"/>
        <v/>
      </c>
      <c r="V380" s="219"/>
      <c r="W380" s="43" t="str">
        <f t="shared" si="196"/>
        <v/>
      </c>
      <c r="X380" s="43" t="str">
        <f t="shared" si="197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07"/>
        <v/>
      </c>
      <c r="AP380" s="33" t="str">
        <f t="shared" si="208"/>
        <v/>
      </c>
      <c r="AQ380" s="58" t="str">
        <f t="shared" si="209"/>
        <v/>
      </c>
      <c r="AR380" s="38">
        <f>'ANR OK vs ML7'!AR380</f>
        <v>0.1</v>
      </c>
      <c r="AS380" s="35" t="str">
        <f t="shared" si="210"/>
        <v/>
      </c>
      <c r="AT380" s="3" t="str">
        <f t="shared" si="211"/>
        <v/>
      </c>
      <c r="AU380" s="3" t="str">
        <f t="shared" si="212"/>
        <v/>
      </c>
      <c r="AW380" s="32" t="str">
        <f t="shared" si="213"/>
        <v/>
      </c>
      <c r="AX380" s="32" t="str">
        <f t="shared" si="214"/>
        <v/>
      </c>
      <c r="AY380" s="32" t="str">
        <f t="shared" si="215"/>
        <v/>
      </c>
      <c r="BA380" s="32" t="str">
        <f>IF($A381="","",F380*Summary!$Q$13)</f>
        <v/>
      </c>
    </row>
    <row r="381" spans="1:53">
      <c r="A381" s="67" t="str">
        <f t="shared" si="216"/>
        <v/>
      </c>
      <c r="B381" s="69" t="str">
        <f t="shared" si="218"/>
        <v/>
      </c>
      <c r="D381" s="69" t="str">
        <f t="shared" si="183"/>
        <v/>
      </c>
      <c r="E381" s="70" t="str">
        <f t="shared" si="184"/>
        <v/>
      </c>
      <c r="F381" s="70" t="str">
        <f t="shared" si="185"/>
        <v/>
      </c>
      <c r="G381" s="63" t="str">
        <f t="shared" si="186"/>
        <v/>
      </c>
      <c r="H381" s="64" t="str">
        <f t="shared" si="187"/>
        <v/>
      </c>
      <c r="J381" s="63" t="str">
        <f t="shared" si="188"/>
        <v/>
      </c>
      <c r="K381" s="64" t="str">
        <f t="shared" si="189"/>
        <v/>
      </c>
      <c r="L381" s="38">
        <v>0</v>
      </c>
      <c r="M381" s="64" t="str">
        <f t="shared" si="190"/>
        <v/>
      </c>
      <c r="O381" s="63" t="str">
        <f t="shared" si="191"/>
        <v/>
      </c>
      <c r="P381" s="63" t="str">
        <f t="shared" si="192"/>
        <v/>
      </c>
      <c r="R381" s="63" t="str">
        <f t="shared" si="193"/>
        <v/>
      </c>
      <c r="S381" s="64" t="str">
        <f t="shared" si="194"/>
        <v/>
      </c>
      <c r="T381" s="38">
        <v>0</v>
      </c>
      <c r="U381" s="64" t="str">
        <f t="shared" si="195"/>
        <v/>
      </c>
      <c r="V381" s="219"/>
      <c r="W381" s="43" t="str">
        <f t="shared" si="196"/>
        <v/>
      </c>
      <c r="X381" s="43" t="str">
        <f t="shared" si="197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07"/>
        <v/>
      </c>
      <c r="AP381" s="33" t="str">
        <f t="shared" si="208"/>
        <v/>
      </c>
      <c r="AQ381" s="58" t="str">
        <f t="shared" si="209"/>
        <v/>
      </c>
      <c r="AR381" s="38">
        <f>'ANR OK vs ML7'!AR381</f>
        <v>0.1</v>
      </c>
      <c r="AS381" s="35" t="str">
        <f t="shared" si="210"/>
        <v/>
      </c>
      <c r="AT381" s="3" t="str">
        <f t="shared" si="211"/>
        <v/>
      </c>
      <c r="AU381" s="3" t="str">
        <f t="shared" si="212"/>
        <v/>
      </c>
      <c r="AW381" s="32" t="str">
        <f t="shared" si="213"/>
        <v/>
      </c>
      <c r="AX381" s="32" t="str">
        <f t="shared" si="214"/>
        <v/>
      </c>
      <c r="AY381" s="32" t="str">
        <f t="shared" si="215"/>
        <v/>
      </c>
      <c r="BA381" s="32" t="str">
        <f>IF($A382="","",F381*Summary!$Q$13)</f>
        <v/>
      </c>
    </row>
    <row r="382" spans="1:53">
      <c r="A382" s="67" t="str">
        <f t="shared" si="216"/>
        <v/>
      </c>
      <c r="B382" s="69" t="str">
        <f t="shared" si="218"/>
        <v/>
      </c>
      <c r="D382" s="69" t="str">
        <f t="shared" si="183"/>
        <v/>
      </c>
      <c r="E382" s="70" t="str">
        <f t="shared" si="184"/>
        <v/>
      </c>
      <c r="F382" s="70" t="str">
        <f t="shared" si="185"/>
        <v/>
      </c>
      <c r="G382" s="63" t="str">
        <f t="shared" si="186"/>
        <v/>
      </c>
      <c r="H382" s="64" t="str">
        <f t="shared" si="187"/>
        <v/>
      </c>
      <c r="J382" s="63" t="str">
        <f t="shared" si="188"/>
        <v/>
      </c>
      <c r="K382" s="64" t="str">
        <f t="shared" si="189"/>
        <v/>
      </c>
      <c r="L382" s="38">
        <v>0</v>
      </c>
      <c r="M382" s="64" t="str">
        <f t="shared" si="190"/>
        <v/>
      </c>
      <c r="O382" s="63" t="str">
        <f t="shared" si="191"/>
        <v/>
      </c>
      <c r="P382" s="63" t="str">
        <f t="shared" si="192"/>
        <v/>
      </c>
      <c r="R382" s="63" t="str">
        <f t="shared" si="193"/>
        <v/>
      </c>
      <c r="S382" s="64" t="str">
        <f t="shared" si="194"/>
        <v/>
      </c>
      <c r="T382" s="38">
        <v>0</v>
      </c>
      <c r="U382" s="64" t="str">
        <f t="shared" si="195"/>
        <v/>
      </c>
      <c r="V382" s="219"/>
      <c r="W382" s="43" t="str">
        <f t="shared" si="196"/>
        <v/>
      </c>
      <c r="X382" s="43" t="str">
        <f t="shared" si="197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07"/>
        <v/>
      </c>
      <c r="AP382" s="33" t="str">
        <f t="shared" si="208"/>
        <v/>
      </c>
      <c r="AQ382" s="58" t="str">
        <f t="shared" si="209"/>
        <v/>
      </c>
      <c r="AR382" s="38">
        <f>'ANR OK vs ML7'!AR382</f>
        <v>0.1</v>
      </c>
      <c r="AS382" s="35" t="str">
        <f t="shared" si="210"/>
        <v/>
      </c>
      <c r="AT382" s="3" t="str">
        <f t="shared" si="211"/>
        <v/>
      </c>
      <c r="AU382" s="3" t="str">
        <f t="shared" si="212"/>
        <v/>
      </c>
      <c r="AW382" s="32" t="str">
        <f t="shared" si="213"/>
        <v/>
      </c>
      <c r="AX382" s="32" t="str">
        <f t="shared" si="214"/>
        <v/>
      </c>
      <c r="AY382" s="32" t="str">
        <f t="shared" si="215"/>
        <v/>
      </c>
      <c r="BA382" s="32" t="str">
        <f>IF($A383="","",F382*Summary!$Q$13)</f>
        <v/>
      </c>
    </row>
    <row r="383" spans="1:53">
      <c r="A383" s="67" t="str">
        <f t="shared" si="216"/>
        <v/>
      </c>
      <c r="B383" s="69" t="str">
        <f t="shared" si="218"/>
        <v/>
      </c>
      <c r="D383" s="69" t="str">
        <f t="shared" si="183"/>
        <v/>
      </c>
      <c r="E383" s="70" t="str">
        <f t="shared" si="184"/>
        <v/>
      </c>
      <c r="F383" s="70" t="str">
        <f t="shared" si="185"/>
        <v/>
      </c>
      <c r="G383" s="63" t="str">
        <f t="shared" si="186"/>
        <v/>
      </c>
      <c r="H383" s="64" t="str">
        <f t="shared" si="187"/>
        <v/>
      </c>
      <c r="J383" s="63" t="str">
        <f t="shared" si="188"/>
        <v/>
      </c>
      <c r="K383" s="64" t="str">
        <f t="shared" si="189"/>
        <v/>
      </c>
      <c r="L383" s="38">
        <v>0</v>
      </c>
      <c r="M383" s="64" t="str">
        <f t="shared" si="190"/>
        <v/>
      </c>
      <c r="O383" s="63" t="str">
        <f t="shared" si="191"/>
        <v/>
      </c>
      <c r="P383" s="63" t="str">
        <f t="shared" si="192"/>
        <v/>
      </c>
      <c r="R383" s="63" t="str">
        <f t="shared" si="193"/>
        <v/>
      </c>
      <c r="S383" s="64" t="str">
        <f t="shared" si="194"/>
        <v/>
      </c>
      <c r="T383" s="38">
        <v>0</v>
      </c>
      <c r="U383" s="64" t="str">
        <f t="shared" si="195"/>
        <v/>
      </c>
      <c r="V383" s="219"/>
      <c r="W383" s="43" t="str">
        <f t="shared" si="196"/>
        <v/>
      </c>
      <c r="X383" s="43" t="str">
        <f t="shared" si="197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07"/>
        <v/>
      </c>
      <c r="AP383" s="33" t="str">
        <f t="shared" si="208"/>
        <v/>
      </c>
      <c r="AQ383" s="58" t="str">
        <f t="shared" si="209"/>
        <v/>
      </c>
      <c r="AR383" s="38">
        <f>'ANR OK vs ML7'!AR383</f>
        <v>0.1</v>
      </c>
      <c r="AS383" s="35" t="str">
        <f t="shared" si="210"/>
        <v/>
      </c>
      <c r="AT383" s="3" t="str">
        <f t="shared" si="211"/>
        <v/>
      </c>
      <c r="AU383" s="3" t="str">
        <f t="shared" si="212"/>
        <v/>
      </c>
      <c r="AW383" s="32" t="str">
        <f t="shared" si="213"/>
        <v/>
      </c>
      <c r="AX383" s="32" t="str">
        <f t="shared" si="214"/>
        <v/>
      </c>
      <c r="AY383" s="32" t="str">
        <f t="shared" si="215"/>
        <v/>
      </c>
      <c r="BA383" s="32" t="str">
        <f>IF($A384="","",F383*Summary!$Q$13)</f>
        <v/>
      </c>
    </row>
    <row r="384" spans="1:53">
      <c r="A384" s="67" t="str">
        <f t="shared" si="216"/>
        <v/>
      </c>
      <c r="B384" s="69" t="str">
        <f t="shared" si="218"/>
        <v/>
      </c>
      <c r="D384" s="69" t="str">
        <f t="shared" si="183"/>
        <v/>
      </c>
      <c r="E384" s="70" t="str">
        <f t="shared" si="184"/>
        <v/>
      </c>
      <c r="F384" s="70" t="str">
        <f t="shared" si="185"/>
        <v/>
      </c>
      <c r="G384" s="63" t="str">
        <f t="shared" si="186"/>
        <v/>
      </c>
      <c r="H384" s="64" t="str">
        <f t="shared" si="187"/>
        <v/>
      </c>
      <c r="J384" s="63" t="str">
        <f t="shared" si="188"/>
        <v/>
      </c>
      <c r="K384" s="64" t="str">
        <f t="shared" si="189"/>
        <v/>
      </c>
      <c r="L384" s="38">
        <v>0</v>
      </c>
      <c r="M384" s="64" t="str">
        <f t="shared" si="190"/>
        <v/>
      </c>
      <c r="O384" s="63" t="str">
        <f t="shared" si="191"/>
        <v/>
      </c>
      <c r="P384" s="63" t="str">
        <f t="shared" si="192"/>
        <v/>
      </c>
      <c r="R384" s="63" t="str">
        <f t="shared" si="193"/>
        <v/>
      </c>
      <c r="S384" s="64" t="str">
        <f t="shared" si="194"/>
        <v/>
      </c>
      <c r="T384" s="38">
        <v>0</v>
      </c>
      <c r="U384" s="64" t="str">
        <f t="shared" si="195"/>
        <v/>
      </c>
      <c r="V384" s="219"/>
      <c r="W384" s="43" t="str">
        <f t="shared" si="196"/>
        <v/>
      </c>
      <c r="X384" s="43" t="str">
        <f t="shared" si="197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07"/>
        <v/>
      </c>
      <c r="AP384" s="33" t="str">
        <f t="shared" si="208"/>
        <v/>
      </c>
      <c r="AQ384" s="58" t="str">
        <f t="shared" si="209"/>
        <v/>
      </c>
      <c r="AR384" s="38">
        <f>'ANR OK vs ML7'!AR384</f>
        <v>0.1</v>
      </c>
      <c r="AS384" s="35" t="str">
        <f t="shared" si="210"/>
        <v/>
      </c>
      <c r="AT384" s="3" t="str">
        <f t="shared" si="211"/>
        <v/>
      </c>
      <c r="AU384" s="3" t="str">
        <f t="shared" si="212"/>
        <v/>
      </c>
      <c r="AW384" s="32" t="str">
        <f t="shared" si="213"/>
        <v/>
      </c>
      <c r="AX384" s="32" t="str">
        <f t="shared" si="214"/>
        <v/>
      </c>
      <c r="AY384" s="32" t="str">
        <f t="shared" si="215"/>
        <v/>
      </c>
      <c r="BA384" s="32" t="str">
        <f>IF($A385="","",F384*Summary!$Q$13)</f>
        <v/>
      </c>
    </row>
    <row r="385" spans="1:53">
      <c r="A385" s="67" t="str">
        <f t="shared" si="216"/>
        <v/>
      </c>
      <c r="B385" s="69" t="str">
        <f t="shared" si="218"/>
        <v/>
      </c>
      <c r="D385" s="69" t="str">
        <f t="shared" si="183"/>
        <v/>
      </c>
      <c r="E385" s="70" t="str">
        <f t="shared" si="184"/>
        <v/>
      </c>
      <c r="F385" s="70" t="str">
        <f t="shared" si="185"/>
        <v/>
      </c>
      <c r="G385" s="63" t="str">
        <f t="shared" si="186"/>
        <v/>
      </c>
      <c r="H385" s="64" t="str">
        <f t="shared" si="187"/>
        <v/>
      </c>
      <c r="J385" s="63" t="str">
        <f t="shared" si="188"/>
        <v/>
      </c>
      <c r="K385" s="64" t="str">
        <f t="shared" si="189"/>
        <v/>
      </c>
      <c r="L385" s="38">
        <v>0</v>
      </c>
      <c r="M385" s="64" t="str">
        <f t="shared" si="190"/>
        <v/>
      </c>
      <c r="O385" s="63" t="str">
        <f t="shared" si="191"/>
        <v/>
      </c>
      <c r="P385" s="63" t="str">
        <f t="shared" si="192"/>
        <v/>
      </c>
      <c r="R385" s="63" t="str">
        <f t="shared" si="193"/>
        <v/>
      </c>
      <c r="S385" s="64" t="str">
        <f t="shared" si="194"/>
        <v/>
      </c>
      <c r="T385" s="38">
        <v>0</v>
      </c>
      <c r="U385" s="64" t="str">
        <f t="shared" si="195"/>
        <v/>
      </c>
      <c r="V385" s="219"/>
      <c r="W385" s="43" t="str">
        <f t="shared" si="196"/>
        <v/>
      </c>
      <c r="X385" s="43" t="str">
        <f t="shared" si="197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07"/>
        <v/>
      </c>
      <c r="AP385" s="33" t="str">
        <f t="shared" si="208"/>
        <v/>
      </c>
      <c r="AQ385" s="58" t="str">
        <f t="shared" si="209"/>
        <v/>
      </c>
      <c r="AR385" s="38">
        <f>'ANR OK vs ML7'!AR385</f>
        <v>0.1</v>
      </c>
      <c r="AS385" s="35" t="str">
        <f t="shared" si="210"/>
        <v/>
      </c>
      <c r="AT385" s="3" t="str">
        <f t="shared" si="211"/>
        <v/>
      </c>
      <c r="AU385" s="3" t="str">
        <f t="shared" si="212"/>
        <v/>
      </c>
      <c r="AW385" s="32" t="str">
        <f t="shared" si="213"/>
        <v/>
      </c>
      <c r="AX385" s="32" t="str">
        <f t="shared" si="214"/>
        <v/>
      </c>
      <c r="AY385" s="32" t="str">
        <f t="shared" si="215"/>
        <v/>
      </c>
      <c r="BA385" s="32" t="str">
        <f>IF($A386="","",F385*Summary!$Q$13)</f>
        <v/>
      </c>
    </row>
    <row r="386" spans="1:53">
      <c r="A386" s="67" t="str">
        <f t="shared" si="216"/>
        <v/>
      </c>
      <c r="B386" s="69" t="str">
        <f t="shared" si="218"/>
        <v/>
      </c>
      <c r="D386" s="69" t="str">
        <f t="shared" si="183"/>
        <v/>
      </c>
      <c r="E386" s="70" t="str">
        <f t="shared" si="184"/>
        <v/>
      </c>
      <c r="F386" s="70" t="str">
        <f t="shared" si="185"/>
        <v/>
      </c>
      <c r="G386" s="63" t="str">
        <f t="shared" si="186"/>
        <v/>
      </c>
      <c r="H386" s="64" t="str">
        <f t="shared" si="187"/>
        <v/>
      </c>
      <c r="J386" s="63" t="str">
        <f t="shared" si="188"/>
        <v/>
      </c>
      <c r="K386" s="64" t="str">
        <f t="shared" si="189"/>
        <v/>
      </c>
      <c r="L386" s="38">
        <v>0</v>
      </c>
      <c r="M386" s="64" t="str">
        <f t="shared" si="190"/>
        <v/>
      </c>
      <c r="O386" s="63" t="str">
        <f t="shared" si="191"/>
        <v/>
      </c>
      <c r="P386" s="63" t="str">
        <f t="shared" si="192"/>
        <v/>
      </c>
      <c r="R386" s="63" t="str">
        <f t="shared" si="193"/>
        <v/>
      </c>
      <c r="S386" s="64" t="str">
        <f t="shared" si="194"/>
        <v/>
      </c>
      <c r="T386" s="38">
        <v>0</v>
      </c>
      <c r="U386" s="64" t="str">
        <f t="shared" si="195"/>
        <v/>
      </c>
      <c r="V386" s="219"/>
      <c r="W386" s="43" t="str">
        <f t="shared" si="196"/>
        <v/>
      </c>
      <c r="X386" s="43" t="str">
        <f t="shared" si="197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07"/>
        <v/>
      </c>
      <c r="AP386" s="33" t="str">
        <f t="shared" si="208"/>
        <v/>
      </c>
      <c r="AQ386" s="58" t="str">
        <f t="shared" si="209"/>
        <v/>
      </c>
      <c r="AR386" s="38">
        <f>'ANR OK vs ML7'!AR386</f>
        <v>0.1</v>
      </c>
      <c r="AS386" s="35" t="str">
        <f t="shared" si="210"/>
        <v/>
      </c>
      <c r="AT386" s="3" t="str">
        <f t="shared" si="211"/>
        <v/>
      </c>
      <c r="AU386" s="3" t="str">
        <f t="shared" si="212"/>
        <v/>
      </c>
      <c r="AW386" s="32" t="str">
        <f t="shared" si="213"/>
        <v/>
      </c>
      <c r="AX386" s="32" t="str">
        <f t="shared" si="214"/>
        <v/>
      </c>
      <c r="AY386" s="32" t="str">
        <f t="shared" si="215"/>
        <v/>
      </c>
      <c r="BA386" s="32" t="str">
        <f>IF($A387="","",F386*Summary!$Q$13)</f>
        <v/>
      </c>
    </row>
    <row r="387" spans="1:53">
      <c r="A387" s="67" t="str">
        <f t="shared" si="216"/>
        <v/>
      </c>
      <c r="B387" s="69" t="str">
        <f t="shared" si="218"/>
        <v/>
      </c>
      <c r="D387" s="69" t="str">
        <f t="shared" si="183"/>
        <v/>
      </c>
      <c r="E387" s="70" t="str">
        <f t="shared" si="184"/>
        <v/>
      </c>
      <c r="F387" s="70" t="str">
        <f t="shared" si="185"/>
        <v/>
      </c>
      <c r="G387" s="63" t="str">
        <f t="shared" si="186"/>
        <v/>
      </c>
      <c r="H387" s="64" t="str">
        <f t="shared" si="187"/>
        <v/>
      </c>
      <c r="J387" s="63" t="str">
        <f t="shared" si="188"/>
        <v/>
      </c>
      <c r="K387" s="64" t="str">
        <f t="shared" si="189"/>
        <v/>
      </c>
      <c r="L387" s="38">
        <v>0</v>
      </c>
      <c r="M387" s="64" t="str">
        <f t="shared" si="190"/>
        <v/>
      </c>
      <c r="O387" s="63" t="str">
        <f t="shared" si="191"/>
        <v/>
      </c>
      <c r="P387" s="63" t="str">
        <f t="shared" si="192"/>
        <v/>
      </c>
      <c r="R387" s="63" t="str">
        <f t="shared" si="193"/>
        <v/>
      </c>
      <c r="S387" s="64" t="str">
        <f t="shared" si="194"/>
        <v/>
      </c>
      <c r="T387" s="38">
        <v>0</v>
      </c>
      <c r="U387" s="64" t="str">
        <f t="shared" si="195"/>
        <v/>
      </c>
      <c r="V387" s="219"/>
      <c r="W387" s="43" t="str">
        <f t="shared" si="196"/>
        <v/>
      </c>
      <c r="X387" s="43" t="str">
        <f t="shared" si="197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07"/>
        <v/>
      </c>
      <c r="AP387" s="33" t="str">
        <f t="shared" si="208"/>
        <v/>
      </c>
      <c r="AQ387" s="58" t="str">
        <f t="shared" si="209"/>
        <v/>
      </c>
      <c r="AR387" s="38">
        <f>'ANR OK vs ML7'!AR387</f>
        <v>0.1</v>
      </c>
      <c r="AS387" s="35" t="str">
        <f t="shared" si="210"/>
        <v/>
      </c>
      <c r="AT387" s="3" t="str">
        <f t="shared" si="211"/>
        <v/>
      </c>
      <c r="AU387" s="3" t="str">
        <f t="shared" si="212"/>
        <v/>
      </c>
      <c r="AW387" s="32" t="str">
        <f t="shared" si="213"/>
        <v/>
      </c>
      <c r="AX387" s="32" t="str">
        <f t="shared" si="214"/>
        <v/>
      </c>
      <c r="AY387" s="32" t="str">
        <f t="shared" si="215"/>
        <v/>
      </c>
      <c r="BA387" s="32" t="str">
        <f>IF($A388="","",F387*Summary!$Q$13)</f>
        <v/>
      </c>
    </row>
    <row r="388" spans="1:53">
      <c r="A388" s="67" t="str">
        <f t="shared" si="216"/>
        <v/>
      </c>
      <c r="B388" s="69" t="str">
        <f t="shared" si="218"/>
        <v/>
      </c>
      <c r="D388" s="69" t="str">
        <f t="shared" si="183"/>
        <v/>
      </c>
      <c r="E388" s="70" t="str">
        <f t="shared" si="184"/>
        <v/>
      </c>
      <c r="F388" s="70" t="str">
        <f t="shared" si="185"/>
        <v/>
      </c>
      <c r="G388" s="63" t="str">
        <f t="shared" si="186"/>
        <v/>
      </c>
      <c r="H388" s="64" t="str">
        <f t="shared" si="187"/>
        <v/>
      </c>
      <c r="J388" s="63" t="str">
        <f t="shared" si="188"/>
        <v/>
      </c>
      <c r="K388" s="64" t="str">
        <f t="shared" si="189"/>
        <v/>
      </c>
      <c r="L388" s="38">
        <v>0</v>
      </c>
      <c r="M388" s="64" t="str">
        <f t="shared" si="190"/>
        <v/>
      </c>
      <c r="O388" s="63" t="str">
        <f t="shared" si="191"/>
        <v/>
      </c>
      <c r="P388" s="63" t="str">
        <f t="shared" si="192"/>
        <v/>
      </c>
      <c r="R388" s="63" t="str">
        <f t="shared" si="193"/>
        <v/>
      </c>
      <c r="S388" s="64" t="str">
        <f t="shared" si="194"/>
        <v/>
      </c>
      <c r="T388" s="38">
        <v>0</v>
      </c>
      <c r="U388" s="64" t="str">
        <f t="shared" si="195"/>
        <v/>
      </c>
      <c r="V388" s="219"/>
      <c r="W388" s="43" t="str">
        <f t="shared" si="196"/>
        <v/>
      </c>
      <c r="X388" s="43" t="str">
        <f t="shared" si="197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07"/>
        <v/>
      </c>
      <c r="AP388" s="33" t="str">
        <f t="shared" si="208"/>
        <v/>
      </c>
      <c r="AQ388" s="58" t="str">
        <f t="shared" si="209"/>
        <v/>
      </c>
      <c r="AR388" s="38">
        <f>'ANR OK vs ML7'!AR388</f>
        <v>0.1</v>
      </c>
      <c r="AS388" s="35" t="str">
        <f t="shared" si="210"/>
        <v/>
      </c>
      <c r="AT388" s="3" t="str">
        <f t="shared" si="211"/>
        <v/>
      </c>
      <c r="AU388" s="3" t="str">
        <f t="shared" si="212"/>
        <v/>
      </c>
      <c r="AW388" s="32" t="str">
        <f t="shared" si="213"/>
        <v/>
      </c>
      <c r="AX388" s="32" t="str">
        <f t="shared" si="214"/>
        <v/>
      </c>
      <c r="AY388" s="32" t="str">
        <f t="shared" si="215"/>
        <v/>
      </c>
      <c r="BA388" s="32" t="str">
        <f>IF($A389="","",F388*Summary!$Q$13)</f>
        <v/>
      </c>
    </row>
    <row r="389" spans="1:53">
      <c r="A389" s="67" t="str">
        <f t="shared" si="216"/>
        <v/>
      </c>
      <c r="B389" s="69" t="str">
        <f t="shared" si="218"/>
        <v/>
      </c>
      <c r="D389" s="69" t="str">
        <f t="shared" si="183"/>
        <v/>
      </c>
      <c r="E389" s="70" t="str">
        <f t="shared" si="184"/>
        <v/>
      </c>
      <c r="F389" s="70" t="str">
        <f t="shared" si="185"/>
        <v/>
      </c>
      <c r="G389" s="63" t="str">
        <f t="shared" si="186"/>
        <v/>
      </c>
      <c r="H389" s="64" t="str">
        <f t="shared" si="187"/>
        <v/>
      </c>
      <c r="J389" s="63" t="str">
        <f t="shared" si="188"/>
        <v/>
      </c>
      <c r="K389" s="64" t="str">
        <f t="shared" si="189"/>
        <v/>
      </c>
      <c r="L389" s="38">
        <v>0</v>
      </c>
      <c r="M389" s="64" t="str">
        <f t="shared" si="190"/>
        <v/>
      </c>
      <c r="O389" s="63" t="str">
        <f t="shared" si="191"/>
        <v/>
      </c>
      <c r="P389" s="63" t="str">
        <f t="shared" si="192"/>
        <v/>
      </c>
      <c r="R389" s="63" t="str">
        <f t="shared" si="193"/>
        <v/>
      </c>
      <c r="S389" s="64" t="str">
        <f t="shared" si="194"/>
        <v/>
      </c>
      <c r="T389" s="38">
        <v>0</v>
      </c>
      <c r="U389" s="64" t="str">
        <f t="shared" si="195"/>
        <v/>
      </c>
      <c r="V389" s="219"/>
      <c r="W389" s="43" t="str">
        <f t="shared" si="196"/>
        <v/>
      </c>
      <c r="X389" s="43" t="str">
        <f t="shared" si="197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07"/>
        <v/>
      </c>
      <c r="AP389" s="33" t="str">
        <f t="shared" si="208"/>
        <v/>
      </c>
      <c r="AQ389" s="58" t="str">
        <f t="shared" si="209"/>
        <v/>
      </c>
      <c r="AR389" s="38">
        <f>'ANR OK vs ML7'!AR389</f>
        <v>0.1</v>
      </c>
      <c r="AS389" s="35" t="str">
        <f t="shared" si="210"/>
        <v/>
      </c>
      <c r="AT389" s="3" t="str">
        <f t="shared" si="211"/>
        <v/>
      </c>
      <c r="AU389" s="3" t="str">
        <f t="shared" si="212"/>
        <v/>
      </c>
      <c r="AW389" s="32" t="str">
        <f t="shared" si="213"/>
        <v/>
      </c>
      <c r="AX389" s="32" t="str">
        <f t="shared" si="214"/>
        <v/>
      </c>
      <c r="AY389" s="32" t="str">
        <f t="shared" si="215"/>
        <v/>
      </c>
      <c r="BA389" s="32" t="str">
        <f>IF($A390="","",F389*Summary!$Q$13)</f>
        <v/>
      </c>
    </row>
    <row r="390" spans="1:53">
      <c r="A390" s="67" t="str">
        <f t="shared" si="216"/>
        <v/>
      </c>
      <c r="B390" s="69" t="str">
        <f t="shared" si="218"/>
        <v/>
      </c>
      <c r="D390" s="69" t="str">
        <f t="shared" si="183"/>
        <v/>
      </c>
      <c r="E390" s="70" t="str">
        <f t="shared" si="184"/>
        <v/>
      </c>
      <c r="F390" s="70" t="str">
        <f t="shared" si="185"/>
        <v/>
      </c>
      <c r="G390" s="63" t="str">
        <f t="shared" si="186"/>
        <v/>
      </c>
      <c r="H390" s="64" t="str">
        <f t="shared" si="187"/>
        <v/>
      </c>
      <c r="J390" s="63" t="str">
        <f t="shared" si="188"/>
        <v/>
      </c>
      <c r="K390" s="64" t="str">
        <f t="shared" si="189"/>
        <v/>
      </c>
      <c r="L390" s="38">
        <v>0</v>
      </c>
      <c r="M390" s="64" t="str">
        <f t="shared" si="190"/>
        <v/>
      </c>
      <c r="O390" s="63" t="str">
        <f t="shared" si="191"/>
        <v/>
      </c>
      <c r="P390" s="63" t="str">
        <f t="shared" si="192"/>
        <v/>
      </c>
      <c r="R390" s="63" t="str">
        <f t="shared" si="193"/>
        <v/>
      </c>
      <c r="S390" s="64" t="str">
        <f t="shared" si="194"/>
        <v/>
      </c>
      <c r="T390" s="38">
        <v>0</v>
      </c>
      <c r="U390" s="64" t="str">
        <f t="shared" si="195"/>
        <v/>
      </c>
      <c r="V390" s="219"/>
      <c r="W390" s="43" t="str">
        <f t="shared" si="196"/>
        <v/>
      </c>
      <c r="X390" s="43" t="str">
        <f t="shared" si="197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07"/>
        <v/>
      </c>
      <c r="AP390" s="33" t="str">
        <f t="shared" si="208"/>
        <v/>
      </c>
      <c r="AQ390" s="58" t="str">
        <f t="shared" si="209"/>
        <v/>
      </c>
      <c r="AR390" s="38">
        <f>'ANR OK vs ML7'!AR390</f>
        <v>0.1</v>
      </c>
      <c r="AS390" s="35" t="str">
        <f t="shared" si="210"/>
        <v/>
      </c>
      <c r="AT390" s="3" t="str">
        <f t="shared" si="211"/>
        <v/>
      </c>
      <c r="AU390" s="3" t="str">
        <f t="shared" si="212"/>
        <v/>
      </c>
      <c r="AW390" s="32" t="str">
        <f t="shared" si="213"/>
        <v/>
      </c>
      <c r="AX390" s="32" t="str">
        <f t="shared" si="214"/>
        <v/>
      </c>
      <c r="AY390" s="32" t="str">
        <f t="shared" si="215"/>
        <v/>
      </c>
      <c r="BA390" s="32" t="str">
        <f>IF($A391="","",F390*Summary!$Q$13)</f>
        <v/>
      </c>
    </row>
    <row r="391" spans="1:53">
      <c r="A391" s="67" t="str">
        <f t="shared" si="216"/>
        <v/>
      </c>
      <c r="B391" s="69" t="str">
        <f t="shared" si="218"/>
        <v/>
      </c>
      <c r="D391" s="69" t="str">
        <f t="shared" si="183"/>
        <v/>
      </c>
      <c r="E391" s="70" t="str">
        <f t="shared" si="184"/>
        <v/>
      </c>
      <c r="F391" s="70" t="str">
        <f t="shared" si="185"/>
        <v/>
      </c>
      <c r="G391" s="63" t="str">
        <f t="shared" si="186"/>
        <v/>
      </c>
      <c r="H391" s="64" t="str">
        <f t="shared" si="187"/>
        <v/>
      </c>
      <c r="J391" s="63" t="str">
        <f t="shared" si="188"/>
        <v/>
      </c>
      <c r="K391" s="64" t="str">
        <f t="shared" si="189"/>
        <v/>
      </c>
      <c r="L391" s="38">
        <v>0</v>
      </c>
      <c r="M391" s="64" t="str">
        <f t="shared" si="190"/>
        <v/>
      </c>
      <c r="O391" s="63" t="str">
        <f t="shared" si="191"/>
        <v/>
      </c>
      <c r="P391" s="63" t="str">
        <f t="shared" si="192"/>
        <v/>
      </c>
      <c r="R391" s="63" t="str">
        <f t="shared" si="193"/>
        <v/>
      </c>
      <c r="S391" s="64" t="str">
        <f t="shared" si="194"/>
        <v/>
      </c>
      <c r="T391" s="38">
        <v>0</v>
      </c>
      <c r="U391" s="64" t="str">
        <f t="shared" si="195"/>
        <v/>
      </c>
      <c r="V391" s="219"/>
      <c r="W391" s="43" t="str">
        <f t="shared" si="196"/>
        <v/>
      </c>
      <c r="X391" s="43" t="str">
        <f t="shared" si="197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07"/>
        <v/>
      </c>
      <c r="AP391" s="33" t="str">
        <f t="shared" si="208"/>
        <v/>
      </c>
      <c r="AQ391" s="58" t="str">
        <f t="shared" si="209"/>
        <v/>
      </c>
      <c r="AR391" s="38">
        <f>'ANR OK vs ML7'!AR391</f>
        <v>0.1</v>
      </c>
      <c r="AS391" s="35" t="str">
        <f t="shared" si="210"/>
        <v/>
      </c>
      <c r="AT391" s="3" t="str">
        <f t="shared" si="211"/>
        <v/>
      </c>
      <c r="AU391" s="3" t="str">
        <f t="shared" si="212"/>
        <v/>
      </c>
      <c r="AW391" s="32" t="str">
        <f t="shared" si="213"/>
        <v/>
      </c>
      <c r="AX391" s="32" t="str">
        <f t="shared" si="214"/>
        <v/>
      </c>
      <c r="AY391" s="32" t="str">
        <f t="shared" si="215"/>
        <v/>
      </c>
      <c r="BA391" s="32" t="str">
        <f>IF($A392="","",F391*Summary!$Q$13)</f>
        <v/>
      </c>
    </row>
    <row r="392" spans="1:53">
      <c r="A392" s="67" t="str">
        <f t="shared" si="216"/>
        <v/>
      </c>
      <c r="B392" s="69" t="str">
        <f t="shared" si="218"/>
        <v/>
      </c>
      <c r="D392" s="69" t="str">
        <f t="shared" si="183"/>
        <v/>
      </c>
      <c r="E392" s="70" t="str">
        <f t="shared" si="184"/>
        <v/>
      </c>
      <c r="F392" s="70" t="str">
        <f t="shared" si="185"/>
        <v/>
      </c>
      <c r="G392" s="63" t="str">
        <f t="shared" si="186"/>
        <v/>
      </c>
      <c r="H392" s="64" t="str">
        <f t="shared" si="187"/>
        <v/>
      </c>
      <c r="J392" s="63" t="str">
        <f t="shared" si="188"/>
        <v/>
      </c>
      <c r="K392" s="64" t="str">
        <f t="shared" si="189"/>
        <v/>
      </c>
      <c r="L392" s="38">
        <v>0</v>
      </c>
      <c r="M392" s="64" t="str">
        <f t="shared" si="190"/>
        <v/>
      </c>
      <c r="O392" s="63" t="str">
        <f t="shared" si="191"/>
        <v/>
      </c>
      <c r="P392" s="63" t="str">
        <f t="shared" si="192"/>
        <v/>
      </c>
      <c r="R392" s="63" t="str">
        <f t="shared" si="193"/>
        <v/>
      </c>
      <c r="S392" s="64" t="str">
        <f t="shared" si="194"/>
        <v/>
      </c>
      <c r="T392" s="38">
        <v>0</v>
      </c>
      <c r="U392" s="64" t="str">
        <f t="shared" si="195"/>
        <v/>
      </c>
      <c r="V392" s="219"/>
      <c r="W392" s="43" t="str">
        <f t="shared" si="196"/>
        <v/>
      </c>
      <c r="X392" s="43" t="str">
        <f t="shared" si="197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07"/>
        <v/>
      </c>
      <c r="AP392" s="33" t="str">
        <f t="shared" si="208"/>
        <v/>
      </c>
      <c r="AQ392" s="58" t="str">
        <f t="shared" si="209"/>
        <v/>
      </c>
      <c r="AR392" s="38">
        <f>'ANR OK vs ML7'!AR392</f>
        <v>0.1</v>
      </c>
      <c r="AS392" s="35" t="str">
        <f t="shared" si="210"/>
        <v/>
      </c>
      <c r="AT392" s="3" t="str">
        <f t="shared" si="211"/>
        <v/>
      </c>
      <c r="AU392" s="3" t="str">
        <f t="shared" si="212"/>
        <v/>
      </c>
      <c r="AW392" s="32" t="str">
        <f t="shared" si="213"/>
        <v/>
      </c>
      <c r="AX392" s="32" t="str">
        <f t="shared" si="214"/>
        <v/>
      </c>
      <c r="AY392" s="32" t="str">
        <f t="shared" si="215"/>
        <v/>
      </c>
      <c r="BA392" s="32" t="str">
        <f>IF($A393="","",F392*Summary!$Q$13)</f>
        <v/>
      </c>
    </row>
    <row r="393" spans="1:53">
      <c r="A393" s="67" t="str">
        <f t="shared" si="216"/>
        <v/>
      </c>
      <c r="B393" s="69" t="str">
        <f t="shared" si="218"/>
        <v/>
      </c>
      <c r="D393" s="69" t="str">
        <f t="shared" si="183"/>
        <v/>
      </c>
      <c r="E393" s="70" t="str">
        <f t="shared" si="184"/>
        <v/>
      </c>
      <c r="F393" s="70" t="str">
        <f t="shared" si="185"/>
        <v/>
      </c>
      <c r="G393" s="63" t="str">
        <f t="shared" si="186"/>
        <v/>
      </c>
      <c r="H393" s="64" t="str">
        <f t="shared" si="187"/>
        <v/>
      </c>
      <c r="J393" s="63" t="str">
        <f t="shared" si="188"/>
        <v/>
      </c>
      <c r="K393" s="64" t="str">
        <f t="shared" si="189"/>
        <v/>
      </c>
      <c r="L393" s="38">
        <v>0</v>
      </c>
      <c r="M393" s="64" t="str">
        <f t="shared" si="190"/>
        <v/>
      </c>
      <c r="O393" s="63" t="str">
        <f t="shared" si="191"/>
        <v/>
      </c>
      <c r="P393" s="63" t="str">
        <f t="shared" si="192"/>
        <v/>
      </c>
      <c r="R393" s="63" t="str">
        <f t="shared" si="193"/>
        <v/>
      </c>
      <c r="S393" s="64" t="str">
        <f t="shared" si="194"/>
        <v/>
      </c>
      <c r="T393" s="38">
        <v>0</v>
      </c>
      <c r="U393" s="64" t="str">
        <f t="shared" si="195"/>
        <v/>
      </c>
      <c r="V393" s="219"/>
      <c r="W393" s="43" t="str">
        <f t="shared" si="196"/>
        <v/>
      </c>
      <c r="X393" s="43" t="str">
        <f t="shared" si="197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07"/>
        <v/>
      </c>
      <c r="AP393" s="33" t="str">
        <f t="shared" si="208"/>
        <v/>
      </c>
      <c r="AQ393" s="58" t="str">
        <f t="shared" si="209"/>
        <v/>
      </c>
      <c r="AR393" s="38">
        <f>'ANR OK vs ML7'!AR393</f>
        <v>0.1</v>
      </c>
      <c r="AS393" s="35" t="str">
        <f t="shared" si="210"/>
        <v/>
      </c>
      <c r="AT393" s="3" t="str">
        <f t="shared" si="211"/>
        <v/>
      </c>
      <c r="AU393" s="3" t="str">
        <f t="shared" si="212"/>
        <v/>
      </c>
      <c r="AW393" s="32" t="str">
        <f t="shared" si="213"/>
        <v/>
      </c>
      <c r="AX393" s="32" t="str">
        <f t="shared" si="214"/>
        <v/>
      </c>
      <c r="AY393" s="32" t="str">
        <f t="shared" si="215"/>
        <v/>
      </c>
      <c r="BA393" s="32" t="str">
        <f>IF($A394="","",F393*Summary!$Q$13)</f>
        <v/>
      </c>
    </row>
    <row r="394" spans="1:53">
      <c r="A394" s="67" t="str">
        <f t="shared" si="216"/>
        <v/>
      </c>
      <c r="B394" s="69" t="str">
        <f t="shared" si="218"/>
        <v/>
      </c>
      <c r="D394" s="69" t="str">
        <f t="shared" ref="D394:D457" si="219">IF(A395&lt;&gt;"",B394+C394,"")</f>
        <v/>
      </c>
      <c r="E394" s="70" t="str">
        <f t="shared" ref="E394:E457" si="220">IF(A395="","",IF(AND(AT394=1,$H$3=1),D394*AO394,IF($H$3=2,D394,"N/A")))</f>
        <v/>
      </c>
      <c r="F394" s="70" t="str">
        <f t="shared" ref="F394:F457" si="221">IF(A395="","",E394*AS394)</f>
        <v/>
      </c>
      <c r="G394" s="63" t="str">
        <f t="shared" ref="G394:G457" si="222">IF($A395="","",VLOOKUP($A394,Table,MATCH(G$4,Curves,0)))</f>
        <v/>
      </c>
      <c r="H394" s="64" t="str">
        <f t="shared" ref="H394:H457" si="223">IF(A395="","",G394)</f>
        <v/>
      </c>
      <c r="J394" s="63" t="str">
        <f t="shared" ref="J394:J457" si="224">IF($A395="","",VLOOKUP($A394,Table,MATCH(J$4,Curves,0)))</f>
        <v/>
      </c>
      <c r="K394" s="64" t="str">
        <f t="shared" ref="K394:K457" si="225">IF(A395="","",J394)</f>
        <v/>
      </c>
      <c r="L394" s="38">
        <v>0</v>
      </c>
      <c r="M394" s="64" t="str">
        <f t="shared" ref="M394:M457" si="226">IF(A395="","",L394)</f>
        <v/>
      </c>
      <c r="O394" s="63" t="str">
        <f t="shared" ref="O394:O457" si="227">IF(A395="","",L394+J394+G394)</f>
        <v/>
      </c>
      <c r="P394" s="63" t="str">
        <f t="shared" ref="P394:P457" si="228">IF(A395="","",M394+K394+H394)</f>
        <v/>
      </c>
      <c r="R394" s="63" t="str">
        <f t="shared" ref="R394:R457" si="229">IF($A395="","",VLOOKUP($A394,Table,MATCH(R$4,Curves,0)))</f>
        <v/>
      </c>
      <c r="S394" s="64" t="str">
        <f t="shared" ref="S394:S457" si="230">IF(A395="","",R394)</f>
        <v/>
      </c>
      <c r="T394" s="38">
        <v>0</v>
      </c>
      <c r="U394" s="64" t="str">
        <f t="shared" ref="U394:U457" si="231">IF(A395="","",T394)</f>
        <v/>
      </c>
      <c r="V394" s="219"/>
      <c r="W394" s="43" t="str">
        <f t="shared" ref="W394:W457" si="232">IF($A395="","",(T394+R394+G394+V394))</f>
        <v/>
      </c>
      <c r="X394" s="43" t="str">
        <f t="shared" ref="X394:X457" si="233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34">IF(A395="","",A395-A394)</f>
        <v/>
      </c>
      <c r="AP394" s="33" t="str">
        <f t="shared" ref="AP394:AP457" si="235">IF(A395="","",CHOOSE(F$3,A395+24,A394))</f>
        <v/>
      </c>
      <c r="AQ394" s="58" t="str">
        <f t="shared" ref="AQ394:AQ457" si="236">IF(A395="","",AP394-$E$1)</f>
        <v/>
      </c>
      <c r="AR394" s="38">
        <f>'ANR OK vs ML7'!AR394</f>
        <v>0.1</v>
      </c>
      <c r="AS394" s="35" t="str">
        <f t="shared" ref="AS394:AS457" si="237">IF(A395="","",1/(1+CHOOSE(F$3,(AR395+($I$3/10000))/2,(AR394+($I$3/10000))/2))^(2*AQ394/365.25))</f>
        <v/>
      </c>
      <c r="AT394" s="3" t="str">
        <f t="shared" ref="AT394:AT457" si="238">IF(A395="","",IF(AND(mthbeg&lt;=A394,mthend&gt;=A394),1,0))</f>
        <v/>
      </c>
      <c r="AU394" s="3" t="str">
        <f t="shared" ref="AU394:AU457" si="239">IF(A395="","",AO394*AT394)</f>
        <v/>
      </c>
      <c r="AW394" s="32" t="str">
        <f t="shared" ref="AW394:AW457" si="240">IF($A395="","",AL394*$E394)</f>
        <v/>
      </c>
      <c r="AX394" s="32" t="str">
        <f t="shared" ref="AX394:AX457" si="241">IF($A395="","",AM394*$E394)</f>
        <v/>
      </c>
      <c r="AY394" s="32" t="str">
        <f t="shared" ref="AY394:AY457" si="242">IF($A395="","",AN394*$E394)</f>
        <v/>
      </c>
      <c r="BA394" s="32" t="str">
        <f>IF($A395="","",F394*Summary!$Q$13)</f>
        <v/>
      </c>
    </row>
    <row r="395" spans="1:53">
      <c r="A395" s="67" t="str">
        <f t="shared" ref="A395:A458" si="243">IF(A394&lt;mthend,EDATE(A394,1),"")</f>
        <v/>
      </c>
      <c r="B395" s="69" t="str">
        <f t="shared" si="218"/>
        <v/>
      </c>
      <c r="D395" s="69" t="str">
        <f t="shared" si="219"/>
        <v/>
      </c>
      <c r="E395" s="70" t="str">
        <f t="shared" si="220"/>
        <v/>
      </c>
      <c r="F395" s="70" t="str">
        <f t="shared" si="221"/>
        <v/>
      </c>
      <c r="G395" s="63" t="str">
        <f t="shared" si="222"/>
        <v/>
      </c>
      <c r="H395" s="64" t="str">
        <f t="shared" si="223"/>
        <v/>
      </c>
      <c r="J395" s="63" t="str">
        <f t="shared" si="224"/>
        <v/>
      </c>
      <c r="K395" s="64" t="str">
        <f t="shared" si="225"/>
        <v/>
      </c>
      <c r="L395" s="38">
        <v>0</v>
      </c>
      <c r="M395" s="64" t="str">
        <f t="shared" si="226"/>
        <v/>
      </c>
      <c r="O395" s="63" t="str">
        <f t="shared" si="227"/>
        <v/>
      </c>
      <c r="P395" s="63" t="str">
        <f t="shared" si="228"/>
        <v/>
      </c>
      <c r="R395" s="63" t="str">
        <f t="shared" si="229"/>
        <v/>
      </c>
      <c r="S395" s="64" t="str">
        <f t="shared" si="230"/>
        <v/>
      </c>
      <c r="T395" s="38">
        <v>0</v>
      </c>
      <c r="U395" s="64" t="str">
        <f t="shared" si="231"/>
        <v/>
      </c>
      <c r="V395" s="219"/>
      <c r="W395" s="43" t="str">
        <f t="shared" si="232"/>
        <v/>
      </c>
      <c r="X395" s="43" t="str">
        <f t="shared" si="233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34"/>
        <v/>
      </c>
      <c r="AP395" s="33" t="str">
        <f t="shared" si="235"/>
        <v/>
      </c>
      <c r="AQ395" s="58" t="str">
        <f t="shared" si="236"/>
        <v/>
      </c>
      <c r="AR395" s="38">
        <f>'ANR OK vs ML7'!AR395</f>
        <v>0.1</v>
      </c>
      <c r="AS395" s="35" t="str">
        <f t="shared" si="237"/>
        <v/>
      </c>
      <c r="AT395" s="3" t="str">
        <f t="shared" si="238"/>
        <v/>
      </c>
      <c r="AU395" s="3" t="str">
        <f t="shared" si="239"/>
        <v/>
      </c>
      <c r="AW395" s="32" t="str">
        <f t="shared" si="240"/>
        <v/>
      </c>
      <c r="AX395" s="32" t="str">
        <f t="shared" si="241"/>
        <v/>
      </c>
      <c r="AY395" s="32" t="str">
        <f t="shared" si="242"/>
        <v/>
      </c>
      <c r="BA395" s="32" t="str">
        <f>IF($A396="","",F395*Summary!$Q$13)</f>
        <v/>
      </c>
    </row>
    <row r="396" spans="1:53">
      <c r="A396" s="67" t="str">
        <f t="shared" si="243"/>
        <v/>
      </c>
      <c r="B396" s="69" t="str">
        <f t="shared" ref="B396:B459" si="244">IF(A396&lt;mthend,B395,"")</f>
        <v/>
      </c>
      <c r="D396" s="69" t="str">
        <f t="shared" si="219"/>
        <v/>
      </c>
      <c r="E396" s="70" t="str">
        <f t="shared" si="220"/>
        <v/>
      </c>
      <c r="F396" s="70" t="str">
        <f t="shared" si="221"/>
        <v/>
      </c>
      <c r="G396" s="63" t="str">
        <f t="shared" si="222"/>
        <v/>
      </c>
      <c r="H396" s="64" t="str">
        <f t="shared" si="223"/>
        <v/>
      </c>
      <c r="J396" s="63" t="str">
        <f t="shared" si="224"/>
        <v/>
      </c>
      <c r="K396" s="64" t="str">
        <f t="shared" si="225"/>
        <v/>
      </c>
      <c r="L396" s="38">
        <v>0</v>
      </c>
      <c r="M396" s="64" t="str">
        <f t="shared" si="226"/>
        <v/>
      </c>
      <c r="O396" s="63" t="str">
        <f t="shared" si="227"/>
        <v/>
      </c>
      <c r="P396" s="63" t="str">
        <f t="shared" si="228"/>
        <v/>
      </c>
      <c r="R396" s="63" t="str">
        <f t="shared" si="229"/>
        <v/>
      </c>
      <c r="S396" s="64" t="str">
        <f t="shared" si="230"/>
        <v/>
      </c>
      <c r="T396" s="38">
        <v>0</v>
      </c>
      <c r="U396" s="64" t="str">
        <f t="shared" si="231"/>
        <v/>
      </c>
      <c r="V396" s="219"/>
      <c r="W396" s="43" t="str">
        <f t="shared" si="232"/>
        <v/>
      </c>
      <c r="X396" s="43" t="str">
        <f t="shared" si="233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34"/>
        <v/>
      </c>
      <c r="AP396" s="33" t="str">
        <f t="shared" si="235"/>
        <v/>
      </c>
      <c r="AQ396" s="58" t="str">
        <f t="shared" si="236"/>
        <v/>
      </c>
      <c r="AR396" s="38">
        <f>'ANR OK vs ML7'!AR396</f>
        <v>0.1</v>
      </c>
      <c r="AS396" s="35" t="str">
        <f t="shared" si="237"/>
        <v/>
      </c>
      <c r="AT396" s="3" t="str">
        <f t="shared" si="238"/>
        <v/>
      </c>
      <c r="AU396" s="3" t="str">
        <f t="shared" si="239"/>
        <v/>
      </c>
      <c r="AW396" s="32" t="str">
        <f t="shared" si="240"/>
        <v/>
      </c>
      <c r="AX396" s="32" t="str">
        <f t="shared" si="241"/>
        <v/>
      </c>
      <c r="AY396" s="32" t="str">
        <f t="shared" si="242"/>
        <v/>
      </c>
      <c r="BA396" s="32" t="str">
        <f>IF($A397="","",F396*Summary!$Q$13)</f>
        <v/>
      </c>
    </row>
    <row r="397" spans="1:53">
      <c r="A397" s="67" t="str">
        <f t="shared" si="243"/>
        <v/>
      </c>
      <c r="B397" s="69" t="str">
        <f t="shared" si="244"/>
        <v/>
      </c>
      <c r="D397" s="69" t="str">
        <f t="shared" si="219"/>
        <v/>
      </c>
      <c r="E397" s="70" t="str">
        <f t="shared" si="220"/>
        <v/>
      </c>
      <c r="F397" s="70" t="str">
        <f t="shared" si="221"/>
        <v/>
      </c>
      <c r="G397" s="63" t="str">
        <f t="shared" si="222"/>
        <v/>
      </c>
      <c r="H397" s="64" t="str">
        <f t="shared" si="223"/>
        <v/>
      </c>
      <c r="J397" s="63" t="str">
        <f t="shared" si="224"/>
        <v/>
      </c>
      <c r="K397" s="64" t="str">
        <f t="shared" si="225"/>
        <v/>
      </c>
      <c r="L397" s="38">
        <v>0</v>
      </c>
      <c r="M397" s="64" t="str">
        <f t="shared" si="226"/>
        <v/>
      </c>
      <c r="O397" s="63" t="str">
        <f t="shared" si="227"/>
        <v/>
      </c>
      <c r="P397" s="63" t="str">
        <f t="shared" si="228"/>
        <v/>
      </c>
      <c r="R397" s="63" t="str">
        <f t="shared" si="229"/>
        <v/>
      </c>
      <c r="S397" s="64" t="str">
        <f t="shared" si="230"/>
        <v/>
      </c>
      <c r="T397" s="38">
        <v>0</v>
      </c>
      <c r="U397" s="64" t="str">
        <f t="shared" si="231"/>
        <v/>
      </c>
      <c r="V397" s="219"/>
      <c r="W397" s="43" t="str">
        <f t="shared" si="232"/>
        <v/>
      </c>
      <c r="X397" s="43" t="str">
        <f t="shared" si="233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34"/>
        <v/>
      </c>
      <c r="AP397" s="33" t="str">
        <f t="shared" si="235"/>
        <v/>
      </c>
      <c r="AQ397" s="58" t="str">
        <f t="shared" si="236"/>
        <v/>
      </c>
      <c r="AR397" s="38">
        <f>'ANR OK vs ML7'!AR397</f>
        <v>0.1</v>
      </c>
      <c r="AS397" s="35" t="str">
        <f t="shared" si="237"/>
        <v/>
      </c>
      <c r="AT397" s="3" t="str">
        <f t="shared" si="238"/>
        <v/>
      </c>
      <c r="AU397" s="3" t="str">
        <f t="shared" si="239"/>
        <v/>
      </c>
      <c r="AW397" s="32" t="str">
        <f t="shared" si="240"/>
        <v/>
      </c>
      <c r="AX397" s="32" t="str">
        <f t="shared" si="241"/>
        <v/>
      </c>
      <c r="AY397" s="32" t="str">
        <f t="shared" si="242"/>
        <v/>
      </c>
      <c r="BA397" s="32" t="str">
        <f>IF($A398="","",F397*Summary!$Q$13)</f>
        <v/>
      </c>
    </row>
    <row r="398" spans="1:53">
      <c r="A398" s="67" t="str">
        <f t="shared" si="243"/>
        <v/>
      </c>
      <c r="B398" s="69" t="str">
        <f t="shared" si="244"/>
        <v/>
      </c>
      <c r="D398" s="69" t="str">
        <f t="shared" si="219"/>
        <v/>
      </c>
      <c r="E398" s="70" t="str">
        <f t="shared" si="220"/>
        <v/>
      </c>
      <c r="F398" s="70" t="str">
        <f t="shared" si="221"/>
        <v/>
      </c>
      <c r="G398" s="63" t="str">
        <f t="shared" si="222"/>
        <v/>
      </c>
      <c r="H398" s="64" t="str">
        <f t="shared" si="223"/>
        <v/>
      </c>
      <c r="J398" s="63" t="str">
        <f t="shared" si="224"/>
        <v/>
      </c>
      <c r="K398" s="64" t="str">
        <f t="shared" si="225"/>
        <v/>
      </c>
      <c r="L398" s="38">
        <v>0</v>
      </c>
      <c r="M398" s="64" t="str">
        <f t="shared" si="226"/>
        <v/>
      </c>
      <c r="O398" s="63" t="str">
        <f t="shared" si="227"/>
        <v/>
      </c>
      <c r="P398" s="63" t="str">
        <f t="shared" si="228"/>
        <v/>
      </c>
      <c r="R398" s="63" t="str">
        <f t="shared" si="229"/>
        <v/>
      </c>
      <c r="S398" s="64" t="str">
        <f t="shared" si="230"/>
        <v/>
      </c>
      <c r="T398" s="38">
        <v>0</v>
      </c>
      <c r="U398" s="64" t="str">
        <f t="shared" si="231"/>
        <v/>
      </c>
      <c r="V398" s="219"/>
      <c r="W398" s="43" t="str">
        <f t="shared" si="232"/>
        <v/>
      </c>
      <c r="X398" s="43" t="str">
        <f t="shared" si="233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34"/>
        <v/>
      </c>
      <c r="AP398" s="33" t="str">
        <f t="shared" si="235"/>
        <v/>
      </c>
      <c r="AQ398" s="58" t="str">
        <f t="shared" si="236"/>
        <v/>
      </c>
      <c r="AR398" s="38">
        <f>'ANR OK vs ML7'!AR398</f>
        <v>0.1</v>
      </c>
      <c r="AS398" s="35" t="str">
        <f t="shared" si="237"/>
        <v/>
      </c>
      <c r="AT398" s="3" t="str">
        <f t="shared" si="238"/>
        <v/>
      </c>
      <c r="AU398" s="3" t="str">
        <f t="shared" si="239"/>
        <v/>
      </c>
      <c r="AW398" s="32" t="str">
        <f t="shared" si="240"/>
        <v/>
      </c>
      <c r="AX398" s="32" t="str">
        <f t="shared" si="241"/>
        <v/>
      </c>
      <c r="AY398" s="32" t="str">
        <f t="shared" si="242"/>
        <v/>
      </c>
      <c r="BA398" s="32" t="str">
        <f>IF($A399="","",F398*Summary!$Q$13)</f>
        <v/>
      </c>
    </row>
    <row r="399" spans="1:53">
      <c r="A399" s="67" t="str">
        <f t="shared" si="243"/>
        <v/>
      </c>
      <c r="B399" s="69" t="str">
        <f t="shared" si="244"/>
        <v/>
      </c>
      <c r="D399" s="69" t="str">
        <f t="shared" si="219"/>
        <v/>
      </c>
      <c r="E399" s="70" t="str">
        <f t="shared" si="220"/>
        <v/>
      </c>
      <c r="F399" s="70" t="str">
        <f t="shared" si="221"/>
        <v/>
      </c>
      <c r="G399" s="63" t="str">
        <f t="shared" si="222"/>
        <v/>
      </c>
      <c r="H399" s="64" t="str">
        <f t="shared" si="223"/>
        <v/>
      </c>
      <c r="J399" s="63" t="str">
        <f t="shared" si="224"/>
        <v/>
      </c>
      <c r="K399" s="64" t="str">
        <f t="shared" si="225"/>
        <v/>
      </c>
      <c r="L399" s="38">
        <v>0</v>
      </c>
      <c r="M399" s="64" t="str">
        <f t="shared" si="226"/>
        <v/>
      </c>
      <c r="O399" s="63" t="str">
        <f t="shared" si="227"/>
        <v/>
      </c>
      <c r="P399" s="63" t="str">
        <f t="shared" si="228"/>
        <v/>
      </c>
      <c r="R399" s="63" t="str">
        <f t="shared" si="229"/>
        <v/>
      </c>
      <c r="S399" s="64" t="str">
        <f t="shared" si="230"/>
        <v/>
      </c>
      <c r="T399" s="38">
        <v>0</v>
      </c>
      <c r="U399" s="64" t="str">
        <f t="shared" si="231"/>
        <v/>
      </c>
      <c r="V399" s="219"/>
      <c r="W399" s="43" t="str">
        <f t="shared" si="232"/>
        <v/>
      </c>
      <c r="X399" s="43" t="str">
        <f t="shared" si="233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34"/>
        <v/>
      </c>
      <c r="AP399" s="33" t="str">
        <f t="shared" si="235"/>
        <v/>
      </c>
      <c r="AQ399" s="58" t="str">
        <f t="shared" si="236"/>
        <v/>
      </c>
      <c r="AR399" s="38">
        <f>'ANR OK vs ML7'!AR399</f>
        <v>0.1</v>
      </c>
      <c r="AS399" s="35" t="str">
        <f t="shared" si="237"/>
        <v/>
      </c>
      <c r="AT399" s="3" t="str">
        <f t="shared" si="238"/>
        <v/>
      </c>
      <c r="AU399" s="3" t="str">
        <f t="shared" si="239"/>
        <v/>
      </c>
      <c r="AW399" s="32" t="str">
        <f t="shared" si="240"/>
        <v/>
      </c>
      <c r="AX399" s="32" t="str">
        <f t="shared" si="241"/>
        <v/>
      </c>
      <c r="AY399" s="32" t="str">
        <f t="shared" si="242"/>
        <v/>
      </c>
      <c r="BA399" s="32" t="str">
        <f>IF($A400="","",F399*Summary!$Q$13)</f>
        <v/>
      </c>
    </row>
    <row r="400" spans="1:53">
      <c r="A400" s="67" t="str">
        <f t="shared" si="243"/>
        <v/>
      </c>
      <c r="B400" s="69" t="str">
        <f t="shared" si="244"/>
        <v/>
      </c>
      <c r="D400" s="69" t="str">
        <f t="shared" si="219"/>
        <v/>
      </c>
      <c r="E400" s="70" t="str">
        <f t="shared" si="220"/>
        <v/>
      </c>
      <c r="F400" s="70" t="str">
        <f t="shared" si="221"/>
        <v/>
      </c>
      <c r="G400" s="63" t="str">
        <f t="shared" si="222"/>
        <v/>
      </c>
      <c r="H400" s="64" t="str">
        <f t="shared" si="223"/>
        <v/>
      </c>
      <c r="J400" s="63" t="str">
        <f t="shared" si="224"/>
        <v/>
      </c>
      <c r="K400" s="64" t="str">
        <f t="shared" si="225"/>
        <v/>
      </c>
      <c r="L400" s="38">
        <v>0</v>
      </c>
      <c r="M400" s="64" t="str">
        <f t="shared" si="226"/>
        <v/>
      </c>
      <c r="O400" s="63" t="str">
        <f t="shared" si="227"/>
        <v/>
      </c>
      <c r="P400" s="63" t="str">
        <f t="shared" si="228"/>
        <v/>
      </c>
      <c r="R400" s="63" t="str">
        <f t="shared" si="229"/>
        <v/>
      </c>
      <c r="S400" s="64" t="str">
        <f t="shared" si="230"/>
        <v/>
      </c>
      <c r="T400" s="38">
        <v>0</v>
      </c>
      <c r="U400" s="64" t="str">
        <f t="shared" si="231"/>
        <v/>
      </c>
      <c r="V400" s="219"/>
      <c r="W400" s="43" t="str">
        <f t="shared" si="232"/>
        <v/>
      </c>
      <c r="X400" s="43" t="str">
        <f t="shared" si="233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34"/>
        <v/>
      </c>
      <c r="AP400" s="33" t="str">
        <f t="shared" si="235"/>
        <v/>
      </c>
      <c r="AQ400" s="58" t="str">
        <f t="shared" si="236"/>
        <v/>
      </c>
      <c r="AR400" s="38">
        <f>'ANR OK vs ML7'!AR400</f>
        <v>0.1</v>
      </c>
      <c r="AS400" s="35" t="str">
        <f t="shared" si="237"/>
        <v/>
      </c>
      <c r="AT400" s="3" t="str">
        <f t="shared" si="238"/>
        <v/>
      </c>
      <c r="AU400" s="3" t="str">
        <f t="shared" si="239"/>
        <v/>
      </c>
      <c r="AW400" s="32" t="str">
        <f t="shared" si="240"/>
        <v/>
      </c>
      <c r="AX400" s="32" t="str">
        <f t="shared" si="241"/>
        <v/>
      </c>
      <c r="AY400" s="32" t="str">
        <f t="shared" si="242"/>
        <v/>
      </c>
      <c r="BA400" s="32" t="str">
        <f>IF($A401="","",F400*Summary!$Q$13)</f>
        <v/>
      </c>
    </row>
    <row r="401" spans="1:53">
      <c r="A401" s="67" t="str">
        <f t="shared" si="243"/>
        <v/>
      </c>
      <c r="B401" s="69" t="str">
        <f t="shared" si="244"/>
        <v/>
      </c>
      <c r="D401" s="69" t="str">
        <f t="shared" si="219"/>
        <v/>
      </c>
      <c r="E401" s="70" t="str">
        <f t="shared" si="220"/>
        <v/>
      </c>
      <c r="F401" s="70" t="str">
        <f t="shared" si="221"/>
        <v/>
      </c>
      <c r="G401" s="63" t="str">
        <f t="shared" si="222"/>
        <v/>
      </c>
      <c r="H401" s="64" t="str">
        <f t="shared" si="223"/>
        <v/>
      </c>
      <c r="J401" s="63" t="str">
        <f t="shared" si="224"/>
        <v/>
      </c>
      <c r="K401" s="64" t="str">
        <f t="shared" si="225"/>
        <v/>
      </c>
      <c r="L401" s="38">
        <v>0</v>
      </c>
      <c r="M401" s="64" t="str">
        <f t="shared" si="226"/>
        <v/>
      </c>
      <c r="O401" s="63" t="str">
        <f t="shared" si="227"/>
        <v/>
      </c>
      <c r="P401" s="63" t="str">
        <f t="shared" si="228"/>
        <v/>
      </c>
      <c r="R401" s="63" t="str">
        <f t="shared" si="229"/>
        <v/>
      </c>
      <c r="S401" s="64" t="str">
        <f t="shared" si="230"/>
        <v/>
      </c>
      <c r="T401" s="38">
        <v>0</v>
      </c>
      <c r="U401" s="64" t="str">
        <f t="shared" si="231"/>
        <v/>
      </c>
      <c r="V401" s="219"/>
      <c r="W401" s="43" t="str">
        <f t="shared" si="232"/>
        <v/>
      </c>
      <c r="X401" s="43" t="str">
        <f t="shared" si="233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34"/>
        <v/>
      </c>
      <c r="AP401" s="33" t="str">
        <f t="shared" si="235"/>
        <v/>
      </c>
      <c r="AQ401" s="58" t="str">
        <f t="shared" si="236"/>
        <v/>
      </c>
      <c r="AR401" s="38">
        <f>'ANR OK vs ML7'!AR401</f>
        <v>0.1</v>
      </c>
      <c r="AS401" s="35" t="str">
        <f t="shared" si="237"/>
        <v/>
      </c>
      <c r="AT401" s="3" t="str">
        <f t="shared" si="238"/>
        <v/>
      </c>
      <c r="AU401" s="3" t="str">
        <f t="shared" si="239"/>
        <v/>
      </c>
      <c r="AW401" s="32" t="str">
        <f t="shared" si="240"/>
        <v/>
      </c>
      <c r="AX401" s="32" t="str">
        <f t="shared" si="241"/>
        <v/>
      </c>
      <c r="AY401" s="32" t="str">
        <f t="shared" si="242"/>
        <v/>
      </c>
      <c r="BA401" s="32" t="str">
        <f>IF($A402="","",F401*Summary!$Q$13)</f>
        <v/>
      </c>
    </row>
    <row r="402" spans="1:53">
      <c r="A402" s="67" t="str">
        <f t="shared" si="243"/>
        <v/>
      </c>
      <c r="B402" s="69" t="str">
        <f t="shared" si="244"/>
        <v/>
      </c>
      <c r="D402" s="69" t="str">
        <f t="shared" si="219"/>
        <v/>
      </c>
      <c r="E402" s="70" t="str">
        <f t="shared" si="220"/>
        <v/>
      </c>
      <c r="F402" s="70" t="str">
        <f t="shared" si="221"/>
        <v/>
      </c>
      <c r="G402" s="63" t="str">
        <f t="shared" si="222"/>
        <v/>
      </c>
      <c r="H402" s="64" t="str">
        <f t="shared" si="223"/>
        <v/>
      </c>
      <c r="J402" s="63" t="str">
        <f t="shared" si="224"/>
        <v/>
      </c>
      <c r="K402" s="64" t="str">
        <f t="shared" si="225"/>
        <v/>
      </c>
      <c r="L402" s="38">
        <v>0</v>
      </c>
      <c r="M402" s="64" t="str">
        <f t="shared" si="226"/>
        <v/>
      </c>
      <c r="O402" s="63" t="str">
        <f t="shared" si="227"/>
        <v/>
      </c>
      <c r="P402" s="63" t="str">
        <f t="shared" si="228"/>
        <v/>
      </c>
      <c r="R402" s="63" t="str">
        <f t="shared" si="229"/>
        <v/>
      </c>
      <c r="S402" s="64" t="str">
        <f t="shared" si="230"/>
        <v/>
      </c>
      <c r="T402" s="38">
        <v>0</v>
      </c>
      <c r="U402" s="64" t="str">
        <f t="shared" si="231"/>
        <v/>
      </c>
      <c r="V402" s="219"/>
      <c r="W402" s="43" t="str">
        <f t="shared" si="232"/>
        <v/>
      </c>
      <c r="X402" s="43" t="str">
        <f t="shared" si="233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34"/>
        <v/>
      </c>
      <c r="AP402" s="33" t="str">
        <f t="shared" si="235"/>
        <v/>
      </c>
      <c r="AQ402" s="58" t="str">
        <f t="shared" si="236"/>
        <v/>
      </c>
      <c r="AR402" s="38">
        <f>'ANR OK vs ML7'!AR402</f>
        <v>0.1</v>
      </c>
      <c r="AS402" s="35" t="str">
        <f t="shared" si="237"/>
        <v/>
      </c>
      <c r="AT402" s="3" t="str">
        <f t="shared" si="238"/>
        <v/>
      </c>
      <c r="AU402" s="3" t="str">
        <f t="shared" si="239"/>
        <v/>
      </c>
      <c r="AW402" s="32" t="str">
        <f t="shared" si="240"/>
        <v/>
      </c>
      <c r="AX402" s="32" t="str">
        <f t="shared" si="241"/>
        <v/>
      </c>
      <c r="AY402" s="32" t="str">
        <f t="shared" si="242"/>
        <v/>
      </c>
      <c r="BA402" s="32" t="str">
        <f>IF($A403="","",F402*Summary!$Q$13)</f>
        <v/>
      </c>
    </row>
    <row r="403" spans="1:53">
      <c r="A403" s="67" t="str">
        <f t="shared" si="243"/>
        <v/>
      </c>
      <c r="B403" s="69" t="str">
        <f t="shared" si="244"/>
        <v/>
      </c>
      <c r="D403" s="69" t="str">
        <f t="shared" si="219"/>
        <v/>
      </c>
      <c r="E403" s="70" t="str">
        <f t="shared" si="220"/>
        <v/>
      </c>
      <c r="F403" s="70" t="str">
        <f t="shared" si="221"/>
        <v/>
      </c>
      <c r="G403" s="63" t="str">
        <f t="shared" si="222"/>
        <v/>
      </c>
      <c r="H403" s="64" t="str">
        <f t="shared" si="223"/>
        <v/>
      </c>
      <c r="J403" s="63" t="str">
        <f t="shared" si="224"/>
        <v/>
      </c>
      <c r="K403" s="64" t="str">
        <f t="shared" si="225"/>
        <v/>
      </c>
      <c r="L403" s="38">
        <v>0</v>
      </c>
      <c r="M403" s="64" t="str">
        <f t="shared" si="226"/>
        <v/>
      </c>
      <c r="O403" s="63" t="str">
        <f t="shared" si="227"/>
        <v/>
      </c>
      <c r="P403" s="63" t="str">
        <f t="shared" si="228"/>
        <v/>
      </c>
      <c r="R403" s="63" t="str">
        <f t="shared" si="229"/>
        <v/>
      </c>
      <c r="S403" s="64" t="str">
        <f t="shared" si="230"/>
        <v/>
      </c>
      <c r="T403" s="38">
        <v>0</v>
      </c>
      <c r="U403" s="64" t="str">
        <f t="shared" si="231"/>
        <v/>
      </c>
      <c r="V403" s="219"/>
      <c r="W403" s="43" t="str">
        <f t="shared" si="232"/>
        <v/>
      </c>
      <c r="X403" s="43" t="str">
        <f t="shared" si="233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34"/>
        <v/>
      </c>
      <c r="AP403" s="33" t="str">
        <f t="shared" si="235"/>
        <v/>
      </c>
      <c r="AQ403" s="58" t="str">
        <f t="shared" si="236"/>
        <v/>
      </c>
      <c r="AR403" s="38">
        <f>'ANR OK vs ML7'!AR403</f>
        <v>0.1</v>
      </c>
      <c r="AS403" s="35" t="str">
        <f t="shared" si="237"/>
        <v/>
      </c>
      <c r="AT403" s="3" t="str">
        <f t="shared" si="238"/>
        <v/>
      </c>
      <c r="AU403" s="3" t="str">
        <f t="shared" si="239"/>
        <v/>
      </c>
      <c r="AW403" s="32" t="str">
        <f t="shared" si="240"/>
        <v/>
      </c>
      <c r="AX403" s="32" t="str">
        <f t="shared" si="241"/>
        <v/>
      </c>
      <c r="AY403" s="32" t="str">
        <f t="shared" si="242"/>
        <v/>
      </c>
      <c r="BA403" s="32" t="str">
        <f>IF($A404="","",F403*Summary!$Q$13)</f>
        <v/>
      </c>
    </row>
    <row r="404" spans="1:53">
      <c r="A404" s="67" t="str">
        <f t="shared" si="243"/>
        <v/>
      </c>
      <c r="B404" s="69" t="str">
        <f t="shared" si="244"/>
        <v/>
      </c>
      <c r="D404" s="69" t="str">
        <f t="shared" si="219"/>
        <v/>
      </c>
      <c r="E404" s="70" t="str">
        <f t="shared" si="220"/>
        <v/>
      </c>
      <c r="F404" s="70" t="str">
        <f t="shared" si="221"/>
        <v/>
      </c>
      <c r="G404" s="63" t="str">
        <f t="shared" si="222"/>
        <v/>
      </c>
      <c r="H404" s="64" t="str">
        <f t="shared" si="223"/>
        <v/>
      </c>
      <c r="J404" s="63" t="str">
        <f t="shared" si="224"/>
        <v/>
      </c>
      <c r="K404" s="64" t="str">
        <f t="shared" si="225"/>
        <v/>
      </c>
      <c r="L404" s="38">
        <v>0</v>
      </c>
      <c r="M404" s="64" t="str">
        <f t="shared" si="226"/>
        <v/>
      </c>
      <c r="O404" s="63" t="str">
        <f t="shared" si="227"/>
        <v/>
      </c>
      <c r="P404" s="63" t="str">
        <f t="shared" si="228"/>
        <v/>
      </c>
      <c r="R404" s="63" t="str">
        <f t="shared" si="229"/>
        <v/>
      </c>
      <c r="S404" s="64" t="str">
        <f t="shared" si="230"/>
        <v/>
      </c>
      <c r="T404" s="38">
        <v>0</v>
      </c>
      <c r="U404" s="64" t="str">
        <f t="shared" si="231"/>
        <v/>
      </c>
      <c r="V404" s="219"/>
      <c r="W404" s="43" t="str">
        <f t="shared" si="232"/>
        <v/>
      </c>
      <c r="X404" s="43" t="str">
        <f t="shared" si="233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34"/>
        <v/>
      </c>
      <c r="AP404" s="33" t="str">
        <f t="shared" si="235"/>
        <v/>
      </c>
      <c r="AQ404" s="58" t="str">
        <f t="shared" si="236"/>
        <v/>
      </c>
      <c r="AR404" s="38">
        <f>'ANR OK vs ML7'!AR404</f>
        <v>0.1</v>
      </c>
      <c r="AS404" s="35" t="str">
        <f t="shared" si="237"/>
        <v/>
      </c>
      <c r="AT404" s="3" t="str">
        <f t="shared" si="238"/>
        <v/>
      </c>
      <c r="AU404" s="3" t="str">
        <f t="shared" si="239"/>
        <v/>
      </c>
      <c r="AW404" s="32" t="str">
        <f t="shared" si="240"/>
        <v/>
      </c>
      <c r="AX404" s="32" t="str">
        <f t="shared" si="241"/>
        <v/>
      </c>
      <c r="AY404" s="32" t="str">
        <f t="shared" si="242"/>
        <v/>
      </c>
      <c r="BA404" s="32" t="str">
        <f>IF($A405="","",F404*Summary!$Q$13)</f>
        <v/>
      </c>
    </row>
    <row r="405" spans="1:53">
      <c r="A405" s="67" t="str">
        <f t="shared" si="243"/>
        <v/>
      </c>
      <c r="B405" s="69" t="str">
        <f t="shared" si="244"/>
        <v/>
      </c>
      <c r="D405" s="69" t="str">
        <f t="shared" si="219"/>
        <v/>
      </c>
      <c r="E405" s="70" t="str">
        <f t="shared" si="220"/>
        <v/>
      </c>
      <c r="F405" s="70" t="str">
        <f t="shared" si="221"/>
        <v/>
      </c>
      <c r="G405" s="63" t="str">
        <f t="shared" si="222"/>
        <v/>
      </c>
      <c r="H405" s="64" t="str">
        <f t="shared" si="223"/>
        <v/>
      </c>
      <c r="J405" s="63" t="str">
        <f t="shared" si="224"/>
        <v/>
      </c>
      <c r="K405" s="64" t="str">
        <f t="shared" si="225"/>
        <v/>
      </c>
      <c r="L405" s="38">
        <v>0</v>
      </c>
      <c r="M405" s="64" t="str">
        <f t="shared" si="226"/>
        <v/>
      </c>
      <c r="O405" s="63" t="str">
        <f t="shared" si="227"/>
        <v/>
      </c>
      <c r="P405" s="63" t="str">
        <f t="shared" si="228"/>
        <v/>
      </c>
      <c r="R405" s="63" t="str">
        <f t="shared" si="229"/>
        <v/>
      </c>
      <c r="S405" s="64" t="str">
        <f t="shared" si="230"/>
        <v/>
      </c>
      <c r="T405" s="38">
        <v>0</v>
      </c>
      <c r="U405" s="64" t="str">
        <f t="shared" si="231"/>
        <v/>
      </c>
      <c r="V405" s="219"/>
      <c r="W405" s="43" t="str">
        <f t="shared" si="232"/>
        <v/>
      </c>
      <c r="X405" s="43" t="str">
        <f t="shared" si="233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34"/>
        <v/>
      </c>
      <c r="AP405" s="33" t="str">
        <f t="shared" si="235"/>
        <v/>
      </c>
      <c r="AQ405" s="58" t="str">
        <f t="shared" si="236"/>
        <v/>
      </c>
      <c r="AR405" s="38">
        <f>'ANR OK vs ML7'!AR405</f>
        <v>0.1</v>
      </c>
      <c r="AS405" s="35" t="str">
        <f t="shared" si="237"/>
        <v/>
      </c>
      <c r="AT405" s="3" t="str">
        <f t="shared" si="238"/>
        <v/>
      </c>
      <c r="AU405" s="3" t="str">
        <f t="shared" si="239"/>
        <v/>
      </c>
      <c r="AW405" s="32" t="str">
        <f t="shared" si="240"/>
        <v/>
      </c>
      <c r="AX405" s="32" t="str">
        <f t="shared" si="241"/>
        <v/>
      </c>
      <c r="AY405" s="32" t="str">
        <f t="shared" si="242"/>
        <v/>
      </c>
      <c r="BA405" s="32" t="str">
        <f>IF($A406="","",F405*Summary!$Q$13)</f>
        <v/>
      </c>
    </row>
    <row r="406" spans="1:53">
      <c r="A406" s="67" t="str">
        <f t="shared" si="243"/>
        <v/>
      </c>
      <c r="B406" s="69" t="str">
        <f t="shared" si="244"/>
        <v/>
      </c>
      <c r="D406" s="69" t="str">
        <f t="shared" si="219"/>
        <v/>
      </c>
      <c r="E406" s="70" t="str">
        <f t="shared" si="220"/>
        <v/>
      </c>
      <c r="F406" s="70" t="str">
        <f t="shared" si="221"/>
        <v/>
      </c>
      <c r="G406" s="63" t="str">
        <f t="shared" si="222"/>
        <v/>
      </c>
      <c r="H406" s="64" t="str">
        <f t="shared" si="223"/>
        <v/>
      </c>
      <c r="J406" s="63" t="str">
        <f t="shared" si="224"/>
        <v/>
      </c>
      <c r="K406" s="64" t="str">
        <f t="shared" si="225"/>
        <v/>
      </c>
      <c r="L406" s="38">
        <v>0</v>
      </c>
      <c r="M406" s="64" t="str">
        <f t="shared" si="226"/>
        <v/>
      </c>
      <c r="O406" s="63" t="str">
        <f t="shared" si="227"/>
        <v/>
      </c>
      <c r="P406" s="63" t="str">
        <f t="shared" si="228"/>
        <v/>
      </c>
      <c r="R406" s="63" t="str">
        <f t="shared" si="229"/>
        <v/>
      </c>
      <c r="S406" s="64" t="str">
        <f t="shared" si="230"/>
        <v/>
      </c>
      <c r="T406" s="38">
        <v>0</v>
      </c>
      <c r="U406" s="64" t="str">
        <f t="shared" si="231"/>
        <v/>
      </c>
      <c r="V406" s="219"/>
      <c r="W406" s="43" t="str">
        <f t="shared" si="232"/>
        <v/>
      </c>
      <c r="X406" s="43" t="str">
        <f t="shared" si="233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34"/>
        <v/>
      </c>
      <c r="AP406" s="33" t="str">
        <f t="shared" si="235"/>
        <v/>
      </c>
      <c r="AQ406" s="58" t="str">
        <f t="shared" si="236"/>
        <v/>
      </c>
      <c r="AR406" s="38">
        <f>'ANR OK vs ML7'!AR406</f>
        <v>0.1</v>
      </c>
      <c r="AS406" s="35" t="str">
        <f t="shared" si="237"/>
        <v/>
      </c>
      <c r="AT406" s="3" t="str">
        <f t="shared" si="238"/>
        <v/>
      </c>
      <c r="AU406" s="3" t="str">
        <f t="shared" si="239"/>
        <v/>
      </c>
      <c r="AW406" s="32" t="str">
        <f t="shared" si="240"/>
        <v/>
      </c>
      <c r="AX406" s="32" t="str">
        <f t="shared" si="241"/>
        <v/>
      </c>
      <c r="AY406" s="32" t="str">
        <f t="shared" si="242"/>
        <v/>
      </c>
      <c r="BA406" s="32" t="str">
        <f>IF($A407="","",F406*Summary!$Q$13)</f>
        <v/>
      </c>
    </row>
    <row r="407" spans="1:53">
      <c r="A407" s="67" t="str">
        <f t="shared" si="243"/>
        <v/>
      </c>
      <c r="B407" s="69" t="str">
        <f t="shared" si="244"/>
        <v/>
      </c>
      <c r="D407" s="69" t="str">
        <f t="shared" si="219"/>
        <v/>
      </c>
      <c r="E407" s="70" t="str">
        <f t="shared" si="220"/>
        <v/>
      </c>
      <c r="F407" s="70" t="str">
        <f t="shared" si="221"/>
        <v/>
      </c>
      <c r="G407" s="63" t="str">
        <f t="shared" si="222"/>
        <v/>
      </c>
      <c r="H407" s="64" t="str">
        <f t="shared" si="223"/>
        <v/>
      </c>
      <c r="J407" s="63" t="str">
        <f t="shared" si="224"/>
        <v/>
      </c>
      <c r="K407" s="64" t="str">
        <f t="shared" si="225"/>
        <v/>
      </c>
      <c r="L407" s="38">
        <v>0</v>
      </c>
      <c r="M407" s="64" t="str">
        <f t="shared" si="226"/>
        <v/>
      </c>
      <c r="O407" s="63" t="str">
        <f t="shared" si="227"/>
        <v/>
      </c>
      <c r="P407" s="63" t="str">
        <f t="shared" si="228"/>
        <v/>
      </c>
      <c r="R407" s="63" t="str">
        <f t="shared" si="229"/>
        <v/>
      </c>
      <c r="S407" s="64" t="str">
        <f t="shared" si="230"/>
        <v/>
      </c>
      <c r="T407" s="38">
        <v>0</v>
      </c>
      <c r="U407" s="64" t="str">
        <f t="shared" si="231"/>
        <v/>
      </c>
      <c r="V407" s="219"/>
      <c r="W407" s="43" t="str">
        <f t="shared" si="232"/>
        <v/>
      </c>
      <c r="X407" s="43" t="str">
        <f t="shared" si="233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34"/>
        <v/>
      </c>
      <c r="AP407" s="33" t="str">
        <f t="shared" si="235"/>
        <v/>
      </c>
      <c r="AQ407" s="58" t="str">
        <f t="shared" si="236"/>
        <v/>
      </c>
      <c r="AR407" s="38">
        <f>'ANR OK vs ML7'!AR407</f>
        <v>0.1</v>
      </c>
      <c r="AS407" s="35" t="str">
        <f t="shared" si="237"/>
        <v/>
      </c>
      <c r="AT407" s="3" t="str">
        <f t="shared" si="238"/>
        <v/>
      </c>
      <c r="AU407" s="3" t="str">
        <f t="shared" si="239"/>
        <v/>
      </c>
      <c r="AW407" s="32" t="str">
        <f t="shared" si="240"/>
        <v/>
      </c>
      <c r="AX407" s="32" t="str">
        <f t="shared" si="241"/>
        <v/>
      </c>
      <c r="AY407" s="32" t="str">
        <f t="shared" si="242"/>
        <v/>
      </c>
      <c r="BA407" s="32" t="str">
        <f>IF($A408="","",F407*Summary!$Q$13)</f>
        <v/>
      </c>
    </row>
    <row r="408" spans="1:53">
      <c r="A408" s="67" t="str">
        <f t="shared" si="243"/>
        <v/>
      </c>
      <c r="B408" s="69" t="str">
        <f t="shared" si="244"/>
        <v/>
      </c>
      <c r="D408" s="69" t="str">
        <f t="shared" si="219"/>
        <v/>
      </c>
      <c r="E408" s="70" t="str">
        <f t="shared" si="220"/>
        <v/>
      </c>
      <c r="F408" s="70" t="str">
        <f t="shared" si="221"/>
        <v/>
      </c>
      <c r="G408" s="63" t="str">
        <f t="shared" si="222"/>
        <v/>
      </c>
      <c r="H408" s="64" t="str">
        <f t="shared" si="223"/>
        <v/>
      </c>
      <c r="J408" s="63" t="str">
        <f t="shared" si="224"/>
        <v/>
      </c>
      <c r="K408" s="64" t="str">
        <f t="shared" si="225"/>
        <v/>
      </c>
      <c r="L408" s="38">
        <v>0</v>
      </c>
      <c r="M408" s="64" t="str">
        <f t="shared" si="226"/>
        <v/>
      </c>
      <c r="O408" s="63" t="str">
        <f t="shared" si="227"/>
        <v/>
      </c>
      <c r="P408" s="63" t="str">
        <f t="shared" si="228"/>
        <v/>
      </c>
      <c r="R408" s="63" t="str">
        <f t="shared" si="229"/>
        <v/>
      </c>
      <c r="S408" s="64" t="str">
        <f t="shared" si="230"/>
        <v/>
      </c>
      <c r="T408" s="38">
        <v>0</v>
      </c>
      <c r="U408" s="64" t="str">
        <f t="shared" si="231"/>
        <v/>
      </c>
      <c r="V408" s="219"/>
      <c r="W408" s="43" t="str">
        <f t="shared" si="232"/>
        <v/>
      </c>
      <c r="X408" s="43" t="str">
        <f t="shared" si="233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34"/>
        <v/>
      </c>
      <c r="AP408" s="33" t="str">
        <f t="shared" si="235"/>
        <v/>
      </c>
      <c r="AQ408" s="58" t="str">
        <f t="shared" si="236"/>
        <v/>
      </c>
      <c r="AR408" s="38">
        <f>'ANR OK vs ML7'!AR408</f>
        <v>0.1</v>
      </c>
      <c r="AS408" s="35" t="str">
        <f t="shared" si="237"/>
        <v/>
      </c>
      <c r="AT408" s="3" t="str">
        <f t="shared" si="238"/>
        <v/>
      </c>
      <c r="AU408" s="3" t="str">
        <f t="shared" si="239"/>
        <v/>
      </c>
      <c r="AW408" s="32" t="str">
        <f t="shared" si="240"/>
        <v/>
      </c>
      <c r="AX408" s="32" t="str">
        <f t="shared" si="241"/>
        <v/>
      </c>
      <c r="AY408" s="32" t="str">
        <f t="shared" si="242"/>
        <v/>
      </c>
      <c r="BA408" s="32" t="str">
        <f>IF($A409="","",F408*Summary!$Q$13)</f>
        <v/>
      </c>
    </row>
    <row r="409" spans="1:53">
      <c r="A409" s="67" t="str">
        <f t="shared" si="243"/>
        <v/>
      </c>
      <c r="B409" s="69" t="str">
        <f t="shared" si="244"/>
        <v/>
      </c>
      <c r="D409" s="69" t="str">
        <f t="shared" si="219"/>
        <v/>
      </c>
      <c r="E409" s="70" t="str">
        <f t="shared" si="220"/>
        <v/>
      </c>
      <c r="F409" s="70" t="str">
        <f t="shared" si="221"/>
        <v/>
      </c>
      <c r="G409" s="63" t="str">
        <f t="shared" si="222"/>
        <v/>
      </c>
      <c r="H409" s="64" t="str">
        <f t="shared" si="223"/>
        <v/>
      </c>
      <c r="J409" s="63" t="str">
        <f t="shared" si="224"/>
        <v/>
      </c>
      <c r="K409" s="64" t="str">
        <f t="shared" si="225"/>
        <v/>
      </c>
      <c r="L409" s="38">
        <v>0</v>
      </c>
      <c r="M409" s="64" t="str">
        <f t="shared" si="226"/>
        <v/>
      </c>
      <c r="O409" s="63" t="str">
        <f t="shared" si="227"/>
        <v/>
      </c>
      <c r="P409" s="63" t="str">
        <f t="shared" si="228"/>
        <v/>
      </c>
      <c r="R409" s="63" t="str">
        <f t="shared" si="229"/>
        <v/>
      </c>
      <c r="S409" s="64" t="str">
        <f t="shared" si="230"/>
        <v/>
      </c>
      <c r="T409" s="38">
        <v>0</v>
      </c>
      <c r="U409" s="64" t="str">
        <f t="shared" si="231"/>
        <v/>
      </c>
      <c r="V409" s="219"/>
      <c r="W409" s="43" t="str">
        <f t="shared" si="232"/>
        <v/>
      </c>
      <c r="X409" s="43" t="str">
        <f t="shared" si="233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34"/>
        <v/>
      </c>
      <c r="AP409" s="33" t="str">
        <f t="shared" si="235"/>
        <v/>
      </c>
      <c r="AQ409" s="58" t="str">
        <f t="shared" si="236"/>
        <v/>
      </c>
      <c r="AR409" s="38">
        <f>'ANR OK vs ML7'!AR409</f>
        <v>0.1</v>
      </c>
      <c r="AS409" s="35" t="str">
        <f t="shared" si="237"/>
        <v/>
      </c>
      <c r="AT409" s="3" t="str">
        <f t="shared" si="238"/>
        <v/>
      </c>
      <c r="AU409" s="3" t="str">
        <f t="shared" si="239"/>
        <v/>
      </c>
      <c r="AW409" s="32" t="str">
        <f t="shared" si="240"/>
        <v/>
      </c>
      <c r="AX409" s="32" t="str">
        <f t="shared" si="241"/>
        <v/>
      </c>
      <c r="AY409" s="32" t="str">
        <f t="shared" si="242"/>
        <v/>
      </c>
      <c r="BA409" s="32" t="str">
        <f>IF($A410="","",F409*Summary!$Q$13)</f>
        <v/>
      </c>
    </row>
    <row r="410" spans="1:53">
      <c r="A410" s="67" t="str">
        <f t="shared" si="243"/>
        <v/>
      </c>
      <c r="B410" s="69" t="str">
        <f t="shared" si="244"/>
        <v/>
      </c>
      <c r="D410" s="69" t="str">
        <f t="shared" si="219"/>
        <v/>
      </c>
      <c r="E410" s="70" t="str">
        <f t="shared" si="220"/>
        <v/>
      </c>
      <c r="F410" s="70" t="str">
        <f t="shared" si="221"/>
        <v/>
      </c>
      <c r="G410" s="63" t="str">
        <f t="shared" si="222"/>
        <v/>
      </c>
      <c r="H410" s="64" t="str">
        <f t="shared" si="223"/>
        <v/>
      </c>
      <c r="J410" s="63" t="str">
        <f t="shared" si="224"/>
        <v/>
      </c>
      <c r="K410" s="64" t="str">
        <f t="shared" si="225"/>
        <v/>
      </c>
      <c r="L410" s="38">
        <v>0</v>
      </c>
      <c r="M410" s="64" t="str">
        <f t="shared" si="226"/>
        <v/>
      </c>
      <c r="O410" s="63" t="str">
        <f t="shared" si="227"/>
        <v/>
      </c>
      <c r="P410" s="63" t="str">
        <f t="shared" si="228"/>
        <v/>
      </c>
      <c r="R410" s="63" t="str">
        <f t="shared" si="229"/>
        <v/>
      </c>
      <c r="S410" s="64" t="str">
        <f t="shared" si="230"/>
        <v/>
      </c>
      <c r="T410" s="38">
        <v>0</v>
      </c>
      <c r="U410" s="64" t="str">
        <f t="shared" si="231"/>
        <v/>
      </c>
      <c r="V410" s="219"/>
      <c r="W410" s="43" t="str">
        <f t="shared" si="232"/>
        <v/>
      </c>
      <c r="X410" s="43" t="str">
        <f t="shared" si="233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34"/>
        <v/>
      </c>
      <c r="AP410" s="33" t="str">
        <f t="shared" si="235"/>
        <v/>
      </c>
      <c r="AQ410" s="58" t="str">
        <f t="shared" si="236"/>
        <v/>
      </c>
      <c r="AR410" s="38">
        <f>'ANR OK vs ML7'!AR410</f>
        <v>0.1</v>
      </c>
      <c r="AS410" s="35" t="str">
        <f t="shared" si="237"/>
        <v/>
      </c>
      <c r="AT410" s="3" t="str">
        <f t="shared" si="238"/>
        <v/>
      </c>
      <c r="AU410" s="3" t="str">
        <f t="shared" si="239"/>
        <v/>
      </c>
      <c r="AW410" s="32" t="str">
        <f t="shared" si="240"/>
        <v/>
      </c>
      <c r="AX410" s="32" t="str">
        <f t="shared" si="241"/>
        <v/>
      </c>
      <c r="AY410" s="32" t="str">
        <f t="shared" si="242"/>
        <v/>
      </c>
      <c r="BA410" s="32" t="str">
        <f>IF($A411="","",F410*Summary!$Q$13)</f>
        <v/>
      </c>
    </row>
    <row r="411" spans="1:53">
      <c r="A411" s="67" t="str">
        <f t="shared" si="243"/>
        <v/>
      </c>
      <c r="B411" s="69" t="str">
        <f t="shared" si="244"/>
        <v/>
      </c>
      <c r="D411" s="69" t="str">
        <f t="shared" si="219"/>
        <v/>
      </c>
      <c r="E411" s="70" t="str">
        <f t="shared" si="220"/>
        <v/>
      </c>
      <c r="F411" s="70" t="str">
        <f t="shared" si="221"/>
        <v/>
      </c>
      <c r="G411" s="63" t="str">
        <f t="shared" si="222"/>
        <v/>
      </c>
      <c r="H411" s="64" t="str">
        <f t="shared" si="223"/>
        <v/>
      </c>
      <c r="J411" s="63" t="str">
        <f t="shared" si="224"/>
        <v/>
      </c>
      <c r="K411" s="64" t="str">
        <f t="shared" si="225"/>
        <v/>
      </c>
      <c r="L411" s="38">
        <v>0</v>
      </c>
      <c r="M411" s="64" t="str">
        <f t="shared" si="226"/>
        <v/>
      </c>
      <c r="O411" s="63" t="str">
        <f t="shared" si="227"/>
        <v/>
      </c>
      <c r="P411" s="63" t="str">
        <f t="shared" si="228"/>
        <v/>
      </c>
      <c r="R411" s="63" t="str">
        <f t="shared" si="229"/>
        <v/>
      </c>
      <c r="S411" s="64" t="str">
        <f t="shared" si="230"/>
        <v/>
      </c>
      <c r="T411" s="38">
        <v>0</v>
      </c>
      <c r="U411" s="64" t="str">
        <f t="shared" si="231"/>
        <v/>
      </c>
      <c r="V411" s="219"/>
      <c r="W411" s="43" t="str">
        <f t="shared" si="232"/>
        <v/>
      </c>
      <c r="X411" s="43" t="str">
        <f t="shared" si="233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34"/>
        <v/>
      </c>
      <c r="AP411" s="33" t="str">
        <f t="shared" si="235"/>
        <v/>
      </c>
      <c r="AQ411" s="58" t="str">
        <f t="shared" si="236"/>
        <v/>
      </c>
      <c r="AR411" s="38">
        <f>'ANR OK vs ML7'!AR411</f>
        <v>0.1</v>
      </c>
      <c r="AS411" s="35" t="str">
        <f t="shared" si="237"/>
        <v/>
      </c>
      <c r="AT411" s="3" t="str">
        <f t="shared" si="238"/>
        <v/>
      </c>
      <c r="AU411" s="3" t="str">
        <f t="shared" si="239"/>
        <v/>
      </c>
      <c r="AW411" s="32" t="str">
        <f t="shared" si="240"/>
        <v/>
      </c>
      <c r="AX411" s="32" t="str">
        <f t="shared" si="241"/>
        <v/>
      </c>
      <c r="AY411" s="32" t="str">
        <f t="shared" si="242"/>
        <v/>
      </c>
      <c r="BA411" s="32" t="str">
        <f>IF($A412="","",F411*Summary!$Q$13)</f>
        <v/>
      </c>
    </row>
    <row r="412" spans="1:53">
      <c r="A412" s="67" t="str">
        <f t="shared" si="243"/>
        <v/>
      </c>
      <c r="B412" s="69" t="str">
        <f t="shared" si="244"/>
        <v/>
      </c>
      <c r="D412" s="69" t="str">
        <f t="shared" si="219"/>
        <v/>
      </c>
      <c r="E412" s="70" t="str">
        <f t="shared" si="220"/>
        <v/>
      </c>
      <c r="F412" s="70" t="str">
        <f t="shared" si="221"/>
        <v/>
      </c>
      <c r="G412" s="63" t="str">
        <f t="shared" si="222"/>
        <v/>
      </c>
      <c r="H412" s="64" t="str">
        <f t="shared" si="223"/>
        <v/>
      </c>
      <c r="J412" s="63" t="str">
        <f t="shared" si="224"/>
        <v/>
      </c>
      <c r="K412" s="64" t="str">
        <f t="shared" si="225"/>
        <v/>
      </c>
      <c r="L412" s="38">
        <v>0</v>
      </c>
      <c r="M412" s="64" t="str">
        <f t="shared" si="226"/>
        <v/>
      </c>
      <c r="O412" s="63" t="str">
        <f t="shared" si="227"/>
        <v/>
      </c>
      <c r="P412" s="63" t="str">
        <f t="shared" si="228"/>
        <v/>
      </c>
      <c r="R412" s="63" t="str">
        <f t="shared" si="229"/>
        <v/>
      </c>
      <c r="S412" s="64" t="str">
        <f t="shared" si="230"/>
        <v/>
      </c>
      <c r="T412" s="38">
        <v>0</v>
      </c>
      <c r="U412" s="64" t="str">
        <f t="shared" si="231"/>
        <v/>
      </c>
      <c r="V412" s="219"/>
      <c r="W412" s="43" t="str">
        <f t="shared" si="232"/>
        <v/>
      </c>
      <c r="X412" s="43" t="str">
        <f t="shared" si="233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34"/>
        <v/>
      </c>
      <c r="AP412" s="33" t="str">
        <f t="shared" si="235"/>
        <v/>
      </c>
      <c r="AQ412" s="58" t="str">
        <f t="shared" si="236"/>
        <v/>
      </c>
      <c r="AR412" s="38">
        <f>'ANR OK vs ML7'!AR412</f>
        <v>0.1</v>
      </c>
      <c r="AS412" s="35" t="str">
        <f t="shared" si="237"/>
        <v/>
      </c>
      <c r="AT412" s="3" t="str">
        <f t="shared" si="238"/>
        <v/>
      </c>
      <c r="AU412" s="3" t="str">
        <f t="shared" si="239"/>
        <v/>
      </c>
      <c r="AW412" s="32" t="str">
        <f t="shared" si="240"/>
        <v/>
      </c>
      <c r="AX412" s="32" t="str">
        <f t="shared" si="241"/>
        <v/>
      </c>
      <c r="AY412" s="32" t="str">
        <f t="shared" si="242"/>
        <v/>
      </c>
      <c r="BA412" s="32" t="str">
        <f>IF($A413="","",F412*Summary!$Q$13)</f>
        <v/>
      </c>
    </row>
    <row r="413" spans="1:53">
      <c r="A413" s="67" t="str">
        <f t="shared" si="243"/>
        <v/>
      </c>
      <c r="B413" s="69" t="str">
        <f t="shared" si="244"/>
        <v/>
      </c>
      <c r="D413" s="69" t="str">
        <f t="shared" si="219"/>
        <v/>
      </c>
      <c r="E413" s="70" t="str">
        <f t="shared" si="220"/>
        <v/>
      </c>
      <c r="F413" s="70" t="str">
        <f t="shared" si="221"/>
        <v/>
      </c>
      <c r="G413" s="63" t="str">
        <f t="shared" si="222"/>
        <v/>
      </c>
      <c r="H413" s="64" t="str">
        <f t="shared" si="223"/>
        <v/>
      </c>
      <c r="J413" s="63" t="str">
        <f t="shared" si="224"/>
        <v/>
      </c>
      <c r="K413" s="64" t="str">
        <f t="shared" si="225"/>
        <v/>
      </c>
      <c r="L413" s="38">
        <v>0</v>
      </c>
      <c r="M413" s="64" t="str">
        <f t="shared" si="226"/>
        <v/>
      </c>
      <c r="O413" s="63" t="str">
        <f t="shared" si="227"/>
        <v/>
      </c>
      <c r="P413" s="63" t="str">
        <f t="shared" si="228"/>
        <v/>
      </c>
      <c r="R413" s="63" t="str">
        <f t="shared" si="229"/>
        <v/>
      </c>
      <c r="S413" s="64" t="str">
        <f t="shared" si="230"/>
        <v/>
      </c>
      <c r="T413" s="38">
        <v>0</v>
      </c>
      <c r="U413" s="64" t="str">
        <f t="shared" si="231"/>
        <v/>
      </c>
      <c r="V413" s="219"/>
      <c r="W413" s="43" t="str">
        <f t="shared" si="232"/>
        <v/>
      </c>
      <c r="X413" s="43" t="str">
        <f t="shared" si="233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34"/>
        <v/>
      </c>
      <c r="AP413" s="33" t="str">
        <f t="shared" si="235"/>
        <v/>
      </c>
      <c r="AQ413" s="58" t="str">
        <f t="shared" si="236"/>
        <v/>
      </c>
      <c r="AR413" s="38">
        <f>'ANR OK vs ML7'!AR413</f>
        <v>0.1</v>
      </c>
      <c r="AS413" s="35" t="str">
        <f t="shared" si="237"/>
        <v/>
      </c>
      <c r="AT413" s="3" t="str">
        <f t="shared" si="238"/>
        <v/>
      </c>
      <c r="AU413" s="3" t="str">
        <f t="shared" si="239"/>
        <v/>
      </c>
      <c r="AW413" s="32" t="str">
        <f t="shared" si="240"/>
        <v/>
      </c>
      <c r="AX413" s="32" t="str">
        <f t="shared" si="241"/>
        <v/>
      </c>
      <c r="AY413" s="32" t="str">
        <f t="shared" si="242"/>
        <v/>
      </c>
      <c r="BA413" s="32" t="str">
        <f>IF($A414="","",F413*Summary!$Q$13)</f>
        <v/>
      </c>
    </row>
    <row r="414" spans="1:53">
      <c r="A414" s="67" t="str">
        <f t="shared" si="243"/>
        <v/>
      </c>
      <c r="B414" s="69" t="str">
        <f t="shared" si="244"/>
        <v/>
      </c>
      <c r="D414" s="69" t="str">
        <f t="shared" si="219"/>
        <v/>
      </c>
      <c r="E414" s="70" t="str">
        <f t="shared" si="220"/>
        <v/>
      </c>
      <c r="F414" s="70" t="str">
        <f t="shared" si="221"/>
        <v/>
      </c>
      <c r="G414" s="63" t="str">
        <f t="shared" si="222"/>
        <v/>
      </c>
      <c r="H414" s="64" t="str">
        <f t="shared" si="223"/>
        <v/>
      </c>
      <c r="J414" s="63" t="str">
        <f t="shared" si="224"/>
        <v/>
      </c>
      <c r="K414" s="64" t="str">
        <f t="shared" si="225"/>
        <v/>
      </c>
      <c r="L414" s="38">
        <v>0</v>
      </c>
      <c r="M414" s="64" t="str">
        <f t="shared" si="226"/>
        <v/>
      </c>
      <c r="O414" s="63" t="str">
        <f t="shared" si="227"/>
        <v/>
      </c>
      <c r="P414" s="63" t="str">
        <f t="shared" si="228"/>
        <v/>
      </c>
      <c r="R414" s="63" t="str">
        <f t="shared" si="229"/>
        <v/>
      </c>
      <c r="S414" s="64" t="str">
        <f t="shared" si="230"/>
        <v/>
      </c>
      <c r="T414" s="38">
        <v>0</v>
      </c>
      <c r="U414" s="64" t="str">
        <f t="shared" si="231"/>
        <v/>
      </c>
      <c r="V414" s="219"/>
      <c r="W414" s="43" t="str">
        <f t="shared" si="232"/>
        <v/>
      </c>
      <c r="X414" s="43" t="str">
        <f t="shared" si="233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34"/>
        <v/>
      </c>
      <c r="AP414" s="33" t="str">
        <f t="shared" si="235"/>
        <v/>
      </c>
      <c r="AQ414" s="58" t="str">
        <f t="shared" si="236"/>
        <v/>
      </c>
      <c r="AR414" s="38">
        <f>'ANR OK vs ML7'!AR414</f>
        <v>0.1</v>
      </c>
      <c r="AS414" s="35" t="str">
        <f t="shared" si="237"/>
        <v/>
      </c>
      <c r="AT414" s="3" t="str">
        <f t="shared" si="238"/>
        <v/>
      </c>
      <c r="AU414" s="3" t="str">
        <f t="shared" si="239"/>
        <v/>
      </c>
      <c r="AW414" s="32" t="str">
        <f t="shared" si="240"/>
        <v/>
      </c>
      <c r="AX414" s="32" t="str">
        <f t="shared" si="241"/>
        <v/>
      </c>
      <c r="AY414" s="32" t="str">
        <f t="shared" si="242"/>
        <v/>
      </c>
      <c r="BA414" s="32" t="str">
        <f>IF($A415="","",F414*Summary!$Q$13)</f>
        <v/>
      </c>
    </row>
    <row r="415" spans="1:53">
      <c r="A415" s="67" t="str">
        <f t="shared" si="243"/>
        <v/>
      </c>
      <c r="B415" s="69" t="str">
        <f t="shared" si="244"/>
        <v/>
      </c>
      <c r="D415" s="69" t="str">
        <f t="shared" si="219"/>
        <v/>
      </c>
      <c r="E415" s="70" t="str">
        <f t="shared" si="220"/>
        <v/>
      </c>
      <c r="F415" s="70" t="str">
        <f t="shared" si="221"/>
        <v/>
      </c>
      <c r="G415" s="63" t="str">
        <f t="shared" si="222"/>
        <v/>
      </c>
      <c r="H415" s="64" t="str">
        <f t="shared" si="223"/>
        <v/>
      </c>
      <c r="J415" s="63" t="str">
        <f t="shared" si="224"/>
        <v/>
      </c>
      <c r="K415" s="64" t="str">
        <f t="shared" si="225"/>
        <v/>
      </c>
      <c r="L415" s="38">
        <v>0</v>
      </c>
      <c r="M415" s="64" t="str">
        <f t="shared" si="226"/>
        <v/>
      </c>
      <c r="O415" s="63" t="str">
        <f t="shared" si="227"/>
        <v/>
      </c>
      <c r="P415" s="63" t="str">
        <f t="shared" si="228"/>
        <v/>
      </c>
      <c r="R415" s="63" t="str">
        <f t="shared" si="229"/>
        <v/>
      </c>
      <c r="S415" s="64" t="str">
        <f t="shared" si="230"/>
        <v/>
      </c>
      <c r="T415" s="38">
        <v>0</v>
      </c>
      <c r="U415" s="64" t="str">
        <f t="shared" si="231"/>
        <v/>
      </c>
      <c r="V415" s="219"/>
      <c r="W415" s="43" t="str">
        <f t="shared" si="232"/>
        <v/>
      </c>
      <c r="X415" s="43" t="str">
        <f t="shared" si="233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34"/>
        <v/>
      </c>
      <c r="AP415" s="33" t="str">
        <f t="shared" si="235"/>
        <v/>
      </c>
      <c r="AQ415" s="58" t="str">
        <f t="shared" si="236"/>
        <v/>
      </c>
      <c r="AR415" s="38">
        <f>'ANR OK vs ML7'!AR415</f>
        <v>0.1</v>
      </c>
      <c r="AS415" s="35" t="str">
        <f t="shared" si="237"/>
        <v/>
      </c>
      <c r="AT415" s="3" t="str">
        <f t="shared" si="238"/>
        <v/>
      </c>
      <c r="AU415" s="3" t="str">
        <f t="shared" si="239"/>
        <v/>
      </c>
      <c r="AW415" s="32" t="str">
        <f t="shared" si="240"/>
        <v/>
      </c>
      <c r="AX415" s="32" t="str">
        <f t="shared" si="241"/>
        <v/>
      </c>
      <c r="AY415" s="32" t="str">
        <f t="shared" si="242"/>
        <v/>
      </c>
      <c r="BA415" s="32" t="str">
        <f>IF($A416="","",F415*Summary!$Q$13)</f>
        <v/>
      </c>
    </row>
    <row r="416" spans="1:53">
      <c r="A416" s="67" t="str">
        <f t="shared" si="243"/>
        <v/>
      </c>
      <c r="B416" s="69" t="str">
        <f t="shared" si="244"/>
        <v/>
      </c>
      <c r="D416" s="69" t="str">
        <f t="shared" si="219"/>
        <v/>
      </c>
      <c r="E416" s="70" t="str">
        <f t="shared" si="220"/>
        <v/>
      </c>
      <c r="F416" s="70" t="str">
        <f t="shared" si="221"/>
        <v/>
      </c>
      <c r="G416" s="63" t="str">
        <f t="shared" si="222"/>
        <v/>
      </c>
      <c r="H416" s="64" t="str">
        <f t="shared" si="223"/>
        <v/>
      </c>
      <c r="J416" s="63" t="str">
        <f t="shared" si="224"/>
        <v/>
      </c>
      <c r="K416" s="64" t="str">
        <f t="shared" si="225"/>
        <v/>
      </c>
      <c r="L416" s="38">
        <v>0</v>
      </c>
      <c r="M416" s="64" t="str">
        <f t="shared" si="226"/>
        <v/>
      </c>
      <c r="O416" s="63" t="str">
        <f t="shared" si="227"/>
        <v/>
      </c>
      <c r="P416" s="63" t="str">
        <f t="shared" si="228"/>
        <v/>
      </c>
      <c r="R416" s="63" t="str">
        <f t="shared" si="229"/>
        <v/>
      </c>
      <c r="S416" s="64" t="str">
        <f t="shared" si="230"/>
        <v/>
      </c>
      <c r="T416" s="38">
        <v>0</v>
      </c>
      <c r="U416" s="64" t="str">
        <f t="shared" si="231"/>
        <v/>
      </c>
      <c r="V416" s="219"/>
      <c r="W416" s="43" t="str">
        <f t="shared" si="232"/>
        <v/>
      </c>
      <c r="X416" s="43" t="str">
        <f t="shared" si="233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34"/>
        <v/>
      </c>
      <c r="AP416" s="33" t="str">
        <f t="shared" si="235"/>
        <v/>
      </c>
      <c r="AQ416" s="58" t="str">
        <f t="shared" si="236"/>
        <v/>
      </c>
      <c r="AR416" s="38">
        <f>'ANR OK vs ML7'!AR416</f>
        <v>0.1</v>
      </c>
      <c r="AS416" s="35" t="str">
        <f t="shared" si="237"/>
        <v/>
      </c>
      <c r="AT416" s="3" t="str">
        <f t="shared" si="238"/>
        <v/>
      </c>
      <c r="AU416" s="3" t="str">
        <f t="shared" si="239"/>
        <v/>
      </c>
      <c r="AW416" s="32" t="str">
        <f t="shared" si="240"/>
        <v/>
      </c>
      <c r="AX416" s="32" t="str">
        <f t="shared" si="241"/>
        <v/>
      </c>
      <c r="AY416" s="32" t="str">
        <f t="shared" si="242"/>
        <v/>
      </c>
      <c r="BA416" s="32" t="str">
        <f>IF($A417="","",F416*Summary!$Q$13)</f>
        <v/>
      </c>
    </row>
    <row r="417" spans="1:53">
      <c r="A417" s="67" t="str">
        <f t="shared" si="243"/>
        <v/>
      </c>
      <c r="B417" s="69" t="str">
        <f t="shared" si="244"/>
        <v/>
      </c>
      <c r="D417" s="69" t="str">
        <f t="shared" si="219"/>
        <v/>
      </c>
      <c r="E417" s="70" t="str">
        <f t="shared" si="220"/>
        <v/>
      </c>
      <c r="F417" s="70" t="str">
        <f t="shared" si="221"/>
        <v/>
      </c>
      <c r="G417" s="63" t="str">
        <f t="shared" si="222"/>
        <v/>
      </c>
      <c r="H417" s="64" t="str">
        <f t="shared" si="223"/>
        <v/>
      </c>
      <c r="J417" s="63" t="str">
        <f t="shared" si="224"/>
        <v/>
      </c>
      <c r="K417" s="64" t="str">
        <f t="shared" si="225"/>
        <v/>
      </c>
      <c r="L417" s="38">
        <v>0</v>
      </c>
      <c r="M417" s="64" t="str">
        <f t="shared" si="226"/>
        <v/>
      </c>
      <c r="O417" s="63" t="str">
        <f t="shared" si="227"/>
        <v/>
      </c>
      <c r="P417" s="63" t="str">
        <f t="shared" si="228"/>
        <v/>
      </c>
      <c r="R417" s="63" t="str">
        <f t="shared" si="229"/>
        <v/>
      </c>
      <c r="S417" s="64" t="str">
        <f t="shared" si="230"/>
        <v/>
      </c>
      <c r="T417" s="38">
        <v>0</v>
      </c>
      <c r="U417" s="64" t="str">
        <f t="shared" si="231"/>
        <v/>
      </c>
      <c r="V417" s="219"/>
      <c r="W417" s="43" t="str">
        <f t="shared" si="232"/>
        <v/>
      </c>
      <c r="X417" s="43" t="str">
        <f t="shared" si="233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34"/>
        <v/>
      </c>
      <c r="AP417" s="33" t="str">
        <f t="shared" si="235"/>
        <v/>
      </c>
      <c r="AQ417" s="58" t="str">
        <f t="shared" si="236"/>
        <v/>
      </c>
      <c r="AR417" s="38">
        <f>'ANR OK vs ML7'!AR417</f>
        <v>0.1</v>
      </c>
      <c r="AS417" s="35" t="str">
        <f t="shared" si="237"/>
        <v/>
      </c>
      <c r="AT417" s="3" t="str">
        <f t="shared" si="238"/>
        <v/>
      </c>
      <c r="AU417" s="3" t="str">
        <f t="shared" si="239"/>
        <v/>
      </c>
      <c r="AW417" s="32" t="str">
        <f t="shared" si="240"/>
        <v/>
      </c>
      <c r="AX417" s="32" t="str">
        <f t="shared" si="241"/>
        <v/>
      </c>
      <c r="AY417" s="32" t="str">
        <f t="shared" si="242"/>
        <v/>
      </c>
      <c r="BA417" s="32" t="str">
        <f>IF($A418="","",F417*Summary!$Q$13)</f>
        <v/>
      </c>
    </row>
    <row r="418" spans="1:53">
      <c r="A418" s="67" t="str">
        <f t="shared" si="243"/>
        <v/>
      </c>
      <c r="B418" s="69" t="str">
        <f t="shared" si="244"/>
        <v/>
      </c>
      <c r="D418" s="69" t="str">
        <f t="shared" si="219"/>
        <v/>
      </c>
      <c r="E418" s="70" t="str">
        <f t="shared" si="220"/>
        <v/>
      </c>
      <c r="F418" s="70" t="str">
        <f t="shared" si="221"/>
        <v/>
      </c>
      <c r="G418" s="63" t="str">
        <f t="shared" si="222"/>
        <v/>
      </c>
      <c r="H418" s="64" t="str">
        <f t="shared" si="223"/>
        <v/>
      </c>
      <c r="J418" s="63" t="str">
        <f t="shared" si="224"/>
        <v/>
      </c>
      <c r="K418" s="64" t="str">
        <f t="shared" si="225"/>
        <v/>
      </c>
      <c r="L418" s="38">
        <v>0</v>
      </c>
      <c r="M418" s="64" t="str">
        <f t="shared" si="226"/>
        <v/>
      </c>
      <c r="O418" s="63" t="str">
        <f t="shared" si="227"/>
        <v/>
      </c>
      <c r="P418" s="63" t="str">
        <f t="shared" si="228"/>
        <v/>
      </c>
      <c r="R418" s="63" t="str">
        <f t="shared" si="229"/>
        <v/>
      </c>
      <c r="S418" s="64" t="str">
        <f t="shared" si="230"/>
        <v/>
      </c>
      <c r="T418" s="38">
        <v>0</v>
      </c>
      <c r="U418" s="64" t="str">
        <f t="shared" si="231"/>
        <v/>
      </c>
      <c r="V418" s="219"/>
      <c r="W418" s="43" t="str">
        <f t="shared" si="232"/>
        <v/>
      </c>
      <c r="X418" s="43" t="str">
        <f t="shared" si="233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34"/>
        <v/>
      </c>
      <c r="AP418" s="33" t="str">
        <f t="shared" si="235"/>
        <v/>
      </c>
      <c r="AQ418" s="58" t="str">
        <f t="shared" si="236"/>
        <v/>
      </c>
      <c r="AR418" s="38">
        <f>'ANR OK vs ML7'!AR418</f>
        <v>0.1</v>
      </c>
      <c r="AS418" s="35" t="str">
        <f t="shared" si="237"/>
        <v/>
      </c>
      <c r="AT418" s="3" t="str">
        <f t="shared" si="238"/>
        <v/>
      </c>
      <c r="AU418" s="3" t="str">
        <f t="shared" si="239"/>
        <v/>
      </c>
      <c r="AW418" s="32" t="str">
        <f t="shared" si="240"/>
        <v/>
      </c>
      <c r="AX418" s="32" t="str">
        <f t="shared" si="241"/>
        <v/>
      </c>
      <c r="AY418" s="32" t="str">
        <f t="shared" si="242"/>
        <v/>
      </c>
      <c r="BA418" s="32" t="str">
        <f>IF($A419="","",F418*Summary!$Q$13)</f>
        <v/>
      </c>
    </row>
    <row r="419" spans="1:53">
      <c r="A419" s="67" t="str">
        <f t="shared" si="243"/>
        <v/>
      </c>
      <c r="B419" s="69" t="str">
        <f t="shared" si="244"/>
        <v/>
      </c>
      <c r="D419" s="69" t="str">
        <f t="shared" si="219"/>
        <v/>
      </c>
      <c r="E419" s="70" t="str">
        <f t="shared" si="220"/>
        <v/>
      </c>
      <c r="F419" s="70" t="str">
        <f t="shared" si="221"/>
        <v/>
      </c>
      <c r="G419" s="63" t="str">
        <f t="shared" si="222"/>
        <v/>
      </c>
      <c r="H419" s="64" t="str">
        <f t="shared" si="223"/>
        <v/>
      </c>
      <c r="J419" s="63" t="str">
        <f t="shared" si="224"/>
        <v/>
      </c>
      <c r="K419" s="64" t="str">
        <f t="shared" si="225"/>
        <v/>
      </c>
      <c r="L419" s="38">
        <v>0</v>
      </c>
      <c r="M419" s="64" t="str">
        <f t="shared" si="226"/>
        <v/>
      </c>
      <c r="O419" s="63" t="str">
        <f t="shared" si="227"/>
        <v/>
      </c>
      <c r="P419" s="63" t="str">
        <f t="shared" si="228"/>
        <v/>
      </c>
      <c r="R419" s="63" t="str">
        <f t="shared" si="229"/>
        <v/>
      </c>
      <c r="S419" s="64" t="str">
        <f t="shared" si="230"/>
        <v/>
      </c>
      <c r="T419" s="38">
        <v>0</v>
      </c>
      <c r="U419" s="64" t="str">
        <f t="shared" si="231"/>
        <v/>
      </c>
      <c r="V419" s="219"/>
      <c r="W419" s="43" t="str">
        <f t="shared" si="232"/>
        <v/>
      </c>
      <c r="X419" s="43" t="str">
        <f t="shared" si="233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34"/>
        <v/>
      </c>
      <c r="AP419" s="33" t="str">
        <f t="shared" si="235"/>
        <v/>
      </c>
      <c r="AQ419" s="58" t="str">
        <f t="shared" si="236"/>
        <v/>
      </c>
      <c r="AR419" s="38">
        <f>'ANR OK vs ML7'!AR419</f>
        <v>0.1</v>
      </c>
      <c r="AS419" s="35" t="str">
        <f t="shared" si="237"/>
        <v/>
      </c>
      <c r="AT419" s="3" t="str">
        <f t="shared" si="238"/>
        <v/>
      </c>
      <c r="AU419" s="3" t="str">
        <f t="shared" si="239"/>
        <v/>
      </c>
      <c r="AW419" s="32" t="str">
        <f t="shared" si="240"/>
        <v/>
      </c>
      <c r="AX419" s="32" t="str">
        <f t="shared" si="241"/>
        <v/>
      </c>
      <c r="AY419" s="32" t="str">
        <f t="shared" si="242"/>
        <v/>
      </c>
      <c r="BA419" s="32" t="str">
        <f>IF($A420="","",F419*Summary!$Q$13)</f>
        <v/>
      </c>
    </row>
    <row r="420" spans="1:53">
      <c r="A420" s="67" t="str">
        <f t="shared" si="243"/>
        <v/>
      </c>
      <c r="B420" s="69" t="str">
        <f t="shared" si="244"/>
        <v/>
      </c>
      <c r="D420" s="69" t="str">
        <f t="shared" si="219"/>
        <v/>
      </c>
      <c r="E420" s="70" t="str">
        <f t="shared" si="220"/>
        <v/>
      </c>
      <c r="F420" s="70" t="str">
        <f t="shared" si="221"/>
        <v/>
      </c>
      <c r="G420" s="63" t="str">
        <f t="shared" si="222"/>
        <v/>
      </c>
      <c r="H420" s="64" t="str">
        <f t="shared" si="223"/>
        <v/>
      </c>
      <c r="J420" s="63" t="str">
        <f t="shared" si="224"/>
        <v/>
      </c>
      <c r="K420" s="64" t="str">
        <f t="shared" si="225"/>
        <v/>
      </c>
      <c r="L420" s="38">
        <v>0</v>
      </c>
      <c r="M420" s="64" t="str">
        <f t="shared" si="226"/>
        <v/>
      </c>
      <c r="O420" s="63" t="str">
        <f t="shared" si="227"/>
        <v/>
      </c>
      <c r="P420" s="63" t="str">
        <f t="shared" si="228"/>
        <v/>
      </c>
      <c r="R420" s="63" t="str">
        <f t="shared" si="229"/>
        <v/>
      </c>
      <c r="S420" s="64" t="str">
        <f t="shared" si="230"/>
        <v/>
      </c>
      <c r="T420" s="38">
        <v>0</v>
      </c>
      <c r="U420" s="64" t="str">
        <f t="shared" si="231"/>
        <v/>
      </c>
      <c r="V420" s="219"/>
      <c r="W420" s="43" t="str">
        <f t="shared" si="232"/>
        <v/>
      </c>
      <c r="X420" s="43" t="str">
        <f t="shared" si="233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34"/>
        <v/>
      </c>
      <c r="AP420" s="33" t="str">
        <f t="shared" si="235"/>
        <v/>
      </c>
      <c r="AQ420" s="58" t="str">
        <f t="shared" si="236"/>
        <v/>
      </c>
      <c r="AR420" s="38">
        <f>'ANR OK vs ML7'!AR420</f>
        <v>0.1</v>
      </c>
      <c r="AS420" s="35" t="str">
        <f t="shared" si="237"/>
        <v/>
      </c>
      <c r="AT420" s="3" t="str">
        <f t="shared" si="238"/>
        <v/>
      </c>
      <c r="AU420" s="3" t="str">
        <f t="shared" si="239"/>
        <v/>
      </c>
      <c r="AW420" s="32" t="str">
        <f t="shared" si="240"/>
        <v/>
      </c>
      <c r="AX420" s="32" t="str">
        <f t="shared" si="241"/>
        <v/>
      </c>
      <c r="AY420" s="32" t="str">
        <f t="shared" si="242"/>
        <v/>
      </c>
      <c r="BA420" s="32" t="str">
        <f>IF($A421="","",F420*Summary!$Q$13)</f>
        <v/>
      </c>
    </row>
    <row r="421" spans="1:53">
      <c r="A421" s="67" t="str">
        <f t="shared" si="243"/>
        <v/>
      </c>
      <c r="B421" s="69" t="str">
        <f t="shared" si="244"/>
        <v/>
      </c>
      <c r="D421" s="69" t="str">
        <f t="shared" si="219"/>
        <v/>
      </c>
      <c r="E421" s="70" t="str">
        <f t="shared" si="220"/>
        <v/>
      </c>
      <c r="F421" s="70" t="str">
        <f t="shared" si="221"/>
        <v/>
      </c>
      <c r="G421" s="63" t="str">
        <f t="shared" si="222"/>
        <v/>
      </c>
      <c r="H421" s="64" t="str">
        <f t="shared" si="223"/>
        <v/>
      </c>
      <c r="J421" s="63" t="str">
        <f t="shared" si="224"/>
        <v/>
      </c>
      <c r="K421" s="64" t="str">
        <f t="shared" si="225"/>
        <v/>
      </c>
      <c r="L421" s="38">
        <v>0</v>
      </c>
      <c r="M421" s="64" t="str">
        <f t="shared" si="226"/>
        <v/>
      </c>
      <c r="O421" s="63" t="str">
        <f t="shared" si="227"/>
        <v/>
      </c>
      <c r="P421" s="63" t="str">
        <f t="shared" si="228"/>
        <v/>
      </c>
      <c r="R421" s="63" t="str">
        <f t="shared" si="229"/>
        <v/>
      </c>
      <c r="S421" s="64" t="str">
        <f t="shared" si="230"/>
        <v/>
      </c>
      <c r="T421" s="38">
        <v>0</v>
      </c>
      <c r="U421" s="64" t="str">
        <f t="shared" si="231"/>
        <v/>
      </c>
      <c r="V421" s="219"/>
      <c r="W421" s="43" t="str">
        <f t="shared" si="232"/>
        <v/>
      </c>
      <c r="X421" s="43" t="str">
        <f t="shared" si="233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34"/>
        <v/>
      </c>
      <c r="AP421" s="33" t="str">
        <f t="shared" si="235"/>
        <v/>
      </c>
      <c r="AQ421" s="58" t="str">
        <f t="shared" si="236"/>
        <v/>
      </c>
      <c r="AR421" s="38">
        <f>'ANR OK vs ML7'!AR421</f>
        <v>0.1</v>
      </c>
      <c r="AS421" s="35" t="str">
        <f t="shared" si="237"/>
        <v/>
      </c>
      <c r="AT421" s="3" t="str">
        <f t="shared" si="238"/>
        <v/>
      </c>
      <c r="AU421" s="3" t="str">
        <f t="shared" si="239"/>
        <v/>
      </c>
      <c r="AW421" s="32" t="str">
        <f t="shared" si="240"/>
        <v/>
      </c>
      <c r="AX421" s="32" t="str">
        <f t="shared" si="241"/>
        <v/>
      </c>
      <c r="AY421" s="32" t="str">
        <f t="shared" si="242"/>
        <v/>
      </c>
      <c r="BA421" s="32" t="str">
        <f>IF($A422="","",F421*Summary!$Q$13)</f>
        <v/>
      </c>
    </row>
    <row r="422" spans="1:53">
      <c r="A422" s="67" t="str">
        <f t="shared" si="243"/>
        <v/>
      </c>
      <c r="B422" s="69" t="str">
        <f t="shared" si="244"/>
        <v/>
      </c>
      <c r="D422" s="69" t="str">
        <f t="shared" si="219"/>
        <v/>
      </c>
      <c r="E422" s="70" t="str">
        <f t="shared" si="220"/>
        <v/>
      </c>
      <c r="F422" s="70" t="str">
        <f t="shared" si="221"/>
        <v/>
      </c>
      <c r="G422" s="63" t="str">
        <f t="shared" si="222"/>
        <v/>
      </c>
      <c r="H422" s="64" t="str">
        <f t="shared" si="223"/>
        <v/>
      </c>
      <c r="J422" s="63" t="str">
        <f t="shared" si="224"/>
        <v/>
      </c>
      <c r="K422" s="64" t="str">
        <f t="shared" si="225"/>
        <v/>
      </c>
      <c r="L422" s="38">
        <v>0</v>
      </c>
      <c r="M422" s="64" t="str">
        <f t="shared" si="226"/>
        <v/>
      </c>
      <c r="O422" s="63" t="str">
        <f t="shared" si="227"/>
        <v/>
      </c>
      <c r="P422" s="63" t="str">
        <f t="shared" si="228"/>
        <v/>
      </c>
      <c r="R422" s="63" t="str">
        <f t="shared" si="229"/>
        <v/>
      </c>
      <c r="S422" s="64" t="str">
        <f t="shared" si="230"/>
        <v/>
      </c>
      <c r="T422" s="38">
        <v>0</v>
      </c>
      <c r="U422" s="64" t="str">
        <f t="shared" si="231"/>
        <v/>
      </c>
      <c r="V422" s="219"/>
      <c r="W422" s="43" t="str">
        <f t="shared" si="232"/>
        <v/>
      </c>
      <c r="X422" s="43" t="str">
        <f t="shared" si="233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34"/>
        <v/>
      </c>
      <c r="AP422" s="33" t="str">
        <f t="shared" si="235"/>
        <v/>
      </c>
      <c r="AQ422" s="58" t="str">
        <f t="shared" si="236"/>
        <v/>
      </c>
      <c r="AR422" s="38">
        <f>'ANR OK vs ML7'!AR422</f>
        <v>0.1</v>
      </c>
      <c r="AS422" s="35" t="str">
        <f t="shared" si="237"/>
        <v/>
      </c>
      <c r="AT422" s="3" t="str">
        <f t="shared" si="238"/>
        <v/>
      </c>
      <c r="AU422" s="3" t="str">
        <f t="shared" si="239"/>
        <v/>
      </c>
      <c r="AW422" s="32" t="str">
        <f t="shared" si="240"/>
        <v/>
      </c>
      <c r="AX422" s="32" t="str">
        <f t="shared" si="241"/>
        <v/>
      </c>
      <c r="AY422" s="32" t="str">
        <f t="shared" si="242"/>
        <v/>
      </c>
      <c r="BA422" s="32" t="str">
        <f>IF($A423="","",F422*Summary!$Q$13)</f>
        <v/>
      </c>
    </row>
    <row r="423" spans="1:53">
      <c r="A423" s="67" t="str">
        <f t="shared" si="243"/>
        <v/>
      </c>
      <c r="B423" s="69" t="str">
        <f t="shared" si="244"/>
        <v/>
      </c>
      <c r="D423" s="69" t="str">
        <f t="shared" si="219"/>
        <v/>
      </c>
      <c r="E423" s="70" t="str">
        <f t="shared" si="220"/>
        <v/>
      </c>
      <c r="F423" s="70" t="str">
        <f t="shared" si="221"/>
        <v/>
      </c>
      <c r="G423" s="63" t="str">
        <f t="shared" si="222"/>
        <v/>
      </c>
      <c r="H423" s="64" t="str">
        <f t="shared" si="223"/>
        <v/>
      </c>
      <c r="J423" s="63" t="str">
        <f t="shared" si="224"/>
        <v/>
      </c>
      <c r="K423" s="64" t="str">
        <f t="shared" si="225"/>
        <v/>
      </c>
      <c r="L423" s="38">
        <v>0</v>
      </c>
      <c r="M423" s="64" t="str">
        <f t="shared" si="226"/>
        <v/>
      </c>
      <c r="O423" s="63" t="str">
        <f t="shared" si="227"/>
        <v/>
      </c>
      <c r="P423" s="63" t="str">
        <f t="shared" si="228"/>
        <v/>
      </c>
      <c r="R423" s="63" t="str">
        <f t="shared" si="229"/>
        <v/>
      </c>
      <c r="S423" s="64" t="str">
        <f t="shared" si="230"/>
        <v/>
      </c>
      <c r="T423" s="38">
        <v>0</v>
      </c>
      <c r="U423" s="64" t="str">
        <f t="shared" si="231"/>
        <v/>
      </c>
      <c r="V423" s="219"/>
      <c r="W423" s="43" t="str">
        <f t="shared" si="232"/>
        <v/>
      </c>
      <c r="X423" s="43" t="str">
        <f t="shared" si="233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34"/>
        <v/>
      </c>
      <c r="AP423" s="33" t="str">
        <f t="shared" si="235"/>
        <v/>
      </c>
      <c r="AQ423" s="58" t="str">
        <f t="shared" si="236"/>
        <v/>
      </c>
      <c r="AR423" s="38">
        <f>'ANR OK vs ML7'!AR423</f>
        <v>0.1</v>
      </c>
      <c r="AS423" s="35" t="str">
        <f t="shared" si="237"/>
        <v/>
      </c>
      <c r="AT423" s="3" t="str">
        <f t="shared" si="238"/>
        <v/>
      </c>
      <c r="AU423" s="3" t="str">
        <f t="shared" si="239"/>
        <v/>
      </c>
      <c r="AW423" s="32" t="str">
        <f t="shared" si="240"/>
        <v/>
      </c>
      <c r="AX423" s="32" t="str">
        <f t="shared" si="241"/>
        <v/>
      </c>
      <c r="AY423" s="32" t="str">
        <f t="shared" si="242"/>
        <v/>
      </c>
      <c r="BA423" s="32" t="str">
        <f>IF($A424="","",F423*Summary!$Q$13)</f>
        <v/>
      </c>
    </row>
    <row r="424" spans="1:53">
      <c r="A424" s="67" t="str">
        <f t="shared" si="243"/>
        <v/>
      </c>
      <c r="B424" s="69" t="str">
        <f t="shared" si="244"/>
        <v/>
      </c>
      <c r="D424" s="69" t="str">
        <f t="shared" si="219"/>
        <v/>
      </c>
      <c r="E424" s="70" t="str">
        <f t="shared" si="220"/>
        <v/>
      </c>
      <c r="F424" s="70" t="str">
        <f t="shared" si="221"/>
        <v/>
      </c>
      <c r="G424" s="63" t="str">
        <f t="shared" si="222"/>
        <v/>
      </c>
      <c r="H424" s="64" t="str">
        <f t="shared" si="223"/>
        <v/>
      </c>
      <c r="J424" s="63" t="str">
        <f t="shared" si="224"/>
        <v/>
      </c>
      <c r="K424" s="64" t="str">
        <f t="shared" si="225"/>
        <v/>
      </c>
      <c r="L424" s="38">
        <v>0</v>
      </c>
      <c r="M424" s="64" t="str">
        <f t="shared" si="226"/>
        <v/>
      </c>
      <c r="O424" s="63" t="str">
        <f t="shared" si="227"/>
        <v/>
      </c>
      <c r="P424" s="63" t="str">
        <f t="shared" si="228"/>
        <v/>
      </c>
      <c r="R424" s="63" t="str">
        <f t="shared" si="229"/>
        <v/>
      </c>
      <c r="S424" s="64" t="str">
        <f t="shared" si="230"/>
        <v/>
      </c>
      <c r="T424" s="38">
        <v>0</v>
      </c>
      <c r="U424" s="64" t="str">
        <f t="shared" si="231"/>
        <v/>
      </c>
      <c r="V424" s="219"/>
      <c r="W424" s="43" t="str">
        <f t="shared" si="232"/>
        <v/>
      </c>
      <c r="X424" s="43" t="str">
        <f t="shared" si="233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34"/>
        <v/>
      </c>
      <c r="AP424" s="33" t="str">
        <f t="shared" si="235"/>
        <v/>
      </c>
      <c r="AQ424" s="58" t="str">
        <f t="shared" si="236"/>
        <v/>
      </c>
      <c r="AR424" s="38">
        <f>'ANR OK vs ML7'!AR424</f>
        <v>0.1</v>
      </c>
      <c r="AS424" s="35" t="str">
        <f t="shared" si="237"/>
        <v/>
      </c>
      <c r="AT424" s="3" t="str">
        <f t="shared" si="238"/>
        <v/>
      </c>
      <c r="AU424" s="3" t="str">
        <f t="shared" si="239"/>
        <v/>
      </c>
      <c r="AW424" s="32" t="str">
        <f t="shared" si="240"/>
        <v/>
      </c>
      <c r="AX424" s="32" t="str">
        <f t="shared" si="241"/>
        <v/>
      </c>
      <c r="AY424" s="32" t="str">
        <f t="shared" si="242"/>
        <v/>
      </c>
      <c r="BA424" s="32" t="str">
        <f>IF($A425="","",F424*Summary!$Q$13)</f>
        <v/>
      </c>
    </row>
    <row r="425" spans="1:53">
      <c r="A425" s="67" t="str">
        <f t="shared" si="243"/>
        <v/>
      </c>
      <c r="B425" s="69" t="str">
        <f t="shared" si="244"/>
        <v/>
      </c>
      <c r="D425" s="69" t="str">
        <f t="shared" si="219"/>
        <v/>
      </c>
      <c r="E425" s="70" t="str">
        <f t="shared" si="220"/>
        <v/>
      </c>
      <c r="F425" s="70" t="str">
        <f t="shared" si="221"/>
        <v/>
      </c>
      <c r="G425" s="63" t="str">
        <f t="shared" si="222"/>
        <v/>
      </c>
      <c r="H425" s="64" t="str">
        <f t="shared" si="223"/>
        <v/>
      </c>
      <c r="J425" s="63" t="str">
        <f t="shared" si="224"/>
        <v/>
      </c>
      <c r="K425" s="64" t="str">
        <f t="shared" si="225"/>
        <v/>
      </c>
      <c r="L425" s="38">
        <v>0</v>
      </c>
      <c r="M425" s="64" t="str">
        <f t="shared" si="226"/>
        <v/>
      </c>
      <c r="O425" s="63" t="str">
        <f t="shared" si="227"/>
        <v/>
      </c>
      <c r="P425" s="63" t="str">
        <f t="shared" si="228"/>
        <v/>
      </c>
      <c r="R425" s="63" t="str">
        <f t="shared" si="229"/>
        <v/>
      </c>
      <c r="S425" s="64" t="str">
        <f t="shared" si="230"/>
        <v/>
      </c>
      <c r="T425" s="38">
        <v>0</v>
      </c>
      <c r="U425" s="64" t="str">
        <f t="shared" si="231"/>
        <v/>
      </c>
      <c r="V425" s="219"/>
      <c r="W425" s="43" t="str">
        <f t="shared" si="232"/>
        <v/>
      </c>
      <c r="X425" s="43" t="str">
        <f t="shared" si="233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34"/>
        <v/>
      </c>
      <c r="AP425" s="33" t="str">
        <f t="shared" si="235"/>
        <v/>
      </c>
      <c r="AQ425" s="58" t="str">
        <f t="shared" si="236"/>
        <v/>
      </c>
      <c r="AR425" s="38">
        <f>'ANR OK vs ML7'!AR425</f>
        <v>0.1</v>
      </c>
      <c r="AS425" s="35" t="str">
        <f t="shared" si="237"/>
        <v/>
      </c>
      <c r="AT425" s="3" t="str">
        <f t="shared" si="238"/>
        <v/>
      </c>
      <c r="AU425" s="3" t="str">
        <f t="shared" si="239"/>
        <v/>
      </c>
      <c r="AW425" s="32" t="str">
        <f t="shared" si="240"/>
        <v/>
      </c>
      <c r="AX425" s="32" t="str">
        <f t="shared" si="241"/>
        <v/>
      </c>
      <c r="AY425" s="32" t="str">
        <f t="shared" si="242"/>
        <v/>
      </c>
      <c r="BA425" s="32" t="str">
        <f>IF($A426="","",F425*Summary!$Q$13)</f>
        <v/>
      </c>
    </row>
    <row r="426" spans="1:53">
      <c r="A426" s="67" t="str">
        <f t="shared" si="243"/>
        <v/>
      </c>
      <c r="B426" s="69" t="str">
        <f t="shared" si="244"/>
        <v/>
      </c>
      <c r="D426" s="69" t="str">
        <f t="shared" si="219"/>
        <v/>
      </c>
      <c r="E426" s="70" t="str">
        <f t="shared" si="220"/>
        <v/>
      </c>
      <c r="F426" s="70" t="str">
        <f t="shared" si="221"/>
        <v/>
      </c>
      <c r="G426" s="63" t="str">
        <f t="shared" si="222"/>
        <v/>
      </c>
      <c r="H426" s="64" t="str">
        <f t="shared" si="223"/>
        <v/>
      </c>
      <c r="J426" s="63" t="str">
        <f t="shared" si="224"/>
        <v/>
      </c>
      <c r="K426" s="64" t="str">
        <f t="shared" si="225"/>
        <v/>
      </c>
      <c r="L426" s="38">
        <v>0</v>
      </c>
      <c r="M426" s="64" t="str">
        <f t="shared" si="226"/>
        <v/>
      </c>
      <c r="O426" s="63" t="str">
        <f t="shared" si="227"/>
        <v/>
      </c>
      <c r="P426" s="63" t="str">
        <f t="shared" si="228"/>
        <v/>
      </c>
      <c r="R426" s="63" t="str">
        <f t="shared" si="229"/>
        <v/>
      </c>
      <c r="S426" s="64" t="str">
        <f t="shared" si="230"/>
        <v/>
      </c>
      <c r="T426" s="38">
        <v>0</v>
      </c>
      <c r="U426" s="64" t="str">
        <f t="shared" si="231"/>
        <v/>
      </c>
      <c r="V426" s="219"/>
      <c r="W426" s="43" t="str">
        <f t="shared" si="232"/>
        <v/>
      </c>
      <c r="X426" s="43" t="str">
        <f t="shared" si="233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34"/>
        <v/>
      </c>
      <c r="AP426" s="33" t="str">
        <f t="shared" si="235"/>
        <v/>
      </c>
      <c r="AQ426" s="58" t="str">
        <f t="shared" si="236"/>
        <v/>
      </c>
      <c r="AR426" s="38">
        <f>'ANR OK vs ML7'!AR426</f>
        <v>0.1</v>
      </c>
      <c r="AS426" s="35" t="str">
        <f t="shared" si="237"/>
        <v/>
      </c>
      <c r="AT426" s="3" t="str">
        <f t="shared" si="238"/>
        <v/>
      </c>
      <c r="AU426" s="3" t="str">
        <f t="shared" si="239"/>
        <v/>
      </c>
      <c r="AW426" s="32" t="str">
        <f t="shared" si="240"/>
        <v/>
      </c>
      <c r="AX426" s="32" t="str">
        <f t="shared" si="241"/>
        <v/>
      </c>
      <c r="AY426" s="32" t="str">
        <f t="shared" si="242"/>
        <v/>
      </c>
      <c r="BA426" s="32" t="str">
        <f>IF($A427="","",F426*Summary!$Q$13)</f>
        <v/>
      </c>
    </row>
    <row r="427" spans="1:53">
      <c r="A427" s="67" t="str">
        <f t="shared" si="243"/>
        <v/>
      </c>
      <c r="B427" s="69" t="str">
        <f t="shared" si="244"/>
        <v/>
      </c>
      <c r="D427" s="69" t="str">
        <f t="shared" si="219"/>
        <v/>
      </c>
      <c r="E427" s="70" t="str">
        <f t="shared" si="220"/>
        <v/>
      </c>
      <c r="F427" s="70" t="str">
        <f t="shared" si="221"/>
        <v/>
      </c>
      <c r="G427" s="63" t="str">
        <f t="shared" si="222"/>
        <v/>
      </c>
      <c r="H427" s="64" t="str">
        <f t="shared" si="223"/>
        <v/>
      </c>
      <c r="J427" s="63" t="str">
        <f t="shared" si="224"/>
        <v/>
      </c>
      <c r="K427" s="64" t="str">
        <f t="shared" si="225"/>
        <v/>
      </c>
      <c r="L427" s="38">
        <v>0</v>
      </c>
      <c r="M427" s="64" t="str">
        <f t="shared" si="226"/>
        <v/>
      </c>
      <c r="O427" s="63" t="str">
        <f t="shared" si="227"/>
        <v/>
      </c>
      <c r="P427" s="63" t="str">
        <f t="shared" si="228"/>
        <v/>
      </c>
      <c r="R427" s="63" t="str">
        <f t="shared" si="229"/>
        <v/>
      </c>
      <c r="S427" s="64" t="str">
        <f t="shared" si="230"/>
        <v/>
      </c>
      <c r="T427" s="38">
        <v>0</v>
      </c>
      <c r="U427" s="64" t="str">
        <f t="shared" si="231"/>
        <v/>
      </c>
      <c r="V427" s="219"/>
      <c r="W427" s="43" t="str">
        <f t="shared" si="232"/>
        <v/>
      </c>
      <c r="X427" s="43" t="str">
        <f t="shared" si="233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34"/>
        <v/>
      </c>
      <c r="AP427" s="33" t="str">
        <f t="shared" si="235"/>
        <v/>
      </c>
      <c r="AQ427" s="58" t="str">
        <f t="shared" si="236"/>
        <v/>
      </c>
      <c r="AR427" s="38">
        <f>'ANR OK vs ML7'!AR427</f>
        <v>0.1</v>
      </c>
      <c r="AS427" s="35" t="str">
        <f t="shared" si="237"/>
        <v/>
      </c>
      <c r="AT427" s="3" t="str">
        <f t="shared" si="238"/>
        <v/>
      </c>
      <c r="AU427" s="3" t="str">
        <f t="shared" si="239"/>
        <v/>
      </c>
      <c r="AW427" s="32" t="str">
        <f t="shared" si="240"/>
        <v/>
      </c>
      <c r="AX427" s="32" t="str">
        <f t="shared" si="241"/>
        <v/>
      </c>
      <c r="AY427" s="32" t="str">
        <f t="shared" si="242"/>
        <v/>
      </c>
      <c r="BA427" s="32" t="str">
        <f>IF($A428="","",F427*Summary!$Q$13)</f>
        <v/>
      </c>
    </row>
    <row r="428" spans="1:53">
      <c r="A428" s="67" t="str">
        <f t="shared" si="243"/>
        <v/>
      </c>
      <c r="B428" s="69" t="str">
        <f t="shared" si="244"/>
        <v/>
      </c>
      <c r="D428" s="69" t="str">
        <f t="shared" si="219"/>
        <v/>
      </c>
      <c r="E428" s="70" t="str">
        <f t="shared" si="220"/>
        <v/>
      </c>
      <c r="F428" s="70" t="str">
        <f t="shared" si="221"/>
        <v/>
      </c>
      <c r="G428" s="63" t="str">
        <f t="shared" si="222"/>
        <v/>
      </c>
      <c r="H428" s="64" t="str">
        <f t="shared" si="223"/>
        <v/>
      </c>
      <c r="J428" s="63" t="str">
        <f t="shared" si="224"/>
        <v/>
      </c>
      <c r="K428" s="64" t="str">
        <f t="shared" si="225"/>
        <v/>
      </c>
      <c r="L428" s="38">
        <v>0</v>
      </c>
      <c r="M428" s="64" t="str">
        <f t="shared" si="226"/>
        <v/>
      </c>
      <c r="O428" s="63" t="str">
        <f t="shared" si="227"/>
        <v/>
      </c>
      <c r="P428" s="63" t="str">
        <f t="shared" si="228"/>
        <v/>
      </c>
      <c r="R428" s="63" t="str">
        <f t="shared" si="229"/>
        <v/>
      </c>
      <c r="S428" s="64" t="str">
        <f t="shared" si="230"/>
        <v/>
      </c>
      <c r="T428" s="38">
        <v>0</v>
      </c>
      <c r="U428" s="64" t="str">
        <f t="shared" si="231"/>
        <v/>
      </c>
      <c r="V428" s="219"/>
      <c r="W428" s="43" t="str">
        <f t="shared" si="232"/>
        <v/>
      </c>
      <c r="X428" s="43" t="str">
        <f t="shared" si="233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34"/>
        <v/>
      </c>
      <c r="AP428" s="33" t="str">
        <f t="shared" si="235"/>
        <v/>
      </c>
      <c r="AQ428" s="58" t="str">
        <f t="shared" si="236"/>
        <v/>
      </c>
      <c r="AR428" s="38">
        <f>'ANR OK vs ML7'!AR428</f>
        <v>0.1</v>
      </c>
      <c r="AS428" s="35" t="str">
        <f t="shared" si="237"/>
        <v/>
      </c>
      <c r="AT428" s="3" t="str">
        <f t="shared" si="238"/>
        <v/>
      </c>
      <c r="AU428" s="3" t="str">
        <f t="shared" si="239"/>
        <v/>
      </c>
      <c r="AW428" s="32" t="str">
        <f t="shared" si="240"/>
        <v/>
      </c>
      <c r="AX428" s="32" t="str">
        <f t="shared" si="241"/>
        <v/>
      </c>
      <c r="AY428" s="32" t="str">
        <f t="shared" si="242"/>
        <v/>
      </c>
      <c r="BA428" s="32" t="str">
        <f>IF($A429="","",F428*Summary!$Q$13)</f>
        <v/>
      </c>
    </row>
    <row r="429" spans="1:53">
      <c r="A429" s="67" t="str">
        <f t="shared" si="243"/>
        <v/>
      </c>
      <c r="B429" s="69" t="str">
        <f t="shared" si="244"/>
        <v/>
      </c>
      <c r="D429" s="69" t="str">
        <f t="shared" si="219"/>
        <v/>
      </c>
      <c r="E429" s="70" t="str">
        <f t="shared" si="220"/>
        <v/>
      </c>
      <c r="F429" s="70" t="str">
        <f t="shared" si="221"/>
        <v/>
      </c>
      <c r="G429" s="63" t="str">
        <f t="shared" si="222"/>
        <v/>
      </c>
      <c r="H429" s="64" t="str">
        <f t="shared" si="223"/>
        <v/>
      </c>
      <c r="J429" s="63" t="str">
        <f t="shared" si="224"/>
        <v/>
      </c>
      <c r="K429" s="64" t="str">
        <f t="shared" si="225"/>
        <v/>
      </c>
      <c r="L429" s="38">
        <v>0</v>
      </c>
      <c r="M429" s="64" t="str">
        <f t="shared" si="226"/>
        <v/>
      </c>
      <c r="O429" s="63" t="str">
        <f t="shared" si="227"/>
        <v/>
      </c>
      <c r="P429" s="63" t="str">
        <f t="shared" si="228"/>
        <v/>
      </c>
      <c r="R429" s="63" t="str">
        <f t="shared" si="229"/>
        <v/>
      </c>
      <c r="S429" s="64" t="str">
        <f t="shared" si="230"/>
        <v/>
      </c>
      <c r="T429" s="38">
        <v>0</v>
      </c>
      <c r="U429" s="64" t="str">
        <f t="shared" si="231"/>
        <v/>
      </c>
      <c r="V429" s="219"/>
      <c r="W429" s="43" t="str">
        <f t="shared" si="232"/>
        <v/>
      </c>
      <c r="X429" s="43" t="str">
        <f t="shared" si="233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34"/>
        <v/>
      </c>
      <c r="AP429" s="33" t="str">
        <f t="shared" si="235"/>
        <v/>
      </c>
      <c r="AQ429" s="58" t="str">
        <f t="shared" si="236"/>
        <v/>
      </c>
      <c r="AR429" s="38">
        <f>'ANR OK vs ML7'!AR429</f>
        <v>0.1</v>
      </c>
      <c r="AS429" s="35" t="str">
        <f t="shared" si="237"/>
        <v/>
      </c>
      <c r="AT429" s="3" t="str">
        <f t="shared" si="238"/>
        <v/>
      </c>
      <c r="AU429" s="3" t="str">
        <f t="shared" si="239"/>
        <v/>
      </c>
      <c r="AW429" s="32" t="str">
        <f t="shared" si="240"/>
        <v/>
      </c>
      <c r="AX429" s="32" t="str">
        <f t="shared" si="241"/>
        <v/>
      </c>
      <c r="AY429" s="32" t="str">
        <f t="shared" si="242"/>
        <v/>
      </c>
      <c r="BA429" s="32" t="str">
        <f>IF($A430="","",F429*Summary!$Q$13)</f>
        <v/>
      </c>
    </row>
    <row r="430" spans="1:53">
      <c r="A430" s="67" t="str">
        <f t="shared" si="243"/>
        <v/>
      </c>
      <c r="B430" s="69" t="str">
        <f t="shared" si="244"/>
        <v/>
      </c>
      <c r="D430" s="69" t="str">
        <f t="shared" si="219"/>
        <v/>
      </c>
      <c r="E430" s="70" t="str">
        <f t="shared" si="220"/>
        <v/>
      </c>
      <c r="F430" s="70" t="str">
        <f t="shared" si="221"/>
        <v/>
      </c>
      <c r="G430" s="63" t="str">
        <f t="shared" si="222"/>
        <v/>
      </c>
      <c r="H430" s="64" t="str">
        <f t="shared" si="223"/>
        <v/>
      </c>
      <c r="J430" s="63" t="str">
        <f t="shared" si="224"/>
        <v/>
      </c>
      <c r="K430" s="64" t="str">
        <f t="shared" si="225"/>
        <v/>
      </c>
      <c r="L430" s="38">
        <v>0</v>
      </c>
      <c r="M430" s="64" t="str">
        <f t="shared" si="226"/>
        <v/>
      </c>
      <c r="O430" s="63" t="str">
        <f t="shared" si="227"/>
        <v/>
      </c>
      <c r="P430" s="63" t="str">
        <f t="shared" si="228"/>
        <v/>
      </c>
      <c r="R430" s="63" t="str">
        <f t="shared" si="229"/>
        <v/>
      </c>
      <c r="S430" s="64" t="str">
        <f t="shared" si="230"/>
        <v/>
      </c>
      <c r="T430" s="38">
        <v>0</v>
      </c>
      <c r="U430" s="64" t="str">
        <f t="shared" si="231"/>
        <v/>
      </c>
      <c r="V430" s="219"/>
      <c r="W430" s="43" t="str">
        <f t="shared" si="232"/>
        <v/>
      </c>
      <c r="X430" s="43" t="str">
        <f t="shared" si="233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34"/>
        <v/>
      </c>
      <c r="AP430" s="33" t="str">
        <f t="shared" si="235"/>
        <v/>
      </c>
      <c r="AQ430" s="58" t="str">
        <f t="shared" si="236"/>
        <v/>
      </c>
      <c r="AR430" s="38">
        <f>'ANR OK vs ML7'!AR430</f>
        <v>0.1</v>
      </c>
      <c r="AS430" s="35" t="str">
        <f t="shared" si="237"/>
        <v/>
      </c>
      <c r="AT430" s="3" t="str">
        <f t="shared" si="238"/>
        <v/>
      </c>
      <c r="AU430" s="3" t="str">
        <f t="shared" si="239"/>
        <v/>
      </c>
      <c r="AW430" s="32" t="str">
        <f t="shared" si="240"/>
        <v/>
      </c>
      <c r="AX430" s="32" t="str">
        <f t="shared" si="241"/>
        <v/>
      </c>
      <c r="AY430" s="32" t="str">
        <f t="shared" si="242"/>
        <v/>
      </c>
      <c r="BA430" s="32" t="str">
        <f>IF($A431="","",F430*Summary!$Q$13)</f>
        <v/>
      </c>
    </row>
    <row r="431" spans="1:53">
      <c r="A431" s="67" t="str">
        <f t="shared" si="243"/>
        <v/>
      </c>
      <c r="B431" s="69" t="str">
        <f t="shared" si="244"/>
        <v/>
      </c>
      <c r="D431" s="69" t="str">
        <f t="shared" si="219"/>
        <v/>
      </c>
      <c r="E431" s="70" t="str">
        <f t="shared" si="220"/>
        <v/>
      </c>
      <c r="F431" s="70" t="str">
        <f t="shared" si="221"/>
        <v/>
      </c>
      <c r="G431" s="63" t="str">
        <f t="shared" si="222"/>
        <v/>
      </c>
      <c r="H431" s="64" t="str">
        <f t="shared" si="223"/>
        <v/>
      </c>
      <c r="J431" s="63" t="str">
        <f t="shared" si="224"/>
        <v/>
      </c>
      <c r="K431" s="64" t="str">
        <f t="shared" si="225"/>
        <v/>
      </c>
      <c r="L431" s="38">
        <v>0</v>
      </c>
      <c r="M431" s="64" t="str">
        <f t="shared" si="226"/>
        <v/>
      </c>
      <c r="O431" s="63" t="str">
        <f t="shared" si="227"/>
        <v/>
      </c>
      <c r="P431" s="63" t="str">
        <f t="shared" si="228"/>
        <v/>
      </c>
      <c r="R431" s="63" t="str">
        <f t="shared" si="229"/>
        <v/>
      </c>
      <c r="S431" s="64" t="str">
        <f t="shared" si="230"/>
        <v/>
      </c>
      <c r="T431" s="38">
        <v>0</v>
      </c>
      <c r="U431" s="64" t="str">
        <f t="shared" si="231"/>
        <v/>
      </c>
      <c r="V431" s="219"/>
      <c r="W431" s="43" t="str">
        <f t="shared" si="232"/>
        <v/>
      </c>
      <c r="X431" s="43" t="str">
        <f t="shared" si="233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34"/>
        <v/>
      </c>
      <c r="AP431" s="33" t="str">
        <f t="shared" si="235"/>
        <v/>
      </c>
      <c r="AQ431" s="58" t="str">
        <f t="shared" si="236"/>
        <v/>
      </c>
      <c r="AR431" s="38">
        <f>'ANR OK vs ML7'!AR431</f>
        <v>0.1</v>
      </c>
      <c r="AS431" s="35" t="str">
        <f t="shared" si="237"/>
        <v/>
      </c>
      <c r="AT431" s="3" t="str">
        <f t="shared" si="238"/>
        <v/>
      </c>
      <c r="AU431" s="3" t="str">
        <f t="shared" si="239"/>
        <v/>
      </c>
      <c r="AW431" s="32" t="str">
        <f t="shared" si="240"/>
        <v/>
      </c>
      <c r="AX431" s="32" t="str">
        <f t="shared" si="241"/>
        <v/>
      </c>
      <c r="AY431" s="32" t="str">
        <f t="shared" si="242"/>
        <v/>
      </c>
      <c r="BA431" s="32" t="str">
        <f>IF($A432="","",F431*Summary!$Q$13)</f>
        <v/>
      </c>
    </row>
    <row r="432" spans="1:53">
      <c r="A432" s="67" t="str">
        <f t="shared" si="243"/>
        <v/>
      </c>
      <c r="B432" s="69" t="str">
        <f t="shared" si="244"/>
        <v/>
      </c>
      <c r="D432" s="69" t="str">
        <f t="shared" si="219"/>
        <v/>
      </c>
      <c r="E432" s="70" t="str">
        <f t="shared" si="220"/>
        <v/>
      </c>
      <c r="F432" s="70" t="str">
        <f t="shared" si="221"/>
        <v/>
      </c>
      <c r="G432" s="63" t="str">
        <f t="shared" si="222"/>
        <v/>
      </c>
      <c r="H432" s="64" t="str">
        <f t="shared" si="223"/>
        <v/>
      </c>
      <c r="J432" s="63" t="str">
        <f t="shared" si="224"/>
        <v/>
      </c>
      <c r="K432" s="64" t="str">
        <f t="shared" si="225"/>
        <v/>
      </c>
      <c r="L432" s="38">
        <v>0</v>
      </c>
      <c r="M432" s="64" t="str">
        <f t="shared" si="226"/>
        <v/>
      </c>
      <c r="O432" s="63" t="str">
        <f t="shared" si="227"/>
        <v/>
      </c>
      <c r="P432" s="63" t="str">
        <f t="shared" si="228"/>
        <v/>
      </c>
      <c r="R432" s="63" t="str">
        <f t="shared" si="229"/>
        <v/>
      </c>
      <c r="S432" s="64" t="str">
        <f t="shared" si="230"/>
        <v/>
      </c>
      <c r="T432" s="38">
        <v>0</v>
      </c>
      <c r="U432" s="64" t="str">
        <f t="shared" si="231"/>
        <v/>
      </c>
      <c r="V432" s="219"/>
      <c r="W432" s="43" t="str">
        <f t="shared" si="232"/>
        <v/>
      </c>
      <c r="X432" s="43" t="str">
        <f t="shared" si="233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34"/>
        <v/>
      </c>
      <c r="AP432" s="33" t="str">
        <f t="shared" si="235"/>
        <v/>
      </c>
      <c r="AQ432" s="58" t="str">
        <f t="shared" si="236"/>
        <v/>
      </c>
      <c r="AR432" s="38">
        <f>'ANR OK vs ML7'!AR432</f>
        <v>0.1</v>
      </c>
      <c r="AS432" s="35" t="str">
        <f t="shared" si="237"/>
        <v/>
      </c>
      <c r="AT432" s="3" t="str">
        <f t="shared" si="238"/>
        <v/>
      </c>
      <c r="AU432" s="3" t="str">
        <f t="shared" si="239"/>
        <v/>
      </c>
      <c r="AW432" s="32" t="str">
        <f t="shared" si="240"/>
        <v/>
      </c>
      <c r="AX432" s="32" t="str">
        <f t="shared" si="241"/>
        <v/>
      </c>
      <c r="AY432" s="32" t="str">
        <f t="shared" si="242"/>
        <v/>
      </c>
      <c r="BA432" s="32" t="str">
        <f>IF($A433="","",F432*Summary!$Q$13)</f>
        <v/>
      </c>
    </row>
    <row r="433" spans="1:53">
      <c r="A433" s="67" t="str">
        <f t="shared" si="243"/>
        <v/>
      </c>
      <c r="B433" s="69" t="str">
        <f t="shared" si="244"/>
        <v/>
      </c>
      <c r="D433" s="69" t="str">
        <f t="shared" si="219"/>
        <v/>
      </c>
      <c r="E433" s="70" t="str">
        <f t="shared" si="220"/>
        <v/>
      </c>
      <c r="F433" s="70" t="str">
        <f t="shared" si="221"/>
        <v/>
      </c>
      <c r="G433" s="63" t="str">
        <f t="shared" si="222"/>
        <v/>
      </c>
      <c r="H433" s="64" t="str">
        <f t="shared" si="223"/>
        <v/>
      </c>
      <c r="J433" s="63" t="str">
        <f t="shared" si="224"/>
        <v/>
      </c>
      <c r="K433" s="64" t="str">
        <f t="shared" si="225"/>
        <v/>
      </c>
      <c r="L433" s="38">
        <v>0</v>
      </c>
      <c r="M433" s="64" t="str">
        <f t="shared" si="226"/>
        <v/>
      </c>
      <c r="O433" s="63" t="str">
        <f t="shared" si="227"/>
        <v/>
      </c>
      <c r="P433" s="63" t="str">
        <f t="shared" si="228"/>
        <v/>
      </c>
      <c r="R433" s="63" t="str">
        <f t="shared" si="229"/>
        <v/>
      </c>
      <c r="S433" s="64" t="str">
        <f t="shared" si="230"/>
        <v/>
      </c>
      <c r="T433" s="38">
        <v>0</v>
      </c>
      <c r="U433" s="64" t="str">
        <f t="shared" si="231"/>
        <v/>
      </c>
      <c r="V433" s="219"/>
      <c r="W433" s="43" t="str">
        <f t="shared" si="232"/>
        <v/>
      </c>
      <c r="X433" s="43" t="str">
        <f t="shared" si="233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34"/>
        <v/>
      </c>
      <c r="AP433" s="33" t="str">
        <f t="shared" si="235"/>
        <v/>
      </c>
      <c r="AQ433" s="58" t="str">
        <f t="shared" si="236"/>
        <v/>
      </c>
      <c r="AR433" s="38">
        <f>'ANR OK vs ML7'!AR433</f>
        <v>0.1</v>
      </c>
      <c r="AS433" s="35" t="str">
        <f t="shared" si="237"/>
        <v/>
      </c>
      <c r="AT433" s="3" t="str">
        <f t="shared" si="238"/>
        <v/>
      </c>
      <c r="AU433" s="3" t="str">
        <f t="shared" si="239"/>
        <v/>
      </c>
      <c r="AW433" s="32" t="str">
        <f t="shared" si="240"/>
        <v/>
      </c>
      <c r="AX433" s="32" t="str">
        <f t="shared" si="241"/>
        <v/>
      </c>
      <c r="AY433" s="32" t="str">
        <f t="shared" si="242"/>
        <v/>
      </c>
      <c r="BA433" s="32" t="str">
        <f>IF($A434="","",F433*Summary!$Q$13)</f>
        <v/>
      </c>
    </row>
    <row r="434" spans="1:53">
      <c r="A434" s="67" t="str">
        <f t="shared" si="243"/>
        <v/>
      </c>
      <c r="B434" s="69" t="str">
        <f t="shared" si="244"/>
        <v/>
      </c>
      <c r="D434" s="69" t="str">
        <f t="shared" si="219"/>
        <v/>
      </c>
      <c r="E434" s="70" t="str">
        <f t="shared" si="220"/>
        <v/>
      </c>
      <c r="F434" s="70" t="str">
        <f t="shared" si="221"/>
        <v/>
      </c>
      <c r="G434" s="63" t="str">
        <f t="shared" si="222"/>
        <v/>
      </c>
      <c r="H434" s="64" t="str">
        <f t="shared" si="223"/>
        <v/>
      </c>
      <c r="J434" s="63" t="str">
        <f t="shared" si="224"/>
        <v/>
      </c>
      <c r="K434" s="64" t="str">
        <f t="shared" si="225"/>
        <v/>
      </c>
      <c r="L434" s="38">
        <v>0</v>
      </c>
      <c r="M434" s="64" t="str">
        <f t="shared" si="226"/>
        <v/>
      </c>
      <c r="O434" s="63" t="str">
        <f t="shared" si="227"/>
        <v/>
      </c>
      <c r="P434" s="63" t="str">
        <f t="shared" si="228"/>
        <v/>
      </c>
      <c r="R434" s="63" t="str">
        <f t="shared" si="229"/>
        <v/>
      </c>
      <c r="S434" s="64" t="str">
        <f t="shared" si="230"/>
        <v/>
      </c>
      <c r="T434" s="38">
        <v>0</v>
      </c>
      <c r="U434" s="64" t="str">
        <f t="shared" si="231"/>
        <v/>
      </c>
      <c r="V434" s="219"/>
      <c r="W434" s="43" t="str">
        <f t="shared" si="232"/>
        <v/>
      </c>
      <c r="X434" s="43" t="str">
        <f t="shared" si="233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34"/>
        <v/>
      </c>
      <c r="AP434" s="33" t="str">
        <f t="shared" si="235"/>
        <v/>
      </c>
      <c r="AQ434" s="58" t="str">
        <f t="shared" si="236"/>
        <v/>
      </c>
      <c r="AR434" s="38">
        <f>'ANR OK vs ML7'!AR434</f>
        <v>0.1</v>
      </c>
      <c r="AS434" s="35" t="str">
        <f t="shared" si="237"/>
        <v/>
      </c>
      <c r="AT434" s="3" t="str">
        <f t="shared" si="238"/>
        <v/>
      </c>
      <c r="AU434" s="3" t="str">
        <f t="shared" si="239"/>
        <v/>
      </c>
      <c r="AW434" s="32" t="str">
        <f t="shared" si="240"/>
        <v/>
      </c>
      <c r="AX434" s="32" t="str">
        <f t="shared" si="241"/>
        <v/>
      </c>
      <c r="AY434" s="32" t="str">
        <f t="shared" si="242"/>
        <v/>
      </c>
      <c r="BA434" s="32" t="str">
        <f>IF($A435="","",F434*Summary!$Q$13)</f>
        <v/>
      </c>
    </row>
    <row r="435" spans="1:53">
      <c r="A435" s="67" t="str">
        <f t="shared" si="243"/>
        <v/>
      </c>
      <c r="B435" s="69" t="str">
        <f t="shared" si="244"/>
        <v/>
      </c>
      <c r="D435" s="69" t="str">
        <f t="shared" si="219"/>
        <v/>
      </c>
      <c r="E435" s="70" t="str">
        <f t="shared" si="220"/>
        <v/>
      </c>
      <c r="F435" s="70" t="str">
        <f t="shared" si="221"/>
        <v/>
      </c>
      <c r="G435" s="63" t="str">
        <f t="shared" si="222"/>
        <v/>
      </c>
      <c r="H435" s="64" t="str">
        <f t="shared" si="223"/>
        <v/>
      </c>
      <c r="J435" s="63" t="str">
        <f t="shared" si="224"/>
        <v/>
      </c>
      <c r="K435" s="64" t="str">
        <f t="shared" si="225"/>
        <v/>
      </c>
      <c r="L435" s="38">
        <v>0</v>
      </c>
      <c r="M435" s="64" t="str">
        <f t="shared" si="226"/>
        <v/>
      </c>
      <c r="O435" s="63" t="str">
        <f t="shared" si="227"/>
        <v/>
      </c>
      <c r="P435" s="63" t="str">
        <f t="shared" si="228"/>
        <v/>
      </c>
      <c r="R435" s="63" t="str">
        <f t="shared" si="229"/>
        <v/>
      </c>
      <c r="S435" s="64" t="str">
        <f t="shared" si="230"/>
        <v/>
      </c>
      <c r="T435" s="38">
        <v>0</v>
      </c>
      <c r="U435" s="64" t="str">
        <f t="shared" si="231"/>
        <v/>
      </c>
      <c r="V435" s="219"/>
      <c r="W435" s="43" t="str">
        <f t="shared" si="232"/>
        <v/>
      </c>
      <c r="X435" s="43" t="str">
        <f t="shared" si="233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34"/>
        <v/>
      </c>
      <c r="AP435" s="33" t="str">
        <f t="shared" si="235"/>
        <v/>
      </c>
      <c r="AQ435" s="58" t="str">
        <f t="shared" si="236"/>
        <v/>
      </c>
      <c r="AR435" s="38">
        <f>'ANR OK vs ML7'!AR435</f>
        <v>0.1</v>
      </c>
      <c r="AS435" s="35" t="str">
        <f t="shared" si="237"/>
        <v/>
      </c>
      <c r="AT435" s="3" t="str">
        <f t="shared" si="238"/>
        <v/>
      </c>
      <c r="AU435" s="3" t="str">
        <f t="shared" si="239"/>
        <v/>
      </c>
      <c r="AW435" s="32" t="str">
        <f t="shared" si="240"/>
        <v/>
      </c>
      <c r="AX435" s="32" t="str">
        <f t="shared" si="241"/>
        <v/>
      </c>
      <c r="AY435" s="32" t="str">
        <f t="shared" si="242"/>
        <v/>
      </c>
      <c r="BA435" s="32" t="str">
        <f>IF($A436="","",F435*Summary!$Q$13)</f>
        <v/>
      </c>
    </row>
    <row r="436" spans="1:53">
      <c r="A436" s="67" t="str">
        <f t="shared" si="243"/>
        <v/>
      </c>
      <c r="B436" s="69" t="str">
        <f t="shared" si="244"/>
        <v/>
      </c>
      <c r="D436" s="69" t="str">
        <f t="shared" si="219"/>
        <v/>
      </c>
      <c r="E436" s="70" t="str">
        <f t="shared" si="220"/>
        <v/>
      </c>
      <c r="F436" s="70" t="str">
        <f t="shared" si="221"/>
        <v/>
      </c>
      <c r="G436" s="63" t="str">
        <f t="shared" si="222"/>
        <v/>
      </c>
      <c r="H436" s="64" t="str">
        <f t="shared" si="223"/>
        <v/>
      </c>
      <c r="J436" s="63" t="str">
        <f t="shared" si="224"/>
        <v/>
      </c>
      <c r="K436" s="64" t="str">
        <f t="shared" si="225"/>
        <v/>
      </c>
      <c r="L436" s="38">
        <v>0</v>
      </c>
      <c r="M436" s="64" t="str">
        <f t="shared" si="226"/>
        <v/>
      </c>
      <c r="O436" s="63" t="str">
        <f t="shared" si="227"/>
        <v/>
      </c>
      <c r="P436" s="63" t="str">
        <f t="shared" si="228"/>
        <v/>
      </c>
      <c r="R436" s="63" t="str">
        <f t="shared" si="229"/>
        <v/>
      </c>
      <c r="S436" s="64" t="str">
        <f t="shared" si="230"/>
        <v/>
      </c>
      <c r="T436" s="38">
        <v>0</v>
      </c>
      <c r="U436" s="64" t="str">
        <f t="shared" si="231"/>
        <v/>
      </c>
      <c r="V436" s="219"/>
      <c r="W436" s="43" t="str">
        <f t="shared" si="232"/>
        <v/>
      </c>
      <c r="X436" s="43" t="str">
        <f t="shared" si="233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34"/>
        <v/>
      </c>
      <c r="AP436" s="33" t="str">
        <f t="shared" si="235"/>
        <v/>
      </c>
      <c r="AQ436" s="58" t="str">
        <f t="shared" si="236"/>
        <v/>
      </c>
      <c r="AR436" s="38">
        <f>'ANR OK vs ML7'!AR436</f>
        <v>0.1</v>
      </c>
      <c r="AS436" s="35" t="str">
        <f t="shared" si="237"/>
        <v/>
      </c>
      <c r="AT436" s="3" t="str">
        <f t="shared" si="238"/>
        <v/>
      </c>
      <c r="AU436" s="3" t="str">
        <f t="shared" si="239"/>
        <v/>
      </c>
      <c r="AW436" s="32" t="str">
        <f t="shared" si="240"/>
        <v/>
      </c>
      <c r="AX436" s="32" t="str">
        <f t="shared" si="241"/>
        <v/>
      </c>
      <c r="AY436" s="32" t="str">
        <f t="shared" si="242"/>
        <v/>
      </c>
      <c r="BA436" s="32" t="str">
        <f>IF($A437="","",F436*Summary!$Q$13)</f>
        <v/>
      </c>
    </row>
    <row r="437" spans="1:53">
      <c r="A437" s="67" t="str">
        <f t="shared" si="243"/>
        <v/>
      </c>
      <c r="B437" s="69" t="str">
        <f t="shared" si="244"/>
        <v/>
      </c>
      <c r="D437" s="69" t="str">
        <f t="shared" si="219"/>
        <v/>
      </c>
      <c r="E437" s="70" t="str">
        <f t="shared" si="220"/>
        <v/>
      </c>
      <c r="F437" s="70" t="str">
        <f t="shared" si="221"/>
        <v/>
      </c>
      <c r="G437" s="63" t="str">
        <f t="shared" si="222"/>
        <v/>
      </c>
      <c r="H437" s="64" t="str">
        <f t="shared" si="223"/>
        <v/>
      </c>
      <c r="J437" s="63" t="str">
        <f t="shared" si="224"/>
        <v/>
      </c>
      <c r="K437" s="64" t="str">
        <f t="shared" si="225"/>
        <v/>
      </c>
      <c r="L437" s="38">
        <v>0</v>
      </c>
      <c r="M437" s="64" t="str">
        <f t="shared" si="226"/>
        <v/>
      </c>
      <c r="O437" s="63" t="str">
        <f t="shared" si="227"/>
        <v/>
      </c>
      <c r="P437" s="63" t="str">
        <f t="shared" si="228"/>
        <v/>
      </c>
      <c r="R437" s="63" t="str">
        <f t="shared" si="229"/>
        <v/>
      </c>
      <c r="S437" s="64" t="str">
        <f t="shared" si="230"/>
        <v/>
      </c>
      <c r="T437" s="38">
        <v>0</v>
      </c>
      <c r="U437" s="64" t="str">
        <f t="shared" si="231"/>
        <v/>
      </c>
      <c r="V437" s="219"/>
      <c r="W437" s="43" t="str">
        <f t="shared" si="232"/>
        <v/>
      </c>
      <c r="X437" s="43" t="str">
        <f t="shared" si="233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34"/>
        <v/>
      </c>
      <c r="AP437" s="33" t="str">
        <f t="shared" si="235"/>
        <v/>
      </c>
      <c r="AQ437" s="58" t="str">
        <f t="shared" si="236"/>
        <v/>
      </c>
      <c r="AR437" s="38">
        <f>'ANR OK vs ML7'!AR437</f>
        <v>0.1</v>
      </c>
      <c r="AS437" s="35" t="str">
        <f t="shared" si="237"/>
        <v/>
      </c>
      <c r="AT437" s="3" t="str">
        <f t="shared" si="238"/>
        <v/>
      </c>
      <c r="AU437" s="3" t="str">
        <f t="shared" si="239"/>
        <v/>
      </c>
      <c r="AW437" s="32" t="str">
        <f t="shared" si="240"/>
        <v/>
      </c>
      <c r="AX437" s="32" t="str">
        <f t="shared" si="241"/>
        <v/>
      </c>
      <c r="AY437" s="32" t="str">
        <f t="shared" si="242"/>
        <v/>
      </c>
      <c r="BA437" s="32" t="str">
        <f>IF($A438="","",F437*Summary!$Q$13)</f>
        <v/>
      </c>
    </row>
    <row r="438" spans="1:53">
      <c r="A438" s="67" t="str">
        <f t="shared" si="243"/>
        <v/>
      </c>
      <c r="B438" s="69" t="str">
        <f t="shared" si="244"/>
        <v/>
      </c>
      <c r="D438" s="69" t="str">
        <f t="shared" si="219"/>
        <v/>
      </c>
      <c r="E438" s="70" t="str">
        <f t="shared" si="220"/>
        <v/>
      </c>
      <c r="F438" s="70" t="str">
        <f t="shared" si="221"/>
        <v/>
      </c>
      <c r="G438" s="63" t="str">
        <f t="shared" si="222"/>
        <v/>
      </c>
      <c r="H438" s="64" t="str">
        <f t="shared" si="223"/>
        <v/>
      </c>
      <c r="J438" s="63" t="str">
        <f t="shared" si="224"/>
        <v/>
      </c>
      <c r="K438" s="64" t="str">
        <f t="shared" si="225"/>
        <v/>
      </c>
      <c r="L438" s="38">
        <v>0</v>
      </c>
      <c r="M438" s="64" t="str">
        <f t="shared" si="226"/>
        <v/>
      </c>
      <c r="O438" s="63" t="str">
        <f t="shared" si="227"/>
        <v/>
      </c>
      <c r="P438" s="63" t="str">
        <f t="shared" si="228"/>
        <v/>
      </c>
      <c r="R438" s="63" t="str">
        <f t="shared" si="229"/>
        <v/>
      </c>
      <c r="S438" s="64" t="str">
        <f t="shared" si="230"/>
        <v/>
      </c>
      <c r="T438" s="38">
        <v>0</v>
      </c>
      <c r="U438" s="64" t="str">
        <f t="shared" si="231"/>
        <v/>
      </c>
      <c r="V438" s="219"/>
      <c r="W438" s="43" t="str">
        <f t="shared" si="232"/>
        <v/>
      </c>
      <c r="X438" s="43" t="str">
        <f t="shared" si="233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34"/>
        <v/>
      </c>
      <c r="AP438" s="33" t="str">
        <f t="shared" si="235"/>
        <v/>
      </c>
      <c r="AQ438" s="58" t="str">
        <f t="shared" si="236"/>
        <v/>
      </c>
      <c r="AR438" s="38">
        <f>'ANR OK vs ML7'!AR438</f>
        <v>0.1</v>
      </c>
      <c r="AS438" s="35" t="str">
        <f t="shared" si="237"/>
        <v/>
      </c>
      <c r="AT438" s="3" t="str">
        <f t="shared" si="238"/>
        <v/>
      </c>
      <c r="AU438" s="3" t="str">
        <f t="shared" si="239"/>
        <v/>
      </c>
      <c r="AW438" s="32" t="str">
        <f t="shared" si="240"/>
        <v/>
      </c>
      <c r="AX438" s="32" t="str">
        <f t="shared" si="241"/>
        <v/>
      </c>
      <c r="AY438" s="32" t="str">
        <f t="shared" si="242"/>
        <v/>
      </c>
      <c r="BA438" s="32" t="str">
        <f>IF($A439="","",F438*Summary!$Q$13)</f>
        <v/>
      </c>
    </row>
    <row r="439" spans="1:53">
      <c r="A439" s="67" t="str">
        <f t="shared" si="243"/>
        <v/>
      </c>
      <c r="B439" s="69" t="str">
        <f t="shared" si="244"/>
        <v/>
      </c>
      <c r="D439" s="69" t="str">
        <f t="shared" si="219"/>
        <v/>
      </c>
      <c r="E439" s="70" t="str">
        <f t="shared" si="220"/>
        <v/>
      </c>
      <c r="F439" s="70" t="str">
        <f t="shared" si="221"/>
        <v/>
      </c>
      <c r="G439" s="63" t="str">
        <f t="shared" si="222"/>
        <v/>
      </c>
      <c r="H439" s="64" t="str">
        <f t="shared" si="223"/>
        <v/>
      </c>
      <c r="J439" s="63" t="str">
        <f t="shared" si="224"/>
        <v/>
      </c>
      <c r="K439" s="64" t="str">
        <f t="shared" si="225"/>
        <v/>
      </c>
      <c r="L439" s="38">
        <v>0</v>
      </c>
      <c r="M439" s="64" t="str">
        <f t="shared" si="226"/>
        <v/>
      </c>
      <c r="O439" s="63" t="str">
        <f t="shared" si="227"/>
        <v/>
      </c>
      <c r="P439" s="63" t="str">
        <f t="shared" si="228"/>
        <v/>
      </c>
      <c r="R439" s="63" t="str">
        <f t="shared" si="229"/>
        <v/>
      </c>
      <c r="S439" s="64" t="str">
        <f t="shared" si="230"/>
        <v/>
      </c>
      <c r="T439" s="38">
        <v>0</v>
      </c>
      <c r="U439" s="64" t="str">
        <f t="shared" si="231"/>
        <v/>
      </c>
      <c r="V439" s="219"/>
      <c r="W439" s="43" t="str">
        <f t="shared" si="232"/>
        <v/>
      </c>
      <c r="X439" s="43" t="str">
        <f t="shared" si="233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34"/>
        <v/>
      </c>
      <c r="AP439" s="33" t="str">
        <f t="shared" si="235"/>
        <v/>
      </c>
      <c r="AQ439" s="58" t="str">
        <f t="shared" si="236"/>
        <v/>
      </c>
      <c r="AR439" s="38">
        <f>'ANR OK vs ML7'!AR439</f>
        <v>0.1</v>
      </c>
      <c r="AS439" s="35" t="str">
        <f t="shared" si="237"/>
        <v/>
      </c>
      <c r="AT439" s="3" t="str">
        <f t="shared" si="238"/>
        <v/>
      </c>
      <c r="AU439" s="3" t="str">
        <f t="shared" si="239"/>
        <v/>
      </c>
      <c r="AW439" s="32" t="str">
        <f t="shared" si="240"/>
        <v/>
      </c>
      <c r="AX439" s="32" t="str">
        <f t="shared" si="241"/>
        <v/>
      </c>
      <c r="AY439" s="32" t="str">
        <f t="shared" si="242"/>
        <v/>
      </c>
      <c r="BA439" s="32" t="str">
        <f>IF($A440="","",F439*Summary!$Q$13)</f>
        <v/>
      </c>
    </row>
    <row r="440" spans="1:53">
      <c r="A440" s="67" t="str">
        <f t="shared" si="243"/>
        <v/>
      </c>
      <c r="B440" s="69" t="str">
        <f t="shared" si="244"/>
        <v/>
      </c>
      <c r="D440" s="69" t="str">
        <f t="shared" si="219"/>
        <v/>
      </c>
      <c r="E440" s="70" t="str">
        <f t="shared" si="220"/>
        <v/>
      </c>
      <c r="F440" s="70" t="str">
        <f t="shared" si="221"/>
        <v/>
      </c>
      <c r="G440" s="63" t="str">
        <f t="shared" si="222"/>
        <v/>
      </c>
      <c r="H440" s="64" t="str">
        <f t="shared" si="223"/>
        <v/>
      </c>
      <c r="J440" s="63" t="str">
        <f t="shared" si="224"/>
        <v/>
      </c>
      <c r="K440" s="64" t="str">
        <f t="shared" si="225"/>
        <v/>
      </c>
      <c r="L440" s="38">
        <v>0</v>
      </c>
      <c r="M440" s="64" t="str">
        <f t="shared" si="226"/>
        <v/>
      </c>
      <c r="O440" s="63" t="str">
        <f t="shared" si="227"/>
        <v/>
      </c>
      <c r="P440" s="63" t="str">
        <f t="shared" si="228"/>
        <v/>
      </c>
      <c r="R440" s="63" t="str">
        <f t="shared" si="229"/>
        <v/>
      </c>
      <c r="S440" s="64" t="str">
        <f t="shared" si="230"/>
        <v/>
      </c>
      <c r="T440" s="38">
        <v>0</v>
      </c>
      <c r="U440" s="64" t="str">
        <f t="shared" si="231"/>
        <v/>
      </c>
      <c r="V440" s="219"/>
      <c r="W440" s="43" t="str">
        <f t="shared" si="232"/>
        <v/>
      </c>
      <c r="X440" s="43" t="str">
        <f t="shared" si="233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34"/>
        <v/>
      </c>
      <c r="AP440" s="33" t="str">
        <f t="shared" si="235"/>
        <v/>
      </c>
      <c r="AQ440" s="58" t="str">
        <f t="shared" si="236"/>
        <v/>
      </c>
      <c r="AR440" s="38">
        <f>'ANR OK vs ML7'!AR440</f>
        <v>0.1</v>
      </c>
      <c r="AS440" s="35" t="str">
        <f t="shared" si="237"/>
        <v/>
      </c>
      <c r="AT440" s="3" t="str">
        <f t="shared" si="238"/>
        <v/>
      </c>
      <c r="AU440" s="3" t="str">
        <f t="shared" si="239"/>
        <v/>
      </c>
      <c r="AW440" s="32" t="str">
        <f t="shared" si="240"/>
        <v/>
      </c>
      <c r="AX440" s="32" t="str">
        <f t="shared" si="241"/>
        <v/>
      </c>
      <c r="AY440" s="32" t="str">
        <f t="shared" si="242"/>
        <v/>
      </c>
      <c r="BA440" s="32" t="str">
        <f>IF($A441="","",F440*Summary!$Q$13)</f>
        <v/>
      </c>
    </row>
    <row r="441" spans="1:53">
      <c r="A441" s="67" t="str">
        <f t="shared" si="243"/>
        <v/>
      </c>
      <c r="B441" s="69" t="str">
        <f t="shared" si="244"/>
        <v/>
      </c>
      <c r="D441" s="69" t="str">
        <f t="shared" si="219"/>
        <v/>
      </c>
      <c r="E441" s="70" t="str">
        <f t="shared" si="220"/>
        <v/>
      </c>
      <c r="F441" s="70" t="str">
        <f t="shared" si="221"/>
        <v/>
      </c>
      <c r="G441" s="63" t="str">
        <f t="shared" si="222"/>
        <v/>
      </c>
      <c r="H441" s="64" t="str">
        <f t="shared" si="223"/>
        <v/>
      </c>
      <c r="J441" s="63" t="str">
        <f t="shared" si="224"/>
        <v/>
      </c>
      <c r="K441" s="64" t="str">
        <f t="shared" si="225"/>
        <v/>
      </c>
      <c r="L441" s="38">
        <v>0</v>
      </c>
      <c r="M441" s="64" t="str">
        <f t="shared" si="226"/>
        <v/>
      </c>
      <c r="O441" s="63" t="str">
        <f t="shared" si="227"/>
        <v/>
      </c>
      <c r="P441" s="63" t="str">
        <f t="shared" si="228"/>
        <v/>
      </c>
      <c r="R441" s="63" t="str">
        <f t="shared" si="229"/>
        <v/>
      </c>
      <c r="S441" s="64" t="str">
        <f t="shared" si="230"/>
        <v/>
      </c>
      <c r="T441" s="38">
        <v>0</v>
      </c>
      <c r="U441" s="64" t="str">
        <f t="shared" si="231"/>
        <v/>
      </c>
      <c r="V441" s="219"/>
      <c r="W441" s="43" t="str">
        <f t="shared" si="232"/>
        <v/>
      </c>
      <c r="X441" s="43" t="str">
        <f t="shared" si="233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34"/>
        <v/>
      </c>
      <c r="AP441" s="33" t="str">
        <f t="shared" si="235"/>
        <v/>
      </c>
      <c r="AQ441" s="58" t="str">
        <f t="shared" si="236"/>
        <v/>
      </c>
      <c r="AR441" s="38">
        <f>'ANR OK vs ML7'!AR441</f>
        <v>0.1</v>
      </c>
      <c r="AS441" s="35" t="str">
        <f t="shared" si="237"/>
        <v/>
      </c>
      <c r="AT441" s="3" t="str">
        <f t="shared" si="238"/>
        <v/>
      </c>
      <c r="AU441" s="3" t="str">
        <f t="shared" si="239"/>
        <v/>
      </c>
      <c r="AW441" s="32" t="str">
        <f t="shared" si="240"/>
        <v/>
      </c>
      <c r="AX441" s="32" t="str">
        <f t="shared" si="241"/>
        <v/>
      </c>
      <c r="AY441" s="32" t="str">
        <f t="shared" si="242"/>
        <v/>
      </c>
      <c r="BA441" s="32" t="str">
        <f>IF($A442="","",F441*Summary!$Q$13)</f>
        <v/>
      </c>
    </row>
    <row r="442" spans="1:53">
      <c r="A442" s="67" t="str">
        <f t="shared" si="243"/>
        <v/>
      </c>
      <c r="B442" s="69" t="str">
        <f t="shared" si="244"/>
        <v/>
      </c>
      <c r="D442" s="69" t="str">
        <f t="shared" si="219"/>
        <v/>
      </c>
      <c r="E442" s="70" t="str">
        <f t="shared" si="220"/>
        <v/>
      </c>
      <c r="F442" s="70" t="str">
        <f t="shared" si="221"/>
        <v/>
      </c>
      <c r="G442" s="63" t="str">
        <f t="shared" si="222"/>
        <v/>
      </c>
      <c r="H442" s="64" t="str">
        <f t="shared" si="223"/>
        <v/>
      </c>
      <c r="J442" s="63" t="str">
        <f t="shared" si="224"/>
        <v/>
      </c>
      <c r="K442" s="64" t="str">
        <f t="shared" si="225"/>
        <v/>
      </c>
      <c r="L442" s="38">
        <v>0</v>
      </c>
      <c r="M442" s="64" t="str">
        <f t="shared" si="226"/>
        <v/>
      </c>
      <c r="O442" s="63" t="str">
        <f t="shared" si="227"/>
        <v/>
      </c>
      <c r="P442" s="63" t="str">
        <f t="shared" si="228"/>
        <v/>
      </c>
      <c r="R442" s="63" t="str">
        <f t="shared" si="229"/>
        <v/>
      </c>
      <c r="S442" s="64" t="str">
        <f t="shared" si="230"/>
        <v/>
      </c>
      <c r="T442" s="38">
        <v>0</v>
      </c>
      <c r="U442" s="64" t="str">
        <f t="shared" si="231"/>
        <v/>
      </c>
      <c r="V442" s="219"/>
      <c r="W442" s="43" t="str">
        <f t="shared" si="232"/>
        <v/>
      </c>
      <c r="X442" s="43" t="str">
        <f t="shared" si="233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34"/>
        <v/>
      </c>
      <c r="AP442" s="33" t="str">
        <f t="shared" si="235"/>
        <v/>
      </c>
      <c r="AQ442" s="58" t="str">
        <f t="shared" si="236"/>
        <v/>
      </c>
      <c r="AR442" s="38">
        <f>'ANR OK vs ML7'!AR442</f>
        <v>0.1</v>
      </c>
      <c r="AS442" s="35" t="str">
        <f t="shared" si="237"/>
        <v/>
      </c>
      <c r="AT442" s="3" t="str">
        <f t="shared" si="238"/>
        <v/>
      </c>
      <c r="AU442" s="3" t="str">
        <f t="shared" si="239"/>
        <v/>
      </c>
      <c r="AW442" s="32" t="str">
        <f t="shared" si="240"/>
        <v/>
      </c>
      <c r="AX442" s="32" t="str">
        <f t="shared" si="241"/>
        <v/>
      </c>
      <c r="AY442" s="32" t="str">
        <f t="shared" si="242"/>
        <v/>
      </c>
      <c r="BA442" s="32" t="str">
        <f>IF($A443="","",F442*Summary!$Q$13)</f>
        <v/>
      </c>
    </row>
    <row r="443" spans="1:53">
      <c r="A443" s="67" t="str">
        <f t="shared" si="243"/>
        <v/>
      </c>
      <c r="B443" s="69" t="str">
        <f t="shared" si="244"/>
        <v/>
      </c>
      <c r="D443" s="69" t="str">
        <f t="shared" si="219"/>
        <v/>
      </c>
      <c r="E443" s="70" t="str">
        <f t="shared" si="220"/>
        <v/>
      </c>
      <c r="F443" s="70" t="str">
        <f t="shared" si="221"/>
        <v/>
      </c>
      <c r="G443" s="63" t="str">
        <f t="shared" si="222"/>
        <v/>
      </c>
      <c r="H443" s="64" t="str">
        <f t="shared" si="223"/>
        <v/>
      </c>
      <c r="J443" s="63" t="str">
        <f t="shared" si="224"/>
        <v/>
      </c>
      <c r="K443" s="64" t="str">
        <f t="shared" si="225"/>
        <v/>
      </c>
      <c r="L443" s="38">
        <v>0</v>
      </c>
      <c r="M443" s="64" t="str">
        <f t="shared" si="226"/>
        <v/>
      </c>
      <c r="O443" s="63" t="str">
        <f t="shared" si="227"/>
        <v/>
      </c>
      <c r="P443" s="63" t="str">
        <f t="shared" si="228"/>
        <v/>
      </c>
      <c r="R443" s="63" t="str">
        <f t="shared" si="229"/>
        <v/>
      </c>
      <c r="S443" s="64" t="str">
        <f t="shared" si="230"/>
        <v/>
      </c>
      <c r="T443" s="38">
        <v>0</v>
      </c>
      <c r="U443" s="64" t="str">
        <f t="shared" si="231"/>
        <v/>
      </c>
      <c r="V443" s="219"/>
      <c r="W443" s="43" t="str">
        <f t="shared" si="232"/>
        <v/>
      </c>
      <c r="X443" s="43" t="str">
        <f t="shared" si="233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34"/>
        <v/>
      </c>
      <c r="AP443" s="33" t="str">
        <f t="shared" si="235"/>
        <v/>
      </c>
      <c r="AQ443" s="58" t="str">
        <f t="shared" si="236"/>
        <v/>
      </c>
      <c r="AR443" s="38">
        <f>'ANR OK vs ML7'!AR443</f>
        <v>0.1</v>
      </c>
      <c r="AS443" s="35" t="str">
        <f t="shared" si="237"/>
        <v/>
      </c>
      <c r="AT443" s="3" t="str">
        <f t="shared" si="238"/>
        <v/>
      </c>
      <c r="AU443" s="3" t="str">
        <f t="shared" si="239"/>
        <v/>
      </c>
      <c r="AW443" s="32" t="str">
        <f t="shared" si="240"/>
        <v/>
      </c>
      <c r="AX443" s="32" t="str">
        <f t="shared" si="241"/>
        <v/>
      </c>
      <c r="AY443" s="32" t="str">
        <f t="shared" si="242"/>
        <v/>
      </c>
      <c r="BA443" s="32" t="str">
        <f>IF($A444="","",F443*Summary!$Q$13)</f>
        <v/>
      </c>
    </row>
    <row r="444" spans="1:53">
      <c r="A444" s="67" t="str">
        <f t="shared" si="243"/>
        <v/>
      </c>
      <c r="B444" s="69" t="str">
        <f t="shared" si="244"/>
        <v/>
      </c>
      <c r="D444" s="69" t="str">
        <f t="shared" si="219"/>
        <v/>
      </c>
      <c r="E444" s="70" t="str">
        <f t="shared" si="220"/>
        <v/>
      </c>
      <c r="F444" s="70" t="str">
        <f t="shared" si="221"/>
        <v/>
      </c>
      <c r="G444" s="63" t="str">
        <f t="shared" si="222"/>
        <v/>
      </c>
      <c r="H444" s="64" t="str">
        <f t="shared" si="223"/>
        <v/>
      </c>
      <c r="J444" s="63" t="str">
        <f t="shared" si="224"/>
        <v/>
      </c>
      <c r="K444" s="64" t="str">
        <f t="shared" si="225"/>
        <v/>
      </c>
      <c r="L444" s="38">
        <v>0</v>
      </c>
      <c r="M444" s="64" t="str">
        <f t="shared" si="226"/>
        <v/>
      </c>
      <c r="O444" s="63" t="str">
        <f t="shared" si="227"/>
        <v/>
      </c>
      <c r="P444" s="63" t="str">
        <f t="shared" si="228"/>
        <v/>
      </c>
      <c r="R444" s="63" t="str">
        <f t="shared" si="229"/>
        <v/>
      </c>
      <c r="S444" s="64" t="str">
        <f t="shared" si="230"/>
        <v/>
      </c>
      <c r="T444" s="38">
        <v>0</v>
      </c>
      <c r="U444" s="64" t="str">
        <f t="shared" si="231"/>
        <v/>
      </c>
      <c r="V444" s="219"/>
      <c r="W444" s="43" t="str">
        <f t="shared" si="232"/>
        <v/>
      </c>
      <c r="X444" s="43" t="str">
        <f t="shared" si="233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34"/>
        <v/>
      </c>
      <c r="AP444" s="33" t="str">
        <f t="shared" si="235"/>
        <v/>
      </c>
      <c r="AQ444" s="58" t="str">
        <f t="shared" si="236"/>
        <v/>
      </c>
      <c r="AR444" s="38">
        <f>'ANR OK vs ML7'!AR444</f>
        <v>0.1</v>
      </c>
      <c r="AS444" s="35" t="str">
        <f t="shared" si="237"/>
        <v/>
      </c>
      <c r="AT444" s="3" t="str">
        <f t="shared" si="238"/>
        <v/>
      </c>
      <c r="AU444" s="3" t="str">
        <f t="shared" si="239"/>
        <v/>
      </c>
      <c r="AW444" s="32" t="str">
        <f t="shared" si="240"/>
        <v/>
      </c>
      <c r="AX444" s="32" t="str">
        <f t="shared" si="241"/>
        <v/>
      </c>
      <c r="AY444" s="32" t="str">
        <f t="shared" si="242"/>
        <v/>
      </c>
      <c r="BA444" s="32" t="str">
        <f>IF($A445="","",F444*Summary!$Q$13)</f>
        <v/>
      </c>
    </row>
    <row r="445" spans="1:53">
      <c r="A445" s="67" t="str">
        <f t="shared" si="243"/>
        <v/>
      </c>
      <c r="B445" s="69" t="str">
        <f t="shared" si="244"/>
        <v/>
      </c>
      <c r="D445" s="69" t="str">
        <f t="shared" si="219"/>
        <v/>
      </c>
      <c r="E445" s="70" t="str">
        <f t="shared" si="220"/>
        <v/>
      </c>
      <c r="F445" s="70" t="str">
        <f t="shared" si="221"/>
        <v/>
      </c>
      <c r="G445" s="63" t="str">
        <f t="shared" si="222"/>
        <v/>
      </c>
      <c r="H445" s="64" t="str">
        <f t="shared" si="223"/>
        <v/>
      </c>
      <c r="J445" s="63" t="str">
        <f t="shared" si="224"/>
        <v/>
      </c>
      <c r="K445" s="64" t="str">
        <f t="shared" si="225"/>
        <v/>
      </c>
      <c r="L445" s="38">
        <v>0</v>
      </c>
      <c r="M445" s="64" t="str">
        <f t="shared" si="226"/>
        <v/>
      </c>
      <c r="O445" s="63" t="str">
        <f t="shared" si="227"/>
        <v/>
      </c>
      <c r="P445" s="63" t="str">
        <f t="shared" si="228"/>
        <v/>
      </c>
      <c r="R445" s="63" t="str">
        <f t="shared" si="229"/>
        <v/>
      </c>
      <c r="S445" s="64" t="str">
        <f t="shared" si="230"/>
        <v/>
      </c>
      <c r="T445" s="38">
        <v>0</v>
      </c>
      <c r="U445" s="64" t="str">
        <f t="shared" si="231"/>
        <v/>
      </c>
      <c r="V445" s="219"/>
      <c r="W445" s="43" t="str">
        <f t="shared" si="232"/>
        <v/>
      </c>
      <c r="X445" s="43" t="str">
        <f t="shared" si="233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34"/>
        <v/>
      </c>
      <c r="AP445" s="33" t="str">
        <f t="shared" si="235"/>
        <v/>
      </c>
      <c r="AQ445" s="58" t="str">
        <f t="shared" si="236"/>
        <v/>
      </c>
      <c r="AR445" s="38">
        <f>'ANR OK vs ML7'!AR445</f>
        <v>0.1</v>
      </c>
      <c r="AS445" s="35" t="str">
        <f t="shared" si="237"/>
        <v/>
      </c>
      <c r="AT445" s="3" t="str">
        <f t="shared" si="238"/>
        <v/>
      </c>
      <c r="AU445" s="3" t="str">
        <f t="shared" si="239"/>
        <v/>
      </c>
      <c r="AW445" s="32" t="str">
        <f t="shared" si="240"/>
        <v/>
      </c>
      <c r="AX445" s="32" t="str">
        <f t="shared" si="241"/>
        <v/>
      </c>
      <c r="AY445" s="32" t="str">
        <f t="shared" si="242"/>
        <v/>
      </c>
      <c r="BA445" s="32" t="str">
        <f>IF($A446="","",F445*Summary!$Q$13)</f>
        <v/>
      </c>
    </row>
    <row r="446" spans="1:53">
      <c r="A446" s="67" t="str">
        <f t="shared" si="243"/>
        <v/>
      </c>
      <c r="B446" s="69" t="str">
        <f t="shared" si="244"/>
        <v/>
      </c>
      <c r="D446" s="69" t="str">
        <f t="shared" si="219"/>
        <v/>
      </c>
      <c r="E446" s="70" t="str">
        <f t="shared" si="220"/>
        <v/>
      </c>
      <c r="F446" s="70" t="str">
        <f t="shared" si="221"/>
        <v/>
      </c>
      <c r="G446" s="63" t="str">
        <f t="shared" si="222"/>
        <v/>
      </c>
      <c r="H446" s="64" t="str">
        <f t="shared" si="223"/>
        <v/>
      </c>
      <c r="J446" s="63" t="str">
        <f t="shared" si="224"/>
        <v/>
      </c>
      <c r="K446" s="64" t="str">
        <f t="shared" si="225"/>
        <v/>
      </c>
      <c r="L446" s="38">
        <v>0</v>
      </c>
      <c r="M446" s="64" t="str">
        <f t="shared" si="226"/>
        <v/>
      </c>
      <c r="O446" s="63" t="str">
        <f t="shared" si="227"/>
        <v/>
      </c>
      <c r="P446" s="63" t="str">
        <f t="shared" si="228"/>
        <v/>
      </c>
      <c r="R446" s="63" t="str">
        <f t="shared" si="229"/>
        <v/>
      </c>
      <c r="S446" s="64" t="str">
        <f t="shared" si="230"/>
        <v/>
      </c>
      <c r="T446" s="38">
        <v>0</v>
      </c>
      <c r="U446" s="64" t="str">
        <f t="shared" si="231"/>
        <v/>
      </c>
      <c r="V446" s="219"/>
      <c r="W446" s="43" t="str">
        <f t="shared" si="232"/>
        <v/>
      </c>
      <c r="X446" s="43" t="str">
        <f t="shared" si="233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34"/>
        <v/>
      </c>
      <c r="AP446" s="33" t="str">
        <f t="shared" si="235"/>
        <v/>
      </c>
      <c r="AQ446" s="58" t="str">
        <f t="shared" si="236"/>
        <v/>
      </c>
      <c r="AR446" s="38">
        <f>'ANR OK vs ML7'!AR446</f>
        <v>0.1</v>
      </c>
      <c r="AS446" s="35" t="str">
        <f t="shared" si="237"/>
        <v/>
      </c>
      <c r="AT446" s="3" t="str">
        <f t="shared" si="238"/>
        <v/>
      </c>
      <c r="AU446" s="3" t="str">
        <f t="shared" si="239"/>
        <v/>
      </c>
      <c r="AW446" s="32" t="str">
        <f t="shared" si="240"/>
        <v/>
      </c>
      <c r="AX446" s="32" t="str">
        <f t="shared" si="241"/>
        <v/>
      </c>
      <c r="AY446" s="32" t="str">
        <f t="shared" si="242"/>
        <v/>
      </c>
      <c r="BA446" s="32" t="str">
        <f>IF($A447="","",F446*Summary!$Q$13)</f>
        <v/>
      </c>
    </row>
    <row r="447" spans="1:53">
      <c r="A447" s="67" t="str">
        <f t="shared" si="243"/>
        <v/>
      </c>
      <c r="B447" s="69" t="str">
        <f t="shared" si="244"/>
        <v/>
      </c>
      <c r="D447" s="69" t="str">
        <f t="shared" si="219"/>
        <v/>
      </c>
      <c r="E447" s="70" t="str">
        <f t="shared" si="220"/>
        <v/>
      </c>
      <c r="F447" s="70" t="str">
        <f t="shared" si="221"/>
        <v/>
      </c>
      <c r="G447" s="63" t="str">
        <f t="shared" si="222"/>
        <v/>
      </c>
      <c r="H447" s="64" t="str">
        <f t="shared" si="223"/>
        <v/>
      </c>
      <c r="J447" s="63" t="str">
        <f t="shared" si="224"/>
        <v/>
      </c>
      <c r="K447" s="64" t="str">
        <f t="shared" si="225"/>
        <v/>
      </c>
      <c r="L447" s="38">
        <v>0</v>
      </c>
      <c r="M447" s="64" t="str">
        <f t="shared" si="226"/>
        <v/>
      </c>
      <c r="O447" s="63" t="str">
        <f t="shared" si="227"/>
        <v/>
      </c>
      <c r="P447" s="63" t="str">
        <f t="shared" si="228"/>
        <v/>
      </c>
      <c r="R447" s="63" t="str">
        <f t="shared" si="229"/>
        <v/>
      </c>
      <c r="S447" s="64" t="str">
        <f t="shared" si="230"/>
        <v/>
      </c>
      <c r="T447" s="38">
        <v>0</v>
      </c>
      <c r="U447" s="64" t="str">
        <f t="shared" si="231"/>
        <v/>
      </c>
      <c r="V447" s="219"/>
      <c r="W447" s="43" t="str">
        <f t="shared" si="232"/>
        <v/>
      </c>
      <c r="X447" s="43" t="str">
        <f t="shared" si="233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34"/>
        <v/>
      </c>
      <c r="AP447" s="33" t="str">
        <f t="shared" si="235"/>
        <v/>
      </c>
      <c r="AQ447" s="58" t="str">
        <f t="shared" si="236"/>
        <v/>
      </c>
      <c r="AR447" s="38">
        <f>'ANR OK vs ML7'!AR447</f>
        <v>0.1</v>
      </c>
      <c r="AS447" s="35" t="str">
        <f t="shared" si="237"/>
        <v/>
      </c>
      <c r="AT447" s="3" t="str">
        <f t="shared" si="238"/>
        <v/>
      </c>
      <c r="AU447" s="3" t="str">
        <f t="shared" si="239"/>
        <v/>
      </c>
      <c r="AW447" s="32" t="str">
        <f t="shared" si="240"/>
        <v/>
      </c>
      <c r="AX447" s="32" t="str">
        <f t="shared" si="241"/>
        <v/>
      </c>
      <c r="AY447" s="32" t="str">
        <f t="shared" si="242"/>
        <v/>
      </c>
      <c r="BA447" s="32" t="str">
        <f>IF($A448="","",F447*Summary!$Q$13)</f>
        <v/>
      </c>
    </row>
    <row r="448" spans="1:53">
      <c r="A448" s="67" t="str">
        <f t="shared" si="243"/>
        <v/>
      </c>
      <c r="B448" s="69" t="str">
        <f t="shared" si="244"/>
        <v/>
      </c>
      <c r="D448" s="69" t="str">
        <f t="shared" si="219"/>
        <v/>
      </c>
      <c r="E448" s="70" t="str">
        <f t="shared" si="220"/>
        <v/>
      </c>
      <c r="F448" s="70" t="str">
        <f t="shared" si="221"/>
        <v/>
      </c>
      <c r="G448" s="63" t="str">
        <f t="shared" si="222"/>
        <v/>
      </c>
      <c r="H448" s="64" t="str">
        <f t="shared" si="223"/>
        <v/>
      </c>
      <c r="J448" s="63" t="str">
        <f t="shared" si="224"/>
        <v/>
      </c>
      <c r="K448" s="64" t="str">
        <f t="shared" si="225"/>
        <v/>
      </c>
      <c r="L448" s="38">
        <v>0</v>
      </c>
      <c r="M448" s="64" t="str">
        <f t="shared" si="226"/>
        <v/>
      </c>
      <c r="O448" s="63" t="str">
        <f t="shared" si="227"/>
        <v/>
      </c>
      <c r="P448" s="63" t="str">
        <f t="shared" si="228"/>
        <v/>
      </c>
      <c r="R448" s="63" t="str">
        <f t="shared" si="229"/>
        <v/>
      </c>
      <c r="S448" s="64" t="str">
        <f t="shared" si="230"/>
        <v/>
      </c>
      <c r="T448" s="38">
        <v>0</v>
      </c>
      <c r="U448" s="64" t="str">
        <f t="shared" si="231"/>
        <v/>
      </c>
      <c r="V448" s="219"/>
      <c r="W448" s="43" t="str">
        <f t="shared" si="232"/>
        <v/>
      </c>
      <c r="X448" s="43" t="str">
        <f t="shared" si="233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34"/>
        <v/>
      </c>
      <c r="AP448" s="33" t="str">
        <f t="shared" si="235"/>
        <v/>
      </c>
      <c r="AQ448" s="58" t="str">
        <f t="shared" si="236"/>
        <v/>
      </c>
      <c r="AR448" s="38">
        <f>'ANR OK vs ML7'!AR448</f>
        <v>0.1</v>
      </c>
      <c r="AS448" s="35" t="str">
        <f t="shared" si="237"/>
        <v/>
      </c>
      <c r="AT448" s="3" t="str">
        <f t="shared" si="238"/>
        <v/>
      </c>
      <c r="AU448" s="3" t="str">
        <f t="shared" si="239"/>
        <v/>
      </c>
      <c r="AW448" s="32" t="str">
        <f t="shared" si="240"/>
        <v/>
      </c>
      <c r="AX448" s="32" t="str">
        <f t="shared" si="241"/>
        <v/>
      </c>
      <c r="AY448" s="32" t="str">
        <f t="shared" si="242"/>
        <v/>
      </c>
      <c r="BA448" s="32" t="str">
        <f>IF($A449="","",F448*Summary!$Q$13)</f>
        <v/>
      </c>
    </row>
    <row r="449" spans="1:53">
      <c r="A449" s="67" t="str">
        <f t="shared" si="243"/>
        <v/>
      </c>
      <c r="B449" s="69" t="str">
        <f t="shared" si="244"/>
        <v/>
      </c>
      <c r="D449" s="69" t="str">
        <f t="shared" si="219"/>
        <v/>
      </c>
      <c r="E449" s="70" t="str">
        <f t="shared" si="220"/>
        <v/>
      </c>
      <c r="F449" s="70" t="str">
        <f t="shared" si="221"/>
        <v/>
      </c>
      <c r="G449" s="63" t="str">
        <f t="shared" si="222"/>
        <v/>
      </c>
      <c r="H449" s="64" t="str">
        <f t="shared" si="223"/>
        <v/>
      </c>
      <c r="J449" s="63" t="str">
        <f t="shared" si="224"/>
        <v/>
      </c>
      <c r="K449" s="64" t="str">
        <f t="shared" si="225"/>
        <v/>
      </c>
      <c r="L449" s="38">
        <v>0</v>
      </c>
      <c r="M449" s="64" t="str">
        <f t="shared" si="226"/>
        <v/>
      </c>
      <c r="O449" s="63" t="str">
        <f t="shared" si="227"/>
        <v/>
      </c>
      <c r="P449" s="63" t="str">
        <f t="shared" si="228"/>
        <v/>
      </c>
      <c r="R449" s="63" t="str">
        <f t="shared" si="229"/>
        <v/>
      </c>
      <c r="S449" s="64" t="str">
        <f t="shared" si="230"/>
        <v/>
      </c>
      <c r="T449" s="38">
        <v>0</v>
      </c>
      <c r="U449" s="64" t="str">
        <f t="shared" si="231"/>
        <v/>
      </c>
      <c r="V449" s="219"/>
      <c r="W449" s="43" t="str">
        <f t="shared" si="232"/>
        <v/>
      </c>
      <c r="X449" s="43" t="str">
        <f t="shared" si="233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34"/>
        <v/>
      </c>
      <c r="AP449" s="33" t="str">
        <f t="shared" si="235"/>
        <v/>
      </c>
      <c r="AQ449" s="58" t="str">
        <f t="shared" si="236"/>
        <v/>
      </c>
      <c r="AR449" s="38">
        <f>'ANR OK vs ML7'!AR449</f>
        <v>0.1</v>
      </c>
      <c r="AS449" s="35" t="str">
        <f t="shared" si="237"/>
        <v/>
      </c>
      <c r="AT449" s="3" t="str">
        <f t="shared" si="238"/>
        <v/>
      </c>
      <c r="AU449" s="3" t="str">
        <f t="shared" si="239"/>
        <v/>
      </c>
      <c r="AW449" s="32" t="str">
        <f t="shared" si="240"/>
        <v/>
      </c>
      <c r="AX449" s="32" t="str">
        <f t="shared" si="241"/>
        <v/>
      </c>
      <c r="AY449" s="32" t="str">
        <f t="shared" si="242"/>
        <v/>
      </c>
      <c r="BA449" s="32" t="str">
        <f>IF($A450="","",F449*Summary!$Q$13)</f>
        <v/>
      </c>
    </row>
    <row r="450" spans="1:53">
      <c r="A450" s="67" t="str">
        <f t="shared" si="243"/>
        <v/>
      </c>
      <c r="B450" s="69" t="str">
        <f t="shared" si="244"/>
        <v/>
      </c>
      <c r="D450" s="69" t="str">
        <f t="shared" si="219"/>
        <v/>
      </c>
      <c r="E450" s="70" t="str">
        <f t="shared" si="220"/>
        <v/>
      </c>
      <c r="F450" s="70" t="str">
        <f t="shared" si="221"/>
        <v/>
      </c>
      <c r="G450" s="63" t="str">
        <f t="shared" si="222"/>
        <v/>
      </c>
      <c r="H450" s="64" t="str">
        <f t="shared" si="223"/>
        <v/>
      </c>
      <c r="J450" s="63" t="str">
        <f t="shared" si="224"/>
        <v/>
      </c>
      <c r="K450" s="64" t="str">
        <f t="shared" si="225"/>
        <v/>
      </c>
      <c r="L450" s="38">
        <v>0</v>
      </c>
      <c r="M450" s="64" t="str">
        <f t="shared" si="226"/>
        <v/>
      </c>
      <c r="O450" s="63" t="str">
        <f t="shared" si="227"/>
        <v/>
      </c>
      <c r="P450" s="63" t="str">
        <f t="shared" si="228"/>
        <v/>
      </c>
      <c r="R450" s="63" t="str">
        <f t="shared" si="229"/>
        <v/>
      </c>
      <c r="S450" s="64" t="str">
        <f t="shared" si="230"/>
        <v/>
      </c>
      <c r="T450" s="38">
        <v>0</v>
      </c>
      <c r="U450" s="64" t="str">
        <f t="shared" si="231"/>
        <v/>
      </c>
      <c r="V450" s="219"/>
      <c r="W450" s="43" t="str">
        <f t="shared" si="232"/>
        <v/>
      </c>
      <c r="X450" s="43" t="str">
        <f t="shared" si="233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34"/>
        <v/>
      </c>
      <c r="AP450" s="33" t="str">
        <f t="shared" si="235"/>
        <v/>
      </c>
      <c r="AQ450" s="58" t="str">
        <f t="shared" si="236"/>
        <v/>
      </c>
      <c r="AR450" s="38">
        <f>'ANR OK vs ML7'!AR450</f>
        <v>0.1</v>
      </c>
      <c r="AS450" s="35" t="str">
        <f t="shared" si="237"/>
        <v/>
      </c>
      <c r="AT450" s="3" t="str">
        <f t="shared" si="238"/>
        <v/>
      </c>
      <c r="AU450" s="3" t="str">
        <f t="shared" si="239"/>
        <v/>
      </c>
      <c r="AW450" s="32" t="str">
        <f t="shared" si="240"/>
        <v/>
      </c>
      <c r="AX450" s="32" t="str">
        <f t="shared" si="241"/>
        <v/>
      </c>
      <c r="AY450" s="32" t="str">
        <f t="shared" si="242"/>
        <v/>
      </c>
      <c r="BA450" s="32" t="str">
        <f>IF($A451="","",F450*Summary!$Q$13)</f>
        <v/>
      </c>
    </row>
    <row r="451" spans="1:53">
      <c r="A451" s="67" t="str">
        <f t="shared" si="243"/>
        <v/>
      </c>
      <c r="B451" s="69" t="str">
        <f t="shared" si="244"/>
        <v/>
      </c>
      <c r="D451" s="69" t="str">
        <f t="shared" si="219"/>
        <v/>
      </c>
      <c r="E451" s="70" t="str">
        <f t="shared" si="220"/>
        <v/>
      </c>
      <c r="F451" s="70" t="str">
        <f t="shared" si="221"/>
        <v/>
      </c>
      <c r="G451" s="63" t="str">
        <f t="shared" si="222"/>
        <v/>
      </c>
      <c r="H451" s="64" t="str">
        <f t="shared" si="223"/>
        <v/>
      </c>
      <c r="J451" s="63" t="str">
        <f t="shared" si="224"/>
        <v/>
      </c>
      <c r="K451" s="64" t="str">
        <f t="shared" si="225"/>
        <v/>
      </c>
      <c r="L451" s="38">
        <v>0</v>
      </c>
      <c r="M451" s="64" t="str">
        <f t="shared" si="226"/>
        <v/>
      </c>
      <c r="O451" s="63" t="str">
        <f t="shared" si="227"/>
        <v/>
      </c>
      <c r="P451" s="63" t="str">
        <f t="shared" si="228"/>
        <v/>
      </c>
      <c r="R451" s="63" t="str">
        <f t="shared" si="229"/>
        <v/>
      </c>
      <c r="S451" s="64" t="str">
        <f t="shared" si="230"/>
        <v/>
      </c>
      <c r="T451" s="38">
        <v>0</v>
      </c>
      <c r="U451" s="64" t="str">
        <f t="shared" si="231"/>
        <v/>
      </c>
      <c r="V451" s="219"/>
      <c r="W451" s="43" t="str">
        <f t="shared" si="232"/>
        <v/>
      </c>
      <c r="X451" s="43" t="str">
        <f t="shared" si="233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34"/>
        <v/>
      </c>
      <c r="AP451" s="33" t="str">
        <f t="shared" si="235"/>
        <v/>
      </c>
      <c r="AQ451" s="58" t="str">
        <f t="shared" si="236"/>
        <v/>
      </c>
      <c r="AR451" s="38">
        <f>'ANR OK vs ML7'!AR451</f>
        <v>0.1</v>
      </c>
      <c r="AS451" s="35" t="str">
        <f t="shared" si="237"/>
        <v/>
      </c>
      <c r="AT451" s="3" t="str">
        <f t="shared" si="238"/>
        <v/>
      </c>
      <c r="AU451" s="3" t="str">
        <f t="shared" si="239"/>
        <v/>
      </c>
      <c r="AW451" s="32" t="str">
        <f t="shared" si="240"/>
        <v/>
      </c>
      <c r="AX451" s="32" t="str">
        <f t="shared" si="241"/>
        <v/>
      </c>
      <c r="AY451" s="32" t="str">
        <f t="shared" si="242"/>
        <v/>
      </c>
      <c r="BA451" s="32" t="str">
        <f>IF($A452="","",F451*Summary!$Q$13)</f>
        <v/>
      </c>
    </row>
    <row r="452" spans="1:53">
      <c r="A452" s="67" t="str">
        <f t="shared" si="243"/>
        <v/>
      </c>
      <c r="B452" s="69" t="str">
        <f t="shared" si="244"/>
        <v/>
      </c>
      <c r="D452" s="69" t="str">
        <f t="shared" si="219"/>
        <v/>
      </c>
      <c r="E452" s="70" t="str">
        <f t="shared" si="220"/>
        <v/>
      </c>
      <c r="F452" s="70" t="str">
        <f t="shared" si="221"/>
        <v/>
      </c>
      <c r="G452" s="63" t="str">
        <f t="shared" si="222"/>
        <v/>
      </c>
      <c r="H452" s="64" t="str">
        <f t="shared" si="223"/>
        <v/>
      </c>
      <c r="J452" s="63" t="str">
        <f t="shared" si="224"/>
        <v/>
      </c>
      <c r="K452" s="64" t="str">
        <f t="shared" si="225"/>
        <v/>
      </c>
      <c r="L452" s="38">
        <v>0</v>
      </c>
      <c r="M452" s="64" t="str">
        <f t="shared" si="226"/>
        <v/>
      </c>
      <c r="O452" s="63" t="str">
        <f t="shared" si="227"/>
        <v/>
      </c>
      <c r="P452" s="63" t="str">
        <f t="shared" si="228"/>
        <v/>
      </c>
      <c r="R452" s="63" t="str">
        <f t="shared" si="229"/>
        <v/>
      </c>
      <c r="S452" s="64" t="str">
        <f t="shared" si="230"/>
        <v/>
      </c>
      <c r="T452" s="38">
        <v>0</v>
      </c>
      <c r="U452" s="64" t="str">
        <f t="shared" si="231"/>
        <v/>
      </c>
      <c r="V452" s="219"/>
      <c r="W452" s="43" t="str">
        <f t="shared" si="232"/>
        <v/>
      </c>
      <c r="X452" s="43" t="str">
        <f t="shared" si="233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34"/>
        <v/>
      </c>
      <c r="AP452" s="33" t="str">
        <f t="shared" si="235"/>
        <v/>
      </c>
      <c r="AQ452" s="58" t="str">
        <f t="shared" si="236"/>
        <v/>
      </c>
      <c r="AR452" s="38">
        <f>'ANR OK vs ML7'!AR452</f>
        <v>0.1</v>
      </c>
      <c r="AS452" s="35" t="str">
        <f t="shared" si="237"/>
        <v/>
      </c>
      <c r="AT452" s="3" t="str">
        <f t="shared" si="238"/>
        <v/>
      </c>
      <c r="AU452" s="3" t="str">
        <f t="shared" si="239"/>
        <v/>
      </c>
      <c r="AW452" s="32" t="str">
        <f t="shared" si="240"/>
        <v/>
      </c>
      <c r="AX452" s="32" t="str">
        <f t="shared" si="241"/>
        <v/>
      </c>
      <c r="AY452" s="32" t="str">
        <f t="shared" si="242"/>
        <v/>
      </c>
      <c r="BA452" s="32" t="str">
        <f>IF($A453="","",F452*Summary!$Q$13)</f>
        <v/>
      </c>
    </row>
    <row r="453" spans="1:53">
      <c r="A453" s="67" t="str">
        <f t="shared" si="243"/>
        <v/>
      </c>
      <c r="B453" s="69" t="str">
        <f t="shared" si="244"/>
        <v/>
      </c>
      <c r="D453" s="69" t="str">
        <f t="shared" si="219"/>
        <v/>
      </c>
      <c r="E453" s="70" t="str">
        <f t="shared" si="220"/>
        <v/>
      </c>
      <c r="F453" s="70" t="str">
        <f t="shared" si="221"/>
        <v/>
      </c>
      <c r="G453" s="63" t="str">
        <f t="shared" si="222"/>
        <v/>
      </c>
      <c r="H453" s="64" t="str">
        <f t="shared" si="223"/>
        <v/>
      </c>
      <c r="J453" s="63" t="str">
        <f t="shared" si="224"/>
        <v/>
      </c>
      <c r="K453" s="64" t="str">
        <f t="shared" si="225"/>
        <v/>
      </c>
      <c r="L453" s="38">
        <v>0</v>
      </c>
      <c r="M453" s="64" t="str">
        <f t="shared" si="226"/>
        <v/>
      </c>
      <c r="O453" s="63" t="str">
        <f t="shared" si="227"/>
        <v/>
      </c>
      <c r="P453" s="63" t="str">
        <f t="shared" si="228"/>
        <v/>
      </c>
      <c r="R453" s="63" t="str">
        <f t="shared" si="229"/>
        <v/>
      </c>
      <c r="S453" s="64" t="str">
        <f t="shared" si="230"/>
        <v/>
      </c>
      <c r="T453" s="38">
        <v>0</v>
      </c>
      <c r="U453" s="64" t="str">
        <f t="shared" si="231"/>
        <v/>
      </c>
      <c r="V453" s="219"/>
      <c r="W453" s="43" t="str">
        <f t="shared" si="232"/>
        <v/>
      </c>
      <c r="X453" s="43" t="str">
        <f t="shared" si="233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34"/>
        <v/>
      </c>
      <c r="AP453" s="33" t="str">
        <f t="shared" si="235"/>
        <v/>
      </c>
      <c r="AQ453" s="58" t="str">
        <f t="shared" si="236"/>
        <v/>
      </c>
      <c r="AR453" s="38">
        <f>'ANR OK vs ML7'!AR453</f>
        <v>0.1</v>
      </c>
      <c r="AS453" s="35" t="str">
        <f t="shared" si="237"/>
        <v/>
      </c>
      <c r="AT453" s="3" t="str">
        <f t="shared" si="238"/>
        <v/>
      </c>
      <c r="AU453" s="3" t="str">
        <f t="shared" si="239"/>
        <v/>
      </c>
      <c r="AW453" s="32" t="str">
        <f t="shared" si="240"/>
        <v/>
      </c>
      <c r="AX453" s="32" t="str">
        <f t="shared" si="241"/>
        <v/>
      </c>
      <c r="AY453" s="32" t="str">
        <f t="shared" si="242"/>
        <v/>
      </c>
      <c r="BA453" s="32" t="str">
        <f>IF($A454="","",F453*Summary!$Q$13)</f>
        <v/>
      </c>
    </row>
    <row r="454" spans="1:53">
      <c r="A454" s="67" t="str">
        <f t="shared" si="243"/>
        <v/>
      </c>
      <c r="B454" s="69" t="str">
        <f t="shared" si="244"/>
        <v/>
      </c>
      <c r="D454" s="69" t="str">
        <f t="shared" si="219"/>
        <v/>
      </c>
      <c r="E454" s="70" t="str">
        <f t="shared" si="220"/>
        <v/>
      </c>
      <c r="F454" s="70" t="str">
        <f t="shared" si="221"/>
        <v/>
      </c>
      <c r="G454" s="63" t="str">
        <f t="shared" si="222"/>
        <v/>
      </c>
      <c r="H454" s="64" t="str">
        <f t="shared" si="223"/>
        <v/>
      </c>
      <c r="J454" s="63" t="str">
        <f t="shared" si="224"/>
        <v/>
      </c>
      <c r="K454" s="64" t="str">
        <f t="shared" si="225"/>
        <v/>
      </c>
      <c r="L454" s="38">
        <v>0</v>
      </c>
      <c r="M454" s="64" t="str">
        <f t="shared" si="226"/>
        <v/>
      </c>
      <c r="O454" s="63" t="str">
        <f t="shared" si="227"/>
        <v/>
      </c>
      <c r="P454" s="63" t="str">
        <f t="shared" si="228"/>
        <v/>
      </c>
      <c r="R454" s="63" t="str">
        <f t="shared" si="229"/>
        <v/>
      </c>
      <c r="S454" s="64" t="str">
        <f t="shared" si="230"/>
        <v/>
      </c>
      <c r="T454" s="38">
        <v>0</v>
      </c>
      <c r="U454" s="64" t="str">
        <f t="shared" si="231"/>
        <v/>
      </c>
      <c r="V454" s="219"/>
      <c r="W454" s="43" t="str">
        <f t="shared" si="232"/>
        <v/>
      </c>
      <c r="X454" s="43" t="str">
        <f t="shared" si="233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34"/>
        <v/>
      </c>
      <c r="AP454" s="33" t="str">
        <f t="shared" si="235"/>
        <v/>
      </c>
      <c r="AQ454" s="58" t="str">
        <f t="shared" si="236"/>
        <v/>
      </c>
      <c r="AR454" s="38">
        <f>'ANR OK vs ML7'!AR454</f>
        <v>0.1</v>
      </c>
      <c r="AS454" s="35" t="str">
        <f t="shared" si="237"/>
        <v/>
      </c>
      <c r="AT454" s="3" t="str">
        <f t="shared" si="238"/>
        <v/>
      </c>
      <c r="AU454" s="3" t="str">
        <f t="shared" si="239"/>
        <v/>
      </c>
      <c r="AW454" s="32" t="str">
        <f t="shared" si="240"/>
        <v/>
      </c>
      <c r="AX454" s="32" t="str">
        <f t="shared" si="241"/>
        <v/>
      </c>
      <c r="AY454" s="32" t="str">
        <f t="shared" si="242"/>
        <v/>
      </c>
      <c r="BA454" s="32" t="str">
        <f>IF($A455="","",F454*Summary!$Q$13)</f>
        <v/>
      </c>
    </row>
    <row r="455" spans="1:53">
      <c r="A455" s="67" t="str">
        <f t="shared" si="243"/>
        <v/>
      </c>
      <c r="B455" s="69" t="str">
        <f t="shared" si="244"/>
        <v/>
      </c>
      <c r="D455" s="69" t="str">
        <f t="shared" si="219"/>
        <v/>
      </c>
      <c r="E455" s="70" t="str">
        <f t="shared" si="220"/>
        <v/>
      </c>
      <c r="F455" s="70" t="str">
        <f t="shared" si="221"/>
        <v/>
      </c>
      <c r="G455" s="63" t="str">
        <f t="shared" si="222"/>
        <v/>
      </c>
      <c r="H455" s="64" t="str">
        <f t="shared" si="223"/>
        <v/>
      </c>
      <c r="J455" s="63" t="str">
        <f t="shared" si="224"/>
        <v/>
      </c>
      <c r="K455" s="64" t="str">
        <f t="shared" si="225"/>
        <v/>
      </c>
      <c r="L455" s="38">
        <v>0</v>
      </c>
      <c r="M455" s="64" t="str">
        <f t="shared" si="226"/>
        <v/>
      </c>
      <c r="O455" s="63" t="str">
        <f t="shared" si="227"/>
        <v/>
      </c>
      <c r="P455" s="63" t="str">
        <f t="shared" si="228"/>
        <v/>
      </c>
      <c r="R455" s="63" t="str">
        <f t="shared" si="229"/>
        <v/>
      </c>
      <c r="S455" s="64" t="str">
        <f t="shared" si="230"/>
        <v/>
      </c>
      <c r="T455" s="38">
        <v>0</v>
      </c>
      <c r="U455" s="64" t="str">
        <f t="shared" si="231"/>
        <v/>
      </c>
      <c r="V455" s="219"/>
      <c r="W455" s="43" t="str">
        <f t="shared" si="232"/>
        <v/>
      </c>
      <c r="X455" s="43" t="str">
        <f t="shared" si="233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34"/>
        <v/>
      </c>
      <c r="AP455" s="33" t="str">
        <f t="shared" si="235"/>
        <v/>
      </c>
      <c r="AQ455" s="58" t="str">
        <f t="shared" si="236"/>
        <v/>
      </c>
      <c r="AR455" s="38">
        <f>'ANR OK vs ML7'!AR455</f>
        <v>0.1</v>
      </c>
      <c r="AS455" s="35" t="str">
        <f t="shared" si="237"/>
        <v/>
      </c>
      <c r="AT455" s="3" t="str">
        <f t="shared" si="238"/>
        <v/>
      </c>
      <c r="AU455" s="3" t="str">
        <f t="shared" si="239"/>
        <v/>
      </c>
      <c r="AW455" s="32" t="str">
        <f t="shared" si="240"/>
        <v/>
      </c>
      <c r="AX455" s="32" t="str">
        <f t="shared" si="241"/>
        <v/>
      </c>
      <c r="AY455" s="32" t="str">
        <f t="shared" si="242"/>
        <v/>
      </c>
      <c r="BA455" s="32" t="str">
        <f>IF($A456="","",F455*Summary!$Q$13)</f>
        <v/>
      </c>
    </row>
    <row r="456" spans="1:53">
      <c r="A456" s="67" t="str">
        <f t="shared" si="243"/>
        <v/>
      </c>
      <c r="B456" s="69" t="str">
        <f t="shared" si="244"/>
        <v/>
      </c>
      <c r="D456" s="69" t="str">
        <f t="shared" si="219"/>
        <v/>
      </c>
      <c r="E456" s="70" t="str">
        <f t="shared" si="220"/>
        <v/>
      </c>
      <c r="F456" s="70" t="str">
        <f t="shared" si="221"/>
        <v/>
      </c>
      <c r="G456" s="63" t="str">
        <f t="shared" si="222"/>
        <v/>
      </c>
      <c r="H456" s="64" t="str">
        <f t="shared" si="223"/>
        <v/>
      </c>
      <c r="J456" s="63" t="str">
        <f t="shared" si="224"/>
        <v/>
      </c>
      <c r="K456" s="64" t="str">
        <f t="shared" si="225"/>
        <v/>
      </c>
      <c r="L456" s="38">
        <v>0</v>
      </c>
      <c r="M456" s="64" t="str">
        <f t="shared" si="226"/>
        <v/>
      </c>
      <c r="O456" s="63" t="str">
        <f t="shared" si="227"/>
        <v/>
      </c>
      <c r="P456" s="63" t="str">
        <f t="shared" si="228"/>
        <v/>
      </c>
      <c r="R456" s="63" t="str">
        <f t="shared" si="229"/>
        <v/>
      </c>
      <c r="S456" s="64" t="str">
        <f t="shared" si="230"/>
        <v/>
      </c>
      <c r="T456" s="38">
        <v>0</v>
      </c>
      <c r="U456" s="64" t="str">
        <f t="shared" si="231"/>
        <v/>
      </c>
      <c r="V456" s="219"/>
      <c r="W456" s="43" t="str">
        <f t="shared" si="232"/>
        <v/>
      </c>
      <c r="X456" s="43" t="str">
        <f t="shared" si="233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34"/>
        <v/>
      </c>
      <c r="AP456" s="33" t="str">
        <f t="shared" si="235"/>
        <v/>
      </c>
      <c r="AQ456" s="58" t="str">
        <f t="shared" si="236"/>
        <v/>
      </c>
      <c r="AR456" s="38">
        <f>'ANR OK vs ML7'!AR456</f>
        <v>0.1</v>
      </c>
      <c r="AS456" s="35" t="str">
        <f t="shared" si="237"/>
        <v/>
      </c>
      <c r="AT456" s="3" t="str">
        <f t="shared" si="238"/>
        <v/>
      </c>
      <c r="AU456" s="3" t="str">
        <f t="shared" si="239"/>
        <v/>
      </c>
      <c r="AW456" s="32" t="str">
        <f t="shared" si="240"/>
        <v/>
      </c>
      <c r="AX456" s="32" t="str">
        <f t="shared" si="241"/>
        <v/>
      </c>
      <c r="AY456" s="32" t="str">
        <f t="shared" si="242"/>
        <v/>
      </c>
      <c r="BA456" s="32" t="str">
        <f>IF($A457="","",F456*Summary!$Q$13)</f>
        <v/>
      </c>
    </row>
    <row r="457" spans="1:53">
      <c r="A457" s="67" t="str">
        <f t="shared" si="243"/>
        <v/>
      </c>
      <c r="B457" s="69" t="str">
        <f t="shared" si="244"/>
        <v/>
      </c>
      <c r="D457" s="69" t="str">
        <f t="shared" si="219"/>
        <v/>
      </c>
      <c r="E457" s="70" t="str">
        <f t="shared" si="220"/>
        <v/>
      </c>
      <c r="F457" s="70" t="str">
        <f t="shared" si="221"/>
        <v/>
      </c>
      <c r="G457" s="63" t="str">
        <f t="shared" si="222"/>
        <v/>
      </c>
      <c r="H457" s="64" t="str">
        <f t="shared" si="223"/>
        <v/>
      </c>
      <c r="J457" s="63" t="str">
        <f t="shared" si="224"/>
        <v/>
      </c>
      <c r="K457" s="64" t="str">
        <f t="shared" si="225"/>
        <v/>
      </c>
      <c r="L457" s="38">
        <v>0</v>
      </c>
      <c r="M457" s="64" t="str">
        <f t="shared" si="226"/>
        <v/>
      </c>
      <c r="O457" s="63" t="str">
        <f t="shared" si="227"/>
        <v/>
      </c>
      <c r="P457" s="63" t="str">
        <f t="shared" si="228"/>
        <v/>
      </c>
      <c r="R457" s="63" t="str">
        <f t="shared" si="229"/>
        <v/>
      </c>
      <c r="S457" s="64" t="str">
        <f t="shared" si="230"/>
        <v/>
      </c>
      <c r="T457" s="38">
        <v>0</v>
      </c>
      <c r="U457" s="64" t="str">
        <f t="shared" si="231"/>
        <v/>
      </c>
      <c r="V457" s="219"/>
      <c r="W457" s="43" t="str">
        <f t="shared" si="232"/>
        <v/>
      </c>
      <c r="X457" s="43" t="str">
        <f t="shared" si="233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34"/>
        <v/>
      </c>
      <c r="AP457" s="33" t="str">
        <f t="shared" si="235"/>
        <v/>
      </c>
      <c r="AQ457" s="58" t="str">
        <f t="shared" si="236"/>
        <v/>
      </c>
      <c r="AR457" s="38">
        <f>'ANR OK vs ML7'!AR457</f>
        <v>0.1</v>
      </c>
      <c r="AS457" s="35" t="str">
        <f t="shared" si="237"/>
        <v/>
      </c>
      <c r="AT457" s="3" t="str">
        <f t="shared" si="238"/>
        <v/>
      </c>
      <c r="AU457" s="3" t="str">
        <f t="shared" si="239"/>
        <v/>
      </c>
      <c r="AW457" s="32" t="str">
        <f t="shared" si="240"/>
        <v/>
      </c>
      <c r="AX457" s="32" t="str">
        <f t="shared" si="241"/>
        <v/>
      </c>
      <c r="AY457" s="32" t="str">
        <f t="shared" si="242"/>
        <v/>
      </c>
      <c r="BA457" s="32" t="str">
        <f>IF($A458="","",F457*Summary!$Q$13)</f>
        <v/>
      </c>
    </row>
    <row r="458" spans="1:53">
      <c r="A458" s="67" t="str">
        <f t="shared" si="243"/>
        <v/>
      </c>
      <c r="B458" s="69" t="str">
        <f t="shared" si="244"/>
        <v/>
      </c>
      <c r="D458" s="69" t="str">
        <f t="shared" ref="D458:D499" si="245">IF(A459&lt;&gt;"",B458+C458,"")</f>
        <v/>
      </c>
      <c r="E458" s="70" t="str">
        <f t="shared" ref="E458:E499" si="246">IF(A459="","",IF(AND(AT458=1,$H$3=1),D458*AO458,IF($H$3=2,D458,"N/A")))</f>
        <v/>
      </c>
      <c r="F458" s="70" t="str">
        <f t="shared" ref="F458:F499" si="247">IF(A459="","",E458*AS458)</f>
        <v/>
      </c>
      <c r="G458" s="63" t="str">
        <f t="shared" ref="G458:G499" si="248">IF($A459="","",VLOOKUP($A458,Table,MATCH(G$4,Curves,0)))</f>
        <v/>
      </c>
      <c r="H458" s="64" t="str">
        <f t="shared" ref="H458:H499" si="249">IF(A459="","",G458)</f>
        <v/>
      </c>
      <c r="J458" s="63" t="str">
        <f t="shared" ref="J458:J499" si="250">IF($A459="","",VLOOKUP($A458,Table,MATCH(J$4,Curves,0)))</f>
        <v/>
      </c>
      <c r="K458" s="64" t="str">
        <f t="shared" ref="K458:K499" si="251">IF(A459="","",J458)</f>
        <v/>
      </c>
      <c r="L458" s="38">
        <v>0</v>
      </c>
      <c r="M458" s="64" t="str">
        <f t="shared" ref="M458:M499" si="252">IF(A459="","",L458)</f>
        <v/>
      </c>
      <c r="O458" s="63" t="str">
        <f t="shared" ref="O458:O499" si="253">IF(A459="","",L458+J458+G458)</f>
        <v/>
      </c>
      <c r="P458" s="63" t="str">
        <f t="shared" ref="P458:P499" si="254">IF(A459="","",M458+K458+H458)</f>
        <v/>
      </c>
      <c r="R458" s="63" t="str">
        <f t="shared" ref="R458:R499" si="255">IF($A459="","",VLOOKUP($A458,Table,MATCH(R$4,Curves,0)))</f>
        <v/>
      </c>
      <c r="S458" s="64" t="str">
        <f t="shared" ref="S458:S499" si="256">IF(A459="","",R458)</f>
        <v/>
      </c>
      <c r="T458" s="38">
        <v>0</v>
      </c>
      <c r="U458" s="64" t="str">
        <f t="shared" ref="U458:U499" si="257">IF(A459="","",T458)</f>
        <v/>
      </c>
      <c r="V458" s="219"/>
      <c r="W458" s="43" t="str">
        <f t="shared" ref="W458:W499" si="258">IF($A459="","",(T458+R458+G458+V458))</f>
        <v/>
      </c>
      <c r="X458" s="43" t="str">
        <f t="shared" ref="X458:X499" si="259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60">IF(A459="","",A459-A458)</f>
        <v/>
      </c>
      <c r="AP458" s="33" t="str">
        <f t="shared" ref="AP458:AP499" si="261">IF(A459="","",CHOOSE(F$3,A459+24,A458))</f>
        <v/>
      </c>
      <c r="AQ458" s="58" t="str">
        <f t="shared" ref="AQ458:AQ499" si="262">IF(A459="","",AP458-$E$1)</f>
        <v/>
      </c>
      <c r="AR458" s="38">
        <f>'ANR OK vs ML7'!AR458</f>
        <v>0.1</v>
      </c>
      <c r="AS458" s="35" t="str">
        <f t="shared" ref="AS458:AS499" si="263">IF(A459="","",1/(1+CHOOSE(F$3,(AR459+($I$3/10000))/2,(AR458+($I$3/10000))/2))^(2*AQ458/365.25))</f>
        <v/>
      </c>
      <c r="AT458" s="3" t="str">
        <f t="shared" ref="AT458:AT499" si="264">IF(A459="","",IF(AND(mthbeg&lt;=A458,mthend&gt;=A458),1,0))</f>
        <v/>
      </c>
      <c r="AU458" s="3" t="str">
        <f t="shared" ref="AU458:AU499" si="265">IF(A459="","",AO458*AT458)</f>
        <v/>
      </c>
      <c r="AW458" s="32" t="str">
        <f t="shared" ref="AW458:AW501" si="266">IF($A459="","",AL458*$E458)</f>
        <v/>
      </c>
      <c r="AX458" s="32" t="str">
        <f t="shared" ref="AX458:AX501" si="267">IF($A459="","",AM458*$E458)</f>
        <v/>
      </c>
      <c r="AY458" s="32" t="str">
        <f t="shared" ref="AY458:AY501" si="268">IF($A459="","",AN458*$E458)</f>
        <v/>
      </c>
      <c r="BA458" s="32" t="str">
        <f>IF($A459="","",F458*Summary!$Q$13)</f>
        <v/>
      </c>
    </row>
    <row r="459" spans="1:53">
      <c r="A459" s="67" t="str">
        <f t="shared" ref="A459:A501" si="269">IF(A458&lt;mthend,EDATE(A458,1),"")</f>
        <v/>
      </c>
      <c r="B459" s="69" t="str">
        <f t="shared" si="244"/>
        <v/>
      </c>
      <c r="D459" s="69" t="str">
        <f t="shared" si="245"/>
        <v/>
      </c>
      <c r="E459" s="70" t="str">
        <f t="shared" si="246"/>
        <v/>
      </c>
      <c r="F459" s="70" t="str">
        <f t="shared" si="247"/>
        <v/>
      </c>
      <c r="G459" s="63" t="str">
        <f t="shared" si="248"/>
        <v/>
      </c>
      <c r="H459" s="64" t="str">
        <f t="shared" si="249"/>
        <v/>
      </c>
      <c r="J459" s="63" t="str">
        <f t="shared" si="250"/>
        <v/>
      </c>
      <c r="K459" s="64" t="str">
        <f t="shared" si="251"/>
        <v/>
      </c>
      <c r="L459" s="38">
        <v>0</v>
      </c>
      <c r="M459" s="64" t="str">
        <f t="shared" si="252"/>
        <v/>
      </c>
      <c r="O459" s="63" t="str">
        <f t="shared" si="253"/>
        <v/>
      </c>
      <c r="P459" s="63" t="str">
        <f t="shared" si="254"/>
        <v/>
      </c>
      <c r="R459" s="63" t="str">
        <f t="shared" si="255"/>
        <v/>
      </c>
      <c r="S459" s="64" t="str">
        <f t="shared" si="256"/>
        <v/>
      </c>
      <c r="T459" s="38">
        <v>0</v>
      </c>
      <c r="U459" s="64" t="str">
        <f t="shared" si="257"/>
        <v/>
      </c>
      <c r="V459" s="219"/>
      <c r="W459" s="43" t="str">
        <f t="shared" si="258"/>
        <v/>
      </c>
      <c r="X459" s="43" t="str">
        <f t="shared" si="259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60"/>
        <v/>
      </c>
      <c r="AP459" s="33" t="str">
        <f t="shared" si="261"/>
        <v/>
      </c>
      <c r="AQ459" s="58" t="str">
        <f t="shared" si="262"/>
        <v/>
      </c>
      <c r="AR459" s="38">
        <f>'ANR OK vs ML7'!AR459</f>
        <v>0.1</v>
      </c>
      <c r="AS459" s="35" t="str">
        <f t="shared" si="263"/>
        <v/>
      </c>
      <c r="AT459" s="3" t="str">
        <f t="shared" si="264"/>
        <v/>
      </c>
      <c r="AU459" s="3" t="str">
        <f t="shared" si="265"/>
        <v/>
      </c>
      <c r="AW459" s="32" t="str">
        <f t="shared" si="266"/>
        <v/>
      </c>
      <c r="AX459" s="32" t="str">
        <f t="shared" si="267"/>
        <v/>
      </c>
      <c r="AY459" s="32" t="str">
        <f t="shared" si="268"/>
        <v/>
      </c>
      <c r="BA459" s="32" t="str">
        <f>IF($A460="","",F459*Summary!$Q$13)</f>
        <v/>
      </c>
    </row>
    <row r="460" spans="1:53">
      <c r="A460" s="67" t="str">
        <f t="shared" si="269"/>
        <v/>
      </c>
      <c r="B460" s="69" t="str">
        <f t="shared" ref="B460:B501" si="270">IF(A460&lt;mthend,B459,"")</f>
        <v/>
      </c>
      <c r="D460" s="69" t="str">
        <f t="shared" si="245"/>
        <v/>
      </c>
      <c r="E460" s="70" t="str">
        <f t="shared" si="246"/>
        <v/>
      </c>
      <c r="F460" s="70" t="str">
        <f t="shared" si="247"/>
        <v/>
      </c>
      <c r="G460" s="63" t="str">
        <f t="shared" si="248"/>
        <v/>
      </c>
      <c r="H460" s="64" t="str">
        <f t="shared" si="249"/>
        <v/>
      </c>
      <c r="J460" s="63" t="str">
        <f t="shared" si="250"/>
        <v/>
      </c>
      <c r="K460" s="64" t="str">
        <f t="shared" si="251"/>
        <v/>
      </c>
      <c r="L460" s="38">
        <v>0</v>
      </c>
      <c r="M460" s="64" t="str">
        <f t="shared" si="252"/>
        <v/>
      </c>
      <c r="O460" s="63" t="str">
        <f t="shared" si="253"/>
        <v/>
      </c>
      <c r="P460" s="63" t="str">
        <f t="shared" si="254"/>
        <v/>
      </c>
      <c r="R460" s="63" t="str">
        <f t="shared" si="255"/>
        <v/>
      </c>
      <c r="S460" s="64" t="str">
        <f t="shared" si="256"/>
        <v/>
      </c>
      <c r="T460" s="38">
        <v>0</v>
      </c>
      <c r="U460" s="64" t="str">
        <f t="shared" si="257"/>
        <v/>
      </c>
      <c r="V460" s="219"/>
      <c r="W460" s="43" t="str">
        <f t="shared" si="258"/>
        <v/>
      </c>
      <c r="X460" s="43" t="str">
        <f t="shared" si="259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60"/>
        <v/>
      </c>
      <c r="AP460" s="33" t="str">
        <f t="shared" si="261"/>
        <v/>
      </c>
      <c r="AQ460" s="58" t="str">
        <f t="shared" si="262"/>
        <v/>
      </c>
      <c r="AR460" s="38">
        <f>'ANR OK vs ML7'!AR460</f>
        <v>0.1</v>
      </c>
      <c r="AS460" s="35" t="str">
        <f t="shared" si="263"/>
        <v/>
      </c>
      <c r="AT460" s="3" t="str">
        <f t="shared" si="264"/>
        <v/>
      </c>
      <c r="AU460" s="3" t="str">
        <f t="shared" si="265"/>
        <v/>
      </c>
      <c r="AW460" s="32" t="str">
        <f t="shared" si="266"/>
        <v/>
      </c>
      <c r="AX460" s="32" t="str">
        <f t="shared" si="267"/>
        <v/>
      </c>
      <c r="AY460" s="32" t="str">
        <f t="shared" si="268"/>
        <v/>
      </c>
      <c r="BA460" s="32" t="str">
        <f>IF($A461="","",F460*Summary!$Q$13)</f>
        <v/>
      </c>
    </row>
    <row r="461" spans="1:53">
      <c r="A461" s="67" t="str">
        <f t="shared" si="269"/>
        <v/>
      </c>
      <c r="B461" s="69" t="str">
        <f t="shared" si="270"/>
        <v/>
      </c>
      <c r="D461" s="69" t="str">
        <f t="shared" si="245"/>
        <v/>
      </c>
      <c r="E461" s="70" t="str">
        <f t="shared" si="246"/>
        <v/>
      </c>
      <c r="F461" s="70" t="str">
        <f t="shared" si="247"/>
        <v/>
      </c>
      <c r="G461" s="63" t="str">
        <f t="shared" si="248"/>
        <v/>
      </c>
      <c r="H461" s="64" t="str">
        <f t="shared" si="249"/>
        <v/>
      </c>
      <c r="J461" s="63" t="str">
        <f t="shared" si="250"/>
        <v/>
      </c>
      <c r="K461" s="64" t="str">
        <f t="shared" si="251"/>
        <v/>
      </c>
      <c r="L461" s="38">
        <v>0</v>
      </c>
      <c r="M461" s="64" t="str">
        <f t="shared" si="252"/>
        <v/>
      </c>
      <c r="O461" s="63" t="str">
        <f t="shared" si="253"/>
        <v/>
      </c>
      <c r="P461" s="63" t="str">
        <f t="shared" si="254"/>
        <v/>
      </c>
      <c r="R461" s="63" t="str">
        <f t="shared" si="255"/>
        <v/>
      </c>
      <c r="S461" s="64" t="str">
        <f t="shared" si="256"/>
        <v/>
      </c>
      <c r="T461" s="38">
        <v>0</v>
      </c>
      <c r="U461" s="64" t="str">
        <f t="shared" si="257"/>
        <v/>
      </c>
      <c r="V461" s="219"/>
      <c r="W461" s="43" t="str">
        <f t="shared" si="258"/>
        <v/>
      </c>
      <c r="X461" s="43" t="str">
        <f t="shared" si="259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60"/>
        <v/>
      </c>
      <c r="AP461" s="33" t="str">
        <f t="shared" si="261"/>
        <v/>
      </c>
      <c r="AQ461" s="58" t="str">
        <f t="shared" si="262"/>
        <v/>
      </c>
      <c r="AR461" s="38">
        <f>'ANR OK vs ML7'!AR461</f>
        <v>0.1</v>
      </c>
      <c r="AS461" s="35" t="str">
        <f t="shared" si="263"/>
        <v/>
      </c>
      <c r="AT461" s="3" t="str">
        <f t="shared" si="264"/>
        <v/>
      </c>
      <c r="AU461" s="3" t="str">
        <f t="shared" si="265"/>
        <v/>
      </c>
      <c r="AW461" s="32" t="str">
        <f t="shared" si="266"/>
        <v/>
      </c>
      <c r="AX461" s="32" t="str">
        <f t="shared" si="267"/>
        <v/>
      </c>
      <c r="AY461" s="32" t="str">
        <f t="shared" si="268"/>
        <v/>
      </c>
      <c r="BA461" s="32" t="str">
        <f>IF($A462="","",F461*Summary!$Q$13)</f>
        <v/>
      </c>
    </row>
    <row r="462" spans="1:53">
      <c r="A462" s="67" t="str">
        <f t="shared" si="269"/>
        <v/>
      </c>
      <c r="B462" s="69" t="str">
        <f t="shared" si="270"/>
        <v/>
      </c>
      <c r="D462" s="69" t="str">
        <f t="shared" si="245"/>
        <v/>
      </c>
      <c r="E462" s="70" t="str">
        <f t="shared" si="246"/>
        <v/>
      </c>
      <c r="F462" s="70" t="str">
        <f t="shared" si="247"/>
        <v/>
      </c>
      <c r="G462" s="63" t="str">
        <f t="shared" si="248"/>
        <v/>
      </c>
      <c r="H462" s="64" t="str">
        <f t="shared" si="249"/>
        <v/>
      </c>
      <c r="J462" s="63" t="str">
        <f t="shared" si="250"/>
        <v/>
      </c>
      <c r="K462" s="64" t="str">
        <f t="shared" si="251"/>
        <v/>
      </c>
      <c r="L462" s="38">
        <v>0</v>
      </c>
      <c r="M462" s="64" t="str">
        <f t="shared" si="252"/>
        <v/>
      </c>
      <c r="O462" s="63" t="str">
        <f t="shared" si="253"/>
        <v/>
      </c>
      <c r="P462" s="63" t="str">
        <f t="shared" si="254"/>
        <v/>
      </c>
      <c r="R462" s="63" t="str">
        <f t="shared" si="255"/>
        <v/>
      </c>
      <c r="S462" s="64" t="str">
        <f t="shared" si="256"/>
        <v/>
      </c>
      <c r="T462" s="38">
        <v>0</v>
      </c>
      <c r="U462" s="64" t="str">
        <f t="shared" si="257"/>
        <v/>
      </c>
      <c r="V462" s="219"/>
      <c r="W462" s="43" t="str">
        <f t="shared" si="258"/>
        <v/>
      </c>
      <c r="X462" s="43" t="str">
        <f t="shared" si="259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60"/>
        <v/>
      </c>
      <c r="AP462" s="33" t="str">
        <f t="shared" si="261"/>
        <v/>
      </c>
      <c r="AQ462" s="58" t="str">
        <f t="shared" si="262"/>
        <v/>
      </c>
      <c r="AR462" s="38">
        <f>'ANR OK vs ML7'!AR462</f>
        <v>0.1</v>
      </c>
      <c r="AS462" s="35" t="str">
        <f t="shared" si="263"/>
        <v/>
      </c>
      <c r="AT462" s="3" t="str">
        <f t="shared" si="264"/>
        <v/>
      </c>
      <c r="AU462" s="3" t="str">
        <f t="shared" si="265"/>
        <v/>
      </c>
      <c r="AW462" s="32" t="str">
        <f t="shared" si="266"/>
        <v/>
      </c>
      <c r="AX462" s="32" t="str">
        <f t="shared" si="267"/>
        <v/>
      </c>
      <c r="AY462" s="32" t="str">
        <f t="shared" si="268"/>
        <v/>
      </c>
      <c r="BA462" s="32" t="str">
        <f>IF($A463="","",F462*Summary!$Q$13)</f>
        <v/>
      </c>
    </row>
    <row r="463" spans="1:53">
      <c r="A463" s="67" t="str">
        <f t="shared" si="269"/>
        <v/>
      </c>
      <c r="B463" s="69" t="str">
        <f t="shared" si="270"/>
        <v/>
      </c>
      <c r="D463" s="69" t="str">
        <f t="shared" si="245"/>
        <v/>
      </c>
      <c r="E463" s="70" t="str">
        <f t="shared" si="246"/>
        <v/>
      </c>
      <c r="F463" s="70" t="str">
        <f t="shared" si="247"/>
        <v/>
      </c>
      <c r="G463" s="63" t="str">
        <f t="shared" si="248"/>
        <v/>
      </c>
      <c r="H463" s="64" t="str">
        <f t="shared" si="249"/>
        <v/>
      </c>
      <c r="J463" s="63" t="str">
        <f t="shared" si="250"/>
        <v/>
      </c>
      <c r="K463" s="64" t="str">
        <f t="shared" si="251"/>
        <v/>
      </c>
      <c r="L463" s="38">
        <v>0</v>
      </c>
      <c r="M463" s="64" t="str">
        <f t="shared" si="252"/>
        <v/>
      </c>
      <c r="O463" s="63" t="str">
        <f t="shared" si="253"/>
        <v/>
      </c>
      <c r="P463" s="63" t="str">
        <f t="shared" si="254"/>
        <v/>
      </c>
      <c r="R463" s="63" t="str">
        <f t="shared" si="255"/>
        <v/>
      </c>
      <c r="S463" s="64" t="str">
        <f t="shared" si="256"/>
        <v/>
      </c>
      <c r="T463" s="38">
        <v>0</v>
      </c>
      <c r="U463" s="64" t="str">
        <f t="shared" si="257"/>
        <v/>
      </c>
      <c r="V463" s="219"/>
      <c r="W463" s="43" t="str">
        <f t="shared" si="258"/>
        <v/>
      </c>
      <c r="X463" s="43" t="str">
        <f t="shared" si="259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60"/>
        <v/>
      </c>
      <c r="AP463" s="33" t="str">
        <f t="shared" si="261"/>
        <v/>
      </c>
      <c r="AQ463" s="58" t="str">
        <f t="shared" si="262"/>
        <v/>
      </c>
      <c r="AR463" s="38">
        <f>'ANR OK vs ML7'!AR463</f>
        <v>0.1</v>
      </c>
      <c r="AS463" s="35" t="str">
        <f t="shared" si="263"/>
        <v/>
      </c>
      <c r="AT463" s="3" t="str">
        <f t="shared" si="264"/>
        <v/>
      </c>
      <c r="AU463" s="3" t="str">
        <f t="shared" si="265"/>
        <v/>
      </c>
      <c r="AW463" s="32" t="str">
        <f t="shared" si="266"/>
        <v/>
      </c>
      <c r="AX463" s="32" t="str">
        <f t="shared" si="267"/>
        <v/>
      </c>
      <c r="AY463" s="32" t="str">
        <f t="shared" si="268"/>
        <v/>
      </c>
      <c r="BA463" s="32" t="str">
        <f>IF($A464="","",F463*Summary!$Q$13)</f>
        <v/>
      </c>
    </row>
    <row r="464" spans="1:53">
      <c r="A464" s="67" t="str">
        <f t="shared" si="269"/>
        <v/>
      </c>
      <c r="B464" s="69" t="str">
        <f t="shared" si="270"/>
        <v/>
      </c>
      <c r="D464" s="69" t="str">
        <f t="shared" si="245"/>
        <v/>
      </c>
      <c r="E464" s="70" t="str">
        <f t="shared" si="246"/>
        <v/>
      </c>
      <c r="F464" s="70" t="str">
        <f t="shared" si="247"/>
        <v/>
      </c>
      <c r="G464" s="63" t="str">
        <f t="shared" si="248"/>
        <v/>
      </c>
      <c r="H464" s="64" t="str">
        <f t="shared" si="249"/>
        <v/>
      </c>
      <c r="J464" s="63" t="str">
        <f t="shared" si="250"/>
        <v/>
      </c>
      <c r="K464" s="64" t="str">
        <f t="shared" si="251"/>
        <v/>
      </c>
      <c r="L464" s="38">
        <v>0</v>
      </c>
      <c r="M464" s="64" t="str">
        <f t="shared" si="252"/>
        <v/>
      </c>
      <c r="O464" s="63" t="str">
        <f t="shared" si="253"/>
        <v/>
      </c>
      <c r="P464" s="63" t="str">
        <f t="shared" si="254"/>
        <v/>
      </c>
      <c r="R464" s="63" t="str">
        <f t="shared" si="255"/>
        <v/>
      </c>
      <c r="S464" s="64" t="str">
        <f t="shared" si="256"/>
        <v/>
      </c>
      <c r="T464" s="38">
        <v>0</v>
      </c>
      <c r="U464" s="64" t="str">
        <f t="shared" si="257"/>
        <v/>
      </c>
      <c r="V464" s="219"/>
      <c r="W464" s="43" t="str">
        <f t="shared" si="258"/>
        <v/>
      </c>
      <c r="X464" s="43" t="str">
        <f t="shared" si="259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60"/>
        <v/>
      </c>
      <c r="AP464" s="33" t="str">
        <f t="shared" si="261"/>
        <v/>
      </c>
      <c r="AQ464" s="58" t="str">
        <f t="shared" si="262"/>
        <v/>
      </c>
      <c r="AR464" s="38">
        <f>'ANR OK vs ML7'!AR464</f>
        <v>0.1</v>
      </c>
      <c r="AS464" s="35" t="str">
        <f t="shared" si="263"/>
        <v/>
      </c>
      <c r="AT464" s="3" t="str">
        <f t="shared" si="264"/>
        <v/>
      </c>
      <c r="AU464" s="3" t="str">
        <f t="shared" si="265"/>
        <v/>
      </c>
      <c r="AW464" s="32" t="str">
        <f t="shared" si="266"/>
        <v/>
      </c>
      <c r="AX464" s="32" t="str">
        <f t="shared" si="267"/>
        <v/>
      </c>
      <c r="AY464" s="32" t="str">
        <f t="shared" si="268"/>
        <v/>
      </c>
      <c r="BA464" s="32" t="str">
        <f>IF($A465="","",F464*Summary!$Q$13)</f>
        <v/>
      </c>
    </row>
    <row r="465" spans="1:53">
      <c r="A465" s="67" t="str">
        <f t="shared" si="269"/>
        <v/>
      </c>
      <c r="B465" s="69" t="str">
        <f t="shared" si="270"/>
        <v/>
      </c>
      <c r="D465" s="69" t="str">
        <f t="shared" si="245"/>
        <v/>
      </c>
      <c r="E465" s="70" t="str">
        <f t="shared" si="246"/>
        <v/>
      </c>
      <c r="F465" s="70" t="str">
        <f t="shared" si="247"/>
        <v/>
      </c>
      <c r="G465" s="63" t="str">
        <f t="shared" si="248"/>
        <v/>
      </c>
      <c r="H465" s="64" t="str">
        <f t="shared" si="249"/>
        <v/>
      </c>
      <c r="J465" s="63" t="str">
        <f t="shared" si="250"/>
        <v/>
      </c>
      <c r="K465" s="64" t="str">
        <f t="shared" si="251"/>
        <v/>
      </c>
      <c r="L465" s="38">
        <v>0</v>
      </c>
      <c r="M465" s="64" t="str">
        <f t="shared" si="252"/>
        <v/>
      </c>
      <c r="O465" s="63" t="str">
        <f t="shared" si="253"/>
        <v/>
      </c>
      <c r="P465" s="63" t="str">
        <f t="shared" si="254"/>
        <v/>
      </c>
      <c r="R465" s="63" t="str">
        <f t="shared" si="255"/>
        <v/>
      </c>
      <c r="S465" s="64" t="str">
        <f t="shared" si="256"/>
        <v/>
      </c>
      <c r="T465" s="38">
        <v>0</v>
      </c>
      <c r="U465" s="64" t="str">
        <f t="shared" si="257"/>
        <v/>
      </c>
      <c r="V465" s="219"/>
      <c r="W465" s="43" t="str">
        <f t="shared" si="258"/>
        <v/>
      </c>
      <c r="X465" s="43" t="str">
        <f t="shared" si="259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60"/>
        <v/>
      </c>
      <c r="AP465" s="33" t="str">
        <f t="shared" si="261"/>
        <v/>
      </c>
      <c r="AQ465" s="58" t="str">
        <f t="shared" si="262"/>
        <v/>
      </c>
      <c r="AR465" s="38">
        <f>'ANR OK vs ML7'!AR465</f>
        <v>0.1</v>
      </c>
      <c r="AS465" s="35" t="str">
        <f t="shared" si="263"/>
        <v/>
      </c>
      <c r="AT465" s="3" t="str">
        <f t="shared" si="264"/>
        <v/>
      </c>
      <c r="AU465" s="3" t="str">
        <f t="shared" si="265"/>
        <v/>
      </c>
      <c r="AW465" s="32" t="str">
        <f t="shared" si="266"/>
        <v/>
      </c>
      <c r="AX465" s="32" t="str">
        <f t="shared" si="267"/>
        <v/>
      </c>
      <c r="AY465" s="32" t="str">
        <f t="shared" si="268"/>
        <v/>
      </c>
      <c r="BA465" s="32" t="str">
        <f>IF($A466="","",F465*Summary!$Q$13)</f>
        <v/>
      </c>
    </row>
    <row r="466" spans="1:53">
      <c r="A466" s="67" t="str">
        <f t="shared" si="269"/>
        <v/>
      </c>
      <c r="B466" s="69" t="str">
        <f t="shared" si="270"/>
        <v/>
      </c>
      <c r="D466" s="69" t="str">
        <f t="shared" si="245"/>
        <v/>
      </c>
      <c r="E466" s="70" t="str">
        <f t="shared" si="246"/>
        <v/>
      </c>
      <c r="F466" s="70" t="str">
        <f t="shared" si="247"/>
        <v/>
      </c>
      <c r="G466" s="63" t="str">
        <f t="shared" si="248"/>
        <v/>
      </c>
      <c r="H466" s="64" t="str">
        <f t="shared" si="249"/>
        <v/>
      </c>
      <c r="J466" s="63" t="str">
        <f t="shared" si="250"/>
        <v/>
      </c>
      <c r="K466" s="64" t="str">
        <f t="shared" si="251"/>
        <v/>
      </c>
      <c r="L466" s="38">
        <v>0</v>
      </c>
      <c r="M466" s="64" t="str">
        <f t="shared" si="252"/>
        <v/>
      </c>
      <c r="O466" s="63" t="str">
        <f t="shared" si="253"/>
        <v/>
      </c>
      <c r="P466" s="63" t="str">
        <f t="shared" si="254"/>
        <v/>
      </c>
      <c r="R466" s="63" t="str">
        <f t="shared" si="255"/>
        <v/>
      </c>
      <c r="S466" s="64" t="str">
        <f t="shared" si="256"/>
        <v/>
      </c>
      <c r="T466" s="38">
        <v>0</v>
      </c>
      <c r="U466" s="64" t="str">
        <f t="shared" si="257"/>
        <v/>
      </c>
      <c r="V466" s="219"/>
      <c r="W466" s="43" t="str">
        <f t="shared" si="258"/>
        <v/>
      </c>
      <c r="X466" s="43" t="str">
        <f t="shared" si="259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60"/>
        <v/>
      </c>
      <c r="AP466" s="33" t="str">
        <f t="shared" si="261"/>
        <v/>
      </c>
      <c r="AQ466" s="58" t="str">
        <f t="shared" si="262"/>
        <v/>
      </c>
      <c r="AR466" s="38">
        <f>'ANR OK vs ML7'!AR466</f>
        <v>0.1</v>
      </c>
      <c r="AS466" s="35" t="str">
        <f t="shared" si="263"/>
        <v/>
      </c>
      <c r="AT466" s="3" t="str">
        <f t="shared" si="264"/>
        <v/>
      </c>
      <c r="AU466" s="3" t="str">
        <f t="shared" si="265"/>
        <v/>
      </c>
      <c r="AW466" s="32" t="str">
        <f t="shared" si="266"/>
        <v/>
      </c>
      <c r="AX466" s="32" t="str">
        <f t="shared" si="267"/>
        <v/>
      </c>
      <c r="AY466" s="32" t="str">
        <f t="shared" si="268"/>
        <v/>
      </c>
      <c r="BA466" s="32" t="str">
        <f>IF($A467="","",F466*Summary!$Q$13)</f>
        <v/>
      </c>
    </row>
    <row r="467" spans="1:53">
      <c r="A467" s="67" t="str">
        <f t="shared" si="269"/>
        <v/>
      </c>
      <c r="B467" s="69" t="str">
        <f t="shared" si="270"/>
        <v/>
      </c>
      <c r="D467" s="69" t="str">
        <f t="shared" si="245"/>
        <v/>
      </c>
      <c r="E467" s="70" t="str">
        <f t="shared" si="246"/>
        <v/>
      </c>
      <c r="F467" s="70" t="str">
        <f t="shared" si="247"/>
        <v/>
      </c>
      <c r="G467" s="63" t="str">
        <f t="shared" si="248"/>
        <v/>
      </c>
      <c r="H467" s="64" t="str">
        <f t="shared" si="249"/>
        <v/>
      </c>
      <c r="J467" s="63" t="str">
        <f t="shared" si="250"/>
        <v/>
      </c>
      <c r="K467" s="64" t="str">
        <f t="shared" si="251"/>
        <v/>
      </c>
      <c r="L467" s="38">
        <v>0</v>
      </c>
      <c r="M467" s="64" t="str">
        <f t="shared" si="252"/>
        <v/>
      </c>
      <c r="O467" s="63" t="str">
        <f t="shared" si="253"/>
        <v/>
      </c>
      <c r="P467" s="63" t="str">
        <f t="shared" si="254"/>
        <v/>
      </c>
      <c r="R467" s="63" t="str">
        <f t="shared" si="255"/>
        <v/>
      </c>
      <c r="S467" s="64" t="str">
        <f t="shared" si="256"/>
        <v/>
      </c>
      <c r="T467" s="38">
        <v>0</v>
      </c>
      <c r="U467" s="64" t="str">
        <f t="shared" si="257"/>
        <v/>
      </c>
      <c r="V467" s="219"/>
      <c r="W467" s="43" t="str">
        <f t="shared" si="258"/>
        <v/>
      </c>
      <c r="X467" s="43" t="str">
        <f t="shared" si="259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60"/>
        <v/>
      </c>
      <c r="AP467" s="33" t="str">
        <f t="shared" si="261"/>
        <v/>
      </c>
      <c r="AQ467" s="58" t="str">
        <f t="shared" si="262"/>
        <v/>
      </c>
      <c r="AR467" s="38">
        <f>'ANR OK vs ML7'!AR467</f>
        <v>0.1</v>
      </c>
      <c r="AS467" s="35" t="str">
        <f t="shared" si="263"/>
        <v/>
      </c>
      <c r="AT467" s="3" t="str">
        <f t="shared" si="264"/>
        <v/>
      </c>
      <c r="AU467" s="3" t="str">
        <f t="shared" si="265"/>
        <v/>
      </c>
      <c r="AW467" s="32" t="str">
        <f t="shared" si="266"/>
        <v/>
      </c>
      <c r="AX467" s="32" t="str">
        <f t="shared" si="267"/>
        <v/>
      </c>
      <c r="AY467" s="32" t="str">
        <f t="shared" si="268"/>
        <v/>
      </c>
      <c r="BA467" s="32" t="str">
        <f>IF($A468="","",F467*Summary!$Q$13)</f>
        <v/>
      </c>
    </row>
    <row r="468" spans="1:53">
      <c r="A468" s="67" t="str">
        <f t="shared" si="269"/>
        <v/>
      </c>
      <c r="B468" s="69" t="str">
        <f t="shared" si="270"/>
        <v/>
      </c>
      <c r="D468" s="69" t="str">
        <f t="shared" si="245"/>
        <v/>
      </c>
      <c r="E468" s="70" t="str">
        <f t="shared" si="246"/>
        <v/>
      </c>
      <c r="F468" s="70" t="str">
        <f t="shared" si="247"/>
        <v/>
      </c>
      <c r="G468" s="63" t="str">
        <f t="shared" si="248"/>
        <v/>
      </c>
      <c r="H468" s="64" t="str">
        <f t="shared" si="249"/>
        <v/>
      </c>
      <c r="J468" s="63" t="str">
        <f t="shared" si="250"/>
        <v/>
      </c>
      <c r="K468" s="64" t="str">
        <f t="shared" si="251"/>
        <v/>
      </c>
      <c r="L468" s="38">
        <v>0</v>
      </c>
      <c r="M468" s="64" t="str">
        <f t="shared" si="252"/>
        <v/>
      </c>
      <c r="O468" s="63" t="str">
        <f t="shared" si="253"/>
        <v/>
      </c>
      <c r="P468" s="63" t="str">
        <f t="shared" si="254"/>
        <v/>
      </c>
      <c r="R468" s="63" t="str">
        <f t="shared" si="255"/>
        <v/>
      </c>
      <c r="S468" s="64" t="str">
        <f t="shared" si="256"/>
        <v/>
      </c>
      <c r="T468" s="38">
        <v>0</v>
      </c>
      <c r="U468" s="64" t="str">
        <f t="shared" si="257"/>
        <v/>
      </c>
      <c r="V468" s="219"/>
      <c r="W468" s="43" t="str">
        <f t="shared" si="258"/>
        <v/>
      </c>
      <c r="X468" s="43" t="str">
        <f t="shared" si="259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60"/>
        <v/>
      </c>
      <c r="AP468" s="33" t="str">
        <f t="shared" si="261"/>
        <v/>
      </c>
      <c r="AQ468" s="58" t="str">
        <f t="shared" si="262"/>
        <v/>
      </c>
      <c r="AR468" s="38">
        <f>'ANR OK vs ML7'!AR468</f>
        <v>0.1</v>
      </c>
      <c r="AS468" s="35" t="str">
        <f t="shared" si="263"/>
        <v/>
      </c>
      <c r="AT468" s="3" t="str">
        <f t="shared" si="264"/>
        <v/>
      </c>
      <c r="AU468" s="3" t="str">
        <f t="shared" si="265"/>
        <v/>
      </c>
      <c r="AW468" s="32" t="str">
        <f t="shared" si="266"/>
        <v/>
      </c>
      <c r="AX468" s="32" t="str">
        <f t="shared" si="267"/>
        <v/>
      </c>
      <c r="AY468" s="32" t="str">
        <f t="shared" si="268"/>
        <v/>
      </c>
      <c r="BA468" s="32" t="str">
        <f>IF($A469="","",F468*Summary!$Q$13)</f>
        <v/>
      </c>
    </row>
    <row r="469" spans="1:53">
      <c r="A469" s="67" t="str">
        <f t="shared" si="269"/>
        <v/>
      </c>
      <c r="B469" s="69" t="str">
        <f t="shared" si="270"/>
        <v/>
      </c>
      <c r="D469" s="69" t="str">
        <f t="shared" si="245"/>
        <v/>
      </c>
      <c r="E469" s="70" t="str">
        <f t="shared" si="246"/>
        <v/>
      </c>
      <c r="F469" s="70" t="str">
        <f t="shared" si="247"/>
        <v/>
      </c>
      <c r="G469" s="63" t="str">
        <f t="shared" si="248"/>
        <v/>
      </c>
      <c r="H469" s="64" t="str">
        <f t="shared" si="249"/>
        <v/>
      </c>
      <c r="J469" s="63" t="str">
        <f t="shared" si="250"/>
        <v/>
      </c>
      <c r="K469" s="64" t="str">
        <f t="shared" si="251"/>
        <v/>
      </c>
      <c r="L469" s="38">
        <v>0</v>
      </c>
      <c r="M469" s="64" t="str">
        <f t="shared" si="252"/>
        <v/>
      </c>
      <c r="O469" s="63" t="str">
        <f t="shared" si="253"/>
        <v/>
      </c>
      <c r="P469" s="63" t="str">
        <f t="shared" si="254"/>
        <v/>
      </c>
      <c r="R469" s="63" t="str">
        <f t="shared" si="255"/>
        <v/>
      </c>
      <c r="S469" s="64" t="str">
        <f t="shared" si="256"/>
        <v/>
      </c>
      <c r="T469" s="38">
        <v>0</v>
      </c>
      <c r="U469" s="64" t="str">
        <f t="shared" si="257"/>
        <v/>
      </c>
      <c r="V469" s="219"/>
      <c r="W469" s="43" t="str">
        <f t="shared" si="258"/>
        <v/>
      </c>
      <c r="X469" s="43" t="str">
        <f t="shared" si="259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60"/>
        <v/>
      </c>
      <c r="AP469" s="33" t="str">
        <f t="shared" si="261"/>
        <v/>
      </c>
      <c r="AQ469" s="58" t="str">
        <f t="shared" si="262"/>
        <v/>
      </c>
      <c r="AR469" s="38">
        <f>'ANR OK vs ML7'!AR469</f>
        <v>0.1</v>
      </c>
      <c r="AS469" s="35" t="str">
        <f t="shared" si="263"/>
        <v/>
      </c>
      <c r="AT469" s="3" t="str">
        <f t="shared" si="264"/>
        <v/>
      </c>
      <c r="AU469" s="3" t="str">
        <f t="shared" si="265"/>
        <v/>
      </c>
      <c r="AW469" s="32" t="str">
        <f t="shared" si="266"/>
        <v/>
      </c>
      <c r="AX469" s="32" t="str">
        <f t="shared" si="267"/>
        <v/>
      </c>
      <c r="AY469" s="32" t="str">
        <f t="shared" si="268"/>
        <v/>
      </c>
      <c r="BA469" s="32" t="str">
        <f>IF($A470="","",F469*Summary!$Q$13)</f>
        <v/>
      </c>
    </row>
    <row r="470" spans="1:53">
      <c r="A470" s="67" t="str">
        <f t="shared" si="269"/>
        <v/>
      </c>
      <c r="B470" s="69" t="str">
        <f t="shared" si="270"/>
        <v/>
      </c>
      <c r="D470" s="69" t="str">
        <f t="shared" si="245"/>
        <v/>
      </c>
      <c r="E470" s="70" t="str">
        <f t="shared" si="246"/>
        <v/>
      </c>
      <c r="F470" s="70" t="str">
        <f t="shared" si="247"/>
        <v/>
      </c>
      <c r="G470" s="63" t="str">
        <f t="shared" si="248"/>
        <v/>
      </c>
      <c r="H470" s="64" t="str">
        <f t="shared" si="249"/>
        <v/>
      </c>
      <c r="J470" s="63" t="str">
        <f t="shared" si="250"/>
        <v/>
      </c>
      <c r="K470" s="64" t="str">
        <f t="shared" si="251"/>
        <v/>
      </c>
      <c r="L470" s="38">
        <v>0</v>
      </c>
      <c r="M470" s="64" t="str">
        <f t="shared" si="252"/>
        <v/>
      </c>
      <c r="O470" s="63" t="str">
        <f t="shared" si="253"/>
        <v/>
      </c>
      <c r="P470" s="63" t="str">
        <f t="shared" si="254"/>
        <v/>
      </c>
      <c r="R470" s="63" t="str">
        <f t="shared" si="255"/>
        <v/>
      </c>
      <c r="S470" s="64" t="str">
        <f t="shared" si="256"/>
        <v/>
      </c>
      <c r="T470" s="38">
        <v>0</v>
      </c>
      <c r="U470" s="64" t="str">
        <f t="shared" si="257"/>
        <v/>
      </c>
      <c r="V470" s="219"/>
      <c r="W470" s="43" t="str">
        <f t="shared" si="258"/>
        <v/>
      </c>
      <c r="X470" s="43" t="str">
        <f t="shared" si="259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60"/>
        <v/>
      </c>
      <c r="AP470" s="33" t="str">
        <f t="shared" si="261"/>
        <v/>
      </c>
      <c r="AQ470" s="58" t="str">
        <f t="shared" si="262"/>
        <v/>
      </c>
      <c r="AR470" s="38">
        <f>'ANR OK vs ML7'!AR470</f>
        <v>0.1</v>
      </c>
      <c r="AS470" s="35" t="str">
        <f t="shared" si="263"/>
        <v/>
      </c>
      <c r="AT470" s="3" t="str">
        <f t="shared" si="264"/>
        <v/>
      </c>
      <c r="AU470" s="3" t="str">
        <f t="shared" si="265"/>
        <v/>
      </c>
      <c r="AW470" s="32" t="str">
        <f t="shared" si="266"/>
        <v/>
      </c>
      <c r="AX470" s="32" t="str">
        <f t="shared" si="267"/>
        <v/>
      </c>
      <c r="AY470" s="32" t="str">
        <f t="shared" si="268"/>
        <v/>
      </c>
      <c r="BA470" s="32" t="str">
        <f>IF($A471="","",F470*Summary!$Q$13)</f>
        <v/>
      </c>
    </row>
    <row r="471" spans="1:53">
      <c r="A471" s="67" t="str">
        <f t="shared" si="269"/>
        <v/>
      </c>
      <c r="B471" s="69" t="str">
        <f t="shared" si="270"/>
        <v/>
      </c>
      <c r="D471" s="69" t="str">
        <f t="shared" si="245"/>
        <v/>
      </c>
      <c r="E471" s="70" t="str">
        <f t="shared" si="246"/>
        <v/>
      </c>
      <c r="F471" s="70" t="str">
        <f t="shared" si="247"/>
        <v/>
      </c>
      <c r="G471" s="63" t="str">
        <f t="shared" si="248"/>
        <v/>
      </c>
      <c r="H471" s="64" t="str">
        <f t="shared" si="249"/>
        <v/>
      </c>
      <c r="J471" s="63" t="str">
        <f t="shared" si="250"/>
        <v/>
      </c>
      <c r="K471" s="64" t="str">
        <f t="shared" si="251"/>
        <v/>
      </c>
      <c r="L471" s="38">
        <v>0</v>
      </c>
      <c r="M471" s="64" t="str">
        <f t="shared" si="252"/>
        <v/>
      </c>
      <c r="O471" s="63" t="str">
        <f t="shared" si="253"/>
        <v/>
      </c>
      <c r="P471" s="63" t="str">
        <f t="shared" si="254"/>
        <v/>
      </c>
      <c r="R471" s="63" t="str">
        <f t="shared" si="255"/>
        <v/>
      </c>
      <c r="S471" s="64" t="str">
        <f t="shared" si="256"/>
        <v/>
      </c>
      <c r="T471" s="38">
        <v>0</v>
      </c>
      <c r="U471" s="64" t="str">
        <f t="shared" si="257"/>
        <v/>
      </c>
      <c r="V471" s="219"/>
      <c r="W471" s="43" t="str">
        <f t="shared" si="258"/>
        <v/>
      </c>
      <c r="X471" s="43" t="str">
        <f t="shared" si="259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60"/>
        <v/>
      </c>
      <c r="AP471" s="33" t="str">
        <f t="shared" si="261"/>
        <v/>
      </c>
      <c r="AQ471" s="58" t="str">
        <f t="shared" si="262"/>
        <v/>
      </c>
      <c r="AR471" s="38">
        <f>'ANR OK vs ML7'!AR471</f>
        <v>0.1</v>
      </c>
      <c r="AS471" s="35" t="str">
        <f t="shared" si="263"/>
        <v/>
      </c>
      <c r="AT471" s="3" t="str">
        <f t="shared" si="264"/>
        <v/>
      </c>
      <c r="AU471" s="3" t="str">
        <f t="shared" si="265"/>
        <v/>
      </c>
      <c r="AW471" s="32" t="str">
        <f t="shared" si="266"/>
        <v/>
      </c>
      <c r="AX471" s="32" t="str">
        <f t="shared" si="267"/>
        <v/>
      </c>
      <c r="AY471" s="32" t="str">
        <f t="shared" si="268"/>
        <v/>
      </c>
      <c r="BA471" s="32" t="str">
        <f>IF($A472="","",F471*Summary!$Q$13)</f>
        <v/>
      </c>
    </row>
    <row r="472" spans="1:53">
      <c r="A472" s="67" t="str">
        <f t="shared" si="269"/>
        <v/>
      </c>
      <c r="B472" s="69" t="str">
        <f t="shared" si="270"/>
        <v/>
      </c>
      <c r="D472" s="69" t="str">
        <f t="shared" si="245"/>
        <v/>
      </c>
      <c r="E472" s="70" t="str">
        <f t="shared" si="246"/>
        <v/>
      </c>
      <c r="F472" s="70" t="str">
        <f t="shared" si="247"/>
        <v/>
      </c>
      <c r="G472" s="63" t="str">
        <f t="shared" si="248"/>
        <v/>
      </c>
      <c r="H472" s="64" t="str">
        <f t="shared" si="249"/>
        <v/>
      </c>
      <c r="J472" s="63" t="str">
        <f t="shared" si="250"/>
        <v/>
      </c>
      <c r="K472" s="64" t="str">
        <f t="shared" si="251"/>
        <v/>
      </c>
      <c r="L472" s="38">
        <v>0</v>
      </c>
      <c r="M472" s="64" t="str">
        <f t="shared" si="252"/>
        <v/>
      </c>
      <c r="O472" s="63" t="str">
        <f t="shared" si="253"/>
        <v/>
      </c>
      <c r="P472" s="63" t="str">
        <f t="shared" si="254"/>
        <v/>
      </c>
      <c r="R472" s="63" t="str">
        <f t="shared" si="255"/>
        <v/>
      </c>
      <c r="S472" s="64" t="str">
        <f t="shared" si="256"/>
        <v/>
      </c>
      <c r="T472" s="38">
        <v>0</v>
      </c>
      <c r="U472" s="64" t="str">
        <f t="shared" si="257"/>
        <v/>
      </c>
      <c r="V472" s="219"/>
      <c r="W472" s="43" t="str">
        <f t="shared" si="258"/>
        <v/>
      </c>
      <c r="X472" s="43" t="str">
        <f t="shared" si="259"/>
        <v/>
      </c>
      <c r="Y472" s="43"/>
      <c r="AJ472" s="86"/>
      <c r="AK472" s="86"/>
      <c r="AL472" s="86"/>
      <c r="AM472" s="86"/>
      <c r="AN472" s="86"/>
      <c r="AO472" s="3" t="str">
        <f t="shared" si="260"/>
        <v/>
      </c>
      <c r="AP472" s="33" t="str">
        <f t="shared" si="261"/>
        <v/>
      </c>
      <c r="AQ472" s="58" t="str">
        <f t="shared" si="262"/>
        <v/>
      </c>
      <c r="AR472" s="38">
        <f>'ANR OK vs ML7'!AR472</f>
        <v>0.1</v>
      </c>
      <c r="AS472" s="35" t="str">
        <f t="shared" si="263"/>
        <v/>
      </c>
      <c r="AT472" s="3" t="str">
        <f t="shared" si="264"/>
        <v/>
      </c>
      <c r="AU472" s="3" t="str">
        <f t="shared" si="265"/>
        <v/>
      </c>
      <c r="AW472" s="32" t="str">
        <f t="shared" si="266"/>
        <v/>
      </c>
      <c r="AX472" s="32" t="str">
        <f t="shared" si="267"/>
        <v/>
      </c>
      <c r="AY472" s="32" t="str">
        <f t="shared" si="268"/>
        <v/>
      </c>
      <c r="BA472" s="32" t="str">
        <f>IF($A473="","",F472*Summary!$Q$13)</f>
        <v/>
      </c>
    </row>
    <row r="473" spans="1:53">
      <c r="A473" s="67" t="str">
        <f t="shared" si="269"/>
        <v/>
      </c>
      <c r="B473" s="69" t="str">
        <f t="shared" si="270"/>
        <v/>
      </c>
      <c r="D473" s="69" t="str">
        <f t="shared" si="245"/>
        <v/>
      </c>
      <c r="E473" s="70" t="str">
        <f t="shared" si="246"/>
        <v/>
      </c>
      <c r="F473" s="70" t="str">
        <f t="shared" si="247"/>
        <v/>
      </c>
      <c r="G473" s="63" t="str">
        <f t="shared" si="248"/>
        <v/>
      </c>
      <c r="H473" s="64" t="str">
        <f t="shared" si="249"/>
        <v/>
      </c>
      <c r="J473" s="63" t="str">
        <f t="shared" si="250"/>
        <v/>
      </c>
      <c r="K473" s="64" t="str">
        <f t="shared" si="251"/>
        <v/>
      </c>
      <c r="L473" s="38">
        <v>0</v>
      </c>
      <c r="M473" s="64" t="str">
        <f t="shared" si="252"/>
        <v/>
      </c>
      <c r="O473" s="63" t="str">
        <f t="shared" si="253"/>
        <v/>
      </c>
      <c r="P473" s="63" t="str">
        <f t="shared" si="254"/>
        <v/>
      </c>
      <c r="R473" s="63" t="str">
        <f t="shared" si="255"/>
        <v/>
      </c>
      <c r="S473" s="64" t="str">
        <f t="shared" si="256"/>
        <v/>
      </c>
      <c r="T473" s="38">
        <v>0</v>
      </c>
      <c r="U473" s="64" t="str">
        <f t="shared" si="257"/>
        <v/>
      </c>
      <c r="V473" s="219"/>
      <c r="W473" s="43" t="str">
        <f t="shared" si="258"/>
        <v/>
      </c>
      <c r="X473" s="43" t="str">
        <f t="shared" si="259"/>
        <v/>
      </c>
      <c r="Y473" s="43"/>
      <c r="AJ473" s="86"/>
      <c r="AK473" s="86"/>
      <c r="AL473" s="86"/>
      <c r="AM473" s="86"/>
      <c r="AN473" s="86"/>
      <c r="AO473" s="3" t="str">
        <f t="shared" si="260"/>
        <v/>
      </c>
      <c r="AP473" s="33" t="str">
        <f t="shared" si="261"/>
        <v/>
      </c>
      <c r="AQ473" s="58" t="str">
        <f t="shared" si="262"/>
        <v/>
      </c>
      <c r="AR473" s="38">
        <f>'ANR OK vs ML7'!AR473</f>
        <v>0.1</v>
      </c>
      <c r="AS473" s="35" t="str">
        <f t="shared" si="263"/>
        <v/>
      </c>
      <c r="AT473" s="3" t="str">
        <f t="shared" si="264"/>
        <v/>
      </c>
      <c r="AU473" s="3" t="str">
        <f t="shared" si="265"/>
        <v/>
      </c>
      <c r="AW473" s="32" t="str">
        <f t="shared" si="266"/>
        <v/>
      </c>
      <c r="AX473" s="32" t="str">
        <f t="shared" si="267"/>
        <v/>
      </c>
      <c r="AY473" s="32" t="str">
        <f t="shared" si="268"/>
        <v/>
      </c>
      <c r="BA473" s="32" t="str">
        <f>IF($A474="","",F473*Summary!$Q$13)</f>
        <v/>
      </c>
    </row>
    <row r="474" spans="1:53">
      <c r="A474" s="67" t="str">
        <f t="shared" si="269"/>
        <v/>
      </c>
      <c r="B474" s="69" t="str">
        <f t="shared" si="270"/>
        <v/>
      </c>
      <c r="D474" s="69" t="str">
        <f t="shared" si="245"/>
        <v/>
      </c>
      <c r="E474" s="70" t="str">
        <f t="shared" si="246"/>
        <v/>
      </c>
      <c r="F474" s="70" t="str">
        <f t="shared" si="247"/>
        <v/>
      </c>
      <c r="G474" s="63" t="str">
        <f t="shared" si="248"/>
        <v/>
      </c>
      <c r="H474" s="64" t="str">
        <f t="shared" si="249"/>
        <v/>
      </c>
      <c r="J474" s="63" t="str">
        <f t="shared" si="250"/>
        <v/>
      </c>
      <c r="K474" s="64" t="str">
        <f t="shared" si="251"/>
        <v/>
      </c>
      <c r="L474" s="38">
        <v>0</v>
      </c>
      <c r="M474" s="64" t="str">
        <f t="shared" si="252"/>
        <v/>
      </c>
      <c r="O474" s="63" t="str">
        <f t="shared" si="253"/>
        <v/>
      </c>
      <c r="P474" s="63" t="str">
        <f t="shared" si="254"/>
        <v/>
      </c>
      <c r="R474" s="63" t="str">
        <f t="shared" si="255"/>
        <v/>
      </c>
      <c r="S474" s="64" t="str">
        <f t="shared" si="256"/>
        <v/>
      </c>
      <c r="T474" s="38">
        <v>0</v>
      </c>
      <c r="U474" s="64" t="str">
        <f t="shared" si="257"/>
        <v/>
      </c>
      <c r="V474" s="219"/>
      <c r="W474" s="43" t="str">
        <f t="shared" si="258"/>
        <v/>
      </c>
      <c r="X474" s="43" t="str">
        <f t="shared" si="259"/>
        <v/>
      </c>
      <c r="Y474" s="43"/>
      <c r="AJ474" s="86"/>
      <c r="AK474" s="86"/>
      <c r="AL474" s="86"/>
      <c r="AM474" s="86"/>
      <c r="AN474" s="86"/>
      <c r="AO474" s="3" t="str">
        <f t="shared" si="260"/>
        <v/>
      </c>
      <c r="AP474" s="33" t="str">
        <f t="shared" si="261"/>
        <v/>
      </c>
      <c r="AQ474" s="58" t="str">
        <f t="shared" si="262"/>
        <v/>
      </c>
      <c r="AR474" s="38">
        <f>'ANR OK vs ML7'!AR474</f>
        <v>0.1</v>
      </c>
      <c r="AS474" s="35" t="str">
        <f t="shared" si="263"/>
        <v/>
      </c>
      <c r="AT474" s="3" t="str">
        <f t="shared" si="264"/>
        <v/>
      </c>
      <c r="AU474" s="3" t="str">
        <f t="shared" si="265"/>
        <v/>
      </c>
      <c r="AW474" s="32" t="str">
        <f t="shared" si="266"/>
        <v/>
      </c>
      <c r="AX474" s="32" t="str">
        <f t="shared" si="267"/>
        <v/>
      </c>
      <c r="AY474" s="32" t="str">
        <f t="shared" si="268"/>
        <v/>
      </c>
      <c r="BA474" s="32" t="str">
        <f>IF($A475="","",F474*Summary!$Q$13)</f>
        <v/>
      </c>
    </row>
    <row r="475" spans="1:53">
      <c r="A475" s="67" t="str">
        <f t="shared" si="269"/>
        <v/>
      </c>
      <c r="B475" s="69" t="str">
        <f t="shared" si="270"/>
        <v/>
      </c>
      <c r="D475" s="69" t="str">
        <f t="shared" si="245"/>
        <v/>
      </c>
      <c r="E475" s="70" t="str">
        <f t="shared" si="246"/>
        <v/>
      </c>
      <c r="F475" s="70" t="str">
        <f t="shared" si="247"/>
        <v/>
      </c>
      <c r="G475" s="63" t="str">
        <f t="shared" si="248"/>
        <v/>
      </c>
      <c r="H475" s="64" t="str">
        <f t="shared" si="249"/>
        <v/>
      </c>
      <c r="J475" s="63" t="str">
        <f t="shared" si="250"/>
        <v/>
      </c>
      <c r="K475" s="64" t="str">
        <f t="shared" si="251"/>
        <v/>
      </c>
      <c r="L475" s="38">
        <v>0</v>
      </c>
      <c r="M475" s="64" t="str">
        <f t="shared" si="252"/>
        <v/>
      </c>
      <c r="O475" s="63" t="str">
        <f t="shared" si="253"/>
        <v/>
      </c>
      <c r="P475" s="63" t="str">
        <f t="shared" si="254"/>
        <v/>
      </c>
      <c r="R475" s="63" t="str">
        <f t="shared" si="255"/>
        <v/>
      </c>
      <c r="S475" s="64" t="str">
        <f t="shared" si="256"/>
        <v/>
      </c>
      <c r="T475" s="38">
        <v>0</v>
      </c>
      <c r="U475" s="64" t="str">
        <f t="shared" si="257"/>
        <v/>
      </c>
      <c r="V475" s="219"/>
      <c r="W475" s="43" t="str">
        <f t="shared" si="258"/>
        <v/>
      </c>
      <c r="X475" s="43" t="str">
        <f t="shared" si="259"/>
        <v/>
      </c>
      <c r="Y475" s="43"/>
      <c r="AJ475" s="86"/>
      <c r="AK475" s="86"/>
      <c r="AL475" s="86"/>
      <c r="AM475" s="86"/>
      <c r="AN475" s="86"/>
      <c r="AO475" s="3" t="str">
        <f t="shared" si="260"/>
        <v/>
      </c>
      <c r="AP475" s="33" t="str">
        <f t="shared" si="261"/>
        <v/>
      </c>
      <c r="AQ475" s="58" t="str">
        <f t="shared" si="262"/>
        <v/>
      </c>
      <c r="AR475" s="38">
        <f>'ANR OK vs ML7'!AR475</f>
        <v>0.1</v>
      </c>
      <c r="AS475" s="35" t="str">
        <f t="shared" si="263"/>
        <v/>
      </c>
      <c r="AT475" s="3" t="str">
        <f t="shared" si="264"/>
        <v/>
      </c>
      <c r="AU475" s="3" t="str">
        <f t="shared" si="265"/>
        <v/>
      </c>
      <c r="AW475" s="32" t="str">
        <f t="shared" si="266"/>
        <v/>
      </c>
      <c r="AX475" s="32" t="str">
        <f t="shared" si="267"/>
        <v/>
      </c>
      <c r="AY475" s="32" t="str">
        <f t="shared" si="268"/>
        <v/>
      </c>
      <c r="BA475" s="32" t="str">
        <f>IF($A476="","",F475*Summary!$Q$13)</f>
        <v/>
      </c>
    </row>
    <row r="476" spans="1:53">
      <c r="A476" s="67" t="str">
        <f t="shared" si="269"/>
        <v/>
      </c>
      <c r="B476" s="69" t="str">
        <f t="shared" si="270"/>
        <v/>
      </c>
      <c r="D476" s="69" t="str">
        <f t="shared" si="245"/>
        <v/>
      </c>
      <c r="E476" s="70" t="str">
        <f t="shared" si="246"/>
        <v/>
      </c>
      <c r="F476" s="70" t="str">
        <f t="shared" si="247"/>
        <v/>
      </c>
      <c r="G476" s="63" t="str">
        <f t="shared" si="248"/>
        <v/>
      </c>
      <c r="H476" s="64" t="str">
        <f t="shared" si="249"/>
        <v/>
      </c>
      <c r="J476" s="63" t="str">
        <f t="shared" si="250"/>
        <v/>
      </c>
      <c r="K476" s="64" t="str">
        <f t="shared" si="251"/>
        <v/>
      </c>
      <c r="L476" s="38">
        <v>0</v>
      </c>
      <c r="M476" s="64" t="str">
        <f t="shared" si="252"/>
        <v/>
      </c>
      <c r="O476" s="63" t="str">
        <f t="shared" si="253"/>
        <v/>
      </c>
      <c r="P476" s="63" t="str">
        <f t="shared" si="254"/>
        <v/>
      </c>
      <c r="R476" s="63" t="str">
        <f t="shared" si="255"/>
        <v/>
      </c>
      <c r="S476" s="64" t="str">
        <f t="shared" si="256"/>
        <v/>
      </c>
      <c r="T476" s="38">
        <v>0</v>
      </c>
      <c r="U476" s="64" t="str">
        <f t="shared" si="257"/>
        <v/>
      </c>
      <c r="V476" s="219"/>
      <c r="W476" s="43" t="str">
        <f t="shared" si="258"/>
        <v/>
      </c>
      <c r="X476" s="43" t="str">
        <f t="shared" si="259"/>
        <v/>
      </c>
      <c r="Y476" s="43"/>
      <c r="AJ476" s="86"/>
      <c r="AK476" s="86"/>
      <c r="AL476" s="86"/>
      <c r="AM476" s="86"/>
      <c r="AN476" s="86"/>
      <c r="AO476" s="3" t="str">
        <f t="shared" si="260"/>
        <v/>
      </c>
      <c r="AP476" s="33" t="str">
        <f t="shared" si="261"/>
        <v/>
      </c>
      <c r="AQ476" s="58" t="str">
        <f t="shared" si="262"/>
        <v/>
      </c>
      <c r="AR476" s="38">
        <f>'ANR OK vs ML7'!AR476</f>
        <v>0.1</v>
      </c>
      <c r="AS476" s="35" t="str">
        <f t="shared" si="263"/>
        <v/>
      </c>
      <c r="AT476" s="3" t="str">
        <f t="shared" si="264"/>
        <v/>
      </c>
      <c r="AU476" s="3" t="str">
        <f t="shared" si="265"/>
        <v/>
      </c>
      <c r="AW476" s="32" t="str">
        <f t="shared" si="266"/>
        <v/>
      </c>
      <c r="AX476" s="32" t="str">
        <f t="shared" si="267"/>
        <v/>
      </c>
      <c r="AY476" s="32" t="str">
        <f t="shared" si="268"/>
        <v/>
      </c>
      <c r="BA476" s="32" t="str">
        <f>IF($A477="","",F476*Summary!$Q$13)</f>
        <v/>
      </c>
    </row>
    <row r="477" spans="1:53">
      <c r="A477" s="67" t="str">
        <f t="shared" si="269"/>
        <v/>
      </c>
      <c r="B477" s="69" t="str">
        <f t="shared" si="270"/>
        <v/>
      </c>
      <c r="D477" s="69" t="str">
        <f t="shared" si="245"/>
        <v/>
      </c>
      <c r="E477" s="70" t="str">
        <f t="shared" si="246"/>
        <v/>
      </c>
      <c r="F477" s="70" t="str">
        <f t="shared" si="247"/>
        <v/>
      </c>
      <c r="G477" s="63" t="str">
        <f t="shared" si="248"/>
        <v/>
      </c>
      <c r="H477" s="64" t="str">
        <f t="shared" si="249"/>
        <v/>
      </c>
      <c r="J477" s="63" t="str">
        <f t="shared" si="250"/>
        <v/>
      </c>
      <c r="K477" s="64" t="str">
        <f t="shared" si="251"/>
        <v/>
      </c>
      <c r="L477" s="38">
        <v>0</v>
      </c>
      <c r="M477" s="64" t="str">
        <f t="shared" si="252"/>
        <v/>
      </c>
      <c r="O477" s="63" t="str">
        <f t="shared" si="253"/>
        <v/>
      </c>
      <c r="P477" s="63" t="str">
        <f t="shared" si="254"/>
        <v/>
      </c>
      <c r="R477" s="63" t="str">
        <f t="shared" si="255"/>
        <v/>
      </c>
      <c r="S477" s="64" t="str">
        <f t="shared" si="256"/>
        <v/>
      </c>
      <c r="T477" s="38">
        <v>0</v>
      </c>
      <c r="U477" s="64" t="str">
        <f t="shared" si="257"/>
        <v/>
      </c>
      <c r="V477" s="219"/>
      <c r="W477" s="43" t="str">
        <f t="shared" si="258"/>
        <v/>
      </c>
      <c r="X477" s="43" t="str">
        <f t="shared" si="259"/>
        <v/>
      </c>
      <c r="Y477" s="43"/>
      <c r="AJ477" s="86"/>
      <c r="AK477" s="86"/>
      <c r="AL477" s="86"/>
      <c r="AM477" s="86"/>
      <c r="AN477" s="86"/>
      <c r="AO477" s="3" t="str">
        <f t="shared" si="260"/>
        <v/>
      </c>
      <c r="AP477" s="33" t="str">
        <f t="shared" si="261"/>
        <v/>
      </c>
      <c r="AQ477" s="58" t="str">
        <f t="shared" si="262"/>
        <v/>
      </c>
      <c r="AR477" s="38">
        <f>'ANR OK vs ML7'!AR477</f>
        <v>0.1</v>
      </c>
      <c r="AS477" s="35" t="str">
        <f t="shared" si="263"/>
        <v/>
      </c>
      <c r="AT477" s="3" t="str">
        <f t="shared" si="264"/>
        <v/>
      </c>
      <c r="AU477" s="3" t="str">
        <f t="shared" si="265"/>
        <v/>
      </c>
      <c r="AW477" s="32" t="str">
        <f t="shared" si="266"/>
        <v/>
      </c>
      <c r="AX477" s="32" t="str">
        <f t="shared" si="267"/>
        <v/>
      </c>
      <c r="AY477" s="32" t="str">
        <f t="shared" si="268"/>
        <v/>
      </c>
      <c r="BA477" s="32" t="str">
        <f>IF($A478="","",F477*Summary!$Q$13)</f>
        <v/>
      </c>
    </row>
    <row r="478" spans="1:53">
      <c r="A478" s="67" t="str">
        <f t="shared" si="269"/>
        <v/>
      </c>
      <c r="B478" s="69" t="str">
        <f t="shared" si="270"/>
        <v/>
      </c>
      <c r="D478" s="69" t="str">
        <f t="shared" si="245"/>
        <v/>
      </c>
      <c r="E478" s="70" t="str">
        <f t="shared" si="246"/>
        <v/>
      </c>
      <c r="F478" s="70" t="str">
        <f t="shared" si="247"/>
        <v/>
      </c>
      <c r="G478" s="63" t="str">
        <f t="shared" si="248"/>
        <v/>
      </c>
      <c r="H478" s="64" t="str">
        <f t="shared" si="249"/>
        <v/>
      </c>
      <c r="J478" s="63" t="str">
        <f t="shared" si="250"/>
        <v/>
      </c>
      <c r="K478" s="64" t="str">
        <f t="shared" si="251"/>
        <v/>
      </c>
      <c r="L478" s="38">
        <v>0</v>
      </c>
      <c r="M478" s="64" t="str">
        <f t="shared" si="252"/>
        <v/>
      </c>
      <c r="O478" s="63" t="str">
        <f t="shared" si="253"/>
        <v/>
      </c>
      <c r="P478" s="63" t="str">
        <f t="shared" si="254"/>
        <v/>
      </c>
      <c r="R478" s="63" t="str">
        <f t="shared" si="255"/>
        <v/>
      </c>
      <c r="S478" s="64" t="str">
        <f t="shared" si="256"/>
        <v/>
      </c>
      <c r="T478" s="38">
        <v>0</v>
      </c>
      <c r="U478" s="64" t="str">
        <f t="shared" si="257"/>
        <v/>
      </c>
      <c r="V478" s="219"/>
      <c r="W478" s="43" t="str">
        <f t="shared" si="258"/>
        <v/>
      </c>
      <c r="X478" s="43" t="str">
        <f t="shared" si="259"/>
        <v/>
      </c>
      <c r="Y478" s="43"/>
      <c r="AJ478" s="86"/>
      <c r="AK478" s="86"/>
      <c r="AL478" s="86"/>
      <c r="AM478" s="86"/>
      <c r="AN478" s="86"/>
      <c r="AO478" s="3" t="str">
        <f t="shared" si="260"/>
        <v/>
      </c>
      <c r="AP478" s="33" t="str">
        <f t="shared" si="261"/>
        <v/>
      </c>
      <c r="AQ478" s="58" t="str">
        <f t="shared" si="262"/>
        <v/>
      </c>
      <c r="AR478" s="38">
        <f>'ANR OK vs ML7'!AR478</f>
        <v>0.1</v>
      </c>
      <c r="AS478" s="35" t="str">
        <f t="shared" si="263"/>
        <v/>
      </c>
      <c r="AT478" s="3" t="str">
        <f t="shared" si="264"/>
        <v/>
      </c>
      <c r="AU478" s="3" t="str">
        <f t="shared" si="265"/>
        <v/>
      </c>
      <c r="AW478" s="32" t="str">
        <f t="shared" si="266"/>
        <v/>
      </c>
      <c r="AX478" s="32" t="str">
        <f t="shared" si="267"/>
        <v/>
      </c>
      <c r="AY478" s="32" t="str">
        <f t="shared" si="268"/>
        <v/>
      </c>
      <c r="BA478" s="32" t="str">
        <f>IF($A479="","",F478*Summary!$Q$13)</f>
        <v/>
      </c>
    </row>
    <row r="479" spans="1:53">
      <c r="A479" s="67" t="str">
        <f t="shared" si="269"/>
        <v/>
      </c>
      <c r="B479" s="69" t="str">
        <f t="shared" si="270"/>
        <v/>
      </c>
      <c r="D479" s="69" t="str">
        <f t="shared" si="245"/>
        <v/>
      </c>
      <c r="E479" s="70" t="str">
        <f t="shared" si="246"/>
        <v/>
      </c>
      <c r="F479" s="70" t="str">
        <f t="shared" si="247"/>
        <v/>
      </c>
      <c r="G479" s="63" t="str">
        <f t="shared" si="248"/>
        <v/>
      </c>
      <c r="H479" s="64" t="str">
        <f t="shared" si="249"/>
        <v/>
      </c>
      <c r="J479" s="63" t="str">
        <f t="shared" si="250"/>
        <v/>
      </c>
      <c r="K479" s="64" t="str">
        <f t="shared" si="251"/>
        <v/>
      </c>
      <c r="L479" s="38">
        <v>0</v>
      </c>
      <c r="M479" s="64" t="str">
        <f t="shared" si="252"/>
        <v/>
      </c>
      <c r="O479" s="63" t="str">
        <f t="shared" si="253"/>
        <v/>
      </c>
      <c r="P479" s="63" t="str">
        <f t="shared" si="254"/>
        <v/>
      </c>
      <c r="R479" s="63" t="str">
        <f t="shared" si="255"/>
        <v/>
      </c>
      <c r="S479" s="64" t="str">
        <f t="shared" si="256"/>
        <v/>
      </c>
      <c r="T479" s="38">
        <v>0</v>
      </c>
      <c r="U479" s="64" t="str">
        <f t="shared" si="257"/>
        <v/>
      </c>
      <c r="V479" s="219"/>
      <c r="W479" s="43" t="str">
        <f t="shared" si="258"/>
        <v/>
      </c>
      <c r="X479" s="43" t="str">
        <f t="shared" si="259"/>
        <v/>
      </c>
      <c r="Y479" s="43"/>
      <c r="AJ479" s="86"/>
      <c r="AK479" s="86"/>
      <c r="AL479" s="86"/>
      <c r="AM479" s="86"/>
      <c r="AN479" s="86"/>
      <c r="AO479" s="3" t="str">
        <f t="shared" si="260"/>
        <v/>
      </c>
      <c r="AP479" s="33" t="str">
        <f t="shared" si="261"/>
        <v/>
      </c>
      <c r="AQ479" s="58" t="str">
        <f t="shared" si="262"/>
        <v/>
      </c>
      <c r="AR479" s="38">
        <f>'ANR OK vs ML7'!AR479</f>
        <v>0.1</v>
      </c>
      <c r="AS479" s="35" t="str">
        <f t="shared" si="263"/>
        <v/>
      </c>
      <c r="AT479" s="3" t="str">
        <f t="shared" si="264"/>
        <v/>
      </c>
      <c r="AU479" s="3" t="str">
        <f t="shared" si="265"/>
        <v/>
      </c>
      <c r="AW479" s="32" t="str">
        <f t="shared" si="266"/>
        <v/>
      </c>
      <c r="AX479" s="32" t="str">
        <f t="shared" si="267"/>
        <v/>
      </c>
      <c r="AY479" s="32" t="str">
        <f t="shared" si="268"/>
        <v/>
      </c>
      <c r="BA479" s="32" t="str">
        <f>IF($A480="","",F479*Summary!$Q$13)</f>
        <v/>
      </c>
    </row>
    <row r="480" spans="1:53">
      <c r="A480" s="67" t="str">
        <f t="shared" si="269"/>
        <v/>
      </c>
      <c r="B480" s="69" t="str">
        <f t="shared" si="270"/>
        <v/>
      </c>
      <c r="D480" s="69" t="str">
        <f t="shared" si="245"/>
        <v/>
      </c>
      <c r="E480" s="70" t="str">
        <f t="shared" si="246"/>
        <v/>
      </c>
      <c r="F480" s="70" t="str">
        <f t="shared" si="247"/>
        <v/>
      </c>
      <c r="G480" s="63" t="str">
        <f t="shared" si="248"/>
        <v/>
      </c>
      <c r="H480" s="64" t="str">
        <f t="shared" si="249"/>
        <v/>
      </c>
      <c r="J480" s="63" t="str">
        <f t="shared" si="250"/>
        <v/>
      </c>
      <c r="K480" s="64" t="str">
        <f t="shared" si="251"/>
        <v/>
      </c>
      <c r="L480" s="38">
        <v>0</v>
      </c>
      <c r="M480" s="64" t="str">
        <f t="shared" si="252"/>
        <v/>
      </c>
      <c r="O480" s="63" t="str">
        <f t="shared" si="253"/>
        <v/>
      </c>
      <c r="P480" s="63" t="str">
        <f t="shared" si="254"/>
        <v/>
      </c>
      <c r="R480" s="63" t="str">
        <f t="shared" si="255"/>
        <v/>
      </c>
      <c r="S480" s="64" t="str">
        <f t="shared" si="256"/>
        <v/>
      </c>
      <c r="T480" s="38">
        <v>0</v>
      </c>
      <c r="U480" s="64" t="str">
        <f t="shared" si="257"/>
        <v/>
      </c>
      <c r="V480" s="219"/>
      <c r="W480" s="43" t="str">
        <f t="shared" si="258"/>
        <v/>
      </c>
      <c r="X480" s="43" t="str">
        <f t="shared" si="259"/>
        <v/>
      </c>
      <c r="Y480" s="43"/>
      <c r="AJ480" s="86"/>
      <c r="AK480" s="86"/>
      <c r="AL480" s="86"/>
      <c r="AM480" s="86"/>
      <c r="AN480" s="86"/>
      <c r="AO480" s="3" t="str">
        <f t="shared" si="260"/>
        <v/>
      </c>
      <c r="AP480" s="33" t="str">
        <f t="shared" si="261"/>
        <v/>
      </c>
      <c r="AQ480" s="58" t="str">
        <f t="shared" si="262"/>
        <v/>
      </c>
      <c r="AR480" s="38">
        <f>'ANR OK vs ML7'!AR480</f>
        <v>0.1</v>
      </c>
      <c r="AS480" s="35" t="str">
        <f t="shared" si="263"/>
        <v/>
      </c>
      <c r="AT480" s="3" t="str">
        <f t="shared" si="264"/>
        <v/>
      </c>
      <c r="AU480" s="3" t="str">
        <f t="shared" si="265"/>
        <v/>
      </c>
      <c r="AW480" s="32" t="str">
        <f t="shared" si="266"/>
        <v/>
      </c>
      <c r="AX480" s="32" t="str">
        <f t="shared" si="267"/>
        <v/>
      </c>
      <c r="AY480" s="32" t="str">
        <f t="shared" si="268"/>
        <v/>
      </c>
      <c r="BA480" s="32" t="str">
        <f>IF($A481="","",F480*Summary!$Q$13)</f>
        <v/>
      </c>
    </row>
    <row r="481" spans="1:53">
      <c r="A481" s="67" t="str">
        <f t="shared" si="269"/>
        <v/>
      </c>
      <c r="B481" s="69" t="str">
        <f t="shared" si="270"/>
        <v/>
      </c>
      <c r="D481" s="69" t="str">
        <f t="shared" si="245"/>
        <v/>
      </c>
      <c r="E481" s="70" t="str">
        <f t="shared" si="246"/>
        <v/>
      </c>
      <c r="F481" s="70" t="str">
        <f t="shared" si="247"/>
        <v/>
      </c>
      <c r="G481" s="63" t="str">
        <f t="shared" si="248"/>
        <v/>
      </c>
      <c r="H481" s="64" t="str">
        <f t="shared" si="249"/>
        <v/>
      </c>
      <c r="J481" s="63" t="str">
        <f t="shared" si="250"/>
        <v/>
      </c>
      <c r="K481" s="64" t="str">
        <f t="shared" si="251"/>
        <v/>
      </c>
      <c r="L481" s="38">
        <v>0</v>
      </c>
      <c r="M481" s="64" t="str">
        <f t="shared" si="252"/>
        <v/>
      </c>
      <c r="O481" s="63" t="str">
        <f t="shared" si="253"/>
        <v/>
      </c>
      <c r="P481" s="63" t="str">
        <f t="shared" si="254"/>
        <v/>
      </c>
      <c r="R481" s="63" t="str">
        <f t="shared" si="255"/>
        <v/>
      </c>
      <c r="S481" s="64" t="str">
        <f t="shared" si="256"/>
        <v/>
      </c>
      <c r="T481" s="38">
        <v>0</v>
      </c>
      <c r="U481" s="64" t="str">
        <f t="shared" si="257"/>
        <v/>
      </c>
      <c r="V481" s="219"/>
      <c r="W481" s="43" t="str">
        <f t="shared" si="258"/>
        <v/>
      </c>
      <c r="X481" s="43" t="str">
        <f t="shared" si="259"/>
        <v/>
      </c>
      <c r="Y481" s="43"/>
      <c r="AJ481" s="86"/>
      <c r="AK481" s="86"/>
      <c r="AL481" s="86"/>
      <c r="AM481" s="86"/>
      <c r="AN481" s="86"/>
      <c r="AO481" s="3" t="str">
        <f t="shared" si="260"/>
        <v/>
      </c>
      <c r="AP481" s="33" t="str">
        <f t="shared" si="261"/>
        <v/>
      </c>
      <c r="AQ481" s="58" t="str">
        <f t="shared" si="262"/>
        <v/>
      </c>
      <c r="AR481" s="38">
        <f>'ANR OK vs ML7'!AR481</f>
        <v>0.1</v>
      </c>
      <c r="AS481" s="35" t="str">
        <f t="shared" si="263"/>
        <v/>
      </c>
      <c r="AT481" s="3" t="str">
        <f t="shared" si="264"/>
        <v/>
      </c>
      <c r="AU481" s="3" t="str">
        <f t="shared" si="265"/>
        <v/>
      </c>
      <c r="AW481" s="32" t="str">
        <f t="shared" si="266"/>
        <v/>
      </c>
      <c r="AX481" s="32" t="str">
        <f t="shared" si="267"/>
        <v/>
      </c>
      <c r="AY481" s="32" t="str">
        <f t="shared" si="268"/>
        <v/>
      </c>
      <c r="BA481" s="32" t="str">
        <f>IF($A482="","",F481*Summary!$Q$13)</f>
        <v/>
      </c>
    </row>
    <row r="482" spans="1:53">
      <c r="A482" s="67" t="str">
        <f t="shared" si="269"/>
        <v/>
      </c>
      <c r="B482" s="69" t="str">
        <f t="shared" si="270"/>
        <v/>
      </c>
      <c r="D482" s="69" t="str">
        <f t="shared" si="245"/>
        <v/>
      </c>
      <c r="E482" s="70" t="str">
        <f t="shared" si="246"/>
        <v/>
      </c>
      <c r="F482" s="70" t="str">
        <f t="shared" si="247"/>
        <v/>
      </c>
      <c r="G482" s="63" t="str">
        <f t="shared" si="248"/>
        <v/>
      </c>
      <c r="H482" s="64" t="str">
        <f t="shared" si="249"/>
        <v/>
      </c>
      <c r="J482" s="63" t="str">
        <f t="shared" si="250"/>
        <v/>
      </c>
      <c r="K482" s="64" t="str">
        <f t="shared" si="251"/>
        <v/>
      </c>
      <c r="L482" s="38">
        <v>0</v>
      </c>
      <c r="M482" s="64" t="str">
        <f t="shared" si="252"/>
        <v/>
      </c>
      <c r="O482" s="63" t="str">
        <f t="shared" si="253"/>
        <v/>
      </c>
      <c r="P482" s="63" t="str">
        <f t="shared" si="254"/>
        <v/>
      </c>
      <c r="R482" s="63" t="str">
        <f t="shared" si="255"/>
        <v/>
      </c>
      <c r="S482" s="64" t="str">
        <f t="shared" si="256"/>
        <v/>
      </c>
      <c r="T482" s="38">
        <v>0</v>
      </c>
      <c r="U482" s="64" t="str">
        <f t="shared" si="257"/>
        <v/>
      </c>
      <c r="V482" s="219"/>
      <c r="W482" s="43" t="str">
        <f t="shared" si="258"/>
        <v/>
      </c>
      <c r="X482" s="43" t="str">
        <f t="shared" si="259"/>
        <v/>
      </c>
      <c r="Y482" s="43"/>
      <c r="AJ482" s="86"/>
      <c r="AK482" s="86"/>
      <c r="AL482" s="86"/>
      <c r="AM482" s="86"/>
      <c r="AN482" s="86"/>
      <c r="AO482" s="3" t="str">
        <f t="shared" si="260"/>
        <v/>
      </c>
      <c r="AP482" s="33" t="str">
        <f t="shared" si="261"/>
        <v/>
      </c>
      <c r="AQ482" s="58" t="str">
        <f t="shared" si="262"/>
        <v/>
      </c>
      <c r="AR482" s="38">
        <f>'ANR OK vs ML7'!AR482</f>
        <v>0.1</v>
      </c>
      <c r="AS482" s="35" t="str">
        <f t="shared" si="263"/>
        <v/>
      </c>
      <c r="AT482" s="3" t="str">
        <f t="shared" si="264"/>
        <v/>
      </c>
      <c r="AU482" s="3" t="str">
        <f t="shared" si="265"/>
        <v/>
      </c>
      <c r="AW482" s="32" t="str">
        <f t="shared" si="266"/>
        <v/>
      </c>
      <c r="AX482" s="32" t="str">
        <f t="shared" si="267"/>
        <v/>
      </c>
      <c r="AY482" s="32" t="str">
        <f t="shared" si="268"/>
        <v/>
      </c>
      <c r="BA482" s="32" t="str">
        <f>IF($A483="","",F482*Summary!$Q$13)</f>
        <v/>
      </c>
    </row>
    <row r="483" spans="1:53">
      <c r="A483" s="67" t="str">
        <f t="shared" si="269"/>
        <v/>
      </c>
      <c r="B483" s="69" t="str">
        <f t="shared" si="270"/>
        <v/>
      </c>
      <c r="D483" s="69" t="str">
        <f t="shared" si="245"/>
        <v/>
      </c>
      <c r="E483" s="70" t="str">
        <f t="shared" si="246"/>
        <v/>
      </c>
      <c r="F483" s="70" t="str">
        <f t="shared" si="247"/>
        <v/>
      </c>
      <c r="G483" s="63" t="str">
        <f t="shared" si="248"/>
        <v/>
      </c>
      <c r="H483" s="64" t="str">
        <f t="shared" si="249"/>
        <v/>
      </c>
      <c r="J483" s="63" t="str">
        <f t="shared" si="250"/>
        <v/>
      </c>
      <c r="K483" s="64" t="str">
        <f t="shared" si="251"/>
        <v/>
      </c>
      <c r="L483" s="38">
        <v>0</v>
      </c>
      <c r="M483" s="64" t="str">
        <f t="shared" si="252"/>
        <v/>
      </c>
      <c r="O483" s="63" t="str">
        <f t="shared" si="253"/>
        <v/>
      </c>
      <c r="P483" s="63" t="str">
        <f t="shared" si="254"/>
        <v/>
      </c>
      <c r="R483" s="63" t="str">
        <f t="shared" si="255"/>
        <v/>
      </c>
      <c r="S483" s="64" t="str">
        <f t="shared" si="256"/>
        <v/>
      </c>
      <c r="T483" s="38">
        <v>0</v>
      </c>
      <c r="U483" s="64" t="str">
        <f t="shared" si="257"/>
        <v/>
      </c>
      <c r="V483" s="219"/>
      <c r="W483" s="43" t="str">
        <f t="shared" si="258"/>
        <v/>
      </c>
      <c r="X483" s="43" t="str">
        <f t="shared" si="259"/>
        <v/>
      </c>
      <c r="Y483" s="43"/>
      <c r="AJ483" s="86"/>
      <c r="AK483" s="86"/>
      <c r="AL483" s="86"/>
      <c r="AM483" s="86"/>
      <c r="AN483" s="86"/>
      <c r="AO483" s="3" t="str">
        <f t="shared" si="260"/>
        <v/>
      </c>
      <c r="AP483" s="33" t="str">
        <f t="shared" si="261"/>
        <v/>
      </c>
      <c r="AQ483" s="58" t="str">
        <f t="shared" si="262"/>
        <v/>
      </c>
      <c r="AR483" s="38">
        <f>'ANR OK vs ML7'!AR483</f>
        <v>0.1</v>
      </c>
      <c r="AS483" s="35" t="str">
        <f t="shared" si="263"/>
        <v/>
      </c>
      <c r="AT483" s="3" t="str">
        <f t="shared" si="264"/>
        <v/>
      </c>
      <c r="AU483" s="3" t="str">
        <f t="shared" si="265"/>
        <v/>
      </c>
      <c r="AW483" s="32" t="str">
        <f t="shared" si="266"/>
        <v/>
      </c>
      <c r="AX483" s="32" t="str">
        <f t="shared" si="267"/>
        <v/>
      </c>
      <c r="AY483" s="32" t="str">
        <f t="shared" si="268"/>
        <v/>
      </c>
      <c r="BA483" s="32" t="str">
        <f>IF($A484="","",F483*Summary!$Q$13)</f>
        <v/>
      </c>
    </row>
    <row r="484" spans="1:53">
      <c r="A484" s="67" t="str">
        <f t="shared" si="269"/>
        <v/>
      </c>
      <c r="B484" s="69" t="str">
        <f t="shared" si="270"/>
        <v/>
      </c>
      <c r="D484" s="69" t="str">
        <f t="shared" si="245"/>
        <v/>
      </c>
      <c r="E484" s="70" t="str">
        <f t="shared" si="246"/>
        <v/>
      </c>
      <c r="F484" s="70" t="str">
        <f t="shared" si="247"/>
        <v/>
      </c>
      <c r="G484" s="63" t="str">
        <f t="shared" si="248"/>
        <v/>
      </c>
      <c r="H484" s="64" t="str">
        <f t="shared" si="249"/>
        <v/>
      </c>
      <c r="J484" s="63" t="str">
        <f t="shared" si="250"/>
        <v/>
      </c>
      <c r="K484" s="64" t="str">
        <f t="shared" si="251"/>
        <v/>
      </c>
      <c r="L484" s="38">
        <v>0</v>
      </c>
      <c r="M484" s="64" t="str">
        <f t="shared" si="252"/>
        <v/>
      </c>
      <c r="O484" s="63" t="str">
        <f t="shared" si="253"/>
        <v/>
      </c>
      <c r="P484" s="63" t="str">
        <f t="shared" si="254"/>
        <v/>
      </c>
      <c r="R484" s="63" t="str">
        <f t="shared" si="255"/>
        <v/>
      </c>
      <c r="S484" s="64" t="str">
        <f t="shared" si="256"/>
        <v/>
      </c>
      <c r="T484" s="38">
        <v>0</v>
      </c>
      <c r="U484" s="64" t="str">
        <f t="shared" si="257"/>
        <v/>
      </c>
      <c r="V484" s="219"/>
      <c r="W484" s="43" t="str">
        <f t="shared" si="258"/>
        <v/>
      </c>
      <c r="X484" s="43" t="str">
        <f t="shared" si="259"/>
        <v/>
      </c>
      <c r="Y484" s="43"/>
      <c r="AJ484" s="86"/>
      <c r="AK484" s="86"/>
      <c r="AL484" s="86"/>
      <c r="AM484" s="86"/>
      <c r="AN484" s="86"/>
      <c r="AO484" s="3" t="str">
        <f t="shared" si="260"/>
        <v/>
      </c>
      <c r="AP484" s="33" t="str">
        <f t="shared" si="261"/>
        <v/>
      </c>
      <c r="AQ484" s="58" t="str">
        <f t="shared" si="262"/>
        <v/>
      </c>
      <c r="AR484" s="38">
        <f>'ANR OK vs ML7'!AR484</f>
        <v>0.1</v>
      </c>
      <c r="AS484" s="35" t="str">
        <f t="shared" si="263"/>
        <v/>
      </c>
      <c r="AT484" s="3" t="str">
        <f t="shared" si="264"/>
        <v/>
      </c>
      <c r="AU484" s="3" t="str">
        <f t="shared" si="265"/>
        <v/>
      </c>
      <c r="AW484" s="32" t="str">
        <f t="shared" si="266"/>
        <v/>
      </c>
      <c r="AX484" s="32" t="str">
        <f t="shared" si="267"/>
        <v/>
      </c>
      <c r="AY484" s="32" t="str">
        <f t="shared" si="268"/>
        <v/>
      </c>
      <c r="BA484" s="32" t="str">
        <f>IF($A485="","",F484*Summary!$Q$13)</f>
        <v/>
      </c>
    </row>
    <row r="485" spans="1:53">
      <c r="A485" s="67" t="str">
        <f t="shared" si="269"/>
        <v/>
      </c>
      <c r="B485" s="69" t="str">
        <f t="shared" si="270"/>
        <v/>
      </c>
      <c r="D485" s="69" t="str">
        <f t="shared" si="245"/>
        <v/>
      </c>
      <c r="E485" s="70" t="str">
        <f t="shared" si="246"/>
        <v/>
      </c>
      <c r="F485" s="70" t="str">
        <f t="shared" si="247"/>
        <v/>
      </c>
      <c r="G485" s="63" t="str">
        <f t="shared" si="248"/>
        <v/>
      </c>
      <c r="H485" s="64" t="str">
        <f t="shared" si="249"/>
        <v/>
      </c>
      <c r="J485" s="63" t="str">
        <f t="shared" si="250"/>
        <v/>
      </c>
      <c r="K485" s="64" t="str">
        <f t="shared" si="251"/>
        <v/>
      </c>
      <c r="L485" s="38">
        <v>0</v>
      </c>
      <c r="M485" s="64" t="str">
        <f t="shared" si="252"/>
        <v/>
      </c>
      <c r="O485" s="63" t="str">
        <f t="shared" si="253"/>
        <v/>
      </c>
      <c r="P485" s="63" t="str">
        <f t="shared" si="254"/>
        <v/>
      </c>
      <c r="R485" s="63" t="str">
        <f t="shared" si="255"/>
        <v/>
      </c>
      <c r="S485" s="64" t="str">
        <f t="shared" si="256"/>
        <v/>
      </c>
      <c r="T485" s="38">
        <v>0</v>
      </c>
      <c r="U485" s="64" t="str">
        <f t="shared" si="257"/>
        <v/>
      </c>
      <c r="V485" s="219"/>
      <c r="W485" s="43" t="str">
        <f t="shared" si="258"/>
        <v/>
      </c>
      <c r="X485" s="43" t="str">
        <f t="shared" si="259"/>
        <v/>
      </c>
      <c r="Y485" s="43"/>
      <c r="AJ485" s="86"/>
      <c r="AK485" s="86"/>
      <c r="AL485" s="86"/>
      <c r="AM485" s="86"/>
      <c r="AN485" s="86"/>
      <c r="AO485" s="3" t="str">
        <f t="shared" si="260"/>
        <v/>
      </c>
      <c r="AP485" s="33" t="str">
        <f t="shared" si="261"/>
        <v/>
      </c>
      <c r="AQ485" s="58" t="str">
        <f t="shared" si="262"/>
        <v/>
      </c>
      <c r="AR485" s="38">
        <f>'ANR OK vs ML7'!AR485</f>
        <v>0.1</v>
      </c>
      <c r="AS485" s="35" t="str">
        <f t="shared" si="263"/>
        <v/>
      </c>
      <c r="AT485" s="3" t="str">
        <f t="shared" si="264"/>
        <v/>
      </c>
      <c r="AU485" s="3" t="str">
        <f t="shared" si="265"/>
        <v/>
      </c>
      <c r="AW485" s="32" t="str">
        <f t="shared" si="266"/>
        <v/>
      </c>
      <c r="AX485" s="32" t="str">
        <f t="shared" si="267"/>
        <v/>
      </c>
      <c r="AY485" s="32" t="str">
        <f t="shared" si="268"/>
        <v/>
      </c>
      <c r="BA485" s="32" t="str">
        <f>IF($A486="","",F485*Summary!$Q$13)</f>
        <v/>
      </c>
    </row>
    <row r="486" spans="1:53">
      <c r="A486" s="67" t="str">
        <f t="shared" si="269"/>
        <v/>
      </c>
      <c r="B486" s="69" t="str">
        <f t="shared" si="270"/>
        <v/>
      </c>
      <c r="D486" s="69" t="str">
        <f t="shared" si="245"/>
        <v/>
      </c>
      <c r="E486" s="70" t="str">
        <f t="shared" si="246"/>
        <v/>
      </c>
      <c r="F486" s="70" t="str">
        <f t="shared" si="247"/>
        <v/>
      </c>
      <c r="G486" s="63" t="str">
        <f t="shared" si="248"/>
        <v/>
      </c>
      <c r="H486" s="64" t="str">
        <f t="shared" si="249"/>
        <v/>
      </c>
      <c r="J486" s="63" t="str">
        <f t="shared" si="250"/>
        <v/>
      </c>
      <c r="K486" s="64" t="str">
        <f t="shared" si="251"/>
        <v/>
      </c>
      <c r="L486" s="38">
        <v>0</v>
      </c>
      <c r="M486" s="64" t="str">
        <f t="shared" si="252"/>
        <v/>
      </c>
      <c r="O486" s="63" t="str">
        <f t="shared" si="253"/>
        <v/>
      </c>
      <c r="P486" s="63" t="str">
        <f t="shared" si="254"/>
        <v/>
      </c>
      <c r="R486" s="63" t="str">
        <f t="shared" si="255"/>
        <v/>
      </c>
      <c r="S486" s="64" t="str">
        <f t="shared" si="256"/>
        <v/>
      </c>
      <c r="T486" s="38">
        <v>0</v>
      </c>
      <c r="U486" s="64" t="str">
        <f t="shared" si="257"/>
        <v/>
      </c>
      <c r="V486" s="219"/>
      <c r="W486" s="43" t="str">
        <f t="shared" si="258"/>
        <v/>
      </c>
      <c r="X486" s="43" t="str">
        <f t="shared" si="259"/>
        <v/>
      </c>
      <c r="Y486" s="43"/>
      <c r="AJ486" s="86"/>
      <c r="AK486" s="86"/>
      <c r="AL486" s="86"/>
      <c r="AM486" s="86"/>
      <c r="AN486" s="86"/>
      <c r="AO486" s="3" t="str">
        <f t="shared" si="260"/>
        <v/>
      </c>
      <c r="AP486" s="33" t="str">
        <f t="shared" si="261"/>
        <v/>
      </c>
      <c r="AQ486" s="58" t="str">
        <f t="shared" si="262"/>
        <v/>
      </c>
      <c r="AR486" s="38">
        <f>'ANR OK vs ML7'!AR486</f>
        <v>0.1</v>
      </c>
      <c r="AS486" s="35" t="str">
        <f t="shared" si="263"/>
        <v/>
      </c>
      <c r="AT486" s="3" t="str">
        <f t="shared" si="264"/>
        <v/>
      </c>
      <c r="AU486" s="3" t="str">
        <f t="shared" si="265"/>
        <v/>
      </c>
      <c r="AW486" s="32" t="str">
        <f t="shared" si="266"/>
        <v/>
      </c>
      <c r="AX486" s="32" t="str">
        <f t="shared" si="267"/>
        <v/>
      </c>
      <c r="AY486" s="32" t="str">
        <f t="shared" si="268"/>
        <v/>
      </c>
      <c r="BA486" s="32" t="str">
        <f>IF($A487="","",F486*Summary!$Q$13)</f>
        <v/>
      </c>
    </row>
    <row r="487" spans="1:53">
      <c r="A487" s="67" t="str">
        <f t="shared" si="269"/>
        <v/>
      </c>
      <c r="B487" s="69" t="str">
        <f t="shared" si="270"/>
        <v/>
      </c>
      <c r="D487" s="69" t="str">
        <f t="shared" si="245"/>
        <v/>
      </c>
      <c r="E487" s="70" t="str">
        <f t="shared" si="246"/>
        <v/>
      </c>
      <c r="F487" s="70" t="str">
        <f t="shared" si="247"/>
        <v/>
      </c>
      <c r="G487" s="63" t="str">
        <f t="shared" si="248"/>
        <v/>
      </c>
      <c r="H487" s="64" t="str">
        <f t="shared" si="249"/>
        <v/>
      </c>
      <c r="J487" s="63" t="str">
        <f t="shared" si="250"/>
        <v/>
      </c>
      <c r="K487" s="64" t="str">
        <f t="shared" si="251"/>
        <v/>
      </c>
      <c r="L487" s="38">
        <v>0</v>
      </c>
      <c r="M487" s="64" t="str">
        <f t="shared" si="252"/>
        <v/>
      </c>
      <c r="O487" s="63" t="str">
        <f t="shared" si="253"/>
        <v/>
      </c>
      <c r="P487" s="63" t="str">
        <f t="shared" si="254"/>
        <v/>
      </c>
      <c r="R487" s="63" t="str">
        <f t="shared" si="255"/>
        <v/>
      </c>
      <c r="S487" s="64" t="str">
        <f t="shared" si="256"/>
        <v/>
      </c>
      <c r="T487" s="38">
        <v>0</v>
      </c>
      <c r="U487" s="64" t="str">
        <f t="shared" si="257"/>
        <v/>
      </c>
      <c r="V487" s="219"/>
      <c r="W487" s="43" t="str">
        <f t="shared" si="258"/>
        <v/>
      </c>
      <c r="X487" s="43" t="str">
        <f t="shared" si="259"/>
        <v/>
      </c>
      <c r="Y487" s="43"/>
      <c r="AJ487" s="86"/>
      <c r="AK487" s="86"/>
      <c r="AL487" s="86"/>
      <c r="AM487" s="86"/>
      <c r="AN487" s="86"/>
      <c r="AO487" s="3" t="str">
        <f t="shared" si="260"/>
        <v/>
      </c>
      <c r="AP487" s="33" t="str">
        <f t="shared" si="261"/>
        <v/>
      </c>
      <c r="AQ487" s="58" t="str">
        <f t="shared" si="262"/>
        <v/>
      </c>
      <c r="AR487" s="38">
        <f>'ANR OK vs ML7'!AR487</f>
        <v>0.1</v>
      </c>
      <c r="AS487" s="35" t="str">
        <f t="shared" si="263"/>
        <v/>
      </c>
      <c r="AT487" s="3" t="str">
        <f t="shared" si="264"/>
        <v/>
      </c>
      <c r="AU487" s="3" t="str">
        <f t="shared" si="265"/>
        <v/>
      </c>
      <c r="AW487" s="32" t="str">
        <f t="shared" si="266"/>
        <v/>
      </c>
      <c r="AX487" s="32" t="str">
        <f t="shared" si="267"/>
        <v/>
      </c>
      <c r="AY487" s="32" t="str">
        <f t="shared" si="268"/>
        <v/>
      </c>
      <c r="BA487" s="32" t="str">
        <f>IF($A488="","",F487*Summary!$Q$13)</f>
        <v/>
      </c>
    </row>
    <row r="488" spans="1:53">
      <c r="A488" s="67" t="str">
        <f t="shared" si="269"/>
        <v/>
      </c>
      <c r="B488" s="69" t="str">
        <f t="shared" si="270"/>
        <v/>
      </c>
      <c r="D488" s="69" t="str">
        <f t="shared" si="245"/>
        <v/>
      </c>
      <c r="E488" s="70" t="str">
        <f t="shared" si="246"/>
        <v/>
      </c>
      <c r="F488" s="70" t="str">
        <f t="shared" si="247"/>
        <v/>
      </c>
      <c r="G488" s="63" t="str">
        <f t="shared" si="248"/>
        <v/>
      </c>
      <c r="H488" s="64" t="str">
        <f t="shared" si="249"/>
        <v/>
      </c>
      <c r="J488" s="63" t="str">
        <f t="shared" si="250"/>
        <v/>
      </c>
      <c r="K488" s="64" t="str">
        <f t="shared" si="251"/>
        <v/>
      </c>
      <c r="L488" s="38">
        <v>0</v>
      </c>
      <c r="M488" s="64" t="str">
        <f t="shared" si="252"/>
        <v/>
      </c>
      <c r="O488" s="63" t="str">
        <f t="shared" si="253"/>
        <v/>
      </c>
      <c r="P488" s="63" t="str">
        <f t="shared" si="254"/>
        <v/>
      </c>
      <c r="R488" s="63" t="str">
        <f t="shared" si="255"/>
        <v/>
      </c>
      <c r="S488" s="64" t="str">
        <f t="shared" si="256"/>
        <v/>
      </c>
      <c r="T488" s="38">
        <v>0</v>
      </c>
      <c r="U488" s="64" t="str">
        <f t="shared" si="257"/>
        <v/>
      </c>
      <c r="V488" s="219"/>
      <c r="W488" s="43" t="str">
        <f t="shared" si="258"/>
        <v/>
      </c>
      <c r="X488" s="43" t="str">
        <f t="shared" si="259"/>
        <v/>
      </c>
      <c r="Y488" s="43"/>
      <c r="AJ488" s="86"/>
      <c r="AK488" s="86"/>
      <c r="AL488" s="86"/>
      <c r="AM488" s="86"/>
      <c r="AN488" s="86"/>
      <c r="AO488" s="3" t="str">
        <f t="shared" si="260"/>
        <v/>
      </c>
      <c r="AP488" s="33" t="str">
        <f t="shared" si="261"/>
        <v/>
      </c>
      <c r="AQ488" s="58" t="str">
        <f t="shared" si="262"/>
        <v/>
      </c>
      <c r="AR488" s="38">
        <f>'ANR OK vs ML7'!AR488</f>
        <v>0.1</v>
      </c>
      <c r="AS488" s="35" t="str">
        <f t="shared" si="263"/>
        <v/>
      </c>
      <c r="AT488" s="3" t="str">
        <f t="shared" si="264"/>
        <v/>
      </c>
      <c r="AU488" s="3" t="str">
        <f t="shared" si="265"/>
        <v/>
      </c>
      <c r="AW488" s="32" t="str">
        <f t="shared" si="266"/>
        <v/>
      </c>
      <c r="AX488" s="32" t="str">
        <f t="shared" si="267"/>
        <v/>
      </c>
      <c r="AY488" s="32" t="str">
        <f t="shared" si="268"/>
        <v/>
      </c>
      <c r="BA488" s="32" t="str">
        <f>IF($A489="","",F488*Summary!$Q$13)</f>
        <v/>
      </c>
    </row>
    <row r="489" spans="1:53">
      <c r="A489" s="67" t="str">
        <f t="shared" si="269"/>
        <v/>
      </c>
      <c r="B489" s="69" t="str">
        <f t="shared" si="270"/>
        <v/>
      </c>
      <c r="D489" s="69" t="str">
        <f t="shared" si="245"/>
        <v/>
      </c>
      <c r="E489" s="70" t="str">
        <f t="shared" si="246"/>
        <v/>
      </c>
      <c r="F489" s="70" t="str">
        <f t="shared" si="247"/>
        <v/>
      </c>
      <c r="G489" s="63" t="str">
        <f t="shared" si="248"/>
        <v/>
      </c>
      <c r="H489" s="64" t="str">
        <f t="shared" si="249"/>
        <v/>
      </c>
      <c r="J489" s="63" t="str">
        <f t="shared" si="250"/>
        <v/>
      </c>
      <c r="K489" s="64" t="str">
        <f t="shared" si="251"/>
        <v/>
      </c>
      <c r="L489" s="38">
        <v>0</v>
      </c>
      <c r="M489" s="64" t="str">
        <f t="shared" si="252"/>
        <v/>
      </c>
      <c r="O489" s="63" t="str">
        <f t="shared" si="253"/>
        <v/>
      </c>
      <c r="P489" s="63" t="str">
        <f t="shared" si="254"/>
        <v/>
      </c>
      <c r="R489" s="63" t="str">
        <f t="shared" si="255"/>
        <v/>
      </c>
      <c r="S489" s="64" t="str">
        <f t="shared" si="256"/>
        <v/>
      </c>
      <c r="T489" s="38">
        <v>0</v>
      </c>
      <c r="U489" s="64" t="str">
        <f t="shared" si="257"/>
        <v/>
      </c>
      <c r="V489" s="219"/>
      <c r="W489" s="43" t="str">
        <f t="shared" si="258"/>
        <v/>
      </c>
      <c r="X489" s="43" t="str">
        <f t="shared" si="259"/>
        <v/>
      </c>
      <c r="Y489" s="43"/>
      <c r="AJ489" s="86"/>
      <c r="AK489" s="86"/>
      <c r="AL489" s="86"/>
      <c r="AM489" s="86"/>
      <c r="AN489" s="86"/>
      <c r="AO489" s="3" t="str">
        <f t="shared" si="260"/>
        <v/>
      </c>
      <c r="AP489" s="33" t="str">
        <f t="shared" si="261"/>
        <v/>
      </c>
      <c r="AQ489" s="58" t="str">
        <f t="shared" si="262"/>
        <v/>
      </c>
      <c r="AR489" s="38">
        <f>'ANR OK vs ML7'!AR489</f>
        <v>0.1</v>
      </c>
      <c r="AS489" s="35" t="str">
        <f t="shared" si="263"/>
        <v/>
      </c>
      <c r="AT489" s="3" t="str">
        <f t="shared" si="264"/>
        <v/>
      </c>
      <c r="AU489" s="3" t="str">
        <f t="shared" si="265"/>
        <v/>
      </c>
      <c r="AW489" s="32" t="str">
        <f t="shared" si="266"/>
        <v/>
      </c>
      <c r="AX489" s="32" t="str">
        <f t="shared" si="267"/>
        <v/>
      </c>
      <c r="AY489" s="32" t="str">
        <f t="shared" si="268"/>
        <v/>
      </c>
      <c r="BA489" s="32" t="str">
        <f>IF($A490="","",F489*Summary!$Q$13)</f>
        <v/>
      </c>
    </row>
    <row r="490" spans="1:53">
      <c r="A490" s="67" t="str">
        <f t="shared" si="269"/>
        <v/>
      </c>
      <c r="B490" s="69" t="str">
        <f t="shared" si="270"/>
        <v/>
      </c>
      <c r="D490" s="69" t="str">
        <f t="shared" si="245"/>
        <v/>
      </c>
      <c r="E490" s="70" t="str">
        <f t="shared" si="246"/>
        <v/>
      </c>
      <c r="F490" s="70" t="str">
        <f t="shared" si="247"/>
        <v/>
      </c>
      <c r="G490" s="63" t="str">
        <f t="shared" si="248"/>
        <v/>
      </c>
      <c r="H490" s="64" t="str">
        <f t="shared" si="249"/>
        <v/>
      </c>
      <c r="J490" s="63" t="str">
        <f t="shared" si="250"/>
        <v/>
      </c>
      <c r="K490" s="64" t="str">
        <f t="shared" si="251"/>
        <v/>
      </c>
      <c r="L490" s="38">
        <v>0</v>
      </c>
      <c r="M490" s="64" t="str">
        <f t="shared" si="252"/>
        <v/>
      </c>
      <c r="O490" s="63" t="str">
        <f t="shared" si="253"/>
        <v/>
      </c>
      <c r="P490" s="63" t="str">
        <f t="shared" si="254"/>
        <v/>
      </c>
      <c r="R490" s="63" t="str">
        <f t="shared" si="255"/>
        <v/>
      </c>
      <c r="S490" s="64" t="str">
        <f t="shared" si="256"/>
        <v/>
      </c>
      <c r="T490" s="38">
        <v>0</v>
      </c>
      <c r="U490" s="64" t="str">
        <f t="shared" si="257"/>
        <v/>
      </c>
      <c r="V490" s="219"/>
      <c r="W490" s="43" t="str">
        <f t="shared" si="258"/>
        <v/>
      </c>
      <c r="X490" s="43" t="str">
        <f t="shared" si="259"/>
        <v/>
      </c>
      <c r="Y490" s="43"/>
      <c r="AJ490" s="86"/>
      <c r="AK490" s="86"/>
      <c r="AL490" s="86"/>
      <c r="AM490" s="86"/>
      <c r="AN490" s="86"/>
      <c r="AO490" s="3" t="str">
        <f t="shared" si="260"/>
        <v/>
      </c>
      <c r="AP490" s="33" t="str">
        <f t="shared" si="261"/>
        <v/>
      </c>
      <c r="AQ490" s="58" t="str">
        <f t="shared" si="262"/>
        <v/>
      </c>
      <c r="AR490" s="38">
        <f>'ANR OK vs ML7'!AR490</f>
        <v>0.1</v>
      </c>
      <c r="AS490" s="35" t="str">
        <f t="shared" si="263"/>
        <v/>
      </c>
      <c r="AT490" s="3" t="str">
        <f t="shared" si="264"/>
        <v/>
      </c>
      <c r="AU490" s="3" t="str">
        <f t="shared" si="265"/>
        <v/>
      </c>
      <c r="AW490" s="32" t="str">
        <f t="shared" si="266"/>
        <v/>
      </c>
      <c r="AX490" s="32" t="str">
        <f t="shared" si="267"/>
        <v/>
      </c>
      <c r="AY490" s="32" t="str">
        <f t="shared" si="268"/>
        <v/>
      </c>
      <c r="BA490" s="32" t="str">
        <f>IF($A491="","",F490*Summary!$Q$13)</f>
        <v/>
      </c>
    </row>
    <row r="491" spans="1:53">
      <c r="A491" s="67" t="str">
        <f t="shared" si="269"/>
        <v/>
      </c>
      <c r="B491" s="69" t="str">
        <f t="shared" si="270"/>
        <v/>
      </c>
      <c r="D491" s="69" t="str">
        <f t="shared" si="245"/>
        <v/>
      </c>
      <c r="E491" s="70" t="str">
        <f t="shared" si="246"/>
        <v/>
      </c>
      <c r="F491" s="70" t="str">
        <f t="shared" si="247"/>
        <v/>
      </c>
      <c r="G491" s="63" t="str">
        <f t="shared" si="248"/>
        <v/>
      </c>
      <c r="H491" s="64" t="str">
        <f t="shared" si="249"/>
        <v/>
      </c>
      <c r="J491" s="63" t="str">
        <f t="shared" si="250"/>
        <v/>
      </c>
      <c r="K491" s="64" t="str">
        <f t="shared" si="251"/>
        <v/>
      </c>
      <c r="L491" s="38">
        <v>0</v>
      </c>
      <c r="M491" s="64" t="str">
        <f t="shared" si="252"/>
        <v/>
      </c>
      <c r="O491" s="63" t="str">
        <f t="shared" si="253"/>
        <v/>
      </c>
      <c r="P491" s="63" t="str">
        <f t="shared" si="254"/>
        <v/>
      </c>
      <c r="R491" s="63" t="str">
        <f t="shared" si="255"/>
        <v/>
      </c>
      <c r="S491" s="64" t="str">
        <f t="shared" si="256"/>
        <v/>
      </c>
      <c r="T491" s="38">
        <v>0</v>
      </c>
      <c r="U491" s="64" t="str">
        <f t="shared" si="257"/>
        <v/>
      </c>
      <c r="V491" s="219"/>
      <c r="W491" s="43" t="str">
        <f t="shared" si="258"/>
        <v/>
      </c>
      <c r="X491" s="43" t="str">
        <f t="shared" si="259"/>
        <v/>
      </c>
      <c r="Y491" s="43"/>
      <c r="AJ491" s="86"/>
      <c r="AK491" s="86"/>
      <c r="AL491" s="86"/>
      <c r="AM491" s="86"/>
      <c r="AN491" s="86"/>
      <c r="AO491" s="3" t="str">
        <f t="shared" si="260"/>
        <v/>
      </c>
      <c r="AP491" s="33" t="str">
        <f t="shared" si="261"/>
        <v/>
      </c>
      <c r="AQ491" s="58" t="str">
        <f t="shared" si="262"/>
        <v/>
      </c>
      <c r="AR491" s="38">
        <f>'ANR OK vs ML7'!AR491</f>
        <v>0.1</v>
      </c>
      <c r="AS491" s="35" t="str">
        <f t="shared" si="263"/>
        <v/>
      </c>
      <c r="AT491" s="3" t="str">
        <f t="shared" si="264"/>
        <v/>
      </c>
      <c r="AU491" s="3" t="str">
        <f t="shared" si="265"/>
        <v/>
      </c>
      <c r="AW491" s="32" t="str">
        <f t="shared" si="266"/>
        <v/>
      </c>
      <c r="AX491" s="32" t="str">
        <f t="shared" si="267"/>
        <v/>
      </c>
      <c r="AY491" s="32" t="str">
        <f t="shared" si="268"/>
        <v/>
      </c>
      <c r="BA491" s="32" t="str">
        <f>IF($A492="","",F491*Summary!$Q$13)</f>
        <v/>
      </c>
    </row>
    <row r="492" spans="1:53">
      <c r="A492" s="67" t="str">
        <f t="shared" si="269"/>
        <v/>
      </c>
      <c r="B492" s="69" t="str">
        <f t="shared" si="270"/>
        <v/>
      </c>
      <c r="D492" s="69" t="str">
        <f t="shared" si="245"/>
        <v/>
      </c>
      <c r="E492" s="70" t="str">
        <f t="shared" si="246"/>
        <v/>
      </c>
      <c r="F492" s="70" t="str">
        <f t="shared" si="247"/>
        <v/>
      </c>
      <c r="G492" s="63" t="str">
        <f t="shared" si="248"/>
        <v/>
      </c>
      <c r="H492" s="64" t="str">
        <f t="shared" si="249"/>
        <v/>
      </c>
      <c r="J492" s="63" t="str">
        <f t="shared" si="250"/>
        <v/>
      </c>
      <c r="K492" s="64" t="str">
        <f t="shared" si="251"/>
        <v/>
      </c>
      <c r="L492" s="38">
        <v>0</v>
      </c>
      <c r="M492" s="64" t="str">
        <f t="shared" si="252"/>
        <v/>
      </c>
      <c r="O492" s="63" t="str">
        <f t="shared" si="253"/>
        <v/>
      </c>
      <c r="P492" s="63" t="str">
        <f t="shared" si="254"/>
        <v/>
      </c>
      <c r="R492" s="63" t="str">
        <f t="shared" si="255"/>
        <v/>
      </c>
      <c r="S492" s="64" t="str">
        <f t="shared" si="256"/>
        <v/>
      </c>
      <c r="T492" s="38">
        <v>0</v>
      </c>
      <c r="U492" s="64" t="str">
        <f t="shared" si="257"/>
        <v/>
      </c>
      <c r="V492" s="219"/>
      <c r="W492" s="43" t="str">
        <f t="shared" si="258"/>
        <v/>
      </c>
      <c r="X492" s="43" t="str">
        <f t="shared" si="259"/>
        <v/>
      </c>
      <c r="Y492" s="43"/>
      <c r="AJ492" s="86"/>
      <c r="AK492" s="86"/>
      <c r="AL492" s="86"/>
      <c r="AM492" s="86"/>
      <c r="AN492" s="86"/>
      <c r="AO492" s="3" t="str">
        <f t="shared" si="260"/>
        <v/>
      </c>
      <c r="AP492" s="33" t="str">
        <f t="shared" si="261"/>
        <v/>
      </c>
      <c r="AQ492" s="58" t="str">
        <f t="shared" si="262"/>
        <v/>
      </c>
      <c r="AR492" s="38">
        <f>'ANR OK vs ML7'!AR492</f>
        <v>0.1</v>
      </c>
      <c r="AS492" s="35" t="str">
        <f t="shared" si="263"/>
        <v/>
      </c>
      <c r="AT492" s="3" t="str">
        <f t="shared" si="264"/>
        <v/>
      </c>
      <c r="AU492" s="3" t="str">
        <f t="shared" si="265"/>
        <v/>
      </c>
      <c r="AW492" s="32" t="str">
        <f t="shared" si="266"/>
        <v/>
      </c>
      <c r="AX492" s="32" t="str">
        <f t="shared" si="267"/>
        <v/>
      </c>
      <c r="AY492" s="32" t="str">
        <f t="shared" si="268"/>
        <v/>
      </c>
      <c r="BA492" s="32" t="str">
        <f>IF($A493="","",F492*Summary!$Q$13)</f>
        <v/>
      </c>
    </row>
    <row r="493" spans="1:53">
      <c r="A493" s="67" t="str">
        <f t="shared" si="269"/>
        <v/>
      </c>
      <c r="B493" s="69" t="str">
        <f t="shared" si="270"/>
        <v/>
      </c>
      <c r="D493" s="69" t="str">
        <f t="shared" si="245"/>
        <v/>
      </c>
      <c r="E493" s="70" t="str">
        <f t="shared" si="246"/>
        <v/>
      </c>
      <c r="F493" s="70" t="str">
        <f t="shared" si="247"/>
        <v/>
      </c>
      <c r="G493" s="63" t="str">
        <f t="shared" si="248"/>
        <v/>
      </c>
      <c r="H493" s="64" t="str">
        <f t="shared" si="249"/>
        <v/>
      </c>
      <c r="J493" s="63" t="str">
        <f t="shared" si="250"/>
        <v/>
      </c>
      <c r="K493" s="64" t="str">
        <f t="shared" si="251"/>
        <v/>
      </c>
      <c r="L493" s="38">
        <v>0</v>
      </c>
      <c r="M493" s="64" t="str">
        <f t="shared" si="252"/>
        <v/>
      </c>
      <c r="O493" s="63" t="str">
        <f t="shared" si="253"/>
        <v/>
      </c>
      <c r="P493" s="63" t="str">
        <f t="shared" si="254"/>
        <v/>
      </c>
      <c r="R493" s="63" t="str">
        <f t="shared" si="255"/>
        <v/>
      </c>
      <c r="S493" s="64" t="str">
        <f t="shared" si="256"/>
        <v/>
      </c>
      <c r="T493" s="38">
        <v>0</v>
      </c>
      <c r="U493" s="64" t="str">
        <f t="shared" si="257"/>
        <v/>
      </c>
      <c r="V493" s="219"/>
      <c r="W493" s="43" t="str">
        <f t="shared" si="258"/>
        <v/>
      </c>
      <c r="X493" s="43" t="str">
        <f t="shared" si="259"/>
        <v/>
      </c>
      <c r="Y493" s="43"/>
      <c r="AJ493" s="86"/>
      <c r="AK493" s="86"/>
      <c r="AL493" s="86"/>
      <c r="AM493" s="86"/>
      <c r="AN493" s="86"/>
      <c r="AO493" s="3" t="str">
        <f t="shared" si="260"/>
        <v/>
      </c>
      <c r="AP493" s="33" t="str">
        <f t="shared" si="261"/>
        <v/>
      </c>
      <c r="AQ493" s="58" t="str">
        <f t="shared" si="262"/>
        <v/>
      </c>
      <c r="AR493" s="38">
        <f>'ANR OK vs ML7'!AR493</f>
        <v>0.1</v>
      </c>
      <c r="AS493" s="35" t="str">
        <f t="shared" si="263"/>
        <v/>
      </c>
      <c r="AT493" s="3" t="str">
        <f t="shared" si="264"/>
        <v/>
      </c>
      <c r="AU493" s="3" t="str">
        <f t="shared" si="265"/>
        <v/>
      </c>
      <c r="AW493" s="32" t="str">
        <f t="shared" si="266"/>
        <v/>
      </c>
      <c r="AX493" s="32" t="str">
        <f t="shared" si="267"/>
        <v/>
      </c>
      <c r="AY493" s="32" t="str">
        <f t="shared" si="268"/>
        <v/>
      </c>
      <c r="BA493" s="32" t="str">
        <f>IF($A494="","",F493*Summary!$Q$13)</f>
        <v/>
      </c>
    </row>
    <row r="494" spans="1:53">
      <c r="A494" s="67" t="str">
        <f t="shared" si="269"/>
        <v/>
      </c>
      <c r="B494" s="69" t="str">
        <f t="shared" si="270"/>
        <v/>
      </c>
      <c r="D494" s="69" t="str">
        <f t="shared" si="245"/>
        <v/>
      </c>
      <c r="E494" s="70" t="str">
        <f t="shared" si="246"/>
        <v/>
      </c>
      <c r="F494" s="70" t="str">
        <f t="shared" si="247"/>
        <v/>
      </c>
      <c r="G494" s="63" t="str">
        <f t="shared" si="248"/>
        <v/>
      </c>
      <c r="H494" s="64" t="str">
        <f t="shared" si="249"/>
        <v/>
      </c>
      <c r="J494" s="63" t="str">
        <f t="shared" si="250"/>
        <v/>
      </c>
      <c r="K494" s="64" t="str">
        <f t="shared" si="251"/>
        <v/>
      </c>
      <c r="L494" s="38">
        <v>0</v>
      </c>
      <c r="M494" s="64" t="str">
        <f t="shared" si="252"/>
        <v/>
      </c>
      <c r="O494" s="63" t="str">
        <f t="shared" si="253"/>
        <v/>
      </c>
      <c r="P494" s="63" t="str">
        <f t="shared" si="254"/>
        <v/>
      </c>
      <c r="R494" s="63" t="str">
        <f t="shared" si="255"/>
        <v/>
      </c>
      <c r="S494" s="64" t="str">
        <f t="shared" si="256"/>
        <v/>
      </c>
      <c r="T494" s="38">
        <v>0</v>
      </c>
      <c r="U494" s="64" t="str">
        <f t="shared" si="257"/>
        <v/>
      </c>
      <c r="V494" s="219"/>
      <c r="W494" s="43" t="str">
        <f t="shared" si="258"/>
        <v/>
      </c>
      <c r="X494" s="43" t="str">
        <f t="shared" si="259"/>
        <v/>
      </c>
      <c r="Y494" s="43"/>
      <c r="AJ494" s="86"/>
      <c r="AK494" s="86"/>
      <c r="AL494" s="86"/>
      <c r="AM494" s="86"/>
      <c r="AN494" s="86"/>
      <c r="AO494" s="3" t="str">
        <f t="shared" si="260"/>
        <v/>
      </c>
      <c r="AP494" s="33" t="str">
        <f t="shared" si="261"/>
        <v/>
      </c>
      <c r="AQ494" s="58" t="str">
        <f t="shared" si="262"/>
        <v/>
      </c>
      <c r="AR494" s="38">
        <f>'ANR OK vs ML7'!AR494</f>
        <v>0.1</v>
      </c>
      <c r="AS494" s="35" t="str">
        <f t="shared" si="263"/>
        <v/>
      </c>
      <c r="AT494" s="3" t="str">
        <f t="shared" si="264"/>
        <v/>
      </c>
      <c r="AU494" s="3" t="str">
        <f t="shared" si="265"/>
        <v/>
      </c>
      <c r="AW494" s="32" t="str">
        <f t="shared" si="266"/>
        <v/>
      </c>
      <c r="AX494" s="32" t="str">
        <f t="shared" si="267"/>
        <v/>
      </c>
      <c r="AY494" s="32" t="str">
        <f t="shared" si="268"/>
        <v/>
      </c>
      <c r="BA494" s="32" t="str">
        <f>IF($A495="","",F494*Summary!$Q$13)</f>
        <v/>
      </c>
    </row>
    <row r="495" spans="1:53">
      <c r="A495" s="67" t="str">
        <f t="shared" si="269"/>
        <v/>
      </c>
      <c r="B495" s="69" t="str">
        <f t="shared" si="270"/>
        <v/>
      </c>
      <c r="D495" s="69" t="str">
        <f t="shared" si="245"/>
        <v/>
      </c>
      <c r="E495" s="70" t="str">
        <f t="shared" si="246"/>
        <v/>
      </c>
      <c r="F495" s="70" t="str">
        <f t="shared" si="247"/>
        <v/>
      </c>
      <c r="G495" s="63" t="str">
        <f t="shared" si="248"/>
        <v/>
      </c>
      <c r="H495" s="64" t="str">
        <f t="shared" si="249"/>
        <v/>
      </c>
      <c r="J495" s="63" t="str">
        <f t="shared" si="250"/>
        <v/>
      </c>
      <c r="K495" s="64" t="str">
        <f t="shared" si="251"/>
        <v/>
      </c>
      <c r="L495" s="38">
        <v>0</v>
      </c>
      <c r="M495" s="64" t="str">
        <f t="shared" si="252"/>
        <v/>
      </c>
      <c r="O495" s="63" t="str">
        <f t="shared" si="253"/>
        <v/>
      </c>
      <c r="P495" s="63" t="str">
        <f t="shared" si="254"/>
        <v/>
      </c>
      <c r="R495" s="63" t="str">
        <f t="shared" si="255"/>
        <v/>
      </c>
      <c r="S495" s="64" t="str">
        <f t="shared" si="256"/>
        <v/>
      </c>
      <c r="T495" s="38">
        <v>0</v>
      </c>
      <c r="U495" s="64" t="str">
        <f t="shared" si="257"/>
        <v/>
      </c>
      <c r="V495" s="219"/>
      <c r="W495" s="43" t="str">
        <f t="shared" si="258"/>
        <v/>
      </c>
      <c r="X495" s="43" t="str">
        <f t="shared" si="259"/>
        <v/>
      </c>
      <c r="Y495" s="43"/>
      <c r="AJ495" s="86"/>
      <c r="AK495" s="86"/>
      <c r="AL495" s="86"/>
      <c r="AM495" s="86"/>
      <c r="AN495" s="86"/>
      <c r="AO495" s="3" t="str">
        <f t="shared" si="260"/>
        <v/>
      </c>
      <c r="AP495" s="33" t="str">
        <f t="shared" si="261"/>
        <v/>
      </c>
      <c r="AQ495" s="58" t="str">
        <f t="shared" si="262"/>
        <v/>
      </c>
      <c r="AR495" s="38">
        <f>'ANR OK vs ML7'!AR495</f>
        <v>0.1</v>
      </c>
      <c r="AS495" s="35" t="str">
        <f t="shared" si="263"/>
        <v/>
      </c>
      <c r="AT495" s="3" t="str">
        <f t="shared" si="264"/>
        <v/>
      </c>
      <c r="AU495" s="3" t="str">
        <f t="shared" si="265"/>
        <v/>
      </c>
      <c r="AW495" s="32" t="str">
        <f t="shared" si="266"/>
        <v/>
      </c>
      <c r="AX495" s="32" t="str">
        <f t="shared" si="267"/>
        <v/>
      </c>
      <c r="AY495" s="32" t="str">
        <f t="shared" si="268"/>
        <v/>
      </c>
      <c r="BA495" s="32" t="str">
        <f>IF($A496="","",F495*Summary!$Q$13)</f>
        <v/>
      </c>
    </row>
    <row r="496" spans="1:53">
      <c r="A496" s="67" t="str">
        <f t="shared" si="269"/>
        <v/>
      </c>
      <c r="B496" s="69" t="str">
        <f t="shared" si="270"/>
        <v/>
      </c>
      <c r="D496" s="69" t="str">
        <f t="shared" si="245"/>
        <v/>
      </c>
      <c r="E496" s="70" t="str">
        <f t="shared" si="246"/>
        <v/>
      </c>
      <c r="F496" s="70" t="str">
        <f t="shared" si="247"/>
        <v/>
      </c>
      <c r="G496" s="63" t="str">
        <f t="shared" si="248"/>
        <v/>
      </c>
      <c r="H496" s="64" t="str">
        <f t="shared" si="249"/>
        <v/>
      </c>
      <c r="J496" s="63" t="str">
        <f t="shared" si="250"/>
        <v/>
      </c>
      <c r="K496" s="64" t="str">
        <f t="shared" si="251"/>
        <v/>
      </c>
      <c r="L496" s="38">
        <v>0</v>
      </c>
      <c r="M496" s="64" t="str">
        <f t="shared" si="252"/>
        <v/>
      </c>
      <c r="O496" s="63" t="str">
        <f t="shared" si="253"/>
        <v/>
      </c>
      <c r="P496" s="63" t="str">
        <f t="shared" si="254"/>
        <v/>
      </c>
      <c r="R496" s="63" t="str">
        <f t="shared" si="255"/>
        <v/>
      </c>
      <c r="S496" s="64" t="str">
        <f t="shared" si="256"/>
        <v/>
      </c>
      <c r="T496" s="38">
        <v>0</v>
      </c>
      <c r="U496" s="64" t="str">
        <f t="shared" si="257"/>
        <v/>
      </c>
      <c r="V496" s="219"/>
      <c r="W496" s="43" t="str">
        <f t="shared" si="258"/>
        <v/>
      </c>
      <c r="X496" s="43" t="str">
        <f t="shared" si="259"/>
        <v/>
      </c>
      <c r="Y496" s="43"/>
      <c r="AJ496" s="86"/>
      <c r="AK496" s="86"/>
      <c r="AL496" s="86"/>
      <c r="AM496" s="86"/>
      <c r="AN496" s="86"/>
      <c r="AO496" s="3" t="str">
        <f t="shared" si="260"/>
        <v/>
      </c>
      <c r="AP496" s="33" t="str">
        <f t="shared" si="261"/>
        <v/>
      </c>
      <c r="AQ496" s="58" t="str">
        <f t="shared" si="262"/>
        <v/>
      </c>
      <c r="AR496" s="38">
        <f>'ANR OK vs ML7'!AR496</f>
        <v>0.1</v>
      </c>
      <c r="AS496" s="35" t="str">
        <f t="shared" si="263"/>
        <v/>
      </c>
      <c r="AT496" s="3" t="str">
        <f t="shared" si="264"/>
        <v/>
      </c>
      <c r="AU496" s="3" t="str">
        <f t="shared" si="265"/>
        <v/>
      </c>
      <c r="AW496" s="32" t="str">
        <f t="shared" si="266"/>
        <v/>
      </c>
      <c r="AX496" s="32" t="str">
        <f t="shared" si="267"/>
        <v/>
      </c>
      <c r="AY496" s="32" t="str">
        <f t="shared" si="268"/>
        <v/>
      </c>
      <c r="BA496" s="32" t="str">
        <f>IF($A497="","",F496*Summary!$Q$13)</f>
        <v/>
      </c>
    </row>
    <row r="497" spans="1:242">
      <c r="A497" s="67" t="str">
        <f t="shared" si="269"/>
        <v/>
      </c>
      <c r="B497" s="69" t="str">
        <f t="shared" si="270"/>
        <v/>
      </c>
      <c r="D497" s="69" t="str">
        <f t="shared" si="245"/>
        <v/>
      </c>
      <c r="E497" s="70" t="str">
        <f t="shared" si="246"/>
        <v/>
      </c>
      <c r="F497" s="70" t="str">
        <f t="shared" si="247"/>
        <v/>
      </c>
      <c r="G497" s="63" t="str">
        <f t="shared" si="248"/>
        <v/>
      </c>
      <c r="H497" s="64" t="str">
        <f t="shared" si="249"/>
        <v/>
      </c>
      <c r="J497" s="63" t="str">
        <f t="shared" si="250"/>
        <v/>
      </c>
      <c r="K497" s="64" t="str">
        <f t="shared" si="251"/>
        <v/>
      </c>
      <c r="L497" s="38">
        <v>0</v>
      </c>
      <c r="M497" s="64" t="str">
        <f t="shared" si="252"/>
        <v/>
      </c>
      <c r="O497" s="63" t="str">
        <f t="shared" si="253"/>
        <v/>
      </c>
      <c r="P497" s="63" t="str">
        <f t="shared" si="254"/>
        <v/>
      </c>
      <c r="R497" s="63" t="str">
        <f t="shared" si="255"/>
        <v/>
      </c>
      <c r="S497" s="64" t="str">
        <f t="shared" si="256"/>
        <v/>
      </c>
      <c r="T497" s="38">
        <v>0</v>
      </c>
      <c r="U497" s="64" t="str">
        <f t="shared" si="257"/>
        <v/>
      </c>
      <c r="V497" s="219"/>
      <c r="W497" s="43" t="str">
        <f t="shared" si="258"/>
        <v/>
      </c>
      <c r="X497" s="43" t="str">
        <f t="shared" si="259"/>
        <v/>
      </c>
      <c r="Y497" s="43"/>
      <c r="AJ497" s="86"/>
      <c r="AK497" s="86"/>
      <c r="AL497" s="86"/>
      <c r="AM497" s="86"/>
      <c r="AN497" s="86"/>
      <c r="AO497" s="3" t="str">
        <f t="shared" si="260"/>
        <v/>
      </c>
      <c r="AP497" s="33" t="str">
        <f t="shared" si="261"/>
        <v/>
      </c>
      <c r="AQ497" s="58" t="str">
        <f t="shared" si="262"/>
        <v/>
      </c>
      <c r="AR497" s="38">
        <f>'ANR OK vs ML7'!AR497</f>
        <v>0.1</v>
      </c>
      <c r="AS497" s="35" t="str">
        <f t="shared" si="263"/>
        <v/>
      </c>
      <c r="AT497" s="3" t="str">
        <f t="shared" si="264"/>
        <v/>
      </c>
      <c r="AU497" s="3" t="str">
        <f t="shared" si="265"/>
        <v/>
      </c>
      <c r="AW497" s="32" t="str">
        <f t="shared" si="266"/>
        <v/>
      </c>
      <c r="AX497" s="32" t="str">
        <f t="shared" si="267"/>
        <v/>
      </c>
      <c r="AY497" s="32" t="str">
        <f t="shared" si="268"/>
        <v/>
      </c>
      <c r="BA497" s="32" t="str">
        <f>IF($A498="","",F497*Summary!$Q$13)</f>
        <v/>
      </c>
    </row>
    <row r="498" spans="1:242">
      <c r="A498" s="67" t="str">
        <f t="shared" si="269"/>
        <v/>
      </c>
      <c r="B498" s="69" t="str">
        <f t="shared" si="270"/>
        <v/>
      </c>
      <c r="D498" s="69" t="str">
        <f t="shared" si="245"/>
        <v/>
      </c>
      <c r="E498" s="70" t="str">
        <f t="shared" si="246"/>
        <v/>
      </c>
      <c r="F498" s="70" t="str">
        <f t="shared" si="247"/>
        <v/>
      </c>
      <c r="G498" s="63" t="str">
        <f t="shared" si="248"/>
        <v/>
      </c>
      <c r="H498" s="64" t="str">
        <f t="shared" si="249"/>
        <v/>
      </c>
      <c r="J498" s="63" t="str">
        <f t="shared" si="250"/>
        <v/>
      </c>
      <c r="K498" s="64" t="str">
        <f t="shared" si="251"/>
        <v/>
      </c>
      <c r="L498" s="38">
        <v>0</v>
      </c>
      <c r="M498" s="64" t="str">
        <f t="shared" si="252"/>
        <v/>
      </c>
      <c r="O498" s="63" t="str">
        <f t="shared" si="253"/>
        <v/>
      </c>
      <c r="P498" s="63" t="str">
        <f t="shared" si="254"/>
        <v/>
      </c>
      <c r="R498" s="63" t="str">
        <f t="shared" si="255"/>
        <v/>
      </c>
      <c r="S498" s="64" t="str">
        <f t="shared" si="256"/>
        <v/>
      </c>
      <c r="T498" s="38">
        <v>0</v>
      </c>
      <c r="U498" s="64" t="str">
        <f t="shared" si="257"/>
        <v/>
      </c>
      <c r="V498" s="219"/>
      <c r="W498" s="43" t="str">
        <f t="shared" si="258"/>
        <v/>
      </c>
      <c r="X498" s="43" t="str">
        <f t="shared" si="259"/>
        <v/>
      </c>
      <c r="Y498" s="43"/>
      <c r="AJ498" s="86"/>
      <c r="AK498" s="86"/>
      <c r="AL498" s="86"/>
      <c r="AM498" s="86"/>
      <c r="AN498" s="86"/>
      <c r="AO498" s="3" t="str">
        <f t="shared" si="260"/>
        <v/>
      </c>
      <c r="AP498" s="33" t="str">
        <f t="shared" si="261"/>
        <v/>
      </c>
      <c r="AQ498" s="58" t="str">
        <f t="shared" si="262"/>
        <v/>
      </c>
      <c r="AR498" s="38">
        <f>'ANR OK vs ML7'!AR498</f>
        <v>0.1</v>
      </c>
      <c r="AS498" s="35" t="str">
        <f t="shared" si="263"/>
        <v/>
      </c>
      <c r="AT498" s="3" t="str">
        <f t="shared" si="264"/>
        <v/>
      </c>
      <c r="AU498" s="3" t="str">
        <f t="shared" si="265"/>
        <v/>
      </c>
      <c r="AW498" s="32" t="str">
        <f t="shared" si="266"/>
        <v/>
      </c>
      <c r="AX498" s="32" t="str">
        <f t="shared" si="267"/>
        <v/>
      </c>
      <c r="AY498" s="32" t="str">
        <f t="shared" si="268"/>
        <v/>
      </c>
      <c r="BA498" s="32" t="str">
        <f>IF($A499="","",F498*Summary!$Q$13)</f>
        <v/>
      </c>
    </row>
    <row r="499" spans="1:242">
      <c r="A499" s="67" t="str">
        <f t="shared" si="269"/>
        <v/>
      </c>
      <c r="B499" s="69" t="str">
        <f t="shared" si="270"/>
        <v/>
      </c>
      <c r="D499" s="69" t="str">
        <f t="shared" si="245"/>
        <v/>
      </c>
      <c r="E499" s="70" t="str">
        <f t="shared" si="246"/>
        <v/>
      </c>
      <c r="F499" s="70" t="str">
        <f t="shared" si="247"/>
        <v/>
      </c>
      <c r="G499" s="63" t="str">
        <f t="shared" si="248"/>
        <v/>
      </c>
      <c r="H499" s="64" t="str">
        <f t="shared" si="249"/>
        <v/>
      </c>
      <c r="J499" s="63" t="str">
        <f t="shared" si="250"/>
        <v/>
      </c>
      <c r="K499" s="64" t="str">
        <f t="shared" si="251"/>
        <v/>
      </c>
      <c r="L499" s="38">
        <v>0</v>
      </c>
      <c r="M499" s="64" t="str">
        <f t="shared" si="252"/>
        <v/>
      </c>
      <c r="O499" s="63" t="str">
        <f t="shared" si="253"/>
        <v/>
      </c>
      <c r="P499" s="63" t="str">
        <f t="shared" si="254"/>
        <v/>
      </c>
      <c r="R499" s="63" t="str">
        <f t="shared" si="255"/>
        <v/>
      </c>
      <c r="S499" s="64" t="str">
        <f t="shared" si="256"/>
        <v/>
      </c>
      <c r="T499" s="38">
        <v>0</v>
      </c>
      <c r="U499" s="64" t="str">
        <f t="shared" si="257"/>
        <v/>
      </c>
      <c r="V499" s="219"/>
      <c r="W499" s="43" t="str">
        <f t="shared" si="258"/>
        <v/>
      </c>
      <c r="X499" s="43" t="str">
        <f t="shared" si="259"/>
        <v/>
      </c>
      <c r="Y499" s="43"/>
      <c r="AJ499" s="86"/>
      <c r="AK499" s="86"/>
      <c r="AL499" s="86"/>
      <c r="AM499" s="86"/>
      <c r="AN499" s="86"/>
      <c r="AO499" s="3" t="str">
        <f t="shared" si="260"/>
        <v/>
      </c>
      <c r="AP499" s="33" t="str">
        <f t="shared" si="261"/>
        <v/>
      </c>
      <c r="AQ499" s="58" t="str">
        <f t="shared" si="262"/>
        <v/>
      </c>
      <c r="AR499" s="38">
        <f>'ANR OK vs ML7'!AR499</f>
        <v>0.1</v>
      </c>
      <c r="AS499" s="35" t="str">
        <f t="shared" si="263"/>
        <v/>
      </c>
      <c r="AT499" s="3" t="str">
        <f t="shared" si="264"/>
        <v/>
      </c>
      <c r="AU499" s="3" t="str">
        <f t="shared" si="265"/>
        <v/>
      </c>
      <c r="AW499" s="32" t="str">
        <f t="shared" si="266"/>
        <v/>
      </c>
      <c r="AX499" s="32" t="str">
        <f t="shared" si="267"/>
        <v/>
      </c>
      <c r="AY499" s="32" t="str">
        <f t="shared" si="268"/>
        <v/>
      </c>
      <c r="BA499" s="32" t="str">
        <f>IF($A500="","",F499*Summary!$Q$13)</f>
        <v/>
      </c>
    </row>
    <row r="500" spans="1:242">
      <c r="A500" s="67" t="str">
        <f t="shared" si="269"/>
        <v/>
      </c>
      <c r="B500" s="69" t="str">
        <f t="shared" si="270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66"/>
        <v/>
      </c>
      <c r="AX500" s="32" t="str">
        <f t="shared" si="267"/>
        <v/>
      </c>
      <c r="AY500" s="32" t="str">
        <f t="shared" si="268"/>
        <v/>
      </c>
      <c r="BA500" s="32" t="str">
        <f>IF($A501="","",F500*Summary!$Q$13)</f>
        <v/>
      </c>
    </row>
    <row r="501" spans="1:242">
      <c r="A501" s="67" t="str">
        <f t="shared" si="269"/>
        <v/>
      </c>
      <c r="B501" s="69" t="str">
        <f t="shared" si="270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66"/>
        <v/>
      </c>
      <c r="AX501" s="32" t="str">
        <f t="shared" si="267"/>
        <v/>
      </c>
      <c r="AY501" s="32" t="str">
        <f t="shared" si="268"/>
        <v/>
      </c>
      <c r="AZ501" s="1">
        <v>0</v>
      </c>
      <c r="BA501" s="32" t="str">
        <f>IF($A502="","",F501*Summary!$Q$13)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IH722"/>
  <sheetViews>
    <sheetView showGridLines="0" topLeftCell="M1" zoomScale="80" workbookViewId="0">
      <selection activeCell="AK8" sqref="AK8"/>
    </sheetView>
  </sheetViews>
  <sheetFormatPr defaultRowHeight="12.75"/>
  <cols>
    <col min="1" max="1" width="14.140625" style="1" customWidth="1"/>
    <col min="2" max="2" width="14.5703125" style="1" customWidth="1"/>
    <col min="3" max="3" width="5.140625" style="1" customWidth="1"/>
    <col min="4" max="4" width="16.42578125" style="1" customWidth="1"/>
    <col min="5" max="5" width="14.85546875" style="1" bestFit="1" customWidth="1"/>
    <col min="6" max="6" width="13.85546875" style="1" bestFit="1" customWidth="1"/>
    <col min="7" max="7" width="10.7109375" style="1" customWidth="1"/>
    <col min="8" max="8" width="14.5703125" style="1" bestFit="1" customWidth="1"/>
    <col min="9" max="9" width="10" style="1" customWidth="1"/>
    <col min="10" max="10" width="23.7109375" style="1" bestFit="1" customWidth="1"/>
    <col min="11" max="11" width="18.28515625" style="1" bestFit="1" customWidth="1"/>
    <col min="12" max="12" width="19.140625" style="1" bestFit="1" customWidth="1"/>
    <col min="13" max="13" width="15" style="1" bestFit="1" customWidth="1"/>
    <col min="14" max="14" width="1.42578125" style="1" customWidth="1"/>
    <col min="15" max="15" width="15" style="1" bestFit="1" customWidth="1"/>
    <col min="16" max="16" width="16.85546875" style="1" bestFit="1" customWidth="1"/>
    <col min="17" max="17" width="3" style="1" customWidth="1"/>
    <col min="18" max="18" width="20.140625" style="1" customWidth="1"/>
    <col min="19" max="19" width="17.85546875" style="1" customWidth="1"/>
    <col min="20" max="20" width="21.5703125" style="1" customWidth="1"/>
    <col min="21" max="21" width="15" style="1" customWidth="1"/>
    <col min="22" max="22" width="9.5703125" style="1" customWidth="1"/>
    <col min="23" max="23" width="15" style="1" bestFit="1" customWidth="1"/>
    <col min="24" max="24" width="16.85546875" style="1" bestFit="1" customWidth="1"/>
    <col min="25" max="25" width="2" style="1" customWidth="1"/>
    <col min="26" max="26" width="16" style="3" customWidth="1"/>
    <col min="27" max="27" width="20.28515625" style="3" customWidth="1"/>
    <col min="28" max="28" width="15.28515625" style="3" customWidth="1"/>
    <col min="29" max="29" width="20.28515625" style="3" customWidth="1"/>
    <col min="30" max="31" width="15.7109375" style="3" customWidth="1"/>
    <col min="32" max="32" width="17.5703125" style="3" bestFit="1" customWidth="1"/>
    <col min="33" max="33" width="13.42578125" style="3" customWidth="1"/>
    <col min="34" max="34" width="13.85546875" style="3" customWidth="1"/>
    <col min="35" max="35" width="14.140625" style="3" customWidth="1"/>
    <col min="36" max="36" width="12.5703125" style="1" customWidth="1"/>
    <col min="37" max="37" width="10.7109375" style="1" customWidth="1"/>
    <col min="38" max="40" width="9.140625" style="1"/>
    <col min="41" max="41" width="8.28515625" style="3" bestFit="1" customWidth="1"/>
    <col min="42" max="43" width="8.5703125" style="3" bestFit="1" customWidth="1"/>
    <col min="44" max="44" width="11.7109375" style="3" bestFit="1" customWidth="1"/>
    <col min="45" max="45" width="10.28515625" style="3" bestFit="1" customWidth="1"/>
    <col min="46" max="46" width="7.5703125" style="3" bestFit="1" customWidth="1"/>
    <col min="47" max="47" width="6.42578125" style="3" bestFit="1" customWidth="1"/>
    <col min="48" max="48" width="1.42578125" style="1" customWidth="1"/>
    <col min="49" max="49" width="14.28515625" style="4" customWidth="1"/>
    <col min="50" max="51" width="14.28515625" style="1" customWidth="1"/>
    <col min="52" max="52" width="9.140625" style="1"/>
    <col min="53" max="53" width="14.28515625" style="1" customWidth="1"/>
    <col min="54" max="54" width="9.140625" style="1"/>
    <col min="55" max="55" width="12.5703125" style="1" customWidth="1"/>
    <col min="56" max="16384" width="9.140625" style="1"/>
  </cols>
  <sheetData>
    <row r="1" spans="1:55" ht="13.5" thickBot="1">
      <c r="A1" s="39" t="s">
        <v>62</v>
      </c>
      <c r="C1" s="40"/>
      <c r="D1" s="40" t="s">
        <v>15</v>
      </c>
      <c r="E1" s="57">
        <f ca="1">Summary!D14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Summary!J13</f>
        <v>NG_OMICRON_11</v>
      </c>
      <c r="AA1" s="24" t="str">
        <f>Summary!L13</f>
        <v>CGPR-DAWN</v>
      </c>
      <c r="AC1" s="24" t="str">
        <f>Summary!I13</f>
        <v>NG_OMICRON_9</v>
      </c>
      <c r="AD1" s="24" t="str">
        <f>Summary!K13</f>
        <v>CGPR-DAWN</v>
      </c>
      <c r="AH1" s="252"/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H2" s="252"/>
      <c r="AI2" s="3" t="s">
        <v>95</v>
      </c>
      <c r="AJ2" s="1">
        <v>1</v>
      </c>
    </row>
    <row r="3" spans="1:55" ht="13.5" thickBot="1">
      <c r="A3" s="61">
        <f>Summary!E14</f>
        <v>37043</v>
      </c>
      <c r="B3" s="62">
        <f>Summary!F14</f>
        <v>42094</v>
      </c>
      <c r="C3" s="12"/>
      <c r="D3" s="12">
        <f>Summary!C14</f>
        <v>37025</v>
      </c>
      <c r="E3" s="13" t="str">
        <f>CONCATENATE(INT(AT8/12)," Y - ",AT8-INT(AT8/12)*12," M")</f>
        <v>13 Y - 10 M</v>
      </c>
      <c r="F3" s="59">
        <v>2</v>
      </c>
      <c r="G3" s="59">
        <v>1</v>
      </c>
      <c r="H3" s="44">
        <v>1</v>
      </c>
      <c r="I3" s="60">
        <f>Summary!P14</f>
        <v>0</v>
      </c>
      <c r="J3" s="171" t="str">
        <f>Summary!H14</f>
        <v>CGPR-CHIPPAWA</v>
      </c>
      <c r="K3" s="60" t="str">
        <f>J3</f>
        <v>CGPR-CHIPPAWA</v>
      </c>
      <c r="R3" s="171" t="str">
        <f>Summary!G14</f>
        <v>CGPR-DAWN</v>
      </c>
      <c r="S3" s="60" t="str">
        <f>R3</f>
        <v>CGPR-DAWN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  <c r="AH3" s="252"/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CGPR-CHIPPAWA-D</v>
      </c>
      <c r="K4" s="15" t="str">
        <f>J3</f>
        <v>CGPR-CHIPPAWA</v>
      </c>
      <c r="L4" s="41" t="str">
        <f>CONCATENATE(K3,"-","I")</f>
        <v>CGPR-CHIPPAWA-I</v>
      </c>
      <c r="M4" s="15" t="str">
        <f>K3</f>
        <v>CGPR-CHIPPAWA</v>
      </c>
      <c r="O4" s="15" t="str">
        <f>K4</f>
        <v>CGPR-CHIPPAWA</v>
      </c>
      <c r="P4" s="15" t="str">
        <f>J4</f>
        <v>CGPR-CHIPPAWA-D</v>
      </c>
      <c r="Q4" s="14"/>
      <c r="R4" s="41" t="str">
        <f>CONCATENATE(R3,"-","D")</f>
        <v>CGPR-DAWN-D</v>
      </c>
      <c r="S4" s="15" t="str">
        <f>R3</f>
        <v>CGPR-DAWN</v>
      </c>
      <c r="T4" s="41" t="str">
        <f>CONCATENATE(S3,"-","I")</f>
        <v>CGPR-DAWN-I</v>
      </c>
      <c r="U4" s="15" t="str">
        <f>S3</f>
        <v>CGPR-DAWN</v>
      </c>
      <c r="V4" s="15" t="s">
        <v>111</v>
      </c>
      <c r="W4" s="15" t="str">
        <f>S4</f>
        <v>CGPR-DAWN</v>
      </c>
      <c r="X4" s="15" t="str">
        <f>R4</f>
        <v>CGPR-DAWN-D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NG_OMICRON_9-P</v>
      </c>
      <c r="AD4" s="227" t="str">
        <f>IF(AD1="NG",CONCATENATE(AD1,"-","VO"),CONCATENATE(AD1,"-","P"))</f>
        <v>CGPR-DAWN-P</v>
      </c>
      <c r="AE4" s="228" t="s">
        <v>93</v>
      </c>
      <c r="AF4" s="15" t="str">
        <f>J3</f>
        <v>CGPR-CHIPPAWA</v>
      </c>
      <c r="AG4" s="15" t="s">
        <v>81</v>
      </c>
      <c r="AH4" s="15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CGPR-DAWN</v>
      </c>
      <c r="AG5" s="14" t="s">
        <v>125</v>
      </c>
      <c r="AH5" s="14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5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5" thickBot="1">
      <c r="A8" s="34" t="s">
        <v>31</v>
      </c>
      <c r="B8" s="25"/>
      <c r="C8" s="25"/>
      <c r="D8" s="25">
        <f>SUM(D10:D500)</f>
        <v>4714400</v>
      </c>
      <c r="E8" s="25">
        <f>SUM(E10:E500)</f>
        <v>143476800</v>
      </c>
      <c r="F8" s="25">
        <f ca="1">SUM(F10:F370)</f>
        <v>78699238.019528568</v>
      </c>
      <c r="G8" s="26">
        <f ca="1">SUMPRODUCT(G10:G499,$F$10:$F$499)/SUM($F$10:$F$499)</f>
        <v>4.3517059551323323</v>
      </c>
      <c r="H8" s="26">
        <f ca="1">SUMPRODUCT(H10:H499,$F$10:$F$499)/SUM($F$10:$F$499)</f>
        <v>4.3517059551323323</v>
      </c>
      <c r="I8" s="26"/>
      <c r="J8" s="26">
        <f ca="1">SUMPRODUCT(J10:J499,$F$10:$F$499)/SUM($F$10:$F$499)</f>
        <v>0.33489836343295715</v>
      </c>
      <c r="K8" s="26">
        <f ca="1">SUMPRODUCT(K10:K499,$F$10:$F$499)/SUM($F$10:$F$499)</f>
        <v>0.33489836343295715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4.6866043185652906</v>
      </c>
      <c r="P8" s="26">
        <f ca="1">SUMPRODUCT(P10:P499,$F$10:$F$499)/SUM($F$10:$F$499)</f>
        <v>4.6866043185652906</v>
      </c>
      <c r="Q8" s="26"/>
      <c r="R8" s="26">
        <f ca="1">SUMPRODUCT(R10:R499,$F$10:$F$499)/SUM($F$10:$F$499)</f>
        <v>0.22882020958169066</v>
      </c>
      <c r="S8" s="26">
        <f ca="1">SUMPRODUCT(S10:S499,$F$10:$F$499)/SUM($F$10:$F$499)</f>
        <v>0.22882020958169066</v>
      </c>
      <c r="T8" s="26">
        <f ca="1">SUMPRODUCT(T10:T499,$F$10:$F$499)/SUM($F$10:$F$499)</f>
        <v>0</v>
      </c>
      <c r="U8" s="26">
        <f ca="1">SUMPRODUCT(U10:U499,$F$10:$F$499)/SUM($F$10:$F$499)</f>
        <v>0</v>
      </c>
      <c r="V8" s="207">
        <f ca="1">SUMPRODUCT(V10:V499,F10:F499)/F8</f>
        <v>4.8844489775519161E-2</v>
      </c>
      <c r="W8" s="26">
        <f ca="1">SUMPRODUCT(W10:W499,$F$10:$F$499)/SUM($F$10:$F$499)</f>
        <v>4.6293706544895414</v>
      </c>
      <c r="X8" s="26">
        <f ca="1">SUMPRODUCT(X10:X499,$F$10:$F$499)/SUM($F$10:$F$499)</f>
        <v>4.6293706544895414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SUMPRODUCT(AH10:AH499,F10:F499)/F8</f>
        <v>5.1465541625867342E-3</v>
      </c>
      <c r="AI8" s="26"/>
      <c r="AJ8" s="26"/>
      <c r="AK8" s="26"/>
      <c r="AL8" s="26">
        <f ca="1">AW8/$E8</f>
        <v>8.5209868935240532E-2</v>
      </c>
      <c r="AM8" s="26">
        <f ca="1">BC8/$F8</f>
        <v>5.1853781714778238E-2</v>
      </c>
      <c r="AN8" s="26">
        <f ca="1">AY8/$E8</f>
        <v>3.5576602788439014E-2</v>
      </c>
      <c r="AR8" s="27"/>
      <c r="AS8" s="11"/>
      <c r="AT8" s="28">
        <f>SUM(AT10:AT500)</f>
        <v>166</v>
      </c>
      <c r="AU8" s="28">
        <f>SUM(AU10:AU500)</f>
        <v>5052</v>
      </c>
      <c r="AW8" s="29">
        <f ca="1">SUM(AW10:AW501)</f>
        <v>12225639.32324772</v>
      </c>
      <c r="AX8" s="29">
        <f>SUM(AX10:AX501)</f>
        <v>7121222.200291412</v>
      </c>
      <c r="AY8" s="29">
        <f ca="1">SUM(AY10:AY501)</f>
        <v>5104417.1229563067</v>
      </c>
      <c r="BA8" s="29">
        <f ca="1">SUM(BA10:BA501)</f>
        <v>0</v>
      </c>
      <c r="BC8" s="257">
        <f ca="1">SUM(BC10:BC501)</f>
        <v>4080853.109384011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V9" s="174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Summary!O13</f>
        <v>28400</v>
      </c>
      <c r="C10" s="68"/>
      <c r="D10" s="69">
        <f t="shared" ref="D10:D73" si="0">IF(A11&lt;&gt;"",B10+C10,"")</f>
        <v>28400</v>
      </c>
      <c r="E10" s="70">
        <f t="shared" ref="E10:E73" si="1">IF(A11="","",IF(AND(AT10=1,$H$3=1),D10*AO10,IF($H$3=2,D10,"N/A")))</f>
        <v>852000</v>
      </c>
      <c r="F10" s="70">
        <f t="shared" ref="F10:F73" ca="1" si="2">IF(A11="","",E10*AS10)</f>
        <v>848139.22300708096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0.27</v>
      </c>
      <c r="K10" s="64">
        <f t="shared" ref="K10:K73" si="6">IF(A11="","",J10)</f>
        <v>0.27</v>
      </c>
      <c r="L10" s="38">
        <v>0</v>
      </c>
      <c r="M10" s="64">
        <f t="shared" ref="M10:M73" si="7">IF(A11="","",L10)</f>
        <v>0</v>
      </c>
      <c r="N10" s="65"/>
      <c r="O10" s="63">
        <f t="shared" ref="O10:O73" si="8">IF(A11="","",L10+J10+G10)</f>
        <v>4.6639999999999997</v>
      </c>
      <c r="P10" s="63">
        <f t="shared" ref="P10:P73" si="9">IF(A11="","",M10+K10+H10)</f>
        <v>4.6639999999999997</v>
      </c>
      <c r="Q10" s="66"/>
      <c r="R10" s="63">
        <f t="shared" ref="R10:R73" si="10">IF($A11="","",VLOOKUP($A10,Table,MATCH(R$4,Curves,0)))</f>
        <v>0.22</v>
      </c>
      <c r="S10" s="64">
        <f t="shared" ref="S10:S73" si="11">IF(A11="","",R10)</f>
        <v>0.22</v>
      </c>
      <c r="T10" s="63">
        <f t="shared" ref="T10:T73" si="12">IF($A11="","",VLOOKUP($A10,Table,MATCH(T$4,Curves,0)))</f>
        <v>0</v>
      </c>
      <c r="U10" s="64">
        <f t="shared" ref="U10:U73" si="13">IF(A11="","",T10)</f>
        <v>0</v>
      </c>
      <c r="V10" s="207">
        <f>IF($A11="","",IF(AND(MONTH(A10)&gt;3,MONTH(A10)&lt;11),(T10+R10+G10)*(((1/(1-Summary!$T$14))/(1-Summary!$W$14))-1),(T10+R10+G10)*((1/(1-Summary!$U$14))/(1-Summary!$X$14)-1)))</f>
        <v>4.9201438376308429E-2</v>
      </c>
      <c r="W10" s="43">
        <f t="shared" ref="W10:W73" si="14">IF($A11="","",(T10+R10+G10+V10))</f>
        <v>4.6632014383763085</v>
      </c>
      <c r="X10" s="43">
        <f t="shared" ref="X10:X73" si="15">IF($A11="","",(U10+S10+H10+V10))</f>
        <v>4.6632014383763085</v>
      </c>
      <c r="Y10" s="43"/>
      <c r="Z10" s="38">
        <f t="shared" ref="Z10:Z73" si="16">IF($A11="","",VLOOKUP($A10,Table,MATCH(Z$4,Curves,0)))</f>
        <v>0.53</v>
      </c>
      <c r="AA10" s="38">
        <f t="shared" ref="AA10:AA73" si="17">IF($A11="","",VLOOKUP($A10,Table,MATCH(AA$4,Curves,0)))</f>
        <v>0.54</v>
      </c>
      <c r="AB10" s="38">
        <f t="shared" ref="AB10:AB73" ca="1" si="18">SQRT((AA10^2*(A10-$D$3)+Z10^2*(DAY(EOMONTH(A10,0))/2))/AK10)</f>
        <v>0.74606024043165653</v>
      </c>
      <c r="AC10" s="38">
        <f t="shared" ref="AC10:AC73" si="19">IF($A11="","",VLOOKUP($A10,Table,MATCH(AC$4,Curves,0)))</f>
        <v>0.48</v>
      </c>
      <c r="AD10" s="38">
        <f t="shared" ref="AD10:AD73" si="20">IF($A11="","",VLOOKUP($A10,Table,MATCH(AD$4,Curves,0)))</f>
        <v>0.54</v>
      </c>
      <c r="AE10" s="38">
        <f t="shared" ref="AE10:AE73" ca="1" si="21">SQRT((AD10^2*(A10-$D$3)+AC10^2*(DAY(EOMONTH(A10,0))/2))/AK10)</f>
        <v>0.71557463539698596</v>
      </c>
      <c r="AF10" s="237">
        <f ca="1">((Summary!$N$14*(AA10*AD10)*(A10-$D$3))+(Summary!$M$14*Z10*AC10*(AJ10-EOMONTH(EDATE(A10,-1),0))))/(AK10*AB10*AE10)</f>
        <v>0.99874662237902845</v>
      </c>
      <c r="AG10" s="88">
        <f>IF($A11="","",Summary!$Q$14)</f>
        <v>0</v>
      </c>
      <c r="AH10" s="88">
        <f>IF($A11="","",IF(Summary!$R$12="Y",(VLOOKUP($A10,Summary!$AD$6:$AF$9,3)+'Escalating commodity'!J23),'Escalating commodity'!J23))</f>
        <v>3.6970217296000006E-3</v>
      </c>
      <c r="AI10" s="88">
        <f>IF($A11="","",AH10)</f>
        <v>3.6970217296000006E-3</v>
      </c>
      <c r="AJ10" s="236">
        <f t="shared" ref="AJ10:AJ73" si="22">A10+DAY(EOMONTH(A10,0))/2-1</f>
        <v>37057</v>
      </c>
      <c r="AK10" s="58">
        <f t="shared" ref="AK10:AK73" ca="1" si="23">IF($A11="","",$A10-$E$1)</f>
        <v>17</v>
      </c>
      <c r="AL10" s="26">
        <f ca="1">IF($A11="","",_xll.SPRDOPT(P10,X10,AI10,0,AB10,AE10,AF10,AK10,$AJ$2,0))</f>
        <v>1.7848178282874501E-2</v>
      </c>
      <c r="AM10" s="89">
        <f t="shared" ref="AM10:AM73" si="24">IF($A11="","",MAX(0,O10-W10-AI10))</f>
        <v>0</v>
      </c>
      <c r="AN10" s="89">
        <f t="shared" ref="AN10:AN73" ca="1" si="25">IF($A11="","",AL10-AM10)</f>
        <v>1.7848178282874501E-2</v>
      </c>
      <c r="AO10" s="3">
        <f t="shared" ref="AO10:AO73" si="26">IF(A11="","",A11-A10)</f>
        <v>30</v>
      </c>
      <c r="AP10" s="33">
        <f t="shared" ref="AP10:AP73" si="27">IF(A11="","",CHOOSE(F$3,A11+24,A10))</f>
        <v>37043</v>
      </c>
      <c r="AQ10" s="58">
        <f t="shared" ref="AQ10:AQ73" ca="1" si="28">IF(A11="","",AP10-$E$1)</f>
        <v>17</v>
      </c>
      <c r="AR10" s="38">
        <f>'ANR OK vs ML7'!AR10</f>
        <v>0.1</v>
      </c>
      <c r="AS10" s="35">
        <f t="shared" ref="AS10:AS73" ca="1" si="29">IF(A11="","",1/(1+CHOOSE(F$3,(AR11+($I$3/10000))/2,(AR10+($I$3/10000))/2))^(2*AQ10/365.25))</f>
        <v>0.99546857160455515</v>
      </c>
      <c r="AT10" s="3">
        <f t="shared" ref="AT10:AT73" si="30">IF(A11="","",IF(AND(mthbeg&lt;=A10,mthend&gt;=A10),1,0))</f>
        <v>1</v>
      </c>
      <c r="AU10" s="3">
        <f t="shared" ref="AU10:AU73" si="31">IF(A11="","",AO10*AT10)</f>
        <v>30</v>
      </c>
      <c r="AW10" s="32">
        <f t="shared" ref="AW10:AW73" ca="1" si="32">IF($A11="","",AL10*$E10)</f>
        <v>15206.647897009074</v>
      </c>
      <c r="AX10" s="32">
        <f t="shared" ref="AX10:AX73" si="33">IF($A11="","",AM10*$E10)</f>
        <v>0</v>
      </c>
      <c r="AY10" s="32">
        <f t="shared" ref="AY10:AY73" ca="1" si="34">IF($A11="","",AN10*$E10)</f>
        <v>15206.647897009074</v>
      </c>
      <c r="AZ10" s="42"/>
      <c r="BA10" s="32">
        <f ca="1">IF($A11="","",F10*Summary!$Q$14)</f>
        <v>0</v>
      </c>
      <c r="BC10" s="256">
        <f ca="1">IF(A11="","",AM10*F10)</f>
        <v>0</v>
      </c>
    </row>
    <row r="11" spans="1:55">
      <c r="A11" s="67">
        <f t="shared" ref="A11:A74" si="35">IF(A10&lt;mthend,EDATE(A10,1),"")</f>
        <v>37073</v>
      </c>
      <c r="B11" s="69">
        <f t="shared" ref="B11:B74" si="36">IF(A11&lt;mthend,B10,"")</f>
        <v>28400</v>
      </c>
      <c r="C11" s="71"/>
      <c r="D11" s="69">
        <f t="shared" si="0"/>
        <v>28400</v>
      </c>
      <c r="E11" s="70">
        <f t="shared" si="1"/>
        <v>880400</v>
      </c>
      <c r="F11" s="70">
        <f t="shared" ca="1" si="2"/>
        <v>869414.33939006354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0.24</v>
      </c>
      <c r="K11" s="64">
        <f t="shared" si="6"/>
        <v>0.24</v>
      </c>
      <c r="L11" s="38">
        <v>0</v>
      </c>
      <c r="M11" s="64">
        <f t="shared" si="7"/>
        <v>0</v>
      </c>
      <c r="N11" s="65"/>
      <c r="O11" s="63">
        <f t="shared" si="8"/>
        <v>4.7050000000000001</v>
      </c>
      <c r="P11" s="63">
        <f t="shared" si="9"/>
        <v>4.7050000000000001</v>
      </c>
      <c r="Q11" s="66"/>
      <c r="R11" s="63">
        <f t="shared" si="10"/>
        <v>0.19</v>
      </c>
      <c r="S11" s="64">
        <f t="shared" si="11"/>
        <v>0.19</v>
      </c>
      <c r="T11" s="63">
        <f t="shared" si="12"/>
        <v>0</v>
      </c>
      <c r="U11" s="64">
        <f t="shared" si="13"/>
        <v>0</v>
      </c>
      <c r="V11" s="207">
        <f>IF($A12="","",IF(AND(MONTH(A11)&gt;3,MONTH(A11)&lt;11),(T11+R11+G11)*(((1/(1-Summary!$T$14))/(1-Summary!$W$14))-1),(T11+R11+G11)*((1/(1-Summary!$U$14))/(1-Summary!$X$14)-1)))</f>
        <v>4.9638642315066268E-2</v>
      </c>
      <c r="W11" s="43">
        <f t="shared" si="14"/>
        <v>4.7046386423150661</v>
      </c>
      <c r="X11" s="43">
        <f t="shared" si="15"/>
        <v>4.7046386423150661</v>
      </c>
      <c r="Y11" s="43"/>
      <c r="Z11" s="38">
        <f t="shared" si="16"/>
        <v>0.57999999999999996</v>
      </c>
      <c r="AA11" s="38">
        <f t="shared" si="17"/>
        <v>0.52500000000000002</v>
      </c>
      <c r="AB11" s="38">
        <f t="shared" ca="1" si="18"/>
        <v>0.62644216591321711</v>
      </c>
      <c r="AC11" s="38">
        <f t="shared" si="19"/>
        <v>0.48</v>
      </c>
      <c r="AD11" s="38">
        <f t="shared" si="20"/>
        <v>0.52500000000000002</v>
      </c>
      <c r="AE11" s="38">
        <f t="shared" ca="1" si="21"/>
        <v>0.5978899066095128</v>
      </c>
      <c r="AF11" s="237">
        <f ca="1">((Summary!$N$14*(AA11*AD11)*(A11-$D$3))+(Summary!$M$14*Z11*AC11*(AJ11-EOMONTH(EDATE(A11,-1),0))))/(AK11*AB11*AE11)</f>
        <v>0.9966106219258738</v>
      </c>
      <c r="AG11" s="88">
        <f>IF($A12="","",Summary!$Q$14)</f>
        <v>0</v>
      </c>
      <c r="AH11" s="88">
        <f>IF($A12="","",IF(Summary!$R$12="Y",(VLOOKUP($A11,Summary!$AD$6:$AF$9,3)+'Escalating commodity'!J24),'Escalating commodity'!J24))</f>
        <v>3.6970217296000006E-3</v>
      </c>
      <c r="AI11" s="88">
        <f t="shared" ref="AI11:AI74" si="37">IF($A12="","",AH11)</f>
        <v>3.6970217296000006E-3</v>
      </c>
      <c r="AJ11" s="236">
        <f t="shared" si="22"/>
        <v>37087.5</v>
      </c>
      <c r="AK11" s="58">
        <f t="shared" ca="1" si="23"/>
        <v>47</v>
      </c>
      <c r="AL11" s="26">
        <f ca="1">IF($A12="","",_xll.SPRDOPT(P11,X11,AI11,0,AB11,AE11,AF11,AK11,$AJ$2,0))</f>
        <v>3.7508307803328263E-2</v>
      </c>
      <c r="AM11" s="89">
        <f t="shared" si="24"/>
        <v>0</v>
      </c>
      <c r="AN11" s="89">
        <f t="shared" ca="1" si="25"/>
        <v>3.7508307803328263E-2</v>
      </c>
      <c r="AO11" s="3">
        <f t="shared" si="26"/>
        <v>31</v>
      </c>
      <c r="AP11" s="33">
        <f t="shared" si="27"/>
        <v>37073</v>
      </c>
      <c r="AQ11" s="58">
        <f t="shared" ca="1" si="28"/>
        <v>47</v>
      </c>
      <c r="AR11" s="38">
        <f>'ANR OK vs ML7'!AR11</f>
        <v>0.1</v>
      </c>
      <c r="AS11" s="35">
        <f t="shared" ca="1" si="29"/>
        <v>0.98752196659480185</v>
      </c>
      <c r="AT11" s="3">
        <f t="shared" si="30"/>
        <v>1</v>
      </c>
      <c r="AU11" s="3">
        <f t="shared" si="31"/>
        <v>31</v>
      </c>
      <c r="AW11" s="32">
        <f t="shared" ca="1" si="32"/>
        <v>33022.314190050201</v>
      </c>
      <c r="AX11" s="32">
        <f t="shared" si="33"/>
        <v>0</v>
      </c>
      <c r="AY11" s="32">
        <f t="shared" ca="1" si="34"/>
        <v>33022.314190050201</v>
      </c>
      <c r="BA11" s="32">
        <f ca="1">IF($A12="","",F11*Summary!$Q$14)</f>
        <v>0</v>
      </c>
      <c r="BC11" s="256">
        <f t="shared" ref="BC11:BC74" ca="1" si="38">IF(A12="","",AM11*F11)</f>
        <v>0</v>
      </c>
    </row>
    <row r="12" spans="1:55">
      <c r="A12" s="67">
        <f t="shared" si="35"/>
        <v>37104</v>
      </c>
      <c r="B12" s="69">
        <f t="shared" si="36"/>
        <v>28400</v>
      </c>
      <c r="C12" s="71"/>
      <c r="D12" s="69">
        <f t="shared" si="0"/>
        <v>28400</v>
      </c>
      <c r="E12" s="70">
        <f t="shared" si="1"/>
        <v>880400</v>
      </c>
      <c r="F12" s="70">
        <f t="shared" ca="1" si="2"/>
        <v>862243.60927911988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0.215</v>
      </c>
      <c r="K12" s="64">
        <f t="shared" si="6"/>
        <v>0.215</v>
      </c>
      <c r="L12" s="38">
        <v>0</v>
      </c>
      <c r="M12" s="64">
        <f t="shared" si="7"/>
        <v>0</v>
      </c>
      <c r="N12" s="65"/>
      <c r="O12" s="63">
        <f t="shared" si="8"/>
        <v>4.7430000000000003</v>
      </c>
      <c r="P12" s="63">
        <f t="shared" si="9"/>
        <v>4.7430000000000003</v>
      </c>
      <c r="Q12" s="66"/>
      <c r="R12" s="63">
        <f t="shared" si="10"/>
        <v>0.16500000000000001</v>
      </c>
      <c r="S12" s="64">
        <f t="shared" si="11"/>
        <v>0.16500000000000001</v>
      </c>
      <c r="T12" s="63">
        <f t="shared" si="12"/>
        <v>0</v>
      </c>
      <c r="U12" s="64">
        <f t="shared" si="13"/>
        <v>0</v>
      </c>
      <c r="V12" s="207">
        <f>IF($A13="","",IF(AND(MONTH(A12)&gt;3,MONTH(A12)&lt;11),(T12+R12+G12)*(((1/(1-Summary!$T$14))/(1-Summary!$W$14))-1),(T12+R12+G12)*((1/(1-Summary!$U$14))/(1-Summary!$X$14)-1)))</f>
        <v>5.0043855721719877E-2</v>
      </c>
      <c r="W12" s="43">
        <f t="shared" si="14"/>
        <v>4.7430438557217203</v>
      </c>
      <c r="X12" s="43">
        <f t="shared" si="15"/>
        <v>4.7430438557217203</v>
      </c>
      <c r="Y12" s="43"/>
      <c r="Z12" s="38">
        <f t="shared" si="16"/>
        <v>0.63</v>
      </c>
      <c r="AA12" s="38">
        <f t="shared" si="17"/>
        <v>0.53</v>
      </c>
      <c r="AB12" s="38">
        <f t="shared" ca="1" si="18"/>
        <v>0.60280381211256118</v>
      </c>
      <c r="AC12" s="38">
        <f t="shared" si="19"/>
        <v>0.43</v>
      </c>
      <c r="AD12" s="38">
        <f t="shared" si="20"/>
        <v>0.53</v>
      </c>
      <c r="AE12" s="38">
        <f t="shared" ca="1" si="21"/>
        <v>0.5667841130176734</v>
      </c>
      <c r="AF12" s="237">
        <f ca="1">((Summary!$N$14*(AA12*AD12)*(A12-$D$3))+(Summary!$M$14*Z12*AC12*(AJ12-EOMONTH(EDATE(A12,-1),0))))/(AK12*AB12*AE12)</f>
        <v>0.99018292035175648</v>
      </c>
      <c r="AG12" s="88">
        <f>IF($A13="","",Summary!$Q$14)</f>
        <v>0</v>
      </c>
      <c r="AH12" s="88">
        <f>IF($A13="","",IF(Summary!$R$12="Y",(VLOOKUP($A12,Summary!$AD$6:$AF$9,3)+'Escalating commodity'!J25),'Escalating commodity'!J25))</f>
        <v>3.6970217296000006E-3</v>
      </c>
      <c r="AI12" s="88">
        <f t="shared" si="37"/>
        <v>3.6970217296000006E-3</v>
      </c>
      <c r="AJ12" s="236">
        <f t="shared" si="22"/>
        <v>37118.5</v>
      </c>
      <c r="AK12" s="58">
        <f t="shared" ca="1" si="23"/>
        <v>78</v>
      </c>
      <c r="AL12" s="26">
        <f ca="1">IF($A13="","",_xll.SPRDOPT(P12,X12,AI12,0,AB12,AE12,AF12,AK12,$AJ$2,0))</f>
        <v>7.653650593794431E-2</v>
      </c>
      <c r="AM12" s="89">
        <f t="shared" si="24"/>
        <v>0</v>
      </c>
      <c r="AN12" s="89">
        <f t="shared" ca="1" si="25"/>
        <v>7.653650593794431E-2</v>
      </c>
      <c r="AO12" s="3">
        <f t="shared" si="26"/>
        <v>31</v>
      </c>
      <c r="AP12" s="33">
        <f t="shared" si="27"/>
        <v>37104</v>
      </c>
      <c r="AQ12" s="58">
        <f t="shared" ca="1" si="28"/>
        <v>78</v>
      </c>
      <c r="AR12" s="38">
        <f>'ANR OK vs ML7'!AR12</f>
        <v>0.1</v>
      </c>
      <c r="AS12" s="35">
        <f t="shared" ca="1" si="29"/>
        <v>0.97937711185724663</v>
      </c>
      <c r="AT12" s="3">
        <f t="shared" si="30"/>
        <v>1</v>
      </c>
      <c r="AU12" s="3">
        <f t="shared" si="31"/>
        <v>31</v>
      </c>
      <c r="AW12" s="32">
        <f t="shared" ca="1" si="32"/>
        <v>67382.73982776617</v>
      </c>
      <c r="AX12" s="32">
        <f t="shared" si="33"/>
        <v>0</v>
      </c>
      <c r="AY12" s="32">
        <f t="shared" ca="1" si="34"/>
        <v>67382.73982776617</v>
      </c>
      <c r="BA12" s="32">
        <f ca="1">IF($A13="","",F12*Summary!$Q$14)</f>
        <v>0</v>
      </c>
      <c r="BC12" s="256">
        <f t="shared" ca="1" si="38"/>
        <v>0</v>
      </c>
    </row>
    <row r="13" spans="1:55">
      <c r="A13" s="67">
        <f t="shared" si="35"/>
        <v>37135</v>
      </c>
      <c r="B13" s="69">
        <f t="shared" si="36"/>
        <v>28400</v>
      </c>
      <c r="C13" s="71"/>
      <c r="D13" s="69">
        <f t="shared" si="0"/>
        <v>28400</v>
      </c>
      <c r="E13" s="70">
        <f t="shared" si="1"/>
        <v>852000</v>
      </c>
      <c r="F13" s="70">
        <f t="shared" ca="1" si="2"/>
        <v>827547.11777985771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0.22500000000000001</v>
      </c>
      <c r="K13" s="64">
        <f t="shared" si="6"/>
        <v>0.22500000000000001</v>
      </c>
      <c r="L13" s="38">
        <v>0</v>
      </c>
      <c r="M13" s="64">
        <f t="shared" si="7"/>
        <v>0</v>
      </c>
      <c r="N13" s="65"/>
      <c r="O13" s="63">
        <f t="shared" si="8"/>
        <v>4.7679999999999998</v>
      </c>
      <c r="P13" s="63">
        <f t="shared" si="9"/>
        <v>4.7679999999999998</v>
      </c>
      <c r="Q13" s="66"/>
      <c r="R13" s="63">
        <f t="shared" si="10"/>
        <v>0.17499999999999999</v>
      </c>
      <c r="S13" s="64">
        <f t="shared" si="11"/>
        <v>0.17499999999999999</v>
      </c>
      <c r="T13" s="63">
        <f t="shared" si="12"/>
        <v>0</v>
      </c>
      <c r="U13" s="64">
        <f t="shared" si="13"/>
        <v>0</v>
      </c>
      <c r="V13" s="207">
        <f>IF($A14="","",IF(AND(MONTH(A13)&gt;3,MONTH(A13)&lt;11),(T13+R13+G13)*(((1/(1-Summary!$T$14))/(1-Summary!$W$14))-1),(T13+R13+G13)*((1/(1-Summary!$U$14))/(1-Summary!$X$14)-1)))</f>
        <v>5.0310443489255133E-2</v>
      </c>
      <c r="W13" s="43">
        <f t="shared" si="14"/>
        <v>4.7683104434892547</v>
      </c>
      <c r="X13" s="43">
        <f t="shared" si="15"/>
        <v>4.7683104434892547</v>
      </c>
      <c r="Y13" s="43"/>
      <c r="Z13" s="38">
        <f t="shared" si="16"/>
        <v>0.63</v>
      </c>
      <c r="AA13" s="38">
        <f t="shared" si="17"/>
        <v>0.54</v>
      </c>
      <c r="AB13" s="38">
        <f t="shared" ca="1" si="18"/>
        <v>0.59067291745334316</v>
      </c>
      <c r="AC13" s="38">
        <f t="shared" si="19"/>
        <v>0.48</v>
      </c>
      <c r="AD13" s="38">
        <f t="shared" si="20"/>
        <v>0.54</v>
      </c>
      <c r="AE13" s="38">
        <f t="shared" ca="1" si="21"/>
        <v>0.57094802861219063</v>
      </c>
      <c r="AF13" s="237">
        <f ca="1">((Summary!$N$14*(AA13*AD13)*(A13-$D$3))+(Summary!$M$14*Z13*AC13*(AJ13-EOMONTH(EDATE(A13,-1),0))))/(AK13*AB13*AE13)</f>
        <v>0.9958989368639084</v>
      </c>
      <c r="AG13" s="88">
        <f>IF($A14="","",Summary!$Q$14)</f>
        <v>0</v>
      </c>
      <c r="AH13" s="88">
        <f>IF($A14="","",IF(Summary!$R$12="Y",(VLOOKUP($A13,Summary!$AD$6:$AF$9,3)+'Escalating commodity'!J26),'Escalating commodity'!J26))</f>
        <v>3.6970217296000006E-3</v>
      </c>
      <c r="AI13" s="88">
        <f t="shared" si="37"/>
        <v>3.6970217296000006E-3</v>
      </c>
      <c r="AJ13" s="236">
        <f t="shared" si="22"/>
        <v>37149</v>
      </c>
      <c r="AK13" s="58">
        <f t="shared" ca="1" si="23"/>
        <v>109</v>
      </c>
      <c r="AL13" s="26">
        <f ca="1">IF($A14="","",_xll.SPRDOPT(P13,X13,AI13,0,AB13,AE13,AF13,AK13,$AJ$2,0))</f>
        <v>5.6551411291283521E-2</v>
      </c>
      <c r="AM13" s="89">
        <f t="shared" si="24"/>
        <v>0</v>
      </c>
      <c r="AN13" s="89">
        <f t="shared" ca="1" si="25"/>
        <v>5.6551411291283521E-2</v>
      </c>
      <c r="AO13" s="3">
        <f t="shared" si="26"/>
        <v>30</v>
      </c>
      <c r="AP13" s="33">
        <f t="shared" si="27"/>
        <v>37135</v>
      </c>
      <c r="AQ13" s="58">
        <f t="shared" ca="1" si="28"/>
        <v>109</v>
      </c>
      <c r="AR13" s="38">
        <f>'ANR OK vs ML7'!AR13</f>
        <v>0.1</v>
      </c>
      <c r="AS13" s="35">
        <f t="shared" ca="1" si="29"/>
        <v>0.9712994340139175</v>
      </c>
      <c r="AT13" s="3">
        <f t="shared" si="30"/>
        <v>1</v>
      </c>
      <c r="AU13" s="3">
        <f t="shared" si="31"/>
        <v>30</v>
      </c>
      <c r="AW13" s="32">
        <f t="shared" ca="1" si="32"/>
        <v>48181.802420173561</v>
      </c>
      <c r="AX13" s="32">
        <f t="shared" si="33"/>
        <v>0</v>
      </c>
      <c r="AY13" s="32">
        <f t="shared" ca="1" si="34"/>
        <v>48181.802420173561</v>
      </c>
      <c r="BA13" s="32">
        <f ca="1">IF($A14="","",F13*Summary!$Q$14)</f>
        <v>0</v>
      </c>
      <c r="BC13" s="256">
        <f t="shared" ca="1" si="38"/>
        <v>0</v>
      </c>
    </row>
    <row r="14" spans="1:55">
      <c r="A14" s="67">
        <f t="shared" si="35"/>
        <v>37165</v>
      </c>
      <c r="B14" s="69">
        <f t="shared" si="36"/>
        <v>28400</v>
      </c>
      <c r="C14" s="71"/>
      <c r="D14" s="69">
        <f t="shared" si="0"/>
        <v>28400</v>
      </c>
      <c r="E14" s="70">
        <f t="shared" si="1"/>
        <v>880400</v>
      </c>
      <c r="F14" s="70">
        <f t="shared" ca="1" si="2"/>
        <v>848305.69227514579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0.23</v>
      </c>
      <c r="K14" s="64">
        <f t="shared" si="6"/>
        <v>0.23</v>
      </c>
      <c r="L14" s="38">
        <v>0</v>
      </c>
      <c r="M14" s="64">
        <f t="shared" si="7"/>
        <v>0</v>
      </c>
      <c r="N14" s="65"/>
      <c r="O14" s="63">
        <f t="shared" si="8"/>
        <v>4.793000000000001</v>
      </c>
      <c r="P14" s="63">
        <f t="shared" si="9"/>
        <v>4.793000000000001</v>
      </c>
      <c r="Q14" s="66"/>
      <c r="R14" s="63">
        <f t="shared" si="10"/>
        <v>0.18</v>
      </c>
      <c r="S14" s="64">
        <f t="shared" si="11"/>
        <v>0.18</v>
      </c>
      <c r="T14" s="63">
        <f t="shared" si="12"/>
        <v>0</v>
      </c>
      <c r="U14" s="64">
        <f t="shared" si="13"/>
        <v>0</v>
      </c>
      <c r="V14" s="207">
        <f>IF($A15="","",IF(AND(MONTH(A14)&gt;3,MONTH(A14)&lt;11),(T14+R14+G14)*(((1/(1-Summary!$T$14))/(1-Summary!$W$14))-1),(T14+R14+G14)*((1/(1-Summary!$U$14))/(1-Summary!$X$14)-1)))</f>
        <v>5.0577031256790403E-2</v>
      </c>
      <c r="W14" s="43">
        <f t="shared" si="14"/>
        <v>4.7935770312567909</v>
      </c>
      <c r="X14" s="43">
        <f t="shared" si="15"/>
        <v>4.7935770312567909</v>
      </c>
      <c r="Y14" s="43"/>
      <c r="Z14" s="38">
        <f t="shared" si="16"/>
        <v>0.68</v>
      </c>
      <c r="AA14" s="38">
        <f t="shared" si="17"/>
        <v>0.55000000000000004</v>
      </c>
      <c r="AB14" s="38">
        <f t="shared" ca="1" si="18"/>
        <v>0.59685747789640986</v>
      </c>
      <c r="AC14" s="38">
        <f t="shared" si="19"/>
        <v>0.48</v>
      </c>
      <c r="AD14" s="38">
        <f t="shared" si="20"/>
        <v>0.55000000000000004</v>
      </c>
      <c r="AE14" s="38">
        <f t="shared" ca="1" si="21"/>
        <v>0.57477677869216415</v>
      </c>
      <c r="AF14" s="237">
        <f ca="1">((Summary!$N$14*(AA14*AD14)*(A14-$D$3))+(Summary!$M$14*Z14*AC14*(AJ14-EOMONTH(EDATE(A14,-1),0))))/(AK14*AB14*AE14)</f>
        <v>0.9941208363501205</v>
      </c>
      <c r="AG14" s="88">
        <f>IF($A15="","",Summary!$Q$14)</f>
        <v>0</v>
      </c>
      <c r="AH14" s="88">
        <f>IF($A15="","",IF(Summary!$R$12="Y",(VLOOKUP($A14,Summary!$AD$6:$AF$9,3)+'Escalating commodity'!J27),'Escalating commodity'!J27))</f>
        <v>3.6970217296000006E-3</v>
      </c>
      <c r="AI14" s="88">
        <f t="shared" si="37"/>
        <v>3.6970217296000006E-3</v>
      </c>
      <c r="AJ14" s="236">
        <f t="shared" si="22"/>
        <v>37179.5</v>
      </c>
      <c r="AK14" s="58">
        <f t="shared" ca="1" si="23"/>
        <v>139</v>
      </c>
      <c r="AL14" s="26">
        <f ca="1">IF($A15="","",_xll.SPRDOPT(P14,X14,AI14,0,AB14,AE14,AF14,AK14,$AJ$2,0))</f>
        <v>7.7373109278598626E-2</v>
      </c>
      <c r="AM14" s="89">
        <f t="shared" si="24"/>
        <v>0</v>
      </c>
      <c r="AN14" s="89">
        <f t="shared" ca="1" si="25"/>
        <v>7.7373109278598626E-2</v>
      </c>
      <c r="AO14" s="3">
        <f t="shared" si="26"/>
        <v>31</v>
      </c>
      <c r="AP14" s="33">
        <f t="shared" si="27"/>
        <v>37165</v>
      </c>
      <c r="AQ14" s="58">
        <f t="shared" ca="1" si="28"/>
        <v>139</v>
      </c>
      <c r="AR14" s="38">
        <f>'ANR OK vs ML7'!AR14</f>
        <v>0.1</v>
      </c>
      <c r="AS14" s="35">
        <f t="shared" ca="1" si="29"/>
        <v>0.96354576587363217</v>
      </c>
      <c r="AT14" s="3">
        <f t="shared" si="30"/>
        <v>1</v>
      </c>
      <c r="AU14" s="3">
        <f t="shared" si="31"/>
        <v>31</v>
      </c>
      <c r="AW14" s="32">
        <f t="shared" ca="1" si="32"/>
        <v>68119.285408878233</v>
      </c>
      <c r="AX14" s="32">
        <f t="shared" si="33"/>
        <v>0</v>
      </c>
      <c r="AY14" s="32">
        <f t="shared" ca="1" si="34"/>
        <v>68119.285408878233</v>
      </c>
      <c r="BA14" s="32">
        <f ca="1">IF($A15="","",F14*Summary!$Q$14)</f>
        <v>0</v>
      </c>
      <c r="BC14" s="256">
        <f t="shared" ca="1" si="38"/>
        <v>0</v>
      </c>
    </row>
    <row r="15" spans="1:55">
      <c r="A15" s="67">
        <f t="shared" si="35"/>
        <v>37196</v>
      </c>
      <c r="B15" s="69">
        <f t="shared" si="36"/>
        <v>28400</v>
      </c>
      <c r="C15" s="71"/>
      <c r="D15" s="69">
        <f t="shared" si="0"/>
        <v>28400</v>
      </c>
      <c r="E15" s="70">
        <f t="shared" si="1"/>
        <v>852000</v>
      </c>
      <c r="F15" s="70">
        <f t="shared" ca="1" si="2"/>
        <v>814170.05946319818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0.435</v>
      </c>
      <c r="K15" s="64">
        <f t="shared" si="6"/>
        <v>0.435</v>
      </c>
      <c r="L15" s="38">
        <v>0</v>
      </c>
      <c r="M15" s="64">
        <f t="shared" si="7"/>
        <v>0</v>
      </c>
      <c r="N15" s="65"/>
      <c r="O15" s="63">
        <f t="shared" si="8"/>
        <v>5.1630000000000003</v>
      </c>
      <c r="P15" s="63">
        <f t="shared" si="9"/>
        <v>5.1630000000000003</v>
      </c>
      <c r="Q15" s="66"/>
      <c r="R15" s="63">
        <f t="shared" si="10"/>
        <v>0.25</v>
      </c>
      <c r="S15" s="64">
        <f t="shared" si="11"/>
        <v>0.25</v>
      </c>
      <c r="T15" s="63">
        <f t="shared" si="12"/>
        <v>0</v>
      </c>
      <c r="U15" s="64">
        <f t="shared" si="13"/>
        <v>0</v>
      </c>
      <c r="V15" s="207">
        <f>IF($A16="","",IF(AND(MONTH(A15)&gt;3,MONTH(A15)&lt;11),(T15+R15+G15)*(((1/(1-Summary!$T$14))/(1-Summary!$W$14))-1),(T15+R15+G15)*((1/(1-Summary!$U$14))/(1-Summary!$X$14)-1)))</f>
        <v>5.3082956271621892E-2</v>
      </c>
      <c r="W15" s="43">
        <f t="shared" si="14"/>
        <v>5.0310829562716224</v>
      </c>
      <c r="X15" s="43">
        <f t="shared" si="15"/>
        <v>5.0310829562716224</v>
      </c>
      <c r="Y15" s="43"/>
      <c r="Z15" s="38">
        <f t="shared" si="16"/>
        <v>1.05</v>
      </c>
      <c r="AA15" s="38">
        <f t="shared" si="17"/>
        <v>0.56000000000000005</v>
      </c>
      <c r="AB15" s="38">
        <f t="shared" ca="1" si="18"/>
        <v>0.64243608059250445</v>
      </c>
      <c r="AC15" s="38">
        <f t="shared" si="19"/>
        <v>1.2</v>
      </c>
      <c r="AD15" s="38">
        <f t="shared" si="20"/>
        <v>0.56000000000000005</v>
      </c>
      <c r="AE15" s="38">
        <f t="shared" ca="1" si="21"/>
        <v>0.66520938764554782</v>
      </c>
      <c r="AF15" s="237">
        <f ca="1">((Summary!$N$14*(AA15*AD15)*(A15-$D$3))+(Summary!$M$14*Z15*AC15*(AJ15-EOMONTH(EDATE(A15,-1),0))))/(AK15*AB15*AE15)</f>
        <v>0.9982101984388243</v>
      </c>
      <c r="AG15" s="88">
        <f>IF($A16="","",Summary!$Q$14)</f>
        <v>0</v>
      </c>
      <c r="AH15" s="88">
        <f>IF($A16="","",IF(Summary!$R$12="Y",(VLOOKUP($A15,Summary!$AD$6:$AF$9,3)+'Escalating commodity'!J28),'Escalating commodity'!J28))</f>
        <v>3.6970217296000006E-3</v>
      </c>
      <c r="AI15" s="88">
        <f t="shared" si="37"/>
        <v>3.6970217296000006E-3</v>
      </c>
      <c r="AJ15" s="236">
        <f t="shared" si="22"/>
        <v>37210</v>
      </c>
      <c r="AK15" s="58">
        <f t="shared" ca="1" si="23"/>
        <v>170</v>
      </c>
      <c r="AL15" s="26">
        <f ca="1">IF($A16="","",_xll.SPRDOPT(P15,X15,AI15,0,AB15,AE15,AF15,AK15,$AJ$2,0))</f>
        <v>0.14643501538464271</v>
      </c>
      <c r="AM15" s="89">
        <f t="shared" si="24"/>
        <v>0.12822002199877786</v>
      </c>
      <c r="AN15" s="89">
        <f t="shared" ca="1" si="25"/>
        <v>1.8214993385864853E-2</v>
      </c>
      <c r="AO15" s="3">
        <f t="shared" si="26"/>
        <v>30</v>
      </c>
      <c r="AP15" s="33">
        <f t="shared" si="27"/>
        <v>37196</v>
      </c>
      <c r="AQ15" s="58">
        <f t="shared" ca="1" si="28"/>
        <v>170</v>
      </c>
      <c r="AR15" s="38">
        <f>'ANR OK vs ML7'!AR15</f>
        <v>0.1</v>
      </c>
      <c r="AS15" s="35">
        <f t="shared" ca="1" si="29"/>
        <v>0.95559866134178195</v>
      </c>
      <c r="AT15" s="3">
        <f t="shared" si="30"/>
        <v>1</v>
      </c>
      <c r="AU15" s="3">
        <f t="shared" si="31"/>
        <v>30</v>
      </c>
      <c r="AW15" s="32">
        <f t="shared" ca="1" si="32"/>
        <v>124762.63310771559</v>
      </c>
      <c r="AX15" s="32">
        <f t="shared" si="33"/>
        <v>109243.45874295873</v>
      </c>
      <c r="AY15" s="32">
        <f t="shared" ca="1" si="34"/>
        <v>15519.174364756855</v>
      </c>
      <c r="BA15" s="32">
        <f ca="1">IF($A16="","",F15*Summary!$Q$14)</f>
        <v>0</v>
      </c>
      <c r="BC15" s="256">
        <f t="shared" ca="1" si="38"/>
        <v>104392.90293511754</v>
      </c>
    </row>
    <row r="16" spans="1:55">
      <c r="A16" s="67">
        <f t="shared" si="35"/>
        <v>37226</v>
      </c>
      <c r="B16" s="69">
        <f t="shared" si="36"/>
        <v>28400</v>
      </c>
      <c r="C16" s="71"/>
      <c r="D16" s="69">
        <f t="shared" si="0"/>
        <v>28400</v>
      </c>
      <c r="E16" s="70">
        <f t="shared" si="1"/>
        <v>880400</v>
      </c>
      <c r="F16" s="70">
        <f t="shared" ca="1" si="2"/>
        <v>834593.07764316851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0.435</v>
      </c>
      <c r="K16" s="64">
        <f t="shared" si="6"/>
        <v>0.435</v>
      </c>
      <c r="L16" s="38">
        <v>0</v>
      </c>
      <c r="M16" s="64">
        <f t="shared" si="7"/>
        <v>0</v>
      </c>
      <c r="N16" s="65"/>
      <c r="O16" s="63">
        <f t="shared" si="8"/>
        <v>5.3199999999999994</v>
      </c>
      <c r="P16" s="63">
        <f t="shared" si="9"/>
        <v>5.3199999999999994</v>
      </c>
      <c r="Q16" s="66"/>
      <c r="R16" s="63">
        <f t="shared" si="10"/>
        <v>0.25</v>
      </c>
      <c r="S16" s="64">
        <f t="shared" si="11"/>
        <v>0.25</v>
      </c>
      <c r="T16" s="63">
        <f t="shared" si="12"/>
        <v>0</v>
      </c>
      <c r="U16" s="64">
        <f t="shared" si="13"/>
        <v>0</v>
      </c>
      <c r="V16" s="207">
        <f>IF($A17="","",IF(AND(MONTH(A16)&gt;3,MONTH(A16)&lt;11),(T16+R16+G16)*(((1/(1-Summary!$T$14))/(1-Summary!$W$14))-1),(T16+R16+G16)*((1/(1-Summary!$U$14))/(1-Summary!$X$14)-1)))</f>
        <v>5.4757127451743347E-2</v>
      </c>
      <c r="W16" s="43">
        <f t="shared" si="14"/>
        <v>5.1897571274517436</v>
      </c>
      <c r="X16" s="43">
        <f t="shared" si="15"/>
        <v>5.1897571274517436</v>
      </c>
      <c r="Y16" s="43"/>
      <c r="Z16" s="38">
        <f t="shared" si="16"/>
        <v>1.35</v>
      </c>
      <c r="AA16" s="38">
        <f t="shared" si="17"/>
        <v>0.56800000000000006</v>
      </c>
      <c r="AB16" s="38">
        <f t="shared" ca="1" si="18"/>
        <v>0.68226158473125254</v>
      </c>
      <c r="AC16" s="38">
        <f t="shared" si="19"/>
        <v>1.6</v>
      </c>
      <c r="AD16" s="38">
        <f t="shared" si="20"/>
        <v>0.56800000000000006</v>
      </c>
      <c r="AE16" s="38">
        <f t="shared" ca="1" si="21"/>
        <v>0.72293645640540227</v>
      </c>
      <c r="AF16" s="237">
        <f ca="1">((Summary!$N$14*(AA16*AD16)*(A16-$D$3))+(Summary!$M$14*Z16*AC16*(AJ16-EOMONTH(EDATE(A16,-1),0))))/(AK16*AB16*AE16)</f>
        <v>0.99670119361693799</v>
      </c>
      <c r="AG16" s="88">
        <f>IF($A17="","",Summary!$Q$14)</f>
        <v>0</v>
      </c>
      <c r="AH16" s="88">
        <f>IF($A17="","",IF(Summary!$R$12="Y",(VLOOKUP($A16,Summary!$AD$6:$AF$9,3)+'Escalating commodity'!J29),'Escalating commodity'!J29))</f>
        <v>3.6970217296000006E-3</v>
      </c>
      <c r="AI16" s="88">
        <f t="shared" si="37"/>
        <v>3.6970217296000006E-3</v>
      </c>
      <c r="AJ16" s="236">
        <f t="shared" si="22"/>
        <v>37240.5</v>
      </c>
      <c r="AK16" s="58">
        <f t="shared" ca="1" si="23"/>
        <v>200</v>
      </c>
      <c r="AL16" s="26">
        <f ca="1">IF($A17="","",_xll.SPRDOPT(P16,X16,AI16,0,AB16,AE16,AF16,AK16,$AJ$2,0))</f>
        <v>0.183095192820459</v>
      </c>
      <c r="AM16" s="89">
        <f t="shared" si="24"/>
        <v>0.12654585081865583</v>
      </c>
      <c r="AN16" s="89">
        <f t="shared" ca="1" si="25"/>
        <v>5.6549342001803171E-2</v>
      </c>
      <c r="AO16" s="3">
        <f t="shared" si="26"/>
        <v>31</v>
      </c>
      <c r="AP16" s="33">
        <f t="shared" si="27"/>
        <v>37226</v>
      </c>
      <c r="AQ16" s="58">
        <f t="shared" ca="1" si="28"/>
        <v>200</v>
      </c>
      <c r="AR16" s="38">
        <f>'ANR OK vs ML7'!AR16</f>
        <v>0.1</v>
      </c>
      <c r="AS16" s="35">
        <f t="shared" ca="1" si="29"/>
        <v>0.94797032899042311</v>
      </c>
      <c r="AT16" s="3">
        <f t="shared" si="30"/>
        <v>1</v>
      </c>
      <c r="AU16" s="3">
        <f t="shared" si="31"/>
        <v>31</v>
      </c>
      <c r="AW16" s="32">
        <f t="shared" ca="1" si="32"/>
        <v>161197.0077591321</v>
      </c>
      <c r="AX16" s="32">
        <f t="shared" si="33"/>
        <v>111410.96706074459</v>
      </c>
      <c r="AY16" s="32">
        <f t="shared" ca="1" si="34"/>
        <v>49786.040698387515</v>
      </c>
      <c r="BA16" s="32">
        <f ca="1">IF($A17="","",F16*Summary!$Q$14)</f>
        <v>0</v>
      </c>
      <c r="BC16" s="256">
        <f t="shared" ca="1" si="38"/>
        <v>105614.29109771524</v>
      </c>
    </row>
    <row r="17" spans="1:55">
      <c r="A17" s="67">
        <f t="shared" si="35"/>
        <v>37257</v>
      </c>
      <c r="B17" s="69">
        <f t="shared" si="36"/>
        <v>28400</v>
      </c>
      <c r="C17" s="71"/>
      <c r="D17" s="69">
        <f t="shared" si="0"/>
        <v>28400</v>
      </c>
      <c r="E17" s="70">
        <f t="shared" si="1"/>
        <v>880400</v>
      </c>
      <c r="F17" s="70">
        <f t="shared" ca="1" si="2"/>
        <v>827709.54531445226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0.435</v>
      </c>
      <c r="K17" s="64">
        <f t="shared" si="6"/>
        <v>0.435</v>
      </c>
      <c r="L17" s="38">
        <v>0</v>
      </c>
      <c r="M17" s="64">
        <f t="shared" si="7"/>
        <v>0</v>
      </c>
      <c r="N17" s="65"/>
      <c r="O17" s="63">
        <f t="shared" si="8"/>
        <v>5.3819999999999997</v>
      </c>
      <c r="P17" s="63">
        <f t="shared" si="9"/>
        <v>5.3819999999999997</v>
      </c>
      <c r="Q17" s="66"/>
      <c r="R17" s="63">
        <f t="shared" si="10"/>
        <v>0.25</v>
      </c>
      <c r="S17" s="64">
        <f t="shared" si="11"/>
        <v>0.25</v>
      </c>
      <c r="T17" s="63">
        <f t="shared" si="12"/>
        <v>0</v>
      </c>
      <c r="U17" s="64">
        <f t="shared" si="13"/>
        <v>0</v>
      </c>
      <c r="V17" s="207">
        <f>IF($A18="","",IF(AND(MONTH(A17)&gt;3,MONTH(A17)&lt;11),(T17+R17+G17)*(((1/(1-Summary!$T$14))/(1-Summary!$W$14))-1),(T17+R17+G17)*((1/(1-Summary!$U$14))/(1-Summary!$X$14)-1)))</f>
        <v>5.5418265115230805E-2</v>
      </c>
      <c r="W17" s="43">
        <f t="shared" si="14"/>
        <v>5.2524182651152307</v>
      </c>
      <c r="X17" s="43">
        <f t="shared" si="15"/>
        <v>5.2524182651152307</v>
      </c>
      <c r="Y17" s="43"/>
      <c r="Z17" s="38">
        <f t="shared" si="16"/>
        <v>1.35</v>
      </c>
      <c r="AA17" s="38">
        <f t="shared" si="17"/>
        <v>0.57499999999999996</v>
      </c>
      <c r="AB17" s="38">
        <f t="shared" ca="1" si="18"/>
        <v>0.67405136161515022</v>
      </c>
      <c r="AC17" s="38">
        <f t="shared" si="19"/>
        <v>1.6</v>
      </c>
      <c r="AD17" s="38">
        <f t="shared" si="20"/>
        <v>0.57499999999999996</v>
      </c>
      <c r="AE17" s="38">
        <f t="shared" ca="1" si="21"/>
        <v>0.70981065702845625</v>
      </c>
      <c r="AF17" s="237">
        <f ca="1">((Summary!$N$14*(AA17*AD17)*(A17-$D$3))+(Summary!$M$14*Z17*AC17*(AJ17-EOMONTH(EDATE(A17,-1),0))))/(AK17*AB17*AE17)</f>
        <v>0.99688429906993092</v>
      </c>
      <c r="AG17" s="88">
        <f>IF($A18="","",Summary!$Q$14)</f>
        <v>0</v>
      </c>
      <c r="AH17" s="88">
        <f>IF($A18="","",IF(Summary!$R$12="Y",(VLOOKUP($A17,Summary!$AD$6:$AF$9,3)+'Escalating commodity'!J30),'Escalating commodity'!J30))</f>
        <v>3.8892668595392008E-3</v>
      </c>
      <c r="AI17" s="88">
        <f t="shared" si="37"/>
        <v>3.8892668595392008E-3</v>
      </c>
      <c r="AJ17" s="236">
        <f t="shared" si="22"/>
        <v>37271.5</v>
      </c>
      <c r="AK17" s="58">
        <f t="shared" ca="1" si="23"/>
        <v>231</v>
      </c>
      <c r="AL17" s="26">
        <f ca="1">IF($A18="","",_xll.SPRDOPT(P17,X17,AI17,0,AB17,AE17,AF17,AK17,$AJ$2,0))</f>
        <v>0.18377593196442879</v>
      </c>
      <c r="AM17" s="89">
        <f t="shared" si="24"/>
        <v>0.12569246802522979</v>
      </c>
      <c r="AN17" s="89">
        <f t="shared" ca="1" si="25"/>
        <v>5.8083463939198998E-2</v>
      </c>
      <c r="AO17" s="3">
        <f t="shared" si="26"/>
        <v>31</v>
      </c>
      <c r="AP17" s="33">
        <f t="shared" si="27"/>
        <v>37257</v>
      </c>
      <c r="AQ17" s="58">
        <f t="shared" ca="1" si="28"/>
        <v>231</v>
      </c>
      <c r="AR17" s="38">
        <f>'ANR OK vs ML7'!AR17</f>
        <v>0.1</v>
      </c>
      <c r="AS17" s="35">
        <f t="shared" ca="1" si="29"/>
        <v>0.94015168709047281</v>
      </c>
      <c r="AT17" s="3">
        <f t="shared" si="30"/>
        <v>1</v>
      </c>
      <c r="AU17" s="3">
        <f t="shared" si="31"/>
        <v>31</v>
      </c>
      <c r="AW17" s="32">
        <f t="shared" ca="1" si="32"/>
        <v>161796.33050148311</v>
      </c>
      <c r="AX17" s="32">
        <f t="shared" si="33"/>
        <v>110659.6488494123</v>
      </c>
      <c r="AY17" s="32">
        <f t="shared" ca="1" si="34"/>
        <v>51136.681652070794</v>
      </c>
      <c r="BA17" s="32">
        <f ca="1">IF($A18="","",F17*Summary!$Q$14)</f>
        <v>0</v>
      </c>
      <c r="BC17" s="256">
        <f t="shared" ca="1" si="38"/>
        <v>104036.85555861428</v>
      </c>
    </row>
    <row r="18" spans="1:55">
      <c r="A18" s="67">
        <f t="shared" si="35"/>
        <v>37288</v>
      </c>
      <c r="B18" s="69">
        <f t="shared" si="36"/>
        <v>28400</v>
      </c>
      <c r="C18" s="71"/>
      <c r="D18" s="69">
        <f t="shared" si="0"/>
        <v>28400</v>
      </c>
      <c r="E18" s="70">
        <f t="shared" si="1"/>
        <v>795200</v>
      </c>
      <c r="F18" s="70">
        <f t="shared" ca="1" si="2"/>
        <v>741442.51709338371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0.54500000000000004</v>
      </c>
      <c r="K18" s="64">
        <f t="shared" si="6"/>
        <v>0.54500000000000004</v>
      </c>
      <c r="L18" s="38">
        <v>0</v>
      </c>
      <c r="M18" s="64">
        <f t="shared" si="7"/>
        <v>0</v>
      </c>
      <c r="N18" s="65"/>
      <c r="O18" s="63">
        <f t="shared" si="8"/>
        <v>5.3620000000000001</v>
      </c>
      <c r="P18" s="63">
        <f t="shared" si="9"/>
        <v>5.3620000000000001</v>
      </c>
      <c r="Q18" s="66"/>
      <c r="R18" s="63">
        <f t="shared" si="10"/>
        <v>0.36</v>
      </c>
      <c r="S18" s="64">
        <f t="shared" si="11"/>
        <v>0.36</v>
      </c>
      <c r="T18" s="63">
        <f t="shared" si="12"/>
        <v>0</v>
      </c>
      <c r="U18" s="64">
        <f t="shared" si="13"/>
        <v>0</v>
      </c>
      <c r="V18" s="207">
        <f>IF($A19="","",IF(AND(MONTH(A18)&gt;3,MONTH(A18)&lt;11),(T18+R18+G18)*(((1/(1-Summary!$T$14))/(1-Summary!$W$14))-1),(T18+R18+G18)*((1/(1-Summary!$U$14))/(1-Summary!$X$14)-1)))</f>
        <v>5.5204994901202599E-2</v>
      </c>
      <c r="W18" s="43">
        <f t="shared" si="14"/>
        <v>5.2322049949012035</v>
      </c>
      <c r="X18" s="43">
        <f t="shared" si="15"/>
        <v>5.2322049949012035</v>
      </c>
      <c r="Y18" s="43"/>
      <c r="Z18" s="38">
        <f t="shared" si="16"/>
        <v>1.35</v>
      </c>
      <c r="AA18" s="38">
        <f t="shared" si="17"/>
        <v>0.56999999999999995</v>
      </c>
      <c r="AB18" s="38">
        <f t="shared" ca="1" si="18"/>
        <v>0.65078842377464263</v>
      </c>
      <c r="AC18" s="38">
        <f t="shared" si="19"/>
        <v>1.6</v>
      </c>
      <c r="AD18" s="38">
        <f t="shared" si="20"/>
        <v>0.56999999999999995</v>
      </c>
      <c r="AE18" s="38">
        <f t="shared" ca="1" si="21"/>
        <v>0.68039251132390399</v>
      </c>
      <c r="AF18" s="237">
        <f ca="1">((Summary!$N$14*(AA18*AD18)*(A18-$D$3))+(Summary!$M$14*Z18*AC18*(AJ18-EOMONTH(EDATE(A18,-1),0))))/(AK18*AB18*AE18)</f>
        <v>0.99714479583229898</v>
      </c>
      <c r="AG18" s="88">
        <f>IF($A19="","",Summary!$Q$14)</f>
        <v>0</v>
      </c>
      <c r="AH18" s="88">
        <f>IF($A19="","",IF(Summary!$R$12="Y",(VLOOKUP($A18,Summary!$AD$6:$AF$9,3)+'Escalating commodity'!J31),'Escalating commodity'!J31))</f>
        <v>3.8892668595392008E-3</v>
      </c>
      <c r="AI18" s="88">
        <f t="shared" si="37"/>
        <v>3.8892668595392008E-3</v>
      </c>
      <c r="AJ18" s="236">
        <f t="shared" si="22"/>
        <v>37301</v>
      </c>
      <c r="AK18" s="58">
        <f t="shared" ca="1" si="23"/>
        <v>262</v>
      </c>
      <c r="AL18" s="26">
        <f ca="1">IF($A19="","",_xll.SPRDOPT(P18,X18,AI18,0,AB18,AE18,AF18,AK18,$AJ$2,0))</f>
        <v>0.17886556309216073</v>
      </c>
      <c r="AM18" s="89">
        <f t="shared" si="24"/>
        <v>0.12590573823925741</v>
      </c>
      <c r="AN18" s="89">
        <f t="shared" ca="1" si="25"/>
        <v>5.295982485290332E-2</v>
      </c>
      <c r="AO18" s="3">
        <f t="shared" si="26"/>
        <v>28</v>
      </c>
      <c r="AP18" s="33">
        <f t="shared" si="27"/>
        <v>37288</v>
      </c>
      <c r="AQ18" s="58">
        <f t="shared" ca="1" si="28"/>
        <v>262</v>
      </c>
      <c r="AR18" s="38">
        <f>'ANR OK vs ML7'!AR18</f>
        <v>0.1</v>
      </c>
      <c r="AS18" s="35">
        <f t="shared" ca="1" si="29"/>
        <v>0.93239753155606597</v>
      </c>
      <c r="AT18" s="3">
        <f t="shared" si="30"/>
        <v>1</v>
      </c>
      <c r="AU18" s="3">
        <f t="shared" si="31"/>
        <v>28</v>
      </c>
      <c r="AW18" s="32">
        <f t="shared" ca="1" si="32"/>
        <v>142233.89577088621</v>
      </c>
      <c r="AX18" s="32">
        <f t="shared" si="33"/>
        <v>100120.2430478575</v>
      </c>
      <c r="AY18" s="32">
        <f t="shared" ca="1" si="34"/>
        <v>42113.652723028717</v>
      </c>
      <c r="BA18" s="32">
        <f ca="1">IF($A19="","",F18*Summary!$Q$14)</f>
        <v>0</v>
      </c>
      <c r="BC18" s="256">
        <f t="shared" ca="1" si="38"/>
        <v>93351.867476615706</v>
      </c>
    </row>
    <row r="19" spans="1:55">
      <c r="A19" s="67">
        <f t="shared" si="35"/>
        <v>37316</v>
      </c>
      <c r="B19" s="69">
        <f t="shared" si="36"/>
        <v>28400</v>
      </c>
      <c r="C19" s="71"/>
      <c r="D19" s="69">
        <f t="shared" si="0"/>
        <v>28400</v>
      </c>
      <c r="E19" s="70">
        <f t="shared" si="1"/>
        <v>880400</v>
      </c>
      <c r="F19" s="70">
        <f t="shared" ca="1" si="2"/>
        <v>814765.09101812355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0.54500000000000004</v>
      </c>
      <c r="K19" s="64">
        <f t="shared" si="6"/>
        <v>0.54500000000000004</v>
      </c>
      <c r="L19" s="38">
        <v>0</v>
      </c>
      <c r="M19" s="64">
        <f t="shared" si="7"/>
        <v>0</v>
      </c>
      <c r="N19" s="65"/>
      <c r="O19" s="63">
        <f t="shared" si="8"/>
        <v>5.1749999999999998</v>
      </c>
      <c r="P19" s="63">
        <f t="shared" si="9"/>
        <v>5.1749999999999998</v>
      </c>
      <c r="Q19" s="66"/>
      <c r="R19" s="63">
        <f t="shared" si="10"/>
        <v>0.36</v>
      </c>
      <c r="S19" s="64">
        <f t="shared" si="11"/>
        <v>0.36</v>
      </c>
      <c r="T19" s="63">
        <f t="shared" si="12"/>
        <v>0</v>
      </c>
      <c r="U19" s="64">
        <f t="shared" si="13"/>
        <v>0</v>
      </c>
      <c r="V19" s="207">
        <f>IF($A20="","",IF(AND(MONTH(A19)&gt;3,MONTH(A19)&lt;11),(T19+R19+G19)*(((1/(1-Summary!$T$14))/(1-Summary!$W$14))-1),(T19+R19+G19)*((1/(1-Summary!$U$14))/(1-Summary!$X$14)-1)))</f>
        <v>5.3210918400038811E-2</v>
      </c>
      <c r="W19" s="43">
        <f t="shared" si="14"/>
        <v>5.0432109184000389</v>
      </c>
      <c r="X19" s="43">
        <f t="shared" si="15"/>
        <v>5.0432109184000389</v>
      </c>
      <c r="Y19" s="43"/>
      <c r="Z19" s="38">
        <f t="shared" si="16"/>
        <v>1</v>
      </c>
      <c r="AA19" s="38">
        <f t="shared" si="17"/>
        <v>0.52300000000000002</v>
      </c>
      <c r="AB19" s="38">
        <f t="shared" ca="1" si="18"/>
        <v>0.57264341374920646</v>
      </c>
      <c r="AC19" s="38">
        <f t="shared" si="19"/>
        <v>1.2</v>
      </c>
      <c r="AD19" s="38">
        <f t="shared" si="20"/>
        <v>0.52300000000000002</v>
      </c>
      <c r="AE19" s="38">
        <f t="shared" ca="1" si="21"/>
        <v>0.59282182878977663</v>
      </c>
      <c r="AF19" s="237">
        <f ca="1">((Summary!$N$14*(AA19*AD19)*(A19-$D$3))+(Summary!$M$14*Z19*AC19*(AJ19-EOMONTH(EDATE(A19,-1),0))))/(AK19*AB19*AE19)</f>
        <v>0.99736997668667915</v>
      </c>
      <c r="AG19" s="88">
        <f>IF($A20="","",Summary!$Q$14)</f>
        <v>0</v>
      </c>
      <c r="AH19" s="88">
        <f>IF($A20="","",IF(Summary!$R$12="Y",(VLOOKUP($A19,Summary!$AD$6:$AF$9,3)+'Escalating commodity'!J32),'Escalating commodity'!J32))</f>
        <v>3.8892668595392008E-3</v>
      </c>
      <c r="AI19" s="88">
        <f t="shared" si="37"/>
        <v>3.8892668595392008E-3</v>
      </c>
      <c r="AJ19" s="236">
        <f t="shared" si="22"/>
        <v>37330.5</v>
      </c>
      <c r="AK19" s="58">
        <f t="shared" ca="1" si="23"/>
        <v>290</v>
      </c>
      <c r="AL19" s="26">
        <f ca="1">IF($A20="","",_xll.SPRDOPT(P19,X19,AI19,0,AB19,AE19,AF19,AK19,$AJ$2,0))</f>
        <v>0.16358460122664542</v>
      </c>
      <c r="AM19" s="89">
        <f t="shared" si="24"/>
        <v>0.12789981474042175</v>
      </c>
      <c r="AN19" s="89">
        <f t="shared" ca="1" si="25"/>
        <v>3.5684786486223669E-2</v>
      </c>
      <c r="AO19" s="3">
        <f t="shared" si="26"/>
        <v>31</v>
      </c>
      <c r="AP19" s="33">
        <f t="shared" si="27"/>
        <v>37316</v>
      </c>
      <c r="AQ19" s="58">
        <f t="shared" ca="1" si="28"/>
        <v>290</v>
      </c>
      <c r="AR19" s="38">
        <f>'ANR OK vs ML7'!AR19</f>
        <v>0.1</v>
      </c>
      <c r="AS19" s="35">
        <f t="shared" ca="1" si="29"/>
        <v>0.92544876308283008</v>
      </c>
      <c r="AT19" s="3">
        <f t="shared" si="30"/>
        <v>1</v>
      </c>
      <c r="AU19" s="3">
        <f t="shared" si="31"/>
        <v>31</v>
      </c>
      <c r="AW19" s="32">
        <f t="shared" ca="1" si="32"/>
        <v>144019.88291993862</v>
      </c>
      <c r="AX19" s="32">
        <f t="shared" si="33"/>
        <v>112602.99689746731</v>
      </c>
      <c r="AY19" s="32">
        <f t="shared" ca="1" si="34"/>
        <v>31416.886022471317</v>
      </c>
      <c r="BA19" s="32">
        <f ca="1">IF($A20="","",F19*Summary!$Q$14)</f>
        <v>0</v>
      </c>
      <c r="BC19" s="256">
        <f t="shared" ca="1" si="38"/>
        <v>104208.30419818086</v>
      </c>
    </row>
    <row r="20" spans="1:55">
      <c r="A20" s="67">
        <f t="shared" si="35"/>
        <v>37347</v>
      </c>
      <c r="B20" s="69">
        <f t="shared" si="36"/>
        <v>28400</v>
      </c>
      <c r="C20" s="71"/>
      <c r="D20" s="69">
        <f t="shared" si="0"/>
        <v>28400</v>
      </c>
      <c r="E20" s="70">
        <f t="shared" si="1"/>
        <v>852000</v>
      </c>
      <c r="F20" s="70">
        <f t="shared" ca="1" si="2"/>
        <v>781979.12455785519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0.245</v>
      </c>
      <c r="K20" s="64">
        <f t="shared" si="6"/>
        <v>0.245</v>
      </c>
      <c r="L20" s="38">
        <v>0</v>
      </c>
      <c r="M20" s="64">
        <f t="shared" si="7"/>
        <v>0</v>
      </c>
      <c r="N20" s="65"/>
      <c r="O20" s="63">
        <f t="shared" si="8"/>
        <v>4.5369999999999999</v>
      </c>
      <c r="P20" s="63">
        <f t="shared" si="9"/>
        <v>4.5369999999999999</v>
      </c>
      <c r="Q20" s="66"/>
      <c r="R20" s="63">
        <f t="shared" si="10"/>
        <v>0.18</v>
      </c>
      <c r="S20" s="64">
        <f t="shared" si="11"/>
        <v>0.18</v>
      </c>
      <c r="T20" s="63">
        <f t="shared" si="12"/>
        <v>0</v>
      </c>
      <c r="U20" s="64">
        <f t="shared" si="13"/>
        <v>0</v>
      </c>
      <c r="V20" s="207">
        <f>IF($A21="","",IF(AND(MONTH(A20)&gt;3,MONTH(A20)&lt;11),(T20+R20+G20)*(((1/(1-Summary!$T$14))/(1-Summary!$W$14))-1),(T20+R20+G20)*((1/(1-Summary!$U$14))/(1-Summary!$X$14)-1)))</f>
        <v>4.7687219856708124E-2</v>
      </c>
      <c r="W20" s="43">
        <f t="shared" si="14"/>
        <v>4.5196872198567073</v>
      </c>
      <c r="X20" s="43">
        <f t="shared" si="15"/>
        <v>4.5196872198567073</v>
      </c>
      <c r="Y20" s="43"/>
      <c r="Z20" s="38">
        <f t="shared" si="16"/>
        <v>0.45</v>
      </c>
      <c r="AA20" s="38">
        <f t="shared" si="17"/>
        <v>0.4</v>
      </c>
      <c r="AB20" s="38">
        <f t="shared" ca="1" si="18"/>
        <v>0.41226333718878178</v>
      </c>
      <c r="AC20" s="38">
        <f t="shared" si="19"/>
        <v>0.5</v>
      </c>
      <c r="AD20" s="38">
        <f t="shared" si="20"/>
        <v>0.4</v>
      </c>
      <c r="AE20" s="38">
        <f t="shared" ca="1" si="21"/>
        <v>0.41494660543045231</v>
      </c>
      <c r="AF20" s="237">
        <f ca="1">((Summary!$N$14*(AA20*AD20)*(A20-$D$3))+(Summary!$M$14*Z20*AC20*(AJ20-EOMONTH(EDATE(A20,-1),0))))/(AK20*AB20*AE20)</f>
        <v>0.9995857705918566</v>
      </c>
      <c r="AG20" s="88">
        <f>IF($A21="","",Summary!$Q$14)</f>
        <v>0</v>
      </c>
      <c r="AH20" s="88">
        <f>IF($A21="","",IF(Summary!$R$12="Y",(VLOOKUP($A20,Summary!$AD$6:$AF$9,3)+'Escalating commodity'!J33),'Escalating commodity'!J33))</f>
        <v>3.8892668595392008E-3</v>
      </c>
      <c r="AI20" s="88">
        <f t="shared" si="37"/>
        <v>3.8892668595392008E-3</v>
      </c>
      <c r="AJ20" s="236">
        <f t="shared" si="22"/>
        <v>37361</v>
      </c>
      <c r="AK20" s="58">
        <f t="shared" ca="1" si="23"/>
        <v>321</v>
      </c>
      <c r="AL20" s="26">
        <f ca="1">IF($A21="","",_xll.SPRDOPT(P20,X20,AI20,0,AB20,AE20,AF20,AK20,$AJ$2,0))</f>
        <v>2.4176296103608347E-2</v>
      </c>
      <c r="AM20" s="89">
        <f t="shared" si="24"/>
        <v>1.3423513283753427E-2</v>
      </c>
      <c r="AN20" s="89">
        <f t="shared" ca="1" si="25"/>
        <v>1.0752782819854921E-2</v>
      </c>
      <c r="AO20" s="3">
        <f t="shared" si="26"/>
        <v>30</v>
      </c>
      <c r="AP20" s="33">
        <f t="shared" si="27"/>
        <v>37347</v>
      </c>
      <c r="AQ20" s="58">
        <f t="shared" ca="1" si="28"/>
        <v>321</v>
      </c>
      <c r="AR20" s="38">
        <f>'ANR OK vs ML7'!AR20</f>
        <v>0.1</v>
      </c>
      <c r="AS20" s="35">
        <f t="shared" ca="1" si="29"/>
        <v>0.91781587389419628</v>
      </c>
      <c r="AT20" s="3">
        <f t="shared" si="30"/>
        <v>1</v>
      </c>
      <c r="AU20" s="3">
        <f t="shared" si="31"/>
        <v>30</v>
      </c>
      <c r="AW20" s="32">
        <f t="shared" ca="1" si="32"/>
        <v>20598.204280274313</v>
      </c>
      <c r="AX20" s="32">
        <f t="shared" si="33"/>
        <v>11436.833317757919</v>
      </c>
      <c r="AY20" s="32">
        <f t="shared" ca="1" si="34"/>
        <v>9161.370962516392</v>
      </c>
      <c r="BA20" s="32">
        <f ca="1">IF($A21="","",F20*Summary!$Q$14)</f>
        <v>0</v>
      </c>
      <c r="BC20" s="256">
        <f t="shared" ca="1" si="38"/>
        <v>10496.907166120245</v>
      </c>
    </row>
    <row r="21" spans="1:55">
      <c r="A21" s="67">
        <f t="shared" si="35"/>
        <v>37377</v>
      </c>
      <c r="B21" s="69">
        <f t="shared" si="36"/>
        <v>28400</v>
      </c>
      <c r="C21" s="71"/>
      <c r="D21" s="69">
        <f t="shared" si="0"/>
        <v>28400</v>
      </c>
      <c r="E21" s="70">
        <f t="shared" si="1"/>
        <v>880400</v>
      </c>
      <c r="F21" s="70">
        <f t="shared" ca="1" si="2"/>
        <v>801594.65044409561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0.245</v>
      </c>
      <c r="K21" s="64">
        <f t="shared" si="6"/>
        <v>0.245</v>
      </c>
      <c r="L21" s="38">
        <v>0</v>
      </c>
      <c r="M21" s="64">
        <f t="shared" si="7"/>
        <v>0</v>
      </c>
      <c r="N21" s="65"/>
      <c r="O21" s="63">
        <f t="shared" si="8"/>
        <v>4.4570000000000007</v>
      </c>
      <c r="P21" s="63">
        <f t="shared" si="9"/>
        <v>4.4570000000000007</v>
      </c>
      <c r="Q21" s="66"/>
      <c r="R21" s="63">
        <f t="shared" si="10"/>
        <v>0.18</v>
      </c>
      <c r="S21" s="64">
        <f t="shared" si="11"/>
        <v>0.18</v>
      </c>
      <c r="T21" s="63">
        <f t="shared" si="12"/>
        <v>0</v>
      </c>
      <c r="U21" s="64">
        <f t="shared" si="13"/>
        <v>0</v>
      </c>
      <c r="V21" s="207">
        <f>IF($A22="","",IF(AND(MONTH(A21)&gt;3,MONTH(A21)&lt;11),(T21+R21+G21)*(((1/(1-Summary!$T$14))/(1-Summary!$W$14))-1),(T21+R21+G21)*((1/(1-Summary!$U$14))/(1-Summary!$X$14)-1)))</f>
        <v>4.6834139000595285E-2</v>
      </c>
      <c r="W21" s="43">
        <f t="shared" si="14"/>
        <v>4.4388341390005959</v>
      </c>
      <c r="X21" s="43">
        <f t="shared" si="15"/>
        <v>4.4388341390005959</v>
      </c>
      <c r="Y21" s="43"/>
      <c r="Z21" s="38">
        <f t="shared" si="16"/>
        <v>0.5</v>
      </c>
      <c r="AA21" s="38">
        <f t="shared" si="17"/>
        <v>0.35</v>
      </c>
      <c r="AB21" s="38">
        <f t="shared" ca="1" si="18"/>
        <v>0.36590830666833579</v>
      </c>
      <c r="AC21" s="38">
        <f t="shared" si="19"/>
        <v>0.45</v>
      </c>
      <c r="AD21" s="38">
        <f t="shared" si="20"/>
        <v>0.35</v>
      </c>
      <c r="AE21" s="38">
        <f t="shared" ca="1" si="21"/>
        <v>0.36303072947246567</v>
      </c>
      <c r="AF21" s="237">
        <f ca="1">((Summary!$N$14*(AA21*AD21)*(A21-$D$3))+(Summary!$M$14*Z21*AC21*(AJ21-EOMONTH(EDATE(A21,-1),0))))/(AK21*AB21*AE21)</f>
        <v>0.99952314037954382</v>
      </c>
      <c r="AG21" s="88">
        <f>IF($A22="","",Summary!$Q$14)</f>
        <v>0</v>
      </c>
      <c r="AH21" s="88">
        <f>IF($A22="","",IF(Summary!$R$12="Y",(VLOOKUP($A21,Summary!$AD$6:$AF$9,3)+'Escalating commodity'!J34),'Escalating commodity'!J34))</f>
        <v>3.8892668595392008E-3</v>
      </c>
      <c r="AI21" s="88">
        <f t="shared" si="37"/>
        <v>3.8892668595392008E-3</v>
      </c>
      <c r="AJ21" s="236">
        <f t="shared" si="22"/>
        <v>37391.5</v>
      </c>
      <c r="AK21" s="58">
        <f t="shared" ca="1" si="23"/>
        <v>351</v>
      </c>
      <c r="AL21" s="26">
        <f ca="1">IF($A22="","",_xll.SPRDOPT(P21,X21,AI21,0,AB21,AE21,AF21,AK21,$AJ$2,0))</f>
        <v>2.5527436530185986E-2</v>
      </c>
      <c r="AM21" s="89">
        <f t="shared" si="24"/>
        <v>1.4276594139865669E-2</v>
      </c>
      <c r="AN21" s="89">
        <f t="shared" ca="1" si="25"/>
        <v>1.1250842390320316E-2</v>
      </c>
      <c r="AO21" s="3">
        <f t="shared" si="26"/>
        <v>31</v>
      </c>
      <c r="AP21" s="33">
        <f t="shared" si="27"/>
        <v>37377</v>
      </c>
      <c r="AQ21" s="58">
        <f t="shared" ca="1" si="28"/>
        <v>351</v>
      </c>
      <c r="AR21" s="38">
        <f>'ANR OK vs ML7'!AR21</f>
        <v>0.1</v>
      </c>
      <c r="AS21" s="35">
        <f t="shared" ca="1" si="29"/>
        <v>0.91048915316230761</v>
      </c>
      <c r="AT21" s="3">
        <f t="shared" si="30"/>
        <v>1</v>
      </c>
      <c r="AU21" s="3">
        <f t="shared" si="31"/>
        <v>31</v>
      </c>
      <c r="AW21" s="32">
        <f t="shared" ca="1" si="32"/>
        <v>22474.35512117574</v>
      </c>
      <c r="AX21" s="32">
        <f t="shared" si="33"/>
        <v>12569.113480737735</v>
      </c>
      <c r="AY21" s="32">
        <f t="shared" ca="1" si="34"/>
        <v>9905.2416404380074</v>
      </c>
      <c r="BA21" s="32">
        <f ca="1">IF($A22="","",F21*Summary!$Q$14)</f>
        <v>0</v>
      </c>
      <c r="BC21" s="256">
        <f t="shared" ca="1" si="38"/>
        <v>11444.041489077845</v>
      </c>
    </row>
    <row r="22" spans="1:55">
      <c r="A22" s="67">
        <f t="shared" si="35"/>
        <v>37408</v>
      </c>
      <c r="B22" s="69">
        <f t="shared" si="36"/>
        <v>28400</v>
      </c>
      <c r="C22" s="71"/>
      <c r="D22" s="69">
        <f t="shared" si="0"/>
        <v>28400</v>
      </c>
      <c r="E22" s="70">
        <f t="shared" si="1"/>
        <v>852000</v>
      </c>
      <c r="F22" s="70">
        <f t="shared" ca="1" si="2"/>
        <v>769338.6595899096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0.245</v>
      </c>
      <c r="K22" s="64">
        <f t="shared" si="6"/>
        <v>0.245</v>
      </c>
      <c r="L22" s="38">
        <v>0</v>
      </c>
      <c r="M22" s="64">
        <f t="shared" si="7"/>
        <v>0</v>
      </c>
      <c r="N22" s="65"/>
      <c r="O22" s="63">
        <f t="shared" si="8"/>
        <v>4.4969999999999999</v>
      </c>
      <c r="P22" s="63">
        <f t="shared" si="9"/>
        <v>4.4969999999999999</v>
      </c>
      <c r="Q22" s="66"/>
      <c r="R22" s="63">
        <f t="shared" si="10"/>
        <v>0.18</v>
      </c>
      <c r="S22" s="64">
        <f t="shared" si="11"/>
        <v>0.18</v>
      </c>
      <c r="T22" s="63">
        <f t="shared" si="12"/>
        <v>0</v>
      </c>
      <c r="U22" s="64">
        <f t="shared" si="13"/>
        <v>0</v>
      </c>
      <c r="V22" s="207">
        <f>IF($A23="","",IF(AND(MONTH(A22)&gt;3,MONTH(A22)&lt;11),(T22+R22+G22)*(((1/(1-Summary!$T$14))/(1-Summary!$W$14))-1),(T22+R22+G22)*((1/(1-Summary!$U$14))/(1-Summary!$X$14)-1)))</f>
        <v>4.7260679428651697E-2</v>
      </c>
      <c r="W22" s="43">
        <f t="shared" si="14"/>
        <v>4.4792606794286511</v>
      </c>
      <c r="X22" s="43">
        <f t="shared" si="15"/>
        <v>4.4792606794286511</v>
      </c>
      <c r="Y22" s="43"/>
      <c r="Z22" s="38">
        <f t="shared" si="16"/>
        <v>0.5</v>
      </c>
      <c r="AA22" s="38">
        <f t="shared" si="17"/>
        <v>0.35</v>
      </c>
      <c r="AB22" s="38">
        <f t="shared" ca="1" si="18"/>
        <v>0.36419422641630911</v>
      </c>
      <c r="AC22" s="38">
        <f t="shared" si="19"/>
        <v>0.5</v>
      </c>
      <c r="AD22" s="38">
        <f t="shared" si="20"/>
        <v>0.35</v>
      </c>
      <c r="AE22" s="38">
        <f t="shared" ca="1" si="21"/>
        <v>0.36419422641630911</v>
      </c>
      <c r="AF22" s="237">
        <f ca="1">((Summary!$N$14*(AA22*AD22)*(A22-$D$3))+(Summary!$M$14*Z22*AC22*(AJ22-EOMONTH(EDATE(A22,-1),0))))/(AK22*AB22*AE22)</f>
        <v>0.99990740119405908</v>
      </c>
      <c r="AG22" s="88">
        <f>IF($A23="","",Summary!$Q$14)</f>
        <v>0</v>
      </c>
      <c r="AH22" s="88">
        <f>IF($A23="","",IF(Summary!$R$12="Y",(VLOOKUP($A22,Summary!$AD$6:$AF$9,3)+'Escalating commodity'!J35),'Escalating commodity'!J35))</f>
        <v>3.8892668595392008E-3</v>
      </c>
      <c r="AI22" s="88">
        <f t="shared" si="37"/>
        <v>3.8892668595392008E-3</v>
      </c>
      <c r="AJ22" s="236">
        <f t="shared" si="22"/>
        <v>37422</v>
      </c>
      <c r="AK22" s="58">
        <f t="shared" ca="1" si="23"/>
        <v>382</v>
      </c>
      <c r="AL22" s="26">
        <f ca="1">IF($A23="","",_xll.SPRDOPT(P22,X22,AI22,0,AB22,AE22,AF22,AK22,$AJ$2,0))</f>
        <v>1.6018218630940974E-2</v>
      </c>
      <c r="AM22" s="89">
        <f t="shared" si="24"/>
        <v>1.3850053711809548E-2</v>
      </c>
      <c r="AN22" s="89">
        <f t="shared" ca="1" si="25"/>
        <v>2.1681649191314257E-3</v>
      </c>
      <c r="AO22" s="3">
        <f t="shared" si="26"/>
        <v>30</v>
      </c>
      <c r="AP22" s="33">
        <f t="shared" si="27"/>
        <v>37408</v>
      </c>
      <c r="AQ22" s="58">
        <f t="shared" ca="1" si="28"/>
        <v>382</v>
      </c>
      <c r="AR22" s="38">
        <f>'ANR OK vs ML7'!AR22</f>
        <v>0.1</v>
      </c>
      <c r="AS22" s="35">
        <f t="shared" ca="1" si="29"/>
        <v>0.90297964740599712</v>
      </c>
      <c r="AT22" s="3">
        <f t="shared" si="30"/>
        <v>1</v>
      </c>
      <c r="AU22" s="3">
        <f t="shared" si="31"/>
        <v>30</v>
      </c>
      <c r="AW22" s="32">
        <f t="shared" ca="1" si="32"/>
        <v>13647.52227356171</v>
      </c>
      <c r="AX22" s="32">
        <f t="shared" si="33"/>
        <v>11800.245762461735</v>
      </c>
      <c r="AY22" s="32">
        <f t="shared" ca="1" si="34"/>
        <v>1847.2765110999746</v>
      </c>
      <c r="BA22" s="32">
        <f ca="1">IF($A23="","",F22*Summary!$Q$14)</f>
        <v>0</v>
      </c>
      <c r="BC22" s="256">
        <f t="shared" ca="1" si="38"/>
        <v>10655.38175789181</v>
      </c>
    </row>
    <row r="23" spans="1:55">
      <c r="A23" s="67">
        <f t="shared" si="35"/>
        <v>37438</v>
      </c>
      <c r="B23" s="69">
        <f t="shared" si="36"/>
        <v>28400</v>
      </c>
      <c r="C23" s="71"/>
      <c r="D23" s="69">
        <f t="shared" si="0"/>
        <v>28400</v>
      </c>
      <c r="E23" s="70">
        <f t="shared" si="1"/>
        <v>880400</v>
      </c>
      <c r="F23" s="70">
        <f t="shared" ca="1" si="2"/>
        <v>788637.1062089341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0.245</v>
      </c>
      <c r="K23" s="64">
        <f t="shared" si="6"/>
        <v>0.245</v>
      </c>
      <c r="L23" s="38">
        <v>0</v>
      </c>
      <c r="M23" s="64">
        <f t="shared" si="7"/>
        <v>0</v>
      </c>
      <c r="N23" s="65"/>
      <c r="O23" s="63">
        <f t="shared" si="8"/>
        <v>4.5420000000000007</v>
      </c>
      <c r="P23" s="63">
        <f t="shared" si="9"/>
        <v>4.5420000000000007</v>
      </c>
      <c r="Q23" s="66"/>
      <c r="R23" s="63">
        <f t="shared" si="10"/>
        <v>0.18</v>
      </c>
      <c r="S23" s="64">
        <f t="shared" si="11"/>
        <v>0.18</v>
      </c>
      <c r="T23" s="63">
        <f t="shared" si="12"/>
        <v>0</v>
      </c>
      <c r="U23" s="64">
        <f t="shared" si="13"/>
        <v>0</v>
      </c>
      <c r="V23" s="207">
        <f>IF($A24="","",IF(AND(MONTH(A23)&gt;3,MONTH(A23)&lt;11),(T23+R23+G23)*(((1/(1-Summary!$T$14))/(1-Summary!$W$14))-1),(T23+R23+G23)*((1/(1-Summary!$U$14))/(1-Summary!$X$14)-1)))</f>
        <v>4.7740537410215188E-2</v>
      </c>
      <c r="W23" s="43">
        <f t="shared" si="14"/>
        <v>4.5247405374102154</v>
      </c>
      <c r="X23" s="43">
        <f t="shared" si="15"/>
        <v>4.5247405374102154</v>
      </c>
      <c r="Y23" s="43"/>
      <c r="Z23" s="38">
        <f t="shared" si="16"/>
        <v>0.55000000000000004</v>
      </c>
      <c r="AA23" s="38">
        <f t="shared" si="17"/>
        <v>0.35</v>
      </c>
      <c r="AB23" s="38">
        <f t="shared" ca="1" si="18"/>
        <v>0.36630286821445435</v>
      </c>
      <c r="AC23" s="38">
        <f t="shared" si="19"/>
        <v>0.5</v>
      </c>
      <c r="AD23" s="38">
        <f t="shared" si="20"/>
        <v>0.35</v>
      </c>
      <c r="AE23" s="38">
        <f t="shared" ca="1" si="21"/>
        <v>0.36359685078794701</v>
      </c>
      <c r="AF23" s="237">
        <f ca="1">((Summary!$N$14*(AA23*AD23)*(A23-$D$3))+(Summary!$M$14*Z23*AC23*(AJ23-EOMONTH(EDATE(A23,-1),0))))/(AK23*AB23*AE23)</f>
        <v>0.99958220136483911</v>
      </c>
      <c r="AG23" s="88">
        <f>IF($A24="","",Summary!$Q$14)</f>
        <v>0</v>
      </c>
      <c r="AH23" s="88">
        <f>IF($A24="","",IF(Summary!$R$12="Y",(VLOOKUP($A23,Summary!$AD$6:$AF$9,3)+'Escalating commodity'!J36),'Escalating commodity'!J36))</f>
        <v>3.8892668595392008E-3</v>
      </c>
      <c r="AI23" s="88">
        <f t="shared" si="37"/>
        <v>3.8892668595392008E-3</v>
      </c>
      <c r="AJ23" s="236">
        <f t="shared" si="22"/>
        <v>37452.5</v>
      </c>
      <c r="AK23" s="58">
        <f t="shared" ca="1" si="23"/>
        <v>412</v>
      </c>
      <c r="AL23" s="26">
        <f ca="1">IF($A24="","",_xll.SPRDOPT(P23,X23,AI23,0,AB23,AE23,AF23,AK23,$AJ$2,0))</f>
        <v>2.4943644738508859E-2</v>
      </c>
      <c r="AM23" s="89">
        <f t="shared" si="24"/>
        <v>1.3370195730246079E-2</v>
      </c>
      <c r="AN23" s="89">
        <f t="shared" ca="1" si="25"/>
        <v>1.1573449008262781E-2</v>
      </c>
      <c r="AO23" s="3">
        <f t="shared" si="26"/>
        <v>31</v>
      </c>
      <c r="AP23" s="33">
        <f t="shared" si="27"/>
        <v>37438</v>
      </c>
      <c r="AQ23" s="58">
        <f t="shared" ca="1" si="28"/>
        <v>412</v>
      </c>
      <c r="AR23" s="38">
        <f>'ANR OK vs ML7'!AR23</f>
        <v>0.1</v>
      </c>
      <c r="AS23" s="35">
        <f t="shared" ca="1" si="29"/>
        <v>0.89577136098243315</v>
      </c>
      <c r="AT23" s="3">
        <f t="shared" si="30"/>
        <v>1</v>
      </c>
      <c r="AU23" s="3">
        <f t="shared" si="31"/>
        <v>31</v>
      </c>
      <c r="AW23" s="32">
        <f t="shared" ca="1" si="32"/>
        <v>21960.3848277832</v>
      </c>
      <c r="AX23" s="32">
        <f t="shared" si="33"/>
        <v>11771.120320908647</v>
      </c>
      <c r="AY23" s="32">
        <f t="shared" ca="1" si="34"/>
        <v>10189.264506874551</v>
      </c>
      <c r="BA23" s="32">
        <f ca="1">IF($A24="","",F23*Summary!$Q$14)</f>
        <v>0</v>
      </c>
      <c r="BC23" s="256">
        <f t="shared" ca="1" si="38"/>
        <v>10544.232470148314</v>
      </c>
    </row>
    <row r="24" spans="1:55">
      <c r="A24" s="67">
        <f t="shared" si="35"/>
        <v>37469</v>
      </c>
      <c r="B24" s="69">
        <f t="shared" si="36"/>
        <v>28400</v>
      </c>
      <c r="C24" s="71"/>
      <c r="D24" s="69">
        <f t="shared" si="0"/>
        <v>28400</v>
      </c>
      <c r="E24" s="70">
        <f t="shared" si="1"/>
        <v>880400</v>
      </c>
      <c r="F24" s="70">
        <f t="shared" ca="1" si="2"/>
        <v>782132.60819471104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0.245</v>
      </c>
      <c r="K24" s="64">
        <f t="shared" si="6"/>
        <v>0.245</v>
      </c>
      <c r="L24" s="38">
        <v>0</v>
      </c>
      <c r="M24" s="64">
        <f t="shared" si="7"/>
        <v>0</v>
      </c>
      <c r="N24" s="65"/>
      <c r="O24" s="63">
        <f t="shared" si="8"/>
        <v>4.5670000000000002</v>
      </c>
      <c r="P24" s="63">
        <f t="shared" si="9"/>
        <v>4.5670000000000002</v>
      </c>
      <c r="Q24" s="66"/>
      <c r="R24" s="63">
        <f t="shared" si="10"/>
        <v>0.18</v>
      </c>
      <c r="S24" s="64">
        <f t="shared" si="11"/>
        <v>0.18</v>
      </c>
      <c r="T24" s="63">
        <f t="shared" si="12"/>
        <v>0</v>
      </c>
      <c r="U24" s="64">
        <f t="shared" si="13"/>
        <v>0</v>
      </c>
      <c r="V24" s="207">
        <f>IF($A25="","",IF(AND(MONTH(A24)&gt;3,MONTH(A24)&lt;11),(T24+R24+G24)*(((1/(1-Summary!$T$14))/(1-Summary!$W$14))-1),(T24+R24+G24)*((1/(1-Summary!$U$14))/(1-Summary!$X$14)-1)))</f>
        <v>4.8007125177750444E-2</v>
      </c>
      <c r="W24" s="43">
        <f t="shared" si="14"/>
        <v>4.5500071251777499</v>
      </c>
      <c r="X24" s="43">
        <f t="shared" si="15"/>
        <v>4.5500071251777499</v>
      </c>
      <c r="Y24" s="43"/>
      <c r="Z24" s="38">
        <f t="shared" si="16"/>
        <v>0.6</v>
      </c>
      <c r="AA24" s="38">
        <f t="shared" si="17"/>
        <v>0.35</v>
      </c>
      <c r="AB24" s="38">
        <f t="shared" ca="1" si="18"/>
        <v>0.36792996683691581</v>
      </c>
      <c r="AC24" s="38">
        <f t="shared" si="19"/>
        <v>0.45</v>
      </c>
      <c r="AD24" s="38">
        <f t="shared" si="20"/>
        <v>0.35</v>
      </c>
      <c r="AE24" s="38">
        <f t="shared" ca="1" si="21"/>
        <v>0.36036334184956187</v>
      </c>
      <c r="AF24" s="237">
        <f ca="1">((Summary!$N$14*(AA24*AD24)*(A24-$D$3))+(Summary!$M$14*Z24*AC24*(AJ24-EOMONTH(EDATE(A24,-1),0))))/(AK24*AB24*AE24)</f>
        <v>0.9971545507427847</v>
      </c>
      <c r="AG24" s="88">
        <f>IF($A25="","",Summary!$Q$14)</f>
        <v>0</v>
      </c>
      <c r="AH24" s="88">
        <f>IF($A25="","",IF(Summary!$R$12="Y",(VLOOKUP($A24,Summary!$AD$6:$AF$9,3)+'Escalating commodity'!J37),'Escalating commodity'!J37))</f>
        <v>3.8892668595392008E-3</v>
      </c>
      <c r="AI24" s="88">
        <f t="shared" si="37"/>
        <v>3.8892668595392008E-3</v>
      </c>
      <c r="AJ24" s="236">
        <f t="shared" si="22"/>
        <v>37483.5</v>
      </c>
      <c r="AK24" s="58">
        <f t="shared" ca="1" si="23"/>
        <v>443</v>
      </c>
      <c r="AL24" s="26">
        <f ca="1">IF($A25="","",_xll.SPRDOPT(P24,X24,AI24,0,AB24,AE24,AF24,AK24,$AJ$2,0))</f>
        <v>6.4021378711866792E-2</v>
      </c>
      <c r="AM24" s="89">
        <f t="shared" si="24"/>
        <v>1.3103607962711114E-2</v>
      </c>
      <c r="AN24" s="89">
        <f t="shared" ca="1" si="25"/>
        <v>5.0917770749155676E-2</v>
      </c>
      <c r="AO24" s="3">
        <f t="shared" si="26"/>
        <v>31</v>
      </c>
      <c r="AP24" s="33">
        <f t="shared" si="27"/>
        <v>37469</v>
      </c>
      <c r="AQ24" s="58">
        <f t="shared" ca="1" si="28"/>
        <v>443</v>
      </c>
      <c r="AR24" s="38">
        <f>'ANR OK vs ML7'!AR24</f>
        <v>0.1</v>
      </c>
      <c r="AS24" s="35">
        <f t="shared" ca="1" si="29"/>
        <v>0.8883832442011711</v>
      </c>
      <c r="AT24" s="3">
        <f t="shared" si="30"/>
        <v>1</v>
      </c>
      <c r="AU24" s="3">
        <f t="shared" si="31"/>
        <v>31</v>
      </c>
      <c r="AW24" s="32">
        <f t="shared" ca="1" si="32"/>
        <v>56364.421817927527</v>
      </c>
      <c r="AX24" s="32">
        <f t="shared" si="33"/>
        <v>11536.416450370865</v>
      </c>
      <c r="AY24" s="32">
        <f t="shared" ca="1" si="34"/>
        <v>44828.00536755666</v>
      </c>
      <c r="BA24" s="32">
        <f ca="1">IF($A25="","",F24*Summary!$Q$14)</f>
        <v>0</v>
      </c>
      <c r="BC24" s="256">
        <f t="shared" ca="1" si="38"/>
        <v>10248.759072636227</v>
      </c>
    </row>
    <row r="25" spans="1:55">
      <c r="A25" s="67">
        <f t="shared" si="35"/>
        <v>37500</v>
      </c>
      <c r="B25" s="69">
        <f t="shared" si="36"/>
        <v>28400</v>
      </c>
      <c r="C25" s="71"/>
      <c r="D25" s="69">
        <f t="shared" si="0"/>
        <v>28400</v>
      </c>
      <c r="E25" s="70">
        <f t="shared" si="1"/>
        <v>852000</v>
      </c>
      <c r="F25" s="70">
        <f t="shared" ca="1" si="2"/>
        <v>750659.76560187142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0.245</v>
      </c>
      <c r="K25" s="64">
        <f t="shared" si="6"/>
        <v>0.245</v>
      </c>
      <c r="L25" s="38">
        <v>0</v>
      </c>
      <c r="M25" s="64">
        <f t="shared" si="7"/>
        <v>0</v>
      </c>
      <c r="N25" s="65"/>
      <c r="O25" s="63">
        <f t="shared" si="8"/>
        <v>4.5720000000000001</v>
      </c>
      <c r="P25" s="63">
        <f t="shared" si="9"/>
        <v>4.5720000000000001</v>
      </c>
      <c r="Q25" s="66"/>
      <c r="R25" s="63">
        <f t="shared" si="10"/>
        <v>0.18</v>
      </c>
      <c r="S25" s="64">
        <f t="shared" si="11"/>
        <v>0.18</v>
      </c>
      <c r="T25" s="63">
        <f t="shared" si="12"/>
        <v>0</v>
      </c>
      <c r="U25" s="64">
        <f t="shared" si="13"/>
        <v>0</v>
      </c>
      <c r="V25" s="207">
        <f>IF($A26="","",IF(AND(MONTH(A25)&gt;3,MONTH(A25)&lt;11),(T25+R25+G25)*(((1/(1-Summary!$T$14))/(1-Summary!$W$14))-1),(T25+R25+G25)*((1/(1-Summary!$U$14))/(1-Summary!$X$14)-1)))</f>
        <v>4.8060442731257494E-2</v>
      </c>
      <c r="W25" s="43">
        <f t="shared" si="14"/>
        <v>4.5550604427312571</v>
      </c>
      <c r="X25" s="43">
        <f t="shared" si="15"/>
        <v>4.5550604427312571</v>
      </c>
      <c r="Y25" s="43"/>
      <c r="Z25" s="38">
        <f t="shared" si="16"/>
        <v>0.6</v>
      </c>
      <c r="AA25" s="38">
        <f t="shared" si="17"/>
        <v>0.35</v>
      </c>
      <c r="AB25" s="38">
        <f t="shared" ca="1" si="18"/>
        <v>0.36626608344461342</v>
      </c>
      <c r="AC25" s="38">
        <f t="shared" si="19"/>
        <v>0.5</v>
      </c>
      <c r="AD25" s="38">
        <f t="shared" si="20"/>
        <v>0.35</v>
      </c>
      <c r="AE25" s="38">
        <f t="shared" ca="1" si="21"/>
        <v>0.36148282286109901</v>
      </c>
      <c r="AF25" s="237">
        <f ca="1">((Summary!$N$14*(AA25*AD25)*(A25-$D$3))+(Summary!$M$14*Z25*AC25*(AJ25-EOMONTH(EDATE(A25,-1),0))))/(AK25*AB25*AE25)</f>
        <v>0.99879860101732609</v>
      </c>
      <c r="AG25" s="88">
        <f>IF($A26="","",Summary!$Q$14)</f>
        <v>0</v>
      </c>
      <c r="AH25" s="88">
        <f>IF($A26="","",IF(Summary!$R$12="Y",(VLOOKUP($A25,Summary!$AD$6:$AF$9,3)+'Escalating commodity'!J38),'Escalating commodity'!J38))</f>
        <v>3.8892668595392008E-3</v>
      </c>
      <c r="AI25" s="88">
        <f t="shared" si="37"/>
        <v>3.8892668595392008E-3</v>
      </c>
      <c r="AJ25" s="236">
        <f t="shared" si="22"/>
        <v>37514</v>
      </c>
      <c r="AK25" s="58">
        <f t="shared" ca="1" si="23"/>
        <v>474</v>
      </c>
      <c r="AL25" s="26">
        <f ca="1">IF($A26="","",_xll.SPRDOPT(P25,X25,AI25,0,AB25,AE25,AF25,AK25,$AJ$2,0))</f>
        <v>4.5348122242319266E-2</v>
      </c>
      <c r="AM25" s="89">
        <f t="shared" si="24"/>
        <v>1.3050290409203765E-2</v>
      </c>
      <c r="AN25" s="89">
        <f t="shared" ca="1" si="25"/>
        <v>3.2297831833115499E-2</v>
      </c>
      <c r="AO25" s="3">
        <f t="shared" si="26"/>
        <v>30</v>
      </c>
      <c r="AP25" s="33">
        <f t="shared" si="27"/>
        <v>37500</v>
      </c>
      <c r="AQ25" s="58">
        <f t="shared" ca="1" si="28"/>
        <v>474</v>
      </c>
      <c r="AR25" s="38">
        <f>'ANR OK vs ML7'!AR25</f>
        <v>0.1</v>
      </c>
      <c r="AS25" s="35">
        <f t="shared" ca="1" si="29"/>
        <v>0.88105606291299465</v>
      </c>
      <c r="AT25" s="3">
        <f t="shared" si="30"/>
        <v>1</v>
      </c>
      <c r="AU25" s="3">
        <f t="shared" si="31"/>
        <v>30</v>
      </c>
      <c r="AW25" s="32">
        <f t="shared" ca="1" si="32"/>
        <v>38636.600150456012</v>
      </c>
      <c r="AX25" s="32">
        <f t="shared" si="33"/>
        <v>11118.847428641608</v>
      </c>
      <c r="AY25" s="32">
        <f t="shared" ca="1" si="34"/>
        <v>27517.752721814406</v>
      </c>
      <c r="BA25" s="32">
        <f ca="1">IF($A26="","",F25*Summary!$Q$14)</f>
        <v>0</v>
      </c>
      <c r="BC25" s="256">
        <f t="shared" ca="1" si="38"/>
        <v>9796.3279396092494</v>
      </c>
    </row>
    <row r="26" spans="1:55">
      <c r="A26" s="67">
        <f t="shared" si="35"/>
        <v>37530</v>
      </c>
      <c r="B26" s="69">
        <f t="shared" si="36"/>
        <v>28400</v>
      </c>
      <c r="C26" s="71"/>
      <c r="D26" s="69">
        <f t="shared" si="0"/>
        <v>28400</v>
      </c>
      <c r="E26" s="70">
        <f t="shared" si="1"/>
        <v>880400</v>
      </c>
      <c r="F26" s="70">
        <f t="shared" ca="1" si="2"/>
        <v>769489.66220844409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0.245</v>
      </c>
      <c r="K26" s="64">
        <f t="shared" si="6"/>
        <v>0.245</v>
      </c>
      <c r="L26" s="38">
        <v>0</v>
      </c>
      <c r="M26" s="64">
        <f t="shared" si="7"/>
        <v>0</v>
      </c>
      <c r="N26" s="65"/>
      <c r="O26" s="63">
        <f t="shared" si="8"/>
        <v>4.5820000000000007</v>
      </c>
      <c r="P26" s="63">
        <f t="shared" si="9"/>
        <v>4.5820000000000007</v>
      </c>
      <c r="Q26" s="66"/>
      <c r="R26" s="63">
        <f t="shared" si="10"/>
        <v>0.18</v>
      </c>
      <c r="S26" s="64">
        <f t="shared" si="11"/>
        <v>0.18</v>
      </c>
      <c r="T26" s="63">
        <f t="shared" si="12"/>
        <v>0</v>
      </c>
      <c r="U26" s="64">
        <f t="shared" si="13"/>
        <v>0</v>
      </c>
      <c r="V26" s="207">
        <f>IF($A27="","",IF(AND(MONTH(A26)&gt;3,MONTH(A26)&lt;11),(T26+R26+G26)*(((1/(1-Summary!$T$14))/(1-Summary!$W$14))-1),(T26+R26+G26)*((1/(1-Summary!$U$14))/(1-Summary!$X$14)-1)))</f>
        <v>4.8167077838271607E-2</v>
      </c>
      <c r="W26" s="43">
        <f t="shared" si="14"/>
        <v>4.5651670778382716</v>
      </c>
      <c r="X26" s="43">
        <f t="shared" si="15"/>
        <v>4.5651670778382716</v>
      </c>
      <c r="Y26" s="43"/>
      <c r="Z26" s="38">
        <f t="shared" si="16"/>
        <v>0.65</v>
      </c>
      <c r="AA26" s="38">
        <f t="shared" si="17"/>
        <v>0.35300000000000004</v>
      </c>
      <c r="AB26" s="38">
        <f t="shared" ca="1" si="18"/>
        <v>0.37128128375487329</v>
      </c>
      <c r="AC26" s="38">
        <f t="shared" si="19"/>
        <v>0.5</v>
      </c>
      <c r="AD26" s="38">
        <f t="shared" si="20"/>
        <v>0.35300000000000004</v>
      </c>
      <c r="AE26" s="38">
        <f t="shared" ca="1" si="21"/>
        <v>0.36406693360267856</v>
      </c>
      <c r="AF26" s="237">
        <f ca="1">((Summary!$N$14*(AA26*AD26)*(A26-$D$3))+(Summary!$M$14*Z26*AC26*(AJ26-EOMONTH(EDATE(A26,-1),0))))/(AK26*AB26*AE26)</f>
        <v>0.99754056893653942</v>
      </c>
      <c r="AG26" s="88">
        <f>IF($A27="","",Summary!$Q$14)</f>
        <v>0</v>
      </c>
      <c r="AH26" s="88">
        <f>IF($A27="","",IF(Summary!$R$12="Y",(VLOOKUP($A26,Summary!$AD$6:$AF$9,3)+'Escalating commodity'!J39),'Escalating commodity'!J39))</f>
        <v>3.8892668595392008E-3</v>
      </c>
      <c r="AI26" s="88">
        <f t="shared" si="37"/>
        <v>3.8892668595392008E-3</v>
      </c>
      <c r="AJ26" s="236">
        <f t="shared" si="22"/>
        <v>37544.5</v>
      </c>
      <c r="AK26" s="58">
        <f t="shared" ca="1" si="23"/>
        <v>504</v>
      </c>
      <c r="AL26" s="26">
        <f ca="1">IF($A27="","",_xll.SPRDOPT(P26,X26,AI26,0,AB26,AE26,AF26,AK26,$AJ$2,0))</f>
        <v>6.4274659024740555E-2</v>
      </c>
      <c r="AM26" s="89">
        <f t="shared" si="24"/>
        <v>1.2943655302189957E-2</v>
      </c>
      <c r="AN26" s="89">
        <f t="shared" ca="1" si="25"/>
        <v>5.1331003722550596E-2</v>
      </c>
      <c r="AO26" s="3">
        <f t="shared" si="26"/>
        <v>31</v>
      </c>
      <c r="AP26" s="33">
        <f t="shared" si="27"/>
        <v>37530</v>
      </c>
      <c r="AQ26" s="58">
        <f t="shared" ca="1" si="28"/>
        <v>504</v>
      </c>
      <c r="AR26" s="38">
        <f>'ANR OK vs ML7'!AR26</f>
        <v>0.1</v>
      </c>
      <c r="AS26" s="35">
        <f t="shared" ca="1" si="29"/>
        <v>0.87402278760613827</v>
      </c>
      <c r="AT26" s="3">
        <f t="shared" si="30"/>
        <v>1</v>
      </c>
      <c r="AU26" s="3">
        <f t="shared" si="31"/>
        <v>31</v>
      </c>
      <c r="AW26" s="32">
        <f t="shared" ca="1" si="32"/>
        <v>56587.409805381583</v>
      </c>
      <c r="AX26" s="32">
        <f t="shared" si="33"/>
        <v>11395.594128048038</v>
      </c>
      <c r="AY26" s="32">
        <f t="shared" ca="1" si="34"/>
        <v>45191.815677333543</v>
      </c>
      <c r="BA26" s="32">
        <f ca="1">IF($A27="","",F26*Summary!$Q$14)</f>
        <v>0</v>
      </c>
      <c r="BC26" s="256">
        <f t="shared" ca="1" si="38"/>
        <v>9960.008946224687</v>
      </c>
    </row>
    <row r="27" spans="1:55">
      <c r="A27" s="67">
        <f t="shared" si="35"/>
        <v>37561</v>
      </c>
      <c r="B27" s="69">
        <f t="shared" si="36"/>
        <v>28400</v>
      </c>
      <c r="C27" s="71"/>
      <c r="D27" s="69">
        <f t="shared" si="0"/>
        <v>28400</v>
      </c>
      <c r="E27" s="70">
        <f t="shared" si="1"/>
        <v>852000</v>
      </c>
      <c r="F27" s="70">
        <f t="shared" ca="1" si="2"/>
        <v>738525.5689565303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0.45500000000000002</v>
      </c>
      <c r="K27" s="64">
        <f t="shared" si="6"/>
        <v>0.45500000000000002</v>
      </c>
      <c r="L27" s="38">
        <v>0</v>
      </c>
      <c r="M27" s="64">
        <f t="shared" si="7"/>
        <v>0</v>
      </c>
      <c r="N27" s="65"/>
      <c r="O27" s="63">
        <f t="shared" si="8"/>
        <v>4.9320000000000004</v>
      </c>
      <c r="P27" s="63">
        <f t="shared" si="9"/>
        <v>4.9320000000000004</v>
      </c>
      <c r="Q27" s="66"/>
      <c r="R27" s="63">
        <f t="shared" si="10"/>
        <v>0.26500000000000001</v>
      </c>
      <c r="S27" s="64">
        <f t="shared" si="11"/>
        <v>0.26500000000000001</v>
      </c>
      <c r="T27" s="63">
        <f t="shared" si="12"/>
        <v>0</v>
      </c>
      <c r="U27" s="64">
        <f t="shared" si="13"/>
        <v>0</v>
      </c>
      <c r="V27" s="207">
        <f>IF($A28="","",IF(AND(MONTH(A27)&gt;3,MONTH(A27)&lt;11),(T27+R27+G27)*(((1/(1-Summary!$T$14))/(1-Summary!$W$14))-1),(T27+R27+G27)*((1/(1-Summary!$U$14))/(1-Summary!$X$14)-1)))</f>
        <v>5.0566367746088983E-2</v>
      </c>
      <c r="W27" s="43">
        <f t="shared" si="14"/>
        <v>4.7925663677460886</v>
      </c>
      <c r="X27" s="43">
        <f t="shared" si="15"/>
        <v>4.7925663677460886</v>
      </c>
      <c r="Y27" s="43"/>
      <c r="Z27" s="38">
        <f t="shared" si="16"/>
        <v>0.8</v>
      </c>
      <c r="AA27" s="38">
        <f t="shared" si="17"/>
        <v>0.35800000000000004</v>
      </c>
      <c r="AB27" s="38">
        <f t="shared" ca="1" si="18"/>
        <v>0.38255389700295767</v>
      </c>
      <c r="AC27" s="38">
        <f t="shared" si="19"/>
        <v>0.95</v>
      </c>
      <c r="AD27" s="38">
        <f t="shared" si="20"/>
        <v>0.35800000000000004</v>
      </c>
      <c r="AE27" s="38">
        <f t="shared" ca="1" si="21"/>
        <v>0.39205522212599297</v>
      </c>
      <c r="AF27" s="237">
        <f ca="1">((Summary!$N$14*(AA27*AD27)*(A27-$D$3))+(Summary!$M$14*Z27*AC27*(AJ27-EOMONTH(EDATE(A27,-1),0))))/(AK27*AB27*AE27)</f>
        <v>0.99811228781203454</v>
      </c>
      <c r="AG27" s="88">
        <f>IF($A28="","",Summary!$Q$14)</f>
        <v>0</v>
      </c>
      <c r="AH27" s="88">
        <f>IF($A28="","",IF(Summary!$R$12="Y",(VLOOKUP($A27,Summary!$AD$6:$AF$9,3)+'Escalating commodity'!J40),'Escalating commodity'!J40))</f>
        <v>3.8892668595392008E-3</v>
      </c>
      <c r="AI27" s="88">
        <f t="shared" si="37"/>
        <v>3.8892668595392008E-3</v>
      </c>
      <c r="AJ27" s="236">
        <f t="shared" si="22"/>
        <v>37575</v>
      </c>
      <c r="AK27" s="58">
        <f t="shared" ca="1" si="23"/>
        <v>535</v>
      </c>
      <c r="AL27" s="26">
        <f ca="1">IF($A28="","",_xll.SPRDOPT(P27,X27,AI27,0,AB27,AE27,AF27,AK27,$AJ$2,0))</f>
        <v>0.1505488126879789</v>
      </c>
      <c r="AM27" s="89">
        <f t="shared" si="24"/>
        <v>0.13554436539437262</v>
      </c>
      <c r="AN27" s="89">
        <f t="shared" ca="1" si="25"/>
        <v>1.5004447293606282E-2</v>
      </c>
      <c r="AO27" s="3">
        <f t="shared" si="26"/>
        <v>30</v>
      </c>
      <c r="AP27" s="33">
        <f t="shared" si="27"/>
        <v>37561</v>
      </c>
      <c r="AQ27" s="58">
        <f t="shared" ca="1" si="28"/>
        <v>535</v>
      </c>
      <c r="AR27" s="38">
        <f>'ANR OK vs ML7'!AR27</f>
        <v>0.1</v>
      </c>
      <c r="AS27" s="35">
        <f t="shared" ca="1" si="29"/>
        <v>0.8668140480710449</v>
      </c>
      <c r="AT27" s="3">
        <f t="shared" si="30"/>
        <v>1</v>
      </c>
      <c r="AU27" s="3">
        <f t="shared" si="31"/>
        <v>30</v>
      </c>
      <c r="AW27" s="32">
        <f t="shared" ca="1" si="32"/>
        <v>128267.58841015802</v>
      </c>
      <c r="AX27" s="32">
        <f t="shared" si="33"/>
        <v>115483.79931600548</v>
      </c>
      <c r="AY27" s="32">
        <f t="shared" ca="1" si="34"/>
        <v>12783.789094152553</v>
      </c>
      <c r="BA27" s="32">
        <f ca="1">IF($A28="","",F27*Summary!$Q$14)</f>
        <v>0</v>
      </c>
      <c r="BC27" s="256">
        <f t="shared" ca="1" si="38"/>
        <v>100102.97957173087</v>
      </c>
    </row>
    <row r="28" spans="1:55">
      <c r="A28" s="67">
        <f t="shared" si="35"/>
        <v>37591</v>
      </c>
      <c r="B28" s="69">
        <f t="shared" si="36"/>
        <v>28400</v>
      </c>
      <c r="C28" s="71"/>
      <c r="D28" s="69">
        <f t="shared" si="0"/>
        <v>28400</v>
      </c>
      <c r="E28" s="70">
        <f t="shared" si="1"/>
        <v>880400</v>
      </c>
      <c r="F28" s="70">
        <f t="shared" ca="1" si="2"/>
        <v>757051.08576455014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0.44500000000000001</v>
      </c>
      <c r="K28" s="64">
        <f t="shared" si="6"/>
        <v>0.44500000000000001</v>
      </c>
      <c r="L28" s="38">
        <v>0</v>
      </c>
      <c r="M28" s="64">
        <f t="shared" si="7"/>
        <v>0</v>
      </c>
      <c r="N28" s="65"/>
      <c r="O28" s="63">
        <f t="shared" si="8"/>
        <v>5.0520000000000005</v>
      </c>
      <c r="P28" s="63">
        <f t="shared" si="9"/>
        <v>5.0520000000000005</v>
      </c>
      <c r="Q28" s="66"/>
      <c r="R28" s="63">
        <f t="shared" si="10"/>
        <v>0.255</v>
      </c>
      <c r="S28" s="64">
        <f t="shared" si="11"/>
        <v>0.255</v>
      </c>
      <c r="T28" s="63">
        <f t="shared" si="12"/>
        <v>0</v>
      </c>
      <c r="U28" s="64">
        <f t="shared" si="13"/>
        <v>0</v>
      </c>
      <c r="V28" s="207">
        <f>IF($A29="","",IF(AND(MONTH(A28)&gt;3,MONTH(A28)&lt;11),(T28+R28+G28)*(((1/(1-Summary!$T$14))/(1-Summary!$W$14))-1),(T28+R28+G28)*((1/(1-Summary!$U$14))/(1-Summary!$X$14)-1)))</f>
        <v>5.1845989030258256E-2</v>
      </c>
      <c r="W28" s="43">
        <f t="shared" si="14"/>
        <v>4.9138459890302579</v>
      </c>
      <c r="X28" s="43">
        <f t="shared" si="15"/>
        <v>4.9138459890302579</v>
      </c>
      <c r="Y28" s="43"/>
      <c r="Z28" s="38">
        <f t="shared" si="16"/>
        <v>1.1000000000000001</v>
      </c>
      <c r="AA28" s="38">
        <f t="shared" si="17"/>
        <v>0.36300000000000004</v>
      </c>
      <c r="AB28" s="38">
        <f t="shared" ca="1" si="18"/>
        <v>0.40644422708966271</v>
      </c>
      <c r="AC28" s="38">
        <f t="shared" si="19"/>
        <v>1.35</v>
      </c>
      <c r="AD28" s="38">
        <f t="shared" si="20"/>
        <v>0.36300000000000004</v>
      </c>
      <c r="AE28" s="38">
        <f t="shared" ca="1" si="21"/>
        <v>0.42661458845150391</v>
      </c>
      <c r="AF28" s="237">
        <f ca="1">((Summary!$N$14*(AA28*AD28)*(A28-$D$3))+(Summary!$M$14*Z28*AC28*(AJ28-EOMONTH(EDATE(A28,-1),0))))/(AK28*AB28*AE28)</f>
        <v>0.99615283470054039</v>
      </c>
      <c r="AG28" s="88">
        <f>IF($A29="","",Summary!$Q$14)</f>
        <v>0</v>
      </c>
      <c r="AH28" s="88">
        <f>IF($A29="","",IF(Summary!$R$12="Y",(VLOOKUP($A28,Summary!$AD$6:$AF$9,3)+'Escalating commodity'!J41),'Escalating commodity'!J41))</f>
        <v>3.8892668595392008E-3</v>
      </c>
      <c r="AI28" s="88">
        <f t="shared" si="37"/>
        <v>3.8892668595392008E-3</v>
      </c>
      <c r="AJ28" s="236">
        <f t="shared" si="22"/>
        <v>37605.5</v>
      </c>
      <c r="AK28" s="58">
        <f t="shared" ca="1" si="23"/>
        <v>565</v>
      </c>
      <c r="AL28" s="26">
        <f ca="1">IF($A29="","",_xll.SPRDOPT(P28,X28,AI28,0,AB28,AE28,AF28,AK28,$AJ$2,0))</f>
        <v>0.18356752566213969</v>
      </c>
      <c r="AM28" s="89">
        <f t="shared" si="24"/>
        <v>0.13426474411020337</v>
      </c>
      <c r="AN28" s="89">
        <f t="shared" ca="1" si="25"/>
        <v>4.930278155193632E-2</v>
      </c>
      <c r="AO28" s="3">
        <f t="shared" si="26"/>
        <v>31</v>
      </c>
      <c r="AP28" s="33">
        <f t="shared" si="27"/>
        <v>37591</v>
      </c>
      <c r="AQ28" s="58">
        <f t="shared" ca="1" si="28"/>
        <v>565</v>
      </c>
      <c r="AR28" s="38">
        <f>'ANR OK vs ML7'!AR28</f>
        <v>0.1</v>
      </c>
      <c r="AS28" s="35">
        <f t="shared" ca="1" si="29"/>
        <v>0.85989446361261945</v>
      </c>
      <c r="AT28" s="3">
        <f t="shared" si="30"/>
        <v>1</v>
      </c>
      <c r="AU28" s="3">
        <f t="shared" si="31"/>
        <v>31</v>
      </c>
      <c r="AW28" s="32">
        <f t="shared" ca="1" si="32"/>
        <v>161612.84959294778</v>
      </c>
      <c r="AX28" s="32">
        <f t="shared" si="33"/>
        <v>118206.68071462304</v>
      </c>
      <c r="AY28" s="32">
        <f t="shared" ca="1" si="34"/>
        <v>43406.168878324737</v>
      </c>
      <c r="BA28" s="32">
        <f ca="1">IF($A29="","",F28*Summary!$Q$14)</f>
        <v>0</v>
      </c>
      <c r="BC28" s="256">
        <f t="shared" ca="1" si="38"/>
        <v>101645.27030852894</v>
      </c>
    </row>
    <row r="29" spans="1:55">
      <c r="A29" s="67">
        <f t="shared" si="35"/>
        <v>37622</v>
      </c>
      <c r="B29" s="69">
        <f t="shared" si="36"/>
        <v>28400</v>
      </c>
      <c r="C29" s="71"/>
      <c r="D29" s="69">
        <f t="shared" si="0"/>
        <v>28400</v>
      </c>
      <c r="E29" s="70">
        <f t="shared" si="1"/>
        <v>880400</v>
      </c>
      <c r="F29" s="70">
        <f t="shared" ca="1" si="2"/>
        <v>750807.10200414562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0.46500000000000002</v>
      </c>
      <c r="K29" s="64">
        <f t="shared" si="6"/>
        <v>0.46500000000000002</v>
      </c>
      <c r="L29" s="38">
        <v>0</v>
      </c>
      <c r="M29" s="64">
        <f t="shared" si="7"/>
        <v>0</v>
      </c>
      <c r="N29" s="65"/>
      <c r="O29" s="63">
        <f t="shared" si="8"/>
        <v>5.1159999999999997</v>
      </c>
      <c r="P29" s="63">
        <f t="shared" si="9"/>
        <v>5.1159999999999997</v>
      </c>
      <c r="Q29" s="66"/>
      <c r="R29" s="63">
        <f t="shared" si="10"/>
        <v>0.27500000000000002</v>
      </c>
      <c r="S29" s="64">
        <f t="shared" si="11"/>
        <v>0.27500000000000002</v>
      </c>
      <c r="T29" s="63">
        <f t="shared" si="12"/>
        <v>0</v>
      </c>
      <c r="U29" s="64">
        <f t="shared" si="13"/>
        <v>0</v>
      </c>
      <c r="V29" s="207">
        <f>IF($A30="","",IF(AND(MONTH(A29)&gt;3,MONTH(A29)&lt;11),(T29+R29+G29)*(((1/(1-Summary!$T$14))/(1-Summary!$W$14))-1),(T29+R29+G29)*((1/(1-Summary!$U$14))/(1-Summary!$X$14)-1)))</f>
        <v>5.2528453715148533E-2</v>
      </c>
      <c r="W29" s="43">
        <f t="shared" si="14"/>
        <v>4.9785284537151488</v>
      </c>
      <c r="X29" s="43">
        <f t="shared" si="15"/>
        <v>4.9785284537151488</v>
      </c>
      <c r="Y29" s="43"/>
      <c r="Z29" s="38">
        <f t="shared" si="16"/>
        <v>1.1000000000000001</v>
      </c>
      <c r="AA29" s="38">
        <f t="shared" si="17"/>
        <v>0.36799999999999999</v>
      </c>
      <c r="AB29" s="38">
        <f t="shared" ca="1" si="18"/>
        <v>0.4088023266590825</v>
      </c>
      <c r="AC29" s="38">
        <f t="shared" si="19"/>
        <v>1.35</v>
      </c>
      <c r="AD29" s="38">
        <f t="shared" si="20"/>
        <v>0.36799999999999999</v>
      </c>
      <c r="AE29" s="38">
        <f t="shared" ca="1" si="21"/>
        <v>0.4278416214209812</v>
      </c>
      <c r="AF29" s="237">
        <f ca="1">((Summary!$N$14*(AA29*AD29)*(A29-$D$3))+(Summary!$M$14*Z29*AC29*(AJ29-EOMONTH(EDATE(A29,-1),0))))/(AK29*AB29*AE29)</f>
        <v>0.99631207714606373</v>
      </c>
      <c r="AG29" s="88">
        <f>IF($A30="","",Summary!$Q$14)</f>
        <v>0</v>
      </c>
      <c r="AH29" s="88">
        <f>IF($A30="","",IF(Summary!$R$12="Y",(VLOOKUP($A29,Summary!$AD$6:$AF$9,3)+'Escalating commodity'!J42),'Escalating commodity'!J42))</f>
        <v>5.0560469174009614E-3</v>
      </c>
      <c r="AI29" s="88">
        <f t="shared" si="37"/>
        <v>5.0560469174009614E-3</v>
      </c>
      <c r="AJ29" s="236">
        <f t="shared" si="22"/>
        <v>37636.5</v>
      </c>
      <c r="AK29" s="58">
        <f t="shared" ca="1" si="23"/>
        <v>596</v>
      </c>
      <c r="AL29" s="26">
        <f ca="1">IF($A30="","",_xll.SPRDOPT(P29,X29,AI29,0,AB29,AE29,AF29,AK29,$AJ$2,0))</f>
        <v>0.18341111087854792</v>
      </c>
      <c r="AM29" s="89">
        <f t="shared" si="24"/>
        <v>0.13241549936744984</v>
      </c>
      <c r="AN29" s="89">
        <f t="shared" ca="1" si="25"/>
        <v>5.0995611511098077E-2</v>
      </c>
      <c r="AO29" s="3">
        <f t="shared" si="26"/>
        <v>31</v>
      </c>
      <c r="AP29" s="33">
        <f t="shared" si="27"/>
        <v>37622</v>
      </c>
      <c r="AQ29" s="58">
        <f t="shared" ca="1" si="28"/>
        <v>596</v>
      </c>
      <c r="AR29" s="38">
        <f>'ANR OK vs ML7'!AR29</f>
        <v>0.1</v>
      </c>
      <c r="AS29" s="35">
        <f t="shared" ca="1" si="29"/>
        <v>0.85280225125414089</v>
      </c>
      <c r="AT29" s="3">
        <f t="shared" si="30"/>
        <v>1</v>
      </c>
      <c r="AU29" s="3">
        <f t="shared" si="31"/>
        <v>31</v>
      </c>
      <c r="AW29" s="32">
        <f t="shared" ca="1" si="32"/>
        <v>161475.14201747358</v>
      </c>
      <c r="AX29" s="32">
        <f t="shared" si="33"/>
        <v>116578.60564310284</v>
      </c>
      <c r="AY29" s="32">
        <f t="shared" ca="1" si="34"/>
        <v>44896.536374370749</v>
      </c>
      <c r="BA29" s="32">
        <f ca="1">IF($A30="","",F29*Summary!$Q$14)</f>
        <v>0</v>
      </c>
      <c r="BC29" s="256">
        <f t="shared" ca="1" si="38"/>
        <v>99418.497340506787</v>
      </c>
    </row>
    <row r="30" spans="1:55">
      <c r="A30" s="67">
        <f t="shared" si="35"/>
        <v>37653</v>
      </c>
      <c r="B30" s="69">
        <f t="shared" si="36"/>
        <v>28400</v>
      </c>
      <c r="C30" s="71"/>
      <c r="D30" s="69">
        <f t="shared" si="0"/>
        <v>28400</v>
      </c>
      <c r="E30" s="70">
        <f t="shared" si="1"/>
        <v>795200</v>
      </c>
      <c r="F30" s="70">
        <f t="shared" ca="1" si="2"/>
        <v>672555.13810711959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0.52500000000000002</v>
      </c>
      <c r="K30" s="64">
        <f t="shared" si="6"/>
        <v>0.52500000000000002</v>
      </c>
      <c r="L30" s="38">
        <v>0</v>
      </c>
      <c r="M30" s="64">
        <f t="shared" si="7"/>
        <v>0</v>
      </c>
      <c r="N30" s="65"/>
      <c r="O30" s="63">
        <f t="shared" si="8"/>
        <v>5.0210000000000008</v>
      </c>
      <c r="P30" s="63">
        <f t="shared" si="9"/>
        <v>5.0210000000000008</v>
      </c>
      <c r="Q30" s="66"/>
      <c r="R30" s="63">
        <f t="shared" si="10"/>
        <v>0.33500000000000002</v>
      </c>
      <c r="S30" s="64">
        <f t="shared" si="11"/>
        <v>0.33500000000000002</v>
      </c>
      <c r="T30" s="63">
        <f t="shared" si="12"/>
        <v>0</v>
      </c>
      <c r="U30" s="64">
        <f t="shared" si="13"/>
        <v>0</v>
      </c>
      <c r="V30" s="207">
        <f>IF($A31="","",IF(AND(MONTH(A30)&gt;3,MONTH(A30)&lt;11),(T30+R30+G30)*(((1/(1-Summary!$T$14))/(1-Summary!$W$14))-1),(T30+R30+G30)*((1/(1-Summary!$U$14))/(1-Summary!$X$14)-1)))</f>
        <v>5.151542019851453E-2</v>
      </c>
      <c r="W30" s="43">
        <f t="shared" si="14"/>
        <v>4.8825154201985148</v>
      </c>
      <c r="X30" s="43">
        <f t="shared" si="15"/>
        <v>4.8825154201985148</v>
      </c>
      <c r="Y30" s="43"/>
      <c r="Z30" s="38">
        <f t="shared" si="16"/>
        <v>1.1000000000000001</v>
      </c>
      <c r="AA30" s="38">
        <f t="shared" si="17"/>
        <v>0.36</v>
      </c>
      <c r="AB30" s="38">
        <f t="shared" ca="1" si="18"/>
        <v>0.39601040696456752</v>
      </c>
      <c r="AC30" s="38">
        <f t="shared" si="19"/>
        <v>1.35</v>
      </c>
      <c r="AD30" s="38">
        <f t="shared" si="20"/>
        <v>0.36</v>
      </c>
      <c r="AE30" s="38">
        <f t="shared" ca="1" si="21"/>
        <v>0.41291703581821315</v>
      </c>
      <c r="AF30" s="237">
        <f ca="1">((Summary!$N$14*(AA30*AD30)*(A30-$D$3))+(Summary!$M$14*Z30*AC30*(AJ30-EOMONTH(EDATE(A30,-1),0))))/(AK30*AB30*AE30)</f>
        <v>0.99652744191395004</v>
      </c>
      <c r="AG30" s="88">
        <f>IF($A31="","",Summary!$Q$14)</f>
        <v>0</v>
      </c>
      <c r="AH30" s="88">
        <f>IF($A31="","",IF(Summary!$R$12="Y",(VLOOKUP($A30,Summary!$AD$6:$AF$9,3)+'Escalating commodity'!J43),'Escalating commodity'!J43))</f>
        <v>5.0560469174009614E-3</v>
      </c>
      <c r="AI30" s="88">
        <f t="shared" si="37"/>
        <v>5.0560469174009614E-3</v>
      </c>
      <c r="AJ30" s="236">
        <f t="shared" si="22"/>
        <v>37666</v>
      </c>
      <c r="AK30" s="58">
        <f t="shared" ca="1" si="23"/>
        <v>627</v>
      </c>
      <c r="AL30" s="26">
        <f ca="1">IF($A31="","",_xll.SPRDOPT(P30,X30,AI30,0,AB30,AE30,AF30,AK30,$AJ$2,0))</f>
        <v>0.17807312151060553</v>
      </c>
      <c r="AM30" s="89">
        <f t="shared" si="24"/>
        <v>0.13342853288408502</v>
      </c>
      <c r="AN30" s="89">
        <f t="shared" ca="1" si="25"/>
        <v>4.4644588626520515E-2</v>
      </c>
      <c r="AO30" s="3">
        <f t="shared" si="26"/>
        <v>28</v>
      </c>
      <c r="AP30" s="33">
        <f t="shared" si="27"/>
        <v>37653</v>
      </c>
      <c r="AQ30" s="58">
        <f t="shared" ca="1" si="28"/>
        <v>627</v>
      </c>
      <c r="AR30" s="38">
        <f>'ANR OK vs ML7'!AR30</f>
        <v>0.1</v>
      </c>
      <c r="AS30" s="35">
        <f t="shared" ca="1" si="29"/>
        <v>0.84576853383692097</v>
      </c>
      <c r="AT30" s="3">
        <f t="shared" si="30"/>
        <v>1</v>
      </c>
      <c r="AU30" s="3">
        <f t="shared" si="31"/>
        <v>28</v>
      </c>
      <c r="AW30" s="32">
        <f t="shared" ca="1" si="32"/>
        <v>141603.74622523351</v>
      </c>
      <c r="AX30" s="32">
        <f t="shared" si="33"/>
        <v>106102.36934942441</v>
      </c>
      <c r="AY30" s="32">
        <f t="shared" ca="1" si="34"/>
        <v>35501.37687580911</v>
      </c>
      <c r="BA30" s="32">
        <f ca="1">IF($A31="","",F30*Summary!$Q$14)</f>
        <v>0</v>
      </c>
      <c r="BC30" s="256">
        <f t="shared" ca="1" si="38"/>
        <v>89738.045361286146</v>
      </c>
    </row>
    <row r="31" spans="1:55">
      <c r="A31" s="67">
        <f t="shared" si="35"/>
        <v>37681</v>
      </c>
      <c r="B31" s="69">
        <f t="shared" si="36"/>
        <v>28400</v>
      </c>
      <c r="C31" s="71"/>
      <c r="D31" s="69">
        <f t="shared" si="0"/>
        <v>28400</v>
      </c>
      <c r="E31" s="70">
        <f t="shared" si="1"/>
        <v>880400</v>
      </c>
      <c r="F31" s="70">
        <f t="shared" ca="1" si="2"/>
        <v>739065.31616602349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0.52500000000000002</v>
      </c>
      <c r="K31" s="64">
        <f t="shared" si="6"/>
        <v>0.52500000000000002</v>
      </c>
      <c r="L31" s="38">
        <v>0</v>
      </c>
      <c r="M31" s="64">
        <f t="shared" si="7"/>
        <v>0</v>
      </c>
      <c r="N31" s="65"/>
      <c r="O31" s="63">
        <f t="shared" si="8"/>
        <v>4.8330000000000002</v>
      </c>
      <c r="P31" s="63">
        <f t="shared" si="9"/>
        <v>4.8330000000000002</v>
      </c>
      <c r="Q31" s="66"/>
      <c r="R31" s="63">
        <f t="shared" si="10"/>
        <v>0.33500000000000002</v>
      </c>
      <c r="S31" s="64">
        <f t="shared" si="11"/>
        <v>0.33500000000000002</v>
      </c>
      <c r="T31" s="63">
        <f t="shared" si="12"/>
        <v>0</v>
      </c>
      <c r="U31" s="64">
        <f t="shared" si="13"/>
        <v>0</v>
      </c>
      <c r="V31" s="207">
        <f>IF($A32="","",IF(AND(MONTH(A31)&gt;3,MONTH(A31)&lt;11),(T31+R31+G31)*(((1/(1-Summary!$T$14))/(1-Summary!$W$14))-1),(T31+R31+G31)*((1/(1-Summary!$U$14))/(1-Summary!$X$14)-1)))</f>
        <v>4.9510680186649336E-2</v>
      </c>
      <c r="W31" s="43">
        <f t="shared" si="14"/>
        <v>4.6925106801866487</v>
      </c>
      <c r="X31" s="43">
        <f t="shared" si="15"/>
        <v>4.6925106801866487</v>
      </c>
      <c r="Y31" s="43"/>
      <c r="Z31" s="38">
        <f t="shared" si="16"/>
        <v>0.75</v>
      </c>
      <c r="AA31" s="38">
        <f t="shared" si="17"/>
        <v>0.33800000000000002</v>
      </c>
      <c r="AB31" s="38">
        <f t="shared" ca="1" si="18"/>
        <v>0.35739262306726582</v>
      </c>
      <c r="AC31" s="38">
        <f t="shared" si="19"/>
        <v>0.95</v>
      </c>
      <c r="AD31" s="38">
        <f t="shared" si="20"/>
        <v>0.33800000000000002</v>
      </c>
      <c r="AE31" s="38">
        <f t="shared" ca="1" si="21"/>
        <v>0.3684769851016727</v>
      </c>
      <c r="AF31" s="237">
        <f ca="1">((Summary!$N$14*(AA31*AD31)*(A31-$D$3))+(Summary!$M$14*Z31*AC31*(AJ31-EOMONTH(EDATE(A31,-1),0))))/(AK31*AB31*AE31)</f>
        <v>0.99678571136702487</v>
      </c>
      <c r="AG31" s="88">
        <f>IF($A32="","",Summary!$Q$14)</f>
        <v>0</v>
      </c>
      <c r="AH31" s="88">
        <f>IF($A32="","",IF(Summary!$R$12="Y",(VLOOKUP($A31,Summary!$AD$6:$AF$9,3)+'Escalating commodity'!J44),'Escalating commodity'!J44))</f>
        <v>5.0560469174009614E-3</v>
      </c>
      <c r="AI31" s="88">
        <f t="shared" si="37"/>
        <v>5.0560469174009614E-3</v>
      </c>
      <c r="AJ31" s="236">
        <f t="shared" si="22"/>
        <v>37695.5</v>
      </c>
      <c r="AK31" s="58">
        <f t="shared" ca="1" si="23"/>
        <v>655</v>
      </c>
      <c r="AL31" s="26">
        <f ca="1">IF($A32="","",_xll.SPRDOPT(P31,X31,AI31,0,AB31,AE31,AF31,AK31,$AJ$2,0))</f>
        <v>0.1644176437035319</v>
      </c>
      <c r="AM31" s="89">
        <f t="shared" si="24"/>
        <v>0.13543327289595047</v>
      </c>
      <c r="AN31" s="89">
        <f t="shared" ca="1" si="25"/>
        <v>2.8984370807581428E-2</v>
      </c>
      <c r="AO31" s="3">
        <f t="shared" si="26"/>
        <v>31</v>
      </c>
      <c r="AP31" s="33">
        <f t="shared" si="27"/>
        <v>37681</v>
      </c>
      <c r="AQ31" s="58">
        <f t="shared" ca="1" si="28"/>
        <v>655</v>
      </c>
      <c r="AR31" s="38">
        <f>'ANR OK vs ML7'!AR31</f>
        <v>0.1</v>
      </c>
      <c r="AS31" s="35">
        <f t="shared" ca="1" si="29"/>
        <v>0.83946537501820029</v>
      </c>
      <c r="AT31" s="3">
        <f t="shared" si="30"/>
        <v>1</v>
      </c>
      <c r="AU31" s="3">
        <f t="shared" si="31"/>
        <v>31</v>
      </c>
      <c r="AW31" s="32">
        <f t="shared" ca="1" si="32"/>
        <v>144753.29351658947</v>
      </c>
      <c r="AX31" s="32">
        <f t="shared" si="33"/>
        <v>119235.45345759479</v>
      </c>
      <c r="AY31" s="32">
        <f t="shared" ca="1" si="34"/>
        <v>25517.84005899469</v>
      </c>
      <c r="BA31" s="32">
        <f ca="1">IF($A32="","",F31*Summary!$Q$14)</f>
        <v>0</v>
      </c>
      <c r="BC31" s="256">
        <f t="shared" ca="1" si="38"/>
        <v>100094.03465224498</v>
      </c>
    </row>
    <row r="32" spans="1:55">
      <c r="A32" s="67">
        <f t="shared" si="35"/>
        <v>37712</v>
      </c>
      <c r="B32" s="69">
        <f t="shared" si="36"/>
        <v>28400</v>
      </c>
      <c r="C32" s="71"/>
      <c r="D32" s="69">
        <f t="shared" si="0"/>
        <v>28400</v>
      </c>
      <c r="E32" s="70">
        <f t="shared" si="1"/>
        <v>852000</v>
      </c>
      <c r="F32" s="70">
        <f t="shared" ca="1" si="2"/>
        <v>709325.49184747296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0.26</v>
      </c>
      <c r="K32" s="64">
        <f t="shared" si="6"/>
        <v>0.26</v>
      </c>
      <c r="L32" s="38">
        <v>0</v>
      </c>
      <c r="M32" s="64">
        <f t="shared" si="7"/>
        <v>0</v>
      </c>
      <c r="N32" s="65"/>
      <c r="O32" s="63">
        <f t="shared" si="8"/>
        <v>4.24</v>
      </c>
      <c r="P32" s="63">
        <f t="shared" si="9"/>
        <v>4.24</v>
      </c>
      <c r="Q32" s="66"/>
      <c r="R32" s="63">
        <f t="shared" si="10"/>
        <v>0.20499999999999999</v>
      </c>
      <c r="S32" s="64">
        <f t="shared" si="11"/>
        <v>0.20499999999999999</v>
      </c>
      <c r="T32" s="63">
        <f t="shared" si="12"/>
        <v>0</v>
      </c>
      <c r="U32" s="64">
        <f t="shared" si="13"/>
        <v>0</v>
      </c>
      <c r="V32" s="207">
        <f>IF($A33="","",IF(AND(MONTH(A32)&gt;3,MONTH(A32)&lt;11),(T32+R32+G32)*(((1/(1-Summary!$T$14))/(1-Summary!$W$14))-1),(T32+R32+G32)*((1/(1-Summary!$U$14))/(1-Summary!$X$14)-1)))</f>
        <v>4.462679228540329E-2</v>
      </c>
      <c r="W32" s="43">
        <f t="shared" si="14"/>
        <v>4.2296267922854032</v>
      </c>
      <c r="X32" s="43">
        <f t="shared" si="15"/>
        <v>4.2296267922854032</v>
      </c>
      <c r="Y32" s="43"/>
      <c r="Z32" s="38">
        <f t="shared" si="16"/>
        <v>0.45</v>
      </c>
      <c r="AA32" s="38">
        <f t="shared" si="17"/>
        <v>0.32</v>
      </c>
      <c r="AB32" s="38">
        <f t="shared" ca="1" si="18"/>
        <v>0.32707356007880534</v>
      </c>
      <c r="AC32" s="38">
        <f t="shared" si="19"/>
        <v>0.5</v>
      </c>
      <c r="AD32" s="38">
        <f t="shared" si="20"/>
        <v>0.32</v>
      </c>
      <c r="AE32" s="38">
        <f t="shared" ca="1" si="21"/>
        <v>0.3286574865117684</v>
      </c>
      <c r="AF32" s="237">
        <f ca="1">((Summary!$N$14*(AA32*AD32)*(A32-$D$3))+(Summary!$M$14*Z32*AC32*(AJ32-EOMONTH(EDATE(A32,-1),0))))/(AK32*AB32*AE32)</f>
        <v>0.99966200457424148</v>
      </c>
      <c r="AG32" s="88">
        <f>IF($A33="","",Summary!$Q$14)</f>
        <v>0</v>
      </c>
      <c r="AH32" s="88">
        <f>IF($A33="","",IF(Summary!$R$12="Y",(VLOOKUP($A32,Summary!$AD$6:$AF$9,3)+'Escalating commodity'!J45),'Escalating commodity'!J45))</f>
        <v>5.0560469174009614E-3</v>
      </c>
      <c r="AI32" s="88">
        <f t="shared" si="37"/>
        <v>5.0560469174009614E-3</v>
      </c>
      <c r="AJ32" s="236">
        <f t="shared" si="22"/>
        <v>37726</v>
      </c>
      <c r="AK32" s="58">
        <f t="shared" ca="1" si="23"/>
        <v>686</v>
      </c>
      <c r="AL32" s="26">
        <f ca="1">IF($A33="","",_xll.SPRDOPT(P32,X32,AI32,0,AB32,AE32,AF32,AK32,$AJ$2,0))</f>
        <v>1.6614735280411689E-2</v>
      </c>
      <c r="AM32" s="89">
        <f t="shared" si="24"/>
        <v>5.3171607971960822E-3</v>
      </c>
      <c r="AN32" s="89">
        <f t="shared" ca="1" si="25"/>
        <v>1.1297574483215608E-2</v>
      </c>
      <c r="AO32" s="3">
        <f t="shared" si="26"/>
        <v>30</v>
      </c>
      <c r="AP32" s="33">
        <f t="shared" si="27"/>
        <v>37712</v>
      </c>
      <c r="AQ32" s="58">
        <f t="shared" ca="1" si="28"/>
        <v>686</v>
      </c>
      <c r="AR32" s="38">
        <f>'ANR OK vs ML7'!AR32</f>
        <v>0.1</v>
      </c>
      <c r="AS32" s="35">
        <f t="shared" ca="1" si="29"/>
        <v>0.83254165709797301</v>
      </c>
      <c r="AT32" s="3">
        <f t="shared" si="30"/>
        <v>1</v>
      </c>
      <c r="AU32" s="3">
        <f t="shared" si="31"/>
        <v>30</v>
      </c>
      <c r="AW32" s="32">
        <f t="shared" ca="1" si="32"/>
        <v>14155.754458910758</v>
      </c>
      <c r="AX32" s="32">
        <f t="shared" si="33"/>
        <v>4530.220999211062</v>
      </c>
      <c r="AY32" s="32">
        <f t="shared" ca="1" si="34"/>
        <v>9625.5334596996981</v>
      </c>
      <c r="BA32" s="32">
        <f ca="1">IF($A33="","",F32*Summary!$Q$14)</f>
        <v>0</v>
      </c>
      <c r="BC32" s="256">
        <f t="shared" ca="1" si="38"/>
        <v>3771.5976977032124</v>
      </c>
    </row>
    <row r="33" spans="1:55">
      <c r="A33" s="67">
        <f t="shared" si="35"/>
        <v>37742</v>
      </c>
      <c r="B33" s="69">
        <f t="shared" si="36"/>
        <v>28400</v>
      </c>
      <c r="C33" s="71"/>
      <c r="D33" s="69">
        <f t="shared" si="0"/>
        <v>28400</v>
      </c>
      <c r="E33" s="70">
        <f t="shared" si="1"/>
        <v>880400</v>
      </c>
      <c r="F33" s="70">
        <f t="shared" ca="1" si="2"/>
        <v>727118.5404214632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0.26</v>
      </c>
      <c r="K33" s="64">
        <f t="shared" si="6"/>
        <v>0.26</v>
      </c>
      <c r="L33" s="38">
        <v>0</v>
      </c>
      <c r="M33" s="64">
        <f t="shared" si="7"/>
        <v>0</v>
      </c>
      <c r="N33" s="65"/>
      <c r="O33" s="63">
        <f t="shared" si="8"/>
        <v>4.2</v>
      </c>
      <c r="P33" s="63">
        <f t="shared" si="9"/>
        <v>4.2</v>
      </c>
      <c r="Q33" s="66"/>
      <c r="R33" s="63">
        <f t="shared" si="10"/>
        <v>0.20499999999999999</v>
      </c>
      <c r="S33" s="64">
        <f t="shared" si="11"/>
        <v>0.20499999999999999</v>
      </c>
      <c r="T33" s="63">
        <f t="shared" si="12"/>
        <v>0</v>
      </c>
      <c r="U33" s="64">
        <f t="shared" si="13"/>
        <v>0</v>
      </c>
      <c r="V33" s="207">
        <f>IF($A34="","",IF(AND(MONTH(A33)&gt;3,MONTH(A33)&lt;11),(T33+R33+G33)*(((1/(1-Summary!$T$14))/(1-Summary!$W$14))-1),(T33+R33+G33)*((1/(1-Summary!$U$14))/(1-Summary!$X$14)-1)))</f>
        <v>4.4200251857346863E-2</v>
      </c>
      <c r="W33" s="43">
        <f t="shared" si="14"/>
        <v>4.1892002518573461</v>
      </c>
      <c r="X33" s="43">
        <f t="shared" si="15"/>
        <v>4.1892002518573461</v>
      </c>
      <c r="Y33" s="43"/>
      <c r="Z33" s="38">
        <f t="shared" si="16"/>
        <v>0.5</v>
      </c>
      <c r="AA33" s="38">
        <f t="shared" si="17"/>
        <v>0.318</v>
      </c>
      <c r="AB33" s="38">
        <f t="shared" ca="1" si="18"/>
        <v>0.32661482790904622</v>
      </c>
      <c r="AC33" s="38">
        <f t="shared" si="19"/>
        <v>0.45</v>
      </c>
      <c r="AD33" s="38">
        <f t="shared" si="20"/>
        <v>0.318</v>
      </c>
      <c r="AE33" s="38">
        <f t="shared" ca="1" si="21"/>
        <v>0.32503686512017504</v>
      </c>
      <c r="AF33" s="237">
        <f ca="1">((Summary!$N$14*(AA33*AD33)*(A33-$D$3))+(Summary!$M$14*Z33*AC33*(AJ33-EOMONTH(EDATE(A33,-1),0))))/(AK33*AB33*AE33)</f>
        <v>0.99966144530505074</v>
      </c>
      <c r="AG33" s="88">
        <f>IF($A34="","",Summary!$Q$14)</f>
        <v>0</v>
      </c>
      <c r="AH33" s="88">
        <f>IF($A34="","",IF(Summary!$R$12="Y",(VLOOKUP($A33,Summary!$AD$6:$AF$9,3)+'Escalating commodity'!J46),'Escalating commodity'!J46))</f>
        <v>5.0560469174009614E-3</v>
      </c>
      <c r="AI33" s="88">
        <f t="shared" si="37"/>
        <v>5.0560469174009614E-3</v>
      </c>
      <c r="AJ33" s="236">
        <f t="shared" si="22"/>
        <v>37756.5</v>
      </c>
      <c r="AK33" s="58">
        <f t="shared" ca="1" si="23"/>
        <v>716</v>
      </c>
      <c r="AL33" s="26">
        <f ca="1">IF($A34="","",_xll.SPRDOPT(P33,X33,AI33,0,AB33,AE33,AF33,AK33,$AJ$2,0))</f>
        <v>1.8034869112980505E-2</v>
      </c>
      <c r="AM33" s="89">
        <f t="shared" si="24"/>
        <v>5.7437012252530917E-3</v>
      </c>
      <c r="AN33" s="89">
        <f t="shared" ca="1" si="25"/>
        <v>1.2291167887727415E-2</v>
      </c>
      <c r="AO33" s="3">
        <f t="shared" si="26"/>
        <v>31</v>
      </c>
      <c r="AP33" s="33">
        <f t="shared" si="27"/>
        <v>37742</v>
      </c>
      <c r="AQ33" s="58">
        <f t="shared" ca="1" si="28"/>
        <v>716</v>
      </c>
      <c r="AR33" s="38">
        <f>'ANR OK vs ML7'!AR33</f>
        <v>0.1</v>
      </c>
      <c r="AS33" s="35">
        <f t="shared" ca="1" si="29"/>
        <v>0.825895661541871</v>
      </c>
      <c r="AT33" s="3">
        <f t="shared" si="30"/>
        <v>1</v>
      </c>
      <c r="AU33" s="3">
        <f t="shared" si="31"/>
        <v>31</v>
      </c>
      <c r="AW33" s="32">
        <f t="shared" ca="1" si="32"/>
        <v>15877.898767068036</v>
      </c>
      <c r="AX33" s="32">
        <f t="shared" si="33"/>
        <v>5056.7545587128216</v>
      </c>
      <c r="AY33" s="32">
        <f t="shared" ca="1" si="34"/>
        <v>10821.144208355216</v>
      </c>
      <c r="BA33" s="32">
        <f ca="1">IF($A34="","",F33*Summary!$Q$14)</f>
        <v>0</v>
      </c>
      <c r="BC33" s="256">
        <f t="shared" ca="1" si="38"/>
        <v>4176.3516515229976</v>
      </c>
    </row>
    <row r="34" spans="1:55">
      <c r="A34" s="67">
        <f t="shared" si="35"/>
        <v>37773</v>
      </c>
      <c r="B34" s="69">
        <f t="shared" si="36"/>
        <v>28400</v>
      </c>
      <c r="C34" s="71"/>
      <c r="D34" s="69">
        <f t="shared" si="0"/>
        <v>28400</v>
      </c>
      <c r="E34" s="70">
        <f t="shared" si="1"/>
        <v>852000</v>
      </c>
      <c r="F34" s="70">
        <f t="shared" ca="1" si="2"/>
        <v>697859.45170779736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0.26</v>
      </c>
      <c r="K34" s="64">
        <f t="shared" si="6"/>
        <v>0.26</v>
      </c>
      <c r="L34" s="38">
        <v>0</v>
      </c>
      <c r="M34" s="64">
        <f t="shared" si="7"/>
        <v>0</v>
      </c>
      <c r="N34" s="65"/>
      <c r="O34" s="63">
        <f t="shared" si="8"/>
        <v>4.2300000000000004</v>
      </c>
      <c r="P34" s="63">
        <f t="shared" si="9"/>
        <v>4.2300000000000004</v>
      </c>
      <c r="Q34" s="66"/>
      <c r="R34" s="63">
        <f t="shared" si="10"/>
        <v>0.20499999999999999</v>
      </c>
      <c r="S34" s="64">
        <f t="shared" si="11"/>
        <v>0.20499999999999999</v>
      </c>
      <c r="T34" s="63">
        <f t="shared" si="12"/>
        <v>0</v>
      </c>
      <c r="U34" s="64">
        <f t="shared" si="13"/>
        <v>0</v>
      </c>
      <c r="V34" s="207">
        <f>IF($A35="","",IF(AND(MONTH(A34)&gt;3,MONTH(A34)&lt;11),(T34+R34+G34)*(((1/(1-Summary!$T$14))/(1-Summary!$W$14))-1),(T34+R34+G34)*((1/(1-Summary!$U$14))/(1-Summary!$X$14)-1)))</f>
        <v>4.4520157178389183E-2</v>
      </c>
      <c r="W34" s="43">
        <f t="shared" si="14"/>
        <v>4.2195201571783887</v>
      </c>
      <c r="X34" s="43">
        <f t="shared" si="15"/>
        <v>4.2195201571783887</v>
      </c>
      <c r="Y34" s="43"/>
      <c r="Z34" s="38">
        <f t="shared" si="16"/>
        <v>0.5</v>
      </c>
      <c r="AA34" s="38">
        <f t="shared" si="17"/>
        <v>0.318</v>
      </c>
      <c r="AB34" s="38">
        <f t="shared" ca="1" si="18"/>
        <v>0.32600529721963267</v>
      </c>
      <c r="AC34" s="38">
        <f t="shared" si="19"/>
        <v>0.5</v>
      </c>
      <c r="AD34" s="38">
        <f t="shared" si="20"/>
        <v>0.318</v>
      </c>
      <c r="AE34" s="38">
        <f t="shared" ca="1" si="21"/>
        <v>0.32600529721963267</v>
      </c>
      <c r="AF34" s="237">
        <f ca="1">((Summary!$N$14*(AA34*AD34)*(A34-$D$3))+(Summary!$M$14*Z34*AC34*(AJ34-EOMONTH(EDATE(A34,-1),0))))/(AK34*AB34*AE34)</f>
        <v>0.99990472347207415</v>
      </c>
      <c r="AG34" s="88">
        <f>IF($A35="","",Summary!$Q$14)</f>
        <v>0</v>
      </c>
      <c r="AH34" s="88">
        <f>IF($A35="","",IF(Summary!$R$12="Y",(VLOOKUP($A34,Summary!$AD$6:$AF$9,3)+'Escalating commodity'!J47),'Escalating commodity'!J47))</f>
        <v>5.0560469174009614E-3</v>
      </c>
      <c r="AI34" s="88">
        <f t="shared" si="37"/>
        <v>5.0560469174009614E-3</v>
      </c>
      <c r="AJ34" s="236">
        <f t="shared" si="22"/>
        <v>37787</v>
      </c>
      <c r="AK34" s="58">
        <f t="shared" ca="1" si="23"/>
        <v>747</v>
      </c>
      <c r="AL34" s="26">
        <f ca="1">IF($A35="","",_xll.SPRDOPT(P34,X34,AI34,0,AB34,AE34,AF34,AK34,$AJ$2,0))</f>
        <v>8.5981683802318493E-3</v>
      </c>
      <c r="AM34" s="89">
        <f t="shared" si="24"/>
        <v>5.4237959042107787E-3</v>
      </c>
      <c r="AN34" s="89">
        <f t="shared" ca="1" si="25"/>
        <v>3.1743724760210706E-3</v>
      </c>
      <c r="AO34" s="3">
        <f t="shared" si="26"/>
        <v>30</v>
      </c>
      <c r="AP34" s="33">
        <f t="shared" si="27"/>
        <v>37773</v>
      </c>
      <c r="AQ34" s="58">
        <f t="shared" ca="1" si="28"/>
        <v>747</v>
      </c>
      <c r="AR34" s="38">
        <f>'ANR OK vs ML7'!AR34</f>
        <v>0.1</v>
      </c>
      <c r="AS34" s="35">
        <f t="shared" ca="1" si="29"/>
        <v>0.8190838635068044</v>
      </c>
      <c r="AT34" s="3">
        <f t="shared" si="30"/>
        <v>1</v>
      </c>
      <c r="AU34" s="3">
        <f t="shared" si="31"/>
        <v>30</v>
      </c>
      <c r="AW34" s="32">
        <f t="shared" ca="1" si="32"/>
        <v>7325.639459957536</v>
      </c>
      <c r="AX34" s="32">
        <f t="shared" si="33"/>
        <v>4621.0741103875835</v>
      </c>
      <c r="AY34" s="32">
        <f t="shared" ca="1" si="34"/>
        <v>2704.5653495699521</v>
      </c>
      <c r="BA34" s="32">
        <f ca="1">IF($A35="","",F34*Summary!$Q$14)</f>
        <v>0</v>
      </c>
      <c r="BC34" s="256">
        <f t="shared" ca="1" si="38"/>
        <v>3785.0472358875309</v>
      </c>
    </row>
    <row r="35" spans="1:55">
      <c r="A35" s="67">
        <f t="shared" si="35"/>
        <v>37803</v>
      </c>
      <c r="B35" s="69">
        <f t="shared" si="36"/>
        <v>28400</v>
      </c>
      <c r="C35" s="71"/>
      <c r="D35" s="69">
        <f t="shared" si="0"/>
        <v>28400</v>
      </c>
      <c r="E35" s="70">
        <f t="shared" si="1"/>
        <v>880400</v>
      </c>
      <c r="F35" s="70">
        <f t="shared" ca="1" si="2"/>
        <v>715364.88082992611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0.26</v>
      </c>
      <c r="K35" s="64">
        <f t="shared" si="6"/>
        <v>0.26</v>
      </c>
      <c r="L35" s="38">
        <v>0</v>
      </c>
      <c r="M35" s="64">
        <f t="shared" si="7"/>
        <v>0</v>
      </c>
      <c r="N35" s="65"/>
      <c r="O35" s="63">
        <f t="shared" si="8"/>
        <v>4.2699999999999996</v>
      </c>
      <c r="P35" s="63">
        <f t="shared" si="9"/>
        <v>4.2699999999999996</v>
      </c>
      <c r="Q35" s="66"/>
      <c r="R35" s="63">
        <f t="shared" si="10"/>
        <v>0.20499999999999999</v>
      </c>
      <c r="S35" s="64">
        <f t="shared" si="11"/>
        <v>0.20499999999999999</v>
      </c>
      <c r="T35" s="63">
        <f t="shared" si="12"/>
        <v>0</v>
      </c>
      <c r="U35" s="64">
        <f t="shared" si="13"/>
        <v>0</v>
      </c>
      <c r="V35" s="207">
        <f>IF($A36="","",IF(AND(MONTH(A35)&gt;3,MONTH(A35)&lt;11),(T35+R35+G35)*(((1/(1-Summary!$T$14))/(1-Summary!$W$14))-1),(T35+R35+G35)*((1/(1-Summary!$U$14))/(1-Summary!$X$14)-1)))</f>
        <v>4.494669760644561E-2</v>
      </c>
      <c r="W35" s="43">
        <f t="shared" si="14"/>
        <v>4.2599466976064457</v>
      </c>
      <c r="X35" s="43">
        <f t="shared" si="15"/>
        <v>4.2599466976064457</v>
      </c>
      <c r="Y35" s="43"/>
      <c r="Z35" s="38">
        <f t="shared" si="16"/>
        <v>0.55000000000000004</v>
      </c>
      <c r="AA35" s="38">
        <f t="shared" si="17"/>
        <v>0.318</v>
      </c>
      <c r="AB35" s="38">
        <f t="shared" ca="1" si="18"/>
        <v>0.32754934590466517</v>
      </c>
      <c r="AC35" s="38">
        <f t="shared" si="19"/>
        <v>0.5</v>
      </c>
      <c r="AD35" s="38">
        <f t="shared" si="20"/>
        <v>0.318</v>
      </c>
      <c r="AE35" s="38">
        <f t="shared" ca="1" si="21"/>
        <v>0.32594673906219207</v>
      </c>
      <c r="AF35" s="237">
        <f ca="1">((Summary!$N$14*(AA35*AD35)*(A35-$D$3))+(Summary!$M$14*Z35*AC35*(AJ35-EOMONTH(EDATE(A35,-1),0))))/(AK35*AB35*AE35)</f>
        <v>0.99968362927782817</v>
      </c>
      <c r="AG35" s="88">
        <f>IF($A36="","",Summary!$Q$14)</f>
        <v>0</v>
      </c>
      <c r="AH35" s="88">
        <f>IF($A36="","",IF(Summary!$R$12="Y",(VLOOKUP($A35,Summary!$AD$6:$AF$9,3)+'Escalating commodity'!J48),'Escalating commodity'!J48))</f>
        <v>5.0560469174009614E-3</v>
      </c>
      <c r="AI35" s="88">
        <f t="shared" si="37"/>
        <v>5.0560469174009614E-3</v>
      </c>
      <c r="AJ35" s="236">
        <f t="shared" si="22"/>
        <v>37817.5</v>
      </c>
      <c r="AK35" s="58">
        <f t="shared" ca="1" si="23"/>
        <v>777</v>
      </c>
      <c r="AL35" s="26">
        <f ca="1">IF($A36="","",_xll.SPRDOPT(P35,X35,AI35,0,AB35,AE35,AF35,AK35,$AJ$2,0))</f>
        <v>1.7776676314064634E-2</v>
      </c>
      <c r="AM35" s="89">
        <f t="shared" si="24"/>
        <v>4.9972554761528809E-3</v>
      </c>
      <c r="AN35" s="89">
        <f t="shared" ca="1" si="25"/>
        <v>1.2779420837911754E-2</v>
      </c>
      <c r="AO35" s="3">
        <f t="shared" si="26"/>
        <v>31</v>
      </c>
      <c r="AP35" s="33">
        <f t="shared" si="27"/>
        <v>37803</v>
      </c>
      <c r="AQ35" s="58">
        <f t="shared" ca="1" si="28"/>
        <v>777</v>
      </c>
      <c r="AR35" s="38">
        <f>'ANR OK vs ML7'!AR35</f>
        <v>0.1</v>
      </c>
      <c r="AS35" s="35">
        <f t="shared" ca="1" si="29"/>
        <v>0.81254529853467294</v>
      </c>
      <c r="AT35" s="3">
        <f t="shared" si="30"/>
        <v>1</v>
      </c>
      <c r="AU35" s="3">
        <f t="shared" si="31"/>
        <v>31</v>
      </c>
      <c r="AW35" s="32">
        <f t="shared" ca="1" si="32"/>
        <v>15650.585826902503</v>
      </c>
      <c r="AX35" s="32">
        <f t="shared" si="33"/>
        <v>4399.5837212049964</v>
      </c>
      <c r="AY35" s="32">
        <f t="shared" ca="1" si="34"/>
        <v>11251.002105697507</v>
      </c>
      <c r="BA35" s="32">
        <f ca="1">IF($A36="","",F35*Summary!$Q$14)</f>
        <v>0</v>
      </c>
      <c r="BC35" s="256">
        <f t="shared" ca="1" si="38"/>
        <v>3574.8610681748014</v>
      </c>
    </row>
    <row r="36" spans="1:55">
      <c r="A36" s="67">
        <f t="shared" si="35"/>
        <v>37834</v>
      </c>
      <c r="B36" s="69">
        <f t="shared" si="36"/>
        <v>28400</v>
      </c>
      <c r="C36" s="71"/>
      <c r="D36" s="69">
        <f t="shared" si="0"/>
        <v>28400</v>
      </c>
      <c r="E36" s="70">
        <f t="shared" si="1"/>
        <v>880400</v>
      </c>
      <c r="F36" s="70">
        <f t="shared" ca="1" si="2"/>
        <v>709464.71532900108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0.26</v>
      </c>
      <c r="K36" s="64">
        <f t="shared" si="6"/>
        <v>0.26</v>
      </c>
      <c r="L36" s="38">
        <v>0</v>
      </c>
      <c r="M36" s="64">
        <f t="shared" si="7"/>
        <v>0</v>
      </c>
      <c r="N36" s="65"/>
      <c r="O36" s="63">
        <f t="shared" si="8"/>
        <v>4.3159999999999998</v>
      </c>
      <c r="P36" s="63">
        <f t="shared" si="9"/>
        <v>4.3159999999999998</v>
      </c>
      <c r="Q36" s="66"/>
      <c r="R36" s="63">
        <f t="shared" si="10"/>
        <v>0.20499999999999999</v>
      </c>
      <c r="S36" s="64">
        <f t="shared" si="11"/>
        <v>0.20499999999999999</v>
      </c>
      <c r="T36" s="63">
        <f t="shared" si="12"/>
        <v>0</v>
      </c>
      <c r="U36" s="64">
        <f t="shared" si="13"/>
        <v>0</v>
      </c>
      <c r="V36" s="207">
        <f>IF($A37="","",IF(AND(MONTH(A36)&gt;3,MONTH(A36)&lt;11),(T36+R36+G36)*(((1/(1-Summary!$T$14))/(1-Summary!$W$14))-1),(T36+R36+G36)*((1/(1-Summary!$U$14))/(1-Summary!$X$14)-1)))</f>
        <v>4.5437219098710499E-2</v>
      </c>
      <c r="W36" s="43">
        <f t="shared" si="14"/>
        <v>4.3064372190987106</v>
      </c>
      <c r="X36" s="43">
        <f t="shared" si="15"/>
        <v>4.3064372190987106</v>
      </c>
      <c r="Y36" s="43"/>
      <c r="Z36" s="38">
        <f t="shared" si="16"/>
        <v>0.6</v>
      </c>
      <c r="AA36" s="38">
        <f t="shared" si="17"/>
        <v>0.318</v>
      </c>
      <c r="AB36" s="38">
        <f t="shared" ca="1" si="18"/>
        <v>0.32886941794488272</v>
      </c>
      <c r="AC36" s="38">
        <f t="shared" si="19"/>
        <v>0.45</v>
      </c>
      <c r="AD36" s="38">
        <f t="shared" si="20"/>
        <v>0.318</v>
      </c>
      <c r="AE36" s="38">
        <f t="shared" ca="1" si="21"/>
        <v>0.3242433423364387</v>
      </c>
      <c r="AF36" s="237">
        <f ca="1">((Summary!$N$14*(AA36*AD36)*(A36-$D$3))+(Summary!$M$14*Z36*AC36*(AJ36-EOMONTH(EDATE(A36,-1),0))))/(AK36*AB36*AE36)</f>
        <v>0.99798154586913468</v>
      </c>
      <c r="AG36" s="88">
        <f>IF($A37="","",Summary!$Q$14)</f>
        <v>0</v>
      </c>
      <c r="AH36" s="88">
        <f>IF($A37="","",IF(Summary!$R$12="Y",(VLOOKUP($A36,Summary!$AD$6:$AF$9,3)+'Escalating commodity'!J49),'Escalating commodity'!J49))</f>
        <v>5.0560469174009614E-3</v>
      </c>
      <c r="AI36" s="88">
        <f t="shared" si="37"/>
        <v>5.0560469174009614E-3</v>
      </c>
      <c r="AJ36" s="236">
        <f t="shared" si="22"/>
        <v>37848.5</v>
      </c>
      <c r="AK36" s="58">
        <f t="shared" ca="1" si="23"/>
        <v>808</v>
      </c>
      <c r="AL36" s="26">
        <f ca="1">IF($A37="","",_xll.SPRDOPT(P36,X36,AI36,0,AB36,AE36,AF36,AK36,$AJ$2,0))</f>
        <v>5.6881771545000098E-2</v>
      </c>
      <c r="AM36" s="89">
        <f t="shared" si="24"/>
        <v>4.506733983888297E-3</v>
      </c>
      <c r="AN36" s="89">
        <f t="shared" ca="1" si="25"/>
        <v>5.2375037561111802E-2</v>
      </c>
      <c r="AO36" s="3">
        <f t="shared" si="26"/>
        <v>31</v>
      </c>
      <c r="AP36" s="33">
        <f t="shared" si="27"/>
        <v>37834</v>
      </c>
      <c r="AQ36" s="58">
        <f t="shared" ca="1" si="28"/>
        <v>808</v>
      </c>
      <c r="AR36" s="38">
        <f>'ANR OK vs ML7'!AR36</f>
        <v>0.1</v>
      </c>
      <c r="AS36" s="35">
        <f t="shared" ca="1" si="29"/>
        <v>0.80584361123239556</v>
      </c>
      <c r="AT36" s="3">
        <f t="shared" si="30"/>
        <v>1</v>
      </c>
      <c r="AU36" s="3">
        <f t="shared" si="31"/>
        <v>31</v>
      </c>
      <c r="AW36" s="32">
        <f t="shared" ca="1" si="32"/>
        <v>50078.711668218086</v>
      </c>
      <c r="AX36" s="32">
        <f t="shared" si="33"/>
        <v>3967.7285994152567</v>
      </c>
      <c r="AY36" s="32">
        <f t="shared" ca="1" si="34"/>
        <v>46110.983068802831</v>
      </c>
      <c r="BA36" s="32">
        <f ca="1">IF($A37="","",F36*Summary!$Q$14)</f>
        <v>0</v>
      </c>
      <c r="BC36" s="256">
        <f t="shared" ca="1" si="38"/>
        <v>3197.3687429428455</v>
      </c>
    </row>
    <row r="37" spans="1:55">
      <c r="A37" s="67">
        <f t="shared" si="35"/>
        <v>37865</v>
      </c>
      <c r="B37" s="69">
        <f t="shared" si="36"/>
        <v>28400</v>
      </c>
      <c r="C37" s="71"/>
      <c r="D37" s="69">
        <f t="shared" si="0"/>
        <v>28400</v>
      </c>
      <c r="E37" s="70">
        <f t="shared" si="1"/>
        <v>852000</v>
      </c>
      <c r="F37" s="70">
        <f t="shared" ca="1" si="2"/>
        <v>680916.0126195437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0.26</v>
      </c>
      <c r="K37" s="64">
        <f t="shared" si="6"/>
        <v>0.26</v>
      </c>
      <c r="L37" s="38">
        <v>0</v>
      </c>
      <c r="M37" s="64">
        <f t="shared" si="7"/>
        <v>0</v>
      </c>
      <c r="N37" s="65"/>
      <c r="O37" s="63">
        <f t="shared" si="8"/>
        <v>4.3250000000000002</v>
      </c>
      <c r="P37" s="63">
        <f t="shared" si="9"/>
        <v>4.3250000000000002</v>
      </c>
      <c r="Q37" s="66"/>
      <c r="R37" s="63">
        <f t="shared" si="10"/>
        <v>0.20499999999999999</v>
      </c>
      <c r="S37" s="64">
        <f t="shared" si="11"/>
        <v>0.20499999999999999</v>
      </c>
      <c r="T37" s="63">
        <f t="shared" si="12"/>
        <v>0</v>
      </c>
      <c r="U37" s="64">
        <f t="shared" si="13"/>
        <v>0</v>
      </c>
      <c r="V37" s="207">
        <f>IF($A38="","",IF(AND(MONTH(A37)&gt;3,MONTH(A37)&lt;11),(T37+R37+G37)*(((1/(1-Summary!$T$14))/(1-Summary!$W$14))-1),(T37+R37+G37)*((1/(1-Summary!$U$14))/(1-Summary!$X$14)-1)))</f>
        <v>4.5533190695023193E-2</v>
      </c>
      <c r="W37" s="43">
        <f t="shared" si="14"/>
        <v>4.3155331906950236</v>
      </c>
      <c r="X37" s="43">
        <f t="shared" si="15"/>
        <v>4.3155331906950236</v>
      </c>
      <c r="Y37" s="43"/>
      <c r="Z37" s="38">
        <f t="shared" si="16"/>
        <v>0.6</v>
      </c>
      <c r="AA37" s="38">
        <f t="shared" si="17"/>
        <v>0.318</v>
      </c>
      <c r="AB37" s="38">
        <f t="shared" ca="1" si="18"/>
        <v>0.32814747113587894</v>
      </c>
      <c r="AC37" s="38">
        <f t="shared" si="19"/>
        <v>0.5</v>
      </c>
      <c r="AD37" s="38">
        <f t="shared" si="20"/>
        <v>0.318</v>
      </c>
      <c r="AE37" s="38">
        <f t="shared" ca="1" si="21"/>
        <v>0.32513710319808614</v>
      </c>
      <c r="AF37" s="237">
        <f ca="1">((Summary!$N$14*(AA37*AD37)*(A37-$D$3))+(Summary!$M$14*Z37*AC37*(AJ37-EOMONTH(EDATE(A37,-1),0))))/(AK37*AB37*AE37)</f>
        <v>0.99910973070690989</v>
      </c>
      <c r="AG37" s="88">
        <f>IF($A38="","",Summary!$Q$14)</f>
        <v>0</v>
      </c>
      <c r="AH37" s="88">
        <f>IF($A38="","",IF(Summary!$R$12="Y",(VLOOKUP($A37,Summary!$AD$6:$AF$9,3)+'Escalating commodity'!J50),'Escalating commodity'!J50))</f>
        <v>5.0560469174009614E-3</v>
      </c>
      <c r="AI37" s="88">
        <f t="shared" si="37"/>
        <v>5.0560469174009614E-3</v>
      </c>
      <c r="AJ37" s="236">
        <f t="shared" si="22"/>
        <v>37879</v>
      </c>
      <c r="AK37" s="58">
        <f t="shared" ca="1" si="23"/>
        <v>839</v>
      </c>
      <c r="AL37" s="26">
        <f ca="1">IF($A38="","",_xll.SPRDOPT(P37,X37,AI37,0,AB37,AE37,AF37,AK37,$AJ$2,0))</f>
        <v>3.81080801117374E-2</v>
      </c>
      <c r="AM37" s="89">
        <f t="shared" si="24"/>
        <v>4.4107623875756031E-3</v>
      </c>
      <c r="AN37" s="89">
        <f t="shared" ca="1" si="25"/>
        <v>3.3697317724161797E-2</v>
      </c>
      <c r="AO37" s="3">
        <f t="shared" si="26"/>
        <v>30</v>
      </c>
      <c r="AP37" s="33">
        <f t="shared" si="27"/>
        <v>37865</v>
      </c>
      <c r="AQ37" s="58">
        <f t="shared" ca="1" si="28"/>
        <v>839</v>
      </c>
      <c r="AR37" s="38">
        <f>'ANR OK vs ML7'!AR37</f>
        <v>0.1</v>
      </c>
      <c r="AS37" s="35">
        <f t="shared" ca="1" si="29"/>
        <v>0.79919719791026256</v>
      </c>
      <c r="AT37" s="3">
        <f t="shared" si="30"/>
        <v>1</v>
      </c>
      <c r="AU37" s="3">
        <f t="shared" si="31"/>
        <v>30</v>
      </c>
      <c r="AW37" s="32">
        <f t="shared" ca="1" si="32"/>
        <v>32468.084255200265</v>
      </c>
      <c r="AX37" s="32">
        <f t="shared" si="33"/>
        <v>3757.9695542144136</v>
      </c>
      <c r="AY37" s="32">
        <f t="shared" ca="1" si="34"/>
        <v>28710.114700985851</v>
      </c>
      <c r="BA37" s="32">
        <f ca="1">IF($A38="","",F37*Summary!$Q$14)</f>
        <v>0</v>
      </c>
      <c r="BC37" s="256">
        <f t="shared" ca="1" si="38"/>
        <v>3003.3587375602378</v>
      </c>
    </row>
    <row r="38" spans="1:55">
      <c r="A38" s="67">
        <f t="shared" si="35"/>
        <v>37895</v>
      </c>
      <c r="B38" s="69">
        <f t="shared" si="36"/>
        <v>28400</v>
      </c>
      <c r="C38" s="71"/>
      <c r="D38" s="69">
        <f t="shared" si="0"/>
        <v>28400</v>
      </c>
      <c r="E38" s="70">
        <f t="shared" si="1"/>
        <v>880400</v>
      </c>
      <c r="F38" s="70">
        <f t="shared" ca="1" si="2"/>
        <v>697996.42468226503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0.26</v>
      </c>
      <c r="K38" s="64">
        <f t="shared" si="6"/>
        <v>0.26</v>
      </c>
      <c r="L38" s="38">
        <v>0</v>
      </c>
      <c r="M38" s="64">
        <f t="shared" si="7"/>
        <v>0</v>
      </c>
      <c r="N38" s="65"/>
      <c r="O38" s="63">
        <f t="shared" si="8"/>
        <v>4.3460000000000001</v>
      </c>
      <c r="P38" s="63">
        <f t="shared" si="9"/>
        <v>4.3460000000000001</v>
      </c>
      <c r="Q38" s="66"/>
      <c r="R38" s="63">
        <f t="shared" si="10"/>
        <v>0.20499999999999999</v>
      </c>
      <c r="S38" s="64">
        <f t="shared" si="11"/>
        <v>0.20499999999999999</v>
      </c>
      <c r="T38" s="63">
        <f t="shared" si="12"/>
        <v>0</v>
      </c>
      <c r="U38" s="64">
        <f t="shared" si="13"/>
        <v>0</v>
      </c>
      <c r="V38" s="207">
        <f>IF($A39="","",IF(AND(MONTH(A38)&gt;3,MONTH(A38)&lt;11),(T38+R38+G38)*(((1/(1-Summary!$T$14))/(1-Summary!$W$14))-1),(T38+R38+G38)*((1/(1-Summary!$U$14))/(1-Summary!$X$14)-1)))</f>
        <v>4.5757124419752819E-2</v>
      </c>
      <c r="W38" s="43">
        <f t="shared" si="14"/>
        <v>4.3367571244197531</v>
      </c>
      <c r="X38" s="43">
        <f t="shared" si="15"/>
        <v>4.3367571244197531</v>
      </c>
      <c r="Y38" s="43"/>
      <c r="Z38" s="38">
        <f t="shared" si="16"/>
        <v>0.65</v>
      </c>
      <c r="AA38" s="38">
        <f t="shared" si="17"/>
        <v>0.32</v>
      </c>
      <c r="AB38" s="38">
        <f t="shared" ca="1" si="18"/>
        <v>0.33174357185687026</v>
      </c>
      <c r="AC38" s="38">
        <f t="shared" si="19"/>
        <v>0.5</v>
      </c>
      <c r="AD38" s="38">
        <f t="shared" si="20"/>
        <v>0.32</v>
      </c>
      <c r="AE38" s="38">
        <f t="shared" ca="1" si="21"/>
        <v>0.32707336339157334</v>
      </c>
      <c r="AF38" s="237">
        <f ca="1">((Summary!$N$14*(AA38*AD38)*(A38-$D$3))+(Summary!$M$14*Z38*AC38*(AJ38-EOMONTH(EDATE(A38,-1),0))))/(AK38*AB38*AE38)</f>
        <v>0.99815668413461967</v>
      </c>
      <c r="AG38" s="88">
        <f>IF($A39="","",Summary!$Q$14)</f>
        <v>0</v>
      </c>
      <c r="AH38" s="88">
        <f>IF($A39="","",IF(Summary!$R$12="Y",(VLOOKUP($A38,Summary!$AD$6:$AF$9,3)+'Escalating commodity'!J51),'Escalating commodity'!J51))</f>
        <v>5.0560469174009614E-3</v>
      </c>
      <c r="AI38" s="88">
        <f t="shared" si="37"/>
        <v>5.0560469174009614E-3</v>
      </c>
      <c r="AJ38" s="236">
        <f t="shared" si="22"/>
        <v>37909.5</v>
      </c>
      <c r="AK38" s="58">
        <f t="shared" ca="1" si="23"/>
        <v>869</v>
      </c>
      <c r="AL38" s="26">
        <f ca="1">IF($A39="","",_xll.SPRDOPT(P38,X38,AI38,0,AB38,AE38,AF38,AK38,$AJ$2,0))</f>
        <v>5.722754491612346E-2</v>
      </c>
      <c r="AM38" s="89">
        <f t="shared" si="24"/>
        <v>4.1868286628459839E-3</v>
      </c>
      <c r="AN38" s="89">
        <f t="shared" ca="1" si="25"/>
        <v>5.3040716253277477E-2</v>
      </c>
      <c r="AO38" s="3">
        <f t="shared" si="26"/>
        <v>31</v>
      </c>
      <c r="AP38" s="33">
        <f t="shared" si="27"/>
        <v>37895</v>
      </c>
      <c r="AQ38" s="58">
        <f t="shared" ca="1" si="28"/>
        <v>869</v>
      </c>
      <c r="AR38" s="38">
        <f>'ANR OK vs ML7'!AR38</f>
        <v>0.1</v>
      </c>
      <c r="AS38" s="35">
        <f t="shared" ca="1" si="29"/>
        <v>0.79281738378267264</v>
      </c>
      <c r="AT38" s="3">
        <f t="shared" si="30"/>
        <v>1</v>
      </c>
      <c r="AU38" s="3">
        <f t="shared" si="31"/>
        <v>31</v>
      </c>
      <c r="AW38" s="32">
        <f t="shared" ca="1" si="32"/>
        <v>50383.130544155094</v>
      </c>
      <c r="AX38" s="32">
        <f t="shared" si="33"/>
        <v>3686.0839547696041</v>
      </c>
      <c r="AY38" s="32">
        <f t="shared" ca="1" si="34"/>
        <v>46697.046589385493</v>
      </c>
      <c r="BA38" s="32">
        <f ca="1">IF($A39="","",F38*Summary!$Q$14)</f>
        <v>0</v>
      </c>
      <c r="BC38" s="256">
        <f t="shared" ca="1" si="38"/>
        <v>2922.3914374237252</v>
      </c>
    </row>
    <row r="39" spans="1:55">
      <c r="A39" s="67">
        <f t="shared" si="35"/>
        <v>37926</v>
      </c>
      <c r="B39" s="69">
        <f t="shared" si="36"/>
        <v>28400</v>
      </c>
      <c r="C39" s="71"/>
      <c r="D39" s="69">
        <f t="shared" si="0"/>
        <v>28400</v>
      </c>
      <c r="E39" s="70">
        <f t="shared" si="1"/>
        <v>852000</v>
      </c>
      <c r="F39" s="70">
        <f t="shared" ca="1" si="2"/>
        <v>669909.20344353502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0.52</v>
      </c>
      <c r="K39" s="64">
        <f t="shared" si="6"/>
        <v>0.52</v>
      </c>
      <c r="L39" s="38">
        <v>0</v>
      </c>
      <c r="M39" s="64">
        <f t="shared" si="7"/>
        <v>0</v>
      </c>
      <c r="N39" s="65"/>
      <c r="O39" s="63">
        <f t="shared" si="8"/>
        <v>4.7189999999999994</v>
      </c>
      <c r="P39" s="63">
        <f t="shared" si="9"/>
        <v>4.7189999999999994</v>
      </c>
      <c r="Q39" s="66"/>
      <c r="R39" s="63">
        <f t="shared" si="10"/>
        <v>0.32</v>
      </c>
      <c r="S39" s="64">
        <f t="shared" si="11"/>
        <v>0.32</v>
      </c>
      <c r="T39" s="63">
        <f t="shared" si="12"/>
        <v>0</v>
      </c>
      <c r="U39" s="64">
        <f t="shared" si="13"/>
        <v>0</v>
      </c>
      <c r="V39" s="207">
        <f>IF($A40="","",IF(AND(MONTH(A39)&gt;3,MONTH(A39)&lt;11),(T39+R39+G39)*(((1/(1-Summary!$T$14))/(1-Summary!$W$14))-1),(T39+R39+G39)*((1/(1-Summary!$U$14))/(1-Summary!$X$14)-1)))</f>
        <v>4.8188404859674426E-2</v>
      </c>
      <c r="W39" s="43">
        <f t="shared" si="14"/>
        <v>4.5671884048596745</v>
      </c>
      <c r="X39" s="43">
        <f t="shared" si="15"/>
        <v>4.5671884048596745</v>
      </c>
      <c r="Y39" s="43"/>
      <c r="Z39" s="38">
        <f t="shared" si="16"/>
        <v>0.8</v>
      </c>
      <c r="AA39" s="38">
        <f t="shared" si="17"/>
        <v>0.32</v>
      </c>
      <c r="AB39" s="38">
        <f t="shared" ca="1" si="18"/>
        <v>0.33642301414208342</v>
      </c>
      <c r="AC39" s="38">
        <f t="shared" si="19"/>
        <v>0.95</v>
      </c>
      <c r="AD39" s="38">
        <f t="shared" si="20"/>
        <v>0.32</v>
      </c>
      <c r="AE39" s="38">
        <f t="shared" ca="1" si="21"/>
        <v>0.34286359451601806</v>
      </c>
      <c r="AF39" s="237">
        <f ca="1">((Summary!$N$14*(AA39*AD39)*(A39-$D$3))+(Summary!$M$14*Z39*AC39*(AJ39-EOMONTH(EDATE(A39,-1),0))))/(AK39*AB39*AE39)</f>
        <v>0.99846540848840648</v>
      </c>
      <c r="AG39" s="88">
        <f>IF($A40="","",Summary!$Q$14)</f>
        <v>0</v>
      </c>
      <c r="AH39" s="88">
        <f>IF($A40="","",IF(Summary!$R$12="Y",(VLOOKUP($A39,Summary!$AD$6:$AF$9,3)+'Escalating commodity'!J52),'Escalating commodity'!J52))</f>
        <v>5.0560469174009614E-3</v>
      </c>
      <c r="AI39" s="88">
        <f t="shared" si="37"/>
        <v>5.0560469174009614E-3</v>
      </c>
      <c r="AJ39" s="236">
        <f t="shared" si="22"/>
        <v>37940</v>
      </c>
      <c r="AK39" s="58">
        <f t="shared" ca="1" si="23"/>
        <v>900</v>
      </c>
      <c r="AL39" s="26">
        <f ca="1">IF($A40="","",_xll.SPRDOPT(P39,X39,AI39,0,AB39,AE39,AF39,AK39,$AJ$2,0))</f>
        <v>0.15835755415322425</v>
      </c>
      <c r="AM39" s="89">
        <f t="shared" si="24"/>
        <v>0.14675554822292397</v>
      </c>
      <c r="AN39" s="89">
        <f t="shared" ca="1" si="25"/>
        <v>1.160200593030028E-2</v>
      </c>
      <c r="AO39" s="3">
        <f t="shared" si="26"/>
        <v>30</v>
      </c>
      <c r="AP39" s="33">
        <f t="shared" si="27"/>
        <v>37926</v>
      </c>
      <c r="AQ39" s="58">
        <f t="shared" ca="1" si="28"/>
        <v>900</v>
      </c>
      <c r="AR39" s="38">
        <f>'ANR OK vs ML7'!AR39</f>
        <v>0.1</v>
      </c>
      <c r="AS39" s="35">
        <f t="shared" ca="1" si="29"/>
        <v>0.7862784077975763</v>
      </c>
      <c r="AT39" s="3">
        <f t="shared" si="30"/>
        <v>1</v>
      </c>
      <c r="AU39" s="3">
        <f t="shared" si="31"/>
        <v>30</v>
      </c>
      <c r="AW39" s="32">
        <f t="shared" ca="1" si="32"/>
        <v>134920.63613854707</v>
      </c>
      <c r="AX39" s="32">
        <f t="shared" si="33"/>
        <v>125035.72708593123</v>
      </c>
      <c r="AY39" s="32">
        <f t="shared" ca="1" si="34"/>
        <v>9884.9090526158379</v>
      </c>
      <c r="BA39" s="32">
        <f ca="1">IF($A40="","",F39*Summary!$Q$14)</f>
        <v>0</v>
      </c>
      <c r="BC39" s="256">
        <f t="shared" ca="1" si="38"/>
        <v>98312.892410938293</v>
      </c>
    </row>
    <row r="40" spans="1:55">
      <c r="A40" s="67">
        <f t="shared" si="35"/>
        <v>37956</v>
      </c>
      <c r="B40" s="69">
        <f t="shared" si="36"/>
        <v>28400</v>
      </c>
      <c r="C40" s="71"/>
      <c r="D40" s="69">
        <f t="shared" si="0"/>
        <v>28400</v>
      </c>
      <c r="E40" s="70">
        <f t="shared" si="1"/>
        <v>880400</v>
      </c>
      <c r="F40" s="70">
        <f t="shared" ca="1" si="2"/>
        <v>686713.51561619982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0.52</v>
      </c>
      <c r="K40" s="64">
        <f t="shared" si="6"/>
        <v>0.52</v>
      </c>
      <c r="L40" s="38">
        <v>0</v>
      </c>
      <c r="M40" s="64">
        <f t="shared" si="7"/>
        <v>0</v>
      </c>
      <c r="N40" s="65"/>
      <c r="O40" s="63">
        <f t="shared" si="8"/>
        <v>4.8570000000000011</v>
      </c>
      <c r="P40" s="63">
        <f t="shared" si="9"/>
        <v>4.8570000000000011</v>
      </c>
      <c r="Q40" s="66"/>
      <c r="R40" s="63">
        <f t="shared" si="10"/>
        <v>0.32</v>
      </c>
      <c r="S40" s="64">
        <f t="shared" si="11"/>
        <v>0.32</v>
      </c>
      <c r="T40" s="63">
        <f t="shared" si="12"/>
        <v>0</v>
      </c>
      <c r="U40" s="64">
        <f t="shared" si="13"/>
        <v>0</v>
      </c>
      <c r="V40" s="207">
        <f>IF($A41="","",IF(AND(MONTH(A40)&gt;3,MONTH(A40)&lt;11),(T40+R40+G40)*(((1/(1-Summary!$T$14))/(1-Summary!$W$14))-1),(T40+R40+G40)*((1/(1-Summary!$U$14))/(1-Summary!$X$14)-1)))</f>
        <v>4.9659969336469094E-2</v>
      </c>
      <c r="W40" s="43">
        <f t="shared" si="14"/>
        <v>4.7066599693364699</v>
      </c>
      <c r="X40" s="43">
        <f t="shared" si="15"/>
        <v>4.7066599693364699</v>
      </c>
      <c r="Y40" s="43"/>
      <c r="Z40" s="38">
        <f t="shared" si="16"/>
        <v>1.1000000000000001</v>
      </c>
      <c r="AA40" s="38">
        <f t="shared" si="17"/>
        <v>0.32</v>
      </c>
      <c r="AB40" s="38">
        <f t="shared" ca="1" si="18"/>
        <v>0.35025244352259471</v>
      </c>
      <c r="AC40" s="38">
        <f t="shared" si="19"/>
        <v>1.35</v>
      </c>
      <c r="AD40" s="38">
        <f t="shared" si="20"/>
        <v>0.32</v>
      </c>
      <c r="AE40" s="38">
        <f t="shared" ca="1" si="21"/>
        <v>0.36453409652168578</v>
      </c>
      <c r="AF40" s="237">
        <f ca="1">((Summary!$N$14*(AA40*AD40)*(A40-$D$3))+(Summary!$M$14*Z40*AC40*(AJ40-EOMONTH(EDATE(A40,-1),0))))/(AK40*AB40*AE40)</f>
        <v>0.99663921491502749</v>
      </c>
      <c r="AG40" s="88">
        <f>IF($A41="","",Summary!$Q$14)</f>
        <v>0</v>
      </c>
      <c r="AH40" s="88">
        <f>IF($A41="","",IF(Summary!$R$12="Y",(VLOOKUP($A40,Summary!$AD$6:$AF$9,3)+'Escalating commodity'!J53),'Escalating commodity'!J53))</f>
        <v>5.0560469174009614E-3</v>
      </c>
      <c r="AI40" s="88">
        <f t="shared" si="37"/>
        <v>5.0560469174009614E-3</v>
      </c>
      <c r="AJ40" s="236">
        <f t="shared" si="22"/>
        <v>37970.5</v>
      </c>
      <c r="AK40" s="58">
        <f t="shared" ca="1" si="23"/>
        <v>930</v>
      </c>
      <c r="AL40" s="26">
        <f ca="1">IF($A41="","",_xll.SPRDOPT(P40,X40,AI40,0,AB40,AE40,AF40,AK40,$AJ$2,0))</f>
        <v>0.18791181800158302</v>
      </c>
      <c r="AM40" s="89">
        <f t="shared" si="24"/>
        <v>0.14528398374613022</v>
      </c>
      <c r="AN40" s="89">
        <f t="shared" ca="1" si="25"/>
        <v>4.2627834255452801E-2</v>
      </c>
      <c r="AO40" s="3">
        <f t="shared" si="26"/>
        <v>31</v>
      </c>
      <c r="AP40" s="33">
        <f t="shared" si="27"/>
        <v>37956</v>
      </c>
      <c r="AQ40" s="58">
        <f t="shared" ca="1" si="28"/>
        <v>930</v>
      </c>
      <c r="AR40" s="38">
        <f>'ANR OK vs ML7'!AR40</f>
        <v>0.1</v>
      </c>
      <c r="AS40" s="35">
        <f t="shared" ca="1" si="29"/>
        <v>0.78000172150863223</v>
      </c>
      <c r="AT40" s="3">
        <f t="shared" si="30"/>
        <v>1</v>
      </c>
      <c r="AU40" s="3">
        <f t="shared" si="31"/>
        <v>31</v>
      </c>
      <c r="AW40" s="32">
        <f t="shared" ca="1" si="32"/>
        <v>165437.56456859369</v>
      </c>
      <c r="AX40" s="32">
        <f t="shared" si="33"/>
        <v>127908.01929009304</v>
      </c>
      <c r="AY40" s="32">
        <f t="shared" ca="1" si="34"/>
        <v>37529.545278500649</v>
      </c>
      <c r="BA40" s="32">
        <f ca="1">IF($A41="","",F40*Summary!$Q$14)</f>
        <v>0</v>
      </c>
      <c r="BC40" s="256">
        <f t="shared" ca="1" si="38"/>
        <v>99768.47524103192</v>
      </c>
    </row>
    <row r="41" spans="1:55">
      <c r="A41" s="67">
        <f t="shared" si="35"/>
        <v>37987</v>
      </c>
      <c r="B41" s="69">
        <f t="shared" si="36"/>
        <v>28400</v>
      </c>
      <c r="C41" s="71"/>
      <c r="D41" s="69">
        <f t="shared" si="0"/>
        <v>28400</v>
      </c>
      <c r="E41" s="70">
        <f t="shared" si="1"/>
        <v>880400</v>
      </c>
      <c r="F41" s="70">
        <f t="shared" ca="1" si="2"/>
        <v>681049.6600056797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0.52</v>
      </c>
      <c r="K41" s="64">
        <f t="shared" si="6"/>
        <v>0.52</v>
      </c>
      <c r="L41" s="38">
        <v>0</v>
      </c>
      <c r="M41" s="64">
        <f t="shared" si="7"/>
        <v>0</v>
      </c>
      <c r="N41" s="65"/>
      <c r="O41" s="63">
        <f t="shared" si="8"/>
        <v>4.9139999999999997</v>
      </c>
      <c r="P41" s="63">
        <f t="shared" si="9"/>
        <v>4.9139999999999997</v>
      </c>
      <c r="Q41" s="66"/>
      <c r="R41" s="63">
        <f t="shared" si="10"/>
        <v>0.32</v>
      </c>
      <c r="S41" s="64">
        <f t="shared" si="11"/>
        <v>0.32</v>
      </c>
      <c r="T41" s="63">
        <f t="shared" si="12"/>
        <v>0</v>
      </c>
      <c r="U41" s="64">
        <f t="shared" si="13"/>
        <v>0</v>
      </c>
      <c r="V41" s="207">
        <f>IF($A42="","",IF(AND(MONTH(A41)&gt;3,MONTH(A41)&lt;11),(T41+R41+G41)*(((1/(1-Summary!$T$14))/(1-Summary!$W$14))-1),(T41+R41+G41)*((1/(1-Summary!$U$14))/(1-Summary!$X$14)-1)))</f>
        <v>5.0267789446449496E-2</v>
      </c>
      <c r="W41" s="43">
        <f t="shared" si="14"/>
        <v>4.7642677894464498</v>
      </c>
      <c r="X41" s="43">
        <f t="shared" si="15"/>
        <v>4.7642677894464498</v>
      </c>
      <c r="Y41" s="43"/>
      <c r="Z41" s="38">
        <f t="shared" si="16"/>
        <v>1.1000000000000001</v>
      </c>
      <c r="AA41" s="38">
        <f t="shared" si="17"/>
        <v>0.32300000000000001</v>
      </c>
      <c r="AB41" s="38">
        <f t="shared" ca="1" si="18"/>
        <v>0.35207057813386372</v>
      </c>
      <c r="AC41" s="38">
        <f t="shared" si="19"/>
        <v>1.35</v>
      </c>
      <c r="AD41" s="38">
        <f t="shared" si="20"/>
        <v>0.32300000000000001</v>
      </c>
      <c r="AE41" s="38">
        <f t="shared" ca="1" si="21"/>
        <v>0.36583155173601078</v>
      </c>
      <c r="AF41" s="237">
        <f ca="1">((Summary!$N$14*(AA41*AD41)*(A41-$D$3))+(Summary!$M$14*Z41*AC41*(AJ41-EOMONTH(EDATE(A41,-1),0))))/(AK41*AB41*AE41)</f>
        <v>0.99674069393167153</v>
      </c>
      <c r="AG41" s="88">
        <f>IF($A42="","",Summary!$Q$14)</f>
        <v>0</v>
      </c>
      <c r="AH41" s="88">
        <f>IF($A42="","",IF(Summary!$R$12="Y",(VLOOKUP($A41,Summary!$AD$6:$AF$9,3)+'Escalating commodity'!J54),'Escalating commodity'!J54))</f>
        <v>5.1571678557489811E-3</v>
      </c>
      <c r="AI41" s="88">
        <f t="shared" si="37"/>
        <v>5.1571678557489811E-3</v>
      </c>
      <c r="AJ41" s="236">
        <f t="shared" si="22"/>
        <v>38001.5</v>
      </c>
      <c r="AK41" s="58">
        <f t="shared" ca="1" si="23"/>
        <v>961</v>
      </c>
      <c r="AL41" s="26">
        <f ca="1">IF($A42="","",_xll.SPRDOPT(P41,X41,AI41,0,AB41,AE41,AF41,AK41,$AJ$2,0))</f>
        <v>0.18844059479638375</v>
      </c>
      <c r="AM41" s="89">
        <f t="shared" si="24"/>
        <v>0.14457504269780092</v>
      </c>
      <c r="AN41" s="89">
        <f t="shared" ca="1" si="25"/>
        <v>4.3865552098582838E-2</v>
      </c>
      <c r="AO41" s="3">
        <f t="shared" si="26"/>
        <v>31</v>
      </c>
      <c r="AP41" s="33">
        <f t="shared" si="27"/>
        <v>37987</v>
      </c>
      <c r="AQ41" s="58">
        <f t="shared" ca="1" si="28"/>
        <v>961</v>
      </c>
      <c r="AR41" s="38">
        <f>'ANR OK vs ML7'!AR41</f>
        <v>0.1</v>
      </c>
      <c r="AS41" s="35">
        <f t="shared" ca="1" si="29"/>
        <v>0.77356844616728726</v>
      </c>
      <c r="AT41" s="3">
        <f t="shared" si="30"/>
        <v>1</v>
      </c>
      <c r="AU41" s="3">
        <f t="shared" si="31"/>
        <v>31</v>
      </c>
      <c r="AW41" s="32">
        <f t="shared" ca="1" si="32"/>
        <v>165903.09965873626</v>
      </c>
      <c r="AX41" s="32">
        <f t="shared" si="33"/>
        <v>127283.86759114392</v>
      </c>
      <c r="AY41" s="32">
        <f t="shared" ca="1" si="34"/>
        <v>38619.232067592333</v>
      </c>
      <c r="BA41" s="32">
        <f ca="1">IF($A42="","",F41*Summary!$Q$14)</f>
        <v>0</v>
      </c>
      <c r="BC41" s="256">
        <f t="shared" ca="1" si="38"/>
        <v>98462.783674643943</v>
      </c>
    </row>
    <row r="42" spans="1:55">
      <c r="A42" s="67">
        <f t="shared" si="35"/>
        <v>38018</v>
      </c>
      <c r="B42" s="69">
        <f t="shared" si="36"/>
        <v>28400</v>
      </c>
      <c r="C42" s="71"/>
      <c r="D42" s="69">
        <f t="shared" si="0"/>
        <v>28400</v>
      </c>
      <c r="E42" s="70">
        <f t="shared" si="1"/>
        <v>823600</v>
      </c>
      <c r="F42" s="70">
        <f t="shared" ca="1" si="2"/>
        <v>631856.22705636104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0.52</v>
      </c>
      <c r="K42" s="64">
        <f t="shared" si="6"/>
        <v>0.52</v>
      </c>
      <c r="L42" s="38">
        <v>0</v>
      </c>
      <c r="M42" s="64">
        <f t="shared" si="7"/>
        <v>0</v>
      </c>
      <c r="N42" s="65"/>
      <c r="O42" s="63">
        <f t="shared" si="8"/>
        <v>4.7940000000000005</v>
      </c>
      <c r="P42" s="63">
        <f t="shared" si="9"/>
        <v>4.7940000000000005</v>
      </c>
      <c r="Q42" s="66"/>
      <c r="R42" s="63">
        <f t="shared" si="10"/>
        <v>0.32</v>
      </c>
      <c r="S42" s="64">
        <f t="shared" si="11"/>
        <v>0.32</v>
      </c>
      <c r="T42" s="63">
        <f t="shared" si="12"/>
        <v>0</v>
      </c>
      <c r="U42" s="64">
        <f t="shared" si="13"/>
        <v>0</v>
      </c>
      <c r="V42" s="207">
        <f>IF($A43="","",IF(AND(MONTH(A42)&gt;3,MONTH(A42)&lt;11),(T42+R42+G42)*(((1/(1-Summary!$T$14))/(1-Summary!$W$14))-1),(T42+R42+G42)*((1/(1-Summary!$U$14))/(1-Summary!$X$14)-1)))</f>
        <v>4.8988168162280223E-2</v>
      </c>
      <c r="W42" s="43">
        <f t="shared" si="14"/>
        <v>4.6429881681622804</v>
      </c>
      <c r="X42" s="43">
        <f t="shared" si="15"/>
        <v>4.6429881681622804</v>
      </c>
      <c r="Y42" s="43"/>
      <c r="Z42" s="38">
        <f t="shared" si="16"/>
        <v>1.1000000000000001</v>
      </c>
      <c r="AA42" s="38">
        <f t="shared" si="17"/>
        <v>0.31</v>
      </c>
      <c r="AB42" s="38">
        <f t="shared" ca="1" si="18"/>
        <v>0.3374660974608914</v>
      </c>
      <c r="AC42" s="38">
        <f t="shared" si="19"/>
        <v>1.35</v>
      </c>
      <c r="AD42" s="38">
        <f t="shared" si="20"/>
        <v>0.31</v>
      </c>
      <c r="AE42" s="38">
        <f t="shared" ca="1" si="21"/>
        <v>0.3504800135804535</v>
      </c>
      <c r="AF42" s="237">
        <f ca="1">((Summary!$N$14*(AA42*AD42)*(A42-$D$3))+(Summary!$M$14*Z42*AC42*(AJ42-EOMONTH(EDATE(A42,-1),0))))/(AK42*AB42*AE42)</f>
        <v>0.99677262718335113</v>
      </c>
      <c r="AG42" s="88">
        <f>IF($A43="","",Summary!$Q$14)</f>
        <v>0</v>
      </c>
      <c r="AH42" s="88">
        <f>IF($A43="","",IF(Summary!$R$12="Y",(VLOOKUP($A42,Summary!$AD$6:$AF$9,3)+'Escalating commodity'!J55),'Escalating commodity'!J55))</f>
        <v>5.1571678557489811E-3</v>
      </c>
      <c r="AI42" s="88">
        <f t="shared" si="37"/>
        <v>5.1571678557489811E-3</v>
      </c>
      <c r="AJ42" s="236">
        <f t="shared" si="22"/>
        <v>38031.5</v>
      </c>
      <c r="AK42" s="58">
        <f t="shared" ca="1" si="23"/>
        <v>992</v>
      </c>
      <c r="AL42" s="26">
        <f ca="1">IF($A43="","",_xll.SPRDOPT(P42,X42,AI42,0,AB42,AE42,AF42,AK42,$AJ$2,0))</f>
        <v>0.18461192473173965</v>
      </c>
      <c r="AM42" s="89">
        <f t="shared" si="24"/>
        <v>0.14585466398197106</v>
      </c>
      <c r="AN42" s="89">
        <f t="shared" ca="1" si="25"/>
        <v>3.8757260749768596E-2</v>
      </c>
      <c r="AO42" s="3">
        <f t="shared" si="26"/>
        <v>29</v>
      </c>
      <c r="AP42" s="33">
        <f t="shared" si="27"/>
        <v>38018</v>
      </c>
      <c r="AQ42" s="58">
        <f t="shared" ca="1" si="28"/>
        <v>992</v>
      </c>
      <c r="AR42" s="38">
        <f>'ANR OK vs ML7'!AR42</f>
        <v>0.1</v>
      </c>
      <c r="AS42" s="35">
        <f t="shared" ca="1" si="29"/>
        <v>0.76718823100578082</v>
      </c>
      <c r="AT42" s="3">
        <f t="shared" si="30"/>
        <v>1</v>
      </c>
      <c r="AU42" s="3">
        <f t="shared" si="31"/>
        <v>29</v>
      </c>
      <c r="AW42" s="32">
        <f t="shared" ca="1" si="32"/>
        <v>152046.38120906078</v>
      </c>
      <c r="AX42" s="32">
        <f t="shared" si="33"/>
        <v>120125.90125555136</v>
      </c>
      <c r="AY42" s="32">
        <f t="shared" ca="1" si="34"/>
        <v>31920.479953509417</v>
      </c>
      <c r="BA42" s="32">
        <f ca="1">IF($A43="","",F42*Summary!$Q$14)</f>
        <v>0</v>
      </c>
      <c r="BC42" s="256">
        <f t="shared" ca="1" si="38"/>
        <v>92159.177682221547</v>
      </c>
    </row>
    <row r="43" spans="1:55">
      <c r="A43" s="67">
        <f t="shared" si="35"/>
        <v>38047</v>
      </c>
      <c r="B43" s="69">
        <f t="shared" si="36"/>
        <v>28400</v>
      </c>
      <c r="C43" s="71"/>
      <c r="D43" s="69">
        <f t="shared" si="0"/>
        <v>28400</v>
      </c>
      <c r="E43" s="70">
        <f t="shared" si="1"/>
        <v>880400</v>
      </c>
      <c r="F43" s="70">
        <f t="shared" ca="1" si="2"/>
        <v>670219.72269730701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0.52</v>
      </c>
      <c r="K43" s="64">
        <f t="shared" si="6"/>
        <v>0.52</v>
      </c>
      <c r="L43" s="38">
        <v>0</v>
      </c>
      <c r="M43" s="64">
        <f t="shared" si="7"/>
        <v>0</v>
      </c>
      <c r="N43" s="65"/>
      <c r="O43" s="63">
        <f t="shared" si="8"/>
        <v>4.6549999999999994</v>
      </c>
      <c r="P43" s="63">
        <f t="shared" si="9"/>
        <v>4.6549999999999994</v>
      </c>
      <c r="Q43" s="66"/>
      <c r="R43" s="63">
        <f t="shared" si="10"/>
        <v>0.32</v>
      </c>
      <c r="S43" s="64">
        <f t="shared" si="11"/>
        <v>0.32</v>
      </c>
      <c r="T43" s="63">
        <f t="shared" si="12"/>
        <v>0</v>
      </c>
      <c r="U43" s="64">
        <f t="shared" si="13"/>
        <v>0</v>
      </c>
      <c r="V43" s="207">
        <f>IF($A44="","",IF(AND(MONTH(A43)&gt;3,MONTH(A43)&lt;11),(T43+R43+G43)*(((1/(1-Summary!$T$14))/(1-Summary!$W$14))-1),(T43+R43+G43)*((1/(1-Summary!$U$14))/(1-Summary!$X$14)-1)))</f>
        <v>4.7505940174784149E-2</v>
      </c>
      <c r="W43" s="43">
        <f t="shared" si="14"/>
        <v>4.5025059401747844</v>
      </c>
      <c r="X43" s="43">
        <f t="shared" si="15"/>
        <v>4.5025059401747844</v>
      </c>
      <c r="Y43" s="43"/>
      <c r="Z43" s="38">
        <f t="shared" si="16"/>
        <v>0.75</v>
      </c>
      <c r="AA43" s="38">
        <f t="shared" si="17"/>
        <v>0.30299999999999999</v>
      </c>
      <c r="AB43" s="38">
        <f t="shared" ca="1" si="18"/>
        <v>0.31692008898328822</v>
      </c>
      <c r="AC43" s="38">
        <f t="shared" si="19"/>
        <v>0.95</v>
      </c>
      <c r="AD43" s="38">
        <f t="shared" si="20"/>
        <v>0.30299999999999999</v>
      </c>
      <c r="AE43" s="38">
        <f t="shared" ca="1" si="21"/>
        <v>0.32496145782160024</v>
      </c>
      <c r="AF43" s="237">
        <f ca="1">((Summary!$N$14*(AA43*AD43)*(A43-$D$3))+(Summary!$M$14*Z43*AC43*(AJ43-EOMONTH(EDATE(A43,-1),0))))/(AK43*AB43*AE43)</f>
        <v>0.99727652528936794</v>
      </c>
      <c r="AG43" s="88">
        <f>IF($A44="","",Summary!$Q$14)</f>
        <v>0</v>
      </c>
      <c r="AH43" s="88">
        <f>IF($A44="","",IF(Summary!$R$12="Y",(VLOOKUP($A43,Summary!$AD$6:$AF$9,3)+'Escalating commodity'!J56),'Escalating commodity'!J56))</f>
        <v>5.1571678557489811E-3</v>
      </c>
      <c r="AI43" s="88">
        <f t="shared" si="37"/>
        <v>5.1571678557489811E-3</v>
      </c>
      <c r="AJ43" s="236">
        <f t="shared" si="22"/>
        <v>38061.5</v>
      </c>
      <c r="AK43" s="58">
        <f t="shared" ca="1" si="23"/>
        <v>1021</v>
      </c>
      <c r="AL43" s="26">
        <f ca="1">IF($A44="","",_xll.SPRDOPT(P43,X43,AI43,0,AB43,AE43,AF43,AK43,$AJ$2,0))</f>
        <v>0.17136856739118791</v>
      </c>
      <c r="AM43" s="89">
        <f t="shared" si="24"/>
        <v>0.14733689196946592</v>
      </c>
      <c r="AN43" s="89">
        <f t="shared" ca="1" si="25"/>
        <v>2.4031675421721993E-2</v>
      </c>
      <c r="AO43" s="3">
        <f t="shared" si="26"/>
        <v>31</v>
      </c>
      <c r="AP43" s="33">
        <f t="shared" si="27"/>
        <v>38047</v>
      </c>
      <c r="AQ43" s="58">
        <f t="shared" ca="1" si="28"/>
        <v>1021</v>
      </c>
      <c r="AR43" s="38">
        <f>'ANR OK vs ML7'!AR43</f>
        <v>0.1</v>
      </c>
      <c r="AS43" s="35">
        <f t="shared" ca="1" si="29"/>
        <v>0.76126729066027599</v>
      </c>
      <c r="AT43" s="3">
        <f t="shared" si="30"/>
        <v>1</v>
      </c>
      <c r="AU43" s="3">
        <f t="shared" si="31"/>
        <v>31</v>
      </c>
      <c r="AW43" s="32">
        <f t="shared" ca="1" si="32"/>
        <v>150872.88673120184</v>
      </c>
      <c r="AX43" s="32">
        <f t="shared" si="33"/>
        <v>129715.3996899178</v>
      </c>
      <c r="AY43" s="32">
        <f t="shared" ca="1" si="34"/>
        <v>21157.487041284043</v>
      </c>
      <c r="BA43" s="32">
        <f ca="1">IF($A44="","",F43*Summary!$Q$14)</f>
        <v>0</v>
      </c>
      <c r="BC43" s="256">
        <f t="shared" ca="1" si="38"/>
        <v>98748.090878858537</v>
      </c>
    </row>
    <row r="44" spans="1:55">
      <c r="A44" s="67">
        <f t="shared" si="35"/>
        <v>38078</v>
      </c>
      <c r="B44" s="69">
        <f t="shared" si="36"/>
        <v>28400</v>
      </c>
      <c r="C44" s="71"/>
      <c r="D44" s="69">
        <f t="shared" si="0"/>
        <v>28400</v>
      </c>
      <c r="E44" s="70">
        <f t="shared" si="1"/>
        <v>852000</v>
      </c>
      <c r="F44" s="70">
        <f t="shared" ca="1" si="2"/>
        <v>643250.22978259949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0.25</v>
      </c>
      <c r="K44" s="64">
        <f t="shared" si="6"/>
        <v>0.25</v>
      </c>
      <c r="L44" s="38">
        <v>0</v>
      </c>
      <c r="M44" s="64">
        <f t="shared" si="7"/>
        <v>0</v>
      </c>
      <c r="N44" s="65"/>
      <c r="O44" s="63">
        <f t="shared" si="8"/>
        <v>4.21</v>
      </c>
      <c r="P44" s="63">
        <f t="shared" si="9"/>
        <v>4.21</v>
      </c>
      <c r="Q44" s="66"/>
      <c r="R44" s="63">
        <f t="shared" si="10"/>
        <v>0.19500000000000001</v>
      </c>
      <c r="S44" s="64">
        <f t="shared" si="11"/>
        <v>0.19500000000000001</v>
      </c>
      <c r="T44" s="63">
        <f t="shared" si="12"/>
        <v>0</v>
      </c>
      <c r="U44" s="64">
        <f t="shared" si="13"/>
        <v>0</v>
      </c>
      <c r="V44" s="207">
        <f>IF($A45="","",IF(AND(MONTH(A44)&gt;3,MONTH(A44)&lt;11),(T44+R44+G44)*(((1/(1-Summary!$T$14))/(1-Summary!$W$14))-1),(T44+R44+G44)*((1/(1-Summary!$U$14))/(1-Summary!$X$14)-1)))</f>
        <v>4.4306886964360977E-2</v>
      </c>
      <c r="W44" s="43">
        <f t="shared" si="14"/>
        <v>4.1993068869643615</v>
      </c>
      <c r="X44" s="43">
        <f t="shared" si="15"/>
        <v>4.1993068869643615</v>
      </c>
      <c r="Y44" s="43"/>
      <c r="Z44" s="38">
        <f t="shared" si="16"/>
        <v>0.45</v>
      </c>
      <c r="AA44" s="38">
        <f t="shared" si="17"/>
        <v>0.28999999999999998</v>
      </c>
      <c r="AB44" s="38">
        <f t="shared" ca="1" si="18"/>
        <v>0.29507168684953172</v>
      </c>
      <c r="AC44" s="38">
        <f t="shared" si="19"/>
        <v>0.5</v>
      </c>
      <c r="AD44" s="38">
        <f t="shared" si="20"/>
        <v>0.28999999999999998</v>
      </c>
      <c r="AE44" s="38">
        <f t="shared" ca="1" si="21"/>
        <v>0.29621711927072925</v>
      </c>
      <c r="AF44" s="237">
        <f ca="1">((Summary!$N$14*(AA44*AD44)*(A44-$D$3))+(Summary!$M$14*Z44*AC44*(AJ44-EOMONTH(EDATE(A44,-1),0))))/(AK44*AB44*AE44)</f>
        <v>0.99970728108168183</v>
      </c>
      <c r="AG44" s="88">
        <f>IF($A45="","",Summary!$Q$14)</f>
        <v>0</v>
      </c>
      <c r="AH44" s="88">
        <f>IF($A45="","",IF(Summary!$R$12="Y",(VLOOKUP($A44,Summary!$AD$6:$AF$9,3)+'Escalating commodity'!J57),'Escalating commodity'!J57))</f>
        <v>5.1571678557489811E-3</v>
      </c>
      <c r="AI44" s="88">
        <f t="shared" si="37"/>
        <v>5.1571678557489811E-3</v>
      </c>
      <c r="AJ44" s="236">
        <f t="shared" si="22"/>
        <v>38092</v>
      </c>
      <c r="AK44" s="58">
        <f t="shared" ca="1" si="23"/>
        <v>1052</v>
      </c>
      <c r="AL44" s="26">
        <f ca="1">IF($A45="","",_xll.SPRDOPT(P44,X44,AI44,0,AB44,AE44,AF44,AK44,$AJ$2,0))</f>
        <v>1.6223583499016772E-2</v>
      </c>
      <c r="AM44" s="89">
        <f t="shared" si="24"/>
        <v>5.5359451798894874E-3</v>
      </c>
      <c r="AN44" s="89">
        <f t="shared" ca="1" si="25"/>
        <v>1.0687638319127285E-2</v>
      </c>
      <c r="AO44" s="3">
        <f t="shared" si="26"/>
        <v>30</v>
      </c>
      <c r="AP44" s="33">
        <f t="shared" si="27"/>
        <v>38078</v>
      </c>
      <c r="AQ44" s="58">
        <f t="shared" ca="1" si="28"/>
        <v>1052</v>
      </c>
      <c r="AR44" s="38">
        <f>'ANR OK vs ML7'!AR44</f>
        <v>0.1</v>
      </c>
      <c r="AS44" s="35">
        <f t="shared" ca="1" si="29"/>
        <v>0.75498853260868481</v>
      </c>
      <c r="AT44" s="3">
        <f t="shared" si="30"/>
        <v>1</v>
      </c>
      <c r="AU44" s="3">
        <f t="shared" si="31"/>
        <v>30</v>
      </c>
      <c r="AW44" s="32">
        <f t="shared" ca="1" si="32"/>
        <v>13822.493141162289</v>
      </c>
      <c r="AX44" s="32">
        <f t="shared" si="33"/>
        <v>4716.6252932658435</v>
      </c>
      <c r="AY44" s="32">
        <f t="shared" ca="1" si="34"/>
        <v>9105.8678478964466</v>
      </c>
      <c r="BA44" s="32">
        <f ca="1">IF($A45="","",F44*Summary!$Q$14)</f>
        <v>0</v>
      </c>
      <c r="BC44" s="256">
        <f t="shared" ca="1" si="38"/>
        <v>3560.9980090277868</v>
      </c>
    </row>
    <row r="45" spans="1:55">
      <c r="A45" s="67">
        <f t="shared" si="35"/>
        <v>38108</v>
      </c>
      <c r="B45" s="69">
        <f t="shared" si="36"/>
        <v>28400</v>
      </c>
      <c r="C45" s="71"/>
      <c r="D45" s="69">
        <f t="shared" si="0"/>
        <v>28400</v>
      </c>
      <c r="E45" s="70">
        <f t="shared" si="1"/>
        <v>880400</v>
      </c>
      <c r="F45" s="70">
        <f t="shared" ca="1" si="2"/>
        <v>659385.8159349343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0.25</v>
      </c>
      <c r="K45" s="64">
        <f t="shared" si="6"/>
        <v>0.25</v>
      </c>
      <c r="L45" s="38">
        <v>0</v>
      </c>
      <c r="M45" s="64">
        <f t="shared" si="7"/>
        <v>0</v>
      </c>
      <c r="N45" s="65"/>
      <c r="O45" s="63">
        <f t="shared" si="8"/>
        <v>4.18</v>
      </c>
      <c r="P45" s="63">
        <f t="shared" si="9"/>
        <v>4.18</v>
      </c>
      <c r="Q45" s="66"/>
      <c r="R45" s="63">
        <f t="shared" si="10"/>
        <v>0.19500000000000001</v>
      </c>
      <c r="S45" s="64">
        <f t="shared" si="11"/>
        <v>0.19500000000000001</v>
      </c>
      <c r="T45" s="63">
        <f t="shared" si="12"/>
        <v>0</v>
      </c>
      <c r="U45" s="64">
        <f t="shared" si="13"/>
        <v>0</v>
      </c>
      <c r="V45" s="207">
        <f>IF($A46="","",IF(AND(MONTH(A45)&gt;3,MONTH(A45)&lt;11),(T45+R45+G45)*(((1/(1-Summary!$T$14))/(1-Summary!$W$14))-1),(T45+R45+G45)*((1/(1-Summary!$U$14))/(1-Summary!$X$14)-1)))</f>
        <v>4.3986981643318657E-2</v>
      </c>
      <c r="W45" s="43">
        <f t="shared" si="14"/>
        <v>4.1689869816433189</v>
      </c>
      <c r="X45" s="43">
        <f t="shared" si="15"/>
        <v>4.1689869816433189</v>
      </c>
      <c r="Y45" s="43"/>
      <c r="Z45" s="38">
        <f t="shared" si="16"/>
        <v>0.5</v>
      </c>
      <c r="AA45" s="38">
        <f t="shared" si="17"/>
        <v>0.28800000000000003</v>
      </c>
      <c r="AB45" s="38">
        <f t="shared" ca="1" si="18"/>
        <v>0.29428215866652024</v>
      </c>
      <c r="AC45" s="38">
        <f t="shared" si="19"/>
        <v>0.45</v>
      </c>
      <c r="AD45" s="38">
        <f t="shared" si="20"/>
        <v>0.28800000000000003</v>
      </c>
      <c r="AE45" s="38">
        <f t="shared" ca="1" si="21"/>
        <v>0.29312375551012976</v>
      </c>
      <c r="AF45" s="237">
        <f ca="1">((Summary!$N$14*(AA45*AD45)*(A45-$D$3))+(Summary!$M$14*Z45*AC45*(AJ45-EOMONTH(EDATE(A45,-1),0))))/(AK45*AB45*AE45)</f>
        <v>0.99970394797052586</v>
      </c>
      <c r="AG45" s="88">
        <f>IF($A46="","",Summary!$Q$14)</f>
        <v>0</v>
      </c>
      <c r="AH45" s="88">
        <f>IF($A46="","",IF(Summary!$R$12="Y",(VLOOKUP($A45,Summary!$AD$6:$AF$9,3)+'Escalating commodity'!J58),'Escalating commodity'!J58))</f>
        <v>5.1571678557489811E-3</v>
      </c>
      <c r="AI45" s="88">
        <f t="shared" si="37"/>
        <v>5.1571678557489811E-3</v>
      </c>
      <c r="AJ45" s="236">
        <f t="shared" si="22"/>
        <v>38122.5</v>
      </c>
      <c r="AK45" s="58">
        <f t="shared" ca="1" si="23"/>
        <v>1082</v>
      </c>
      <c r="AL45" s="26">
        <f ca="1">IF($A46="","",_xll.SPRDOPT(P45,X45,AI45,0,AB45,AE45,AF45,AK45,$AJ$2,0))</f>
        <v>1.7740649499493649E-2</v>
      </c>
      <c r="AM45" s="89">
        <f t="shared" si="24"/>
        <v>5.8558505009318005E-3</v>
      </c>
      <c r="AN45" s="89">
        <f t="shared" ca="1" si="25"/>
        <v>1.1884798998561848E-2</v>
      </c>
      <c r="AO45" s="3">
        <f t="shared" si="26"/>
        <v>31</v>
      </c>
      <c r="AP45" s="33">
        <f t="shared" si="27"/>
        <v>38108</v>
      </c>
      <c r="AQ45" s="58">
        <f t="shared" ca="1" si="28"/>
        <v>1082</v>
      </c>
      <c r="AR45" s="38">
        <f>'ANR OK vs ML7'!AR45</f>
        <v>0.1</v>
      </c>
      <c r="AS45" s="35">
        <f t="shared" ca="1" si="29"/>
        <v>0.74896162645948916</v>
      </c>
      <c r="AT45" s="3">
        <f t="shared" si="30"/>
        <v>1</v>
      </c>
      <c r="AU45" s="3">
        <f t="shared" si="31"/>
        <v>31</v>
      </c>
      <c r="AW45" s="32">
        <f t="shared" ca="1" si="32"/>
        <v>15618.867819354207</v>
      </c>
      <c r="AX45" s="32">
        <f t="shared" si="33"/>
        <v>5155.4907810203567</v>
      </c>
      <c r="AY45" s="32">
        <f t="shared" ca="1" si="34"/>
        <v>10463.377038333851</v>
      </c>
      <c r="BA45" s="32">
        <f ca="1">IF($A46="","",F45*Summary!$Q$14)</f>
        <v>0</v>
      </c>
      <c r="BC45" s="256">
        <f t="shared" ca="1" si="38"/>
        <v>3861.2647605499092</v>
      </c>
    </row>
    <row r="46" spans="1:55">
      <c r="A46" s="67">
        <f t="shared" si="35"/>
        <v>38139</v>
      </c>
      <c r="B46" s="69">
        <f t="shared" si="36"/>
        <v>28400</v>
      </c>
      <c r="C46" s="71"/>
      <c r="D46" s="69">
        <f t="shared" si="0"/>
        <v>28400</v>
      </c>
      <c r="E46" s="70">
        <f t="shared" si="1"/>
        <v>852000</v>
      </c>
      <c r="F46" s="70">
        <f t="shared" ca="1" si="2"/>
        <v>632852.27702422207</v>
      </c>
      <c r="G46" s="63">
        <f t="shared" si="3"/>
        <v>4</v>
      </c>
      <c r="H46" s="64">
        <f t="shared" si="4"/>
        <v>4</v>
      </c>
      <c r="I46" s="43"/>
      <c r="J46" s="63">
        <f t="shared" si="5"/>
        <v>0.25</v>
      </c>
      <c r="K46" s="64">
        <f t="shared" si="6"/>
        <v>0.25</v>
      </c>
      <c r="L46" s="38">
        <v>0</v>
      </c>
      <c r="M46" s="64">
        <f t="shared" si="7"/>
        <v>0</v>
      </c>
      <c r="N46" s="65"/>
      <c r="O46" s="63">
        <f t="shared" si="8"/>
        <v>4.25</v>
      </c>
      <c r="P46" s="63">
        <f t="shared" si="9"/>
        <v>4.25</v>
      </c>
      <c r="Q46" s="66"/>
      <c r="R46" s="63">
        <f t="shared" si="10"/>
        <v>0.19500000000000001</v>
      </c>
      <c r="S46" s="64">
        <f t="shared" si="11"/>
        <v>0.19500000000000001</v>
      </c>
      <c r="T46" s="63">
        <f t="shared" si="12"/>
        <v>0</v>
      </c>
      <c r="U46" s="64">
        <f t="shared" si="13"/>
        <v>0</v>
      </c>
      <c r="V46" s="207">
        <f>IF($A47="","",IF(AND(MONTH(A46)&gt;3,MONTH(A46)&lt;11),(T46+R46+G46)*(((1/(1-Summary!$T$14))/(1-Summary!$W$14))-1),(T46+R46+G46)*((1/(1-Summary!$U$14))/(1-Summary!$X$14)-1)))</f>
        <v>4.4733427392417403E-2</v>
      </c>
      <c r="W46" s="43">
        <f t="shared" si="14"/>
        <v>4.2397334273924177</v>
      </c>
      <c r="X46" s="43">
        <f t="shared" si="15"/>
        <v>4.2397334273924177</v>
      </c>
      <c r="Y46" s="43"/>
      <c r="Z46" s="38">
        <f t="shared" si="16"/>
        <v>0.5</v>
      </c>
      <c r="AA46" s="38">
        <f t="shared" si="17"/>
        <v>0.28800000000000003</v>
      </c>
      <c r="AB46" s="38">
        <f t="shared" ca="1" si="18"/>
        <v>0.2939180075263304</v>
      </c>
      <c r="AC46" s="38">
        <f t="shared" si="19"/>
        <v>0.5</v>
      </c>
      <c r="AD46" s="38">
        <f t="shared" si="20"/>
        <v>0.28800000000000003</v>
      </c>
      <c r="AE46" s="38">
        <f t="shared" ca="1" si="21"/>
        <v>0.2939180075263304</v>
      </c>
      <c r="AF46" s="237">
        <f ca="1">((Summary!$N$14*(AA46*AD46)*(A46-$D$3))+(Summary!$M$14*Z46*AC46*(AJ46-EOMONTH(EDATE(A46,-1),0))))/(AK46*AB46*AE46)</f>
        <v>0.99990390017158226</v>
      </c>
      <c r="AG46" s="88">
        <f>IF($A47="","",Summary!$Q$14)</f>
        <v>0</v>
      </c>
      <c r="AH46" s="88">
        <f>IF($A47="","",IF(Summary!$R$12="Y",(VLOOKUP($A46,Summary!$AD$6:$AF$9,3)+'Escalating commodity'!J59),'Escalating commodity'!J59))</f>
        <v>5.1571678557489811E-3</v>
      </c>
      <c r="AI46" s="88">
        <f t="shared" si="37"/>
        <v>5.1571678557489811E-3</v>
      </c>
      <c r="AJ46" s="236">
        <f t="shared" si="22"/>
        <v>38153</v>
      </c>
      <c r="AK46" s="58">
        <f t="shared" ca="1" si="23"/>
        <v>1113</v>
      </c>
      <c r="AL46" s="26">
        <f ca="1">IF($A47="","",_xll.SPRDOPT(P46,X46,AI46,0,AB46,AE46,AF46,AK46,$AJ$2,0))</f>
        <v>8.7431320802529022E-3</v>
      </c>
      <c r="AM46" s="89">
        <f t="shared" si="24"/>
        <v>5.1094047518333661E-3</v>
      </c>
      <c r="AN46" s="89">
        <f t="shared" ca="1" si="25"/>
        <v>3.6337273284195361E-3</v>
      </c>
      <c r="AO46" s="3">
        <f t="shared" si="26"/>
        <v>30</v>
      </c>
      <c r="AP46" s="33">
        <f t="shared" si="27"/>
        <v>38139</v>
      </c>
      <c r="AQ46" s="58">
        <f t="shared" ca="1" si="28"/>
        <v>1113</v>
      </c>
      <c r="AR46" s="38">
        <f>'ANR OK vs ML7'!AR46</f>
        <v>0.1</v>
      </c>
      <c r="AS46" s="35">
        <f t="shared" ca="1" si="29"/>
        <v>0.742784362704486</v>
      </c>
      <c r="AT46" s="3">
        <f t="shared" si="30"/>
        <v>1</v>
      </c>
      <c r="AU46" s="3">
        <f t="shared" si="31"/>
        <v>30</v>
      </c>
      <c r="AW46" s="32">
        <f t="shared" ca="1" si="32"/>
        <v>7449.1485323754723</v>
      </c>
      <c r="AX46" s="32">
        <f t="shared" si="33"/>
        <v>4353.2128485620278</v>
      </c>
      <c r="AY46" s="32">
        <f t="shared" ca="1" si="34"/>
        <v>3095.9356838134449</v>
      </c>
      <c r="BA46" s="32">
        <f ca="1">IF($A47="","",F46*Summary!$Q$14)</f>
        <v>0</v>
      </c>
      <c r="BC46" s="256">
        <f t="shared" ca="1" si="38"/>
        <v>3233.4984314361259</v>
      </c>
    </row>
    <row r="47" spans="1:55">
      <c r="A47" s="67">
        <f t="shared" si="35"/>
        <v>38169</v>
      </c>
      <c r="B47" s="69">
        <f t="shared" si="36"/>
        <v>28400</v>
      </c>
      <c r="C47" s="71"/>
      <c r="D47" s="69">
        <f t="shared" si="0"/>
        <v>28400</v>
      </c>
      <c r="E47" s="70">
        <f t="shared" si="1"/>
        <v>880400</v>
      </c>
      <c r="F47" s="70">
        <f t="shared" ca="1" si="2"/>
        <v>648727.03612236772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0.25</v>
      </c>
      <c r="K47" s="64">
        <f t="shared" si="6"/>
        <v>0.25</v>
      </c>
      <c r="L47" s="38">
        <v>0</v>
      </c>
      <c r="M47" s="64">
        <f t="shared" si="7"/>
        <v>0</v>
      </c>
      <c r="N47" s="65"/>
      <c r="O47" s="63">
        <f t="shared" si="8"/>
        <v>4.3049999999999997</v>
      </c>
      <c r="P47" s="63">
        <f t="shared" si="9"/>
        <v>4.3049999999999997</v>
      </c>
      <c r="Q47" s="66"/>
      <c r="R47" s="63">
        <f t="shared" si="10"/>
        <v>0.19500000000000001</v>
      </c>
      <c r="S47" s="64">
        <f t="shared" si="11"/>
        <v>0.19500000000000001</v>
      </c>
      <c r="T47" s="63">
        <f t="shared" si="12"/>
        <v>0</v>
      </c>
      <c r="U47" s="64">
        <f t="shared" si="13"/>
        <v>0</v>
      </c>
      <c r="V47" s="207">
        <f>IF($A48="","",IF(AND(MONTH(A47)&gt;3,MONTH(A47)&lt;11),(T47+R47+G47)*(((1/(1-Summary!$T$14))/(1-Summary!$W$14))-1),(T47+R47+G47)*((1/(1-Summary!$U$14))/(1-Summary!$X$14)-1)))</f>
        <v>4.531992048099498E-2</v>
      </c>
      <c r="W47" s="43">
        <f t="shared" si="14"/>
        <v>4.2953199204809946</v>
      </c>
      <c r="X47" s="43">
        <f t="shared" si="15"/>
        <v>4.2953199204809946</v>
      </c>
      <c r="Y47" s="43"/>
      <c r="Z47" s="38">
        <f t="shared" si="16"/>
        <v>0.55000000000000004</v>
      </c>
      <c r="AA47" s="38">
        <f t="shared" si="17"/>
        <v>0.28800000000000003</v>
      </c>
      <c r="AB47" s="38">
        <f t="shared" ca="1" si="18"/>
        <v>0.29515878847020399</v>
      </c>
      <c r="AC47" s="38">
        <f t="shared" si="19"/>
        <v>0.5</v>
      </c>
      <c r="AD47" s="38">
        <f t="shared" si="20"/>
        <v>0.28800000000000003</v>
      </c>
      <c r="AE47" s="38">
        <f t="shared" ca="1" si="21"/>
        <v>0.29395028177224253</v>
      </c>
      <c r="AF47" s="237">
        <f ca="1">((Summary!$N$14*(AA47*AD47)*(A47-$D$3))+(Summary!$M$14*Z47*AC47*(AJ47-EOMONTH(EDATE(A47,-1),0))))/(AK47*AB47*AE47)</f>
        <v>0.99971735994971256</v>
      </c>
      <c r="AG47" s="88">
        <f>IF($A48="","",Summary!$Q$14)</f>
        <v>0</v>
      </c>
      <c r="AH47" s="88">
        <f>IF($A48="","",IF(Summary!$R$12="Y",(VLOOKUP($A47,Summary!$AD$6:$AF$9,3)+'Escalating commodity'!J60),'Escalating commodity'!J60))</f>
        <v>5.1571678557489811E-3</v>
      </c>
      <c r="AI47" s="88">
        <f t="shared" si="37"/>
        <v>5.1571678557489811E-3</v>
      </c>
      <c r="AJ47" s="236">
        <f t="shared" si="22"/>
        <v>38183.5</v>
      </c>
      <c r="AK47" s="58">
        <f t="shared" ca="1" si="23"/>
        <v>1143</v>
      </c>
      <c r="AL47" s="26">
        <f ca="1">IF($A48="","",_xll.SPRDOPT(P47,X47,AI47,0,AB47,AE47,AF47,AK47,$AJ$2,0))</f>
        <v>1.7345334845396829E-2</v>
      </c>
      <c r="AM47" s="89">
        <f t="shared" si="24"/>
        <v>4.5229116632560882E-3</v>
      </c>
      <c r="AN47" s="89">
        <f t="shared" ca="1" si="25"/>
        <v>1.2822423182140741E-2</v>
      </c>
      <c r="AO47" s="3">
        <f t="shared" si="26"/>
        <v>31</v>
      </c>
      <c r="AP47" s="33">
        <f t="shared" si="27"/>
        <v>38169</v>
      </c>
      <c r="AQ47" s="58">
        <f t="shared" ca="1" si="28"/>
        <v>1143</v>
      </c>
      <c r="AR47" s="38">
        <f>'ANR OK vs ML7'!AR47</f>
        <v>0.1</v>
      </c>
      <c r="AS47" s="35">
        <f t="shared" ca="1" si="29"/>
        <v>0.73685487973917274</v>
      </c>
      <c r="AT47" s="3">
        <f t="shared" si="30"/>
        <v>1</v>
      </c>
      <c r="AU47" s="3">
        <f t="shared" si="31"/>
        <v>31</v>
      </c>
      <c r="AW47" s="32">
        <f t="shared" ca="1" si="32"/>
        <v>15270.832797887369</v>
      </c>
      <c r="AX47" s="32">
        <f t="shared" si="33"/>
        <v>3981.9714283306598</v>
      </c>
      <c r="AY47" s="32">
        <f t="shared" ca="1" si="34"/>
        <v>11288.861369556709</v>
      </c>
      <c r="BA47" s="32">
        <f ca="1">IF($A48="","",F47*Summary!$Q$14)</f>
        <v>0</v>
      </c>
      <c r="BC47" s="256">
        <f t="shared" ca="1" si="38"/>
        <v>2934.1350779474105</v>
      </c>
    </row>
    <row r="48" spans="1:55">
      <c r="A48" s="67">
        <f t="shared" si="35"/>
        <v>38200</v>
      </c>
      <c r="B48" s="69">
        <f t="shared" si="36"/>
        <v>28400</v>
      </c>
      <c r="C48" s="71"/>
      <c r="D48" s="69">
        <f t="shared" si="0"/>
        <v>28400</v>
      </c>
      <c r="E48" s="70">
        <f t="shared" si="1"/>
        <v>880400</v>
      </c>
      <c r="F48" s="70">
        <f t="shared" ca="1" si="2"/>
        <v>643376.48428425414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0.25</v>
      </c>
      <c r="K48" s="64">
        <f t="shared" si="6"/>
        <v>0.25</v>
      </c>
      <c r="L48" s="38">
        <v>0</v>
      </c>
      <c r="M48" s="64">
        <f t="shared" si="7"/>
        <v>0</v>
      </c>
      <c r="N48" s="65"/>
      <c r="O48" s="63">
        <f t="shared" si="8"/>
        <v>4.3609999999999998</v>
      </c>
      <c r="P48" s="63">
        <f t="shared" si="9"/>
        <v>4.3609999999999998</v>
      </c>
      <c r="Q48" s="66"/>
      <c r="R48" s="63">
        <f t="shared" si="10"/>
        <v>0.19500000000000001</v>
      </c>
      <c r="S48" s="64">
        <f t="shared" si="11"/>
        <v>0.19500000000000001</v>
      </c>
      <c r="T48" s="63">
        <f t="shared" si="12"/>
        <v>0</v>
      </c>
      <c r="U48" s="64">
        <f t="shared" si="13"/>
        <v>0</v>
      </c>
      <c r="V48" s="207">
        <f>IF($A49="","",IF(AND(MONTH(A48)&gt;3,MONTH(A48)&lt;11),(T48+R48+G48)*(((1/(1-Summary!$T$14))/(1-Summary!$W$14))-1),(T48+R48+G48)*((1/(1-Summary!$U$14))/(1-Summary!$X$14)-1)))</f>
        <v>4.5917077080273976E-2</v>
      </c>
      <c r="W48" s="43">
        <f t="shared" si="14"/>
        <v>4.351917077080274</v>
      </c>
      <c r="X48" s="43">
        <f t="shared" si="15"/>
        <v>4.351917077080274</v>
      </c>
      <c r="Y48" s="43"/>
      <c r="Z48" s="38">
        <f t="shared" si="16"/>
        <v>0.6</v>
      </c>
      <c r="AA48" s="38">
        <f t="shared" si="17"/>
        <v>0.28800000000000003</v>
      </c>
      <c r="AB48" s="38">
        <f t="shared" ca="1" si="18"/>
        <v>0.2962560244573218</v>
      </c>
      <c r="AC48" s="38">
        <f t="shared" si="19"/>
        <v>0.45</v>
      </c>
      <c r="AD48" s="38">
        <f t="shared" si="20"/>
        <v>0.28800000000000003</v>
      </c>
      <c r="AE48" s="38">
        <f t="shared" ca="1" si="21"/>
        <v>0.29272547331198229</v>
      </c>
      <c r="AF48" s="237">
        <f ca="1">((Summary!$N$14*(AA48*AD48)*(A48-$D$3))+(Summary!$M$14*Z48*AC48*(AJ48-EOMONTH(EDATE(A48,-1),0))))/(AK48*AB48*AE48)</f>
        <v>0.99826341319578482</v>
      </c>
      <c r="AG48" s="88">
        <f>IF($A49="","",Summary!$Q$14)</f>
        <v>0</v>
      </c>
      <c r="AH48" s="88">
        <f>IF($A49="","",IF(Summary!$R$12="Y",(VLOOKUP($A48,Summary!$AD$6:$AF$9,3)+'Escalating commodity'!J61),'Escalating commodity'!J61))</f>
        <v>5.1571678557489811E-3</v>
      </c>
      <c r="AI48" s="88">
        <f t="shared" si="37"/>
        <v>5.1571678557489811E-3</v>
      </c>
      <c r="AJ48" s="236">
        <f t="shared" si="22"/>
        <v>38214.5</v>
      </c>
      <c r="AK48" s="58">
        <f t="shared" ca="1" si="23"/>
        <v>1174</v>
      </c>
      <c r="AL48" s="26">
        <f ca="1">IF($A49="","",_xll.SPRDOPT(P48,X48,AI48,0,AB48,AE48,AF48,AK48,$AJ$2,0))</f>
        <v>5.7394996454452188E-2</v>
      </c>
      <c r="AM48" s="89">
        <f t="shared" si="24"/>
        <v>3.9257550639768077E-3</v>
      </c>
      <c r="AN48" s="89">
        <f t="shared" ca="1" si="25"/>
        <v>5.3469241390475382E-2</v>
      </c>
      <c r="AO48" s="3">
        <f t="shared" si="26"/>
        <v>31</v>
      </c>
      <c r="AP48" s="33">
        <f t="shared" si="27"/>
        <v>38200</v>
      </c>
      <c r="AQ48" s="58">
        <f t="shared" ca="1" si="28"/>
        <v>1174</v>
      </c>
      <c r="AR48" s="38">
        <f>'ANR OK vs ML7'!AR48</f>
        <v>0.1</v>
      </c>
      <c r="AS48" s="35">
        <f t="shared" ca="1" si="29"/>
        <v>0.73077746965499102</v>
      </c>
      <c r="AT48" s="3">
        <f t="shared" si="30"/>
        <v>1</v>
      </c>
      <c r="AU48" s="3">
        <f t="shared" si="31"/>
        <v>31</v>
      </c>
      <c r="AW48" s="32">
        <f t="shared" ca="1" si="32"/>
        <v>50530.554878499708</v>
      </c>
      <c r="AX48" s="32">
        <f t="shared" si="33"/>
        <v>3456.2347583251817</v>
      </c>
      <c r="AY48" s="32">
        <f t="shared" ca="1" si="34"/>
        <v>47074.320120174525</v>
      </c>
      <c r="BA48" s="32">
        <f ca="1">IF($A49="","",F48*Summary!$Q$14)</f>
        <v>0</v>
      </c>
      <c r="BC48" s="256">
        <f t="shared" ca="1" si="38"/>
        <v>2525.7384912225057</v>
      </c>
    </row>
    <row r="49" spans="1:55">
      <c r="A49" s="67">
        <f t="shared" si="35"/>
        <v>38231</v>
      </c>
      <c r="B49" s="69">
        <f t="shared" si="36"/>
        <v>28400</v>
      </c>
      <c r="C49" s="71"/>
      <c r="D49" s="69">
        <f t="shared" si="0"/>
        <v>28400</v>
      </c>
      <c r="E49" s="70">
        <f t="shared" si="1"/>
        <v>852000</v>
      </c>
      <c r="F49" s="70">
        <f t="shared" ca="1" si="2"/>
        <v>617487.15732657793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0.25</v>
      </c>
      <c r="K49" s="64">
        <f t="shared" si="6"/>
        <v>0.25</v>
      </c>
      <c r="L49" s="38">
        <v>0</v>
      </c>
      <c r="M49" s="64">
        <f t="shared" si="7"/>
        <v>0</v>
      </c>
      <c r="N49" s="65"/>
      <c r="O49" s="63">
        <f t="shared" si="8"/>
        <v>4.375</v>
      </c>
      <c r="P49" s="63">
        <f t="shared" si="9"/>
        <v>4.375</v>
      </c>
      <c r="Q49" s="66"/>
      <c r="R49" s="63">
        <f t="shared" si="10"/>
        <v>0.19500000000000001</v>
      </c>
      <c r="S49" s="64">
        <f t="shared" si="11"/>
        <v>0.19500000000000001</v>
      </c>
      <c r="T49" s="63">
        <f t="shared" si="12"/>
        <v>0</v>
      </c>
      <c r="U49" s="64">
        <f t="shared" si="13"/>
        <v>0</v>
      </c>
      <c r="V49" s="207">
        <f>IF($A50="","",IF(AND(MONTH(A49)&gt;3,MONTH(A49)&lt;11),(T49+R49+G49)*(((1/(1-Summary!$T$14))/(1-Summary!$W$14))-1),(T49+R49+G49)*((1/(1-Summary!$U$14))/(1-Summary!$X$14)-1)))</f>
        <v>4.6066366230093726E-2</v>
      </c>
      <c r="W49" s="43">
        <f t="shared" si="14"/>
        <v>4.3660663662300943</v>
      </c>
      <c r="X49" s="43">
        <f t="shared" si="15"/>
        <v>4.3660663662300943</v>
      </c>
      <c r="Y49" s="43"/>
      <c r="Z49" s="38">
        <f t="shared" si="16"/>
        <v>0.6</v>
      </c>
      <c r="AA49" s="38">
        <f t="shared" si="17"/>
        <v>0.28800000000000003</v>
      </c>
      <c r="AB49" s="38">
        <f t="shared" ca="1" si="18"/>
        <v>0.29579411927191968</v>
      </c>
      <c r="AC49" s="38">
        <f t="shared" si="19"/>
        <v>0.5</v>
      </c>
      <c r="AD49" s="38">
        <f t="shared" si="20"/>
        <v>0.28800000000000003</v>
      </c>
      <c r="AE49" s="38">
        <f t="shared" ca="1" si="21"/>
        <v>0.29347038417878135</v>
      </c>
      <c r="AF49" s="237">
        <f ca="1">((Summary!$N$14*(AA49*AD49)*(A49-$D$3))+(Summary!$M$14*Z49*AC49*(AJ49-EOMONTH(EDATE(A49,-1),0))))/(AK49*AB49*AE49)</f>
        <v>0.99921847062641167</v>
      </c>
      <c r="AG49" s="88">
        <f>IF($A50="","",Summary!$Q$14)</f>
        <v>0</v>
      </c>
      <c r="AH49" s="88">
        <f>IF($A50="","",IF(Summary!$R$12="Y",(VLOOKUP($A49,Summary!$AD$6:$AF$9,3)+'Escalating commodity'!J62),'Escalating commodity'!J62))</f>
        <v>5.1571678557489811E-3</v>
      </c>
      <c r="AI49" s="88">
        <f t="shared" si="37"/>
        <v>5.1571678557489811E-3</v>
      </c>
      <c r="AJ49" s="236">
        <f t="shared" si="22"/>
        <v>38245</v>
      </c>
      <c r="AK49" s="58">
        <f t="shared" ca="1" si="23"/>
        <v>1205</v>
      </c>
      <c r="AL49" s="26">
        <f ca="1">IF($A50="","",_xll.SPRDOPT(P49,X49,AI49,0,AB49,AE49,AF49,AK49,$AJ$2,0))</f>
        <v>3.7067461342256858E-2</v>
      </c>
      <c r="AM49" s="89">
        <f t="shared" si="24"/>
        <v>3.7764659141567656E-3</v>
      </c>
      <c r="AN49" s="89">
        <f t="shared" ca="1" si="25"/>
        <v>3.3290995428100094E-2</v>
      </c>
      <c r="AO49" s="3">
        <f t="shared" si="26"/>
        <v>30</v>
      </c>
      <c r="AP49" s="33">
        <f t="shared" si="27"/>
        <v>38231</v>
      </c>
      <c r="AQ49" s="58">
        <f t="shared" ca="1" si="28"/>
        <v>1205</v>
      </c>
      <c r="AR49" s="38">
        <f>'ANR OK vs ML7'!AR49</f>
        <v>0.1</v>
      </c>
      <c r="AS49" s="35">
        <f t="shared" ca="1" si="29"/>
        <v>0.72475018465560792</v>
      </c>
      <c r="AT49" s="3">
        <f t="shared" si="30"/>
        <v>1</v>
      </c>
      <c r="AU49" s="3">
        <f t="shared" si="31"/>
        <v>30</v>
      </c>
      <c r="AW49" s="32">
        <f t="shared" ca="1" si="32"/>
        <v>31581.477063602844</v>
      </c>
      <c r="AX49" s="32">
        <f t="shared" si="33"/>
        <v>3217.5489588615642</v>
      </c>
      <c r="AY49" s="32">
        <f t="shared" ca="1" si="34"/>
        <v>28363.928104741281</v>
      </c>
      <c r="BA49" s="32">
        <f ca="1">IF($A50="","",F49*Summary!$Q$14)</f>
        <v>0</v>
      </c>
      <c r="BC49" s="256">
        <f t="shared" ca="1" si="38"/>
        <v>2331.9192020733776</v>
      </c>
    </row>
    <row r="50" spans="1:55">
      <c r="A50" s="67">
        <f t="shared" si="35"/>
        <v>38261</v>
      </c>
      <c r="B50" s="69">
        <f t="shared" si="36"/>
        <v>28400</v>
      </c>
      <c r="C50" s="71"/>
      <c r="D50" s="69">
        <f t="shared" si="0"/>
        <v>28400</v>
      </c>
      <c r="E50" s="70">
        <f t="shared" si="1"/>
        <v>880400</v>
      </c>
      <c r="F50" s="70">
        <f t="shared" ca="1" si="2"/>
        <v>632976.49065860128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0.25</v>
      </c>
      <c r="K50" s="64">
        <f t="shared" si="6"/>
        <v>0.25</v>
      </c>
      <c r="L50" s="38">
        <v>0</v>
      </c>
      <c r="M50" s="64">
        <f t="shared" si="7"/>
        <v>0</v>
      </c>
      <c r="N50" s="65"/>
      <c r="O50" s="63">
        <f t="shared" si="8"/>
        <v>4.4060000000000006</v>
      </c>
      <c r="P50" s="63">
        <f t="shared" si="9"/>
        <v>4.4060000000000006</v>
      </c>
      <c r="Q50" s="66"/>
      <c r="R50" s="63">
        <f t="shared" si="10"/>
        <v>0.19500000000000001</v>
      </c>
      <c r="S50" s="64">
        <f t="shared" si="11"/>
        <v>0.19500000000000001</v>
      </c>
      <c r="T50" s="63">
        <f t="shared" si="12"/>
        <v>0</v>
      </c>
      <c r="U50" s="64">
        <f t="shared" si="13"/>
        <v>0</v>
      </c>
      <c r="V50" s="207">
        <f>IF($A51="","",IF(AND(MONTH(A50)&gt;3,MONTH(A50)&lt;11),(T50+R50+G50)*(((1/(1-Summary!$T$14))/(1-Summary!$W$14))-1),(T50+R50+G50)*((1/(1-Summary!$U$14))/(1-Summary!$X$14)-1)))</f>
        <v>4.6396935061837459E-2</v>
      </c>
      <c r="W50" s="43">
        <f t="shared" si="14"/>
        <v>4.3973969350618383</v>
      </c>
      <c r="X50" s="43">
        <f t="shared" si="15"/>
        <v>4.3973969350618383</v>
      </c>
      <c r="Y50" s="43"/>
      <c r="Z50" s="38">
        <f t="shared" si="16"/>
        <v>0.65</v>
      </c>
      <c r="AA50" s="38">
        <f t="shared" si="17"/>
        <v>0.28800000000000003</v>
      </c>
      <c r="AB50" s="38">
        <f t="shared" ca="1" si="18"/>
        <v>0.29717636634253175</v>
      </c>
      <c r="AC50" s="38">
        <f t="shared" si="19"/>
        <v>0.5</v>
      </c>
      <c r="AD50" s="38">
        <f t="shared" si="20"/>
        <v>0.28800000000000003</v>
      </c>
      <c r="AE50" s="38">
        <f t="shared" ca="1" si="21"/>
        <v>0.29351118029040324</v>
      </c>
      <c r="AF50" s="237">
        <f ca="1">((Summary!$N$14*(AA50*AD50)*(A50-$D$3))+(Summary!$M$14*Z50*AC50*(AJ50-EOMONTH(EDATE(A50,-1),0))))/(AK50*AB50*AE50)</f>
        <v>0.99836309164443637</v>
      </c>
      <c r="AG50" s="88">
        <f>IF($A51="","",Summary!$Q$14)</f>
        <v>0</v>
      </c>
      <c r="AH50" s="88">
        <f>IF($A51="","",IF(Summary!$R$12="Y",(VLOOKUP($A50,Summary!$AD$6:$AF$9,3)+'Escalating commodity'!J63),'Escalating commodity'!J63))</f>
        <v>5.1571678557489811E-3</v>
      </c>
      <c r="AI50" s="88">
        <f t="shared" si="37"/>
        <v>5.1571678557489811E-3</v>
      </c>
      <c r="AJ50" s="236">
        <f t="shared" si="22"/>
        <v>38275.5</v>
      </c>
      <c r="AK50" s="58">
        <f t="shared" ca="1" si="23"/>
        <v>1235</v>
      </c>
      <c r="AL50" s="26">
        <f ca="1">IF($A51="","",_xll.SPRDOPT(P50,X50,AI50,0,AB50,AE50,AF50,AK50,$AJ$2,0))</f>
        <v>5.7820074639885817E-2</v>
      </c>
      <c r="AM50" s="89">
        <f t="shared" si="24"/>
        <v>3.4458970824133382E-3</v>
      </c>
      <c r="AN50" s="89">
        <f t="shared" ca="1" si="25"/>
        <v>5.4374177557472481E-2</v>
      </c>
      <c r="AO50" s="3">
        <f t="shared" si="26"/>
        <v>31</v>
      </c>
      <c r="AP50" s="33">
        <f t="shared" si="27"/>
        <v>38261</v>
      </c>
      <c r="AQ50" s="58">
        <f t="shared" ca="1" si="28"/>
        <v>1235</v>
      </c>
      <c r="AR50" s="38">
        <f>'ANR OK vs ML7'!AR50</f>
        <v>0.1</v>
      </c>
      <c r="AS50" s="35">
        <f t="shared" ca="1" si="29"/>
        <v>0.71896466453725727</v>
      </c>
      <c r="AT50" s="3">
        <f t="shared" si="30"/>
        <v>1</v>
      </c>
      <c r="AU50" s="3">
        <f t="shared" si="31"/>
        <v>31</v>
      </c>
      <c r="AW50" s="32">
        <f t="shared" ca="1" si="32"/>
        <v>50904.79371295547</v>
      </c>
      <c r="AX50" s="32">
        <f t="shared" si="33"/>
        <v>3033.7677913567031</v>
      </c>
      <c r="AY50" s="32">
        <f t="shared" ca="1" si="34"/>
        <v>47871.025921598775</v>
      </c>
      <c r="BA50" s="32">
        <f ca="1">IF($A51="","",F50*Summary!$Q$14)</f>
        <v>0</v>
      </c>
      <c r="BC50" s="256">
        <f t="shared" ca="1" si="38"/>
        <v>2181.1718423967077</v>
      </c>
    </row>
    <row r="51" spans="1:55">
      <c r="A51" s="67">
        <f t="shared" si="35"/>
        <v>38292</v>
      </c>
      <c r="B51" s="69">
        <f t="shared" si="36"/>
        <v>28400</v>
      </c>
      <c r="C51" s="71"/>
      <c r="D51" s="69">
        <f t="shared" si="0"/>
        <v>28400</v>
      </c>
      <c r="E51" s="70">
        <f t="shared" si="1"/>
        <v>852000</v>
      </c>
      <c r="F51" s="70">
        <f t="shared" ca="1" si="2"/>
        <v>607505.65713658719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0.51</v>
      </c>
      <c r="K51" s="64">
        <f t="shared" si="6"/>
        <v>0.51</v>
      </c>
      <c r="L51" s="38">
        <v>0</v>
      </c>
      <c r="M51" s="64">
        <f t="shared" si="7"/>
        <v>0</v>
      </c>
      <c r="N51" s="65"/>
      <c r="O51" s="63">
        <f t="shared" si="8"/>
        <v>4.7990000000000004</v>
      </c>
      <c r="P51" s="63">
        <f t="shared" si="9"/>
        <v>4.7990000000000004</v>
      </c>
      <c r="Q51" s="66"/>
      <c r="R51" s="63">
        <f t="shared" si="10"/>
        <v>0.31</v>
      </c>
      <c r="S51" s="64">
        <f t="shared" si="11"/>
        <v>0.31</v>
      </c>
      <c r="T51" s="63">
        <f t="shared" si="12"/>
        <v>0</v>
      </c>
      <c r="U51" s="64">
        <f t="shared" si="13"/>
        <v>0</v>
      </c>
      <c r="V51" s="207">
        <f>IF($A52="","",IF(AND(MONTH(A51)&gt;3,MONTH(A51)&lt;11),(T51+R51+G51)*(((1/(1-Summary!$T$14))/(1-Summary!$W$14))-1),(T51+R51+G51)*((1/(1-Summary!$U$14))/(1-Summary!$X$14)-1)))</f>
        <v>4.9041485715787272E-2</v>
      </c>
      <c r="W51" s="43">
        <f t="shared" si="14"/>
        <v>4.6480414857157877</v>
      </c>
      <c r="X51" s="43">
        <f t="shared" si="15"/>
        <v>4.6480414857157877</v>
      </c>
      <c r="Y51" s="43"/>
      <c r="Z51" s="38">
        <f t="shared" si="16"/>
        <v>0.8</v>
      </c>
      <c r="AA51" s="38">
        <f t="shared" si="17"/>
        <v>0.28800000000000003</v>
      </c>
      <c r="AB51" s="38">
        <f t="shared" ca="1" si="18"/>
        <v>0.30098580527377589</v>
      </c>
      <c r="AC51" s="38">
        <f t="shared" si="19"/>
        <v>0.95</v>
      </c>
      <c r="AD51" s="38">
        <f t="shared" si="20"/>
        <v>0.28800000000000003</v>
      </c>
      <c r="AE51" s="38">
        <f t="shared" ca="1" si="21"/>
        <v>0.30610887695354905</v>
      </c>
      <c r="AF51" s="237">
        <f ca="1">((Summary!$N$14*(AA51*AD51)*(A51-$D$3))+(Summary!$M$14*Z51*AC51*(AJ51-EOMONTH(EDATE(A51,-1),0))))/(AK51*AB51*AE51)</f>
        <v>0.99860560418920852</v>
      </c>
      <c r="AG51" s="88">
        <f>IF($A52="","",Summary!$Q$14)</f>
        <v>0</v>
      </c>
      <c r="AH51" s="88">
        <f>IF($A52="","",IF(Summary!$R$12="Y",(VLOOKUP($A51,Summary!$AD$6:$AF$9,3)+'Escalating commodity'!J64),'Escalating commodity'!J64))</f>
        <v>5.1571678557489811E-3</v>
      </c>
      <c r="AI51" s="88">
        <f t="shared" si="37"/>
        <v>5.1571678557489811E-3</v>
      </c>
      <c r="AJ51" s="236">
        <f t="shared" si="22"/>
        <v>38306</v>
      </c>
      <c r="AK51" s="58">
        <f t="shared" ca="1" si="23"/>
        <v>1266</v>
      </c>
      <c r="AL51" s="26">
        <f ca="1">IF($A52="","",_xll.SPRDOPT(P51,X51,AI51,0,AB51,AE51,AF51,AK51,$AJ$2,0))</f>
        <v>0.15828373289014139</v>
      </c>
      <c r="AM51" s="89">
        <f t="shared" si="24"/>
        <v>0.14580134642846371</v>
      </c>
      <c r="AN51" s="89">
        <f t="shared" ca="1" si="25"/>
        <v>1.248238646167768E-2</v>
      </c>
      <c r="AO51" s="3">
        <f t="shared" si="26"/>
        <v>30</v>
      </c>
      <c r="AP51" s="33">
        <f t="shared" si="27"/>
        <v>38292</v>
      </c>
      <c r="AQ51" s="58">
        <f t="shared" ca="1" si="28"/>
        <v>1266</v>
      </c>
      <c r="AR51" s="38">
        <f>'ANR OK vs ML7'!AR51</f>
        <v>0.1</v>
      </c>
      <c r="AS51" s="35">
        <f t="shared" ca="1" si="29"/>
        <v>0.71303480884575965</v>
      </c>
      <c r="AT51" s="3">
        <f t="shared" si="30"/>
        <v>1</v>
      </c>
      <c r="AU51" s="3">
        <f t="shared" si="31"/>
        <v>30</v>
      </c>
      <c r="AW51" s="32">
        <f t="shared" ca="1" si="32"/>
        <v>134857.74042240047</v>
      </c>
      <c r="AX51" s="32">
        <f t="shared" si="33"/>
        <v>124222.74715705108</v>
      </c>
      <c r="AY51" s="32">
        <f t="shared" ca="1" si="34"/>
        <v>10634.993265349383</v>
      </c>
      <c r="BA51" s="32">
        <f ca="1">IF($A52="","",F51*Summary!$Q$14)</f>
        <v>0</v>
      </c>
      <c r="BC51" s="256">
        <f t="shared" ca="1" si="38"/>
        <v>88575.142773423038</v>
      </c>
    </row>
    <row r="52" spans="1:55">
      <c r="A52" s="67">
        <f t="shared" si="35"/>
        <v>38322</v>
      </c>
      <c r="B52" s="69">
        <f t="shared" si="36"/>
        <v>28400</v>
      </c>
      <c r="C52" s="71"/>
      <c r="D52" s="69">
        <f t="shared" si="0"/>
        <v>28400</v>
      </c>
      <c r="E52" s="70">
        <f t="shared" si="1"/>
        <v>880400</v>
      </c>
      <c r="F52" s="70">
        <f t="shared" ca="1" si="2"/>
        <v>622744.6099031819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0.51</v>
      </c>
      <c r="K52" s="64">
        <f t="shared" si="6"/>
        <v>0.51</v>
      </c>
      <c r="L52" s="38">
        <v>0</v>
      </c>
      <c r="M52" s="64">
        <f t="shared" si="7"/>
        <v>0</v>
      </c>
      <c r="N52" s="65"/>
      <c r="O52" s="63">
        <f t="shared" si="8"/>
        <v>4.9370000000000003</v>
      </c>
      <c r="P52" s="63">
        <f t="shared" si="9"/>
        <v>4.9370000000000003</v>
      </c>
      <c r="Q52" s="66"/>
      <c r="R52" s="63">
        <f t="shared" si="10"/>
        <v>0.31</v>
      </c>
      <c r="S52" s="64">
        <f t="shared" si="11"/>
        <v>0.31</v>
      </c>
      <c r="T52" s="63">
        <f t="shared" si="12"/>
        <v>0</v>
      </c>
      <c r="U52" s="64">
        <f t="shared" si="13"/>
        <v>0</v>
      </c>
      <c r="V52" s="207">
        <f>IF($A53="","",IF(AND(MONTH(A52)&gt;3,MONTH(A52)&lt;11),(T52+R52+G52)*(((1/(1-Summary!$T$14))/(1-Summary!$W$14))-1),(T52+R52+G52)*((1/(1-Summary!$U$14))/(1-Summary!$X$14)-1)))</f>
        <v>5.0513050192581933E-2</v>
      </c>
      <c r="W52" s="43">
        <f t="shared" si="14"/>
        <v>4.7875130501925822</v>
      </c>
      <c r="X52" s="43">
        <f t="shared" si="15"/>
        <v>4.7875130501925822</v>
      </c>
      <c r="Y52" s="43"/>
      <c r="Z52" s="38">
        <f t="shared" si="16"/>
        <v>1.1000000000000001</v>
      </c>
      <c r="AA52" s="38">
        <f t="shared" si="17"/>
        <v>0.28999999999999998</v>
      </c>
      <c r="AB52" s="38">
        <f t="shared" ca="1" si="18"/>
        <v>0.31406423322720561</v>
      </c>
      <c r="AC52" s="38">
        <f t="shared" si="19"/>
        <v>1.35</v>
      </c>
      <c r="AD52" s="38">
        <f t="shared" si="20"/>
        <v>0.28999999999999998</v>
      </c>
      <c r="AE52" s="38">
        <f t="shared" ca="1" si="21"/>
        <v>0.32551769072557124</v>
      </c>
      <c r="AF52" s="237">
        <f ca="1">((Summary!$N$14*(AA52*AD52)*(A52-$D$3))+(Summary!$M$14*Z52*AC52*(AJ52-EOMONTH(EDATE(A52,-1),0))))/(AK52*AB52*AE52)</f>
        <v>0.99690344262396902</v>
      </c>
      <c r="AG52" s="88">
        <f>IF($A53="","",Summary!$Q$14)</f>
        <v>0</v>
      </c>
      <c r="AH52" s="88">
        <f>IF($A53="","",IF(Summary!$R$12="Y",(VLOOKUP($A52,Summary!$AD$6:$AF$9,3)+'Escalating commodity'!J65),'Escalating commodity'!J65))</f>
        <v>5.1571678557489811E-3</v>
      </c>
      <c r="AI52" s="88">
        <f t="shared" si="37"/>
        <v>5.1571678557489811E-3</v>
      </c>
      <c r="AJ52" s="236">
        <f t="shared" si="22"/>
        <v>38336.5</v>
      </c>
      <c r="AK52" s="58">
        <f t="shared" ca="1" si="23"/>
        <v>1296</v>
      </c>
      <c r="AL52" s="26">
        <f ca="1">IF($A53="","",_xll.SPRDOPT(P52,X52,AI52,0,AB52,AE52,AF52,AK52,$AJ$2,0))</f>
        <v>0.18874737851132223</v>
      </c>
      <c r="AM52" s="89">
        <f t="shared" si="24"/>
        <v>0.14432978195166907</v>
      </c>
      <c r="AN52" s="89">
        <f t="shared" ca="1" si="25"/>
        <v>4.4417596559653161E-2</v>
      </c>
      <c r="AO52" s="3">
        <f t="shared" si="26"/>
        <v>31</v>
      </c>
      <c r="AP52" s="33">
        <f t="shared" si="27"/>
        <v>38322</v>
      </c>
      <c r="AQ52" s="58">
        <f t="shared" ca="1" si="28"/>
        <v>1296</v>
      </c>
      <c r="AR52" s="38">
        <f>'ANR OK vs ML7'!AR52</f>
        <v>0.1</v>
      </c>
      <c r="AS52" s="35">
        <f t="shared" ca="1" si="29"/>
        <v>0.70734280997635379</v>
      </c>
      <c r="AT52" s="3">
        <f t="shared" si="30"/>
        <v>1</v>
      </c>
      <c r="AU52" s="3">
        <f t="shared" si="31"/>
        <v>31</v>
      </c>
      <c r="AW52" s="32">
        <f t="shared" ca="1" si="32"/>
        <v>166173.19204136808</v>
      </c>
      <c r="AX52" s="32">
        <f t="shared" si="33"/>
        <v>127067.94003024945</v>
      </c>
      <c r="AY52" s="32">
        <f t="shared" ca="1" si="34"/>
        <v>39105.252011118646</v>
      </c>
      <c r="BA52" s="32">
        <f ca="1">IF($A53="","",F52*Summary!$Q$14)</f>
        <v>0</v>
      </c>
      <c r="BC52" s="256">
        <f t="shared" ca="1" si="38"/>
        <v>89880.593758903458</v>
      </c>
    </row>
    <row r="53" spans="1:55">
      <c r="A53" s="67">
        <f t="shared" si="35"/>
        <v>38353</v>
      </c>
      <c r="B53" s="69">
        <f t="shared" si="36"/>
        <v>28400</v>
      </c>
      <c r="C53" s="71"/>
      <c r="D53" s="69">
        <f t="shared" si="0"/>
        <v>28400</v>
      </c>
      <c r="E53" s="70">
        <f t="shared" si="1"/>
        <v>880400</v>
      </c>
      <c r="F53" s="70">
        <f t="shared" ca="1" si="2"/>
        <v>617608.35515864508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0.51</v>
      </c>
      <c r="K53" s="64">
        <f t="shared" si="6"/>
        <v>0.51</v>
      </c>
      <c r="L53" s="38">
        <v>0</v>
      </c>
      <c r="M53" s="64">
        <f t="shared" si="7"/>
        <v>0</v>
      </c>
      <c r="N53" s="65"/>
      <c r="O53" s="63">
        <f t="shared" si="8"/>
        <v>4.9240000000000004</v>
      </c>
      <c r="P53" s="63">
        <f t="shared" si="9"/>
        <v>4.9240000000000004</v>
      </c>
      <c r="Q53" s="66"/>
      <c r="R53" s="63">
        <f t="shared" si="10"/>
        <v>0.31</v>
      </c>
      <c r="S53" s="64">
        <f t="shared" si="11"/>
        <v>0.31</v>
      </c>
      <c r="T53" s="63">
        <f t="shared" si="12"/>
        <v>0</v>
      </c>
      <c r="U53" s="64">
        <f t="shared" si="13"/>
        <v>0</v>
      </c>
      <c r="V53" s="207">
        <f>IF($A54="","",IF(AND(MONTH(A53)&gt;3,MONTH(A53)&lt;11),(T53+R53+G53)*(((1/(1-Summary!$T$14))/(1-Summary!$W$14))-1),(T53+R53+G53)*((1/(1-Summary!$U$14))/(1-Summary!$X$14)-1)))</f>
        <v>5.0374424553463595E-2</v>
      </c>
      <c r="W53" s="43">
        <f t="shared" si="14"/>
        <v>4.7743744245534634</v>
      </c>
      <c r="X53" s="43">
        <f t="shared" si="15"/>
        <v>4.7743744245534634</v>
      </c>
      <c r="Y53" s="43"/>
      <c r="Z53" s="38">
        <f t="shared" si="16"/>
        <v>1.1000000000000001</v>
      </c>
      <c r="AA53" s="38">
        <f t="shared" si="17"/>
        <v>0.29300000000000004</v>
      </c>
      <c r="AB53" s="38">
        <f t="shared" ca="1" si="18"/>
        <v>0.31630219350913263</v>
      </c>
      <c r="AC53" s="38">
        <f t="shared" si="19"/>
        <v>1.35</v>
      </c>
      <c r="AD53" s="38">
        <f t="shared" si="20"/>
        <v>0.29300000000000004</v>
      </c>
      <c r="AE53" s="38">
        <f t="shared" ca="1" si="21"/>
        <v>0.32741620763464629</v>
      </c>
      <c r="AF53" s="237">
        <f ca="1">((Summary!$N$14*(AA53*AD53)*(A53-$D$3))+(Summary!$M$14*Z53*AC53*(AJ53-EOMONTH(EDATE(A53,-1),0))))/(AK53*AB53*AE53)</f>
        <v>0.99698881455736355</v>
      </c>
      <c r="AG53" s="88">
        <f>IF($A54="","",Summary!$Q$14)</f>
        <v>0</v>
      </c>
      <c r="AH53" s="88">
        <f>IF($A54="","",IF(Summary!$R$12="Y",(VLOOKUP($A53,Summary!$AD$6:$AF$9,3)+'Escalating commodity'!J66),'Escalating commodity'!J66))</f>
        <v>5.260311212863961E-3</v>
      </c>
      <c r="AI53" s="88">
        <f t="shared" si="37"/>
        <v>5.260311212863961E-3</v>
      </c>
      <c r="AJ53" s="236">
        <f t="shared" si="22"/>
        <v>38367.5</v>
      </c>
      <c r="AK53" s="58">
        <f t="shared" ca="1" si="23"/>
        <v>1327</v>
      </c>
      <c r="AL53" s="26">
        <f ca="1">IF($A54="","",_xll.SPRDOPT(P53,X53,AI53,0,AB53,AE53,AF53,AK53,$AJ$2,0))</f>
        <v>0.18857762126541922</v>
      </c>
      <c r="AM53" s="89">
        <f t="shared" si="24"/>
        <v>0.14436526423367302</v>
      </c>
      <c r="AN53" s="89">
        <f t="shared" ca="1" si="25"/>
        <v>4.4212357031746197E-2</v>
      </c>
      <c r="AO53" s="3">
        <f t="shared" si="26"/>
        <v>31</v>
      </c>
      <c r="AP53" s="33">
        <f t="shared" si="27"/>
        <v>38353</v>
      </c>
      <c r="AQ53" s="58">
        <f t="shared" ca="1" si="28"/>
        <v>1327</v>
      </c>
      <c r="AR53" s="38">
        <f>'ANR OK vs ML7'!AR53</f>
        <v>0.1</v>
      </c>
      <c r="AS53" s="35">
        <f t="shared" ca="1" si="29"/>
        <v>0.70150880867633469</v>
      </c>
      <c r="AT53" s="3">
        <f t="shared" si="30"/>
        <v>1</v>
      </c>
      <c r="AU53" s="3">
        <f t="shared" si="31"/>
        <v>31</v>
      </c>
      <c r="AW53" s="32">
        <f t="shared" ca="1" si="32"/>
        <v>166023.73776207506</v>
      </c>
      <c r="AX53" s="32">
        <f t="shared" si="33"/>
        <v>127099.17863132573</v>
      </c>
      <c r="AY53" s="32">
        <f t="shared" ca="1" si="34"/>
        <v>38924.559130749352</v>
      </c>
      <c r="BA53" s="32">
        <f ca="1">IF($A54="","",F53*Summary!$Q$14)</f>
        <v>0</v>
      </c>
      <c r="BC53" s="256">
        <f t="shared" ca="1" si="38"/>
        <v>89161.193385401974</v>
      </c>
    </row>
    <row r="54" spans="1:55">
      <c r="A54" s="67">
        <f t="shared" si="35"/>
        <v>38384</v>
      </c>
      <c r="B54" s="69">
        <f t="shared" si="36"/>
        <v>28400</v>
      </c>
      <c r="C54" s="71"/>
      <c r="D54" s="69">
        <f t="shared" si="0"/>
        <v>28400</v>
      </c>
      <c r="E54" s="70">
        <f t="shared" si="1"/>
        <v>795200</v>
      </c>
      <c r="F54" s="70">
        <f t="shared" ca="1" si="2"/>
        <v>553238.86986559175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0.51</v>
      </c>
      <c r="K54" s="64">
        <f t="shared" si="6"/>
        <v>0.51</v>
      </c>
      <c r="L54" s="38">
        <v>0</v>
      </c>
      <c r="M54" s="64">
        <f t="shared" si="7"/>
        <v>0</v>
      </c>
      <c r="N54" s="65"/>
      <c r="O54" s="63">
        <f t="shared" si="8"/>
        <v>4.8040000000000003</v>
      </c>
      <c r="P54" s="63">
        <f t="shared" si="9"/>
        <v>4.8040000000000003</v>
      </c>
      <c r="Q54" s="66"/>
      <c r="R54" s="63">
        <f t="shared" si="10"/>
        <v>0.31</v>
      </c>
      <c r="S54" s="64">
        <f t="shared" si="11"/>
        <v>0.31</v>
      </c>
      <c r="T54" s="63">
        <f t="shared" si="12"/>
        <v>0</v>
      </c>
      <c r="U54" s="64">
        <f t="shared" si="13"/>
        <v>0</v>
      </c>
      <c r="V54" s="207">
        <f>IF($A55="","",IF(AND(MONTH(A54)&gt;3,MONTH(A54)&lt;11),(T54+R54+G54)*(((1/(1-Summary!$T$14))/(1-Summary!$W$14))-1),(T54+R54+G54)*((1/(1-Summary!$U$14))/(1-Summary!$X$14)-1)))</f>
        <v>4.9094803269294329E-2</v>
      </c>
      <c r="W54" s="43">
        <f t="shared" si="14"/>
        <v>4.653094803269294</v>
      </c>
      <c r="X54" s="43">
        <f t="shared" si="15"/>
        <v>4.653094803269294</v>
      </c>
      <c r="Y54" s="43"/>
      <c r="Z54" s="38">
        <f t="shared" si="16"/>
        <v>1.1000000000000001</v>
      </c>
      <c r="AA54" s="38">
        <f t="shared" si="17"/>
        <v>0.28499999999999998</v>
      </c>
      <c r="AB54" s="38">
        <f t="shared" ca="1" si="18"/>
        <v>0.30620097816300706</v>
      </c>
      <c r="AC54" s="38">
        <f t="shared" si="19"/>
        <v>1.35</v>
      </c>
      <c r="AD54" s="38">
        <f t="shared" si="20"/>
        <v>0.28499999999999998</v>
      </c>
      <c r="AE54" s="38">
        <f t="shared" ca="1" si="21"/>
        <v>0.31634391414672902</v>
      </c>
      <c r="AF54" s="237">
        <f ca="1">((Summary!$N$14*(AA54*AD54)*(A54-$D$3))+(Summary!$M$14*Z54*AC54*(AJ54-EOMONTH(EDATE(A54,-1),0))))/(AK54*AB54*AE54)</f>
        <v>0.9971212059635588</v>
      </c>
      <c r="AG54" s="88">
        <f>IF($A55="","",Summary!$Q$14)</f>
        <v>0</v>
      </c>
      <c r="AH54" s="88">
        <f>IF($A55="","",IF(Summary!$R$12="Y",(VLOOKUP($A54,Summary!$AD$6:$AF$9,3)+'Escalating commodity'!J67),'Escalating commodity'!J67))</f>
        <v>5.260311212863961E-3</v>
      </c>
      <c r="AI54" s="88">
        <f t="shared" si="37"/>
        <v>5.260311212863961E-3</v>
      </c>
      <c r="AJ54" s="236">
        <f t="shared" si="22"/>
        <v>38397</v>
      </c>
      <c r="AK54" s="58">
        <f t="shared" ca="1" si="23"/>
        <v>1358</v>
      </c>
      <c r="AL54" s="26">
        <f ca="1">IF($A55="","",_xll.SPRDOPT(P54,X54,AI54,0,AB54,AE54,AF54,AK54,$AJ$2,0))</f>
        <v>0.18342085784620302</v>
      </c>
      <c r="AM54" s="89">
        <f t="shared" si="24"/>
        <v>0.14564488551784227</v>
      </c>
      <c r="AN54" s="89">
        <f t="shared" ca="1" si="25"/>
        <v>3.7775972328360746E-2</v>
      </c>
      <c r="AO54" s="3">
        <f t="shared" si="26"/>
        <v>28</v>
      </c>
      <c r="AP54" s="33">
        <f t="shared" si="27"/>
        <v>38384</v>
      </c>
      <c r="AQ54" s="58">
        <f t="shared" ca="1" si="28"/>
        <v>1358</v>
      </c>
      <c r="AR54" s="38">
        <f>'ANR OK vs ML7'!AR54</f>
        <v>0.1</v>
      </c>
      <c r="AS54" s="35">
        <f t="shared" ca="1" si="29"/>
        <v>0.69572292488127729</v>
      </c>
      <c r="AT54" s="3">
        <f t="shared" si="30"/>
        <v>1</v>
      </c>
      <c r="AU54" s="3">
        <f t="shared" si="31"/>
        <v>28</v>
      </c>
      <c r="AW54" s="32">
        <f t="shared" ca="1" si="32"/>
        <v>145856.26615930063</v>
      </c>
      <c r="AX54" s="32">
        <f t="shared" si="33"/>
        <v>115816.81296378818</v>
      </c>
      <c r="AY54" s="32">
        <f t="shared" ca="1" si="34"/>
        <v>30039.453195512466</v>
      </c>
      <c r="BA54" s="32">
        <f ca="1">IF($A55="","",F54*Summary!$Q$14)</f>
        <v>0</v>
      </c>
      <c r="BC54" s="256">
        <f t="shared" ca="1" si="38"/>
        <v>80576.411865594549</v>
      </c>
    </row>
    <row r="55" spans="1:55">
      <c r="A55" s="67">
        <f t="shared" si="35"/>
        <v>38412</v>
      </c>
      <c r="B55" s="69">
        <f t="shared" si="36"/>
        <v>28400</v>
      </c>
      <c r="C55" s="71"/>
      <c r="D55" s="69">
        <f t="shared" si="0"/>
        <v>28400</v>
      </c>
      <c r="E55" s="70">
        <f t="shared" si="1"/>
        <v>880400</v>
      </c>
      <c r="F55" s="70">
        <f t="shared" ca="1" si="2"/>
        <v>607949.64918909559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0.51</v>
      </c>
      <c r="K55" s="64">
        <f t="shared" si="6"/>
        <v>0.51</v>
      </c>
      <c r="L55" s="38">
        <v>0</v>
      </c>
      <c r="M55" s="64">
        <f t="shared" si="7"/>
        <v>0</v>
      </c>
      <c r="N55" s="65"/>
      <c r="O55" s="63">
        <f t="shared" si="8"/>
        <v>4.665</v>
      </c>
      <c r="P55" s="63">
        <f t="shared" si="9"/>
        <v>4.665</v>
      </c>
      <c r="Q55" s="66"/>
      <c r="R55" s="63">
        <f t="shared" si="10"/>
        <v>0.31</v>
      </c>
      <c r="S55" s="64">
        <f t="shared" si="11"/>
        <v>0.31</v>
      </c>
      <c r="T55" s="63">
        <f t="shared" si="12"/>
        <v>0</v>
      </c>
      <c r="U55" s="64">
        <f t="shared" si="13"/>
        <v>0</v>
      </c>
      <c r="V55" s="207">
        <f>IF($A56="","",IF(AND(MONTH(A55)&gt;3,MONTH(A55)&lt;11),(T55+R55+G55)*(((1/(1-Summary!$T$14))/(1-Summary!$W$14))-1),(T55+R55+G55)*((1/(1-Summary!$U$14))/(1-Summary!$X$14)-1)))</f>
        <v>4.7612575281798256E-2</v>
      </c>
      <c r="W55" s="43">
        <f t="shared" si="14"/>
        <v>4.512612575281798</v>
      </c>
      <c r="X55" s="43">
        <f t="shared" si="15"/>
        <v>4.512612575281798</v>
      </c>
      <c r="Y55" s="43"/>
      <c r="Z55" s="38">
        <f t="shared" si="16"/>
        <v>0.75</v>
      </c>
      <c r="AA55" s="38">
        <f t="shared" si="17"/>
        <v>0.28000000000000003</v>
      </c>
      <c r="AB55" s="38">
        <f t="shared" ca="1" si="18"/>
        <v>0.2911136377295816</v>
      </c>
      <c r="AC55" s="38">
        <f t="shared" si="19"/>
        <v>0.95</v>
      </c>
      <c r="AD55" s="38">
        <f t="shared" si="20"/>
        <v>0.28000000000000003</v>
      </c>
      <c r="AE55" s="38">
        <f t="shared" ca="1" si="21"/>
        <v>0.29757261109594563</v>
      </c>
      <c r="AF55" s="237">
        <f ca="1">((Summary!$N$14*(AA55*AD55)*(A55-$D$3))+(Summary!$M$14*Z55*AC55*(AJ55-EOMONTH(EDATE(A55,-1),0))))/(AK55*AB55*AE55)</f>
        <v>0.9975683028511817</v>
      </c>
      <c r="AG55" s="88">
        <f>IF($A56="","",Summary!$Q$14)</f>
        <v>0</v>
      </c>
      <c r="AH55" s="88">
        <f>IF($A56="","",IF(Summary!$R$12="Y",(VLOOKUP($A55,Summary!$AD$6:$AF$9,3)+'Escalating commodity'!J68),'Escalating commodity'!J68))</f>
        <v>5.260311212863961E-3</v>
      </c>
      <c r="AI55" s="88">
        <f t="shared" si="37"/>
        <v>5.260311212863961E-3</v>
      </c>
      <c r="AJ55" s="236">
        <f t="shared" si="22"/>
        <v>38426.5</v>
      </c>
      <c r="AK55" s="58">
        <f t="shared" ca="1" si="23"/>
        <v>1386</v>
      </c>
      <c r="AL55" s="26">
        <f ca="1">IF($A56="","",_xll.SPRDOPT(P55,X55,AI55,0,AB55,AE55,AF55,AK55,$AJ$2,0))</f>
        <v>0.17145889033257961</v>
      </c>
      <c r="AM55" s="89">
        <f t="shared" si="24"/>
        <v>0.14712711350533803</v>
      </c>
      <c r="AN55" s="89">
        <f t="shared" ca="1" si="25"/>
        <v>2.433177682724158E-2</v>
      </c>
      <c r="AO55" s="3">
        <f t="shared" si="26"/>
        <v>31</v>
      </c>
      <c r="AP55" s="33">
        <f t="shared" si="27"/>
        <v>38412</v>
      </c>
      <c r="AQ55" s="58">
        <f t="shared" ca="1" si="28"/>
        <v>1386</v>
      </c>
      <c r="AR55" s="38">
        <f>'ANR OK vs ML7'!AR55</f>
        <v>0.1</v>
      </c>
      <c r="AS55" s="35">
        <f t="shared" ca="1" si="29"/>
        <v>0.69053799317253017</v>
      </c>
      <c r="AT55" s="3">
        <f t="shared" si="30"/>
        <v>1</v>
      </c>
      <c r="AU55" s="3">
        <f t="shared" si="31"/>
        <v>31</v>
      </c>
      <c r="AW55" s="32">
        <f t="shared" ca="1" si="32"/>
        <v>150952.40704880308</v>
      </c>
      <c r="AX55" s="32">
        <f t="shared" si="33"/>
        <v>129530.7107300996</v>
      </c>
      <c r="AY55" s="32">
        <f t="shared" ca="1" si="34"/>
        <v>21421.696318703489</v>
      </c>
      <c r="BA55" s="32">
        <f ca="1">IF($A56="","",F55*Summary!$Q$14)</f>
        <v>0</v>
      </c>
      <c r="BC55" s="256">
        <f t="shared" ca="1" si="38"/>
        <v>89445.877041774496</v>
      </c>
    </row>
    <row r="56" spans="1:55">
      <c r="A56" s="67">
        <f t="shared" si="35"/>
        <v>38443</v>
      </c>
      <c r="B56" s="69">
        <f t="shared" si="36"/>
        <v>28400</v>
      </c>
      <c r="C56" s="71"/>
      <c r="D56" s="69">
        <f t="shared" si="0"/>
        <v>28400</v>
      </c>
      <c r="E56" s="70">
        <f t="shared" si="1"/>
        <v>852000</v>
      </c>
      <c r="F56" s="70">
        <f t="shared" ca="1" si="2"/>
        <v>583485.89021417627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0.23499999999999999</v>
      </c>
      <c r="K56" s="64">
        <f t="shared" si="6"/>
        <v>0.23499999999999999</v>
      </c>
      <c r="L56" s="38">
        <v>0</v>
      </c>
      <c r="M56" s="64">
        <f t="shared" si="7"/>
        <v>0</v>
      </c>
      <c r="N56" s="65"/>
      <c r="O56" s="63">
        <f t="shared" si="8"/>
        <v>4.2149999999999999</v>
      </c>
      <c r="P56" s="63">
        <f t="shared" si="9"/>
        <v>4.2149999999999999</v>
      </c>
      <c r="Q56" s="66"/>
      <c r="R56" s="63">
        <f t="shared" si="10"/>
        <v>0.18</v>
      </c>
      <c r="S56" s="64">
        <f t="shared" si="11"/>
        <v>0.18</v>
      </c>
      <c r="T56" s="63">
        <f t="shared" si="12"/>
        <v>0</v>
      </c>
      <c r="U56" s="64">
        <f t="shared" si="13"/>
        <v>0</v>
      </c>
      <c r="V56" s="207">
        <f>IF($A57="","",IF(AND(MONTH(A56)&gt;3,MONTH(A56)&lt;11),(T56+R56+G56)*(((1/(1-Summary!$T$14))/(1-Summary!$W$14))-1),(T56+R56+G56)*((1/(1-Summary!$U$14))/(1-Summary!$X$14)-1)))</f>
        <v>4.4360204517868027E-2</v>
      </c>
      <c r="W56" s="43">
        <f t="shared" si="14"/>
        <v>4.2043602045178678</v>
      </c>
      <c r="X56" s="43">
        <f t="shared" si="15"/>
        <v>4.2043602045178678</v>
      </c>
      <c r="Y56" s="43"/>
      <c r="Z56" s="38">
        <f t="shared" si="16"/>
        <v>0.45</v>
      </c>
      <c r="AA56" s="38">
        <f t="shared" si="17"/>
        <v>0.27</v>
      </c>
      <c r="AB56" s="38">
        <f t="shared" ca="1" si="18"/>
        <v>0.27403477878890786</v>
      </c>
      <c r="AC56" s="38">
        <f t="shared" si="19"/>
        <v>0.5</v>
      </c>
      <c r="AD56" s="38">
        <f t="shared" si="20"/>
        <v>0.27</v>
      </c>
      <c r="AE56" s="38">
        <f t="shared" ca="1" si="21"/>
        <v>0.27495069167233216</v>
      </c>
      <c r="AF56" s="237">
        <f ca="1">((Summary!$N$14*(AA56*AD56)*(A56-$D$3))+(Summary!$M$14*Z56*AC56*(AJ56-EOMONTH(EDATE(A56,-1),0))))/(AK56*AB56*AE56)</f>
        <v>0.9997331263337047</v>
      </c>
      <c r="AG56" s="88">
        <f>IF($A57="","",Summary!$Q$14)</f>
        <v>0</v>
      </c>
      <c r="AH56" s="88">
        <f>IF($A57="","",IF(Summary!$R$12="Y",(VLOOKUP($A56,Summary!$AD$6:$AF$9,3)+'Escalating commodity'!J69),'Escalating commodity'!J69))</f>
        <v>5.260311212863961E-3</v>
      </c>
      <c r="AI56" s="88">
        <f t="shared" si="37"/>
        <v>5.260311212863961E-3</v>
      </c>
      <c r="AJ56" s="236">
        <f t="shared" si="22"/>
        <v>38457</v>
      </c>
      <c r="AK56" s="58">
        <f t="shared" ca="1" si="23"/>
        <v>1417</v>
      </c>
      <c r="AL56" s="26">
        <f ca="1">IF($A57="","",_xll.SPRDOPT(P56,X56,AI56,0,AB56,AE56,AF56,AK56,$AJ$2,0))</f>
        <v>1.5876262992557517E-2</v>
      </c>
      <c r="AM56" s="89">
        <f t="shared" si="24"/>
        <v>5.3794842692680474E-3</v>
      </c>
      <c r="AN56" s="89">
        <f t="shared" ca="1" si="25"/>
        <v>1.049677872328947E-2</v>
      </c>
      <c r="AO56" s="3">
        <f t="shared" si="26"/>
        <v>30</v>
      </c>
      <c r="AP56" s="33">
        <f t="shared" si="27"/>
        <v>38443</v>
      </c>
      <c r="AQ56" s="58">
        <f t="shared" ca="1" si="28"/>
        <v>1417</v>
      </c>
      <c r="AR56" s="38">
        <f>'ANR OK vs ML7'!AR56</f>
        <v>0.1</v>
      </c>
      <c r="AS56" s="35">
        <f t="shared" ca="1" si="29"/>
        <v>0.68484259414809423</v>
      </c>
      <c r="AT56" s="3">
        <f t="shared" si="30"/>
        <v>1</v>
      </c>
      <c r="AU56" s="3">
        <f t="shared" si="31"/>
        <v>30</v>
      </c>
      <c r="AW56" s="32">
        <f t="shared" ca="1" si="32"/>
        <v>13526.576069659004</v>
      </c>
      <c r="AX56" s="32">
        <f t="shared" si="33"/>
        <v>4583.3205974163766</v>
      </c>
      <c r="AY56" s="32">
        <f t="shared" ca="1" si="34"/>
        <v>8943.2554722426285</v>
      </c>
      <c r="BA56" s="32">
        <f ca="1">IF($A57="","",F56*Summary!$Q$14)</f>
        <v>0</v>
      </c>
      <c r="BC56" s="256">
        <f t="shared" ca="1" si="38"/>
        <v>3138.8531677470241</v>
      </c>
    </row>
    <row r="57" spans="1:55">
      <c r="A57" s="67">
        <f t="shared" si="35"/>
        <v>38473</v>
      </c>
      <c r="B57" s="69">
        <f t="shared" si="36"/>
        <v>28400</v>
      </c>
      <c r="C57" s="71"/>
      <c r="D57" s="69">
        <f t="shared" si="0"/>
        <v>28400</v>
      </c>
      <c r="E57" s="70">
        <f t="shared" si="1"/>
        <v>880400</v>
      </c>
      <c r="F57" s="70">
        <f t="shared" ca="1" si="2"/>
        <v>598122.3200424324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0.23499999999999999</v>
      </c>
      <c r="K57" s="64">
        <f t="shared" si="6"/>
        <v>0.23499999999999999</v>
      </c>
      <c r="L57" s="38">
        <v>0</v>
      </c>
      <c r="M57" s="64">
        <f t="shared" si="7"/>
        <v>0</v>
      </c>
      <c r="N57" s="65"/>
      <c r="O57" s="63">
        <f t="shared" si="8"/>
        <v>4.1850000000000005</v>
      </c>
      <c r="P57" s="63">
        <f t="shared" si="9"/>
        <v>4.1850000000000005</v>
      </c>
      <c r="Q57" s="66"/>
      <c r="R57" s="63">
        <f t="shared" si="10"/>
        <v>0.18</v>
      </c>
      <c r="S57" s="64">
        <f t="shared" si="11"/>
        <v>0.18</v>
      </c>
      <c r="T57" s="63">
        <f t="shared" si="12"/>
        <v>0</v>
      </c>
      <c r="U57" s="64">
        <f t="shared" si="13"/>
        <v>0</v>
      </c>
      <c r="V57" s="207">
        <f>IF($A58="","",IF(AND(MONTH(A57)&gt;3,MONTH(A57)&lt;11),(T57+R57+G57)*(((1/(1-Summary!$T$14))/(1-Summary!$W$14))-1),(T57+R57+G57)*((1/(1-Summary!$U$14))/(1-Summary!$X$14)-1)))</f>
        <v>4.4040299196825707E-2</v>
      </c>
      <c r="W57" s="43">
        <f t="shared" si="14"/>
        <v>4.1740402991968253</v>
      </c>
      <c r="X57" s="43">
        <f t="shared" si="15"/>
        <v>4.1740402991968253</v>
      </c>
      <c r="Y57" s="43"/>
      <c r="Z57" s="38">
        <f t="shared" si="16"/>
        <v>0.5</v>
      </c>
      <c r="AA57" s="38">
        <f t="shared" si="17"/>
        <v>0.26300000000000001</v>
      </c>
      <c r="AB57" s="38">
        <f t="shared" ca="1" si="18"/>
        <v>0.26813197505518394</v>
      </c>
      <c r="AC57" s="38">
        <f t="shared" si="19"/>
        <v>0.45</v>
      </c>
      <c r="AD57" s="38">
        <f t="shared" si="20"/>
        <v>0.26300000000000001</v>
      </c>
      <c r="AE57" s="38">
        <f t="shared" ca="1" si="21"/>
        <v>0.26718148272887426</v>
      </c>
      <c r="AF57" s="237">
        <f ca="1">((Summary!$N$14*(AA57*AD57)*(A57-$D$3))+(Summary!$M$14*Z57*AC57*(AJ57-EOMONTH(EDATE(A57,-1),0))))/(AK57*AB57*AE57)</f>
        <v>0.99972278388652869</v>
      </c>
      <c r="AG57" s="88">
        <f>IF($A58="","",Summary!$Q$14)</f>
        <v>0</v>
      </c>
      <c r="AH57" s="88">
        <f>IF($A58="","",IF(Summary!$R$12="Y",(VLOOKUP($A57,Summary!$AD$6:$AF$9,3)+'Escalating commodity'!J70),'Escalating commodity'!J70))</f>
        <v>5.260311212863961E-3</v>
      </c>
      <c r="AI57" s="88">
        <f t="shared" si="37"/>
        <v>5.260311212863961E-3</v>
      </c>
      <c r="AJ57" s="236">
        <f t="shared" si="22"/>
        <v>38487.5</v>
      </c>
      <c r="AK57" s="58">
        <f t="shared" ca="1" si="23"/>
        <v>1447</v>
      </c>
      <c r="AL57" s="26">
        <f ca="1">IF($A58="","",_xll.SPRDOPT(P57,X57,AI57,0,AB57,AE57,AF57,AK57,$AJ$2,0))</f>
        <v>1.7536457928906939E-2</v>
      </c>
      <c r="AM57" s="89">
        <f t="shared" si="24"/>
        <v>5.6993895903112487E-3</v>
      </c>
      <c r="AN57" s="89">
        <f t="shared" ca="1" si="25"/>
        <v>1.1837068338595691E-2</v>
      </c>
      <c r="AO57" s="3">
        <f t="shared" si="26"/>
        <v>31</v>
      </c>
      <c r="AP57" s="33">
        <f t="shared" si="27"/>
        <v>38473</v>
      </c>
      <c r="AQ57" s="58">
        <f t="shared" ca="1" si="28"/>
        <v>1447</v>
      </c>
      <c r="AR57" s="38">
        <f>'ANR OK vs ML7'!AR57</f>
        <v>0.1</v>
      </c>
      <c r="AS57" s="35">
        <f t="shared" ca="1" si="29"/>
        <v>0.67937564748118173</v>
      </c>
      <c r="AT57" s="3">
        <f t="shared" si="30"/>
        <v>1</v>
      </c>
      <c r="AU57" s="3">
        <f t="shared" si="31"/>
        <v>31</v>
      </c>
      <c r="AW57" s="32">
        <f t="shared" ca="1" si="32"/>
        <v>15439.097560609669</v>
      </c>
      <c r="AX57" s="32">
        <f t="shared" si="33"/>
        <v>5017.7425953100237</v>
      </c>
      <c r="AY57" s="32">
        <f t="shared" ca="1" si="34"/>
        <v>10421.354965299646</v>
      </c>
      <c r="BA57" s="32">
        <f ca="1">IF($A58="","",F57*Summary!$Q$14)</f>
        <v>0</v>
      </c>
      <c r="BC57" s="256">
        <f t="shared" ca="1" si="38"/>
        <v>3408.9321245826522</v>
      </c>
    </row>
    <row r="58" spans="1:55">
      <c r="A58" s="67">
        <f t="shared" si="35"/>
        <v>38504</v>
      </c>
      <c r="B58" s="69">
        <f t="shared" si="36"/>
        <v>28400</v>
      </c>
      <c r="C58" s="71"/>
      <c r="D58" s="69">
        <f t="shared" si="0"/>
        <v>28400</v>
      </c>
      <c r="E58" s="70">
        <f t="shared" si="1"/>
        <v>852000</v>
      </c>
      <c r="F58" s="70">
        <f t="shared" ca="1" si="2"/>
        <v>574054.01061161887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0.23499999999999999</v>
      </c>
      <c r="K58" s="64">
        <f t="shared" si="6"/>
        <v>0.23499999999999999</v>
      </c>
      <c r="L58" s="38">
        <v>0</v>
      </c>
      <c r="M58" s="64">
        <f t="shared" si="7"/>
        <v>0</v>
      </c>
      <c r="N58" s="65"/>
      <c r="O58" s="63">
        <f t="shared" si="8"/>
        <v>4.2549999999999999</v>
      </c>
      <c r="P58" s="63">
        <f t="shared" si="9"/>
        <v>4.2549999999999999</v>
      </c>
      <c r="Q58" s="66"/>
      <c r="R58" s="63">
        <f t="shared" si="10"/>
        <v>0.18</v>
      </c>
      <c r="S58" s="64">
        <f t="shared" si="11"/>
        <v>0.18</v>
      </c>
      <c r="T58" s="63">
        <f t="shared" si="12"/>
        <v>0</v>
      </c>
      <c r="U58" s="64">
        <f t="shared" si="13"/>
        <v>0</v>
      </c>
      <c r="V58" s="207">
        <f>IF($A59="","",IF(AND(MONTH(A58)&gt;3,MONTH(A58)&lt;11),(T58+R58+G58)*(((1/(1-Summary!$T$14))/(1-Summary!$W$14))-1),(T58+R58+G58)*((1/(1-Summary!$U$14))/(1-Summary!$X$14)-1)))</f>
        <v>4.4786744945924446E-2</v>
      </c>
      <c r="W58" s="43">
        <f t="shared" si="14"/>
        <v>4.244786744945924</v>
      </c>
      <c r="X58" s="43">
        <f t="shared" si="15"/>
        <v>4.244786744945924</v>
      </c>
      <c r="Y58" s="43"/>
      <c r="Z58" s="38">
        <f t="shared" si="16"/>
        <v>0.5</v>
      </c>
      <c r="AA58" s="38">
        <f t="shared" si="17"/>
        <v>0.25800000000000001</v>
      </c>
      <c r="AB58" s="38">
        <f t="shared" ca="1" si="18"/>
        <v>0.26295674356272941</v>
      </c>
      <c r="AC58" s="38">
        <f t="shared" si="19"/>
        <v>0.5</v>
      </c>
      <c r="AD58" s="38">
        <f t="shared" si="20"/>
        <v>0.25800000000000001</v>
      </c>
      <c r="AE58" s="38">
        <f t="shared" ca="1" si="21"/>
        <v>0.26295674356272941</v>
      </c>
      <c r="AF58" s="237">
        <f ca="1">((Summary!$N$14*(AA58*AD58)*(A58-$D$3))+(Summary!$M$14*Z58*AC58*(AJ58-EOMONTH(EDATE(A58,-1),0))))/(AK58*AB58*AE58)</f>
        <v>0.99990366934213537</v>
      </c>
      <c r="AG58" s="88">
        <f>IF($A59="","",Summary!$Q$14)</f>
        <v>0</v>
      </c>
      <c r="AH58" s="88">
        <f>IF($A59="","",IF(Summary!$R$12="Y",(VLOOKUP($A58,Summary!$AD$6:$AF$9,3)+'Escalating commodity'!J71),'Escalating commodity'!J71))</f>
        <v>5.260311212863961E-3</v>
      </c>
      <c r="AI58" s="88">
        <f t="shared" si="37"/>
        <v>5.260311212863961E-3</v>
      </c>
      <c r="AJ58" s="236">
        <f t="shared" si="22"/>
        <v>38518</v>
      </c>
      <c r="AK58" s="58">
        <f t="shared" ca="1" si="23"/>
        <v>1478</v>
      </c>
      <c r="AL58" s="26">
        <f ca="1">IF($A59="","",_xll.SPRDOPT(P58,X58,AI58,0,AB58,AE58,AF58,AK58,$AJ$2,0))</f>
        <v>8.7552389136790545E-3</v>
      </c>
      <c r="AM58" s="89">
        <f t="shared" si="24"/>
        <v>4.9529438412119261E-3</v>
      </c>
      <c r="AN58" s="89">
        <f t="shared" ca="1" si="25"/>
        <v>3.8022950724671285E-3</v>
      </c>
      <c r="AO58" s="3">
        <f t="shared" si="26"/>
        <v>30</v>
      </c>
      <c r="AP58" s="33">
        <f t="shared" si="27"/>
        <v>38504</v>
      </c>
      <c r="AQ58" s="58">
        <f t="shared" ca="1" si="28"/>
        <v>1478</v>
      </c>
      <c r="AR58" s="38">
        <f>'ANR OK vs ML7'!AR58</f>
        <v>0.1</v>
      </c>
      <c r="AS58" s="35">
        <f t="shared" ca="1" si="29"/>
        <v>0.67377231292443529</v>
      </c>
      <c r="AT58" s="3">
        <f t="shared" si="30"/>
        <v>1</v>
      </c>
      <c r="AU58" s="3">
        <f t="shared" si="31"/>
        <v>30</v>
      </c>
      <c r="AW58" s="32">
        <f t="shared" ca="1" si="32"/>
        <v>7459.4635544545545</v>
      </c>
      <c r="AX58" s="32">
        <f t="shared" si="33"/>
        <v>4219.9081527125609</v>
      </c>
      <c r="AY58" s="32">
        <f t="shared" ca="1" si="34"/>
        <v>3239.5554017419936</v>
      </c>
      <c r="BA58" s="32">
        <f ca="1">IF($A59="","",F58*Summary!$Q$14)</f>
        <v>0</v>
      </c>
      <c r="BC58" s="256">
        <f t="shared" ca="1" si="38"/>
        <v>2843.2572763818234</v>
      </c>
    </row>
    <row r="59" spans="1:55">
      <c r="A59" s="67">
        <f t="shared" si="35"/>
        <v>38534</v>
      </c>
      <c r="B59" s="69">
        <f t="shared" si="36"/>
        <v>28400</v>
      </c>
      <c r="C59" s="71"/>
      <c r="D59" s="69">
        <f t="shared" si="0"/>
        <v>28400</v>
      </c>
      <c r="E59" s="70">
        <f t="shared" si="1"/>
        <v>880400</v>
      </c>
      <c r="F59" s="70">
        <f t="shared" ca="1" si="2"/>
        <v>588453.84681136289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0.23499999999999999</v>
      </c>
      <c r="K59" s="64">
        <f t="shared" si="6"/>
        <v>0.23499999999999999</v>
      </c>
      <c r="L59" s="38">
        <v>0</v>
      </c>
      <c r="M59" s="64">
        <f t="shared" si="7"/>
        <v>0</v>
      </c>
      <c r="N59" s="65"/>
      <c r="O59" s="63">
        <f t="shared" si="8"/>
        <v>4.3100000000000005</v>
      </c>
      <c r="P59" s="63">
        <f t="shared" si="9"/>
        <v>4.3100000000000005</v>
      </c>
      <c r="Q59" s="66"/>
      <c r="R59" s="63">
        <f t="shared" si="10"/>
        <v>0.18</v>
      </c>
      <c r="S59" s="64">
        <f t="shared" si="11"/>
        <v>0.18</v>
      </c>
      <c r="T59" s="63">
        <f t="shared" si="12"/>
        <v>0</v>
      </c>
      <c r="U59" s="64">
        <f t="shared" si="13"/>
        <v>0</v>
      </c>
      <c r="V59" s="207">
        <f>IF($A60="","",IF(AND(MONTH(A59)&gt;3,MONTH(A59)&lt;11),(T59+R59+G59)*(((1/(1-Summary!$T$14))/(1-Summary!$W$14))-1),(T59+R59+G59)*((1/(1-Summary!$U$14))/(1-Summary!$X$14)-1)))</f>
        <v>4.5373238034502029E-2</v>
      </c>
      <c r="W59" s="43">
        <f t="shared" si="14"/>
        <v>4.3003732380345019</v>
      </c>
      <c r="X59" s="43">
        <f t="shared" si="15"/>
        <v>4.3003732380345019</v>
      </c>
      <c r="Y59" s="43"/>
      <c r="Z59" s="38">
        <f t="shared" si="16"/>
        <v>0.55000000000000004</v>
      </c>
      <c r="AA59" s="38">
        <f t="shared" si="17"/>
        <v>0.25800000000000001</v>
      </c>
      <c r="AB59" s="38">
        <f t="shared" ca="1" si="18"/>
        <v>0.26404051061661798</v>
      </c>
      <c r="AC59" s="38">
        <f t="shared" si="19"/>
        <v>0.5</v>
      </c>
      <c r="AD59" s="38">
        <f t="shared" si="20"/>
        <v>0.25800000000000001</v>
      </c>
      <c r="AE59" s="38">
        <f t="shared" ca="1" si="21"/>
        <v>0.26301667101301629</v>
      </c>
      <c r="AF59" s="237">
        <f ca="1">((Summary!$N$14*(AA59*AD59)*(A59-$D$3))+(Summary!$M$14*Z59*AC59*(AJ59-EOMONTH(EDATE(A59,-1),0))))/(AK59*AB59*AE59)</f>
        <v>0.99972662867816797</v>
      </c>
      <c r="AG59" s="88">
        <f>IF($A60="","",Summary!$Q$14)</f>
        <v>0</v>
      </c>
      <c r="AH59" s="88">
        <f>IF($A60="","",IF(Summary!$R$12="Y",(VLOOKUP($A59,Summary!$AD$6:$AF$9,3)+'Escalating commodity'!J72),'Escalating commodity'!J72))</f>
        <v>5.260311212863961E-3</v>
      </c>
      <c r="AI59" s="88">
        <f t="shared" si="37"/>
        <v>5.260311212863961E-3</v>
      </c>
      <c r="AJ59" s="236">
        <f t="shared" si="22"/>
        <v>38548.5</v>
      </c>
      <c r="AK59" s="58">
        <f t="shared" ca="1" si="23"/>
        <v>1508</v>
      </c>
      <c r="AL59" s="26">
        <f ca="1">IF($A60="","",_xll.SPRDOPT(P59,X59,AI59,0,AB59,AE59,AF59,AK59,$AJ$2,0))</f>
        <v>1.7208929454646613E-2</v>
      </c>
      <c r="AM59" s="89">
        <f t="shared" si="24"/>
        <v>4.3664507526346482E-3</v>
      </c>
      <c r="AN59" s="89">
        <f t="shared" ca="1" si="25"/>
        <v>1.2842478702011965E-2</v>
      </c>
      <c r="AO59" s="3">
        <f t="shared" si="26"/>
        <v>31</v>
      </c>
      <c r="AP59" s="33">
        <f t="shared" si="27"/>
        <v>38534</v>
      </c>
      <c r="AQ59" s="58">
        <f t="shared" ca="1" si="28"/>
        <v>1508</v>
      </c>
      <c r="AR59" s="38">
        <f>'ANR OK vs ML7'!AR59</f>
        <v>0.1</v>
      </c>
      <c r="AS59" s="35">
        <f t="shared" ca="1" si="29"/>
        <v>0.66839373785933998</v>
      </c>
      <c r="AT59" s="3">
        <f t="shared" si="30"/>
        <v>1</v>
      </c>
      <c r="AU59" s="3">
        <f t="shared" si="31"/>
        <v>31</v>
      </c>
      <c r="AW59" s="32">
        <f t="shared" ca="1" si="32"/>
        <v>15150.741491870878</v>
      </c>
      <c r="AX59" s="32">
        <f t="shared" si="33"/>
        <v>3844.2232426195442</v>
      </c>
      <c r="AY59" s="32">
        <f t="shared" ca="1" si="34"/>
        <v>11306.518249251334</v>
      </c>
      <c r="BA59" s="32">
        <f ca="1">IF($A60="","",F59*Summary!$Q$14)</f>
        <v>0</v>
      </c>
      <c r="BC59" s="256">
        <f t="shared" ca="1" si="38"/>
        <v>2569.4547423002296</v>
      </c>
    </row>
    <row r="60" spans="1:55">
      <c r="A60" s="67">
        <f t="shared" si="35"/>
        <v>38565</v>
      </c>
      <c r="B60" s="69">
        <f t="shared" si="36"/>
        <v>28400</v>
      </c>
      <c r="C60" s="71"/>
      <c r="D60" s="69">
        <f t="shared" si="0"/>
        <v>28400</v>
      </c>
      <c r="E60" s="70">
        <f t="shared" si="1"/>
        <v>880400</v>
      </c>
      <c r="F60" s="70">
        <f t="shared" ca="1" si="2"/>
        <v>583600.414417792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0.23499999999999999</v>
      </c>
      <c r="K60" s="64">
        <f t="shared" si="6"/>
        <v>0.23499999999999999</v>
      </c>
      <c r="L60" s="38">
        <v>0</v>
      </c>
      <c r="M60" s="64">
        <f t="shared" si="7"/>
        <v>0</v>
      </c>
      <c r="N60" s="65"/>
      <c r="O60" s="63">
        <f t="shared" si="8"/>
        <v>4.3660000000000005</v>
      </c>
      <c r="P60" s="63">
        <f t="shared" si="9"/>
        <v>4.3660000000000005</v>
      </c>
      <c r="Q60" s="66"/>
      <c r="R60" s="63">
        <f t="shared" si="10"/>
        <v>0.18</v>
      </c>
      <c r="S60" s="64">
        <f t="shared" si="11"/>
        <v>0.18</v>
      </c>
      <c r="T60" s="63">
        <f t="shared" si="12"/>
        <v>0</v>
      </c>
      <c r="U60" s="64">
        <f t="shared" si="13"/>
        <v>0</v>
      </c>
      <c r="V60" s="207">
        <f>IF($A61="","",IF(AND(MONTH(A60)&gt;3,MONTH(A60)&lt;11),(T60+R60+G60)*(((1/(1-Summary!$T$14))/(1-Summary!$W$14))-1),(T60+R60+G60)*((1/(1-Summary!$U$14))/(1-Summary!$X$14)-1)))</f>
        <v>4.5970394633781025E-2</v>
      </c>
      <c r="W60" s="43">
        <f t="shared" si="14"/>
        <v>4.3569703946337812</v>
      </c>
      <c r="X60" s="43">
        <f t="shared" si="15"/>
        <v>4.3569703946337812</v>
      </c>
      <c r="Y60" s="43"/>
      <c r="Z60" s="38">
        <f t="shared" si="16"/>
        <v>0.6</v>
      </c>
      <c r="AA60" s="38">
        <f t="shared" si="17"/>
        <v>0.25800000000000001</v>
      </c>
      <c r="AB60" s="38">
        <f t="shared" ca="1" si="18"/>
        <v>0.2650150608100233</v>
      </c>
      <c r="AC60" s="38">
        <f t="shared" si="19"/>
        <v>0.45</v>
      </c>
      <c r="AD60" s="38">
        <f t="shared" si="20"/>
        <v>0.25800000000000001</v>
      </c>
      <c r="AE60" s="38">
        <f t="shared" ca="1" si="21"/>
        <v>0.26200520060906968</v>
      </c>
      <c r="AF60" s="237">
        <f ca="1">((Summary!$N$14*(AA60*AD60)*(A60-$D$3))+(Summary!$M$14*Z60*AC60*(AJ60-EOMONTH(EDATE(A60,-1),0))))/(AK60*AB60*AE60)</f>
        <v>0.99833751493385503</v>
      </c>
      <c r="AG60" s="88">
        <f>IF($A61="","",Summary!$Q$14)</f>
        <v>0</v>
      </c>
      <c r="AH60" s="88">
        <f>IF($A61="","",IF(Summary!$R$12="Y",(VLOOKUP($A60,Summary!$AD$6:$AF$9,3)+'Escalating commodity'!J73),'Escalating commodity'!J73))</f>
        <v>5.260311212863961E-3</v>
      </c>
      <c r="AI60" s="88">
        <f t="shared" si="37"/>
        <v>5.260311212863961E-3</v>
      </c>
      <c r="AJ60" s="236">
        <f t="shared" si="22"/>
        <v>38579.5</v>
      </c>
      <c r="AK60" s="58">
        <f t="shared" ca="1" si="23"/>
        <v>1539</v>
      </c>
      <c r="AL60" s="26">
        <f ca="1">IF($A61="","",_xll.SPRDOPT(P60,X60,AI60,0,AB60,AE60,AF60,AK60,$AJ$2,0))</f>
        <v>5.7459511578940532E-2</v>
      </c>
      <c r="AM60" s="89">
        <f t="shared" si="24"/>
        <v>3.7692941533553678E-3</v>
      </c>
      <c r="AN60" s="89">
        <f t="shared" ca="1" si="25"/>
        <v>5.3690217425585163E-2</v>
      </c>
      <c r="AO60" s="3">
        <f t="shared" si="26"/>
        <v>31</v>
      </c>
      <c r="AP60" s="33">
        <f t="shared" si="27"/>
        <v>38565</v>
      </c>
      <c r="AQ60" s="58">
        <f t="shared" ca="1" si="28"/>
        <v>1539</v>
      </c>
      <c r="AR60" s="38">
        <f>'ANR OK vs ML7'!AR60</f>
        <v>0.1</v>
      </c>
      <c r="AS60" s="35">
        <f t="shared" ca="1" si="29"/>
        <v>0.66288097957495684</v>
      </c>
      <c r="AT60" s="3">
        <f t="shared" si="30"/>
        <v>1</v>
      </c>
      <c r="AU60" s="3">
        <f t="shared" si="31"/>
        <v>31</v>
      </c>
      <c r="AW60" s="32">
        <f t="shared" ca="1" si="32"/>
        <v>50587.353994099241</v>
      </c>
      <c r="AX60" s="32">
        <f t="shared" si="33"/>
        <v>3318.4865726140656</v>
      </c>
      <c r="AY60" s="32">
        <f t="shared" ca="1" si="34"/>
        <v>47268.867421485178</v>
      </c>
      <c r="BA60" s="32">
        <f ca="1">IF($A61="","",F60*Summary!$Q$14)</f>
        <v>0</v>
      </c>
      <c r="BC60" s="256">
        <f t="shared" ca="1" si="38"/>
        <v>2199.761629960753</v>
      </c>
    </row>
    <row r="61" spans="1:55">
      <c r="A61" s="67">
        <f t="shared" si="35"/>
        <v>38596</v>
      </c>
      <c r="B61" s="69">
        <f t="shared" si="36"/>
        <v>28400</v>
      </c>
      <c r="C61" s="71"/>
      <c r="D61" s="69">
        <f t="shared" si="0"/>
        <v>28400</v>
      </c>
      <c r="E61" s="70">
        <f t="shared" si="1"/>
        <v>852000</v>
      </c>
      <c r="F61" s="70">
        <f t="shared" ca="1" si="2"/>
        <v>560116.46324679756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0.23499999999999999</v>
      </c>
      <c r="K61" s="64">
        <f t="shared" si="6"/>
        <v>0.23499999999999999</v>
      </c>
      <c r="L61" s="38">
        <v>0</v>
      </c>
      <c r="M61" s="64">
        <f t="shared" si="7"/>
        <v>0</v>
      </c>
      <c r="N61" s="65"/>
      <c r="O61" s="63">
        <f t="shared" si="8"/>
        <v>4.38</v>
      </c>
      <c r="P61" s="63">
        <f t="shared" si="9"/>
        <v>4.38</v>
      </c>
      <c r="Q61" s="66"/>
      <c r="R61" s="63">
        <f t="shared" si="10"/>
        <v>0.18</v>
      </c>
      <c r="S61" s="64">
        <f t="shared" si="11"/>
        <v>0.18</v>
      </c>
      <c r="T61" s="63">
        <f t="shared" si="12"/>
        <v>0</v>
      </c>
      <c r="U61" s="64">
        <f t="shared" si="13"/>
        <v>0</v>
      </c>
      <c r="V61" s="207">
        <f>IF($A62="","",IF(AND(MONTH(A61)&gt;3,MONTH(A61)&lt;11),(T61+R61+G61)*(((1/(1-Summary!$T$14))/(1-Summary!$W$14))-1),(T61+R61+G61)*((1/(1-Summary!$U$14))/(1-Summary!$X$14)-1)))</f>
        <v>4.6119683783600769E-2</v>
      </c>
      <c r="W61" s="43">
        <f t="shared" si="14"/>
        <v>4.3711196837835997</v>
      </c>
      <c r="X61" s="43">
        <f t="shared" si="15"/>
        <v>4.3711196837835997</v>
      </c>
      <c r="Y61" s="43"/>
      <c r="Z61" s="38">
        <f t="shared" si="16"/>
        <v>0.6</v>
      </c>
      <c r="AA61" s="38">
        <f t="shared" si="17"/>
        <v>0.25800000000000001</v>
      </c>
      <c r="AB61" s="38">
        <f t="shared" ca="1" si="18"/>
        <v>0.26466183687507566</v>
      </c>
      <c r="AC61" s="38">
        <f t="shared" si="19"/>
        <v>0.5</v>
      </c>
      <c r="AD61" s="38">
        <f t="shared" si="20"/>
        <v>0.25800000000000001</v>
      </c>
      <c r="AE61" s="38">
        <f t="shared" ca="1" si="21"/>
        <v>0.26266886470245465</v>
      </c>
      <c r="AF61" s="237">
        <f ca="1">((Summary!$N$14*(AA61*AD61)*(A61-$D$3))+(Summary!$M$14*Z61*AC61*(AJ61-EOMONTH(EDATE(A61,-1),0))))/(AK61*AB61*AE61)</f>
        <v>0.99924559033193516</v>
      </c>
      <c r="AG61" s="88">
        <f>IF($A62="","",Summary!$Q$14)</f>
        <v>0</v>
      </c>
      <c r="AH61" s="88">
        <f>IF($A62="","",IF(Summary!$R$12="Y",(VLOOKUP($A61,Summary!$AD$6:$AF$9,3)+'Escalating commodity'!J74),'Escalating commodity'!J74))</f>
        <v>5.260311212863961E-3</v>
      </c>
      <c r="AI61" s="88">
        <f t="shared" si="37"/>
        <v>5.260311212863961E-3</v>
      </c>
      <c r="AJ61" s="236">
        <f t="shared" si="22"/>
        <v>38610</v>
      </c>
      <c r="AK61" s="58">
        <f t="shared" ca="1" si="23"/>
        <v>1570</v>
      </c>
      <c r="AL61" s="26">
        <f ca="1">IF($A62="","",_xll.SPRDOPT(P61,X61,AI61,0,AB61,AE61,AF61,AK61,$AJ$2,0))</f>
        <v>3.6723341799696066E-2</v>
      </c>
      <c r="AM61" s="89">
        <f t="shared" si="24"/>
        <v>3.6200050035362138E-3</v>
      </c>
      <c r="AN61" s="89">
        <f t="shared" ca="1" si="25"/>
        <v>3.310333679615985E-2</v>
      </c>
      <c r="AO61" s="3">
        <f t="shared" si="26"/>
        <v>30</v>
      </c>
      <c r="AP61" s="33">
        <f t="shared" si="27"/>
        <v>38596</v>
      </c>
      <c r="AQ61" s="58">
        <f t="shared" ca="1" si="28"/>
        <v>1570</v>
      </c>
      <c r="AR61" s="38">
        <f>'ANR OK vs ML7'!AR61</f>
        <v>0.1</v>
      </c>
      <c r="AS61" s="35">
        <f t="shared" ca="1" si="29"/>
        <v>0.65741368925680466</v>
      </c>
      <c r="AT61" s="3">
        <f t="shared" si="30"/>
        <v>1</v>
      </c>
      <c r="AU61" s="3">
        <f t="shared" si="31"/>
        <v>30</v>
      </c>
      <c r="AW61" s="32">
        <f t="shared" ca="1" si="32"/>
        <v>31288.287213341049</v>
      </c>
      <c r="AX61" s="32">
        <f t="shared" si="33"/>
        <v>3084.2442630128539</v>
      </c>
      <c r="AY61" s="32">
        <f t="shared" ca="1" si="34"/>
        <v>28204.042950328192</v>
      </c>
      <c r="BA61" s="32">
        <f ca="1">IF($A62="","",F61*Summary!$Q$14)</f>
        <v>0</v>
      </c>
      <c r="BC61" s="256">
        <f t="shared" ca="1" si="38"/>
        <v>2027.624399516415</v>
      </c>
    </row>
    <row r="62" spans="1:55">
      <c r="A62" s="67">
        <f t="shared" si="35"/>
        <v>38626</v>
      </c>
      <c r="B62" s="69">
        <f t="shared" si="36"/>
        <v>28400</v>
      </c>
      <c r="C62" s="71"/>
      <c r="D62" s="69">
        <f t="shared" si="0"/>
        <v>28400</v>
      </c>
      <c r="E62" s="70">
        <f t="shared" si="1"/>
        <v>880400</v>
      </c>
      <c r="F62" s="70">
        <f t="shared" ca="1" si="2"/>
        <v>574166.68356481334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0.23499999999999999</v>
      </c>
      <c r="K62" s="64">
        <f t="shared" si="6"/>
        <v>0.23499999999999999</v>
      </c>
      <c r="L62" s="38">
        <v>0</v>
      </c>
      <c r="M62" s="64">
        <f t="shared" si="7"/>
        <v>0</v>
      </c>
      <c r="N62" s="65"/>
      <c r="O62" s="63">
        <f t="shared" si="8"/>
        <v>4.4110000000000005</v>
      </c>
      <c r="P62" s="63">
        <f t="shared" si="9"/>
        <v>4.4110000000000005</v>
      </c>
      <c r="Q62" s="66"/>
      <c r="R62" s="63">
        <f t="shared" si="10"/>
        <v>0.18</v>
      </c>
      <c r="S62" s="64">
        <f t="shared" si="11"/>
        <v>0.18</v>
      </c>
      <c r="T62" s="63">
        <f t="shared" si="12"/>
        <v>0</v>
      </c>
      <c r="U62" s="64">
        <f t="shared" si="13"/>
        <v>0</v>
      </c>
      <c r="V62" s="207">
        <f>IF($A63="","",IF(AND(MONTH(A62)&gt;3,MONTH(A62)&lt;11),(T62+R62+G62)*(((1/(1-Summary!$T$14))/(1-Summary!$W$14))-1),(T62+R62+G62)*((1/(1-Summary!$U$14))/(1-Summary!$X$14)-1)))</f>
        <v>4.6450252615344502E-2</v>
      </c>
      <c r="W62" s="43">
        <f t="shared" si="14"/>
        <v>4.4024502526153446</v>
      </c>
      <c r="X62" s="43">
        <f t="shared" si="15"/>
        <v>4.4024502526153446</v>
      </c>
      <c r="Y62" s="43"/>
      <c r="Z62" s="38">
        <f t="shared" si="16"/>
        <v>0.65</v>
      </c>
      <c r="AA62" s="38">
        <f t="shared" si="17"/>
        <v>0.25800000000000001</v>
      </c>
      <c r="AB62" s="38">
        <f t="shared" ca="1" si="18"/>
        <v>0.26589202930889072</v>
      </c>
      <c r="AC62" s="38">
        <f t="shared" si="19"/>
        <v>0.5</v>
      </c>
      <c r="AD62" s="38">
        <f t="shared" si="20"/>
        <v>0.25800000000000001</v>
      </c>
      <c r="AE62" s="38">
        <f t="shared" ca="1" si="21"/>
        <v>0.26273080805265298</v>
      </c>
      <c r="AF62" s="237">
        <f ca="1">((Summary!$N$14*(AA62*AD62)*(A62-$D$3))+(Summary!$M$14*Z62*AC62*(AJ62-EOMONTH(EDATE(A62,-1),0))))/(AK62*AB62*AE62)</f>
        <v>0.99841609792097441</v>
      </c>
      <c r="AG62" s="88">
        <f>IF($A63="","",Summary!$Q$14)</f>
        <v>0</v>
      </c>
      <c r="AH62" s="88">
        <f>IF($A63="","",IF(Summary!$R$12="Y",(VLOOKUP($A62,Summary!$AD$6:$AF$9,3)+'Escalating commodity'!J75),'Escalating commodity'!J75))</f>
        <v>5.260311212863961E-3</v>
      </c>
      <c r="AI62" s="88">
        <f t="shared" si="37"/>
        <v>5.260311212863961E-3</v>
      </c>
      <c r="AJ62" s="236">
        <f t="shared" si="22"/>
        <v>38640.5</v>
      </c>
      <c r="AK62" s="58">
        <f t="shared" ca="1" si="23"/>
        <v>1600</v>
      </c>
      <c r="AL62" s="26">
        <f ca="1">IF($A63="","",_xll.SPRDOPT(P62,X62,AI62,0,AB62,AE62,AF62,AK62,$AJ$2,0))</f>
        <v>5.7870823720047031E-2</v>
      </c>
      <c r="AM62" s="89">
        <f t="shared" si="24"/>
        <v>3.2894361717918982E-3</v>
      </c>
      <c r="AN62" s="89">
        <f t="shared" ca="1" si="25"/>
        <v>5.4581387548255131E-2</v>
      </c>
      <c r="AO62" s="3">
        <f t="shared" si="26"/>
        <v>31</v>
      </c>
      <c r="AP62" s="33">
        <f t="shared" si="27"/>
        <v>38626</v>
      </c>
      <c r="AQ62" s="58">
        <f t="shared" ca="1" si="28"/>
        <v>1600</v>
      </c>
      <c r="AR62" s="38">
        <f>'ANR OK vs ML7'!AR62</f>
        <v>0.1</v>
      </c>
      <c r="AS62" s="35">
        <f t="shared" ca="1" si="29"/>
        <v>0.65216570145935182</v>
      </c>
      <c r="AT62" s="3">
        <f t="shared" si="30"/>
        <v>1</v>
      </c>
      <c r="AU62" s="3">
        <f t="shared" si="31"/>
        <v>31</v>
      </c>
      <c r="AW62" s="32">
        <f t="shared" ca="1" si="32"/>
        <v>50949.473203129404</v>
      </c>
      <c r="AX62" s="32">
        <f t="shared" si="33"/>
        <v>2896.019605645587</v>
      </c>
      <c r="AY62" s="32">
        <f t="shared" ca="1" si="34"/>
        <v>48053.453597483815</v>
      </c>
      <c r="BA62" s="32">
        <f ca="1">IF($A63="","",F62*Summary!$Q$14)</f>
        <v>0</v>
      </c>
      <c r="BC62" s="256">
        <f t="shared" ca="1" si="38"/>
        <v>1888.6846575558898</v>
      </c>
    </row>
    <row r="63" spans="1:55">
      <c r="A63" s="67">
        <f t="shared" si="35"/>
        <v>38657</v>
      </c>
      <c r="B63" s="69">
        <f t="shared" si="36"/>
        <v>28400</v>
      </c>
      <c r="C63" s="71"/>
      <c r="D63" s="69">
        <f t="shared" si="0"/>
        <v>28400</v>
      </c>
      <c r="E63" s="70">
        <f t="shared" si="1"/>
        <v>852000</v>
      </c>
      <c r="F63" s="70">
        <f t="shared" ca="1" si="2"/>
        <v>551062.34362992935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0.53500000000000003</v>
      </c>
      <c r="K63" s="64">
        <f t="shared" si="6"/>
        <v>0.53500000000000003</v>
      </c>
      <c r="L63" s="38">
        <v>0</v>
      </c>
      <c r="M63" s="64">
        <f t="shared" si="7"/>
        <v>0</v>
      </c>
      <c r="N63" s="65"/>
      <c r="O63" s="63">
        <f t="shared" si="8"/>
        <v>4.8440000000000003</v>
      </c>
      <c r="P63" s="63">
        <f t="shared" si="9"/>
        <v>4.8440000000000003</v>
      </c>
      <c r="Q63" s="66"/>
      <c r="R63" s="63">
        <f t="shared" si="10"/>
        <v>0.33500000000000002</v>
      </c>
      <c r="S63" s="64">
        <f t="shared" si="11"/>
        <v>0.33500000000000002</v>
      </c>
      <c r="T63" s="63">
        <f t="shared" si="12"/>
        <v>0</v>
      </c>
      <c r="U63" s="64">
        <f t="shared" si="13"/>
        <v>0</v>
      </c>
      <c r="V63" s="207">
        <f>IF($A64="","",IF(AND(MONTH(A63)&gt;3,MONTH(A63)&lt;11),(T63+R63+G63)*(((1/(1-Summary!$T$14))/(1-Summary!$W$14))-1),(T63+R63+G63)*((1/(1-Summary!$U$14))/(1-Summary!$X$14)-1)))</f>
        <v>4.9521343697350749E-2</v>
      </c>
      <c r="W63" s="43">
        <f t="shared" si="14"/>
        <v>4.6935213436973511</v>
      </c>
      <c r="X63" s="43">
        <f t="shared" si="15"/>
        <v>4.6935213436973511</v>
      </c>
      <c r="Y63" s="43"/>
      <c r="Z63" s="38">
        <f t="shared" si="16"/>
        <v>0.8</v>
      </c>
      <c r="AA63" s="38">
        <f t="shared" si="17"/>
        <v>0.25800000000000001</v>
      </c>
      <c r="AB63" s="38">
        <f t="shared" ca="1" si="18"/>
        <v>0.2692411025566997</v>
      </c>
      <c r="AC63" s="38">
        <f t="shared" si="19"/>
        <v>0.95</v>
      </c>
      <c r="AD63" s="38">
        <f t="shared" si="20"/>
        <v>0.25800000000000001</v>
      </c>
      <c r="AE63" s="38">
        <f t="shared" ca="1" si="21"/>
        <v>0.27368765846503934</v>
      </c>
      <c r="AF63" s="237">
        <f ca="1">((Summary!$N$14*(AA63*AD63)*(A63-$D$3))+(Summary!$M$14*Z63*AC63*(AJ63-EOMONTH(EDATE(A63,-1),0))))/(AK63*AB63*AE63)</f>
        <v>0.99863968720978069</v>
      </c>
      <c r="AG63" s="88">
        <f>IF($A64="","",Summary!$Q$14)</f>
        <v>0</v>
      </c>
      <c r="AH63" s="88">
        <f>IF($A64="","",IF(Summary!$R$12="Y",(VLOOKUP($A63,Summary!$AD$6:$AF$9,3)+'Escalating commodity'!J76),'Escalating commodity'!J76))</f>
        <v>5.260311212863961E-3</v>
      </c>
      <c r="AI63" s="88">
        <f t="shared" si="37"/>
        <v>5.260311212863961E-3</v>
      </c>
      <c r="AJ63" s="236">
        <f t="shared" si="22"/>
        <v>38671</v>
      </c>
      <c r="AK63" s="58">
        <f t="shared" ca="1" si="23"/>
        <v>1631</v>
      </c>
      <c r="AL63" s="26">
        <f ca="1">IF($A64="","",_xll.SPRDOPT(P63,X63,AI63,0,AB63,AE63,AF63,AK63,$AJ$2,0))</f>
        <v>0.15817686301254913</v>
      </c>
      <c r="AM63" s="89">
        <f t="shared" si="24"/>
        <v>0.14521834508978526</v>
      </c>
      <c r="AN63" s="89">
        <f t="shared" ca="1" si="25"/>
        <v>1.2958517922763868E-2</v>
      </c>
      <c r="AO63" s="3">
        <f t="shared" si="26"/>
        <v>30</v>
      </c>
      <c r="AP63" s="33">
        <f t="shared" si="27"/>
        <v>38657</v>
      </c>
      <c r="AQ63" s="58">
        <f t="shared" ca="1" si="28"/>
        <v>1631</v>
      </c>
      <c r="AR63" s="38">
        <f>'ANR OK vs ML7'!AR63</f>
        <v>0.1</v>
      </c>
      <c r="AS63" s="35">
        <f t="shared" ca="1" si="29"/>
        <v>0.64678678829803915</v>
      </c>
      <c r="AT63" s="3">
        <f t="shared" si="30"/>
        <v>1</v>
      </c>
      <c r="AU63" s="3">
        <f t="shared" si="31"/>
        <v>30</v>
      </c>
      <c r="AW63" s="32">
        <f t="shared" ca="1" si="32"/>
        <v>134766.68728669186</v>
      </c>
      <c r="AX63" s="32">
        <f t="shared" si="33"/>
        <v>123726.03001649704</v>
      </c>
      <c r="AY63" s="32">
        <f t="shared" ca="1" si="34"/>
        <v>11040.657270194815</v>
      </c>
      <c r="BA63" s="32">
        <f ca="1">IF($A64="","",F63*Summary!$Q$14)</f>
        <v>0</v>
      </c>
      <c r="BC63" s="256">
        <f t="shared" ca="1" si="38"/>
        <v>80024.361583236911</v>
      </c>
    </row>
    <row r="64" spans="1:55">
      <c r="A64" s="67">
        <f t="shared" si="35"/>
        <v>38687</v>
      </c>
      <c r="B64" s="69">
        <f t="shared" si="36"/>
        <v>28400</v>
      </c>
      <c r="C64" s="71"/>
      <c r="D64" s="69">
        <f t="shared" si="0"/>
        <v>28400</v>
      </c>
      <c r="E64" s="70">
        <f t="shared" si="1"/>
        <v>880400</v>
      </c>
      <c r="F64" s="70">
        <f t="shared" ca="1" si="2"/>
        <v>564885.4462255605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0.53500000000000003</v>
      </c>
      <c r="K64" s="64">
        <f t="shared" si="6"/>
        <v>0.53500000000000003</v>
      </c>
      <c r="L64" s="38">
        <v>0</v>
      </c>
      <c r="M64" s="64">
        <f t="shared" si="7"/>
        <v>0</v>
      </c>
      <c r="N64" s="65"/>
      <c r="O64" s="63">
        <f t="shared" si="8"/>
        <v>4.9820000000000002</v>
      </c>
      <c r="P64" s="63">
        <f t="shared" si="9"/>
        <v>4.9820000000000002</v>
      </c>
      <c r="Q64" s="66"/>
      <c r="R64" s="63">
        <f t="shared" si="10"/>
        <v>0.33500000000000002</v>
      </c>
      <c r="S64" s="64">
        <f t="shared" si="11"/>
        <v>0.33500000000000002</v>
      </c>
      <c r="T64" s="63">
        <f t="shared" si="12"/>
        <v>0</v>
      </c>
      <c r="U64" s="64">
        <f t="shared" si="13"/>
        <v>0</v>
      </c>
      <c r="V64" s="207">
        <f>IF($A65="","",IF(AND(MONTH(A64)&gt;3,MONTH(A64)&lt;11),(T64+R64+G64)*(((1/(1-Summary!$T$14))/(1-Summary!$W$14))-1),(T64+R64+G64)*((1/(1-Summary!$U$14))/(1-Summary!$X$14)-1)))</f>
        <v>5.099290817414541E-2</v>
      </c>
      <c r="W64" s="43">
        <f t="shared" si="14"/>
        <v>4.8329929081741456</v>
      </c>
      <c r="X64" s="43">
        <f t="shared" si="15"/>
        <v>4.8329929081741456</v>
      </c>
      <c r="Y64" s="43"/>
      <c r="Z64" s="38">
        <f t="shared" si="16"/>
        <v>1.1000000000000001</v>
      </c>
      <c r="AA64" s="38">
        <f t="shared" si="17"/>
        <v>0.26</v>
      </c>
      <c r="AB64" s="38">
        <f t="shared" ca="1" si="18"/>
        <v>0.28094855241298189</v>
      </c>
      <c r="AC64" s="38">
        <f t="shared" si="19"/>
        <v>1.35</v>
      </c>
      <c r="AD64" s="38">
        <f t="shared" si="20"/>
        <v>0.26</v>
      </c>
      <c r="AE64" s="38">
        <f t="shared" ca="1" si="21"/>
        <v>0.29094290234726339</v>
      </c>
      <c r="AF64" s="237">
        <f ca="1">((Summary!$N$14*(AA64*AD64)*(A64-$D$3))+(Summary!$M$14*Z64*AC64*(AJ64-EOMONTH(EDATE(A64,-1),0))))/(AK64*AB64*AE64)</f>
        <v>0.99696064241040327</v>
      </c>
      <c r="AG64" s="88">
        <f>IF($A65="","",Summary!$Q$14)</f>
        <v>0</v>
      </c>
      <c r="AH64" s="88">
        <f>IF($A65="","",IF(Summary!$R$12="Y",(VLOOKUP($A64,Summary!$AD$6:$AF$9,3)+'Escalating commodity'!J77),'Escalating commodity'!J77))</f>
        <v>5.260311212863961E-3</v>
      </c>
      <c r="AI64" s="88">
        <f t="shared" si="37"/>
        <v>5.260311212863961E-3</v>
      </c>
      <c r="AJ64" s="236">
        <f t="shared" si="22"/>
        <v>38701.5</v>
      </c>
      <c r="AK64" s="58">
        <f t="shared" ca="1" si="23"/>
        <v>1661</v>
      </c>
      <c r="AL64" s="26">
        <f ca="1">IF($A65="","",_xll.SPRDOPT(P64,X64,AI64,0,AB64,AE64,AF64,AK64,$AJ$2,0))</f>
        <v>0.1891504973659825</v>
      </c>
      <c r="AM64" s="89">
        <f t="shared" si="24"/>
        <v>0.14374678061299062</v>
      </c>
      <c r="AN64" s="89">
        <f t="shared" ca="1" si="25"/>
        <v>4.5403716752991874E-2</v>
      </c>
      <c r="AO64" s="3">
        <f t="shared" si="26"/>
        <v>31</v>
      </c>
      <c r="AP64" s="33">
        <f t="shared" si="27"/>
        <v>38687</v>
      </c>
      <c r="AQ64" s="58">
        <f t="shared" ca="1" si="28"/>
        <v>1661</v>
      </c>
      <c r="AR64" s="38">
        <f>'ANR OK vs ML7'!AR64</f>
        <v>0.1</v>
      </c>
      <c r="AS64" s="35">
        <f t="shared" ca="1" si="29"/>
        <v>0.64162363269600242</v>
      </c>
      <c r="AT64" s="3">
        <f t="shared" si="30"/>
        <v>1</v>
      </c>
      <c r="AU64" s="3">
        <f t="shared" si="31"/>
        <v>31</v>
      </c>
      <c r="AW64" s="32">
        <f t="shared" ca="1" si="32"/>
        <v>166528.097881011</v>
      </c>
      <c r="AX64" s="32">
        <f t="shared" si="33"/>
        <v>126554.66565167694</v>
      </c>
      <c r="AY64" s="32">
        <f t="shared" ca="1" si="34"/>
        <v>39973.432229334045</v>
      </c>
      <c r="BA64" s="32">
        <f ca="1">IF($A65="","",F64*Summary!$Q$14)</f>
        <v>0</v>
      </c>
      <c r="BC64" s="256">
        <f t="shared" ca="1" si="38"/>
        <v>81200.464310056952</v>
      </c>
    </row>
    <row r="65" spans="1:55">
      <c r="A65" s="67">
        <f t="shared" si="35"/>
        <v>38718</v>
      </c>
      <c r="B65" s="69">
        <f t="shared" si="36"/>
        <v>28400</v>
      </c>
      <c r="C65" s="71"/>
      <c r="D65" s="69">
        <f t="shared" si="0"/>
        <v>28400</v>
      </c>
      <c r="E65" s="70">
        <f t="shared" si="1"/>
        <v>880400</v>
      </c>
      <c r="F65" s="70">
        <f t="shared" ca="1" si="2"/>
        <v>560226.40059568838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0.53500000000000003</v>
      </c>
      <c r="K65" s="64">
        <f t="shared" si="6"/>
        <v>0.53500000000000003</v>
      </c>
      <c r="L65" s="38">
        <v>0</v>
      </c>
      <c r="M65" s="64">
        <f t="shared" si="7"/>
        <v>0</v>
      </c>
      <c r="N65" s="65"/>
      <c r="O65" s="63">
        <f t="shared" si="8"/>
        <v>4.9790000000000001</v>
      </c>
      <c r="P65" s="63">
        <f t="shared" si="9"/>
        <v>4.9790000000000001</v>
      </c>
      <c r="Q65" s="66"/>
      <c r="R65" s="63">
        <f t="shared" si="10"/>
        <v>0.33500000000000002</v>
      </c>
      <c r="S65" s="64">
        <f t="shared" si="11"/>
        <v>0.33500000000000002</v>
      </c>
      <c r="T65" s="63">
        <f t="shared" si="12"/>
        <v>0</v>
      </c>
      <c r="U65" s="64">
        <f t="shared" si="13"/>
        <v>0</v>
      </c>
      <c r="V65" s="207">
        <f>IF($A66="","",IF(AND(MONTH(A65)&gt;3,MONTH(A65)&lt;11),(T65+R65+G65)*(((1/(1-Summary!$T$14))/(1-Summary!$W$14))-1),(T65+R65+G65)*((1/(1-Summary!$U$14))/(1-Summary!$X$14)-1)))</f>
        <v>5.0960917642041179E-2</v>
      </c>
      <c r="W65" s="43">
        <f t="shared" si="14"/>
        <v>4.8299609176420413</v>
      </c>
      <c r="X65" s="43">
        <f t="shared" si="15"/>
        <v>4.8299609176420413</v>
      </c>
      <c r="Y65" s="43"/>
      <c r="Z65" s="38">
        <f t="shared" si="16"/>
        <v>1.1000000000000001</v>
      </c>
      <c r="AA65" s="38">
        <f t="shared" si="17"/>
        <v>0.26300000000000001</v>
      </c>
      <c r="AB65" s="38">
        <f t="shared" ca="1" si="18"/>
        <v>0.28336265701406554</v>
      </c>
      <c r="AC65" s="38">
        <f t="shared" si="19"/>
        <v>1.35</v>
      </c>
      <c r="AD65" s="38">
        <f t="shared" si="20"/>
        <v>0.26300000000000001</v>
      </c>
      <c r="AE65" s="38">
        <f t="shared" ca="1" si="21"/>
        <v>0.29309615955697021</v>
      </c>
      <c r="AF65" s="237">
        <f ca="1">((Summary!$N$14*(AA65*AD65)*(A65-$D$3))+(Summary!$M$14*Z65*AC65*(AJ65-EOMONTH(EDATE(A65,-1),0))))/(AK65*AB65*AE65)</f>
        <v>0.99704013637816902</v>
      </c>
      <c r="AG65" s="88">
        <f>IF($A66="","",Summary!$Q$14)</f>
        <v>0</v>
      </c>
      <c r="AH65" s="88">
        <f>IF($A66="","",IF(Summary!$R$12="Y",(VLOOKUP($A65,Summary!$AD$6:$AF$9,3)+'Escalating commodity'!J78),'Escalating commodity'!J78))</f>
        <v>5.3655174371212404E-3</v>
      </c>
      <c r="AI65" s="88">
        <f t="shared" si="37"/>
        <v>5.3655174371212404E-3</v>
      </c>
      <c r="AJ65" s="236">
        <f t="shared" si="22"/>
        <v>38732.5</v>
      </c>
      <c r="AK65" s="58">
        <f t="shared" ca="1" si="23"/>
        <v>1692</v>
      </c>
      <c r="AL65" s="26">
        <f ca="1">IF($A66="","",_xll.SPRDOPT(P65,X65,AI65,0,AB65,AE65,AF65,AK65,$AJ$2,0))</f>
        <v>0.18907879829692337</v>
      </c>
      <c r="AM65" s="89">
        <f t="shared" si="24"/>
        <v>0.14367356492083758</v>
      </c>
      <c r="AN65" s="89">
        <f t="shared" ca="1" si="25"/>
        <v>4.5405233376085791E-2</v>
      </c>
      <c r="AO65" s="3">
        <f t="shared" si="26"/>
        <v>31</v>
      </c>
      <c r="AP65" s="33">
        <f t="shared" si="27"/>
        <v>38718</v>
      </c>
      <c r="AQ65" s="58">
        <f t="shared" ca="1" si="28"/>
        <v>1692</v>
      </c>
      <c r="AR65" s="38">
        <f>'ANR OK vs ML7'!AR65</f>
        <v>0.1</v>
      </c>
      <c r="AS65" s="35">
        <f t="shared" ca="1" si="29"/>
        <v>0.63633166810050934</v>
      </c>
      <c r="AT65" s="3">
        <f t="shared" si="30"/>
        <v>1</v>
      </c>
      <c r="AU65" s="3">
        <f t="shared" si="31"/>
        <v>31</v>
      </c>
      <c r="AW65" s="32">
        <f t="shared" ca="1" si="32"/>
        <v>166464.97402061132</v>
      </c>
      <c r="AX65" s="32">
        <f t="shared" si="33"/>
        <v>126490.20655630541</v>
      </c>
      <c r="AY65" s="32">
        <f t="shared" ca="1" si="34"/>
        <v>39974.767464305929</v>
      </c>
      <c r="BA65" s="32">
        <f ca="1">IF($A66="","",F65*Summary!$Q$14)</f>
        <v>0</v>
      </c>
      <c r="BC65" s="256">
        <f t="shared" ca="1" si="38"/>
        <v>80489.724136351797</v>
      </c>
    </row>
    <row r="66" spans="1:55">
      <c r="A66" s="67">
        <f t="shared" si="35"/>
        <v>38749</v>
      </c>
      <c r="B66" s="69">
        <f t="shared" si="36"/>
        <v>28400</v>
      </c>
      <c r="C66" s="71"/>
      <c r="D66" s="69">
        <f t="shared" si="0"/>
        <v>28400</v>
      </c>
      <c r="E66" s="70">
        <f t="shared" si="1"/>
        <v>795200</v>
      </c>
      <c r="F66" s="70">
        <f t="shared" ca="1" si="2"/>
        <v>501837.48025042959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0.53500000000000003</v>
      </c>
      <c r="K66" s="64">
        <f t="shared" si="6"/>
        <v>0.53500000000000003</v>
      </c>
      <c r="L66" s="38">
        <v>0</v>
      </c>
      <c r="M66" s="64">
        <f t="shared" si="7"/>
        <v>0</v>
      </c>
      <c r="N66" s="65"/>
      <c r="O66" s="63">
        <f t="shared" si="8"/>
        <v>4.859</v>
      </c>
      <c r="P66" s="63">
        <f t="shared" si="9"/>
        <v>4.859</v>
      </c>
      <c r="Q66" s="66"/>
      <c r="R66" s="63">
        <f t="shared" si="10"/>
        <v>0.33500000000000002</v>
      </c>
      <c r="S66" s="64">
        <f t="shared" si="11"/>
        <v>0.33500000000000002</v>
      </c>
      <c r="T66" s="63">
        <f t="shared" si="12"/>
        <v>0</v>
      </c>
      <c r="U66" s="64">
        <f t="shared" si="13"/>
        <v>0</v>
      </c>
      <c r="V66" s="207">
        <f>IF($A67="","",IF(AND(MONTH(A66)&gt;3,MONTH(A66)&lt;11),(T66+R66+G66)*(((1/(1-Summary!$T$14))/(1-Summary!$W$14))-1),(T66+R66+G66)*((1/(1-Summary!$U$14))/(1-Summary!$X$14)-1)))</f>
        <v>4.9681296357871906E-2</v>
      </c>
      <c r="W66" s="43">
        <f t="shared" si="14"/>
        <v>4.7086812963578719</v>
      </c>
      <c r="X66" s="43">
        <f t="shared" si="15"/>
        <v>4.7086812963578719</v>
      </c>
      <c r="Y66" s="43"/>
      <c r="Z66" s="38">
        <f t="shared" si="16"/>
        <v>1.1000000000000001</v>
      </c>
      <c r="AA66" s="38">
        <f t="shared" si="17"/>
        <v>0.255</v>
      </c>
      <c r="AB66" s="38">
        <f t="shared" ca="1" si="18"/>
        <v>0.27366846424586994</v>
      </c>
      <c r="AC66" s="38">
        <f t="shared" si="19"/>
        <v>1.35</v>
      </c>
      <c r="AD66" s="38">
        <f t="shared" si="20"/>
        <v>0.255</v>
      </c>
      <c r="AE66" s="38">
        <f t="shared" ca="1" si="21"/>
        <v>0.28261495537317266</v>
      </c>
      <c r="AF66" s="237">
        <f ca="1">((Summary!$N$14*(AA66*AD66)*(A66-$D$3))+(Summary!$M$14*Z66*AC66*(AJ66-EOMONTH(EDATE(A66,-1),0))))/(AK66*AB66*AE66)</f>
        <v>0.99715029704776759</v>
      </c>
      <c r="AG66" s="88">
        <f>IF($A67="","",Summary!$Q$14)</f>
        <v>0</v>
      </c>
      <c r="AH66" s="88">
        <f>IF($A67="","",IF(Summary!$R$12="Y",(VLOOKUP($A66,Summary!$AD$6:$AF$9,3)+'Escalating commodity'!J79),'Escalating commodity'!J79))</f>
        <v>5.3655174371212404E-3</v>
      </c>
      <c r="AI66" s="88">
        <f t="shared" si="37"/>
        <v>5.3655174371212404E-3</v>
      </c>
      <c r="AJ66" s="236">
        <f t="shared" si="22"/>
        <v>38762</v>
      </c>
      <c r="AK66" s="58">
        <f t="shared" ca="1" si="23"/>
        <v>1723</v>
      </c>
      <c r="AL66" s="26">
        <f ca="1">IF($A67="","",_xll.SPRDOPT(P66,X66,AI66,0,AB66,AE66,AF66,AK66,$AJ$2,0))</f>
        <v>0.18382400786430347</v>
      </c>
      <c r="AM66" s="89">
        <f t="shared" si="24"/>
        <v>0.14495318620500683</v>
      </c>
      <c r="AN66" s="89">
        <f t="shared" ca="1" si="25"/>
        <v>3.8870821659296645E-2</v>
      </c>
      <c r="AO66" s="3">
        <f t="shared" si="26"/>
        <v>28</v>
      </c>
      <c r="AP66" s="33">
        <f t="shared" si="27"/>
        <v>38749</v>
      </c>
      <c r="AQ66" s="58">
        <f t="shared" ca="1" si="28"/>
        <v>1723</v>
      </c>
      <c r="AR66" s="38">
        <f>'ANR OK vs ML7'!AR66</f>
        <v>0.1</v>
      </c>
      <c r="AS66" s="35">
        <f t="shared" ca="1" si="29"/>
        <v>0.63108335041553021</v>
      </c>
      <c r="AT66" s="3">
        <f t="shared" si="30"/>
        <v>1</v>
      </c>
      <c r="AU66" s="3">
        <f t="shared" si="31"/>
        <v>28</v>
      </c>
      <c r="AW66" s="32">
        <f t="shared" ca="1" si="32"/>
        <v>146176.85105369412</v>
      </c>
      <c r="AX66" s="32">
        <f t="shared" si="33"/>
        <v>115266.77367022143</v>
      </c>
      <c r="AY66" s="32">
        <f t="shared" ca="1" si="34"/>
        <v>30910.077383472693</v>
      </c>
      <c r="BA66" s="32">
        <f ca="1">IF($A67="","",F66*Summary!$Q$14)</f>
        <v>0</v>
      </c>
      <c r="BC66" s="256">
        <f t="shared" ca="1" si="38"/>
        <v>72742.941719391951</v>
      </c>
    </row>
    <row r="67" spans="1:55">
      <c r="A67" s="67">
        <f t="shared" si="35"/>
        <v>38777</v>
      </c>
      <c r="B67" s="69">
        <f t="shared" si="36"/>
        <v>28400</v>
      </c>
      <c r="C67" s="71"/>
      <c r="D67" s="69">
        <f t="shared" si="0"/>
        <v>28400</v>
      </c>
      <c r="E67" s="70">
        <f t="shared" si="1"/>
        <v>880400</v>
      </c>
      <c r="F67" s="70">
        <f t="shared" ca="1" si="2"/>
        <v>551465.0844079518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0.53500000000000003</v>
      </c>
      <c r="K67" s="64">
        <f t="shared" si="6"/>
        <v>0.53500000000000003</v>
      </c>
      <c r="L67" s="38">
        <v>0</v>
      </c>
      <c r="M67" s="64">
        <f t="shared" si="7"/>
        <v>0</v>
      </c>
      <c r="N67" s="65"/>
      <c r="O67" s="63">
        <f t="shared" si="8"/>
        <v>4.72</v>
      </c>
      <c r="P67" s="63">
        <f t="shared" si="9"/>
        <v>4.72</v>
      </c>
      <c r="Q67" s="66"/>
      <c r="R67" s="63">
        <f t="shared" si="10"/>
        <v>0.33500000000000002</v>
      </c>
      <c r="S67" s="64">
        <f t="shared" si="11"/>
        <v>0.33500000000000002</v>
      </c>
      <c r="T67" s="63">
        <f t="shared" si="12"/>
        <v>0</v>
      </c>
      <c r="U67" s="64">
        <f t="shared" si="13"/>
        <v>0</v>
      </c>
      <c r="V67" s="207">
        <f>IF($A68="","",IF(AND(MONTH(A67)&gt;3,MONTH(A67)&lt;11),(T67+R67+G67)*(((1/(1-Summary!$T$14))/(1-Summary!$W$14))-1),(T67+R67+G67)*((1/(1-Summary!$U$14))/(1-Summary!$X$14)-1)))</f>
        <v>4.8199068370375832E-2</v>
      </c>
      <c r="W67" s="43">
        <f t="shared" si="14"/>
        <v>4.568199068370375</v>
      </c>
      <c r="X67" s="43">
        <f t="shared" si="15"/>
        <v>4.568199068370375</v>
      </c>
      <c r="Y67" s="43"/>
      <c r="Z67" s="38">
        <f t="shared" si="16"/>
        <v>0.75</v>
      </c>
      <c r="AA67" s="38">
        <f t="shared" si="17"/>
        <v>0.25</v>
      </c>
      <c r="AB67" s="38">
        <f t="shared" ca="1" si="18"/>
        <v>0.25983647056074827</v>
      </c>
      <c r="AC67" s="38">
        <f t="shared" si="19"/>
        <v>0.95</v>
      </c>
      <c r="AD67" s="38">
        <f t="shared" si="20"/>
        <v>0.25</v>
      </c>
      <c r="AE67" s="38">
        <f t="shared" ca="1" si="21"/>
        <v>0.26556486998722301</v>
      </c>
      <c r="AF67" s="237">
        <f ca="1">((Summary!$N$14*(AA67*AD67)*(A67-$D$3))+(Summary!$M$14*Z67*AC67*(AJ67-EOMONTH(EDATE(A67,-1),0))))/(AK67*AB67*AE67)</f>
        <v>0.99758145415024924</v>
      </c>
      <c r="AG67" s="88">
        <f>IF($A68="","",Summary!$Q$14)</f>
        <v>0</v>
      </c>
      <c r="AH67" s="88">
        <f>IF($A68="","",IF(Summary!$R$12="Y",(VLOOKUP($A67,Summary!$AD$6:$AF$9,3)+'Escalating commodity'!J80),'Escalating commodity'!J80))</f>
        <v>5.3655174371212404E-3</v>
      </c>
      <c r="AI67" s="88">
        <f t="shared" si="37"/>
        <v>5.3655174371212404E-3</v>
      </c>
      <c r="AJ67" s="236">
        <f t="shared" si="22"/>
        <v>38791.5</v>
      </c>
      <c r="AK67" s="58">
        <f t="shared" ca="1" si="23"/>
        <v>1751</v>
      </c>
      <c r="AL67" s="26">
        <f ca="1">IF($A68="","",_xll.SPRDOPT(P67,X67,AI67,0,AB67,AE67,AF67,AK67,$AJ$2,0))</f>
        <v>0.17161504521932067</v>
      </c>
      <c r="AM67" s="89">
        <f t="shared" si="24"/>
        <v>0.14643541419250347</v>
      </c>
      <c r="AN67" s="89">
        <f t="shared" ca="1" si="25"/>
        <v>2.5179631026817195E-2</v>
      </c>
      <c r="AO67" s="3">
        <f t="shared" si="26"/>
        <v>31</v>
      </c>
      <c r="AP67" s="33">
        <f t="shared" si="27"/>
        <v>38777</v>
      </c>
      <c r="AQ67" s="58">
        <f t="shared" ca="1" si="28"/>
        <v>1751</v>
      </c>
      <c r="AR67" s="38">
        <f>'ANR OK vs ML7'!AR67</f>
        <v>0.1</v>
      </c>
      <c r="AS67" s="35">
        <f t="shared" ca="1" si="29"/>
        <v>0.6263801503952201</v>
      </c>
      <c r="AT67" s="3">
        <f t="shared" si="30"/>
        <v>1</v>
      </c>
      <c r="AU67" s="3">
        <f t="shared" si="31"/>
        <v>31</v>
      </c>
      <c r="AW67" s="32">
        <f t="shared" ca="1" si="32"/>
        <v>151089.88581108992</v>
      </c>
      <c r="AX67" s="32">
        <f t="shared" si="33"/>
        <v>128921.73865508006</v>
      </c>
      <c r="AY67" s="32">
        <f t="shared" ca="1" si="34"/>
        <v>22168.147156009858</v>
      </c>
      <c r="BA67" s="32">
        <f ca="1">IF($A68="","",F67*Summary!$Q$14)</f>
        <v>0</v>
      </c>
      <c r="BC67" s="256">
        <f t="shared" ca="1" si="38"/>
        <v>80754.018047982303</v>
      </c>
    </row>
    <row r="68" spans="1:55">
      <c r="A68" s="67">
        <f t="shared" si="35"/>
        <v>38808</v>
      </c>
      <c r="B68" s="69">
        <f t="shared" si="36"/>
        <v>28400</v>
      </c>
      <c r="C68" s="71"/>
      <c r="D68" s="69">
        <f t="shared" si="0"/>
        <v>28400</v>
      </c>
      <c r="E68" s="70">
        <f t="shared" si="1"/>
        <v>852000</v>
      </c>
      <c r="F68" s="70">
        <f t="shared" ca="1" si="2"/>
        <v>529274.25178548985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0.23499999999999999</v>
      </c>
      <c r="K68" s="64">
        <f t="shared" si="6"/>
        <v>0.23499999999999999</v>
      </c>
      <c r="L68" s="38">
        <v>0</v>
      </c>
      <c r="M68" s="64">
        <f t="shared" si="7"/>
        <v>0</v>
      </c>
      <c r="N68" s="65"/>
      <c r="O68" s="63">
        <f t="shared" si="8"/>
        <v>4.2450000000000001</v>
      </c>
      <c r="P68" s="63">
        <f t="shared" si="9"/>
        <v>4.2450000000000001</v>
      </c>
      <c r="Q68" s="66"/>
      <c r="R68" s="63">
        <f t="shared" si="10"/>
        <v>0.18</v>
      </c>
      <c r="S68" s="64">
        <f t="shared" si="11"/>
        <v>0.18</v>
      </c>
      <c r="T68" s="63">
        <f t="shared" si="12"/>
        <v>0</v>
      </c>
      <c r="U68" s="64">
        <f t="shared" si="13"/>
        <v>0</v>
      </c>
      <c r="V68" s="207">
        <f>IF($A69="","",IF(AND(MONTH(A68)&gt;3,MONTH(A68)&lt;11),(T68+R68+G68)*(((1/(1-Summary!$T$14))/(1-Summary!$W$14))-1),(T68+R68+G68)*((1/(1-Summary!$U$14))/(1-Summary!$X$14)-1)))</f>
        <v>4.468010983891034E-2</v>
      </c>
      <c r="W68" s="43">
        <f t="shared" si="14"/>
        <v>4.2346801098389095</v>
      </c>
      <c r="X68" s="43">
        <f t="shared" si="15"/>
        <v>4.2346801098389095</v>
      </c>
      <c r="Y68" s="43"/>
      <c r="Z68" s="38">
        <f t="shared" si="16"/>
        <v>0.45</v>
      </c>
      <c r="AA68" s="38">
        <f t="shared" si="17"/>
        <v>0.245</v>
      </c>
      <c r="AB68" s="38">
        <f t="shared" ca="1" si="18"/>
        <v>0.24852209060241742</v>
      </c>
      <c r="AC68" s="38">
        <f t="shared" si="19"/>
        <v>0.5</v>
      </c>
      <c r="AD68" s="38">
        <f t="shared" si="20"/>
        <v>0.245</v>
      </c>
      <c r="AE68" s="38">
        <f t="shared" ca="1" si="21"/>
        <v>0.24932521165583682</v>
      </c>
      <c r="AF68" s="237">
        <f ca="1">((Summary!$N$14*(AA68*AD68)*(A68-$D$3))+(Summary!$M$14*Z68*AC68*(AJ68-EOMONTH(EDATE(A68,-1),0))))/(AK68*AB68*AE68)</f>
        <v>0.99973846814150746</v>
      </c>
      <c r="AG68" s="88">
        <f>IF($A69="","",Summary!$Q$14)</f>
        <v>0</v>
      </c>
      <c r="AH68" s="88">
        <f>IF($A69="","",IF(Summary!$R$12="Y",(VLOOKUP($A68,Summary!$AD$6:$AF$9,3)+'Escalating commodity'!J81),'Escalating commodity'!J81))</f>
        <v>5.3655174371212404E-3</v>
      </c>
      <c r="AI68" s="88">
        <f t="shared" si="37"/>
        <v>5.3655174371212404E-3</v>
      </c>
      <c r="AJ68" s="236">
        <f t="shared" si="22"/>
        <v>38822</v>
      </c>
      <c r="AK68" s="58">
        <f t="shared" ca="1" si="23"/>
        <v>1782</v>
      </c>
      <c r="AL68" s="26">
        <f ca="1">IF($A69="","",_xll.SPRDOPT(P68,X68,AI68,0,AB68,AE68,AF68,AK68,$AJ$2,0))</f>
        <v>1.5584537082537032E-2</v>
      </c>
      <c r="AM68" s="89">
        <f t="shared" si="24"/>
        <v>4.9543727239693431E-3</v>
      </c>
      <c r="AN68" s="89">
        <f t="shared" ca="1" si="25"/>
        <v>1.0630164358567689E-2</v>
      </c>
      <c r="AO68" s="3">
        <f t="shared" si="26"/>
        <v>30</v>
      </c>
      <c r="AP68" s="33">
        <f t="shared" si="27"/>
        <v>38808</v>
      </c>
      <c r="AQ68" s="58">
        <f t="shared" ca="1" si="28"/>
        <v>1782</v>
      </c>
      <c r="AR68" s="38">
        <f>'ANR OK vs ML7'!AR68</f>
        <v>0.1</v>
      </c>
      <c r="AS68" s="35">
        <f t="shared" ca="1" si="29"/>
        <v>0.62121391054634956</v>
      </c>
      <c r="AT68" s="3">
        <f t="shared" si="30"/>
        <v>1</v>
      </c>
      <c r="AU68" s="3">
        <f t="shared" si="31"/>
        <v>30</v>
      </c>
      <c r="AW68" s="32">
        <f t="shared" ca="1" si="32"/>
        <v>13278.025594321551</v>
      </c>
      <c r="AX68" s="32">
        <f t="shared" si="33"/>
        <v>4221.1255608218808</v>
      </c>
      <c r="AY68" s="32">
        <f t="shared" ca="1" si="34"/>
        <v>9056.9000334996708</v>
      </c>
      <c r="BA68" s="32">
        <f ca="1">IF($A69="","",F68*Summary!$Q$14)</f>
        <v>0</v>
      </c>
      <c r="BC68" s="256">
        <f t="shared" ca="1" si="38"/>
        <v>2622.2219165453134</v>
      </c>
    </row>
    <row r="69" spans="1:55">
      <c r="A69" s="67">
        <f t="shared" si="35"/>
        <v>38838</v>
      </c>
      <c r="B69" s="69">
        <f t="shared" si="36"/>
        <v>28400</v>
      </c>
      <c r="C69" s="71"/>
      <c r="D69" s="69">
        <f t="shared" si="0"/>
        <v>28400</v>
      </c>
      <c r="E69" s="70">
        <f t="shared" si="1"/>
        <v>880400</v>
      </c>
      <c r="F69" s="70">
        <f t="shared" ca="1" si="2"/>
        <v>542550.81181218999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0.23499999999999999</v>
      </c>
      <c r="K69" s="64">
        <f t="shared" si="6"/>
        <v>0.23499999999999999</v>
      </c>
      <c r="L69" s="38">
        <v>0</v>
      </c>
      <c r="M69" s="64">
        <f t="shared" si="7"/>
        <v>0</v>
      </c>
      <c r="N69" s="65"/>
      <c r="O69" s="63">
        <f t="shared" si="8"/>
        <v>4.2149999999999999</v>
      </c>
      <c r="P69" s="63">
        <f t="shared" si="9"/>
        <v>4.2149999999999999</v>
      </c>
      <c r="Q69" s="66"/>
      <c r="R69" s="63">
        <f t="shared" si="10"/>
        <v>0.18</v>
      </c>
      <c r="S69" s="64">
        <f t="shared" si="11"/>
        <v>0.18</v>
      </c>
      <c r="T69" s="63">
        <f t="shared" si="12"/>
        <v>0</v>
      </c>
      <c r="U69" s="64">
        <f t="shared" si="13"/>
        <v>0</v>
      </c>
      <c r="V69" s="207">
        <f>IF($A70="","",IF(AND(MONTH(A69)&gt;3,MONTH(A69)&lt;11),(T69+R69+G69)*(((1/(1-Summary!$T$14))/(1-Summary!$W$14))-1),(T69+R69+G69)*((1/(1-Summary!$U$14))/(1-Summary!$X$14)-1)))</f>
        <v>4.4360204517868027E-2</v>
      </c>
      <c r="W69" s="43">
        <f t="shared" si="14"/>
        <v>4.2043602045178678</v>
      </c>
      <c r="X69" s="43">
        <f t="shared" si="15"/>
        <v>4.2043602045178678</v>
      </c>
      <c r="Y69" s="43"/>
      <c r="Z69" s="38">
        <f t="shared" si="16"/>
        <v>0.5</v>
      </c>
      <c r="AA69" s="38">
        <f t="shared" si="17"/>
        <v>0.23800000000000002</v>
      </c>
      <c r="AB69" s="38">
        <f t="shared" ca="1" si="18"/>
        <v>0.24251552828005396</v>
      </c>
      <c r="AC69" s="38">
        <f t="shared" si="19"/>
        <v>0.45</v>
      </c>
      <c r="AD69" s="38">
        <f t="shared" si="20"/>
        <v>0.23800000000000002</v>
      </c>
      <c r="AE69" s="38">
        <f t="shared" ca="1" si="21"/>
        <v>0.24167635894395254</v>
      </c>
      <c r="AF69" s="237">
        <f ca="1">((Summary!$N$14*(AA69*AD69)*(A69-$D$3))+(Summary!$M$14*Z69*AC69*(AJ69-EOMONTH(EDATE(A69,-1),0))))/(AK69*AB69*AE69)</f>
        <v>0.99972687332176724</v>
      </c>
      <c r="AG69" s="88">
        <f>IF($A70="","",Summary!$Q$14)</f>
        <v>0</v>
      </c>
      <c r="AH69" s="88">
        <f>IF($A70="","",IF(Summary!$R$12="Y",(VLOOKUP($A69,Summary!$AD$6:$AF$9,3)+'Escalating commodity'!J82),'Escalating commodity'!J82))</f>
        <v>5.3655174371212404E-3</v>
      </c>
      <c r="AI69" s="88">
        <f t="shared" si="37"/>
        <v>5.3655174371212404E-3</v>
      </c>
      <c r="AJ69" s="236">
        <f t="shared" si="22"/>
        <v>38852.5</v>
      </c>
      <c r="AK69" s="58">
        <f t="shared" ca="1" si="23"/>
        <v>1812</v>
      </c>
      <c r="AL69" s="26">
        <f ca="1">IF($A70="","",_xll.SPRDOPT(P69,X69,AI69,0,AB69,AE69,AF69,AK69,$AJ$2,0))</f>
        <v>1.7327571759231636E-2</v>
      </c>
      <c r="AM69" s="89">
        <f t="shared" si="24"/>
        <v>5.274278045010768E-3</v>
      </c>
      <c r="AN69" s="89">
        <f t="shared" ca="1" si="25"/>
        <v>1.2053293714220868E-2</v>
      </c>
      <c r="AO69" s="3">
        <f t="shared" si="26"/>
        <v>31</v>
      </c>
      <c r="AP69" s="33">
        <f t="shared" si="27"/>
        <v>38838</v>
      </c>
      <c r="AQ69" s="58">
        <f t="shared" ca="1" si="28"/>
        <v>1812</v>
      </c>
      <c r="AR69" s="38">
        <f>'ANR OK vs ML7'!AR69</f>
        <v>0.1</v>
      </c>
      <c r="AS69" s="35">
        <f t="shared" ca="1" si="29"/>
        <v>0.61625489756041574</v>
      </c>
      <c r="AT69" s="3">
        <f t="shared" si="30"/>
        <v>1</v>
      </c>
      <c r="AU69" s="3">
        <f t="shared" si="31"/>
        <v>31</v>
      </c>
      <c r="AW69" s="32">
        <f t="shared" ca="1" si="32"/>
        <v>15255.194176827532</v>
      </c>
      <c r="AX69" s="32">
        <f t="shared" si="33"/>
        <v>4643.4743908274804</v>
      </c>
      <c r="AY69" s="32">
        <f t="shared" ca="1" si="34"/>
        <v>10611.719786000052</v>
      </c>
      <c r="BA69" s="32">
        <f ca="1">IF($A70="","",F69*Summary!$Q$14)</f>
        <v>0</v>
      </c>
      <c r="BC69" s="256">
        <f t="shared" ca="1" si="38"/>
        <v>2861.5638350438026</v>
      </c>
    </row>
    <row r="70" spans="1:55">
      <c r="A70" s="67">
        <f t="shared" si="35"/>
        <v>38869</v>
      </c>
      <c r="B70" s="69">
        <f t="shared" si="36"/>
        <v>28400</v>
      </c>
      <c r="C70" s="71"/>
      <c r="D70" s="69">
        <f t="shared" si="0"/>
        <v>28400</v>
      </c>
      <c r="E70" s="70">
        <f t="shared" si="1"/>
        <v>852000</v>
      </c>
      <c r="F70" s="70">
        <f t="shared" ca="1" si="2"/>
        <v>520718.6875408396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0.23499999999999999</v>
      </c>
      <c r="K70" s="64">
        <f t="shared" si="6"/>
        <v>0.23499999999999999</v>
      </c>
      <c r="L70" s="38">
        <v>0</v>
      </c>
      <c r="M70" s="64">
        <f t="shared" si="7"/>
        <v>0</v>
      </c>
      <c r="N70" s="65"/>
      <c r="O70" s="63">
        <f t="shared" si="8"/>
        <v>4.2850000000000001</v>
      </c>
      <c r="P70" s="63">
        <f t="shared" si="9"/>
        <v>4.2850000000000001</v>
      </c>
      <c r="Q70" s="66"/>
      <c r="R70" s="63">
        <f t="shared" si="10"/>
        <v>0.18</v>
      </c>
      <c r="S70" s="64">
        <f t="shared" si="11"/>
        <v>0.18</v>
      </c>
      <c r="T70" s="63">
        <f t="shared" si="12"/>
        <v>0</v>
      </c>
      <c r="U70" s="64">
        <f t="shared" si="13"/>
        <v>0</v>
      </c>
      <c r="V70" s="207">
        <f>IF($A71="","",IF(AND(MONTH(A70)&gt;3,MONTH(A70)&lt;11),(T70+R70+G70)*(((1/(1-Summary!$T$14))/(1-Summary!$W$14))-1),(T70+R70+G70)*((1/(1-Summary!$U$14))/(1-Summary!$X$14)-1)))</f>
        <v>4.5106650266966766E-2</v>
      </c>
      <c r="W70" s="43">
        <f t="shared" si="14"/>
        <v>4.2751066502669666</v>
      </c>
      <c r="X70" s="43">
        <f t="shared" si="15"/>
        <v>4.2751066502669666</v>
      </c>
      <c r="Y70" s="43"/>
      <c r="Z70" s="38">
        <f t="shared" si="16"/>
        <v>0.5</v>
      </c>
      <c r="AA70" s="38">
        <f t="shared" si="17"/>
        <v>0.23800000000000002</v>
      </c>
      <c r="AB70" s="38">
        <f t="shared" ca="1" si="18"/>
        <v>0.24230035217053275</v>
      </c>
      <c r="AC70" s="38">
        <f t="shared" si="19"/>
        <v>0.5</v>
      </c>
      <c r="AD70" s="38">
        <f t="shared" si="20"/>
        <v>0.23800000000000002</v>
      </c>
      <c r="AE70" s="38">
        <f t="shared" ca="1" si="21"/>
        <v>0.24230035217053275</v>
      </c>
      <c r="AF70" s="237">
        <f ca="1">((Summary!$N$14*(AA70*AD70)*(A70-$D$3))+(Summary!$M$14*Z70*AC70*(AJ70-EOMONTH(EDATE(A70,-1),0))))/(AK70*AB70*AE70)</f>
        <v>0.99990346575486688</v>
      </c>
      <c r="AG70" s="88">
        <f>IF($A71="","",Summary!$Q$14)</f>
        <v>0</v>
      </c>
      <c r="AH70" s="88">
        <f>IF($A71="","",IF(Summary!$R$12="Y",(VLOOKUP($A70,Summary!$AD$6:$AF$9,3)+'Escalating commodity'!J83),'Escalating commodity'!J83))</f>
        <v>5.3655174371212404E-3</v>
      </c>
      <c r="AI70" s="88">
        <f t="shared" si="37"/>
        <v>5.3655174371212404E-3</v>
      </c>
      <c r="AJ70" s="236">
        <f t="shared" si="22"/>
        <v>38883</v>
      </c>
      <c r="AK70" s="58">
        <f t="shared" ca="1" si="23"/>
        <v>1843</v>
      </c>
      <c r="AL70" s="26">
        <f ca="1">IF($A71="","",_xll.SPRDOPT(P70,X70,AI70,0,AB70,AE70,AF70,AK70,$AJ$2,0))</f>
        <v>8.5572550315639456E-3</v>
      </c>
      <c r="AM70" s="89">
        <f t="shared" si="24"/>
        <v>4.5278322959123336E-3</v>
      </c>
      <c r="AN70" s="89">
        <f t="shared" ca="1" si="25"/>
        <v>4.0294227356516121E-3</v>
      </c>
      <c r="AO70" s="3">
        <f t="shared" si="26"/>
        <v>30</v>
      </c>
      <c r="AP70" s="33">
        <f t="shared" si="27"/>
        <v>38869</v>
      </c>
      <c r="AQ70" s="58">
        <f t="shared" ca="1" si="28"/>
        <v>1843</v>
      </c>
      <c r="AR70" s="38">
        <f>'ANR OK vs ML7'!AR70</f>
        <v>0.1</v>
      </c>
      <c r="AS70" s="35">
        <f t="shared" ca="1" si="29"/>
        <v>0.61117216847516387</v>
      </c>
      <c r="AT70" s="3">
        <f t="shared" si="30"/>
        <v>1</v>
      </c>
      <c r="AU70" s="3">
        <f t="shared" si="31"/>
        <v>30</v>
      </c>
      <c r="AW70" s="32">
        <f t="shared" ca="1" si="32"/>
        <v>7290.7812868924821</v>
      </c>
      <c r="AX70" s="32">
        <f t="shared" si="33"/>
        <v>3857.7131161173083</v>
      </c>
      <c r="AY70" s="32">
        <f t="shared" ca="1" si="34"/>
        <v>3433.0681707751733</v>
      </c>
      <c r="BA70" s="32">
        <f ca="1">IF($A71="","",F70*Summary!$Q$14)</f>
        <v>0</v>
      </c>
      <c r="BC70" s="256">
        <f t="shared" ca="1" si="38"/>
        <v>2357.7268905324968</v>
      </c>
    </row>
    <row r="71" spans="1:55">
      <c r="A71" s="67">
        <f t="shared" si="35"/>
        <v>38899</v>
      </c>
      <c r="B71" s="69">
        <f t="shared" si="36"/>
        <v>28400</v>
      </c>
      <c r="C71" s="71"/>
      <c r="D71" s="69">
        <f t="shared" si="0"/>
        <v>28400</v>
      </c>
      <c r="E71" s="70">
        <f t="shared" si="1"/>
        <v>880400</v>
      </c>
      <c r="F71" s="70">
        <f t="shared" ca="1" si="2"/>
        <v>533780.63583860477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0.23499999999999999</v>
      </c>
      <c r="K71" s="64">
        <f t="shared" si="6"/>
        <v>0.23499999999999999</v>
      </c>
      <c r="L71" s="38">
        <v>0</v>
      </c>
      <c r="M71" s="64">
        <f t="shared" si="7"/>
        <v>0</v>
      </c>
      <c r="N71" s="65"/>
      <c r="O71" s="63">
        <f t="shared" si="8"/>
        <v>4.3400000000000007</v>
      </c>
      <c r="P71" s="63">
        <f t="shared" si="9"/>
        <v>4.3400000000000007</v>
      </c>
      <c r="Q71" s="66"/>
      <c r="R71" s="63">
        <f t="shared" si="10"/>
        <v>0.18</v>
      </c>
      <c r="S71" s="64">
        <f t="shared" si="11"/>
        <v>0.18</v>
      </c>
      <c r="T71" s="63">
        <f t="shared" si="12"/>
        <v>0</v>
      </c>
      <c r="U71" s="64">
        <f t="shared" si="13"/>
        <v>0</v>
      </c>
      <c r="V71" s="207">
        <f>IF($A72="","",IF(AND(MONTH(A71)&gt;3,MONTH(A71)&lt;11),(T71+R71+G71)*(((1/(1-Summary!$T$14))/(1-Summary!$W$14))-1),(T71+R71+G71)*((1/(1-Summary!$U$14))/(1-Summary!$X$14)-1)))</f>
        <v>4.5693143355544349E-2</v>
      </c>
      <c r="W71" s="43">
        <f t="shared" si="14"/>
        <v>4.3306931433555444</v>
      </c>
      <c r="X71" s="43">
        <f t="shared" si="15"/>
        <v>4.3306931433555444</v>
      </c>
      <c r="Y71" s="43"/>
      <c r="Z71" s="38">
        <f t="shared" si="16"/>
        <v>0.55000000000000004</v>
      </c>
      <c r="AA71" s="38">
        <f t="shared" si="17"/>
        <v>0.23800000000000002</v>
      </c>
      <c r="AB71" s="38">
        <f t="shared" ca="1" si="18"/>
        <v>0.24326442256230199</v>
      </c>
      <c r="AC71" s="38">
        <f t="shared" si="19"/>
        <v>0.5</v>
      </c>
      <c r="AD71" s="38">
        <f t="shared" si="20"/>
        <v>0.23800000000000002</v>
      </c>
      <c r="AE71" s="38">
        <f t="shared" ca="1" si="21"/>
        <v>0.24236979155190536</v>
      </c>
      <c r="AF71" s="237">
        <f ca="1">((Summary!$N$14*(AA71*AD71)*(A71-$D$3))+(Summary!$M$14*Z71*AC71*(AJ71-EOMONTH(EDATE(A71,-1),0))))/(AK71*AB71*AE71)</f>
        <v>0.99973521670331356</v>
      </c>
      <c r="AG71" s="88">
        <f>IF($A72="","",Summary!$Q$14)</f>
        <v>0</v>
      </c>
      <c r="AH71" s="88">
        <f>IF($A72="","",IF(Summary!$R$12="Y",(VLOOKUP($A71,Summary!$AD$6:$AF$9,3)+'Escalating commodity'!J84),'Escalating commodity'!J84))</f>
        <v>5.3655174371212404E-3</v>
      </c>
      <c r="AI71" s="88">
        <f t="shared" si="37"/>
        <v>5.3655174371212404E-3</v>
      </c>
      <c r="AJ71" s="236">
        <f t="shared" si="22"/>
        <v>38913.5</v>
      </c>
      <c r="AK71" s="58">
        <f t="shared" ca="1" si="23"/>
        <v>1873</v>
      </c>
      <c r="AL71" s="26">
        <f ca="1">IF($A72="","",_xll.SPRDOPT(P71,X71,AI71,0,AB71,AE71,AF71,AK71,$AJ$2,0))</f>
        <v>1.6990916295569009E-2</v>
      </c>
      <c r="AM71" s="89">
        <f t="shared" si="24"/>
        <v>3.9413392073350557E-3</v>
      </c>
      <c r="AN71" s="89">
        <f t="shared" ca="1" si="25"/>
        <v>1.3049577088233953E-2</v>
      </c>
      <c r="AO71" s="3">
        <f t="shared" si="26"/>
        <v>31</v>
      </c>
      <c r="AP71" s="33">
        <f t="shared" si="27"/>
        <v>38899</v>
      </c>
      <c r="AQ71" s="58">
        <f t="shared" ca="1" si="28"/>
        <v>1873</v>
      </c>
      <c r="AR71" s="38">
        <f>'ANR OK vs ML7'!AR71</f>
        <v>0.1</v>
      </c>
      <c r="AS71" s="35">
        <f t="shared" ca="1" si="29"/>
        <v>0.60629331649091867</v>
      </c>
      <c r="AT71" s="3">
        <f t="shared" si="30"/>
        <v>1</v>
      </c>
      <c r="AU71" s="3">
        <f t="shared" si="31"/>
        <v>31</v>
      </c>
      <c r="AW71" s="32">
        <f t="shared" ca="1" si="32"/>
        <v>14958.802706618955</v>
      </c>
      <c r="AX71" s="32">
        <f t="shared" si="33"/>
        <v>3469.955038137783</v>
      </c>
      <c r="AY71" s="32">
        <f t="shared" ca="1" si="34"/>
        <v>11488.847668481172</v>
      </c>
      <c r="BA71" s="32">
        <f ca="1">IF($A72="","",F71*Summary!$Q$14)</f>
        <v>0</v>
      </c>
      <c r="BC71" s="256">
        <f t="shared" ca="1" si="38"/>
        <v>2103.8105481469283</v>
      </c>
    </row>
    <row r="72" spans="1:55">
      <c r="A72" s="67">
        <f t="shared" si="35"/>
        <v>38930</v>
      </c>
      <c r="B72" s="69">
        <f t="shared" si="36"/>
        <v>28400</v>
      </c>
      <c r="C72" s="71"/>
      <c r="D72" s="69">
        <f t="shared" si="0"/>
        <v>28400</v>
      </c>
      <c r="E72" s="70">
        <f t="shared" si="1"/>
        <v>880400</v>
      </c>
      <c r="F72" s="70">
        <f t="shared" ca="1" si="2"/>
        <v>529378.13555234112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0.23499999999999999</v>
      </c>
      <c r="K72" s="64">
        <f t="shared" si="6"/>
        <v>0.23499999999999999</v>
      </c>
      <c r="L72" s="38">
        <v>0</v>
      </c>
      <c r="M72" s="64">
        <f t="shared" si="7"/>
        <v>0</v>
      </c>
      <c r="N72" s="65"/>
      <c r="O72" s="63">
        <f t="shared" si="8"/>
        <v>4.3960000000000008</v>
      </c>
      <c r="P72" s="63">
        <f t="shared" si="9"/>
        <v>4.3960000000000008</v>
      </c>
      <c r="Q72" s="66"/>
      <c r="R72" s="63">
        <f t="shared" si="10"/>
        <v>0.18</v>
      </c>
      <c r="S72" s="64">
        <f t="shared" si="11"/>
        <v>0.18</v>
      </c>
      <c r="T72" s="63">
        <f t="shared" si="12"/>
        <v>0</v>
      </c>
      <c r="U72" s="64">
        <f t="shared" si="13"/>
        <v>0</v>
      </c>
      <c r="V72" s="207">
        <f>IF($A73="","",IF(AND(MONTH(A72)&gt;3,MONTH(A72)&lt;11),(T72+R72+G72)*(((1/(1-Summary!$T$14))/(1-Summary!$W$14))-1),(T72+R72+G72)*((1/(1-Summary!$U$14))/(1-Summary!$X$14)-1)))</f>
        <v>4.6290299954823345E-2</v>
      </c>
      <c r="W72" s="43">
        <f t="shared" si="14"/>
        <v>4.3872902999548238</v>
      </c>
      <c r="X72" s="43">
        <f t="shared" si="15"/>
        <v>4.3872902999548238</v>
      </c>
      <c r="Y72" s="43"/>
      <c r="Z72" s="38">
        <f t="shared" si="16"/>
        <v>0.6</v>
      </c>
      <c r="AA72" s="38">
        <f t="shared" si="17"/>
        <v>0.23800000000000002</v>
      </c>
      <c r="AB72" s="38">
        <f t="shared" ca="1" si="18"/>
        <v>0.24414016930629742</v>
      </c>
      <c r="AC72" s="38">
        <f t="shared" si="19"/>
        <v>0.45</v>
      </c>
      <c r="AD72" s="38">
        <f t="shared" si="20"/>
        <v>0.23800000000000002</v>
      </c>
      <c r="AE72" s="38">
        <f t="shared" ca="1" si="21"/>
        <v>0.2415000065243488</v>
      </c>
      <c r="AF72" s="237">
        <f ca="1">((Summary!$N$14*(AA72*AD72)*(A72-$D$3))+(Summary!$M$14*Z72*AC72*(AJ72-EOMONTH(EDATE(A72,-1),0))))/(AK72*AB72*AE72)</f>
        <v>0.99840966946657383</v>
      </c>
      <c r="AG72" s="88">
        <f>IF($A73="","",Summary!$Q$14)</f>
        <v>0</v>
      </c>
      <c r="AH72" s="88">
        <f>IF($A73="","",IF(Summary!$R$12="Y",(VLOOKUP($A72,Summary!$AD$6:$AF$9,3)+'Escalating commodity'!J85),'Escalating commodity'!J85))</f>
        <v>5.3655174371212404E-3</v>
      </c>
      <c r="AI72" s="88">
        <f t="shared" si="37"/>
        <v>5.3655174371212404E-3</v>
      </c>
      <c r="AJ72" s="236">
        <f t="shared" si="22"/>
        <v>38944.5</v>
      </c>
      <c r="AK72" s="58">
        <f t="shared" ca="1" si="23"/>
        <v>1904</v>
      </c>
      <c r="AL72" s="26">
        <f ca="1">IF($A73="","",_xll.SPRDOPT(P72,X72,AI72,0,AB72,AE72,AF72,AK72,$AJ$2,0))</f>
        <v>5.7711648248677264E-2</v>
      </c>
      <c r="AM72" s="89">
        <f t="shared" si="24"/>
        <v>3.3441826080557752E-3</v>
      </c>
      <c r="AN72" s="89">
        <f t="shared" ca="1" si="25"/>
        <v>5.436746564062149E-2</v>
      </c>
      <c r="AO72" s="3">
        <f t="shared" si="26"/>
        <v>31</v>
      </c>
      <c r="AP72" s="33">
        <f t="shared" si="27"/>
        <v>38930</v>
      </c>
      <c r="AQ72" s="58">
        <f t="shared" ca="1" si="28"/>
        <v>1904</v>
      </c>
      <c r="AR72" s="38">
        <f>'ANR OK vs ML7'!AR72</f>
        <v>0.1</v>
      </c>
      <c r="AS72" s="35">
        <f t="shared" ca="1" si="29"/>
        <v>0.60129274824209578</v>
      </c>
      <c r="AT72" s="3">
        <f t="shared" si="30"/>
        <v>1</v>
      </c>
      <c r="AU72" s="3">
        <f t="shared" si="31"/>
        <v>31</v>
      </c>
      <c r="AW72" s="32">
        <f t="shared" ca="1" si="32"/>
        <v>50809.335118135466</v>
      </c>
      <c r="AX72" s="32">
        <f t="shared" si="33"/>
        <v>2944.2183681323045</v>
      </c>
      <c r="AY72" s="32">
        <f t="shared" ca="1" si="34"/>
        <v>47865.116750003159</v>
      </c>
      <c r="BA72" s="32">
        <f ca="1">IF($A73="","",F72*Summary!$Q$14)</f>
        <v>0</v>
      </c>
      <c r="BC72" s="256">
        <f t="shared" ca="1" si="38"/>
        <v>1770.3371539991319</v>
      </c>
    </row>
    <row r="73" spans="1:55">
      <c r="A73" s="67">
        <f t="shared" si="35"/>
        <v>38961</v>
      </c>
      <c r="B73" s="69">
        <f t="shared" si="36"/>
        <v>28400</v>
      </c>
      <c r="C73" s="71"/>
      <c r="D73" s="69">
        <f t="shared" si="0"/>
        <v>28400</v>
      </c>
      <c r="E73" s="70">
        <f t="shared" si="1"/>
        <v>852000</v>
      </c>
      <c r="F73" s="70">
        <f t="shared" ca="1" si="2"/>
        <v>508076.07685057429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0.23499999999999999</v>
      </c>
      <c r="K73" s="64">
        <f t="shared" si="6"/>
        <v>0.23499999999999999</v>
      </c>
      <c r="L73" s="38">
        <v>0</v>
      </c>
      <c r="M73" s="64">
        <f t="shared" si="7"/>
        <v>0</v>
      </c>
      <c r="N73" s="65"/>
      <c r="O73" s="63">
        <f t="shared" si="8"/>
        <v>4.41</v>
      </c>
      <c r="P73" s="63">
        <f t="shared" si="9"/>
        <v>4.41</v>
      </c>
      <c r="Q73" s="66"/>
      <c r="R73" s="63">
        <f t="shared" si="10"/>
        <v>0.18</v>
      </c>
      <c r="S73" s="64">
        <f t="shared" si="11"/>
        <v>0.18</v>
      </c>
      <c r="T73" s="63">
        <f t="shared" si="12"/>
        <v>0</v>
      </c>
      <c r="U73" s="64">
        <f t="shared" si="13"/>
        <v>0</v>
      </c>
      <c r="V73" s="207">
        <f>IF($A74="","",IF(AND(MONTH(A73)&gt;3,MONTH(A73)&lt;11),(T73+R73+G73)*(((1/(1-Summary!$T$14))/(1-Summary!$W$14))-1),(T73+R73+G73)*((1/(1-Summary!$U$14))/(1-Summary!$X$14)-1)))</f>
        <v>4.6439589104643089E-2</v>
      </c>
      <c r="W73" s="43">
        <f t="shared" si="14"/>
        <v>4.4014395891046423</v>
      </c>
      <c r="X73" s="43">
        <f t="shared" si="15"/>
        <v>4.4014395891046423</v>
      </c>
      <c r="Y73" s="43"/>
      <c r="Z73" s="38">
        <f t="shared" si="16"/>
        <v>0.6</v>
      </c>
      <c r="AA73" s="38">
        <f t="shared" si="17"/>
        <v>0.23800000000000002</v>
      </c>
      <c r="AB73" s="38">
        <f t="shared" ca="1" si="18"/>
        <v>0.24385235504179886</v>
      </c>
      <c r="AC73" s="38">
        <f t="shared" si="19"/>
        <v>0.5</v>
      </c>
      <c r="AD73" s="38">
        <f t="shared" si="20"/>
        <v>0.23800000000000002</v>
      </c>
      <c r="AE73" s="38">
        <f t="shared" ca="1" si="21"/>
        <v>0.24209762056066755</v>
      </c>
      <c r="AF73" s="237">
        <f ca="1">((Summary!$N$14*(AA73*AD73)*(A73-$D$3))+(Summary!$M$14*Z73*AC73*(AJ73-EOMONTH(EDATE(A73,-1),0))))/(AK73*AB73*AE73)</f>
        <v>0.99927353790429418</v>
      </c>
      <c r="AG73" s="88">
        <f>IF($A74="","",Summary!$Q$14)</f>
        <v>0</v>
      </c>
      <c r="AH73" s="88">
        <f>IF($A74="","",IF(Summary!$R$12="Y",(VLOOKUP($A73,Summary!$AD$6:$AF$9,3)+'Escalating commodity'!J86),'Escalating commodity'!J86))</f>
        <v>5.3655174371212404E-3</v>
      </c>
      <c r="AI73" s="88">
        <f t="shared" si="37"/>
        <v>5.3655174371212404E-3</v>
      </c>
      <c r="AJ73" s="236">
        <f t="shared" si="22"/>
        <v>38975</v>
      </c>
      <c r="AK73" s="58">
        <f t="shared" ca="1" si="23"/>
        <v>1935</v>
      </c>
      <c r="AL73" s="26">
        <f ca="1">IF($A74="","",_xll.SPRDOPT(P73,X73,AI73,0,AB73,AE73,AF73,AK73,$AJ$2,0))</f>
        <v>3.6409646784831454E-2</v>
      </c>
      <c r="AM73" s="89">
        <f t="shared" si="24"/>
        <v>3.1948934582366213E-3</v>
      </c>
      <c r="AN73" s="89">
        <f t="shared" ca="1" si="25"/>
        <v>3.3214753326594834E-2</v>
      </c>
      <c r="AO73" s="3">
        <f t="shared" si="26"/>
        <v>30</v>
      </c>
      <c r="AP73" s="33">
        <f t="shared" si="27"/>
        <v>38961</v>
      </c>
      <c r="AQ73" s="58">
        <f t="shared" ca="1" si="28"/>
        <v>1935</v>
      </c>
      <c r="AR73" s="38">
        <f>'ANR OK vs ML7'!AR73</f>
        <v>0.1</v>
      </c>
      <c r="AS73" s="35">
        <f t="shared" ca="1" si="29"/>
        <v>0.59633342353353791</v>
      </c>
      <c r="AT73" s="3">
        <f t="shared" si="30"/>
        <v>1</v>
      </c>
      <c r="AU73" s="3">
        <f t="shared" si="31"/>
        <v>30</v>
      </c>
      <c r="AW73" s="32">
        <f t="shared" ca="1" si="32"/>
        <v>31021.019060676397</v>
      </c>
      <c r="AX73" s="32">
        <f t="shared" si="33"/>
        <v>2722.0492264176014</v>
      </c>
      <c r="AY73" s="32">
        <f t="shared" ca="1" si="34"/>
        <v>28298.969834258798</v>
      </c>
      <c r="BA73" s="32">
        <f ca="1">IF($A74="","",F73*Summary!$Q$14)</f>
        <v>0</v>
      </c>
      <c r="BC73" s="256">
        <f t="shared" ca="1" si="38"/>
        <v>1623.2489342164267</v>
      </c>
    </row>
    <row r="74" spans="1:55">
      <c r="A74" s="67">
        <f t="shared" si="35"/>
        <v>38991</v>
      </c>
      <c r="B74" s="69">
        <f t="shared" si="36"/>
        <v>28400</v>
      </c>
      <c r="C74" s="71"/>
      <c r="D74" s="69">
        <f t="shared" ref="D74:D137" si="39">IF(A75&lt;&gt;"",B74+C74,"")</f>
        <v>28400</v>
      </c>
      <c r="E74" s="70">
        <f t="shared" ref="E74:E137" si="40">IF(A75="","",IF(AND(AT74=1,$H$3=1),D74*AO74,IF($H$3=2,D74,"N/A")))</f>
        <v>880400</v>
      </c>
      <c r="F74" s="70">
        <f t="shared" ref="F74:F137" ca="1" si="41">IF(A75="","",E74*AS74)</f>
        <v>520820.89205683308</v>
      </c>
      <c r="G74" s="63">
        <f t="shared" ref="G74:G137" si="42">IF($A75="","",VLOOKUP($A74,Table,MATCH(G$4,Curves,0)))</f>
        <v>4.2060000000000004</v>
      </c>
      <c r="H74" s="64">
        <f t="shared" ref="H74:H137" si="43">IF(A75="","",G74)</f>
        <v>4.2060000000000004</v>
      </c>
      <c r="I74" s="43"/>
      <c r="J74" s="63">
        <f t="shared" ref="J74:J137" si="44">IF($A75="","",VLOOKUP($A74,Table,MATCH(J$4,Curves,0)))</f>
        <v>0.23499999999999999</v>
      </c>
      <c r="K74" s="64">
        <f t="shared" ref="K74:K137" si="45">IF(A75="","",J74)</f>
        <v>0.23499999999999999</v>
      </c>
      <c r="L74" s="38">
        <v>0</v>
      </c>
      <c r="M74" s="64">
        <f t="shared" ref="M74:M137" si="46">IF(A75="","",L74)</f>
        <v>0</v>
      </c>
      <c r="N74" s="65"/>
      <c r="O74" s="63">
        <f t="shared" ref="O74:O137" si="47">IF(A75="","",L74+J74+G74)</f>
        <v>4.4410000000000007</v>
      </c>
      <c r="P74" s="63">
        <f t="shared" ref="P74:P137" si="48">IF(A75="","",M74+K74+H74)</f>
        <v>4.4410000000000007</v>
      </c>
      <c r="Q74" s="66"/>
      <c r="R74" s="63">
        <f t="shared" ref="R74:R137" si="49">IF($A75="","",VLOOKUP($A74,Table,MATCH(R$4,Curves,0)))</f>
        <v>0.18</v>
      </c>
      <c r="S74" s="64">
        <f t="shared" ref="S74:S137" si="50">IF(A75="","",R74)</f>
        <v>0.18</v>
      </c>
      <c r="T74" s="63">
        <f t="shared" ref="T74:T137" si="51">IF($A75="","",VLOOKUP($A74,Table,MATCH(T$4,Curves,0)))</f>
        <v>0</v>
      </c>
      <c r="U74" s="64">
        <f t="shared" ref="U74:U137" si="52">IF(A75="","",T74)</f>
        <v>0</v>
      </c>
      <c r="V74" s="207">
        <f>IF($A75="","",IF(AND(MONTH(A74)&gt;3,MONTH(A74)&lt;11),(T74+R74+G74)*(((1/(1-Summary!$T$14))/(1-Summary!$W$14))-1),(T74+R74+G74)*((1/(1-Summary!$U$14))/(1-Summary!$X$14)-1)))</f>
        <v>4.6770157936386822E-2</v>
      </c>
      <c r="W74" s="43">
        <f t="shared" ref="W74:W137" si="53">IF($A75="","",(T74+R74+G74+V74))</f>
        <v>4.4327701579363872</v>
      </c>
      <c r="X74" s="43">
        <f t="shared" ref="X74:X137" si="54">IF($A75="","",(U74+S74+H74+V74))</f>
        <v>4.4327701579363872</v>
      </c>
      <c r="Y74" s="43"/>
      <c r="Z74" s="38">
        <f t="shared" ref="Z74:Z137" si="55">IF($A75="","",VLOOKUP($A74,Table,MATCH(Z$4,Curves,0)))</f>
        <v>0.65</v>
      </c>
      <c r="AA74" s="38">
        <f t="shared" ref="AA74:AA137" si="56">IF($A75="","",VLOOKUP($A74,Table,MATCH(AA$4,Curves,0)))</f>
        <v>0.23800000000000002</v>
      </c>
      <c r="AB74" s="38">
        <f t="shared" ref="AB74:AB137" ca="1" si="57">SQRT((AA74^2*(A74-$D$3)+Z74^2*(DAY(EOMONTH(A74,0))/2))/AK74)</f>
        <v>0.24496024915100439</v>
      </c>
      <c r="AC74" s="38">
        <f t="shared" ref="AC74:AC137" si="58">IF($A75="","",VLOOKUP($A74,Table,MATCH(AC$4,Curves,0)))</f>
        <v>0.5</v>
      </c>
      <c r="AD74" s="38">
        <f t="shared" ref="AD74:AD137" si="59">IF($A75="","",VLOOKUP($A74,Table,MATCH(AD$4,Curves,0)))</f>
        <v>0.23800000000000002</v>
      </c>
      <c r="AE74" s="38">
        <f t="shared" ref="AE74:AE137" ca="1" si="60">SQRT((AD74^2*(A74-$D$3)+AC74^2*(DAY(EOMONTH(A74,0))/2))/AK74)</f>
        <v>0.24216696025928347</v>
      </c>
      <c r="AF74" s="237">
        <f ca="1">((Summary!$N$14*(AA74*AD74)*(A74-$D$3))+(Summary!$M$14*Z74*AC74*(AJ74-EOMONTH(EDATE(A74,-1),0))))/(AK74*AB74*AE74)</f>
        <v>0.99847429942693211</v>
      </c>
      <c r="AG74" s="88">
        <f>IF($A75="","",Summary!$Q$14)</f>
        <v>0</v>
      </c>
      <c r="AH74" s="88">
        <f>IF($A75="","",IF(Summary!$R$12="Y",(VLOOKUP($A74,Summary!$AD$6:$AF$9,3)+'Escalating commodity'!J87),'Escalating commodity'!J87))</f>
        <v>5.3655174371212404E-3</v>
      </c>
      <c r="AI74" s="88">
        <f t="shared" si="37"/>
        <v>5.3655174371212404E-3</v>
      </c>
      <c r="AJ74" s="236">
        <f t="shared" ref="AJ74:AJ137" si="61">A74+DAY(EOMONTH(A74,0))/2-1</f>
        <v>39005.5</v>
      </c>
      <c r="AK74" s="58">
        <f t="shared" ref="AK74:AK137" ca="1" si="62">IF($A75="","",$A74-$E$1)</f>
        <v>1965</v>
      </c>
      <c r="AL74" s="26">
        <f ca="1">IF($A75="","",_xll.SPRDOPT(P74,X74,AI74,0,AB74,AE74,AF74,AK74,$AJ$2,0))</f>
        <v>5.8115935137275226E-2</v>
      </c>
      <c r="AM74" s="89">
        <f t="shared" ref="AM74:AM137" si="63">IF($A75="","",MAX(0,O74-W74-AI74))</f>
        <v>2.8643246264923056E-3</v>
      </c>
      <c r="AN74" s="89">
        <f t="shared" ref="AN74:AN137" ca="1" si="64">IF($A75="","",AL74-AM74)</f>
        <v>5.5251610510782923E-2</v>
      </c>
      <c r="AO74" s="3">
        <f t="shared" ref="AO74:AO137" si="65">IF(A75="","",A75-A74)</f>
        <v>31</v>
      </c>
      <c r="AP74" s="33">
        <f t="shared" ref="AP74:AP137" si="66">IF(A75="","",CHOOSE(F$3,A75+24,A74))</f>
        <v>38991</v>
      </c>
      <c r="AQ74" s="58">
        <f t="shared" ref="AQ74:AQ137" ca="1" si="67">IF(A75="","",AP74-$E$1)</f>
        <v>1965</v>
      </c>
      <c r="AR74" s="38">
        <f>'ANR OK vs ML7'!AR74</f>
        <v>0.1</v>
      </c>
      <c r="AS74" s="35">
        <f t="shared" ref="AS74:AS137" ca="1" si="68">IF(A75="","",1/(1+CHOOSE(F$3,(AR75+($I$3/10000))/2,(AR74+($I$3/10000))/2))^(2*AQ74/365.25))</f>
        <v>0.59157302596187311</v>
      </c>
      <c r="AT74" s="3">
        <f t="shared" ref="AT74:AT137" si="69">IF(A75="","",IF(AND(mthbeg&lt;=A74,mthend&gt;=A74),1,0))</f>
        <v>1</v>
      </c>
      <c r="AU74" s="3">
        <f t="shared" ref="AU74:AU137" si="70">IF(A75="","",AO74*AT74)</f>
        <v>31</v>
      </c>
      <c r="AW74" s="32">
        <f t="shared" ref="AW74:AW137" ca="1" si="71">IF($A75="","",AL74*$E74)</f>
        <v>51165.269294857106</v>
      </c>
      <c r="AX74" s="32">
        <f t="shared" ref="AX74:AX137" si="72">IF($A75="","",AM74*$E74)</f>
        <v>2521.7514011638259</v>
      </c>
      <c r="AY74" s="32">
        <f t="shared" ref="AY74:AY137" ca="1" si="73">IF($A75="","",AN74*$E74)</f>
        <v>48643.517893693286</v>
      </c>
      <c r="BA74" s="32">
        <f ca="1">IF($A75="","",F74*Summary!$Q$14)</f>
        <v>0</v>
      </c>
      <c r="BC74" s="256">
        <f t="shared" ca="1" si="38"/>
        <v>1491.8001071100778</v>
      </c>
    </row>
    <row r="75" spans="1:55">
      <c r="A75" s="67">
        <f t="shared" ref="A75:A138" si="74">IF(A74&lt;mthend,EDATE(A74,1),"")</f>
        <v>39022</v>
      </c>
      <c r="B75" s="69">
        <f t="shared" ref="B75:B138" si="75">IF(A75&lt;mthend,B74,"")</f>
        <v>28400</v>
      </c>
      <c r="C75" s="71"/>
      <c r="D75" s="69">
        <f t="shared" si="39"/>
        <v>28400</v>
      </c>
      <c r="E75" s="70">
        <f t="shared" si="40"/>
        <v>852000</v>
      </c>
      <c r="F75" s="70">
        <f t="shared" ca="1" si="41"/>
        <v>499863.17493441096</v>
      </c>
      <c r="G75" s="63">
        <f t="shared" si="42"/>
        <v>4.3390000000000004</v>
      </c>
      <c r="H75" s="64">
        <f t="shared" si="43"/>
        <v>4.3390000000000004</v>
      </c>
      <c r="I75" s="43"/>
      <c r="J75" s="63">
        <f t="shared" si="44"/>
        <v>0.47499999999999998</v>
      </c>
      <c r="K75" s="64">
        <f t="shared" si="45"/>
        <v>0.47499999999999998</v>
      </c>
      <c r="L75" s="38">
        <v>0</v>
      </c>
      <c r="M75" s="64">
        <f t="shared" si="46"/>
        <v>0</v>
      </c>
      <c r="N75" s="65"/>
      <c r="O75" s="63">
        <f t="shared" si="47"/>
        <v>4.8140000000000001</v>
      </c>
      <c r="P75" s="63">
        <f t="shared" si="48"/>
        <v>4.8140000000000001</v>
      </c>
      <c r="Q75" s="66"/>
      <c r="R75" s="63">
        <f t="shared" si="49"/>
        <v>0.27500000000000002</v>
      </c>
      <c r="S75" s="64">
        <f t="shared" si="50"/>
        <v>0.27500000000000002</v>
      </c>
      <c r="T75" s="63">
        <f t="shared" si="51"/>
        <v>0</v>
      </c>
      <c r="U75" s="64">
        <f t="shared" si="52"/>
        <v>0</v>
      </c>
      <c r="V75" s="207">
        <f>IF($A76="","",IF(AND(MONTH(A75)&gt;3,MONTH(A75)&lt;11),(T75+R75+G75)*(((1/(1-Summary!$T$14))/(1-Summary!$W$14))-1),(T75+R75+G75)*((1/(1-Summary!$U$14))/(1-Summary!$X$14)-1)))</f>
        <v>4.9201438376308443E-2</v>
      </c>
      <c r="W75" s="43">
        <f t="shared" si="53"/>
        <v>4.6632014383763094</v>
      </c>
      <c r="X75" s="43">
        <f t="shared" si="54"/>
        <v>4.6632014383763094</v>
      </c>
      <c r="Y75" s="43"/>
      <c r="Z75" s="38">
        <f t="shared" si="55"/>
        <v>0.8</v>
      </c>
      <c r="AA75" s="38">
        <f t="shared" si="56"/>
        <v>0.24</v>
      </c>
      <c r="AB75" s="38">
        <f t="shared" ca="1" si="57"/>
        <v>0.24987692361222116</v>
      </c>
      <c r="AC75" s="38">
        <f t="shared" si="58"/>
        <v>0.95</v>
      </c>
      <c r="AD75" s="38">
        <f t="shared" si="59"/>
        <v>0.24</v>
      </c>
      <c r="AE75" s="38">
        <f t="shared" ca="1" si="60"/>
        <v>0.25379356245714624</v>
      </c>
      <c r="AF75" s="237">
        <f ca="1">((Summary!$N$14*(AA75*AD75)*(A75-$D$3))+(Summary!$M$14*Z75*AC75*(AJ75-EOMONTH(EDATE(A75,-1),0))))/(AK75*AB75*AE75)</f>
        <v>0.99869693075125987</v>
      </c>
      <c r="AG75" s="88">
        <f>IF($A76="","",Summary!$Q$14)</f>
        <v>0</v>
      </c>
      <c r="AH75" s="88">
        <f>IF($A76="","",IF(Summary!$R$12="Y",(VLOOKUP($A75,Summary!$AD$6:$AF$9,3)+'Escalating commodity'!J88),'Escalating commodity'!J88))</f>
        <v>5.3655174371212404E-3</v>
      </c>
      <c r="AI75" s="88">
        <f t="shared" ref="AI75:AI138" si="76">IF($A76="","",AH75)</f>
        <v>5.3655174371212404E-3</v>
      </c>
      <c r="AJ75" s="236">
        <f t="shared" si="61"/>
        <v>39036</v>
      </c>
      <c r="AK75" s="58">
        <f t="shared" ca="1" si="62"/>
        <v>1996</v>
      </c>
      <c r="AL75" s="26">
        <f ca="1">IF($A76="","",_xll.SPRDOPT(P75,X75,AI75,0,AB75,AE75,AF75,AK75,$AJ$2,0))</f>
        <v>0.15818508866291392</v>
      </c>
      <c r="AM75" s="89">
        <f t="shared" si="63"/>
        <v>0.14543304418656941</v>
      </c>
      <c r="AN75" s="89">
        <f t="shared" ca="1" si="64"/>
        <v>1.275204447634451E-2</v>
      </c>
      <c r="AO75" s="3">
        <f t="shared" si="65"/>
        <v>30</v>
      </c>
      <c r="AP75" s="33">
        <f t="shared" si="66"/>
        <v>39022</v>
      </c>
      <c r="AQ75" s="58">
        <f t="shared" ca="1" si="67"/>
        <v>1996</v>
      </c>
      <c r="AR75" s="38">
        <f>'ANR OK vs ML7'!AR75</f>
        <v>0.1</v>
      </c>
      <c r="AS75" s="35">
        <f t="shared" ca="1" si="68"/>
        <v>0.5866938672939096</v>
      </c>
      <c r="AT75" s="3">
        <f t="shared" si="69"/>
        <v>1</v>
      </c>
      <c r="AU75" s="3">
        <f t="shared" si="70"/>
        <v>30</v>
      </c>
      <c r="AW75" s="32">
        <f t="shared" ca="1" si="71"/>
        <v>134773.69554080267</v>
      </c>
      <c r="AX75" s="32">
        <f t="shared" si="72"/>
        <v>123908.95364695713</v>
      </c>
      <c r="AY75" s="32">
        <f t="shared" ca="1" si="73"/>
        <v>10864.741893845523</v>
      </c>
      <c r="BA75" s="32">
        <f ca="1">IF($A76="","",F75*Summary!$Q$14)</f>
        <v>0</v>
      </c>
      <c r="BC75" s="256">
        <f t="shared" ref="BC75:BC138" ca="1" si="77">IF(A76="","",AM75*F75)</f>
        <v>72696.623207475059</v>
      </c>
    </row>
    <row r="76" spans="1:55">
      <c r="A76" s="67">
        <f t="shared" si="74"/>
        <v>39052</v>
      </c>
      <c r="B76" s="69">
        <f t="shared" si="75"/>
        <v>28400</v>
      </c>
      <c r="C76" s="71"/>
      <c r="D76" s="69">
        <f t="shared" si="39"/>
        <v>28400</v>
      </c>
      <c r="E76" s="70">
        <f t="shared" si="40"/>
        <v>880400</v>
      </c>
      <c r="F76" s="70">
        <f t="shared" ca="1" si="41"/>
        <v>512401.97391200287</v>
      </c>
      <c r="G76" s="63">
        <f t="shared" si="42"/>
        <v>4.4770000000000003</v>
      </c>
      <c r="H76" s="64">
        <f t="shared" si="43"/>
        <v>4.4770000000000003</v>
      </c>
      <c r="I76" s="43"/>
      <c r="J76" s="63">
        <f t="shared" si="44"/>
        <v>0.47499999999999998</v>
      </c>
      <c r="K76" s="64">
        <f t="shared" si="45"/>
        <v>0.47499999999999998</v>
      </c>
      <c r="L76" s="38">
        <v>0</v>
      </c>
      <c r="M76" s="64">
        <f t="shared" si="46"/>
        <v>0</v>
      </c>
      <c r="N76" s="65"/>
      <c r="O76" s="63">
        <f t="shared" si="47"/>
        <v>4.952</v>
      </c>
      <c r="P76" s="63">
        <f t="shared" si="48"/>
        <v>4.952</v>
      </c>
      <c r="Q76" s="66"/>
      <c r="R76" s="63">
        <f t="shared" si="49"/>
        <v>0.27500000000000002</v>
      </c>
      <c r="S76" s="64">
        <f t="shared" si="50"/>
        <v>0.27500000000000002</v>
      </c>
      <c r="T76" s="63">
        <f t="shared" si="51"/>
        <v>0</v>
      </c>
      <c r="U76" s="64">
        <f t="shared" si="52"/>
        <v>0</v>
      </c>
      <c r="V76" s="207">
        <f>IF($A77="","",IF(AND(MONTH(A76)&gt;3,MONTH(A76)&lt;11),(T76+R76+G76)*(((1/(1-Summary!$T$14))/(1-Summary!$W$14))-1),(T76+R76+G76)*((1/(1-Summary!$U$14))/(1-Summary!$X$14)-1)))</f>
        <v>5.0673002853103097E-2</v>
      </c>
      <c r="W76" s="43">
        <f t="shared" si="53"/>
        <v>4.8026730028531039</v>
      </c>
      <c r="X76" s="43">
        <f t="shared" si="54"/>
        <v>4.8026730028531039</v>
      </c>
      <c r="Y76" s="43"/>
      <c r="Z76" s="38">
        <f t="shared" si="55"/>
        <v>1.1000000000000001</v>
      </c>
      <c r="AA76" s="38">
        <f t="shared" si="56"/>
        <v>0.245</v>
      </c>
      <c r="AB76" s="38">
        <f t="shared" ca="1" si="57"/>
        <v>0.26327131310503121</v>
      </c>
      <c r="AC76" s="38">
        <f t="shared" si="58"/>
        <v>1.35</v>
      </c>
      <c r="AD76" s="38">
        <f t="shared" si="59"/>
        <v>0.245</v>
      </c>
      <c r="AE76" s="38">
        <f t="shared" ca="1" si="60"/>
        <v>0.27202525959159313</v>
      </c>
      <c r="AF76" s="237">
        <f ca="1">((Summary!$N$14*(AA76*AD76)*(A76-$D$3))+(Summary!$M$14*Z76*AC76*(AJ76-EOMONTH(EDATE(A76,-1),0))))/(AK76*AB76*AE76)</f>
        <v>0.99711282606241158</v>
      </c>
      <c r="AG76" s="88">
        <f>IF($A77="","",Summary!$Q$14)</f>
        <v>0</v>
      </c>
      <c r="AH76" s="88">
        <f>IF($A77="","",IF(Summary!$R$12="Y",(VLOOKUP($A76,Summary!$AD$6:$AF$9,3)+'Escalating commodity'!J89),'Escalating commodity'!J89))</f>
        <v>5.3655174371212404E-3</v>
      </c>
      <c r="AI76" s="88">
        <f t="shared" si="76"/>
        <v>5.3655174371212404E-3</v>
      </c>
      <c r="AJ76" s="236">
        <f t="shared" si="61"/>
        <v>39066.5</v>
      </c>
      <c r="AK76" s="58">
        <f t="shared" ca="1" si="62"/>
        <v>2026</v>
      </c>
      <c r="AL76" s="26">
        <f ca="1">IF($A77="","",_xll.SPRDOPT(P76,X76,AI76,0,AB76,AE76,AF76,AK76,$AJ$2,0))</f>
        <v>0.18884428368678677</v>
      </c>
      <c r="AM76" s="89">
        <f t="shared" si="63"/>
        <v>0.14396147970977477</v>
      </c>
      <c r="AN76" s="89">
        <f t="shared" ca="1" si="64"/>
        <v>4.4882803977011998E-2</v>
      </c>
      <c r="AO76" s="3">
        <f t="shared" si="65"/>
        <v>31</v>
      </c>
      <c r="AP76" s="33">
        <f t="shared" si="66"/>
        <v>39052</v>
      </c>
      <c r="AQ76" s="58">
        <f t="shared" ca="1" si="67"/>
        <v>2026</v>
      </c>
      <c r="AR76" s="38">
        <f>'ANR OK vs ML7'!AR76</f>
        <v>0.1</v>
      </c>
      <c r="AS76" s="35">
        <f t="shared" ca="1" si="68"/>
        <v>0.5820104201635653</v>
      </c>
      <c r="AT76" s="3">
        <f t="shared" si="69"/>
        <v>1</v>
      </c>
      <c r="AU76" s="3">
        <f t="shared" si="70"/>
        <v>31</v>
      </c>
      <c r="AW76" s="32">
        <f t="shared" ca="1" si="71"/>
        <v>166258.50735784706</v>
      </c>
      <c r="AX76" s="32">
        <f t="shared" si="72"/>
        <v>126743.6867364857</v>
      </c>
      <c r="AY76" s="32">
        <f t="shared" ca="1" si="73"/>
        <v>39514.820621361367</v>
      </c>
      <c r="BA76" s="32">
        <f ca="1">IF($A77="","",F76*Summary!$Q$14)</f>
        <v>0</v>
      </c>
      <c r="BC76" s="256">
        <f t="shared" ca="1" si="77"/>
        <v>73766.146370581337</v>
      </c>
    </row>
    <row r="77" spans="1:55">
      <c r="A77" s="67">
        <f t="shared" si="74"/>
        <v>39083</v>
      </c>
      <c r="B77" s="69">
        <f t="shared" si="75"/>
        <v>28400</v>
      </c>
      <c r="C77" s="71"/>
      <c r="D77" s="69">
        <f t="shared" si="39"/>
        <v>28400</v>
      </c>
      <c r="E77" s="70">
        <f t="shared" si="40"/>
        <v>880400</v>
      </c>
      <c r="F77" s="70">
        <f t="shared" ca="1" si="41"/>
        <v>508175.79992709315</v>
      </c>
      <c r="G77" s="63">
        <f t="shared" si="42"/>
        <v>4.484</v>
      </c>
      <c r="H77" s="64">
        <f t="shared" si="43"/>
        <v>4.484</v>
      </c>
      <c r="I77" s="43"/>
      <c r="J77" s="63">
        <f t="shared" si="44"/>
        <v>0.47499999999999998</v>
      </c>
      <c r="K77" s="64">
        <f t="shared" si="45"/>
        <v>0.47499999999999998</v>
      </c>
      <c r="L77" s="38">
        <v>0</v>
      </c>
      <c r="M77" s="64">
        <f t="shared" si="46"/>
        <v>0</v>
      </c>
      <c r="N77" s="65"/>
      <c r="O77" s="63">
        <f t="shared" si="47"/>
        <v>4.9589999999999996</v>
      </c>
      <c r="P77" s="63">
        <f t="shared" si="48"/>
        <v>4.9589999999999996</v>
      </c>
      <c r="Q77" s="66"/>
      <c r="R77" s="63">
        <f t="shared" si="49"/>
        <v>0.27500000000000002</v>
      </c>
      <c r="S77" s="64">
        <f t="shared" si="50"/>
        <v>0.27500000000000002</v>
      </c>
      <c r="T77" s="63">
        <f t="shared" si="51"/>
        <v>0</v>
      </c>
      <c r="U77" s="64">
        <f t="shared" si="52"/>
        <v>0</v>
      </c>
      <c r="V77" s="207">
        <f>IF($A78="","",IF(AND(MONTH(A77)&gt;3,MONTH(A77)&lt;11),(T77+R77+G77)*(((1/(1-Summary!$T$14))/(1-Summary!$W$14))-1),(T77+R77+G77)*((1/(1-Summary!$U$14))/(1-Summary!$X$14)-1)))</f>
        <v>5.0747647428012972E-2</v>
      </c>
      <c r="W77" s="43">
        <f t="shared" si="53"/>
        <v>4.8097476474280132</v>
      </c>
      <c r="X77" s="43">
        <f t="shared" si="54"/>
        <v>4.8097476474280132</v>
      </c>
      <c r="Y77" s="43"/>
      <c r="Z77" s="38">
        <f t="shared" si="55"/>
        <v>1.1000000000000001</v>
      </c>
      <c r="AA77" s="38">
        <f t="shared" si="56"/>
        <v>0.248</v>
      </c>
      <c r="AB77" s="38">
        <f t="shared" ca="1" si="57"/>
        <v>0.26580358709577279</v>
      </c>
      <c r="AC77" s="38">
        <f t="shared" si="58"/>
        <v>1.35</v>
      </c>
      <c r="AD77" s="38">
        <f t="shared" si="59"/>
        <v>0.248</v>
      </c>
      <c r="AE77" s="38">
        <f t="shared" ca="1" si="60"/>
        <v>0.27434810876633636</v>
      </c>
      <c r="AF77" s="237">
        <f ca="1">((Summary!$N$14*(AA77*AD77)*(A77-$D$3))+(Summary!$M$14*Z77*AC77*(AJ77-EOMONTH(EDATE(A77,-1),0))))/(AK77*AB77*AE77)</f>
        <v>0.99718708502924647</v>
      </c>
      <c r="AG77" s="88">
        <f>IF($A78="","",Summary!$Q$14)</f>
        <v>0</v>
      </c>
      <c r="AH77" s="88">
        <f>IF($A78="","",IF(Summary!$R$12="Y",(VLOOKUP($A77,Summary!$AD$6:$AF$9,3)+'Escalating commodity'!J90),'Escalating commodity'!J90))</f>
        <v>5.4728277858636654E-3</v>
      </c>
      <c r="AI77" s="88">
        <f t="shared" si="76"/>
        <v>5.4728277858636654E-3</v>
      </c>
      <c r="AJ77" s="236">
        <f t="shared" si="61"/>
        <v>39097.5</v>
      </c>
      <c r="AK77" s="58">
        <f t="shared" ca="1" si="62"/>
        <v>2057</v>
      </c>
      <c r="AL77" s="26">
        <f ca="1">IF($A78="","",_xll.SPRDOPT(P77,X77,AI77,0,AB77,AE77,AF77,AK77,$AJ$2,0))</f>
        <v>0.18887366243859652</v>
      </c>
      <c r="AM77" s="89">
        <f t="shared" si="63"/>
        <v>0.14377952478612277</v>
      </c>
      <c r="AN77" s="89">
        <f t="shared" ca="1" si="64"/>
        <v>4.5094137652473748E-2</v>
      </c>
      <c r="AO77" s="3">
        <f t="shared" si="65"/>
        <v>31</v>
      </c>
      <c r="AP77" s="33">
        <f t="shared" si="66"/>
        <v>39083</v>
      </c>
      <c r="AQ77" s="58">
        <f t="shared" ca="1" si="67"/>
        <v>2057</v>
      </c>
      <c r="AR77" s="38">
        <f>'ANR OK vs ML7'!AR77</f>
        <v>0.1</v>
      </c>
      <c r="AS77" s="35">
        <f t="shared" ca="1" si="68"/>
        <v>0.57721013167548063</v>
      </c>
      <c r="AT77" s="3">
        <f t="shared" si="69"/>
        <v>1</v>
      </c>
      <c r="AU77" s="3">
        <f t="shared" si="70"/>
        <v>31</v>
      </c>
      <c r="AW77" s="32">
        <f t="shared" ca="1" si="71"/>
        <v>166284.37241094038</v>
      </c>
      <c r="AX77" s="32">
        <f t="shared" si="72"/>
        <v>126583.49362170248</v>
      </c>
      <c r="AY77" s="32">
        <f t="shared" ca="1" si="73"/>
        <v>39700.87878923789</v>
      </c>
      <c r="BA77" s="32">
        <f ca="1">IF($A78="","",F77*Summary!$Q$14)</f>
        <v>0</v>
      </c>
      <c r="BC77" s="256">
        <f t="shared" ca="1" si="77"/>
        <v>73065.275021325258</v>
      </c>
    </row>
    <row r="78" spans="1:55">
      <c r="A78" s="67">
        <f t="shared" si="74"/>
        <v>39114</v>
      </c>
      <c r="B78" s="69">
        <f t="shared" si="75"/>
        <v>28400</v>
      </c>
      <c r="C78" s="71"/>
      <c r="D78" s="69">
        <f t="shared" si="39"/>
        <v>28400</v>
      </c>
      <c r="E78" s="70">
        <f t="shared" si="40"/>
        <v>795200</v>
      </c>
      <c r="F78" s="70">
        <f t="shared" ca="1" si="41"/>
        <v>455211.79060553823</v>
      </c>
      <c r="G78" s="63">
        <f t="shared" si="42"/>
        <v>4.3639999999999999</v>
      </c>
      <c r="H78" s="64">
        <f t="shared" si="43"/>
        <v>4.3639999999999999</v>
      </c>
      <c r="I78" s="43"/>
      <c r="J78" s="63">
        <f t="shared" si="44"/>
        <v>0.47499999999999998</v>
      </c>
      <c r="K78" s="64">
        <f t="shared" si="45"/>
        <v>0.47499999999999998</v>
      </c>
      <c r="L78" s="38">
        <v>0</v>
      </c>
      <c r="M78" s="64">
        <f t="shared" si="46"/>
        <v>0</v>
      </c>
      <c r="N78" s="65"/>
      <c r="O78" s="63">
        <f t="shared" si="47"/>
        <v>4.8389999999999995</v>
      </c>
      <c r="P78" s="63">
        <f t="shared" si="48"/>
        <v>4.8389999999999995</v>
      </c>
      <c r="Q78" s="66"/>
      <c r="R78" s="63">
        <f t="shared" si="49"/>
        <v>0.27500000000000002</v>
      </c>
      <c r="S78" s="64">
        <f t="shared" si="50"/>
        <v>0.27500000000000002</v>
      </c>
      <c r="T78" s="63">
        <f t="shared" si="51"/>
        <v>0</v>
      </c>
      <c r="U78" s="64">
        <f t="shared" si="52"/>
        <v>0</v>
      </c>
      <c r="V78" s="207">
        <f>IF($A79="","",IF(AND(MONTH(A78)&gt;3,MONTH(A78)&lt;11),(T78+R78+G78)*(((1/(1-Summary!$T$14))/(1-Summary!$W$14))-1),(T78+R78+G78)*((1/(1-Summary!$U$14))/(1-Summary!$X$14)-1)))</f>
        <v>4.9468026143843699E-2</v>
      </c>
      <c r="W78" s="43">
        <f t="shared" si="53"/>
        <v>4.6884680261438438</v>
      </c>
      <c r="X78" s="43">
        <f t="shared" si="54"/>
        <v>4.6884680261438438</v>
      </c>
      <c r="Y78" s="43"/>
      <c r="Z78" s="38">
        <f t="shared" si="55"/>
        <v>1.1000000000000001</v>
      </c>
      <c r="AA78" s="38">
        <f t="shared" si="56"/>
        <v>0.23499999999999999</v>
      </c>
      <c r="AB78" s="38">
        <f t="shared" ca="1" si="57"/>
        <v>0.25172301359770949</v>
      </c>
      <c r="AC78" s="38">
        <f t="shared" si="58"/>
        <v>1.35</v>
      </c>
      <c r="AD78" s="38">
        <f t="shared" si="59"/>
        <v>0.23499999999999999</v>
      </c>
      <c r="AE78" s="38">
        <f t="shared" ca="1" si="60"/>
        <v>0.25975233654578772</v>
      </c>
      <c r="AF78" s="237">
        <f ca="1">((Summary!$N$14*(AA78*AD78)*(A78-$D$3))+(Summary!$M$14*Z78*AC78*(AJ78-EOMONTH(EDATE(A78,-1),0))))/(AK78*AB78*AE78)</f>
        <v>0.99720396129679623</v>
      </c>
      <c r="AG78" s="88">
        <f>IF($A79="","",Summary!$Q$14)</f>
        <v>0</v>
      </c>
      <c r="AH78" s="88">
        <f>IF($A79="","",IF(Summary!$R$12="Y",(VLOOKUP($A78,Summary!$AD$6:$AF$9,3)+'Escalating commodity'!J91),'Escalating commodity'!J91))</f>
        <v>5.4728277858636654E-3</v>
      </c>
      <c r="AI78" s="88">
        <f t="shared" si="76"/>
        <v>5.4728277858636654E-3</v>
      </c>
      <c r="AJ78" s="236">
        <f t="shared" si="61"/>
        <v>39127</v>
      </c>
      <c r="AK78" s="58">
        <f t="shared" ca="1" si="62"/>
        <v>2088</v>
      </c>
      <c r="AL78" s="26">
        <f ca="1">IF($A79="","",_xll.SPRDOPT(P78,X78,AI78,0,AB78,AE78,AF78,AK78,$AJ$2,0))</f>
        <v>0.18359378160673423</v>
      </c>
      <c r="AM78" s="89">
        <f t="shared" si="63"/>
        <v>0.14505914607029202</v>
      </c>
      <c r="AN78" s="89">
        <f t="shared" ca="1" si="64"/>
        <v>3.8534635536442208E-2</v>
      </c>
      <c r="AO78" s="3">
        <f t="shared" si="65"/>
        <v>28</v>
      </c>
      <c r="AP78" s="33">
        <f t="shared" si="66"/>
        <v>39114</v>
      </c>
      <c r="AQ78" s="58">
        <f t="shared" ca="1" si="67"/>
        <v>2088</v>
      </c>
      <c r="AR78" s="38">
        <f>'ANR OK vs ML7'!AR78</f>
        <v>0.1</v>
      </c>
      <c r="AS78" s="35">
        <f t="shared" ca="1" si="68"/>
        <v>0.57244943486611954</v>
      </c>
      <c r="AT78" s="3">
        <f t="shared" si="69"/>
        <v>1</v>
      </c>
      <c r="AU78" s="3">
        <f t="shared" si="70"/>
        <v>28</v>
      </c>
      <c r="AW78" s="32">
        <f t="shared" ca="1" si="71"/>
        <v>145993.77513367505</v>
      </c>
      <c r="AX78" s="32">
        <f t="shared" si="72"/>
        <v>115351.03295509622</v>
      </c>
      <c r="AY78" s="32">
        <f t="shared" ca="1" si="73"/>
        <v>30642.742178578843</v>
      </c>
      <c r="BA78" s="32">
        <f ca="1">IF($A79="","",F78*Summary!$Q$14)</f>
        <v>0</v>
      </c>
      <c r="BC78" s="256">
        <f t="shared" ca="1" si="77"/>
        <v>66032.633626367955</v>
      </c>
    </row>
    <row r="79" spans="1:55">
      <c r="A79" s="67">
        <f t="shared" si="74"/>
        <v>39142</v>
      </c>
      <c r="B79" s="69">
        <f t="shared" si="75"/>
        <v>28400</v>
      </c>
      <c r="C79" s="71"/>
      <c r="D79" s="69">
        <f t="shared" si="39"/>
        <v>28400</v>
      </c>
      <c r="E79" s="70">
        <f t="shared" si="40"/>
        <v>880400</v>
      </c>
      <c r="F79" s="70">
        <f t="shared" ca="1" si="41"/>
        <v>500228.49709134124</v>
      </c>
      <c r="G79" s="63">
        <f t="shared" si="42"/>
        <v>4.2249999999999996</v>
      </c>
      <c r="H79" s="64">
        <f t="shared" si="43"/>
        <v>4.2249999999999996</v>
      </c>
      <c r="I79" s="43"/>
      <c r="J79" s="63">
        <f t="shared" si="44"/>
        <v>0.47499999999999998</v>
      </c>
      <c r="K79" s="64">
        <f t="shared" si="45"/>
        <v>0.47499999999999998</v>
      </c>
      <c r="L79" s="38">
        <v>0</v>
      </c>
      <c r="M79" s="64">
        <f t="shared" si="46"/>
        <v>0</v>
      </c>
      <c r="N79" s="65"/>
      <c r="O79" s="63">
        <f t="shared" si="47"/>
        <v>4.6999999999999993</v>
      </c>
      <c r="P79" s="63">
        <f t="shared" si="48"/>
        <v>4.6999999999999993</v>
      </c>
      <c r="Q79" s="66"/>
      <c r="R79" s="63">
        <f t="shared" si="49"/>
        <v>0.27500000000000002</v>
      </c>
      <c r="S79" s="64">
        <f t="shared" si="50"/>
        <v>0.27500000000000002</v>
      </c>
      <c r="T79" s="63">
        <f t="shared" si="51"/>
        <v>0</v>
      </c>
      <c r="U79" s="64">
        <f t="shared" si="52"/>
        <v>0</v>
      </c>
      <c r="V79" s="207">
        <f>IF($A80="","",IF(AND(MONTH(A79)&gt;3,MONTH(A79)&lt;11),(T79+R79+G79)*(((1/(1-Summary!$T$14))/(1-Summary!$W$14))-1),(T79+R79+G79)*((1/(1-Summary!$U$14))/(1-Summary!$X$14)-1)))</f>
        <v>4.7985798156347625E-2</v>
      </c>
      <c r="W79" s="43">
        <f t="shared" si="53"/>
        <v>4.5479857981563478</v>
      </c>
      <c r="X79" s="43">
        <f t="shared" si="54"/>
        <v>4.5479857981563478</v>
      </c>
      <c r="Y79" s="43"/>
      <c r="Z79" s="38">
        <f t="shared" si="55"/>
        <v>0.75</v>
      </c>
      <c r="AA79" s="38">
        <f t="shared" si="56"/>
        <v>0.22800000000000001</v>
      </c>
      <c r="AB79" s="38">
        <f t="shared" ca="1" si="57"/>
        <v>0.2369155110103133</v>
      </c>
      <c r="AC79" s="38">
        <f t="shared" si="58"/>
        <v>0.95</v>
      </c>
      <c r="AD79" s="38">
        <f t="shared" si="59"/>
        <v>0.22800000000000001</v>
      </c>
      <c r="AE79" s="38">
        <f t="shared" ca="1" si="60"/>
        <v>0.24211465788224526</v>
      </c>
      <c r="AF79" s="237">
        <f ca="1">((Summary!$N$14*(AA79*AD79)*(A79-$D$3))+(Summary!$M$14*Z79*AC79*(AJ79-EOMONTH(EDATE(A79,-1),0))))/(AK79*AB79*AE79)</f>
        <v>0.9975908926313668</v>
      </c>
      <c r="AG79" s="88">
        <f>IF($A80="","",Summary!$Q$14)</f>
        <v>0</v>
      </c>
      <c r="AH79" s="88">
        <f>IF($A80="","",IF(Summary!$R$12="Y",(VLOOKUP($A79,Summary!$AD$6:$AF$9,3)+'Escalating commodity'!J92),'Escalating commodity'!J92))</f>
        <v>5.4728277858636654E-3</v>
      </c>
      <c r="AI79" s="88">
        <f t="shared" si="76"/>
        <v>5.4728277858636654E-3</v>
      </c>
      <c r="AJ79" s="236">
        <f t="shared" si="61"/>
        <v>39156.5</v>
      </c>
      <c r="AK79" s="58">
        <f t="shared" ca="1" si="62"/>
        <v>2116</v>
      </c>
      <c r="AL79" s="26">
        <f ca="1">IF($A80="","",_xll.SPRDOPT(P79,X79,AI79,0,AB79,AE79,AF79,AK79,$AJ$2,0))</f>
        <v>0.17144502017637425</v>
      </c>
      <c r="AM79" s="89">
        <f t="shared" si="63"/>
        <v>0.14654137405778778</v>
      </c>
      <c r="AN79" s="89">
        <f t="shared" ca="1" si="64"/>
        <v>2.4903646118586475E-2</v>
      </c>
      <c r="AO79" s="3">
        <f t="shared" si="65"/>
        <v>31</v>
      </c>
      <c r="AP79" s="33">
        <f t="shared" si="66"/>
        <v>39142</v>
      </c>
      <c r="AQ79" s="58">
        <f t="shared" ca="1" si="67"/>
        <v>2116</v>
      </c>
      <c r="AR79" s="38">
        <f>'ANR OK vs ML7'!AR79</f>
        <v>0.1</v>
      </c>
      <c r="AS79" s="35">
        <f t="shared" ca="1" si="68"/>
        <v>0.56818320887249119</v>
      </c>
      <c r="AT79" s="3">
        <f t="shared" si="69"/>
        <v>1</v>
      </c>
      <c r="AU79" s="3">
        <f t="shared" si="70"/>
        <v>31</v>
      </c>
      <c r="AW79" s="32">
        <f t="shared" ca="1" si="71"/>
        <v>150940.19576327989</v>
      </c>
      <c r="AX79" s="32">
        <f t="shared" si="72"/>
        <v>129015.02572047636</v>
      </c>
      <c r="AY79" s="32">
        <f t="shared" ca="1" si="73"/>
        <v>21925.170042803533</v>
      </c>
      <c r="BA79" s="32">
        <f ca="1">IF($A80="","",F79*Summary!$Q$14)</f>
        <v>0</v>
      </c>
      <c r="BC79" s="256">
        <f t="shared" ca="1" si="77"/>
        <v>73304.171306627235</v>
      </c>
    </row>
    <row r="80" spans="1:55">
      <c r="A80" s="67">
        <f t="shared" si="74"/>
        <v>39173</v>
      </c>
      <c r="B80" s="69">
        <f t="shared" si="75"/>
        <v>28400</v>
      </c>
      <c r="C80" s="71"/>
      <c r="D80" s="69">
        <f t="shared" si="39"/>
        <v>28400</v>
      </c>
      <c r="E80" s="70">
        <f t="shared" si="40"/>
        <v>852000</v>
      </c>
      <c r="F80" s="70">
        <f t="shared" ca="1" si="41"/>
        <v>480099.41337272822</v>
      </c>
      <c r="G80" s="63">
        <f t="shared" si="42"/>
        <v>4.05</v>
      </c>
      <c r="H80" s="64">
        <f t="shared" si="43"/>
        <v>4.05</v>
      </c>
      <c r="I80" s="43"/>
      <c r="J80" s="63">
        <f t="shared" si="44"/>
        <v>0.23499999999999999</v>
      </c>
      <c r="K80" s="64">
        <f t="shared" si="45"/>
        <v>0.23499999999999999</v>
      </c>
      <c r="L80" s="38">
        <v>0</v>
      </c>
      <c r="M80" s="64">
        <f t="shared" si="46"/>
        <v>0</v>
      </c>
      <c r="N80" s="65"/>
      <c r="O80" s="63">
        <f t="shared" si="47"/>
        <v>4.2850000000000001</v>
      </c>
      <c r="P80" s="63">
        <f t="shared" si="48"/>
        <v>4.2850000000000001</v>
      </c>
      <c r="Q80" s="66"/>
      <c r="R80" s="63">
        <f t="shared" si="49"/>
        <v>0.18</v>
      </c>
      <c r="S80" s="64">
        <f t="shared" si="50"/>
        <v>0.18</v>
      </c>
      <c r="T80" s="63">
        <f t="shared" si="51"/>
        <v>0</v>
      </c>
      <c r="U80" s="64">
        <f t="shared" si="52"/>
        <v>0</v>
      </c>
      <c r="V80" s="207">
        <f>IF($A81="","",IF(AND(MONTH(A80)&gt;3,MONTH(A80)&lt;11),(T80+R80+G80)*(((1/(1-Summary!$T$14))/(1-Summary!$W$14))-1),(T80+R80+G80)*((1/(1-Summary!$U$14))/(1-Summary!$X$14)-1)))</f>
        <v>4.5106650266966766E-2</v>
      </c>
      <c r="W80" s="43">
        <f t="shared" si="53"/>
        <v>4.2751066502669666</v>
      </c>
      <c r="X80" s="43">
        <f t="shared" si="54"/>
        <v>4.2751066502669666</v>
      </c>
      <c r="Y80" s="43"/>
      <c r="Z80" s="38">
        <f t="shared" si="55"/>
        <v>0.45</v>
      </c>
      <c r="AA80" s="38">
        <f t="shared" si="56"/>
        <v>0.22800000000000001</v>
      </c>
      <c r="AB80" s="38">
        <f t="shared" ca="1" si="57"/>
        <v>0.23113411080465152</v>
      </c>
      <c r="AC80" s="38">
        <f t="shared" si="58"/>
        <v>0.5</v>
      </c>
      <c r="AD80" s="38">
        <f t="shared" si="59"/>
        <v>0.22800000000000001</v>
      </c>
      <c r="AE80" s="38">
        <f t="shared" ca="1" si="60"/>
        <v>0.23185089084266328</v>
      </c>
      <c r="AF80" s="237">
        <f ca="1">((Summary!$N$14*(AA80*AD80)*(A80-$D$3))+(Summary!$M$14*Z80*AC80*(AJ80-EOMONTH(EDATE(A80,-1),0))))/(AK80*AB80*AE80)</f>
        <v>0.9997447771023833</v>
      </c>
      <c r="AG80" s="88">
        <f>IF($A81="","",Summary!$Q$14)</f>
        <v>0</v>
      </c>
      <c r="AH80" s="88">
        <f>IF($A81="","",IF(Summary!$R$12="Y",(VLOOKUP($A80,Summary!$AD$6:$AF$9,3)+'Escalating commodity'!J93),'Escalating commodity'!J93))</f>
        <v>5.4728277858636654E-3</v>
      </c>
      <c r="AI80" s="88">
        <f t="shared" si="76"/>
        <v>5.4728277858636654E-3</v>
      </c>
      <c r="AJ80" s="236">
        <f t="shared" si="61"/>
        <v>39187</v>
      </c>
      <c r="AK80" s="58">
        <f t="shared" ca="1" si="62"/>
        <v>2147</v>
      </c>
      <c r="AL80" s="26">
        <f ca="1">IF($A81="","",_xll.SPRDOPT(P80,X80,AI80,0,AB80,AE80,AF80,AK80,$AJ$2,0))</f>
        <v>1.5229736717939823E-2</v>
      </c>
      <c r="AM80" s="89">
        <f t="shared" si="63"/>
        <v>4.4205219471699086E-3</v>
      </c>
      <c r="AN80" s="89">
        <f t="shared" ca="1" si="64"/>
        <v>1.0809214770769914E-2</v>
      </c>
      <c r="AO80" s="3">
        <f t="shared" si="65"/>
        <v>30</v>
      </c>
      <c r="AP80" s="33">
        <f t="shared" si="66"/>
        <v>39173</v>
      </c>
      <c r="AQ80" s="58">
        <f t="shared" ca="1" si="67"/>
        <v>2147</v>
      </c>
      <c r="AR80" s="38">
        <f>'ANR OK vs ML7'!AR80</f>
        <v>0.1</v>
      </c>
      <c r="AS80" s="35">
        <f t="shared" ca="1" si="68"/>
        <v>0.56349696405249794</v>
      </c>
      <c r="AT80" s="3">
        <f t="shared" si="69"/>
        <v>1</v>
      </c>
      <c r="AU80" s="3">
        <f t="shared" si="70"/>
        <v>30</v>
      </c>
      <c r="AW80" s="32">
        <f t="shared" ca="1" si="71"/>
        <v>12975.735683684728</v>
      </c>
      <c r="AX80" s="32">
        <f t="shared" si="72"/>
        <v>3766.2846989887621</v>
      </c>
      <c r="AY80" s="32">
        <f t="shared" ca="1" si="73"/>
        <v>9209.4509846959663</v>
      </c>
      <c r="BA80" s="32">
        <f ca="1">IF($A81="","",F80*Summary!$Q$14)</f>
        <v>0</v>
      </c>
      <c r="BC80" s="256">
        <f t="shared" ca="1" si="77"/>
        <v>2122.2899936375434</v>
      </c>
    </row>
    <row r="81" spans="1:55">
      <c r="A81" s="67">
        <f t="shared" si="74"/>
        <v>39203</v>
      </c>
      <c r="B81" s="69">
        <f t="shared" si="75"/>
        <v>28400</v>
      </c>
      <c r="C81" s="71"/>
      <c r="D81" s="69">
        <f t="shared" si="39"/>
        <v>28400</v>
      </c>
      <c r="E81" s="70">
        <f t="shared" si="40"/>
        <v>880400</v>
      </c>
      <c r="F81" s="70">
        <f t="shared" ca="1" si="41"/>
        <v>492142.44901809323</v>
      </c>
      <c r="G81" s="63">
        <f t="shared" si="42"/>
        <v>4.0199999999999996</v>
      </c>
      <c r="H81" s="64">
        <f t="shared" si="43"/>
        <v>4.0199999999999996</v>
      </c>
      <c r="I81" s="43"/>
      <c r="J81" s="63">
        <f t="shared" si="44"/>
        <v>0.23499999999999999</v>
      </c>
      <c r="K81" s="64">
        <f t="shared" si="45"/>
        <v>0.23499999999999999</v>
      </c>
      <c r="L81" s="38">
        <v>0</v>
      </c>
      <c r="M81" s="64">
        <f t="shared" si="46"/>
        <v>0</v>
      </c>
      <c r="N81" s="65"/>
      <c r="O81" s="63">
        <f t="shared" si="47"/>
        <v>4.2549999999999999</v>
      </c>
      <c r="P81" s="63">
        <f t="shared" si="48"/>
        <v>4.2549999999999999</v>
      </c>
      <c r="Q81" s="66"/>
      <c r="R81" s="63">
        <f t="shared" si="49"/>
        <v>0.18</v>
      </c>
      <c r="S81" s="64">
        <f t="shared" si="50"/>
        <v>0.18</v>
      </c>
      <c r="T81" s="63">
        <f t="shared" si="51"/>
        <v>0</v>
      </c>
      <c r="U81" s="64">
        <f t="shared" si="52"/>
        <v>0</v>
      </c>
      <c r="V81" s="207">
        <f>IF($A82="","",IF(AND(MONTH(A81)&gt;3,MONTH(A81)&lt;11),(T81+R81+G81)*(((1/(1-Summary!$T$14))/(1-Summary!$W$14))-1),(T81+R81+G81)*((1/(1-Summary!$U$14))/(1-Summary!$X$14)-1)))</f>
        <v>4.4786744945924446E-2</v>
      </c>
      <c r="W81" s="43">
        <f t="shared" si="53"/>
        <v>4.244786744945924</v>
      </c>
      <c r="X81" s="43">
        <f t="shared" si="54"/>
        <v>4.244786744945924</v>
      </c>
      <c r="Y81" s="43"/>
      <c r="Z81" s="38">
        <f t="shared" si="55"/>
        <v>0.5</v>
      </c>
      <c r="AA81" s="38">
        <f t="shared" si="56"/>
        <v>0.22800000000000001</v>
      </c>
      <c r="AB81" s="38">
        <f t="shared" ca="1" si="57"/>
        <v>0.2319220799564731</v>
      </c>
      <c r="AC81" s="38">
        <f t="shared" si="58"/>
        <v>0.45</v>
      </c>
      <c r="AD81" s="38">
        <f t="shared" si="59"/>
        <v>0.22800000000000001</v>
      </c>
      <c r="AE81" s="38">
        <f t="shared" ca="1" si="60"/>
        <v>0.23119181734633426</v>
      </c>
      <c r="AF81" s="237">
        <f ca="1">((Summary!$N$14*(AA81*AD81)*(A81-$D$3))+(Summary!$M$14*Z81*AC81*(AJ81-EOMONTH(EDATE(A81,-1),0))))/(AK81*AB81*AE81)</f>
        <v>0.99974199181914891</v>
      </c>
      <c r="AG81" s="88">
        <f>IF($A82="","",Summary!$Q$14)</f>
        <v>0</v>
      </c>
      <c r="AH81" s="88">
        <f>IF($A82="","",IF(Summary!$R$12="Y",(VLOOKUP($A81,Summary!$AD$6:$AF$9,3)+'Escalating commodity'!J94),'Escalating commodity'!J94))</f>
        <v>5.4728277858636654E-3</v>
      </c>
      <c r="AI81" s="88">
        <f t="shared" si="76"/>
        <v>5.4728277858636654E-3</v>
      </c>
      <c r="AJ81" s="236">
        <f t="shared" si="61"/>
        <v>39217.5</v>
      </c>
      <c r="AK81" s="58">
        <f t="shared" ca="1" si="62"/>
        <v>2177</v>
      </c>
      <c r="AL81" s="26">
        <f ca="1">IF($A82="","",_xll.SPRDOPT(P81,X81,AI81,0,AB81,AE81,AF81,AK81,$AJ$2,0))</f>
        <v>1.7030794161078333E-2</v>
      </c>
      <c r="AM81" s="89">
        <f t="shared" si="63"/>
        <v>4.7404272682122217E-3</v>
      </c>
      <c r="AN81" s="89">
        <f t="shared" ca="1" si="64"/>
        <v>1.2290366892866111E-2</v>
      </c>
      <c r="AO81" s="3">
        <f t="shared" si="65"/>
        <v>31</v>
      </c>
      <c r="AP81" s="33">
        <f t="shared" si="66"/>
        <v>39203</v>
      </c>
      <c r="AQ81" s="58">
        <f t="shared" ca="1" si="67"/>
        <v>2177</v>
      </c>
      <c r="AR81" s="38">
        <f>'ANR OK vs ML7'!AR81</f>
        <v>0.1</v>
      </c>
      <c r="AS81" s="35">
        <f t="shared" ca="1" si="68"/>
        <v>0.55899869266026037</v>
      </c>
      <c r="AT81" s="3">
        <f t="shared" si="69"/>
        <v>1</v>
      </c>
      <c r="AU81" s="3">
        <f t="shared" si="70"/>
        <v>31</v>
      </c>
      <c r="AW81" s="32">
        <f t="shared" ca="1" si="71"/>
        <v>14993.911179413364</v>
      </c>
      <c r="AX81" s="32">
        <f t="shared" si="72"/>
        <v>4173.4721669340397</v>
      </c>
      <c r="AY81" s="32">
        <f t="shared" ca="1" si="73"/>
        <v>10820.439012479324</v>
      </c>
      <c r="BA81" s="32">
        <f ca="1">IF($A82="","",F81*Summary!$Q$14)</f>
        <v>0</v>
      </c>
      <c r="BC81" s="256">
        <f t="shared" ca="1" si="77"/>
        <v>2332.9654851701125</v>
      </c>
    </row>
    <row r="82" spans="1:55">
      <c r="A82" s="67">
        <f t="shared" si="74"/>
        <v>39234</v>
      </c>
      <c r="B82" s="69">
        <f t="shared" si="75"/>
        <v>28400</v>
      </c>
      <c r="C82" s="71"/>
      <c r="D82" s="69">
        <f t="shared" si="39"/>
        <v>28400</v>
      </c>
      <c r="E82" s="70">
        <f t="shared" si="40"/>
        <v>852000</v>
      </c>
      <c r="F82" s="70">
        <f t="shared" ca="1" si="41"/>
        <v>472338.74607959483</v>
      </c>
      <c r="G82" s="63">
        <f t="shared" si="42"/>
        <v>4.09</v>
      </c>
      <c r="H82" s="64">
        <f t="shared" si="43"/>
        <v>4.09</v>
      </c>
      <c r="I82" s="43"/>
      <c r="J82" s="63">
        <f t="shared" si="44"/>
        <v>0.23499999999999999</v>
      </c>
      <c r="K82" s="64">
        <f t="shared" si="45"/>
        <v>0.23499999999999999</v>
      </c>
      <c r="L82" s="38">
        <v>0</v>
      </c>
      <c r="M82" s="64">
        <f t="shared" si="46"/>
        <v>0</v>
      </c>
      <c r="N82" s="65"/>
      <c r="O82" s="63">
        <f t="shared" si="47"/>
        <v>4.3250000000000002</v>
      </c>
      <c r="P82" s="63">
        <f t="shared" si="48"/>
        <v>4.3250000000000002</v>
      </c>
      <c r="Q82" s="66"/>
      <c r="R82" s="63">
        <f t="shared" si="49"/>
        <v>0.18</v>
      </c>
      <c r="S82" s="64">
        <f t="shared" si="50"/>
        <v>0.18</v>
      </c>
      <c r="T82" s="63">
        <f t="shared" si="51"/>
        <v>0</v>
      </c>
      <c r="U82" s="64">
        <f t="shared" si="52"/>
        <v>0</v>
      </c>
      <c r="V82" s="207">
        <f>IF($A83="","",IF(AND(MONTH(A82)&gt;3,MONTH(A82)&lt;11),(T82+R82+G82)*(((1/(1-Summary!$T$14))/(1-Summary!$W$14))-1),(T82+R82+G82)*((1/(1-Summary!$U$14))/(1-Summary!$X$14)-1)))</f>
        <v>4.5533190695023186E-2</v>
      </c>
      <c r="W82" s="43">
        <f t="shared" si="53"/>
        <v>4.3155331906950227</v>
      </c>
      <c r="X82" s="43">
        <f t="shared" si="54"/>
        <v>4.3155331906950227</v>
      </c>
      <c r="Y82" s="43"/>
      <c r="Z82" s="38">
        <f t="shared" si="55"/>
        <v>0.5</v>
      </c>
      <c r="AA82" s="38">
        <f t="shared" si="56"/>
        <v>0.218</v>
      </c>
      <c r="AB82" s="38">
        <f t="shared" ca="1" si="57"/>
        <v>0.22190965079496211</v>
      </c>
      <c r="AC82" s="38">
        <f t="shared" si="58"/>
        <v>0.5</v>
      </c>
      <c r="AD82" s="38">
        <f t="shared" si="59"/>
        <v>0.218</v>
      </c>
      <c r="AE82" s="38">
        <f t="shared" ca="1" si="60"/>
        <v>0.22190965079496211</v>
      </c>
      <c r="AF82" s="237">
        <f ca="1">((Summary!$N$14*(AA82*AD82)*(A82-$D$3))+(Summary!$M$14*Z82*AC82*(AJ82-EOMONTH(EDATE(A82,-1),0))))/(AK82*AB82*AE82)</f>
        <v>0.9999034488937768</v>
      </c>
      <c r="AG82" s="88">
        <f>IF($A83="","",Summary!$Q$14)</f>
        <v>0</v>
      </c>
      <c r="AH82" s="88">
        <f>IF($A83="","",IF(Summary!$R$12="Y",(VLOOKUP($A82,Summary!$AD$6:$AF$9,3)+'Escalating commodity'!J95),'Escalating commodity'!J95))</f>
        <v>5.4728277858636654E-3</v>
      </c>
      <c r="AI82" s="88">
        <f t="shared" si="76"/>
        <v>5.4728277858636654E-3</v>
      </c>
      <c r="AJ82" s="236">
        <f t="shared" si="61"/>
        <v>39248</v>
      </c>
      <c r="AK82" s="58">
        <f t="shared" ca="1" si="62"/>
        <v>2208</v>
      </c>
      <c r="AL82" s="26">
        <f ca="1">IF($A83="","",_xll.SPRDOPT(P82,X82,AI82,0,AB82,AE82,AF82,AK82,$AJ$2,0))</f>
        <v>8.1504524621626578E-3</v>
      </c>
      <c r="AM82" s="89">
        <f t="shared" si="63"/>
        <v>3.9939815191137873E-3</v>
      </c>
      <c r="AN82" s="89">
        <f t="shared" ca="1" si="64"/>
        <v>4.1564709430488705E-3</v>
      </c>
      <c r="AO82" s="3">
        <f t="shared" si="65"/>
        <v>30</v>
      </c>
      <c r="AP82" s="33">
        <f t="shared" si="66"/>
        <v>39234</v>
      </c>
      <c r="AQ82" s="58">
        <f t="shared" ca="1" si="67"/>
        <v>2208</v>
      </c>
      <c r="AR82" s="38">
        <f>'ANR OK vs ML7'!AR82</f>
        <v>0.1</v>
      </c>
      <c r="AS82" s="35">
        <f t="shared" ca="1" si="68"/>
        <v>0.55438819962393759</v>
      </c>
      <c r="AT82" s="3">
        <f t="shared" si="69"/>
        <v>1</v>
      </c>
      <c r="AU82" s="3">
        <f t="shared" si="70"/>
        <v>30</v>
      </c>
      <c r="AW82" s="32">
        <f t="shared" ca="1" si="71"/>
        <v>6944.1854977625844</v>
      </c>
      <c r="AX82" s="32">
        <f t="shared" si="72"/>
        <v>3402.8722542849468</v>
      </c>
      <c r="AY82" s="32">
        <f t="shared" ca="1" si="73"/>
        <v>3541.3132434776376</v>
      </c>
      <c r="BA82" s="32">
        <f ca="1">IF($A83="","",F82*Summary!$Q$14)</f>
        <v>0</v>
      </c>
      <c r="BC82" s="256">
        <f t="shared" ca="1" si="77"/>
        <v>1886.5122226032815</v>
      </c>
    </row>
    <row r="83" spans="1:55">
      <c r="A83" s="67">
        <f t="shared" si="74"/>
        <v>39264</v>
      </c>
      <c r="B83" s="69">
        <f t="shared" si="75"/>
        <v>28400</v>
      </c>
      <c r="C83" s="71"/>
      <c r="D83" s="69">
        <f t="shared" si="39"/>
        <v>28400</v>
      </c>
      <c r="E83" s="70">
        <f t="shared" si="40"/>
        <v>880400</v>
      </c>
      <c r="F83" s="70">
        <f t="shared" ca="1" si="41"/>
        <v>484187.10955865483</v>
      </c>
      <c r="G83" s="63">
        <f t="shared" si="42"/>
        <v>4.1449999999999996</v>
      </c>
      <c r="H83" s="64">
        <f t="shared" si="43"/>
        <v>4.1449999999999996</v>
      </c>
      <c r="I83" s="43"/>
      <c r="J83" s="63">
        <f t="shared" si="44"/>
        <v>0.23499999999999999</v>
      </c>
      <c r="K83" s="64">
        <f t="shared" si="45"/>
        <v>0.23499999999999999</v>
      </c>
      <c r="L83" s="38">
        <v>0</v>
      </c>
      <c r="M83" s="64">
        <f t="shared" si="46"/>
        <v>0</v>
      </c>
      <c r="N83" s="65"/>
      <c r="O83" s="63">
        <f t="shared" si="47"/>
        <v>4.38</v>
      </c>
      <c r="P83" s="63">
        <f t="shared" si="48"/>
        <v>4.38</v>
      </c>
      <c r="Q83" s="66"/>
      <c r="R83" s="63">
        <f t="shared" si="49"/>
        <v>0.18</v>
      </c>
      <c r="S83" s="64">
        <f t="shared" si="50"/>
        <v>0.18</v>
      </c>
      <c r="T83" s="63">
        <f t="shared" si="51"/>
        <v>0</v>
      </c>
      <c r="U83" s="64">
        <f t="shared" si="52"/>
        <v>0</v>
      </c>
      <c r="V83" s="207">
        <f>IF($A84="","",IF(AND(MONTH(A83)&gt;3,MONTH(A83)&lt;11),(T83+R83+G83)*(((1/(1-Summary!$T$14))/(1-Summary!$W$14))-1),(T83+R83+G83)*((1/(1-Summary!$U$14))/(1-Summary!$X$14)-1)))</f>
        <v>4.6119683783600769E-2</v>
      </c>
      <c r="W83" s="43">
        <f t="shared" si="53"/>
        <v>4.3711196837835997</v>
      </c>
      <c r="X83" s="43">
        <f t="shared" si="54"/>
        <v>4.3711196837835997</v>
      </c>
      <c r="Y83" s="43"/>
      <c r="Z83" s="38">
        <f t="shared" si="55"/>
        <v>0.55000000000000004</v>
      </c>
      <c r="AA83" s="38">
        <f t="shared" si="56"/>
        <v>0.218</v>
      </c>
      <c r="AB83" s="38">
        <f t="shared" ca="1" si="57"/>
        <v>0.22280102689873618</v>
      </c>
      <c r="AC83" s="38">
        <f t="shared" si="58"/>
        <v>0.5</v>
      </c>
      <c r="AD83" s="38">
        <f t="shared" si="59"/>
        <v>0.218</v>
      </c>
      <c r="AE83" s="38">
        <f t="shared" ca="1" si="60"/>
        <v>0.22198353922984479</v>
      </c>
      <c r="AF83" s="237">
        <f ca="1">((Summary!$N$14*(AA83*AD83)*(A83-$D$3))+(Summary!$M$14*Z83*AC83*(AJ83-EOMONTH(EDATE(A83,-1),0))))/(AK83*AB83*AE83)</f>
        <v>0.9997355812748292</v>
      </c>
      <c r="AG83" s="88">
        <f>IF($A84="","",Summary!$Q$14)</f>
        <v>0</v>
      </c>
      <c r="AH83" s="88">
        <f>IF($A84="","",IF(Summary!$R$12="Y",(VLOOKUP($A83,Summary!$AD$6:$AF$9,3)+'Escalating commodity'!J96),'Escalating commodity'!J96))</f>
        <v>5.4728277858636654E-3</v>
      </c>
      <c r="AI83" s="88">
        <f t="shared" si="76"/>
        <v>5.4728277858636654E-3</v>
      </c>
      <c r="AJ83" s="236">
        <f t="shared" si="61"/>
        <v>39278.5</v>
      </c>
      <c r="AK83" s="58">
        <f t="shared" ca="1" si="62"/>
        <v>2238</v>
      </c>
      <c r="AL83" s="26">
        <f ca="1">IF($A84="","",_xll.SPRDOPT(P83,X83,AI83,0,AB83,AE83,AF83,AK83,$AJ$2,0))</f>
        <v>1.6797706950485498E-2</v>
      </c>
      <c r="AM83" s="89">
        <f t="shared" si="63"/>
        <v>3.4074884305365094E-3</v>
      </c>
      <c r="AN83" s="89">
        <f t="shared" ca="1" si="64"/>
        <v>1.3390218519948989E-2</v>
      </c>
      <c r="AO83" s="3">
        <f t="shared" si="65"/>
        <v>31</v>
      </c>
      <c r="AP83" s="33">
        <f t="shared" si="66"/>
        <v>39264</v>
      </c>
      <c r="AQ83" s="58">
        <f t="shared" ca="1" si="67"/>
        <v>2238</v>
      </c>
      <c r="AR83" s="38">
        <f>'ANR OK vs ML7'!AR83</f>
        <v>0.1</v>
      </c>
      <c r="AS83" s="35">
        <f t="shared" ca="1" si="68"/>
        <v>0.54996264147961704</v>
      </c>
      <c r="AT83" s="3">
        <f t="shared" si="69"/>
        <v>1</v>
      </c>
      <c r="AU83" s="3">
        <f t="shared" si="70"/>
        <v>31</v>
      </c>
      <c r="AW83" s="32">
        <f t="shared" ca="1" si="71"/>
        <v>14788.701199207433</v>
      </c>
      <c r="AX83" s="32">
        <f t="shared" si="72"/>
        <v>2999.9528142443428</v>
      </c>
      <c r="AY83" s="32">
        <f t="shared" ca="1" si="73"/>
        <v>11788.74838496309</v>
      </c>
      <c r="BA83" s="32">
        <f ca="1">IF($A84="","",F83*Summary!$Q$14)</f>
        <v>0</v>
      </c>
      <c r="BC83" s="256">
        <f t="shared" ca="1" si="77"/>
        <v>1649.8619740360298</v>
      </c>
    </row>
    <row r="84" spans="1:55">
      <c r="A84" s="67">
        <f t="shared" si="74"/>
        <v>39295</v>
      </c>
      <c r="B84" s="69">
        <f t="shared" si="75"/>
        <v>28400</v>
      </c>
      <c r="C84" s="71"/>
      <c r="D84" s="69">
        <f t="shared" si="39"/>
        <v>28400</v>
      </c>
      <c r="E84" s="70">
        <f t="shared" si="40"/>
        <v>880400</v>
      </c>
      <c r="F84" s="70">
        <f t="shared" ca="1" si="41"/>
        <v>480193.64530514512</v>
      </c>
      <c r="G84" s="63">
        <f t="shared" si="42"/>
        <v>4.2010000000000005</v>
      </c>
      <c r="H84" s="64">
        <f t="shared" si="43"/>
        <v>4.2010000000000005</v>
      </c>
      <c r="I84" s="43"/>
      <c r="J84" s="63">
        <f t="shared" si="44"/>
        <v>0.23499999999999999</v>
      </c>
      <c r="K84" s="64">
        <f t="shared" si="45"/>
        <v>0.23499999999999999</v>
      </c>
      <c r="L84" s="38">
        <v>0</v>
      </c>
      <c r="M84" s="64">
        <f t="shared" si="46"/>
        <v>0</v>
      </c>
      <c r="N84" s="65"/>
      <c r="O84" s="63">
        <f t="shared" si="47"/>
        <v>4.4360000000000008</v>
      </c>
      <c r="P84" s="63">
        <f t="shared" si="48"/>
        <v>4.4360000000000008</v>
      </c>
      <c r="Q84" s="66"/>
      <c r="R84" s="63">
        <f t="shared" si="49"/>
        <v>0.18</v>
      </c>
      <c r="S84" s="64">
        <f t="shared" si="50"/>
        <v>0.18</v>
      </c>
      <c r="T84" s="63">
        <f t="shared" si="51"/>
        <v>0</v>
      </c>
      <c r="U84" s="64">
        <f t="shared" si="52"/>
        <v>0</v>
      </c>
      <c r="V84" s="207">
        <f>IF($A85="","",IF(AND(MONTH(A84)&gt;3,MONTH(A84)&lt;11),(T84+R84+G84)*(((1/(1-Summary!$T$14))/(1-Summary!$W$14))-1),(T84+R84+G84)*((1/(1-Summary!$U$14))/(1-Summary!$X$14)-1)))</f>
        <v>4.6716840382879765E-2</v>
      </c>
      <c r="W84" s="43">
        <f t="shared" si="53"/>
        <v>4.4277168403828799</v>
      </c>
      <c r="X84" s="43">
        <f t="shared" si="54"/>
        <v>4.4277168403828799</v>
      </c>
      <c r="Y84" s="43"/>
      <c r="Z84" s="38">
        <f t="shared" si="55"/>
        <v>0.6</v>
      </c>
      <c r="AA84" s="38">
        <f t="shared" si="56"/>
        <v>0.218</v>
      </c>
      <c r="AB84" s="38">
        <f t="shared" ca="1" si="57"/>
        <v>0.22361613996311913</v>
      </c>
      <c r="AC84" s="38">
        <f t="shared" si="58"/>
        <v>0.45</v>
      </c>
      <c r="AD84" s="38">
        <f t="shared" si="59"/>
        <v>0.218</v>
      </c>
      <c r="AE84" s="38">
        <f t="shared" ca="1" si="60"/>
        <v>0.22119734074401901</v>
      </c>
      <c r="AF84" s="237">
        <f ca="1">((Summary!$N$14*(AA84*AD84)*(A84-$D$3))+(Summary!$M$14*Z84*AC84*(AJ84-EOMONTH(EDATE(A84,-1),0))))/(AK84*AB84*AE84)</f>
        <v>0.99840932079936395</v>
      </c>
      <c r="AG84" s="88">
        <f>IF($A85="","",Summary!$Q$14)</f>
        <v>0</v>
      </c>
      <c r="AH84" s="88">
        <f>IF($A85="","",IF(Summary!$R$12="Y",(VLOOKUP($A84,Summary!$AD$6:$AF$9,3)+'Escalating commodity'!J97),'Escalating commodity'!J97))</f>
        <v>5.4728277858636654E-3</v>
      </c>
      <c r="AI84" s="88">
        <f t="shared" si="76"/>
        <v>5.4728277858636654E-3</v>
      </c>
      <c r="AJ84" s="236">
        <f t="shared" si="61"/>
        <v>39309.5</v>
      </c>
      <c r="AK84" s="58">
        <f t="shared" ca="1" si="62"/>
        <v>2269</v>
      </c>
      <c r="AL84" s="26">
        <f ca="1">IF($A85="","",_xll.SPRDOPT(P84,X84,AI84,0,AB84,AE84,AF84,AK84,$AJ$2,0))</f>
        <v>5.7955211169667932E-2</v>
      </c>
      <c r="AM84" s="89">
        <f t="shared" si="63"/>
        <v>2.810331831257229E-3</v>
      </c>
      <c r="AN84" s="89">
        <f t="shared" ca="1" si="64"/>
        <v>5.5144879338410703E-2</v>
      </c>
      <c r="AO84" s="3">
        <f t="shared" si="65"/>
        <v>31</v>
      </c>
      <c r="AP84" s="33">
        <f t="shared" si="66"/>
        <v>39295</v>
      </c>
      <c r="AQ84" s="58">
        <f t="shared" ca="1" si="67"/>
        <v>2269</v>
      </c>
      <c r="AR84" s="38">
        <f>'ANR OK vs ML7'!AR84</f>
        <v>0.1</v>
      </c>
      <c r="AS84" s="35">
        <f t="shared" ca="1" si="68"/>
        <v>0.54542667572142789</v>
      </c>
      <c r="AT84" s="3">
        <f t="shared" si="69"/>
        <v>1</v>
      </c>
      <c r="AU84" s="3">
        <f t="shared" si="70"/>
        <v>31</v>
      </c>
      <c r="AW84" s="32">
        <f t="shared" ca="1" si="71"/>
        <v>51023.76791377565</v>
      </c>
      <c r="AX84" s="32">
        <f t="shared" si="72"/>
        <v>2474.2161442388642</v>
      </c>
      <c r="AY84" s="32">
        <f t="shared" ca="1" si="73"/>
        <v>48549.551769536782</v>
      </c>
      <c r="BA84" s="32">
        <f ca="1">IF($A85="","",F84*Summary!$Q$14)</f>
        <v>0</v>
      </c>
      <c r="BC84" s="256">
        <f t="shared" ca="1" si="77"/>
        <v>1349.5034865684927</v>
      </c>
    </row>
    <row r="85" spans="1:55">
      <c r="A85" s="67">
        <f t="shared" si="74"/>
        <v>39326</v>
      </c>
      <c r="B85" s="69">
        <f t="shared" si="75"/>
        <v>28400</v>
      </c>
      <c r="C85" s="71"/>
      <c r="D85" s="69">
        <f t="shared" si="39"/>
        <v>28400</v>
      </c>
      <c r="E85" s="70">
        <f t="shared" si="40"/>
        <v>852000</v>
      </c>
      <c r="F85" s="70">
        <f t="shared" ca="1" si="41"/>
        <v>460870.75957652926</v>
      </c>
      <c r="G85" s="63">
        <f t="shared" si="42"/>
        <v>4.2149999999999999</v>
      </c>
      <c r="H85" s="64">
        <f t="shared" si="43"/>
        <v>4.2149999999999999</v>
      </c>
      <c r="I85" s="43"/>
      <c r="J85" s="63">
        <f t="shared" si="44"/>
        <v>0.23499999999999999</v>
      </c>
      <c r="K85" s="64">
        <f t="shared" si="45"/>
        <v>0.23499999999999999</v>
      </c>
      <c r="L85" s="38">
        <v>0</v>
      </c>
      <c r="M85" s="64">
        <f t="shared" si="46"/>
        <v>0</v>
      </c>
      <c r="N85" s="65"/>
      <c r="O85" s="63">
        <f t="shared" si="47"/>
        <v>4.45</v>
      </c>
      <c r="P85" s="63">
        <f t="shared" si="48"/>
        <v>4.45</v>
      </c>
      <c r="Q85" s="66"/>
      <c r="R85" s="63">
        <f t="shared" si="49"/>
        <v>0.18</v>
      </c>
      <c r="S85" s="64">
        <f t="shared" si="50"/>
        <v>0.18</v>
      </c>
      <c r="T85" s="63">
        <f t="shared" si="51"/>
        <v>0</v>
      </c>
      <c r="U85" s="64">
        <f t="shared" si="52"/>
        <v>0</v>
      </c>
      <c r="V85" s="207">
        <f>IF($A86="","",IF(AND(MONTH(A85)&gt;3,MONTH(A85)&lt;11),(T85+R85+G85)*(((1/(1-Summary!$T$14))/(1-Summary!$W$14))-1),(T85+R85+G85)*((1/(1-Summary!$U$14))/(1-Summary!$X$14)-1)))</f>
        <v>4.6866129532699509E-2</v>
      </c>
      <c r="W85" s="43">
        <f t="shared" si="53"/>
        <v>4.4418661295326993</v>
      </c>
      <c r="X85" s="43">
        <f t="shared" si="54"/>
        <v>4.4418661295326993</v>
      </c>
      <c r="Y85" s="43"/>
      <c r="Z85" s="38">
        <f t="shared" si="55"/>
        <v>0.6</v>
      </c>
      <c r="AA85" s="38">
        <f t="shared" si="56"/>
        <v>0.218</v>
      </c>
      <c r="AB85" s="38">
        <f t="shared" ca="1" si="57"/>
        <v>0.22336626579600638</v>
      </c>
      <c r="AC85" s="38">
        <f t="shared" si="58"/>
        <v>0.5</v>
      </c>
      <c r="AD85" s="38">
        <f t="shared" si="59"/>
        <v>0.218</v>
      </c>
      <c r="AE85" s="38">
        <f t="shared" ca="1" si="60"/>
        <v>0.22175458820801058</v>
      </c>
      <c r="AF85" s="237">
        <f ca="1">((Summary!$N$14*(AA85*AD85)*(A85-$D$3))+(Summary!$M$14*Z85*AC85*(AJ85-EOMONTH(EDATE(A85,-1),0))))/(AK85*AB85*AE85)</f>
        <v>0.99927190402774324</v>
      </c>
      <c r="AG85" s="88">
        <f>IF($A86="","",Summary!$Q$14)</f>
        <v>0</v>
      </c>
      <c r="AH85" s="88">
        <f>IF($A86="","",IF(Summary!$R$12="Y",(VLOOKUP($A85,Summary!$AD$6:$AF$9,3)+'Escalating commodity'!J98),'Escalating commodity'!J98))</f>
        <v>5.4728277858636654E-3</v>
      </c>
      <c r="AI85" s="88">
        <f t="shared" si="76"/>
        <v>5.4728277858636654E-3</v>
      </c>
      <c r="AJ85" s="236">
        <f t="shared" si="61"/>
        <v>39340</v>
      </c>
      <c r="AK85" s="58">
        <f t="shared" ca="1" si="62"/>
        <v>2300</v>
      </c>
      <c r="AL85" s="26">
        <f ca="1">IF($A86="","",_xll.SPRDOPT(P85,X85,AI85,0,AB85,AE85,AF85,AK85,$AJ$2,0))</f>
        <v>3.646925731073241E-2</v>
      </c>
      <c r="AM85" s="89">
        <f t="shared" si="63"/>
        <v>2.6610426814371868E-3</v>
      </c>
      <c r="AN85" s="89">
        <f t="shared" ca="1" si="64"/>
        <v>3.3808214629295223E-2</v>
      </c>
      <c r="AO85" s="3">
        <f t="shared" si="65"/>
        <v>30</v>
      </c>
      <c r="AP85" s="33">
        <f t="shared" si="66"/>
        <v>39326</v>
      </c>
      <c r="AQ85" s="58">
        <f t="shared" ca="1" si="67"/>
        <v>2300</v>
      </c>
      <c r="AR85" s="38">
        <f>'ANR OK vs ML7'!AR85</f>
        <v>0.1</v>
      </c>
      <c r="AS85" s="35">
        <f t="shared" ca="1" si="68"/>
        <v>0.5409281215686963</v>
      </c>
      <c r="AT85" s="3">
        <f t="shared" si="69"/>
        <v>1</v>
      </c>
      <c r="AU85" s="3">
        <f t="shared" si="70"/>
        <v>30</v>
      </c>
      <c r="AW85" s="32">
        <f t="shared" ca="1" si="71"/>
        <v>31071.807228744012</v>
      </c>
      <c r="AX85" s="32">
        <f t="shared" si="72"/>
        <v>2267.2083645844832</v>
      </c>
      <c r="AY85" s="32">
        <f t="shared" ca="1" si="73"/>
        <v>28804.598864159529</v>
      </c>
      <c r="BA85" s="32">
        <f ca="1">IF($A86="","",F85*Summary!$Q$14)</f>
        <v>0</v>
      </c>
      <c r="BC85" s="256">
        <f t="shared" ca="1" si="77"/>
        <v>1226.3967618595204</v>
      </c>
    </row>
    <row r="86" spans="1:55">
      <c r="A86" s="67">
        <f t="shared" si="74"/>
        <v>39356</v>
      </c>
      <c r="B86" s="69">
        <f t="shared" si="75"/>
        <v>28400</v>
      </c>
      <c r="C86" s="71"/>
      <c r="D86" s="69">
        <f t="shared" si="39"/>
        <v>28400</v>
      </c>
      <c r="E86" s="70">
        <f t="shared" si="40"/>
        <v>880400</v>
      </c>
      <c r="F86" s="70">
        <f t="shared" ca="1" si="41"/>
        <v>472431.45478024858</v>
      </c>
      <c r="G86" s="63">
        <f t="shared" si="42"/>
        <v>4.2460000000000004</v>
      </c>
      <c r="H86" s="64">
        <f t="shared" si="43"/>
        <v>4.2460000000000004</v>
      </c>
      <c r="I86" s="43"/>
      <c r="J86" s="63">
        <f t="shared" si="44"/>
        <v>0.23499999999999999</v>
      </c>
      <c r="K86" s="64">
        <f t="shared" si="45"/>
        <v>0.23499999999999999</v>
      </c>
      <c r="L86" s="38">
        <v>0</v>
      </c>
      <c r="M86" s="64">
        <f t="shared" si="46"/>
        <v>0</v>
      </c>
      <c r="N86" s="65"/>
      <c r="O86" s="63">
        <f t="shared" si="47"/>
        <v>4.4810000000000008</v>
      </c>
      <c r="P86" s="63">
        <f t="shared" si="48"/>
        <v>4.4810000000000008</v>
      </c>
      <c r="Q86" s="66"/>
      <c r="R86" s="63">
        <f t="shared" si="49"/>
        <v>0.18</v>
      </c>
      <c r="S86" s="64">
        <f t="shared" si="50"/>
        <v>0.18</v>
      </c>
      <c r="T86" s="63">
        <f t="shared" si="51"/>
        <v>0</v>
      </c>
      <c r="U86" s="64">
        <f t="shared" si="52"/>
        <v>0</v>
      </c>
      <c r="V86" s="207">
        <f>IF($A87="","",IF(AND(MONTH(A86)&gt;3,MONTH(A86)&lt;11),(T86+R86+G86)*(((1/(1-Summary!$T$14))/(1-Summary!$W$14))-1),(T86+R86+G86)*((1/(1-Summary!$U$14))/(1-Summary!$X$14)-1)))</f>
        <v>4.7196698364443242E-2</v>
      </c>
      <c r="W86" s="43">
        <f t="shared" si="53"/>
        <v>4.4731966983644433</v>
      </c>
      <c r="X86" s="43">
        <f t="shared" si="54"/>
        <v>4.4731966983644433</v>
      </c>
      <c r="Y86" s="43"/>
      <c r="Z86" s="38">
        <f t="shared" si="55"/>
        <v>0.65</v>
      </c>
      <c r="AA86" s="38">
        <f t="shared" si="56"/>
        <v>0.218</v>
      </c>
      <c r="AB86" s="38">
        <f t="shared" ca="1" si="57"/>
        <v>0.22439923993659197</v>
      </c>
      <c r="AC86" s="38">
        <f t="shared" si="58"/>
        <v>0.5</v>
      </c>
      <c r="AD86" s="38">
        <f t="shared" si="59"/>
        <v>0.218</v>
      </c>
      <c r="AE86" s="38">
        <f t="shared" ca="1" si="60"/>
        <v>0.22182760580071853</v>
      </c>
      <c r="AF86" s="237">
        <f ca="1">((Summary!$N$14*(AA86*AD86)*(A86-$D$3))+(Summary!$M$14*Z86*AC86*(AJ86-EOMONTH(EDATE(A86,-1),0))))/(AK86*AB86*AE86)</f>
        <v>0.99846745697032591</v>
      </c>
      <c r="AG86" s="88">
        <f>IF($A87="","",Summary!$Q$14)</f>
        <v>0</v>
      </c>
      <c r="AH86" s="88">
        <f>IF($A87="","",IF(Summary!$R$12="Y",(VLOOKUP($A86,Summary!$AD$6:$AF$9,3)+'Escalating commodity'!J99),'Escalating commodity'!J99))</f>
        <v>5.4728277858636654E-3</v>
      </c>
      <c r="AI86" s="88">
        <f t="shared" si="76"/>
        <v>5.4728277858636654E-3</v>
      </c>
      <c r="AJ86" s="236">
        <f t="shared" si="61"/>
        <v>39370.5</v>
      </c>
      <c r="AK86" s="58">
        <f t="shared" ca="1" si="62"/>
        <v>2330</v>
      </c>
      <c r="AL86" s="26">
        <f ca="1">IF($A87="","",_xll.SPRDOPT(P86,X86,AI86,0,AB86,AE86,AF86,AK86,$AJ$2,0))</f>
        <v>5.8352619506308649E-2</v>
      </c>
      <c r="AM86" s="89">
        <f t="shared" si="63"/>
        <v>2.3304738496937594E-3</v>
      </c>
      <c r="AN86" s="89">
        <f t="shared" ca="1" si="64"/>
        <v>5.602214565661489E-2</v>
      </c>
      <c r="AO86" s="3">
        <f t="shared" si="65"/>
        <v>31</v>
      </c>
      <c r="AP86" s="33">
        <f t="shared" si="66"/>
        <v>39356</v>
      </c>
      <c r="AQ86" s="58">
        <f t="shared" ca="1" si="67"/>
        <v>2330</v>
      </c>
      <c r="AR86" s="38">
        <f>'ANR OK vs ML7'!AR86</f>
        <v>0.1</v>
      </c>
      <c r="AS86" s="35">
        <f t="shared" ca="1" si="68"/>
        <v>0.53661001224471672</v>
      </c>
      <c r="AT86" s="3">
        <f t="shared" si="69"/>
        <v>1</v>
      </c>
      <c r="AU86" s="3">
        <f t="shared" si="70"/>
        <v>31</v>
      </c>
      <c r="AW86" s="32">
        <f t="shared" ca="1" si="71"/>
        <v>51373.646213354135</v>
      </c>
      <c r="AX86" s="32">
        <f t="shared" si="72"/>
        <v>2051.7491772703856</v>
      </c>
      <c r="AY86" s="32">
        <f t="shared" ca="1" si="73"/>
        <v>49321.897036083748</v>
      </c>
      <c r="BA86" s="32">
        <f ca="1">IF($A87="","",F86*Summary!$Q$14)</f>
        <v>0</v>
      </c>
      <c r="BC86" s="256">
        <f t="shared" ca="1" si="77"/>
        <v>1100.9891511381491</v>
      </c>
    </row>
    <row r="87" spans="1:55">
      <c r="A87" s="67">
        <f t="shared" si="74"/>
        <v>39387</v>
      </c>
      <c r="B87" s="69">
        <f t="shared" si="75"/>
        <v>28400</v>
      </c>
      <c r="C87" s="71"/>
      <c r="D87" s="69">
        <f t="shared" si="39"/>
        <v>28400</v>
      </c>
      <c r="E87" s="70">
        <f t="shared" si="40"/>
        <v>852000</v>
      </c>
      <c r="F87" s="70">
        <f t="shared" ca="1" si="41"/>
        <v>453420.91787586804</v>
      </c>
      <c r="G87" s="63">
        <f t="shared" si="42"/>
        <v>4.3790000000000004</v>
      </c>
      <c r="H87" s="64">
        <f t="shared" si="43"/>
        <v>4.3790000000000004</v>
      </c>
      <c r="I87" s="43"/>
      <c r="J87" s="63">
        <f t="shared" si="44"/>
        <v>0.45500000000000002</v>
      </c>
      <c r="K87" s="64">
        <f t="shared" si="45"/>
        <v>0.45500000000000002</v>
      </c>
      <c r="L87" s="38">
        <v>0</v>
      </c>
      <c r="M87" s="64">
        <f t="shared" si="46"/>
        <v>0</v>
      </c>
      <c r="N87" s="65"/>
      <c r="O87" s="63">
        <f t="shared" si="47"/>
        <v>4.8340000000000005</v>
      </c>
      <c r="P87" s="63">
        <f t="shared" si="48"/>
        <v>4.8340000000000005</v>
      </c>
      <c r="Q87" s="66"/>
      <c r="R87" s="63">
        <f t="shared" si="49"/>
        <v>0.27500000000000002</v>
      </c>
      <c r="S87" s="64">
        <f t="shared" si="50"/>
        <v>0.27500000000000002</v>
      </c>
      <c r="T87" s="63">
        <f t="shared" si="51"/>
        <v>0</v>
      </c>
      <c r="U87" s="64">
        <f t="shared" si="52"/>
        <v>0</v>
      </c>
      <c r="V87" s="207">
        <f>IF($A88="","",IF(AND(MONTH(A87)&gt;3,MONTH(A87)&lt;11),(T87+R87+G87)*(((1/(1-Summary!$T$14))/(1-Summary!$W$14))-1),(T87+R87+G87)*((1/(1-Summary!$U$14))/(1-Summary!$X$14)-1)))</f>
        <v>4.9627978804364863E-2</v>
      </c>
      <c r="W87" s="43">
        <f t="shared" si="53"/>
        <v>4.7036279788043656</v>
      </c>
      <c r="X87" s="43">
        <f t="shared" si="54"/>
        <v>4.7036279788043656</v>
      </c>
      <c r="Y87" s="43"/>
      <c r="Z87" s="38">
        <f t="shared" si="55"/>
        <v>0.8</v>
      </c>
      <c r="AA87" s="38">
        <f t="shared" si="56"/>
        <v>0.218</v>
      </c>
      <c r="AB87" s="38">
        <f t="shared" ca="1" si="57"/>
        <v>0.22717878962743462</v>
      </c>
      <c r="AC87" s="38">
        <f t="shared" si="58"/>
        <v>0.95</v>
      </c>
      <c r="AD87" s="38">
        <f t="shared" si="59"/>
        <v>0.218</v>
      </c>
      <c r="AE87" s="38">
        <f t="shared" ca="1" si="60"/>
        <v>0.23082012043279848</v>
      </c>
      <c r="AF87" s="237">
        <f ca="1">((Summary!$N$14*(AA87*AD87)*(A87-$D$3))+(Summary!$M$14*Z87*AC87*(AJ87-EOMONTH(EDATE(A87,-1),0))))/(AK87*AB87*AE87)</f>
        <v>0.99867272838951182</v>
      </c>
      <c r="AG87" s="88">
        <f>IF($A88="","",Summary!$Q$14)</f>
        <v>0</v>
      </c>
      <c r="AH87" s="88">
        <f>IF($A88="","",IF(Summary!$R$12="Y",(VLOOKUP($A87,Summary!$AD$6:$AF$9,3)+'Escalating commodity'!J100),'Escalating commodity'!J100))</f>
        <v>5.4728277858636654E-3</v>
      </c>
      <c r="AI87" s="88">
        <f t="shared" si="76"/>
        <v>5.4728277858636654E-3</v>
      </c>
      <c r="AJ87" s="236">
        <f t="shared" si="61"/>
        <v>39401</v>
      </c>
      <c r="AK87" s="58">
        <f t="shared" ca="1" si="62"/>
        <v>2361</v>
      </c>
      <c r="AL87" s="26">
        <f ca="1">IF($A88="","",_xll.SPRDOPT(P87,X87,AI87,0,AB87,AE87,AF87,AK87,$AJ$2,0))</f>
        <v>0.14159064949325162</v>
      </c>
      <c r="AM87" s="89">
        <f t="shared" si="63"/>
        <v>0.12489919340977129</v>
      </c>
      <c r="AN87" s="89">
        <f t="shared" ca="1" si="64"/>
        <v>1.6691456083480327E-2</v>
      </c>
      <c r="AO87" s="3">
        <f t="shared" si="65"/>
        <v>30</v>
      </c>
      <c r="AP87" s="33">
        <f t="shared" si="66"/>
        <v>39387</v>
      </c>
      <c r="AQ87" s="58">
        <f t="shared" ca="1" si="67"/>
        <v>2361</v>
      </c>
      <c r="AR87" s="38">
        <f>'ANR OK vs ML7'!AR87</f>
        <v>0.1</v>
      </c>
      <c r="AS87" s="35">
        <f t="shared" ca="1" si="68"/>
        <v>0.53218417591064326</v>
      </c>
      <c r="AT87" s="3">
        <f t="shared" si="69"/>
        <v>1</v>
      </c>
      <c r="AU87" s="3">
        <f t="shared" si="70"/>
        <v>30</v>
      </c>
      <c r="AW87" s="32">
        <f t="shared" ca="1" si="71"/>
        <v>120635.23336825038</v>
      </c>
      <c r="AX87" s="32">
        <f t="shared" si="72"/>
        <v>106414.11278512514</v>
      </c>
      <c r="AY87" s="32">
        <f t="shared" ca="1" si="73"/>
        <v>14221.120583125239</v>
      </c>
      <c r="BA87" s="32">
        <f ca="1">IF($A88="","",F87*Summary!$Q$14)</f>
        <v>0</v>
      </c>
      <c r="BC87" s="256">
        <f t="shared" ca="1" si="77"/>
        <v>56631.906917814063</v>
      </c>
    </row>
    <row r="88" spans="1:55">
      <c r="A88" s="67">
        <f t="shared" si="74"/>
        <v>39417</v>
      </c>
      <c r="B88" s="69">
        <f t="shared" si="75"/>
        <v>28400</v>
      </c>
      <c r="C88" s="71"/>
      <c r="D88" s="69">
        <f t="shared" si="39"/>
        <v>28400</v>
      </c>
      <c r="E88" s="70">
        <f t="shared" si="40"/>
        <v>880400</v>
      </c>
      <c r="F88" s="70">
        <f t="shared" ca="1" si="41"/>
        <v>464794.73780614551</v>
      </c>
      <c r="G88" s="63">
        <f t="shared" si="42"/>
        <v>4.5170000000000003</v>
      </c>
      <c r="H88" s="64">
        <f t="shared" si="43"/>
        <v>4.5170000000000003</v>
      </c>
      <c r="I88" s="43"/>
      <c r="J88" s="63">
        <f t="shared" si="44"/>
        <v>0.45500000000000002</v>
      </c>
      <c r="K88" s="64">
        <f t="shared" si="45"/>
        <v>0.45500000000000002</v>
      </c>
      <c r="L88" s="38">
        <v>0</v>
      </c>
      <c r="M88" s="64">
        <f t="shared" si="46"/>
        <v>0</v>
      </c>
      <c r="N88" s="65"/>
      <c r="O88" s="63">
        <f t="shared" si="47"/>
        <v>4.9720000000000004</v>
      </c>
      <c r="P88" s="63">
        <f t="shared" si="48"/>
        <v>4.9720000000000004</v>
      </c>
      <c r="Q88" s="66"/>
      <c r="R88" s="63">
        <f t="shared" si="49"/>
        <v>0.27500000000000002</v>
      </c>
      <c r="S88" s="64">
        <f t="shared" si="50"/>
        <v>0.27500000000000002</v>
      </c>
      <c r="T88" s="63">
        <f t="shared" si="51"/>
        <v>0</v>
      </c>
      <c r="U88" s="64">
        <f t="shared" si="52"/>
        <v>0</v>
      </c>
      <c r="V88" s="207">
        <f>IF($A89="","",IF(AND(MONTH(A88)&gt;3,MONTH(A88)&lt;11),(T88+R88+G88)*(((1/(1-Summary!$T$14))/(1-Summary!$W$14))-1),(T88+R88+G88)*((1/(1-Summary!$U$14))/(1-Summary!$X$14)-1)))</f>
        <v>5.1099543281159523E-2</v>
      </c>
      <c r="W88" s="43">
        <f t="shared" si="53"/>
        <v>4.8430995432811601</v>
      </c>
      <c r="X88" s="43">
        <f t="shared" si="54"/>
        <v>4.8430995432811601</v>
      </c>
      <c r="Y88" s="43"/>
      <c r="Z88" s="38">
        <f t="shared" si="55"/>
        <v>1.1000000000000001</v>
      </c>
      <c r="AA88" s="38">
        <f t="shared" si="56"/>
        <v>0.218</v>
      </c>
      <c r="AB88" s="38">
        <f t="shared" ca="1" si="57"/>
        <v>0.23534628641532793</v>
      </c>
      <c r="AC88" s="38">
        <f t="shared" si="58"/>
        <v>1.35</v>
      </c>
      <c r="AD88" s="38">
        <f t="shared" si="59"/>
        <v>0.218</v>
      </c>
      <c r="AE88" s="38">
        <f t="shared" ca="1" si="60"/>
        <v>0.24363598567813571</v>
      </c>
      <c r="AF88" s="237">
        <f ca="1">((Summary!$N$14*(AA88*AD88)*(A88-$D$3))+(Summary!$M$14*Z88*AC88*(AJ88-EOMONTH(EDATE(A88,-1),0))))/(AK88*AB88*AE88)</f>
        <v>0.99698324069741884</v>
      </c>
      <c r="AG88" s="88">
        <f>IF($A89="","",Summary!$Q$14)</f>
        <v>0</v>
      </c>
      <c r="AH88" s="88">
        <f>IF($A89="","",IF(Summary!$R$12="Y",(VLOOKUP($A88,Summary!$AD$6:$AF$9,3)+'Escalating commodity'!J101),'Escalating commodity'!J101))</f>
        <v>5.4728277858636654E-3</v>
      </c>
      <c r="AI88" s="88">
        <f t="shared" si="76"/>
        <v>5.4728277858636654E-3</v>
      </c>
      <c r="AJ88" s="236">
        <f t="shared" si="61"/>
        <v>39431.5</v>
      </c>
      <c r="AK88" s="58">
        <f t="shared" ca="1" si="62"/>
        <v>2391</v>
      </c>
      <c r="AL88" s="26">
        <f ca="1">IF($A89="","",_xll.SPRDOPT(P88,X88,AI88,0,AB88,AE88,AF88,AK88,$AJ$2,0))</f>
        <v>0.17491707831307204</v>
      </c>
      <c r="AM88" s="89">
        <f t="shared" si="63"/>
        <v>0.12342762893297665</v>
      </c>
      <c r="AN88" s="89">
        <f t="shared" ca="1" si="64"/>
        <v>5.1489449380095392E-2</v>
      </c>
      <c r="AO88" s="3">
        <f t="shared" si="65"/>
        <v>31</v>
      </c>
      <c r="AP88" s="33">
        <f t="shared" si="66"/>
        <v>39417</v>
      </c>
      <c r="AQ88" s="58">
        <f t="shared" ca="1" si="67"/>
        <v>2391</v>
      </c>
      <c r="AR88" s="38">
        <f>'ANR OK vs ML7'!AR88</f>
        <v>0.1</v>
      </c>
      <c r="AS88" s="35">
        <f t="shared" ca="1" si="68"/>
        <v>0.52793586756718025</v>
      </c>
      <c r="AT88" s="3">
        <f t="shared" si="69"/>
        <v>1</v>
      </c>
      <c r="AU88" s="3">
        <f t="shared" si="70"/>
        <v>31</v>
      </c>
      <c r="AW88" s="32">
        <f t="shared" ca="1" si="71"/>
        <v>153996.99574682862</v>
      </c>
      <c r="AX88" s="32">
        <f t="shared" si="72"/>
        <v>108665.68451259265</v>
      </c>
      <c r="AY88" s="32">
        <f t="shared" ca="1" si="73"/>
        <v>45331.311234235982</v>
      </c>
      <c r="BA88" s="32">
        <f ca="1">IF($A89="","",F88*Summary!$Q$14)</f>
        <v>0</v>
      </c>
      <c r="BC88" s="256">
        <f t="shared" ca="1" si="77"/>
        <v>57368.512427937101</v>
      </c>
    </row>
    <row r="89" spans="1:55">
      <c r="A89" s="67">
        <f t="shared" si="74"/>
        <v>39448</v>
      </c>
      <c r="B89" s="69">
        <f t="shared" si="75"/>
        <v>28400</v>
      </c>
      <c r="C89" s="71"/>
      <c r="D89" s="69">
        <f t="shared" si="39"/>
        <v>28400</v>
      </c>
      <c r="E89" s="70">
        <f t="shared" si="40"/>
        <v>880400</v>
      </c>
      <c r="F89" s="70">
        <f t="shared" ca="1" si="41"/>
        <v>460961.21738809842</v>
      </c>
      <c r="G89" s="63">
        <f t="shared" si="42"/>
        <v>4.5339999999999998</v>
      </c>
      <c r="H89" s="64">
        <f t="shared" si="43"/>
        <v>4.5339999999999998</v>
      </c>
      <c r="I89" s="43"/>
      <c r="J89" s="63">
        <f t="shared" si="44"/>
        <v>0.45500000000000002</v>
      </c>
      <c r="K89" s="64">
        <f t="shared" si="45"/>
        <v>0.45500000000000002</v>
      </c>
      <c r="L89" s="38">
        <v>0</v>
      </c>
      <c r="M89" s="64">
        <f t="shared" si="46"/>
        <v>0</v>
      </c>
      <c r="N89" s="65"/>
      <c r="O89" s="63">
        <f t="shared" si="47"/>
        <v>4.9889999999999999</v>
      </c>
      <c r="P89" s="63">
        <f t="shared" si="48"/>
        <v>4.9889999999999999</v>
      </c>
      <c r="Q89" s="66"/>
      <c r="R89" s="63">
        <f t="shared" si="49"/>
        <v>0.27500000000000002</v>
      </c>
      <c r="S89" s="64">
        <f t="shared" si="50"/>
        <v>0.27500000000000002</v>
      </c>
      <c r="T89" s="63">
        <f t="shared" si="51"/>
        <v>0</v>
      </c>
      <c r="U89" s="64">
        <f t="shared" si="52"/>
        <v>0</v>
      </c>
      <c r="V89" s="207">
        <f>IF($A90="","",IF(AND(MONTH(A89)&gt;3,MONTH(A89)&lt;11),(T89+R89+G89)*(((1/(1-Summary!$T$14))/(1-Summary!$W$14))-1),(T89+R89+G89)*((1/(1-Summary!$U$14))/(1-Summary!$X$14)-1)))</f>
        <v>5.1280822963083499E-2</v>
      </c>
      <c r="W89" s="43">
        <f t="shared" si="53"/>
        <v>4.8602808229630838</v>
      </c>
      <c r="X89" s="43">
        <f t="shared" si="54"/>
        <v>4.8602808229630838</v>
      </c>
      <c r="Y89" s="43"/>
      <c r="Z89" s="38">
        <f t="shared" si="55"/>
        <v>1.1000000000000001</v>
      </c>
      <c r="AA89" s="38">
        <f t="shared" si="56"/>
        <v>0.218</v>
      </c>
      <c r="AB89" s="38">
        <f t="shared" ca="1" si="57"/>
        <v>0.2351323502423065</v>
      </c>
      <c r="AC89" s="38">
        <f t="shared" si="58"/>
        <v>1.35</v>
      </c>
      <c r="AD89" s="38">
        <f t="shared" si="59"/>
        <v>0.218</v>
      </c>
      <c r="AE89" s="38">
        <f t="shared" ca="1" si="60"/>
        <v>0.24332492642212381</v>
      </c>
      <c r="AF89" s="237">
        <f ca="1">((Summary!$N$14*(AA89*AD89)*(A89-$D$3))+(Summary!$M$14*Z89*AC89*(AJ89-EOMONTH(EDATE(A89,-1),0))))/(AK89*AB89*AE89)</f>
        <v>0.99700796660006685</v>
      </c>
      <c r="AG89" s="88">
        <f>IF($A90="","",Summary!$Q$14)</f>
        <v>0</v>
      </c>
      <c r="AH89" s="88">
        <f>IF($A90="","",IF(Summary!$R$12="Y",(VLOOKUP($A89,Summary!$AD$6:$AF$9,3)+'Escalating commodity'!J102),'Escalating commodity'!J102))</f>
        <v>5.5822843415809387E-3</v>
      </c>
      <c r="AI89" s="88">
        <f t="shared" si="76"/>
        <v>5.5822843415809387E-3</v>
      </c>
      <c r="AJ89" s="236">
        <f t="shared" si="61"/>
        <v>39462.5</v>
      </c>
      <c r="AK89" s="58">
        <f t="shared" ca="1" si="62"/>
        <v>2422</v>
      </c>
      <c r="AL89" s="26">
        <f ca="1">IF($A90="","",_xll.SPRDOPT(P89,X89,AI89,0,AB89,AE89,AF89,AK89,$AJ$2,0))</f>
        <v>0.17503842240445203</v>
      </c>
      <c r="AM89" s="89">
        <f t="shared" si="63"/>
        <v>0.12313689269533511</v>
      </c>
      <c r="AN89" s="89">
        <f t="shared" ca="1" si="64"/>
        <v>5.190152970911692E-2</v>
      </c>
      <c r="AO89" s="3">
        <f t="shared" si="65"/>
        <v>31</v>
      </c>
      <c r="AP89" s="33">
        <f t="shared" si="66"/>
        <v>39448</v>
      </c>
      <c r="AQ89" s="58">
        <f t="shared" ca="1" si="67"/>
        <v>2422</v>
      </c>
      <c r="AR89" s="38">
        <f>'ANR OK vs ML7'!AR89</f>
        <v>0.1</v>
      </c>
      <c r="AS89" s="35">
        <f t="shared" ca="1" si="68"/>
        <v>0.52358157358938939</v>
      </c>
      <c r="AT89" s="3">
        <f t="shared" si="69"/>
        <v>1</v>
      </c>
      <c r="AU89" s="3">
        <f t="shared" si="70"/>
        <v>31</v>
      </c>
      <c r="AW89" s="32">
        <f t="shared" ca="1" si="71"/>
        <v>154103.82708487957</v>
      </c>
      <c r="AX89" s="32">
        <f t="shared" si="72"/>
        <v>108409.72032897302</v>
      </c>
      <c r="AY89" s="32">
        <f t="shared" ca="1" si="73"/>
        <v>45694.106755906534</v>
      </c>
      <c r="BA89" s="32">
        <f ca="1">IF($A90="","",F89*Summary!$Q$14)</f>
        <v>0</v>
      </c>
      <c r="BC89" s="256">
        <f t="shared" ca="1" si="77"/>
        <v>56761.331962229313</v>
      </c>
    </row>
    <row r="90" spans="1:55">
      <c r="A90" s="67">
        <f t="shared" si="74"/>
        <v>39479</v>
      </c>
      <c r="B90" s="69">
        <f t="shared" si="75"/>
        <v>28400</v>
      </c>
      <c r="C90" s="71"/>
      <c r="D90" s="69">
        <f t="shared" si="39"/>
        <v>28400</v>
      </c>
      <c r="E90" s="70">
        <f t="shared" si="40"/>
        <v>823600</v>
      </c>
      <c r="F90" s="70">
        <f t="shared" ca="1" si="41"/>
        <v>427665.16561468068</v>
      </c>
      <c r="G90" s="63">
        <f t="shared" si="42"/>
        <v>4.4140000000000006</v>
      </c>
      <c r="H90" s="64">
        <f t="shared" si="43"/>
        <v>4.4140000000000006</v>
      </c>
      <c r="I90" s="43"/>
      <c r="J90" s="63">
        <f t="shared" si="44"/>
        <v>0.45500000000000002</v>
      </c>
      <c r="K90" s="64">
        <f t="shared" si="45"/>
        <v>0.45500000000000002</v>
      </c>
      <c r="L90" s="38">
        <v>0</v>
      </c>
      <c r="M90" s="64">
        <f t="shared" si="46"/>
        <v>0</v>
      </c>
      <c r="N90" s="65"/>
      <c r="O90" s="63">
        <f t="shared" si="47"/>
        <v>4.8690000000000007</v>
      </c>
      <c r="P90" s="63">
        <f t="shared" si="48"/>
        <v>4.8690000000000007</v>
      </c>
      <c r="Q90" s="66"/>
      <c r="R90" s="63">
        <f t="shared" si="49"/>
        <v>0.27500000000000002</v>
      </c>
      <c r="S90" s="64">
        <f t="shared" si="50"/>
        <v>0.27500000000000002</v>
      </c>
      <c r="T90" s="63">
        <f t="shared" si="51"/>
        <v>0</v>
      </c>
      <c r="U90" s="64">
        <f t="shared" si="52"/>
        <v>0</v>
      </c>
      <c r="V90" s="207">
        <f>IF($A91="","",IF(AND(MONTH(A90)&gt;3,MONTH(A90)&lt;11),(T90+R90+G90)*(((1/(1-Summary!$T$14))/(1-Summary!$W$14))-1),(T90+R90+G90)*((1/(1-Summary!$U$14))/(1-Summary!$X$14)-1)))</f>
        <v>5.0001201678914232E-2</v>
      </c>
      <c r="W90" s="43">
        <f t="shared" si="53"/>
        <v>4.7390012016789154</v>
      </c>
      <c r="X90" s="43">
        <f t="shared" si="54"/>
        <v>4.7390012016789154</v>
      </c>
      <c r="Y90" s="43"/>
      <c r="Z90" s="38">
        <f t="shared" si="55"/>
        <v>1.1000000000000001</v>
      </c>
      <c r="AA90" s="38">
        <f t="shared" si="56"/>
        <v>0.218</v>
      </c>
      <c r="AB90" s="38">
        <f t="shared" ca="1" si="57"/>
        <v>0.23387141808198528</v>
      </c>
      <c r="AC90" s="38">
        <f t="shared" si="58"/>
        <v>1.35</v>
      </c>
      <c r="AD90" s="38">
        <f t="shared" si="59"/>
        <v>0.218</v>
      </c>
      <c r="AE90" s="38">
        <f t="shared" ca="1" si="60"/>
        <v>0.24148790207535575</v>
      </c>
      <c r="AF90" s="237">
        <f ca="1">((Summary!$N$14*(AA90*AD90)*(A90-$D$3))+(Summary!$M$14*Z90*AC90*(AJ90-EOMONTH(EDATE(A90,-1),0))))/(AK90*AB90*AE90)</f>
        <v>0.99715864199572635</v>
      </c>
      <c r="AG90" s="88">
        <f>IF($A91="","",Summary!$Q$14)</f>
        <v>0</v>
      </c>
      <c r="AH90" s="88">
        <f>IF($A91="","",IF(Summary!$R$12="Y",(VLOOKUP($A90,Summary!$AD$6:$AF$9,3)+'Escalating commodity'!J103),'Escalating commodity'!J103))</f>
        <v>5.5822843415809387E-3</v>
      </c>
      <c r="AI90" s="88">
        <f t="shared" si="76"/>
        <v>5.5822843415809387E-3</v>
      </c>
      <c r="AJ90" s="236">
        <f t="shared" si="61"/>
        <v>39492.5</v>
      </c>
      <c r="AK90" s="58">
        <f t="shared" ca="1" si="62"/>
        <v>2453</v>
      </c>
      <c r="AL90" s="26">
        <f ca="1">IF($A91="","",_xll.SPRDOPT(P90,X90,AI90,0,AB90,AE90,AF90,AK90,$AJ$2,0))</f>
        <v>0.1709157808993092</v>
      </c>
      <c r="AM90" s="89">
        <f t="shared" si="63"/>
        <v>0.12441651397950436</v>
      </c>
      <c r="AN90" s="89">
        <f t="shared" ca="1" si="64"/>
        <v>4.6499266919804841E-2</v>
      </c>
      <c r="AO90" s="3">
        <f t="shared" si="65"/>
        <v>29</v>
      </c>
      <c r="AP90" s="33">
        <f t="shared" si="66"/>
        <v>39479</v>
      </c>
      <c r="AQ90" s="58">
        <f t="shared" ca="1" si="67"/>
        <v>2453</v>
      </c>
      <c r="AR90" s="38">
        <f>'ANR OK vs ML7'!AR90</f>
        <v>0.1</v>
      </c>
      <c r="AS90" s="35">
        <f t="shared" ca="1" si="68"/>
        <v>0.51926319282986966</v>
      </c>
      <c r="AT90" s="3">
        <f t="shared" si="69"/>
        <v>1</v>
      </c>
      <c r="AU90" s="3">
        <f t="shared" si="70"/>
        <v>29</v>
      </c>
      <c r="AW90" s="32">
        <f t="shared" ca="1" si="71"/>
        <v>140766.23714867106</v>
      </c>
      <c r="AX90" s="32">
        <f t="shared" si="72"/>
        <v>102469.44091351979</v>
      </c>
      <c r="AY90" s="32">
        <f t="shared" ca="1" si="73"/>
        <v>38296.796235151269</v>
      </c>
      <c r="BA90" s="32">
        <f ca="1">IF($A91="","",F90*Summary!$Q$14)</f>
        <v>0</v>
      </c>
      <c r="BC90" s="256">
        <f t="shared" ca="1" si="77"/>
        <v>53208.609056245965</v>
      </c>
    </row>
    <row r="91" spans="1:55">
      <c r="A91" s="67">
        <f t="shared" si="74"/>
        <v>39508</v>
      </c>
      <c r="B91" s="69">
        <f t="shared" si="75"/>
        <v>28400</v>
      </c>
      <c r="C91" s="71"/>
      <c r="D91" s="69">
        <f t="shared" si="39"/>
        <v>28400</v>
      </c>
      <c r="E91" s="70">
        <f t="shared" si="40"/>
        <v>880400</v>
      </c>
      <c r="F91" s="70">
        <f t="shared" ca="1" si="41"/>
        <v>453631.08952948864</v>
      </c>
      <c r="G91" s="63">
        <f t="shared" si="42"/>
        <v>4.2750000000000004</v>
      </c>
      <c r="H91" s="64">
        <f t="shared" si="43"/>
        <v>4.2750000000000004</v>
      </c>
      <c r="I91" s="43"/>
      <c r="J91" s="63">
        <f t="shared" si="44"/>
        <v>0.45500000000000002</v>
      </c>
      <c r="K91" s="64">
        <f t="shared" si="45"/>
        <v>0.45500000000000002</v>
      </c>
      <c r="L91" s="38">
        <v>0</v>
      </c>
      <c r="M91" s="64">
        <f t="shared" si="46"/>
        <v>0</v>
      </c>
      <c r="N91" s="65"/>
      <c r="O91" s="63">
        <f t="shared" si="47"/>
        <v>4.7300000000000004</v>
      </c>
      <c r="P91" s="63">
        <f t="shared" si="48"/>
        <v>4.7300000000000004</v>
      </c>
      <c r="Q91" s="66"/>
      <c r="R91" s="63">
        <f t="shared" si="49"/>
        <v>0.27500000000000002</v>
      </c>
      <c r="S91" s="64">
        <f t="shared" si="50"/>
        <v>0.27500000000000002</v>
      </c>
      <c r="T91" s="63">
        <f t="shared" si="51"/>
        <v>0</v>
      </c>
      <c r="U91" s="64">
        <f t="shared" si="52"/>
        <v>0</v>
      </c>
      <c r="V91" s="207">
        <f>IF($A92="","",IF(AND(MONTH(A91)&gt;3,MONTH(A91)&lt;11),(T91+R91+G91)*(((1/(1-Summary!$T$14))/(1-Summary!$W$14))-1),(T91+R91+G91)*((1/(1-Summary!$U$14))/(1-Summary!$X$14)-1)))</f>
        <v>4.8518973691418159E-2</v>
      </c>
      <c r="W91" s="43">
        <f t="shared" si="53"/>
        <v>4.5985189736914185</v>
      </c>
      <c r="X91" s="43">
        <f t="shared" si="54"/>
        <v>4.5985189736914185</v>
      </c>
      <c r="Y91" s="43"/>
      <c r="Z91" s="38">
        <f t="shared" si="55"/>
        <v>0.75</v>
      </c>
      <c r="AA91" s="38">
        <f t="shared" si="56"/>
        <v>0.20499999999999999</v>
      </c>
      <c r="AB91" s="38">
        <f t="shared" ca="1" si="57"/>
        <v>0.21343552659501844</v>
      </c>
      <c r="AC91" s="38">
        <f t="shared" si="58"/>
        <v>0.95</v>
      </c>
      <c r="AD91" s="38">
        <f t="shared" si="59"/>
        <v>0.20499999999999999</v>
      </c>
      <c r="AE91" s="38">
        <f t="shared" ca="1" si="60"/>
        <v>0.21835295208475128</v>
      </c>
      <c r="AF91" s="237">
        <f ca="1">((Summary!$N$14*(AA91*AD91)*(A91-$D$3))+(Summary!$M$14*Z91*AC91*(AJ91-EOMONTH(EDATE(A91,-1),0))))/(AK91*AB91*AE91)</f>
        <v>0.99748922335040158</v>
      </c>
      <c r="AG91" s="88">
        <f>IF($A92="","",Summary!$Q$14)</f>
        <v>0</v>
      </c>
      <c r="AH91" s="88">
        <f>IF($A92="","",IF(Summary!$R$12="Y",(VLOOKUP($A91,Summary!$AD$6:$AF$9,3)+'Escalating commodity'!J104),'Escalating commodity'!J104))</f>
        <v>5.5822843415809387E-3</v>
      </c>
      <c r="AI91" s="88">
        <f t="shared" si="76"/>
        <v>5.5822843415809387E-3</v>
      </c>
      <c r="AJ91" s="236">
        <f t="shared" si="61"/>
        <v>39522.5</v>
      </c>
      <c r="AK91" s="58">
        <f t="shared" ca="1" si="62"/>
        <v>2482</v>
      </c>
      <c r="AL91" s="26">
        <f ca="1">IF($A92="","",_xll.SPRDOPT(P91,X91,AI91,0,AB91,AE91,AF91,AK91,$AJ$2,0))</f>
        <v>0.15624331514754886</v>
      </c>
      <c r="AM91" s="89">
        <f t="shared" si="63"/>
        <v>0.12589874196700099</v>
      </c>
      <c r="AN91" s="89">
        <f t="shared" ca="1" si="64"/>
        <v>3.0344573180547868E-2</v>
      </c>
      <c r="AO91" s="3">
        <f t="shared" si="65"/>
        <v>31</v>
      </c>
      <c r="AP91" s="33">
        <f t="shared" si="66"/>
        <v>39508</v>
      </c>
      <c r="AQ91" s="58">
        <f t="shared" ca="1" si="67"/>
        <v>2482</v>
      </c>
      <c r="AR91" s="38">
        <f>'ANR OK vs ML7'!AR91</f>
        <v>0.1</v>
      </c>
      <c r="AS91" s="35">
        <f t="shared" ca="1" si="68"/>
        <v>0.51525566734380812</v>
      </c>
      <c r="AT91" s="3">
        <f t="shared" si="69"/>
        <v>1</v>
      </c>
      <c r="AU91" s="3">
        <f t="shared" si="70"/>
        <v>31</v>
      </c>
      <c r="AW91" s="32">
        <f t="shared" ca="1" si="71"/>
        <v>137556.61465590203</v>
      </c>
      <c r="AX91" s="32">
        <f t="shared" si="72"/>
        <v>110841.25242774768</v>
      </c>
      <c r="AY91" s="32">
        <f t="shared" ca="1" si="73"/>
        <v>26715.362228154343</v>
      </c>
      <c r="BA91" s="32">
        <f ca="1">IF($A92="","",F91*Summary!$Q$14)</f>
        <v>0</v>
      </c>
      <c r="BC91" s="256">
        <f t="shared" ca="1" si="77"/>
        <v>57111.583488882614</v>
      </c>
    </row>
    <row r="92" spans="1:55">
      <c r="A92" s="67">
        <f t="shared" si="74"/>
        <v>39539</v>
      </c>
      <c r="B92" s="69">
        <f t="shared" si="75"/>
        <v>28400</v>
      </c>
      <c r="C92" s="71"/>
      <c r="D92" s="69">
        <f t="shared" si="39"/>
        <v>28400</v>
      </c>
      <c r="E92" s="70">
        <f t="shared" si="40"/>
        <v>852000</v>
      </c>
      <c r="F92" s="70">
        <f t="shared" ca="1" si="41"/>
        <v>435377.075150861</v>
      </c>
      <c r="G92" s="63">
        <f t="shared" si="42"/>
        <v>4.0999999999999996</v>
      </c>
      <c r="H92" s="64">
        <f t="shared" si="43"/>
        <v>4.0999999999999996</v>
      </c>
      <c r="I92" s="43"/>
      <c r="J92" s="63">
        <f t="shared" si="44"/>
        <v>0.23499999999999999</v>
      </c>
      <c r="K92" s="64">
        <f t="shared" si="45"/>
        <v>0.23499999999999999</v>
      </c>
      <c r="L92" s="38">
        <v>0</v>
      </c>
      <c r="M92" s="64">
        <f t="shared" si="46"/>
        <v>0</v>
      </c>
      <c r="N92" s="65"/>
      <c r="O92" s="63">
        <f t="shared" si="47"/>
        <v>4.335</v>
      </c>
      <c r="P92" s="63">
        <f t="shared" si="48"/>
        <v>4.335</v>
      </c>
      <c r="Q92" s="66"/>
      <c r="R92" s="63">
        <f t="shared" si="49"/>
        <v>0.18</v>
      </c>
      <c r="S92" s="64">
        <f t="shared" si="50"/>
        <v>0.18</v>
      </c>
      <c r="T92" s="63">
        <f t="shared" si="51"/>
        <v>0</v>
      </c>
      <c r="U92" s="64">
        <f t="shared" si="52"/>
        <v>0</v>
      </c>
      <c r="V92" s="207">
        <f>IF($A93="","",IF(AND(MONTH(A92)&gt;3,MONTH(A92)&lt;11),(T92+R92+G92)*(((1/(1-Summary!$T$14))/(1-Summary!$W$14))-1),(T92+R92+G92)*((1/(1-Summary!$U$14))/(1-Summary!$X$14)-1)))</f>
        <v>4.5639825802037293E-2</v>
      </c>
      <c r="W92" s="43">
        <f t="shared" si="53"/>
        <v>4.3256398258020363</v>
      </c>
      <c r="X92" s="43">
        <f t="shared" si="54"/>
        <v>4.3256398258020363</v>
      </c>
      <c r="Y92" s="43"/>
      <c r="Z92" s="38">
        <f t="shared" si="55"/>
        <v>0.45</v>
      </c>
      <c r="AA92" s="38">
        <f t="shared" si="56"/>
        <v>0.20499999999999999</v>
      </c>
      <c r="AB92" s="38">
        <f t="shared" ca="1" si="57"/>
        <v>0.20796739581923904</v>
      </c>
      <c r="AC92" s="38">
        <f t="shared" si="58"/>
        <v>0.5</v>
      </c>
      <c r="AD92" s="38">
        <f t="shared" si="59"/>
        <v>0.20499999999999999</v>
      </c>
      <c r="AE92" s="38">
        <f t="shared" ca="1" si="60"/>
        <v>0.2086479412560068</v>
      </c>
      <c r="AF92" s="237">
        <f ca="1">((Summary!$N$14*(AA92*AD92)*(A92-$D$3))+(Summary!$M$14*Z92*AC92*(AJ92-EOMONTH(EDATE(A92,-1),0))))/(AK92*AB92*AE92)</f>
        <v>0.99973649955795207</v>
      </c>
      <c r="AG92" s="88">
        <f>IF($A93="","",Summary!$Q$14)</f>
        <v>0</v>
      </c>
      <c r="AH92" s="88">
        <f>IF($A93="","",IF(Summary!$R$12="Y",(VLOOKUP($A92,Summary!$AD$6:$AF$9,3)+'Escalating commodity'!J105),'Escalating commodity'!J105))</f>
        <v>5.5822843415809387E-3</v>
      </c>
      <c r="AI92" s="88">
        <f t="shared" si="76"/>
        <v>5.5822843415809387E-3</v>
      </c>
      <c r="AJ92" s="236">
        <f t="shared" si="61"/>
        <v>39553</v>
      </c>
      <c r="AK92" s="58">
        <f t="shared" ca="1" si="62"/>
        <v>2513</v>
      </c>
      <c r="AL92" s="26">
        <f ca="1">IF($A93="","",_xll.SPRDOPT(P92,X92,AI92,0,AB92,AE92,AF92,AK92,$AJ$2,0))</f>
        <v>1.4978554714876417E-2</v>
      </c>
      <c r="AM92" s="89">
        <f t="shared" si="63"/>
        <v>3.7778898563827056E-3</v>
      </c>
      <c r="AN92" s="89">
        <f t="shared" ca="1" si="64"/>
        <v>1.1200664858493711E-2</v>
      </c>
      <c r="AO92" s="3">
        <f t="shared" si="65"/>
        <v>30</v>
      </c>
      <c r="AP92" s="33">
        <f t="shared" si="66"/>
        <v>39539</v>
      </c>
      <c r="AQ92" s="58">
        <f t="shared" ca="1" si="67"/>
        <v>2513</v>
      </c>
      <c r="AR92" s="38">
        <f>'ANR OK vs ML7'!AR92</f>
        <v>0.1</v>
      </c>
      <c r="AS92" s="35">
        <f t="shared" ca="1" si="68"/>
        <v>0.51100595674983684</v>
      </c>
      <c r="AT92" s="3">
        <f t="shared" si="69"/>
        <v>1</v>
      </c>
      <c r="AU92" s="3">
        <f t="shared" si="70"/>
        <v>30</v>
      </c>
      <c r="AW92" s="32">
        <f t="shared" ca="1" si="71"/>
        <v>12761.728617074707</v>
      </c>
      <c r="AX92" s="32">
        <f t="shared" si="72"/>
        <v>3218.7621576380652</v>
      </c>
      <c r="AY92" s="32">
        <f t="shared" ca="1" si="73"/>
        <v>9542.9664594366423</v>
      </c>
      <c r="BA92" s="32">
        <f ca="1">IF($A93="","",F92*Summary!$Q$14)</f>
        <v>0</v>
      </c>
      <c r="BC92" s="256">
        <f t="shared" ca="1" si="77"/>
        <v>1644.8066359140087</v>
      </c>
    </row>
    <row r="93" spans="1:55">
      <c r="A93" s="67">
        <f t="shared" si="74"/>
        <v>39569</v>
      </c>
      <c r="B93" s="69">
        <f t="shared" si="75"/>
        <v>28400</v>
      </c>
      <c r="C93" s="71"/>
      <c r="D93" s="69">
        <f t="shared" si="39"/>
        <v>28400</v>
      </c>
      <c r="E93" s="70">
        <f t="shared" si="40"/>
        <v>880400</v>
      </c>
      <c r="F93" s="70">
        <f t="shared" ca="1" si="41"/>
        <v>446298.27498816611</v>
      </c>
      <c r="G93" s="63">
        <f t="shared" si="42"/>
        <v>4.07</v>
      </c>
      <c r="H93" s="64">
        <f t="shared" si="43"/>
        <v>4.07</v>
      </c>
      <c r="I93" s="43"/>
      <c r="J93" s="63">
        <f t="shared" si="44"/>
        <v>0.23499999999999999</v>
      </c>
      <c r="K93" s="64">
        <f t="shared" si="45"/>
        <v>0.23499999999999999</v>
      </c>
      <c r="L93" s="38">
        <v>0</v>
      </c>
      <c r="M93" s="64">
        <f t="shared" si="46"/>
        <v>0</v>
      </c>
      <c r="N93" s="65"/>
      <c r="O93" s="63">
        <f t="shared" si="47"/>
        <v>4.3050000000000006</v>
      </c>
      <c r="P93" s="63">
        <f t="shared" si="48"/>
        <v>4.3050000000000006</v>
      </c>
      <c r="Q93" s="66"/>
      <c r="R93" s="63">
        <f t="shared" si="49"/>
        <v>0.18</v>
      </c>
      <c r="S93" s="64">
        <f t="shared" si="50"/>
        <v>0.18</v>
      </c>
      <c r="T93" s="63">
        <f t="shared" si="51"/>
        <v>0</v>
      </c>
      <c r="U93" s="64">
        <f t="shared" si="52"/>
        <v>0</v>
      </c>
      <c r="V93" s="207">
        <f>IF($A94="","",IF(AND(MONTH(A93)&gt;3,MONTH(A93)&lt;11),(T93+R93+G93)*(((1/(1-Summary!$T$14))/(1-Summary!$W$14))-1),(T93+R93+G93)*((1/(1-Summary!$U$14))/(1-Summary!$X$14)-1)))</f>
        <v>4.531992048099498E-2</v>
      </c>
      <c r="W93" s="43">
        <f t="shared" si="53"/>
        <v>4.2953199204809946</v>
      </c>
      <c r="X93" s="43">
        <f t="shared" si="54"/>
        <v>4.2953199204809946</v>
      </c>
      <c r="Y93" s="43"/>
      <c r="Z93" s="38">
        <f t="shared" si="55"/>
        <v>0.5</v>
      </c>
      <c r="AA93" s="38">
        <f t="shared" si="56"/>
        <v>0.20499999999999999</v>
      </c>
      <c r="AB93" s="38">
        <f t="shared" ca="1" si="57"/>
        <v>0.20872306186727355</v>
      </c>
      <c r="AC93" s="38">
        <f t="shared" si="58"/>
        <v>0.45</v>
      </c>
      <c r="AD93" s="38">
        <f t="shared" si="59"/>
        <v>0.20499999999999999</v>
      </c>
      <c r="AE93" s="38">
        <f t="shared" ca="1" si="60"/>
        <v>0.20802835456633897</v>
      </c>
      <c r="AF93" s="237">
        <f ca="1">((Summary!$N$14*(AA93*AD93)*(A93-$D$3))+(Summary!$M$14*Z93*AC93*(AJ93-EOMONTH(EDATE(A93,-1),0))))/(AK93*AB93*AE93)</f>
        <v>0.99973326316453537</v>
      </c>
      <c r="AG93" s="88">
        <f>IF($A94="","",Summary!$Q$14)</f>
        <v>0</v>
      </c>
      <c r="AH93" s="88">
        <f>IF($A94="","",IF(Summary!$R$12="Y",(VLOOKUP($A93,Summary!$AD$6:$AF$9,3)+'Escalating commodity'!J106),'Escalating commodity'!J106))</f>
        <v>5.5822843415809387E-3</v>
      </c>
      <c r="AI93" s="88">
        <f t="shared" si="76"/>
        <v>5.5822843415809387E-3</v>
      </c>
      <c r="AJ93" s="236">
        <f t="shared" si="61"/>
        <v>39583.5</v>
      </c>
      <c r="AK93" s="58">
        <f t="shared" ca="1" si="62"/>
        <v>2543</v>
      </c>
      <c r="AL93" s="26">
        <f ca="1">IF($A94="","",_xll.SPRDOPT(P93,X93,AI93,0,AB93,AE93,AF93,AK93,$AJ$2,0))</f>
        <v>1.6855424428705131E-2</v>
      </c>
      <c r="AM93" s="89">
        <f t="shared" si="63"/>
        <v>4.0977951774250187E-3</v>
      </c>
      <c r="AN93" s="89">
        <f t="shared" ca="1" si="64"/>
        <v>1.2757629251280113E-2</v>
      </c>
      <c r="AO93" s="3">
        <f t="shared" si="65"/>
        <v>31</v>
      </c>
      <c r="AP93" s="33">
        <f t="shared" si="66"/>
        <v>39569</v>
      </c>
      <c r="AQ93" s="58">
        <f t="shared" ca="1" si="67"/>
        <v>2543</v>
      </c>
      <c r="AR93" s="38">
        <f>'ANR OK vs ML7'!AR93</f>
        <v>0.1</v>
      </c>
      <c r="AS93" s="35">
        <f t="shared" ca="1" si="68"/>
        <v>0.5069267094368084</v>
      </c>
      <c r="AT93" s="3">
        <f t="shared" si="69"/>
        <v>1</v>
      </c>
      <c r="AU93" s="3">
        <f t="shared" si="70"/>
        <v>31</v>
      </c>
      <c r="AW93" s="32">
        <f t="shared" ca="1" si="71"/>
        <v>14839.515667031998</v>
      </c>
      <c r="AX93" s="32">
        <f t="shared" si="72"/>
        <v>3607.6988742049866</v>
      </c>
      <c r="AY93" s="32">
        <f t="shared" ca="1" si="73"/>
        <v>11231.81679282701</v>
      </c>
      <c r="BA93" s="32">
        <f ca="1">IF($A94="","",F93*Summary!$Q$14)</f>
        <v>0</v>
      </c>
      <c r="BC93" s="256">
        <f t="shared" ca="1" si="77"/>
        <v>1828.8389189396119</v>
      </c>
    </row>
    <row r="94" spans="1:55">
      <c r="A94" s="67">
        <f t="shared" si="74"/>
        <v>39600</v>
      </c>
      <c r="B94" s="69">
        <f t="shared" si="75"/>
        <v>28400</v>
      </c>
      <c r="C94" s="71"/>
      <c r="D94" s="69">
        <f t="shared" si="39"/>
        <v>28400</v>
      </c>
      <c r="E94" s="70">
        <f t="shared" si="40"/>
        <v>852000</v>
      </c>
      <c r="F94" s="70">
        <f t="shared" ca="1" si="41"/>
        <v>428339.33143947634</v>
      </c>
      <c r="G94" s="63">
        <f t="shared" si="42"/>
        <v>4.1399999999999997</v>
      </c>
      <c r="H94" s="64">
        <f t="shared" si="43"/>
        <v>4.1399999999999997</v>
      </c>
      <c r="I94" s="43"/>
      <c r="J94" s="63">
        <f t="shared" si="44"/>
        <v>0.23499999999999999</v>
      </c>
      <c r="K94" s="64">
        <f t="shared" si="45"/>
        <v>0.23499999999999999</v>
      </c>
      <c r="L94" s="38">
        <v>0</v>
      </c>
      <c r="M94" s="64">
        <f t="shared" si="46"/>
        <v>0</v>
      </c>
      <c r="N94" s="65"/>
      <c r="O94" s="63">
        <f t="shared" si="47"/>
        <v>4.375</v>
      </c>
      <c r="P94" s="63">
        <f t="shared" si="48"/>
        <v>4.375</v>
      </c>
      <c r="Q94" s="66"/>
      <c r="R94" s="63">
        <f t="shared" si="49"/>
        <v>0.18</v>
      </c>
      <c r="S94" s="64">
        <f t="shared" si="50"/>
        <v>0.18</v>
      </c>
      <c r="T94" s="63">
        <f t="shared" si="51"/>
        <v>0</v>
      </c>
      <c r="U94" s="64">
        <f t="shared" si="52"/>
        <v>0</v>
      </c>
      <c r="V94" s="207">
        <f>IF($A95="","",IF(AND(MONTH(A94)&gt;3,MONTH(A94)&lt;11),(T94+R94+G94)*(((1/(1-Summary!$T$14))/(1-Summary!$W$14))-1),(T94+R94+G94)*((1/(1-Summary!$U$14))/(1-Summary!$X$14)-1)))</f>
        <v>4.6066366230093712E-2</v>
      </c>
      <c r="W94" s="43">
        <f t="shared" si="53"/>
        <v>4.3660663662300934</v>
      </c>
      <c r="X94" s="43">
        <f t="shared" si="54"/>
        <v>4.3660663662300934</v>
      </c>
      <c r="Y94" s="43"/>
      <c r="Z94" s="38">
        <f t="shared" si="55"/>
        <v>0.5</v>
      </c>
      <c r="AA94" s="38">
        <f t="shared" si="56"/>
        <v>0.20499999999999999</v>
      </c>
      <c r="AB94" s="38">
        <f t="shared" ca="1" si="57"/>
        <v>0.2085622285690848</v>
      </c>
      <c r="AC94" s="38">
        <f t="shared" si="58"/>
        <v>0.5</v>
      </c>
      <c r="AD94" s="38">
        <f t="shared" si="59"/>
        <v>0.20499999999999999</v>
      </c>
      <c r="AE94" s="38">
        <f t="shared" ca="1" si="60"/>
        <v>0.2085622285690848</v>
      </c>
      <c r="AF94" s="237">
        <f ca="1">((Summary!$N$14*(AA94*AD94)*(A94-$D$3))+(Summary!$M$14*Z94*AC94*(AJ94-EOMONTH(EDATE(A94,-1),0))))/(AK94*AB94*AE94)</f>
        <v>0.99990334927962587</v>
      </c>
      <c r="AG94" s="88">
        <f>IF($A95="","",Summary!$Q$14)</f>
        <v>0</v>
      </c>
      <c r="AH94" s="88">
        <f>IF($A95="","",IF(Summary!$R$12="Y",(VLOOKUP($A94,Summary!$AD$6:$AF$9,3)+'Escalating commodity'!J107),'Escalating commodity'!J107))</f>
        <v>5.5822843415809387E-3</v>
      </c>
      <c r="AI94" s="88">
        <f t="shared" si="76"/>
        <v>5.5822843415809387E-3</v>
      </c>
      <c r="AJ94" s="236">
        <f t="shared" si="61"/>
        <v>39614</v>
      </c>
      <c r="AK94" s="58">
        <f t="shared" ca="1" si="62"/>
        <v>2574</v>
      </c>
      <c r="AL94" s="26">
        <f ca="1">IF($A95="","",_xll.SPRDOPT(P94,X94,AI94,0,AB94,AE94,AF94,AK94,$AJ$2,0))</f>
        <v>7.7479221288642916E-3</v>
      </c>
      <c r="AM94" s="89">
        <f t="shared" si="63"/>
        <v>3.3513494283256961E-3</v>
      </c>
      <c r="AN94" s="89">
        <f t="shared" ca="1" si="64"/>
        <v>4.3965727005385955E-3</v>
      </c>
      <c r="AO94" s="3">
        <f t="shared" si="65"/>
        <v>30</v>
      </c>
      <c r="AP94" s="33">
        <f t="shared" si="66"/>
        <v>39600</v>
      </c>
      <c r="AQ94" s="58">
        <f t="shared" ca="1" si="67"/>
        <v>2574</v>
      </c>
      <c r="AR94" s="38">
        <f>'ANR OK vs ML7'!AR94</f>
        <v>0.1</v>
      </c>
      <c r="AS94" s="35">
        <f t="shared" ca="1" si="68"/>
        <v>0.50274569417778914</v>
      </c>
      <c r="AT94" s="3">
        <f t="shared" si="69"/>
        <v>1</v>
      </c>
      <c r="AU94" s="3">
        <f t="shared" si="70"/>
        <v>30</v>
      </c>
      <c r="AW94" s="32">
        <f t="shared" ca="1" si="71"/>
        <v>6601.2296537923767</v>
      </c>
      <c r="AX94" s="32">
        <f t="shared" si="72"/>
        <v>2855.3497129334933</v>
      </c>
      <c r="AY94" s="32">
        <f t="shared" ca="1" si="73"/>
        <v>3745.8799408588834</v>
      </c>
      <c r="BA94" s="32">
        <f ca="1">IF($A95="","",F94*Summary!$Q$14)</f>
        <v>0</v>
      </c>
      <c r="BC94" s="256">
        <f t="shared" ca="1" si="77"/>
        <v>1435.5147735490998</v>
      </c>
    </row>
    <row r="95" spans="1:55">
      <c r="A95" s="67">
        <f t="shared" si="74"/>
        <v>39630</v>
      </c>
      <c r="B95" s="69">
        <f t="shared" si="75"/>
        <v>28400</v>
      </c>
      <c r="C95" s="71"/>
      <c r="D95" s="69">
        <f t="shared" si="39"/>
        <v>28400</v>
      </c>
      <c r="E95" s="70">
        <f t="shared" si="40"/>
        <v>880400</v>
      </c>
      <c r="F95" s="70">
        <f t="shared" ca="1" si="41"/>
        <v>439083.99325982435</v>
      </c>
      <c r="G95" s="63">
        <f t="shared" si="42"/>
        <v>4.1950000000000003</v>
      </c>
      <c r="H95" s="64">
        <f t="shared" si="43"/>
        <v>4.1950000000000003</v>
      </c>
      <c r="I95" s="43"/>
      <c r="J95" s="63">
        <f t="shared" si="44"/>
        <v>0.23499999999999999</v>
      </c>
      <c r="K95" s="64">
        <f t="shared" si="45"/>
        <v>0.23499999999999999</v>
      </c>
      <c r="L95" s="38">
        <v>0</v>
      </c>
      <c r="M95" s="64">
        <f t="shared" si="46"/>
        <v>0</v>
      </c>
      <c r="N95" s="65"/>
      <c r="O95" s="63">
        <f t="shared" si="47"/>
        <v>4.4300000000000006</v>
      </c>
      <c r="P95" s="63">
        <f t="shared" si="48"/>
        <v>4.4300000000000006</v>
      </c>
      <c r="Q95" s="66"/>
      <c r="R95" s="63">
        <f t="shared" si="49"/>
        <v>0.18</v>
      </c>
      <c r="S95" s="64">
        <f t="shared" si="50"/>
        <v>0.18</v>
      </c>
      <c r="T95" s="63">
        <f t="shared" si="51"/>
        <v>0</v>
      </c>
      <c r="U95" s="64">
        <f t="shared" si="52"/>
        <v>0</v>
      </c>
      <c r="V95" s="207">
        <f>IF($A96="","",IF(AND(MONTH(A95)&gt;3,MONTH(A95)&lt;11),(T95+R95+G95)*(((1/(1-Summary!$T$14))/(1-Summary!$W$14))-1),(T95+R95+G95)*((1/(1-Summary!$U$14))/(1-Summary!$X$14)-1)))</f>
        <v>4.6652859318671303E-2</v>
      </c>
      <c r="W95" s="43">
        <f t="shared" si="53"/>
        <v>4.4216528593186712</v>
      </c>
      <c r="X95" s="43">
        <f t="shared" si="54"/>
        <v>4.4216528593186712</v>
      </c>
      <c r="Y95" s="43"/>
      <c r="Z95" s="38">
        <f t="shared" si="55"/>
        <v>0.55000000000000004</v>
      </c>
      <c r="AA95" s="38">
        <f t="shared" si="56"/>
        <v>0.20300000000000001</v>
      </c>
      <c r="AB95" s="38">
        <f t="shared" ca="1" si="57"/>
        <v>0.20742569876202044</v>
      </c>
      <c r="AC95" s="38">
        <f t="shared" si="58"/>
        <v>0.5</v>
      </c>
      <c r="AD95" s="38">
        <f t="shared" si="59"/>
        <v>0.20300000000000001</v>
      </c>
      <c r="AE95" s="38">
        <f t="shared" ca="1" si="60"/>
        <v>0.20667104419079235</v>
      </c>
      <c r="AF95" s="237">
        <f ca="1">((Summary!$N$14*(AA95*AD95)*(A95-$D$3))+(Summary!$M$14*Z95*AC95*(AJ95-EOMONTH(EDATE(A95,-1),0))))/(AK95*AB95*AE95)</f>
        <v>0.99973691392351938</v>
      </c>
      <c r="AG95" s="88">
        <f>IF($A96="","",Summary!$Q$14)</f>
        <v>0</v>
      </c>
      <c r="AH95" s="88">
        <f>IF($A96="","",IF(Summary!$R$12="Y",(VLOOKUP($A95,Summary!$AD$6:$AF$9,3)+'Escalating commodity'!J108),'Escalating commodity'!J108))</f>
        <v>5.5822843415809387E-3</v>
      </c>
      <c r="AI95" s="88">
        <f t="shared" si="76"/>
        <v>5.5822843415809387E-3</v>
      </c>
      <c r="AJ95" s="236">
        <f t="shared" si="61"/>
        <v>39644.5</v>
      </c>
      <c r="AK95" s="58">
        <f t="shared" ca="1" si="62"/>
        <v>2604</v>
      </c>
      <c r="AL95" s="26">
        <f ca="1">IF($A96="","",_xll.SPRDOPT(P95,X95,AI95,0,AB95,AE95,AF95,AK95,$AJ$2,0))</f>
        <v>1.6571829822778494E-2</v>
      </c>
      <c r="AM95" s="89">
        <f t="shared" si="63"/>
        <v>2.7648563397484182E-3</v>
      </c>
      <c r="AN95" s="89">
        <f t="shared" ca="1" si="64"/>
        <v>1.3806973483030076E-2</v>
      </c>
      <c r="AO95" s="3">
        <f t="shared" si="65"/>
        <v>31</v>
      </c>
      <c r="AP95" s="33">
        <f t="shared" si="66"/>
        <v>39630</v>
      </c>
      <c r="AQ95" s="58">
        <f t="shared" ca="1" si="67"/>
        <v>2604</v>
      </c>
      <c r="AR95" s="38">
        <f>'ANR OK vs ML7'!AR95</f>
        <v>0.1</v>
      </c>
      <c r="AS95" s="35">
        <f t="shared" ca="1" si="68"/>
        <v>0.49873238671038655</v>
      </c>
      <c r="AT95" s="3">
        <f t="shared" si="69"/>
        <v>1</v>
      </c>
      <c r="AU95" s="3">
        <f t="shared" si="70"/>
        <v>31</v>
      </c>
      <c r="AW95" s="32">
        <f t="shared" ca="1" si="71"/>
        <v>14589.838975974186</v>
      </c>
      <c r="AX95" s="32">
        <f t="shared" si="72"/>
        <v>2434.1795215145075</v>
      </c>
      <c r="AY95" s="32">
        <f t="shared" ca="1" si="73"/>
        <v>12155.659454459679</v>
      </c>
      <c r="BA95" s="32">
        <f ca="1">IF($A96="","",F95*Summary!$Q$14)</f>
        <v>0</v>
      </c>
      <c r="BC95" s="256">
        <f t="shared" ca="1" si="77"/>
        <v>1214.004162446477</v>
      </c>
    </row>
    <row r="96" spans="1:55">
      <c r="A96" s="67">
        <f t="shared" si="74"/>
        <v>39661</v>
      </c>
      <c r="B96" s="69">
        <f t="shared" si="75"/>
        <v>28400</v>
      </c>
      <c r="C96" s="71"/>
      <c r="D96" s="69">
        <f t="shared" si="39"/>
        <v>28400</v>
      </c>
      <c r="E96" s="70">
        <f t="shared" si="40"/>
        <v>880400</v>
      </c>
      <c r="F96" s="70">
        <f t="shared" ca="1" si="41"/>
        <v>435462.52916721406</v>
      </c>
      <c r="G96" s="63">
        <f t="shared" si="42"/>
        <v>4.2510000000000003</v>
      </c>
      <c r="H96" s="64">
        <f t="shared" si="43"/>
        <v>4.2510000000000003</v>
      </c>
      <c r="I96" s="43"/>
      <c r="J96" s="63">
        <f t="shared" si="44"/>
        <v>0.23499999999999999</v>
      </c>
      <c r="K96" s="64">
        <f t="shared" si="45"/>
        <v>0.23499999999999999</v>
      </c>
      <c r="L96" s="38">
        <v>0</v>
      </c>
      <c r="M96" s="64">
        <f t="shared" si="46"/>
        <v>0</v>
      </c>
      <c r="N96" s="65"/>
      <c r="O96" s="63">
        <f t="shared" si="47"/>
        <v>4.4860000000000007</v>
      </c>
      <c r="P96" s="63">
        <f t="shared" si="48"/>
        <v>4.4860000000000007</v>
      </c>
      <c r="Q96" s="66"/>
      <c r="R96" s="63">
        <f t="shared" si="49"/>
        <v>0.18</v>
      </c>
      <c r="S96" s="64">
        <f t="shared" si="50"/>
        <v>0.18</v>
      </c>
      <c r="T96" s="63">
        <f t="shared" si="51"/>
        <v>0</v>
      </c>
      <c r="U96" s="64">
        <f t="shared" si="52"/>
        <v>0</v>
      </c>
      <c r="V96" s="207">
        <f>IF($A97="","",IF(AND(MONTH(A96)&gt;3,MONTH(A96)&lt;11),(T96+R96+G96)*(((1/(1-Summary!$T$14))/(1-Summary!$W$14))-1),(T96+R96+G96)*((1/(1-Summary!$U$14))/(1-Summary!$X$14)-1)))</f>
        <v>4.7250015917950298E-2</v>
      </c>
      <c r="W96" s="43">
        <f t="shared" si="53"/>
        <v>4.4782500159179506</v>
      </c>
      <c r="X96" s="43">
        <f t="shared" si="54"/>
        <v>4.4782500159179506</v>
      </c>
      <c r="Y96" s="43"/>
      <c r="Z96" s="38">
        <f t="shared" si="55"/>
        <v>0.6</v>
      </c>
      <c r="AA96" s="38">
        <f t="shared" si="56"/>
        <v>0.20300000000000001</v>
      </c>
      <c r="AB96" s="38">
        <f t="shared" ca="1" si="57"/>
        <v>0.20818810280130706</v>
      </c>
      <c r="AC96" s="38">
        <f t="shared" si="58"/>
        <v>0.45</v>
      </c>
      <c r="AD96" s="38">
        <f t="shared" si="59"/>
        <v>0.20300000000000001</v>
      </c>
      <c r="AE96" s="38">
        <f t="shared" ca="1" si="60"/>
        <v>0.20595100281322326</v>
      </c>
      <c r="AF96" s="237">
        <f ca="1">((Summary!$N$14*(AA96*AD96)*(A96-$D$3))+(Summary!$M$14*Z96*AC96*(AJ96-EOMONTH(EDATE(A96,-1),0))))/(AK96*AB96*AE96)</f>
        <v>0.99841879468804418</v>
      </c>
      <c r="AG96" s="88">
        <f>IF($A97="","",Summary!$Q$14)</f>
        <v>0</v>
      </c>
      <c r="AH96" s="88">
        <f>IF($A97="","",IF(Summary!$R$12="Y",(VLOOKUP($A96,Summary!$AD$6:$AF$9,3)+'Escalating commodity'!J109),'Escalating commodity'!J109))</f>
        <v>5.5822843415809387E-3</v>
      </c>
      <c r="AI96" s="88">
        <f t="shared" si="76"/>
        <v>5.5822843415809387E-3</v>
      </c>
      <c r="AJ96" s="236">
        <f t="shared" si="61"/>
        <v>39675.5</v>
      </c>
      <c r="AK96" s="58">
        <f t="shared" ca="1" si="62"/>
        <v>2635</v>
      </c>
      <c r="AL96" s="26">
        <f ca="1">IF($A97="","",_xll.SPRDOPT(P96,X96,AI96,0,AB96,AE96,AF96,AK96,$AJ$2,0))</f>
        <v>5.8284304731854447E-2</v>
      </c>
      <c r="AM96" s="89">
        <f t="shared" si="63"/>
        <v>2.1676997404691378E-3</v>
      </c>
      <c r="AN96" s="89">
        <f t="shared" ca="1" si="64"/>
        <v>5.6116604991385308E-2</v>
      </c>
      <c r="AO96" s="3">
        <f t="shared" si="65"/>
        <v>31</v>
      </c>
      <c r="AP96" s="33">
        <f t="shared" si="66"/>
        <v>39661</v>
      </c>
      <c r="AQ96" s="58">
        <f t="shared" ca="1" si="67"/>
        <v>2635</v>
      </c>
      <c r="AR96" s="38">
        <f>'ANR OK vs ML7'!AR96</f>
        <v>0.1</v>
      </c>
      <c r="AS96" s="35">
        <f t="shared" ca="1" si="68"/>
        <v>0.49461895634622222</v>
      </c>
      <c r="AT96" s="3">
        <f t="shared" si="69"/>
        <v>1</v>
      </c>
      <c r="AU96" s="3">
        <f t="shared" si="70"/>
        <v>31</v>
      </c>
      <c r="AW96" s="32">
        <f t="shared" ca="1" si="71"/>
        <v>51313.501885924656</v>
      </c>
      <c r="AX96" s="32">
        <f t="shared" si="72"/>
        <v>1908.442851509029</v>
      </c>
      <c r="AY96" s="32">
        <f t="shared" ca="1" si="73"/>
        <v>49405.059034415623</v>
      </c>
      <c r="BA96" s="32">
        <f ca="1">IF($A97="","",F96*Summary!$Q$14)</f>
        <v>0</v>
      </c>
      <c r="BC96" s="256">
        <f t="shared" ca="1" si="77"/>
        <v>943.95201145980423</v>
      </c>
    </row>
    <row r="97" spans="1:55">
      <c r="A97" s="67">
        <f t="shared" si="74"/>
        <v>39692</v>
      </c>
      <c r="B97" s="69">
        <f t="shared" si="75"/>
        <v>28400</v>
      </c>
      <c r="C97" s="71"/>
      <c r="D97" s="69">
        <f t="shared" si="39"/>
        <v>28400</v>
      </c>
      <c r="E97" s="70">
        <f t="shared" si="40"/>
        <v>852000</v>
      </c>
      <c r="F97" s="70">
        <f t="shared" ca="1" si="41"/>
        <v>417939.61362582847</v>
      </c>
      <c r="G97" s="63">
        <f t="shared" si="42"/>
        <v>4.2649999999999997</v>
      </c>
      <c r="H97" s="64">
        <f t="shared" si="43"/>
        <v>4.2649999999999997</v>
      </c>
      <c r="I97" s="43"/>
      <c r="J97" s="63">
        <f t="shared" si="44"/>
        <v>0.23499999999999999</v>
      </c>
      <c r="K97" s="64">
        <f t="shared" si="45"/>
        <v>0.23499999999999999</v>
      </c>
      <c r="L97" s="38">
        <v>0</v>
      </c>
      <c r="M97" s="64">
        <f t="shared" si="46"/>
        <v>0</v>
      </c>
      <c r="N97" s="65"/>
      <c r="O97" s="63">
        <f t="shared" si="47"/>
        <v>4.5</v>
      </c>
      <c r="P97" s="63">
        <f t="shared" si="48"/>
        <v>4.5</v>
      </c>
      <c r="Q97" s="66"/>
      <c r="R97" s="63">
        <f t="shared" si="49"/>
        <v>0.18</v>
      </c>
      <c r="S97" s="64">
        <f t="shared" si="50"/>
        <v>0.18</v>
      </c>
      <c r="T97" s="63">
        <f t="shared" si="51"/>
        <v>0</v>
      </c>
      <c r="U97" s="64">
        <f t="shared" si="52"/>
        <v>0</v>
      </c>
      <c r="V97" s="207">
        <f>IF($A98="","",IF(AND(MONTH(A97)&gt;3,MONTH(A97)&lt;11),(T97+R97+G97)*(((1/(1-Summary!$T$14))/(1-Summary!$W$14))-1),(T97+R97+G97)*((1/(1-Summary!$U$14))/(1-Summary!$X$14)-1)))</f>
        <v>4.7399305067770035E-2</v>
      </c>
      <c r="W97" s="43">
        <f t="shared" si="53"/>
        <v>4.4923993050677691</v>
      </c>
      <c r="X97" s="43">
        <f t="shared" si="54"/>
        <v>4.4923993050677691</v>
      </c>
      <c r="Y97" s="43"/>
      <c r="Z97" s="38">
        <f t="shared" si="55"/>
        <v>0.6</v>
      </c>
      <c r="AA97" s="38">
        <f t="shared" si="56"/>
        <v>0.20300000000000001</v>
      </c>
      <c r="AB97" s="38">
        <f t="shared" ca="1" si="57"/>
        <v>0.207966255954912</v>
      </c>
      <c r="AC97" s="38">
        <f t="shared" si="58"/>
        <v>0.5</v>
      </c>
      <c r="AD97" s="38">
        <f t="shared" si="59"/>
        <v>0.20300000000000001</v>
      </c>
      <c r="AE97" s="38">
        <f t="shared" ca="1" si="60"/>
        <v>0.20647290110259611</v>
      </c>
      <c r="AF97" s="237">
        <f ca="1">((Summary!$N$14*(AA97*AD97)*(A97-$D$3))+(Summary!$M$14*Z97*AC97*(AJ97-EOMONTH(EDATE(A97,-1),0))))/(AK97*AB97*AE97)</f>
        <v>0.99927480525737267</v>
      </c>
      <c r="AG97" s="88">
        <f>IF($A98="","",Summary!$Q$14)</f>
        <v>0</v>
      </c>
      <c r="AH97" s="88">
        <f>IF($A98="","",IF(Summary!$R$12="Y",(VLOOKUP($A97,Summary!$AD$6:$AF$9,3)+'Escalating commodity'!J110),'Escalating commodity'!J110))</f>
        <v>5.5822843415809387E-3</v>
      </c>
      <c r="AI97" s="88">
        <f t="shared" si="76"/>
        <v>5.5822843415809387E-3</v>
      </c>
      <c r="AJ97" s="236">
        <f t="shared" si="61"/>
        <v>39706</v>
      </c>
      <c r="AK97" s="58">
        <f t="shared" ca="1" si="62"/>
        <v>2666</v>
      </c>
      <c r="AL97" s="26">
        <f ca="1">IF($A98="","",_xll.SPRDOPT(P97,X97,AI97,0,AB97,AE97,AF97,AK97,$AJ$2,0))</f>
        <v>3.6494198446810101E-2</v>
      </c>
      <c r="AM97" s="89">
        <f t="shared" si="63"/>
        <v>2.0184105906499838E-3</v>
      </c>
      <c r="AN97" s="89">
        <f t="shared" ca="1" si="64"/>
        <v>3.4475787856160116E-2</v>
      </c>
      <c r="AO97" s="3">
        <f t="shared" si="65"/>
        <v>30</v>
      </c>
      <c r="AP97" s="33">
        <f t="shared" si="66"/>
        <v>39692</v>
      </c>
      <c r="AQ97" s="58">
        <f t="shared" ca="1" si="67"/>
        <v>2666</v>
      </c>
      <c r="AR97" s="38">
        <f>'ANR OK vs ML7'!AR97</f>
        <v>0.1</v>
      </c>
      <c r="AS97" s="35">
        <f t="shared" ca="1" si="68"/>
        <v>0.49053945261247472</v>
      </c>
      <c r="AT97" s="3">
        <f t="shared" si="69"/>
        <v>1</v>
      </c>
      <c r="AU97" s="3">
        <f t="shared" si="70"/>
        <v>30</v>
      </c>
      <c r="AW97" s="32">
        <f t="shared" ca="1" si="71"/>
        <v>31093.057076682206</v>
      </c>
      <c r="AX97" s="32">
        <f t="shared" si="72"/>
        <v>1719.6858232337861</v>
      </c>
      <c r="AY97" s="32">
        <f t="shared" ca="1" si="73"/>
        <v>29373.371253448418</v>
      </c>
      <c r="BA97" s="32">
        <f ca="1">IF($A98="","",F97*Summary!$Q$14)</f>
        <v>0</v>
      </c>
      <c r="BC97" s="256">
        <f t="shared" ca="1" si="77"/>
        <v>843.57374239453441</v>
      </c>
    </row>
    <row r="98" spans="1:55">
      <c r="A98" s="67">
        <f t="shared" si="74"/>
        <v>39722</v>
      </c>
      <c r="B98" s="69">
        <f t="shared" si="75"/>
        <v>28400</v>
      </c>
      <c r="C98" s="71"/>
      <c r="D98" s="69">
        <f t="shared" si="39"/>
        <v>28400</v>
      </c>
      <c r="E98" s="70">
        <f t="shared" si="40"/>
        <v>880400</v>
      </c>
      <c r="F98" s="70">
        <f t="shared" ca="1" si="41"/>
        <v>428423.40411652491</v>
      </c>
      <c r="G98" s="63">
        <f t="shared" si="42"/>
        <v>4.2960000000000003</v>
      </c>
      <c r="H98" s="64">
        <f t="shared" si="43"/>
        <v>4.2960000000000003</v>
      </c>
      <c r="I98" s="43"/>
      <c r="J98" s="63">
        <f t="shared" si="44"/>
        <v>0.23499999999999999</v>
      </c>
      <c r="K98" s="64">
        <f t="shared" si="45"/>
        <v>0.23499999999999999</v>
      </c>
      <c r="L98" s="38">
        <v>0</v>
      </c>
      <c r="M98" s="64">
        <f t="shared" si="46"/>
        <v>0</v>
      </c>
      <c r="N98" s="65"/>
      <c r="O98" s="63">
        <f t="shared" si="47"/>
        <v>4.5310000000000006</v>
      </c>
      <c r="P98" s="63">
        <f t="shared" si="48"/>
        <v>4.5310000000000006</v>
      </c>
      <c r="Q98" s="66"/>
      <c r="R98" s="63">
        <f t="shared" si="49"/>
        <v>0.18</v>
      </c>
      <c r="S98" s="64">
        <f t="shared" si="50"/>
        <v>0.18</v>
      </c>
      <c r="T98" s="63">
        <f t="shared" si="51"/>
        <v>0</v>
      </c>
      <c r="U98" s="64">
        <f t="shared" si="52"/>
        <v>0</v>
      </c>
      <c r="V98" s="207">
        <f>IF($A99="","",IF(AND(MONTH(A98)&gt;3,MONTH(A98)&lt;11),(T98+R98+G98)*(((1/(1-Summary!$T$14))/(1-Summary!$W$14))-1),(T98+R98+G98)*((1/(1-Summary!$U$14))/(1-Summary!$X$14)-1)))</f>
        <v>4.7729873899513768E-2</v>
      </c>
      <c r="W98" s="43">
        <f t="shared" si="53"/>
        <v>4.523729873899514</v>
      </c>
      <c r="X98" s="43">
        <f t="shared" si="54"/>
        <v>4.523729873899514</v>
      </c>
      <c r="Y98" s="43"/>
      <c r="Z98" s="38">
        <f t="shared" si="55"/>
        <v>0.65</v>
      </c>
      <c r="AA98" s="38">
        <f t="shared" si="56"/>
        <v>0.20300000000000001</v>
      </c>
      <c r="AB98" s="38">
        <f t="shared" ca="1" si="57"/>
        <v>0.2089338335695993</v>
      </c>
      <c r="AC98" s="38">
        <f t="shared" si="58"/>
        <v>0.5</v>
      </c>
      <c r="AD98" s="38">
        <f t="shared" si="59"/>
        <v>0.20300000000000001</v>
      </c>
      <c r="AE98" s="38">
        <f t="shared" ca="1" si="60"/>
        <v>0.20654684644759908</v>
      </c>
      <c r="AF98" s="237">
        <f ca="1">((Summary!$N$14*(AA98*AD98)*(A98-$D$3))+(Summary!$M$14*Z98*AC98*(AJ98-EOMONTH(EDATE(A98,-1),0))))/(AK98*AB98*AE98)</f>
        <v>0.99847171120309963</v>
      </c>
      <c r="AG98" s="88">
        <f>IF($A99="","",Summary!$Q$14)</f>
        <v>0</v>
      </c>
      <c r="AH98" s="88">
        <f>IF($A99="","",IF(Summary!$R$12="Y",(VLOOKUP($A98,Summary!$AD$6:$AF$9,3)+'Escalating commodity'!J111),'Escalating commodity'!J111))</f>
        <v>5.5822843415809387E-3</v>
      </c>
      <c r="AI98" s="88">
        <f t="shared" si="76"/>
        <v>5.5822843415809387E-3</v>
      </c>
      <c r="AJ98" s="236">
        <f t="shared" si="61"/>
        <v>39736.5</v>
      </c>
      <c r="AK98" s="58">
        <f t="shared" ca="1" si="62"/>
        <v>2696</v>
      </c>
      <c r="AL98" s="26">
        <f ca="1">IF($A99="","",_xll.SPRDOPT(P98,X98,AI98,0,AB98,AE98,AF98,AK98,$AJ$2,0))</f>
        <v>5.8677672413226002E-2</v>
      </c>
      <c r="AM98" s="89">
        <f t="shared" si="63"/>
        <v>1.6878417589056682E-3</v>
      </c>
      <c r="AN98" s="89">
        <f t="shared" ca="1" si="64"/>
        <v>5.6989830654320332E-2</v>
      </c>
      <c r="AO98" s="3">
        <f t="shared" si="65"/>
        <v>31</v>
      </c>
      <c r="AP98" s="33">
        <f t="shared" si="66"/>
        <v>39722</v>
      </c>
      <c r="AQ98" s="58">
        <f t="shared" ca="1" si="67"/>
        <v>2696</v>
      </c>
      <c r="AR98" s="38">
        <f>'ANR OK vs ML7'!AR98</f>
        <v>0.1</v>
      </c>
      <c r="AS98" s="35">
        <f t="shared" ca="1" si="68"/>
        <v>0.48662358486656621</v>
      </c>
      <c r="AT98" s="3">
        <f t="shared" si="69"/>
        <v>1</v>
      </c>
      <c r="AU98" s="3">
        <f t="shared" si="70"/>
        <v>31</v>
      </c>
      <c r="AW98" s="32">
        <f t="shared" ca="1" si="71"/>
        <v>51659.822792604173</v>
      </c>
      <c r="AX98" s="32">
        <f t="shared" si="72"/>
        <v>1485.9758845405502</v>
      </c>
      <c r="AY98" s="32">
        <f t="shared" ca="1" si="73"/>
        <v>50173.846908063621</v>
      </c>
      <c r="BA98" s="32">
        <f ca="1">IF($A99="","",F98*Summary!$Q$14)</f>
        <v>0</v>
      </c>
      <c r="BC98" s="256">
        <f t="shared" ca="1" si="77"/>
        <v>723.11091196038933</v>
      </c>
    </row>
    <row r="99" spans="1:55">
      <c r="A99" s="67">
        <f t="shared" si="74"/>
        <v>39753</v>
      </c>
      <c r="B99" s="69">
        <f t="shared" si="75"/>
        <v>28400</v>
      </c>
      <c r="C99" s="71"/>
      <c r="D99" s="69">
        <f t="shared" si="39"/>
        <v>28400</v>
      </c>
      <c r="E99" s="70">
        <f t="shared" si="40"/>
        <v>852000</v>
      </c>
      <c r="F99" s="70">
        <f t="shared" ca="1" si="41"/>
        <v>411183.74140514596</v>
      </c>
      <c r="G99" s="63">
        <f t="shared" si="42"/>
        <v>4.4290000000000003</v>
      </c>
      <c r="H99" s="64">
        <f t="shared" si="43"/>
        <v>4.4290000000000003</v>
      </c>
      <c r="I99" s="43"/>
      <c r="J99" s="63">
        <f t="shared" si="44"/>
        <v>0.41499999999999998</v>
      </c>
      <c r="K99" s="64">
        <f t="shared" si="45"/>
        <v>0.41499999999999998</v>
      </c>
      <c r="L99" s="38">
        <v>0</v>
      </c>
      <c r="M99" s="64">
        <f t="shared" si="46"/>
        <v>0</v>
      </c>
      <c r="N99" s="65"/>
      <c r="O99" s="63">
        <f t="shared" si="47"/>
        <v>4.8440000000000003</v>
      </c>
      <c r="P99" s="63">
        <f t="shared" si="48"/>
        <v>4.8440000000000003</v>
      </c>
      <c r="Q99" s="66"/>
      <c r="R99" s="63">
        <f t="shared" si="49"/>
        <v>0.27500000000000002</v>
      </c>
      <c r="S99" s="64">
        <f t="shared" si="50"/>
        <v>0.27500000000000002</v>
      </c>
      <c r="T99" s="63">
        <f t="shared" si="51"/>
        <v>0</v>
      </c>
      <c r="U99" s="64">
        <f t="shared" si="52"/>
        <v>0</v>
      </c>
      <c r="V99" s="207">
        <f>IF($A100="","",IF(AND(MONTH(A99)&gt;3,MONTH(A99)&lt;11),(T99+R99+G99)*(((1/(1-Summary!$T$14))/(1-Summary!$W$14))-1),(T99+R99+G99)*((1/(1-Summary!$U$14))/(1-Summary!$X$14)-1)))</f>
        <v>5.0161154339435389E-2</v>
      </c>
      <c r="W99" s="43">
        <f t="shared" si="53"/>
        <v>4.7541611543394362</v>
      </c>
      <c r="X99" s="43">
        <f t="shared" si="54"/>
        <v>4.7541611543394362</v>
      </c>
      <c r="Y99" s="43"/>
      <c r="Z99" s="38">
        <f t="shared" si="55"/>
        <v>0.8</v>
      </c>
      <c r="AA99" s="38">
        <f t="shared" si="56"/>
        <v>0.20300000000000001</v>
      </c>
      <c r="AB99" s="38">
        <f t="shared" ca="1" si="57"/>
        <v>0.21152887158262337</v>
      </c>
      <c r="AC99" s="38">
        <f t="shared" si="58"/>
        <v>0.95</v>
      </c>
      <c r="AD99" s="38">
        <f t="shared" si="59"/>
        <v>0.20300000000000001</v>
      </c>
      <c r="AE99" s="38">
        <f t="shared" ca="1" si="60"/>
        <v>0.21491476892586259</v>
      </c>
      <c r="AF99" s="237">
        <f ca="1">((Summary!$N$14*(AA99*AD99)*(A99-$D$3))+(Summary!$M$14*Z99*AC99*(AJ99-EOMONTH(EDATE(A99,-1),0))))/(AK99*AB99*AE99)</f>
        <v>0.99867420701208609</v>
      </c>
      <c r="AG99" s="88">
        <f>IF($A100="","",Summary!$Q$14)</f>
        <v>0</v>
      </c>
      <c r="AH99" s="88">
        <f>IF($A100="","",IF(Summary!$R$12="Y",(VLOOKUP($A99,Summary!$AD$6:$AF$9,3)+'Escalating commodity'!J112),'Escalating commodity'!J112))</f>
        <v>5.5822843415809387E-3</v>
      </c>
      <c r="AI99" s="88">
        <f t="shared" si="76"/>
        <v>5.5822843415809387E-3</v>
      </c>
      <c r="AJ99" s="236">
        <f t="shared" si="61"/>
        <v>39767</v>
      </c>
      <c r="AK99" s="58">
        <f t="shared" ca="1" si="62"/>
        <v>2727</v>
      </c>
      <c r="AL99" s="26">
        <f ca="1">IF($A100="","",_xll.SPRDOPT(P99,X99,AI99,0,AB99,AE99,AF99,AK99,$AJ$2,0))</f>
        <v>0.1110923029456769</v>
      </c>
      <c r="AM99" s="89">
        <f t="shared" si="63"/>
        <v>8.4256561318983167E-2</v>
      </c>
      <c r="AN99" s="89">
        <f t="shared" ca="1" si="64"/>
        <v>2.6835741626693735E-2</v>
      </c>
      <c r="AO99" s="3">
        <f t="shared" si="65"/>
        <v>30</v>
      </c>
      <c r="AP99" s="33">
        <f t="shared" si="66"/>
        <v>39753</v>
      </c>
      <c r="AQ99" s="58">
        <f t="shared" ca="1" si="67"/>
        <v>2727</v>
      </c>
      <c r="AR99" s="38">
        <f>'ANR OK vs ML7'!AR99</f>
        <v>0.1</v>
      </c>
      <c r="AS99" s="35">
        <f t="shared" ca="1" si="68"/>
        <v>0.48261002512341078</v>
      </c>
      <c r="AT99" s="3">
        <f t="shared" si="69"/>
        <v>1</v>
      </c>
      <c r="AU99" s="3">
        <f t="shared" si="70"/>
        <v>30</v>
      </c>
      <c r="AW99" s="32">
        <f t="shared" ca="1" si="71"/>
        <v>94650.642109716719</v>
      </c>
      <c r="AX99" s="32">
        <f t="shared" si="72"/>
        <v>71786.590243773651</v>
      </c>
      <c r="AY99" s="32">
        <f t="shared" ca="1" si="73"/>
        <v>22864.051865943064</v>
      </c>
      <c r="BA99" s="32">
        <f ca="1">IF($A100="","",F99*Summary!$Q$14)</f>
        <v>0</v>
      </c>
      <c r="BC99" s="256">
        <f t="shared" ca="1" si="77"/>
        <v>34644.9281210716</v>
      </c>
    </row>
    <row r="100" spans="1:55">
      <c r="A100" s="67">
        <f t="shared" si="74"/>
        <v>39783</v>
      </c>
      <c r="B100" s="69">
        <f t="shared" si="75"/>
        <v>28400</v>
      </c>
      <c r="C100" s="71"/>
      <c r="D100" s="69">
        <f t="shared" si="39"/>
        <v>28400</v>
      </c>
      <c r="E100" s="70">
        <f t="shared" si="40"/>
        <v>880400</v>
      </c>
      <c r="F100" s="70">
        <f t="shared" ca="1" si="41"/>
        <v>421498.06447367324</v>
      </c>
      <c r="G100" s="63">
        <f t="shared" si="42"/>
        <v>4.5670000000000002</v>
      </c>
      <c r="H100" s="64">
        <f t="shared" si="43"/>
        <v>4.5670000000000002</v>
      </c>
      <c r="I100" s="43"/>
      <c r="J100" s="63">
        <f t="shared" si="44"/>
        <v>0.41499999999999998</v>
      </c>
      <c r="K100" s="64">
        <f t="shared" si="45"/>
        <v>0.41499999999999998</v>
      </c>
      <c r="L100" s="38">
        <v>0</v>
      </c>
      <c r="M100" s="64">
        <f t="shared" si="46"/>
        <v>0</v>
      </c>
      <c r="N100" s="65"/>
      <c r="O100" s="63">
        <f t="shared" si="47"/>
        <v>4.9820000000000002</v>
      </c>
      <c r="P100" s="63">
        <f t="shared" si="48"/>
        <v>4.9820000000000002</v>
      </c>
      <c r="Q100" s="66"/>
      <c r="R100" s="63">
        <f t="shared" si="49"/>
        <v>0.27500000000000002</v>
      </c>
      <c r="S100" s="64">
        <f t="shared" si="50"/>
        <v>0.27500000000000002</v>
      </c>
      <c r="T100" s="63">
        <f t="shared" si="51"/>
        <v>0</v>
      </c>
      <c r="U100" s="64">
        <f t="shared" si="52"/>
        <v>0</v>
      </c>
      <c r="V100" s="207">
        <f>IF($A101="","",IF(AND(MONTH(A100)&gt;3,MONTH(A100)&lt;11),(T100+R100+G100)*(((1/(1-Summary!$T$14))/(1-Summary!$W$14))-1),(T100+R100+G100)*((1/(1-Summary!$U$14))/(1-Summary!$X$14)-1)))</f>
        <v>5.163271881623005E-2</v>
      </c>
      <c r="W100" s="43">
        <f t="shared" si="53"/>
        <v>4.8936327188162307</v>
      </c>
      <c r="X100" s="43">
        <f t="shared" si="54"/>
        <v>4.8936327188162307</v>
      </c>
      <c r="Y100" s="43"/>
      <c r="Z100" s="38">
        <f t="shared" si="55"/>
        <v>1.1000000000000001</v>
      </c>
      <c r="AA100" s="38">
        <f t="shared" si="56"/>
        <v>0.20499999999999999</v>
      </c>
      <c r="AB100" s="38">
        <f t="shared" ca="1" si="57"/>
        <v>0.22100435989968187</v>
      </c>
      <c r="AC100" s="38">
        <f t="shared" si="58"/>
        <v>1.35</v>
      </c>
      <c r="AD100" s="38">
        <f t="shared" si="59"/>
        <v>0.20499999999999999</v>
      </c>
      <c r="AE100" s="38">
        <f t="shared" ca="1" si="60"/>
        <v>0.22866227176840201</v>
      </c>
      <c r="AF100" s="237">
        <f ca="1">((Summary!$N$14*(AA100*AD100)*(A100-$D$3))+(Summary!$M$14*Z100*AC100*(AJ100-EOMONTH(EDATE(A100,-1),0))))/(AK100*AB100*AE100)</f>
        <v>0.99702047487048262</v>
      </c>
      <c r="AG100" s="88">
        <f>IF($A101="","",Summary!$Q$14)</f>
        <v>0</v>
      </c>
      <c r="AH100" s="88">
        <f>IF($A101="","",IF(Summary!$R$12="Y",(VLOOKUP($A100,Summary!$AD$6:$AF$9,3)+'Escalating commodity'!J113),'Escalating commodity'!J113))</f>
        <v>5.5822843415809387E-3</v>
      </c>
      <c r="AI100" s="88">
        <f t="shared" si="76"/>
        <v>5.5822843415809387E-3</v>
      </c>
      <c r="AJ100" s="236">
        <f t="shared" si="61"/>
        <v>39797.5</v>
      </c>
      <c r="AK100" s="58">
        <f t="shared" ca="1" si="62"/>
        <v>2757</v>
      </c>
      <c r="AL100" s="26">
        <f ca="1">IF($A101="","",_xll.SPRDOPT(P100,X100,AI100,0,AB100,AE100,AF100,AK100,$AJ$2,0))</f>
        <v>0.1488092215343744</v>
      </c>
      <c r="AM100" s="89">
        <f t="shared" si="63"/>
        <v>8.2784996842188527E-2</v>
      </c>
      <c r="AN100" s="89">
        <f t="shared" ca="1" si="64"/>
        <v>6.6024224692185871E-2</v>
      </c>
      <c r="AO100" s="3">
        <f t="shared" si="65"/>
        <v>31</v>
      </c>
      <c r="AP100" s="33">
        <f t="shared" si="66"/>
        <v>39783</v>
      </c>
      <c r="AQ100" s="58">
        <f t="shared" ca="1" si="67"/>
        <v>2757</v>
      </c>
      <c r="AR100" s="38">
        <f>'ANR OK vs ML7'!AR100</f>
        <v>0.1</v>
      </c>
      <c r="AS100" s="35">
        <f t="shared" ca="1" si="68"/>
        <v>0.47875745623997412</v>
      </c>
      <c r="AT100" s="3">
        <f t="shared" si="69"/>
        <v>1</v>
      </c>
      <c r="AU100" s="3">
        <f t="shared" si="70"/>
        <v>31</v>
      </c>
      <c r="AW100" s="32">
        <f t="shared" ca="1" si="71"/>
        <v>131011.63863886322</v>
      </c>
      <c r="AX100" s="32">
        <f t="shared" si="72"/>
        <v>72883.911219862784</v>
      </c>
      <c r="AY100" s="32">
        <f t="shared" ca="1" si="73"/>
        <v>58127.727419000439</v>
      </c>
      <c r="BA100" s="32">
        <f ca="1">IF($A101="","",F100*Summary!$Q$14)</f>
        <v>0</v>
      </c>
      <c r="BC100" s="256">
        <f t="shared" ca="1" si="77"/>
        <v>34893.715936441615</v>
      </c>
    </row>
    <row r="101" spans="1:55">
      <c r="A101" s="67">
        <f t="shared" si="74"/>
        <v>39814</v>
      </c>
      <c r="B101" s="69">
        <f t="shared" si="75"/>
        <v>28400</v>
      </c>
      <c r="C101" s="71"/>
      <c r="D101" s="69">
        <f t="shared" si="39"/>
        <v>28400</v>
      </c>
      <c r="E101" s="70">
        <f t="shared" si="40"/>
        <v>880400</v>
      </c>
      <c r="F101" s="70">
        <f t="shared" ca="1" si="41"/>
        <v>418021.64508916403</v>
      </c>
      <c r="G101" s="63">
        <f t="shared" si="42"/>
        <v>4.5890000000000004</v>
      </c>
      <c r="H101" s="64">
        <f t="shared" si="43"/>
        <v>4.5890000000000004</v>
      </c>
      <c r="I101" s="43"/>
      <c r="J101" s="63">
        <f t="shared" si="44"/>
        <v>0.41499999999999998</v>
      </c>
      <c r="K101" s="64">
        <f t="shared" si="45"/>
        <v>0.41499999999999998</v>
      </c>
      <c r="L101" s="38">
        <v>0</v>
      </c>
      <c r="M101" s="64">
        <f t="shared" si="46"/>
        <v>0</v>
      </c>
      <c r="N101" s="65"/>
      <c r="O101" s="63">
        <f t="shared" si="47"/>
        <v>5.0040000000000004</v>
      </c>
      <c r="P101" s="63">
        <f t="shared" si="48"/>
        <v>5.0040000000000004</v>
      </c>
      <c r="Q101" s="66"/>
      <c r="R101" s="63">
        <f t="shared" si="49"/>
        <v>0.27500000000000002</v>
      </c>
      <c r="S101" s="64">
        <f t="shared" si="50"/>
        <v>0.27500000000000002</v>
      </c>
      <c r="T101" s="63">
        <f t="shared" si="51"/>
        <v>0</v>
      </c>
      <c r="U101" s="64">
        <f t="shared" si="52"/>
        <v>0</v>
      </c>
      <c r="V101" s="207">
        <f>IF($A102="","",IF(AND(MONTH(A101)&gt;3,MONTH(A101)&lt;11),(T101+R101+G101)*(((1/(1-Summary!$T$14))/(1-Summary!$W$14))-1),(T101+R101+G101)*((1/(1-Summary!$U$14))/(1-Summary!$X$14)-1)))</f>
        <v>5.1867316051661089E-2</v>
      </c>
      <c r="W101" s="43">
        <f t="shared" si="53"/>
        <v>4.9158673160516617</v>
      </c>
      <c r="X101" s="43">
        <f t="shared" si="54"/>
        <v>4.9158673160516617</v>
      </c>
      <c r="Y101" s="43"/>
      <c r="Z101" s="38">
        <f t="shared" si="55"/>
        <v>1.1000000000000001</v>
      </c>
      <c r="AA101" s="38">
        <f t="shared" si="56"/>
        <v>0.20499999999999999</v>
      </c>
      <c r="AB101" s="38">
        <f t="shared" ca="1" si="57"/>
        <v>0.22083278290538946</v>
      </c>
      <c r="AC101" s="38">
        <f t="shared" si="58"/>
        <v>1.35</v>
      </c>
      <c r="AD101" s="38">
        <f t="shared" si="59"/>
        <v>0.20499999999999999</v>
      </c>
      <c r="AE101" s="38">
        <f t="shared" ca="1" si="60"/>
        <v>0.2284126458858482</v>
      </c>
      <c r="AF101" s="237">
        <f ca="1">((Summary!$N$14*(AA101*AD101)*(A101-$D$3))+(Summary!$M$14*Z101*AC101*(AJ101-EOMONTH(EDATE(A101,-1),0))))/(AK101*AB101*AE101)</f>
        <v>0.99704184100168047</v>
      </c>
      <c r="AG101" s="88">
        <f>IF($A102="","",Summary!$Q$14)</f>
        <v>0</v>
      </c>
      <c r="AH101" s="88">
        <f>IF($A102="","",IF(Summary!$R$12="Y",(VLOOKUP($A101,Summary!$AD$6:$AF$9,3)+'Escalating commodity'!J114),'Escalating commodity'!J114))</f>
        <v>5.6939300284125577E-3</v>
      </c>
      <c r="AI101" s="88">
        <f t="shared" si="76"/>
        <v>5.6939300284125577E-3</v>
      </c>
      <c r="AJ101" s="236">
        <f t="shared" si="61"/>
        <v>39828.5</v>
      </c>
      <c r="AK101" s="58">
        <f t="shared" ca="1" si="62"/>
        <v>2788</v>
      </c>
      <c r="AL101" s="26">
        <f ca="1">IF($A102="","",_xll.SPRDOPT(P101,X101,AI101,0,AB101,AE101,AF101,AK101,$AJ$2,0))</f>
        <v>0.14903201474890271</v>
      </c>
      <c r="AM101" s="89">
        <f t="shared" si="63"/>
        <v>8.2438753919926167E-2</v>
      </c>
      <c r="AN101" s="89">
        <f t="shared" ca="1" si="64"/>
        <v>6.6593260828976542E-2</v>
      </c>
      <c r="AO101" s="3">
        <f t="shared" si="65"/>
        <v>31</v>
      </c>
      <c r="AP101" s="33">
        <f t="shared" si="66"/>
        <v>39814</v>
      </c>
      <c r="AQ101" s="58">
        <f t="shared" ca="1" si="67"/>
        <v>2788</v>
      </c>
      <c r="AR101" s="38">
        <f>'ANR OK vs ML7'!AR101</f>
        <v>0.1</v>
      </c>
      <c r="AS101" s="35">
        <f t="shared" ca="1" si="68"/>
        <v>0.4748087745219946</v>
      </c>
      <c r="AT101" s="3">
        <f t="shared" si="69"/>
        <v>1</v>
      </c>
      <c r="AU101" s="3">
        <f t="shared" si="70"/>
        <v>31</v>
      </c>
      <c r="AW101" s="32">
        <f t="shared" ca="1" si="71"/>
        <v>131207.78578493395</v>
      </c>
      <c r="AX101" s="32">
        <f t="shared" si="72"/>
        <v>72579.078951103002</v>
      </c>
      <c r="AY101" s="32">
        <f t="shared" ca="1" si="73"/>
        <v>58628.706833830947</v>
      </c>
      <c r="BA101" s="32">
        <f ca="1">IF($A102="","",F101*Summary!$Q$14)</f>
        <v>0</v>
      </c>
      <c r="BC101" s="256">
        <f t="shared" ca="1" si="77"/>
        <v>34461.183532708303</v>
      </c>
    </row>
    <row r="102" spans="1:55">
      <c r="A102" s="67">
        <f t="shared" si="74"/>
        <v>39845</v>
      </c>
      <c r="B102" s="69">
        <f t="shared" si="75"/>
        <v>28400</v>
      </c>
      <c r="C102" s="71"/>
      <c r="D102" s="69">
        <f t="shared" si="39"/>
        <v>28400</v>
      </c>
      <c r="E102" s="70">
        <f t="shared" si="40"/>
        <v>795200</v>
      </c>
      <c r="F102" s="70">
        <f t="shared" ca="1" si="41"/>
        <v>374453.84372929885</v>
      </c>
      <c r="G102" s="63">
        <f t="shared" si="42"/>
        <v>4.4690000000000003</v>
      </c>
      <c r="H102" s="64">
        <f t="shared" si="43"/>
        <v>4.4690000000000003</v>
      </c>
      <c r="I102" s="43"/>
      <c r="J102" s="63">
        <f t="shared" si="44"/>
        <v>0.41499999999999998</v>
      </c>
      <c r="K102" s="64">
        <f t="shared" si="45"/>
        <v>0.41499999999999998</v>
      </c>
      <c r="L102" s="38">
        <v>0</v>
      </c>
      <c r="M102" s="64">
        <f t="shared" si="46"/>
        <v>0</v>
      </c>
      <c r="N102" s="65"/>
      <c r="O102" s="63">
        <f t="shared" si="47"/>
        <v>4.8840000000000003</v>
      </c>
      <c r="P102" s="63">
        <f t="shared" si="48"/>
        <v>4.8840000000000003</v>
      </c>
      <c r="Q102" s="66"/>
      <c r="R102" s="63">
        <f t="shared" si="49"/>
        <v>0.27500000000000002</v>
      </c>
      <c r="S102" s="64">
        <f t="shared" si="50"/>
        <v>0.27500000000000002</v>
      </c>
      <c r="T102" s="63">
        <f t="shared" si="51"/>
        <v>0</v>
      </c>
      <c r="U102" s="64">
        <f t="shared" si="52"/>
        <v>0</v>
      </c>
      <c r="V102" s="207">
        <f>IF($A103="","",IF(AND(MONTH(A102)&gt;3,MONTH(A102)&lt;11),(T102+R102+G102)*(((1/(1-Summary!$T$14))/(1-Summary!$W$14))-1),(T102+R102+G102)*((1/(1-Summary!$U$14))/(1-Summary!$X$14)-1)))</f>
        <v>5.0587694767491816E-2</v>
      </c>
      <c r="W102" s="43">
        <f t="shared" si="53"/>
        <v>4.7945876947674924</v>
      </c>
      <c r="X102" s="43">
        <f t="shared" si="54"/>
        <v>4.7945876947674924</v>
      </c>
      <c r="Y102" s="43"/>
      <c r="Z102" s="38">
        <f t="shared" si="55"/>
        <v>1.1000000000000001</v>
      </c>
      <c r="AA102" s="38">
        <f t="shared" si="56"/>
        <v>0.20300000000000001</v>
      </c>
      <c r="AB102" s="38">
        <f t="shared" ca="1" si="57"/>
        <v>0.21733117915552824</v>
      </c>
      <c r="AC102" s="38">
        <f t="shared" si="58"/>
        <v>1.35</v>
      </c>
      <c r="AD102" s="38">
        <f t="shared" si="59"/>
        <v>0.20300000000000001</v>
      </c>
      <c r="AE102" s="38">
        <f t="shared" ca="1" si="60"/>
        <v>0.22422020481730681</v>
      </c>
      <c r="AF102" s="237">
        <f ca="1">((Summary!$N$14*(AA102*AD102)*(A102-$D$3))+(Summary!$M$14*Z102*AC102*(AJ102-EOMONTH(EDATE(A102,-1),0))))/(AK102*AB102*AE102)</f>
        <v>0.99721752950154585</v>
      </c>
      <c r="AG102" s="88">
        <f>IF($A103="","",Summary!$Q$14)</f>
        <v>0</v>
      </c>
      <c r="AH102" s="88">
        <f>IF($A103="","",IF(Summary!$R$12="Y",(VLOOKUP($A102,Summary!$AD$6:$AF$9,3)+'Escalating commodity'!J115),'Escalating commodity'!J115))</f>
        <v>5.6939300284125577E-3</v>
      </c>
      <c r="AI102" s="88">
        <f t="shared" si="76"/>
        <v>5.6939300284125577E-3</v>
      </c>
      <c r="AJ102" s="236">
        <f t="shared" si="61"/>
        <v>39858</v>
      </c>
      <c r="AK102" s="58">
        <f t="shared" ca="1" si="62"/>
        <v>2819</v>
      </c>
      <c r="AL102" s="26">
        <f ca="1">IF($A103="","",_xll.SPRDOPT(P102,X102,AI102,0,AB102,AE102,AF102,AK102,$AJ$2,0))</f>
        <v>0.14288155783206133</v>
      </c>
      <c r="AM102" s="89">
        <f t="shared" si="63"/>
        <v>8.3718375204095419E-2</v>
      </c>
      <c r="AN102" s="89">
        <f t="shared" ca="1" si="64"/>
        <v>5.916318262796591E-2</v>
      </c>
      <c r="AO102" s="3">
        <f t="shared" si="65"/>
        <v>28</v>
      </c>
      <c r="AP102" s="33">
        <f t="shared" si="66"/>
        <v>39845</v>
      </c>
      <c r="AQ102" s="58">
        <f t="shared" ca="1" si="67"/>
        <v>2819</v>
      </c>
      <c r="AR102" s="38">
        <f>'ANR OK vs ML7'!AR102</f>
        <v>0.1</v>
      </c>
      <c r="AS102" s="35">
        <f t="shared" ca="1" si="68"/>
        <v>0.47089266062537583</v>
      </c>
      <c r="AT102" s="3">
        <f t="shared" si="69"/>
        <v>1</v>
      </c>
      <c r="AU102" s="3">
        <f t="shared" si="70"/>
        <v>28</v>
      </c>
      <c r="AW102" s="32">
        <f t="shared" ca="1" si="71"/>
        <v>113619.41478805518</v>
      </c>
      <c r="AX102" s="32">
        <f t="shared" si="72"/>
        <v>66572.851962296671</v>
      </c>
      <c r="AY102" s="32">
        <f t="shared" ca="1" si="73"/>
        <v>47046.56282575849</v>
      </c>
      <c r="BA102" s="32">
        <f ca="1">IF($A103="","",F102*Summary!$Q$14)</f>
        <v>0</v>
      </c>
      <c r="BC102" s="256">
        <f t="shared" ca="1" si="77"/>
        <v>31348.667385945155</v>
      </c>
    </row>
    <row r="103" spans="1:55">
      <c r="A103" s="67">
        <f t="shared" si="74"/>
        <v>39873</v>
      </c>
      <c r="B103" s="69">
        <f t="shared" si="75"/>
        <v>28400</v>
      </c>
      <c r="C103" s="71"/>
      <c r="D103" s="69">
        <f t="shared" si="39"/>
        <v>28400</v>
      </c>
      <c r="E103" s="70">
        <f t="shared" si="40"/>
        <v>880400</v>
      </c>
      <c r="F103" s="70">
        <f t="shared" ca="1" si="41"/>
        <v>411484.25270271156</v>
      </c>
      <c r="G103" s="63">
        <f t="shared" si="42"/>
        <v>4.33</v>
      </c>
      <c r="H103" s="64">
        <f t="shared" si="43"/>
        <v>4.33</v>
      </c>
      <c r="I103" s="43"/>
      <c r="J103" s="63">
        <f t="shared" si="44"/>
        <v>0.41499999999999998</v>
      </c>
      <c r="K103" s="64">
        <f t="shared" si="45"/>
        <v>0.41499999999999998</v>
      </c>
      <c r="L103" s="38">
        <v>0</v>
      </c>
      <c r="M103" s="64">
        <f t="shared" si="46"/>
        <v>0</v>
      </c>
      <c r="N103" s="65"/>
      <c r="O103" s="63">
        <f t="shared" si="47"/>
        <v>4.7450000000000001</v>
      </c>
      <c r="P103" s="63">
        <f t="shared" si="48"/>
        <v>4.7450000000000001</v>
      </c>
      <c r="Q103" s="66"/>
      <c r="R103" s="63">
        <f t="shared" si="49"/>
        <v>0.27500000000000002</v>
      </c>
      <c r="S103" s="64">
        <f t="shared" si="50"/>
        <v>0.27500000000000002</v>
      </c>
      <c r="T103" s="63">
        <f t="shared" si="51"/>
        <v>0</v>
      </c>
      <c r="U103" s="64">
        <f t="shared" si="52"/>
        <v>0</v>
      </c>
      <c r="V103" s="207">
        <f>IF($A104="","",IF(AND(MONTH(A103)&gt;3,MONTH(A103)&lt;11),(T103+R103+G103)*(((1/(1-Summary!$T$14))/(1-Summary!$W$14))-1),(T103+R103+G103)*((1/(1-Summary!$U$14))/(1-Summary!$X$14)-1)))</f>
        <v>4.9105466779995742E-2</v>
      </c>
      <c r="W103" s="43">
        <f t="shared" si="53"/>
        <v>4.6541054667799964</v>
      </c>
      <c r="X103" s="43">
        <f t="shared" si="54"/>
        <v>4.6541054667799964</v>
      </c>
      <c r="Y103" s="43"/>
      <c r="Z103" s="38">
        <f t="shared" si="55"/>
        <v>0.75</v>
      </c>
      <c r="AA103" s="38">
        <f t="shared" si="56"/>
        <v>0.193</v>
      </c>
      <c r="AB103" s="38">
        <f t="shared" ca="1" si="57"/>
        <v>0.20080965548989368</v>
      </c>
      <c r="AC103" s="38">
        <f t="shared" si="58"/>
        <v>0.95</v>
      </c>
      <c r="AD103" s="38">
        <f t="shared" si="59"/>
        <v>0.193</v>
      </c>
      <c r="AE103" s="38">
        <f t="shared" ca="1" si="60"/>
        <v>0.20536696190258036</v>
      </c>
      <c r="AF103" s="237">
        <f ca="1">((Summary!$N$14*(AA103*AD103)*(A103-$D$3))+(Summary!$M$14*Z103*AC103*(AJ103-EOMONTH(EDATE(A103,-1),0))))/(AK103*AB103*AE103)</f>
        <v>0.99752111892415041</v>
      </c>
      <c r="AG103" s="88">
        <f>IF($A104="","",Summary!$Q$14)</f>
        <v>0</v>
      </c>
      <c r="AH103" s="88">
        <f>IF($A104="","",IF(Summary!$R$12="Y",(VLOOKUP($A103,Summary!$AD$6:$AF$9,3)+'Escalating commodity'!J116),'Escalating commodity'!J116))</f>
        <v>5.6939300284125577E-3</v>
      </c>
      <c r="AI103" s="88">
        <f t="shared" si="76"/>
        <v>5.6939300284125577E-3</v>
      </c>
      <c r="AJ103" s="236">
        <f t="shared" si="61"/>
        <v>39887.5</v>
      </c>
      <c r="AK103" s="58">
        <f t="shared" ca="1" si="62"/>
        <v>2847</v>
      </c>
      <c r="AL103" s="26">
        <f ca="1">IF($A104="","",_xll.SPRDOPT(P103,X103,AI103,0,AB103,AE103,AF103,AK103,$AJ$2,0))</f>
        <v>0.12805620582004618</v>
      </c>
      <c r="AM103" s="89">
        <f t="shared" si="63"/>
        <v>8.5200603191591173E-2</v>
      </c>
      <c r="AN103" s="89">
        <f t="shared" ca="1" si="64"/>
        <v>4.2855602628455003E-2</v>
      </c>
      <c r="AO103" s="3">
        <f t="shared" si="65"/>
        <v>31</v>
      </c>
      <c r="AP103" s="33">
        <f t="shared" si="66"/>
        <v>39873</v>
      </c>
      <c r="AQ103" s="58">
        <f t="shared" ca="1" si="67"/>
        <v>2847</v>
      </c>
      <c r="AR103" s="38">
        <f>'ANR OK vs ML7'!AR103</f>
        <v>0.1</v>
      </c>
      <c r="AS103" s="35">
        <f t="shared" ca="1" si="68"/>
        <v>0.4673832947554652</v>
      </c>
      <c r="AT103" s="3">
        <f t="shared" si="69"/>
        <v>1</v>
      </c>
      <c r="AU103" s="3">
        <f t="shared" si="70"/>
        <v>31</v>
      </c>
      <c r="AW103" s="32">
        <f t="shared" ca="1" si="71"/>
        <v>112740.68360396866</v>
      </c>
      <c r="AX103" s="32">
        <f t="shared" si="72"/>
        <v>75010.611049876868</v>
      </c>
      <c r="AY103" s="32">
        <f t="shared" ca="1" si="73"/>
        <v>37730.072554091785</v>
      </c>
      <c r="BA103" s="32">
        <f ca="1">IF($A104="","",F103*Summary!$Q$14)</f>
        <v>0</v>
      </c>
      <c r="BC103" s="256">
        <f t="shared" ca="1" si="77"/>
        <v>35058.706534112156</v>
      </c>
    </row>
    <row r="104" spans="1:55">
      <c r="A104" s="67">
        <f t="shared" si="74"/>
        <v>39904</v>
      </c>
      <c r="B104" s="69">
        <f t="shared" si="75"/>
        <v>28400</v>
      </c>
      <c r="C104" s="71"/>
      <c r="D104" s="69">
        <f t="shared" si="39"/>
        <v>28400</v>
      </c>
      <c r="E104" s="70">
        <f t="shared" si="40"/>
        <v>852000</v>
      </c>
      <c r="F104" s="70">
        <f t="shared" ca="1" si="41"/>
        <v>394926.21768530353</v>
      </c>
      <c r="G104" s="63">
        <f t="shared" si="42"/>
        <v>4.1550000000000002</v>
      </c>
      <c r="H104" s="64">
        <f t="shared" si="43"/>
        <v>4.1550000000000002</v>
      </c>
      <c r="I104" s="43"/>
      <c r="J104" s="63">
        <f t="shared" si="44"/>
        <v>0.23499999999999999</v>
      </c>
      <c r="K104" s="64">
        <f t="shared" si="45"/>
        <v>0.23499999999999999</v>
      </c>
      <c r="L104" s="38">
        <v>0</v>
      </c>
      <c r="M104" s="64">
        <f t="shared" si="46"/>
        <v>0</v>
      </c>
      <c r="N104" s="65"/>
      <c r="O104" s="63">
        <f t="shared" si="47"/>
        <v>4.3900000000000006</v>
      </c>
      <c r="P104" s="63">
        <f t="shared" si="48"/>
        <v>4.3900000000000006</v>
      </c>
      <c r="Q104" s="66"/>
      <c r="R104" s="63">
        <f t="shared" si="49"/>
        <v>0.18</v>
      </c>
      <c r="S104" s="64">
        <f t="shared" si="50"/>
        <v>0.18</v>
      </c>
      <c r="T104" s="63">
        <f t="shared" si="51"/>
        <v>0</v>
      </c>
      <c r="U104" s="64">
        <f t="shared" si="52"/>
        <v>0</v>
      </c>
      <c r="V104" s="207">
        <f>IF($A105="","",IF(AND(MONTH(A104)&gt;3,MONTH(A104)&lt;11),(T104+R104+G104)*(((1/(1-Summary!$T$14))/(1-Summary!$W$14))-1),(T104+R104+G104)*((1/(1-Summary!$U$14))/(1-Summary!$X$14)-1)))</f>
        <v>4.6226318890614876E-2</v>
      </c>
      <c r="W104" s="43">
        <f t="shared" si="53"/>
        <v>4.3812263188906151</v>
      </c>
      <c r="X104" s="43">
        <f t="shared" si="54"/>
        <v>4.3812263188906151</v>
      </c>
      <c r="Y104" s="43"/>
      <c r="Z104" s="38">
        <f t="shared" si="55"/>
        <v>0.45</v>
      </c>
      <c r="AA104" s="38">
        <f t="shared" si="56"/>
        <v>0.19</v>
      </c>
      <c r="AB104" s="38">
        <f t="shared" ca="1" si="57"/>
        <v>0.19278994751748416</v>
      </c>
      <c r="AC104" s="38">
        <f t="shared" si="58"/>
        <v>0.5</v>
      </c>
      <c r="AD104" s="38">
        <f t="shared" si="59"/>
        <v>0.19</v>
      </c>
      <c r="AE104" s="38">
        <f t="shared" ca="1" si="60"/>
        <v>0.19343094793538076</v>
      </c>
      <c r="AF104" s="237">
        <f ca="1">((Summary!$N$14*(AA104*AD104)*(A104-$D$3))+(Summary!$M$14*Z104*AC104*(AJ104-EOMONTH(EDATE(A104,-1),0))))/(AK104*AB104*AE104)</f>
        <v>0.99973396770703082</v>
      </c>
      <c r="AG104" s="88">
        <f>IF($A105="","",Summary!$Q$14)</f>
        <v>0</v>
      </c>
      <c r="AH104" s="88">
        <f>IF($A105="","",IF(Summary!$R$12="Y",(VLOOKUP($A104,Summary!$AD$6:$AF$9,3)+'Escalating commodity'!J117),'Escalating commodity'!J117))</f>
        <v>5.6939300284125577E-3</v>
      </c>
      <c r="AI104" s="88">
        <f t="shared" si="76"/>
        <v>5.6939300284125577E-3</v>
      </c>
      <c r="AJ104" s="236">
        <f t="shared" si="61"/>
        <v>39918</v>
      </c>
      <c r="AK104" s="58">
        <f t="shared" ca="1" si="62"/>
        <v>2878</v>
      </c>
      <c r="AL104" s="26">
        <f ca="1">IF($A105="","",_xll.SPRDOPT(P104,X104,AI104,0,AB104,AE104,AF104,AK104,$AJ$2,0))</f>
        <v>1.4667254665518888E-2</v>
      </c>
      <c r="AM104" s="89">
        <f t="shared" si="63"/>
        <v>3.0797510809729206E-3</v>
      </c>
      <c r="AN104" s="89">
        <f t="shared" ca="1" si="64"/>
        <v>1.1587503584545966E-2</v>
      </c>
      <c r="AO104" s="3">
        <f t="shared" si="65"/>
        <v>30</v>
      </c>
      <c r="AP104" s="33">
        <f t="shared" si="66"/>
        <v>39904</v>
      </c>
      <c r="AQ104" s="58">
        <f t="shared" ca="1" si="67"/>
        <v>2878</v>
      </c>
      <c r="AR104" s="38">
        <f>'ANR OK vs ML7'!AR104</f>
        <v>0.1</v>
      </c>
      <c r="AS104" s="35">
        <f t="shared" ca="1" si="68"/>
        <v>0.46352842451326709</v>
      </c>
      <c r="AT104" s="3">
        <f t="shared" si="69"/>
        <v>1</v>
      </c>
      <c r="AU104" s="3">
        <f t="shared" si="70"/>
        <v>30</v>
      </c>
      <c r="AW104" s="32">
        <f t="shared" ca="1" si="71"/>
        <v>12496.500975022092</v>
      </c>
      <c r="AX104" s="32">
        <f t="shared" si="72"/>
        <v>2623.9479209889282</v>
      </c>
      <c r="AY104" s="32">
        <f t="shared" ca="1" si="73"/>
        <v>9872.5530540331638</v>
      </c>
      <c r="BA104" s="32">
        <f ca="1">IF($A105="","",F104*Summary!$Q$14)</f>
        <v>0</v>
      </c>
      <c r="BC104" s="256">
        <f t="shared" ca="1" si="77"/>
        <v>1216.2744458208606</v>
      </c>
    </row>
    <row r="105" spans="1:55">
      <c r="A105" s="67">
        <f t="shared" si="74"/>
        <v>39934</v>
      </c>
      <c r="B105" s="69">
        <f t="shared" si="75"/>
        <v>28400</v>
      </c>
      <c r="C105" s="71"/>
      <c r="D105" s="69">
        <f t="shared" si="39"/>
        <v>28400</v>
      </c>
      <c r="E105" s="70">
        <f t="shared" si="40"/>
        <v>880400</v>
      </c>
      <c r="F105" s="70">
        <f t="shared" ca="1" si="41"/>
        <v>404832.72951263806</v>
      </c>
      <c r="G105" s="63">
        <f t="shared" si="42"/>
        <v>4.125</v>
      </c>
      <c r="H105" s="64">
        <f t="shared" si="43"/>
        <v>4.125</v>
      </c>
      <c r="I105" s="43"/>
      <c r="J105" s="63">
        <f t="shared" si="44"/>
        <v>0.23499999999999999</v>
      </c>
      <c r="K105" s="64">
        <f t="shared" si="45"/>
        <v>0.23499999999999999</v>
      </c>
      <c r="L105" s="38">
        <v>0</v>
      </c>
      <c r="M105" s="64">
        <f t="shared" si="46"/>
        <v>0</v>
      </c>
      <c r="N105" s="65"/>
      <c r="O105" s="63">
        <f t="shared" si="47"/>
        <v>4.3600000000000003</v>
      </c>
      <c r="P105" s="63">
        <f t="shared" si="48"/>
        <v>4.3600000000000003</v>
      </c>
      <c r="Q105" s="66"/>
      <c r="R105" s="63">
        <f t="shared" si="49"/>
        <v>0.18</v>
      </c>
      <c r="S105" s="64">
        <f t="shared" si="50"/>
        <v>0.18</v>
      </c>
      <c r="T105" s="63">
        <f t="shared" si="51"/>
        <v>0</v>
      </c>
      <c r="U105" s="64">
        <f t="shared" si="52"/>
        <v>0</v>
      </c>
      <c r="V105" s="207">
        <f>IF($A106="","",IF(AND(MONTH(A105)&gt;3,MONTH(A105)&lt;11),(T105+R105+G105)*(((1/(1-Summary!$T$14))/(1-Summary!$W$14))-1),(T105+R105+G105)*((1/(1-Summary!$U$14))/(1-Summary!$X$14)-1)))</f>
        <v>4.5906413569572556E-2</v>
      </c>
      <c r="W105" s="43">
        <f t="shared" si="53"/>
        <v>4.3509064135695725</v>
      </c>
      <c r="X105" s="43">
        <f t="shared" si="54"/>
        <v>4.3509064135695725</v>
      </c>
      <c r="Y105" s="43"/>
      <c r="Z105" s="38">
        <f t="shared" si="55"/>
        <v>0.5</v>
      </c>
      <c r="AA105" s="38">
        <f t="shared" si="56"/>
        <v>0.19</v>
      </c>
      <c r="AB105" s="38">
        <f t="shared" ca="1" si="57"/>
        <v>0.19350696364567158</v>
      </c>
      <c r="AC105" s="38">
        <f t="shared" si="58"/>
        <v>0.45</v>
      </c>
      <c r="AD105" s="38">
        <f t="shared" si="59"/>
        <v>0.19</v>
      </c>
      <c r="AE105" s="38">
        <f t="shared" ca="1" si="60"/>
        <v>0.19285166345934676</v>
      </c>
      <c r="AF105" s="237">
        <f ca="1">((Summary!$N$14*(AA105*AD105)*(A105-$D$3))+(Summary!$M$14*Z105*AC105*(AJ105-EOMONTH(EDATE(A105,-1),0))))/(AK105*AB105*AE105)</f>
        <v>0.99973044779221909</v>
      </c>
      <c r="AG105" s="88">
        <f>IF($A106="","",Summary!$Q$14)</f>
        <v>0</v>
      </c>
      <c r="AH105" s="88">
        <f>IF($A106="","",IF(Summary!$R$12="Y",(VLOOKUP($A105,Summary!$AD$6:$AF$9,3)+'Escalating commodity'!J118),'Escalating commodity'!J118))</f>
        <v>5.6939300284125577E-3</v>
      </c>
      <c r="AI105" s="88">
        <f t="shared" si="76"/>
        <v>5.6939300284125577E-3</v>
      </c>
      <c r="AJ105" s="236">
        <f t="shared" si="61"/>
        <v>39948.5</v>
      </c>
      <c r="AK105" s="58">
        <f t="shared" ca="1" si="62"/>
        <v>2908</v>
      </c>
      <c r="AL105" s="26">
        <f ca="1">IF($A106="","",_xll.SPRDOPT(P105,X105,AI105,0,AB105,AE105,AF105,AK105,$AJ$2,0))</f>
        <v>1.6629246673001464E-2</v>
      </c>
      <c r="AM105" s="89">
        <f t="shared" si="63"/>
        <v>3.3996564020152336E-3</v>
      </c>
      <c r="AN105" s="89">
        <f t="shared" ca="1" si="64"/>
        <v>1.3229590270986229E-2</v>
      </c>
      <c r="AO105" s="3">
        <f t="shared" si="65"/>
        <v>31</v>
      </c>
      <c r="AP105" s="33">
        <f t="shared" si="66"/>
        <v>39934</v>
      </c>
      <c r="AQ105" s="58">
        <f t="shared" ca="1" si="67"/>
        <v>2908</v>
      </c>
      <c r="AR105" s="38">
        <f>'ANR OK vs ML7'!AR105</f>
        <v>0.1</v>
      </c>
      <c r="AS105" s="35">
        <f t="shared" ca="1" si="68"/>
        <v>0.45982817981898916</v>
      </c>
      <c r="AT105" s="3">
        <f t="shared" si="69"/>
        <v>1</v>
      </c>
      <c r="AU105" s="3">
        <f t="shared" si="70"/>
        <v>31</v>
      </c>
      <c r="AW105" s="32">
        <f t="shared" ca="1" si="71"/>
        <v>14640.388770910489</v>
      </c>
      <c r="AX105" s="32">
        <f t="shared" si="72"/>
        <v>2993.0574963342119</v>
      </c>
      <c r="AY105" s="32">
        <f t="shared" ca="1" si="73"/>
        <v>11647.331274576276</v>
      </c>
      <c r="BA105" s="32">
        <f ca="1">IF($A106="","",F105*Summary!$Q$14)</f>
        <v>0</v>
      </c>
      <c r="BC105" s="256">
        <f t="shared" ca="1" si="77"/>
        <v>1376.2921806329414</v>
      </c>
    </row>
    <row r="106" spans="1:55">
      <c r="A106" s="67">
        <f t="shared" si="74"/>
        <v>39965</v>
      </c>
      <c r="B106" s="69">
        <f t="shared" si="75"/>
        <v>28400</v>
      </c>
      <c r="C106" s="71"/>
      <c r="D106" s="69">
        <f t="shared" si="39"/>
        <v>28400</v>
      </c>
      <c r="E106" s="70">
        <f t="shared" si="40"/>
        <v>852000</v>
      </c>
      <c r="F106" s="70">
        <f t="shared" ca="1" si="41"/>
        <v>388542.35031237727</v>
      </c>
      <c r="G106" s="63">
        <f t="shared" si="42"/>
        <v>4.1950000000000003</v>
      </c>
      <c r="H106" s="64">
        <f t="shared" si="43"/>
        <v>4.1950000000000003</v>
      </c>
      <c r="I106" s="43"/>
      <c r="J106" s="63">
        <f t="shared" si="44"/>
        <v>0.23499999999999999</v>
      </c>
      <c r="K106" s="64">
        <f t="shared" si="45"/>
        <v>0.23499999999999999</v>
      </c>
      <c r="L106" s="38">
        <v>0</v>
      </c>
      <c r="M106" s="64">
        <f t="shared" si="46"/>
        <v>0</v>
      </c>
      <c r="N106" s="65"/>
      <c r="O106" s="63">
        <f t="shared" si="47"/>
        <v>4.4300000000000006</v>
      </c>
      <c r="P106" s="63">
        <f t="shared" si="48"/>
        <v>4.4300000000000006</v>
      </c>
      <c r="Q106" s="66"/>
      <c r="R106" s="63">
        <f t="shared" si="49"/>
        <v>0.18</v>
      </c>
      <c r="S106" s="64">
        <f t="shared" si="50"/>
        <v>0.18</v>
      </c>
      <c r="T106" s="63">
        <f t="shared" si="51"/>
        <v>0</v>
      </c>
      <c r="U106" s="64">
        <f t="shared" si="52"/>
        <v>0</v>
      </c>
      <c r="V106" s="207">
        <f>IF($A107="","",IF(AND(MONTH(A106)&gt;3,MONTH(A106)&lt;11),(T106+R106+G106)*(((1/(1-Summary!$T$14))/(1-Summary!$W$14))-1),(T106+R106+G106)*((1/(1-Summary!$U$14))/(1-Summary!$X$14)-1)))</f>
        <v>4.6652859318671303E-2</v>
      </c>
      <c r="W106" s="43">
        <f t="shared" si="53"/>
        <v>4.4216528593186712</v>
      </c>
      <c r="X106" s="43">
        <f t="shared" si="54"/>
        <v>4.4216528593186712</v>
      </c>
      <c r="Y106" s="43"/>
      <c r="Z106" s="38">
        <f t="shared" si="55"/>
        <v>0.5</v>
      </c>
      <c r="AA106" s="38">
        <f t="shared" si="56"/>
        <v>0.19</v>
      </c>
      <c r="AB106" s="38">
        <f t="shared" ca="1" si="57"/>
        <v>0.19336035604071808</v>
      </c>
      <c r="AC106" s="38">
        <f t="shared" si="58"/>
        <v>0.5</v>
      </c>
      <c r="AD106" s="38">
        <f t="shared" si="59"/>
        <v>0.19</v>
      </c>
      <c r="AE106" s="38">
        <f t="shared" ca="1" si="60"/>
        <v>0.19336035604071808</v>
      </c>
      <c r="AF106" s="237">
        <f ca="1">((Summary!$N$14*(AA106*AD106)*(A106-$D$3))+(Summary!$M$14*Z106*AC106*(AJ106-EOMONTH(EDATE(A106,-1),0))))/(AK106*AB106*AE106)</f>
        <v>0.9999034126897457</v>
      </c>
      <c r="AG106" s="88">
        <f>IF($A107="","",Summary!$Q$14)</f>
        <v>0</v>
      </c>
      <c r="AH106" s="88">
        <f>IF($A107="","",IF(Summary!$R$12="Y",(VLOOKUP($A106,Summary!$AD$6:$AF$9,3)+'Escalating commodity'!J119),'Escalating commodity'!J119))</f>
        <v>5.6939300284125577E-3</v>
      </c>
      <c r="AI106" s="88">
        <f t="shared" si="76"/>
        <v>5.6939300284125577E-3</v>
      </c>
      <c r="AJ106" s="236">
        <f t="shared" si="61"/>
        <v>39979</v>
      </c>
      <c r="AK106" s="58">
        <f t="shared" ca="1" si="62"/>
        <v>2939</v>
      </c>
      <c r="AL106" s="26">
        <f ca="1">IF($A107="","",_xll.SPRDOPT(P106,X106,AI106,0,AB106,AE106,AF106,AK106,$AJ$2,0))</f>
        <v>7.1916797629452064E-3</v>
      </c>
      <c r="AM106" s="89">
        <f t="shared" si="63"/>
        <v>2.6532106529167992E-3</v>
      </c>
      <c r="AN106" s="89">
        <f t="shared" ca="1" si="64"/>
        <v>4.5384691100284072E-3</v>
      </c>
      <c r="AO106" s="3">
        <f t="shared" si="65"/>
        <v>30</v>
      </c>
      <c r="AP106" s="33">
        <f t="shared" si="66"/>
        <v>39965</v>
      </c>
      <c r="AQ106" s="58">
        <f t="shared" ca="1" si="67"/>
        <v>2939</v>
      </c>
      <c r="AR106" s="38">
        <f>'ANR OK vs ML7'!AR106</f>
        <v>0.1</v>
      </c>
      <c r="AS106" s="35">
        <f t="shared" ca="1" si="68"/>
        <v>0.45603562243236767</v>
      </c>
      <c r="AT106" s="3">
        <f t="shared" si="69"/>
        <v>1</v>
      </c>
      <c r="AU106" s="3">
        <f t="shared" si="70"/>
        <v>30</v>
      </c>
      <c r="AW106" s="32">
        <f t="shared" ca="1" si="71"/>
        <v>6127.3111580293162</v>
      </c>
      <c r="AX106" s="32">
        <f t="shared" si="72"/>
        <v>2260.535476285113</v>
      </c>
      <c r="AY106" s="32">
        <f t="shared" ca="1" si="73"/>
        <v>3866.7756817442028</v>
      </c>
      <c r="BA106" s="32">
        <f ca="1">IF($A107="","",F106*Summary!$Q$14)</f>
        <v>0</v>
      </c>
      <c r="BC106" s="256">
        <f t="shared" ca="1" si="77"/>
        <v>1030.8847029581302</v>
      </c>
    </row>
    <row r="107" spans="1:55">
      <c r="A107" s="67">
        <f t="shared" si="74"/>
        <v>39995</v>
      </c>
      <c r="B107" s="69">
        <f t="shared" si="75"/>
        <v>28400</v>
      </c>
      <c r="C107" s="71"/>
      <c r="D107" s="69">
        <f t="shared" si="39"/>
        <v>28400</v>
      </c>
      <c r="E107" s="70">
        <f t="shared" si="40"/>
        <v>880400</v>
      </c>
      <c r="F107" s="70">
        <f t="shared" ca="1" si="41"/>
        <v>398288.72625912953</v>
      </c>
      <c r="G107" s="63">
        <f t="shared" si="42"/>
        <v>4.25</v>
      </c>
      <c r="H107" s="64">
        <f t="shared" si="43"/>
        <v>4.25</v>
      </c>
      <c r="I107" s="43"/>
      <c r="J107" s="63">
        <f t="shared" si="44"/>
        <v>0.23499999999999999</v>
      </c>
      <c r="K107" s="64">
        <f t="shared" si="45"/>
        <v>0.23499999999999999</v>
      </c>
      <c r="L107" s="38">
        <v>0</v>
      </c>
      <c r="M107" s="64">
        <f t="shared" si="46"/>
        <v>0</v>
      </c>
      <c r="N107" s="65"/>
      <c r="O107" s="63">
        <f t="shared" si="47"/>
        <v>4.4850000000000003</v>
      </c>
      <c r="P107" s="63">
        <f t="shared" si="48"/>
        <v>4.4850000000000003</v>
      </c>
      <c r="Q107" s="66"/>
      <c r="R107" s="63">
        <f t="shared" si="49"/>
        <v>0.18</v>
      </c>
      <c r="S107" s="64">
        <f t="shared" si="50"/>
        <v>0.18</v>
      </c>
      <c r="T107" s="63">
        <f t="shared" si="51"/>
        <v>0</v>
      </c>
      <c r="U107" s="64">
        <f t="shared" si="52"/>
        <v>0</v>
      </c>
      <c r="V107" s="207">
        <f>IF($A108="","",IF(AND(MONTH(A107)&gt;3,MONTH(A107)&lt;11),(T107+R107+G107)*(((1/(1-Summary!$T$14))/(1-Summary!$W$14))-1),(T107+R107+G107)*((1/(1-Summary!$U$14))/(1-Summary!$X$14)-1)))</f>
        <v>4.7239352407248879E-2</v>
      </c>
      <c r="W107" s="43">
        <f t="shared" si="53"/>
        <v>4.4772393524072482</v>
      </c>
      <c r="X107" s="43">
        <f t="shared" si="54"/>
        <v>4.4772393524072482</v>
      </c>
      <c r="Y107" s="43"/>
      <c r="Z107" s="38">
        <f t="shared" si="55"/>
        <v>0.55000000000000004</v>
      </c>
      <c r="AA107" s="38">
        <f t="shared" si="56"/>
        <v>0.19</v>
      </c>
      <c r="AB107" s="38">
        <f t="shared" ca="1" si="57"/>
        <v>0.19414271660016474</v>
      </c>
      <c r="AC107" s="38">
        <f t="shared" si="58"/>
        <v>0.5</v>
      </c>
      <c r="AD107" s="38">
        <f t="shared" si="59"/>
        <v>0.19</v>
      </c>
      <c r="AE107" s="38">
        <f t="shared" ca="1" si="60"/>
        <v>0.19343555057522088</v>
      </c>
      <c r="AF107" s="237">
        <f ca="1">((Summary!$N$14*(AA107*AD107)*(A107-$D$3))+(Summary!$M$14*Z107*AC107*(AJ107-EOMONTH(EDATE(A107,-1),0))))/(AK107*AB107*AE107)</f>
        <v>0.99973672809645153</v>
      </c>
      <c r="AG107" s="88">
        <f>IF($A108="","",Summary!$Q$14)</f>
        <v>0</v>
      </c>
      <c r="AH107" s="88">
        <f>IF($A108="","",IF(Summary!$R$12="Y",(VLOOKUP($A107,Summary!$AD$6:$AF$9,3)+'Escalating commodity'!J120),'Escalating commodity'!J120))</f>
        <v>5.6939300284125577E-3</v>
      </c>
      <c r="AI107" s="88">
        <f t="shared" si="76"/>
        <v>5.6939300284125577E-3</v>
      </c>
      <c r="AJ107" s="236">
        <f t="shared" si="61"/>
        <v>40009.5</v>
      </c>
      <c r="AK107" s="58">
        <f t="shared" ca="1" si="62"/>
        <v>2969</v>
      </c>
      <c r="AL107" s="26">
        <f ca="1">IF($A108="","",_xll.SPRDOPT(P107,X107,AI107,0,AB107,AE107,AF107,AK107,$AJ$2,0))</f>
        <v>1.6377060478713287E-2</v>
      </c>
      <c r="AM107" s="89">
        <f t="shared" si="63"/>
        <v>2.0667175643395213E-3</v>
      </c>
      <c r="AN107" s="89">
        <f t="shared" ca="1" si="64"/>
        <v>1.4310342914373764E-2</v>
      </c>
      <c r="AO107" s="3">
        <f t="shared" si="65"/>
        <v>31</v>
      </c>
      <c r="AP107" s="33">
        <f t="shared" si="66"/>
        <v>39995</v>
      </c>
      <c r="AQ107" s="58">
        <f t="shared" ca="1" si="67"/>
        <v>2969</v>
      </c>
      <c r="AR107" s="38">
        <f>'ANR OK vs ML7'!AR107</f>
        <v>0.1</v>
      </c>
      <c r="AS107" s="35">
        <f t="shared" ca="1" si="68"/>
        <v>0.45239519111668508</v>
      </c>
      <c r="AT107" s="3">
        <f t="shared" si="69"/>
        <v>1</v>
      </c>
      <c r="AU107" s="3">
        <f t="shared" si="70"/>
        <v>31</v>
      </c>
      <c r="AW107" s="32">
        <f t="shared" ca="1" si="71"/>
        <v>14418.364045459177</v>
      </c>
      <c r="AX107" s="32">
        <f t="shared" si="72"/>
        <v>1819.5381436445145</v>
      </c>
      <c r="AY107" s="32">
        <f t="shared" ca="1" si="73"/>
        <v>12598.825901814662</v>
      </c>
      <c r="BA107" s="32">
        <f ca="1">IF($A108="","",F107*Summary!$Q$14)</f>
        <v>0</v>
      </c>
      <c r="BC107" s="256">
        <f t="shared" ca="1" si="77"/>
        <v>823.15030623815858</v>
      </c>
    </row>
    <row r="108" spans="1:55">
      <c r="A108" s="67">
        <f t="shared" si="74"/>
        <v>40026</v>
      </c>
      <c r="B108" s="69">
        <f t="shared" si="75"/>
        <v>28400</v>
      </c>
      <c r="C108" s="71"/>
      <c r="D108" s="69">
        <f t="shared" si="39"/>
        <v>28400</v>
      </c>
      <c r="E108" s="70">
        <f t="shared" si="40"/>
        <v>880400</v>
      </c>
      <c r="F108" s="70">
        <f t="shared" ca="1" si="41"/>
        <v>395003.73217421561</v>
      </c>
      <c r="G108" s="63">
        <f t="shared" si="42"/>
        <v>4.306</v>
      </c>
      <c r="H108" s="64">
        <f t="shared" si="43"/>
        <v>4.306</v>
      </c>
      <c r="I108" s="43"/>
      <c r="J108" s="63">
        <f t="shared" si="44"/>
        <v>0.23499999999999999</v>
      </c>
      <c r="K108" s="64">
        <f t="shared" si="45"/>
        <v>0.23499999999999999</v>
      </c>
      <c r="L108" s="38">
        <v>0</v>
      </c>
      <c r="M108" s="64">
        <f t="shared" si="46"/>
        <v>0</v>
      </c>
      <c r="N108" s="65"/>
      <c r="O108" s="63">
        <f t="shared" si="47"/>
        <v>4.5410000000000004</v>
      </c>
      <c r="P108" s="63">
        <f t="shared" si="48"/>
        <v>4.5410000000000004</v>
      </c>
      <c r="Q108" s="66"/>
      <c r="R108" s="63">
        <f t="shared" si="49"/>
        <v>0.18</v>
      </c>
      <c r="S108" s="64">
        <f t="shared" si="50"/>
        <v>0.18</v>
      </c>
      <c r="T108" s="63">
        <f t="shared" si="51"/>
        <v>0</v>
      </c>
      <c r="U108" s="64">
        <f t="shared" si="52"/>
        <v>0</v>
      </c>
      <c r="V108" s="207">
        <f>IF($A109="","",IF(AND(MONTH(A108)&gt;3,MONTH(A108)&lt;11),(T108+R108+G108)*(((1/(1-Summary!$T$14))/(1-Summary!$W$14))-1),(T108+R108+G108)*((1/(1-Summary!$U$14))/(1-Summary!$X$14)-1)))</f>
        <v>4.7836509006527875E-2</v>
      </c>
      <c r="W108" s="43">
        <f t="shared" si="53"/>
        <v>4.5338365090065276</v>
      </c>
      <c r="X108" s="43">
        <f t="shared" si="54"/>
        <v>4.5338365090065276</v>
      </c>
      <c r="Y108" s="43"/>
      <c r="Z108" s="38">
        <f t="shared" si="55"/>
        <v>0.6</v>
      </c>
      <c r="AA108" s="38">
        <f t="shared" si="56"/>
        <v>0.19</v>
      </c>
      <c r="AB108" s="38">
        <f t="shared" ca="1" si="57"/>
        <v>0.19486414070663011</v>
      </c>
      <c r="AC108" s="38">
        <f t="shared" si="58"/>
        <v>0.45</v>
      </c>
      <c r="AD108" s="38">
        <f t="shared" si="59"/>
        <v>0.19</v>
      </c>
      <c r="AE108" s="38">
        <f t="shared" ca="1" si="60"/>
        <v>0.19276483946335579</v>
      </c>
      <c r="AF108" s="237">
        <f ca="1">((Summary!$N$14*(AA108*AD108)*(A108-$D$3))+(Summary!$M$14*Z108*AC108*(AJ108-EOMONTH(EDATE(A108,-1),0))))/(AK108*AB108*AE108)</f>
        <v>0.99841512280398215</v>
      </c>
      <c r="AG108" s="88">
        <f>IF($A109="","",Summary!$Q$14)</f>
        <v>0</v>
      </c>
      <c r="AH108" s="88">
        <f>IF($A109="","",IF(Summary!$R$12="Y",(VLOOKUP($A108,Summary!$AD$6:$AF$9,3)+'Escalating commodity'!J121),'Escalating commodity'!J121))</f>
        <v>5.6939300284125577E-3</v>
      </c>
      <c r="AI108" s="88">
        <f t="shared" si="76"/>
        <v>5.6939300284125577E-3</v>
      </c>
      <c r="AJ108" s="236">
        <f t="shared" si="61"/>
        <v>40040.5</v>
      </c>
      <c r="AK108" s="58">
        <f t="shared" ca="1" si="62"/>
        <v>3000</v>
      </c>
      <c r="AL108" s="26">
        <f ca="1">IF($A109="","",_xll.SPRDOPT(P108,X108,AI108,0,AB108,AE108,AF108,AK108,$AJ$2,0))</f>
        <v>5.8634619774408099E-2</v>
      </c>
      <c r="AM108" s="89">
        <f t="shared" si="63"/>
        <v>1.4695609650602409E-3</v>
      </c>
      <c r="AN108" s="89">
        <f t="shared" ca="1" si="64"/>
        <v>5.7165058809347857E-2</v>
      </c>
      <c r="AO108" s="3">
        <f t="shared" si="65"/>
        <v>31</v>
      </c>
      <c r="AP108" s="33">
        <f t="shared" si="66"/>
        <v>40026</v>
      </c>
      <c r="AQ108" s="58">
        <f t="shared" ca="1" si="67"/>
        <v>3000</v>
      </c>
      <c r="AR108" s="38">
        <f>'ANR OK vs ML7'!AR108</f>
        <v>0.1</v>
      </c>
      <c r="AS108" s="35">
        <f t="shared" ca="1" si="68"/>
        <v>0.44866393931646481</v>
      </c>
      <c r="AT108" s="3">
        <f t="shared" si="69"/>
        <v>1</v>
      </c>
      <c r="AU108" s="3">
        <f t="shared" si="70"/>
        <v>31</v>
      </c>
      <c r="AW108" s="32">
        <f t="shared" ca="1" si="71"/>
        <v>51621.919249388891</v>
      </c>
      <c r="AX108" s="32">
        <f t="shared" si="72"/>
        <v>1293.801473639036</v>
      </c>
      <c r="AY108" s="32">
        <f t="shared" ca="1" si="73"/>
        <v>50328.117775749852</v>
      </c>
      <c r="BA108" s="32">
        <f ca="1">IF($A109="","",F108*Summary!$Q$14)</f>
        <v>0</v>
      </c>
      <c r="BC108" s="256">
        <f t="shared" ca="1" si="77"/>
        <v>580.48206585633716</v>
      </c>
    </row>
    <row r="109" spans="1:55">
      <c r="A109" s="67">
        <f t="shared" si="74"/>
        <v>40057</v>
      </c>
      <c r="B109" s="69">
        <f t="shared" si="75"/>
        <v>28400</v>
      </c>
      <c r="C109" s="71"/>
      <c r="D109" s="69">
        <f t="shared" si="39"/>
        <v>28400</v>
      </c>
      <c r="E109" s="70">
        <f t="shared" si="40"/>
        <v>852000</v>
      </c>
      <c r="F109" s="70">
        <f t="shared" ca="1" si="41"/>
        <v>379108.86964572693</v>
      </c>
      <c r="G109" s="63">
        <f t="shared" si="42"/>
        <v>4.32</v>
      </c>
      <c r="H109" s="64">
        <f t="shared" si="43"/>
        <v>4.32</v>
      </c>
      <c r="I109" s="43"/>
      <c r="J109" s="63">
        <f t="shared" si="44"/>
        <v>0.23499999999999999</v>
      </c>
      <c r="K109" s="64">
        <f t="shared" si="45"/>
        <v>0.23499999999999999</v>
      </c>
      <c r="L109" s="38">
        <v>0</v>
      </c>
      <c r="M109" s="64">
        <f t="shared" si="46"/>
        <v>0</v>
      </c>
      <c r="N109" s="65"/>
      <c r="O109" s="63">
        <f t="shared" si="47"/>
        <v>4.5550000000000006</v>
      </c>
      <c r="P109" s="63">
        <f t="shared" si="48"/>
        <v>4.5550000000000006</v>
      </c>
      <c r="Q109" s="66"/>
      <c r="R109" s="63">
        <f t="shared" si="49"/>
        <v>0.18</v>
      </c>
      <c r="S109" s="64">
        <f t="shared" si="50"/>
        <v>0.18</v>
      </c>
      <c r="T109" s="63">
        <f t="shared" si="51"/>
        <v>0</v>
      </c>
      <c r="U109" s="64">
        <f t="shared" si="52"/>
        <v>0</v>
      </c>
      <c r="V109" s="207">
        <f>IF($A110="","",IF(AND(MONTH(A109)&gt;3,MONTH(A109)&lt;11),(T109+R109+G109)*(((1/(1-Summary!$T$14))/(1-Summary!$W$14))-1),(T109+R109+G109)*((1/(1-Summary!$U$14))/(1-Summary!$X$14)-1)))</f>
        <v>4.7985798156347625E-2</v>
      </c>
      <c r="W109" s="43">
        <f t="shared" si="53"/>
        <v>4.5479857981563478</v>
      </c>
      <c r="X109" s="43">
        <f t="shared" si="54"/>
        <v>4.5479857981563478</v>
      </c>
      <c r="Y109" s="43"/>
      <c r="Z109" s="38">
        <f t="shared" si="55"/>
        <v>0.6</v>
      </c>
      <c r="AA109" s="38">
        <f t="shared" si="56"/>
        <v>0.19</v>
      </c>
      <c r="AB109" s="38">
        <f t="shared" ca="1" si="57"/>
        <v>0.19466252976596748</v>
      </c>
      <c r="AC109" s="38">
        <f t="shared" si="58"/>
        <v>0.5</v>
      </c>
      <c r="AD109" s="38">
        <f t="shared" si="59"/>
        <v>0.19</v>
      </c>
      <c r="AE109" s="38">
        <f t="shared" ca="1" si="60"/>
        <v>0.19325921892910763</v>
      </c>
      <c r="AF109" s="237">
        <f ca="1">((Summary!$N$14*(AA109*AD109)*(A109-$D$3))+(Summary!$M$14*Z109*AC109*(AJ109-EOMONTH(EDATE(A109,-1),0))))/(AK109*AB109*AE109)</f>
        <v>0.99927244497044576</v>
      </c>
      <c r="AG109" s="88">
        <f>IF($A110="","",Summary!$Q$14)</f>
        <v>0</v>
      </c>
      <c r="AH109" s="88">
        <f>IF($A110="","",IF(Summary!$R$12="Y",(VLOOKUP($A109,Summary!$AD$6:$AF$9,3)+'Escalating commodity'!J122),'Escalating commodity'!J122))</f>
        <v>5.6939300284125577E-3</v>
      </c>
      <c r="AI109" s="88">
        <f t="shared" si="76"/>
        <v>5.6939300284125577E-3</v>
      </c>
      <c r="AJ109" s="236">
        <f t="shared" si="61"/>
        <v>40071</v>
      </c>
      <c r="AK109" s="58">
        <f t="shared" ca="1" si="62"/>
        <v>3031</v>
      </c>
      <c r="AL109" s="26">
        <f ca="1">IF($A110="","",_xll.SPRDOPT(P109,X109,AI109,0,AB109,AE109,AF109,AK109,$AJ$2,0))</f>
        <v>3.659653191128457E-2</v>
      </c>
      <c r="AM109" s="89">
        <f t="shared" si="63"/>
        <v>1.3202718152401987E-3</v>
      </c>
      <c r="AN109" s="89">
        <f t="shared" ca="1" si="64"/>
        <v>3.5276260096044371E-2</v>
      </c>
      <c r="AO109" s="3">
        <f t="shared" si="65"/>
        <v>30</v>
      </c>
      <c r="AP109" s="33">
        <f t="shared" si="66"/>
        <v>40057</v>
      </c>
      <c r="AQ109" s="58">
        <f t="shared" ca="1" si="67"/>
        <v>3031</v>
      </c>
      <c r="AR109" s="38">
        <f>'ANR OK vs ML7'!AR109</f>
        <v>0.1</v>
      </c>
      <c r="AS109" s="35">
        <f t="shared" ca="1" si="68"/>
        <v>0.44496346202550108</v>
      </c>
      <c r="AT109" s="3">
        <f t="shared" si="69"/>
        <v>1</v>
      </c>
      <c r="AU109" s="3">
        <f t="shared" si="70"/>
        <v>30</v>
      </c>
      <c r="AW109" s="32">
        <f t="shared" ca="1" si="71"/>
        <v>31180.245188414454</v>
      </c>
      <c r="AX109" s="32">
        <f t="shared" si="72"/>
        <v>1124.8715865846493</v>
      </c>
      <c r="AY109" s="32">
        <f t="shared" ca="1" si="73"/>
        <v>30055.373601829804</v>
      </c>
      <c r="BA109" s="32">
        <f ca="1">IF($A110="","",F109*Summary!$Q$14)</f>
        <v>0</v>
      </c>
      <c r="BC109" s="256">
        <f t="shared" ca="1" si="77"/>
        <v>500.52675550082375</v>
      </c>
    </row>
    <row r="110" spans="1:55">
      <c r="A110" s="67">
        <f t="shared" si="74"/>
        <v>40087</v>
      </c>
      <c r="B110" s="69">
        <f t="shared" si="75"/>
        <v>28400</v>
      </c>
      <c r="C110" s="71"/>
      <c r="D110" s="69">
        <f t="shared" si="39"/>
        <v>28400</v>
      </c>
      <c r="E110" s="70">
        <f t="shared" si="40"/>
        <v>880400</v>
      </c>
      <c r="F110" s="70">
        <f t="shared" ca="1" si="41"/>
        <v>388618.61180213524</v>
      </c>
      <c r="G110" s="63">
        <f t="shared" si="42"/>
        <v>4.351</v>
      </c>
      <c r="H110" s="64">
        <f t="shared" si="43"/>
        <v>4.351</v>
      </c>
      <c r="I110" s="43"/>
      <c r="J110" s="63">
        <f t="shared" si="44"/>
        <v>0.23499999999999999</v>
      </c>
      <c r="K110" s="64">
        <f t="shared" si="45"/>
        <v>0.23499999999999999</v>
      </c>
      <c r="L110" s="38">
        <v>0</v>
      </c>
      <c r="M110" s="64">
        <f t="shared" si="46"/>
        <v>0</v>
      </c>
      <c r="N110" s="65"/>
      <c r="O110" s="63">
        <f t="shared" si="47"/>
        <v>4.5860000000000003</v>
      </c>
      <c r="P110" s="63">
        <f t="shared" si="48"/>
        <v>4.5860000000000003</v>
      </c>
      <c r="Q110" s="66"/>
      <c r="R110" s="63">
        <f t="shared" si="49"/>
        <v>0.18</v>
      </c>
      <c r="S110" s="64">
        <f t="shared" si="50"/>
        <v>0.18</v>
      </c>
      <c r="T110" s="63">
        <f t="shared" si="51"/>
        <v>0</v>
      </c>
      <c r="U110" s="64">
        <f t="shared" si="52"/>
        <v>0</v>
      </c>
      <c r="V110" s="207">
        <f>IF($A111="","",IF(AND(MONTH(A110)&gt;3,MONTH(A110)&lt;11),(T110+R110+G110)*(((1/(1-Summary!$T$14))/(1-Summary!$W$14))-1),(T110+R110+G110)*((1/(1-Summary!$U$14))/(1-Summary!$X$14)-1)))</f>
        <v>4.8316366988091351E-2</v>
      </c>
      <c r="W110" s="43">
        <f t="shared" si="53"/>
        <v>4.579316366988091</v>
      </c>
      <c r="X110" s="43">
        <f t="shared" si="54"/>
        <v>4.579316366988091</v>
      </c>
      <c r="Y110" s="43"/>
      <c r="Z110" s="38">
        <f t="shared" si="55"/>
        <v>0.65</v>
      </c>
      <c r="AA110" s="38">
        <f t="shared" si="56"/>
        <v>0.19</v>
      </c>
      <c r="AB110" s="38">
        <f t="shared" ca="1" si="57"/>
        <v>0.19557916237500539</v>
      </c>
      <c r="AC110" s="38">
        <f t="shared" si="58"/>
        <v>0.5</v>
      </c>
      <c r="AD110" s="38">
        <f t="shared" si="59"/>
        <v>0.19</v>
      </c>
      <c r="AE110" s="38">
        <f t="shared" ca="1" si="60"/>
        <v>0.19333318313068926</v>
      </c>
      <c r="AF110" s="237">
        <f ca="1">((Summary!$N$14*(AA110*AD110)*(A110-$D$3))+(Summary!$M$14*Z110*AC110*(AJ110-EOMONTH(EDATE(A110,-1),0))))/(AK110*AB110*AE110)</f>
        <v>0.99846462142827785</v>
      </c>
      <c r="AG110" s="88">
        <f>IF($A111="","",Summary!$Q$14)</f>
        <v>0</v>
      </c>
      <c r="AH110" s="88">
        <f>IF($A111="","",IF(Summary!$R$12="Y",(VLOOKUP($A110,Summary!$AD$6:$AF$9,3)+'Escalating commodity'!J123),'Escalating commodity'!J123))</f>
        <v>5.6939300284125577E-3</v>
      </c>
      <c r="AI110" s="88">
        <f t="shared" si="76"/>
        <v>5.6939300284125577E-3</v>
      </c>
      <c r="AJ110" s="236">
        <f t="shared" si="61"/>
        <v>40101.5</v>
      </c>
      <c r="AK110" s="58">
        <f t="shared" ca="1" si="62"/>
        <v>3061</v>
      </c>
      <c r="AL110" s="26">
        <f ca="1">IF($A111="","",_xll.SPRDOPT(P110,X110,AI110,0,AB110,AE110,AF110,AK110,$AJ$2,0))</f>
        <v>5.902491639501075E-2</v>
      </c>
      <c r="AM110" s="89">
        <f t="shared" si="63"/>
        <v>9.8970298349677129E-4</v>
      </c>
      <c r="AN110" s="89">
        <f t="shared" ca="1" si="64"/>
        <v>5.8035213411513978E-2</v>
      </c>
      <c r="AO110" s="3">
        <f t="shared" si="65"/>
        <v>31</v>
      </c>
      <c r="AP110" s="33">
        <f t="shared" si="66"/>
        <v>40087</v>
      </c>
      <c r="AQ110" s="58">
        <f t="shared" ca="1" si="67"/>
        <v>3061</v>
      </c>
      <c r="AR110" s="38">
        <f>'ANR OK vs ML7'!AR110</f>
        <v>0.1</v>
      </c>
      <c r="AS110" s="35">
        <f t="shared" ca="1" si="68"/>
        <v>0.44141141731273881</v>
      </c>
      <c r="AT110" s="3">
        <f t="shared" si="69"/>
        <v>1</v>
      </c>
      <c r="AU110" s="3">
        <f t="shared" si="70"/>
        <v>31</v>
      </c>
      <c r="AW110" s="32">
        <f t="shared" ca="1" si="71"/>
        <v>51965.536394167466</v>
      </c>
      <c r="AX110" s="32">
        <f t="shared" si="72"/>
        <v>871.3345066705574</v>
      </c>
      <c r="AY110" s="32">
        <f t="shared" ca="1" si="73"/>
        <v>51094.201887496907</v>
      </c>
      <c r="BA110" s="32">
        <f ca="1">IF($A111="","",F110*Summary!$Q$14)</f>
        <v>0</v>
      </c>
      <c r="BC110" s="256">
        <f t="shared" ca="1" si="77"/>
        <v>384.61699954294681</v>
      </c>
    </row>
    <row r="111" spans="1:55">
      <c r="A111" s="67">
        <f t="shared" si="74"/>
        <v>40118</v>
      </c>
      <c r="B111" s="69">
        <f t="shared" si="75"/>
        <v>28400</v>
      </c>
      <c r="C111" s="71"/>
      <c r="D111" s="69">
        <f t="shared" si="39"/>
        <v>28400</v>
      </c>
      <c r="E111" s="70">
        <f t="shared" si="40"/>
        <v>852000</v>
      </c>
      <c r="F111" s="70">
        <f t="shared" ca="1" si="41"/>
        <v>372980.68510051438</v>
      </c>
      <c r="G111" s="63">
        <f t="shared" si="42"/>
        <v>4.484</v>
      </c>
      <c r="H111" s="64">
        <f t="shared" si="43"/>
        <v>4.484</v>
      </c>
      <c r="I111" s="43"/>
      <c r="J111" s="63">
        <f t="shared" si="44"/>
        <v>0.42499999999999999</v>
      </c>
      <c r="K111" s="64">
        <f t="shared" si="45"/>
        <v>0.42499999999999999</v>
      </c>
      <c r="L111" s="38">
        <v>0</v>
      </c>
      <c r="M111" s="64">
        <f t="shared" si="46"/>
        <v>0</v>
      </c>
      <c r="N111" s="65"/>
      <c r="O111" s="63">
        <f t="shared" si="47"/>
        <v>4.9089999999999998</v>
      </c>
      <c r="P111" s="63">
        <f t="shared" si="48"/>
        <v>4.9089999999999998</v>
      </c>
      <c r="Q111" s="66"/>
      <c r="R111" s="63">
        <f t="shared" si="49"/>
        <v>0.27500000000000002</v>
      </c>
      <c r="S111" s="64">
        <f t="shared" si="50"/>
        <v>0.27500000000000002</v>
      </c>
      <c r="T111" s="63">
        <f t="shared" si="51"/>
        <v>0</v>
      </c>
      <c r="U111" s="64">
        <f t="shared" si="52"/>
        <v>0</v>
      </c>
      <c r="V111" s="207">
        <f>IF($A112="","",IF(AND(MONTH(A111)&gt;3,MONTH(A111)&lt;11),(T111+R111+G111)*(((1/(1-Summary!$T$14))/(1-Summary!$W$14))-1),(T111+R111+G111)*((1/(1-Summary!$U$14))/(1-Summary!$X$14)-1)))</f>
        <v>5.0747647428012972E-2</v>
      </c>
      <c r="W111" s="43">
        <f t="shared" si="53"/>
        <v>4.8097476474280132</v>
      </c>
      <c r="X111" s="43">
        <f t="shared" si="54"/>
        <v>4.8097476474280132</v>
      </c>
      <c r="Y111" s="43"/>
      <c r="Z111" s="38">
        <f t="shared" si="55"/>
        <v>0.8</v>
      </c>
      <c r="AA111" s="38">
        <f t="shared" si="56"/>
        <v>0.19</v>
      </c>
      <c r="AB111" s="38">
        <f t="shared" ca="1" si="57"/>
        <v>0.1980314667849499</v>
      </c>
      <c r="AC111" s="38">
        <f t="shared" si="58"/>
        <v>0.95</v>
      </c>
      <c r="AD111" s="38">
        <f t="shared" si="59"/>
        <v>0.19</v>
      </c>
      <c r="AE111" s="38">
        <f t="shared" ca="1" si="60"/>
        <v>0.20122104622460779</v>
      </c>
      <c r="AF111" s="237">
        <f ca="1">((Summary!$N$14*(AA111*AD111)*(A111-$D$3))+(Summary!$M$14*Z111*AC111*(AJ111-EOMONTH(EDATE(A111,-1),0))))/(AK111*AB111*AE111)</f>
        <v>0.99866741986558616</v>
      </c>
      <c r="AG111" s="88">
        <f>IF($A112="","",Summary!$Q$14)</f>
        <v>0</v>
      </c>
      <c r="AH111" s="88">
        <f>IF($A112="","",IF(Summary!$R$12="Y",(VLOOKUP($A111,Summary!$AD$6:$AF$9,3)+'Escalating commodity'!J124),'Escalating commodity'!J124))</f>
        <v>5.6939300284125577E-3</v>
      </c>
      <c r="AI111" s="88">
        <f t="shared" si="76"/>
        <v>5.6939300284125577E-3</v>
      </c>
      <c r="AJ111" s="236">
        <f t="shared" si="61"/>
        <v>40132</v>
      </c>
      <c r="AK111" s="58">
        <f t="shared" ca="1" si="62"/>
        <v>3092</v>
      </c>
      <c r="AL111" s="26">
        <f ca="1">IF($A112="","",_xll.SPRDOPT(P111,X111,AI111,0,AB111,AE111,AF111,AK111,$AJ$2,0))</f>
        <v>0.11843017432125209</v>
      </c>
      <c r="AM111" s="89">
        <f t="shared" si="63"/>
        <v>9.3558422543574049E-2</v>
      </c>
      <c r="AN111" s="89">
        <f t="shared" ca="1" si="64"/>
        <v>2.4871751777678044E-2</v>
      </c>
      <c r="AO111" s="3">
        <f t="shared" si="65"/>
        <v>30</v>
      </c>
      <c r="AP111" s="33">
        <f t="shared" si="66"/>
        <v>40118</v>
      </c>
      <c r="AQ111" s="58">
        <f t="shared" ca="1" si="67"/>
        <v>3092</v>
      </c>
      <c r="AR111" s="38">
        <f>'ANR OK vs ML7'!AR111</f>
        <v>0.1</v>
      </c>
      <c r="AS111" s="35">
        <f t="shared" ca="1" si="68"/>
        <v>0.43777075716022817</v>
      </c>
      <c r="AT111" s="3">
        <f t="shared" si="69"/>
        <v>1</v>
      </c>
      <c r="AU111" s="3">
        <f t="shared" si="70"/>
        <v>30</v>
      </c>
      <c r="AW111" s="32">
        <f t="shared" ca="1" si="71"/>
        <v>100902.50852170678</v>
      </c>
      <c r="AX111" s="32">
        <f t="shared" si="72"/>
        <v>79711.776007125096</v>
      </c>
      <c r="AY111" s="32">
        <f t="shared" ca="1" si="73"/>
        <v>21190.732514581694</v>
      </c>
      <c r="BA111" s="32">
        <f ca="1">IF($A112="","",F111*Summary!$Q$14)</f>
        <v>0</v>
      </c>
      <c r="BC111" s="256">
        <f t="shared" ca="1" si="77"/>
        <v>34895.48453722566</v>
      </c>
    </row>
    <row r="112" spans="1:55">
      <c r="A112" s="67">
        <f t="shared" si="74"/>
        <v>40148</v>
      </c>
      <c r="B112" s="69">
        <f t="shared" si="75"/>
        <v>28400</v>
      </c>
      <c r="C112" s="71"/>
      <c r="D112" s="69">
        <f t="shared" si="39"/>
        <v>28400</v>
      </c>
      <c r="E112" s="70">
        <f t="shared" si="40"/>
        <v>880400</v>
      </c>
      <c r="F112" s="70">
        <f t="shared" ca="1" si="41"/>
        <v>382336.70504259848</v>
      </c>
      <c r="G112" s="63">
        <f t="shared" si="42"/>
        <v>4.6219999999999999</v>
      </c>
      <c r="H112" s="64">
        <f t="shared" si="43"/>
        <v>4.6219999999999999</v>
      </c>
      <c r="I112" s="43"/>
      <c r="J112" s="63">
        <f t="shared" si="44"/>
        <v>0.42499999999999999</v>
      </c>
      <c r="K112" s="64">
        <f t="shared" si="45"/>
        <v>0.42499999999999999</v>
      </c>
      <c r="L112" s="38">
        <v>0</v>
      </c>
      <c r="M112" s="64">
        <f t="shared" si="46"/>
        <v>0</v>
      </c>
      <c r="N112" s="65"/>
      <c r="O112" s="63">
        <f t="shared" si="47"/>
        <v>5.0469999999999997</v>
      </c>
      <c r="P112" s="63">
        <f t="shared" si="48"/>
        <v>5.0469999999999997</v>
      </c>
      <c r="Q112" s="66"/>
      <c r="R112" s="63">
        <f t="shared" si="49"/>
        <v>0.27500000000000002</v>
      </c>
      <c r="S112" s="64">
        <f t="shared" si="50"/>
        <v>0.27500000000000002</v>
      </c>
      <c r="T112" s="63">
        <f t="shared" si="51"/>
        <v>0</v>
      </c>
      <c r="U112" s="64">
        <f t="shared" si="52"/>
        <v>0</v>
      </c>
      <c r="V112" s="207">
        <f>IF($A113="","",IF(AND(MONTH(A112)&gt;3,MONTH(A112)&lt;11),(T112+R112+G112)*(((1/(1-Summary!$T$14))/(1-Summary!$W$14))-1),(T112+R112+G112)*((1/(1-Summary!$U$14))/(1-Summary!$X$14)-1)))</f>
        <v>5.2219211904807633E-2</v>
      </c>
      <c r="W112" s="43">
        <f t="shared" si="53"/>
        <v>4.9492192119048077</v>
      </c>
      <c r="X112" s="43">
        <f t="shared" si="54"/>
        <v>4.9492192119048077</v>
      </c>
      <c r="Y112" s="43"/>
      <c r="Z112" s="38">
        <f t="shared" si="55"/>
        <v>1.1000000000000001</v>
      </c>
      <c r="AA112" s="38">
        <f t="shared" si="56"/>
        <v>0.19</v>
      </c>
      <c r="AB112" s="38">
        <f t="shared" ca="1" si="57"/>
        <v>0.20522897011135161</v>
      </c>
      <c r="AC112" s="38">
        <f t="shared" si="58"/>
        <v>1.35</v>
      </c>
      <c r="AD112" s="38">
        <f t="shared" si="59"/>
        <v>0.19</v>
      </c>
      <c r="AE112" s="38">
        <f t="shared" ca="1" si="60"/>
        <v>0.21250846913823754</v>
      </c>
      <c r="AF112" s="237">
        <f ca="1">((Summary!$N$14*(AA112*AD112)*(A112-$D$3))+(Summary!$M$14*Z112*AC112*(AJ112-EOMONTH(EDATE(A112,-1),0))))/(AK112*AB112*AE112)</f>
        <v>0.9969673063782003</v>
      </c>
      <c r="AG112" s="88">
        <f>IF($A113="","",Summary!$Q$14)</f>
        <v>0</v>
      </c>
      <c r="AH112" s="88">
        <f>IF($A113="","",IF(Summary!$R$12="Y",(VLOOKUP($A112,Summary!$AD$6:$AF$9,3)+'Escalating commodity'!J125),'Escalating commodity'!J125))</f>
        <v>5.6939300284125577E-3</v>
      </c>
      <c r="AI112" s="88">
        <f t="shared" si="76"/>
        <v>5.6939300284125577E-3</v>
      </c>
      <c r="AJ112" s="236">
        <f t="shared" si="61"/>
        <v>40162.5</v>
      </c>
      <c r="AK112" s="58">
        <f t="shared" ca="1" si="62"/>
        <v>3122</v>
      </c>
      <c r="AL112" s="26">
        <f ca="1">IF($A113="","",_xll.SPRDOPT(P112,X112,AI112,0,AB112,AE112,AF112,AK112,$AJ$2,0))</f>
        <v>0.15583928110098808</v>
      </c>
      <c r="AM112" s="89">
        <f t="shared" si="63"/>
        <v>9.2086858066779409E-2</v>
      </c>
      <c r="AN112" s="89">
        <f t="shared" ca="1" si="64"/>
        <v>6.3752423034208666E-2</v>
      </c>
      <c r="AO112" s="3">
        <f t="shared" si="65"/>
        <v>31</v>
      </c>
      <c r="AP112" s="33">
        <f t="shared" si="66"/>
        <v>40148</v>
      </c>
      <c r="AQ112" s="58">
        <f t="shared" ca="1" si="67"/>
        <v>3122</v>
      </c>
      <c r="AR112" s="38">
        <f>'ANR OK vs ML7'!AR112</f>
        <v>0.1</v>
      </c>
      <c r="AS112" s="35">
        <f t="shared" ca="1" si="68"/>
        <v>0.43427613021649081</v>
      </c>
      <c r="AT112" s="3">
        <f t="shared" si="69"/>
        <v>1</v>
      </c>
      <c r="AU112" s="3">
        <f t="shared" si="70"/>
        <v>31</v>
      </c>
      <c r="AW112" s="32">
        <f t="shared" ca="1" si="71"/>
        <v>137200.90308130989</v>
      </c>
      <c r="AX112" s="32">
        <f t="shared" si="72"/>
        <v>81073.269841992587</v>
      </c>
      <c r="AY112" s="32">
        <f t="shared" ca="1" si="73"/>
        <v>56127.633239317307</v>
      </c>
      <c r="BA112" s="32">
        <f ca="1">IF($A113="","",F112*Summary!$Q$14)</f>
        <v>0</v>
      </c>
      <c r="BC112" s="256">
        <f t="shared" ca="1" si="77"/>
        <v>35208.185890977868</v>
      </c>
    </row>
    <row r="113" spans="1:55">
      <c r="A113" s="67">
        <f t="shared" si="74"/>
        <v>40179</v>
      </c>
      <c r="B113" s="69">
        <f t="shared" si="75"/>
        <v>28400</v>
      </c>
      <c r="C113" s="71"/>
      <c r="D113" s="69">
        <f t="shared" si="39"/>
        <v>28400</v>
      </c>
      <c r="E113" s="70">
        <f t="shared" si="40"/>
        <v>880400</v>
      </c>
      <c r="F113" s="70">
        <f t="shared" ca="1" si="41"/>
        <v>379183.27957081329</v>
      </c>
      <c r="G113" s="63">
        <f t="shared" si="42"/>
        <v>4.649</v>
      </c>
      <c r="H113" s="64">
        <f t="shared" si="43"/>
        <v>4.649</v>
      </c>
      <c r="I113" s="43"/>
      <c r="J113" s="63">
        <f t="shared" si="44"/>
        <v>0.42499999999999999</v>
      </c>
      <c r="K113" s="64">
        <f t="shared" si="45"/>
        <v>0.42499999999999999</v>
      </c>
      <c r="L113" s="38">
        <v>0</v>
      </c>
      <c r="M113" s="64">
        <f t="shared" si="46"/>
        <v>0</v>
      </c>
      <c r="N113" s="65"/>
      <c r="O113" s="63">
        <f t="shared" si="47"/>
        <v>5.0739999999999998</v>
      </c>
      <c r="P113" s="63">
        <f t="shared" si="48"/>
        <v>5.0739999999999998</v>
      </c>
      <c r="Q113" s="66"/>
      <c r="R113" s="63">
        <f t="shared" si="49"/>
        <v>0.27500000000000002</v>
      </c>
      <c r="S113" s="64">
        <f t="shared" si="50"/>
        <v>0.27500000000000002</v>
      </c>
      <c r="T113" s="63">
        <f t="shared" si="51"/>
        <v>0</v>
      </c>
      <c r="U113" s="64">
        <f t="shared" si="52"/>
        <v>0</v>
      </c>
      <c r="V113" s="207">
        <f>IF($A114="","",IF(AND(MONTH(A113)&gt;3,MONTH(A113)&lt;11),(T113+R113+G113)*(((1/(1-Summary!$T$14))/(1-Summary!$W$14))-1),(T113+R113+G113)*((1/(1-Summary!$U$14))/(1-Summary!$X$14)-1)))</f>
        <v>5.2507126693745715E-2</v>
      </c>
      <c r="W113" s="43">
        <f t="shared" si="53"/>
        <v>4.976507126693746</v>
      </c>
      <c r="X113" s="43">
        <f t="shared" si="54"/>
        <v>4.976507126693746</v>
      </c>
      <c r="Y113" s="43"/>
      <c r="Z113" s="38">
        <f t="shared" si="55"/>
        <v>1.1000000000000001</v>
      </c>
      <c r="AA113" s="38">
        <f t="shared" si="56"/>
        <v>0.19</v>
      </c>
      <c r="AB113" s="38">
        <f t="shared" ca="1" si="57"/>
        <v>0.20508474496304122</v>
      </c>
      <c r="AC113" s="38">
        <f t="shared" si="58"/>
        <v>1.35</v>
      </c>
      <c r="AD113" s="38">
        <f t="shared" si="59"/>
        <v>0.19</v>
      </c>
      <c r="AE113" s="38">
        <f t="shared" ca="1" si="60"/>
        <v>0.21229878441988126</v>
      </c>
      <c r="AF113" s="237">
        <f ca="1">((Summary!$N$14*(AA113*AD113)*(A113-$D$3))+(Summary!$M$14*Z113*AC113*(AJ113-EOMONTH(EDATE(A113,-1),0))))/(AK113*AB113*AE113)</f>
        <v>0.99698631649891845</v>
      </c>
      <c r="AG113" s="88">
        <f>IF($A114="","",Summary!$Q$14)</f>
        <v>0</v>
      </c>
      <c r="AH113" s="88">
        <f>IF($A114="","",IF(Summary!$R$12="Y",(VLOOKUP($A113,Summary!$AD$6:$AF$9,3)+'Escalating commodity'!J126),'Escalating commodity'!J126))</f>
        <v>5.8078086289808087E-3</v>
      </c>
      <c r="AI113" s="88">
        <f t="shared" si="76"/>
        <v>5.8078086289808087E-3</v>
      </c>
      <c r="AJ113" s="236">
        <f t="shared" si="61"/>
        <v>40193.5</v>
      </c>
      <c r="AK113" s="58">
        <f t="shared" ca="1" si="62"/>
        <v>3153</v>
      </c>
      <c r="AL113" s="26">
        <f ca="1">IF($A114="","",_xll.SPRDOPT(P113,X113,AI113,0,AB113,AE113,AF113,AK113,$AJ$2,0))</f>
        <v>0.15611388728083789</v>
      </c>
      <c r="AM113" s="89">
        <f t="shared" si="63"/>
        <v>9.1685064677273082E-2</v>
      </c>
      <c r="AN113" s="89">
        <f t="shared" ca="1" si="64"/>
        <v>6.4428822603564806E-2</v>
      </c>
      <c r="AO113" s="3">
        <f t="shared" si="65"/>
        <v>31</v>
      </c>
      <c r="AP113" s="33">
        <f t="shared" si="66"/>
        <v>40179</v>
      </c>
      <c r="AQ113" s="58">
        <f t="shared" ca="1" si="67"/>
        <v>3153</v>
      </c>
      <c r="AR113" s="38">
        <f>'ANR OK vs ML7'!AR113</f>
        <v>0.1</v>
      </c>
      <c r="AS113" s="35">
        <f t="shared" ca="1" si="68"/>
        <v>0.43069432027579885</v>
      </c>
      <c r="AT113" s="3">
        <f t="shared" si="69"/>
        <v>1</v>
      </c>
      <c r="AU113" s="3">
        <f t="shared" si="70"/>
        <v>31</v>
      </c>
      <c r="AW113" s="32">
        <f t="shared" ca="1" si="71"/>
        <v>137442.66636204967</v>
      </c>
      <c r="AX113" s="32">
        <f t="shared" si="72"/>
        <v>80719.530941871228</v>
      </c>
      <c r="AY113" s="32">
        <f t="shared" ca="1" si="73"/>
        <v>56723.135420178456</v>
      </c>
      <c r="BA113" s="32">
        <f ca="1">IF($A114="","",F113*Summary!$Q$14)</f>
        <v>0</v>
      </c>
      <c r="BC113" s="256">
        <f t="shared" ca="1" si="77"/>
        <v>34765.443511990539</v>
      </c>
    </row>
    <row r="114" spans="1:55">
      <c r="A114" s="67">
        <f t="shared" si="74"/>
        <v>40210</v>
      </c>
      <c r="B114" s="69">
        <f t="shared" si="75"/>
        <v>28400</v>
      </c>
      <c r="C114" s="71"/>
      <c r="D114" s="69">
        <f t="shared" si="39"/>
        <v>28400</v>
      </c>
      <c r="E114" s="70">
        <f t="shared" si="40"/>
        <v>795200</v>
      </c>
      <c r="F114" s="70">
        <f t="shared" ca="1" si="41"/>
        <v>339663.3599747846</v>
      </c>
      <c r="G114" s="63">
        <f t="shared" si="42"/>
        <v>4.5289999999999999</v>
      </c>
      <c r="H114" s="64">
        <f t="shared" si="43"/>
        <v>4.5289999999999999</v>
      </c>
      <c r="I114" s="43"/>
      <c r="J114" s="63">
        <f t="shared" si="44"/>
        <v>0.42499999999999999</v>
      </c>
      <c r="K114" s="64">
        <f t="shared" si="45"/>
        <v>0.42499999999999999</v>
      </c>
      <c r="L114" s="38">
        <v>0</v>
      </c>
      <c r="M114" s="64">
        <f t="shared" si="46"/>
        <v>0</v>
      </c>
      <c r="N114" s="65"/>
      <c r="O114" s="63">
        <f t="shared" si="47"/>
        <v>4.9539999999999997</v>
      </c>
      <c r="P114" s="63">
        <f t="shared" si="48"/>
        <v>4.9539999999999997</v>
      </c>
      <c r="Q114" s="66"/>
      <c r="R114" s="63">
        <f t="shared" si="49"/>
        <v>0.27500000000000002</v>
      </c>
      <c r="S114" s="64">
        <f t="shared" si="50"/>
        <v>0.27500000000000002</v>
      </c>
      <c r="T114" s="63">
        <f t="shared" si="51"/>
        <v>0</v>
      </c>
      <c r="U114" s="64">
        <f t="shared" si="52"/>
        <v>0</v>
      </c>
      <c r="V114" s="207">
        <f>IF($A115="","",IF(AND(MONTH(A114)&gt;3,MONTH(A114)&lt;11),(T114+R114+G114)*(((1/(1-Summary!$T$14))/(1-Summary!$W$14))-1),(T114+R114+G114)*((1/(1-Summary!$U$14))/(1-Summary!$X$14)-1)))</f>
        <v>5.1227505409576449E-2</v>
      </c>
      <c r="W114" s="43">
        <f t="shared" si="53"/>
        <v>4.8552275054095766</v>
      </c>
      <c r="X114" s="43">
        <f t="shared" si="54"/>
        <v>4.8552275054095766</v>
      </c>
      <c r="Y114" s="43"/>
      <c r="Z114" s="38">
        <f t="shared" si="55"/>
        <v>1.1000000000000001</v>
      </c>
      <c r="AA114" s="38">
        <f t="shared" si="56"/>
        <v>0.185</v>
      </c>
      <c r="AB114" s="38">
        <f t="shared" ca="1" si="57"/>
        <v>0.19888715598696391</v>
      </c>
      <c r="AC114" s="38">
        <f t="shared" si="58"/>
        <v>1.35</v>
      </c>
      <c r="AD114" s="38">
        <f t="shared" si="59"/>
        <v>0.185</v>
      </c>
      <c r="AE114" s="38">
        <f t="shared" ca="1" si="60"/>
        <v>0.20554623344375486</v>
      </c>
      <c r="AF114" s="237">
        <f ca="1">((Summary!$N$14*(AA114*AD114)*(A114-$D$3))+(Summary!$M$14*Z114*AC114*(AJ114-EOMONTH(EDATE(A114,-1),0))))/(AK114*AB114*AE114)</f>
        <v>0.99709745035660824</v>
      </c>
      <c r="AG114" s="88">
        <f>IF($A115="","",Summary!$Q$14)</f>
        <v>0</v>
      </c>
      <c r="AH114" s="88">
        <f>IF($A115="","",IF(Summary!$R$12="Y",(VLOOKUP($A114,Summary!$AD$6:$AF$9,3)+'Escalating commodity'!J127),'Escalating commodity'!J127))</f>
        <v>5.8078086289808087E-3</v>
      </c>
      <c r="AI114" s="88">
        <f t="shared" si="76"/>
        <v>5.8078086289808087E-3</v>
      </c>
      <c r="AJ114" s="236">
        <f t="shared" si="61"/>
        <v>40223</v>
      </c>
      <c r="AK114" s="58">
        <f t="shared" ca="1" si="62"/>
        <v>3184</v>
      </c>
      <c r="AL114" s="26">
        <f ca="1">IF($A115="","",_xll.SPRDOPT(P114,X114,AI114,0,AB114,AE114,AF114,AK114,$AJ$2,0))</f>
        <v>0.14995708887579134</v>
      </c>
      <c r="AM114" s="89">
        <f t="shared" si="63"/>
        <v>9.2964685961442334E-2</v>
      </c>
      <c r="AN114" s="89">
        <f t="shared" ca="1" si="64"/>
        <v>5.6992402914349011E-2</v>
      </c>
      <c r="AO114" s="3">
        <f t="shared" si="65"/>
        <v>28</v>
      </c>
      <c r="AP114" s="33">
        <f t="shared" si="66"/>
        <v>40210</v>
      </c>
      <c r="AQ114" s="58">
        <f t="shared" ca="1" si="67"/>
        <v>3184</v>
      </c>
      <c r="AR114" s="38">
        <f>'ANR OK vs ML7'!AR114</f>
        <v>0.1</v>
      </c>
      <c r="AS114" s="35">
        <f t="shared" ca="1" si="68"/>
        <v>0.42714205228217378</v>
      </c>
      <c r="AT114" s="3">
        <f t="shared" si="69"/>
        <v>1</v>
      </c>
      <c r="AU114" s="3">
        <f t="shared" si="70"/>
        <v>28</v>
      </c>
      <c r="AW114" s="32">
        <f t="shared" ca="1" si="71"/>
        <v>119245.87707402928</v>
      </c>
      <c r="AX114" s="32">
        <f t="shared" si="72"/>
        <v>73925.518276538947</v>
      </c>
      <c r="AY114" s="32">
        <f t="shared" ca="1" si="73"/>
        <v>45320.358797490335</v>
      </c>
      <c r="BA114" s="32">
        <f ca="1">IF($A115="","",F114*Summary!$Q$14)</f>
        <v>0</v>
      </c>
      <c r="BC114" s="256">
        <f t="shared" ca="1" si="77"/>
        <v>31576.697592664194</v>
      </c>
    </row>
    <row r="115" spans="1:55">
      <c r="A115" s="67">
        <f t="shared" si="74"/>
        <v>40238</v>
      </c>
      <c r="B115" s="69">
        <f t="shared" si="75"/>
        <v>28400</v>
      </c>
      <c r="C115" s="71"/>
      <c r="D115" s="69">
        <f t="shared" si="39"/>
        <v>28400</v>
      </c>
      <c r="E115" s="70">
        <f t="shared" si="40"/>
        <v>880400</v>
      </c>
      <c r="F115" s="70">
        <f t="shared" ca="1" si="41"/>
        <v>373253.2759117742</v>
      </c>
      <c r="G115" s="63">
        <f t="shared" si="42"/>
        <v>4.3899999999999997</v>
      </c>
      <c r="H115" s="64">
        <f t="shared" si="43"/>
        <v>4.3899999999999997</v>
      </c>
      <c r="I115" s="43"/>
      <c r="J115" s="63">
        <f t="shared" si="44"/>
        <v>0.42499999999999999</v>
      </c>
      <c r="K115" s="64">
        <f t="shared" si="45"/>
        <v>0.42499999999999999</v>
      </c>
      <c r="L115" s="38">
        <v>0</v>
      </c>
      <c r="M115" s="64">
        <f t="shared" si="46"/>
        <v>0</v>
      </c>
      <c r="N115" s="65"/>
      <c r="O115" s="63">
        <f t="shared" si="47"/>
        <v>4.8149999999999995</v>
      </c>
      <c r="P115" s="63">
        <f t="shared" si="48"/>
        <v>4.8149999999999995</v>
      </c>
      <c r="Q115" s="66"/>
      <c r="R115" s="63">
        <f t="shared" si="49"/>
        <v>0.27500000000000002</v>
      </c>
      <c r="S115" s="64">
        <f t="shared" si="50"/>
        <v>0.27500000000000002</v>
      </c>
      <c r="T115" s="63">
        <f t="shared" si="51"/>
        <v>0</v>
      </c>
      <c r="U115" s="64">
        <f t="shared" si="52"/>
        <v>0</v>
      </c>
      <c r="V115" s="207">
        <f>IF($A116="","",IF(AND(MONTH(A115)&gt;3,MONTH(A115)&lt;11),(T115+R115+G115)*(((1/(1-Summary!$T$14))/(1-Summary!$W$14))-1),(T115+R115+G115)*((1/(1-Summary!$U$14))/(1-Summary!$X$14)-1)))</f>
        <v>4.9745277422080375E-2</v>
      </c>
      <c r="W115" s="43">
        <f t="shared" si="53"/>
        <v>4.7147452774220806</v>
      </c>
      <c r="X115" s="43">
        <f t="shared" si="54"/>
        <v>4.7147452774220806</v>
      </c>
      <c r="Y115" s="43"/>
      <c r="Z115" s="38">
        <f t="shared" si="55"/>
        <v>0.75</v>
      </c>
      <c r="AA115" s="38">
        <f t="shared" si="56"/>
        <v>0.183</v>
      </c>
      <c r="AB115" s="38">
        <f t="shared" ca="1" si="57"/>
        <v>0.19029938643021441</v>
      </c>
      <c r="AC115" s="38">
        <f t="shared" si="58"/>
        <v>0.95</v>
      </c>
      <c r="AD115" s="38">
        <f t="shared" si="59"/>
        <v>0.183</v>
      </c>
      <c r="AE115" s="38">
        <f t="shared" ca="1" si="60"/>
        <v>0.19456253176581376</v>
      </c>
      <c r="AF115" s="237">
        <f ca="1">((Summary!$N$14*(AA115*AD115)*(A115-$D$3))+(Summary!$M$14*Z115*AC115*(AJ115-EOMONTH(EDATE(A115,-1),0))))/(AK115*AB115*AE115)</f>
        <v>0.99754826482750725</v>
      </c>
      <c r="AG115" s="88">
        <f>IF($A116="","",Summary!$Q$14)</f>
        <v>0</v>
      </c>
      <c r="AH115" s="88">
        <f>IF($A116="","",IF(Summary!$R$12="Y",(VLOOKUP($A115,Summary!$AD$6:$AF$9,3)+'Escalating commodity'!J128),'Escalating commodity'!J128))</f>
        <v>5.8078086289808087E-3</v>
      </c>
      <c r="AI115" s="88">
        <f t="shared" si="76"/>
        <v>5.8078086289808087E-3</v>
      </c>
      <c r="AJ115" s="236">
        <f t="shared" si="61"/>
        <v>40252.5</v>
      </c>
      <c r="AK115" s="58">
        <f t="shared" ca="1" si="62"/>
        <v>3212</v>
      </c>
      <c r="AL115" s="26">
        <f ca="1">IF($A116="","",_xll.SPRDOPT(P115,X115,AI115,0,AB115,AE115,AF115,AK115,$AJ$2,0))</f>
        <v>0.135297359492035</v>
      </c>
      <c r="AM115" s="89">
        <f t="shared" si="63"/>
        <v>9.4446913948938088E-2</v>
      </c>
      <c r="AN115" s="89">
        <f t="shared" ca="1" si="64"/>
        <v>4.0850445543096914E-2</v>
      </c>
      <c r="AO115" s="3">
        <f t="shared" si="65"/>
        <v>31</v>
      </c>
      <c r="AP115" s="33">
        <f t="shared" si="66"/>
        <v>40238</v>
      </c>
      <c r="AQ115" s="58">
        <f t="shared" ca="1" si="67"/>
        <v>3212</v>
      </c>
      <c r="AR115" s="38">
        <f>'ANR OK vs ML7'!AR115</f>
        <v>0.1</v>
      </c>
      <c r="AS115" s="35">
        <f t="shared" ca="1" si="68"/>
        <v>0.42395874138093387</v>
      </c>
      <c r="AT115" s="3">
        <f t="shared" si="69"/>
        <v>1</v>
      </c>
      <c r="AU115" s="3">
        <f t="shared" si="70"/>
        <v>31</v>
      </c>
      <c r="AW115" s="32">
        <f t="shared" ca="1" si="71"/>
        <v>119115.79529678762</v>
      </c>
      <c r="AX115" s="32">
        <f t="shared" si="72"/>
        <v>83151.063040645095</v>
      </c>
      <c r="AY115" s="32">
        <f t="shared" ca="1" si="73"/>
        <v>35964.732256142524</v>
      </c>
      <c r="BA115" s="32">
        <f ca="1">IF($A116="","",F115*Summary!$Q$14)</f>
        <v>0</v>
      </c>
      <c r="BC115" s="256">
        <f t="shared" ca="1" si="77"/>
        <v>35252.620031198581</v>
      </c>
    </row>
    <row r="116" spans="1:55">
      <c r="A116" s="67">
        <f t="shared" si="74"/>
        <v>40269</v>
      </c>
      <c r="B116" s="69">
        <f t="shared" si="75"/>
        <v>28400</v>
      </c>
      <c r="C116" s="71"/>
      <c r="D116" s="69">
        <f t="shared" si="39"/>
        <v>28400</v>
      </c>
      <c r="E116" s="70">
        <f t="shared" si="40"/>
        <v>852000</v>
      </c>
      <c r="F116" s="70">
        <f t="shared" ca="1" si="41"/>
        <v>358233.64691670157</v>
      </c>
      <c r="G116" s="63">
        <f t="shared" si="42"/>
        <v>4.2149999999999999</v>
      </c>
      <c r="H116" s="64">
        <f t="shared" si="43"/>
        <v>4.2149999999999999</v>
      </c>
      <c r="I116" s="43"/>
      <c r="J116" s="63">
        <f t="shared" si="44"/>
        <v>0.23499999999999999</v>
      </c>
      <c r="K116" s="64">
        <f t="shared" si="45"/>
        <v>0.23499999999999999</v>
      </c>
      <c r="L116" s="38">
        <v>0</v>
      </c>
      <c r="M116" s="64">
        <f t="shared" si="46"/>
        <v>0</v>
      </c>
      <c r="N116" s="65"/>
      <c r="O116" s="63">
        <f t="shared" si="47"/>
        <v>4.45</v>
      </c>
      <c r="P116" s="63">
        <f t="shared" si="48"/>
        <v>4.45</v>
      </c>
      <c r="Q116" s="66"/>
      <c r="R116" s="63">
        <f t="shared" si="49"/>
        <v>0.18</v>
      </c>
      <c r="S116" s="64">
        <f t="shared" si="50"/>
        <v>0.18</v>
      </c>
      <c r="T116" s="63">
        <f t="shared" si="51"/>
        <v>0</v>
      </c>
      <c r="U116" s="64">
        <f t="shared" si="52"/>
        <v>0</v>
      </c>
      <c r="V116" s="207">
        <f>IF($A117="","",IF(AND(MONTH(A116)&gt;3,MONTH(A116)&lt;11),(T116+R116+G116)*(((1/(1-Summary!$T$14))/(1-Summary!$W$14))-1),(T116+R116+G116)*((1/(1-Summary!$U$14))/(1-Summary!$X$14)-1)))</f>
        <v>4.6866129532699509E-2</v>
      </c>
      <c r="W116" s="43">
        <f t="shared" si="53"/>
        <v>4.4418661295326993</v>
      </c>
      <c r="X116" s="43">
        <f t="shared" si="54"/>
        <v>4.4418661295326993</v>
      </c>
      <c r="Y116" s="43"/>
      <c r="Z116" s="38">
        <f t="shared" si="55"/>
        <v>0.45</v>
      </c>
      <c r="AA116" s="38">
        <f t="shared" si="56"/>
        <v>0.183</v>
      </c>
      <c r="AB116" s="38">
        <f t="shared" ca="1" si="57"/>
        <v>0.18556928435747999</v>
      </c>
      <c r="AC116" s="38">
        <f t="shared" si="58"/>
        <v>0.5</v>
      </c>
      <c r="AD116" s="38">
        <f t="shared" si="59"/>
        <v>0.183</v>
      </c>
      <c r="AE116" s="38">
        <f t="shared" ca="1" si="60"/>
        <v>0.18616031605781508</v>
      </c>
      <c r="AF116" s="237">
        <f ca="1">((Summary!$N$14*(AA116*AD116)*(A116-$D$3))+(Summary!$M$14*Z116*AC116*(AJ116-EOMONTH(EDATE(A116,-1),0))))/(AK116*AB116*AE116)</f>
        <v>0.99974072103106315</v>
      </c>
      <c r="AG116" s="88">
        <f>IF($A117="","",Summary!$Q$14)</f>
        <v>0</v>
      </c>
      <c r="AH116" s="88">
        <f>IF($A117="","",IF(Summary!$R$12="Y",(VLOOKUP($A116,Summary!$AD$6:$AF$9,3)+'Escalating commodity'!J129),'Escalating commodity'!J129))</f>
        <v>5.8078086289808087E-3</v>
      </c>
      <c r="AI116" s="88">
        <f t="shared" si="76"/>
        <v>5.8078086289808087E-3</v>
      </c>
      <c r="AJ116" s="236">
        <f t="shared" si="61"/>
        <v>40283</v>
      </c>
      <c r="AK116" s="58">
        <f t="shared" ca="1" si="62"/>
        <v>3243</v>
      </c>
      <c r="AL116" s="26">
        <f ca="1">IF($A117="","",_xll.SPRDOPT(P116,X116,AI116,0,AB116,AE116,AF116,AK116,$AJ$2,0))</f>
        <v>1.424426515214346E-2</v>
      </c>
      <c r="AM116" s="89">
        <f t="shared" si="63"/>
        <v>2.3260618383200435E-3</v>
      </c>
      <c r="AN116" s="89">
        <f t="shared" ca="1" si="64"/>
        <v>1.1918203313823417E-2</v>
      </c>
      <c r="AO116" s="3">
        <f t="shared" si="65"/>
        <v>30</v>
      </c>
      <c r="AP116" s="33">
        <f t="shared" si="66"/>
        <v>40269</v>
      </c>
      <c r="AQ116" s="58">
        <f t="shared" ca="1" si="67"/>
        <v>3243</v>
      </c>
      <c r="AR116" s="38">
        <f>'ANR OK vs ML7'!AR116</f>
        <v>0.1</v>
      </c>
      <c r="AS116" s="35">
        <f t="shared" ca="1" si="68"/>
        <v>0.42046202689753703</v>
      </c>
      <c r="AT116" s="3">
        <f t="shared" si="69"/>
        <v>1</v>
      </c>
      <c r="AU116" s="3">
        <f t="shared" si="70"/>
        <v>30</v>
      </c>
      <c r="AW116" s="32">
        <f t="shared" ca="1" si="71"/>
        <v>12136.113909626229</v>
      </c>
      <c r="AX116" s="32">
        <f t="shared" si="72"/>
        <v>1981.8046862486772</v>
      </c>
      <c r="AY116" s="32">
        <f t="shared" ca="1" si="73"/>
        <v>10154.309223377551</v>
      </c>
      <c r="BA116" s="32">
        <f ca="1">IF($A117="","",F116*Summary!$Q$14)</f>
        <v>0</v>
      </c>
      <c r="BC116" s="256">
        <f t="shared" ca="1" si="77"/>
        <v>833.27361529515622</v>
      </c>
    </row>
    <row r="117" spans="1:55">
      <c r="A117" s="67">
        <f t="shared" si="74"/>
        <v>40299</v>
      </c>
      <c r="B117" s="69">
        <f t="shared" si="75"/>
        <v>28400</v>
      </c>
      <c r="C117" s="71"/>
      <c r="D117" s="69">
        <f t="shared" si="39"/>
        <v>28400</v>
      </c>
      <c r="E117" s="70">
        <f t="shared" si="40"/>
        <v>880400</v>
      </c>
      <c r="F117" s="70">
        <f t="shared" ca="1" si="41"/>
        <v>367219.74533510883</v>
      </c>
      <c r="G117" s="63">
        <f t="shared" si="42"/>
        <v>4.1849999999999996</v>
      </c>
      <c r="H117" s="64">
        <f t="shared" si="43"/>
        <v>4.1849999999999996</v>
      </c>
      <c r="I117" s="43"/>
      <c r="J117" s="63">
        <f t="shared" si="44"/>
        <v>0.23499999999999999</v>
      </c>
      <c r="K117" s="64">
        <f t="shared" si="45"/>
        <v>0.23499999999999999</v>
      </c>
      <c r="L117" s="38">
        <v>0</v>
      </c>
      <c r="M117" s="64">
        <f t="shared" si="46"/>
        <v>0</v>
      </c>
      <c r="N117" s="65"/>
      <c r="O117" s="63">
        <f t="shared" si="47"/>
        <v>4.42</v>
      </c>
      <c r="P117" s="63">
        <f t="shared" si="48"/>
        <v>4.42</v>
      </c>
      <c r="Q117" s="66"/>
      <c r="R117" s="63">
        <f t="shared" si="49"/>
        <v>0.18</v>
      </c>
      <c r="S117" s="64">
        <f t="shared" si="50"/>
        <v>0.18</v>
      </c>
      <c r="T117" s="63">
        <f t="shared" si="51"/>
        <v>0</v>
      </c>
      <c r="U117" s="64">
        <f t="shared" si="52"/>
        <v>0</v>
      </c>
      <c r="V117" s="207">
        <f>IF($A118="","",IF(AND(MONTH(A117)&gt;3,MONTH(A117)&lt;11),(T117+R117+G117)*(((1/(1-Summary!$T$14))/(1-Summary!$W$14))-1),(T117+R117+G117)*((1/(1-Summary!$U$14))/(1-Summary!$X$14)-1)))</f>
        <v>4.6546224211657189E-2</v>
      </c>
      <c r="W117" s="43">
        <f t="shared" si="53"/>
        <v>4.4115462242116568</v>
      </c>
      <c r="X117" s="43">
        <f t="shared" si="54"/>
        <v>4.4115462242116568</v>
      </c>
      <c r="Y117" s="43"/>
      <c r="Z117" s="38">
        <f t="shared" si="55"/>
        <v>0.5</v>
      </c>
      <c r="AA117" s="38">
        <f t="shared" si="56"/>
        <v>0.183</v>
      </c>
      <c r="AB117" s="38">
        <f t="shared" ca="1" si="57"/>
        <v>0.18623415641165267</v>
      </c>
      <c r="AC117" s="38">
        <f t="shared" si="58"/>
        <v>0.45</v>
      </c>
      <c r="AD117" s="38">
        <f t="shared" si="59"/>
        <v>0.183</v>
      </c>
      <c r="AE117" s="38">
        <f t="shared" ca="1" si="60"/>
        <v>0.18562923929738678</v>
      </c>
      <c r="AF117" s="237">
        <f ca="1">((Summary!$N$14*(AA117*AD117)*(A117-$D$3))+(Summary!$M$14*Z117*AC117*(AJ117-EOMONTH(EDATE(A117,-1),0))))/(AK117*AB117*AE117)</f>
        <v>0.99973715725374757</v>
      </c>
      <c r="AG117" s="88">
        <f>IF($A118="","",Summary!$Q$14)</f>
        <v>0</v>
      </c>
      <c r="AH117" s="88">
        <f>IF($A118="","",IF(Summary!$R$12="Y",(VLOOKUP($A117,Summary!$AD$6:$AF$9,3)+'Escalating commodity'!J130),'Escalating commodity'!J130))</f>
        <v>5.8078086289808087E-3</v>
      </c>
      <c r="AI117" s="88">
        <f t="shared" si="76"/>
        <v>5.8078086289808087E-3</v>
      </c>
      <c r="AJ117" s="236">
        <f t="shared" si="61"/>
        <v>40313.5</v>
      </c>
      <c r="AK117" s="58">
        <f t="shared" ca="1" si="62"/>
        <v>3273</v>
      </c>
      <c r="AL117" s="26">
        <f ca="1">IF($A118="","",_xll.SPRDOPT(P117,X117,AI117,0,AB117,AE117,AF117,AK117,$AJ$2,0))</f>
        <v>1.6315595770183475E-2</v>
      </c>
      <c r="AM117" s="89">
        <f t="shared" si="63"/>
        <v>2.6459671593623566E-3</v>
      </c>
      <c r="AN117" s="89">
        <f t="shared" ca="1" si="64"/>
        <v>1.3669628610821119E-2</v>
      </c>
      <c r="AO117" s="3">
        <f t="shared" si="65"/>
        <v>31</v>
      </c>
      <c r="AP117" s="33">
        <f t="shared" si="66"/>
        <v>40299</v>
      </c>
      <c r="AQ117" s="58">
        <f t="shared" ca="1" si="67"/>
        <v>3273</v>
      </c>
      <c r="AR117" s="38">
        <f>'ANR OK vs ML7'!AR117</f>
        <v>0.1</v>
      </c>
      <c r="AS117" s="35">
        <f t="shared" ca="1" si="68"/>
        <v>0.41710557171184559</v>
      </c>
      <c r="AT117" s="3">
        <f t="shared" si="69"/>
        <v>1</v>
      </c>
      <c r="AU117" s="3">
        <f t="shared" si="70"/>
        <v>31</v>
      </c>
      <c r="AW117" s="32">
        <f t="shared" ca="1" si="71"/>
        <v>14364.250516069531</v>
      </c>
      <c r="AX117" s="32">
        <f t="shared" si="72"/>
        <v>2329.5094871026186</v>
      </c>
      <c r="AY117" s="32">
        <f t="shared" ca="1" si="73"/>
        <v>12034.741028966913</v>
      </c>
      <c r="BA117" s="32">
        <f ca="1">IF($A118="","",F117*Summary!$Q$14)</f>
        <v>0</v>
      </c>
      <c r="BC117" s="256">
        <f t="shared" ca="1" si="77"/>
        <v>971.65138642610589</v>
      </c>
    </row>
    <row r="118" spans="1:55">
      <c r="A118" s="67">
        <f t="shared" si="74"/>
        <v>40330</v>
      </c>
      <c r="B118" s="69">
        <f t="shared" si="75"/>
        <v>28400</v>
      </c>
      <c r="C118" s="71"/>
      <c r="D118" s="69">
        <f t="shared" si="39"/>
        <v>28400</v>
      </c>
      <c r="E118" s="70">
        <f t="shared" si="40"/>
        <v>852000</v>
      </c>
      <c r="F118" s="70">
        <f t="shared" ca="1" si="41"/>
        <v>352442.90427155705</v>
      </c>
      <c r="G118" s="63">
        <f t="shared" si="42"/>
        <v>4.2549999999999999</v>
      </c>
      <c r="H118" s="64">
        <f t="shared" si="43"/>
        <v>4.2549999999999999</v>
      </c>
      <c r="I118" s="43"/>
      <c r="J118" s="63">
        <f t="shared" si="44"/>
        <v>0.23499999999999999</v>
      </c>
      <c r="K118" s="64">
        <f t="shared" si="45"/>
        <v>0.23499999999999999</v>
      </c>
      <c r="L118" s="38">
        <v>0</v>
      </c>
      <c r="M118" s="64">
        <f t="shared" si="46"/>
        <v>0</v>
      </c>
      <c r="N118" s="65"/>
      <c r="O118" s="63">
        <f t="shared" si="47"/>
        <v>4.49</v>
      </c>
      <c r="P118" s="63">
        <f t="shared" si="48"/>
        <v>4.49</v>
      </c>
      <c r="Q118" s="66"/>
      <c r="R118" s="63">
        <f t="shared" si="49"/>
        <v>0.18</v>
      </c>
      <c r="S118" s="64">
        <f t="shared" si="50"/>
        <v>0.18</v>
      </c>
      <c r="T118" s="63">
        <f t="shared" si="51"/>
        <v>0</v>
      </c>
      <c r="U118" s="64">
        <f t="shared" si="52"/>
        <v>0</v>
      </c>
      <c r="V118" s="207">
        <f>IF($A119="","",IF(AND(MONTH(A118)&gt;3,MONTH(A118)&lt;11),(T118+R118+G118)*(((1/(1-Summary!$T$14))/(1-Summary!$W$14))-1),(T118+R118+G118)*((1/(1-Summary!$U$14))/(1-Summary!$X$14)-1)))</f>
        <v>4.7292669960755936E-2</v>
      </c>
      <c r="W118" s="43">
        <f t="shared" si="53"/>
        <v>4.4822926699607555</v>
      </c>
      <c r="X118" s="43">
        <f t="shared" si="54"/>
        <v>4.4822926699607555</v>
      </c>
      <c r="Y118" s="43"/>
      <c r="Z118" s="38">
        <f t="shared" si="55"/>
        <v>0.5</v>
      </c>
      <c r="AA118" s="38">
        <f t="shared" si="56"/>
        <v>0.183</v>
      </c>
      <c r="AB118" s="38">
        <f t="shared" ca="1" si="57"/>
        <v>0.18610245508683179</v>
      </c>
      <c r="AC118" s="38">
        <f t="shared" si="58"/>
        <v>0.5</v>
      </c>
      <c r="AD118" s="38">
        <f t="shared" si="59"/>
        <v>0.183</v>
      </c>
      <c r="AE118" s="38">
        <f t="shared" ca="1" si="60"/>
        <v>0.18610245508683179</v>
      </c>
      <c r="AF118" s="237">
        <f ca="1">((Summary!$N$14*(AA118*AD118)*(A118-$D$3))+(Summary!$M$14*Z118*AC118*(AJ118-EOMONTH(EDATE(A118,-1),0))))/(AK118*AB118*AE118)</f>
        <v>0.99990327707985449</v>
      </c>
      <c r="AG118" s="88">
        <f>IF($A119="","",Summary!$Q$14)</f>
        <v>0</v>
      </c>
      <c r="AH118" s="88">
        <f>IF($A119="","",IF(Summary!$R$12="Y",(VLOOKUP($A118,Summary!$AD$6:$AF$9,3)+'Escalating commodity'!J131),'Escalating commodity'!J131))</f>
        <v>5.8078086289808087E-3</v>
      </c>
      <c r="AI118" s="88">
        <f t="shared" si="76"/>
        <v>5.8078086289808087E-3</v>
      </c>
      <c r="AJ118" s="236">
        <f t="shared" si="61"/>
        <v>40344</v>
      </c>
      <c r="AK118" s="58">
        <f t="shared" ca="1" si="62"/>
        <v>3304</v>
      </c>
      <c r="AL118" s="26">
        <f ca="1">IF($A119="","",_xll.SPRDOPT(P118,X118,AI118,0,AB118,AE118,AF118,AK118,$AJ$2,0))</f>
        <v>6.7898235721396485E-3</v>
      </c>
      <c r="AM118" s="89">
        <f t="shared" si="63"/>
        <v>1.8995214102639222E-3</v>
      </c>
      <c r="AN118" s="89">
        <f t="shared" ca="1" si="64"/>
        <v>4.8903021618757264E-3</v>
      </c>
      <c r="AO118" s="3">
        <f t="shared" si="65"/>
        <v>30</v>
      </c>
      <c r="AP118" s="33">
        <f t="shared" si="66"/>
        <v>40330</v>
      </c>
      <c r="AQ118" s="58">
        <f t="shared" ca="1" si="67"/>
        <v>3304</v>
      </c>
      <c r="AR118" s="38">
        <f>'ANR OK vs ML7'!AR118</f>
        <v>0.1</v>
      </c>
      <c r="AS118" s="35">
        <f t="shared" ca="1" si="68"/>
        <v>0.41366538060041907</v>
      </c>
      <c r="AT118" s="3">
        <f t="shared" si="69"/>
        <v>1</v>
      </c>
      <c r="AU118" s="3">
        <f t="shared" si="70"/>
        <v>30</v>
      </c>
      <c r="AW118" s="32">
        <f t="shared" ca="1" si="71"/>
        <v>5784.9296834629804</v>
      </c>
      <c r="AX118" s="32">
        <f t="shared" si="72"/>
        <v>1618.3922415448617</v>
      </c>
      <c r="AY118" s="32">
        <f t="shared" ca="1" si="73"/>
        <v>4166.5374419181189</v>
      </c>
      <c r="BA118" s="32">
        <f ca="1">IF($A119="","",F118*Summary!$Q$14)</f>
        <v>0</v>
      </c>
      <c r="BC118" s="256">
        <f t="shared" ca="1" si="77"/>
        <v>669.47284255942054</v>
      </c>
    </row>
    <row r="119" spans="1:55">
      <c r="A119" s="67">
        <f t="shared" si="74"/>
        <v>40360</v>
      </c>
      <c r="B119" s="69">
        <f t="shared" si="75"/>
        <v>28400</v>
      </c>
      <c r="C119" s="71"/>
      <c r="D119" s="69">
        <f t="shared" si="39"/>
        <v>28400</v>
      </c>
      <c r="E119" s="70">
        <f t="shared" si="40"/>
        <v>880400</v>
      </c>
      <c r="F119" s="70">
        <f t="shared" ca="1" si="41"/>
        <v>361283.74502426817</v>
      </c>
      <c r="G119" s="63">
        <f t="shared" si="42"/>
        <v>4.3099999999999996</v>
      </c>
      <c r="H119" s="64">
        <f t="shared" si="43"/>
        <v>4.3099999999999996</v>
      </c>
      <c r="I119" s="43"/>
      <c r="J119" s="63">
        <f t="shared" si="44"/>
        <v>0.23499999999999999</v>
      </c>
      <c r="K119" s="64">
        <f t="shared" si="45"/>
        <v>0.23499999999999999</v>
      </c>
      <c r="L119" s="38">
        <v>0</v>
      </c>
      <c r="M119" s="64">
        <f t="shared" si="46"/>
        <v>0</v>
      </c>
      <c r="N119" s="65"/>
      <c r="O119" s="63">
        <f t="shared" si="47"/>
        <v>4.5449999999999999</v>
      </c>
      <c r="P119" s="63">
        <f t="shared" si="48"/>
        <v>4.5449999999999999</v>
      </c>
      <c r="Q119" s="66"/>
      <c r="R119" s="63">
        <f t="shared" si="49"/>
        <v>0.18</v>
      </c>
      <c r="S119" s="64">
        <f t="shared" si="50"/>
        <v>0.18</v>
      </c>
      <c r="T119" s="63">
        <f t="shared" si="51"/>
        <v>0</v>
      </c>
      <c r="U119" s="64">
        <f t="shared" si="52"/>
        <v>0</v>
      </c>
      <c r="V119" s="207">
        <f>IF($A120="","",IF(AND(MONTH(A119)&gt;3,MONTH(A119)&lt;11),(T119+R119+G119)*(((1/(1-Summary!$T$14))/(1-Summary!$W$14))-1),(T119+R119+G119)*((1/(1-Summary!$U$14))/(1-Summary!$X$14)-1)))</f>
        <v>4.7879163049333512E-2</v>
      </c>
      <c r="W119" s="43">
        <f t="shared" si="53"/>
        <v>4.5378791630493325</v>
      </c>
      <c r="X119" s="43">
        <f t="shared" si="54"/>
        <v>4.5378791630493325</v>
      </c>
      <c r="Y119" s="43"/>
      <c r="Z119" s="38">
        <f t="shared" si="55"/>
        <v>0.55000000000000004</v>
      </c>
      <c r="AA119" s="38">
        <f t="shared" si="56"/>
        <v>0.183</v>
      </c>
      <c r="AB119" s="38">
        <f t="shared" ca="1" si="57"/>
        <v>0.18682983814775286</v>
      </c>
      <c r="AC119" s="38">
        <f t="shared" si="58"/>
        <v>0.5</v>
      </c>
      <c r="AD119" s="38">
        <f t="shared" si="59"/>
        <v>0.183</v>
      </c>
      <c r="AE119" s="38">
        <f t="shared" ca="1" si="60"/>
        <v>0.1861754877462457</v>
      </c>
      <c r="AF119" s="237">
        <f ca="1">((Summary!$N$14*(AA119*AD119)*(A119-$D$3))+(Summary!$M$14*Z119*AC119*(AJ119-EOMONTH(EDATE(A119,-1),0))))/(AK119*AB119*AE119)</f>
        <v>0.999742773195748</v>
      </c>
      <c r="AG119" s="88">
        <f>IF($A120="","",Summary!$Q$14)</f>
        <v>0</v>
      </c>
      <c r="AH119" s="88">
        <f>IF($A120="","",IF(Summary!$R$12="Y",(VLOOKUP($A119,Summary!$AD$6:$AF$9,3)+'Escalating commodity'!J132),'Escalating commodity'!J132))</f>
        <v>5.8078086289808087E-3</v>
      </c>
      <c r="AI119" s="88">
        <f t="shared" si="76"/>
        <v>5.8078086289808087E-3</v>
      </c>
      <c r="AJ119" s="236">
        <f t="shared" si="61"/>
        <v>40374.5</v>
      </c>
      <c r="AK119" s="58">
        <f t="shared" ca="1" si="62"/>
        <v>3334</v>
      </c>
      <c r="AL119" s="26">
        <f ca="1">IF($A120="","",_xll.SPRDOPT(P119,X119,AI119,0,AB119,AE119,AF119,AK119,$AJ$2,0))</f>
        <v>1.6115295562096271E-2</v>
      </c>
      <c r="AM119" s="89">
        <f t="shared" si="63"/>
        <v>1.3130283216866443E-3</v>
      </c>
      <c r="AN119" s="89">
        <f t="shared" ca="1" si="64"/>
        <v>1.4802267240409627E-2</v>
      </c>
      <c r="AO119" s="3">
        <f t="shared" si="65"/>
        <v>31</v>
      </c>
      <c r="AP119" s="33">
        <f t="shared" si="66"/>
        <v>40360</v>
      </c>
      <c r="AQ119" s="58">
        <f t="shared" ca="1" si="67"/>
        <v>3334</v>
      </c>
      <c r="AR119" s="38">
        <f>'ANR OK vs ML7'!AR119</f>
        <v>0.1</v>
      </c>
      <c r="AS119" s="35">
        <f t="shared" ca="1" si="68"/>
        <v>0.41036318153597018</v>
      </c>
      <c r="AT119" s="3">
        <f t="shared" si="69"/>
        <v>1</v>
      </c>
      <c r="AU119" s="3">
        <f t="shared" si="70"/>
        <v>31</v>
      </c>
      <c r="AW119" s="32">
        <f t="shared" ca="1" si="71"/>
        <v>14187.906212869557</v>
      </c>
      <c r="AX119" s="32">
        <f t="shared" si="72"/>
        <v>1155.9901344129216</v>
      </c>
      <c r="AY119" s="32">
        <f t="shared" ca="1" si="73"/>
        <v>13031.916078456636</v>
      </c>
      <c r="BA119" s="32">
        <f ca="1">IF($A120="","",F119*Summary!$Q$14)</f>
        <v>0</v>
      </c>
      <c r="BC119" s="256">
        <f t="shared" ca="1" si="77"/>
        <v>474.37578938188034</v>
      </c>
    </row>
    <row r="120" spans="1:55">
      <c r="A120" s="67">
        <f t="shared" si="74"/>
        <v>40391</v>
      </c>
      <c r="B120" s="69">
        <f t="shared" si="75"/>
        <v>28400</v>
      </c>
      <c r="C120" s="71"/>
      <c r="D120" s="69">
        <f t="shared" si="39"/>
        <v>28400</v>
      </c>
      <c r="E120" s="70">
        <f t="shared" si="40"/>
        <v>880400</v>
      </c>
      <c r="F120" s="70">
        <f t="shared" ca="1" si="41"/>
        <v>358303.95953918237</v>
      </c>
      <c r="G120" s="63">
        <f t="shared" si="42"/>
        <v>4.3660000000000005</v>
      </c>
      <c r="H120" s="64">
        <f t="shared" si="43"/>
        <v>4.3660000000000005</v>
      </c>
      <c r="I120" s="43"/>
      <c r="J120" s="63">
        <f t="shared" si="44"/>
        <v>0.23499999999999999</v>
      </c>
      <c r="K120" s="64">
        <f t="shared" si="45"/>
        <v>0.23499999999999999</v>
      </c>
      <c r="L120" s="38">
        <v>0</v>
      </c>
      <c r="M120" s="64">
        <f t="shared" si="46"/>
        <v>0</v>
      </c>
      <c r="N120" s="65"/>
      <c r="O120" s="63">
        <f t="shared" si="47"/>
        <v>4.6010000000000009</v>
      </c>
      <c r="P120" s="63">
        <f t="shared" si="48"/>
        <v>4.6010000000000009</v>
      </c>
      <c r="Q120" s="66"/>
      <c r="R120" s="63">
        <f t="shared" si="49"/>
        <v>0.18</v>
      </c>
      <c r="S120" s="64">
        <f t="shared" si="50"/>
        <v>0.18</v>
      </c>
      <c r="T120" s="63">
        <f t="shared" si="51"/>
        <v>0</v>
      </c>
      <c r="U120" s="64">
        <f t="shared" si="52"/>
        <v>0</v>
      </c>
      <c r="V120" s="207">
        <f>IF($A121="","",IF(AND(MONTH(A120)&gt;3,MONTH(A120)&lt;11),(T120+R120+G120)*(((1/(1-Summary!$T$14))/(1-Summary!$W$14))-1),(T120+R120+G120)*((1/(1-Summary!$U$14))/(1-Summary!$X$14)-1)))</f>
        <v>4.8476319648612515E-2</v>
      </c>
      <c r="W120" s="43">
        <f t="shared" si="53"/>
        <v>4.5944763196486127</v>
      </c>
      <c r="X120" s="43">
        <f t="shared" si="54"/>
        <v>4.5944763196486127</v>
      </c>
      <c r="Y120" s="43"/>
      <c r="Z120" s="38">
        <f t="shared" si="55"/>
        <v>0.6</v>
      </c>
      <c r="AA120" s="38">
        <f t="shared" si="56"/>
        <v>0.183</v>
      </c>
      <c r="AB120" s="38">
        <f t="shared" ca="1" si="57"/>
        <v>0.18750253014637622</v>
      </c>
      <c r="AC120" s="38">
        <f t="shared" si="58"/>
        <v>0.45</v>
      </c>
      <c r="AD120" s="38">
        <f t="shared" si="59"/>
        <v>0.183</v>
      </c>
      <c r="AE120" s="38">
        <f t="shared" ca="1" si="60"/>
        <v>0.18555785054521373</v>
      </c>
      <c r="AF120" s="237">
        <f ca="1">((Summary!$N$14*(AA120*AD120)*(A120-$D$3))+(Summary!$M$14*Z120*AC120*(AJ120-EOMONTH(EDATE(A120,-1),0))))/(AK120*AB120*AE120)</f>
        <v>0.9984686610021688</v>
      </c>
      <c r="AG120" s="88">
        <f>IF($A121="","",Summary!$Q$14)</f>
        <v>0</v>
      </c>
      <c r="AH120" s="88">
        <f>IF($A121="","",IF(Summary!$R$12="Y",(VLOOKUP($A120,Summary!$AD$6:$AF$9,3)+'Escalating commodity'!J133),'Escalating commodity'!J133))</f>
        <v>5.8078086289808087E-3</v>
      </c>
      <c r="AI120" s="88">
        <f t="shared" si="76"/>
        <v>5.8078086289808087E-3</v>
      </c>
      <c r="AJ120" s="236">
        <f t="shared" si="61"/>
        <v>40405.5</v>
      </c>
      <c r="AK120" s="58">
        <f t="shared" ca="1" si="62"/>
        <v>3365</v>
      </c>
      <c r="AL120" s="26">
        <f ca="1">IF($A121="","",_xll.SPRDOPT(P120,X120,AI120,0,AB120,AE120,AF120,AK120,$AJ$2,0))</f>
        <v>5.9096462463242821E-2</v>
      </c>
      <c r="AM120" s="89">
        <f t="shared" si="63"/>
        <v>7.1587172240736383E-4</v>
      </c>
      <c r="AN120" s="89">
        <f t="shared" ca="1" si="64"/>
        <v>5.8380590740835459E-2</v>
      </c>
      <c r="AO120" s="3">
        <f t="shared" si="65"/>
        <v>31</v>
      </c>
      <c r="AP120" s="33">
        <f t="shared" si="66"/>
        <v>40391</v>
      </c>
      <c r="AQ120" s="58">
        <f t="shared" ca="1" si="67"/>
        <v>3365</v>
      </c>
      <c r="AR120" s="38">
        <f>'ANR OK vs ML7'!AR120</f>
        <v>0.1</v>
      </c>
      <c r="AS120" s="35">
        <f t="shared" ca="1" si="68"/>
        <v>0.40697860011265602</v>
      </c>
      <c r="AT120" s="3">
        <f t="shared" si="69"/>
        <v>1</v>
      </c>
      <c r="AU120" s="3">
        <f t="shared" si="70"/>
        <v>31</v>
      </c>
      <c r="AW120" s="32">
        <f t="shared" ca="1" si="71"/>
        <v>52028.525552638981</v>
      </c>
      <c r="AX120" s="32">
        <f t="shared" si="72"/>
        <v>630.25346440744306</v>
      </c>
      <c r="AY120" s="32">
        <f t="shared" ca="1" si="73"/>
        <v>51398.272088231541</v>
      </c>
      <c r="BA120" s="32">
        <f ca="1">IF($A121="","",F120*Summary!$Q$14)</f>
        <v>0</v>
      </c>
      <c r="BC120" s="256">
        <f t="shared" ca="1" si="77"/>
        <v>256.49967266069291</v>
      </c>
    </row>
    <row r="121" spans="1:55">
      <c r="A121" s="67">
        <f t="shared" si="74"/>
        <v>40422</v>
      </c>
      <c r="B121" s="69">
        <f t="shared" si="75"/>
        <v>28400</v>
      </c>
      <c r="C121" s="71"/>
      <c r="D121" s="69">
        <f t="shared" si="39"/>
        <v>28400</v>
      </c>
      <c r="E121" s="70">
        <f t="shared" si="40"/>
        <v>852000</v>
      </c>
      <c r="F121" s="70">
        <f t="shared" ca="1" si="41"/>
        <v>343885.88771758089</v>
      </c>
      <c r="G121" s="63">
        <f t="shared" si="42"/>
        <v>4.38</v>
      </c>
      <c r="H121" s="64">
        <f t="shared" si="43"/>
        <v>4.38</v>
      </c>
      <c r="I121" s="43"/>
      <c r="J121" s="63">
        <f t="shared" si="44"/>
        <v>0.23499999999999999</v>
      </c>
      <c r="K121" s="64">
        <f t="shared" si="45"/>
        <v>0.23499999999999999</v>
      </c>
      <c r="L121" s="38">
        <v>0</v>
      </c>
      <c r="M121" s="64">
        <f t="shared" si="46"/>
        <v>0</v>
      </c>
      <c r="N121" s="65"/>
      <c r="O121" s="63">
        <f t="shared" si="47"/>
        <v>4.6150000000000002</v>
      </c>
      <c r="P121" s="63">
        <f t="shared" si="48"/>
        <v>4.6150000000000002</v>
      </c>
      <c r="Q121" s="66"/>
      <c r="R121" s="63">
        <f t="shared" si="49"/>
        <v>0.18</v>
      </c>
      <c r="S121" s="64">
        <f t="shared" si="50"/>
        <v>0.18</v>
      </c>
      <c r="T121" s="63">
        <f t="shared" si="51"/>
        <v>0</v>
      </c>
      <c r="U121" s="64">
        <f t="shared" si="52"/>
        <v>0</v>
      </c>
      <c r="V121" s="207">
        <f>IF($A122="","",IF(AND(MONTH(A121)&gt;3,MONTH(A121)&lt;11),(T121+R121+G121)*(((1/(1-Summary!$T$14))/(1-Summary!$W$14))-1),(T121+R121+G121)*((1/(1-Summary!$U$14))/(1-Summary!$X$14)-1)))</f>
        <v>4.8625608798432259E-2</v>
      </c>
      <c r="W121" s="43">
        <f t="shared" si="53"/>
        <v>4.6086256087984321</v>
      </c>
      <c r="X121" s="43">
        <f t="shared" si="54"/>
        <v>4.6086256087984321</v>
      </c>
      <c r="Y121" s="43"/>
      <c r="Z121" s="38">
        <f t="shared" si="55"/>
        <v>0.6</v>
      </c>
      <c r="AA121" s="38">
        <f t="shared" si="56"/>
        <v>0.183</v>
      </c>
      <c r="AB121" s="38">
        <f t="shared" ca="1" si="57"/>
        <v>0.18732049357848604</v>
      </c>
      <c r="AC121" s="38">
        <f t="shared" si="58"/>
        <v>0.5</v>
      </c>
      <c r="AD121" s="38">
        <f t="shared" si="59"/>
        <v>0.183</v>
      </c>
      <c r="AE121" s="38">
        <f t="shared" ca="1" si="60"/>
        <v>0.18601908931640862</v>
      </c>
      <c r="AF121" s="237">
        <f ca="1">((Summary!$N$14*(AA121*AD121)*(A121-$D$3))+(Summary!$M$14*Z121*AC121*(AJ121-EOMONTH(EDATE(A121,-1),0))))/(AK121*AB121*AE121)</f>
        <v>0.99929436840685604</v>
      </c>
      <c r="AG121" s="88">
        <f>IF($A122="","",Summary!$Q$14)</f>
        <v>0</v>
      </c>
      <c r="AH121" s="88">
        <f>IF($A122="","",IF(Summary!$R$12="Y",(VLOOKUP($A121,Summary!$AD$6:$AF$9,3)+'Escalating commodity'!J134),'Escalating commodity'!J134))</f>
        <v>5.8078086289808087E-3</v>
      </c>
      <c r="AI121" s="88">
        <f t="shared" si="76"/>
        <v>5.8078086289808087E-3</v>
      </c>
      <c r="AJ121" s="236">
        <f t="shared" si="61"/>
        <v>40436</v>
      </c>
      <c r="AK121" s="58">
        <f t="shared" ca="1" si="62"/>
        <v>3396</v>
      </c>
      <c r="AL121" s="26">
        <f ca="1">IF($A122="","",_xll.SPRDOPT(P121,X121,AI121,0,AB121,AE121,AF121,AK121,$AJ$2,0))</f>
        <v>3.6405460086024993E-2</v>
      </c>
      <c r="AM121" s="89">
        <f t="shared" si="63"/>
        <v>5.6658257258732168E-4</v>
      </c>
      <c r="AN121" s="89">
        <f t="shared" ca="1" si="64"/>
        <v>3.5838877513437672E-2</v>
      </c>
      <c r="AO121" s="3">
        <f t="shared" si="65"/>
        <v>30</v>
      </c>
      <c r="AP121" s="33">
        <f t="shared" si="66"/>
        <v>40422</v>
      </c>
      <c r="AQ121" s="58">
        <f t="shared" ca="1" si="67"/>
        <v>3396</v>
      </c>
      <c r="AR121" s="38">
        <f>'ANR OK vs ML7'!AR121</f>
        <v>0.1</v>
      </c>
      <c r="AS121" s="35">
        <f t="shared" ca="1" si="68"/>
        <v>0.40362193394082263</v>
      </c>
      <c r="AT121" s="3">
        <f t="shared" si="69"/>
        <v>1</v>
      </c>
      <c r="AU121" s="3">
        <f t="shared" si="70"/>
        <v>30</v>
      </c>
      <c r="AW121" s="32">
        <f t="shared" ca="1" si="71"/>
        <v>31017.451993293293</v>
      </c>
      <c r="AX121" s="32">
        <f t="shared" si="72"/>
        <v>482.72835184439805</v>
      </c>
      <c r="AY121" s="32">
        <f t="shared" ca="1" si="73"/>
        <v>30534.723641448898</v>
      </c>
      <c r="BA121" s="32">
        <f ca="1">IF($A122="","",F121*Summary!$Q$14)</f>
        <v>0</v>
      </c>
      <c r="BC121" s="256">
        <f t="shared" ca="1" si="77"/>
        <v>194.83975093950181</v>
      </c>
    </row>
    <row r="122" spans="1:55">
      <c r="A122" s="67">
        <f t="shared" si="74"/>
        <v>40452</v>
      </c>
      <c r="B122" s="69">
        <f t="shared" si="75"/>
        <v>28400</v>
      </c>
      <c r="C122" s="71"/>
      <c r="D122" s="69">
        <f t="shared" si="39"/>
        <v>28400</v>
      </c>
      <c r="E122" s="70">
        <f t="shared" si="40"/>
        <v>880400</v>
      </c>
      <c r="F122" s="70">
        <f t="shared" ca="1" si="41"/>
        <v>352512.08031095855</v>
      </c>
      <c r="G122" s="63">
        <f t="shared" si="42"/>
        <v>4.4110000000000005</v>
      </c>
      <c r="H122" s="64">
        <f t="shared" si="43"/>
        <v>4.4110000000000005</v>
      </c>
      <c r="I122" s="43"/>
      <c r="J122" s="63">
        <f t="shared" si="44"/>
        <v>0.23499999999999999</v>
      </c>
      <c r="K122" s="64">
        <f t="shared" si="45"/>
        <v>0.23499999999999999</v>
      </c>
      <c r="L122" s="38">
        <v>0</v>
      </c>
      <c r="M122" s="64">
        <f t="shared" si="46"/>
        <v>0</v>
      </c>
      <c r="N122" s="65"/>
      <c r="O122" s="63">
        <f t="shared" si="47"/>
        <v>4.6460000000000008</v>
      </c>
      <c r="P122" s="63">
        <f t="shared" si="48"/>
        <v>4.6460000000000008</v>
      </c>
      <c r="Q122" s="66"/>
      <c r="R122" s="63">
        <f t="shared" si="49"/>
        <v>0.18</v>
      </c>
      <c r="S122" s="64">
        <f t="shared" si="50"/>
        <v>0.18</v>
      </c>
      <c r="T122" s="63">
        <f t="shared" si="51"/>
        <v>0</v>
      </c>
      <c r="U122" s="64">
        <f t="shared" si="52"/>
        <v>0</v>
      </c>
      <c r="V122" s="207">
        <f>IF($A123="","",IF(AND(MONTH(A122)&gt;3,MONTH(A122)&lt;11),(T122+R122+G122)*(((1/(1-Summary!$T$14))/(1-Summary!$W$14))-1),(T122+R122+G122)*((1/(1-Summary!$U$14))/(1-Summary!$X$14)-1)))</f>
        <v>4.8956177630175991E-2</v>
      </c>
      <c r="W122" s="43">
        <f t="shared" si="53"/>
        <v>4.6399561776301761</v>
      </c>
      <c r="X122" s="43">
        <f t="shared" si="54"/>
        <v>4.6399561776301761</v>
      </c>
      <c r="Y122" s="43"/>
      <c r="Z122" s="38">
        <f t="shared" si="55"/>
        <v>0.65</v>
      </c>
      <c r="AA122" s="38">
        <f t="shared" si="56"/>
        <v>0.183</v>
      </c>
      <c r="AB122" s="38">
        <f t="shared" ca="1" si="57"/>
        <v>0.18817614262659255</v>
      </c>
      <c r="AC122" s="38">
        <f t="shared" si="58"/>
        <v>0.5</v>
      </c>
      <c r="AD122" s="38">
        <f t="shared" si="59"/>
        <v>0.183</v>
      </c>
      <c r="AE122" s="38">
        <f t="shared" ca="1" si="60"/>
        <v>0.1860909228899138</v>
      </c>
      <c r="AF122" s="237">
        <f ca="1">((Summary!$N$14*(AA122*AD122)*(A122-$D$3))+(Summary!$M$14*Z122*AC122*(AJ122-EOMONTH(EDATE(A122,-1),0))))/(AK122*AB122*AE122)</f>
        <v>0.99851294919030587</v>
      </c>
      <c r="AG122" s="88">
        <f>IF($A123="","",Summary!$Q$14)</f>
        <v>0</v>
      </c>
      <c r="AH122" s="88">
        <f>IF($A123="","",IF(Summary!$R$12="Y",(VLOOKUP($A122,Summary!$AD$6:$AF$9,3)+'Escalating commodity'!J135),'Escalating commodity'!J135))</f>
        <v>5.8078086289808087E-3</v>
      </c>
      <c r="AI122" s="88">
        <f t="shared" si="76"/>
        <v>5.8078086289808087E-3</v>
      </c>
      <c r="AJ122" s="236">
        <f t="shared" si="61"/>
        <v>40466.5</v>
      </c>
      <c r="AK122" s="58">
        <f t="shared" ca="1" si="62"/>
        <v>3426</v>
      </c>
      <c r="AL122" s="26">
        <f ca="1">IF($A123="","",_xll.SPRDOPT(P122,X122,AI122,0,AB122,AE122,AF122,AK122,$AJ$2,0))</f>
        <v>5.9486731448549081E-2</v>
      </c>
      <c r="AM122" s="89">
        <f t="shared" si="63"/>
        <v>2.3601374084389424E-4</v>
      </c>
      <c r="AN122" s="89">
        <f t="shared" ca="1" si="64"/>
        <v>5.9250717707705187E-2</v>
      </c>
      <c r="AO122" s="3">
        <f t="shared" si="65"/>
        <v>31</v>
      </c>
      <c r="AP122" s="33">
        <f t="shared" si="66"/>
        <v>40452</v>
      </c>
      <c r="AQ122" s="58">
        <f t="shared" ca="1" si="67"/>
        <v>3426</v>
      </c>
      <c r="AR122" s="38">
        <f>'ANR OK vs ML7'!AR122</f>
        <v>0.1</v>
      </c>
      <c r="AS122" s="35">
        <f t="shared" ca="1" si="68"/>
        <v>0.4003999094854141</v>
      </c>
      <c r="AT122" s="3">
        <f t="shared" si="69"/>
        <v>1</v>
      </c>
      <c r="AU122" s="3">
        <f t="shared" si="70"/>
        <v>31</v>
      </c>
      <c r="AW122" s="32">
        <f t="shared" ca="1" si="71"/>
        <v>52372.11836730261</v>
      </c>
      <c r="AX122" s="32">
        <f t="shared" si="72"/>
        <v>207.78649743896449</v>
      </c>
      <c r="AY122" s="32">
        <f t="shared" ca="1" si="73"/>
        <v>52164.33186986365</v>
      </c>
      <c r="BA122" s="32">
        <f ca="1">IF($A123="","",F122*Summary!$Q$14)</f>
        <v>0</v>
      </c>
      <c r="BC122" s="256">
        <f t="shared" ca="1" si="77"/>
        <v>83.197694766852607</v>
      </c>
    </row>
    <row r="123" spans="1:55">
      <c r="A123" s="67">
        <f t="shared" si="74"/>
        <v>40483</v>
      </c>
      <c r="B123" s="69">
        <f t="shared" si="75"/>
        <v>28400</v>
      </c>
      <c r="C123" s="71"/>
      <c r="D123" s="69">
        <f t="shared" si="39"/>
        <v>28400</v>
      </c>
      <c r="E123" s="70">
        <f t="shared" si="40"/>
        <v>852000</v>
      </c>
      <c r="F123" s="70">
        <f t="shared" ca="1" si="41"/>
        <v>338327.07242424064</v>
      </c>
      <c r="G123" s="63">
        <f t="shared" si="42"/>
        <v>4.5440000000000005</v>
      </c>
      <c r="H123" s="64">
        <f t="shared" si="43"/>
        <v>4.5440000000000005</v>
      </c>
      <c r="I123" s="43"/>
      <c r="J123" s="63">
        <f t="shared" si="44"/>
        <v>0.42499999999999999</v>
      </c>
      <c r="K123" s="64">
        <f t="shared" si="45"/>
        <v>0.42499999999999999</v>
      </c>
      <c r="L123" s="38">
        <v>0</v>
      </c>
      <c r="M123" s="64">
        <f t="shared" si="46"/>
        <v>0</v>
      </c>
      <c r="N123" s="65"/>
      <c r="O123" s="63">
        <f t="shared" si="47"/>
        <v>4.9690000000000003</v>
      </c>
      <c r="P123" s="63">
        <f t="shared" si="48"/>
        <v>4.9690000000000003</v>
      </c>
      <c r="Q123" s="66"/>
      <c r="R123" s="63">
        <f t="shared" si="49"/>
        <v>0.27500000000000002</v>
      </c>
      <c r="S123" s="64">
        <f t="shared" si="50"/>
        <v>0.27500000000000002</v>
      </c>
      <c r="T123" s="63">
        <f t="shared" si="51"/>
        <v>0</v>
      </c>
      <c r="U123" s="64">
        <f t="shared" si="52"/>
        <v>0</v>
      </c>
      <c r="V123" s="207">
        <f>IF($A124="","",IF(AND(MONTH(A123)&gt;3,MONTH(A123)&lt;11),(T123+R123+G123)*(((1/(1-Summary!$T$14))/(1-Summary!$W$14))-1),(T123+R123+G123)*((1/(1-Summary!$U$14))/(1-Summary!$X$14)-1)))</f>
        <v>5.1387458070097612E-2</v>
      </c>
      <c r="W123" s="43">
        <f t="shared" si="53"/>
        <v>4.8703874580700983</v>
      </c>
      <c r="X123" s="43">
        <f t="shared" si="54"/>
        <v>4.8703874580700983</v>
      </c>
      <c r="Y123" s="43"/>
      <c r="Z123" s="38">
        <f t="shared" si="55"/>
        <v>0.8</v>
      </c>
      <c r="AA123" s="38">
        <f t="shared" si="56"/>
        <v>0.183</v>
      </c>
      <c r="AB123" s="38">
        <f t="shared" ca="1" si="57"/>
        <v>0.19046170627258027</v>
      </c>
      <c r="AC123" s="38">
        <f t="shared" si="58"/>
        <v>0.95</v>
      </c>
      <c r="AD123" s="38">
        <f t="shared" si="59"/>
        <v>0.183</v>
      </c>
      <c r="AE123" s="38">
        <f t="shared" ca="1" si="60"/>
        <v>0.19342868169714431</v>
      </c>
      <c r="AF123" s="237">
        <f ca="1">((Summary!$N$14*(AA123*AD123)*(A123-$D$3))+(Summary!$M$14*Z123*AC123*(AJ123-EOMONTH(EDATE(A123,-1),0))))/(AK123*AB123*AE123)</f>
        <v>0.99870354460856281</v>
      </c>
      <c r="AG123" s="88">
        <f>IF($A124="","",Summary!$Q$14)</f>
        <v>0</v>
      </c>
      <c r="AH123" s="88">
        <f>IF($A124="","",IF(Summary!$R$12="Y",(VLOOKUP($A123,Summary!$AD$6:$AF$9,3)+'Escalating commodity'!J136),'Escalating commodity'!J136))</f>
        <v>5.8078086289808087E-3</v>
      </c>
      <c r="AI123" s="88">
        <f t="shared" si="76"/>
        <v>5.8078086289808087E-3</v>
      </c>
      <c r="AJ123" s="236">
        <f t="shared" si="61"/>
        <v>40497</v>
      </c>
      <c r="AK123" s="58">
        <f t="shared" ca="1" si="62"/>
        <v>3457</v>
      </c>
      <c r="AL123" s="26">
        <f ca="1">IF($A124="","",_xll.SPRDOPT(P123,X123,AI123,0,AB123,AE123,AF123,AK123,$AJ$2,0))</f>
        <v>0.11856104778486827</v>
      </c>
      <c r="AM123" s="89">
        <f t="shared" si="63"/>
        <v>9.2804733300921177E-2</v>
      </c>
      <c r="AN123" s="89">
        <f t="shared" ca="1" si="64"/>
        <v>2.5756314483947093E-2</v>
      </c>
      <c r="AO123" s="3">
        <f t="shared" si="65"/>
        <v>30</v>
      </c>
      <c r="AP123" s="33">
        <f t="shared" si="66"/>
        <v>40483</v>
      </c>
      <c r="AQ123" s="58">
        <f t="shared" ca="1" si="67"/>
        <v>3457</v>
      </c>
      <c r="AR123" s="38">
        <f>'ANR OK vs ML7'!AR123</f>
        <v>0.1</v>
      </c>
      <c r="AS123" s="35">
        <f t="shared" ca="1" si="68"/>
        <v>0.39709750284535289</v>
      </c>
      <c r="AT123" s="3">
        <f t="shared" si="69"/>
        <v>1</v>
      </c>
      <c r="AU123" s="3">
        <f t="shared" si="70"/>
        <v>30</v>
      </c>
      <c r="AW123" s="32">
        <f t="shared" ca="1" si="71"/>
        <v>101014.01271270777</v>
      </c>
      <c r="AX123" s="32">
        <f t="shared" si="72"/>
        <v>79069.632772384837</v>
      </c>
      <c r="AY123" s="32">
        <f t="shared" ca="1" si="73"/>
        <v>21944.379940322924</v>
      </c>
      <c r="BA123" s="32">
        <f ca="1">IF($A124="","",F123*Summary!$Q$14)</f>
        <v>0</v>
      </c>
      <c r="BC123" s="256">
        <f t="shared" ca="1" si="77"/>
        <v>31398.353724813096</v>
      </c>
    </row>
    <row r="124" spans="1:55">
      <c r="A124" s="67">
        <f t="shared" si="74"/>
        <v>40513</v>
      </c>
      <c r="B124" s="69">
        <f t="shared" si="75"/>
        <v>28400</v>
      </c>
      <c r="C124" s="71"/>
      <c r="D124" s="69">
        <f t="shared" si="39"/>
        <v>28400</v>
      </c>
      <c r="E124" s="70">
        <f t="shared" si="40"/>
        <v>880400</v>
      </c>
      <c r="F124" s="70">
        <f t="shared" ca="1" si="41"/>
        <v>346813.8251248399</v>
      </c>
      <c r="G124" s="63">
        <f t="shared" si="42"/>
        <v>4.6820000000000004</v>
      </c>
      <c r="H124" s="64">
        <f t="shared" si="43"/>
        <v>4.6820000000000004</v>
      </c>
      <c r="I124" s="43"/>
      <c r="J124" s="63">
        <f t="shared" si="44"/>
        <v>0.42499999999999999</v>
      </c>
      <c r="K124" s="64">
        <f t="shared" si="45"/>
        <v>0.42499999999999999</v>
      </c>
      <c r="L124" s="38">
        <v>0</v>
      </c>
      <c r="M124" s="64">
        <f t="shared" si="46"/>
        <v>0</v>
      </c>
      <c r="N124" s="65"/>
      <c r="O124" s="63">
        <f t="shared" si="47"/>
        <v>5.1070000000000002</v>
      </c>
      <c r="P124" s="63">
        <f t="shared" si="48"/>
        <v>5.1070000000000002</v>
      </c>
      <c r="Q124" s="66"/>
      <c r="R124" s="63">
        <f t="shared" si="49"/>
        <v>0.27500000000000002</v>
      </c>
      <c r="S124" s="64">
        <f t="shared" si="50"/>
        <v>0.27500000000000002</v>
      </c>
      <c r="T124" s="63">
        <f t="shared" si="51"/>
        <v>0</v>
      </c>
      <c r="U124" s="64">
        <f t="shared" si="52"/>
        <v>0</v>
      </c>
      <c r="V124" s="207">
        <f>IF($A125="","",IF(AND(MONTH(A124)&gt;3,MONTH(A124)&lt;11),(T124+R124+G124)*(((1/(1-Summary!$T$14))/(1-Summary!$W$14))-1),(T124+R124+G124)*((1/(1-Summary!$U$14))/(1-Summary!$X$14)-1)))</f>
        <v>5.2859022546892273E-2</v>
      </c>
      <c r="W124" s="43">
        <f t="shared" si="53"/>
        <v>5.0098590225468929</v>
      </c>
      <c r="X124" s="43">
        <f t="shared" si="54"/>
        <v>5.0098590225468929</v>
      </c>
      <c r="Y124" s="43"/>
      <c r="Z124" s="38">
        <f t="shared" si="55"/>
        <v>1.1000000000000001</v>
      </c>
      <c r="AA124" s="38">
        <f t="shared" si="56"/>
        <v>0.183</v>
      </c>
      <c r="AB124" s="38">
        <f t="shared" ca="1" si="57"/>
        <v>0.19717290091048437</v>
      </c>
      <c r="AC124" s="38">
        <f t="shared" si="58"/>
        <v>1.35</v>
      </c>
      <c r="AD124" s="38">
        <f t="shared" si="59"/>
        <v>0.183</v>
      </c>
      <c r="AE124" s="38">
        <f t="shared" ca="1" si="60"/>
        <v>0.20396020546762628</v>
      </c>
      <c r="AF124" s="237">
        <f ca="1">((Summary!$N$14*(AA124*AD124)*(A124-$D$3))+(Summary!$M$14*Z124*AC124*(AJ124-EOMONTH(EDATE(A124,-1),0))))/(AK124*AB124*AE124)</f>
        <v>0.99703534373151248</v>
      </c>
      <c r="AG124" s="88">
        <f>IF($A125="","",Summary!$Q$14)</f>
        <v>0</v>
      </c>
      <c r="AH124" s="88">
        <f>IF($A125="","",IF(Summary!$R$12="Y",(VLOOKUP($A124,Summary!$AD$6:$AF$9,3)+'Escalating commodity'!J137),'Escalating commodity'!J137))</f>
        <v>5.8078086289808087E-3</v>
      </c>
      <c r="AI124" s="88">
        <f t="shared" si="76"/>
        <v>5.8078086289808087E-3</v>
      </c>
      <c r="AJ124" s="236">
        <f t="shared" si="61"/>
        <v>40527.5</v>
      </c>
      <c r="AK124" s="58">
        <f t="shared" ca="1" si="62"/>
        <v>3487</v>
      </c>
      <c r="AL124" s="26">
        <f ca="1">IF($A125="","",_xll.SPRDOPT(P124,X124,AI124,0,AB124,AE124,AF124,AK124,$AJ$2,0))</f>
        <v>0.15656781461538816</v>
      </c>
      <c r="AM124" s="89">
        <f t="shared" si="63"/>
        <v>9.1333168824126537E-2</v>
      </c>
      <c r="AN124" s="89">
        <f t="shared" ca="1" si="64"/>
        <v>6.523464579126162E-2</v>
      </c>
      <c r="AO124" s="3">
        <f t="shared" si="65"/>
        <v>31</v>
      </c>
      <c r="AP124" s="33">
        <f t="shared" si="66"/>
        <v>40513</v>
      </c>
      <c r="AQ124" s="58">
        <f t="shared" ca="1" si="67"/>
        <v>3487</v>
      </c>
      <c r="AR124" s="38">
        <f>'ANR OK vs ML7'!AR124</f>
        <v>0.1</v>
      </c>
      <c r="AS124" s="35">
        <f t="shared" ca="1" si="68"/>
        <v>0.39392756147755553</v>
      </c>
      <c r="AT124" s="3">
        <f t="shared" si="69"/>
        <v>1</v>
      </c>
      <c r="AU124" s="3">
        <f t="shared" si="70"/>
        <v>31</v>
      </c>
      <c r="AW124" s="32">
        <f t="shared" ca="1" si="71"/>
        <v>137842.30398738774</v>
      </c>
      <c r="AX124" s="32">
        <f t="shared" si="72"/>
        <v>80409.721832761003</v>
      </c>
      <c r="AY124" s="32">
        <f t="shared" ca="1" si="73"/>
        <v>57432.582154626733</v>
      </c>
      <c r="BA124" s="32">
        <f ca="1">IF($A125="","",F124*Summary!$Q$14)</f>
        <v>0</v>
      </c>
      <c r="BC124" s="256">
        <f t="shared" ca="1" si="77"/>
        <v>31675.605640668102</v>
      </c>
    </row>
    <row r="125" spans="1:55">
      <c r="A125" s="67">
        <f t="shared" si="74"/>
        <v>40544</v>
      </c>
      <c r="B125" s="69">
        <f t="shared" si="75"/>
        <v>28400</v>
      </c>
      <c r="C125" s="71"/>
      <c r="D125" s="69">
        <f t="shared" si="39"/>
        <v>28400</v>
      </c>
      <c r="E125" s="70">
        <f t="shared" si="40"/>
        <v>880400</v>
      </c>
      <c r="F125" s="70">
        <f t="shared" ca="1" si="41"/>
        <v>343953.38422107149</v>
      </c>
      <c r="G125" s="63">
        <f t="shared" si="42"/>
        <v>4.7140000000000004</v>
      </c>
      <c r="H125" s="64">
        <f t="shared" si="43"/>
        <v>4.7140000000000004</v>
      </c>
      <c r="I125" s="43"/>
      <c r="J125" s="63">
        <f t="shared" si="44"/>
        <v>0.42499999999999999</v>
      </c>
      <c r="K125" s="64">
        <f t="shared" si="45"/>
        <v>0.42499999999999999</v>
      </c>
      <c r="L125" s="38">
        <v>0</v>
      </c>
      <c r="M125" s="64">
        <f t="shared" si="46"/>
        <v>0</v>
      </c>
      <c r="N125" s="65"/>
      <c r="O125" s="63">
        <f t="shared" si="47"/>
        <v>5.1390000000000002</v>
      </c>
      <c r="P125" s="63">
        <f t="shared" si="48"/>
        <v>5.1390000000000002</v>
      </c>
      <c r="Q125" s="66"/>
      <c r="R125" s="63">
        <f t="shared" si="49"/>
        <v>0.27500000000000002</v>
      </c>
      <c r="S125" s="64">
        <f t="shared" si="50"/>
        <v>0.27500000000000002</v>
      </c>
      <c r="T125" s="63">
        <f t="shared" si="51"/>
        <v>0</v>
      </c>
      <c r="U125" s="64">
        <f t="shared" si="52"/>
        <v>0</v>
      </c>
      <c r="V125" s="207">
        <f>IF($A126="","",IF(AND(MONTH(A125)&gt;3,MONTH(A125)&lt;11),(T125+R125+G125)*(((1/(1-Summary!$T$14))/(1-Summary!$W$14))-1),(T125+R125+G125)*((1/(1-Summary!$U$14))/(1-Summary!$X$14)-1)))</f>
        <v>5.3200254889337412E-2</v>
      </c>
      <c r="W125" s="43">
        <f t="shared" si="53"/>
        <v>5.0422002548893383</v>
      </c>
      <c r="X125" s="43">
        <f t="shared" si="54"/>
        <v>5.0422002548893383</v>
      </c>
      <c r="Y125" s="43"/>
      <c r="Z125" s="38">
        <f t="shared" si="55"/>
        <v>1.1000000000000001</v>
      </c>
      <c r="AA125" s="38">
        <f t="shared" si="56"/>
        <v>0.183</v>
      </c>
      <c r="AB125" s="38">
        <f t="shared" ca="1" si="57"/>
        <v>0.19705246355723099</v>
      </c>
      <c r="AC125" s="38">
        <f t="shared" si="58"/>
        <v>1.35</v>
      </c>
      <c r="AD125" s="38">
        <f t="shared" si="59"/>
        <v>0.183</v>
      </c>
      <c r="AE125" s="38">
        <f t="shared" ca="1" si="60"/>
        <v>0.20378492282245894</v>
      </c>
      <c r="AF125" s="237">
        <f ca="1">((Summary!$N$14*(AA125*AD125)*(A125-$D$3))+(Summary!$M$14*Z125*AC125*(AJ125-EOMONTH(EDATE(A125,-1),0))))/(AK125*AB125*AE125)</f>
        <v>0.99705222966280826</v>
      </c>
      <c r="AG125" s="88">
        <f>IF($A126="","",Summary!$Q$14)</f>
        <v>0</v>
      </c>
      <c r="AH125" s="88">
        <f>IF($A126="","",IF(Summary!$R$12="Y",(VLOOKUP($A125,Summary!$AD$6:$AF$9,3)+'Escalating commodity'!J138),'Escalating commodity'!J138))</f>
        <v>5.9239648015604251E-3</v>
      </c>
      <c r="AI125" s="88">
        <f t="shared" si="76"/>
        <v>5.9239648015604251E-3</v>
      </c>
      <c r="AJ125" s="236">
        <f t="shared" si="61"/>
        <v>40558.5</v>
      </c>
      <c r="AK125" s="58">
        <f t="shared" ca="1" si="62"/>
        <v>3518</v>
      </c>
      <c r="AL125" s="26">
        <f ca="1">IF($A126="","",_xll.SPRDOPT(P125,X125,AI125,0,AB125,AE125,AF125,AK125,$AJ$2,0))</f>
        <v>0.15690734984191082</v>
      </c>
      <c r="AM125" s="89">
        <f t="shared" si="63"/>
        <v>9.0875780309101498E-2</v>
      </c>
      <c r="AN125" s="89">
        <f t="shared" ca="1" si="64"/>
        <v>6.6031569532809323E-2</v>
      </c>
      <c r="AO125" s="3">
        <f t="shared" si="65"/>
        <v>31</v>
      </c>
      <c r="AP125" s="33">
        <f t="shared" si="66"/>
        <v>40544</v>
      </c>
      <c r="AQ125" s="58">
        <f t="shared" ca="1" si="67"/>
        <v>3518</v>
      </c>
      <c r="AR125" s="38">
        <f>'ANR OK vs ML7'!AR125</f>
        <v>0.1</v>
      </c>
      <c r="AS125" s="35">
        <f t="shared" ca="1" si="68"/>
        <v>0.39067853727972679</v>
      </c>
      <c r="AT125" s="3">
        <f t="shared" si="69"/>
        <v>1</v>
      </c>
      <c r="AU125" s="3">
        <f t="shared" si="70"/>
        <v>31</v>
      </c>
      <c r="AW125" s="32">
        <f t="shared" ca="1" si="71"/>
        <v>138141.23080081827</v>
      </c>
      <c r="AX125" s="32">
        <f t="shared" si="72"/>
        <v>80007.036984132952</v>
      </c>
      <c r="AY125" s="32">
        <f t="shared" ca="1" si="73"/>
        <v>58134.193816685329</v>
      </c>
      <c r="BA125" s="32">
        <f ca="1">IF($A126="","",F125*Summary!$Q$14)</f>
        <v>0</v>
      </c>
      <c r="BC125" s="256">
        <f t="shared" ca="1" si="77"/>
        <v>31257.03218104607</v>
      </c>
    </row>
    <row r="126" spans="1:55">
      <c r="A126" s="67">
        <f t="shared" si="74"/>
        <v>40575</v>
      </c>
      <c r="B126" s="69">
        <f t="shared" si="75"/>
        <v>28400</v>
      </c>
      <c r="C126" s="71"/>
      <c r="D126" s="69">
        <f t="shared" si="39"/>
        <v>28400</v>
      </c>
      <c r="E126" s="70">
        <f t="shared" si="40"/>
        <v>795200</v>
      </c>
      <c r="F126" s="70">
        <f t="shared" ca="1" si="41"/>
        <v>308105.25794138876</v>
      </c>
      <c r="G126" s="63">
        <f t="shared" si="42"/>
        <v>4.5940000000000003</v>
      </c>
      <c r="H126" s="64">
        <f t="shared" si="43"/>
        <v>4.5940000000000003</v>
      </c>
      <c r="I126" s="43"/>
      <c r="J126" s="63">
        <f t="shared" si="44"/>
        <v>0.42499999999999999</v>
      </c>
      <c r="K126" s="64">
        <f t="shared" si="45"/>
        <v>0.42499999999999999</v>
      </c>
      <c r="L126" s="38">
        <v>0</v>
      </c>
      <c r="M126" s="64">
        <f t="shared" si="46"/>
        <v>0</v>
      </c>
      <c r="N126" s="65"/>
      <c r="O126" s="63">
        <f t="shared" si="47"/>
        <v>5.0190000000000001</v>
      </c>
      <c r="P126" s="63">
        <f t="shared" si="48"/>
        <v>5.0190000000000001</v>
      </c>
      <c r="Q126" s="66"/>
      <c r="R126" s="63">
        <f t="shared" si="49"/>
        <v>0.27500000000000002</v>
      </c>
      <c r="S126" s="64">
        <f t="shared" si="50"/>
        <v>0.27500000000000002</v>
      </c>
      <c r="T126" s="63">
        <f t="shared" si="51"/>
        <v>0</v>
      </c>
      <c r="U126" s="64">
        <f t="shared" si="52"/>
        <v>0</v>
      </c>
      <c r="V126" s="207">
        <f>IF($A127="","",IF(AND(MONTH(A126)&gt;3,MONTH(A126)&lt;11),(T126+R126+G126)*(((1/(1-Summary!$T$14))/(1-Summary!$W$14))-1),(T126+R126+G126)*((1/(1-Summary!$U$14))/(1-Summary!$X$14)-1)))</f>
        <v>5.1920633605168139E-2</v>
      </c>
      <c r="W126" s="43">
        <f t="shared" si="53"/>
        <v>4.920920633605169</v>
      </c>
      <c r="X126" s="43">
        <f t="shared" si="54"/>
        <v>4.920920633605169</v>
      </c>
      <c r="Y126" s="43"/>
      <c r="Z126" s="38">
        <f t="shared" si="55"/>
        <v>1.1000000000000001</v>
      </c>
      <c r="AA126" s="38">
        <f t="shared" si="56"/>
        <v>0.183</v>
      </c>
      <c r="AB126" s="38">
        <f t="shared" ca="1" si="57"/>
        <v>0.19563131579992946</v>
      </c>
      <c r="AC126" s="38">
        <f t="shared" si="58"/>
        <v>1.35</v>
      </c>
      <c r="AD126" s="38">
        <f t="shared" si="59"/>
        <v>0.183</v>
      </c>
      <c r="AE126" s="38">
        <f t="shared" ca="1" si="60"/>
        <v>0.20171213471586544</v>
      </c>
      <c r="AF126" s="237">
        <f ca="1">((Summary!$N$14*(AA126*AD126)*(A126-$D$3))+(Summary!$M$14*Z126*AC126*(AJ126-EOMONTH(EDATE(A126,-1),0))))/(AK126*AB126*AE126)</f>
        <v>0.99725969312363749</v>
      </c>
      <c r="AG126" s="88">
        <f>IF($A127="","",Summary!$Q$14)</f>
        <v>0</v>
      </c>
      <c r="AH126" s="88">
        <f>IF($A127="","",IF(Summary!$R$12="Y",(VLOOKUP($A126,Summary!$AD$6:$AF$9,3)+'Escalating commodity'!J139),'Escalating commodity'!J139))</f>
        <v>5.9239648015604251E-3</v>
      </c>
      <c r="AI126" s="88">
        <f t="shared" si="76"/>
        <v>5.9239648015604251E-3</v>
      </c>
      <c r="AJ126" s="236">
        <f t="shared" si="61"/>
        <v>40588</v>
      </c>
      <c r="AK126" s="58">
        <f t="shared" ca="1" si="62"/>
        <v>3549</v>
      </c>
      <c r="AL126" s="26">
        <f ca="1">IF($A127="","",_xll.SPRDOPT(P126,X126,AI126,0,AB126,AE126,AF126,AK126,$AJ$2,0))</f>
        <v>0.1507261884304</v>
      </c>
      <c r="AM126" s="89">
        <f t="shared" si="63"/>
        <v>9.215540159327075E-2</v>
      </c>
      <c r="AN126" s="89">
        <f t="shared" ca="1" si="64"/>
        <v>5.8570786837129254E-2</v>
      </c>
      <c r="AO126" s="3">
        <f t="shared" si="65"/>
        <v>28</v>
      </c>
      <c r="AP126" s="33">
        <f t="shared" si="66"/>
        <v>40575</v>
      </c>
      <c r="AQ126" s="58">
        <f t="shared" ca="1" si="67"/>
        <v>3549</v>
      </c>
      <c r="AR126" s="38">
        <f>'ANR OK vs ML7'!AR126</f>
        <v>0.1</v>
      </c>
      <c r="AS126" s="35">
        <f t="shared" ca="1" si="68"/>
        <v>0.38745631028846678</v>
      </c>
      <c r="AT126" s="3">
        <f t="shared" si="69"/>
        <v>1</v>
      </c>
      <c r="AU126" s="3">
        <f t="shared" si="70"/>
        <v>28</v>
      </c>
      <c r="AW126" s="32">
        <f t="shared" ca="1" si="71"/>
        <v>119857.46503985408</v>
      </c>
      <c r="AX126" s="32">
        <f t="shared" si="72"/>
        <v>73281.975346968902</v>
      </c>
      <c r="AY126" s="32">
        <f t="shared" ca="1" si="73"/>
        <v>46575.489692885181</v>
      </c>
      <c r="BA126" s="32">
        <f ca="1">IF($A127="","",F126*Summary!$Q$14)</f>
        <v>0</v>
      </c>
      <c r="BC126" s="256">
        <f t="shared" ca="1" si="77"/>
        <v>28393.563778586951</v>
      </c>
    </row>
    <row r="127" spans="1:55">
      <c r="A127" s="67">
        <f t="shared" si="74"/>
        <v>40603</v>
      </c>
      <c r="B127" s="69">
        <f t="shared" si="75"/>
        <v>28400</v>
      </c>
      <c r="C127" s="71"/>
      <c r="D127" s="69">
        <f t="shared" si="39"/>
        <v>28400</v>
      </c>
      <c r="E127" s="70">
        <f t="shared" si="40"/>
        <v>880400</v>
      </c>
      <c r="F127" s="70">
        <f t="shared" ca="1" si="41"/>
        <v>338574.3368398723</v>
      </c>
      <c r="G127" s="63">
        <f t="shared" si="42"/>
        <v>4.4550000000000001</v>
      </c>
      <c r="H127" s="64">
        <f t="shared" si="43"/>
        <v>4.4550000000000001</v>
      </c>
      <c r="I127" s="43"/>
      <c r="J127" s="63">
        <f t="shared" si="44"/>
        <v>0.42499999999999999</v>
      </c>
      <c r="K127" s="64">
        <f t="shared" si="45"/>
        <v>0.42499999999999999</v>
      </c>
      <c r="L127" s="38">
        <v>0</v>
      </c>
      <c r="M127" s="64">
        <f t="shared" si="46"/>
        <v>0</v>
      </c>
      <c r="N127" s="65"/>
      <c r="O127" s="63">
        <f t="shared" si="47"/>
        <v>4.88</v>
      </c>
      <c r="P127" s="63">
        <f t="shared" si="48"/>
        <v>4.88</v>
      </c>
      <c r="Q127" s="66"/>
      <c r="R127" s="63">
        <f t="shared" si="49"/>
        <v>0.27500000000000002</v>
      </c>
      <c r="S127" s="64">
        <f t="shared" si="50"/>
        <v>0.27500000000000002</v>
      </c>
      <c r="T127" s="63">
        <f t="shared" si="51"/>
        <v>0</v>
      </c>
      <c r="U127" s="64">
        <f t="shared" si="52"/>
        <v>0</v>
      </c>
      <c r="V127" s="207">
        <f>IF($A128="","",IF(AND(MONTH(A127)&gt;3,MONTH(A127)&lt;11),(T127+R127+G127)*(((1/(1-Summary!$T$14))/(1-Summary!$W$14))-1),(T127+R127+G127)*((1/(1-Summary!$U$14))/(1-Summary!$X$14)-1)))</f>
        <v>5.0438405617672065E-2</v>
      </c>
      <c r="W127" s="43">
        <f t="shared" si="53"/>
        <v>4.7804384056176721</v>
      </c>
      <c r="X127" s="43">
        <f t="shared" si="54"/>
        <v>4.7804384056176721</v>
      </c>
      <c r="Y127" s="43"/>
      <c r="Z127" s="38">
        <f t="shared" si="55"/>
        <v>0.75</v>
      </c>
      <c r="AA127" s="38">
        <f t="shared" si="56"/>
        <v>0.18</v>
      </c>
      <c r="AB127" s="38">
        <f t="shared" ca="1" si="57"/>
        <v>0.18667218713963701</v>
      </c>
      <c r="AC127" s="38">
        <f t="shared" si="58"/>
        <v>0.95</v>
      </c>
      <c r="AD127" s="38">
        <f t="shared" si="59"/>
        <v>0.18</v>
      </c>
      <c r="AE127" s="38">
        <f t="shared" ca="1" si="60"/>
        <v>0.19057756190308073</v>
      </c>
      <c r="AF127" s="237">
        <f ca="1">((Summary!$N$14*(AA127*AD127)*(A127-$D$3))+(Summary!$M$14*Z127*AC127*(AJ127-EOMONTH(EDATE(A127,-1),0))))/(AK127*AB127*AE127)</f>
        <v>0.99768718183597871</v>
      </c>
      <c r="AG127" s="88">
        <f>IF($A128="","",Summary!$Q$14)</f>
        <v>0</v>
      </c>
      <c r="AH127" s="88">
        <f>IF($A128="","",IF(Summary!$R$12="Y",(VLOOKUP($A127,Summary!$AD$6:$AF$9,3)+'Escalating commodity'!J140),'Escalating commodity'!J140))</f>
        <v>5.9239648015604251E-3</v>
      </c>
      <c r="AI127" s="88">
        <f t="shared" si="76"/>
        <v>5.9239648015604251E-3</v>
      </c>
      <c r="AJ127" s="236">
        <f t="shared" si="61"/>
        <v>40617.5</v>
      </c>
      <c r="AK127" s="58">
        <f t="shared" ca="1" si="62"/>
        <v>3577</v>
      </c>
      <c r="AL127" s="26">
        <f ca="1">IF($A128="","",_xll.SPRDOPT(P127,X127,AI127,0,AB127,AE127,AF127,AK127,$AJ$2,0))</f>
        <v>0.13581306801827225</v>
      </c>
      <c r="AM127" s="89">
        <f t="shared" si="63"/>
        <v>9.3637629580767393E-2</v>
      </c>
      <c r="AN127" s="89">
        <f t="shared" ca="1" si="64"/>
        <v>4.2175438437504861E-2</v>
      </c>
      <c r="AO127" s="3">
        <f t="shared" si="65"/>
        <v>31</v>
      </c>
      <c r="AP127" s="33">
        <f t="shared" si="66"/>
        <v>40603</v>
      </c>
      <c r="AQ127" s="58">
        <f t="shared" ca="1" si="67"/>
        <v>3577</v>
      </c>
      <c r="AR127" s="38">
        <f>'ANR OK vs ML7'!AR127</f>
        <v>0.1</v>
      </c>
      <c r="AS127" s="35">
        <f t="shared" ca="1" si="68"/>
        <v>0.38456876060866912</v>
      </c>
      <c r="AT127" s="3">
        <f t="shared" si="69"/>
        <v>1</v>
      </c>
      <c r="AU127" s="3">
        <f t="shared" si="70"/>
        <v>31</v>
      </c>
      <c r="AW127" s="32">
        <f t="shared" ca="1" si="71"/>
        <v>119569.82508328689</v>
      </c>
      <c r="AX127" s="32">
        <f t="shared" si="72"/>
        <v>82438.569082907619</v>
      </c>
      <c r="AY127" s="32">
        <f t="shared" ca="1" si="73"/>
        <v>37131.256000379282</v>
      </c>
      <c r="BA127" s="32">
        <f ca="1">IF($A128="","",F127*Summary!$Q$14)</f>
        <v>0</v>
      </c>
      <c r="BC127" s="256">
        <f t="shared" ca="1" si="77"/>
        <v>31703.298338565928</v>
      </c>
    </row>
    <row r="128" spans="1:55">
      <c r="A128" s="67">
        <f t="shared" si="74"/>
        <v>40634</v>
      </c>
      <c r="B128" s="69">
        <f t="shared" si="75"/>
        <v>28400</v>
      </c>
      <c r="C128" s="71"/>
      <c r="D128" s="69">
        <f t="shared" si="39"/>
        <v>28400</v>
      </c>
      <c r="E128" s="70">
        <f t="shared" si="40"/>
        <v>852000</v>
      </c>
      <c r="F128" s="70">
        <f t="shared" ca="1" si="41"/>
        <v>324950.18065754417</v>
      </c>
      <c r="G128" s="63">
        <f t="shared" si="42"/>
        <v>4.28</v>
      </c>
      <c r="H128" s="64">
        <f t="shared" si="43"/>
        <v>4.28</v>
      </c>
      <c r="I128" s="43"/>
      <c r="J128" s="63">
        <f t="shared" si="44"/>
        <v>0.23499999999999999</v>
      </c>
      <c r="K128" s="64">
        <f t="shared" si="45"/>
        <v>0.23499999999999999</v>
      </c>
      <c r="L128" s="38">
        <v>0</v>
      </c>
      <c r="M128" s="64">
        <f t="shared" si="46"/>
        <v>0</v>
      </c>
      <c r="N128" s="65"/>
      <c r="O128" s="63">
        <f t="shared" si="47"/>
        <v>4.5150000000000006</v>
      </c>
      <c r="P128" s="63">
        <f t="shared" si="48"/>
        <v>4.5150000000000006</v>
      </c>
      <c r="Q128" s="66"/>
      <c r="R128" s="63">
        <f t="shared" si="49"/>
        <v>0.18</v>
      </c>
      <c r="S128" s="64">
        <f t="shared" si="50"/>
        <v>0.18</v>
      </c>
      <c r="T128" s="63">
        <f t="shared" si="51"/>
        <v>0</v>
      </c>
      <c r="U128" s="64">
        <f t="shared" si="52"/>
        <v>0</v>
      </c>
      <c r="V128" s="207">
        <f>IF($A129="","",IF(AND(MONTH(A128)&gt;3,MONTH(A128)&lt;11),(T128+R128+G128)*(((1/(1-Summary!$T$14))/(1-Summary!$W$14))-1),(T128+R128+G128)*((1/(1-Summary!$U$14))/(1-Summary!$X$14)-1)))</f>
        <v>4.7559257728291199E-2</v>
      </c>
      <c r="W128" s="43">
        <f t="shared" si="53"/>
        <v>4.5075592577282908</v>
      </c>
      <c r="X128" s="43">
        <f t="shared" si="54"/>
        <v>4.5075592577282908</v>
      </c>
      <c r="Y128" s="43"/>
      <c r="Z128" s="38">
        <f t="shared" si="55"/>
        <v>0.45</v>
      </c>
      <c r="AA128" s="38">
        <f t="shared" si="56"/>
        <v>0.18</v>
      </c>
      <c r="AB128" s="38">
        <f t="shared" ca="1" si="57"/>
        <v>0.18234818124065244</v>
      </c>
      <c r="AC128" s="38">
        <f t="shared" si="58"/>
        <v>0.5</v>
      </c>
      <c r="AD128" s="38">
        <f t="shared" si="59"/>
        <v>0.18</v>
      </c>
      <c r="AE128" s="38">
        <f t="shared" ca="1" si="60"/>
        <v>0.18288886524013656</v>
      </c>
      <c r="AF128" s="237">
        <f ca="1">((Summary!$N$14*(AA128*AD128)*(A128-$D$3))+(Summary!$M$14*Z128*AC128*(AJ128-EOMONTH(EDATE(A128,-1),0))))/(AK128*AB128*AE128)</f>
        <v>0.99975137482478937</v>
      </c>
      <c r="AG128" s="88">
        <f>IF($A129="","",Summary!$Q$14)</f>
        <v>0</v>
      </c>
      <c r="AH128" s="88">
        <f>IF($A129="","",IF(Summary!$R$12="Y",(VLOOKUP($A128,Summary!$AD$6:$AF$9,3)+'Escalating commodity'!J141),'Escalating commodity'!J141))</f>
        <v>5.9239648015604251E-3</v>
      </c>
      <c r="AI128" s="88">
        <f t="shared" si="76"/>
        <v>5.9239648015604251E-3</v>
      </c>
      <c r="AJ128" s="236">
        <f t="shared" si="61"/>
        <v>40648</v>
      </c>
      <c r="AK128" s="58">
        <f t="shared" ca="1" si="62"/>
        <v>3608</v>
      </c>
      <c r="AL128" s="26">
        <f ca="1">IF($A129="","",_xll.SPRDOPT(P128,X128,AI128,0,AB128,AE128,AF128,AK128,$AJ$2,0))</f>
        <v>1.3760966234347867E-2</v>
      </c>
      <c r="AM128" s="89">
        <f t="shared" si="63"/>
        <v>1.5167774701493409E-3</v>
      </c>
      <c r="AN128" s="89">
        <f t="shared" ca="1" si="64"/>
        <v>1.2244188764198527E-2</v>
      </c>
      <c r="AO128" s="3">
        <f t="shared" si="65"/>
        <v>30</v>
      </c>
      <c r="AP128" s="33">
        <f t="shared" si="66"/>
        <v>40634</v>
      </c>
      <c r="AQ128" s="58">
        <f t="shared" ca="1" si="67"/>
        <v>3608</v>
      </c>
      <c r="AR128" s="38">
        <f>'ANR OK vs ML7'!AR128</f>
        <v>0.1</v>
      </c>
      <c r="AS128" s="35">
        <f t="shared" ca="1" si="68"/>
        <v>0.38139692565439459</v>
      </c>
      <c r="AT128" s="3">
        <f t="shared" si="69"/>
        <v>1</v>
      </c>
      <c r="AU128" s="3">
        <f t="shared" si="70"/>
        <v>30</v>
      </c>
      <c r="AW128" s="32">
        <f t="shared" ca="1" si="71"/>
        <v>11724.343231664383</v>
      </c>
      <c r="AX128" s="32">
        <f t="shared" si="72"/>
        <v>1292.2944045672384</v>
      </c>
      <c r="AY128" s="32">
        <f t="shared" ca="1" si="73"/>
        <v>10432.048827097145</v>
      </c>
      <c r="BA128" s="32">
        <f ca="1">IF($A129="","",F128*Summary!$Q$14)</f>
        <v>0</v>
      </c>
      <c r="BC128" s="256">
        <f t="shared" ca="1" si="77"/>
        <v>492.87711294232111</v>
      </c>
    </row>
    <row r="129" spans="1:55">
      <c r="A129" s="67">
        <f t="shared" si="74"/>
        <v>40664</v>
      </c>
      <c r="B129" s="69">
        <f t="shared" si="75"/>
        <v>28400</v>
      </c>
      <c r="C129" s="71"/>
      <c r="D129" s="69">
        <f t="shared" si="39"/>
        <v>28400</v>
      </c>
      <c r="E129" s="70">
        <f t="shared" si="40"/>
        <v>880400</v>
      </c>
      <c r="F129" s="70">
        <f t="shared" ca="1" si="41"/>
        <v>333101.38122064184</v>
      </c>
      <c r="G129" s="63">
        <f t="shared" si="42"/>
        <v>4.25</v>
      </c>
      <c r="H129" s="64">
        <f t="shared" si="43"/>
        <v>4.25</v>
      </c>
      <c r="I129" s="43"/>
      <c r="J129" s="63">
        <f t="shared" si="44"/>
        <v>0.23499999999999999</v>
      </c>
      <c r="K129" s="64">
        <f t="shared" si="45"/>
        <v>0.23499999999999999</v>
      </c>
      <c r="L129" s="38">
        <v>0</v>
      </c>
      <c r="M129" s="64">
        <f t="shared" si="46"/>
        <v>0</v>
      </c>
      <c r="N129" s="65"/>
      <c r="O129" s="63">
        <f t="shared" si="47"/>
        <v>4.4850000000000003</v>
      </c>
      <c r="P129" s="63">
        <f t="shared" si="48"/>
        <v>4.4850000000000003</v>
      </c>
      <c r="Q129" s="66"/>
      <c r="R129" s="63">
        <f t="shared" si="49"/>
        <v>0.18</v>
      </c>
      <c r="S129" s="64">
        <f t="shared" si="50"/>
        <v>0.18</v>
      </c>
      <c r="T129" s="63">
        <f t="shared" si="51"/>
        <v>0</v>
      </c>
      <c r="U129" s="64">
        <f t="shared" si="52"/>
        <v>0</v>
      </c>
      <c r="V129" s="207">
        <f>IF($A130="","",IF(AND(MONTH(A129)&gt;3,MONTH(A129)&lt;11),(T129+R129+G129)*(((1/(1-Summary!$T$14))/(1-Summary!$W$14))-1),(T129+R129+G129)*((1/(1-Summary!$U$14))/(1-Summary!$X$14)-1)))</f>
        <v>4.7239352407248879E-2</v>
      </c>
      <c r="W129" s="43">
        <f t="shared" si="53"/>
        <v>4.4772393524072482</v>
      </c>
      <c r="X129" s="43">
        <f t="shared" si="54"/>
        <v>4.4772393524072482</v>
      </c>
      <c r="Y129" s="43"/>
      <c r="Z129" s="38">
        <f t="shared" si="55"/>
        <v>0.5</v>
      </c>
      <c r="AA129" s="38">
        <f t="shared" si="56"/>
        <v>0.18</v>
      </c>
      <c r="AB129" s="38">
        <f t="shared" ca="1" si="57"/>
        <v>0.18295915302806107</v>
      </c>
      <c r="AC129" s="38">
        <f t="shared" si="58"/>
        <v>0.45</v>
      </c>
      <c r="AD129" s="38">
        <f t="shared" si="59"/>
        <v>0.18</v>
      </c>
      <c r="AE129" s="38">
        <f t="shared" ca="1" si="60"/>
        <v>0.18240524662602633</v>
      </c>
      <c r="AF129" s="237">
        <f ca="1">((Summary!$N$14*(AA129*AD129)*(A129-$D$3))+(Summary!$M$14*Z129*AC129*(AJ129-EOMONTH(EDATE(A129,-1),0))))/(AK129*AB129*AE129)</f>
        <v>0.99974790141364323</v>
      </c>
      <c r="AG129" s="88">
        <f>IF($A130="","",Summary!$Q$14)</f>
        <v>0</v>
      </c>
      <c r="AH129" s="88">
        <f>IF($A130="","",IF(Summary!$R$12="Y",(VLOOKUP($A129,Summary!$AD$6:$AF$9,3)+'Escalating commodity'!J142),'Escalating commodity'!J142))</f>
        <v>5.9239648015604251E-3</v>
      </c>
      <c r="AI129" s="88">
        <f t="shared" si="76"/>
        <v>5.9239648015604251E-3</v>
      </c>
      <c r="AJ129" s="236">
        <f t="shared" si="61"/>
        <v>40678.5</v>
      </c>
      <c r="AK129" s="58">
        <f t="shared" ca="1" si="62"/>
        <v>3638</v>
      </c>
      <c r="AL129" s="26">
        <f ca="1">IF($A130="","",_xll.SPRDOPT(P129,X129,AI129,0,AB129,AE129,AF129,AK129,$AJ$2,0))</f>
        <v>1.6007162669327186E-2</v>
      </c>
      <c r="AM129" s="89">
        <f t="shared" si="63"/>
        <v>1.8366827911916539E-3</v>
      </c>
      <c r="AN129" s="89">
        <f t="shared" ca="1" si="64"/>
        <v>1.4170479878135533E-2</v>
      </c>
      <c r="AO129" s="3">
        <f t="shared" si="65"/>
        <v>31</v>
      </c>
      <c r="AP129" s="33">
        <f t="shared" si="66"/>
        <v>40664</v>
      </c>
      <c r="AQ129" s="58">
        <f t="shared" ca="1" si="67"/>
        <v>3638</v>
      </c>
      <c r="AR129" s="38">
        <f>'ANR OK vs ML7'!AR129</f>
        <v>0.1</v>
      </c>
      <c r="AS129" s="35">
        <f t="shared" ca="1" si="68"/>
        <v>0.3783523185150407</v>
      </c>
      <c r="AT129" s="3">
        <f t="shared" si="69"/>
        <v>1</v>
      </c>
      <c r="AU129" s="3">
        <f t="shared" si="70"/>
        <v>31</v>
      </c>
      <c r="AW129" s="32">
        <f t="shared" ca="1" si="71"/>
        <v>14092.706014075655</v>
      </c>
      <c r="AX129" s="32">
        <f t="shared" si="72"/>
        <v>1617.0155293651321</v>
      </c>
      <c r="AY129" s="32">
        <f t="shared" ca="1" si="73"/>
        <v>12475.690484710523</v>
      </c>
      <c r="BA129" s="32">
        <f ca="1">IF($A130="","",F129*Summary!$Q$14)</f>
        <v>0</v>
      </c>
      <c r="BC129" s="256">
        <f t="shared" ca="1" si="77"/>
        <v>611.80157461012368</v>
      </c>
    </row>
    <row r="130" spans="1:55">
      <c r="A130" s="67">
        <f t="shared" si="74"/>
        <v>40695</v>
      </c>
      <c r="B130" s="69">
        <f t="shared" si="75"/>
        <v>28400</v>
      </c>
      <c r="C130" s="71"/>
      <c r="D130" s="69">
        <f t="shared" si="39"/>
        <v>28400</v>
      </c>
      <c r="E130" s="70">
        <f t="shared" si="40"/>
        <v>852000</v>
      </c>
      <c r="F130" s="70">
        <f t="shared" ca="1" si="41"/>
        <v>319697.45555794291</v>
      </c>
      <c r="G130" s="63">
        <f t="shared" si="42"/>
        <v>4.32</v>
      </c>
      <c r="H130" s="64">
        <f t="shared" si="43"/>
        <v>4.32</v>
      </c>
      <c r="I130" s="43"/>
      <c r="J130" s="63">
        <f t="shared" si="44"/>
        <v>0.23499999999999999</v>
      </c>
      <c r="K130" s="64">
        <f t="shared" si="45"/>
        <v>0.23499999999999999</v>
      </c>
      <c r="L130" s="38">
        <v>0</v>
      </c>
      <c r="M130" s="64">
        <f t="shared" si="46"/>
        <v>0</v>
      </c>
      <c r="N130" s="65"/>
      <c r="O130" s="63">
        <f t="shared" si="47"/>
        <v>4.5550000000000006</v>
      </c>
      <c r="P130" s="63">
        <f t="shared" si="48"/>
        <v>4.5550000000000006</v>
      </c>
      <c r="Q130" s="66"/>
      <c r="R130" s="63">
        <f t="shared" si="49"/>
        <v>0.18</v>
      </c>
      <c r="S130" s="64">
        <f t="shared" si="50"/>
        <v>0.18</v>
      </c>
      <c r="T130" s="63">
        <f t="shared" si="51"/>
        <v>0</v>
      </c>
      <c r="U130" s="64">
        <f t="shared" si="52"/>
        <v>0</v>
      </c>
      <c r="V130" s="207">
        <f>IF($A131="","",IF(AND(MONTH(A130)&gt;3,MONTH(A130)&lt;11),(T130+R130+G130)*(((1/(1-Summary!$T$14))/(1-Summary!$W$14))-1),(T130+R130+G130)*((1/(1-Summary!$U$14))/(1-Summary!$X$14)-1)))</f>
        <v>4.7985798156347625E-2</v>
      </c>
      <c r="W130" s="43">
        <f t="shared" si="53"/>
        <v>4.5479857981563478</v>
      </c>
      <c r="X130" s="43">
        <f t="shared" si="54"/>
        <v>4.5479857981563478</v>
      </c>
      <c r="Y130" s="43"/>
      <c r="Z130" s="38">
        <f t="shared" si="55"/>
        <v>0.5</v>
      </c>
      <c r="AA130" s="38">
        <f t="shared" si="56"/>
        <v>0.18</v>
      </c>
      <c r="AB130" s="38">
        <f t="shared" ca="1" si="57"/>
        <v>0.18284120871469822</v>
      </c>
      <c r="AC130" s="38">
        <f t="shared" si="58"/>
        <v>0.5</v>
      </c>
      <c r="AD130" s="38">
        <f t="shared" si="59"/>
        <v>0.18</v>
      </c>
      <c r="AE130" s="38">
        <f t="shared" ca="1" si="60"/>
        <v>0.18284120871469822</v>
      </c>
      <c r="AF130" s="237">
        <f ca="1">((Summary!$N$14*(AA130*AD130)*(A130-$D$3))+(Summary!$M$14*Z130*AC130*(AJ130-EOMONTH(EDATE(A130,-1),0))))/(AK130*AB130*AE130)</f>
        <v>0.99990305728122097</v>
      </c>
      <c r="AG130" s="88">
        <f>IF($A131="","",Summary!$Q$14)</f>
        <v>0</v>
      </c>
      <c r="AH130" s="88">
        <f>IF($A131="","",IF(Summary!$R$12="Y",(VLOOKUP($A130,Summary!$AD$6:$AF$9,3)+'Escalating commodity'!J143),'Escalating commodity'!J143))</f>
        <v>5.9239648015604251E-3</v>
      </c>
      <c r="AI130" s="88">
        <f t="shared" si="76"/>
        <v>5.9239648015604251E-3</v>
      </c>
      <c r="AJ130" s="236">
        <f t="shared" si="61"/>
        <v>40709</v>
      </c>
      <c r="AK130" s="58">
        <f t="shared" ca="1" si="62"/>
        <v>3669</v>
      </c>
      <c r="AL130" s="26">
        <f ca="1">IF($A131="","",_xll.SPRDOPT(P130,X130,AI130,0,AB130,AE130,AF130,AK130,$AJ$2,0))</f>
        <v>6.490250531385626E-3</v>
      </c>
      <c r="AM130" s="89">
        <f t="shared" si="63"/>
        <v>1.0902370420923313E-3</v>
      </c>
      <c r="AN130" s="89">
        <f t="shared" ca="1" si="64"/>
        <v>5.4000134892932946E-3</v>
      </c>
      <c r="AO130" s="3">
        <f t="shared" si="65"/>
        <v>30</v>
      </c>
      <c r="AP130" s="33">
        <f t="shared" si="66"/>
        <v>40695</v>
      </c>
      <c r="AQ130" s="58">
        <f t="shared" ca="1" si="67"/>
        <v>3669</v>
      </c>
      <c r="AR130" s="38">
        <f>'ANR OK vs ML7'!AR130</f>
        <v>0.1</v>
      </c>
      <c r="AS130" s="35">
        <f t="shared" ca="1" si="68"/>
        <v>0.37523175534969827</v>
      </c>
      <c r="AT130" s="3">
        <f t="shared" si="69"/>
        <v>1</v>
      </c>
      <c r="AU130" s="3">
        <f t="shared" si="70"/>
        <v>30</v>
      </c>
      <c r="AW130" s="32">
        <f t="shared" ca="1" si="71"/>
        <v>5529.6934527405538</v>
      </c>
      <c r="AX130" s="32">
        <f t="shared" si="72"/>
        <v>928.88195986266635</v>
      </c>
      <c r="AY130" s="32">
        <f t="shared" ca="1" si="73"/>
        <v>4600.8114928778868</v>
      </c>
      <c r="BA130" s="32">
        <f ca="1">IF($A131="","",F130*Summary!$Q$14)</f>
        <v>0</v>
      </c>
      <c r="BC130" s="256">
        <f t="shared" ca="1" si="77"/>
        <v>348.54600831193625</v>
      </c>
    </row>
    <row r="131" spans="1:55">
      <c r="A131" s="67">
        <f t="shared" si="74"/>
        <v>40725</v>
      </c>
      <c r="B131" s="69">
        <f t="shared" si="75"/>
        <v>28400</v>
      </c>
      <c r="C131" s="71"/>
      <c r="D131" s="69">
        <f t="shared" si="39"/>
        <v>28400</v>
      </c>
      <c r="E131" s="70">
        <f t="shared" si="40"/>
        <v>880400</v>
      </c>
      <c r="F131" s="70">
        <f t="shared" ca="1" si="41"/>
        <v>327716.89433619392</v>
      </c>
      <c r="G131" s="63">
        <f t="shared" si="42"/>
        <v>4.375</v>
      </c>
      <c r="H131" s="64">
        <f t="shared" si="43"/>
        <v>4.375</v>
      </c>
      <c r="I131" s="43"/>
      <c r="J131" s="63">
        <f t="shared" si="44"/>
        <v>0.23499999999999999</v>
      </c>
      <c r="K131" s="64">
        <f t="shared" si="45"/>
        <v>0.23499999999999999</v>
      </c>
      <c r="L131" s="38">
        <v>0</v>
      </c>
      <c r="M131" s="64">
        <f t="shared" si="46"/>
        <v>0</v>
      </c>
      <c r="N131" s="65"/>
      <c r="O131" s="63">
        <f t="shared" si="47"/>
        <v>4.6100000000000003</v>
      </c>
      <c r="P131" s="63">
        <f t="shared" si="48"/>
        <v>4.6100000000000003</v>
      </c>
      <c r="Q131" s="66"/>
      <c r="R131" s="63">
        <f t="shared" si="49"/>
        <v>0.18</v>
      </c>
      <c r="S131" s="64">
        <f t="shared" si="50"/>
        <v>0.18</v>
      </c>
      <c r="T131" s="63">
        <f t="shared" si="51"/>
        <v>0</v>
      </c>
      <c r="U131" s="64">
        <f t="shared" si="52"/>
        <v>0</v>
      </c>
      <c r="V131" s="207">
        <f>IF($A132="","",IF(AND(MONTH(A131)&gt;3,MONTH(A131)&lt;11),(T131+R131+G131)*(((1/(1-Summary!$T$14))/(1-Summary!$W$14))-1),(T131+R131+G131)*((1/(1-Summary!$U$14))/(1-Summary!$X$14)-1)))</f>
        <v>4.8572291244925202E-2</v>
      </c>
      <c r="W131" s="43">
        <f t="shared" si="53"/>
        <v>4.6035722912449248</v>
      </c>
      <c r="X131" s="43">
        <f t="shared" si="54"/>
        <v>4.6035722912449248</v>
      </c>
      <c r="Y131" s="43"/>
      <c r="Z131" s="38">
        <f t="shared" si="55"/>
        <v>0.55000000000000004</v>
      </c>
      <c r="AA131" s="38">
        <f t="shared" si="56"/>
        <v>0.18</v>
      </c>
      <c r="AB131" s="38">
        <f t="shared" ca="1" si="57"/>
        <v>0.18351112075547349</v>
      </c>
      <c r="AC131" s="38">
        <f t="shared" si="58"/>
        <v>0.5</v>
      </c>
      <c r="AD131" s="38">
        <f t="shared" si="59"/>
        <v>0.18</v>
      </c>
      <c r="AE131" s="38">
        <f t="shared" ca="1" si="60"/>
        <v>0.18291074203345759</v>
      </c>
      <c r="AF131" s="237">
        <f ca="1">((Summary!$N$14*(AA131*AD131)*(A131-$D$3))+(Summary!$M$14*Z131*AC131*(AJ131-EOMONTH(EDATE(A131,-1),0))))/(AK131*AB131*AE131)</f>
        <v>0.99975277029267295</v>
      </c>
      <c r="AG131" s="88">
        <f>IF($A132="","",Summary!$Q$14)</f>
        <v>0</v>
      </c>
      <c r="AH131" s="88">
        <f>IF($A132="","",IF(Summary!$R$12="Y",(VLOOKUP($A131,Summary!$AD$6:$AF$9,3)+'Escalating commodity'!J144),'Escalating commodity'!J144))</f>
        <v>5.9239648015604251E-3</v>
      </c>
      <c r="AI131" s="88">
        <f t="shared" si="76"/>
        <v>5.9239648015604251E-3</v>
      </c>
      <c r="AJ131" s="236">
        <f t="shared" si="61"/>
        <v>40739.5</v>
      </c>
      <c r="AK131" s="58">
        <f t="shared" ca="1" si="62"/>
        <v>3699</v>
      </c>
      <c r="AL131" s="26">
        <f ca="1">IF($A132="","",_xll.SPRDOPT(P131,X131,AI131,0,AB131,AE131,AF131,AK131,$AJ$2,0))</f>
        <v>1.5800211876068226E-2</v>
      </c>
      <c r="AM131" s="89">
        <f t="shared" si="63"/>
        <v>5.0374395351505345E-4</v>
      </c>
      <c r="AN131" s="89">
        <f t="shared" ca="1" si="64"/>
        <v>1.5296467922553174E-2</v>
      </c>
      <c r="AO131" s="3">
        <f t="shared" si="65"/>
        <v>31</v>
      </c>
      <c r="AP131" s="33">
        <f t="shared" si="66"/>
        <v>40725</v>
      </c>
      <c r="AQ131" s="58">
        <f t="shared" ca="1" si="67"/>
        <v>3699</v>
      </c>
      <c r="AR131" s="38">
        <f>'ANR OK vs ML7'!AR131</f>
        <v>0.1</v>
      </c>
      <c r="AS131" s="35">
        <f t="shared" ca="1" si="68"/>
        <v>0.3722363633986755</v>
      </c>
      <c r="AT131" s="3">
        <f t="shared" si="69"/>
        <v>1</v>
      </c>
      <c r="AU131" s="3">
        <f t="shared" si="70"/>
        <v>31</v>
      </c>
      <c r="AW131" s="32">
        <f t="shared" ca="1" si="71"/>
        <v>13910.506535690467</v>
      </c>
      <c r="AX131" s="32">
        <f t="shared" si="72"/>
        <v>443.49617667465304</v>
      </c>
      <c r="AY131" s="32">
        <f t="shared" ca="1" si="73"/>
        <v>13467.010359015814</v>
      </c>
      <c r="BA131" s="32">
        <f ca="1">IF($A132="","",F131*Summary!$Q$14)</f>
        <v>0</v>
      </c>
      <c r="BC131" s="256">
        <f t="shared" ca="1" si="77"/>
        <v>165.08540398658934</v>
      </c>
    </row>
    <row r="132" spans="1:55">
      <c r="A132" s="67">
        <f t="shared" si="74"/>
        <v>40756</v>
      </c>
      <c r="B132" s="69">
        <f t="shared" si="75"/>
        <v>28400</v>
      </c>
      <c r="C132" s="71"/>
      <c r="D132" s="69">
        <f t="shared" si="39"/>
        <v>28400</v>
      </c>
      <c r="E132" s="70">
        <f t="shared" si="40"/>
        <v>880400</v>
      </c>
      <c r="F132" s="70">
        <f t="shared" ca="1" si="41"/>
        <v>325013.96053856402</v>
      </c>
      <c r="G132" s="63">
        <f t="shared" si="42"/>
        <v>4.431</v>
      </c>
      <c r="H132" s="64">
        <f t="shared" si="43"/>
        <v>4.431</v>
      </c>
      <c r="I132" s="43"/>
      <c r="J132" s="63">
        <f t="shared" si="44"/>
        <v>0.23499999999999999</v>
      </c>
      <c r="K132" s="64">
        <f t="shared" si="45"/>
        <v>0.23499999999999999</v>
      </c>
      <c r="L132" s="38">
        <v>0</v>
      </c>
      <c r="M132" s="64">
        <f t="shared" si="46"/>
        <v>0</v>
      </c>
      <c r="N132" s="65"/>
      <c r="O132" s="63">
        <f t="shared" si="47"/>
        <v>4.6660000000000004</v>
      </c>
      <c r="P132" s="63">
        <f t="shared" si="48"/>
        <v>4.6660000000000004</v>
      </c>
      <c r="Q132" s="66"/>
      <c r="R132" s="63">
        <f t="shared" si="49"/>
        <v>0.18</v>
      </c>
      <c r="S132" s="64">
        <f t="shared" si="50"/>
        <v>0.18</v>
      </c>
      <c r="T132" s="63">
        <f t="shared" si="51"/>
        <v>0</v>
      </c>
      <c r="U132" s="64">
        <f t="shared" si="52"/>
        <v>0</v>
      </c>
      <c r="V132" s="207">
        <f>IF($A133="","",IF(AND(MONTH(A132)&gt;3,MONTH(A132)&lt;11),(T132+R132+G132)*(((1/(1-Summary!$T$14))/(1-Summary!$W$14))-1),(T132+R132+G132)*((1/(1-Summary!$U$14))/(1-Summary!$X$14)-1)))</f>
        <v>4.9169447844204198E-2</v>
      </c>
      <c r="W132" s="43">
        <f t="shared" si="53"/>
        <v>4.6601694478442042</v>
      </c>
      <c r="X132" s="43">
        <f t="shared" si="54"/>
        <v>4.6601694478442042</v>
      </c>
      <c r="Y132" s="43"/>
      <c r="Z132" s="38">
        <f t="shared" si="55"/>
        <v>0.6</v>
      </c>
      <c r="AA132" s="38">
        <f t="shared" si="56"/>
        <v>0.18</v>
      </c>
      <c r="AB132" s="38">
        <f t="shared" ca="1" si="57"/>
        <v>0.18413219403286479</v>
      </c>
      <c r="AC132" s="38">
        <f t="shared" si="58"/>
        <v>0.45</v>
      </c>
      <c r="AD132" s="38">
        <f t="shared" si="59"/>
        <v>0.18</v>
      </c>
      <c r="AE132" s="38">
        <f t="shared" ca="1" si="60"/>
        <v>0.1823463031233005</v>
      </c>
      <c r="AF132" s="237">
        <f ca="1">((Summary!$N$14*(AA132*AD132)*(A132-$D$3))+(Summary!$M$14*Z132*AC132*(AJ132-EOMONTH(EDATE(A132,-1),0))))/(AK132*AB132*AE132)</f>
        <v>0.99855862081091262</v>
      </c>
      <c r="AG132" s="88">
        <f>IF($A133="","",Summary!$Q$14)</f>
        <v>0</v>
      </c>
      <c r="AH132" s="88">
        <f>IF($A133="","",IF(Summary!$R$12="Y",(VLOOKUP($A132,Summary!$AD$6:$AF$9,3)+'Escalating commodity'!J145),'Escalating commodity'!J145))</f>
        <v>5.9239648015604251E-3</v>
      </c>
      <c r="AI132" s="88">
        <f t="shared" si="76"/>
        <v>5.9239648015604251E-3</v>
      </c>
      <c r="AJ132" s="236">
        <f t="shared" si="61"/>
        <v>40770.5</v>
      </c>
      <c r="AK132" s="58">
        <f t="shared" ca="1" si="62"/>
        <v>3730</v>
      </c>
      <c r="AL132" s="26">
        <f ca="1">IF($A133="","",_xll.SPRDOPT(P132,X132,AI132,0,AB132,AE132,AF132,AK132,$AJ$2,0))</f>
        <v>5.9658501097242897E-2</v>
      </c>
      <c r="AM132" s="89">
        <f t="shared" si="63"/>
        <v>0</v>
      </c>
      <c r="AN132" s="89">
        <f t="shared" ca="1" si="64"/>
        <v>5.9658501097242897E-2</v>
      </c>
      <c r="AO132" s="3">
        <f t="shared" si="65"/>
        <v>31</v>
      </c>
      <c r="AP132" s="33">
        <f t="shared" si="66"/>
        <v>40756</v>
      </c>
      <c r="AQ132" s="58">
        <f t="shared" ca="1" si="67"/>
        <v>3730</v>
      </c>
      <c r="AR132" s="38">
        <f>'ANR OK vs ML7'!AR132</f>
        <v>0.1</v>
      </c>
      <c r="AS132" s="35">
        <f t="shared" ca="1" si="68"/>
        <v>0.36916624322871877</v>
      </c>
      <c r="AT132" s="3">
        <f t="shared" si="69"/>
        <v>1</v>
      </c>
      <c r="AU132" s="3">
        <f t="shared" si="70"/>
        <v>31</v>
      </c>
      <c r="AW132" s="32">
        <f t="shared" ca="1" si="71"/>
        <v>52523.344366012643</v>
      </c>
      <c r="AX132" s="32">
        <f t="shared" si="72"/>
        <v>0</v>
      </c>
      <c r="AY132" s="32">
        <f t="shared" ca="1" si="73"/>
        <v>52523.344366012643</v>
      </c>
      <c r="BA132" s="32">
        <f ca="1">IF($A133="","",F132*Summary!$Q$14)</f>
        <v>0</v>
      </c>
      <c r="BC132" s="256">
        <f t="shared" ca="1" si="77"/>
        <v>0</v>
      </c>
    </row>
    <row r="133" spans="1:55">
      <c r="A133" s="67">
        <f t="shared" si="74"/>
        <v>40787</v>
      </c>
      <c r="B133" s="69">
        <f t="shared" si="75"/>
        <v>28400</v>
      </c>
      <c r="C133" s="71"/>
      <c r="D133" s="69">
        <f t="shared" si="39"/>
        <v>28400</v>
      </c>
      <c r="E133" s="70">
        <f t="shared" si="40"/>
        <v>852000</v>
      </c>
      <c r="F133" s="70">
        <f t="shared" ca="1" si="41"/>
        <v>311935.47088945447</v>
      </c>
      <c r="G133" s="63">
        <f t="shared" si="42"/>
        <v>4.4450000000000003</v>
      </c>
      <c r="H133" s="64">
        <f t="shared" si="43"/>
        <v>4.4450000000000003</v>
      </c>
      <c r="I133" s="43"/>
      <c r="J133" s="63">
        <f t="shared" si="44"/>
        <v>0.23499999999999999</v>
      </c>
      <c r="K133" s="64">
        <f t="shared" si="45"/>
        <v>0.23499999999999999</v>
      </c>
      <c r="L133" s="38">
        <v>0</v>
      </c>
      <c r="M133" s="64">
        <f t="shared" si="46"/>
        <v>0</v>
      </c>
      <c r="N133" s="65"/>
      <c r="O133" s="63">
        <f t="shared" si="47"/>
        <v>4.6800000000000006</v>
      </c>
      <c r="P133" s="63">
        <f t="shared" si="48"/>
        <v>4.6800000000000006</v>
      </c>
      <c r="Q133" s="66"/>
      <c r="R133" s="63">
        <f t="shared" si="49"/>
        <v>0.18</v>
      </c>
      <c r="S133" s="64">
        <f t="shared" si="50"/>
        <v>0.18</v>
      </c>
      <c r="T133" s="63">
        <f t="shared" si="51"/>
        <v>0</v>
      </c>
      <c r="U133" s="64">
        <f t="shared" si="52"/>
        <v>0</v>
      </c>
      <c r="V133" s="207">
        <f>IF($A134="","",IF(AND(MONTH(A133)&gt;3,MONTH(A133)&lt;11),(T133+R133+G133)*(((1/(1-Summary!$T$14))/(1-Summary!$W$14))-1),(T133+R133+G133)*((1/(1-Summary!$U$14))/(1-Summary!$X$14)-1)))</f>
        <v>4.9318736994023948E-2</v>
      </c>
      <c r="W133" s="43">
        <f t="shared" si="53"/>
        <v>4.6743187369940236</v>
      </c>
      <c r="X133" s="43">
        <f t="shared" si="54"/>
        <v>4.6743187369940236</v>
      </c>
      <c r="Y133" s="43"/>
      <c r="Z133" s="38">
        <f t="shared" si="55"/>
        <v>0.6</v>
      </c>
      <c r="AA133" s="38">
        <f t="shared" si="56"/>
        <v>0.18</v>
      </c>
      <c r="AB133" s="38">
        <f t="shared" ca="1" si="57"/>
        <v>0.18396848394300067</v>
      </c>
      <c r="AC133" s="38">
        <f t="shared" si="58"/>
        <v>0.5</v>
      </c>
      <c r="AD133" s="38">
        <f t="shared" si="59"/>
        <v>0.18</v>
      </c>
      <c r="AE133" s="38">
        <f t="shared" ca="1" si="60"/>
        <v>0.18277223524395109</v>
      </c>
      <c r="AF133" s="237">
        <f ca="1">((Summary!$N$14*(AA133*AD133)*(A133-$D$3))+(Summary!$M$14*Z133*AC133*(AJ133-EOMONTH(EDATE(A133,-1),0))))/(AK133*AB133*AE133)</f>
        <v>0.99933182727411218</v>
      </c>
      <c r="AG133" s="88">
        <f>IF($A134="","",Summary!$Q$14)</f>
        <v>0</v>
      </c>
      <c r="AH133" s="88">
        <f>IF($A134="","",IF(Summary!$R$12="Y",(VLOOKUP($A133,Summary!$AD$6:$AF$9,3)+'Escalating commodity'!J146),'Escalating commodity'!J146))</f>
        <v>5.9239648015604251E-3</v>
      </c>
      <c r="AI133" s="88">
        <f t="shared" si="76"/>
        <v>5.9239648015604251E-3</v>
      </c>
      <c r="AJ133" s="236">
        <f t="shared" si="61"/>
        <v>40801</v>
      </c>
      <c r="AK133" s="58">
        <f t="shared" ca="1" si="62"/>
        <v>3761</v>
      </c>
      <c r="AL133" s="26">
        <f ca="1">IF($A134="","",_xll.SPRDOPT(P133,X133,AI133,0,AB133,AE133,AF133,AK133,$AJ$2,0))</f>
        <v>3.6000743260324063E-2</v>
      </c>
      <c r="AM133" s="89">
        <f t="shared" si="63"/>
        <v>0</v>
      </c>
      <c r="AN133" s="89">
        <f t="shared" ca="1" si="64"/>
        <v>3.6000743260324063E-2</v>
      </c>
      <c r="AO133" s="3">
        <f t="shared" si="65"/>
        <v>30</v>
      </c>
      <c r="AP133" s="33">
        <f t="shared" si="66"/>
        <v>40787</v>
      </c>
      <c r="AQ133" s="58">
        <f t="shared" ca="1" si="67"/>
        <v>3761</v>
      </c>
      <c r="AR133" s="38">
        <f>'ANR OK vs ML7'!AR133</f>
        <v>0.1</v>
      </c>
      <c r="AS133" s="35">
        <f t="shared" ca="1" si="68"/>
        <v>0.3661214447059325</v>
      </c>
      <c r="AT133" s="3">
        <f t="shared" si="69"/>
        <v>1</v>
      </c>
      <c r="AU133" s="3">
        <f t="shared" si="70"/>
        <v>30</v>
      </c>
      <c r="AW133" s="32">
        <f t="shared" ca="1" si="71"/>
        <v>30672.6332577961</v>
      </c>
      <c r="AX133" s="32">
        <f t="shared" si="72"/>
        <v>0</v>
      </c>
      <c r="AY133" s="32">
        <f t="shared" ca="1" si="73"/>
        <v>30672.6332577961</v>
      </c>
      <c r="BA133" s="32">
        <f ca="1">IF($A134="","",F133*Summary!$Q$14)</f>
        <v>0</v>
      </c>
      <c r="BC133" s="256">
        <f t="shared" ca="1" si="77"/>
        <v>0</v>
      </c>
    </row>
    <row r="134" spans="1:55">
      <c r="A134" s="67">
        <f t="shared" si="74"/>
        <v>40817</v>
      </c>
      <c r="B134" s="69">
        <f t="shared" si="75"/>
        <v>28400</v>
      </c>
      <c r="C134" s="71"/>
      <c r="D134" s="69">
        <f t="shared" si="39"/>
        <v>28400</v>
      </c>
      <c r="E134" s="70">
        <f t="shared" si="40"/>
        <v>880400</v>
      </c>
      <c r="F134" s="70">
        <f t="shared" ca="1" si="41"/>
        <v>319760.20445574791</v>
      </c>
      <c r="G134" s="63">
        <f t="shared" si="42"/>
        <v>4.476</v>
      </c>
      <c r="H134" s="64">
        <f t="shared" si="43"/>
        <v>4.476</v>
      </c>
      <c r="I134" s="43"/>
      <c r="J134" s="63">
        <f t="shared" si="44"/>
        <v>0.23499999999999999</v>
      </c>
      <c r="K134" s="64">
        <f t="shared" si="45"/>
        <v>0.23499999999999999</v>
      </c>
      <c r="L134" s="38">
        <v>0</v>
      </c>
      <c r="M134" s="64">
        <f t="shared" si="46"/>
        <v>0</v>
      </c>
      <c r="N134" s="65"/>
      <c r="O134" s="63">
        <f t="shared" si="47"/>
        <v>4.7110000000000003</v>
      </c>
      <c r="P134" s="63">
        <f t="shared" si="48"/>
        <v>4.7110000000000003</v>
      </c>
      <c r="Q134" s="66"/>
      <c r="R134" s="63">
        <f t="shared" si="49"/>
        <v>0.18</v>
      </c>
      <c r="S134" s="64">
        <f t="shared" si="50"/>
        <v>0.18</v>
      </c>
      <c r="T134" s="63">
        <f t="shared" si="51"/>
        <v>0</v>
      </c>
      <c r="U134" s="64">
        <f t="shared" si="52"/>
        <v>0</v>
      </c>
      <c r="V134" s="207">
        <f>IF($A135="","",IF(AND(MONTH(A134)&gt;3,MONTH(A134)&lt;11),(T134+R134+G134)*(((1/(1-Summary!$T$14))/(1-Summary!$W$14))-1),(T134+R134+G134)*((1/(1-Summary!$U$14))/(1-Summary!$X$14)-1)))</f>
        <v>4.9649305825767674E-2</v>
      </c>
      <c r="W134" s="43">
        <f t="shared" si="53"/>
        <v>4.7056493058257676</v>
      </c>
      <c r="X134" s="43">
        <f t="shared" si="54"/>
        <v>4.7056493058257676</v>
      </c>
      <c r="Y134" s="43"/>
      <c r="Z134" s="38">
        <f t="shared" si="55"/>
        <v>0.65</v>
      </c>
      <c r="AA134" s="38">
        <f t="shared" si="56"/>
        <v>0.18</v>
      </c>
      <c r="AB134" s="38">
        <f t="shared" ca="1" si="57"/>
        <v>0.18475928431786934</v>
      </c>
      <c r="AC134" s="38">
        <f t="shared" si="58"/>
        <v>0.5</v>
      </c>
      <c r="AD134" s="38">
        <f t="shared" si="59"/>
        <v>0.18</v>
      </c>
      <c r="AE134" s="38">
        <f t="shared" ca="1" si="60"/>
        <v>0.18284065275440547</v>
      </c>
      <c r="AF134" s="237">
        <f ca="1">((Summary!$N$14*(AA134*AD134)*(A134-$D$3))+(Summary!$M$14*Z134*AC134*(AJ134-EOMONTH(EDATE(A134,-1),0))))/(AK134*AB134*AE134)</f>
        <v>0.99859694305825175</v>
      </c>
      <c r="AG134" s="88">
        <f>IF($A135="","",Summary!$Q$14)</f>
        <v>0</v>
      </c>
      <c r="AH134" s="88">
        <f>IF($A135="","",IF(Summary!$R$12="Y",(VLOOKUP($A134,Summary!$AD$6:$AF$9,3)+'Escalating commodity'!J147),'Escalating commodity'!J147))</f>
        <v>5.9239648015604251E-3</v>
      </c>
      <c r="AI134" s="88">
        <f t="shared" si="76"/>
        <v>5.9239648015604251E-3</v>
      </c>
      <c r="AJ134" s="236">
        <f t="shared" si="61"/>
        <v>40831.5</v>
      </c>
      <c r="AK134" s="58">
        <f t="shared" ca="1" si="62"/>
        <v>3791</v>
      </c>
      <c r="AL134" s="26">
        <f ca="1">IF($A135="","",_xll.SPRDOPT(P134,X134,AI134,0,AB134,AE134,AF134,AK134,$AJ$2,0))</f>
        <v>6.0050769122937296E-2</v>
      </c>
      <c r="AM134" s="89">
        <f t="shared" si="63"/>
        <v>0</v>
      </c>
      <c r="AN134" s="89">
        <f t="shared" ca="1" si="64"/>
        <v>6.0050769122937296E-2</v>
      </c>
      <c r="AO134" s="3">
        <f t="shared" si="65"/>
        <v>31</v>
      </c>
      <c r="AP134" s="33">
        <f t="shared" si="66"/>
        <v>40817</v>
      </c>
      <c r="AQ134" s="58">
        <f t="shared" ca="1" si="67"/>
        <v>3791</v>
      </c>
      <c r="AR134" s="38">
        <f>'ANR OK vs ML7'!AR134</f>
        <v>0.1</v>
      </c>
      <c r="AS134" s="35">
        <f t="shared" ca="1" si="68"/>
        <v>0.36319877834591996</v>
      </c>
      <c r="AT134" s="3">
        <f t="shared" si="69"/>
        <v>1</v>
      </c>
      <c r="AU134" s="3">
        <f t="shared" si="70"/>
        <v>31</v>
      </c>
      <c r="AW134" s="32">
        <f t="shared" ca="1" si="71"/>
        <v>52868.697135833994</v>
      </c>
      <c r="AX134" s="32">
        <f t="shared" si="72"/>
        <v>0</v>
      </c>
      <c r="AY134" s="32">
        <f t="shared" ca="1" si="73"/>
        <v>52868.697135833994</v>
      </c>
      <c r="BA134" s="32">
        <f ca="1">IF($A135="","",F134*Summary!$Q$14)</f>
        <v>0</v>
      </c>
      <c r="BC134" s="256">
        <f t="shared" ca="1" si="77"/>
        <v>0</v>
      </c>
    </row>
    <row r="135" spans="1:55">
      <c r="A135" s="67">
        <f t="shared" si="74"/>
        <v>40848</v>
      </c>
      <c r="B135" s="69">
        <f t="shared" si="75"/>
        <v>28400</v>
      </c>
      <c r="C135" s="71"/>
      <c r="D135" s="69">
        <f t="shared" si="39"/>
        <v>28400</v>
      </c>
      <c r="E135" s="70">
        <f t="shared" si="40"/>
        <v>852000</v>
      </c>
      <c r="F135" s="70">
        <f t="shared" ca="1" si="41"/>
        <v>306893.1247855642</v>
      </c>
      <c r="G135" s="63">
        <f t="shared" si="42"/>
        <v>4.609</v>
      </c>
      <c r="H135" s="64">
        <f t="shared" si="43"/>
        <v>4.609</v>
      </c>
      <c r="I135" s="43"/>
      <c r="J135" s="63">
        <f t="shared" si="44"/>
        <v>0.42499999999999999</v>
      </c>
      <c r="K135" s="64">
        <f t="shared" si="45"/>
        <v>0.42499999999999999</v>
      </c>
      <c r="L135" s="38">
        <v>0</v>
      </c>
      <c r="M135" s="64">
        <f t="shared" si="46"/>
        <v>0</v>
      </c>
      <c r="N135" s="65"/>
      <c r="O135" s="63">
        <f t="shared" si="47"/>
        <v>5.0339999999999998</v>
      </c>
      <c r="P135" s="63">
        <f t="shared" si="48"/>
        <v>5.0339999999999998</v>
      </c>
      <c r="Q135" s="66"/>
      <c r="R135" s="63">
        <f t="shared" si="49"/>
        <v>0.27500000000000002</v>
      </c>
      <c r="S135" s="64">
        <f t="shared" si="50"/>
        <v>0.27500000000000002</v>
      </c>
      <c r="T135" s="63">
        <f t="shared" si="51"/>
        <v>0</v>
      </c>
      <c r="U135" s="64">
        <f t="shared" si="52"/>
        <v>0</v>
      </c>
      <c r="V135" s="207">
        <f>IF($A136="","",IF(AND(MONTH(A135)&gt;3,MONTH(A135)&lt;11),(T135+R135+G135)*(((1/(1-Summary!$T$14))/(1-Summary!$W$14))-1),(T135+R135+G135)*((1/(1-Summary!$U$14))/(1-Summary!$X$14)-1)))</f>
        <v>5.2080586265689295E-2</v>
      </c>
      <c r="W135" s="43">
        <f t="shared" si="53"/>
        <v>4.9360805862656898</v>
      </c>
      <c r="X135" s="43">
        <f t="shared" si="54"/>
        <v>4.9360805862656898</v>
      </c>
      <c r="Y135" s="43"/>
      <c r="Z135" s="38">
        <f t="shared" si="55"/>
        <v>0.8</v>
      </c>
      <c r="AA135" s="38">
        <f t="shared" si="56"/>
        <v>0.18</v>
      </c>
      <c r="AB135" s="38">
        <f t="shared" ca="1" si="57"/>
        <v>0.18686961009590092</v>
      </c>
      <c r="AC135" s="38">
        <f t="shared" si="58"/>
        <v>0.95</v>
      </c>
      <c r="AD135" s="38">
        <f t="shared" si="59"/>
        <v>0.18</v>
      </c>
      <c r="AE135" s="38">
        <f t="shared" ca="1" si="60"/>
        <v>0.18960609419956367</v>
      </c>
      <c r="AF135" s="237">
        <f ca="1">((Summary!$N$14*(AA135*AD135)*(A135-$D$3))+(Summary!$M$14*Z135*AC135*(AJ135-EOMONTH(EDATE(A135,-1),0))))/(AK135*AB135*AE135)</f>
        <v>0.99876807904297615</v>
      </c>
      <c r="AG135" s="88">
        <f>IF($A136="","",Summary!$Q$14)</f>
        <v>0</v>
      </c>
      <c r="AH135" s="88">
        <f>IF($A136="","",IF(Summary!$R$12="Y",(VLOOKUP($A135,Summary!$AD$6:$AF$9,3)+'Escalating commodity'!J148),'Escalating commodity'!J148))</f>
        <v>5.9239648015604251E-3</v>
      </c>
      <c r="AI135" s="88">
        <f t="shared" si="76"/>
        <v>5.9239648015604251E-3</v>
      </c>
      <c r="AJ135" s="236">
        <f t="shared" si="61"/>
        <v>40862</v>
      </c>
      <c r="AK135" s="58">
        <f t="shared" ca="1" si="62"/>
        <v>3822</v>
      </c>
      <c r="AL135" s="26">
        <f ca="1">IF($A136="","",_xll.SPRDOPT(P135,X135,AI135,0,AB135,AE135,AF135,AK135,$AJ$2,0))</f>
        <v>0.1187722730414465</v>
      </c>
      <c r="AM135" s="89">
        <f t="shared" si="63"/>
        <v>9.1995448932749593E-2</v>
      </c>
      <c r="AN135" s="89">
        <f t="shared" ca="1" si="64"/>
        <v>2.6776824108696903E-2</v>
      </c>
      <c r="AO135" s="3">
        <f t="shared" si="65"/>
        <v>30</v>
      </c>
      <c r="AP135" s="33">
        <f t="shared" si="66"/>
        <v>40848</v>
      </c>
      <c r="AQ135" s="58">
        <f t="shared" ca="1" si="67"/>
        <v>3822</v>
      </c>
      <c r="AR135" s="38">
        <f>'ANR OK vs ML7'!AR135</f>
        <v>0.1</v>
      </c>
      <c r="AS135" s="35">
        <f t="shared" ca="1" si="68"/>
        <v>0.3602031981051223</v>
      </c>
      <c r="AT135" s="3">
        <f t="shared" si="69"/>
        <v>1</v>
      </c>
      <c r="AU135" s="3">
        <f t="shared" si="70"/>
        <v>30</v>
      </c>
      <c r="AW135" s="32">
        <f t="shared" ca="1" si="71"/>
        <v>101193.97663131241</v>
      </c>
      <c r="AX135" s="32">
        <f t="shared" si="72"/>
        <v>78380.122490702648</v>
      </c>
      <c r="AY135" s="32">
        <f t="shared" ca="1" si="73"/>
        <v>22813.854140609761</v>
      </c>
      <c r="BA135" s="32">
        <f ca="1">IF($A136="","",F135*Summary!$Q$14)</f>
        <v>0</v>
      </c>
      <c r="BC135" s="256">
        <f t="shared" ca="1" si="77"/>
        <v>28232.770789022321</v>
      </c>
    </row>
    <row r="136" spans="1:55">
      <c r="A136" s="67">
        <f t="shared" si="74"/>
        <v>40878</v>
      </c>
      <c r="B136" s="69">
        <f t="shared" si="75"/>
        <v>28400</v>
      </c>
      <c r="C136" s="71"/>
      <c r="D136" s="69">
        <f t="shared" si="39"/>
        <v>28400</v>
      </c>
      <c r="E136" s="70">
        <f t="shared" si="40"/>
        <v>880400</v>
      </c>
      <c r="F136" s="70">
        <f t="shared" ca="1" si="41"/>
        <v>314591.37381100224</v>
      </c>
      <c r="G136" s="63">
        <f t="shared" si="42"/>
        <v>4.7469999999999999</v>
      </c>
      <c r="H136" s="64">
        <f t="shared" si="43"/>
        <v>4.7469999999999999</v>
      </c>
      <c r="I136" s="43"/>
      <c r="J136" s="63">
        <f t="shared" si="44"/>
        <v>0.42499999999999999</v>
      </c>
      <c r="K136" s="64">
        <f t="shared" si="45"/>
        <v>0.42499999999999999</v>
      </c>
      <c r="L136" s="38">
        <v>0</v>
      </c>
      <c r="M136" s="64">
        <f t="shared" si="46"/>
        <v>0</v>
      </c>
      <c r="N136" s="65"/>
      <c r="O136" s="63">
        <f t="shared" si="47"/>
        <v>5.1719999999999997</v>
      </c>
      <c r="P136" s="63">
        <f t="shared" si="48"/>
        <v>5.1719999999999997</v>
      </c>
      <c r="Q136" s="66"/>
      <c r="R136" s="63">
        <f t="shared" si="49"/>
        <v>0.27500000000000002</v>
      </c>
      <c r="S136" s="64">
        <f t="shared" si="50"/>
        <v>0.27500000000000002</v>
      </c>
      <c r="T136" s="63">
        <f t="shared" si="51"/>
        <v>0</v>
      </c>
      <c r="U136" s="64">
        <f t="shared" si="52"/>
        <v>0</v>
      </c>
      <c r="V136" s="207">
        <f>IF($A137="","",IF(AND(MONTH(A136)&gt;3,MONTH(A136)&lt;11),(T136+R136+G136)*(((1/(1-Summary!$T$14))/(1-Summary!$W$14))-1),(T136+R136+G136)*((1/(1-Summary!$U$14))/(1-Summary!$X$14)-1)))</f>
        <v>5.3552150742483956E-2</v>
      </c>
      <c r="W136" s="43">
        <f t="shared" si="53"/>
        <v>5.0755521507424843</v>
      </c>
      <c r="X136" s="43">
        <f t="shared" si="54"/>
        <v>5.0755521507424843</v>
      </c>
      <c r="Y136" s="43"/>
      <c r="Z136" s="38">
        <f t="shared" si="55"/>
        <v>1.1000000000000001</v>
      </c>
      <c r="AA136" s="38">
        <f t="shared" si="56"/>
        <v>0.18</v>
      </c>
      <c r="AB136" s="38">
        <f t="shared" ca="1" si="57"/>
        <v>0.19307332930277593</v>
      </c>
      <c r="AC136" s="38">
        <f t="shared" si="58"/>
        <v>1.35</v>
      </c>
      <c r="AD136" s="38">
        <f t="shared" si="59"/>
        <v>0.18</v>
      </c>
      <c r="AE136" s="38">
        <f t="shared" ca="1" si="60"/>
        <v>0.1993538042083382</v>
      </c>
      <c r="AF136" s="237">
        <f ca="1">((Summary!$N$14*(AA136*AD136)*(A136-$D$3))+(Summary!$M$14*Z136*AC136*(AJ136-EOMONTH(EDATE(A136,-1),0))))/(AK136*AB136*AE136)</f>
        <v>0.99716120290007437</v>
      </c>
      <c r="AG136" s="88">
        <f>IF($A137="","",Summary!$Q$14)</f>
        <v>0</v>
      </c>
      <c r="AH136" s="88">
        <f>IF($A137="","",IF(Summary!$R$12="Y",(VLOOKUP($A136,Summary!$AD$6:$AF$9,3)+'Escalating commodity'!J149),'Escalating commodity'!J149))</f>
        <v>5.9239648015604251E-3</v>
      </c>
      <c r="AI136" s="88">
        <f t="shared" si="76"/>
        <v>5.9239648015604251E-3</v>
      </c>
      <c r="AJ136" s="236">
        <f t="shared" si="61"/>
        <v>40892.5</v>
      </c>
      <c r="AK136" s="58">
        <f t="shared" ca="1" si="62"/>
        <v>3852</v>
      </c>
      <c r="AL136" s="26">
        <f ca="1">IF($A137="","",_xll.SPRDOPT(P136,X136,AI136,0,AB136,AE136,AF136,AK136,$AJ$2,0))</f>
        <v>0.15740612330955056</v>
      </c>
      <c r="AM136" s="89">
        <f t="shared" si="63"/>
        <v>9.0523884455954953E-2</v>
      </c>
      <c r="AN136" s="89">
        <f t="shared" ca="1" si="64"/>
        <v>6.6882238853595607E-2</v>
      </c>
      <c r="AO136" s="3">
        <f t="shared" si="65"/>
        <v>31</v>
      </c>
      <c r="AP136" s="33">
        <f t="shared" si="66"/>
        <v>40878</v>
      </c>
      <c r="AQ136" s="58">
        <f t="shared" ca="1" si="67"/>
        <v>3852</v>
      </c>
      <c r="AR136" s="38">
        <f>'ANR OK vs ML7'!AR136</f>
        <v>0.1</v>
      </c>
      <c r="AS136" s="35">
        <f t="shared" ca="1" si="68"/>
        <v>0.35732777579623154</v>
      </c>
      <c r="AT136" s="3">
        <f t="shared" si="69"/>
        <v>1</v>
      </c>
      <c r="AU136" s="3">
        <f t="shared" si="70"/>
        <v>31</v>
      </c>
      <c r="AW136" s="32">
        <f t="shared" ca="1" si="71"/>
        <v>138580.35096172831</v>
      </c>
      <c r="AX136" s="32">
        <f t="shared" si="72"/>
        <v>79697.227875022742</v>
      </c>
      <c r="AY136" s="32">
        <f t="shared" ca="1" si="73"/>
        <v>58883.123086705571</v>
      </c>
      <c r="BA136" s="32">
        <f ca="1">IF($A137="","",F136*Summary!$Q$14)</f>
        <v>0</v>
      </c>
      <c r="BC136" s="256">
        <f t="shared" ca="1" si="77"/>
        <v>28478.033173707299</v>
      </c>
    </row>
    <row r="137" spans="1:55">
      <c r="A137" s="67">
        <f t="shared" si="74"/>
        <v>40909</v>
      </c>
      <c r="B137" s="69">
        <f t="shared" si="75"/>
        <v>28400</v>
      </c>
      <c r="C137" s="71"/>
      <c r="D137" s="69">
        <f t="shared" si="39"/>
        <v>28400</v>
      </c>
      <c r="E137" s="70">
        <f t="shared" si="40"/>
        <v>880400</v>
      </c>
      <c r="F137" s="70">
        <f t="shared" ca="1" si="41"/>
        <v>311996.6962969274</v>
      </c>
      <c r="G137" s="63">
        <f t="shared" si="42"/>
        <v>4.7890000000000006</v>
      </c>
      <c r="H137" s="64">
        <f t="shared" si="43"/>
        <v>4.7890000000000006</v>
      </c>
      <c r="I137" s="43"/>
      <c r="J137" s="63">
        <f t="shared" si="44"/>
        <v>0.42499999999999999</v>
      </c>
      <c r="K137" s="64">
        <f t="shared" si="45"/>
        <v>0.42499999999999999</v>
      </c>
      <c r="L137" s="38">
        <v>0</v>
      </c>
      <c r="M137" s="64">
        <f t="shared" si="46"/>
        <v>0</v>
      </c>
      <c r="N137" s="65"/>
      <c r="O137" s="63">
        <f t="shared" si="47"/>
        <v>5.2140000000000004</v>
      </c>
      <c r="P137" s="63">
        <f t="shared" si="48"/>
        <v>5.2140000000000004</v>
      </c>
      <c r="Q137" s="66"/>
      <c r="R137" s="63">
        <f t="shared" si="49"/>
        <v>0.27500000000000002</v>
      </c>
      <c r="S137" s="64">
        <f t="shared" si="50"/>
        <v>0.27500000000000002</v>
      </c>
      <c r="T137" s="63">
        <f t="shared" si="51"/>
        <v>0</v>
      </c>
      <c r="U137" s="64">
        <f t="shared" si="52"/>
        <v>0</v>
      </c>
      <c r="V137" s="207">
        <f>IF($A138="","",IF(AND(MONTH(A137)&gt;3,MONTH(A137)&lt;11),(T137+R137+G137)*(((1/(1-Summary!$T$14))/(1-Summary!$W$14))-1),(T137+R137+G137)*((1/(1-Summary!$U$14))/(1-Summary!$X$14)-1)))</f>
        <v>5.4000018191943201E-2</v>
      </c>
      <c r="W137" s="43">
        <f t="shared" si="53"/>
        <v>5.1180000181919443</v>
      </c>
      <c r="X137" s="43">
        <f t="shared" si="54"/>
        <v>5.1180000181919443</v>
      </c>
      <c r="Y137" s="43"/>
      <c r="Z137" s="38">
        <f t="shared" si="55"/>
        <v>1.1000000000000001</v>
      </c>
      <c r="AA137" s="38">
        <f t="shared" si="56"/>
        <v>0.18</v>
      </c>
      <c r="AB137" s="38">
        <f t="shared" ca="1" si="57"/>
        <v>0.19297246537389742</v>
      </c>
      <c r="AC137" s="38">
        <f t="shared" si="58"/>
        <v>1.35</v>
      </c>
      <c r="AD137" s="38">
        <f t="shared" si="59"/>
        <v>0.18</v>
      </c>
      <c r="AE137" s="38">
        <f t="shared" ca="1" si="60"/>
        <v>0.19920673871359243</v>
      </c>
      <c r="AF137" s="237">
        <f ca="1">((Summary!$N$14*(AA137*AD137)*(A137-$D$3))+(Summary!$M$14*Z137*AC137*(AJ137-EOMONTH(EDATE(A137,-1),0))))/(AK137*AB137*AE137)</f>
        <v>0.99717621689643632</v>
      </c>
      <c r="AG137" s="88">
        <f>IF($A138="","",Summary!$Q$14)</f>
        <v>0</v>
      </c>
      <c r="AH137" s="88">
        <f>IF($A138="","",IF(Summary!$R$12="Y",(VLOOKUP($A137,Summary!$AD$6:$AF$9,3)+'Escalating commodity'!J150),'Escalating commodity'!J150))</f>
        <v>6.0424440975916337E-3</v>
      </c>
      <c r="AI137" s="88">
        <f t="shared" si="76"/>
        <v>6.0424440975916337E-3</v>
      </c>
      <c r="AJ137" s="236">
        <f t="shared" si="61"/>
        <v>40923.5</v>
      </c>
      <c r="AK137" s="58">
        <f t="shared" ca="1" si="62"/>
        <v>3883</v>
      </c>
      <c r="AL137" s="26">
        <f ca="1">IF($A138="","",_xll.SPRDOPT(P137,X137,AI137,0,AB137,AE137,AF137,AK137,$AJ$2,0))</f>
        <v>0.15787757846204245</v>
      </c>
      <c r="AM137" s="89">
        <f t="shared" si="63"/>
        <v>8.9957537710464497E-2</v>
      </c>
      <c r="AN137" s="89">
        <f t="shared" ca="1" si="64"/>
        <v>6.7920040751577954E-2</v>
      </c>
      <c r="AO137" s="3">
        <f t="shared" si="65"/>
        <v>31</v>
      </c>
      <c r="AP137" s="33">
        <f t="shared" si="66"/>
        <v>40909</v>
      </c>
      <c r="AQ137" s="58">
        <f t="shared" ca="1" si="67"/>
        <v>3883</v>
      </c>
      <c r="AR137" s="38">
        <f>'ANR OK vs ML7'!AR137</f>
        <v>0.1</v>
      </c>
      <c r="AS137" s="35">
        <f t="shared" ca="1" si="68"/>
        <v>0.35438061823821831</v>
      </c>
      <c r="AT137" s="3">
        <f t="shared" si="69"/>
        <v>1</v>
      </c>
      <c r="AU137" s="3">
        <f t="shared" si="70"/>
        <v>31</v>
      </c>
      <c r="AW137" s="32">
        <f t="shared" ca="1" si="71"/>
        <v>138995.42007798218</v>
      </c>
      <c r="AX137" s="32">
        <f t="shared" si="72"/>
        <v>79198.616200292949</v>
      </c>
      <c r="AY137" s="32">
        <f t="shared" ca="1" si="73"/>
        <v>59796.803877689228</v>
      </c>
      <c r="BA137" s="32">
        <f ca="1">IF($A138="","",F137*Summary!$Q$14)</f>
        <v>0</v>
      </c>
      <c r="BC137" s="256">
        <f t="shared" ca="1" si="77"/>
        <v>28066.454572671184</v>
      </c>
    </row>
    <row r="138" spans="1:55">
      <c r="A138" s="67">
        <f t="shared" si="74"/>
        <v>40940</v>
      </c>
      <c r="B138" s="69">
        <f t="shared" si="75"/>
        <v>28400</v>
      </c>
      <c r="C138" s="71"/>
      <c r="D138" s="69">
        <f t="shared" ref="D138:D201" si="78">IF(A139&lt;&gt;"",B138+C138,"")</f>
        <v>28400</v>
      </c>
      <c r="E138" s="70">
        <f t="shared" ref="E138:E201" si="79">IF(A139="","",IF(AND(AT138=1,$H$3=1),D138*AO138,IF($H$3=2,D138,"N/A")))</f>
        <v>823600</v>
      </c>
      <c r="F138" s="70">
        <f t="shared" ref="F138:F201" ca="1" si="80">IF(A139="","",E138*AS138)</f>
        <v>289460.61785653315</v>
      </c>
      <c r="G138" s="63">
        <f t="shared" ref="G138:G201" si="81">IF($A139="","",VLOOKUP($A138,Table,MATCH(G$4,Curves,0)))</f>
        <v>4.6690000000000005</v>
      </c>
      <c r="H138" s="64">
        <f t="shared" ref="H138:H201" si="82">IF(A139="","",G138)</f>
        <v>4.6690000000000005</v>
      </c>
      <c r="I138" s="43"/>
      <c r="J138" s="63">
        <f t="shared" ref="J138:J201" si="83">IF($A139="","",VLOOKUP($A138,Table,MATCH(J$4,Curves,0)))</f>
        <v>0.42499999999999999</v>
      </c>
      <c r="K138" s="64">
        <f t="shared" ref="K138:K201" si="84">IF(A139="","",J138)</f>
        <v>0.42499999999999999</v>
      </c>
      <c r="L138" s="38">
        <v>0</v>
      </c>
      <c r="M138" s="64">
        <f t="shared" ref="M138:M201" si="85">IF(A139="","",L138)</f>
        <v>0</v>
      </c>
      <c r="N138" s="65"/>
      <c r="O138" s="63">
        <f t="shared" ref="O138:O201" si="86">IF(A139="","",L138+J138+G138)</f>
        <v>5.0940000000000003</v>
      </c>
      <c r="P138" s="63">
        <f t="shared" ref="P138:P201" si="87">IF(A139="","",M138+K138+H138)</f>
        <v>5.0940000000000003</v>
      </c>
      <c r="Q138" s="66"/>
      <c r="R138" s="63">
        <f t="shared" ref="R138:R201" si="88">IF($A139="","",VLOOKUP($A138,Table,MATCH(R$4,Curves,0)))</f>
        <v>0.27500000000000002</v>
      </c>
      <c r="S138" s="64">
        <f t="shared" ref="S138:S201" si="89">IF(A139="","",R138)</f>
        <v>0.27500000000000002</v>
      </c>
      <c r="T138" s="63">
        <f t="shared" ref="T138:T201" si="90">IF($A139="","",VLOOKUP($A138,Table,MATCH(T$4,Curves,0)))</f>
        <v>0</v>
      </c>
      <c r="U138" s="64">
        <f t="shared" ref="U138:U201" si="91">IF(A139="","",T138)</f>
        <v>0</v>
      </c>
      <c r="V138" s="207">
        <f>IF($A139="","",IF(AND(MONTH(A138)&gt;3,MONTH(A138)&lt;11),(T138+R138+G138)*(((1/(1-Summary!$T$14))/(1-Summary!$W$14))-1),(T138+R138+G138)*((1/(1-Summary!$U$14))/(1-Summary!$X$14)-1)))</f>
        <v>5.2720396907773935E-2</v>
      </c>
      <c r="W138" s="43">
        <f t="shared" ref="W138:W201" si="92">IF($A139="","",(T138+R138+G138+V138))</f>
        <v>4.9967203969077749</v>
      </c>
      <c r="X138" s="43">
        <f t="shared" ref="X138:X201" si="93">IF($A139="","",(U138+S138+H138+V138))</f>
        <v>4.9967203969077749</v>
      </c>
      <c r="Y138" s="43"/>
      <c r="Z138" s="38">
        <f t="shared" ref="Z138:Z201" si="94">IF($A139="","",VLOOKUP($A138,Table,MATCH(Z$4,Curves,0)))</f>
        <v>1.1000000000000001</v>
      </c>
      <c r="AA138" s="38">
        <f t="shared" ref="AA138:AA201" si="95">IF($A139="","",VLOOKUP($A138,Table,MATCH(AA$4,Curves,0)))</f>
        <v>0.17499999999999999</v>
      </c>
      <c r="AB138" s="38">
        <f t="shared" ref="AB138:AB201" ca="1" si="96">SQRT((AA138^2*(A138-$D$3)+Z138^2*(DAY(EOMONTH(A138,0))/2))/AK138)</f>
        <v>0.18739117093749233</v>
      </c>
      <c r="AC138" s="38">
        <f t="shared" ref="AC138:AC201" si="97">IF($A139="","",VLOOKUP($A138,Table,MATCH(AC$4,Curves,0)))</f>
        <v>1.35</v>
      </c>
      <c r="AD138" s="38">
        <f t="shared" ref="AD138:AD201" si="98">IF($A139="","",VLOOKUP($A138,Table,MATCH(AD$4,Curves,0)))</f>
        <v>0.17499999999999999</v>
      </c>
      <c r="AE138" s="38">
        <f t="shared" ref="AE138:AE201" ca="1" si="99">SQRT((AD138^2*(A138-$D$3)+AC138^2*(DAY(EOMONTH(A138,0))/2))/AK138)</f>
        <v>0.19335084446331108</v>
      </c>
      <c r="AF138" s="237">
        <f ca="1">((Summary!$N$14*(AA138*AD138)*(A138-$D$3))+(Summary!$M$14*Z138*AC138*(AJ138-EOMONTH(EDATE(A138,-1),0))))/(AK138*AB138*AE138)</f>
        <v>0.99721036467284785</v>
      </c>
      <c r="AG138" s="88">
        <f>IF($A139="","",Summary!$Q$14)</f>
        <v>0</v>
      </c>
      <c r="AH138" s="88">
        <f>IF($A139="","",IF(Summary!$R$12="Y",(VLOOKUP($A138,Summary!$AD$6:$AF$9,3)+'Escalating commodity'!J151),'Escalating commodity'!J151))</f>
        <v>6.0424440975916337E-3</v>
      </c>
      <c r="AI138" s="88">
        <f t="shared" si="76"/>
        <v>6.0424440975916337E-3</v>
      </c>
      <c r="AJ138" s="236">
        <f t="shared" ref="AJ138:AJ201" si="100">A138+DAY(EOMONTH(A138,0))/2-1</f>
        <v>40953.5</v>
      </c>
      <c r="AK138" s="58">
        <f t="shared" ref="AK138:AK201" ca="1" si="101">IF($A139="","",$A138-$E$1)</f>
        <v>3914</v>
      </c>
      <c r="AL138" s="26">
        <f ca="1">IF($A139="","",_xll.SPRDOPT(P138,X138,AI138,0,AB138,AE138,AF138,AK138,$AJ$2,0))</f>
        <v>0.15312846470018857</v>
      </c>
      <c r="AM138" s="89">
        <f t="shared" ref="AM138:AM201" si="102">IF($A139="","",MAX(0,O138-W138-AI138))</f>
        <v>9.1237158994633749E-2</v>
      </c>
      <c r="AN138" s="89">
        <f t="shared" ref="AN138:AN201" ca="1" si="103">IF($A139="","",AL138-AM138)</f>
        <v>6.1891305705554817E-2</v>
      </c>
      <c r="AO138" s="3">
        <f t="shared" ref="AO138:AO201" si="104">IF(A139="","",A139-A138)</f>
        <v>29</v>
      </c>
      <c r="AP138" s="33">
        <f t="shared" ref="AP138:AP201" si="105">IF(A139="","",CHOOSE(F$3,A139+24,A138))</f>
        <v>40940</v>
      </c>
      <c r="AQ138" s="58">
        <f t="shared" ref="AQ138:AQ201" ca="1" si="106">IF(A139="","",AP138-$E$1)</f>
        <v>3914</v>
      </c>
      <c r="AR138" s="38">
        <f>'ANR OK vs ML7'!AR138</f>
        <v>0.1</v>
      </c>
      <c r="AS138" s="35">
        <f t="shared" ref="AS138:AS201" ca="1" si="107">IF(A139="","",1/(1+CHOOSE(F$3,(AR139+($I$3/10000))/2,(AR138+($I$3/10000))/2))^(2*AQ138/365.25))</f>
        <v>0.351457768159948</v>
      </c>
      <c r="AT138" s="3">
        <f t="shared" ref="AT138:AT201" si="108">IF(A139="","",IF(AND(mthbeg&lt;=A138,mthend&gt;=A138),1,0))</f>
        <v>1</v>
      </c>
      <c r="AU138" s="3">
        <f t="shared" ref="AU138:AU201" si="109">IF(A139="","",AO138*AT138)</f>
        <v>29</v>
      </c>
      <c r="AW138" s="32">
        <f t="shared" ref="AW138:AW201" ca="1" si="110">IF($A139="","",AL138*$E138)</f>
        <v>126116.60352707531</v>
      </c>
      <c r="AX138" s="32">
        <f t="shared" ref="AX138:AX201" si="111">IF($A139="","",AM138*$E138)</f>
        <v>75142.92414798036</v>
      </c>
      <c r="AY138" s="32">
        <f t="shared" ref="AY138:AY201" ca="1" si="112">IF($A139="","",AN138*$E138)</f>
        <v>50973.679379094945</v>
      </c>
      <c r="BA138" s="32">
        <f ca="1">IF($A139="","",F138*Summary!$Q$14)</f>
        <v>0</v>
      </c>
      <c r="BC138" s="256">
        <f t="shared" ca="1" si="77"/>
        <v>26409.564414061435</v>
      </c>
    </row>
    <row r="139" spans="1:55">
      <c r="A139" s="67">
        <f t="shared" ref="A139:A202" si="113">IF(A138&lt;mthend,EDATE(A138,1),"")</f>
        <v>40969</v>
      </c>
      <c r="B139" s="69">
        <f t="shared" ref="B139:B202" si="114">IF(A139&lt;mthend,B138,"")</f>
        <v>28400</v>
      </c>
      <c r="C139" s="71"/>
      <c r="D139" s="69">
        <f t="shared" si="78"/>
        <v>28400</v>
      </c>
      <c r="E139" s="70">
        <f t="shared" si="79"/>
        <v>880400</v>
      </c>
      <c r="F139" s="70">
        <f t="shared" ca="1" si="80"/>
        <v>307035.3772335173</v>
      </c>
      <c r="G139" s="63">
        <f t="shared" si="81"/>
        <v>4.53</v>
      </c>
      <c r="H139" s="64">
        <f t="shared" si="82"/>
        <v>4.53</v>
      </c>
      <c r="I139" s="43"/>
      <c r="J139" s="63">
        <f t="shared" si="83"/>
        <v>0.42499999999999999</v>
      </c>
      <c r="K139" s="64">
        <f t="shared" si="84"/>
        <v>0.42499999999999999</v>
      </c>
      <c r="L139" s="38">
        <v>0</v>
      </c>
      <c r="M139" s="64">
        <f t="shared" si="85"/>
        <v>0</v>
      </c>
      <c r="N139" s="65"/>
      <c r="O139" s="63">
        <f t="shared" si="86"/>
        <v>4.9550000000000001</v>
      </c>
      <c r="P139" s="63">
        <f t="shared" si="87"/>
        <v>4.9550000000000001</v>
      </c>
      <c r="Q139" s="66"/>
      <c r="R139" s="63">
        <f t="shared" si="88"/>
        <v>0.27500000000000002</v>
      </c>
      <c r="S139" s="64">
        <f t="shared" si="89"/>
        <v>0.27500000000000002</v>
      </c>
      <c r="T139" s="63">
        <f t="shared" si="90"/>
        <v>0</v>
      </c>
      <c r="U139" s="64">
        <f t="shared" si="91"/>
        <v>0</v>
      </c>
      <c r="V139" s="207">
        <f>IF($A140="","",IF(AND(MONTH(A139)&gt;3,MONTH(A139)&lt;11),(T139+R139+G139)*(((1/(1-Summary!$T$14))/(1-Summary!$W$14))-1),(T139+R139+G139)*((1/(1-Summary!$U$14))/(1-Summary!$X$14)-1)))</f>
        <v>5.1238168920277861E-2</v>
      </c>
      <c r="W139" s="43">
        <f t="shared" si="92"/>
        <v>4.856238168920278</v>
      </c>
      <c r="X139" s="43">
        <f t="shared" si="93"/>
        <v>4.856238168920278</v>
      </c>
      <c r="Y139" s="43"/>
      <c r="Z139" s="38">
        <f t="shared" si="94"/>
        <v>0.75</v>
      </c>
      <c r="AA139" s="38">
        <f t="shared" si="95"/>
        <v>0.17</v>
      </c>
      <c r="AB139" s="38">
        <f t="shared" ca="1" si="96"/>
        <v>0.17640444014441065</v>
      </c>
      <c r="AC139" s="38">
        <f t="shared" si="97"/>
        <v>0.95</v>
      </c>
      <c r="AD139" s="38">
        <f t="shared" si="98"/>
        <v>0.17</v>
      </c>
      <c r="AE139" s="38">
        <f t="shared" ca="1" si="99"/>
        <v>0.18015291360394331</v>
      </c>
      <c r="AF139" s="237">
        <f ca="1">((Summary!$N$14*(AA139*AD139)*(A139-$D$3))+(Summary!$M$14*Z139*AC139*(AJ139-EOMONTH(EDATE(A139,-1),0))))/(AK139*AB139*AE139)</f>
        <v>0.9976561964705617</v>
      </c>
      <c r="AG139" s="88">
        <f>IF($A140="","",Summary!$Q$14)</f>
        <v>0</v>
      </c>
      <c r="AH139" s="88">
        <f>IF($A140="","",IF(Summary!$R$12="Y",(VLOOKUP($A139,Summary!$AD$6:$AF$9,3)+'Escalating commodity'!J152),'Escalating commodity'!J152))</f>
        <v>6.0424440975916337E-3</v>
      </c>
      <c r="AI139" s="88">
        <f t="shared" ref="AI139:AI202" si="115">IF($A140="","",AH139)</f>
        <v>6.0424440975916337E-3</v>
      </c>
      <c r="AJ139" s="236">
        <f t="shared" si="100"/>
        <v>40983.5</v>
      </c>
      <c r="AK139" s="58">
        <f t="shared" ca="1" si="101"/>
        <v>3943</v>
      </c>
      <c r="AL139" s="26">
        <f ca="1">IF($A140="","",_xll.SPRDOPT(P139,X139,AI139,0,AB139,AE139,AF139,AK139,$AJ$2,0))</f>
        <v>0.13629835049359759</v>
      </c>
      <c r="AM139" s="89">
        <f t="shared" si="102"/>
        <v>9.2719386982130392E-2</v>
      </c>
      <c r="AN139" s="89">
        <f t="shared" ca="1" si="103"/>
        <v>4.35789635114672E-2</v>
      </c>
      <c r="AO139" s="3">
        <f t="shared" si="104"/>
        <v>31</v>
      </c>
      <c r="AP139" s="33">
        <f t="shared" si="105"/>
        <v>40969</v>
      </c>
      <c r="AQ139" s="58">
        <f t="shared" ca="1" si="106"/>
        <v>3943</v>
      </c>
      <c r="AR139" s="38">
        <f>'ANR OK vs ML7'!AR139</f>
        <v>0.1</v>
      </c>
      <c r="AS139" s="35">
        <f t="shared" ca="1" si="107"/>
        <v>0.34874531716664847</v>
      </c>
      <c r="AT139" s="3">
        <f t="shared" si="108"/>
        <v>1</v>
      </c>
      <c r="AU139" s="3">
        <f t="shared" si="109"/>
        <v>31</v>
      </c>
      <c r="AW139" s="32">
        <f t="shared" ca="1" si="110"/>
        <v>119997.06777456331</v>
      </c>
      <c r="AX139" s="32">
        <f t="shared" si="111"/>
        <v>81630.148299067601</v>
      </c>
      <c r="AY139" s="32">
        <f t="shared" ca="1" si="112"/>
        <v>38366.919475495721</v>
      </c>
      <c r="BA139" s="32">
        <f ca="1">IF($A140="","",F139*Summary!$Q$14)</f>
        <v>0</v>
      </c>
      <c r="BC139" s="256">
        <f t="shared" ref="BC139:BC173" ca="1" si="116">IF(A140="","",AM139*F139)</f>
        <v>28468.131958918879</v>
      </c>
    </row>
    <row r="140" spans="1:55">
      <c r="A140" s="67">
        <f t="shared" si="113"/>
        <v>41000</v>
      </c>
      <c r="B140" s="69">
        <f t="shared" si="114"/>
        <v>28400</v>
      </c>
      <c r="C140" s="71"/>
      <c r="D140" s="69">
        <f t="shared" si="78"/>
        <v>28400</v>
      </c>
      <c r="E140" s="70">
        <f t="shared" si="79"/>
        <v>852000</v>
      </c>
      <c r="F140" s="70">
        <f t="shared" ca="1" si="80"/>
        <v>294680.3417870244</v>
      </c>
      <c r="G140" s="63">
        <f t="shared" si="81"/>
        <v>4.3550000000000004</v>
      </c>
      <c r="H140" s="64">
        <f t="shared" si="82"/>
        <v>4.3550000000000004</v>
      </c>
      <c r="I140" s="43"/>
      <c r="J140" s="63">
        <f t="shared" si="83"/>
        <v>0.23499999999999999</v>
      </c>
      <c r="K140" s="64">
        <f t="shared" si="84"/>
        <v>0.23499999999999999</v>
      </c>
      <c r="L140" s="38">
        <v>0</v>
      </c>
      <c r="M140" s="64">
        <f t="shared" si="85"/>
        <v>0</v>
      </c>
      <c r="N140" s="65"/>
      <c r="O140" s="63">
        <f t="shared" si="86"/>
        <v>4.5900000000000007</v>
      </c>
      <c r="P140" s="63">
        <f t="shared" si="87"/>
        <v>4.5900000000000007</v>
      </c>
      <c r="Q140" s="66"/>
      <c r="R140" s="63">
        <f t="shared" si="88"/>
        <v>0.18</v>
      </c>
      <c r="S140" s="64">
        <f t="shared" si="89"/>
        <v>0.18</v>
      </c>
      <c r="T140" s="63">
        <f t="shared" si="90"/>
        <v>0</v>
      </c>
      <c r="U140" s="64">
        <f t="shared" si="91"/>
        <v>0</v>
      </c>
      <c r="V140" s="207">
        <f>IF($A141="","",IF(AND(MONTH(A140)&gt;3,MONTH(A140)&lt;11),(T140+R140+G140)*(((1/(1-Summary!$T$14))/(1-Summary!$W$14))-1),(T140+R140+G140)*((1/(1-Summary!$U$14))/(1-Summary!$X$14)-1)))</f>
        <v>4.8359021030896995E-2</v>
      </c>
      <c r="W140" s="43">
        <f t="shared" si="92"/>
        <v>4.5833590210308968</v>
      </c>
      <c r="X140" s="43">
        <f t="shared" si="93"/>
        <v>4.5833590210308968</v>
      </c>
      <c r="Y140" s="43"/>
      <c r="Z140" s="38">
        <f t="shared" si="94"/>
        <v>0.45</v>
      </c>
      <c r="AA140" s="38">
        <f t="shared" si="95"/>
        <v>0.17</v>
      </c>
      <c r="AB140" s="38">
        <f t="shared" ca="1" si="96"/>
        <v>0.1722545079257867</v>
      </c>
      <c r="AC140" s="38">
        <f t="shared" si="97"/>
        <v>0.5</v>
      </c>
      <c r="AD140" s="38">
        <f t="shared" si="98"/>
        <v>0.17</v>
      </c>
      <c r="AE140" s="38">
        <f t="shared" ca="1" si="99"/>
        <v>0.17277414704831792</v>
      </c>
      <c r="AF140" s="237">
        <f ca="1">((Summary!$N$14*(AA140*AD140)*(A140-$D$3))+(Summary!$M$14*Z140*AC140*(AJ140-EOMONTH(EDATE(A140,-1),0))))/(AK140*AB140*AE140)</f>
        <v>0.99974887096037379</v>
      </c>
      <c r="AG140" s="88">
        <f>IF($A141="","",Summary!$Q$14)</f>
        <v>0</v>
      </c>
      <c r="AH140" s="88">
        <f>IF($A141="","",IF(Summary!$R$12="Y",(VLOOKUP($A140,Summary!$AD$6:$AF$9,3)+'Escalating commodity'!J153),'Escalating commodity'!J153))</f>
        <v>6.0424440975916337E-3</v>
      </c>
      <c r="AI140" s="88">
        <f t="shared" si="115"/>
        <v>6.0424440975916337E-3</v>
      </c>
      <c r="AJ140" s="236">
        <f t="shared" si="100"/>
        <v>41014</v>
      </c>
      <c r="AK140" s="58">
        <f t="shared" ca="1" si="101"/>
        <v>3974</v>
      </c>
      <c r="AL140" s="26">
        <f ca="1">IF($A141="","",_xll.SPRDOPT(P140,X140,AI140,0,AB140,AE140,AF140,AK140,$AJ$2,0))</f>
        <v>1.3447229669308378E-2</v>
      </c>
      <c r="AM140" s="89">
        <f t="shared" si="102"/>
        <v>5.9853487151234966E-4</v>
      </c>
      <c r="AN140" s="89">
        <f t="shared" ca="1" si="103"/>
        <v>1.2848694797796028E-2</v>
      </c>
      <c r="AO140" s="3">
        <f t="shared" si="104"/>
        <v>30</v>
      </c>
      <c r="AP140" s="33">
        <f t="shared" si="105"/>
        <v>41000</v>
      </c>
      <c r="AQ140" s="58">
        <f t="shared" ca="1" si="106"/>
        <v>3974</v>
      </c>
      <c r="AR140" s="38">
        <f>'ANR OK vs ML7'!AR140</f>
        <v>0.1</v>
      </c>
      <c r="AS140" s="35">
        <f t="shared" ca="1" si="107"/>
        <v>0.34586894575941829</v>
      </c>
      <c r="AT140" s="3">
        <f t="shared" si="108"/>
        <v>1</v>
      </c>
      <c r="AU140" s="3">
        <f t="shared" si="109"/>
        <v>30</v>
      </c>
      <c r="AW140" s="32">
        <f t="shared" ca="1" si="110"/>
        <v>11457.039678250738</v>
      </c>
      <c r="AX140" s="32">
        <f t="shared" si="111"/>
        <v>509.95171052852191</v>
      </c>
      <c r="AY140" s="32">
        <f t="shared" ca="1" si="112"/>
        <v>10947.087967722216</v>
      </c>
      <c r="BA140" s="32">
        <f ca="1">IF($A141="","",F140*Summary!$Q$14)</f>
        <v>0</v>
      </c>
      <c r="BC140" s="256">
        <f t="shared" ca="1" si="116"/>
        <v>176.37646050871194</v>
      </c>
    </row>
    <row r="141" spans="1:55">
      <c r="A141" s="67">
        <f t="shared" si="113"/>
        <v>41030</v>
      </c>
      <c r="B141" s="69">
        <f t="shared" si="114"/>
        <v>28400</v>
      </c>
      <c r="C141" s="71"/>
      <c r="D141" s="69">
        <f t="shared" si="78"/>
        <v>28400</v>
      </c>
      <c r="E141" s="70">
        <f t="shared" si="79"/>
        <v>880400</v>
      </c>
      <c r="F141" s="70">
        <f t="shared" ca="1" si="80"/>
        <v>302072.23971749388</v>
      </c>
      <c r="G141" s="63">
        <f t="shared" si="81"/>
        <v>4.3250000000000002</v>
      </c>
      <c r="H141" s="64">
        <f t="shared" si="82"/>
        <v>4.3250000000000002</v>
      </c>
      <c r="I141" s="43"/>
      <c r="J141" s="63">
        <f t="shared" si="83"/>
        <v>0.23499999999999999</v>
      </c>
      <c r="K141" s="64">
        <f t="shared" si="84"/>
        <v>0.23499999999999999</v>
      </c>
      <c r="L141" s="38">
        <v>0</v>
      </c>
      <c r="M141" s="64">
        <f t="shared" si="85"/>
        <v>0</v>
      </c>
      <c r="N141" s="65"/>
      <c r="O141" s="63">
        <f t="shared" si="86"/>
        <v>4.5600000000000005</v>
      </c>
      <c r="P141" s="63">
        <f t="shared" si="87"/>
        <v>4.5600000000000005</v>
      </c>
      <c r="Q141" s="66"/>
      <c r="R141" s="63">
        <f t="shared" si="88"/>
        <v>0.18</v>
      </c>
      <c r="S141" s="64">
        <f t="shared" si="89"/>
        <v>0.18</v>
      </c>
      <c r="T141" s="63">
        <f t="shared" si="90"/>
        <v>0</v>
      </c>
      <c r="U141" s="64">
        <f t="shared" si="91"/>
        <v>0</v>
      </c>
      <c r="V141" s="207">
        <f>IF($A142="","",IF(AND(MONTH(A141)&gt;3,MONTH(A141)&lt;11),(T141+R141+G141)*(((1/(1-Summary!$T$14))/(1-Summary!$W$14))-1),(T141+R141+G141)*((1/(1-Summary!$U$14))/(1-Summary!$X$14)-1)))</f>
        <v>4.8039115709854675E-2</v>
      </c>
      <c r="W141" s="43">
        <f t="shared" si="92"/>
        <v>4.5530391157098542</v>
      </c>
      <c r="X141" s="43">
        <f t="shared" si="93"/>
        <v>4.5530391157098542</v>
      </c>
      <c r="Y141" s="43"/>
      <c r="Z141" s="38">
        <f t="shared" si="94"/>
        <v>0.5</v>
      </c>
      <c r="AA141" s="38">
        <f t="shared" si="95"/>
        <v>0.17</v>
      </c>
      <c r="AB141" s="38">
        <f t="shared" ca="1" si="96"/>
        <v>0.17284386017443606</v>
      </c>
      <c r="AC141" s="38">
        <f t="shared" si="97"/>
        <v>0.45</v>
      </c>
      <c r="AD141" s="38">
        <f t="shared" si="98"/>
        <v>0.17</v>
      </c>
      <c r="AE141" s="38">
        <f t="shared" ca="1" si="99"/>
        <v>0.17231111797739976</v>
      </c>
      <c r="AF141" s="237">
        <f ca="1">((Summary!$N$14*(AA141*AD141)*(A141-$D$3))+(Summary!$M$14*Z141*AC141*(AJ141-EOMONTH(EDATE(A141,-1),0))))/(AK141*AB141*AE141)</f>
        <v>0.99974523229914536</v>
      </c>
      <c r="AG141" s="88">
        <f>IF($A142="","",Summary!$Q$14)</f>
        <v>0</v>
      </c>
      <c r="AH141" s="88">
        <f>IF($A142="","",IF(Summary!$R$12="Y",(VLOOKUP($A141,Summary!$AD$6:$AF$9,3)+'Escalating commodity'!J154),'Escalating commodity'!J154))</f>
        <v>6.0424440975916337E-3</v>
      </c>
      <c r="AI141" s="88">
        <f t="shared" si="115"/>
        <v>6.0424440975916337E-3</v>
      </c>
      <c r="AJ141" s="236">
        <f t="shared" si="100"/>
        <v>41044.5</v>
      </c>
      <c r="AK141" s="58">
        <f t="shared" ca="1" si="101"/>
        <v>4004</v>
      </c>
      <c r="AL141" s="26">
        <f ca="1">IF($A142="","",_xll.SPRDOPT(P141,X141,AI141,0,AB141,AE141,AF141,AK141,$AJ$2,0))</f>
        <v>1.5762785193970549E-2</v>
      </c>
      <c r="AM141" s="89">
        <f t="shared" si="102"/>
        <v>9.1844019255466272E-4</v>
      </c>
      <c r="AN141" s="89">
        <f t="shared" ca="1" si="103"/>
        <v>1.4844345001415887E-2</v>
      </c>
      <c r="AO141" s="3">
        <f t="shared" si="104"/>
        <v>31</v>
      </c>
      <c r="AP141" s="33">
        <f t="shared" si="105"/>
        <v>41030</v>
      </c>
      <c r="AQ141" s="58">
        <f t="shared" ca="1" si="106"/>
        <v>4004</v>
      </c>
      <c r="AR141" s="38">
        <f>'ANR OK vs ML7'!AR141</f>
        <v>0.1</v>
      </c>
      <c r="AS141" s="35">
        <f t="shared" ca="1" si="107"/>
        <v>0.34310795061051097</v>
      </c>
      <c r="AT141" s="3">
        <f t="shared" si="108"/>
        <v>1</v>
      </c>
      <c r="AU141" s="3">
        <f t="shared" si="109"/>
        <v>31</v>
      </c>
      <c r="AW141" s="32">
        <f t="shared" ca="1" si="110"/>
        <v>13877.556084771672</v>
      </c>
      <c r="AX141" s="32">
        <f t="shared" si="111"/>
        <v>808.59474552512506</v>
      </c>
      <c r="AY141" s="32">
        <f t="shared" ca="1" si="112"/>
        <v>13068.961339246547</v>
      </c>
      <c r="BA141" s="32">
        <f ca="1">IF($A142="","",F141*Summary!$Q$14)</f>
        <v>0</v>
      </c>
      <c r="BC141" s="256">
        <f t="shared" ca="1" si="116"/>
        <v>277.43528601155333</v>
      </c>
    </row>
    <row r="142" spans="1:55">
      <c r="A142" s="67">
        <f t="shared" si="113"/>
        <v>41061</v>
      </c>
      <c r="B142" s="69">
        <f t="shared" si="114"/>
        <v>28400</v>
      </c>
      <c r="C142" s="71"/>
      <c r="D142" s="69">
        <f t="shared" si="78"/>
        <v>28400</v>
      </c>
      <c r="E142" s="70">
        <f t="shared" si="79"/>
        <v>852000</v>
      </c>
      <c r="F142" s="70">
        <f t="shared" ca="1" si="80"/>
        <v>289916.9198232895</v>
      </c>
      <c r="G142" s="63">
        <f t="shared" si="81"/>
        <v>4.3949999999999996</v>
      </c>
      <c r="H142" s="64">
        <f t="shared" si="82"/>
        <v>4.3949999999999996</v>
      </c>
      <c r="I142" s="43"/>
      <c r="J142" s="63">
        <f t="shared" si="83"/>
        <v>0.23499999999999999</v>
      </c>
      <c r="K142" s="64">
        <f t="shared" si="84"/>
        <v>0.23499999999999999</v>
      </c>
      <c r="L142" s="38">
        <v>0</v>
      </c>
      <c r="M142" s="64">
        <f t="shared" si="85"/>
        <v>0</v>
      </c>
      <c r="N142" s="65"/>
      <c r="O142" s="63">
        <f t="shared" si="86"/>
        <v>4.63</v>
      </c>
      <c r="P142" s="63">
        <f t="shared" si="87"/>
        <v>4.63</v>
      </c>
      <c r="Q142" s="66"/>
      <c r="R142" s="63">
        <f t="shared" si="88"/>
        <v>0.18</v>
      </c>
      <c r="S142" s="64">
        <f t="shared" si="89"/>
        <v>0.18</v>
      </c>
      <c r="T142" s="63">
        <f t="shared" si="90"/>
        <v>0</v>
      </c>
      <c r="U142" s="64">
        <f t="shared" si="91"/>
        <v>0</v>
      </c>
      <c r="V142" s="207">
        <f>IF($A143="","",IF(AND(MONTH(A142)&gt;3,MONTH(A142)&lt;11),(T142+R142+G142)*(((1/(1-Summary!$T$14))/(1-Summary!$W$14))-1),(T142+R142+G142)*((1/(1-Summary!$U$14))/(1-Summary!$X$14)-1)))</f>
        <v>4.8785561458953415E-2</v>
      </c>
      <c r="W142" s="43">
        <f t="shared" si="92"/>
        <v>4.6237855614589529</v>
      </c>
      <c r="X142" s="43">
        <f t="shared" si="93"/>
        <v>4.6237855614589529</v>
      </c>
      <c r="Y142" s="43"/>
      <c r="Z142" s="38">
        <f t="shared" si="94"/>
        <v>0.5</v>
      </c>
      <c r="AA142" s="38">
        <f t="shared" si="95"/>
        <v>0.17</v>
      </c>
      <c r="AB142" s="38">
        <f t="shared" ca="1" si="96"/>
        <v>0.17273253995514465</v>
      </c>
      <c r="AC142" s="38">
        <f t="shared" si="97"/>
        <v>0.5</v>
      </c>
      <c r="AD142" s="38">
        <f t="shared" si="98"/>
        <v>0.17</v>
      </c>
      <c r="AE142" s="38">
        <f t="shared" ca="1" si="99"/>
        <v>0.17273253995514465</v>
      </c>
      <c r="AF142" s="237">
        <f ca="1">((Summary!$N$14*(AA142*AD142)*(A142-$D$3))+(Summary!$M$14*Z142*AC142*(AJ142-EOMONTH(EDATE(A142,-1),0))))/(AK142*AB142*AE142)</f>
        <v>0.99990311486630168</v>
      </c>
      <c r="AG142" s="88">
        <f>IF($A143="","",Summary!$Q$14)</f>
        <v>0</v>
      </c>
      <c r="AH142" s="88">
        <f>IF($A143="","",IF(Summary!$R$12="Y",(VLOOKUP($A142,Summary!$AD$6:$AF$9,3)+'Escalating commodity'!J155),'Escalating commodity'!J155))</f>
        <v>6.0424440975916337E-3</v>
      </c>
      <c r="AI142" s="88">
        <f t="shared" si="115"/>
        <v>6.0424440975916337E-3</v>
      </c>
      <c r="AJ142" s="236">
        <f t="shared" si="100"/>
        <v>41075</v>
      </c>
      <c r="AK142" s="58">
        <f t="shared" ca="1" si="101"/>
        <v>4035</v>
      </c>
      <c r="AL142" s="26">
        <f ca="1">IF($A143="","",_xll.SPRDOPT(P142,X142,AI142,0,AB142,AE142,AF142,AK142,$AJ$2,0))</f>
        <v>5.9262623351565777E-3</v>
      </c>
      <c r="AM142" s="89">
        <f t="shared" si="102"/>
        <v>1.7199444345534012E-4</v>
      </c>
      <c r="AN142" s="89">
        <f t="shared" ca="1" si="103"/>
        <v>5.7542678917012376E-3</v>
      </c>
      <c r="AO142" s="3">
        <f t="shared" si="104"/>
        <v>30</v>
      </c>
      <c r="AP142" s="33">
        <f t="shared" si="105"/>
        <v>41061</v>
      </c>
      <c r="AQ142" s="58">
        <f t="shared" ca="1" si="106"/>
        <v>4035</v>
      </c>
      <c r="AR142" s="38">
        <f>'ANR OK vs ML7'!AR142</f>
        <v>0.1</v>
      </c>
      <c r="AS142" s="35">
        <f t="shared" ca="1" si="107"/>
        <v>0.3402780749099642</v>
      </c>
      <c r="AT142" s="3">
        <f t="shared" si="108"/>
        <v>1</v>
      </c>
      <c r="AU142" s="3">
        <f t="shared" si="109"/>
        <v>30</v>
      </c>
      <c r="AW142" s="32">
        <f t="shared" ca="1" si="110"/>
        <v>5049.1755095534045</v>
      </c>
      <c r="AX142" s="32">
        <f t="shared" si="111"/>
        <v>146.53926582394979</v>
      </c>
      <c r="AY142" s="32">
        <f t="shared" ca="1" si="112"/>
        <v>4902.6362437294547</v>
      </c>
      <c r="BA142" s="32">
        <f ca="1">IF($A143="","",F142*Summary!$Q$14)</f>
        <v>0</v>
      </c>
      <c r="BC142" s="256">
        <f t="shared" ca="1" si="116"/>
        <v>49.864099273293142</v>
      </c>
    </row>
    <row r="143" spans="1:55">
      <c r="A143" s="67">
        <f t="shared" si="113"/>
        <v>41091</v>
      </c>
      <c r="B143" s="69">
        <f t="shared" si="114"/>
        <v>28400</v>
      </c>
      <c r="C143" s="71"/>
      <c r="D143" s="69">
        <f t="shared" si="78"/>
        <v>28400</v>
      </c>
      <c r="E143" s="70">
        <f t="shared" si="79"/>
        <v>880400</v>
      </c>
      <c r="F143" s="70">
        <f t="shared" ca="1" si="80"/>
        <v>297189.32987498777</v>
      </c>
      <c r="G143" s="63">
        <f t="shared" si="81"/>
        <v>4.45</v>
      </c>
      <c r="H143" s="64">
        <f t="shared" si="82"/>
        <v>4.45</v>
      </c>
      <c r="I143" s="43"/>
      <c r="J143" s="63">
        <f t="shared" si="83"/>
        <v>0.23499999999999999</v>
      </c>
      <c r="K143" s="64">
        <f t="shared" si="84"/>
        <v>0.23499999999999999</v>
      </c>
      <c r="L143" s="38">
        <v>0</v>
      </c>
      <c r="M143" s="64">
        <f t="shared" si="85"/>
        <v>0</v>
      </c>
      <c r="N143" s="65"/>
      <c r="O143" s="63">
        <f t="shared" si="86"/>
        <v>4.6850000000000005</v>
      </c>
      <c r="P143" s="63">
        <f t="shared" si="87"/>
        <v>4.6850000000000005</v>
      </c>
      <c r="Q143" s="66"/>
      <c r="R143" s="63">
        <f t="shared" si="88"/>
        <v>0.18</v>
      </c>
      <c r="S143" s="64">
        <f t="shared" si="89"/>
        <v>0.18</v>
      </c>
      <c r="T143" s="63">
        <f t="shared" si="90"/>
        <v>0</v>
      </c>
      <c r="U143" s="64">
        <f t="shared" si="91"/>
        <v>0</v>
      </c>
      <c r="V143" s="207">
        <f>IF($A144="","",IF(AND(MONTH(A143)&gt;3,MONTH(A143)&lt;11),(T143+R143+G143)*(((1/(1-Summary!$T$14))/(1-Summary!$W$14))-1),(T143+R143+G143)*((1/(1-Summary!$U$14))/(1-Summary!$X$14)-1)))</f>
        <v>4.9372054547530998E-2</v>
      </c>
      <c r="W143" s="43">
        <f t="shared" si="92"/>
        <v>4.6793720545475308</v>
      </c>
      <c r="X143" s="43">
        <f t="shared" si="93"/>
        <v>4.6793720545475308</v>
      </c>
      <c r="Y143" s="43"/>
      <c r="Z143" s="38">
        <f t="shared" si="94"/>
        <v>0.55000000000000004</v>
      </c>
      <c r="AA143" s="38">
        <f t="shared" si="95"/>
        <v>0.17</v>
      </c>
      <c r="AB143" s="38">
        <f t="shared" ca="1" si="96"/>
        <v>0.17337979555165894</v>
      </c>
      <c r="AC143" s="38">
        <f t="shared" si="97"/>
        <v>0.5</v>
      </c>
      <c r="AD143" s="38">
        <f t="shared" si="98"/>
        <v>0.17</v>
      </c>
      <c r="AE143" s="38">
        <f t="shared" ca="1" si="99"/>
        <v>0.17280153067519408</v>
      </c>
      <c r="AF143" s="237">
        <f ca="1">((Summary!$N$14*(AA143*AD143)*(A143-$D$3))+(Summary!$M$14*Z143*AC143*(AJ143-EOMONTH(EDATE(A143,-1),0))))/(AK143*AB143*AE143)</f>
        <v>0.99975000867943642</v>
      </c>
      <c r="AG143" s="88">
        <f>IF($A144="","",Summary!$Q$14)</f>
        <v>0</v>
      </c>
      <c r="AH143" s="88">
        <f>IF($A144="","",IF(Summary!$R$12="Y",(VLOOKUP($A143,Summary!$AD$6:$AF$9,3)+'Escalating commodity'!J156),'Escalating commodity'!J156))</f>
        <v>6.0424440975916337E-3</v>
      </c>
      <c r="AI143" s="88">
        <f t="shared" si="115"/>
        <v>6.0424440975916337E-3</v>
      </c>
      <c r="AJ143" s="236">
        <f t="shared" si="100"/>
        <v>41105.5</v>
      </c>
      <c r="AK143" s="58">
        <f t="shared" ca="1" si="101"/>
        <v>4065</v>
      </c>
      <c r="AL143" s="26">
        <f ca="1">IF($A144="","",_xll.SPRDOPT(P143,X143,AI143,0,AB143,AE143,AF143,AK143,$AJ$2,0))</f>
        <v>1.5613757669942233E-2</v>
      </c>
      <c r="AM143" s="89">
        <f t="shared" si="102"/>
        <v>0</v>
      </c>
      <c r="AN143" s="89">
        <f t="shared" ca="1" si="103"/>
        <v>1.5613757669942233E-2</v>
      </c>
      <c r="AO143" s="3">
        <f t="shared" si="104"/>
        <v>31</v>
      </c>
      <c r="AP143" s="33">
        <f t="shared" si="105"/>
        <v>41091</v>
      </c>
      <c r="AQ143" s="58">
        <f t="shared" ca="1" si="106"/>
        <v>4065</v>
      </c>
      <c r="AR143" s="38">
        <f>'ANR OK vs ML7'!AR143</f>
        <v>0.1</v>
      </c>
      <c r="AS143" s="35">
        <f t="shared" ca="1" si="107"/>
        <v>0.33756171044410244</v>
      </c>
      <c r="AT143" s="3">
        <f t="shared" si="108"/>
        <v>1</v>
      </c>
      <c r="AU143" s="3">
        <f t="shared" si="109"/>
        <v>31</v>
      </c>
      <c r="AW143" s="32">
        <f t="shared" ca="1" si="110"/>
        <v>13746.352252617142</v>
      </c>
      <c r="AX143" s="32">
        <f t="shared" si="111"/>
        <v>0</v>
      </c>
      <c r="AY143" s="32">
        <f t="shared" ca="1" si="112"/>
        <v>13746.352252617142</v>
      </c>
      <c r="BA143" s="32">
        <f ca="1">IF($A144="","",F143*Summary!$Q$14)</f>
        <v>0</v>
      </c>
      <c r="BC143" s="256">
        <f t="shared" ca="1" si="116"/>
        <v>0</v>
      </c>
    </row>
    <row r="144" spans="1:55">
      <c r="A144" s="67">
        <f t="shared" si="113"/>
        <v>41122</v>
      </c>
      <c r="B144" s="69">
        <f t="shared" si="114"/>
        <v>28400</v>
      </c>
      <c r="C144" s="71"/>
      <c r="D144" s="69">
        <f t="shared" si="78"/>
        <v>28400</v>
      </c>
      <c r="E144" s="70">
        <f t="shared" si="79"/>
        <v>880400</v>
      </c>
      <c r="F144" s="70">
        <f t="shared" ca="1" si="80"/>
        <v>294738.18042893562</v>
      </c>
      <c r="G144" s="63">
        <f t="shared" si="81"/>
        <v>4.5060000000000002</v>
      </c>
      <c r="H144" s="64">
        <f t="shared" si="82"/>
        <v>4.5060000000000002</v>
      </c>
      <c r="I144" s="43"/>
      <c r="J144" s="63">
        <f t="shared" si="83"/>
        <v>0.23499999999999999</v>
      </c>
      <c r="K144" s="64">
        <f t="shared" si="84"/>
        <v>0.23499999999999999</v>
      </c>
      <c r="L144" s="38">
        <v>0</v>
      </c>
      <c r="M144" s="64">
        <f t="shared" si="85"/>
        <v>0</v>
      </c>
      <c r="N144" s="65"/>
      <c r="O144" s="63">
        <f t="shared" si="86"/>
        <v>4.7410000000000005</v>
      </c>
      <c r="P144" s="63">
        <f t="shared" si="87"/>
        <v>4.7410000000000005</v>
      </c>
      <c r="Q144" s="66"/>
      <c r="R144" s="63">
        <f t="shared" si="88"/>
        <v>0.18</v>
      </c>
      <c r="S144" s="64">
        <f t="shared" si="89"/>
        <v>0.18</v>
      </c>
      <c r="T144" s="63">
        <f t="shared" si="90"/>
        <v>0</v>
      </c>
      <c r="U144" s="64">
        <f t="shared" si="91"/>
        <v>0</v>
      </c>
      <c r="V144" s="207">
        <f>IF($A145="","",IF(AND(MONTH(A144)&gt;3,MONTH(A144)&lt;11),(T144+R144+G144)*(((1/(1-Summary!$T$14))/(1-Summary!$W$14))-1),(T144+R144+G144)*((1/(1-Summary!$U$14))/(1-Summary!$X$14)-1)))</f>
        <v>4.9969211146809994E-2</v>
      </c>
      <c r="W144" s="43">
        <f t="shared" si="92"/>
        <v>4.7359692111468101</v>
      </c>
      <c r="X144" s="43">
        <f t="shared" si="93"/>
        <v>4.7359692111468101</v>
      </c>
      <c r="Y144" s="43"/>
      <c r="Z144" s="38">
        <f t="shared" si="94"/>
        <v>0.6</v>
      </c>
      <c r="AA144" s="38">
        <f t="shared" si="95"/>
        <v>0.17</v>
      </c>
      <c r="AB144" s="38">
        <f t="shared" ca="1" si="96"/>
        <v>0.17398091950430225</v>
      </c>
      <c r="AC144" s="38">
        <f t="shared" si="97"/>
        <v>0.45</v>
      </c>
      <c r="AD144" s="38">
        <f t="shared" si="98"/>
        <v>0.17</v>
      </c>
      <c r="AE144" s="38">
        <f t="shared" ca="1" si="99"/>
        <v>0.17225954850393999</v>
      </c>
      <c r="AF144" s="237">
        <f ca="1">((Summary!$N$14*(AA144*AD144)*(A144-$D$3))+(Summary!$M$14*Z144*AC144*(AJ144-EOMONTH(EDATE(A144,-1),0))))/(AK144*AB144*AE144)</f>
        <v>0.99853248742226874</v>
      </c>
      <c r="AG144" s="88">
        <f>IF($A145="","",Summary!$Q$14)</f>
        <v>0</v>
      </c>
      <c r="AH144" s="88">
        <f>IF($A145="","",IF(Summary!$R$12="Y",(VLOOKUP($A144,Summary!$AD$6:$AF$9,3)+'Escalating commodity'!J157),'Escalating commodity'!J157))</f>
        <v>6.0424440975916337E-3</v>
      </c>
      <c r="AI144" s="88">
        <f t="shared" si="115"/>
        <v>6.0424440975916337E-3</v>
      </c>
      <c r="AJ144" s="236">
        <f t="shared" si="100"/>
        <v>41136.5</v>
      </c>
      <c r="AK144" s="58">
        <f t="shared" ca="1" si="101"/>
        <v>4096</v>
      </c>
      <c r="AL144" s="26">
        <f ca="1">IF($A145="","",_xll.SPRDOPT(P144,X144,AI144,0,AB144,AE144,AF144,AK144,$AJ$2,0))</f>
        <v>6.0126636772630609E-2</v>
      </c>
      <c r="AM144" s="89">
        <f t="shared" si="102"/>
        <v>0</v>
      </c>
      <c r="AN144" s="89">
        <f t="shared" ca="1" si="103"/>
        <v>6.0126636772630609E-2</v>
      </c>
      <c r="AO144" s="3">
        <f t="shared" si="104"/>
        <v>31</v>
      </c>
      <c r="AP144" s="33">
        <f t="shared" si="105"/>
        <v>41122</v>
      </c>
      <c r="AQ144" s="58">
        <f t="shared" ca="1" si="106"/>
        <v>4096</v>
      </c>
      <c r="AR144" s="38">
        <f>'ANR OK vs ML7'!AR144</f>
        <v>0.1</v>
      </c>
      <c r="AS144" s="35">
        <f t="shared" ca="1" si="107"/>
        <v>0.334777578860672</v>
      </c>
      <c r="AT144" s="3">
        <f t="shared" si="108"/>
        <v>1</v>
      </c>
      <c r="AU144" s="3">
        <f t="shared" si="109"/>
        <v>31</v>
      </c>
      <c r="AW144" s="32">
        <f t="shared" ca="1" si="110"/>
        <v>52935.491014623985</v>
      </c>
      <c r="AX144" s="32">
        <f t="shared" si="111"/>
        <v>0</v>
      </c>
      <c r="AY144" s="32">
        <f t="shared" ca="1" si="112"/>
        <v>52935.491014623985</v>
      </c>
      <c r="BA144" s="32">
        <f ca="1">IF($A145="","",F144*Summary!$Q$14)</f>
        <v>0</v>
      </c>
      <c r="BC144" s="256">
        <f t="shared" ca="1" si="116"/>
        <v>0</v>
      </c>
    </row>
    <row r="145" spans="1:55">
      <c r="A145" s="67">
        <f t="shared" si="113"/>
        <v>41153</v>
      </c>
      <c r="B145" s="69">
        <f t="shared" si="114"/>
        <v>28400</v>
      </c>
      <c r="C145" s="71"/>
      <c r="D145" s="69">
        <f t="shared" si="78"/>
        <v>28400</v>
      </c>
      <c r="E145" s="70">
        <f t="shared" si="79"/>
        <v>852000</v>
      </c>
      <c r="F145" s="70">
        <f t="shared" ca="1" si="80"/>
        <v>282877.9814530217</v>
      </c>
      <c r="G145" s="63">
        <f t="shared" si="81"/>
        <v>4.5199999999999996</v>
      </c>
      <c r="H145" s="64">
        <f t="shared" si="82"/>
        <v>4.5199999999999996</v>
      </c>
      <c r="I145" s="43"/>
      <c r="J145" s="63">
        <f t="shared" si="83"/>
        <v>0.23499999999999999</v>
      </c>
      <c r="K145" s="64">
        <f t="shared" si="84"/>
        <v>0.23499999999999999</v>
      </c>
      <c r="L145" s="38">
        <v>0</v>
      </c>
      <c r="M145" s="64">
        <f t="shared" si="85"/>
        <v>0</v>
      </c>
      <c r="N145" s="65"/>
      <c r="O145" s="63">
        <f t="shared" si="86"/>
        <v>4.7549999999999999</v>
      </c>
      <c r="P145" s="63">
        <f t="shared" si="87"/>
        <v>4.7549999999999999</v>
      </c>
      <c r="Q145" s="66"/>
      <c r="R145" s="63">
        <f t="shared" si="88"/>
        <v>0.18</v>
      </c>
      <c r="S145" s="64">
        <f t="shared" si="89"/>
        <v>0.18</v>
      </c>
      <c r="T145" s="63">
        <f t="shared" si="90"/>
        <v>0</v>
      </c>
      <c r="U145" s="64">
        <f t="shared" si="91"/>
        <v>0</v>
      </c>
      <c r="V145" s="207">
        <f>IF($A146="","",IF(AND(MONTH(A145)&gt;3,MONTH(A145)&lt;11),(T145+R145+G145)*(((1/(1-Summary!$T$14))/(1-Summary!$W$14))-1),(T145+R145+G145)*((1/(1-Summary!$U$14))/(1-Summary!$X$14)-1)))</f>
        <v>5.0118500296629738E-2</v>
      </c>
      <c r="W145" s="43">
        <f t="shared" si="92"/>
        <v>4.7501185002966286</v>
      </c>
      <c r="X145" s="43">
        <f t="shared" si="93"/>
        <v>4.7501185002966286</v>
      </c>
      <c r="Y145" s="43"/>
      <c r="Z145" s="38">
        <f t="shared" si="94"/>
        <v>0.6</v>
      </c>
      <c r="AA145" s="38">
        <f t="shared" si="95"/>
        <v>0.17</v>
      </c>
      <c r="AB145" s="38">
        <f t="shared" ca="1" si="96"/>
        <v>0.17382594504650589</v>
      </c>
      <c r="AC145" s="38">
        <f t="shared" si="97"/>
        <v>0.5</v>
      </c>
      <c r="AD145" s="38">
        <f t="shared" si="98"/>
        <v>0.17</v>
      </c>
      <c r="AE145" s="38">
        <f t="shared" ca="1" si="99"/>
        <v>0.17267209680987594</v>
      </c>
      <c r="AF145" s="237">
        <f ca="1">((Summary!$N$14*(AA145*AD145)*(A145-$D$3))+(Summary!$M$14*Z145*AC145*(AJ145-EOMONTH(EDATE(A145,-1),0))))/(AK145*AB145*AE145)</f>
        <v>0.99932040316864601</v>
      </c>
      <c r="AG145" s="88">
        <f>IF($A146="","",Summary!$Q$14)</f>
        <v>0</v>
      </c>
      <c r="AH145" s="88">
        <f>IF($A146="","",IF(Summary!$R$12="Y",(VLOOKUP($A145,Summary!$AD$6:$AF$9,3)+'Escalating commodity'!J158),'Escalating commodity'!J158))</f>
        <v>6.0424440975916337E-3</v>
      </c>
      <c r="AI145" s="88">
        <f t="shared" si="115"/>
        <v>6.0424440975916337E-3</v>
      </c>
      <c r="AJ145" s="236">
        <f t="shared" si="100"/>
        <v>41167</v>
      </c>
      <c r="AK145" s="58">
        <f t="shared" ca="1" si="101"/>
        <v>4127</v>
      </c>
      <c r="AL145" s="26">
        <f ca="1">IF($A146="","",_xll.SPRDOPT(P145,X145,AI145,0,AB145,AE145,AF145,AK145,$AJ$2,0))</f>
        <v>3.6291879494098442E-2</v>
      </c>
      <c r="AM145" s="89">
        <f t="shared" si="102"/>
        <v>0</v>
      </c>
      <c r="AN145" s="89">
        <f t="shared" ca="1" si="103"/>
        <v>3.6291879494098442E-2</v>
      </c>
      <c r="AO145" s="3">
        <f t="shared" si="104"/>
        <v>30</v>
      </c>
      <c r="AP145" s="33">
        <f t="shared" si="105"/>
        <v>41153</v>
      </c>
      <c r="AQ145" s="58">
        <f t="shared" ca="1" si="106"/>
        <v>4127</v>
      </c>
      <c r="AR145" s="38">
        <f>'ANR OK vs ML7'!AR145</f>
        <v>0.1</v>
      </c>
      <c r="AS145" s="35">
        <f t="shared" ca="1" si="107"/>
        <v>0.33201641015612876</v>
      </c>
      <c r="AT145" s="3">
        <f t="shared" si="108"/>
        <v>1</v>
      </c>
      <c r="AU145" s="3">
        <f t="shared" si="109"/>
        <v>30</v>
      </c>
      <c r="AW145" s="32">
        <f t="shared" ca="1" si="110"/>
        <v>30920.681328971874</v>
      </c>
      <c r="AX145" s="32">
        <f t="shared" si="111"/>
        <v>0</v>
      </c>
      <c r="AY145" s="32">
        <f t="shared" ca="1" si="112"/>
        <v>30920.681328971874</v>
      </c>
      <c r="BA145" s="32">
        <f ca="1">IF($A146="","",F145*Summary!$Q$14)</f>
        <v>0</v>
      </c>
      <c r="BC145" s="256">
        <f t="shared" ca="1" si="116"/>
        <v>0</v>
      </c>
    </row>
    <row r="146" spans="1:55">
      <c r="A146" s="67">
        <f t="shared" si="113"/>
        <v>41183</v>
      </c>
      <c r="B146" s="69">
        <f t="shared" si="114"/>
        <v>28400</v>
      </c>
      <c r="C146" s="71"/>
      <c r="D146" s="69">
        <f t="shared" si="78"/>
        <v>28400</v>
      </c>
      <c r="E146" s="70">
        <f t="shared" si="79"/>
        <v>880400</v>
      </c>
      <c r="F146" s="70">
        <f t="shared" ca="1" si="80"/>
        <v>289973.823520387</v>
      </c>
      <c r="G146" s="63">
        <f t="shared" si="81"/>
        <v>4.5510000000000002</v>
      </c>
      <c r="H146" s="64">
        <f t="shared" si="82"/>
        <v>4.5510000000000002</v>
      </c>
      <c r="I146" s="43"/>
      <c r="J146" s="63">
        <f t="shared" si="83"/>
        <v>0.23499999999999999</v>
      </c>
      <c r="K146" s="64">
        <f t="shared" si="84"/>
        <v>0.23499999999999999</v>
      </c>
      <c r="L146" s="38">
        <v>0</v>
      </c>
      <c r="M146" s="64">
        <f t="shared" si="85"/>
        <v>0</v>
      </c>
      <c r="N146" s="65"/>
      <c r="O146" s="63">
        <f t="shared" si="86"/>
        <v>4.7860000000000005</v>
      </c>
      <c r="P146" s="63">
        <f t="shared" si="87"/>
        <v>4.7860000000000005</v>
      </c>
      <c r="Q146" s="66"/>
      <c r="R146" s="63">
        <f t="shared" si="88"/>
        <v>0.18</v>
      </c>
      <c r="S146" s="64">
        <f t="shared" si="89"/>
        <v>0.18</v>
      </c>
      <c r="T146" s="63">
        <f t="shared" si="90"/>
        <v>0</v>
      </c>
      <c r="U146" s="64">
        <f t="shared" si="91"/>
        <v>0</v>
      </c>
      <c r="V146" s="207">
        <f>IF($A147="","",IF(AND(MONTH(A146)&gt;3,MONTH(A146)&lt;11),(T146+R146+G146)*(((1/(1-Summary!$T$14))/(1-Summary!$W$14))-1),(T146+R146+G146)*((1/(1-Summary!$U$14))/(1-Summary!$X$14)-1)))</f>
        <v>5.0449069128373471E-2</v>
      </c>
      <c r="W146" s="43">
        <f t="shared" si="92"/>
        <v>4.7814490691283735</v>
      </c>
      <c r="X146" s="43">
        <f t="shared" si="93"/>
        <v>4.7814490691283735</v>
      </c>
      <c r="Y146" s="43"/>
      <c r="Z146" s="38">
        <f t="shared" si="94"/>
        <v>0.65</v>
      </c>
      <c r="AA146" s="38">
        <f t="shared" si="95"/>
        <v>0.17</v>
      </c>
      <c r="AB146" s="38">
        <f t="shared" ca="1" si="96"/>
        <v>0.17459182956865119</v>
      </c>
      <c r="AC146" s="38">
        <f t="shared" si="97"/>
        <v>0.5</v>
      </c>
      <c r="AD146" s="38">
        <f t="shared" si="98"/>
        <v>0.17</v>
      </c>
      <c r="AE146" s="38">
        <f t="shared" ca="1" si="99"/>
        <v>0.17274002068487548</v>
      </c>
      <c r="AF146" s="237">
        <f ca="1">((Summary!$N$14*(AA146*AD146)*(A146-$D$3))+(Summary!$M$14*Z146*AC146*(AJ146-EOMONTH(EDATE(A146,-1),0))))/(AK146*AB146*AE146)</f>
        <v>0.99857013096324299</v>
      </c>
      <c r="AG146" s="88">
        <f>IF($A147="","",Summary!$Q$14)</f>
        <v>0</v>
      </c>
      <c r="AH146" s="88">
        <f>IF($A147="","",IF(Summary!$R$12="Y",(VLOOKUP($A146,Summary!$AD$6:$AF$9,3)+'Escalating commodity'!J159),'Escalating commodity'!J159))</f>
        <v>6.0424440975916337E-3</v>
      </c>
      <c r="AI146" s="88">
        <f t="shared" si="115"/>
        <v>6.0424440975916337E-3</v>
      </c>
      <c r="AJ146" s="236">
        <f t="shared" si="100"/>
        <v>41197.5</v>
      </c>
      <c r="AK146" s="58">
        <f t="shared" ca="1" si="101"/>
        <v>4157</v>
      </c>
      <c r="AL146" s="26">
        <f ca="1">IF($A147="","",_xll.SPRDOPT(P146,X146,AI146,0,AB146,AE146,AF146,AK146,$AJ$2,0))</f>
        <v>6.0517138006007436E-2</v>
      </c>
      <c r="AM146" s="89">
        <f t="shared" si="102"/>
        <v>0</v>
      </c>
      <c r="AN146" s="89">
        <f t="shared" ca="1" si="103"/>
        <v>6.0517138006007436E-2</v>
      </c>
      <c r="AO146" s="3">
        <f t="shared" si="104"/>
        <v>31</v>
      </c>
      <c r="AP146" s="33">
        <f t="shared" si="105"/>
        <v>41183</v>
      </c>
      <c r="AQ146" s="58">
        <f t="shared" ca="1" si="106"/>
        <v>4157</v>
      </c>
      <c r="AR146" s="38">
        <f>'ANR OK vs ML7'!AR146</f>
        <v>0.1</v>
      </c>
      <c r="AS146" s="35">
        <f t="shared" ca="1" si="107"/>
        <v>0.32936599672919925</v>
      </c>
      <c r="AT146" s="3">
        <f t="shared" si="108"/>
        <v>1</v>
      </c>
      <c r="AU146" s="3">
        <f t="shared" si="109"/>
        <v>31</v>
      </c>
      <c r="AW146" s="32">
        <f t="shared" ca="1" si="110"/>
        <v>53279.288300488945</v>
      </c>
      <c r="AX146" s="32">
        <f t="shared" si="111"/>
        <v>0</v>
      </c>
      <c r="AY146" s="32">
        <f t="shared" ca="1" si="112"/>
        <v>53279.288300488945</v>
      </c>
      <c r="BA146" s="32">
        <f ca="1">IF($A147="","",F146*Summary!$Q$14)</f>
        <v>0</v>
      </c>
      <c r="BC146" s="256">
        <f t="shared" ca="1" si="116"/>
        <v>0</v>
      </c>
    </row>
    <row r="147" spans="1:55">
      <c r="A147" s="67">
        <f t="shared" si="113"/>
        <v>41214</v>
      </c>
      <c r="B147" s="69">
        <f t="shared" si="114"/>
        <v>28400</v>
      </c>
      <c r="C147" s="71"/>
      <c r="D147" s="69">
        <f t="shared" si="78"/>
        <v>28400</v>
      </c>
      <c r="E147" s="70">
        <f t="shared" si="79"/>
        <v>852000</v>
      </c>
      <c r="F147" s="70">
        <f t="shared" ca="1" si="80"/>
        <v>278305.34120922757</v>
      </c>
      <c r="G147" s="63">
        <f t="shared" si="81"/>
        <v>4.6840000000000002</v>
      </c>
      <c r="H147" s="64">
        <f t="shared" si="82"/>
        <v>4.6840000000000002</v>
      </c>
      <c r="I147" s="43"/>
      <c r="J147" s="63">
        <f t="shared" si="83"/>
        <v>0.42499999999999999</v>
      </c>
      <c r="K147" s="64">
        <f t="shared" si="84"/>
        <v>0.42499999999999999</v>
      </c>
      <c r="L147" s="38">
        <v>0</v>
      </c>
      <c r="M147" s="64">
        <f t="shared" si="85"/>
        <v>0</v>
      </c>
      <c r="N147" s="65"/>
      <c r="O147" s="63">
        <f t="shared" si="86"/>
        <v>5.109</v>
      </c>
      <c r="P147" s="63">
        <f t="shared" si="87"/>
        <v>5.109</v>
      </c>
      <c r="Q147" s="66"/>
      <c r="R147" s="63">
        <f t="shared" si="88"/>
        <v>0.27500000000000002</v>
      </c>
      <c r="S147" s="64">
        <f t="shared" si="89"/>
        <v>0.27500000000000002</v>
      </c>
      <c r="T147" s="63">
        <f t="shared" si="90"/>
        <v>0</v>
      </c>
      <c r="U147" s="64">
        <f t="shared" si="91"/>
        <v>0</v>
      </c>
      <c r="V147" s="207">
        <f>IF($A148="","",IF(AND(MONTH(A147)&gt;3,MONTH(A147)&lt;11),(T147+R147+G147)*(((1/(1-Summary!$T$14))/(1-Summary!$W$14))-1),(T147+R147+G147)*((1/(1-Summary!$U$14))/(1-Summary!$X$14)-1)))</f>
        <v>5.2880349568295092E-2</v>
      </c>
      <c r="W147" s="43">
        <f t="shared" si="92"/>
        <v>5.0118803495682958</v>
      </c>
      <c r="X147" s="43">
        <f t="shared" si="93"/>
        <v>5.0118803495682958</v>
      </c>
      <c r="Y147" s="43"/>
      <c r="Z147" s="38">
        <f t="shared" si="94"/>
        <v>0.8</v>
      </c>
      <c r="AA147" s="38">
        <f t="shared" si="95"/>
        <v>0.17</v>
      </c>
      <c r="AB147" s="38">
        <f t="shared" ca="1" si="96"/>
        <v>0.17663285164117143</v>
      </c>
      <c r="AC147" s="38">
        <f t="shared" si="97"/>
        <v>0.95</v>
      </c>
      <c r="AD147" s="38">
        <f t="shared" si="98"/>
        <v>0.17</v>
      </c>
      <c r="AE147" s="38">
        <f t="shared" ca="1" si="99"/>
        <v>0.17927451164432276</v>
      </c>
      <c r="AF147" s="237">
        <f ca="1">((Summary!$N$14*(AA147*AD147)*(A147-$D$3))+(Summary!$M$14*Z147*AC147*(AJ147-EOMONTH(EDATE(A147,-1),0))))/(AK147*AB147*AE147)</f>
        <v>0.99874643172140565</v>
      </c>
      <c r="AG147" s="88">
        <f>IF($A148="","",Summary!$Q$14)</f>
        <v>0</v>
      </c>
      <c r="AH147" s="88">
        <f>IF($A148="","",IF(Summary!$R$12="Y",(VLOOKUP($A147,Summary!$AD$6:$AF$9,3)+'Escalating commodity'!J160),'Escalating commodity'!J160))</f>
        <v>6.0424440975916337E-3</v>
      </c>
      <c r="AI147" s="88">
        <f t="shared" si="115"/>
        <v>6.0424440975916337E-3</v>
      </c>
      <c r="AJ147" s="236">
        <f t="shared" si="100"/>
        <v>41228</v>
      </c>
      <c r="AK147" s="58">
        <f t="shared" ca="1" si="101"/>
        <v>4188</v>
      </c>
      <c r="AL147" s="26">
        <f ca="1">IF($A148="","",_xll.SPRDOPT(P147,X147,AI147,0,AB147,AE147,AF147,AK147,$AJ$2,0))</f>
        <v>0.11886226054818615</v>
      </c>
      <c r="AM147" s="89">
        <f t="shared" si="102"/>
        <v>9.1077206334112593E-2</v>
      </c>
      <c r="AN147" s="89">
        <f t="shared" ca="1" si="103"/>
        <v>2.7785054214073554E-2</v>
      </c>
      <c r="AO147" s="3">
        <f t="shared" si="104"/>
        <v>30</v>
      </c>
      <c r="AP147" s="33">
        <f t="shared" si="105"/>
        <v>41214</v>
      </c>
      <c r="AQ147" s="58">
        <f t="shared" ca="1" si="106"/>
        <v>4188</v>
      </c>
      <c r="AR147" s="38">
        <f>'ANR OK vs ML7'!AR147</f>
        <v>0.1</v>
      </c>
      <c r="AS147" s="35">
        <f t="shared" ca="1" si="107"/>
        <v>0.32664946151317792</v>
      </c>
      <c r="AT147" s="3">
        <f t="shared" si="108"/>
        <v>1</v>
      </c>
      <c r="AU147" s="3">
        <f t="shared" si="109"/>
        <v>30</v>
      </c>
      <c r="AW147" s="32">
        <f t="shared" ca="1" si="110"/>
        <v>101270.6459870546</v>
      </c>
      <c r="AX147" s="32">
        <f t="shared" si="111"/>
        <v>77597.779796663934</v>
      </c>
      <c r="AY147" s="32">
        <f t="shared" ca="1" si="112"/>
        <v>23672.866190390669</v>
      </c>
      <c r="BA147" s="32">
        <f ca="1">IF($A148="","",F147*Summary!$Q$14)</f>
        <v>0</v>
      </c>
      <c r="BC147" s="256">
        <f t="shared" ca="1" si="116"/>
        <v>25347.272985198426</v>
      </c>
    </row>
    <row r="148" spans="1:55">
      <c r="A148" s="67">
        <f t="shared" si="113"/>
        <v>41244</v>
      </c>
      <c r="B148" s="69">
        <f t="shared" si="114"/>
        <v>28400</v>
      </c>
      <c r="C148" s="71"/>
      <c r="D148" s="69">
        <f t="shared" si="78"/>
        <v>28400</v>
      </c>
      <c r="E148" s="70">
        <f t="shared" si="79"/>
        <v>880400</v>
      </c>
      <c r="F148" s="70">
        <f t="shared" ca="1" si="80"/>
        <v>285286.48105468735</v>
      </c>
      <c r="G148" s="63">
        <f t="shared" si="81"/>
        <v>4.8220000000000001</v>
      </c>
      <c r="H148" s="64">
        <f t="shared" si="82"/>
        <v>4.8220000000000001</v>
      </c>
      <c r="I148" s="43"/>
      <c r="J148" s="63">
        <f t="shared" si="83"/>
        <v>0.42499999999999999</v>
      </c>
      <c r="K148" s="64">
        <f t="shared" si="84"/>
        <v>0.42499999999999999</v>
      </c>
      <c r="L148" s="38">
        <v>0</v>
      </c>
      <c r="M148" s="64">
        <f t="shared" si="85"/>
        <v>0</v>
      </c>
      <c r="N148" s="65"/>
      <c r="O148" s="63">
        <f t="shared" si="86"/>
        <v>5.2469999999999999</v>
      </c>
      <c r="P148" s="63">
        <f t="shared" si="87"/>
        <v>5.2469999999999999</v>
      </c>
      <c r="Q148" s="66"/>
      <c r="R148" s="63">
        <f t="shared" si="88"/>
        <v>0.27500000000000002</v>
      </c>
      <c r="S148" s="64">
        <f t="shared" si="89"/>
        <v>0.27500000000000002</v>
      </c>
      <c r="T148" s="63">
        <f t="shared" si="90"/>
        <v>0</v>
      </c>
      <c r="U148" s="64">
        <f t="shared" si="91"/>
        <v>0</v>
      </c>
      <c r="V148" s="207">
        <f>IF($A149="","",IF(AND(MONTH(A148)&gt;3,MONTH(A148)&lt;11),(T148+R148+G148)*(((1/(1-Summary!$T$14))/(1-Summary!$W$14))-1),(T148+R148+G148)*((1/(1-Summary!$U$14))/(1-Summary!$X$14)-1)))</f>
        <v>5.4351914045089746E-2</v>
      </c>
      <c r="W148" s="43">
        <f t="shared" si="92"/>
        <v>5.1513519140450903</v>
      </c>
      <c r="X148" s="43">
        <f t="shared" si="93"/>
        <v>5.1513519140450903</v>
      </c>
      <c r="Y148" s="43"/>
      <c r="Z148" s="38">
        <f t="shared" si="94"/>
        <v>1.1000000000000001</v>
      </c>
      <c r="AA148" s="38">
        <f t="shared" si="95"/>
        <v>0.17</v>
      </c>
      <c r="AB148" s="38">
        <f t="shared" ca="1" si="96"/>
        <v>0.18262878111827113</v>
      </c>
      <c r="AC148" s="38">
        <f t="shared" si="97"/>
        <v>1.35</v>
      </c>
      <c r="AD148" s="38">
        <f t="shared" si="98"/>
        <v>0.17</v>
      </c>
      <c r="AE148" s="38">
        <f t="shared" ca="1" si="99"/>
        <v>0.18869033414590913</v>
      </c>
      <c r="AF148" s="237">
        <f ca="1">((Summary!$N$14*(AA148*AD148)*(A148-$D$3))+(Summary!$M$14*Z148*AC148*(AJ148-EOMONTH(EDATE(A148,-1),0))))/(AK148*AB148*AE148)</f>
        <v>0.99711683462698109</v>
      </c>
      <c r="AG148" s="88">
        <f>IF($A149="","",Summary!$Q$14)</f>
        <v>0</v>
      </c>
      <c r="AH148" s="88">
        <f>IF($A149="","",IF(Summary!$R$12="Y",(VLOOKUP($A148,Summary!$AD$6:$AF$9,3)+'Escalating commodity'!J161),'Escalating commodity'!J161))</f>
        <v>6.0424440975916337E-3</v>
      </c>
      <c r="AI148" s="88">
        <f t="shared" si="115"/>
        <v>6.0424440975916337E-3</v>
      </c>
      <c r="AJ148" s="236">
        <f t="shared" si="100"/>
        <v>41258.5</v>
      </c>
      <c r="AK148" s="58">
        <f t="shared" ca="1" si="101"/>
        <v>4218</v>
      </c>
      <c r="AL148" s="26">
        <f ca="1">IF($A149="","",_xll.SPRDOPT(P148,X148,AI148,0,AB148,AE148,AF148,AK148,$AJ$2,0))</f>
        <v>0.1582675016837603</v>
      </c>
      <c r="AM148" s="89">
        <f t="shared" si="102"/>
        <v>8.9605641857317953E-2</v>
      </c>
      <c r="AN148" s="89">
        <f t="shared" ca="1" si="103"/>
        <v>6.8661859826442351E-2</v>
      </c>
      <c r="AO148" s="3">
        <f t="shared" si="104"/>
        <v>31</v>
      </c>
      <c r="AP148" s="33">
        <f t="shared" si="105"/>
        <v>41244</v>
      </c>
      <c r="AQ148" s="58">
        <f t="shared" ca="1" si="106"/>
        <v>4218</v>
      </c>
      <c r="AR148" s="38">
        <f>'ANR OK vs ML7'!AR148</f>
        <v>0.1</v>
      </c>
      <c r="AS148" s="35">
        <f t="shared" ca="1" si="107"/>
        <v>0.32404189124794108</v>
      </c>
      <c r="AT148" s="3">
        <f t="shared" si="108"/>
        <v>1</v>
      </c>
      <c r="AU148" s="3">
        <f t="shared" si="109"/>
        <v>31</v>
      </c>
      <c r="AW148" s="32">
        <f t="shared" ca="1" si="110"/>
        <v>139338.70848238256</v>
      </c>
      <c r="AX148" s="32">
        <f t="shared" si="111"/>
        <v>78888.807091182724</v>
      </c>
      <c r="AY148" s="32">
        <f t="shared" ca="1" si="112"/>
        <v>60449.901391199848</v>
      </c>
      <c r="BA148" s="32">
        <f ca="1">IF($A149="","",F148*Summary!$Q$14)</f>
        <v>0</v>
      </c>
      <c r="BC148" s="256">
        <f t="shared" ca="1" si="116"/>
        <v>25563.278248120838</v>
      </c>
    </row>
    <row r="149" spans="1:55">
      <c r="A149" s="67">
        <f t="shared" si="113"/>
        <v>41275</v>
      </c>
      <c r="B149" s="69">
        <f t="shared" si="114"/>
        <v>28400</v>
      </c>
      <c r="C149" s="71"/>
      <c r="D149" s="69">
        <f t="shared" si="78"/>
        <v>28400</v>
      </c>
      <c r="E149" s="70">
        <f t="shared" si="79"/>
        <v>880400</v>
      </c>
      <c r="F149" s="70">
        <f t="shared" ca="1" si="80"/>
        <v>282933.50357633206</v>
      </c>
      <c r="G149" s="63">
        <f t="shared" si="81"/>
        <v>4.8690000000000007</v>
      </c>
      <c r="H149" s="64">
        <f t="shared" si="82"/>
        <v>4.8690000000000007</v>
      </c>
      <c r="I149" s="43"/>
      <c r="J149" s="63">
        <f t="shared" si="83"/>
        <v>0.42499999999999999</v>
      </c>
      <c r="K149" s="64">
        <f t="shared" si="84"/>
        <v>0.42499999999999999</v>
      </c>
      <c r="L149" s="38">
        <v>0</v>
      </c>
      <c r="M149" s="64">
        <f t="shared" si="85"/>
        <v>0</v>
      </c>
      <c r="N149" s="65"/>
      <c r="O149" s="63">
        <f t="shared" si="86"/>
        <v>5.2940000000000005</v>
      </c>
      <c r="P149" s="63">
        <f t="shared" si="87"/>
        <v>5.2940000000000005</v>
      </c>
      <c r="Q149" s="66"/>
      <c r="R149" s="63">
        <f t="shared" si="88"/>
        <v>0.27500000000000002</v>
      </c>
      <c r="S149" s="64">
        <f t="shared" si="89"/>
        <v>0.27500000000000002</v>
      </c>
      <c r="T149" s="63">
        <f t="shared" si="90"/>
        <v>0</v>
      </c>
      <c r="U149" s="64">
        <f t="shared" si="91"/>
        <v>0</v>
      </c>
      <c r="V149" s="207">
        <f>IF($A150="","",IF(AND(MONTH(A149)&gt;3,MONTH(A149)&lt;11),(T149+R149+G149)*(((1/(1-Summary!$T$14))/(1-Summary!$W$14))-1),(T149+R149+G149)*((1/(1-Summary!$U$14))/(1-Summary!$X$14)-1)))</f>
        <v>5.4853099048056055E-2</v>
      </c>
      <c r="W149" s="43">
        <f t="shared" si="92"/>
        <v>5.1988530990480575</v>
      </c>
      <c r="X149" s="43">
        <f t="shared" si="93"/>
        <v>5.1988530990480575</v>
      </c>
      <c r="Y149" s="43"/>
      <c r="Z149" s="38">
        <f t="shared" si="94"/>
        <v>1.1000000000000001</v>
      </c>
      <c r="AA149" s="38">
        <f t="shared" si="95"/>
        <v>0.17</v>
      </c>
      <c r="AB149" s="38">
        <f t="shared" ca="1" si="96"/>
        <v>0.18253980760458821</v>
      </c>
      <c r="AC149" s="38">
        <f t="shared" si="97"/>
        <v>1.35</v>
      </c>
      <c r="AD149" s="38">
        <f t="shared" si="98"/>
        <v>0.17</v>
      </c>
      <c r="AE149" s="38">
        <f t="shared" ca="1" si="99"/>
        <v>0.18856068152976424</v>
      </c>
      <c r="AF149" s="237">
        <f ca="1">((Summary!$N$14*(AA149*AD149)*(A149-$D$3))+(Summary!$M$14*Z149*AC149*(AJ149-EOMONTH(EDATE(A149,-1),0))))/(AK149*AB149*AE149)</f>
        <v>0.99713064740911039</v>
      </c>
      <c r="AG149" s="88">
        <f>IF($A150="","",Summary!$Q$14)</f>
        <v>0</v>
      </c>
      <c r="AH149" s="88">
        <f>IF($A150="","",IF(Summary!$R$12="Y",(VLOOKUP($A149,Summary!$AD$6:$AF$9,3)+'Escalating commodity'!J162),'Escalating commodity'!J162))</f>
        <v>6.1632929795434662E-3</v>
      </c>
      <c r="AI149" s="88">
        <f t="shared" si="115"/>
        <v>6.1632929795434662E-3</v>
      </c>
      <c r="AJ149" s="236">
        <f t="shared" si="100"/>
        <v>41289.5</v>
      </c>
      <c r="AK149" s="58">
        <f t="shared" ca="1" si="101"/>
        <v>4249</v>
      </c>
      <c r="AL149" s="26">
        <f ca="1">IF($A150="","",_xll.SPRDOPT(P149,X149,AI149,0,AB149,AE149,AF149,AK149,$AJ$2,0))</f>
        <v>0.15880560271789004</v>
      </c>
      <c r="AM149" s="89">
        <f t="shared" si="102"/>
        <v>8.8983607972399542E-2</v>
      </c>
      <c r="AN149" s="89">
        <f t="shared" ca="1" si="103"/>
        <v>6.9821994745490501E-2</v>
      </c>
      <c r="AO149" s="3">
        <f t="shared" si="104"/>
        <v>31</v>
      </c>
      <c r="AP149" s="33">
        <f t="shared" si="105"/>
        <v>41275</v>
      </c>
      <c r="AQ149" s="58">
        <f t="shared" ca="1" si="106"/>
        <v>4249</v>
      </c>
      <c r="AR149" s="38">
        <f>'ANR OK vs ML7'!AR149</f>
        <v>0.1</v>
      </c>
      <c r="AS149" s="35">
        <f t="shared" ca="1" si="107"/>
        <v>0.32136926803308957</v>
      </c>
      <c r="AT149" s="3">
        <f t="shared" si="108"/>
        <v>1</v>
      </c>
      <c r="AU149" s="3">
        <f t="shared" si="109"/>
        <v>31</v>
      </c>
      <c r="AW149" s="32">
        <f t="shared" ca="1" si="110"/>
        <v>139812.45263283039</v>
      </c>
      <c r="AX149" s="32">
        <f t="shared" si="111"/>
        <v>78341.16845890056</v>
      </c>
      <c r="AY149" s="32">
        <f t="shared" ca="1" si="112"/>
        <v>61471.284173929838</v>
      </c>
      <c r="BA149" s="32">
        <f ca="1">IF($A150="","",F149*Summary!$Q$14)</f>
        <v>0</v>
      </c>
      <c r="BC149" s="256">
        <f t="shared" ca="1" si="116"/>
        <v>25176.443964493836</v>
      </c>
    </row>
    <row r="150" spans="1:55">
      <c r="A150" s="67">
        <f t="shared" si="113"/>
        <v>41306</v>
      </c>
      <c r="B150" s="69">
        <f t="shared" si="114"/>
        <v>28400</v>
      </c>
      <c r="C150" s="71"/>
      <c r="D150" s="69">
        <f t="shared" si="78"/>
        <v>28400</v>
      </c>
      <c r="E150" s="70">
        <f t="shared" si="79"/>
        <v>795200</v>
      </c>
      <c r="F150" s="70">
        <f t="shared" ca="1" si="80"/>
        <v>253445.10069892823</v>
      </c>
      <c r="G150" s="63">
        <f t="shared" si="81"/>
        <v>4.7490000000000006</v>
      </c>
      <c r="H150" s="64">
        <f t="shared" si="82"/>
        <v>4.7490000000000006</v>
      </c>
      <c r="I150" s="43"/>
      <c r="J150" s="63">
        <f t="shared" si="83"/>
        <v>0.42499999999999999</v>
      </c>
      <c r="K150" s="64">
        <f t="shared" si="84"/>
        <v>0.42499999999999999</v>
      </c>
      <c r="L150" s="38">
        <v>0</v>
      </c>
      <c r="M150" s="64">
        <f t="shared" si="85"/>
        <v>0</v>
      </c>
      <c r="N150" s="65"/>
      <c r="O150" s="63">
        <f t="shared" si="86"/>
        <v>5.1740000000000004</v>
      </c>
      <c r="P150" s="63">
        <f t="shared" si="87"/>
        <v>5.1740000000000004</v>
      </c>
      <c r="Q150" s="66"/>
      <c r="R150" s="63">
        <f t="shared" si="88"/>
        <v>0.27500000000000002</v>
      </c>
      <c r="S150" s="64">
        <f t="shared" si="89"/>
        <v>0.27500000000000002</v>
      </c>
      <c r="T150" s="63">
        <f t="shared" si="90"/>
        <v>0</v>
      </c>
      <c r="U150" s="64">
        <f t="shared" si="91"/>
        <v>0</v>
      </c>
      <c r="V150" s="207">
        <f>IF($A151="","",IF(AND(MONTH(A150)&gt;3,MONTH(A150)&lt;11),(T150+R150+G150)*(((1/(1-Summary!$T$14))/(1-Summary!$W$14))-1),(T150+R150+G150)*((1/(1-Summary!$U$14))/(1-Summary!$X$14)-1)))</f>
        <v>5.3573477763886782E-2</v>
      </c>
      <c r="W150" s="43">
        <f t="shared" si="92"/>
        <v>5.0775734777638881</v>
      </c>
      <c r="X150" s="43">
        <f t="shared" si="93"/>
        <v>5.0775734777638881</v>
      </c>
      <c r="Y150" s="43"/>
      <c r="Z150" s="38">
        <f t="shared" si="94"/>
        <v>1.1000000000000001</v>
      </c>
      <c r="AA150" s="38">
        <f t="shared" si="95"/>
        <v>0.17</v>
      </c>
      <c r="AB150" s="38">
        <f t="shared" ca="1" si="96"/>
        <v>0.181286227446219</v>
      </c>
      <c r="AC150" s="38">
        <f t="shared" si="97"/>
        <v>1.35</v>
      </c>
      <c r="AD150" s="38">
        <f t="shared" si="98"/>
        <v>0.17</v>
      </c>
      <c r="AE150" s="38">
        <f t="shared" ca="1" si="99"/>
        <v>0.1867302892799651</v>
      </c>
      <c r="AF150" s="237">
        <f ca="1">((Summary!$N$14*(AA150*AD150)*(A150-$D$3))+(Summary!$M$14*Z150*AC150*(AJ150-EOMONTH(EDATE(A150,-1),0))))/(AK150*AB150*AE150)</f>
        <v>0.99733273116849785</v>
      </c>
      <c r="AG150" s="88">
        <f>IF($A151="","",Summary!$Q$14)</f>
        <v>0</v>
      </c>
      <c r="AH150" s="88">
        <f>IF($A151="","",IF(Summary!$R$12="Y",(VLOOKUP($A150,Summary!$AD$6:$AF$9,3)+'Escalating commodity'!J163),'Escalating commodity'!J163))</f>
        <v>6.1632929795434662E-3</v>
      </c>
      <c r="AI150" s="88">
        <f t="shared" si="115"/>
        <v>6.1632929795434662E-3</v>
      </c>
      <c r="AJ150" s="236">
        <f t="shared" si="100"/>
        <v>41319</v>
      </c>
      <c r="AK150" s="58">
        <f t="shared" ca="1" si="101"/>
        <v>4280</v>
      </c>
      <c r="AL150" s="26">
        <f ca="1">IF($A151="","",_xll.SPRDOPT(P150,X150,AI150,0,AB150,AE150,AF150,AK150,$AJ$2,0))</f>
        <v>0.15242435820318365</v>
      </c>
      <c r="AM150" s="89">
        <f t="shared" si="102"/>
        <v>9.0263229256568794E-2</v>
      </c>
      <c r="AN150" s="89">
        <f t="shared" ca="1" si="103"/>
        <v>6.2161128946614852E-2</v>
      </c>
      <c r="AO150" s="3">
        <f t="shared" si="104"/>
        <v>28</v>
      </c>
      <c r="AP150" s="33">
        <f t="shared" si="105"/>
        <v>41306</v>
      </c>
      <c r="AQ150" s="58">
        <f t="shared" ca="1" si="106"/>
        <v>4280</v>
      </c>
      <c r="AR150" s="38">
        <f>'ANR OK vs ML7'!AR150</f>
        <v>0.1</v>
      </c>
      <c r="AS150" s="35">
        <f t="shared" ca="1" si="107"/>
        <v>0.3187186880016703</v>
      </c>
      <c r="AT150" s="3">
        <f t="shared" si="108"/>
        <v>1</v>
      </c>
      <c r="AU150" s="3">
        <f t="shared" si="109"/>
        <v>28</v>
      </c>
      <c r="AW150" s="32">
        <f t="shared" ca="1" si="110"/>
        <v>121207.84964317163</v>
      </c>
      <c r="AX150" s="32">
        <f t="shared" si="111"/>
        <v>71777.319904823511</v>
      </c>
      <c r="AY150" s="32">
        <f t="shared" ca="1" si="112"/>
        <v>49430.52973834813</v>
      </c>
      <c r="BA150" s="32">
        <f ca="1">IF($A151="","",F150*Summary!$Q$14)</f>
        <v>0</v>
      </c>
      <c r="BC150" s="256">
        <f t="shared" ca="1" si="116"/>
        <v>22876.773228341524</v>
      </c>
    </row>
    <row r="151" spans="1:55">
      <c r="A151" s="67">
        <f t="shared" si="113"/>
        <v>41334</v>
      </c>
      <c r="B151" s="69">
        <f t="shared" si="114"/>
        <v>28400</v>
      </c>
      <c r="C151" s="71"/>
      <c r="D151" s="69">
        <f t="shared" si="78"/>
        <v>28400</v>
      </c>
      <c r="E151" s="70">
        <f t="shared" si="79"/>
        <v>880400</v>
      </c>
      <c r="F151" s="70">
        <f t="shared" ca="1" si="80"/>
        <v>278508.73908415425</v>
      </c>
      <c r="G151" s="63">
        <f t="shared" si="81"/>
        <v>4.6100000000000003</v>
      </c>
      <c r="H151" s="64">
        <f t="shared" si="82"/>
        <v>4.6100000000000003</v>
      </c>
      <c r="I151" s="43"/>
      <c r="J151" s="63">
        <f t="shared" si="83"/>
        <v>0.42499999999999999</v>
      </c>
      <c r="K151" s="64">
        <f t="shared" si="84"/>
        <v>0.42499999999999999</v>
      </c>
      <c r="L151" s="38">
        <v>0</v>
      </c>
      <c r="M151" s="64">
        <f t="shared" si="85"/>
        <v>0</v>
      </c>
      <c r="N151" s="65"/>
      <c r="O151" s="63">
        <f t="shared" si="86"/>
        <v>5.0350000000000001</v>
      </c>
      <c r="P151" s="63">
        <f t="shared" si="87"/>
        <v>5.0350000000000001</v>
      </c>
      <c r="Q151" s="66"/>
      <c r="R151" s="63">
        <f t="shared" si="88"/>
        <v>0.27500000000000002</v>
      </c>
      <c r="S151" s="64">
        <f t="shared" si="89"/>
        <v>0.27500000000000002</v>
      </c>
      <c r="T151" s="63">
        <f t="shared" si="90"/>
        <v>0</v>
      </c>
      <c r="U151" s="64">
        <f t="shared" si="91"/>
        <v>0</v>
      </c>
      <c r="V151" s="207">
        <f>IF($A152="","",IF(AND(MONTH(A151)&gt;3,MONTH(A151)&lt;11),(T151+R151+G151)*(((1/(1-Summary!$T$14))/(1-Summary!$W$14))-1),(T151+R151+G151)*((1/(1-Summary!$U$14))/(1-Summary!$X$14)-1)))</f>
        <v>5.2091249776390708E-2</v>
      </c>
      <c r="W151" s="43">
        <f t="shared" si="92"/>
        <v>4.9370912497763912</v>
      </c>
      <c r="X151" s="43">
        <f t="shared" si="93"/>
        <v>4.9370912497763912</v>
      </c>
      <c r="Y151" s="43"/>
      <c r="Z151" s="38">
        <f t="shared" si="94"/>
        <v>0.75</v>
      </c>
      <c r="AA151" s="38">
        <f t="shared" si="95"/>
        <v>0.17</v>
      </c>
      <c r="AB151" s="38">
        <f t="shared" ca="1" si="96"/>
        <v>0.17587086007729316</v>
      </c>
      <c r="AC151" s="38">
        <f t="shared" si="97"/>
        <v>0.95</v>
      </c>
      <c r="AD151" s="38">
        <f t="shared" si="98"/>
        <v>0.17</v>
      </c>
      <c r="AE151" s="38">
        <f t="shared" ca="1" si="99"/>
        <v>0.17931498794720693</v>
      </c>
      <c r="AF151" s="237">
        <f ca="1">((Summary!$N$14*(AA151*AD151)*(A151-$D$3))+(Summary!$M$14*Z151*AC151*(AJ151-EOMONTH(EDATE(A151,-1),0))))/(AK151*AB151*AE151)</f>
        <v>0.99781461841079833</v>
      </c>
      <c r="AG151" s="88">
        <f>IF($A152="","",Summary!$Q$14)</f>
        <v>0</v>
      </c>
      <c r="AH151" s="88">
        <f>IF($A152="","",IF(Summary!$R$12="Y",(VLOOKUP($A151,Summary!$AD$6:$AF$9,3)+'Escalating commodity'!J164),'Escalating commodity'!J164))</f>
        <v>6.1632929795434662E-3</v>
      </c>
      <c r="AI151" s="88">
        <f t="shared" si="115"/>
        <v>6.1632929795434662E-3</v>
      </c>
      <c r="AJ151" s="236">
        <f t="shared" si="100"/>
        <v>41348.5</v>
      </c>
      <c r="AK151" s="58">
        <f t="shared" ca="1" si="101"/>
        <v>4308</v>
      </c>
      <c r="AL151" s="26">
        <f ca="1">IF($A152="","",_xll.SPRDOPT(P151,X151,AI151,0,AB151,AE151,AF151,AK151,$AJ$2,0))</f>
        <v>0.1369801720613118</v>
      </c>
      <c r="AM151" s="89">
        <f t="shared" si="102"/>
        <v>9.1745457244065437E-2</v>
      </c>
      <c r="AN151" s="89">
        <f t="shared" ca="1" si="103"/>
        <v>4.5234714817246363E-2</v>
      </c>
      <c r="AO151" s="3">
        <f t="shared" si="104"/>
        <v>31</v>
      </c>
      <c r="AP151" s="33">
        <f t="shared" si="105"/>
        <v>41334</v>
      </c>
      <c r="AQ151" s="58">
        <f t="shared" ca="1" si="106"/>
        <v>4308</v>
      </c>
      <c r="AR151" s="38">
        <f>'ANR OK vs ML7'!AR151</f>
        <v>0.1</v>
      </c>
      <c r="AS151" s="35">
        <f t="shared" ca="1" si="107"/>
        <v>0.31634341104515479</v>
      </c>
      <c r="AT151" s="3">
        <f t="shared" si="108"/>
        <v>1</v>
      </c>
      <c r="AU151" s="3">
        <f t="shared" si="109"/>
        <v>31</v>
      </c>
      <c r="AW151" s="32">
        <f t="shared" ca="1" si="110"/>
        <v>120597.3434827789</v>
      </c>
      <c r="AX151" s="32">
        <f t="shared" si="111"/>
        <v>80772.700557675213</v>
      </c>
      <c r="AY151" s="32">
        <f t="shared" ca="1" si="112"/>
        <v>39824.642925103697</v>
      </c>
      <c r="BA151" s="32">
        <f ca="1">IF($A152="","",F151*Summary!$Q$14)</f>
        <v>0</v>
      </c>
      <c r="BC151" s="256">
        <f t="shared" ca="1" si="116"/>
        <v>25551.91161374385</v>
      </c>
    </row>
    <row r="152" spans="1:55">
      <c r="A152" s="67">
        <f t="shared" si="113"/>
        <v>41365</v>
      </c>
      <c r="B152" s="69">
        <f t="shared" si="114"/>
        <v>28400</v>
      </c>
      <c r="C152" s="71"/>
      <c r="D152" s="69">
        <f t="shared" si="78"/>
        <v>28400</v>
      </c>
      <c r="E152" s="70">
        <f t="shared" si="79"/>
        <v>852000</v>
      </c>
      <c r="F152" s="70">
        <f t="shared" ca="1" si="80"/>
        <v>267301.60922652326</v>
      </c>
      <c r="G152" s="63">
        <f t="shared" si="81"/>
        <v>4.4349999999999996</v>
      </c>
      <c r="H152" s="64">
        <f t="shared" si="82"/>
        <v>4.4349999999999996</v>
      </c>
      <c r="I152" s="43"/>
      <c r="J152" s="63">
        <f t="shared" si="83"/>
        <v>0.23499999999999999</v>
      </c>
      <c r="K152" s="64">
        <f t="shared" si="84"/>
        <v>0.23499999999999999</v>
      </c>
      <c r="L152" s="38">
        <v>0</v>
      </c>
      <c r="M152" s="64">
        <f t="shared" si="85"/>
        <v>0</v>
      </c>
      <c r="N152" s="65"/>
      <c r="O152" s="63">
        <f t="shared" si="86"/>
        <v>4.67</v>
      </c>
      <c r="P152" s="63">
        <f t="shared" si="87"/>
        <v>4.67</v>
      </c>
      <c r="Q152" s="66"/>
      <c r="R152" s="63">
        <f t="shared" si="88"/>
        <v>0.18</v>
      </c>
      <c r="S152" s="64">
        <f t="shared" si="89"/>
        <v>0.18</v>
      </c>
      <c r="T152" s="63">
        <f t="shared" si="90"/>
        <v>0</v>
      </c>
      <c r="U152" s="64">
        <f t="shared" si="91"/>
        <v>0</v>
      </c>
      <c r="V152" s="207">
        <f>IF($A153="","",IF(AND(MONTH(A152)&gt;3,MONTH(A152)&lt;11),(T152+R152+G152)*(((1/(1-Summary!$T$14))/(1-Summary!$W$14))-1),(T152+R152+G152)*((1/(1-Summary!$U$14))/(1-Summary!$X$14)-1)))</f>
        <v>4.9212101887009835E-2</v>
      </c>
      <c r="W152" s="43">
        <f t="shared" si="92"/>
        <v>4.6642121018870091</v>
      </c>
      <c r="X152" s="43">
        <f t="shared" si="93"/>
        <v>4.6642121018870091</v>
      </c>
      <c r="Y152" s="43"/>
      <c r="Z152" s="38">
        <f t="shared" si="94"/>
        <v>0.45</v>
      </c>
      <c r="AA152" s="38">
        <f t="shared" si="95"/>
        <v>0.17</v>
      </c>
      <c r="AB152" s="38">
        <f t="shared" ca="1" si="96"/>
        <v>0.1720659949392305</v>
      </c>
      <c r="AC152" s="38">
        <f t="shared" si="97"/>
        <v>0.5</v>
      </c>
      <c r="AD152" s="38">
        <f t="shared" si="98"/>
        <v>0.17</v>
      </c>
      <c r="AE152" s="38">
        <f t="shared" ca="1" si="99"/>
        <v>0.17254250188682052</v>
      </c>
      <c r="AF152" s="237">
        <f ca="1">((Summary!$N$14*(AA152*AD152)*(A152-$D$3))+(Summary!$M$14*Z152*AC152*(AJ152-EOMONTH(EDATE(A152,-1),0))))/(AK152*AB152*AE152)</f>
        <v>0.99976090534597206</v>
      </c>
      <c r="AG152" s="88">
        <f>IF($A153="","",Summary!$Q$14)</f>
        <v>0</v>
      </c>
      <c r="AH152" s="88">
        <f>IF($A153="","",IF(Summary!$R$12="Y",(VLOOKUP($A152,Summary!$AD$6:$AF$9,3)+'Escalating commodity'!J165),'Escalating commodity'!J165))</f>
        <v>6.1632929795434662E-3</v>
      </c>
      <c r="AI152" s="88">
        <f t="shared" si="115"/>
        <v>6.1632929795434662E-3</v>
      </c>
      <c r="AJ152" s="236">
        <f t="shared" si="100"/>
        <v>41379</v>
      </c>
      <c r="AK152" s="58">
        <f t="shared" ca="1" si="101"/>
        <v>4339</v>
      </c>
      <c r="AL152" s="26">
        <f ca="1">IF($A153="","",_xll.SPRDOPT(P152,X152,AI152,0,AB152,AE152,AF152,AK152,$AJ$2,0))</f>
        <v>1.2934968269876904E-2</v>
      </c>
      <c r="AM152" s="89">
        <f t="shared" si="102"/>
        <v>0</v>
      </c>
      <c r="AN152" s="89">
        <f t="shared" ca="1" si="103"/>
        <v>1.2934968269876904E-2</v>
      </c>
      <c r="AO152" s="3">
        <f t="shared" si="104"/>
        <v>30</v>
      </c>
      <c r="AP152" s="33">
        <f t="shared" si="105"/>
        <v>41365</v>
      </c>
      <c r="AQ152" s="58">
        <f t="shared" ca="1" si="106"/>
        <v>4339</v>
      </c>
      <c r="AR152" s="38">
        <f>'ANR OK vs ML7'!AR152</f>
        <v>0.1</v>
      </c>
      <c r="AS152" s="35">
        <f t="shared" ca="1" si="107"/>
        <v>0.31373428312972212</v>
      </c>
      <c r="AT152" s="3">
        <f t="shared" si="108"/>
        <v>1</v>
      </c>
      <c r="AU152" s="3">
        <f t="shared" si="109"/>
        <v>30</v>
      </c>
      <c r="AW152" s="32">
        <f t="shared" ca="1" si="110"/>
        <v>11020.592965935122</v>
      </c>
      <c r="AX152" s="32">
        <f t="shared" si="111"/>
        <v>0</v>
      </c>
      <c r="AY152" s="32">
        <f t="shared" ca="1" si="112"/>
        <v>11020.592965935122</v>
      </c>
      <c r="BA152" s="32">
        <f ca="1">IF($A153="","",F152*Summary!$Q$14)</f>
        <v>0</v>
      </c>
      <c r="BC152" s="256">
        <f t="shared" ca="1" si="116"/>
        <v>0</v>
      </c>
    </row>
    <row r="153" spans="1:55">
      <c r="A153" s="67">
        <f t="shared" si="113"/>
        <v>41395</v>
      </c>
      <c r="B153" s="69">
        <f t="shared" si="114"/>
        <v>28400</v>
      </c>
      <c r="C153" s="71"/>
      <c r="D153" s="69">
        <f t="shared" si="78"/>
        <v>28400</v>
      </c>
      <c r="E153" s="70">
        <f t="shared" si="79"/>
        <v>880400</v>
      </c>
      <c r="F153" s="70">
        <f t="shared" ca="1" si="80"/>
        <v>274006.72637166589</v>
      </c>
      <c r="G153" s="63">
        <f t="shared" si="81"/>
        <v>4.4050000000000002</v>
      </c>
      <c r="H153" s="64">
        <f t="shared" si="82"/>
        <v>4.4050000000000002</v>
      </c>
      <c r="I153" s="43"/>
      <c r="J153" s="63">
        <f t="shared" si="83"/>
        <v>0.23499999999999999</v>
      </c>
      <c r="K153" s="64">
        <f t="shared" si="84"/>
        <v>0.23499999999999999</v>
      </c>
      <c r="L153" s="38">
        <v>0</v>
      </c>
      <c r="M153" s="64">
        <f t="shared" si="85"/>
        <v>0</v>
      </c>
      <c r="N153" s="65"/>
      <c r="O153" s="63">
        <f t="shared" si="86"/>
        <v>4.6400000000000006</v>
      </c>
      <c r="P153" s="63">
        <f t="shared" si="87"/>
        <v>4.6400000000000006</v>
      </c>
      <c r="Q153" s="66"/>
      <c r="R153" s="63">
        <f t="shared" si="88"/>
        <v>0.18</v>
      </c>
      <c r="S153" s="64">
        <f t="shared" si="89"/>
        <v>0.18</v>
      </c>
      <c r="T153" s="63">
        <f t="shared" si="90"/>
        <v>0</v>
      </c>
      <c r="U153" s="64">
        <f t="shared" si="91"/>
        <v>0</v>
      </c>
      <c r="V153" s="207">
        <f>IF($A154="","",IF(AND(MONTH(A153)&gt;3,MONTH(A153)&lt;11),(T153+R153+G153)*(((1/(1-Summary!$T$14))/(1-Summary!$W$14))-1),(T153+R153+G153)*((1/(1-Summary!$U$14))/(1-Summary!$X$14)-1)))</f>
        <v>4.8892196565967522E-2</v>
      </c>
      <c r="W153" s="43">
        <f t="shared" si="92"/>
        <v>4.6338921965659674</v>
      </c>
      <c r="X153" s="43">
        <f t="shared" si="93"/>
        <v>4.6338921965659674</v>
      </c>
      <c r="Y153" s="43"/>
      <c r="Z153" s="38">
        <f t="shared" si="94"/>
        <v>0.5</v>
      </c>
      <c r="AA153" s="38">
        <f t="shared" si="95"/>
        <v>0.17</v>
      </c>
      <c r="AB153" s="38">
        <f t="shared" ca="1" si="96"/>
        <v>0.17260806885466767</v>
      </c>
      <c r="AC153" s="38">
        <f t="shared" si="97"/>
        <v>0.45</v>
      </c>
      <c r="AD153" s="38">
        <f t="shared" si="98"/>
        <v>0.17</v>
      </c>
      <c r="AE153" s="38">
        <f t="shared" ca="1" si="99"/>
        <v>0.17211922789353332</v>
      </c>
      <c r="AF153" s="237">
        <f ca="1">((Summary!$N$14*(AA153*AD153)*(A153-$D$3))+(Summary!$M$14*Z153*AC153*(AJ153-EOMONTH(EDATE(A153,-1),0))))/(AK153*AB153*AE153)</f>
        <v>0.99975745426171536</v>
      </c>
      <c r="AG153" s="88">
        <f>IF($A154="","",Summary!$Q$14)</f>
        <v>0</v>
      </c>
      <c r="AH153" s="88">
        <f>IF($A154="","",IF(Summary!$R$12="Y",(VLOOKUP($A153,Summary!$AD$6:$AF$9,3)+'Escalating commodity'!J166),'Escalating commodity'!J166))</f>
        <v>6.1632929795434662E-3</v>
      </c>
      <c r="AI153" s="88">
        <f t="shared" si="115"/>
        <v>6.1632929795434662E-3</v>
      </c>
      <c r="AJ153" s="236">
        <f t="shared" si="100"/>
        <v>41409.5</v>
      </c>
      <c r="AK153" s="58">
        <f t="shared" ca="1" si="101"/>
        <v>4369</v>
      </c>
      <c r="AL153" s="26">
        <f ca="1">IF($A154="","",_xll.SPRDOPT(P153,X153,AI153,0,AB153,AE153,AF153,AK153,$AJ$2,0))</f>
        <v>1.5411888723493757E-2</v>
      </c>
      <c r="AM153" s="89">
        <f t="shared" si="102"/>
        <v>0</v>
      </c>
      <c r="AN153" s="89">
        <f t="shared" ca="1" si="103"/>
        <v>1.5411888723493757E-2</v>
      </c>
      <c r="AO153" s="3">
        <f t="shared" si="104"/>
        <v>31</v>
      </c>
      <c r="AP153" s="33">
        <f t="shared" si="105"/>
        <v>41395</v>
      </c>
      <c r="AQ153" s="58">
        <f t="shared" ca="1" si="106"/>
        <v>4369</v>
      </c>
      <c r="AR153" s="38">
        <f>'ANR OK vs ML7'!AR153</f>
        <v>0.1</v>
      </c>
      <c r="AS153" s="35">
        <f t="shared" ca="1" si="107"/>
        <v>0.31122981187149695</v>
      </c>
      <c r="AT153" s="3">
        <f t="shared" si="108"/>
        <v>1</v>
      </c>
      <c r="AU153" s="3">
        <f t="shared" si="109"/>
        <v>31</v>
      </c>
      <c r="AW153" s="32">
        <f t="shared" ca="1" si="110"/>
        <v>13568.626832163904</v>
      </c>
      <c r="AX153" s="32">
        <f t="shared" si="111"/>
        <v>0</v>
      </c>
      <c r="AY153" s="32">
        <f t="shared" ca="1" si="112"/>
        <v>13568.626832163904</v>
      </c>
      <c r="BA153" s="32">
        <f ca="1">IF($A154="","",F153*Summary!$Q$14)</f>
        <v>0</v>
      </c>
      <c r="BC153" s="256">
        <f t="shared" ca="1" si="116"/>
        <v>0</v>
      </c>
    </row>
    <row r="154" spans="1:55">
      <c r="A154" s="67">
        <f t="shared" si="113"/>
        <v>41426</v>
      </c>
      <c r="B154" s="69">
        <f t="shared" si="114"/>
        <v>28400</v>
      </c>
      <c r="C154" s="71"/>
      <c r="D154" s="69">
        <f t="shared" si="78"/>
        <v>28400</v>
      </c>
      <c r="E154" s="70">
        <f t="shared" si="79"/>
        <v>852000</v>
      </c>
      <c r="F154" s="70">
        <f t="shared" ca="1" si="80"/>
        <v>262980.756506556</v>
      </c>
      <c r="G154" s="63">
        <f t="shared" si="81"/>
        <v>4.4749999999999996</v>
      </c>
      <c r="H154" s="64">
        <f t="shared" si="82"/>
        <v>4.4749999999999996</v>
      </c>
      <c r="I154" s="43"/>
      <c r="J154" s="63">
        <f t="shared" si="83"/>
        <v>0.23499999999999999</v>
      </c>
      <c r="K154" s="64">
        <f t="shared" si="84"/>
        <v>0.23499999999999999</v>
      </c>
      <c r="L154" s="38">
        <v>0</v>
      </c>
      <c r="M154" s="64">
        <f t="shared" si="85"/>
        <v>0</v>
      </c>
      <c r="N154" s="65"/>
      <c r="O154" s="63">
        <f t="shared" si="86"/>
        <v>4.71</v>
      </c>
      <c r="P154" s="63">
        <f t="shared" si="87"/>
        <v>4.71</v>
      </c>
      <c r="Q154" s="66"/>
      <c r="R154" s="63">
        <f t="shared" si="88"/>
        <v>0.18</v>
      </c>
      <c r="S154" s="64">
        <f t="shared" si="89"/>
        <v>0.18</v>
      </c>
      <c r="T154" s="63">
        <f t="shared" si="90"/>
        <v>0</v>
      </c>
      <c r="U154" s="64">
        <f t="shared" si="91"/>
        <v>0</v>
      </c>
      <c r="V154" s="207">
        <f>IF($A155="","",IF(AND(MONTH(A154)&gt;3,MONTH(A154)&lt;11),(T154+R154+G154)*(((1/(1-Summary!$T$14))/(1-Summary!$W$14))-1),(T154+R154+G154)*((1/(1-Summary!$U$14))/(1-Summary!$X$14)-1)))</f>
        <v>4.9638642315066261E-2</v>
      </c>
      <c r="W154" s="43">
        <f t="shared" si="92"/>
        <v>4.7046386423150652</v>
      </c>
      <c r="X154" s="43">
        <f t="shared" si="93"/>
        <v>4.7046386423150652</v>
      </c>
      <c r="Y154" s="43"/>
      <c r="Z154" s="38">
        <f t="shared" si="94"/>
        <v>0.5</v>
      </c>
      <c r="AA154" s="38">
        <f t="shared" si="95"/>
        <v>0.17</v>
      </c>
      <c r="AB154" s="38">
        <f t="shared" ca="1" si="96"/>
        <v>0.17250750971795667</v>
      </c>
      <c r="AC154" s="38">
        <f t="shared" si="97"/>
        <v>0.5</v>
      </c>
      <c r="AD154" s="38">
        <f t="shared" si="98"/>
        <v>0.17</v>
      </c>
      <c r="AE154" s="38">
        <f t="shared" ca="1" si="99"/>
        <v>0.17250750971795667</v>
      </c>
      <c r="AF154" s="237">
        <f ca="1">((Summary!$N$14*(AA154*AD154)*(A154-$D$3))+(Summary!$M$14*Z154*AC154*(AJ154-EOMONTH(EDATE(A154,-1),0))))/(AK154*AB154*AE154)</f>
        <v>0.9999028639311921</v>
      </c>
      <c r="AG154" s="88">
        <f>IF($A155="","",Summary!$Q$14)</f>
        <v>0</v>
      </c>
      <c r="AH154" s="88">
        <f>IF($A155="","",IF(Summary!$R$12="Y",(VLOOKUP($A154,Summary!$AD$6:$AF$9,3)+'Escalating commodity'!J167),'Escalating commodity'!J167))</f>
        <v>6.1632929795434662E-3</v>
      </c>
      <c r="AI154" s="88">
        <f t="shared" si="115"/>
        <v>6.1632929795434662E-3</v>
      </c>
      <c r="AJ154" s="236">
        <f t="shared" si="100"/>
        <v>41440</v>
      </c>
      <c r="AK154" s="58">
        <f t="shared" ca="1" si="101"/>
        <v>4400</v>
      </c>
      <c r="AL154" s="26">
        <f ca="1">IF($A155="","",_xll.SPRDOPT(P154,X154,AI154,0,AB154,AE154,AF154,AK154,$AJ$2,0))</f>
        <v>5.7429128105529539E-3</v>
      </c>
      <c r="AM154" s="89">
        <f t="shared" si="102"/>
        <v>0</v>
      </c>
      <c r="AN154" s="89">
        <f t="shared" ca="1" si="103"/>
        <v>5.7429128105529539E-3</v>
      </c>
      <c r="AO154" s="3">
        <f t="shared" si="104"/>
        <v>30</v>
      </c>
      <c r="AP154" s="33">
        <f t="shared" si="105"/>
        <v>41426</v>
      </c>
      <c r="AQ154" s="58">
        <f t="shared" ca="1" si="106"/>
        <v>4400</v>
      </c>
      <c r="AR154" s="38">
        <f>'ANR OK vs ML7'!AR154</f>
        <v>0.1</v>
      </c>
      <c r="AS154" s="35">
        <f t="shared" ca="1" si="107"/>
        <v>0.30866285974947888</v>
      </c>
      <c r="AT154" s="3">
        <f t="shared" si="108"/>
        <v>1</v>
      </c>
      <c r="AU154" s="3">
        <f t="shared" si="109"/>
        <v>30</v>
      </c>
      <c r="AW154" s="32">
        <f t="shared" ca="1" si="110"/>
        <v>4892.961714591117</v>
      </c>
      <c r="AX154" s="32">
        <f t="shared" si="111"/>
        <v>0</v>
      </c>
      <c r="AY154" s="32">
        <f t="shared" ca="1" si="112"/>
        <v>4892.961714591117</v>
      </c>
      <c r="BA154" s="32">
        <f ca="1">IF($A155="","",F154*Summary!$Q$14)</f>
        <v>0</v>
      </c>
      <c r="BC154" s="256">
        <f t="shared" ca="1" si="116"/>
        <v>0</v>
      </c>
    </row>
    <row r="155" spans="1:55">
      <c r="A155" s="67">
        <f t="shared" si="113"/>
        <v>41456</v>
      </c>
      <c r="B155" s="69">
        <f t="shared" si="114"/>
        <v>28400</v>
      </c>
      <c r="C155" s="71"/>
      <c r="D155" s="69">
        <f t="shared" si="78"/>
        <v>28400</v>
      </c>
      <c r="E155" s="70">
        <f t="shared" si="79"/>
        <v>880400</v>
      </c>
      <c r="F155" s="70">
        <f t="shared" ca="1" si="80"/>
        <v>269577.4873844476</v>
      </c>
      <c r="G155" s="63">
        <f t="shared" si="81"/>
        <v>4.53</v>
      </c>
      <c r="H155" s="64">
        <f t="shared" si="82"/>
        <v>4.53</v>
      </c>
      <c r="I155" s="43"/>
      <c r="J155" s="63">
        <f t="shared" si="83"/>
        <v>0.23499999999999999</v>
      </c>
      <c r="K155" s="64">
        <f t="shared" si="84"/>
        <v>0.23499999999999999</v>
      </c>
      <c r="L155" s="38">
        <v>0</v>
      </c>
      <c r="M155" s="64">
        <f t="shared" si="85"/>
        <v>0</v>
      </c>
      <c r="N155" s="65"/>
      <c r="O155" s="63">
        <f t="shared" si="86"/>
        <v>4.7650000000000006</v>
      </c>
      <c r="P155" s="63">
        <f t="shared" si="87"/>
        <v>4.7650000000000006</v>
      </c>
      <c r="Q155" s="66"/>
      <c r="R155" s="63">
        <f t="shared" si="88"/>
        <v>0.18</v>
      </c>
      <c r="S155" s="64">
        <f t="shared" si="89"/>
        <v>0.18</v>
      </c>
      <c r="T155" s="63">
        <f t="shared" si="90"/>
        <v>0</v>
      </c>
      <c r="U155" s="64">
        <f t="shared" si="91"/>
        <v>0</v>
      </c>
      <c r="V155" s="207">
        <f>IF($A156="","",IF(AND(MONTH(A155)&gt;3,MONTH(A155)&lt;11),(T155+R155+G155)*(((1/(1-Summary!$T$14))/(1-Summary!$W$14))-1),(T155+R155+G155)*((1/(1-Summary!$U$14))/(1-Summary!$X$14)-1)))</f>
        <v>5.0225135403643845E-2</v>
      </c>
      <c r="W155" s="43">
        <f t="shared" si="92"/>
        <v>4.760225135403644</v>
      </c>
      <c r="X155" s="43">
        <f t="shared" si="93"/>
        <v>4.760225135403644</v>
      </c>
      <c r="Y155" s="43"/>
      <c r="Z155" s="38">
        <f t="shared" si="94"/>
        <v>0.55000000000000004</v>
      </c>
      <c r="AA155" s="38">
        <f t="shared" si="95"/>
        <v>0.17</v>
      </c>
      <c r="AB155" s="38">
        <f t="shared" ca="1" si="96"/>
        <v>0.17310381936834818</v>
      </c>
      <c r="AC155" s="38">
        <f t="shared" si="97"/>
        <v>0.5</v>
      </c>
      <c r="AD155" s="38">
        <f t="shared" si="98"/>
        <v>0.17</v>
      </c>
      <c r="AE155" s="38">
        <f t="shared" ca="1" si="99"/>
        <v>0.17257242402825754</v>
      </c>
      <c r="AF155" s="237">
        <f ca="1">((Summary!$N$14*(AA155*AD155)*(A155-$D$3))+(Summary!$M$14*Z155*AC155*(AJ155-EOMONTH(EDATE(A155,-1),0))))/(AK155*AB155*AE155)</f>
        <v>0.99976155511750509</v>
      </c>
      <c r="AG155" s="88">
        <f>IF($A156="","",Summary!$Q$14)</f>
        <v>0</v>
      </c>
      <c r="AH155" s="88">
        <f>IF($A156="","",IF(Summary!$R$12="Y",(VLOOKUP($A155,Summary!$AD$6:$AF$9,3)+'Escalating commodity'!J168),'Escalating commodity'!J168))</f>
        <v>6.1632929795434662E-3</v>
      </c>
      <c r="AI155" s="88">
        <f t="shared" si="115"/>
        <v>6.1632929795434662E-3</v>
      </c>
      <c r="AJ155" s="236">
        <f t="shared" si="100"/>
        <v>41470.5</v>
      </c>
      <c r="AK155" s="58">
        <f t="shared" ca="1" si="101"/>
        <v>4430</v>
      </c>
      <c r="AL155" s="26">
        <f ca="1">IF($A156="","",_xll.SPRDOPT(P155,X155,AI155,0,AB155,AE155,AF155,AK155,$AJ$2,0))</f>
        <v>1.5308597064988931E-2</v>
      </c>
      <c r="AM155" s="89">
        <f t="shared" si="102"/>
        <v>0</v>
      </c>
      <c r="AN155" s="89">
        <f t="shared" ca="1" si="103"/>
        <v>1.5308597064988931E-2</v>
      </c>
      <c r="AO155" s="3">
        <f t="shared" si="104"/>
        <v>31</v>
      </c>
      <c r="AP155" s="33">
        <f t="shared" si="105"/>
        <v>41456</v>
      </c>
      <c r="AQ155" s="58">
        <f t="shared" ca="1" si="106"/>
        <v>4430</v>
      </c>
      <c r="AR155" s="38">
        <f>'ANR OK vs ML7'!AR155</f>
        <v>0.1</v>
      </c>
      <c r="AS155" s="35">
        <f t="shared" ca="1" si="107"/>
        <v>0.30619887254026307</v>
      </c>
      <c r="AT155" s="3">
        <f t="shared" si="108"/>
        <v>1</v>
      </c>
      <c r="AU155" s="3">
        <f t="shared" si="109"/>
        <v>31</v>
      </c>
      <c r="AW155" s="32">
        <f t="shared" ca="1" si="110"/>
        <v>13477.688856016255</v>
      </c>
      <c r="AX155" s="32">
        <f t="shared" si="111"/>
        <v>0</v>
      </c>
      <c r="AY155" s="32">
        <f t="shared" ca="1" si="112"/>
        <v>13477.688856016255</v>
      </c>
      <c r="BA155" s="32">
        <f ca="1">IF($A156="","",F155*Summary!$Q$14)</f>
        <v>0</v>
      </c>
      <c r="BC155" s="256">
        <f t="shared" ca="1" si="116"/>
        <v>0</v>
      </c>
    </row>
    <row r="156" spans="1:55">
      <c r="A156" s="67">
        <f t="shared" si="113"/>
        <v>41487</v>
      </c>
      <c r="B156" s="69">
        <f t="shared" si="114"/>
        <v>28400</v>
      </c>
      <c r="C156" s="71"/>
      <c r="D156" s="69">
        <f t="shared" si="78"/>
        <v>28400</v>
      </c>
      <c r="E156" s="70">
        <f t="shared" si="79"/>
        <v>880400</v>
      </c>
      <c r="F156" s="70">
        <f t="shared" ca="1" si="80"/>
        <v>267354.07408374647</v>
      </c>
      <c r="G156" s="63">
        <f t="shared" si="81"/>
        <v>4.5860000000000003</v>
      </c>
      <c r="H156" s="64">
        <f t="shared" si="82"/>
        <v>4.5860000000000003</v>
      </c>
      <c r="I156" s="43"/>
      <c r="J156" s="63">
        <f t="shared" si="83"/>
        <v>0.23499999999999999</v>
      </c>
      <c r="K156" s="64">
        <f t="shared" si="84"/>
        <v>0.23499999999999999</v>
      </c>
      <c r="L156" s="38">
        <v>0</v>
      </c>
      <c r="M156" s="64">
        <f t="shared" si="85"/>
        <v>0</v>
      </c>
      <c r="N156" s="65"/>
      <c r="O156" s="63">
        <f t="shared" si="86"/>
        <v>4.8210000000000006</v>
      </c>
      <c r="P156" s="63">
        <f t="shared" si="87"/>
        <v>4.8210000000000006</v>
      </c>
      <c r="Q156" s="66"/>
      <c r="R156" s="63">
        <f t="shared" si="88"/>
        <v>0.18</v>
      </c>
      <c r="S156" s="64">
        <f t="shared" si="89"/>
        <v>0.18</v>
      </c>
      <c r="T156" s="63">
        <f t="shared" si="90"/>
        <v>0</v>
      </c>
      <c r="U156" s="64">
        <f t="shared" si="91"/>
        <v>0</v>
      </c>
      <c r="V156" s="207">
        <f>IF($A157="","",IF(AND(MONTH(A156)&gt;3,MONTH(A156)&lt;11),(T156+R156+G156)*(((1/(1-Summary!$T$14))/(1-Summary!$W$14))-1),(T156+R156+G156)*((1/(1-Summary!$U$14))/(1-Summary!$X$14)-1)))</f>
        <v>5.0822292002922841E-2</v>
      </c>
      <c r="W156" s="43">
        <f t="shared" si="92"/>
        <v>4.8168222920029224</v>
      </c>
      <c r="X156" s="43">
        <f t="shared" si="93"/>
        <v>4.8168222920029224</v>
      </c>
      <c r="Y156" s="43"/>
      <c r="Z156" s="38">
        <f t="shared" si="94"/>
        <v>0.6</v>
      </c>
      <c r="AA156" s="38">
        <f t="shared" si="95"/>
        <v>0.17</v>
      </c>
      <c r="AB156" s="38">
        <f t="shared" ca="1" si="96"/>
        <v>0.17365862773491639</v>
      </c>
      <c r="AC156" s="38">
        <f t="shared" si="97"/>
        <v>0.45</v>
      </c>
      <c r="AD156" s="38">
        <f t="shared" si="98"/>
        <v>0.17</v>
      </c>
      <c r="AE156" s="38">
        <f t="shared" ca="1" si="99"/>
        <v>0.1720757862573786</v>
      </c>
      <c r="AF156" s="237">
        <f ca="1">((Summary!$N$14*(AA156*AD156)*(A156-$D$3))+(Summary!$M$14*Z156*AC156*(AJ156-EOMONTH(EDATE(A156,-1),0))))/(AK156*AB156*AE156)</f>
        <v>0.99863710202678868</v>
      </c>
      <c r="AG156" s="88">
        <f>IF($A157="","",Summary!$Q$14)</f>
        <v>0</v>
      </c>
      <c r="AH156" s="88">
        <f>IF($A157="","",IF(Summary!$R$12="Y",(VLOOKUP($A156,Summary!$AD$6:$AF$9,3)+'Escalating commodity'!J169),'Escalating commodity'!J169))</f>
        <v>6.1632929795434662E-3</v>
      </c>
      <c r="AI156" s="88">
        <f t="shared" si="115"/>
        <v>6.1632929795434662E-3</v>
      </c>
      <c r="AJ156" s="236">
        <f t="shared" si="100"/>
        <v>41501.5</v>
      </c>
      <c r="AK156" s="58">
        <f t="shared" ca="1" si="101"/>
        <v>4461</v>
      </c>
      <c r="AL156" s="26">
        <f ca="1">IF($A157="","",_xll.SPRDOPT(P156,X156,AI156,0,AB156,AE156,AF156,AK156,$AJ$2,0))</f>
        <v>6.084803232125556E-2</v>
      </c>
      <c r="AM156" s="89">
        <f t="shared" si="102"/>
        <v>0</v>
      </c>
      <c r="AN156" s="89">
        <f t="shared" ca="1" si="103"/>
        <v>6.084803232125556E-2</v>
      </c>
      <c r="AO156" s="3">
        <f t="shared" si="104"/>
        <v>31</v>
      </c>
      <c r="AP156" s="33">
        <f t="shared" si="105"/>
        <v>41487</v>
      </c>
      <c r="AQ156" s="58">
        <f t="shared" ca="1" si="106"/>
        <v>4461</v>
      </c>
      <c r="AR156" s="38">
        <f>'ANR OK vs ML7'!AR156</f>
        <v>0.1</v>
      </c>
      <c r="AS156" s="35">
        <f t="shared" ca="1" si="107"/>
        <v>0.30367341445223361</v>
      </c>
      <c r="AT156" s="3">
        <f t="shared" si="108"/>
        <v>1</v>
      </c>
      <c r="AU156" s="3">
        <f t="shared" si="109"/>
        <v>31</v>
      </c>
      <c r="AW156" s="32">
        <f t="shared" ca="1" si="110"/>
        <v>53570.607655633394</v>
      </c>
      <c r="AX156" s="32">
        <f t="shared" si="111"/>
        <v>0</v>
      </c>
      <c r="AY156" s="32">
        <f t="shared" ca="1" si="112"/>
        <v>53570.607655633394</v>
      </c>
      <c r="BA156" s="32">
        <f ca="1">IF($A157="","",F156*Summary!$Q$14)</f>
        <v>0</v>
      </c>
      <c r="BC156" s="256">
        <f t="shared" ca="1" si="116"/>
        <v>0</v>
      </c>
    </row>
    <row r="157" spans="1:55">
      <c r="A157" s="67">
        <f t="shared" si="113"/>
        <v>41518</v>
      </c>
      <c r="B157" s="69">
        <f t="shared" si="114"/>
        <v>28400</v>
      </c>
      <c r="C157" s="71"/>
      <c r="D157" s="69">
        <f t="shared" si="78"/>
        <v>28400</v>
      </c>
      <c r="E157" s="70">
        <f t="shared" si="79"/>
        <v>852000</v>
      </c>
      <c r="F157" s="70">
        <f t="shared" ca="1" si="80"/>
        <v>256595.80547043044</v>
      </c>
      <c r="G157" s="63">
        <f t="shared" si="81"/>
        <v>4.5999999999999996</v>
      </c>
      <c r="H157" s="64">
        <f t="shared" si="82"/>
        <v>4.5999999999999996</v>
      </c>
      <c r="I157" s="43"/>
      <c r="J157" s="63">
        <f t="shared" si="83"/>
        <v>0.23499999999999999</v>
      </c>
      <c r="K157" s="64">
        <f t="shared" si="84"/>
        <v>0.23499999999999999</v>
      </c>
      <c r="L157" s="38">
        <v>0</v>
      </c>
      <c r="M157" s="64">
        <f t="shared" si="85"/>
        <v>0</v>
      </c>
      <c r="N157" s="65"/>
      <c r="O157" s="63">
        <f t="shared" si="86"/>
        <v>4.835</v>
      </c>
      <c r="P157" s="63">
        <f t="shared" si="87"/>
        <v>4.835</v>
      </c>
      <c r="Q157" s="66"/>
      <c r="R157" s="63">
        <f t="shared" si="88"/>
        <v>0.18</v>
      </c>
      <c r="S157" s="64">
        <f t="shared" si="89"/>
        <v>0.18</v>
      </c>
      <c r="T157" s="63">
        <f t="shared" si="90"/>
        <v>0</v>
      </c>
      <c r="U157" s="64">
        <f t="shared" si="91"/>
        <v>0</v>
      </c>
      <c r="V157" s="207">
        <f>IF($A158="","",IF(AND(MONTH(A157)&gt;3,MONTH(A157)&lt;11),(T157+R157+G157)*(((1/(1-Summary!$T$14))/(1-Summary!$W$14))-1),(T157+R157+G157)*((1/(1-Summary!$U$14))/(1-Summary!$X$14)-1)))</f>
        <v>5.0971581152742584E-2</v>
      </c>
      <c r="W157" s="43">
        <f t="shared" si="92"/>
        <v>4.8309715811527418</v>
      </c>
      <c r="X157" s="43">
        <f t="shared" si="93"/>
        <v>4.8309715811527418</v>
      </c>
      <c r="Y157" s="43"/>
      <c r="Z157" s="38">
        <f t="shared" si="94"/>
        <v>0.6</v>
      </c>
      <c r="AA157" s="38">
        <f t="shared" si="95"/>
        <v>0.17</v>
      </c>
      <c r="AB157" s="38">
        <f t="shared" ca="1" si="96"/>
        <v>0.17351821458429095</v>
      </c>
      <c r="AC157" s="38">
        <f t="shared" si="97"/>
        <v>0.5</v>
      </c>
      <c r="AD157" s="38">
        <f t="shared" si="98"/>
        <v>0.17</v>
      </c>
      <c r="AE157" s="38">
        <f t="shared" ca="1" si="99"/>
        <v>0.17245651948560814</v>
      </c>
      <c r="AF157" s="237">
        <f ca="1">((Summary!$N$14*(AA157*AD157)*(A157-$D$3))+(Summary!$M$14*Z157*AC157*(AJ157-EOMONTH(EDATE(A157,-1),0))))/(AK157*AB157*AE157)</f>
        <v>0.99936428373978214</v>
      </c>
      <c r="AG157" s="88">
        <f>IF($A158="","",Summary!$Q$14)</f>
        <v>0</v>
      </c>
      <c r="AH157" s="88">
        <f>IF($A158="","",IF(Summary!$R$12="Y",(VLOOKUP($A157,Summary!$AD$6:$AF$9,3)+'Escalating commodity'!J170),'Escalating commodity'!J170))</f>
        <v>6.1632929795434662E-3</v>
      </c>
      <c r="AI157" s="88">
        <f t="shared" si="115"/>
        <v>6.1632929795434662E-3</v>
      </c>
      <c r="AJ157" s="236">
        <f t="shared" si="100"/>
        <v>41532</v>
      </c>
      <c r="AK157" s="58">
        <f t="shared" ca="1" si="101"/>
        <v>4492</v>
      </c>
      <c r="AL157" s="26">
        <f ca="1">IF($A158="","",_xll.SPRDOPT(P157,X157,AI157,0,AB157,AE157,AF157,AK157,$AJ$2,0))</f>
        <v>3.5777209836281465E-2</v>
      </c>
      <c r="AM157" s="89">
        <f t="shared" si="102"/>
        <v>0</v>
      </c>
      <c r="AN157" s="89">
        <f t="shared" ca="1" si="103"/>
        <v>3.5777209836281465E-2</v>
      </c>
      <c r="AO157" s="3">
        <f t="shared" si="104"/>
        <v>30</v>
      </c>
      <c r="AP157" s="33">
        <f t="shared" si="105"/>
        <v>41518</v>
      </c>
      <c r="AQ157" s="58">
        <f t="shared" ca="1" si="106"/>
        <v>4492</v>
      </c>
      <c r="AR157" s="38">
        <f>'ANR OK vs ML7'!AR157</f>
        <v>0.1</v>
      </c>
      <c r="AS157" s="35">
        <f t="shared" ca="1" si="107"/>
        <v>0.30116878576341599</v>
      </c>
      <c r="AT157" s="3">
        <f t="shared" si="108"/>
        <v>1</v>
      </c>
      <c r="AU157" s="3">
        <f t="shared" si="109"/>
        <v>30</v>
      </c>
      <c r="AW157" s="32">
        <f t="shared" ca="1" si="110"/>
        <v>30482.182780511808</v>
      </c>
      <c r="AX157" s="32">
        <f t="shared" si="111"/>
        <v>0</v>
      </c>
      <c r="AY157" s="32">
        <f t="shared" ca="1" si="112"/>
        <v>30482.182780511808</v>
      </c>
      <c r="BA157" s="32">
        <f ca="1">IF($A158="","",F157*Summary!$Q$14)</f>
        <v>0</v>
      </c>
      <c r="BC157" s="256">
        <f t="shared" ca="1" si="116"/>
        <v>0</v>
      </c>
    </row>
    <row r="158" spans="1:55">
      <c r="A158" s="67">
        <f t="shared" si="113"/>
        <v>41548</v>
      </c>
      <c r="B158" s="69">
        <f t="shared" si="114"/>
        <v>28400</v>
      </c>
      <c r="C158" s="71"/>
      <c r="D158" s="69">
        <f t="shared" si="78"/>
        <v>28400</v>
      </c>
      <c r="E158" s="70">
        <f t="shared" si="79"/>
        <v>880400</v>
      </c>
      <c r="F158" s="70">
        <f t="shared" ca="1" si="80"/>
        <v>263032.37328463118</v>
      </c>
      <c r="G158" s="63">
        <f t="shared" si="81"/>
        <v>4.6310000000000002</v>
      </c>
      <c r="H158" s="64">
        <f t="shared" si="82"/>
        <v>4.6310000000000002</v>
      </c>
      <c r="I158" s="43"/>
      <c r="J158" s="63">
        <f t="shared" si="83"/>
        <v>0.23499999999999999</v>
      </c>
      <c r="K158" s="64">
        <f t="shared" si="84"/>
        <v>0.23499999999999999</v>
      </c>
      <c r="L158" s="38">
        <v>0</v>
      </c>
      <c r="M158" s="64">
        <f t="shared" si="85"/>
        <v>0</v>
      </c>
      <c r="N158" s="65"/>
      <c r="O158" s="63">
        <f t="shared" si="86"/>
        <v>4.8660000000000005</v>
      </c>
      <c r="P158" s="63">
        <f t="shared" si="87"/>
        <v>4.8660000000000005</v>
      </c>
      <c r="Q158" s="66"/>
      <c r="R158" s="63">
        <f t="shared" si="88"/>
        <v>0.18</v>
      </c>
      <c r="S158" s="64">
        <f t="shared" si="89"/>
        <v>0.18</v>
      </c>
      <c r="T158" s="63">
        <f t="shared" si="90"/>
        <v>0</v>
      </c>
      <c r="U158" s="64">
        <f t="shared" si="91"/>
        <v>0</v>
      </c>
      <c r="V158" s="207">
        <f>IF($A159="","",IF(AND(MONTH(A158)&gt;3,MONTH(A158)&lt;11),(T158+R158+G158)*(((1/(1-Summary!$T$14))/(1-Summary!$W$14))-1),(T158+R158+G158)*((1/(1-Summary!$U$14))/(1-Summary!$X$14)-1)))</f>
        <v>5.1302149984486317E-2</v>
      </c>
      <c r="W158" s="43">
        <f t="shared" si="92"/>
        <v>4.8623021499844858</v>
      </c>
      <c r="X158" s="43">
        <f t="shared" si="93"/>
        <v>4.8623021499844858</v>
      </c>
      <c r="Y158" s="43"/>
      <c r="Z158" s="38">
        <f t="shared" si="94"/>
        <v>0.65</v>
      </c>
      <c r="AA158" s="38">
        <f t="shared" si="95"/>
        <v>0.17</v>
      </c>
      <c r="AB158" s="38">
        <f t="shared" ca="1" si="96"/>
        <v>0.17422568317437101</v>
      </c>
      <c r="AC158" s="38">
        <f t="shared" si="97"/>
        <v>0.5</v>
      </c>
      <c r="AD158" s="38">
        <f t="shared" si="98"/>
        <v>0.17</v>
      </c>
      <c r="AE158" s="38">
        <f t="shared" ca="1" si="99"/>
        <v>0.17252047036076171</v>
      </c>
      <c r="AF158" s="237">
        <f ca="1">((Summary!$N$14*(AA158*AD158)*(A158-$D$3))+(Summary!$M$14*Z158*AC158*(AJ158-EOMONTH(EDATE(A158,-1),0))))/(AK158*AB158*AE158)</f>
        <v>0.99866927571504083</v>
      </c>
      <c r="AG158" s="88">
        <f>IF($A159="","",Summary!$Q$14)</f>
        <v>0</v>
      </c>
      <c r="AH158" s="88">
        <f>IF($A159="","",IF(Summary!$R$12="Y",(VLOOKUP($A158,Summary!$AD$6:$AF$9,3)+'Escalating commodity'!J171),'Escalating commodity'!J171))</f>
        <v>6.1632929795434662E-3</v>
      </c>
      <c r="AI158" s="88">
        <f t="shared" si="115"/>
        <v>6.1632929795434662E-3</v>
      </c>
      <c r="AJ158" s="236">
        <f t="shared" si="100"/>
        <v>41562.5</v>
      </c>
      <c r="AK158" s="58">
        <f t="shared" ca="1" si="101"/>
        <v>4522</v>
      </c>
      <c r="AL158" s="26">
        <f ca="1">IF($A159="","",_xll.SPRDOPT(P158,X158,AI158,0,AB158,AE158,AF158,AK158,$AJ$2,0))</f>
        <v>6.1242066966128543E-2</v>
      </c>
      <c r="AM158" s="89">
        <f t="shared" si="102"/>
        <v>0</v>
      </c>
      <c r="AN158" s="89">
        <f t="shared" ca="1" si="103"/>
        <v>6.1242066966128543E-2</v>
      </c>
      <c r="AO158" s="3">
        <f t="shared" si="104"/>
        <v>31</v>
      </c>
      <c r="AP158" s="33">
        <f t="shared" si="105"/>
        <v>41548</v>
      </c>
      <c r="AQ158" s="58">
        <f t="shared" ca="1" si="106"/>
        <v>4522</v>
      </c>
      <c r="AR158" s="38">
        <f>'ANR OK vs ML7'!AR158</f>
        <v>0.1</v>
      </c>
      <c r="AS158" s="35">
        <f t="shared" ca="1" si="107"/>
        <v>0.29876462208613264</v>
      </c>
      <c r="AT158" s="3">
        <f t="shared" si="108"/>
        <v>1</v>
      </c>
      <c r="AU158" s="3">
        <f t="shared" si="109"/>
        <v>31</v>
      </c>
      <c r="AW158" s="32">
        <f t="shared" ca="1" si="110"/>
        <v>53917.51575697957</v>
      </c>
      <c r="AX158" s="32">
        <f t="shared" si="111"/>
        <v>0</v>
      </c>
      <c r="AY158" s="32">
        <f t="shared" ca="1" si="112"/>
        <v>53917.51575697957</v>
      </c>
      <c r="BA158" s="32">
        <f ca="1">IF($A159="","",F158*Summary!$Q$14)</f>
        <v>0</v>
      </c>
      <c r="BC158" s="256">
        <f t="shared" ca="1" si="116"/>
        <v>0</v>
      </c>
    </row>
    <row r="159" spans="1:55">
      <c r="A159" s="67">
        <f t="shared" si="113"/>
        <v>41579</v>
      </c>
      <c r="B159" s="69">
        <f t="shared" si="114"/>
        <v>28400</v>
      </c>
      <c r="C159" s="71"/>
      <c r="D159" s="69">
        <f t="shared" si="78"/>
        <v>28400</v>
      </c>
      <c r="E159" s="70">
        <f t="shared" si="79"/>
        <v>852000</v>
      </c>
      <c r="F159" s="70">
        <f t="shared" ca="1" si="80"/>
        <v>252448.00895245478</v>
      </c>
      <c r="G159" s="63">
        <f t="shared" si="81"/>
        <v>4.7640000000000002</v>
      </c>
      <c r="H159" s="64">
        <f t="shared" si="82"/>
        <v>4.7640000000000002</v>
      </c>
      <c r="I159" s="43"/>
      <c r="J159" s="63">
        <f t="shared" si="83"/>
        <v>0.42499999999999999</v>
      </c>
      <c r="K159" s="64">
        <f t="shared" si="84"/>
        <v>0.42499999999999999</v>
      </c>
      <c r="L159" s="38">
        <v>0</v>
      </c>
      <c r="M159" s="64">
        <f t="shared" si="85"/>
        <v>0</v>
      </c>
      <c r="N159" s="65"/>
      <c r="O159" s="63">
        <f t="shared" si="86"/>
        <v>5.1890000000000001</v>
      </c>
      <c r="P159" s="63">
        <f t="shared" si="87"/>
        <v>5.1890000000000001</v>
      </c>
      <c r="Q159" s="66"/>
      <c r="R159" s="63">
        <f t="shared" si="88"/>
        <v>0.27500000000000002</v>
      </c>
      <c r="S159" s="64">
        <f t="shared" si="89"/>
        <v>0.27500000000000002</v>
      </c>
      <c r="T159" s="63">
        <f t="shared" si="90"/>
        <v>0</v>
      </c>
      <c r="U159" s="64">
        <f t="shared" si="91"/>
        <v>0</v>
      </c>
      <c r="V159" s="207">
        <f>IF($A160="","",IF(AND(MONTH(A159)&gt;3,MONTH(A159)&lt;11),(T159+R159+G159)*(((1/(1-Summary!$T$14))/(1-Summary!$W$14))-1),(T159+R159+G159)*((1/(1-Summary!$U$14))/(1-Summary!$X$14)-1)))</f>
        <v>5.3733430424407938E-2</v>
      </c>
      <c r="W159" s="43">
        <f t="shared" si="92"/>
        <v>5.092733430424409</v>
      </c>
      <c r="X159" s="43">
        <f t="shared" si="93"/>
        <v>5.092733430424409</v>
      </c>
      <c r="Y159" s="43"/>
      <c r="Z159" s="38">
        <f t="shared" si="94"/>
        <v>0.8</v>
      </c>
      <c r="AA159" s="38">
        <f t="shared" si="95"/>
        <v>0.17</v>
      </c>
      <c r="AB159" s="38">
        <f t="shared" ca="1" si="96"/>
        <v>0.17611032721959655</v>
      </c>
      <c r="AC159" s="38">
        <f t="shared" si="97"/>
        <v>0.95</v>
      </c>
      <c r="AD159" s="38">
        <f t="shared" si="98"/>
        <v>0.17</v>
      </c>
      <c r="AE159" s="38">
        <f t="shared" ca="1" si="99"/>
        <v>0.178548765779761</v>
      </c>
      <c r="AF159" s="237">
        <f ca="1">((Summary!$N$14*(AA159*AD159)*(A159-$D$3))+(Summary!$M$14*Z159*AC159*(AJ159-EOMONTH(EDATE(A159,-1),0))))/(AK159*AB159*AE159)</f>
        <v>0.99882391594812558</v>
      </c>
      <c r="AG159" s="88">
        <f>IF($A160="","",Summary!$Q$14)</f>
        <v>0</v>
      </c>
      <c r="AH159" s="88">
        <f>IF($A160="","",IF(Summary!$R$12="Y",(VLOOKUP($A159,Summary!$AD$6:$AF$9,3)+'Escalating commodity'!J172),'Escalating commodity'!J172))</f>
        <v>6.1632929795434662E-3</v>
      </c>
      <c r="AI159" s="88">
        <f t="shared" si="115"/>
        <v>6.1632929795434662E-3</v>
      </c>
      <c r="AJ159" s="236">
        <f t="shared" si="100"/>
        <v>41593</v>
      </c>
      <c r="AK159" s="58">
        <f t="shared" ca="1" si="101"/>
        <v>4553</v>
      </c>
      <c r="AL159" s="26">
        <f ca="1">IF($A160="","",_xll.SPRDOPT(P159,X159,AI159,0,AB159,AE159,AF159,AK159,$AJ$2,0))</f>
        <v>0.11918158985900916</v>
      </c>
      <c r="AM159" s="89">
        <f t="shared" si="102"/>
        <v>9.0103276596047638E-2</v>
      </c>
      <c r="AN159" s="89">
        <f t="shared" ca="1" si="103"/>
        <v>2.9078313262961522E-2</v>
      </c>
      <c r="AO159" s="3">
        <f t="shared" si="104"/>
        <v>30</v>
      </c>
      <c r="AP159" s="33">
        <f t="shared" si="105"/>
        <v>41579</v>
      </c>
      <c r="AQ159" s="58">
        <f t="shared" ca="1" si="106"/>
        <v>4553</v>
      </c>
      <c r="AR159" s="38">
        <f>'ANR OK vs ML7'!AR159</f>
        <v>0.1</v>
      </c>
      <c r="AS159" s="35">
        <f t="shared" ca="1" si="107"/>
        <v>0.29630047999114412</v>
      </c>
      <c r="AT159" s="3">
        <f t="shared" si="108"/>
        <v>1</v>
      </c>
      <c r="AU159" s="3">
        <f t="shared" si="109"/>
        <v>30</v>
      </c>
      <c r="AW159" s="32">
        <f t="shared" ca="1" si="110"/>
        <v>101542.71455987581</v>
      </c>
      <c r="AX159" s="32">
        <f t="shared" si="111"/>
        <v>76767.991659832594</v>
      </c>
      <c r="AY159" s="32">
        <f t="shared" ca="1" si="112"/>
        <v>24774.722900043216</v>
      </c>
      <c r="BA159" s="32">
        <f ca="1">IF($A160="","",F159*Summary!$Q$14)</f>
        <v>0</v>
      </c>
      <c r="BC159" s="256">
        <f t="shared" ca="1" si="116"/>
        <v>22746.392776764544</v>
      </c>
    </row>
    <row r="160" spans="1:55">
      <c r="A160" s="67">
        <f t="shared" si="113"/>
        <v>41609</v>
      </c>
      <c r="B160" s="69">
        <f t="shared" si="114"/>
        <v>28400</v>
      </c>
      <c r="C160" s="71"/>
      <c r="D160" s="69">
        <f t="shared" si="78"/>
        <v>28400</v>
      </c>
      <c r="E160" s="70">
        <f t="shared" si="79"/>
        <v>880400</v>
      </c>
      <c r="F160" s="70">
        <f t="shared" ca="1" si="80"/>
        <v>258780.53152118271</v>
      </c>
      <c r="G160" s="63">
        <f t="shared" si="81"/>
        <v>4.9020000000000001</v>
      </c>
      <c r="H160" s="64">
        <f t="shared" si="82"/>
        <v>4.9020000000000001</v>
      </c>
      <c r="I160" s="43"/>
      <c r="J160" s="63">
        <f t="shared" si="83"/>
        <v>0.42499999999999999</v>
      </c>
      <c r="K160" s="64">
        <f t="shared" si="84"/>
        <v>0.42499999999999999</v>
      </c>
      <c r="L160" s="38">
        <v>0</v>
      </c>
      <c r="M160" s="64">
        <f t="shared" si="85"/>
        <v>0</v>
      </c>
      <c r="N160" s="65"/>
      <c r="O160" s="63">
        <f t="shared" si="86"/>
        <v>5.327</v>
      </c>
      <c r="P160" s="63">
        <f t="shared" si="87"/>
        <v>5.327</v>
      </c>
      <c r="Q160" s="66"/>
      <c r="R160" s="63">
        <f t="shared" si="88"/>
        <v>0.27500000000000002</v>
      </c>
      <c r="S160" s="64">
        <f t="shared" si="89"/>
        <v>0.27500000000000002</v>
      </c>
      <c r="T160" s="63">
        <f t="shared" si="90"/>
        <v>0</v>
      </c>
      <c r="U160" s="64">
        <f t="shared" si="91"/>
        <v>0</v>
      </c>
      <c r="V160" s="207">
        <f>IF($A161="","",IF(AND(MONTH(A160)&gt;3,MONTH(A160)&lt;11),(T160+R160+G160)*(((1/(1-Summary!$T$14))/(1-Summary!$W$14))-1),(T160+R160+G160)*((1/(1-Summary!$U$14))/(1-Summary!$X$14)-1)))</f>
        <v>5.5204994901202599E-2</v>
      </c>
      <c r="W160" s="43">
        <f t="shared" si="92"/>
        <v>5.2322049949012035</v>
      </c>
      <c r="X160" s="43">
        <f t="shared" si="93"/>
        <v>5.2322049949012035</v>
      </c>
      <c r="Y160" s="43"/>
      <c r="Z160" s="38">
        <f t="shared" si="94"/>
        <v>1.1000000000000001</v>
      </c>
      <c r="AA160" s="38">
        <f t="shared" si="95"/>
        <v>0.17</v>
      </c>
      <c r="AB160" s="38">
        <f t="shared" ca="1" si="96"/>
        <v>0.18165517756123148</v>
      </c>
      <c r="AC160" s="38">
        <f t="shared" si="97"/>
        <v>1.35</v>
      </c>
      <c r="AD160" s="38">
        <f t="shared" si="98"/>
        <v>0.17</v>
      </c>
      <c r="AE160" s="38">
        <f t="shared" ca="1" si="99"/>
        <v>0.187270173350566</v>
      </c>
      <c r="AF160" s="237">
        <f ca="1">((Summary!$N$14*(AA160*AD160)*(A160-$D$3))+(Summary!$M$14*Z160*AC160*(AJ160-EOMONTH(EDATE(A160,-1),0))))/(AK160*AB160*AE160)</f>
        <v>0.99727160859870723</v>
      </c>
      <c r="AG160" s="88">
        <f>IF($A161="","",Summary!$Q$14)</f>
        <v>0</v>
      </c>
      <c r="AH160" s="88">
        <f>IF($A161="","",IF(Summary!$R$12="Y",(VLOOKUP($A160,Summary!$AD$6:$AF$9,3)+'Escalating commodity'!J173),'Escalating commodity'!J173))</f>
        <v>6.1632929795434662E-3</v>
      </c>
      <c r="AI160" s="88">
        <f t="shared" si="115"/>
        <v>6.1632929795434662E-3</v>
      </c>
      <c r="AJ160" s="236">
        <f t="shared" si="100"/>
        <v>41623.5</v>
      </c>
      <c r="AK160" s="58">
        <f t="shared" ca="1" si="101"/>
        <v>4583</v>
      </c>
      <c r="AL160" s="26">
        <f ca="1">IF($A161="","",_xll.SPRDOPT(P160,X160,AI160,0,AB160,AE160,AF160,AK160,$AJ$2,0))</f>
        <v>0.15934160551246435</v>
      </c>
      <c r="AM160" s="89">
        <f t="shared" si="102"/>
        <v>8.8631712119252998E-2</v>
      </c>
      <c r="AN160" s="89">
        <f t="shared" ca="1" si="103"/>
        <v>7.0709893393211348E-2</v>
      </c>
      <c r="AO160" s="3">
        <f t="shared" si="104"/>
        <v>31</v>
      </c>
      <c r="AP160" s="33">
        <f t="shared" si="105"/>
        <v>41609</v>
      </c>
      <c r="AQ160" s="58">
        <f t="shared" ca="1" si="106"/>
        <v>4583</v>
      </c>
      <c r="AR160" s="38">
        <f>'ANR OK vs ML7'!AR160</f>
        <v>0.1</v>
      </c>
      <c r="AS160" s="35">
        <f t="shared" ca="1" si="107"/>
        <v>0.29393517892001669</v>
      </c>
      <c r="AT160" s="3">
        <f t="shared" si="108"/>
        <v>1</v>
      </c>
      <c r="AU160" s="3">
        <f t="shared" si="109"/>
        <v>31</v>
      </c>
      <c r="AW160" s="32">
        <f t="shared" ca="1" si="110"/>
        <v>140284.34949317362</v>
      </c>
      <c r="AX160" s="32">
        <f t="shared" si="111"/>
        <v>78031.359349790335</v>
      </c>
      <c r="AY160" s="32">
        <f t="shared" ca="1" si="112"/>
        <v>62252.990143383271</v>
      </c>
      <c r="BA160" s="32">
        <f ca="1">IF($A161="","",F160*Summary!$Q$14)</f>
        <v>0</v>
      </c>
      <c r="BC160" s="256">
        <f t="shared" ca="1" si="116"/>
        <v>22936.161571852743</v>
      </c>
    </row>
    <row r="161" spans="1:55">
      <c r="A161" s="67">
        <f t="shared" si="113"/>
        <v>41640</v>
      </c>
      <c r="B161" s="69">
        <f t="shared" si="114"/>
        <v>28400</v>
      </c>
      <c r="C161" s="71"/>
      <c r="D161" s="69">
        <f t="shared" si="78"/>
        <v>28400</v>
      </c>
      <c r="E161" s="70">
        <f t="shared" si="79"/>
        <v>880400</v>
      </c>
      <c r="F161" s="70">
        <f t="shared" ca="1" si="80"/>
        <v>256646.16903665452</v>
      </c>
      <c r="G161" s="63">
        <f t="shared" si="81"/>
        <v>4.9540000000000006</v>
      </c>
      <c r="H161" s="64">
        <f t="shared" si="82"/>
        <v>4.9540000000000006</v>
      </c>
      <c r="I161" s="43"/>
      <c r="J161" s="63">
        <f t="shared" si="83"/>
        <v>0.42499999999999999</v>
      </c>
      <c r="K161" s="64">
        <f t="shared" si="84"/>
        <v>0.42499999999999999</v>
      </c>
      <c r="L161" s="38">
        <v>0</v>
      </c>
      <c r="M161" s="64">
        <f t="shared" si="85"/>
        <v>0</v>
      </c>
      <c r="N161" s="65"/>
      <c r="O161" s="63">
        <f t="shared" si="86"/>
        <v>5.3790000000000004</v>
      </c>
      <c r="P161" s="63">
        <f t="shared" si="87"/>
        <v>5.3790000000000004</v>
      </c>
      <c r="Q161" s="66"/>
      <c r="R161" s="63">
        <f t="shared" si="88"/>
        <v>0.27500000000000002</v>
      </c>
      <c r="S161" s="64">
        <f t="shared" si="89"/>
        <v>0.27500000000000002</v>
      </c>
      <c r="T161" s="63">
        <f t="shared" si="90"/>
        <v>0</v>
      </c>
      <c r="U161" s="64">
        <f t="shared" si="91"/>
        <v>0</v>
      </c>
      <c r="V161" s="207">
        <f>IF($A162="","",IF(AND(MONTH(A161)&gt;3,MONTH(A161)&lt;11),(T161+R161+G161)*(((1/(1-Summary!$T$14))/(1-Summary!$W$14))-1),(T161+R161+G161)*((1/(1-Summary!$U$14))/(1-Summary!$X$14)-1)))</f>
        <v>5.5759497457675951E-2</v>
      </c>
      <c r="W161" s="43">
        <f t="shared" si="92"/>
        <v>5.284759497457677</v>
      </c>
      <c r="X161" s="43">
        <f t="shared" si="93"/>
        <v>5.284759497457677</v>
      </c>
      <c r="Y161" s="43"/>
      <c r="Z161" s="38">
        <f t="shared" si="94"/>
        <v>1.1000000000000001</v>
      </c>
      <c r="AA161" s="38">
        <f t="shared" si="95"/>
        <v>0.17</v>
      </c>
      <c r="AB161" s="38">
        <f t="shared" ca="1" si="96"/>
        <v>0.18157936644865785</v>
      </c>
      <c r="AC161" s="38">
        <f t="shared" si="97"/>
        <v>1.35</v>
      </c>
      <c r="AD161" s="38">
        <f t="shared" si="98"/>
        <v>0.17</v>
      </c>
      <c r="AE161" s="38">
        <f t="shared" ca="1" si="99"/>
        <v>0.18715945812460646</v>
      </c>
      <c r="AF161" s="237">
        <f ca="1">((Summary!$N$14*(AA161*AD161)*(A161-$D$3))+(Summary!$M$14*Z161*AC161*(AJ161-EOMONTH(EDATE(A161,-1),0))))/(AK161*AB161*AE161)</f>
        <v>0.997284000652919</v>
      </c>
      <c r="AG161" s="88">
        <f>IF($A162="","",Summary!$Q$14)</f>
        <v>0</v>
      </c>
      <c r="AH161" s="88">
        <f>IF($A162="","",IF(Summary!$R$12="Y",(VLOOKUP($A161,Summary!$AD$6:$AF$9,3)+'Escalating commodity'!J174),'Escalating commodity'!J174))</f>
        <v>6.2865588391343361E-3</v>
      </c>
      <c r="AI161" s="88">
        <f t="shared" si="115"/>
        <v>6.2865588391343361E-3</v>
      </c>
      <c r="AJ161" s="236">
        <f t="shared" si="100"/>
        <v>41654.5</v>
      </c>
      <c r="AK161" s="58">
        <f t="shared" ca="1" si="101"/>
        <v>4614</v>
      </c>
      <c r="AL161" s="26">
        <f ca="1">IF($A162="","",_xll.SPRDOPT(P161,X161,AI161,0,AB161,AE161,AF161,AK161,$AJ$2,0))</f>
        <v>0.15995009846116853</v>
      </c>
      <c r="AM161" s="89">
        <f t="shared" si="102"/>
        <v>8.7953943703189069E-2</v>
      </c>
      <c r="AN161" s="89">
        <f t="shared" ca="1" si="103"/>
        <v>7.1996154757979464E-2</v>
      </c>
      <c r="AO161" s="3">
        <f t="shared" si="104"/>
        <v>31</v>
      </c>
      <c r="AP161" s="33">
        <f t="shared" si="105"/>
        <v>41640</v>
      </c>
      <c r="AQ161" s="58">
        <f t="shared" ca="1" si="106"/>
        <v>4614</v>
      </c>
      <c r="AR161" s="38">
        <f>'ANR OK vs ML7'!AR161</f>
        <v>0.1</v>
      </c>
      <c r="AS161" s="35">
        <f t="shared" ca="1" si="107"/>
        <v>0.29151086896485068</v>
      </c>
      <c r="AT161" s="3">
        <f t="shared" si="108"/>
        <v>1</v>
      </c>
      <c r="AU161" s="3">
        <f t="shared" si="109"/>
        <v>31</v>
      </c>
      <c r="AW161" s="32">
        <f t="shared" ca="1" si="110"/>
        <v>140820.06668521278</v>
      </c>
      <c r="AX161" s="32">
        <f t="shared" si="111"/>
        <v>77434.652036287662</v>
      </c>
      <c r="AY161" s="32">
        <f t="shared" ca="1" si="112"/>
        <v>63385.414648925122</v>
      </c>
      <c r="BA161" s="32">
        <f ca="1">IF($A162="","",F161*Summary!$Q$14)</f>
        <v>0</v>
      </c>
      <c r="BC161" s="256">
        <f t="shared" ca="1" si="116"/>
        <v>22573.042703089057</v>
      </c>
    </row>
    <row r="162" spans="1:55">
      <c r="A162" s="67">
        <f t="shared" si="113"/>
        <v>41671</v>
      </c>
      <c r="B162" s="69">
        <f t="shared" si="114"/>
        <v>28400</v>
      </c>
      <c r="C162" s="71"/>
      <c r="D162" s="69">
        <f t="shared" si="78"/>
        <v>28400</v>
      </c>
      <c r="E162" s="70">
        <f t="shared" si="79"/>
        <v>795200</v>
      </c>
      <c r="F162" s="70">
        <f t="shared" ca="1" si="80"/>
        <v>229897.53186985344</v>
      </c>
      <c r="G162" s="63">
        <f t="shared" si="81"/>
        <v>4.8340000000000005</v>
      </c>
      <c r="H162" s="64">
        <f t="shared" si="82"/>
        <v>4.8340000000000005</v>
      </c>
      <c r="I162" s="43"/>
      <c r="J162" s="63">
        <f t="shared" si="83"/>
        <v>0.42499999999999999</v>
      </c>
      <c r="K162" s="64">
        <f t="shared" si="84"/>
        <v>0.42499999999999999</v>
      </c>
      <c r="L162" s="38">
        <v>0</v>
      </c>
      <c r="M162" s="64">
        <f t="shared" si="85"/>
        <v>0</v>
      </c>
      <c r="N162" s="65"/>
      <c r="O162" s="63">
        <f t="shared" si="86"/>
        <v>5.2590000000000003</v>
      </c>
      <c r="P162" s="63">
        <f t="shared" si="87"/>
        <v>5.2590000000000003</v>
      </c>
      <c r="Q162" s="66"/>
      <c r="R162" s="63">
        <f t="shared" si="88"/>
        <v>0.27500000000000002</v>
      </c>
      <c r="S162" s="64">
        <f t="shared" si="89"/>
        <v>0.27500000000000002</v>
      </c>
      <c r="T162" s="63">
        <f t="shared" si="90"/>
        <v>0</v>
      </c>
      <c r="U162" s="64">
        <f t="shared" si="91"/>
        <v>0</v>
      </c>
      <c r="V162" s="207">
        <f>IF($A163="","",IF(AND(MONTH(A162)&gt;3,MONTH(A162)&lt;11),(T162+R162+G162)*(((1/(1-Summary!$T$14))/(1-Summary!$W$14))-1),(T162+R162+G162)*((1/(1-Summary!$U$14))/(1-Summary!$X$14)-1)))</f>
        <v>5.4479876173506678E-2</v>
      </c>
      <c r="W162" s="43">
        <f t="shared" si="92"/>
        <v>5.1634798761735077</v>
      </c>
      <c r="X162" s="43">
        <f t="shared" si="93"/>
        <v>5.1634798761735077</v>
      </c>
      <c r="Y162" s="43"/>
      <c r="Z162" s="38">
        <f t="shared" si="94"/>
        <v>1.1000000000000001</v>
      </c>
      <c r="AA162" s="38">
        <f t="shared" si="95"/>
        <v>0.17</v>
      </c>
      <c r="AB162" s="38">
        <f t="shared" ca="1" si="96"/>
        <v>0.18042492601898405</v>
      </c>
      <c r="AC162" s="38">
        <f t="shared" si="97"/>
        <v>1.35</v>
      </c>
      <c r="AD162" s="38">
        <f t="shared" si="98"/>
        <v>0.17</v>
      </c>
      <c r="AE162" s="38">
        <f t="shared" ca="1" si="99"/>
        <v>0.18547028056561879</v>
      </c>
      <c r="AF162" s="237">
        <f ca="1">((Summary!$N$14*(AA162*AD162)*(A162-$D$3))+(Summary!$M$14*Z162*AC162*(AJ162-EOMONTH(EDATE(A162,-1),0))))/(AK162*AB162*AE162)</f>
        <v>0.99747933671726408</v>
      </c>
      <c r="AG162" s="88">
        <f>IF($A163="","",Summary!$Q$14)</f>
        <v>0</v>
      </c>
      <c r="AH162" s="88">
        <f>IF($A163="","",IF(Summary!$R$12="Y",(VLOOKUP($A162,Summary!$AD$6:$AF$9,3)+'Escalating commodity'!J175),'Escalating commodity'!J175))</f>
        <v>6.2865588391343361E-3</v>
      </c>
      <c r="AI162" s="88">
        <f t="shared" si="115"/>
        <v>6.2865588391343361E-3</v>
      </c>
      <c r="AJ162" s="236">
        <f t="shared" si="100"/>
        <v>41684</v>
      </c>
      <c r="AK162" s="58">
        <f t="shared" ca="1" si="101"/>
        <v>4645</v>
      </c>
      <c r="AL162" s="26">
        <f ca="1">IF($A163="","",_xll.SPRDOPT(P162,X162,AI162,0,AB162,AE162,AF162,AK162,$AJ$2,0))</f>
        <v>0.15346295346536035</v>
      </c>
      <c r="AM162" s="89">
        <f t="shared" si="102"/>
        <v>8.9233564987358321E-2</v>
      </c>
      <c r="AN162" s="89">
        <f t="shared" ca="1" si="103"/>
        <v>6.4229388478002025E-2</v>
      </c>
      <c r="AO162" s="3">
        <f t="shared" si="104"/>
        <v>28</v>
      </c>
      <c r="AP162" s="33">
        <f t="shared" si="105"/>
        <v>41671</v>
      </c>
      <c r="AQ162" s="58">
        <f t="shared" ca="1" si="106"/>
        <v>4645</v>
      </c>
      <c r="AR162" s="38">
        <f>'ANR OK vs ML7'!AR162</f>
        <v>0.1</v>
      </c>
      <c r="AS162" s="35">
        <f t="shared" ca="1" si="107"/>
        <v>0.28910655416229053</v>
      </c>
      <c r="AT162" s="3">
        <f t="shared" si="108"/>
        <v>1</v>
      </c>
      <c r="AU162" s="3">
        <f t="shared" si="109"/>
        <v>28</v>
      </c>
      <c r="AW162" s="32">
        <f t="shared" ca="1" si="110"/>
        <v>122033.74059565454</v>
      </c>
      <c r="AX162" s="32">
        <f t="shared" si="111"/>
        <v>70958.530877947342</v>
      </c>
      <c r="AY162" s="32">
        <f t="shared" ca="1" si="112"/>
        <v>51075.209717707214</v>
      </c>
      <c r="BA162" s="32">
        <f ca="1">IF($A163="","",F162*Summary!$Q$14)</f>
        <v>0</v>
      </c>
      <c r="BC162" s="256">
        <f t="shared" ca="1" si="116"/>
        <v>20514.576350541847</v>
      </c>
    </row>
    <row r="163" spans="1:55">
      <c r="A163" s="67">
        <f t="shared" si="113"/>
        <v>41699</v>
      </c>
      <c r="B163" s="69">
        <f t="shared" si="114"/>
        <v>28400</v>
      </c>
      <c r="C163" s="71"/>
      <c r="D163" s="69">
        <f t="shared" si="78"/>
        <v>28400</v>
      </c>
      <c r="E163" s="70">
        <f t="shared" si="79"/>
        <v>880400</v>
      </c>
      <c r="F163" s="70">
        <f t="shared" ca="1" si="80"/>
        <v>252632.50914324264</v>
      </c>
      <c r="G163" s="63">
        <f t="shared" si="81"/>
        <v>4.6950000000000003</v>
      </c>
      <c r="H163" s="64">
        <f t="shared" si="82"/>
        <v>4.6950000000000003</v>
      </c>
      <c r="I163" s="43"/>
      <c r="J163" s="63">
        <f t="shared" si="83"/>
        <v>0.42499999999999999</v>
      </c>
      <c r="K163" s="64">
        <f t="shared" si="84"/>
        <v>0.42499999999999999</v>
      </c>
      <c r="L163" s="38">
        <v>0</v>
      </c>
      <c r="M163" s="64">
        <f t="shared" si="85"/>
        <v>0</v>
      </c>
      <c r="N163" s="65"/>
      <c r="O163" s="63">
        <f t="shared" si="86"/>
        <v>5.12</v>
      </c>
      <c r="P163" s="63">
        <f t="shared" si="87"/>
        <v>5.12</v>
      </c>
      <c r="Q163" s="66"/>
      <c r="R163" s="63">
        <f t="shared" si="88"/>
        <v>0.27500000000000002</v>
      </c>
      <c r="S163" s="64">
        <f t="shared" si="89"/>
        <v>0.27500000000000002</v>
      </c>
      <c r="T163" s="63">
        <f t="shared" si="90"/>
        <v>0</v>
      </c>
      <c r="U163" s="64">
        <f t="shared" si="91"/>
        <v>0</v>
      </c>
      <c r="V163" s="207">
        <f>IF($A164="","",IF(AND(MONTH(A163)&gt;3,MONTH(A163)&lt;11),(T163+R163+G163)*(((1/(1-Summary!$T$14))/(1-Summary!$W$14))-1),(T163+R163+G163)*((1/(1-Summary!$U$14))/(1-Summary!$X$14)-1)))</f>
        <v>5.2997648186010604E-2</v>
      </c>
      <c r="W163" s="43">
        <f t="shared" si="92"/>
        <v>5.0229976481860117</v>
      </c>
      <c r="X163" s="43">
        <f t="shared" si="93"/>
        <v>5.0229976481860117</v>
      </c>
      <c r="Y163" s="43"/>
      <c r="Z163" s="38">
        <f t="shared" si="94"/>
        <v>0.75</v>
      </c>
      <c r="AA163" s="38">
        <f t="shared" si="95"/>
        <v>0.17</v>
      </c>
      <c r="AB163" s="38">
        <f t="shared" ca="1" si="96"/>
        <v>0.17541937155562332</v>
      </c>
      <c r="AC163" s="38">
        <f t="shared" si="97"/>
        <v>0.95</v>
      </c>
      <c r="AD163" s="38">
        <f t="shared" si="98"/>
        <v>0.17</v>
      </c>
      <c r="AE163" s="38">
        <f t="shared" ca="1" si="99"/>
        <v>0.17860490224614683</v>
      </c>
      <c r="AF163" s="237">
        <f ca="1">((Summary!$N$14*(AA163*AD163)*(A163-$D$3))+(Summary!$M$14*Z163*AC163*(AJ163-EOMONTH(EDATE(A163,-1),0))))/(AK163*AB163*AE163)</f>
        <v>0.99795232044467785</v>
      </c>
      <c r="AG163" s="88">
        <f>IF($A164="","",Summary!$Q$14)</f>
        <v>0</v>
      </c>
      <c r="AH163" s="88">
        <f>IF($A164="","",IF(Summary!$R$12="Y",(VLOOKUP($A163,Summary!$AD$6:$AF$9,3)+'Escalating commodity'!J176),'Escalating commodity'!J176))</f>
        <v>6.2865588391343361E-3</v>
      </c>
      <c r="AI163" s="88">
        <f t="shared" si="115"/>
        <v>6.2865588391343361E-3</v>
      </c>
      <c r="AJ163" s="236">
        <f t="shared" si="100"/>
        <v>41713.5</v>
      </c>
      <c r="AK163" s="58">
        <f t="shared" ca="1" si="101"/>
        <v>4673</v>
      </c>
      <c r="AL163" s="26">
        <f ca="1">IF($A164="","",_xll.SPRDOPT(P163,X163,AI163,0,AB163,AE163,AF163,AK163,$AJ$2,0))</f>
        <v>0.13771747329873904</v>
      </c>
      <c r="AM163" s="89">
        <f t="shared" si="102"/>
        <v>9.0715792974854076E-2</v>
      </c>
      <c r="AN163" s="89">
        <f t="shared" ca="1" si="103"/>
        <v>4.7001680323884965E-2</v>
      </c>
      <c r="AO163" s="3">
        <f t="shared" si="104"/>
        <v>31</v>
      </c>
      <c r="AP163" s="33">
        <f t="shared" si="105"/>
        <v>41699</v>
      </c>
      <c r="AQ163" s="58">
        <f t="shared" ca="1" si="106"/>
        <v>4673</v>
      </c>
      <c r="AR163" s="38">
        <f>'ANR OK vs ML7'!AR163</f>
        <v>0.1</v>
      </c>
      <c r="AS163" s="35">
        <f t="shared" ca="1" si="107"/>
        <v>0.2869519640427563</v>
      </c>
      <c r="AT163" s="3">
        <f t="shared" si="108"/>
        <v>1</v>
      </c>
      <c r="AU163" s="3">
        <f t="shared" si="109"/>
        <v>31</v>
      </c>
      <c r="AW163" s="32">
        <f t="shared" ca="1" si="110"/>
        <v>121246.46349220985</v>
      </c>
      <c r="AX163" s="32">
        <f t="shared" si="111"/>
        <v>79866.184135061529</v>
      </c>
      <c r="AY163" s="32">
        <f t="shared" ca="1" si="112"/>
        <v>41380.27935714832</v>
      </c>
      <c r="BA163" s="32">
        <f ca="1">IF($A164="","",F163*Summary!$Q$14)</f>
        <v>0</v>
      </c>
      <c r="BC163" s="256">
        <f t="shared" ca="1" si="116"/>
        <v>22917.758398156329</v>
      </c>
    </row>
    <row r="164" spans="1:55">
      <c r="A164" s="67">
        <f t="shared" si="113"/>
        <v>41730</v>
      </c>
      <c r="B164" s="69">
        <f t="shared" si="114"/>
        <v>28400</v>
      </c>
      <c r="C164" s="71"/>
      <c r="D164" s="69">
        <f t="shared" si="78"/>
        <v>28400</v>
      </c>
      <c r="E164" s="70">
        <f t="shared" si="79"/>
        <v>852000</v>
      </c>
      <c r="F164" s="70">
        <f t="shared" ca="1" si="80"/>
        <v>242466.63303631017</v>
      </c>
      <c r="G164" s="63">
        <f t="shared" si="81"/>
        <v>4.5199999999999996</v>
      </c>
      <c r="H164" s="64">
        <f t="shared" si="82"/>
        <v>4.5199999999999996</v>
      </c>
      <c r="I164" s="43"/>
      <c r="J164" s="63">
        <f t="shared" si="83"/>
        <v>0.23499999999999999</v>
      </c>
      <c r="K164" s="64">
        <f t="shared" si="84"/>
        <v>0.23499999999999999</v>
      </c>
      <c r="L164" s="38">
        <v>0</v>
      </c>
      <c r="M164" s="64">
        <f t="shared" si="85"/>
        <v>0</v>
      </c>
      <c r="N164" s="65"/>
      <c r="O164" s="63">
        <f t="shared" si="86"/>
        <v>4.7549999999999999</v>
      </c>
      <c r="P164" s="63">
        <f t="shared" si="87"/>
        <v>4.7549999999999999</v>
      </c>
      <c r="Q164" s="66"/>
      <c r="R164" s="63">
        <f t="shared" si="88"/>
        <v>0.18</v>
      </c>
      <c r="S164" s="64">
        <f t="shared" si="89"/>
        <v>0.18</v>
      </c>
      <c r="T164" s="63">
        <f t="shared" si="90"/>
        <v>0</v>
      </c>
      <c r="U164" s="64">
        <f t="shared" si="91"/>
        <v>0</v>
      </c>
      <c r="V164" s="207">
        <f>IF($A165="","",IF(AND(MONTH(A164)&gt;3,MONTH(A164)&lt;11),(T164+R164+G164)*(((1/(1-Summary!$T$14))/(1-Summary!$W$14))-1),(T164+R164+G164)*((1/(1-Summary!$U$14))/(1-Summary!$X$14)-1)))</f>
        <v>5.0118500296629738E-2</v>
      </c>
      <c r="W164" s="43">
        <f t="shared" si="92"/>
        <v>4.7501185002966286</v>
      </c>
      <c r="X164" s="43">
        <f t="shared" si="93"/>
        <v>4.7501185002966286</v>
      </c>
      <c r="Y164" s="43"/>
      <c r="Z164" s="38">
        <f t="shared" si="94"/>
        <v>0.45</v>
      </c>
      <c r="AA164" s="38">
        <f t="shared" si="95"/>
        <v>0.17</v>
      </c>
      <c r="AB164" s="38">
        <f t="shared" ca="1" si="96"/>
        <v>0.17190657564008227</v>
      </c>
      <c r="AC164" s="38">
        <f t="shared" si="97"/>
        <v>0.5</v>
      </c>
      <c r="AD164" s="38">
        <f t="shared" si="98"/>
        <v>0.17</v>
      </c>
      <c r="AE164" s="38">
        <f t="shared" ca="1" si="99"/>
        <v>0.17234656244043287</v>
      </c>
      <c r="AF164" s="237">
        <f ca="1">((Summary!$N$14*(AA164*AD164)*(A164-$D$3))+(Summary!$M$14*Z164*AC164*(AJ164-EOMONTH(EDATE(A164,-1),0))))/(AK164*AB164*AE164)</f>
        <v>0.99977116571161295</v>
      </c>
      <c r="AG164" s="88">
        <f>IF($A165="","",Summary!$Q$14)</f>
        <v>0</v>
      </c>
      <c r="AH164" s="88">
        <f>IF($A165="","",IF(Summary!$R$12="Y",(VLOOKUP($A164,Summary!$AD$6:$AF$9,3)+'Escalating commodity'!J177),'Escalating commodity'!J177))</f>
        <v>6.2865588391343361E-3</v>
      </c>
      <c r="AI164" s="88">
        <f t="shared" si="115"/>
        <v>6.2865588391343361E-3</v>
      </c>
      <c r="AJ164" s="236">
        <f t="shared" si="100"/>
        <v>41744</v>
      </c>
      <c r="AK164" s="58">
        <f t="shared" ca="1" si="101"/>
        <v>4704</v>
      </c>
      <c r="AL164" s="26">
        <f ca="1">IF($A165="","",_xll.SPRDOPT(P164,X164,AI164,0,AB164,AE164,AF164,AK164,$AJ$2,0))</f>
        <v>1.2500854718391748E-2</v>
      </c>
      <c r="AM164" s="89">
        <f t="shared" si="102"/>
        <v>0</v>
      </c>
      <c r="AN164" s="89">
        <f t="shared" ca="1" si="103"/>
        <v>1.2500854718391748E-2</v>
      </c>
      <c r="AO164" s="3">
        <f t="shared" si="104"/>
        <v>30</v>
      </c>
      <c r="AP164" s="33">
        <f t="shared" si="105"/>
        <v>41730</v>
      </c>
      <c r="AQ164" s="58">
        <f t="shared" ca="1" si="106"/>
        <v>4704</v>
      </c>
      <c r="AR164" s="38">
        <f>'ANR OK vs ML7'!AR164</f>
        <v>0.1</v>
      </c>
      <c r="AS164" s="35">
        <f t="shared" ca="1" si="107"/>
        <v>0.28458525004261759</v>
      </c>
      <c r="AT164" s="3">
        <f t="shared" si="108"/>
        <v>1</v>
      </c>
      <c r="AU164" s="3">
        <f t="shared" si="109"/>
        <v>30</v>
      </c>
      <c r="AW164" s="32">
        <f t="shared" ca="1" si="110"/>
        <v>10650.728220069768</v>
      </c>
      <c r="AX164" s="32">
        <f t="shared" si="111"/>
        <v>0</v>
      </c>
      <c r="AY164" s="32">
        <f t="shared" ca="1" si="112"/>
        <v>10650.728220069768</v>
      </c>
      <c r="BA164" s="32">
        <f ca="1">IF($A165="","",F164*Summary!$Q$14)</f>
        <v>0</v>
      </c>
      <c r="BC164" s="256">
        <f t="shared" ca="1" si="116"/>
        <v>0</v>
      </c>
    </row>
    <row r="165" spans="1:55">
      <c r="A165" s="67">
        <f t="shared" si="113"/>
        <v>41760</v>
      </c>
      <c r="B165" s="69">
        <f t="shared" si="114"/>
        <v>28400</v>
      </c>
      <c r="C165" s="71"/>
      <c r="D165" s="69">
        <f t="shared" si="78"/>
        <v>28400</v>
      </c>
      <c r="E165" s="70">
        <f t="shared" si="79"/>
        <v>880400</v>
      </c>
      <c r="F165" s="70">
        <f t="shared" ca="1" si="80"/>
        <v>248548.77815695197</v>
      </c>
      <c r="G165" s="63">
        <f t="shared" si="81"/>
        <v>4.49</v>
      </c>
      <c r="H165" s="64">
        <f t="shared" si="82"/>
        <v>4.49</v>
      </c>
      <c r="I165" s="43"/>
      <c r="J165" s="63">
        <f t="shared" si="83"/>
        <v>0.23499999999999999</v>
      </c>
      <c r="K165" s="64">
        <f t="shared" si="84"/>
        <v>0.23499999999999999</v>
      </c>
      <c r="L165" s="38">
        <v>0</v>
      </c>
      <c r="M165" s="64">
        <f t="shared" si="85"/>
        <v>0</v>
      </c>
      <c r="N165" s="65"/>
      <c r="O165" s="63">
        <f t="shared" si="86"/>
        <v>4.7250000000000005</v>
      </c>
      <c r="P165" s="63">
        <f t="shared" si="87"/>
        <v>4.7250000000000005</v>
      </c>
      <c r="Q165" s="66"/>
      <c r="R165" s="63">
        <f t="shared" si="88"/>
        <v>0.18</v>
      </c>
      <c r="S165" s="64">
        <f t="shared" si="89"/>
        <v>0.18</v>
      </c>
      <c r="T165" s="63">
        <f t="shared" si="90"/>
        <v>0</v>
      </c>
      <c r="U165" s="64">
        <f t="shared" si="91"/>
        <v>0</v>
      </c>
      <c r="V165" s="207">
        <f>IF($A166="","",IF(AND(MONTH(A165)&gt;3,MONTH(A165)&lt;11),(T165+R165+G165)*(((1/(1-Summary!$T$14))/(1-Summary!$W$14))-1),(T165+R165+G165)*((1/(1-Summary!$U$14))/(1-Summary!$X$14)-1)))</f>
        <v>4.9798594975587425E-2</v>
      </c>
      <c r="W165" s="43">
        <f t="shared" si="92"/>
        <v>4.719798594975587</v>
      </c>
      <c r="X165" s="43">
        <f t="shared" si="93"/>
        <v>4.719798594975587</v>
      </c>
      <c r="Y165" s="43"/>
      <c r="Z165" s="38">
        <f t="shared" si="94"/>
        <v>0.5</v>
      </c>
      <c r="AA165" s="38">
        <f t="shared" si="95"/>
        <v>0.17</v>
      </c>
      <c r="AB165" s="38">
        <f t="shared" ca="1" si="96"/>
        <v>0.17240838569379738</v>
      </c>
      <c r="AC165" s="38">
        <f t="shared" si="97"/>
        <v>0.45</v>
      </c>
      <c r="AD165" s="38">
        <f t="shared" si="98"/>
        <v>0.17</v>
      </c>
      <c r="AE165" s="38">
        <f t="shared" ca="1" si="99"/>
        <v>0.17195676080824421</v>
      </c>
      <c r="AF165" s="237">
        <f ca="1">((Summary!$N$14*(AA165*AD165)*(A165-$D$3))+(Summary!$M$14*Z165*AC165*(AJ165-EOMONTH(EDATE(A165,-1),0))))/(AK165*AB165*AE165)</f>
        <v>0.99976788846456666</v>
      </c>
      <c r="AG165" s="88">
        <f>IF($A166="","",Summary!$Q$14)</f>
        <v>0</v>
      </c>
      <c r="AH165" s="88">
        <f>IF($A166="","",IF(Summary!$R$12="Y",(VLOOKUP($A165,Summary!$AD$6:$AF$9,3)+'Escalating commodity'!J178),'Escalating commodity'!J178))</f>
        <v>6.2865588391343361E-3</v>
      </c>
      <c r="AI165" s="88">
        <f t="shared" si="115"/>
        <v>6.2865588391343361E-3</v>
      </c>
      <c r="AJ165" s="236">
        <f t="shared" si="100"/>
        <v>41774.5</v>
      </c>
      <c r="AK165" s="58">
        <f t="shared" ca="1" si="101"/>
        <v>4734</v>
      </c>
      <c r="AL165" s="26">
        <f ca="1">IF($A166="","",_xll.SPRDOPT(P165,X165,AI165,0,AB165,AE165,AF165,AK165,$AJ$2,0))</f>
        <v>1.5108890290220091E-2</v>
      </c>
      <c r="AM165" s="89">
        <f t="shared" si="102"/>
        <v>0</v>
      </c>
      <c r="AN165" s="89">
        <f t="shared" ca="1" si="103"/>
        <v>1.5108890290220091E-2</v>
      </c>
      <c r="AO165" s="3">
        <f t="shared" si="104"/>
        <v>31</v>
      </c>
      <c r="AP165" s="33">
        <f t="shared" si="105"/>
        <v>41760</v>
      </c>
      <c r="AQ165" s="58">
        <f t="shared" ca="1" si="106"/>
        <v>4734</v>
      </c>
      <c r="AR165" s="38">
        <f>'ANR OK vs ML7'!AR165</f>
        <v>0.1</v>
      </c>
      <c r="AS165" s="35">
        <f t="shared" ca="1" si="107"/>
        <v>0.28231346905605631</v>
      </c>
      <c r="AT165" s="3">
        <f t="shared" si="108"/>
        <v>1</v>
      </c>
      <c r="AU165" s="3">
        <f t="shared" si="109"/>
        <v>31</v>
      </c>
      <c r="AW165" s="32">
        <f t="shared" ca="1" si="110"/>
        <v>13301.867011509768</v>
      </c>
      <c r="AX165" s="32">
        <f t="shared" si="111"/>
        <v>0</v>
      </c>
      <c r="AY165" s="32">
        <f t="shared" ca="1" si="112"/>
        <v>13301.867011509768</v>
      </c>
      <c r="BA165" s="32">
        <f ca="1">IF($A166="","",F165*Summary!$Q$14)</f>
        <v>0</v>
      </c>
      <c r="BC165" s="256">
        <f t="shared" ca="1" si="116"/>
        <v>0</v>
      </c>
    </row>
    <row r="166" spans="1:55">
      <c r="A166" s="67">
        <f t="shared" si="113"/>
        <v>41791</v>
      </c>
      <c r="B166" s="69">
        <f t="shared" si="114"/>
        <v>28400</v>
      </c>
      <c r="C166" s="71"/>
      <c r="D166" s="69">
        <f t="shared" si="78"/>
        <v>28400</v>
      </c>
      <c r="E166" s="70">
        <f t="shared" si="79"/>
        <v>852000</v>
      </c>
      <c r="F166" s="70">
        <f t="shared" ca="1" si="80"/>
        <v>238547.23047869827</v>
      </c>
      <c r="G166" s="63">
        <f t="shared" si="81"/>
        <v>4.5599999999999996</v>
      </c>
      <c r="H166" s="64">
        <f t="shared" si="82"/>
        <v>4.5599999999999996</v>
      </c>
      <c r="I166" s="43"/>
      <c r="J166" s="63">
        <f t="shared" si="83"/>
        <v>0.23499999999999999</v>
      </c>
      <c r="K166" s="64">
        <f t="shared" si="84"/>
        <v>0.23499999999999999</v>
      </c>
      <c r="L166" s="38">
        <v>0</v>
      </c>
      <c r="M166" s="64">
        <f t="shared" si="85"/>
        <v>0</v>
      </c>
      <c r="N166" s="65"/>
      <c r="O166" s="63">
        <f t="shared" si="86"/>
        <v>4.7949999999999999</v>
      </c>
      <c r="P166" s="63">
        <f t="shared" si="87"/>
        <v>4.7949999999999999</v>
      </c>
      <c r="Q166" s="66"/>
      <c r="R166" s="63">
        <f t="shared" si="88"/>
        <v>0.18</v>
      </c>
      <c r="S166" s="64">
        <f t="shared" si="89"/>
        <v>0.18</v>
      </c>
      <c r="T166" s="63">
        <f t="shared" si="90"/>
        <v>0</v>
      </c>
      <c r="U166" s="64">
        <f t="shared" si="91"/>
        <v>0</v>
      </c>
      <c r="V166" s="207">
        <f>IF($A167="","",IF(AND(MONTH(A166)&gt;3,MONTH(A166)&lt;11),(T166+R166+G166)*(((1/(1-Summary!$T$14))/(1-Summary!$W$14))-1),(T166+R166+G166)*((1/(1-Summary!$U$14))/(1-Summary!$X$14)-1)))</f>
        <v>5.0545040724686158E-2</v>
      </c>
      <c r="W166" s="43">
        <f t="shared" si="92"/>
        <v>4.7905450407246857</v>
      </c>
      <c r="X166" s="43">
        <f t="shared" si="93"/>
        <v>4.7905450407246857</v>
      </c>
      <c r="Y166" s="43"/>
      <c r="Z166" s="38">
        <f t="shared" si="94"/>
        <v>0.5</v>
      </c>
      <c r="AA166" s="38">
        <f t="shared" si="95"/>
        <v>0.17</v>
      </c>
      <c r="AB166" s="38">
        <f t="shared" ca="1" si="96"/>
        <v>0.17231672442109361</v>
      </c>
      <c r="AC166" s="38">
        <f t="shared" si="97"/>
        <v>0.5</v>
      </c>
      <c r="AD166" s="38">
        <f t="shared" si="98"/>
        <v>0.17</v>
      </c>
      <c r="AE166" s="38">
        <f t="shared" ca="1" si="99"/>
        <v>0.17231672442109361</v>
      </c>
      <c r="AF166" s="237">
        <f ca="1">((Summary!$N$14*(AA166*AD166)*(A166-$D$3))+(Summary!$M$14*Z166*AC166*(AJ166-EOMONTH(EDATE(A166,-1),0))))/(AK166*AB166*AE166)</f>
        <v>0.99990265041268689</v>
      </c>
      <c r="AG166" s="88">
        <f>IF($A167="","",Summary!$Q$14)</f>
        <v>0</v>
      </c>
      <c r="AH166" s="88">
        <f>IF($A167="","",IF(Summary!$R$12="Y",(VLOOKUP($A166,Summary!$AD$6:$AF$9,3)+'Escalating commodity'!J179),'Escalating commodity'!J179))</f>
        <v>6.2865588391343361E-3</v>
      </c>
      <c r="AI166" s="88">
        <f t="shared" si="115"/>
        <v>6.2865588391343361E-3</v>
      </c>
      <c r="AJ166" s="236">
        <f t="shared" si="100"/>
        <v>41805</v>
      </c>
      <c r="AK166" s="58">
        <f t="shared" ca="1" si="101"/>
        <v>4765</v>
      </c>
      <c r="AL166" s="26">
        <f ca="1">IF($A167="","",_xll.SPRDOPT(P166,X166,AI166,0,AB166,AE166,AF166,AK166,$AJ$2,0))</f>
        <v>5.6237244667841566E-3</v>
      </c>
      <c r="AM166" s="89">
        <f t="shared" si="102"/>
        <v>0</v>
      </c>
      <c r="AN166" s="89">
        <f t="shared" ca="1" si="103"/>
        <v>5.6237244667841566E-3</v>
      </c>
      <c r="AO166" s="3">
        <f t="shared" si="104"/>
        <v>30</v>
      </c>
      <c r="AP166" s="33">
        <f t="shared" si="105"/>
        <v>41791</v>
      </c>
      <c r="AQ166" s="58">
        <f t="shared" ca="1" si="106"/>
        <v>4765</v>
      </c>
      <c r="AR166" s="38">
        <f>'ANR OK vs ML7'!AR166</f>
        <v>0.1</v>
      </c>
      <c r="AS166" s="35">
        <f t="shared" ca="1" si="107"/>
        <v>0.27998501229894163</v>
      </c>
      <c r="AT166" s="3">
        <f t="shared" si="108"/>
        <v>1</v>
      </c>
      <c r="AU166" s="3">
        <f t="shared" si="109"/>
        <v>30</v>
      </c>
      <c r="AW166" s="32">
        <f t="shared" ca="1" si="110"/>
        <v>4791.4132457001015</v>
      </c>
      <c r="AX166" s="32">
        <f t="shared" si="111"/>
        <v>0</v>
      </c>
      <c r="AY166" s="32">
        <f t="shared" ca="1" si="112"/>
        <v>4791.4132457001015</v>
      </c>
      <c r="BA166" s="32">
        <f ca="1">IF($A167="","",F166*Summary!$Q$14)</f>
        <v>0</v>
      </c>
      <c r="BC166" s="256">
        <f t="shared" ca="1" si="116"/>
        <v>0</v>
      </c>
    </row>
    <row r="167" spans="1:55">
      <c r="A167" s="67">
        <f t="shared" si="113"/>
        <v>41821</v>
      </c>
      <c r="B167" s="69">
        <f t="shared" si="114"/>
        <v>28400</v>
      </c>
      <c r="C167" s="71"/>
      <c r="D167" s="69">
        <f t="shared" si="78"/>
        <v>28400</v>
      </c>
      <c r="E167" s="70">
        <f t="shared" si="79"/>
        <v>880400</v>
      </c>
      <c r="F167" s="70">
        <f t="shared" ca="1" si="80"/>
        <v>244531.05949356046</v>
      </c>
      <c r="G167" s="63">
        <f t="shared" si="81"/>
        <v>4.6150000000000002</v>
      </c>
      <c r="H167" s="64">
        <f t="shared" si="82"/>
        <v>4.6150000000000002</v>
      </c>
      <c r="I167" s="43"/>
      <c r="J167" s="63">
        <f t="shared" si="83"/>
        <v>0.23499999999999999</v>
      </c>
      <c r="K167" s="64">
        <f t="shared" si="84"/>
        <v>0.23499999999999999</v>
      </c>
      <c r="L167" s="38">
        <v>0</v>
      </c>
      <c r="M167" s="64">
        <f t="shared" si="85"/>
        <v>0</v>
      </c>
      <c r="N167" s="65"/>
      <c r="O167" s="63">
        <f t="shared" si="86"/>
        <v>4.8500000000000005</v>
      </c>
      <c r="P167" s="63">
        <f t="shared" si="87"/>
        <v>4.8500000000000005</v>
      </c>
      <c r="Q167" s="66"/>
      <c r="R167" s="63">
        <f t="shared" si="88"/>
        <v>0.18</v>
      </c>
      <c r="S167" s="64">
        <f t="shared" si="89"/>
        <v>0.18</v>
      </c>
      <c r="T167" s="63">
        <f t="shared" si="90"/>
        <v>0</v>
      </c>
      <c r="U167" s="64">
        <f t="shared" si="91"/>
        <v>0</v>
      </c>
      <c r="V167" s="207">
        <f>IF($A168="","",IF(AND(MONTH(A167)&gt;3,MONTH(A167)&lt;11),(T167+R167+G167)*(((1/(1-Summary!$T$14))/(1-Summary!$W$14))-1),(T167+R167+G167)*((1/(1-Summary!$U$14))/(1-Summary!$X$14)-1)))</f>
        <v>5.1131533813263748E-2</v>
      </c>
      <c r="W167" s="43">
        <f t="shared" si="92"/>
        <v>4.8461315338132636</v>
      </c>
      <c r="X167" s="43">
        <f t="shared" si="93"/>
        <v>4.8461315338132636</v>
      </c>
      <c r="Y167" s="43"/>
      <c r="Z167" s="38">
        <f t="shared" si="94"/>
        <v>0.55000000000000004</v>
      </c>
      <c r="AA167" s="38">
        <f t="shared" si="95"/>
        <v>0.17</v>
      </c>
      <c r="AB167" s="38">
        <f t="shared" ca="1" si="96"/>
        <v>0.1728695132553415</v>
      </c>
      <c r="AC167" s="38">
        <f t="shared" si="97"/>
        <v>0.5</v>
      </c>
      <c r="AD167" s="38">
        <f t="shared" si="98"/>
        <v>0.17</v>
      </c>
      <c r="AE167" s="38">
        <f t="shared" ca="1" si="99"/>
        <v>0.17237795852121468</v>
      </c>
      <c r="AF167" s="237">
        <f ca="1">((Summary!$N$14*(AA167*AD167)*(A167-$D$3))+(Summary!$M$14*Z167*AC167*(AJ167-EOMONTH(EDATE(A167,-1),0))))/(AK167*AB167*AE167)</f>
        <v>0.99977145268902623</v>
      </c>
      <c r="AG167" s="88">
        <f>IF($A168="","",Summary!$Q$14)</f>
        <v>0</v>
      </c>
      <c r="AH167" s="88">
        <f>IF($A168="","",IF(Summary!$R$12="Y",(VLOOKUP($A167,Summary!$AD$6:$AF$9,3)+'Escalating commodity'!J180),'Escalating commodity'!J180))</f>
        <v>6.2865588391343361E-3</v>
      </c>
      <c r="AI167" s="88">
        <f t="shared" si="115"/>
        <v>6.2865588391343361E-3</v>
      </c>
      <c r="AJ167" s="236">
        <f t="shared" si="100"/>
        <v>41835.5</v>
      </c>
      <c r="AK167" s="58">
        <f t="shared" ca="1" si="101"/>
        <v>4795</v>
      </c>
      <c r="AL167" s="26">
        <f ca="1">IF($A168="","",_xll.SPRDOPT(P167,X167,AI167,0,AB167,AE167,AF167,AK167,$AJ$2,0))</f>
        <v>1.5018466152730281E-2</v>
      </c>
      <c r="AM167" s="89">
        <f t="shared" si="102"/>
        <v>0</v>
      </c>
      <c r="AN167" s="89">
        <f t="shared" ca="1" si="103"/>
        <v>1.5018466152730281E-2</v>
      </c>
      <c r="AO167" s="3">
        <f t="shared" si="104"/>
        <v>31</v>
      </c>
      <c r="AP167" s="33">
        <f t="shared" si="105"/>
        <v>41821</v>
      </c>
      <c r="AQ167" s="58">
        <f t="shared" ca="1" si="106"/>
        <v>4795</v>
      </c>
      <c r="AR167" s="38">
        <f>'ANR OK vs ML7'!AR167</f>
        <v>0.1</v>
      </c>
      <c r="AS167" s="35">
        <f t="shared" ca="1" si="107"/>
        <v>0.27774995399086833</v>
      </c>
      <c r="AT167" s="3">
        <f t="shared" si="108"/>
        <v>1</v>
      </c>
      <c r="AU167" s="3">
        <f t="shared" si="109"/>
        <v>31</v>
      </c>
      <c r="AW167" s="32">
        <f t="shared" ca="1" si="110"/>
        <v>13222.257600863739</v>
      </c>
      <c r="AX167" s="32">
        <f t="shared" si="111"/>
        <v>0</v>
      </c>
      <c r="AY167" s="32">
        <f t="shared" ca="1" si="112"/>
        <v>13222.257600863739</v>
      </c>
      <c r="BA167" s="32">
        <f ca="1">IF($A168="","",F167*Summary!$Q$14)</f>
        <v>0</v>
      </c>
      <c r="BC167" s="256">
        <f t="shared" ca="1" si="116"/>
        <v>0</v>
      </c>
    </row>
    <row r="168" spans="1:55">
      <c r="A168" s="67">
        <f t="shared" si="113"/>
        <v>41852</v>
      </c>
      <c r="B168" s="69">
        <f t="shared" si="114"/>
        <v>28400</v>
      </c>
      <c r="C168" s="71"/>
      <c r="D168" s="69">
        <f t="shared" si="78"/>
        <v>28400</v>
      </c>
      <c r="E168" s="70">
        <f t="shared" si="79"/>
        <v>880400</v>
      </c>
      <c r="F168" s="70">
        <f t="shared" ca="1" si="80"/>
        <v>242514.22338685262</v>
      </c>
      <c r="G168" s="63">
        <f t="shared" si="81"/>
        <v>4.6710000000000003</v>
      </c>
      <c r="H168" s="64">
        <f t="shared" si="82"/>
        <v>4.6710000000000003</v>
      </c>
      <c r="I168" s="43"/>
      <c r="J168" s="63">
        <f t="shared" si="83"/>
        <v>0.23499999999999999</v>
      </c>
      <c r="K168" s="64">
        <f t="shared" si="84"/>
        <v>0.23499999999999999</v>
      </c>
      <c r="L168" s="38">
        <v>0</v>
      </c>
      <c r="M168" s="64">
        <f t="shared" si="85"/>
        <v>0</v>
      </c>
      <c r="N168" s="65"/>
      <c r="O168" s="63">
        <f t="shared" si="86"/>
        <v>4.9060000000000006</v>
      </c>
      <c r="P168" s="63">
        <f t="shared" si="87"/>
        <v>4.9060000000000006</v>
      </c>
      <c r="Q168" s="66"/>
      <c r="R168" s="63">
        <f t="shared" si="88"/>
        <v>0.18</v>
      </c>
      <c r="S168" s="64">
        <f t="shared" si="89"/>
        <v>0.18</v>
      </c>
      <c r="T168" s="63">
        <f t="shared" si="90"/>
        <v>0</v>
      </c>
      <c r="U168" s="64">
        <f t="shared" si="91"/>
        <v>0</v>
      </c>
      <c r="V168" s="207">
        <f>IF($A169="","",IF(AND(MONTH(A168)&gt;3,MONTH(A168)&lt;11),(T168+R168+G168)*(((1/(1-Summary!$T$14))/(1-Summary!$W$14))-1),(T168+R168+G168)*((1/(1-Summary!$U$14))/(1-Summary!$X$14)-1)))</f>
        <v>5.1728690412542737E-2</v>
      </c>
      <c r="W168" s="43">
        <f t="shared" si="92"/>
        <v>4.9027286904125429</v>
      </c>
      <c r="X168" s="43">
        <f t="shared" si="93"/>
        <v>4.9027286904125429</v>
      </c>
      <c r="Y168" s="43"/>
      <c r="Z168" s="38">
        <f t="shared" si="94"/>
        <v>0.6</v>
      </c>
      <c r="AA168" s="38">
        <f t="shared" si="95"/>
        <v>0.17</v>
      </c>
      <c r="AB168" s="38">
        <f t="shared" ca="1" si="96"/>
        <v>0.17338461709593367</v>
      </c>
      <c r="AC168" s="38">
        <f t="shared" si="97"/>
        <v>0.45</v>
      </c>
      <c r="AD168" s="38">
        <f t="shared" si="98"/>
        <v>0.17</v>
      </c>
      <c r="AE168" s="38">
        <f t="shared" ca="1" si="99"/>
        <v>0.17191966652023175</v>
      </c>
      <c r="AF168" s="237">
        <f ca="1">((Summary!$N$14*(AA168*AD168)*(A168-$D$3))+(Summary!$M$14*Z168*AC168*(AJ168-EOMONTH(EDATE(A168,-1),0))))/(AK168*AB168*AE168)</f>
        <v>0.9987268626080622</v>
      </c>
      <c r="AG168" s="88">
        <f>IF($A169="","",Summary!$Q$14)</f>
        <v>0</v>
      </c>
      <c r="AH168" s="88">
        <f>IF($A169="","",IF(Summary!$R$12="Y",(VLOOKUP($A168,Summary!$AD$6:$AF$9,3)+'Escalating commodity'!J181),'Escalating commodity'!J181))</f>
        <v>6.2865588391343361E-3</v>
      </c>
      <c r="AI168" s="88">
        <f t="shared" si="115"/>
        <v>6.2865588391343361E-3</v>
      </c>
      <c r="AJ168" s="236">
        <f t="shared" si="100"/>
        <v>41866.5</v>
      </c>
      <c r="AK168" s="58">
        <f t="shared" ca="1" si="101"/>
        <v>4826</v>
      </c>
      <c r="AL168" s="26">
        <f ca="1">IF($A169="","",_xll.SPRDOPT(P168,X168,AI168,0,AB168,AE168,AF168,AK168,$AJ$2,0))</f>
        <v>6.1614101779288589E-2</v>
      </c>
      <c r="AM168" s="89">
        <f t="shared" si="102"/>
        <v>0</v>
      </c>
      <c r="AN168" s="89">
        <f t="shared" ca="1" si="103"/>
        <v>6.1614101779288589E-2</v>
      </c>
      <c r="AO168" s="3">
        <f t="shared" si="104"/>
        <v>31</v>
      </c>
      <c r="AP168" s="33">
        <f t="shared" si="105"/>
        <v>41852</v>
      </c>
      <c r="AQ168" s="58">
        <f t="shared" ca="1" si="106"/>
        <v>4826</v>
      </c>
      <c r="AR168" s="38">
        <f>'ANR OK vs ML7'!AR168</f>
        <v>0.1</v>
      </c>
      <c r="AS168" s="35">
        <f t="shared" ca="1" si="107"/>
        <v>0.27545913605957817</v>
      </c>
      <c r="AT168" s="3">
        <f t="shared" si="108"/>
        <v>1</v>
      </c>
      <c r="AU168" s="3">
        <f t="shared" si="109"/>
        <v>31</v>
      </c>
      <c r="AW168" s="32">
        <f t="shared" ca="1" si="110"/>
        <v>54245.055206485675</v>
      </c>
      <c r="AX168" s="32">
        <f t="shared" si="111"/>
        <v>0</v>
      </c>
      <c r="AY168" s="32">
        <f t="shared" ca="1" si="112"/>
        <v>54245.055206485675</v>
      </c>
      <c r="BA168" s="32">
        <f ca="1">IF($A169="","",F168*Summary!$Q$14)</f>
        <v>0</v>
      </c>
      <c r="BC168" s="256">
        <f t="shared" ca="1" si="116"/>
        <v>0</v>
      </c>
    </row>
    <row r="169" spans="1:55">
      <c r="A169" s="67">
        <f t="shared" si="113"/>
        <v>41883</v>
      </c>
      <c r="B169" s="69">
        <f t="shared" si="114"/>
        <v>28400</v>
      </c>
      <c r="C169" s="71"/>
      <c r="D169" s="69">
        <f t="shared" si="78"/>
        <v>28400</v>
      </c>
      <c r="E169" s="70">
        <f t="shared" si="79"/>
        <v>852000</v>
      </c>
      <c r="F169" s="70">
        <f t="shared" ca="1" si="80"/>
        <v>232755.50485343611</v>
      </c>
      <c r="G169" s="63">
        <f t="shared" si="81"/>
        <v>4.6849999999999996</v>
      </c>
      <c r="H169" s="64">
        <f t="shared" si="82"/>
        <v>4.6849999999999996</v>
      </c>
      <c r="I169" s="43"/>
      <c r="J169" s="63">
        <f t="shared" si="83"/>
        <v>0.23499999999999999</v>
      </c>
      <c r="K169" s="64">
        <f t="shared" si="84"/>
        <v>0.23499999999999999</v>
      </c>
      <c r="L169" s="38">
        <v>0</v>
      </c>
      <c r="M169" s="64">
        <f t="shared" si="85"/>
        <v>0</v>
      </c>
      <c r="N169" s="65"/>
      <c r="O169" s="63">
        <f t="shared" si="86"/>
        <v>4.92</v>
      </c>
      <c r="P169" s="63">
        <f t="shared" si="87"/>
        <v>4.92</v>
      </c>
      <c r="Q169" s="66"/>
      <c r="R169" s="63">
        <f t="shared" si="88"/>
        <v>0.18</v>
      </c>
      <c r="S169" s="64">
        <f t="shared" si="89"/>
        <v>0.18</v>
      </c>
      <c r="T169" s="63">
        <f t="shared" si="90"/>
        <v>0</v>
      </c>
      <c r="U169" s="64">
        <f t="shared" si="91"/>
        <v>0</v>
      </c>
      <c r="V169" s="207">
        <f>IF($A170="","",IF(AND(MONTH(A169)&gt;3,MONTH(A169)&lt;11),(T169+R169+G169)*(((1/(1-Summary!$T$14))/(1-Summary!$W$14))-1),(T169+R169+G169)*((1/(1-Summary!$U$14))/(1-Summary!$X$14)-1)))</f>
        <v>5.1877979562362481E-2</v>
      </c>
      <c r="W169" s="43">
        <f t="shared" si="92"/>
        <v>4.9168779795623614</v>
      </c>
      <c r="X169" s="43">
        <f t="shared" si="93"/>
        <v>4.9168779795623614</v>
      </c>
      <c r="Y169" s="43"/>
      <c r="Z169" s="38">
        <f t="shared" si="94"/>
        <v>0.6</v>
      </c>
      <c r="AA169" s="38">
        <f t="shared" si="95"/>
        <v>0.17</v>
      </c>
      <c r="AB169" s="38">
        <f t="shared" ca="1" si="96"/>
        <v>0.17325630603476228</v>
      </c>
      <c r="AC169" s="38">
        <f t="shared" si="97"/>
        <v>0.5</v>
      </c>
      <c r="AD169" s="38">
        <f t="shared" si="98"/>
        <v>0.17</v>
      </c>
      <c r="AE169" s="38">
        <f t="shared" ca="1" si="99"/>
        <v>0.17227313112268816</v>
      </c>
      <c r="AF169" s="237">
        <f ca="1">((Summary!$N$14*(AA169*AD169)*(A169-$D$3))+(Summary!$M$14*Z169*AC169*(AJ169-EOMONTH(EDATE(A169,-1),0))))/(AK169*AB169*AE169)</f>
        <v>0.99940199463216117</v>
      </c>
      <c r="AG169" s="88">
        <f>IF($A170="","",Summary!$Q$14)</f>
        <v>0</v>
      </c>
      <c r="AH169" s="88">
        <f>IF($A170="","",IF(Summary!$R$12="Y",(VLOOKUP($A169,Summary!$AD$6:$AF$9,3)+'Escalating commodity'!J182),'Escalating commodity'!J182))</f>
        <v>6.2865588391343361E-3</v>
      </c>
      <c r="AI169" s="88">
        <f t="shared" si="115"/>
        <v>6.2865588391343361E-3</v>
      </c>
      <c r="AJ169" s="236">
        <f t="shared" si="100"/>
        <v>41897</v>
      </c>
      <c r="AK169" s="58">
        <f t="shared" ca="1" si="101"/>
        <v>4857</v>
      </c>
      <c r="AL169" s="26">
        <f ca="1">IF($A170="","",_xll.SPRDOPT(P169,X169,AI169,0,AB169,AE169,AF169,AK169,$AJ$2,0))</f>
        <v>3.5316112769680386E-2</v>
      </c>
      <c r="AM169" s="89">
        <f t="shared" si="102"/>
        <v>0</v>
      </c>
      <c r="AN169" s="89">
        <f t="shared" ca="1" si="103"/>
        <v>3.5316112769680386E-2</v>
      </c>
      <c r="AO169" s="3">
        <f t="shared" si="104"/>
        <v>30</v>
      </c>
      <c r="AP169" s="33">
        <f t="shared" si="105"/>
        <v>41883</v>
      </c>
      <c r="AQ169" s="58">
        <f t="shared" ca="1" si="106"/>
        <v>4857</v>
      </c>
      <c r="AR169" s="38">
        <f>'ANR OK vs ML7'!AR169</f>
        <v>0.1</v>
      </c>
      <c r="AS169" s="35">
        <f t="shared" ca="1" si="107"/>
        <v>0.27318721226929121</v>
      </c>
      <c r="AT169" s="3">
        <f t="shared" si="108"/>
        <v>1</v>
      </c>
      <c r="AU169" s="3">
        <f t="shared" si="109"/>
        <v>30</v>
      </c>
      <c r="AW169" s="32">
        <f t="shared" ca="1" si="110"/>
        <v>30089.328079767689</v>
      </c>
      <c r="AX169" s="32">
        <f t="shared" si="111"/>
        <v>0</v>
      </c>
      <c r="AY169" s="32">
        <f t="shared" ca="1" si="112"/>
        <v>30089.328079767689</v>
      </c>
      <c r="BA169" s="32">
        <f ca="1">IF($A170="","",F169*Summary!$Q$14)</f>
        <v>0</v>
      </c>
      <c r="BC169" s="256">
        <f t="shared" ca="1" si="116"/>
        <v>0</v>
      </c>
    </row>
    <row r="170" spans="1:55" ht="12" customHeight="1">
      <c r="A170" s="67">
        <f t="shared" si="113"/>
        <v>41913</v>
      </c>
      <c r="B170" s="69">
        <f t="shared" si="114"/>
        <v>28400</v>
      </c>
      <c r="C170" s="71"/>
      <c r="D170" s="69">
        <f t="shared" si="78"/>
        <v>28400</v>
      </c>
      <c r="E170" s="70">
        <f t="shared" si="79"/>
        <v>880400</v>
      </c>
      <c r="F170" s="70">
        <f t="shared" ca="1" si="80"/>
        <v>238594.05154507444</v>
      </c>
      <c r="G170" s="63">
        <f t="shared" si="81"/>
        <v>4.7160000000000002</v>
      </c>
      <c r="H170" s="64">
        <f t="shared" si="82"/>
        <v>4.7160000000000002</v>
      </c>
      <c r="I170" s="43"/>
      <c r="J170" s="63">
        <f t="shared" si="83"/>
        <v>0.23499999999999999</v>
      </c>
      <c r="K170" s="64">
        <f t="shared" si="84"/>
        <v>0.23499999999999999</v>
      </c>
      <c r="L170" s="38">
        <v>0</v>
      </c>
      <c r="M170" s="64">
        <f t="shared" si="85"/>
        <v>0</v>
      </c>
      <c r="N170" s="65"/>
      <c r="O170" s="63">
        <f t="shared" si="86"/>
        <v>4.9510000000000005</v>
      </c>
      <c r="P170" s="63">
        <f t="shared" si="87"/>
        <v>4.9510000000000005</v>
      </c>
      <c r="Q170" s="66"/>
      <c r="R170" s="63">
        <f t="shared" si="88"/>
        <v>0.18</v>
      </c>
      <c r="S170" s="64">
        <f t="shared" si="89"/>
        <v>0.18</v>
      </c>
      <c r="T170" s="63">
        <f t="shared" si="90"/>
        <v>0</v>
      </c>
      <c r="U170" s="64">
        <f t="shared" si="91"/>
        <v>0</v>
      </c>
      <c r="V170" s="207">
        <f>IF($A171="","",IF(AND(MONTH(A170)&gt;3,MONTH(A170)&lt;11),(T170+R170+G170)*(((1/(1-Summary!$T$14))/(1-Summary!$W$14))-1),(T170+R170+G170)*((1/(1-Summary!$U$14))/(1-Summary!$X$14)-1)))</f>
        <v>5.2208548394106213E-2</v>
      </c>
      <c r="W170" s="43">
        <f t="shared" si="92"/>
        <v>4.9482085483941063</v>
      </c>
      <c r="X170" s="43">
        <f t="shared" si="93"/>
        <v>4.9482085483941063</v>
      </c>
      <c r="Y170" s="43"/>
      <c r="Z170" s="38">
        <f t="shared" si="94"/>
        <v>0.65</v>
      </c>
      <c r="AA170" s="38">
        <f t="shared" si="95"/>
        <v>0.17</v>
      </c>
      <c r="AB170" s="38">
        <f t="shared" ca="1" si="96"/>
        <v>0.17391362348770287</v>
      </c>
      <c r="AC170" s="38">
        <f t="shared" si="97"/>
        <v>0.5</v>
      </c>
      <c r="AD170" s="38">
        <f t="shared" si="98"/>
        <v>0.17</v>
      </c>
      <c r="AE170" s="38">
        <f t="shared" ca="1" si="99"/>
        <v>0.17233349541012075</v>
      </c>
      <c r="AF170" s="237">
        <f ca="1">((Summary!$N$14*(AA170*AD170)*(A170-$D$3))+(Summary!$M$14*Z170*AC170*(AJ170-EOMONTH(EDATE(A170,-1),0))))/(AK170*AB170*AE170)</f>
        <v>0.99875468249308386</v>
      </c>
      <c r="AG170" s="88">
        <f>IF($A171="","",Summary!$Q$14)</f>
        <v>0</v>
      </c>
      <c r="AH170" s="88">
        <f>IF($A171="","",IF(Summary!$R$12="Y",(VLOOKUP($A170,Summary!$AD$6:$AF$9,3)+'Escalating commodity'!J183),'Escalating commodity'!J183))</f>
        <v>6.2865588391343361E-3</v>
      </c>
      <c r="AI170" s="88">
        <f t="shared" si="115"/>
        <v>6.2865588391343361E-3</v>
      </c>
      <c r="AJ170" s="236">
        <f t="shared" si="100"/>
        <v>41927.5</v>
      </c>
      <c r="AK170" s="58">
        <f t="shared" ca="1" si="101"/>
        <v>4887</v>
      </c>
      <c r="AL170" s="26">
        <f ca="1">IF($A171="","",_xll.SPRDOPT(P170,X170,AI170,0,AB170,AE170,AF170,AK170,$AJ$2,0))</f>
        <v>6.2011691368940802E-2</v>
      </c>
      <c r="AM170" s="89">
        <f t="shared" si="102"/>
        <v>0</v>
      </c>
      <c r="AN170" s="89">
        <f t="shared" ca="1" si="103"/>
        <v>6.2011691368940802E-2</v>
      </c>
      <c r="AO170" s="3">
        <f t="shared" si="104"/>
        <v>31</v>
      </c>
      <c r="AP170" s="33">
        <f t="shared" si="105"/>
        <v>41913</v>
      </c>
      <c r="AQ170" s="58">
        <f t="shared" ca="1" si="106"/>
        <v>4887</v>
      </c>
      <c r="AR170" s="38">
        <f>'ANR OK vs ML7'!AR170</f>
        <v>0.1</v>
      </c>
      <c r="AS170" s="35">
        <f t="shared" ca="1" si="107"/>
        <v>0.27100641929245167</v>
      </c>
      <c r="AT170" s="3">
        <f t="shared" si="108"/>
        <v>1</v>
      </c>
      <c r="AU170" s="3">
        <f t="shared" si="109"/>
        <v>31</v>
      </c>
      <c r="AW170" s="32">
        <f t="shared" ca="1" si="110"/>
        <v>54595.093081215484</v>
      </c>
      <c r="AX170" s="32">
        <f t="shared" si="111"/>
        <v>0</v>
      </c>
      <c r="AY170" s="32">
        <f t="shared" ca="1" si="112"/>
        <v>54595.093081215484</v>
      </c>
      <c r="BA170" s="32">
        <f ca="1">IF($A171="","",F170*Summary!$Q$14)</f>
        <v>0</v>
      </c>
      <c r="BC170" s="256">
        <f t="shared" ca="1" si="116"/>
        <v>0</v>
      </c>
    </row>
    <row r="171" spans="1:55" ht="12" customHeight="1">
      <c r="A171" s="67">
        <f t="shared" si="113"/>
        <v>41944</v>
      </c>
      <c r="B171" s="69">
        <f t="shared" si="114"/>
        <v>28400</v>
      </c>
      <c r="C171" s="71"/>
      <c r="D171" s="69">
        <f t="shared" si="78"/>
        <v>28400</v>
      </c>
      <c r="E171" s="70">
        <f t="shared" si="79"/>
        <v>852000</v>
      </c>
      <c r="F171" s="70">
        <f t="shared" ca="1" si="80"/>
        <v>228993.0798566564</v>
      </c>
      <c r="G171" s="63">
        <f t="shared" si="81"/>
        <v>4.8490000000000002</v>
      </c>
      <c r="H171" s="64">
        <f t="shared" si="82"/>
        <v>4.8490000000000002</v>
      </c>
      <c r="I171" s="43"/>
      <c r="J171" s="328">
        <f>J159</f>
        <v>0.42499999999999999</v>
      </c>
      <c r="K171" s="64">
        <f t="shared" si="84"/>
        <v>0.42499999999999999</v>
      </c>
      <c r="L171" s="38">
        <v>0</v>
      </c>
      <c r="M171" s="64">
        <f t="shared" si="85"/>
        <v>0</v>
      </c>
      <c r="N171" s="65"/>
      <c r="O171" s="63">
        <f t="shared" si="86"/>
        <v>5.274</v>
      </c>
      <c r="P171" s="63">
        <f t="shared" si="87"/>
        <v>5.274</v>
      </c>
      <c r="Q171" s="66"/>
      <c r="R171" s="328">
        <f>R159</f>
        <v>0.27500000000000002</v>
      </c>
      <c r="S171" s="64">
        <f t="shared" si="89"/>
        <v>0.27500000000000002</v>
      </c>
      <c r="T171" s="63">
        <f t="shared" si="90"/>
        <v>0</v>
      </c>
      <c r="U171" s="64">
        <f t="shared" si="91"/>
        <v>0</v>
      </c>
      <c r="V171" s="207">
        <f>IF($A172="","",IF(AND(MONTH(A171)&gt;3,MONTH(A171)&lt;11),(T171+R171+G171)*(((1/(1-Summary!$T$14))/(1-Summary!$W$14))-1),(T171+R171+G171)*((1/(1-Summary!$U$14))/(1-Summary!$X$14)-1)))</f>
        <v>5.4639828834027834E-2</v>
      </c>
      <c r="W171" s="43">
        <f t="shared" si="92"/>
        <v>5.1786398288340285</v>
      </c>
      <c r="X171" s="43">
        <f t="shared" si="93"/>
        <v>5.1786398288340285</v>
      </c>
      <c r="Y171" s="43"/>
      <c r="Z171" s="38">
        <f t="shared" si="94"/>
        <v>0.8</v>
      </c>
      <c r="AA171" s="38">
        <f t="shared" si="95"/>
        <v>0.17</v>
      </c>
      <c r="AB171" s="38">
        <f t="shared" ca="1" si="96"/>
        <v>0.17566413801891734</v>
      </c>
      <c r="AC171" s="38">
        <f t="shared" si="97"/>
        <v>0.95</v>
      </c>
      <c r="AD171" s="38">
        <f t="shared" si="98"/>
        <v>0.17</v>
      </c>
      <c r="AE171" s="38">
        <f t="shared" ca="1" si="99"/>
        <v>0.17792841179380214</v>
      </c>
      <c r="AF171" s="237">
        <f ca="1">((Summary!$N$14*(AA171*AD171)*(A171-$D$3))+(Summary!$M$14*Z171*AC171*(AJ171-EOMONTH(EDATE(A171,-1),0))))/(AK171*AB171*AE171)</f>
        <v>0.99889172490723444</v>
      </c>
      <c r="AG171" s="88">
        <f>IF($A172="","",Summary!$Q$14)</f>
        <v>0</v>
      </c>
      <c r="AH171" s="88">
        <f>IF($A172="","",IF(Summary!$R$12="Y",(VLOOKUP($A171,Summary!$AD$6:$AF$9,3)+'Escalating commodity'!J184),'Escalating commodity'!J184))</f>
        <v>6.2865588391343361E-3</v>
      </c>
      <c r="AI171" s="88">
        <f t="shared" si="115"/>
        <v>6.2865588391343361E-3</v>
      </c>
      <c r="AJ171" s="236">
        <f t="shared" si="100"/>
        <v>41958</v>
      </c>
      <c r="AK171" s="58">
        <f t="shared" ca="1" si="101"/>
        <v>4918</v>
      </c>
      <c r="AL171" s="26">
        <f ca="1">IF($A172="","",_xll.SPRDOPT(P171,X171,AI171,0,AB171,AE171,AF171,AK171,$AJ$2,0))</f>
        <v>0.11953574745561085</v>
      </c>
      <c r="AM171" s="89">
        <f t="shared" si="102"/>
        <v>8.9073612326837165E-2</v>
      </c>
      <c r="AN171" s="89">
        <f t="shared" ca="1" si="103"/>
        <v>3.0462135128773687E-2</v>
      </c>
      <c r="AO171" s="3">
        <f t="shared" si="104"/>
        <v>30</v>
      </c>
      <c r="AP171" s="33">
        <f t="shared" si="105"/>
        <v>41944</v>
      </c>
      <c r="AQ171" s="58">
        <f t="shared" ca="1" si="106"/>
        <v>4918</v>
      </c>
      <c r="AR171" s="38">
        <f>'ANR OK vs ML7'!AR171</f>
        <v>0.1</v>
      </c>
      <c r="AS171" s="35">
        <f t="shared" ca="1" si="107"/>
        <v>0.26877122048903335</v>
      </c>
      <c r="AT171" s="3">
        <f t="shared" si="108"/>
        <v>1</v>
      </c>
      <c r="AU171" s="3">
        <f t="shared" si="109"/>
        <v>30</v>
      </c>
      <c r="AW171" s="32">
        <f t="shared" ca="1" si="110"/>
        <v>101844.45683218044</v>
      </c>
      <c r="AX171" s="32">
        <f t="shared" si="111"/>
        <v>75890.717702465263</v>
      </c>
      <c r="AY171" s="32">
        <f t="shared" ca="1" si="112"/>
        <v>25953.739129715181</v>
      </c>
      <c r="BA171" s="32">
        <f ca="1">IF($A172="","",F171*Summary!$Q$14)</f>
        <v>0</v>
      </c>
      <c r="BC171" s="256">
        <f t="shared" ca="1" si="116"/>
        <v>20397.240820680276</v>
      </c>
    </row>
    <row r="172" spans="1:55" ht="12" customHeight="1">
      <c r="A172" s="67">
        <f t="shared" si="113"/>
        <v>41974</v>
      </c>
      <c r="B172" s="69">
        <f t="shared" si="114"/>
        <v>28400</v>
      </c>
      <c r="C172" s="71"/>
      <c r="D172" s="69">
        <f t="shared" si="78"/>
        <v>28400</v>
      </c>
      <c r="E172" s="70">
        <f t="shared" si="79"/>
        <v>880400</v>
      </c>
      <c r="F172" s="70">
        <f t="shared" ca="1" si="80"/>
        <v>234737.24814022527</v>
      </c>
      <c r="G172" s="63">
        <f t="shared" si="81"/>
        <v>4.9870000000000001</v>
      </c>
      <c r="H172" s="64">
        <f t="shared" si="82"/>
        <v>4.9870000000000001</v>
      </c>
      <c r="I172" s="43"/>
      <c r="J172" s="328">
        <f>J160</f>
        <v>0.42499999999999999</v>
      </c>
      <c r="K172" s="64">
        <f t="shared" si="84"/>
        <v>0.42499999999999999</v>
      </c>
      <c r="L172" s="38">
        <v>0</v>
      </c>
      <c r="M172" s="64">
        <f t="shared" si="85"/>
        <v>0</v>
      </c>
      <c r="N172" s="65"/>
      <c r="O172" s="63">
        <f t="shared" si="86"/>
        <v>5.4119999999999999</v>
      </c>
      <c r="P172" s="63">
        <f t="shared" si="87"/>
        <v>5.4119999999999999</v>
      </c>
      <c r="Q172" s="66"/>
      <c r="R172" s="328">
        <f>R160</f>
        <v>0.27500000000000002</v>
      </c>
      <c r="S172" s="64">
        <f t="shared" si="89"/>
        <v>0.27500000000000002</v>
      </c>
      <c r="T172" s="63">
        <f t="shared" si="90"/>
        <v>0</v>
      </c>
      <c r="U172" s="64">
        <f t="shared" si="91"/>
        <v>0</v>
      </c>
      <c r="V172" s="207">
        <f>IF($A173="","",IF(AND(MONTH(A172)&gt;3,MONTH(A172)&lt;11),(T172+R172+G172)*(((1/(1-Summary!$T$14))/(1-Summary!$W$14))-1),(T172+R172+G172)*((1/(1-Summary!$U$14))/(1-Summary!$X$14)-1)))</f>
        <v>5.6111393310822495E-2</v>
      </c>
      <c r="W172" s="43">
        <f t="shared" si="92"/>
        <v>5.3181113933108231</v>
      </c>
      <c r="X172" s="43">
        <f t="shared" si="93"/>
        <v>5.3181113933108231</v>
      </c>
      <c r="Y172" s="43"/>
      <c r="Z172" s="38">
        <f t="shared" si="94"/>
        <v>1.1000000000000001</v>
      </c>
      <c r="AA172" s="38">
        <f t="shared" si="95"/>
        <v>0.17</v>
      </c>
      <c r="AB172" s="38">
        <f t="shared" ca="1" si="96"/>
        <v>0.18082107486574198</v>
      </c>
      <c r="AC172" s="38">
        <f t="shared" si="97"/>
        <v>1.35</v>
      </c>
      <c r="AD172" s="38">
        <f t="shared" si="98"/>
        <v>0.17</v>
      </c>
      <c r="AE172" s="38">
        <f t="shared" ca="1" si="99"/>
        <v>0.18605097592510478</v>
      </c>
      <c r="AF172" s="237">
        <f ca="1">((Summary!$N$14*(AA172*AD172)*(A172-$D$3))+(Summary!$M$14*Z172*AC172*(AJ172-EOMONTH(EDATE(A172,-1),0))))/(AK172*AB172*AE172)</f>
        <v>0.99741073950382053</v>
      </c>
      <c r="AG172" s="88">
        <f>IF($A173="","",Summary!$Q$14)</f>
        <v>0</v>
      </c>
      <c r="AH172" s="88">
        <f>IF($A173="","",IF(Summary!$R$12="Y",(VLOOKUP($A172,Summary!$AD$6:$AF$9,3)+'Escalating commodity'!J185),'Escalating commodity'!J185))</f>
        <v>6.2865588391343361E-3</v>
      </c>
      <c r="AI172" s="88">
        <f t="shared" si="115"/>
        <v>6.2865588391343361E-3</v>
      </c>
      <c r="AJ172" s="236">
        <f t="shared" si="100"/>
        <v>41988.5</v>
      </c>
      <c r="AK172" s="58">
        <f t="shared" ca="1" si="101"/>
        <v>4948</v>
      </c>
      <c r="AL172" s="26">
        <f ca="1">IF($A173="","",_xll.SPRDOPT(P172,X172,AI172,0,AB172,AE172,AF172,AK172,$AJ$2,0))</f>
        <v>0.1604918583021166</v>
      </c>
      <c r="AM172" s="89">
        <f t="shared" si="102"/>
        <v>8.7602047850042525E-2</v>
      </c>
      <c r="AN172" s="89">
        <f t="shared" ca="1" si="103"/>
        <v>7.2889810452074072E-2</v>
      </c>
      <c r="AO172" s="3">
        <f t="shared" si="104"/>
        <v>31</v>
      </c>
      <c r="AP172" s="33">
        <f t="shared" si="105"/>
        <v>41974</v>
      </c>
      <c r="AQ172" s="58">
        <f t="shared" ca="1" si="106"/>
        <v>4948</v>
      </c>
      <c r="AR172" s="38">
        <f>'ANR OK vs ML7'!AR172</f>
        <v>0.1</v>
      </c>
      <c r="AS172" s="35">
        <f t="shared" ca="1" si="107"/>
        <v>0.26662567939598508</v>
      </c>
      <c r="AT172" s="3">
        <f t="shared" si="108"/>
        <v>1</v>
      </c>
      <c r="AU172" s="3">
        <f t="shared" si="109"/>
        <v>31</v>
      </c>
      <c r="AW172" s="32">
        <f t="shared" ca="1" si="110"/>
        <v>141297.03204918344</v>
      </c>
      <c r="AX172" s="32">
        <f t="shared" si="111"/>
        <v>77124.842927177437</v>
      </c>
      <c r="AY172" s="32">
        <f t="shared" ca="1" si="112"/>
        <v>64172.189122006013</v>
      </c>
      <c r="BA172" s="32">
        <f ca="1">IF($A173="","",F172*Summary!$Q$14)</f>
        <v>0</v>
      </c>
      <c r="BC172" s="256">
        <f t="shared" ca="1" si="116"/>
        <v>20563.463643767322</v>
      </c>
    </row>
    <row r="173" spans="1:55" ht="12" customHeight="1">
      <c r="A173" s="67">
        <f t="shared" si="113"/>
        <v>42005</v>
      </c>
      <c r="B173" s="69">
        <f t="shared" si="114"/>
        <v>28400</v>
      </c>
      <c r="C173" s="71"/>
      <c r="D173" s="69">
        <f t="shared" si="78"/>
        <v>28400</v>
      </c>
      <c r="E173" s="70">
        <f t="shared" si="79"/>
        <v>880400</v>
      </c>
      <c r="F173" s="70">
        <f t="shared" ca="1" si="80"/>
        <v>232801.18914379782</v>
      </c>
      <c r="G173" s="63">
        <f t="shared" si="81"/>
        <v>5.0440000000000005</v>
      </c>
      <c r="H173" s="64">
        <f t="shared" si="82"/>
        <v>5.0440000000000005</v>
      </c>
      <c r="I173" s="43"/>
      <c r="J173" s="328">
        <f>J161</f>
        <v>0.42499999999999999</v>
      </c>
      <c r="K173" s="64">
        <f t="shared" si="84"/>
        <v>0.42499999999999999</v>
      </c>
      <c r="L173" s="38">
        <v>0</v>
      </c>
      <c r="M173" s="64">
        <f t="shared" si="85"/>
        <v>0</v>
      </c>
      <c r="N173" s="65"/>
      <c r="O173" s="63">
        <f t="shared" si="86"/>
        <v>5.4690000000000003</v>
      </c>
      <c r="P173" s="63">
        <f t="shared" si="87"/>
        <v>5.4690000000000003</v>
      </c>
      <c r="Q173" s="66"/>
      <c r="R173" s="328">
        <f>R161</f>
        <v>0.27500000000000002</v>
      </c>
      <c r="S173" s="64">
        <f t="shared" si="89"/>
        <v>0.27500000000000002</v>
      </c>
      <c r="T173" s="63">
        <f t="shared" si="90"/>
        <v>0</v>
      </c>
      <c r="U173" s="64">
        <f t="shared" si="91"/>
        <v>0</v>
      </c>
      <c r="V173" s="207">
        <f>IF($A174="","",IF(AND(MONTH(A173)&gt;3,MONTH(A173)&lt;11),(T173+R173+G173)*(((1/(1-Summary!$T$14))/(1-Summary!$W$14))-1),(T173+R173+G173)*((1/(1-Summary!$U$14))/(1-Summary!$X$14)-1)))</f>
        <v>5.6719213420802904E-2</v>
      </c>
      <c r="W173" s="43">
        <f t="shared" si="92"/>
        <v>5.3757192134208038</v>
      </c>
      <c r="X173" s="43">
        <f t="shared" si="93"/>
        <v>5.3757192134208038</v>
      </c>
      <c r="Y173" s="43"/>
      <c r="Z173" s="38">
        <f t="shared" si="94"/>
        <v>1.1000000000000001</v>
      </c>
      <c r="AA173" s="38">
        <f t="shared" si="95"/>
        <v>0.17</v>
      </c>
      <c r="AB173" s="38">
        <f t="shared" ca="1" si="96"/>
        <v>0.18075570537359381</v>
      </c>
      <c r="AC173" s="38">
        <f t="shared" si="97"/>
        <v>1.35</v>
      </c>
      <c r="AD173" s="38">
        <f t="shared" si="98"/>
        <v>0.17</v>
      </c>
      <c r="AE173" s="38">
        <f t="shared" ca="1" si="99"/>
        <v>0.18595532638331005</v>
      </c>
      <c r="AF173" s="237">
        <f ca="1">((Summary!$N$14*(AA173*AD173)*(A173-$D$3))+(Summary!$M$14*Z173*AC173*(AJ173-EOMONTH(EDATE(A173,-1),0))))/(AK173*AB173*AE173)</f>
        <v>0.99742190620139326</v>
      </c>
      <c r="AG173" s="88">
        <f>IF($A174="","",Summary!$Q$14)</f>
        <v>0</v>
      </c>
      <c r="AH173" s="88">
        <f>IF($A174="","",IF(Summary!$R$12="Y",(VLOOKUP($A173,Summary!$AD$6:$AF$9,3)+'Escalating commodity'!J186),'Escalating commodity'!J186))</f>
        <v>0</v>
      </c>
      <c r="AI173" s="88">
        <f t="shared" si="115"/>
        <v>0</v>
      </c>
      <c r="AJ173" s="236">
        <f t="shared" si="100"/>
        <v>42019.5</v>
      </c>
      <c r="AK173" s="58">
        <f t="shared" ca="1" si="101"/>
        <v>4979</v>
      </c>
      <c r="AL173" s="26">
        <f ca="1">IF($A174="","",_xll.SPRDOPT(P173,X173,AI173,0,AB173,AE173,AF173,AK173,$AJ$2,0))</f>
        <v>0.16574501922545187</v>
      </c>
      <c r="AM173" s="89">
        <f t="shared" si="102"/>
        <v>9.3280786579196473E-2</v>
      </c>
      <c r="AN173" s="89">
        <f t="shared" ca="1" si="103"/>
        <v>7.24642326462554E-2</v>
      </c>
      <c r="AO173" s="3">
        <f t="shared" si="104"/>
        <v>31</v>
      </c>
      <c r="AP173" s="33">
        <f t="shared" si="105"/>
        <v>42005</v>
      </c>
      <c r="AQ173" s="58">
        <f t="shared" ca="1" si="106"/>
        <v>4979</v>
      </c>
      <c r="AR173" s="38">
        <f>'ANR OK vs ML7'!AR173</f>
        <v>0.1</v>
      </c>
      <c r="AS173" s="35">
        <f t="shared" ca="1" si="107"/>
        <v>0.26442661193071082</v>
      </c>
      <c r="AT173" s="3">
        <f t="shared" si="108"/>
        <v>1</v>
      </c>
      <c r="AU173" s="3">
        <f t="shared" si="109"/>
        <v>31</v>
      </c>
      <c r="AW173" s="32">
        <f t="shared" ca="1" si="110"/>
        <v>145921.91492608783</v>
      </c>
      <c r="AX173" s="32">
        <f t="shared" si="111"/>
        <v>82124.404504324571</v>
      </c>
      <c r="AY173" s="32">
        <f t="shared" ca="1" si="112"/>
        <v>63797.510421763254</v>
      </c>
      <c r="BA173" s="32">
        <f ca="1">IF($A174="","",F173*Summary!$Q$14)</f>
        <v>0</v>
      </c>
      <c r="BC173" s="256">
        <f t="shared" ca="1" si="116"/>
        <v>21715.878039905754</v>
      </c>
    </row>
    <row r="174" spans="1:55" ht="12" customHeight="1">
      <c r="A174" s="67">
        <f t="shared" si="113"/>
        <v>42036</v>
      </c>
      <c r="B174" s="69">
        <f t="shared" si="114"/>
        <v>28400</v>
      </c>
      <c r="C174" s="71"/>
      <c r="D174" s="69">
        <f t="shared" si="78"/>
        <v>28400</v>
      </c>
      <c r="E174" s="70">
        <f t="shared" si="79"/>
        <v>795200</v>
      </c>
      <c r="F174" s="70">
        <f t="shared" ca="1" si="80"/>
        <v>208537.7662227336</v>
      </c>
      <c r="G174" s="63">
        <f t="shared" si="81"/>
        <v>4.9240000000000004</v>
      </c>
      <c r="H174" s="64">
        <f t="shared" si="82"/>
        <v>4.9240000000000004</v>
      </c>
      <c r="I174" s="43"/>
      <c r="J174" s="328">
        <f>J162</f>
        <v>0.42499999999999999</v>
      </c>
      <c r="K174" s="64">
        <f t="shared" si="84"/>
        <v>0.42499999999999999</v>
      </c>
      <c r="L174" s="38">
        <v>0</v>
      </c>
      <c r="M174" s="64">
        <f t="shared" si="85"/>
        <v>0</v>
      </c>
      <c r="N174" s="65"/>
      <c r="O174" s="63">
        <f t="shared" si="86"/>
        <v>5.3490000000000002</v>
      </c>
      <c r="P174" s="63">
        <f t="shared" si="87"/>
        <v>5.3490000000000002</v>
      </c>
      <c r="Q174" s="66"/>
      <c r="R174" s="328">
        <f>R162</f>
        <v>0.27500000000000002</v>
      </c>
      <c r="S174" s="64">
        <f t="shared" si="89"/>
        <v>0.27500000000000002</v>
      </c>
      <c r="T174" s="63">
        <f t="shared" si="90"/>
        <v>0</v>
      </c>
      <c r="U174" s="64">
        <f t="shared" si="91"/>
        <v>0</v>
      </c>
      <c r="V174" s="207">
        <f>IF($A175="","",IF(AND(MONTH(A174)&gt;3,MONTH(A174)&lt;11),(T174+R174+G174)*(((1/(1-Summary!$T$14))/(1-Summary!$W$14))-1),(T174+R174+G174)*((1/(1-Summary!$U$14))/(1-Summary!$X$14)-1)))</f>
        <v>5.5439592136633631E-2</v>
      </c>
      <c r="W174" s="43">
        <f t="shared" si="92"/>
        <v>5.2544395921366345</v>
      </c>
      <c r="X174" s="43">
        <f t="shared" si="93"/>
        <v>5.2544395921366345</v>
      </c>
      <c r="Y174" s="43"/>
      <c r="Z174" s="38">
        <f t="shared" si="94"/>
        <v>1.1000000000000001</v>
      </c>
      <c r="AA174" s="38">
        <f t="shared" si="95"/>
        <v>0.17</v>
      </c>
      <c r="AB174" s="38">
        <f t="shared" ca="1" si="96"/>
        <v>0.17968585361130676</v>
      </c>
      <c r="AC174" s="38">
        <f t="shared" si="97"/>
        <v>1.35</v>
      </c>
      <c r="AD174" s="38">
        <f t="shared" si="98"/>
        <v>0.17</v>
      </c>
      <c r="AE174" s="38">
        <f t="shared" ca="1" si="99"/>
        <v>0.18438704627584701</v>
      </c>
      <c r="AF174" s="237">
        <f ca="1">((Summary!$N$14*(AA174*AD174)*(A174-$D$3))+(Summary!$M$14*Z174*AC174*(AJ174-EOMONTH(EDATE(A174,-1),0))))/(AK174*AB174*AE174)</f>
        <v>0.99761059000156416</v>
      </c>
      <c r="AG174" s="88">
        <f>IF($A175="","",Summary!$Q$14)</f>
        <v>0</v>
      </c>
      <c r="AH174" s="88">
        <f>IF($A175="","",IF(Summary!$R$12="Y",(VLOOKUP($A174,Summary!$AD$6:$AF$9,3)+'Escalating commodity'!J187),'Escalating commodity'!J187))</f>
        <v>0</v>
      </c>
      <c r="AI174" s="88">
        <f t="shared" si="115"/>
        <v>0</v>
      </c>
      <c r="AJ174" s="236">
        <f t="shared" si="100"/>
        <v>42049</v>
      </c>
      <c r="AK174" s="58">
        <f t="shared" ca="1" si="101"/>
        <v>5010</v>
      </c>
      <c r="AL174" s="26">
        <f ca="1">IF($A175="","",_xll.SPRDOPT(P174,X174,AI174,0,AB174,AE174,AF174,AK174,$AJ$2,0))</f>
        <v>0.15918049357565384</v>
      </c>
      <c r="AM174" s="89">
        <f t="shared" si="102"/>
        <v>9.4560407863365725E-2</v>
      </c>
      <c r="AN174" s="89">
        <f t="shared" ca="1" si="103"/>
        <v>6.4620085712288111E-2</v>
      </c>
      <c r="AO174" s="3">
        <f t="shared" si="104"/>
        <v>28</v>
      </c>
      <c r="AP174" s="33">
        <f t="shared" si="105"/>
        <v>42036</v>
      </c>
      <c r="AQ174" s="58">
        <f t="shared" ca="1" si="106"/>
        <v>5010</v>
      </c>
      <c r="AR174" s="38">
        <f>'ANR OK vs ML7'!AR174</f>
        <v>0.1</v>
      </c>
      <c r="AS174" s="35">
        <f t="shared" ca="1" si="107"/>
        <v>0.26224568186963482</v>
      </c>
      <c r="AT174" s="3">
        <f t="shared" si="108"/>
        <v>1</v>
      </c>
      <c r="AU174" s="3">
        <f t="shared" si="109"/>
        <v>28</v>
      </c>
      <c r="AW174" s="32">
        <f t="shared" ca="1" si="110"/>
        <v>126580.32849135993</v>
      </c>
      <c r="AX174" s="32">
        <f t="shared" si="111"/>
        <v>75194.436332948419</v>
      </c>
      <c r="AY174" s="32">
        <f t="shared" ca="1" si="112"/>
        <v>51385.892158411509</v>
      </c>
      <c r="BA174" s="32">
        <f ca="1">IF($A175="","",F174*Summary!$Q$14)</f>
        <v>0</v>
      </c>
    </row>
    <row r="175" spans="1:55" ht="12" customHeight="1">
      <c r="A175" s="67">
        <f t="shared" si="113"/>
        <v>42064</v>
      </c>
      <c r="B175" s="69">
        <f t="shared" si="114"/>
        <v>28400</v>
      </c>
      <c r="C175" s="71"/>
      <c r="D175" s="69">
        <f t="shared" si="78"/>
        <v>28400</v>
      </c>
      <c r="E175" s="70">
        <f t="shared" si="79"/>
        <v>880400</v>
      </c>
      <c r="F175" s="70">
        <f t="shared" ca="1" si="80"/>
        <v>229160.43814598492</v>
      </c>
      <c r="G175" s="63">
        <f t="shared" si="81"/>
        <v>4.7850000000000001</v>
      </c>
      <c r="H175" s="64">
        <f t="shared" si="82"/>
        <v>4.7850000000000001</v>
      </c>
      <c r="I175" s="43"/>
      <c r="J175" s="328">
        <f>J163</f>
        <v>0.42499999999999999</v>
      </c>
      <c r="K175" s="64">
        <f t="shared" si="84"/>
        <v>0.42499999999999999</v>
      </c>
      <c r="L175" s="38">
        <v>0</v>
      </c>
      <c r="M175" s="64">
        <f t="shared" si="85"/>
        <v>0</v>
      </c>
      <c r="N175" s="65"/>
      <c r="O175" s="63">
        <f t="shared" si="86"/>
        <v>5.21</v>
      </c>
      <c r="P175" s="63">
        <f t="shared" si="87"/>
        <v>5.21</v>
      </c>
      <c r="Q175" s="66"/>
      <c r="R175" s="328">
        <f>R163</f>
        <v>0.27500000000000002</v>
      </c>
      <c r="S175" s="64">
        <f t="shared" si="89"/>
        <v>0.27500000000000002</v>
      </c>
      <c r="T175" s="63">
        <f t="shared" si="90"/>
        <v>0</v>
      </c>
      <c r="U175" s="64">
        <f t="shared" si="91"/>
        <v>0</v>
      </c>
      <c r="V175" s="207">
        <f>IF($A176="","",IF(AND(MONTH(A175)&gt;3,MONTH(A175)&lt;11),(T175+R175+G175)*(((1/(1-Summary!$T$14))/(1-Summary!$W$14))-1),(T175+R175+G175)*((1/(1-Summary!$U$14))/(1-Summary!$X$14)-1)))</f>
        <v>5.3957364149137557E-2</v>
      </c>
      <c r="W175" s="43">
        <f t="shared" si="92"/>
        <v>5.1139573641491385</v>
      </c>
      <c r="X175" s="43">
        <f t="shared" si="93"/>
        <v>5.1139573641491385</v>
      </c>
      <c r="Y175" s="43"/>
      <c r="Z175" s="38">
        <f t="shared" si="94"/>
        <v>0.75</v>
      </c>
      <c r="AA175" s="38">
        <f t="shared" si="95"/>
        <v>0.17</v>
      </c>
      <c r="AB175" s="38">
        <f t="shared" ca="1" si="96"/>
        <v>0.17503237946918254</v>
      </c>
      <c r="AC175" s="38">
        <f t="shared" si="97"/>
        <v>0.95</v>
      </c>
      <c r="AD175" s="38">
        <f t="shared" si="98"/>
        <v>0.17</v>
      </c>
      <c r="AE175" s="38">
        <f t="shared" ca="1" si="99"/>
        <v>0.1779954602861912</v>
      </c>
      <c r="AF175" s="237">
        <f ca="1">((Summary!$N$14*(AA175*AD175)*(A175-$D$3))+(Summary!$M$14*Z175*AC175*(AJ175-EOMONTH(EDATE(A175,-1),0))))/(AK175*AB175*AE175)</f>
        <v>0.99807308413999418</v>
      </c>
      <c r="AG175" s="88">
        <f>IF($A176="","",Summary!$Q$14)</f>
        <v>0</v>
      </c>
      <c r="AH175" s="88">
        <f>IF($A176="","",IF(Summary!$R$12="Y",(VLOOKUP($A175,Summary!$AD$6:$AF$9,3)+'Escalating commodity'!J188),'Escalating commodity'!J188))</f>
        <v>0</v>
      </c>
      <c r="AI175" s="88">
        <f t="shared" si="115"/>
        <v>0</v>
      </c>
      <c r="AJ175" s="236">
        <f t="shared" si="100"/>
        <v>42078.5</v>
      </c>
      <c r="AK175" s="58">
        <f t="shared" ca="1" si="101"/>
        <v>5038</v>
      </c>
      <c r="AL175" s="26">
        <f ca="1">IF($A176="","",_xll.SPRDOPT(P175,X175,AI175,0,AB175,AE175,AF175,AK175,$AJ$2,0))</f>
        <v>0.14314894612245638</v>
      </c>
      <c r="AM175" s="89">
        <f t="shared" si="102"/>
        <v>9.604263585086148E-2</v>
      </c>
      <c r="AN175" s="89">
        <f t="shared" ca="1" si="103"/>
        <v>4.7106310271594898E-2</v>
      </c>
      <c r="AO175" s="3">
        <f t="shared" si="104"/>
        <v>31</v>
      </c>
      <c r="AP175" s="33">
        <f t="shared" si="105"/>
        <v>42064</v>
      </c>
      <c r="AQ175" s="58">
        <f t="shared" ca="1" si="106"/>
        <v>5038</v>
      </c>
      <c r="AR175" s="38">
        <f>'ANR OK vs ML7'!AR175</f>
        <v>0.1</v>
      </c>
      <c r="AS175" s="35">
        <f t="shared" ca="1" si="107"/>
        <v>0.26029127458653445</v>
      </c>
      <c r="AT175" s="3">
        <f t="shared" si="108"/>
        <v>1</v>
      </c>
      <c r="AU175" s="3">
        <f t="shared" si="109"/>
        <v>31</v>
      </c>
      <c r="AW175" s="32">
        <f t="shared" ca="1" si="110"/>
        <v>126028.33216621059</v>
      </c>
      <c r="AX175" s="32">
        <f t="shared" si="111"/>
        <v>84555.936603098453</v>
      </c>
      <c r="AY175" s="32">
        <f t="shared" ca="1" si="112"/>
        <v>41472.39556311215</v>
      </c>
      <c r="BA175" s="32">
        <f ca="1">IF($A176="","",F175*Summary!$Q$14)</f>
        <v>0</v>
      </c>
    </row>
    <row r="176" spans="1:55" ht="12" customHeight="1">
      <c r="A176" s="67">
        <f t="shared" si="113"/>
        <v>42095</v>
      </c>
      <c r="B176" s="69" t="str">
        <f t="shared" si="114"/>
        <v/>
      </c>
      <c r="C176" s="71"/>
      <c r="D176" s="69" t="str">
        <f t="shared" si="78"/>
        <v/>
      </c>
      <c r="E176" s="70" t="str">
        <f t="shared" si="79"/>
        <v/>
      </c>
      <c r="F176" s="70" t="str">
        <f t="shared" si="80"/>
        <v/>
      </c>
      <c r="G176" s="63" t="str">
        <f t="shared" si="81"/>
        <v/>
      </c>
      <c r="H176" s="64" t="str">
        <f t="shared" si="82"/>
        <v/>
      </c>
      <c r="I176" s="43"/>
      <c r="J176" s="63" t="str">
        <f t="shared" si="83"/>
        <v/>
      </c>
      <c r="K176" s="64" t="str">
        <f t="shared" si="84"/>
        <v/>
      </c>
      <c r="L176" s="38">
        <v>0</v>
      </c>
      <c r="M176" s="64" t="str">
        <f t="shared" si="85"/>
        <v/>
      </c>
      <c r="N176" s="65"/>
      <c r="O176" s="63" t="str">
        <f t="shared" si="86"/>
        <v/>
      </c>
      <c r="P176" s="63" t="str">
        <f t="shared" si="87"/>
        <v/>
      </c>
      <c r="Q176" s="66"/>
      <c r="R176" s="63" t="str">
        <f t="shared" si="88"/>
        <v/>
      </c>
      <c r="S176" s="64" t="str">
        <f t="shared" si="89"/>
        <v/>
      </c>
      <c r="T176" s="63" t="str">
        <f t="shared" si="90"/>
        <v/>
      </c>
      <c r="U176" s="64" t="str">
        <f t="shared" si="91"/>
        <v/>
      </c>
      <c r="V176" s="207" t="str">
        <f>IF($A177="","",IF(AND(MONTH(A176)&gt;3,MONTH(A176)&lt;11),(T176+R176+G176)*(((1/(1-Summary!$T$14))/(1-Summary!$W$14))-1),(T176+R176+G176)*((1/(1-Summary!$U$14))/(1-Summary!$X$14)-1)))</f>
        <v/>
      </c>
      <c r="W176" s="43" t="str">
        <f t="shared" si="92"/>
        <v/>
      </c>
      <c r="X176" s="43" t="str">
        <f t="shared" si="93"/>
        <v/>
      </c>
      <c r="Y176" s="43"/>
      <c r="Z176" s="38" t="str">
        <f t="shared" si="94"/>
        <v/>
      </c>
      <c r="AA176" s="38" t="str">
        <f t="shared" si="95"/>
        <v/>
      </c>
      <c r="AB176" s="38" t="e">
        <f t="shared" si="96"/>
        <v>#VALUE!</v>
      </c>
      <c r="AC176" s="38" t="str">
        <f t="shared" si="97"/>
        <v/>
      </c>
      <c r="AD176" s="38" t="str">
        <f t="shared" si="98"/>
        <v/>
      </c>
      <c r="AE176" s="38" t="e">
        <f t="shared" si="99"/>
        <v>#VALUE!</v>
      </c>
      <c r="AF176" s="237" t="e">
        <f>((Summary!$N$14*(AA176*AD176)*(A176-$D$3))+(Summary!$M$14*Z176*AC176*(AJ176-EOMONTH(EDATE(A176,-1),0))))/(AK176*AB176*AE176)</f>
        <v>#VALUE!</v>
      </c>
      <c r="AG176" s="88" t="str">
        <f>IF($A177="","",Summary!$Q$14)</f>
        <v/>
      </c>
      <c r="AH176" s="88" t="str">
        <f>IF($A177="","",IF(Summary!$R$12="Y",(VLOOKUP($A176,Summary!$AD$6:$AF$9,3)+'Escalating commodity'!J189),'Escalating commodity'!J189))</f>
        <v/>
      </c>
      <c r="AI176" s="88" t="str">
        <f t="shared" si="115"/>
        <v/>
      </c>
      <c r="AJ176" s="236">
        <f t="shared" si="100"/>
        <v>42109</v>
      </c>
      <c r="AK176" s="58" t="str">
        <f t="shared" si="101"/>
        <v/>
      </c>
      <c r="AL176" s="26" t="str">
        <f>IF($A177="","",_xll.SPRDOPT(P176,X176,AI176,0,AB176,AE176,AF176,AK176,$AJ$2,0))</f>
        <v/>
      </c>
      <c r="AM176" s="89" t="str">
        <f t="shared" si="102"/>
        <v/>
      </c>
      <c r="AN176" s="89" t="str">
        <f t="shared" si="103"/>
        <v/>
      </c>
      <c r="AO176" s="3" t="str">
        <f t="shared" si="104"/>
        <v/>
      </c>
      <c r="AP176" s="33" t="str">
        <f t="shared" si="105"/>
        <v/>
      </c>
      <c r="AQ176" s="58" t="str">
        <f t="shared" si="106"/>
        <v/>
      </c>
      <c r="AR176" s="38">
        <f>'ANR OK vs ML7'!AR176</f>
        <v>0.1</v>
      </c>
      <c r="AS176" s="35" t="str">
        <f t="shared" si="107"/>
        <v/>
      </c>
      <c r="AT176" s="3" t="str">
        <f t="shared" si="108"/>
        <v/>
      </c>
      <c r="AU176" s="3" t="str">
        <f t="shared" si="109"/>
        <v/>
      </c>
      <c r="AW176" s="32" t="str">
        <f t="shared" si="110"/>
        <v/>
      </c>
      <c r="AX176" s="32" t="str">
        <f t="shared" si="111"/>
        <v/>
      </c>
      <c r="AY176" s="32" t="str">
        <f t="shared" si="112"/>
        <v/>
      </c>
      <c r="BA176" s="32" t="str">
        <f>IF($A177="","",F176*Summary!$Q$14)</f>
        <v/>
      </c>
    </row>
    <row r="177" spans="1:53" ht="12" customHeight="1">
      <c r="A177" s="67" t="str">
        <f t="shared" si="113"/>
        <v/>
      </c>
      <c r="B177" s="69" t="str">
        <f t="shared" si="114"/>
        <v/>
      </c>
      <c r="C177" s="71"/>
      <c r="D177" s="69" t="str">
        <f t="shared" si="78"/>
        <v/>
      </c>
      <c r="E177" s="70" t="str">
        <f t="shared" si="79"/>
        <v/>
      </c>
      <c r="F177" s="70" t="str">
        <f t="shared" si="80"/>
        <v/>
      </c>
      <c r="G177" s="63" t="str">
        <f t="shared" si="81"/>
        <v/>
      </c>
      <c r="H177" s="64" t="str">
        <f t="shared" si="82"/>
        <v/>
      </c>
      <c r="I177" s="43"/>
      <c r="J177" s="63" t="str">
        <f t="shared" si="83"/>
        <v/>
      </c>
      <c r="K177" s="64" t="str">
        <f t="shared" si="84"/>
        <v/>
      </c>
      <c r="L177" s="38">
        <v>0</v>
      </c>
      <c r="M177" s="64" t="str">
        <f t="shared" si="85"/>
        <v/>
      </c>
      <c r="N177" s="65"/>
      <c r="O177" s="63" t="str">
        <f t="shared" si="86"/>
        <v/>
      </c>
      <c r="P177" s="63" t="str">
        <f t="shared" si="87"/>
        <v/>
      </c>
      <c r="Q177" s="66"/>
      <c r="R177" s="63" t="str">
        <f t="shared" si="88"/>
        <v/>
      </c>
      <c r="S177" s="64" t="str">
        <f t="shared" si="89"/>
        <v/>
      </c>
      <c r="T177" s="63" t="str">
        <f t="shared" si="90"/>
        <v/>
      </c>
      <c r="U177" s="64" t="str">
        <f t="shared" si="91"/>
        <v/>
      </c>
      <c r="V177" s="207" t="str">
        <f>IF($A178="","",IF(AND(MONTH(A177)&gt;3,MONTH(A177)&lt;11),(T177+R177+G177)*(((1/(1-Summary!$T$14))/(1-Summary!$W$14))-1),(T177+R177+G177)*((1/(1-Summary!$U$14))/(1-Summary!$X$14)-1)))</f>
        <v/>
      </c>
      <c r="W177" s="43" t="str">
        <f t="shared" si="92"/>
        <v/>
      </c>
      <c r="X177" s="43" t="str">
        <f t="shared" si="93"/>
        <v/>
      </c>
      <c r="Y177" s="43"/>
      <c r="Z177" s="38" t="str">
        <f t="shared" si="94"/>
        <v/>
      </c>
      <c r="AA177" s="38" t="str">
        <f t="shared" si="95"/>
        <v/>
      </c>
      <c r="AB177" s="38" t="e">
        <f t="shared" si="96"/>
        <v>#VALUE!</v>
      </c>
      <c r="AC177" s="38" t="str">
        <f t="shared" si="97"/>
        <v/>
      </c>
      <c r="AD177" s="38" t="str">
        <f t="shared" si="98"/>
        <v/>
      </c>
      <c r="AE177" s="38" t="e">
        <f t="shared" si="99"/>
        <v>#VALUE!</v>
      </c>
      <c r="AF177" s="237" t="e">
        <f>((Summary!$N$14*(AA177*AD177)*(A177-$D$3))+(Summary!$M$14*Z177*AC177*(AJ177-EOMONTH(EDATE(A177,-1),0))))/(AK177*AB177*AE177)</f>
        <v>#VALUE!</v>
      </c>
      <c r="AG177" s="88" t="str">
        <f>IF($A178="","",Summary!$Q$14)</f>
        <v/>
      </c>
      <c r="AH177" s="88" t="str">
        <f>IF($A178="","",IF(Summary!$R$12="Y",(VLOOKUP($A177,Summary!$AD$6:$AF$9,3)+'Escalating commodity'!J190),'Escalating commodity'!J190))</f>
        <v/>
      </c>
      <c r="AI177" s="88" t="str">
        <f t="shared" si="115"/>
        <v/>
      </c>
      <c r="AJ177" s="236" t="e">
        <f t="shared" si="100"/>
        <v>#VALUE!</v>
      </c>
      <c r="AK177" s="58" t="str">
        <f t="shared" si="101"/>
        <v/>
      </c>
      <c r="AL177" s="26" t="str">
        <f>IF($A178="","",_xll.SPRDOPT(P177,X177,AI177,0,AB177,AE177,AF177,AK177,$AJ$2,0))</f>
        <v/>
      </c>
      <c r="AM177" s="89" t="str">
        <f t="shared" si="102"/>
        <v/>
      </c>
      <c r="AN177" s="89" t="str">
        <f t="shared" si="103"/>
        <v/>
      </c>
      <c r="AO177" s="3" t="str">
        <f t="shared" si="104"/>
        <v/>
      </c>
      <c r="AP177" s="33" t="str">
        <f t="shared" si="105"/>
        <v/>
      </c>
      <c r="AQ177" s="58" t="str">
        <f t="shared" si="106"/>
        <v/>
      </c>
      <c r="AR177" s="38">
        <f>'ANR OK vs ML7'!AR177</f>
        <v>0.1</v>
      </c>
      <c r="AS177" s="35" t="str">
        <f t="shared" si="107"/>
        <v/>
      </c>
      <c r="AT177" s="3" t="str">
        <f t="shared" si="108"/>
        <v/>
      </c>
      <c r="AU177" s="3" t="str">
        <f t="shared" si="109"/>
        <v/>
      </c>
      <c r="AW177" s="32" t="str">
        <f t="shared" si="110"/>
        <v/>
      </c>
      <c r="AX177" s="32" t="str">
        <f t="shared" si="111"/>
        <v/>
      </c>
      <c r="AY177" s="32" t="str">
        <f t="shared" si="112"/>
        <v/>
      </c>
      <c r="BA177" s="32" t="str">
        <f>IF($A178="","",F177*Summary!$Q$14)</f>
        <v/>
      </c>
    </row>
    <row r="178" spans="1:53" ht="12" customHeight="1">
      <c r="A178" s="67" t="str">
        <f t="shared" si="113"/>
        <v/>
      </c>
      <c r="B178" s="69" t="str">
        <f t="shared" si="114"/>
        <v/>
      </c>
      <c r="C178" s="71"/>
      <c r="D178" s="69" t="str">
        <f t="shared" si="78"/>
        <v/>
      </c>
      <c r="E178" s="70" t="str">
        <f t="shared" si="79"/>
        <v/>
      </c>
      <c r="F178" s="70" t="str">
        <f t="shared" si="80"/>
        <v/>
      </c>
      <c r="G178" s="63" t="str">
        <f t="shared" si="81"/>
        <v/>
      </c>
      <c r="H178" s="64" t="str">
        <f t="shared" si="82"/>
        <v/>
      </c>
      <c r="I178" s="43"/>
      <c r="J178" s="63" t="str">
        <f t="shared" si="83"/>
        <v/>
      </c>
      <c r="K178" s="64" t="str">
        <f t="shared" si="84"/>
        <v/>
      </c>
      <c r="L178" s="38">
        <v>0</v>
      </c>
      <c r="M178" s="64" t="str">
        <f t="shared" si="85"/>
        <v/>
      </c>
      <c r="N178" s="65"/>
      <c r="O178" s="63" t="str">
        <f t="shared" si="86"/>
        <v/>
      </c>
      <c r="P178" s="63" t="str">
        <f t="shared" si="87"/>
        <v/>
      </c>
      <c r="Q178" s="66"/>
      <c r="R178" s="63" t="str">
        <f t="shared" si="88"/>
        <v/>
      </c>
      <c r="S178" s="64" t="str">
        <f t="shared" si="89"/>
        <v/>
      </c>
      <c r="T178" s="63" t="str">
        <f t="shared" si="90"/>
        <v/>
      </c>
      <c r="U178" s="64" t="str">
        <f t="shared" si="91"/>
        <v/>
      </c>
      <c r="V178" s="207" t="str">
        <f>IF($A179="","",IF(AND(MONTH(A178)&gt;3,MONTH(A178)&lt;11),(T178+R178+G178)*(((1/(1-Summary!$T$14))/(1-Summary!$W$14))-1),(T178+R178+G178)*((1/(1-Summary!$U$14))/(1-Summary!$X$14)-1)))</f>
        <v/>
      </c>
      <c r="W178" s="43" t="str">
        <f t="shared" si="92"/>
        <v/>
      </c>
      <c r="X178" s="43" t="str">
        <f t="shared" si="93"/>
        <v/>
      </c>
      <c r="Y178" s="43"/>
      <c r="Z178" s="38" t="str">
        <f t="shared" si="94"/>
        <v/>
      </c>
      <c r="AA178" s="38" t="str">
        <f t="shared" si="95"/>
        <v/>
      </c>
      <c r="AB178" s="38" t="e">
        <f t="shared" si="96"/>
        <v>#VALUE!</v>
      </c>
      <c r="AC178" s="38" t="str">
        <f t="shared" si="97"/>
        <v/>
      </c>
      <c r="AD178" s="38" t="str">
        <f t="shared" si="98"/>
        <v/>
      </c>
      <c r="AE178" s="38" t="e">
        <f t="shared" si="99"/>
        <v>#VALUE!</v>
      </c>
      <c r="AF178" s="237" t="e">
        <f>((Summary!$N$14*(AA178*AD178)*(A178-$D$3))+(Summary!$M$14*Z178*AC178*(AJ178-EOMONTH(EDATE(A178,-1),0))))/(AK178*AB178*AE178)</f>
        <v>#VALUE!</v>
      </c>
      <c r="AG178" s="88" t="str">
        <f>IF($A179="","",Summary!$Q$14)</f>
        <v/>
      </c>
      <c r="AH178" s="88" t="str">
        <f>IF($A179="","",IF(Summary!$R$12="Y",(VLOOKUP($A178,Summary!$AD$6:$AF$9,3)+'Escalating commodity'!J191),'Escalating commodity'!J191))</f>
        <v/>
      </c>
      <c r="AI178" s="88" t="str">
        <f t="shared" si="115"/>
        <v/>
      </c>
      <c r="AJ178" s="236" t="e">
        <f t="shared" si="100"/>
        <v>#VALUE!</v>
      </c>
      <c r="AK178" s="58" t="str">
        <f t="shared" si="101"/>
        <v/>
      </c>
      <c r="AL178" s="26" t="str">
        <f>IF($A179="","",_xll.SPRDOPT(P178,X178,AI178,0,AB178,AE178,AF178,AK178,$AJ$2,0))</f>
        <v/>
      </c>
      <c r="AM178" s="89" t="str">
        <f t="shared" si="102"/>
        <v/>
      </c>
      <c r="AN178" s="89" t="str">
        <f t="shared" si="103"/>
        <v/>
      </c>
      <c r="AO178" s="3" t="str">
        <f t="shared" si="104"/>
        <v/>
      </c>
      <c r="AP178" s="33" t="str">
        <f t="shared" si="105"/>
        <v/>
      </c>
      <c r="AQ178" s="58" t="str">
        <f t="shared" si="106"/>
        <v/>
      </c>
      <c r="AR178" s="38">
        <f>'ANR OK vs ML7'!AR178</f>
        <v>0.1</v>
      </c>
      <c r="AS178" s="35" t="str">
        <f t="shared" si="107"/>
        <v/>
      </c>
      <c r="AT178" s="3" t="str">
        <f t="shared" si="108"/>
        <v/>
      </c>
      <c r="AU178" s="3" t="str">
        <f t="shared" si="109"/>
        <v/>
      </c>
      <c r="AW178" s="32" t="str">
        <f t="shared" si="110"/>
        <v/>
      </c>
      <c r="AX178" s="32" t="str">
        <f t="shared" si="111"/>
        <v/>
      </c>
      <c r="AY178" s="32" t="str">
        <f t="shared" si="112"/>
        <v/>
      </c>
      <c r="BA178" s="32" t="str">
        <f>IF($A179="","",F178*Summary!$Q$14)</f>
        <v/>
      </c>
    </row>
    <row r="179" spans="1:53" ht="12" customHeight="1">
      <c r="A179" s="67" t="str">
        <f t="shared" si="113"/>
        <v/>
      </c>
      <c r="B179" s="69" t="str">
        <f t="shared" si="114"/>
        <v/>
      </c>
      <c r="C179" s="71"/>
      <c r="D179" s="69" t="str">
        <f t="shared" si="78"/>
        <v/>
      </c>
      <c r="E179" s="70" t="str">
        <f t="shared" si="79"/>
        <v/>
      </c>
      <c r="F179" s="70" t="str">
        <f t="shared" si="80"/>
        <v/>
      </c>
      <c r="G179" s="63" t="str">
        <f t="shared" si="81"/>
        <v/>
      </c>
      <c r="H179" s="64" t="str">
        <f t="shared" si="82"/>
        <v/>
      </c>
      <c r="I179" s="43"/>
      <c r="J179" s="63" t="str">
        <f t="shared" si="83"/>
        <v/>
      </c>
      <c r="K179" s="64" t="str">
        <f t="shared" si="84"/>
        <v/>
      </c>
      <c r="L179" s="38">
        <v>0</v>
      </c>
      <c r="M179" s="64" t="str">
        <f t="shared" si="85"/>
        <v/>
      </c>
      <c r="N179" s="65"/>
      <c r="O179" s="63" t="str">
        <f t="shared" si="86"/>
        <v/>
      </c>
      <c r="P179" s="63" t="str">
        <f t="shared" si="87"/>
        <v/>
      </c>
      <c r="Q179" s="66"/>
      <c r="R179" s="63" t="str">
        <f t="shared" si="88"/>
        <v/>
      </c>
      <c r="S179" s="64" t="str">
        <f t="shared" si="89"/>
        <v/>
      </c>
      <c r="T179" s="63" t="str">
        <f t="shared" si="90"/>
        <v/>
      </c>
      <c r="U179" s="64" t="str">
        <f t="shared" si="91"/>
        <v/>
      </c>
      <c r="V179" s="207" t="str">
        <f>IF($A180="","",IF(AND(MONTH(A179)&gt;3,MONTH(A179)&lt;11),(T179+R179+G179)*(((1/(1-Summary!$T$14))/(1-Summary!$W$14))-1),(T179+R179+G179)*((1/(1-Summary!$U$14))/(1-Summary!$X$14)-1)))</f>
        <v/>
      </c>
      <c r="W179" s="43" t="str">
        <f t="shared" si="92"/>
        <v/>
      </c>
      <c r="X179" s="43" t="str">
        <f t="shared" si="93"/>
        <v/>
      </c>
      <c r="Y179" s="43"/>
      <c r="Z179" s="38" t="str">
        <f t="shared" si="94"/>
        <v/>
      </c>
      <c r="AA179" s="38" t="str">
        <f t="shared" si="95"/>
        <v/>
      </c>
      <c r="AB179" s="38" t="e">
        <f t="shared" si="96"/>
        <v>#VALUE!</v>
      </c>
      <c r="AC179" s="38" t="str">
        <f t="shared" si="97"/>
        <v/>
      </c>
      <c r="AD179" s="38" t="str">
        <f t="shared" si="98"/>
        <v/>
      </c>
      <c r="AE179" s="38" t="e">
        <f t="shared" si="99"/>
        <v>#VALUE!</v>
      </c>
      <c r="AF179" s="237" t="e">
        <f>((Summary!$N$14*(AA179*AD179)*(A179-$D$3))+(Summary!$M$14*Z179*AC179*(AJ179-EOMONTH(EDATE(A179,-1),0))))/(AK179*AB179*AE179)</f>
        <v>#VALUE!</v>
      </c>
      <c r="AG179" s="88" t="str">
        <f>IF($A180="","",Summary!$Q$14)</f>
        <v/>
      </c>
      <c r="AH179" s="88" t="str">
        <f>IF($A180="","",IF(Summary!$R$12="Y",(VLOOKUP($A179,Summary!$AD$6:$AF$9,3)+'Escalating commodity'!J192),'Escalating commodity'!J192))</f>
        <v/>
      </c>
      <c r="AI179" s="88" t="str">
        <f t="shared" si="115"/>
        <v/>
      </c>
      <c r="AJ179" s="236" t="e">
        <f t="shared" si="100"/>
        <v>#VALUE!</v>
      </c>
      <c r="AK179" s="58" t="str">
        <f t="shared" si="101"/>
        <v/>
      </c>
      <c r="AL179" s="26" t="str">
        <f>IF($A180="","",_xll.SPRDOPT(P179,X179,AI179,0,AB179,AE179,AF179,AK179,$AJ$2,0))</f>
        <v/>
      </c>
      <c r="AM179" s="89" t="str">
        <f t="shared" si="102"/>
        <v/>
      </c>
      <c r="AN179" s="89" t="str">
        <f t="shared" si="103"/>
        <v/>
      </c>
      <c r="AO179" s="3" t="str">
        <f t="shared" si="104"/>
        <v/>
      </c>
      <c r="AP179" s="33" t="str">
        <f t="shared" si="105"/>
        <v/>
      </c>
      <c r="AQ179" s="58" t="str">
        <f t="shared" si="106"/>
        <v/>
      </c>
      <c r="AR179" s="38">
        <f>'ANR OK vs ML7'!AR179</f>
        <v>0.1</v>
      </c>
      <c r="AS179" s="35" t="str">
        <f t="shared" si="107"/>
        <v/>
      </c>
      <c r="AT179" s="3" t="str">
        <f t="shared" si="108"/>
        <v/>
      </c>
      <c r="AU179" s="3" t="str">
        <f t="shared" si="109"/>
        <v/>
      </c>
      <c r="AW179" s="32" t="str">
        <f t="shared" si="110"/>
        <v/>
      </c>
      <c r="AX179" s="32" t="str">
        <f t="shared" si="111"/>
        <v/>
      </c>
      <c r="AY179" s="32" t="str">
        <f t="shared" si="112"/>
        <v/>
      </c>
      <c r="BA179" s="32" t="str">
        <f>IF($A180="","",F179*Summary!$Q$14)</f>
        <v/>
      </c>
    </row>
    <row r="180" spans="1:53" ht="12" customHeight="1">
      <c r="A180" s="67" t="str">
        <f t="shared" si="113"/>
        <v/>
      </c>
      <c r="B180" s="69" t="str">
        <f t="shared" si="114"/>
        <v/>
      </c>
      <c r="C180" s="71"/>
      <c r="D180" s="69" t="str">
        <f t="shared" si="78"/>
        <v/>
      </c>
      <c r="E180" s="70" t="str">
        <f t="shared" si="79"/>
        <v/>
      </c>
      <c r="F180" s="70" t="str">
        <f t="shared" si="80"/>
        <v/>
      </c>
      <c r="G180" s="63" t="str">
        <f t="shared" si="81"/>
        <v/>
      </c>
      <c r="H180" s="64" t="str">
        <f t="shared" si="82"/>
        <v/>
      </c>
      <c r="I180" s="43"/>
      <c r="J180" s="63" t="str">
        <f t="shared" si="83"/>
        <v/>
      </c>
      <c r="K180" s="64" t="str">
        <f t="shared" si="84"/>
        <v/>
      </c>
      <c r="L180" s="38">
        <v>0</v>
      </c>
      <c r="M180" s="64" t="str">
        <f t="shared" si="85"/>
        <v/>
      </c>
      <c r="N180" s="65"/>
      <c r="O180" s="63" t="str">
        <f t="shared" si="86"/>
        <v/>
      </c>
      <c r="P180" s="63" t="str">
        <f t="shared" si="87"/>
        <v/>
      </c>
      <c r="Q180" s="66"/>
      <c r="R180" s="63" t="str">
        <f t="shared" si="88"/>
        <v/>
      </c>
      <c r="S180" s="64" t="str">
        <f t="shared" si="89"/>
        <v/>
      </c>
      <c r="T180" s="63" t="str">
        <f t="shared" si="90"/>
        <v/>
      </c>
      <c r="U180" s="64" t="str">
        <f t="shared" si="91"/>
        <v/>
      </c>
      <c r="V180" s="207" t="str">
        <f>IF($A181="","",IF(AND(MONTH(A180)&gt;3,MONTH(A180)&lt;11),(T180+R180+G180)*(((1/(1-Summary!$T$14))/(1-Summary!$W$14))-1),(T180+R180+G180)*((1/(1-Summary!$U$14))/(1-Summary!$X$14)-1)))</f>
        <v/>
      </c>
      <c r="W180" s="43" t="str">
        <f t="shared" si="92"/>
        <v/>
      </c>
      <c r="X180" s="43" t="str">
        <f t="shared" si="93"/>
        <v/>
      </c>
      <c r="Y180" s="43"/>
      <c r="Z180" s="38" t="str">
        <f t="shared" si="94"/>
        <v/>
      </c>
      <c r="AA180" s="38" t="str">
        <f t="shared" si="95"/>
        <v/>
      </c>
      <c r="AB180" s="38" t="e">
        <f t="shared" si="96"/>
        <v>#VALUE!</v>
      </c>
      <c r="AC180" s="38" t="str">
        <f t="shared" si="97"/>
        <v/>
      </c>
      <c r="AD180" s="38" t="str">
        <f t="shared" si="98"/>
        <v/>
      </c>
      <c r="AE180" s="38" t="e">
        <f t="shared" si="99"/>
        <v>#VALUE!</v>
      </c>
      <c r="AF180" s="237" t="e">
        <f>((Summary!$N$14*(AA180*AD180)*(A180-$D$3))+(Summary!$M$14*Z180*AC180*(AJ180-EOMONTH(EDATE(A180,-1),0))))/(AK180*AB180*AE180)</f>
        <v>#VALUE!</v>
      </c>
      <c r="AG180" s="88" t="str">
        <f>IF($A181="","",Summary!$Q$14)</f>
        <v/>
      </c>
      <c r="AH180" s="88" t="str">
        <f>IF($A181="","",IF(Summary!$R$12="Y",(VLOOKUP($A180,Summary!$AD$6:$AF$9,3)+'Escalating commodity'!J193),'Escalating commodity'!J193))</f>
        <v/>
      </c>
      <c r="AI180" s="88" t="str">
        <f t="shared" si="115"/>
        <v/>
      </c>
      <c r="AJ180" s="236" t="e">
        <f t="shared" si="100"/>
        <v>#VALUE!</v>
      </c>
      <c r="AK180" s="58" t="str">
        <f t="shared" si="101"/>
        <v/>
      </c>
      <c r="AL180" s="26" t="str">
        <f>IF($A181="","",_xll.SPRDOPT(P180,X180,AI180,0,AB180,AE180,AF180,AK180,$AJ$2,0))</f>
        <v/>
      </c>
      <c r="AM180" s="89" t="str">
        <f t="shared" si="102"/>
        <v/>
      </c>
      <c r="AN180" s="89" t="str">
        <f t="shared" si="103"/>
        <v/>
      </c>
      <c r="AO180" s="3" t="str">
        <f t="shared" si="104"/>
        <v/>
      </c>
      <c r="AP180" s="33" t="str">
        <f t="shared" si="105"/>
        <v/>
      </c>
      <c r="AQ180" s="58" t="str">
        <f t="shared" si="106"/>
        <v/>
      </c>
      <c r="AR180" s="38">
        <f>'ANR OK vs ML7'!AR180</f>
        <v>0.1</v>
      </c>
      <c r="AS180" s="35" t="str">
        <f t="shared" si="107"/>
        <v/>
      </c>
      <c r="AT180" s="3" t="str">
        <f t="shared" si="108"/>
        <v/>
      </c>
      <c r="AU180" s="3" t="str">
        <f t="shared" si="109"/>
        <v/>
      </c>
      <c r="AW180" s="32" t="str">
        <f t="shared" si="110"/>
        <v/>
      </c>
      <c r="AX180" s="32" t="str">
        <f t="shared" si="111"/>
        <v/>
      </c>
      <c r="AY180" s="32" t="str">
        <f t="shared" si="112"/>
        <v/>
      </c>
      <c r="BA180" s="32" t="str">
        <f>IF($A181="","",F180*Summary!$Q$14)</f>
        <v/>
      </c>
    </row>
    <row r="181" spans="1:53" ht="12" customHeight="1">
      <c r="A181" s="67" t="str">
        <f t="shared" si="113"/>
        <v/>
      </c>
      <c r="B181" s="69" t="str">
        <f t="shared" si="114"/>
        <v/>
      </c>
      <c r="C181" s="71"/>
      <c r="D181" s="69" t="str">
        <f t="shared" si="78"/>
        <v/>
      </c>
      <c r="E181" s="70" t="str">
        <f t="shared" si="79"/>
        <v/>
      </c>
      <c r="F181" s="70" t="str">
        <f t="shared" si="80"/>
        <v/>
      </c>
      <c r="G181" s="63" t="str">
        <f t="shared" si="81"/>
        <v/>
      </c>
      <c r="H181" s="64" t="str">
        <f t="shared" si="82"/>
        <v/>
      </c>
      <c r="I181" s="43"/>
      <c r="J181" s="63" t="str">
        <f t="shared" si="83"/>
        <v/>
      </c>
      <c r="K181" s="64" t="str">
        <f t="shared" si="84"/>
        <v/>
      </c>
      <c r="L181" s="38">
        <v>0</v>
      </c>
      <c r="M181" s="64" t="str">
        <f t="shared" si="85"/>
        <v/>
      </c>
      <c r="N181" s="65"/>
      <c r="O181" s="63" t="str">
        <f t="shared" si="86"/>
        <v/>
      </c>
      <c r="P181" s="63" t="str">
        <f t="shared" si="87"/>
        <v/>
      </c>
      <c r="Q181" s="66"/>
      <c r="R181" s="63" t="str">
        <f t="shared" si="88"/>
        <v/>
      </c>
      <c r="S181" s="64" t="str">
        <f t="shared" si="89"/>
        <v/>
      </c>
      <c r="T181" s="63" t="str">
        <f t="shared" si="90"/>
        <v/>
      </c>
      <c r="U181" s="64" t="str">
        <f t="shared" si="91"/>
        <v/>
      </c>
      <c r="V181" s="207" t="str">
        <f>IF($A182="","",IF(AND(MONTH(A181)&gt;3,MONTH(A181)&lt;11),(T181+R181+G181)*(((1/(1-Summary!$T$14))/(1-Summary!$W$14))-1),(T181+R181+G181)*((1/(1-Summary!$U$14))/(1-Summary!$X$14)-1)))</f>
        <v/>
      </c>
      <c r="W181" s="43" t="str">
        <f t="shared" si="92"/>
        <v/>
      </c>
      <c r="X181" s="43" t="str">
        <f t="shared" si="93"/>
        <v/>
      </c>
      <c r="Y181" s="43"/>
      <c r="Z181" s="38" t="str">
        <f t="shared" si="94"/>
        <v/>
      </c>
      <c r="AA181" s="38" t="str">
        <f t="shared" si="95"/>
        <v/>
      </c>
      <c r="AB181" s="38" t="e">
        <f t="shared" si="96"/>
        <v>#VALUE!</v>
      </c>
      <c r="AC181" s="38" t="str">
        <f t="shared" si="97"/>
        <v/>
      </c>
      <c r="AD181" s="38" t="str">
        <f t="shared" si="98"/>
        <v/>
      </c>
      <c r="AE181" s="38" t="e">
        <f t="shared" si="99"/>
        <v>#VALUE!</v>
      </c>
      <c r="AF181" s="237" t="e">
        <f>((Summary!$N$14*(AA181*AD181)*(A181-$D$3))+(Summary!$M$14*Z181*AC181*(AJ181-EOMONTH(EDATE(A181,-1),0))))/(AK181*AB181*AE181)</f>
        <v>#VALUE!</v>
      </c>
      <c r="AG181" s="88" t="str">
        <f>IF($A182="","",Summary!$Q$14)</f>
        <v/>
      </c>
      <c r="AH181" s="88" t="str">
        <f>IF($A182="","",IF(Summary!$R$12="Y",(VLOOKUP($A181,Summary!$AD$6:$AF$9,3)+'Escalating commodity'!J194),'Escalating commodity'!J194))</f>
        <v/>
      </c>
      <c r="AI181" s="88" t="str">
        <f t="shared" si="115"/>
        <v/>
      </c>
      <c r="AJ181" s="236" t="e">
        <f t="shared" si="100"/>
        <v>#VALUE!</v>
      </c>
      <c r="AK181" s="58" t="str">
        <f t="shared" si="101"/>
        <v/>
      </c>
      <c r="AL181" s="26" t="str">
        <f>IF($A182="","",_xll.SPRDOPT(P181,X181,AI181,0,AB181,AE181,AF181,AK181,$AJ$2,0))</f>
        <v/>
      </c>
      <c r="AM181" s="89" t="str">
        <f t="shared" si="102"/>
        <v/>
      </c>
      <c r="AN181" s="89" t="str">
        <f t="shared" si="103"/>
        <v/>
      </c>
      <c r="AO181" s="3" t="str">
        <f t="shared" si="104"/>
        <v/>
      </c>
      <c r="AP181" s="33" t="str">
        <f t="shared" si="105"/>
        <v/>
      </c>
      <c r="AQ181" s="58" t="str">
        <f t="shared" si="106"/>
        <v/>
      </c>
      <c r="AR181" s="38">
        <f>'ANR OK vs ML7'!AR181</f>
        <v>0.1</v>
      </c>
      <c r="AS181" s="35" t="str">
        <f t="shared" si="107"/>
        <v/>
      </c>
      <c r="AT181" s="3" t="str">
        <f t="shared" si="108"/>
        <v/>
      </c>
      <c r="AU181" s="3" t="str">
        <f t="shared" si="109"/>
        <v/>
      </c>
      <c r="AW181" s="32" t="str">
        <f t="shared" si="110"/>
        <v/>
      </c>
      <c r="AX181" s="32" t="str">
        <f t="shared" si="111"/>
        <v/>
      </c>
      <c r="AY181" s="32" t="str">
        <f t="shared" si="112"/>
        <v/>
      </c>
      <c r="BA181" s="32" t="str">
        <f>IF($A182="","",F181*Summary!$Q$14)</f>
        <v/>
      </c>
    </row>
    <row r="182" spans="1:53" ht="12" customHeight="1">
      <c r="A182" s="67" t="str">
        <f t="shared" si="113"/>
        <v/>
      </c>
      <c r="B182" s="69" t="str">
        <f t="shared" si="114"/>
        <v/>
      </c>
      <c r="C182" s="71"/>
      <c r="D182" s="69" t="str">
        <f t="shared" si="78"/>
        <v/>
      </c>
      <c r="E182" s="70" t="str">
        <f t="shared" si="79"/>
        <v/>
      </c>
      <c r="F182" s="70" t="str">
        <f t="shared" si="80"/>
        <v/>
      </c>
      <c r="G182" s="63" t="str">
        <f t="shared" si="81"/>
        <v/>
      </c>
      <c r="H182" s="64" t="str">
        <f t="shared" si="82"/>
        <v/>
      </c>
      <c r="I182" s="43"/>
      <c r="J182" s="63" t="str">
        <f t="shared" si="83"/>
        <v/>
      </c>
      <c r="K182" s="64" t="str">
        <f t="shared" si="84"/>
        <v/>
      </c>
      <c r="L182" s="38">
        <v>0</v>
      </c>
      <c r="M182" s="64" t="str">
        <f t="shared" si="85"/>
        <v/>
      </c>
      <c r="N182" s="65"/>
      <c r="O182" s="63" t="str">
        <f t="shared" si="86"/>
        <v/>
      </c>
      <c r="P182" s="63" t="str">
        <f t="shared" si="87"/>
        <v/>
      </c>
      <c r="Q182" s="66"/>
      <c r="R182" s="63" t="str">
        <f t="shared" si="88"/>
        <v/>
      </c>
      <c r="S182" s="64" t="str">
        <f t="shared" si="89"/>
        <v/>
      </c>
      <c r="T182" s="63" t="str">
        <f t="shared" si="90"/>
        <v/>
      </c>
      <c r="U182" s="64" t="str">
        <f t="shared" si="91"/>
        <v/>
      </c>
      <c r="V182" s="207" t="str">
        <f>IF($A183="","",IF(AND(MONTH(A182)&gt;3,MONTH(A182)&lt;11),(T182+R182+G182)*(((1/(1-Summary!$T$14))/(1-Summary!$W$14))-1),(T182+R182+G182)*((1/(1-Summary!$U$14))/(1-Summary!$X$14)-1)))</f>
        <v/>
      </c>
      <c r="W182" s="43" t="str">
        <f t="shared" si="92"/>
        <v/>
      </c>
      <c r="X182" s="43" t="str">
        <f t="shared" si="93"/>
        <v/>
      </c>
      <c r="Y182" s="43"/>
      <c r="Z182" s="38" t="str">
        <f t="shared" si="94"/>
        <v/>
      </c>
      <c r="AA182" s="38" t="str">
        <f t="shared" si="95"/>
        <v/>
      </c>
      <c r="AB182" s="38" t="e">
        <f t="shared" si="96"/>
        <v>#VALUE!</v>
      </c>
      <c r="AC182" s="38" t="str">
        <f t="shared" si="97"/>
        <v/>
      </c>
      <c r="AD182" s="38" t="str">
        <f t="shared" si="98"/>
        <v/>
      </c>
      <c r="AE182" s="38" t="e">
        <f t="shared" si="99"/>
        <v>#VALUE!</v>
      </c>
      <c r="AF182" s="237" t="e">
        <f>((Summary!$N$14*(AA182*AD182)*(A182-$D$3))+(Summary!$M$14*Z182*AC182*(AJ182-EOMONTH(EDATE(A182,-1),0))))/(AK182*AB182*AE182)</f>
        <v>#VALUE!</v>
      </c>
      <c r="AG182" s="88" t="str">
        <f>IF($A183="","",Summary!$Q$14)</f>
        <v/>
      </c>
      <c r="AH182" s="88" t="str">
        <f>IF($A183="","",IF(Summary!$R$12="Y",(VLOOKUP($A182,Summary!$AD$6:$AF$9,3)+'Escalating commodity'!J195),'Escalating commodity'!J195))</f>
        <v/>
      </c>
      <c r="AI182" s="88" t="str">
        <f t="shared" si="115"/>
        <v/>
      </c>
      <c r="AJ182" s="236" t="e">
        <f t="shared" si="100"/>
        <v>#VALUE!</v>
      </c>
      <c r="AK182" s="58" t="str">
        <f t="shared" si="101"/>
        <v/>
      </c>
      <c r="AL182" s="26" t="str">
        <f>IF($A183="","",_xll.SPRDOPT(P182,X182,AI182,0,AB182,AE182,AF182,AK182,$AJ$2,0))</f>
        <v/>
      </c>
      <c r="AM182" s="89" t="str">
        <f t="shared" si="102"/>
        <v/>
      </c>
      <c r="AN182" s="89" t="str">
        <f t="shared" si="103"/>
        <v/>
      </c>
      <c r="AO182" s="3" t="str">
        <f t="shared" si="104"/>
        <v/>
      </c>
      <c r="AP182" s="33" t="str">
        <f t="shared" si="105"/>
        <v/>
      </c>
      <c r="AQ182" s="58" t="str">
        <f t="shared" si="106"/>
        <v/>
      </c>
      <c r="AR182" s="38">
        <f>'ANR OK vs ML7'!AR182</f>
        <v>0.1</v>
      </c>
      <c r="AS182" s="35" t="str">
        <f t="shared" si="107"/>
        <v/>
      </c>
      <c r="AT182" s="3" t="str">
        <f t="shared" si="108"/>
        <v/>
      </c>
      <c r="AU182" s="3" t="str">
        <f t="shared" si="109"/>
        <v/>
      </c>
      <c r="AW182" s="32" t="str">
        <f t="shared" si="110"/>
        <v/>
      </c>
      <c r="AX182" s="32" t="str">
        <f t="shared" si="111"/>
        <v/>
      </c>
      <c r="AY182" s="32" t="str">
        <f t="shared" si="112"/>
        <v/>
      </c>
      <c r="BA182" s="32" t="str">
        <f>IF($A183="","",F182*Summary!$Q$14)</f>
        <v/>
      </c>
    </row>
    <row r="183" spans="1:53" ht="12" customHeight="1">
      <c r="A183" s="67" t="str">
        <f t="shared" si="113"/>
        <v/>
      </c>
      <c r="B183" s="69" t="str">
        <f t="shared" si="114"/>
        <v/>
      </c>
      <c r="C183" s="71"/>
      <c r="D183" s="69" t="str">
        <f t="shared" si="78"/>
        <v/>
      </c>
      <c r="E183" s="70" t="str">
        <f t="shared" si="79"/>
        <v/>
      </c>
      <c r="F183" s="70" t="str">
        <f t="shared" si="80"/>
        <v/>
      </c>
      <c r="G183" s="63" t="str">
        <f t="shared" si="81"/>
        <v/>
      </c>
      <c r="H183" s="64" t="str">
        <f t="shared" si="82"/>
        <v/>
      </c>
      <c r="I183" s="43"/>
      <c r="J183" s="63" t="str">
        <f t="shared" si="83"/>
        <v/>
      </c>
      <c r="K183" s="64" t="str">
        <f t="shared" si="84"/>
        <v/>
      </c>
      <c r="L183" s="38">
        <v>0</v>
      </c>
      <c r="M183" s="64" t="str">
        <f t="shared" si="85"/>
        <v/>
      </c>
      <c r="N183" s="65"/>
      <c r="O183" s="63" t="str">
        <f t="shared" si="86"/>
        <v/>
      </c>
      <c r="P183" s="63" t="str">
        <f t="shared" si="87"/>
        <v/>
      </c>
      <c r="Q183" s="66"/>
      <c r="R183" s="63" t="str">
        <f t="shared" si="88"/>
        <v/>
      </c>
      <c r="S183" s="64" t="str">
        <f t="shared" si="89"/>
        <v/>
      </c>
      <c r="T183" s="63" t="str">
        <f t="shared" si="90"/>
        <v/>
      </c>
      <c r="U183" s="64" t="str">
        <f t="shared" si="91"/>
        <v/>
      </c>
      <c r="V183" s="207" t="str">
        <f>IF($A184="","",IF(AND(MONTH(A183)&gt;3,MONTH(A183)&lt;11),(T183+R183+G183)*(((1/(1-Summary!$T$14))/(1-Summary!$W$14))-1),(T183+R183+G183)*((1/(1-Summary!$U$14))/(1-Summary!$X$14)-1)))</f>
        <v/>
      </c>
      <c r="W183" s="43" t="str">
        <f t="shared" si="92"/>
        <v/>
      </c>
      <c r="X183" s="43" t="str">
        <f t="shared" si="93"/>
        <v/>
      </c>
      <c r="Y183" s="43"/>
      <c r="Z183" s="38" t="str">
        <f t="shared" si="94"/>
        <v/>
      </c>
      <c r="AA183" s="38" t="str">
        <f t="shared" si="95"/>
        <v/>
      </c>
      <c r="AB183" s="38" t="e">
        <f t="shared" si="96"/>
        <v>#VALUE!</v>
      </c>
      <c r="AC183" s="38" t="str">
        <f t="shared" si="97"/>
        <v/>
      </c>
      <c r="AD183" s="38" t="str">
        <f t="shared" si="98"/>
        <v/>
      </c>
      <c r="AE183" s="38" t="e">
        <f t="shared" si="99"/>
        <v>#VALUE!</v>
      </c>
      <c r="AF183" s="237" t="e">
        <f>((Summary!$N$14*(AA183*AD183)*(A183-$D$3))+(Summary!$M$14*Z183*AC183*(AJ183-EOMONTH(EDATE(A183,-1),0))))/(AK183*AB183*AE183)</f>
        <v>#VALUE!</v>
      </c>
      <c r="AG183" s="88" t="str">
        <f>IF($A184="","",Summary!$Q$14)</f>
        <v/>
      </c>
      <c r="AH183" s="88" t="str">
        <f>IF($A184="","",IF(Summary!$R$12="Y",(VLOOKUP($A183,Summary!$AD$6:$AF$9,3)+'Escalating commodity'!J196),'Escalating commodity'!J196))</f>
        <v/>
      </c>
      <c r="AI183" s="88" t="str">
        <f t="shared" si="115"/>
        <v/>
      </c>
      <c r="AJ183" s="236" t="e">
        <f t="shared" si="100"/>
        <v>#VALUE!</v>
      </c>
      <c r="AK183" s="58" t="str">
        <f t="shared" si="101"/>
        <v/>
      </c>
      <c r="AL183" s="26" t="str">
        <f>IF($A184="","",_xll.SPRDOPT(P183,X183,AI183,0,AB183,AE183,AF183,AK183,$AJ$2,0))</f>
        <v/>
      </c>
      <c r="AM183" s="89" t="str">
        <f t="shared" si="102"/>
        <v/>
      </c>
      <c r="AN183" s="89" t="str">
        <f t="shared" si="103"/>
        <v/>
      </c>
      <c r="AO183" s="3" t="str">
        <f t="shared" si="104"/>
        <v/>
      </c>
      <c r="AP183" s="33" t="str">
        <f t="shared" si="105"/>
        <v/>
      </c>
      <c r="AQ183" s="58" t="str">
        <f t="shared" si="106"/>
        <v/>
      </c>
      <c r="AR183" s="38">
        <f>'ANR OK vs ML7'!AR183</f>
        <v>0.1</v>
      </c>
      <c r="AS183" s="35" t="str">
        <f t="shared" si="107"/>
        <v/>
      </c>
      <c r="AT183" s="3" t="str">
        <f t="shared" si="108"/>
        <v/>
      </c>
      <c r="AU183" s="3" t="str">
        <f t="shared" si="109"/>
        <v/>
      </c>
      <c r="AW183" s="32" t="str">
        <f t="shared" si="110"/>
        <v/>
      </c>
      <c r="AX183" s="32" t="str">
        <f t="shared" si="111"/>
        <v/>
      </c>
      <c r="AY183" s="32" t="str">
        <f t="shared" si="112"/>
        <v/>
      </c>
      <c r="BA183" s="32" t="str">
        <f>IF($A184="","",F183*Summary!$Q$14)</f>
        <v/>
      </c>
    </row>
    <row r="184" spans="1:53" ht="12" customHeight="1">
      <c r="A184" s="67" t="str">
        <f t="shared" si="113"/>
        <v/>
      </c>
      <c r="B184" s="69" t="str">
        <f t="shared" si="114"/>
        <v/>
      </c>
      <c r="C184" s="71"/>
      <c r="D184" s="69" t="str">
        <f t="shared" si="78"/>
        <v/>
      </c>
      <c r="E184" s="70" t="str">
        <f t="shared" si="79"/>
        <v/>
      </c>
      <c r="F184" s="70" t="str">
        <f t="shared" si="80"/>
        <v/>
      </c>
      <c r="G184" s="63" t="str">
        <f t="shared" si="81"/>
        <v/>
      </c>
      <c r="H184" s="64" t="str">
        <f t="shared" si="82"/>
        <v/>
      </c>
      <c r="I184" s="43"/>
      <c r="J184" s="63" t="str">
        <f t="shared" si="83"/>
        <v/>
      </c>
      <c r="K184" s="64" t="str">
        <f t="shared" si="84"/>
        <v/>
      </c>
      <c r="L184" s="38">
        <v>0</v>
      </c>
      <c r="M184" s="64" t="str">
        <f t="shared" si="85"/>
        <v/>
      </c>
      <c r="N184" s="65"/>
      <c r="O184" s="63" t="str">
        <f t="shared" si="86"/>
        <v/>
      </c>
      <c r="P184" s="63" t="str">
        <f t="shared" si="87"/>
        <v/>
      </c>
      <c r="Q184" s="66"/>
      <c r="R184" s="63" t="str">
        <f t="shared" si="88"/>
        <v/>
      </c>
      <c r="S184" s="64" t="str">
        <f t="shared" si="89"/>
        <v/>
      </c>
      <c r="T184" s="63" t="str">
        <f t="shared" si="90"/>
        <v/>
      </c>
      <c r="U184" s="64" t="str">
        <f t="shared" si="91"/>
        <v/>
      </c>
      <c r="V184" s="207" t="str">
        <f>IF($A185="","",IF(AND(MONTH(A184)&gt;3,MONTH(A184)&lt;11),(T184+R184+G184)*(((1/(1-Summary!$T$14))/(1-Summary!$W$14))-1),(T184+R184+G184)*((1/(1-Summary!$U$14))/(1-Summary!$X$14)-1)))</f>
        <v/>
      </c>
      <c r="W184" s="43" t="str">
        <f t="shared" si="92"/>
        <v/>
      </c>
      <c r="X184" s="43" t="str">
        <f t="shared" si="93"/>
        <v/>
      </c>
      <c r="Y184" s="43"/>
      <c r="Z184" s="38" t="str">
        <f t="shared" si="94"/>
        <v/>
      </c>
      <c r="AA184" s="38" t="str">
        <f t="shared" si="95"/>
        <v/>
      </c>
      <c r="AB184" s="38" t="e">
        <f t="shared" si="96"/>
        <v>#VALUE!</v>
      </c>
      <c r="AC184" s="38" t="str">
        <f t="shared" si="97"/>
        <v/>
      </c>
      <c r="AD184" s="38" t="str">
        <f t="shared" si="98"/>
        <v/>
      </c>
      <c r="AE184" s="38" t="e">
        <f t="shared" si="99"/>
        <v>#VALUE!</v>
      </c>
      <c r="AF184" s="237" t="e">
        <f>((Summary!$N$14*(AA184*AD184)*(A184-$D$3))+(Summary!$M$14*Z184*AC184*(AJ184-EOMONTH(EDATE(A184,-1),0))))/(AK184*AB184*AE184)</f>
        <v>#VALUE!</v>
      </c>
      <c r="AG184" s="88" t="str">
        <f>IF($A185="","",Summary!$Q$14)</f>
        <v/>
      </c>
      <c r="AH184" s="88" t="str">
        <f>IF($A185="","",IF(Summary!$R$12="Y",(VLOOKUP($A184,Summary!$AD$6:$AF$9,3)+'Escalating commodity'!J197),'Escalating commodity'!J197))</f>
        <v/>
      </c>
      <c r="AI184" s="88" t="str">
        <f t="shared" si="115"/>
        <v/>
      </c>
      <c r="AJ184" s="236" t="e">
        <f t="shared" si="100"/>
        <v>#VALUE!</v>
      </c>
      <c r="AK184" s="58" t="str">
        <f t="shared" si="101"/>
        <v/>
      </c>
      <c r="AL184" s="26" t="str">
        <f>IF($A185="","",_xll.SPRDOPT(P184,X184,AI184,0,AB184,AE184,AF184,AK184,$AJ$2,0))</f>
        <v/>
      </c>
      <c r="AM184" s="89" t="str">
        <f t="shared" si="102"/>
        <v/>
      </c>
      <c r="AN184" s="89" t="str">
        <f t="shared" si="103"/>
        <v/>
      </c>
      <c r="AO184" s="3" t="str">
        <f t="shared" si="104"/>
        <v/>
      </c>
      <c r="AP184" s="33" t="str">
        <f t="shared" si="105"/>
        <v/>
      </c>
      <c r="AQ184" s="58" t="str">
        <f t="shared" si="106"/>
        <v/>
      </c>
      <c r="AR184" s="38">
        <f>'ANR OK vs ML7'!AR184</f>
        <v>0.1</v>
      </c>
      <c r="AS184" s="35" t="str">
        <f t="shared" si="107"/>
        <v/>
      </c>
      <c r="AT184" s="3" t="str">
        <f t="shared" si="108"/>
        <v/>
      </c>
      <c r="AU184" s="3" t="str">
        <f t="shared" si="109"/>
        <v/>
      </c>
      <c r="AW184" s="32" t="str">
        <f t="shared" si="110"/>
        <v/>
      </c>
      <c r="AX184" s="32" t="str">
        <f t="shared" si="111"/>
        <v/>
      </c>
      <c r="AY184" s="32" t="str">
        <f t="shared" si="112"/>
        <v/>
      </c>
      <c r="BA184" s="32" t="str">
        <f>IF($A185="","",F184*Summary!$Q$14)</f>
        <v/>
      </c>
    </row>
    <row r="185" spans="1:53" ht="12" customHeight="1">
      <c r="A185" s="67" t="str">
        <f t="shared" si="113"/>
        <v/>
      </c>
      <c r="B185" s="69" t="str">
        <f t="shared" si="114"/>
        <v/>
      </c>
      <c r="C185" s="71"/>
      <c r="D185" s="69" t="str">
        <f t="shared" si="78"/>
        <v/>
      </c>
      <c r="E185" s="70" t="str">
        <f t="shared" si="79"/>
        <v/>
      </c>
      <c r="F185" s="70" t="str">
        <f t="shared" si="80"/>
        <v/>
      </c>
      <c r="G185" s="63" t="str">
        <f t="shared" si="81"/>
        <v/>
      </c>
      <c r="H185" s="64" t="str">
        <f t="shared" si="82"/>
        <v/>
      </c>
      <c r="I185" s="43"/>
      <c r="J185" s="63" t="str">
        <f t="shared" si="83"/>
        <v/>
      </c>
      <c r="K185" s="64" t="str">
        <f t="shared" si="84"/>
        <v/>
      </c>
      <c r="L185" s="38">
        <v>0</v>
      </c>
      <c r="M185" s="64" t="str">
        <f t="shared" si="85"/>
        <v/>
      </c>
      <c r="N185" s="65"/>
      <c r="O185" s="63" t="str">
        <f t="shared" si="86"/>
        <v/>
      </c>
      <c r="P185" s="63" t="str">
        <f t="shared" si="87"/>
        <v/>
      </c>
      <c r="Q185" s="66"/>
      <c r="R185" s="63" t="str">
        <f t="shared" si="88"/>
        <v/>
      </c>
      <c r="S185" s="64" t="str">
        <f t="shared" si="89"/>
        <v/>
      </c>
      <c r="T185" s="63" t="str">
        <f t="shared" si="90"/>
        <v/>
      </c>
      <c r="U185" s="64" t="str">
        <f t="shared" si="91"/>
        <v/>
      </c>
      <c r="V185" s="207" t="str">
        <f>IF($A186="","",IF(AND(MONTH(A185)&gt;3,MONTH(A185)&lt;11),(T185+R185+G185)*(((1/(1-Summary!$T$14))/(1-Summary!$W$14))-1),(T185+R185+G185)*((1/(1-Summary!$U$14))/(1-Summary!$X$14)-1)))</f>
        <v/>
      </c>
      <c r="W185" s="43" t="str">
        <f t="shared" si="92"/>
        <v/>
      </c>
      <c r="X185" s="43" t="str">
        <f t="shared" si="93"/>
        <v/>
      </c>
      <c r="Y185" s="43"/>
      <c r="Z185" s="38" t="str">
        <f t="shared" si="94"/>
        <v/>
      </c>
      <c r="AA185" s="38" t="str">
        <f t="shared" si="95"/>
        <v/>
      </c>
      <c r="AB185" s="38" t="e">
        <f t="shared" si="96"/>
        <v>#VALUE!</v>
      </c>
      <c r="AC185" s="38" t="str">
        <f t="shared" si="97"/>
        <v/>
      </c>
      <c r="AD185" s="38" t="str">
        <f t="shared" si="98"/>
        <v/>
      </c>
      <c r="AE185" s="38" t="e">
        <f t="shared" si="99"/>
        <v>#VALUE!</v>
      </c>
      <c r="AF185" s="237" t="e">
        <f>((Summary!$N$14*(AA185*AD185)*(A185-$D$3))+(Summary!$M$14*Z185*AC185*(AJ185-EOMONTH(EDATE(A185,-1),0))))/(AK185*AB185*AE185)</f>
        <v>#VALUE!</v>
      </c>
      <c r="AG185" s="88" t="str">
        <f>IF($A186="","",Summary!$Q$14)</f>
        <v/>
      </c>
      <c r="AH185" s="88" t="str">
        <f>IF($A186="","",IF(Summary!$R$12="Y",(VLOOKUP($A185,Summary!$AD$6:$AF$9,3)+'Escalating commodity'!J198),'Escalating commodity'!J198))</f>
        <v/>
      </c>
      <c r="AI185" s="88" t="str">
        <f t="shared" si="115"/>
        <v/>
      </c>
      <c r="AJ185" s="236" t="e">
        <f t="shared" si="100"/>
        <v>#VALUE!</v>
      </c>
      <c r="AK185" s="58" t="str">
        <f t="shared" si="101"/>
        <v/>
      </c>
      <c r="AL185" s="26" t="str">
        <f>IF($A186="","",_xll.SPRDOPT(P185,X185,AI185,0,AB185,AE185,AF185,AK185,$AJ$2,0))</f>
        <v/>
      </c>
      <c r="AM185" s="89" t="str">
        <f t="shared" si="102"/>
        <v/>
      </c>
      <c r="AN185" s="89" t="str">
        <f t="shared" si="103"/>
        <v/>
      </c>
      <c r="AO185" s="3" t="str">
        <f t="shared" si="104"/>
        <v/>
      </c>
      <c r="AP185" s="33" t="str">
        <f t="shared" si="105"/>
        <v/>
      </c>
      <c r="AQ185" s="58" t="str">
        <f t="shared" si="106"/>
        <v/>
      </c>
      <c r="AR185" s="38">
        <f>'ANR OK vs ML7'!AR185</f>
        <v>0.1</v>
      </c>
      <c r="AS185" s="35" t="str">
        <f t="shared" si="107"/>
        <v/>
      </c>
      <c r="AT185" s="3" t="str">
        <f t="shared" si="108"/>
        <v/>
      </c>
      <c r="AU185" s="3" t="str">
        <f t="shared" si="109"/>
        <v/>
      </c>
      <c r="AW185" s="32" t="str">
        <f t="shared" si="110"/>
        <v/>
      </c>
      <c r="AX185" s="32" t="str">
        <f t="shared" si="111"/>
        <v/>
      </c>
      <c r="AY185" s="32" t="str">
        <f t="shared" si="112"/>
        <v/>
      </c>
      <c r="BA185" s="32" t="str">
        <f>IF($A186="","",F185*Summary!$Q$14)</f>
        <v/>
      </c>
    </row>
    <row r="186" spans="1:53" ht="12" customHeight="1">
      <c r="A186" s="67" t="str">
        <f t="shared" si="113"/>
        <v/>
      </c>
      <c r="B186" s="69" t="str">
        <f t="shared" si="114"/>
        <v/>
      </c>
      <c r="C186" s="71"/>
      <c r="D186" s="69" t="str">
        <f t="shared" si="78"/>
        <v/>
      </c>
      <c r="E186" s="70" t="str">
        <f t="shared" si="79"/>
        <v/>
      </c>
      <c r="F186" s="70" t="str">
        <f t="shared" si="80"/>
        <v/>
      </c>
      <c r="G186" s="63" t="str">
        <f t="shared" si="81"/>
        <v/>
      </c>
      <c r="H186" s="64" t="str">
        <f t="shared" si="82"/>
        <v/>
      </c>
      <c r="I186" s="43"/>
      <c r="J186" s="63" t="str">
        <f t="shared" si="83"/>
        <v/>
      </c>
      <c r="K186" s="64" t="str">
        <f t="shared" si="84"/>
        <v/>
      </c>
      <c r="L186" s="38">
        <v>0</v>
      </c>
      <c r="M186" s="64" t="str">
        <f t="shared" si="85"/>
        <v/>
      </c>
      <c r="N186" s="65"/>
      <c r="O186" s="63" t="str">
        <f t="shared" si="86"/>
        <v/>
      </c>
      <c r="P186" s="63" t="str">
        <f t="shared" si="87"/>
        <v/>
      </c>
      <c r="Q186" s="66"/>
      <c r="R186" s="63" t="str">
        <f t="shared" si="88"/>
        <v/>
      </c>
      <c r="S186" s="64" t="str">
        <f t="shared" si="89"/>
        <v/>
      </c>
      <c r="T186" s="63" t="str">
        <f t="shared" si="90"/>
        <v/>
      </c>
      <c r="U186" s="64" t="str">
        <f t="shared" si="91"/>
        <v/>
      </c>
      <c r="V186" s="207" t="str">
        <f>IF($A187="","",IF(AND(MONTH(A186)&gt;3,MONTH(A186)&lt;11),(T186+R186+G186)*(((1/(1-Summary!$T$14))/(1-Summary!$W$14))-1),(T186+R186+G186)*((1/(1-Summary!$U$14))/(1-Summary!$X$14)-1)))</f>
        <v/>
      </c>
      <c r="W186" s="43" t="str">
        <f t="shared" si="92"/>
        <v/>
      </c>
      <c r="X186" s="43" t="str">
        <f t="shared" si="93"/>
        <v/>
      </c>
      <c r="Y186" s="43"/>
      <c r="Z186" s="38" t="str">
        <f t="shared" si="94"/>
        <v/>
      </c>
      <c r="AA186" s="38" t="str">
        <f t="shared" si="95"/>
        <v/>
      </c>
      <c r="AB186" s="38" t="e">
        <f t="shared" si="96"/>
        <v>#VALUE!</v>
      </c>
      <c r="AC186" s="38" t="str">
        <f t="shared" si="97"/>
        <v/>
      </c>
      <c r="AD186" s="38" t="str">
        <f t="shared" si="98"/>
        <v/>
      </c>
      <c r="AE186" s="38" t="e">
        <f t="shared" si="99"/>
        <v>#VALUE!</v>
      </c>
      <c r="AF186" s="237" t="e">
        <f>((Summary!$N$14*(AA186*AD186)*(A186-$D$3))+(Summary!$M$14*Z186*AC186*(AJ186-EOMONTH(EDATE(A186,-1),0))))/(AK186*AB186*AE186)</f>
        <v>#VALUE!</v>
      </c>
      <c r="AG186" s="88" t="str">
        <f>IF($A187="","",Summary!$Q$14)</f>
        <v/>
      </c>
      <c r="AH186" s="88" t="str">
        <f>IF($A187="","",IF(Summary!$R$12="Y",(VLOOKUP($A186,Summary!$AD$6:$AF$9,3)+'Escalating commodity'!J199),'Escalating commodity'!J199))</f>
        <v/>
      </c>
      <c r="AI186" s="88" t="str">
        <f t="shared" si="115"/>
        <v/>
      </c>
      <c r="AJ186" s="236" t="e">
        <f t="shared" si="100"/>
        <v>#VALUE!</v>
      </c>
      <c r="AK186" s="58" t="str">
        <f t="shared" si="101"/>
        <v/>
      </c>
      <c r="AL186" s="26" t="str">
        <f>IF($A187="","",_xll.SPRDOPT(P186,X186,AI186,0,AB186,AE186,AF186,AK186,$AJ$2,0))</f>
        <v/>
      </c>
      <c r="AM186" s="89" t="str">
        <f t="shared" si="102"/>
        <v/>
      </c>
      <c r="AN186" s="89" t="str">
        <f t="shared" si="103"/>
        <v/>
      </c>
      <c r="AO186" s="3" t="str">
        <f t="shared" si="104"/>
        <v/>
      </c>
      <c r="AP186" s="33" t="str">
        <f t="shared" si="105"/>
        <v/>
      </c>
      <c r="AQ186" s="58" t="str">
        <f t="shared" si="106"/>
        <v/>
      </c>
      <c r="AR186" s="38">
        <f>'ANR OK vs ML7'!AR186</f>
        <v>0.1</v>
      </c>
      <c r="AS186" s="35" t="str">
        <f t="shared" si="107"/>
        <v/>
      </c>
      <c r="AT186" s="3" t="str">
        <f t="shared" si="108"/>
        <v/>
      </c>
      <c r="AU186" s="3" t="str">
        <f t="shared" si="109"/>
        <v/>
      </c>
      <c r="AW186" s="32" t="str">
        <f t="shared" si="110"/>
        <v/>
      </c>
      <c r="AX186" s="32" t="str">
        <f t="shared" si="111"/>
        <v/>
      </c>
      <c r="AY186" s="32" t="str">
        <f t="shared" si="112"/>
        <v/>
      </c>
      <c r="BA186" s="32" t="str">
        <f>IF($A187="","",F186*Summary!$Q$14)</f>
        <v/>
      </c>
    </row>
    <row r="187" spans="1:53" ht="12" customHeight="1">
      <c r="A187" s="67" t="str">
        <f t="shared" si="113"/>
        <v/>
      </c>
      <c r="B187" s="69" t="str">
        <f t="shared" si="114"/>
        <v/>
      </c>
      <c r="C187" s="71"/>
      <c r="D187" s="69" t="str">
        <f t="shared" si="78"/>
        <v/>
      </c>
      <c r="E187" s="70" t="str">
        <f t="shared" si="79"/>
        <v/>
      </c>
      <c r="F187" s="70" t="str">
        <f t="shared" si="80"/>
        <v/>
      </c>
      <c r="G187" s="63" t="str">
        <f t="shared" si="81"/>
        <v/>
      </c>
      <c r="H187" s="64" t="str">
        <f t="shared" si="82"/>
        <v/>
      </c>
      <c r="I187" s="43"/>
      <c r="J187" s="63" t="str">
        <f t="shared" si="83"/>
        <v/>
      </c>
      <c r="K187" s="64" t="str">
        <f t="shared" si="84"/>
        <v/>
      </c>
      <c r="L187" s="38">
        <v>0</v>
      </c>
      <c r="M187" s="64" t="str">
        <f t="shared" si="85"/>
        <v/>
      </c>
      <c r="N187" s="65"/>
      <c r="O187" s="63" t="str">
        <f t="shared" si="86"/>
        <v/>
      </c>
      <c r="P187" s="63" t="str">
        <f t="shared" si="87"/>
        <v/>
      </c>
      <c r="Q187" s="66"/>
      <c r="R187" s="63" t="str">
        <f t="shared" si="88"/>
        <v/>
      </c>
      <c r="S187" s="64" t="str">
        <f t="shared" si="89"/>
        <v/>
      </c>
      <c r="T187" s="63" t="str">
        <f t="shared" si="90"/>
        <v/>
      </c>
      <c r="U187" s="64" t="str">
        <f t="shared" si="91"/>
        <v/>
      </c>
      <c r="V187" s="207" t="str">
        <f>IF($A188="","",IF(AND(MONTH(A187)&gt;3,MONTH(A187)&lt;11),(T187+R187+G187)*(((1/(1-Summary!$T$14))/(1-Summary!$W$14))-1),(T187+R187+G187)*((1/(1-Summary!$U$14))/(1-Summary!$X$14)-1)))</f>
        <v/>
      </c>
      <c r="W187" s="43" t="str">
        <f t="shared" si="92"/>
        <v/>
      </c>
      <c r="X187" s="43" t="str">
        <f t="shared" si="93"/>
        <v/>
      </c>
      <c r="Y187" s="43"/>
      <c r="Z187" s="38" t="str">
        <f t="shared" si="94"/>
        <v/>
      </c>
      <c r="AA187" s="38" t="str">
        <f t="shared" si="95"/>
        <v/>
      </c>
      <c r="AB187" s="38" t="e">
        <f t="shared" si="96"/>
        <v>#VALUE!</v>
      </c>
      <c r="AC187" s="38" t="str">
        <f t="shared" si="97"/>
        <v/>
      </c>
      <c r="AD187" s="38" t="str">
        <f t="shared" si="98"/>
        <v/>
      </c>
      <c r="AE187" s="38" t="e">
        <f t="shared" si="99"/>
        <v>#VALUE!</v>
      </c>
      <c r="AF187" s="237" t="e">
        <f>((Summary!$N$14*(AA187*AD187)*(A187-$D$3))+(Summary!$M$14*Z187*AC187*(AJ187-EOMONTH(EDATE(A187,-1),0))))/(AK187*AB187*AE187)</f>
        <v>#VALUE!</v>
      </c>
      <c r="AG187" s="88" t="str">
        <f>IF($A188="","",Summary!$Q$14)</f>
        <v/>
      </c>
      <c r="AH187" s="88" t="str">
        <f>IF($A188="","",IF(Summary!$R$12="Y",(VLOOKUP($A187,Summary!$AD$6:$AF$9,3)+'Escalating commodity'!J200),'Escalating commodity'!J200))</f>
        <v/>
      </c>
      <c r="AI187" s="88" t="str">
        <f t="shared" si="115"/>
        <v/>
      </c>
      <c r="AJ187" s="236" t="e">
        <f t="shared" si="100"/>
        <v>#VALUE!</v>
      </c>
      <c r="AK187" s="58" t="str">
        <f t="shared" si="101"/>
        <v/>
      </c>
      <c r="AL187" s="26" t="str">
        <f>IF($A188="","",_xll.SPRDOPT(P187,X187,AI187,0,AB187,AE187,AF187,AK187,$AJ$2,0))</f>
        <v/>
      </c>
      <c r="AM187" s="89" t="str">
        <f t="shared" si="102"/>
        <v/>
      </c>
      <c r="AN187" s="89" t="str">
        <f t="shared" si="103"/>
        <v/>
      </c>
      <c r="AO187" s="3" t="str">
        <f t="shared" si="104"/>
        <v/>
      </c>
      <c r="AP187" s="33" t="str">
        <f t="shared" si="105"/>
        <v/>
      </c>
      <c r="AQ187" s="58" t="str">
        <f t="shared" si="106"/>
        <v/>
      </c>
      <c r="AR187" s="38">
        <f>'ANR OK vs ML7'!AR187</f>
        <v>0.1</v>
      </c>
      <c r="AS187" s="35" t="str">
        <f t="shared" si="107"/>
        <v/>
      </c>
      <c r="AT187" s="3" t="str">
        <f t="shared" si="108"/>
        <v/>
      </c>
      <c r="AU187" s="3" t="str">
        <f t="shared" si="109"/>
        <v/>
      </c>
      <c r="AW187" s="32" t="str">
        <f t="shared" si="110"/>
        <v/>
      </c>
      <c r="AX187" s="32" t="str">
        <f t="shared" si="111"/>
        <v/>
      </c>
      <c r="AY187" s="32" t="str">
        <f t="shared" si="112"/>
        <v/>
      </c>
      <c r="BA187" s="32" t="str">
        <f>IF($A188="","",F187*Summary!$Q$14)</f>
        <v/>
      </c>
    </row>
    <row r="188" spans="1:53" ht="12" customHeight="1">
      <c r="A188" s="67" t="str">
        <f t="shared" si="113"/>
        <v/>
      </c>
      <c r="B188" s="69" t="str">
        <f t="shared" si="114"/>
        <v/>
      </c>
      <c r="C188" s="71"/>
      <c r="D188" s="69" t="str">
        <f t="shared" si="78"/>
        <v/>
      </c>
      <c r="E188" s="70" t="str">
        <f t="shared" si="79"/>
        <v/>
      </c>
      <c r="F188" s="70" t="str">
        <f t="shared" si="80"/>
        <v/>
      </c>
      <c r="G188" s="63" t="str">
        <f t="shared" si="81"/>
        <v/>
      </c>
      <c r="H188" s="64" t="str">
        <f t="shared" si="82"/>
        <v/>
      </c>
      <c r="I188" s="43"/>
      <c r="J188" s="63" t="str">
        <f t="shared" si="83"/>
        <v/>
      </c>
      <c r="K188" s="64" t="str">
        <f t="shared" si="84"/>
        <v/>
      </c>
      <c r="L188" s="38">
        <v>0</v>
      </c>
      <c r="M188" s="64" t="str">
        <f t="shared" si="85"/>
        <v/>
      </c>
      <c r="N188" s="65"/>
      <c r="O188" s="63" t="str">
        <f t="shared" si="86"/>
        <v/>
      </c>
      <c r="P188" s="63" t="str">
        <f t="shared" si="87"/>
        <v/>
      </c>
      <c r="Q188" s="66"/>
      <c r="R188" s="63" t="str">
        <f t="shared" si="88"/>
        <v/>
      </c>
      <c r="S188" s="64" t="str">
        <f t="shared" si="89"/>
        <v/>
      </c>
      <c r="T188" s="63" t="str">
        <f t="shared" si="90"/>
        <v/>
      </c>
      <c r="U188" s="64" t="str">
        <f t="shared" si="91"/>
        <v/>
      </c>
      <c r="V188" s="207" t="str">
        <f>IF($A189="","",IF(AND(MONTH(A188)&gt;3,MONTH(A188)&lt;11),(T188+R188+G188)*(((1/(1-Summary!$T$14))/(1-Summary!$W$14))-1),(T188+R188+G188)*((1/(1-Summary!$U$14))/(1-Summary!$X$14)-1)))</f>
        <v/>
      </c>
      <c r="W188" s="43" t="str">
        <f t="shared" si="92"/>
        <v/>
      </c>
      <c r="X188" s="43" t="str">
        <f t="shared" si="93"/>
        <v/>
      </c>
      <c r="Y188" s="43"/>
      <c r="Z188" s="38" t="str">
        <f t="shared" si="94"/>
        <v/>
      </c>
      <c r="AA188" s="38" t="str">
        <f t="shared" si="95"/>
        <v/>
      </c>
      <c r="AB188" s="38" t="e">
        <f t="shared" si="96"/>
        <v>#VALUE!</v>
      </c>
      <c r="AC188" s="38" t="str">
        <f t="shared" si="97"/>
        <v/>
      </c>
      <c r="AD188" s="38" t="str">
        <f t="shared" si="98"/>
        <v/>
      </c>
      <c r="AE188" s="38" t="e">
        <f t="shared" si="99"/>
        <v>#VALUE!</v>
      </c>
      <c r="AF188" s="237" t="e">
        <f>((Summary!$N$14*(AA188*AD188)*(A188-$D$3))+(Summary!$M$14*Z188*AC188*(AJ188-EOMONTH(EDATE(A188,-1),0))))/(AK188*AB188*AE188)</f>
        <v>#VALUE!</v>
      </c>
      <c r="AG188" s="88" t="str">
        <f>IF($A189="","",Summary!$Q$14)</f>
        <v/>
      </c>
      <c r="AH188" s="88" t="str">
        <f>IF($A189="","",IF(Summary!$R$12="Y",(VLOOKUP($A188,Summary!$AD$6:$AF$9,3)+'Escalating commodity'!J201),'Escalating commodity'!J201))</f>
        <v/>
      </c>
      <c r="AI188" s="88" t="str">
        <f t="shared" si="115"/>
        <v/>
      </c>
      <c r="AJ188" s="236" t="e">
        <f t="shared" si="100"/>
        <v>#VALUE!</v>
      </c>
      <c r="AK188" s="58" t="str">
        <f t="shared" si="101"/>
        <v/>
      </c>
      <c r="AL188" s="26" t="str">
        <f>IF($A189="","",_xll.SPRDOPT(P188,X188,AI188,0,AB188,AE188,AF188,AK188,$AJ$2,0))</f>
        <v/>
      </c>
      <c r="AM188" s="89" t="str">
        <f t="shared" si="102"/>
        <v/>
      </c>
      <c r="AN188" s="89" t="str">
        <f t="shared" si="103"/>
        <v/>
      </c>
      <c r="AO188" s="3" t="str">
        <f t="shared" si="104"/>
        <v/>
      </c>
      <c r="AP188" s="33" t="str">
        <f t="shared" si="105"/>
        <v/>
      </c>
      <c r="AQ188" s="58" t="str">
        <f t="shared" si="106"/>
        <v/>
      </c>
      <c r="AR188" s="38">
        <f>'ANR OK vs ML7'!AR188</f>
        <v>0.1</v>
      </c>
      <c r="AS188" s="35" t="str">
        <f t="shared" si="107"/>
        <v/>
      </c>
      <c r="AT188" s="3" t="str">
        <f t="shared" si="108"/>
        <v/>
      </c>
      <c r="AU188" s="3" t="str">
        <f t="shared" si="109"/>
        <v/>
      </c>
      <c r="AW188" s="32" t="str">
        <f t="shared" si="110"/>
        <v/>
      </c>
      <c r="AX188" s="32" t="str">
        <f t="shared" si="111"/>
        <v/>
      </c>
      <c r="AY188" s="32" t="str">
        <f t="shared" si="112"/>
        <v/>
      </c>
      <c r="BA188" s="32" t="str">
        <f>IF($A189="","",F188*Summary!$Q$14)</f>
        <v/>
      </c>
    </row>
    <row r="189" spans="1:53" ht="12" customHeight="1">
      <c r="A189" s="67" t="str">
        <f t="shared" si="113"/>
        <v/>
      </c>
      <c r="B189" s="69" t="str">
        <f t="shared" si="114"/>
        <v/>
      </c>
      <c r="C189" s="71"/>
      <c r="D189" s="69" t="str">
        <f t="shared" si="78"/>
        <v/>
      </c>
      <c r="E189" s="70" t="str">
        <f t="shared" si="79"/>
        <v/>
      </c>
      <c r="F189" s="70" t="str">
        <f t="shared" si="80"/>
        <v/>
      </c>
      <c r="G189" s="63" t="str">
        <f t="shared" si="81"/>
        <v/>
      </c>
      <c r="H189" s="64" t="str">
        <f t="shared" si="82"/>
        <v/>
      </c>
      <c r="I189" s="43"/>
      <c r="J189" s="63" t="str">
        <f t="shared" si="83"/>
        <v/>
      </c>
      <c r="K189" s="64" t="str">
        <f t="shared" si="84"/>
        <v/>
      </c>
      <c r="L189" s="38">
        <v>0</v>
      </c>
      <c r="M189" s="64" t="str">
        <f t="shared" si="85"/>
        <v/>
      </c>
      <c r="N189" s="65"/>
      <c r="O189" s="63" t="str">
        <f t="shared" si="86"/>
        <v/>
      </c>
      <c r="P189" s="63" t="str">
        <f t="shared" si="87"/>
        <v/>
      </c>
      <c r="Q189" s="66"/>
      <c r="R189" s="63" t="str">
        <f t="shared" si="88"/>
        <v/>
      </c>
      <c r="S189" s="64" t="str">
        <f t="shared" si="89"/>
        <v/>
      </c>
      <c r="T189" s="63" t="str">
        <f t="shared" si="90"/>
        <v/>
      </c>
      <c r="U189" s="64" t="str">
        <f t="shared" si="91"/>
        <v/>
      </c>
      <c r="V189" s="207" t="str">
        <f>IF($A190="","",IF(AND(MONTH(A189)&gt;3,MONTH(A189)&lt;11),(T189+R189+G189)*(((1/(1-Summary!$T$14))/(1-Summary!$W$14))-1),(T189+R189+G189)*((1/(1-Summary!$U$14))/(1-Summary!$X$14)-1)))</f>
        <v/>
      </c>
      <c r="W189" s="43" t="str">
        <f t="shared" si="92"/>
        <v/>
      </c>
      <c r="X189" s="43" t="str">
        <f t="shared" si="93"/>
        <v/>
      </c>
      <c r="Y189" s="43"/>
      <c r="Z189" s="38" t="str">
        <f t="shared" si="94"/>
        <v/>
      </c>
      <c r="AA189" s="38" t="str">
        <f t="shared" si="95"/>
        <v/>
      </c>
      <c r="AB189" s="38" t="e">
        <f t="shared" si="96"/>
        <v>#VALUE!</v>
      </c>
      <c r="AC189" s="38" t="str">
        <f t="shared" si="97"/>
        <v/>
      </c>
      <c r="AD189" s="38" t="str">
        <f t="shared" si="98"/>
        <v/>
      </c>
      <c r="AE189" s="38" t="e">
        <f t="shared" si="99"/>
        <v>#VALUE!</v>
      </c>
      <c r="AF189" s="237" t="e">
        <f>((Summary!$N$14*(AA189*AD189)*(A189-$D$3))+(Summary!$M$14*Z189*AC189*(AJ189-EOMONTH(EDATE(A189,-1),0))))/(AK189*AB189*AE189)</f>
        <v>#VALUE!</v>
      </c>
      <c r="AG189" s="88" t="str">
        <f>IF($A190="","",Summary!$Q$14)</f>
        <v/>
      </c>
      <c r="AH189" s="88" t="str">
        <f>IF($A190="","",IF(Summary!$R$12="Y",(VLOOKUP($A189,Summary!$AD$6:$AF$9,3)+'Escalating commodity'!J202),'Escalating commodity'!J202))</f>
        <v/>
      </c>
      <c r="AI189" s="88" t="str">
        <f t="shared" si="115"/>
        <v/>
      </c>
      <c r="AJ189" s="236" t="e">
        <f t="shared" si="100"/>
        <v>#VALUE!</v>
      </c>
      <c r="AK189" s="58" t="str">
        <f t="shared" si="101"/>
        <v/>
      </c>
      <c r="AL189" s="26" t="str">
        <f>IF($A190="","",_xll.SPRDOPT(P189,X189,AI189,0,AB189,AE189,AF189,AK189,$AJ$2,0))</f>
        <v/>
      </c>
      <c r="AM189" s="89" t="str">
        <f t="shared" si="102"/>
        <v/>
      </c>
      <c r="AN189" s="89" t="str">
        <f t="shared" si="103"/>
        <v/>
      </c>
      <c r="AO189" s="3" t="str">
        <f t="shared" si="104"/>
        <v/>
      </c>
      <c r="AP189" s="33" t="str">
        <f t="shared" si="105"/>
        <v/>
      </c>
      <c r="AQ189" s="58" t="str">
        <f t="shared" si="106"/>
        <v/>
      </c>
      <c r="AR189" s="38">
        <f>'ANR OK vs ML7'!AR189</f>
        <v>0.1</v>
      </c>
      <c r="AS189" s="35" t="str">
        <f t="shared" si="107"/>
        <v/>
      </c>
      <c r="AT189" s="3" t="str">
        <f t="shared" si="108"/>
        <v/>
      </c>
      <c r="AU189" s="3" t="str">
        <f t="shared" si="109"/>
        <v/>
      </c>
      <c r="AW189" s="32" t="str">
        <f t="shared" si="110"/>
        <v/>
      </c>
      <c r="AX189" s="32" t="str">
        <f t="shared" si="111"/>
        <v/>
      </c>
      <c r="AY189" s="32" t="str">
        <f t="shared" si="112"/>
        <v/>
      </c>
      <c r="BA189" s="32" t="str">
        <f>IF($A190="","",F189*Summary!$Q$14)</f>
        <v/>
      </c>
    </row>
    <row r="190" spans="1:53" ht="12" customHeight="1">
      <c r="A190" s="67" t="str">
        <f t="shared" si="113"/>
        <v/>
      </c>
      <c r="B190" s="69" t="str">
        <f t="shared" si="114"/>
        <v/>
      </c>
      <c r="C190" s="71"/>
      <c r="D190" s="69" t="str">
        <f t="shared" si="78"/>
        <v/>
      </c>
      <c r="E190" s="70" t="str">
        <f t="shared" si="79"/>
        <v/>
      </c>
      <c r="F190" s="70" t="str">
        <f t="shared" si="80"/>
        <v/>
      </c>
      <c r="G190" s="63" t="str">
        <f t="shared" si="81"/>
        <v/>
      </c>
      <c r="H190" s="64" t="str">
        <f t="shared" si="82"/>
        <v/>
      </c>
      <c r="I190" s="43"/>
      <c r="J190" s="63" t="str">
        <f t="shared" si="83"/>
        <v/>
      </c>
      <c r="K190" s="64" t="str">
        <f t="shared" si="84"/>
        <v/>
      </c>
      <c r="L190" s="38">
        <v>0</v>
      </c>
      <c r="M190" s="64" t="str">
        <f t="shared" si="85"/>
        <v/>
      </c>
      <c r="N190" s="65"/>
      <c r="O190" s="63" t="str">
        <f t="shared" si="86"/>
        <v/>
      </c>
      <c r="P190" s="63" t="str">
        <f t="shared" si="87"/>
        <v/>
      </c>
      <c r="Q190" s="66"/>
      <c r="R190" s="63" t="str">
        <f t="shared" si="88"/>
        <v/>
      </c>
      <c r="S190" s="64" t="str">
        <f t="shared" si="89"/>
        <v/>
      </c>
      <c r="T190" s="63" t="str">
        <f t="shared" si="90"/>
        <v/>
      </c>
      <c r="U190" s="64" t="str">
        <f t="shared" si="91"/>
        <v/>
      </c>
      <c r="V190" s="207" t="str">
        <f>IF($A191="","",IF(AND(MONTH(A190)&gt;3,MONTH(A190)&lt;11),(T190+R190+G190)*(((1/(1-Summary!$T$14))/(1-Summary!$W$14))-1),(T190+R190+G190)*((1/(1-Summary!$U$14))/(1-Summary!$X$14)-1)))</f>
        <v/>
      </c>
      <c r="W190" s="43" t="str">
        <f t="shared" si="92"/>
        <v/>
      </c>
      <c r="X190" s="43" t="str">
        <f t="shared" si="93"/>
        <v/>
      </c>
      <c r="Y190" s="43"/>
      <c r="Z190" s="38" t="str">
        <f t="shared" si="94"/>
        <v/>
      </c>
      <c r="AA190" s="38" t="str">
        <f t="shared" si="95"/>
        <v/>
      </c>
      <c r="AB190" s="38" t="e">
        <f t="shared" si="96"/>
        <v>#VALUE!</v>
      </c>
      <c r="AC190" s="38" t="str">
        <f t="shared" si="97"/>
        <v/>
      </c>
      <c r="AD190" s="38" t="str">
        <f t="shared" si="98"/>
        <v/>
      </c>
      <c r="AE190" s="38" t="e">
        <f t="shared" si="99"/>
        <v>#VALUE!</v>
      </c>
      <c r="AF190" s="237" t="e">
        <f>((Summary!$N$14*(AA190*AD190)*(A190-$D$3))+(Summary!$M$14*Z190*AC190*(AJ190-EOMONTH(EDATE(A190,-1),0))))/(AK190*AB190*AE190)</f>
        <v>#VALUE!</v>
      </c>
      <c r="AG190" s="88" t="str">
        <f>IF($A191="","",Summary!$Q$14)</f>
        <v/>
      </c>
      <c r="AH190" s="88" t="str">
        <f>IF($A191="","",IF(Summary!$R$12="Y",(VLOOKUP($A190,Summary!$AD$6:$AF$9,3)+'Escalating commodity'!J203),'Escalating commodity'!J203))</f>
        <v/>
      </c>
      <c r="AI190" s="88" t="str">
        <f t="shared" si="115"/>
        <v/>
      </c>
      <c r="AJ190" s="236" t="e">
        <f t="shared" si="100"/>
        <v>#VALUE!</v>
      </c>
      <c r="AK190" s="58" t="str">
        <f t="shared" si="101"/>
        <v/>
      </c>
      <c r="AL190" s="26" t="str">
        <f>IF($A191="","",_xll.SPRDOPT(P190,X190,AI190,0,AB190,AE190,AF190,AK190,$AJ$2,0))</f>
        <v/>
      </c>
      <c r="AM190" s="89" t="str">
        <f t="shared" si="102"/>
        <v/>
      </c>
      <c r="AN190" s="89" t="str">
        <f t="shared" si="103"/>
        <v/>
      </c>
      <c r="AO190" s="3" t="str">
        <f t="shared" si="104"/>
        <v/>
      </c>
      <c r="AP190" s="33" t="str">
        <f t="shared" si="105"/>
        <v/>
      </c>
      <c r="AQ190" s="58" t="str">
        <f t="shared" si="106"/>
        <v/>
      </c>
      <c r="AR190" s="38">
        <f>'ANR OK vs ML7'!AR190</f>
        <v>0.1</v>
      </c>
      <c r="AS190" s="35" t="str">
        <f t="shared" si="107"/>
        <v/>
      </c>
      <c r="AT190" s="3" t="str">
        <f t="shared" si="108"/>
        <v/>
      </c>
      <c r="AU190" s="3" t="str">
        <f t="shared" si="109"/>
        <v/>
      </c>
      <c r="AW190" s="32" t="str">
        <f t="shared" si="110"/>
        <v/>
      </c>
      <c r="AX190" s="32" t="str">
        <f t="shared" si="111"/>
        <v/>
      </c>
      <c r="AY190" s="32" t="str">
        <f t="shared" si="112"/>
        <v/>
      </c>
      <c r="BA190" s="32" t="str">
        <f>IF($A191="","",F190*Summary!$Q$14)</f>
        <v/>
      </c>
    </row>
    <row r="191" spans="1:53" ht="12" customHeight="1">
      <c r="A191" s="67" t="str">
        <f t="shared" si="113"/>
        <v/>
      </c>
      <c r="B191" s="69" t="str">
        <f t="shared" si="114"/>
        <v/>
      </c>
      <c r="C191" s="71"/>
      <c r="D191" s="69" t="str">
        <f t="shared" si="78"/>
        <v/>
      </c>
      <c r="E191" s="70" t="str">
        <f t="shared" si="79"/>
        <v/>
      </c>
      <c r="F191" s="70" t="str">
        <f t="shared" si="80"/>
        <v/>
      </c>
      <c r="G191" s="63" t="str">
        <f t="shared" si="81"/>
        <v/>
      </c>
      <c r="H191" s="64" t="str">
        <f t="shared" si="82"/>
        <v/>
      </c>
      <c r="I191" s="43"/>
      <c r="J191" s="63" t="str">
        <f t="shared" si="83"/>
        <v/>
      </c>
      <c r="K191" s="64" t="str">
        <f t="shared" si="84"/>
        <v/>
      </c>
      <c r="L191" s="38">
        <v>0</v>
      </c>
      <c r="M191" s="64" t="str">
        <f t="shared" si="85"/>
        <v/>
      </c>
      <c r="N191" s="65"/>
      <c r="O191" s="63" t="str">
        <f t="shared" si="86"/>
        <v/>
      </c>
      <c r="P191" s="63" t="str">
        <f t="shared" si="87"/>
        <v/>
      </c>
      <c r="Q191" s="66"/>
      <c r="R191" s="63" t="str">
        <f t="shared" si="88"/>
        <v/>
      </c>
      <c r="S191" s="64" t="str">
        <f t="shared" si="89"/>
        <v/>
      </c>
      <c r="T191" s="63" t="str">
        <f t="shared" si="90"/>
        <v/>
      </c>
      <c r="U191" s="64" t="str">
        <f t="shared" si="91"/>
        <v/>
      </c>
      <c r="V191" s="207" t="str">
        <f>IF($A192="","",IF(AND(MONTH(A191)&gt;3,MONTH(A191)&lt;11),(T191+R191+G191)*(((1/(1-Summary!$T$14))/(1-Summary!$W$14))-1),(T191+R191+G191)*((1/(1-Summary!$U$14))/(1-Summary!$X$14)-1)))</f>
        <v/>
      </c>
      <c r="W191" s="43" t="str">
        <f t="shared" si="92"/>
        <v/>
      </c>
      <c r="X191" s="43" t="str">
        <f t="shared" si="93"/>
        <v/>
      </c>
      <c r="Y191" s="43"/>
      <c r="Z191" s="38" t="str">
        <f t="shared" si="94"/>
        <v/>
      </c>
      <c r="AA191" s="38" t="str">
        <f t="shared" si="95"/>
        <v/>
      </c>
      <c r="AB191" s="38" t="e">
        <f t="shared" si="96"/>
        <v>#VALUE!</v>
      </c>
      <c r="AC191" s="38" t="str">
        <f t="shared" si="97"/>
        <v/>
      </c>
      <c r="AD191" s="38" t="str">
        <f t="shared" si="98"/>
        <v/>
      </c>
      <c r="AE191" s="38" t="e">
        <f t="shared" si="99"/>
        <v>#VALUE!</v>
      </c>
      <c r="AF191" s="237" t="e">
        <f>((Summary!$N$14*(AA191*AD191)*(A191-$D$3))+(Summary!$M$14*Z191*AC191*(AJ191-EOMONTH(EDATE(A191,-1),0))))/(AK191*AB191*AE191)</f>
        <v>#VALUE!</v>
      </c>
      <c r="AG191" s="88" t="str">
        <f>IF($A192="","",Summary!$Q$14)</f>
        <v/>
      </c>
      <c r="AH191" s="88" t="str">
        <f>IF($A192="","",IF(Summary!$R$12="Y",(VLOOKUP($A191,Summary!$AD$6:$AF$9,3)+'Escalating commodity'!J204),'Escalating commodity'!J204))</f>
        <v/>
      </c>
      <c r="AI191" s="88" t="str">
        <f t="shared" si="115"/>
        <v/>
      </c>
      <c r="AJ191" s="236" t="e">
        <f t="shared" si="100"/>
        <v>#VALUE!</v>
      </c>
      <c r="AK191" s="58" t="str">
        <f t="shared" si="101"/>
        <v/>
      </c>
      <c r="AL191" s="26" t="str">
        <f>IF($A192="","",_xll.SPRDOPT(P191,X191,AI191,0,AB191,AE191,AF191,AK191,$AJ$2,0))</f>
        <v/>
      </c>
      <c r="AM191" s="89" t="str">
        <f t="shared" si="102"/>
        <v/>
      </c>
      <c r="AN191" s="89" t="str">
        <f t="shared" si="103"/>
        <v/>
      </c>
      <c r="AO191" s="3" t="str">
        <f t="shared" si="104"/>
        <v/>
      </c>
      <c r="AP191" s="33" t="str">
        <f t="shared" si="105"/>
        <v/>
      </c>
      <c r="AQ191" s="58" t="str">
        <f t="shared" si="106"/>
        <v/>
      </c>
      <c r="AR191" s="38">
        <f>'ANR OK vs ML7'!AR191</f>
        <v>0.1</v>
      </c>
      <c r="AS191" s="35" t="str">
        <f t="shared" si="107"/>
        <v/>
      </c>
      <c r="AT191" s="3" t="str">
        <f t="shared" si="108"/>
        <v/>
      </c>
      <c r="AU191" s="3" t="str">
        <f t="shared" si="109"/>
        <v/>
      </c>
      <c r="AW191" s="32" t="str">
        <f t="shared" si="110"/>
        <v/>
      </c>
      <c r="AX191" s="32" t="str">
        <f t="shared" si="111"/>
        <v/>
      </c>
      <c r="AY191" s="32" t="str">
        <f t="shared" si="112"/>
        <v/>
      </c>
      <c r="BA191" s="32" t="str">
        <f>IF($A192="","",F191*Summary!$Q$14)</f>
        <v/>
      </c>
    </row>
    <row r="192" spans="1:53" ht="12" customHeight="1">
      <c r="A192" s="67" t="str">
        <f t="shared" si="113"/>
        <v/>
      </c>
      <c r="B192" s="69" t="str">
        <f t="shared" si="114"/>
        <v/>
      </c>
      <c r="C192" s="71"/>
      <c r="D192" s="69" t="str">
        <f t="shared" si="78"/>
        <v/>
      </c>
      <c r="E192" s="70" t="str">
        <f t="shared" si="79"/>
        <v/>
      </c>
      <c r="F192" s="70" t="str">
        <f t="shared" si="80"/>
        <v/>
      </c>
      <c r="G192" s="63" t="str">
        <f t="shared" si="81"/>
        <v/>
      </c>
      <c r="H192" s="64" t="str">
        <f t="shared" si="82"/>
        <v/>
      </c>
      <c r="I192" s="43"/>
      <c r="J192" s="63" t="str">
        <f t="shared" si="83"/>
        <v/>
      </c>
      <c r="K192" s="64" t="str">
        <f t="shared" si="84"/>
        <v/>
      </c>
      <c r="L192" s="38">
        <v>0</v>
      </c>
      <c r="M192" s="64" t="str">
        <f t="shared" si="85"/>
        <v/>
      </c>
      <c r="N192" s="65"/>
      <c r="O192" s="63" t="str">
        <f t="shared" si="86"/>
        <v/>
      </c>
      <c r="P192" s="63" t="str">
        <f t="shared" si="87"/>
        <v/>
      </c>
      <c r="Q192" s="66"/>
      <c r="R192" s="63" t="str">
        <f t="shared" si="88"/>
        <v/>
      </c>
      <c r="S192" s="64" t="str">
        <f t="shared" si="89"/>
        <v/>
      </c>
      <c r="T192" s="63" t="str">
        <f t="shared" si="90"/>
        <v/>
      </c>
      <c r="U192" s="64" t="str">
        <f t="shared" si="91"/>
        <v/>
      </c>
      <c r="V192" s="207" t="str">
        <f>IF($A193="","",IF(AND(MONTH(A192)&gt;3,MONTH(A192)&lt;11),(T192+R192+G192)*(((1/(1-Summary!$T$14))/(1-Summary!$W$14))-1),(T192+R192+G192)*((1/(1-Summary!$U$14))/(1-Summary!$X$14)-1)))</f>
        <v/>
      </c>
      <c r="W192" s="43" t="str">
        <f t="shared" si="92"/>
        <v/>
      </c>
      <c r="X192" s="43" t="str">
        <f t="shared" si="93"/>
        <v/>
      </c>
      <c r="Y192" s="43"/>
      <c r="Z192" s="38" t="str">
        <f t="shared" si="94"/>
        <v/>
      </c>
      <c r="AA192" s="38" t="str">
        <f t="shared" si="95"/>
        <v/>
      </c>
      <c r="AB192" s="38" t="e">
        <f t="shared" si="96"/>
        <v>#VALUE!</v>
      </c>
      <c r="AC192" s="38" t="str">
        <f t="shared" si="97"/>
        <v/>
      </c>
      <c r="AD192" s="38" t="str">
        <f t="shared" si="98"/>
        <v/>
      </c>
      <c r="AE192" s="38" t="e">
        <f t="shared" si="99"/>
        <v>#VALUE!</v>
      </c>
      <c r="AF192" s="237" t="e">
        <f>((Summary!$N$14*(AA192*AD192)*(A192-$D$3))+(Summary!$M$14*Z192*AC192*(AJ192-EOMONTH(EDATE(A192,-1),0))))/(AK192*AB192*AE192)</f>
        <v>#VALUE!</v>
      </c>
      <c r="AG192" s="88" t="str">
        <f>IF($A193="","",Summary!$Q$14)</f>
        <v/>
      </c>
      <c r="AH192" s="88" t="str">
        <f>IF($A193="","",IF(Summary!$R$12="Y",(VLOOKUP($A192,Summary!$AD$6:$AF$9,3)+'Escalating commodity'!J205),'Escalating commodity'!J205))</f>
        <v/>
      </c>
      <c r="AI192" s="88" t="str">
        <f t="shared" si="115"/>
        <v/>
      </c>
      <c r="AJ192" s="236" t="e">
        <f t="shared" si="100"/>
        <v>#VALUE!</v>
      </c>
      <c r="AK192" s="58" t="str">
        <f t="shared" si="101"/>
        <v/>
      </c>
      <c r="AL192" s="26" t="str">
        <f>IF($A193="","",_xll.SPRDOPT(P192,X192,AI192,0,AB192,AE192,AF192,AK192,$AJ$2,0))</f>
        <v/>
      </c>
      <c r="AM192" s="89" t="str">
        <f t="shared" si="102"/>
        <v/>
      </c>
      <c r="AN192" s="89" t="str">
        <f t="shared" si="103"/>
        <v/>
      </c>
      <c r="AO192" s="3" t="str">
        <f t="shared" si="104"/>
        <v/>
      </c>
      <c r="AP192" s="33" t="str">
        <f t="shared" si="105"/>
        <v/>
      </c>
      <c r="AQ192" s="58" t="str">
        <f t="shared" si="106"/>
        <v/>
      </c>
      <c r="AR192" s="38">
        <f>'ANR OK vs ML7'!AR192</f>
        <v>0.1</v>
      </c>
      <c r="AS192" s="35" t="str">
        <f t="shared" si="107"/>
        <v/>
      </c>
      <c r="AT192" s="3" t="str">
        <f t="shared" si="108"/>
        <v/>
      </c>
      <c r="AU192" s="3" t="str">
        <f t="shared" si="109"/>
        <v/>
      </c>
      <c r="AW192" s="32" t="str">
        <f t="shared" si="110"/>
        <v/>
      </c>
      <c r="AX192" s="32" t="str">
        <f t="shared" si="111"/>
        <v/>
      </c>
      <c r="AY192" s="32" t="str">
        <f t="shared" si="112"/>
        <v/>
      </c>
      <c r="BA192" s="32" t="str">
        <f>IF($A193="","",F192*Summary!$Q$14)</f>
        <v/>
      </c>
    </row>
    <row r="193" spans="1:53" ht="12" customHeight="1">
      <c r="A193" s="67" t="str">
        <f t="shared" si="113"/>
        <v/>
      </c>
      <c r="B193" s="69" t="str">
        <f t="shared" si="114"/>
        <v/>
      </c>
      <c r="C193" s="71"/>
      <c r="D193" s="69" t="str">
        <f t="shared" si="78"/>
        <v/>
      </c>
      <c r="E193" s="70" t="str">
        <f t="shared" si="79"/>
        <v/>
      </c>
      <c r="F193" s="70" t="str">
        <f t="shared" si="80"/>
        <v/>
      </c>
      <c r="G193" s="63" t="str">
        <f t="shared" si="81"/>
        <v/>
      </c>
      <c r="H193" s="64" t="str">
        <f t="shared" si="82"/>
        <v/>
      </c>
      <c r="I193" s="43"/>
      <c r="J193" s="63" t="str">
        <f t="shared" si="83"/>
        <v/>
      </c>
      <c r="K193" s="64" t="str">
        <f t="shared" si="84"/>
        <v/>
      </c>
      <c r="L193" s="38">
        <v>0</v>
      </c>
      <c r="M193" s="64" t="str">
        <f t="shared" si="85"/>
        <v/>
      </c>
      <c r="N193" s="65"/>
      <c r="O193" s="63" t="str">
        <f t="shared" si="86"/>
        <v/>
      </c>
      <c r="P193" s="63" t="str">
        <f t="shared" si="87"/>
        <v/>
      </c>
      <c r="Q193" s="66"/>
      <c r="R193" s="63" t="str">
        <f t="shared" si="88"/>
        <v/>
      </c>
      <c r="S193" s="64" t="str">
        <f t="shared" si="89"/>
        <v/>
      </c>
      <c r="T193" s="63" t="str">
        <f t="shared" si="90"/>
        <v/>
      </c>
      <c r="U193" s="64" t="str">
        <f t="shared" si="91"/>
        <v/>
      </c>
      <c r="V193" s="207" t="str">
        <f>IF($A194="","",IF(AND(MONTH(A193)&gt;3,MONTH(A193)&lt;11),(T193+R193+G193)*(((1/(1-Summary!$T$14))/(1-Summary!$W$14))-1),(T193+R193+G193)*((1/(1-Summary!$U$14))/(1-Summary!$X$14)-1)))</f>
        <v/>
      </c>
      <c r="W193" s="43" t="str">
        <f t="shared" si="92"/>
        <v/>
      </c>
      <c r="X193" s="43" t="str">
        <f t="shared" si="93"/>
        <v/>
      </c>
      <c r="Y193" s="43"/>
      <c r="Z193" s="38" t="str">
        <f t="shared" si="94"/>
        <v/>
      </c>
      <c r="AA193" s="38" t="str">
        <f t="shared" si="95"/>
        <v/>
      </c>
      <c r="AB193" s="38" t="e">
        <f t="shared" si="96"/>
        <v>#VALUE!</v>
      </c>
      <c r="AC193" s="38" t="str">
        <f t="shared" si="97"/>
        <v/>
      </c>
      <c r="AD193" s="38" t="str">
        <f t="shared" si="98"/>
        <v/>
      </c>
      <c r="AE193" s="38" t="e">
        <f t="shared" si="99"/>
        <v>#VALUE!</v>
      </c>
      <c r="AF193" s="237" t="e">
        <f>((Summary!$N$14*(AA193*AD193)*(A193-$D$3))+(Summary!$M$14*Z193*AC193*(AJ193-EOMONTH(EDATE(A193,-1),0))))/(AK193*AB193*AE193)</f>
        <v>#VALUE!</v>
      </c>
      <c r="AG193" s="88" t="str">
        <f>IF($A194="","",Summary!$Q$14)</f>
        <v/>
      </c>
      <c r="AH193" s="88" t="str">
        <f>IF($A194="","",IF(Summary!$R$12="Y",(VLOOKUP($A193,Summary!$AD$6:$AF$9,3)+'Escalating commodity'!J206),'Escalating commodity'!J206))</f>
        <v/>
      </c>
      <c r="AI193" s="88" t="str">
        <f t="shared" si="115"/>
        <v/>
      </c>
      <c r="AJ193" s="236" t="e">
        <f t="shared" si="100"/>
        <v>#VALUE!</v>
      </c>
      <c r="AK193" s="58" t="str">
        <f t="shared" si="101"/>
        <v/>
      </c>
      <c r="AL193" s="26" t="str">
        <f>IF($A194="","",_xll.SPRDOPT(P193,X193,AI193,0,AB193,AE193,AF193,AK193,$AJ$2,0))</f>
        <v/>
      </c>
      <c r="AM193" s="89" t="str">
        <f t="shared" si="102"/>
        <v/>
      </c>
      <c r="AN193" s="89" t="str">
        <f t="shared" si="103"/>
        <v/>
      </c>
      <c r="AO193" s="3" t="str">
        <f t="shared" si="104"/>
        <v/>
      </c>
      <c r="AP193" s="33" t="str">
        <f t="shared" si="105"/>
        <v/>
      </c>
      <c r="AQ193" s="58" t="str">
        <f t="shared" si="106"/>
        <v/>
      </c>
      <c r="AR193" s="38">
        <f>'ANR OK vs ML7'!AR193</f>
        <v>0.1</v>
      </c>
      <c r="AS193" s="35" t="str">
        <f t="shared" si="107"/>
        <v/>
      </c>
      <c r="AT193" s="3" t="str">
        <f t="shared" si="108"/>
        <v/>
      </c>
      <c r="AU193" s="3" t="str">
        <f t="shared" si="109"/>
        <v/>
      </c>
      <c r="AW193" s="32" t="str">
        <f t="shared" si="110"/>
        <v/>
      </c>
      <c r="AX193" s="32" t="str">
        <f t="shared" si="111"/>
        <v/>
      </c>
      <c r="AY193" s="32" t="str">
        <f t="shared" si="112"/>
        <v/>
      </c>
      <c r="BA193" s="32" t="str">
        <f>IF($A194="","",F193*Summary!$Q$14)</f>
        <v/>
      </c>
    </row>
    <row r="194" spans="1:53" ht="12" customHeight="1">
      <c r="A194" s="67" t="str">
        <f t="shared" si="113"/>
        <v/>
      </c>
      <c r="B194" s="69" t="str">
        <f t="shared" si="114"/>
        <v/>
      </c>
      <c r="C194" s="71"/>
      <c r="D194" s="69" t="str">
        <f t="shared" si="78"/>
        <v/>
      </c>
      <c r="E194" s="70" t="str">
        <f t="shared" si="79"/>
        <v/>
      </c>
      <c r="F194" s="70" t="str">
        <f t="shared" si="80"/>
        <v/>
      </c>
      <c r="G194" s="63" t="str">
        <f t="shared" si="81"/>
        <v/>
      </c>
      <c r="H194" s="64" t="str">
        <f t="shared" si="82"/>
        <v/>
      </c>
      <c r="I194" s="43"/>
      <c r="J194" s="63" t="str">
        <f t="shared" si="83"/>
        <v/>
      </c>
      <c r="K194" s="64" t="str">
        <f t="shared" si="84"/>
        <v/>
      </c>
      <c r="L194" s="38">
        <v>0</v>
      </c>
      <c r="M194" s="64" t="str">
        <f t="shared" si="85"/>
        <v/>
      </c>
      <c r="N194" s="65"/>
      <c r="O194" s="63" t="str">
        <f t="shared" si="86"/>
        <v/>
      </c>
      <c r="P194" s="63" t="str">
        <f t="shared" si="87"/>
        <v/>
      </c>
      <c r="Q194" s="66"/>
      <c r="R194" s="63" t="str">
        <f t="shared" si="88"/>
        <v/>
      </c>
      <c r="S194" s="64" t="str">
        <f t="shared" si="89"/>
        <v/>
      </c>
      <c r="T194" s="63" t="str">
        <f t="shared" si="90"/>
        <v/>
      </c>
      <c r="U194" s="64" t="str">
        <f t="shared" si="91"/>
        <v/>
      </c>
      <c r="V194" s="207" t="str">
        <f>IF($A195="","",IF(AND(MONTH(A194)&gt;3,MONTH(A194)&lt;11),(T194+R194+G194)*(((1/(1-Summary!$T$14))/(1-Summary!$W$14))-1),(T194+R194+G194)*((1/(1-Summary!$U$14))/(1-Summary!$X$14)-1)))</f>
        <v/>
      </c>
      <c r="W194" s="43" t="str">
        <f t="shared" si="92"/>
        <v/>
      </c>
      <c r="X194" s="43" t="str">
        <f t="shared" si="93"/>
        <v/>
      </c>
      <c r="Y194" s="43"/>
      <c r="Z194" s="38" t="str">
        <f t="shared" si="94"/>
        <v/>
      </c>
      <c r="AA194" s="38" t="str">
        <f t="shared" si="95"/>
        <v/>
      </c>
      <c r="AB194" s="38" t="e">
        <f t="shared" si="96"/>
        <v>#VALUE!</v>
      </c>
      <c r="AC194" s="38" t="str">
        <f t="shared" si="97"/>
        <v/>
      </c>
      <c r="AD194" s="38" t="str">
        <f t="shared" si="98"/>
        <v/>
      </c>
      <c r="AE194" s="38" t="e">
        <f t="shared" si="99"/>
        <v>#VALUE!</v>
      </c>
      <c r="AF194" s="237" t="e">
        <f>((Summary!$N$14*(AA194*AD194)*(A194-$D$3))+(Summary!$M$14*Z194*AC194*(AJ194-EOMONTH(EDATE(A194,-1),0))))/(AK194*AB194*AE194)</f>
        <v>#VALUE!</v>
      </c>
      <c r="AG194" s="88" t="str">
        <f>IF($A195="","",Summary!$Q$14)</f>
        <v/>
      </c>
      <c r="AH194" s="88" t="str">
        <f>IF($A195="","",IF(Summary!$R$12="Y",(VLOOKUP($A194,Summary!$AD$6:$AF$9,3)+'Escalating commodity'!J207),'Escalating commodity'!J207))</f>
        <v/>
      </c>
      <c r="AI194" s="88" t="str">
        <f t="shared" si="115"/>
        <v/>
      </c>
      <c r="AJ194" s="236" t="e">
        <f t="shared" si="100"/>
        <v>#VALUE!</v>
      </c>
      <c r="AK194" s="58" t="str">
        <f t="shared" si="101"/>
        <v/>
      </c>
      <c r="AL194" s="26" t="str">
        <f>IF($A195="","",_xll.SPRDOPT(P194,X194,AI194,0,AB194,AE194,AF194,AK194,$AJ$2,0))</f>
        <v/>
      </c>
      <c r="AM194" s="89" t="str">
        <f t="shared" si="102"/>
        <v/>
      </c>
      <c r="AN194" s="89" t="str">
        <f t="shared" si="103"/>
        <v/>
      </c>
      <c r="AO194" s="3" t="str">
        <f t="shared" si="104"/>
        <v/>
      </c>
      <c r="AP194" s="33" t="str">
        <f t="shared" si="105"/>
        <v/>
      </c>
      <c r="AQ194" s="58" t="str">
        <f t="shared" si="106"/>
        <v/>
      </c>
      <c r="AR194" s="38">
        <f>'ANR OK vs ML7'!AR194</f>
        <v>0.1</v>
      </c>
      <c r="AS194" s="35" t="str">
        <f t="shared" si="107"/>
        <v/>
      </c>
      <c r="AT194" s="3" t="str">
        <f t="shared" si="108"/>
        <v/>
      </c>
      <c r="AU194" s="3" t="str">
        <f t="shared" si="109"/>
        <v/>
      </c>
      <c r="AW194" s="32" t="str">
        <f t="shared" si="110"/>
        <v/>
      </c>
      <c r="AX194" s="32" t="str">
        <f t="shared" si="111"/>
        <v/>
      </c>
      <c r="AY194" s="32" t="str">
        <f t="shared" si="112"/>
        <v/>
      </c>
      <c r="BA194" s="32" t="str">
        <f>IF($A195="","",F194*Summary!$Q$14)</f>
        <v/>
      </c>
    </row>
    <row r="195" spans="1:53" ht="12" customHeight="1">
      <c r="A195" s="67" t="str">
        <f t="shared" si="113"/>
        <v/>
      </c>
      <c r="B195" s="69" t="str">
        <f t="shared" si="114"/>
        <v/>
      </c>
      <c r="C195" s="71"/>
      <c r="D195" s="69" t="str">
        <f t="shared" si="78"/>
        <v/>
      </c>
      <c r="E195" s="70" t="str">
        <f t="shared" si="79"/>
        <v/>
      </c>
      <c r="F195" s="70" t="str">
        <f t="shared" si="80"/>
        <v/>
      </c>
      <c r="G195" s="63" t="str">
        <f t="shared" si="81"/>
        <v/>
      </c>
      <c r="H195" s="64" t="str">
        <f t="shared" si="82"/>
        <v/>
      </c>
      <c r="I195" s="43"/>
      <c r="J195" s="63" t="str">
        <f t="shared" si="83"/>
        <v/>
      </c>
      <c r="K195" s="64" t="str">
        <f t="shared" si="84"/>
        <v/>
      </c>
      <c r="L195" s="38">
        <v>0</v>
      </c>
      <c r="M195" s="64" t="str">
        <f t="shared" si="85"/>
        <v/>
      </c>
      <c r="N195" s="65"/>
      <c r="O195" s="63" t="str">
        <f t="shared" si="86"/>
        <v/>
      </c>
      <c r="P195" s="63" t="str">
        <f t="shared" si="87"/>
        <v/>
      </c>
      <c r="Q195" s="66"/>
      <c r="R195" s="63" t="str">
        <f t="shared" si="88"/>
        <v/>
      </c>
      <c r="S195" s="64" t="str">
        <f t="shared" si="89"/>
        <v/>
      </c>
      <c r="T195" s="63" t="str">
        <f t="shared" si="90"/>
        <v/>
      </c>
      <c r="U195" s="64" t="str">
        <f t="shared" si="91"/>
        <v/>
      </c>
      <c r="V195" s="207" t="str">
        <f>IF($A196="","",IF(AND(MONTH(A195)&gt;3,MONTH(A195)&lt;11),(T195+R195+G195)*(((1/(1-Summary!$T$14))/(1-Summary!$W$14))-1),(T195+R195+G195)*((1/(1-Summary!$U$14))/(1-Summary!$X$14)-1)))</f>
        <v/>
      </c>
      <c r="W195" s="43" t="str">
        <f t="shared" si="92"/>
        <v/>
      </c>
      <c r="X195" s="43" t="str">
        <f t="shared" si="93"/>
        <v/>
      </c>
      <c r="Y195" s="43"/>
      <c r="Z195" s="38" t="str">
        <f t="shared" si="94"/>
        <v/>
      </c>
      <c r="AA195" s="38" t="str">
        <f t="shared" si="95"/>
        <v/>
      </c>
      <c r="AB195" s="38" t="e">
        <f t="shared" si="96"/>
        <v>#VALUE!</v>
      </c>
      <c r="AC195" s="38" t="str">
        <f t="shared" si="97"/>
        <v/>
      </c>
      <c r="AD195" s="38" t="str">
        <f t="shared" si="98"/>
        <v/>
      </c>
      <c r="AE195" s="38" t="e">
        <f t="shared" si="99"/>
        <v>#VALUE!</v>
      </c>
      <c r="AF195" s="237" t="e">
        <f>((Summary!$N$14*(AA195*AD195)*(A195-$D$3))+(Summary!$M$14*Z195*AC195*(AJ195-EOMONTH(EDATE(A195,-1),0))))/(AK195*AB195*AE195)</f>
        <v>#VALUE!</v>
      </c>
      <c r="AG195" s="88" t="str">
        <f>IF($A196="","",Summary!$Q$14)</f>
        <v/>
      </c>
      <c r="AH195" s="88" t="str">
        <f>IF($A196="","",IF(Summary!$R$12="Y",(VLOOKUP($A195,Summary!$AD$6:$AF$9,3)+'Escalating commodity'!J208),'Escalating commodity'!J208))</f>
        <v/>
      </c>
      <c r="AI195" s="88" t="str">
        <f t="shared" si="115"/>
        <v/>
      </c>
      <c r="AJ195" s="236" t="e">
        <f t="shared" si="100"/>
        <v>#VALUE!</v>
      </c>
      <c r="AK195" s="58" t="str">
        <f t="shared" si="101"/>
        <v/>
      </c>
      <c r="AL195" s="26" t="str">
        <f>IF($A196="","",_xll.SPRDOPT(P195,X195,AI195,0,AB195,AE195,AF195,AK195,$AJ$2,0))</f>
        <v/>
      </c>
      <c r="AM195" s="89" t="str">
        <f t="shared" si="102"/>
        <v/>
      </c>
      <c r="AN195" s="89" t="str">
        <f t="shared" si="103"/>
        <v/>
      </c>
      <c r="AO195" s="3" t="str">
        <f t="shared" si="104"/>
        <v/>
      </c>
      <c r="AP195" s="33" t="str">
        <f t="shared" si="105"/>
        <v/>
      </c>
      <c r="AQ195" s="58" t="str">
        <f t="shared" si="106"/>
        <v/>
      </c>
      <c r="AR195" s="38">
        <f>'ANR OK vs ML7'!AR195</f>
        <v>0.1</v>
      </c>
      <c r="AS195" s="35" t="str">
        <f t="shared" si="107"/>
        <v/>
      </c>
      <c r="AT195" s="3" t="str">
        <f t="shared" si="108"/>
        <v/>
      </c>
      <c r="AU195" s="3" t="str">
        <f t="shared" si="109"/>
        <v/>
      </c>
      <c r="AW195" s="32" t="str">
        <f t="shared" si="110"/>
        <v/>
      </c>
      <c r="AX195" s="32" t="str">
        <f t="shared" si="111"/>
        <v/>
      </c>
      <c r="AY195" s="32" t="str">
        <f t="shared" si="112"/>
        <v/>
      </c>
      <c r="BA195" s="32" t="str">
        <f>IF($A196="","",F195*Summary!$Q$14)</f>
        <v/>
      </c>
    </row>
    <row r="196" spans="1:53" ht="12" customHeight="1">
      <c r="A196" s="67" t="str">
        <f t="shared" si="113"/>
        <v/>
      </c>
      <c r="B196" s="69" t="str">
        <f t="shared" si="114"/>
        <v/>
      </c>
      <c r="C196" s="71"/>
      <c r="D196" s="69" t="str">
        <f t="shared" si="78"/>
        <v/>
      </c>
      <c r="E196" s="70" t="str">
        <f t="shared" si="79"/>
        <v/>
      </c>
      <c r="F196" s="70" t="str">
        <f t="shared" si="80"/>
        <v/>
      </c>
      <c r="G196" s="63" t="str">
        <f t="shared" si="81"/>
        <v/>
      </c>
      <c r="H196" s="64" t="str">
        <f t="shared" si="82"/>
        <v/>
      </c>
      <c r="I196" s="43"/>
      <c r="J196" s="63" t="str">
        <f t="shared" si="83"/>
        <v/>
      </c>
      <c r="K196" s="64" t="str">
        <f t="shared" si="84"/>
        <v/>
      </c>
      <c r="L196" s="38">
        <v>0</v>
      </c>
      <c r="M196" s="64" t="str">
        <f t="shared" si="85"/>
        <v/>
      </c>
      <c r="N196" s="65"/>
      <c r="O196" s="63" t="str">
        <f t="shared" si="86"/>
        <v/>
      </c>
      <c r="P196" s="63" t="str">
        <f t="shared" si="87"/>
        <v/>
      </c>
      <c r="Q196" s="66"/>
      <c r="R196" s="63" t="str">
        <f t="shared" si="88"/>
        <v/>
      </c>
      <c r="S196" s="64" t="str">
        <f t="shared" si="89"/>
        <v/>
      </c>
      <c r="T196" s="63" t="str">
        <f t="shared" si="90"/>
        <v/>
      </c>
      <c r="U196" s="64" t="str">
        <f t="shared" si="91"/>
        <v/>
      </c>
      <c r="V196" s="207" t="str">
        <f>IF($A197="","",IF(AND(MONTH(A196)&gt;3,MONTH(A196)&lt;11),(T196+R196+G196)*(((1/(1-Summary!$T$14))/(1-Summary!$W$14))-1),(T196+R196+G196)*((1/(1-Summary!$U$14))/(1-Summary!$X$14)-1)))</f>
        <v/>
      </c>
      <c r="W196" s="43" t="str">
        <f t="shared" si="92"/>
        <v/>
      </c>
      <c r="X196" s="43" t="str">
        <f t="shared" si="93"/>
        <v/>
      </c>
      <c r="Y196" s="43"/>
      <c r="Z196" s="38" t="str">
        <f t="shared" si="94"/>
        <v/>
      </c>
      <c r="AA196" s="38" t="str">
        <f t="shared" si="95"/>
        <v/>
      </c>
      <c r="AB196" s="38" t="e">
        <f t="shared" si="96"/>
        <v>#VALUE!</v>
      </c>
      <c r="AC196" s="38" t="str">
        <f t="shared" si="97"/>
        <v/>
      </c>
      <c r="AD196" s="38" t="str">
        <f t="shared" si="98"/>
        <v/>
      </c>
      <c r="AE196" s="38" t="e">
        <f t="shared" si="99"/>
        <v>#VALUE!</v>
      </c>
      <c r="AF196" s="237" t="e">
        <f>((Summary!$N$14*(AA196*AD196)*(A196-$D$3))+(Summary!$M$14*Z196*AC196*(AJ196-EOMONTH(EDATE(A196,-1),0))))/(AK196*AB196*AE196)</f>
        <v>#VALUE!</v>
      </c>
      <c r="AG196" s="88" t="str">
        <f>IF($A197="","",Summary!$Q$14)</f>
        <v/>
      </c>
      <c r="AH196" s="88" t="str">
        <f>IF($A197="","",IF(Summary!$R$12="Y",(VLOOKUP($A196,Summary!$AD$6:$AF$9,3)+'Escalating commodity'!J209),'Escalating commodity'!J209))</f>
        <v/>
      </c>
      <c r="AI196" s="88" t="str">
        <f t="shared" si="115"/>
        <v/>
      </c>
      <c r="AJ196" s="236" t="e">
        <f t="shared" si="100"/>
        <v>#VALUE!</v>
      </c>
      <c r="AK196" s="58" t="str">
        <f t="shared" si="101"/>
        <v/>
      </c>
      <c r="AL196" s="26" t="str">
        <f>IF($A197="","",_xll.SPRDOPT(P196,X196,AI196,0,AB196,AE196,AF196,AK196,$AJ$2,0))</f>
        <v/>
      </c>
      <c r="AM196" s="89" t="str">
        <f t="shared" si="102"/>
        <v/>
      </c>
      <c r="AN196" s="89" t="str">
        <f t="shared" si="103"/>
        <v/>
      </c>
      <c r="AO196" s="3" t="str">
        <f t="shared" si="104"/>
        <v/>
      </c>
      <c r="AP196" s="33" t="str">
        <f t="shared" si="105"/>
        <v/>
      </c>
      <c r="AQ196" s="58" t="str">
        <f t="shared" si="106"/>
        <v/>
      </c>
      <c r="AR196" s="38">
        <f>'ANR OK vs ML7'!AR196</f>
        <v>0.1</v>
      </c>
      <c r="AS196" s="35" t="str">
        <f t="shared" si="107"/>
        <v/>
      </c>
      <c r="AT196" s="3" t="str">
        <f t="shared" si="108"/>
        <v/>
      </c>
      <c r="AU196" s="3" t="str">
        <f t="shared" si="109"/>
        <v/>
      </c>
      <c r="AW196" s="32" t="str">
        <f t="shared" si="110"/>
        <v/>
      </c>
      <c r="AX196" s="32" t="str">
        <f t="shared" si="111"/>
        <v/>
      </c>
      <c r="AY196" s="32" t="str">
        <f t="shared" si="112"/>
        <v/>
      </c>
      <c r="BA196" s="32" t="str">
        <f>IF($A197="","",F196*Summary!$Q$14)</f>
        <v/>
      </c>
    </row>
    <row r="197" spans="1:53" ht="12" customHeight="1">
      <c r="A197" s="67" t="str">
        <f t="shared" si="113"/>
        <v/>
      </c>
      <c r="B197" s="69" t="str">
        <f t="shared" si="114"/>
        <v/>
      </c>
      <c r="C197" s="71"/>
      <c r="D197" s="69" t="str">
        <f t="shared" si="78"/>
        <v/>
      </c>
      <c r="E197" s="70" t="str">
        <f t="shared" si="79"/>
        <v/>
      </c>
      <c r="F197" s="70" t="str">
        <f t="shared" si="80"/>
        <v/>
      </c>
      <c r="G197" s="63" t="str">
        <f t="shared" si="81"/>
        <v/>
      </c>
      <c r="H197" s="64" t="str">
        <f t="shared" si="82"/>
        <v/>
      </c>
      <c r="I197" s="43"/>
      <c r="J197" s="63" t="str">
        <f t="shared" si="83"/>
        <v/>
      </c>
      <c r="K197" s="64" t="str">
        <f t="shared" si="84"/>
        <v/>
      </c>
      <c r="L197" s="38">
        <v>0</v>
      </c>
      <c r="M197" s="64" t="str">
        <f t="shared" si="85"/>
        <v/>
      </c>
      <c r="N197" s="65"/>
      <c r="O197" s="63" t="str">
        <f t="shared" si="86"/>
        <v/>
      </c>
      <c r="P197" s="63" t="str">
        <f t="shared" si="87"/>
        <v/>
      </c>
      <c r="Q197" s="66"/>
      <c r="R197" s="63" t="str">
        <f t="shared" si="88"/>
        <v/>
      </c>
      <c r="S197" s="64" t="str">
        <f t="shared" si="89"/>
        <v/>
      </c>
      <c r="T197" s="63" t="str">
        <f t="shared" si="90"/>
        <v/>
      </c>
      <c r="U197" s="64" t="str">
        <f t="shared" si="91"/>
        <v/>
      </c>
      <c r="V197" s="207" t="str">
        <f>IF($A198="","",IF(AND(MONTH(A197)&gt;3,MONTH(A197)&lt;11),(T197+R197+G197)*(((1/(1-Summary!$T$14))/(1-Summary!$W$14))-1),(T197+R197+G197)*((1/(1-Summary!$U$14))/(1-Summary!$X$14)-1)))</f>
        <v/>
      </c>
      <c r="W197" s="43" t="str">
        <f t="shared" si="92"/>
        <v/>
      </c>
      <c r="X197" s="43" t="str">
        <f t="shared" si="93"/>
        <v/>
      </c>
      <c r="Y197" s="43"/>
      <c r="Z197" s="38" t="str">
        <f t="shared" si="94"/>
        <v/>
      </c>
      <c r="AA197" s="38" t="str">
        <f t="shared" si="95"/>
        <v/>
      </c>
      <c r="AB197" s="38" t="e">
        <f t="shared" si="96"/>
        <v>#VALUE!</v>
      </c>
      <c r="AC197" s="38" t="str">
        <f t="shared" si="97"/>
        <v/>
      </c>
      <c r="AD197" s="38" t="str">
        <f t="shared" si="98"/>
        <v/>
      </c>
      <c r="AE197" s="38" t="e">
        <f t="shared" si="99"/>
        <v>#VALUE!</v>
      </c>
      <c r="AF197" s="237" t="e">
        <f>((Summary!$N$14*(AA197*AD197)*(A197-$D$3))+(Summary!$M$14*Z197*AC197*(AJ197-EOMONTH(EDATE(A197,-1),0))))/(AK197*AB197*AE197)</f>
        <v>#VALUE!</v>
      </c>
      <c r="AG197" s="88" t="str">
        <f>IF($A198="","",Summary!$Q$14)</f>
        <v/>
      </c>
      <c r="AH197" s="88" t="str">
        <f>IF($A198="","",IF(Summary!$R$12="Y",(VLOOKUP($A197,Summary!$AD$6:$AF$9,3)+'Escalating commodity'!J210),'Escalating commodity'!J210))</f>
        <v/>
      </c>
      <c r="AI197" s="88" t="str">
        <f t="shared" si="115"/>
        <v/>
      </c>
      <c r="AJ197" s="236" t="e">
        <f t="shared" si="100"/>
        <v>#VALUE!</v>
      </c>
      <c r="AK197" s="58" t="str">
        <f t="shared" si="101"/>
        <v/>
      </c>
      <c r="AL197" s="26" t="str">
        <f>IF($A198="","",_xll.SPRDOPT(P197,X197,AI197,0,AB197,AE197,AF197,AK197,$AJ$2,0))</f>
        <v/>
      </c>
      <c r="AM197" s="89" t="str">
        <f t="shared" si="102"/>
        <v/>
      </c>
      <c r="AN197" s="89" t="str">
        <f t="shared" si="103"/>
        <v/>
      </c>
      <c r="AO197" s="3" t="str">
        <f t="shared" si="104"/>
        <v/>
      </c>
      <c r="AP197" s="33" t="str">
        <f t="shared" si="105"/>
        <v/>
      </c>
      <c r="AQ197" s="58" t="str">
        <f t="shared" si="106"/>
        <v/>
      </c>
      <c r="AR197" s="38">
        <f>'ANR OK vs ML7'!AR197</f>
        <v>0.1</v>
      </c>
      <c r="AS197" s="35" t="str">
        <f t="shared" si="107"/>
        <v/>
      </c>
      <c r="AT197" s="3" t="str">
        <f t="shared" si="108"/>
        <v/>
      </c>
      <c r="AU197" s="3" t="str">
        <f t="shared" si="109"/>
        <v/>
      </c>
      <c r="AW197" s="32" t="str">
        <f t="shared" si="110"/>
        <v/>
      </c>
      <c r="AX197" s="32" t="str">
        <f t="shared" si="111"/>
        <v/>
      </c>
      <c r="AY197" s="32" t="str">
        <f t="shared" si="112"/>
        <v/>
      </c>
      <c r="BA197" s="32" t="str">
        <f>IF($A198="","",F197*Summary!$Q$14)</f>
        <v/>
      </c>
    </row>
    <row r="198" spans="1:53" ht="12" customHeight="1">
      <c r="A198" s="67" t="str">
        <f t="shared" si="113"/>
        <v/>
      </c>
      <c r="B198" s="69" t="str">
        <f t="shared" si="114"/>
        <v/>
      </c>
      <c r="C198" s="71"/>
      <c r="D198" s="69" t="str">
        <f t="shared" si="78"/>
        <v/>
      </c>
      <c r="E198" s="70" t="str">
        <f t="shared" si="79"/>
        <v/>
      </c>
      <c r="F198" s="70" t="str">
        <f t="shared" si="80"/>
        <v/>
      </c>
      <c r="G198" s="63" t="str">
        <f t="shared" si="81"/>
        <v/>
      </c>
      <c r="H198" s="64" t="str">
        <f t="shared" si="82"/>
        <v/>
      </c>
      <c r="I198" s="43"/>
      <c r="J198" s="63" t="str">
        <f t="shared" si="83"/>
        <v/>
      </c>
      <c r="K198" s="64" t="str">
        <f t="shared" si="84"/>
        <v/>
      </c>
      <c r="L198" s="38">
        <v>0</v>
      </c>
      <c r="M198" s="64" t="str">
        <f t="shared" si="85"/>
        <v/>
      </c>
      <c r="N198" s="65"/>
      <c r="O198" s="63" t="str">
        <f t="shared" si="86"/>
        <v/>
      </c>
      <c r="P198" s="63" t="str">
        <f t="shared" si="87"/>
        <v/>
      </c>
      <c r="Q198" s="66"/>
      <c r="R198" s="63" t="str">
        <f t="shared" si="88"/>
        <v/>
      </c>
      <c r="S198" s="64" t="str">
        <f t="shared" si="89"/>
        <v/>
      </c>
      <c r="T198" s="63" t="str">
        <f t="shared" si="90"/>
        <v/>
      </c>
      <c r="U198" s="64" t="str">
        <f t="shared" si="91"/>
        <v/>
      </c>
      <c r="V198" s="207" t="str">
        <f>IF($A199="","",IF(AND(MONTH(A198)&gt;3,MONTH(A198)&lt;11),(T198+R198+G198)*(((1/(1-Summary!$T$14))/(1-Summary!$W$14))-1),(T198+R198+G198)*((1/(1-Summary!$U$14))/(1-Summary!$X$14)-1)))</f>
        <v/>
      </c>
      <c r="W198" s="43" t="str">
        <f t="shared" si="92"/>
        <v/>
      </c>
      <c r="X198" s="43" t="str">
        <f t="shared" si="93"/>
        <v/>
      </c>
      <c r="Y198" s="43"/>
      <c r="Z198" s="38" t="str">
        <f t="shared" si="94"/>
        <v/>
      </c>
      <c r="AA198" s="38" t="str">
        <f t="shared" si="95"/>
        <v/>
      </c>
      <c r="AB198" s="38" t="e">
        <f t="shared" si="96"/>
        <v>#VALUE!</v>
      </c>
      <c r="AC198" s="38" t="str">
        <f t="shared" si="97"/>
        <v/>
      </c>
      <c r="AD198" s="38" t="str">
        <f t="shared" si="98"/>
        <v/>
      </c>
      <c r="AE198" s="38" t="e">
        <f t="shared" si="99"/>
        <v>#VALUE!</v>
      </c>
      <c r="AF198" s="237" t="e">
        <f>((Summary!$N$14*(AA198*AD198)*(A198-$D$3))+(Summary!$M$14*Z198*AC198*(AJ198-EOMONTH(EDATE(A198,-1),0))))/(AK198*AB198*AE198)</f>
        <v>#VALUE!</v>
      </c>
      <c r="AG198" s="88" t="str">
        <f>IF($A199="","",Summary!$Q$14)</f>
        <v/>
      </c>
      <c r="AH198" s="88" t="str">
        <f>IF($A199="","",IF(Summary!$R$12="Y",(VLOOKUP($A198,Summary!$AD$6:$AF$9,3)+'Escalating commodity'!J211),'Escalating commodity'!J211))</f>
        <v/>
      </c>
      <c r="AI198" s="88" t="str">
        <f t="shared" si="115"/>
        <v/>
      </c>
      <c r="AJ198" s="236" t="e">
        <f t="shared" si="100"/>
        <v>#VALUE!</v>
      </c>
      <c r="AK198" s="58" t="str">
        <f t="shared" si="101"/>
        <v/>
      </c>
      <c r="AL198" s="26" t="str">
        <f>IF($A199="","",_xll.SPRDOPT(P198,X198,AI198,0,AB198,AE198,AF198,AK198,$AJ$2,0))</f>
        <v/>
      </c>
      <c r="AM198" s="89" t="str">
        <f t="shared" si="102"/>
        <v/>
      </c>
      <c r="AN198" s="89" t="str">
        <f t="shared" si="103"/>
        <v/>
      </c>
      <c r="AO198" s="3" t="str">
        <f t="shared" si="104"/>
        <v/>
      </c>
      <c r="AP198" s="33" t="str">
        <f t="shared" si="105"/>
        <v/>
      </c>
      <c r="AQ198" s="58" t="str">
        <f t="shared" si="106"/>
        <v/>
      </c>
      <c r="AR198" s="38">
        <f>'ANR OK vs ML7'!AR198</f>
        <v>0.1</v>
      </c>
      <c r="AS198" s="35" t="str">
        <f t="shared" si="107"/>
        <v/>
      </c>
      <c r="AT198" s="3" t="str">
        <f t="shared" si="108"/>
        <v/>
      </c>
      <c r="AU198" s="3" t="str">
        <f t="shared" si="109"/>
        <v/>
      </c>
      <c r="AW198" s="32" t="str">
        <f t="shared" si="110"/>
        <v/>
      </c>
      <c r="AX198" s="32" t="str">
        <f t="shared" si="111"/>
        <v/>
      </c>
      <c r="AY198" s="32" t="str">
        <f t="shared" si="112"/>
        <v/>
      </c>
      <c r="BA198" s="32" t="str">
        <f>IF($A199="","",F198*Summary!$Q$14)</f>
        <v/>
      </c>
    </row>
    <row r="199" spans="1:53" ht="12" customHeight="1">
      <c r="A199" s="67" t="str">
        <f t="shared" si="113"/>
        <v/>
      </c>
      <c r="B199" s="69" t="str">
        <f t="shared" si="114"/>
        <v/>
      </c>
      <c r="C199" s="71"/>
      <c r="D199" s="69" t="str">
        <f t="shared" si="78"/>
        <v/>
      </c>
      <c r="E199" s="70" t="str">
        <f t="shared" si="79"/>
        <v/>
      </c>
      <c r="F199" s="70" t="str">
        <f t="shared" si="80"/>
        <v/>
      </c>
      <c r="G199" s="63" t="str">
        <f t="shared" si="81"/>
        <v/>
      </c>
      <c r="H199" s="64" t="str">
        <f t="shared" si="82"/>
        <v/>
      </c>
      <c r="I199" s="43"/>
      <c r="J199" s="63" t="str">
        <f t="shared" si="83"/>
        <v/>
      </c>
      <c r="K199" s="64" t="str">
        <f t="shared" si="84"/>
        <v/>
      </c>
      <c r="L199" s="38">
        <v>0</v>
      </c>
      <c r="M199" s="64" t="str">
        <f t="shared" si="85"/>
        <v/>
      </c>
      <c r="N199" s="65"/>
      <c r="O199" s="63" t="str">
        <f t="shared" si="86"/>
        <v/>
      </c>
      <c r="P199" s="63" t="str">
        <f t="shared" si="87"/>
        <v/>
      </c>
      <c r="Q199" s="66"/>
      <c r="R199" s="63" t="str">
        <f t="shared" si="88"/>
        <v/>
      </c>
      <c r="S199" s="64" t="str">
        <f t="shared" si="89"/>
        <v/>
      </c>
      <c r="T199" s="63" t="str">
        <f t="shared" si="90"/>
        <v/>
      </c>
      <c r="U199" s="64" t="str">
        <f t="shared" si="91"/>
        <v/>
      </c>
      <c r="V199" s="207" t="str">
        <f>IF($A200="","",IF(AND(MONTH(A199)&gt;3,MONTH(A199)&lt;11),(T199+R199+G199)*(((1/(1-Summary!$T$14))/(1-Summary!$W$14))-1),(T199+R199+G199)*((1/(1-Summary!$U$14))/(1-Summary!$X$14)-1)))</f>
        <v/>
      </c>
      <c r="W199" s="43" t="str">
        <f t="shared" si="92"/>
        <v/>
      </c>
      <c r="X199" s="43" t="str">
        <f t="shared" si="93"/>
        <v/>
      </c>
      <c r="Y199" s="43"/>
      <c r="Z199" s="38" t="str">
        <f t="shared" si="94"/>
        <v/>
      </c>
      <c r="AA199" s="38" t="str">
        <f t="shared" si="95"/>
        <v/>
      </c>
      <c r="AB199" s="38" t="e">
        <f t="shared" si="96"/>
        <v>#VALUE!</v>
      </c>
      <c r="AC199" s="38" t="str">
        <f t="shared" si="97"/>
        <v/>
      </c>
      <c r="AD199" s="38" t="str">
        <f t="shared" si="98"/>
        <v/>
      </c>
      <c r="AE199" s="38" t="e">
        <f t="shared" si="99"/>
        <v>#VALUE!</v>
      </c>
      <c r="AF199" s="237" t="e">
        <f>((Summary!$N$14*(AA199*AD199)*(A199-$D$3))+(Summary!$M$14*Z199*AC199*(AJ199-EOMONTH(EDATE(A199,-1),0))))/(AK199*AB199*AE199)</f>
        <v>#VALUE!</v>
      </c>
      <c r="AG199" s="88" t="str">
        <f>IF($A200="","",Summary!$Q$14)</f>
        <v/>
      </c>
      <c r="AH199" s="88" t="str">
        <f>IF($A200="","",IF(Summary!$R$12="Y",(VLOOKUP($A199,Summary!$AD$6:$AF$9,3)+'Escalating commodity'!J212),'Escalating commodity'!J212))</f>
        <v/>
      </c>
      <c r="AI199" s="88" t="str">
        <f t="shared" si="115"/>
        <v/>
      </c>
      <c r="AJ199" s="236" t="e">
        <f t="shared" si="100"/>
        <v>#VALUE!</v>
      </c>
      <c r="AK199" s="58" t="str">
        <f t="shared" si="101"/>
        <v/>
      </c>
      <c r="AL199" s="26" t="str">
        <f>IF($A200="","",_xll.SPRDOPT(P199,X199,AI199,0,AB199,AE199,AF199,AK199,$AJ$2,0))</f>
        <v/>
      </c>
      <c r="AM199" s="89" t="str">
        <f t="shared" si="102"/>
        <v/>
      </c>
      <c r="AN199" s="89" t="str">
        <f t="shared" si="103"/>
        <v/>
      </c>
      <c r="AO199" s="3" t="str">
        <f t="shared" si="104"/>
        <v/>
      </c>
      <c r="AP199" s="33" t="str">
        <f t="shared" si="105"/>
        <v/>
      </c>
      <c r="AQ199" s="58" t="str">
        <f t="shared" si="106"/>
        <v/>
      </c>
      <c r="AR199" s="38">
        <f>'ANR OK vs ML7'!AR199</f>
        <v>0.1</v>
      </c>
      <c r="AS199" s="35" t="str">
        <f t="shared" si="107"/>
        <v/>
      </c>
      <c r="AT199" s="3" t="str">
        <f t="shared" si="108"/>
        <v/>
      </c>
      <c r="AU199" s="3" t="str">
        <f t="shared" si="109"/>
        <v/>
      </c>
      <c r="AW199" s="32" t="str">
        <f t="shared" si="110"/>
        <v/>
      </c>
      <c r="AX199" s="32" t="str">
        <f t="shared" si="111"/>
        <v/>
      </c>
      <c r="AY199" s="32" t="str">
        <f t="shared" si="112"/>
        <v/>
      </c>
      <c r="BA199" s="32" t="str">
        <f>IF($A200="","",F199*Summary!$Q$14)</f>
        <v/>
      </c>
    </row>
    <row r="200" spans="1:53" ht="12" customHeight="1">
      <c r="A200" s="67" t="str">
        <f t="shared" si="113"/>
        <v/>
      </c>
      <c r="B200" s="69" t="str">
        <f t="shared" si="114"/>
        <v/>
      </c>
      <c r="C200" s="71"/>
      <c r="D200" s="69" t="str">
        <f t="shared" si="78"/>
        <v/>
      </c>
      <c r="E200" s="70" t="str">
        <f t="shared" si="79"/>
        <v/>
      </c>
      <c r="F200" s="70" t="str">
        <f t="shared" si="80"/>
        <v/>
      </c>
      <c r="G200" s="63" t="str">
        <f t="shared" si="81"/>
        <v/>
      </c>
      <c r="H200" s="64" t="str">
        <f t="shared" si="82"/>
        <v/>
      </c>
      <c r="I200" s="43"/>
      <c r="J200" s="63" t="str">
        <f t="shared" si="83"/>
        <v/>
      </c>
      <c r="K200" s="64" t="str">
        <f t="shared" si="84"/>
        <v/>
      </c>
      <c r="L200" s="38">
        <v>0</v>
      </c>
      <c r="M200" s="64" t="str">
        <f t="shared" si="85"/>
        <v/>
      </c>
      <c r="N200" s="65"/>
      <c r="O200" s="63" t="str">
        <f t="shared" si="86"/>
        <v/>
      </c>
      <c r="P200" s="63" t="str">
        <f t="shared" si="87"/>
        <v/>
      </c>
      <c r="Q200" s="66"/>
      <c r="R200" s="63" t="str">
        <f t="shared" si="88"/>
        <v/>
      </c>
      <c r="S200" s="64" t="str">
        <f t="shared" si="89"/>
        <v/>
      </c>
      <c r="T200" s="63" t="str">
        <f t="shared" si="90"/>
        <v/>
      </c>
      <c r="U200" s="64" t="str">
        <f t="shared" si="91"/>
        <v/>
      </c>
      <c r="V200" s="207" t="str">
        <f>IF($A201="","",IF(AND(MONTH(A200)&gt;3,MONTH(A200)&lt;11),(T200+R200+G200)*(((1/(1-Summary!$T$14))/(1-Summary!$W$14))-1),(T200+R200+G200)*((1/(1-Summary!$U$14))/(1-Summary!$X$14)-1)))</f>
        <v/>
      </c>
      <c r="W200" s="43" t="str">
        <f t="shared" si="92"/>
        <v/>
      </c>
      <c r="X200" s="43" t="str">
        <f t="shared" si="93"/>
        <v/>
      </c>
      <c r="Y200" s="43"/>
      <c r="Z200" s="38" t="str">
        <f t="shared" si="94"/>
        <v/>
      </c>
      <c r="AA200" s="38" t="str">
        <f t="shared" si="95"/>
        <v/>
      </c>
      <c r="AB200" s="38" t="e">
        <f t="shared" si="96"/>
        <v>#VALUE!</v>
      </c>
      <c r="AC200" s="38" t="str">
        <f t="shared" si="97"/>
        <v/>
      </c>
      <c r="AD200" s="38" t="str">
        <f t="shared" si="98"/>
        <v/>
      </c>
      <c r="AE200" s="38" t="e">
        <f t="shared" si="99"/>
        <v>#VALUE!</v>
      </c>
      <c r="AF200" s="237" t="e">
        <f>((Summary!$N$14*(AA200*AD200)*(A200-$D$3))+(Summary!$M$14*Z200*AC200*(AJ200-EOMONTH(EDATE(A200,-1),0))))/(AK200*AB200*AE200)</f>
        <v>#VALUE!</v>
      </c>
      <c r="AG200" s="88" t="str">
        <f>IF($A201="","",Summary!$Q$14)</f>
        <v/>
      </c>
      <c r="AH200" s="88" t="str">
        <f>IF($A201="","",IF(Summary!$R$12="Y",(VLOOKUP($A200,Summary!$AD$6:$AF$9,3)+'Escalating commodity'!J213),'Escalating commodity'!J213))</f>
        <v/>
      </c>
      <c r="AI200" s="88" t="str">
        <f t="shared" si="115"/>
        <v/>
      </c>
      <c r="AJ200" s="236" t="e">
        <f t="shared" si="100"/>
        <v>#VALUE!</v>
      </c>
      <c r="AK200" s="58" t="str">
        <f t="shared" si="101"/>
        <v/>
      </c>
      <c r="AL200" s="26" t="str">
        <f>IF($A201="","",_xll.SPRDOPT(P200,X200,AI200,0,AB200,AE200,AF200,AK200,$AJ$2,0))</f>
        <v/>
      </c>
      <c r="AM200" s="89" t="str">
        <f t="shared" si="102"/>
        <v/>
      </c>
      <c r="AN200" s="89" t="str">
        <f t="shared" si="103"/>
        <v/>
      </c>
      <c r="AO200" s="3" t="str">
        <f t="shared" si="104"/>
        <v/>
      </c>
      <c r="AP200" s="33" t="str">
        <f t="shared" si="105"/>
        <v/>
      </c>
      <c r="AQ200" s="58" t="str">
        <f t="shared" si="106"/>
        <v/>
      </c>
      <c r="AR200" s="38">
        <f>'ANR OK vs ML7'!AR200</f>
        <v>0.1</v>
      </c>
      <c r="AS200" s="35" t="str">
        <f t="shared" si="107"/>
        <v/>
      </c>
      <c r="AT200" s="3" t="str">
        <f t="shared" si="108"/>
        <v/>
      </c>
      <c r="AU200" s="3" t="str">
        <f t="shared" si="109"/>
        <v/>
      </c>
      <c r="AW200" s="32" t="str">
        <f t="shared" si="110"/>
        <v/>
      </c>
      <c r="AX200" s="32" t="str">
        <f t="shared" si="111"/>
        <v/>
      </c>
      <c r="AY200" s="32" t="str">
        <f t="shared" si="112"/>
        <v/>
      </c>
      <c r="BA200" s="32" t="str">
        <f>IF($A201="","",F200*Summary!$Q$14)</f>
        <v/>
      </c>
    </row>
    <row r="201" spans="1:53" ht="12" customHeight="1">
      <c r="A201" s="67" t="str">
        <f t="shared" si="113"/>
        <v/>
      </c>
      <c r="B201" s="69" t="str">
        <f t="shared" si="114"/>
        <v/>
      </c>
      <c r="C201" s="71"/>
      <c r="D201" s="69" t="str">
        <f t="shared" si="78"/>
        <v/>
      </c>
      <c r="E201" s="70" t="str">
        <f t="shared" si="79"/>
        <v/>
      </c>
      <c r="F201" s="70" t="str">
        <f t="shared" si="80"/>
        <v/>
      </c>
      <c r="G201" s="63" t="str">
        <f t="shared" si="81"/>
        <v/>
      </c>
      <c r="H201" s="64" t="str">
        <f t="shared" si="82"/>
        <v/>
      </c>
      <c r="I201" s="43"/>
      <c r="J201" s="63" t="str">
        <f t="shared" si="83"/>
        <v/>
      </c>
      <c r="K201" s="64" t="str">
        <f t="shared" si="84"/>
        <v/>
      </c>
      <c r="L201" s="38">
        <v>0</v>
      </c>
      <c r="M201" s="64" t="str">
        <f t="shared" si="85"/>
        <v/>
      </c>
      <c r="N201" s="65"/>
      <c r="O201" s="63" t="str">
        <f t="shared" si="86"/>
        <v/>
      </c>
      <c r="P201" s="63" t="str">
        <f t="shared" si="87"/>
        <v/>
      </c>
      <c r="Q201" s="66"/>
      <c r="R201" s="63" t="str">
        <f t="shared" si="88"/>
        <v/>
      </c>
      <c r="S201" s="64" t="str">
        <f t="shared" si="89"/>
        <v/>
      </c>
      <c r="T201" s="63" t="str">
        <f t="shared" si="90"/>
        <v/>
      </c>
      <c r="U201" s="64" t="str">
        <f t="shared" si="91"/>
        <v/>
      </c>
      <c r="V201" s="207" t="str">
        <f>IF($A202="","",IF(AND(MONTH(A201)&gt;3,MONTH(A201)&lt;11),(T201+R201+G201)*(((1/(1-Summary!$T$14))/(1-Summary!$W$14))-1),(T201+R201+G201)*((1/(1-Summary!$U$14))/(1-Summary!$X$14)-1)))</f>
        <v/>
      </c>
      <c r="W201" s="43" t="str">
        <f t="shared" si="92"/>
        <v/>
      </c>
      <c r="X201" s="43" t="str">
        <f t="shared" si="93"/>
        <v/>
      </c>
      <c r="Y201" s="43"/>
      <c r="Z201" s="38" t="str">
        <f t="shared" si="94"/>
        <v/>
      </c>
      <c r="AA201" s="38" t="str">
        <f t="shared" si="95"/>
        <v/>
      </c>
      <c r="AB201" s="38" t="e">
        <f t="shared" si="96"/>
        <v>#VALUE!</v>
      </c>
      <c r="AC201" s="38" t="str">
        <f t="shared" si="97"/>
        <v/>
      </c>
      <c r="AD201" s="38" t="str">
        <f t="shared" si="98"/>
        <v/>
      </c>
      <c r="AE201" s="38" t="e">
        <f t="shared" si="99"/>
        <v>#VALUE!</v>
      </c>
      <c r="AF201" s="237" t="e">
        <f>((Summary!$N$14*(AA201*AD201)*(A201-$D$3))+(Summary!$M$14*Z201*AC201*(AJ201-EOMONTH(EDATE(A201,-1),0))))/(AK201*AB201*AE201)</f>
        <v>#VALUE!</v>
      </c>
      <c r="AG201" s="88" t="str">
        <f>IF($A202="","",Summary!$Q$14)</f>
        <v/>
      </c>
      <c r="AH201" s="88" t="str">
        <f>IF($A202="","",IF(Summary!$R$12="Y",(VLOOKUP($A201,Summary!$AD$6:$AF$9,3)+'Escalating commodity'!J214),'Escalating commodity'!J214))</f>
        <v/>
      </c>
      <c r="AI201" s="88" t="str">
        <f t="shared" si="115"/>
        <v/>
      </c>
      <c r="AJ201" s="236" t="e">
        <f t="shared" si="100"/>
        <v>#VALUE!</v>
      </c>
      <c r="AK201" s="58" t="str">
        <f t="shared" si="101"/>
        <v/>
      </c>
      <c r="AL201" s="26" t="str">
        <f>IF($A202="","",_xll.SPRDOPT(P201,X201,AI201,0,AB201,AE201,AF201,AK201,$AJ$2,0))</f>
        <v/>
      </c>
      <c r="AM201" s="89" t="str">
        <f t="shared" si="102"/>
        <v/>
      </c>
      <c r="AN201" s="89" t="str">
        <f t="shared" si="103"/>
        <v/>
      </c>
      <c r="AO201" s="3" t="str">
        <f t="shared" si="104"/>
        <v/>
      </c>
      <c r="AP201" s="33" t="str">
        <f t="shared" si="105"/>
        <v/>
      </c>
      <c r="AQ201" s="58" t="str">
        <f t="shared" si="106"/>
        <v/>
      </c>
      <c r="AR201" s="38">
        <f>'ANR OK vs ML7'!AR201</f>
        <v>0.1</v>
      </c>
      <c r="AS201" s="35" t="str">
        <f t="shared" si="107"/>
        <v/>
      </c>
      <c r="AT201" s="3" t="str">
        <f t="shared" si="108"/>
        <v/>
      </c>
      <c r="AU201" s="3" t="str">
        <f t="shared" si="109"/>
        <v/>
      </c>
      <c r="AW201" s="32" t="str">
        <f t="shared" si="110"/>
        <v/>
      </c>
      <c r="AX201" s="32" t="str">
        <f t="shared" si="111"/>
        <v/>
      </c>
      <c r="AY201" s="32" t="str">
        <f t="shared" si="112"/>
        <v/>
      </c>
      <c r="BA201" s="32" t="str">
        <f>IF($A202="","",F201*Summary!$Q$14)</f>
        <v/>
      </c>
    </row>
    <row r="202" spans="1:53" ht="12" customHeight="1">
      <c r="A202" s="67" t="str">
        <f t="shared" si="113"/>
        <v/>
      </c>
      <c r="B202" s="69" t="str">
        <f t="shared" si="114"/>
        <v/>
      </c>
      <c r="C202" s="71"/>
      <c r="D202" s="69" t="str">
        <f t="shared" ref="D202:D265" si="117">IF(A203&lt;&gt;"",B202+C202,"")</f>
        <v/>
      </c>
      <c r="E202" s="70" t="str">
        <f t="shared" ref="E202:E265" si="118">IF(A203="","",IF(AND(AT202=1,$H$3=1),D202*AO202,IF($H$3=2,D202,"N/A")))</f>
        <v/>
      </c>
      <c r="F202" s="70" t="str">
        <f t="shared" ref="F202:F265" si="119">IF(A203="","",E202*AS202)</f>
        <v/>
      </c>
      <c r="G202" s="63" t="str">
        <f t="shared" ref="G202:G265" si="120">IF($A203="","",VLOOKUP($A202,Table,MATCH(G$4,Curves,0)))</f>
        <v/>
      </c>
      <c r="H202" s="64" t="str">
        <f t="shared" ref="H202:H265" si="121">IF(A203="","",G202)</f>
        <v/>
      </c>
      <c r="I202" s="43"/>
      <c r="J202" s="63" t="str">
        <f t="shared" ref="J202:J265" si="122">IF($A203="","",VLOOKUP($A202,Table,MATCH(J$4,Curves,0)))</f>
        <v/>
      </c>
      <c r="K202" s="64" t="str">
        <f t="shared" ref="K202:K265" si="123">IF(A203="","",J202)</f>
        <v/>
      </c>
      <c r="L202" s="38">
        <v>0</v>
      </c>
      <c r="M202" s="64" t="str">
        <f t="shared" ref="M202:M265" si="124">IF(A203="","",L202)</f>
        <v/>
      </c>
      <c r="N202" s="65"/>
      <c r="O202" s="63" t="str">
        <f t="shared" ref="O202:O265" si="125">IF(A203="","",L202+J202+G202)</f>
        <v/>
      </c>
      <c r="P202" s="63" t="str">
        <f t="shared" ref="P202:P265" si="126">IF(A203="","",M202+K202+H202)</f>
        <v/>
      </c>
      <c r="Q202" s="66"/>
      <c r="R202" s="63" t="str">
        <f t="shared" ref="R202:R265" si="127">IF($A203="","",VLOOKUP($A202,Table,MATCH(R$4,Curves,0)))</f>
        <v/>
      </c>
      <c r="S202" s="64" t="str">
        <f t="shared" ref="S202:S265" si="128">IF(A203="","",R202)</f>
        <v/>
      </c>
      <c r="T202" s="63" t="str">
        <f t="shared" ref="T202:T265" si="129">IF($A203="","",VLOOKUP($A202,Table,MATCH(T$4,Curves,0)))</f>
        <v/>
      </c>
      <c r="U202" s="64" t="str">
        <f t="shared" ref="U202:U265" si="130">IF(A203="","",T202)</f>
        <v/>
      </c>
      <c r="V202" s="207" t="str">
        <f>IF($A203="","",IF(AND(MONTH(A202)&gt;3,MONTH(A202)&lt;11),(T202+R202+G202)*(((1/(1-Summary!$T$14))/(1-Summary!$W$14))-1),(T202+R202+G202)*((1/(1-Summary!$U$14))/(1-Summary!$X$14)-1)))</f>
        <v/>
      </c>
      <c r="W202" s="43" t="str">
        <f t="shared" ref="W202:W265" si="131">IF($A203="","",(T202+R202+G202+V202))</f>
        <v/>
      </c>
      <c r="X202" s="43" t="str">
        <f t="shared" ref="X202:X265" si="132">IF($A203="","",(U202+S202+H202+V202))</f>
        <v/>
      </c>
      <c r="Y202" s="43"/>
      <c r="Z202" s="38" t="str">
        <f t="shared" ref="Z202:Z265" si="133">IF($A203="","",VLOOKUP($A202,Table,MATCH(Z$4,Curves,0)))</f>
        <v/>
      </c>
      <c r="AA202" s="38" t="str">
        <f t="shared" ref="AA202:AA265" si="134">IF($A203="","",VLOOKUP($A202,Table,MATCH(AA$4,Curves,0)))</f>
        <v/>
      </c>
      <c r="AB202" s="38" t="e">
        <f t="shared" ref="AB202:AB265" si="135">SQRT((AA202^2*(A202-$D$3)+Z202^2*(DAY(EOMONTH(A202,0))/2))/AK202)</f>
        <v>#VALUE!</v>
      </c>
      <c r="AC202" s="38" t="str">
        <f t="shared" ref="AC202:AC265" si="136">IF($A203="","",VLOOKUP($A202,Table,MATCH(AC$4,Curves,0)))</f>
        <v/>
      </c>
      <c r="AD202" s="38" t="str">
        <f t="shared" ref="AD202:AD265" si="137">IF($A203="","",VLOOKUP($A202,Table,MATCH(AD$4,Curves,0)))</f>
        <v/>
      </c>
      <c r="AE202" s="38" t="e">
        <f t="shared" ref="AE202:AE265" si="138">SQRT((AD202^2*(A202-$D$3)+AC202^2*(DAY(EOMONTH(A202,0))/2))/AK202)</f>
        <v>#VALUE!</v>
      </c>
      <c r="AF202" s="237" t="e">
        <f>((Summary!$N$14*(AA202*AD202)*(A202-$D$3))+(Summary!$M$14*Z202*AC202*(AJ202-EOMONTH(EDATE(A202,-1),0))))/(AK202*AB202*AE202)</f>
        <v>#VALUE!</v>
      </c>
      <c r="AG202" s="88" t="str">
        <f>IF($A203="","",Summary!$Q$14)</f>
        <v/>
      </c>
      <c r="AH202" s="88" t="str">
        <f>IF($A203="","",IF(Summary!$R$12="Y",(VLOOKUP($A202,Summary!$AD$6:$AF$9,3)+'Escalating commodity'!J215),'Escalating commodity'!J215))</f>
        <v/>
      </c>
      <c r="AI202" s="88" t="str">
        <f t="shared" si="115"/>
        <v/>
      </c>
      <c r="AJ202" s="236" t="e">
        <f t="shared" ref="AJ202:AJ265" si="139">A202+DAY(EOMONTH(A202,0))/2-1</f>
        <v>#VALUE!</v>
      </c>
      <c r="AK202" s="58" t="str">
        <f t="shared" ref="AK202:AK265" si="140">IF($A203="","",$A202-$E$1)</f>
        <v/>
      </c>
      <c r="AL202" s="26" t="str">
        <f>IF($A203="","",_xll.SPRDOPT(P202,X202,AI202,0,AB202,AE202,AF202,AK202,$AJ$2,0))</f>
        <v/>
      </c>
      <c r="AM202" s="89" t="str">
        <f t="shared" ref="AM202:AM265" si="141">IF($A203="","",MAX(0,O202-W202-AI202))</f>
        <v/>
      </c>
      <c r="AN202" s="89" t="str">
        <f t="shared" ref="AN202:AN265" si="142">IF($A203="","",AL202-AM202)</f>
        <v/>
      </c>
      <c r="AO202" s="3" t="str">
        <f t="shared" ref="AO202:AO265" si="143">IF(A203="","",A203-A202)</f>
        <v/>
      </c>
      <c r="AP202" s="33" t="str">
        <f t="shared" ref="AP202:AP265" si="144">IF(A203="","",CHOOSE(F$3,A203+24,A202))</f>
        <v/>
      </c>
      <c r="AQ202" s="58" t="str">
        <f t="shared" ref="AQ202:AQ265" si="145">IF(A203="","",AP202-$E$1)</f>
        <v/>
      </c>
      <c r="AR202" s="38">
        <f>'ANR OK vs ML7'!AR202</f>
        <v>0.1</v>
      </c>
      <c r="AS202" s="35" t="str">
        <f t="shared" ref="AS202:AS265" si="146">IF(A203="","",1/(1+CHOOSE(F$3,(AR203+($I$3/10000))/2,(AR202+($I$3/10000))/2))^(2*AQ202/365.25))</f>
        <v/>
      </c>
      <c r="AT202" s="3" t="str">
        <f t="shared" ref="AT202:AT265" si="147">IF(A203="","",IF(AND(mthbeg&lt;=A202,mthend&gt;=A202),1,0))</f>
        <v/>
      </c>
      <c r="AU202" s="3" t="str">
        <f t="shared" ref="AU202:AU265" si="148">IF(A203="","",AO202*AT202)</f>
        <v/>
      </c>
      <c r="AW202" s="32" t="str">
        <f t="shared" ref="AW202:AW265" si="149">IF($A203="","",AL202*$E202)</f>
        <v/>
      </c>
      <c r="AX202" s="32" t="str">
        <f t="shared" ref="AX202:AX265" si="150">IF($A203="","",AM202*$E202)</f>
        <v/>
      </c>
      <c r="AY202" s="32" t="str">
        <f t="shared" ref="AY202:AY265" si="151">IF($A203="","",AN202*$E202)</f>
        <v/>
      </c>
      <c r="BA202" s="32" t="str">
        <f>IF($A203="","",F202*Summary!$Q$14)</f>
        <v/>
      </c>
    </row>
    <row r="203" spans="1:53" ht="12" customHeight="1">
      <c r="A203" s="67" t="str">
        <f t="shared" ref="A203:A266" si="152">IF(A202&lt;mthend,EDATE(A202,1),"")</f>
        <v/>
      </c>
      <c r="B203" s="69" t="str">
        <f t="shared" ref="B203:B266" si="153">IF(A203&lt;mthend,B202,"")</f>
        <v/>
      </c>
      <c r="C203" s="71"/>
      <c r="D203" s="69" t="str">
        <f t="shared" si="117"/>
        <v/>
      </c>
      <c r="E203" s="70" t="str">
        <f t="shared" si="118"/>
        <v/>
      </c>
      <c r="F203" s="70" t="str">
        <f t="shared" si="119"/>
        <v/>
      </c>
      <c r="G203" s="63" t="str">
        <f t="shared" si="120"/>
        <v/>
      </c>
      <c r="H203" s="64" t="str">
        <f t="shared" si="121"/>
        <v/>
      </c>
      <c r="I203" s="43"/>
      <c r="J203" s="63" t="str">
        <f t="shared" si="122"/>
        <v/>
      </c>
      <c r="K203" s="64" t="str">
        <f t="shared" si="123"/>
        <v/>
      </c>
      <c r="L203" s="38">
        <v>0</v>
      </c>
      <c r="M203" s="64" t="str">
        <f t="shared" si="124"/>
        <v/>
      </c>
      <c r="N203" s="65"/>
      <c r="O203" s="63" t="str">
        <f t="shared" si="125"/>
        <v/>
      </c>
      <c r="P203" s="63" t="str">
        <f t="shared" si="126"/>
        <v/>
      </c>
      <c r="Q203" s="66"/>
      <c r="R203" s="63" t="str">
        <f t="shared" si="127"/>
        <v/>
      </c>
      <c r="S203" s="64" t="str">
        <f t="shared" si="128"/>
        <v/>
      </c>
      <c r="T203" s="63" t="str">
        <f t="shared" si="129"/>
        <v/>
      </c>
      <c r="U203" s="64" t="str">
        <f t="shared" si="130"/>
        <v/>
      </c>
      <c r="V203" s="207" t="str">
        <f>IF($A204="","",IF(AND(MONTH(A203)&gt;3,MONTH(A203)&lt;11),(T203+R203+G203)*(((1/(1-Summary!$T$14))/(1-Summary!$W$14))-1),(T203+R203+G203)*((1/(1-Summary!$U$14))/(1-Summary!$X$14)-1)))</f>
        <v/>
      </c>
      <c r="W203" s="43" t="str">
        <f t="shared" si="131"/>
        <v/>
      </c>
      <c r="X203" s="43" t="str">
        <f t="shared" si="132"/>
        <v/>
      </c>
      <c r="Y203" s="43"/>
      <c r="Z203" s="38" t="str">
        <f t="shared" si="133"/>
        <v/>
      </c>
      <c r="AA203" s="38" t="str">
        <f t="shared" si="134"/>
        <v/>
      </c>
      <c r="AB203" s="38" t="e">
        <f t="shared" si="135"/>
        <v>#VALUE!</v>
      </c>
      <c r="AC203" s="38" t="str">
        <f t="shared" si="136"/>
        <v/>
      </c>
      <c r="AD203" s="38" t="str">
        <f t="shared" si="137"/>
        <v/>
      </c>
      <c r="AE203" s="38" t="e">
        <f t="shared" si="138"/>
        <v>#VALUE!</v>
      </c>
      <c r="AF203" s="237" t="e">
        <f>((Summary!$N$14*(AA203*AD203)*(A203-$D$3))+(Summary!$M$14*Z203*AC203*(AJ203-EOMONTH(EDATE(A203,-1),0))))/(AK203*AB203*AE203)</f>
        <v>#VALUE!</v>
      </c>
      <c r="AG203" s="88" t="str">
        <f>IF($A204="","",Summary!$Q$14)</f>
        <v/>
      </c>
      <c r="AH203" s="88" t="str">
        <f>IF($A204="","",IF(Summary!$R$12="Y",(VLOOKUP($A203,Summary!$AD$6:$AF$9,3)+'Escalating commodity'!J216),'Escalating commodity'!J216))</f>
        <v/>
      </c>
      <c r="AI203" s="88" t="str">
        <f t="shared" ref="AI203:AI266" si="154">IF($A204="","",AH203)</f>
        <v/>
      </c>
      <c r="AJ203" s="236" t="e">
        <f t="shared" si="139"/>
        <v>#VALUE!</v>
      </c>
      <c r="AK203" s="58" t="str">
        <f t="shared" si="140"/>
        <v/>
      </c>
      <c r="AL203" s="26" t="str">
        <f>IF($A204="","",_xll.SPRDOPT(P203,X203,AI203,0,AB203,AE203,AF203,AK203,$AJ$2,0))</f>
        <v/>
      </c>
      <c r="AM203" s="89" t="str">
        <f t="shared" si="141"/>
        <v/>
      </c>
      <c r="AN203" s="89" t="str">
        <f t="shared" si="142"/>
        <v/>
      </c>
      <c r="AO203" s="3" t="str">
        <f t="shared" si="143"/>
        <v/>
      </c>
      <c r="AP203" s="33" t="str">
        <f t="shared" si="144"/>
        <v/>
      </c>
      <c r="AQ203" s="58" t="str">
        <f t="shared" si="145"/>
        <v/>
      </c>
      <c r="AR203" s="38">
        <f>'ANR OK vs ML7'!AR203</f>
        <v>0.1</v>
      </c>
      <c r="AS203" s="35" t="str">
        <f t="shared" si="146"/>
        <v/>
      </c>
      <c r="AT203" s="3" t="str">
        <f t="shared" si="147"/>
        <v/>
      </c>
      <c r="AU203" s="3" t="str">
        <f t="shared" si="148"/>
        <v/>
      </c>
      <c r="AW203" s="32" t="str">
        <f t="shared" si="149"/>
        <v/>
      </c>
      <c r="AX203" s="32" t="str">
        <f t="shared" si="150"/>
        <v/>
      </c>
      <c r="AY203" s="32" t="str">
        <f t="shared" si="151"/>
        <v/>
      </c>
      <c r="BA203" s="32" t="str">
        <f>IF($A204="","",F203*Summary!$Q$14)</f>
        <v/>
      </c>
    </row>
    <row r="204" spans="1:53" ht="12" customHeight="1">
      <c r="A204" s="67" t="str">
        <f t="shared" si="152"/>
        <v/>
      </c>
      <c r="B204" s="69" t="str">
        <f t="shared" si="153"/>
        <v/>
      </c>
      <c r="C204" s="71"/>
      <c r="D204" s="69" t="str">
        <f t="shared" si="117"/>
        <v/>
      </c>
      <c r="E204" s="70" t="str">
        <f t="shared" si="118"/>
        <v/>
      </c>
      <c r="F204" s="70" t="str">
        <f t="shared" si="119"/>
        <v/>
      </c>
      <c r="G204" s="63" t="str">
        <f t="shared" si="120"/>
        <v/>
      </c>
      <c r="H204" s="64" t="str">
        <f t="shared" si="121"/>
        <v/>
      </c>
      <c r="I204" s="43"/>
      <c r="J204" s="63" t="str">
        <f t="shared" si="122"/>
        <v/>
      </c>
      <c r="K204" s="64" t="str">
        <f t="shared" si="123"/>
        <v/>
      </c>
      <c r="L204" s="38">
        <v>0</v>
      </c>
      <c r="M204" s="64" t="str">
        <f t="shared" si="124"/>
        <v/>
      </c>
      <c r="N204" s="65"/>
      <c r="O204" s="63" t="str">
        <f t="shared" si="125"/>
        <v/>
      </c>
      <c r="P204" s="63" t="str">
        <f t="shared" si="126"/>
        <v/>
      </c>
      <c r="Q204" s="66"/>
      <c r="R204" s="63" t="str">
        <f t="shared" si="127"/>
        <v/>
      </c>
      <c r="S204" s="64" t="str">
        <f t="shared" si="128"/>
        <v/>
      </c>
      <c r="T204" s="63" t="str">
        <f t="shared" si="129"/>
        <v/>
      </c>
      <c r="U204" s="64" t="str">
        <f t="shared" si="130"/>
        <v/>
      </c>
      <c r="V204" s="207" t="str">
        <f>IF($A205="","",IF(AND(MONTH(A204)&gt;3,MONTH(A204)&lt;11),(T204+R204+G204)*(((1/(1-Summary!$T$14))/(1-Summary!$W$14))-1),(T204+R204+G204)*((1/(1-Summary!$U$14))/(1-Summary!$X$14)-1)))</f>
        <v/>
      </c>
      <c r="W204" s="43" t="str">
        <f t="shared" si="131"/>
        <v/>
      </c>
      <c r="X204" s="43" t="str">
        <f t="shared" si="132"/>
        <v/>
      </c>
      <c r="Y204" s="43"/>
      <c r="Z204" s="38" t="str">
        <f t="shared" si="133"/>
        <v/>
      </c>
      <c r="AA204" s="38" t="str">
        <f t="shared" si="134"/>
        <v/>
      </c>
      <c r="AB204" s="38" t="e">
        <f t="shared" si="135"/>
        <v>#VALUE!</v>
      </c>
      <c r="AC204" s="38" t="str">
        <f t="shared" si="136"/>
        <v/>
      </c>
      <c r="AD204" s="38" t="str">
        <f t="shared" si="137"/>
        <v/>
      </c>
      <c r="AE204" s="38" t="e">
        <f t="shared" si="138"/>
        <v>#VALUE!</v>
      </c>
      <c r="AF204" s="237" t="e">
        <f>((Summary!$N$14*(AA204*AD204)*(A204-$D$3))+(Summary!$M$14*Z204*AC204*(AJ204-EOMONTH(EDATE(A204,-1),0))))/(AK204*AB204*AE204)</f>
        <v>#VALUE!</v>
      </c>
      <c r="AG204" s="88" t="str">
        <f>IF($A205="","",Summary!$Q$14)</f>
        <v/>
      </c>
      <c r="AH204" s="88" t="str">
        <f>IF($A205="","",IF(Summary!$R$12="Y",(VLOOKUP($A204,Summary!$AD$6:$AF$9,3)+'Escalating commodity'!J217),'Escalating commodity'!J217))</f>
        <v/>
      </c>
      <c r="AI204" s="88" t="str">
        <f t="shared" si="154"/>
        <v/>
      </c>
      <c r="AJ204" s="236" t="e">
        <f t="shared" si="139"/>
        <v>#VALUE!</v>
      </c>
      <c r="AK204" s="58" t="str">
        <f t="shared" si="140"/>
        <v/>
      </c>
      <c r="AL204" s="26" t="str">
        <f>IF($A205="","",_xll.SPRDOPT(P204,X204,AI204,0,AB204,AE204,AF204,AK204,$AJ$2,0))</f>
        <v/>
      </c>
      <c r="AM204" s="89" t="str">
        <f t="shared" si="141"/>
        <v/>
      </c>
      <c r="AN204" s="89" t="str">
        <f t="shared" si="142"/>
        <v/>
      </c>
      <c r="AO204" s="3" t="str">
        <f t="shared" si="143"/>
        <v/>
      </c>
      <c r="AP204" s="33" t="str">
        <f t="shared" si="144"/>
        <v/>
      </c>
      <c r="AQ204" s="58" t="str">
        <f t="shared" si="145"/>
        <v/>
      </c>
      <c r="AR204" s="38">
        <f>'ANR OK vs ML7'!AR204</f>
        <v>0.1</v>
      </c>
      <c r="AS204" s="35" t="str">
        <f t="shared" si="146"/>
        <v/>
      </c>
      <c r="AT204" s="3" t="str">
        <f t="shared" si="147"/>
        <v/>
      </c>
      <c r="AU204" s="3" t="str">
        <f t="shared" si="148"/>
        <v/>
      </c>
      <c r="AW204" s="32" t="str">
        <f t="shared" si="149"/>
        <v/>
      </c>
      <c r="AX204" s="32" t="str">
        <f t="shared" si="150"/>
        <v/>
      </c>
      <c r="AY204" s="32" t="str">
        <f t="shared" si="151"/>
        <v/>
      </c>
      <c r="BA204" s="32" t="str">
        <f>IF($A205="","",F204*Summary!$Q$14)</f>
        <v/>
      </c>
    </row>
    <row r="205" spans="1:53" ht="12" customHeight="1">
      <c r="A205" s="67" t="str">
        <f t="shared" si="152"/>
        <v/>
      </c>
      <c r="B205" s="69" t="str">
        <f t="shared" si="153"/>
        <v/>
      </c>
      <c r="C205" s="71"/>
      <c r="D205" s="69" t="str">
        <f t="shared" si="117"/>
        <v/>
      </c>
      <c r="E205" s="70" t="str">
        <f t="shared" si="118"/>
        <v/>
      </c>
      <c r="F205" s="70" t="str">
        <f t="shared" si="119"/>
        <v/>
      </c>
      <c r="G205" s="63" t="str">
        <f t="shared" si="120"/>
        <v/>
      </c>
      <c r="H205" s="64" t="str">
        <f t="shared" si="121"/>
        <v/>
      </c>
      <c r="I205" s="43"/>
      <c r="J205" s="63" t="str">
        <f t="shared" si="122"/>
        <v/>
      </c>
      <c r="K205" s="64" t="str">
        <f t="shared" si="123"/>
        <v/>
      </c>
      <c r="L205" s="38">
        <v>0</v>
      </c>
      <c r="M205" s="64" t="str">
        <f t="shared" si="124"/>
        <v/>
      </c>
      <c r="N205" s="65"/>
      <c r="O205" s="63" t="str">
        <f t="shared" si="125"/>
        <v/>
      </c>
      <c r="P205" s="63" t="str">
        <f t="shared" si="126"/>
        <v/>
      </c>
      <c r="Q205" s="66"/>
      <c r="R205" s="63" t="str">
        <f t="shared" si="127"/>
        <v/>
      </c>
      <c r="S205" s="64" t="str">
        <f t="shared" si="128"/>
        <v/>
      </c>
      <c r="T205" s="63" t="str">
        <f t="shared" si="129"/>
        <v/>
      </c>
      <c r="U205" s="64" t="str">
        <f t="shared" si="130"/>
        <v/>
      </c>
      <c r="V205" s="207" t="str">
        <f>IF($A206="","",IF(AND(MONTH(A205)&gt;3,MONTH(A205)&lt;11),(T205+R205+G205)*(((1/(1-Summary!$T$14))/(1-Summary!$W$14))-1),(T205+R205+G205)*((1/(1-Summary!$U$14))/(1-Summary!$X$14)-1)))</f>
        <v/>
      </c>
      <c r="W205" s="43" t="str">
        <f t="shared" si="131"/>
        <v/>
      </c>
      <c r="X205" s="43" t="str">
        <f t="shared" si="132"/>
        <v/>
      </c>
      <c r="Y205" s="43"/>
      <c r="Z205" s="38" t="str">
        <f t="shared" si="133"/>
        <v/>
      </c>
      <c r="AA205" s="38" t="str">
        <f t="shared" si="134"/>
        <v/>
      </c>
      <c r="AB205" s="38" t="e">
        <f t="shared" si="135"/>
        <v>#VALUE!</v>
      </c>
      <c r="AC205" s="38" t="str">
        <f t="shared" si="136"/>
        <v/>
      </c>
      <c r="AD205" s="38" t="str">
        <f t="shared" si="137"/>
        <v/>
      </c>
      <c r="AE205" s="38" t="e">
        <f t="shared" si="138"/>
        <v>#VALUE!</v>
      </c>
      <c r="AF205" s="237" t="e">
        <f>((Summary!$N$14*(AA205*AD205)*(A205-$D$3))+(Summary!$M$14*Z205*AC205*(AJ205-EOMONTH(EDATE(A205,-1),0))))/(AK205*AB205*AE205)</f>
        <v>#VALUE!</v>
      </c>
      <c r="AG205" s="88" t="str">
        <f>IF($A206="","",Summary!$Q$14)</f>
        <v/>
      </c>
      <c r="AH205" s="88" t="str">
        <f>IF($A206="","",IF(Summary!$R$12="Y",(VLOOKUP($A205,Summary!$AD$6:$AF$9,3)+'Escalating commodity'!J218),'Escalating commodity'!J218))</f>
        <v/>
      </c>
      <c r="AI205" s="88" t="str">
        <f t="shared" si="154"/>
        <v/>
      </c>
      <c r="AJ205" s="236" t="e">
        <f t="shared" si="139"/>
        <v>#VALUE!</v>
      </c>
      <c r="AK205" s="58" t="str">
        <f t="shared" si="140"/>
        <v/>
      </c>
      <c r="AL205" s="26" t="str">
        <f>IF($A206="","",_xll.SPRDOPT(P205,X205,AI205,0,AB205,AE205,AF205,AK205,$AJ$2,0))</f>
        <v/>
      </c>
      <c r="AM205" s="89" t="str">
        <f t="shared" si="141"/>
        <v/>
      </c>
      <c r="AN205" s="89" t="str">
        <f t="shared" si="142"/>
        <v/>
      </c>
      <c r="AO205" s="3" t="str">
        <f t="shared" si="143"/>
        <v/>
      </c>
      <c r="AP205" s="33" t="str">
        <f t="shared" si="144"/>
        <v/>
      </c>
      <c r="AQ205" s="58" t="str">
        <f t="shared" si="145"/>
        <v/>
      </c>
      <c r="AR205" s="38">
        <f>'ANR OK vs ML7'!AR205</f>
        <v>0.1</v>
      </c>
      <c r="AS205" s="35" t="str">
        <f t="shared" si="146"/>
        <v/>
      </c>
      <c r="AT205" s="3" t="str">
        <f t="shared" si="147"/>
        <v/>
      </c>
      <c r="AU205" s="3" t="str">
        <f t="shared" si="148"/>
        <v/>
      </c>
      <c r="AW205" s="32" t="str">
        <f t="shared" si="149"/>
        <v/>
      </c>
      <c r="AX205" s="32" t="str">
        <f t="shared" si="150"/>
        <v/>
      </c>
      <c r="AY205" s="32" t="str">
        <f t="shared" si="151"/>
        <v/>
      </c>
      <c r="BA205" s="32" t="str">
        <f>IF($A206="","",F205*Summary!$Q$14)</f>
        <v/>
      </c>
    </row>
    <row r="206" spans="1:53" ht="12" customHeight="1">
      <c r="A206" s="67" t="str">
        <f t="shared" si="152"/>
        <v/>
      </c>
      <c r="B206" s="69" t="str">
        <f t="shared" si="153"/>
        <v/>
      </c>
      <c r="C206" s="71"/>
      <c r="D206" s="69" t="str">
        <f t="shared" si="117"/>
        <v/>
      </c>
      <c r="E206" s="70" t="str">
        <f t="shared" si="118"/>
        <v/>
      </c>
      <c r="F206" s="70" t="str">
        <f t="shared" si="119"/>
        <v/>
      </c>
      <c r="G206" s="63" t="str">
        <f t="shared" si="120"/>
        <v/>
      </c>
      <c r="H206" s="64" t="str">
        <f t="shared" si="121"/>
        <v/>
      </c>
      <c r="I206" s="43"/>
      <c r="J206" s="63" t="str">
        <f t="shared" si="122"/>
        <v/>
      </c>
      <c r="K206" s="64" t="str">
        <f t="shared" si="123"/>
        <v/>
      </c>
      <c r="L206" s="38">
        <v>0</v>
      </c>
      <c r="M206" s="64" t="str">
        <f t="shared" si="124"/>
        <v/>
      </c>
      <c r="N206" s="65"/>
      <c r="O206" s="63" t="str">
        <f t="shared" si="125"/>
        <v/>
      </c>
      <c r="P206" s="63" t="str">
        <f t="shared" si="126"/>
        <v/>
      </c>
      <c r="Q206" s="66"/>
      <c r="R206" s="63" t="str">
        <f t="shared" si="127"/>
        <v/>
      </c>
      <c r="S206" s="64" t="str">
        <f t="shared" si="128"/>
        <v/>
      </c>
      <c r="T206" s="63" t="str">
        <f t="shared" si="129"/>
        <v/>
      </c>
      <c r="U206" s="64" t="str">
        <f t="shared" si="130"/>
        <v/>
      </c>
      <c r="V206" s="207" t="str">
        <f>IF($A207="","",IF(AND(MONTH(A206)&gt;3,MONTH(A206)&lt;11),(T206+R206+G206)*(((1/(1-Summary!$T$14))/(1-Summary!$W$14))-1),(T206+R206+G206)*((1/(1-Summary!$U$14))/(1-Summary!$X$14)-1)))</f>
        <v/>
      </c>
      <c r="W206" s="43" t="str">
        <f t="shared" si="131"/>
        <v/>
      </c>
      <c r="X206" s="43" t="str">
        <f t="shared" si="132"/>
        <v/>
      </c>
      <c r="Y206" s="43"/>
      <c r="Z206" s="38" t="str">
        <f t="shared" si="133"/>
        <v/>
      </c>
      <c r="AA206" s="38" t="str">
        <f t="shared" si="134"/>
        <v/>
      </c>
      <c r="AB206" s="38" t="e">
        <f t="shared" si="135"/>
        <v>#VALUE!</v>
      </c>
      <c r="AC206" s="38" t="str">
        <f t="shared" si="136"/>
        <v/>
      </c>
      <c r="AD206" s="38" t="str">
        <f t="shared" si="137"/>
        <v/>
      </c>
      <c r="AE206" s="38" t="e">
        <f t="shared" si="138"/>
        <v>#VALUE!</v>
      </c>
      <c r="AF206" s="237" t="e">
        <f>((Summary!$N$14*(AA206*AD206)*(A206-$D$3))+(Summary!$M$14*Z206*AC206*(AJ206-EOMONTH(EDATE(A206,-1),0))))/(AK206*AB206*AE206)</f>
        <v>#VALUE!</v>
      </c>
      <c r="AG206" s="88" t="str">
        <f>IF($A207="","",Summary!$Q$14)</f>
        <v/>
      </c>
      <c r="AH206" s="88" t="str">
        <f>IF($A207="","",IF(Summary!$R$12="Y",(VLOOKUP($A206,Summary!$AD$6:$AF$9,3)+'Escalating commodity'!J219),'Escalating commodity'!J219))</f>
        <v/>
      </c>
      <c r="AI206" s="88" t="str">
        <f t="shared" si="154"/>
        <v/>
      </c>
      <c r="AJ206" s="236" t="e">
        <f t="shared" si="139"/>
        <v>#VALUE!</v>
      </c>
      <c r="AK206" s="58" t="str">
        <f t="shared" si="140"/>
        <v/>
      </c>
      <c r="AL206" s="26" t="str">
        <f>IF($A207="","",_xll.SPRDOPT(P206,X206,AI206,0,AB206,AE206,AF206,AK206,$AJ$2,0))</f>
        <v/>
      </c>
      <c r="AM206" s="89" t="str">
        <f t="shared" si="141"/>
        <v/>
      </c>
      <c r="AN206" s="89" t="str">
        <f t="shared" si="142"/>
        <v/>
      </c>
      <c r="AO206" s="3" t="str">
        <f t="shared" si="143"/>
        <v/>
      </c>
      <c r="AP206" s="33" t="str">
        <f t="shared" si="144"/>
        <v/>
      </c>
      <c r="AQ206" s="58" t="str">
        <f t="shared" si="145"/>
        <v/>
      </c>
      <c r="AR206" s="38">
        <f>'ANR OK vs ML7'!AR206</f>
        <v>0.1</v>
      </c>
      <c r="AS206" s="35" t="str">
        <f t="shared" si="146"/>
        <v/>
      </c>
      <c r="AT206" s="3" t="str">
        <f t="shared" si="147"/>
        <v/>
      </c>
      <c r="AU206" s="3" t="str">
        <f t="shared" si="148"/>
        <v/>
      </c>
      <c r="AW206" s="32" t="str">
        <f t="shared" si="149"/>
        <v/>
      </c>
      <c r="AX206" s="32" t="str">
        <f t="shared" si="150"/>
        <v/>
      </c>
      <c r="AY206" s="32" t="str">
        <f t="shared" si="151"/>
        <v/>
      </c>
      <c r="BA206" s="32" t="str">
        <f>IF($A207="","",F206*Summary!$Q$14)</f>
        <v/>
      </c>
    </row>
    <row r="207" spans="1:53" ht="12" customHeight="1">
      <c r="A207" s="67" t="str">
        <f t="shared" si="152"/>
        <v/>
      </c>
      <c r="B207" s="69" t="str">
        <f t="shared" si="153"/>
        <v/>
      </c>
      <c r="C207" s="71"/>
      <c r="D207" s="69" t="str">
        <f t="shared" si="117"/>
        <v/>
      </c>
      <c r="E207" s="70" t="str">
        <f t="shared" si="118"/>
        <v/>
      </c>
      <c r="F207" s="70" t="str">
        <f t="shared" si="119"/>
        <v/>
      </c>
      <c r="G207" s="63" t="str">
        <f t="shared" si="120"/>
        <v/>
      </c>
      <c r="H207" s="64" t="str">
        <f t="shared" si="121"/>
        <v/>
      </c>
      <c r="I207" s="43"/>
      <c r="J207" s="63" t="str">
        <f t="shared" si="122"/>
        <v/>
      </c>
      <c r="K207" s="64" t="str">
        <f t="shared" si="123"/>
        <v/>
      </c>
      <c r="L207" s="38">
        <v>0</v>
      </c>
      <c r="M207" s="64" t="str">
        <f t="shared" si="124"/>
        <v/>
      </c>
      <c r="N207" s="65"/>
      <c r="O207" s="63" t="str">
        <f t="shared" si="125"/>
        <v/>
      </c>
      <c r="P207" s="63" t="str">
        <f t="shared" si="126"/>
        <v/>
      </c>
      <c r="Q207" s="66"/>
      <c r="R207" s="63" t="str">
        <f t="shared" si="127"/>
        <v/>
      </c>
      <c r="S207" s="64" t="str">
        <f t="shared" si="128"/>
        <v/>
      </c>
      <c r="T207" s="63" t="str">
        <f t="shared" si="129"/>
        <v/>
      </c>
      <c r="U207" s="64" t="str">
        <f t="shared" si="130"/>
        <v/>
      </c>
      <c r="V207" s="207" t="str">
        <f>IF($A208="","",IF(AND(MONTH(A207)&gt;3,MONTH(A207)&lt;11),(T207+R207+G207)*(((1/(1-Summary!$T$14))/(1-Summary!$W$14))-1),(T207+R207+G207)*((1/(1-Summary!$U$14))/(1-Summary!$X$14)-1)))</f>
        <v/>
      </c>
      <c r="W207" s="43" t="str">
        <f t="shared" si="131"/>
        <v/>
      </c>
      <c r="X207" s="43" t="str">
        <f t="shared" si="132"/>
        <v/>
      </c>
      <c r="Y207" s="43"/>
      <c r="Z207" s="38" t="str">
        <f t="shared" si="133"/>
        <v/>
      </c>
      <c r="AA207" s="38" t="str">
        <f t="shared" si="134"/>
        <v/>
      </c>
      <c r="AB207" s="38" t="e">
        <f t="shared" si="135"/>
        <v>#VALUE!</v>
      </c>
      <c r="AC207" s="38" t="str">
        <f t="shared" si="136"/>
        <v/>
      </c>
      <c r="AD207" s="38" t="str">
        <f t="shared" si="137"/>
        <v/>
      </c>
      <c r="AE207" s="38" t="e">
        <f t="shared" si="138"/>
        <v>#VALUE!</v>
      </c>
      <c r="AF207" s="237" t="e">
        <f>((Summary!$N$14*(AA207*AD207)*(A207-$D$3))+(Summary!$M$14*Z207*AC207*(AJ207-EOMONTH(EDATE(A207,-1),0))))/(AK207*AB207*AE207)</f>
        <v>#VALUE!</v>
      </c>
      <c r="AG207" s="88" t="str">
        <f>IF($A208="","",Summary!$Q$14)</f>
        <v/>
      </c>
      <c r="AH207" s="88" t="str">
        <f>IF($A208="","",IF(Summary!$R$12="Y",(VLOOKUP($A207,Summary!$AD$6:$AF$9,3)+'Escalating commodity'!J220),'Escalating commodity'!J220))</f>
        <v/>
      </c>
      <c r="AI207" s="88" t="str">
        <f t="shared" si="154"/>
        <v/>
      </c>
      <c r="AJ207" s="236" t="e">
        <f t="shared" si="139"/>
        <v>#VALUE!</v>
      </c>
      <c r="AK207" s="58" t="str">
        <f t="shared" si="140"/>
        <v/>
      </c>
      <c r="AL207" s="26" t="str">
        <f>IF($A208="","",_xll.SPRDOPT(P207,X207,AI207,0,AB207,AE207,AF207,AK207,$AJ$2,0))</f>
        <v/>
      </c>
      <c r="AM207" s="89" t="str">
        <f t="shared" si="141"/>
        <v/>
      </c>
      <c r="AN207" s="89" t="str">
        <f t="shared" si="142"/>
        <v/>
      </c>
      <c r="AO207" s="3" t="str">
        <f t="shared" si="143"/>
        <v/>
      </c>
      <c r="AP207" s="33" t="str">
        <f t="shared" si="144"/>
        <v/>
      </c>
      <c r="AQ207" s="58" t="str">
        <f t="shared" si="145"/>
        <v/>
      </c>
      <c r="AR207" s="38">
        <f>'ANR OK vs ML7'!AR207</f>
        <v>0.1</v>
      </c>
      <c r="AS207" s="35" t="str">
        <f t="shared" si="146"/>
        <v/>
      </c>
      <c r="AT207" s="3" t="str">
        <f t="shared" si="147"/>
        <v/>
      </c>
      <c r="AU207" s="3" t="str">
        <f t="shared" si="148"/>
        <v/>
      </c>
      <c r="AW207" s="32" t="str">
        <f t="shared" si="149"/>
        <v/>
      </c>
      <c r="AX207" s="32" t="str">
        <f t="shared" si="150"/>
        <v/>
      </c>
      <c r="AY207" s="32" t="str">
        <f t="shared" si="151"/>
        <v/>
      </c>
      <c r="BA207" s="32" t="str">
        <f>IF($A208="","",F207*Summary!$Q$14)</f>
        <v/>
      </c>
    </row>
    <row r="208" spans="1:53" ht="12" customHeight="1">
      <c r="A208" s="67" t="str">
        <f t="shared" si="152"/>
        <v/>
      </c>
      <c r="B208" s="69" t="str">
        <f t="shared" si="153"/>
        <v/>
      </c>
      <c r="C208" s="71"/>
      <c r="D208" s="69" t="str">
        <f t="shared" si="117"/>
        <v/>
      </c>
      <c r="E208" s="70" t="str">
        <f t="shared" si="118"/>
        <v/>
      </c>
      <c r="F208" s="70" t="str">
        <f t="shared" si="119"/>
        <v/>
      </c>
      <c r="G208" s="63" t="str">
        <f t="shared" si="120"/>
        <v/>
      </c>
      <c r="H208" s="64" t="str">
        <f t="shared" si="121"/>
        <v/>
      </c>
      <c r="I208" s="43"/>
      <c r="J208" s="63" t="str">
        <f t="shared" si="122"/>
        <v/>
      </c>
      <c r="K208" s="64" t="str">
        <f t="shared" si="123"/>
        <v/>
      </c>
      <c r="L208" s="38">
        <v>0</v>
      </c>
      <c r="M208" s="64" t="str">
        <f t="shared" si="124"/>
        <v/>
      </c>
      <c r="N208" s="65"/>
      <c r="O208" s="63" t="str">
        <f t="shared" si="125"/>
        <v/>
      </c>
      <c r="P208" s="63" t="str">
        <f t="shared" si="126"/>
        <v/>
      </c>
      <c r="Q208" s="66"/>
      <c r="R208" s="63" t="str">
        <f t="shared" si="127"/>
        <v/>
      </c>
      <c r="S208" s="64" t="str">
        <f t="shared" si="128"/>
        <v/>
      </c>
      <c r="T208" s="63" t="str">
        <f t="shared" si="129"/>
        <v/>
      </c>
      <c r="U208" s="64" t="str">
        <f t="shared" si="130"/>
        <v/>
      </c>
      <c r="V208" s="207" t="str">
        <f>IF($A209="","",IF(AND(MONTH(A208)&gt;3,MONTH(A208)&lt;11),(T208+R208+G208)*(((1/(1-Summary!$T$14))/(1-Summary!$W$14))-1),(T208+R208+G208)*((1/(1-Summary!$U$14))/(1-Summary!$X$14)-1)))</f>
        <v/>
      </c>
      <c r="W208" s="43" t="str">
        <f t="shared" si="131"/>
        <v/>
      </c>
      <c r="X208" s="43" t="str">
        <f t="shared" si="132"/>
        <v/>
      </c>
      <c r="Y208" s="43"/>
      <c r="Z208" s="38" t="str">
        <f t="shared" si="133"/>
        <v/>
      </c>
      <c r="AA208" s="38" t="str">
        <f t="shared" si="134"/>
        <v/>
      </c>
      <c r="AB208" s="38" t="e">
        <f t="shared" si="135"/>
        <v>#VALUE!</v>
      </c>
      <c r="AC208" s="38" t="str">
        <f t="shared" si="136"/>
        <v/>
      </c>
      <c r="AD208" s="38" t="str">
        <f t="shared" si="137"/>
        <v/>
      </c>
      <c r="AE208" s="38" t="e">
        <f t="shared" si="138"/>
        <v>#VALUE!</v>
      </c>
      <c r="AF208" s="237" t="e">
        <f>((Summary!$N$14*(AA208*AD208)*(A208-$D$3))+(Summary!$M$14*Z208*AC208*(AJ208-EOMONTH(EDATE(A208,-1),0))))/(AK208*AB208*AE208)</f>
        <v>#VALUE!</v>
      </c>
      <c r="AG208" s="88" t="str">
        <f>IF($A209="","",Summary!$Q$14)</f>
        <v/>
      </c>
      <c r="AH208" s="88" t="str">
        <f>IF($A209="","",IF(Summary!$R$12="Y",(VLOOKUP($A208,Summary!$AD$6:$AF$9,3)+'Escalating commodity'!J221),'Escalating commodity'!J221))</f>
        <v/>
      </c>
      <c r="AI208" s="88" t="str">
        <f t="shared" si="154"/>
        <v/>
      </c>
      <c r="AJ208" s="236" t="e">
        <f t="shared" si="139"/>
        <v>#VALUE!</v>
      </c>
      <c r="AK208" s="58" t="str">
        <f t="shared" si="140"/>
        <v/>
      </c>
      <c r="AL208" s="26" t="str">
        <f>IF($A209="","",_xll.SPRDOPT(P208,X208,AI208,0,AB208,AE208,AF208,AK208,$AJ$2,0))</f>
        <v/>
      </c>
      <c r="AM208" s="89" t="str">
        <f t="shared" si="141"/>
        <v/>
      </c>
      <c r="AN208" s="89" t="str">
        <f t="shared" si="142"/>
        <v/>
      </c>
      <c r="AO208" s="3" t="str">
        <f t="shared" si="143"/>
        <v/>
      </c>
      <c r="AP208" s="33" t="str">
        <f t="shared" si="144"/>
        <v/>
      </c>
      <c r="AQ208" s="58" t="str">
        <f t="shared" si="145"/>
        <v/>
      </c>
      <c r="AR208" s="38">
        <f>'ANR OK vs ML7'!AR208</f>
        <v>0.1</v>
      </c>
      <c r="AS208" s="35" t="str">
        <f t="shared" si="146"/>
        <v/>
      </c>
      <c r="AT208" s="3" t="str">
        <f t="shared" si="147"/>
        <v/>
      </c>
      <c r="AU208" s="3" t="str">
        <f t="shared" si="148"/>
        <v/>
      </c>
      <c r="AW208" s="32" t="str">
        <f t="shared" si="149"/>
        <v/>
      </c>
      <c r="AX208" s="32" t="str">
        <f t="shared" si="150"/>
        <v/>
      </c>
      <c r="AY208" s="32" t="str">
        <f t="shared" si="151"/>
        <v/>
      </c>
      <c r="BA208" s="32" t="str">
        <f>IF($A209="","",F208*Summary!$Q$14)</f>
        <v/>
      </c>
    </row>
    <row r="209" spans="1:53" ht="12" customHeight="1">
      <c r="A209" s="67" t="str">
        <f t="shared" si="152"/>
        <v/>
      </c>
      <c r="B209" s="69" t="str">
        <f t="shared" si="153"/>
        <v/>
      </c>
      <c r="C209" s="71"/>
      <c r="D209" s="69" t="str">
        <f t="shared" si="117"/>
        <v/>
      </c>
      <c r="E209" s="70" t="str">
        <f t="shared" si="118"/>
        <v/>
      </c>
      <c r="F209" s="70" t="str">
        <f t="shared" si="119"/>
        <v/>
      </c>
      <c r="G209" s="63" t="str">
        <f t="shared" si="120"/>
        <v/>
      </c>
      <c r="H209" s="64" t="str">
        <f t="shared" si="121"/>
        <v/>
      </c>
      <c r="I209" s="43"/>
      <c r="J209" s="63" t="str">
        <f t="shared" si="122"/>
        <v/>
      </c>
      <c r="K209" s="64" t="str">
        <f t="shared" si="123"/>
        <v/>
      </c>
      <c r="L209" s="38">
        <v>0</v>
      </c>
      <c r="M209" s="64" t="str">
        <f t="shared" si="124"/>
        <v/>
      </c>
      <c r="N209" s="65"/>
      <c r="O209" s="63" t="str">
        <f t="shared" si="125"/>
        <v/>
      </c>
      <c r="P209" s="63" t="str">
        <f t="shared" si="126"/>
        <v/>
      </c>
      <c r="Q209" s="66"/>
      <c r="R209" s="63" t="str">
        <f t="shared" si="127"/>
        <v/>
      </c>
      <c r="S209" s="64" t="str">
        <f t="shared" si="128"/>
        <v/>
      </c>
      <c r="T209" s="63" t="str">
        <f t="shared" si="129"/>
        <v/>
      </c>
      <c r="U209" s="64" t="str">
        <f t="shared" si="130"/>
        <v/>
      </c>
      <c r="V209" s="207" t="str">
        <f>IF($A210="","",IF(AND(MONTH(A209)&gt;3,MONTH(A209)&lt;11),(T209+R209+G209)*(((1/(1-Summary!$T$14))/(1-Summary!$W$14))-1),(T209+R209+G209)*((1/(1-Summary!$U$14))/(1-Summary!$X$14)-1)))</f>
        <v/>
      </c>
      <c r="W209" s="43" t="str">
        <f t="shared" si="131"/>
        <v/>
      </c>
      <c r="X209" s="43" t="str">
        <f t="shared" si="132"/>
        <v/>
      </c>
      <c r="Y209" s="43"/>
      <c r="Z209" s="38" t="str">
        <f t="shared" si="133"/>
        <v/>
      </c>
      <c r="AA209" s="38" t="str">
        <f t="shared" si="134"/>
        <v/>
      </c>
      <c r="AB209" s="38" t="e">
        <f t="shared" si="135"/>
        <v>#VALUE!</v>
      </c>
      <c r="AC209" s="38" t="str">
        <f t="shared" si="136"/>
        <v/>
      </c>
      <c r="AD209" s="38" t="str">
        <f t="shared" si="137"/>
        <v/>
      </c>
      <c r="AE209" s="38" t="e">
        <f t="shared" si="138"/>
        <v>#VALUE!</v>
      </c>
      <c r="AF209" s="237" t="e">
        <f>((Summary!$N$14*(AA209*AD209)*(A209-$D$3))+(Summary!$M$14*Z209*AC209*(AJ209-EOMONTH(EDATE(A209,-1),0))))/(AK209*AB209*AE209)</f>
        <v>#VALUE!</v>
      </c>
      <c r="AG209" s="88" t="str">
        <f>IF($A210="","",Summary!$Q$14)</f>
        <v/>
      </c>
      <c r="AH209" s="88" t="str">
        <f>IF($A210="","",IF(Summary!$R$12="Y",(VLOOKUP($A209,Summary!$AD$6:$AF$9,3)+'Escalating commodity'!J222),'Escalating commodity'!J222))</f>
        <v/>
      </c>
      <c r="AI209" s="88" t="str">
        <f t="shared" si="154"/>
        <v/>
      </c>
      <c r="AJ209" s="236" t="e">
        <f t="shared" si="139"/>
        <v>#VALUE!</v>
      </c>
      <c r="AK209" s="58" t="str">
        <f t="shared" si="140"/>
        <v/>
      </c>
      <c r="AL209" s="26" t="str">
        <f>IF($A210="","",_xll.SPRDOPT(P209,X209,AI209,0,AB209,AE209,AF209,AK209,$AJ$2,0))</f>
        <v/>
      </c>
      <c r="AM209" s="89" t="str">
        <f t="shared" si="141"/>
        <v/>
      </c>
      <c r="AN209" s="89" t="str">
        <f t="shared" si="142"/>
        <v/>
      </c>
      <c r="AO209" s="3" t="str">
        <f t="shared" si="143"/>
        <v/>
      </c>
      <c r="AP209" s="33" t="str">
        <f t="shared" si="144"/>
        <v/>
      </c>
      <c r="AQ209" s="58" t="str">
        <f t="shared" si="145"/>
        <v/>
      </c>
      <c r="AR209" s="38">
        <f>'ANR OK vs ML7'!AR209</f>
        <v>0.1</v>
      </c>
      <c r="AS209" s="35" t="str">
        <f t="shared" si="146"/>
        <v/>
      </c>
      <c r="AT209" s="3" t="str">
        <f t="shared" si="147"/>
        <v/>
      </c>
      <c r="AU209" s="3" t="str">
        <f t="shared" si="148"/>
        <v/>
      </c>
      <c r="AW209" s="32" t="str">
        <f t="shared" si="149"/>
        <v/>
      </c>
      <c r="AX209" s="32" t="str">
        <f t="shared" si="150"/>
        <v/>
      </c>
      <c r="AY209" s="32" t="str">
        <f t="shared" si="151"/>
        <v/>
      </c>
      <c r="BA209" s="32" t="str">
        <f>IF($A210="","",F209*Summary!$Q$14)</f>
        <v/>
      </c>
    </row>
    <row r="210" spans="1:53" ht="12" customHeight="1">
      <c r="A210" s="67" t="str">
        <f t="shared" si="152"/>
        <v/>
      </c>
      <c r="B210" s="69" t="str">
        <f t="shared" si="153"/>
        <v/>
      </c>
      <c r="C210" s="71"/>
      <c r="D210" s="69" t="str">
        <f t="shared" si="117"/>
        <v/>
      </c>
      <c r="E210" s="70" t="str">
        <f t="shared" si="118"/>
        <v/>
      </c>
      <c r="F210" s="70" t="str">
        <f t="shared" si="119"/>
        <v/>
      </c>
      <c r="G210" s="63" t="str">
        <f t="shared" si="120"/>
        <v/>
      </c>
      <c r="H210" s="64" t="str">
        <f t="shared" si="121"/>
        <v/>
      </c>
      <c r="I210" s="43"/>
      <c r="J210" s="63" t="str">
        <f t="shared" si="122"/>
        <v/>
      </c>
      <c r="K210" s="64" t="str">
        <f t="shared" si="123"/>
        <v/>
      </c>
      <c r="L210" s="38">
        <v>0</v>
      </c>
      <c r="M210" s="64" t="str">
        <f t="shared" si="124"/>
        <v/>
      </c>
      <c r="N210" s="65"/>
      <c r="O210" s="63" t="str">
        <f t="shared" si="125"/>
        <v/>
      </c>
      <c r="P210" s="63" t="str">
        <f t="shared" si="126"/>
        <v/>
      </c>
      <c r="Q210" s="66"/>
      <c r="R210" s="63" t="str">
        <f t="shared" si="127"/>
        <v/>
      </c>
      <c r="S210" s="64" t="str">
        <f t="shared" si="128"/>
        <v/>
      </c>
      <c r="T210" s="63" t="str">
        <f t="shared" si="129"/>
        <v/>
      </c>
      <c r="U210" s="64" t="str">
        <f t="shared" si="130"/>
        <v/>
      </c>
      <c r="V210" s="207" t="str">
        <f>IF($A211="","",IF(AND(MONTH(A210)&gt;3,MONTH(A210)&lt;11),(T210+R210+G210)*(((1/(1-Summary!$T$14))/(1-Summary!$W$14))-1),(T210+R210+G210)*((1/(1-Summary!$U$14))/(1-Summary!$X$14)-1)))</f>
        <v/>
      </c>
      <c r="W210" s="43" t="str">
        <f t="shared" si="131"/>
        <v/>
      </c>
      <c r="X210" s="43" t="str">
        <f t="shared" si="132"/>
        <v/>
      </c>
      <c r="Y210" s="43"/>
      <c r="Z210" s="38" t="str">
        <f t="shared" si="133"/>
        <v/>
      </c>
      <c r="AA210" s="38" t="str">
        <f t="shared" si="134"/>
        <v/>
      </c>
      <c r="AB210" s="38" t="e">
        <f t="shared" si="135"/>
        <v>#VALUE!</v>
      </c>
      <c r="AC210" s="38" t="str">
        <f t="shared" si="136"/>
        <v/>
      </c>
      <c r="AD210" s="38" t="str">
        <f t="shared" si="137"/>
        <v/>
      </c>
      <c r="AE210" s="38" t="e">
        <f t="shared" si="138"/>
        <v>#VALUE!</v>
      </c>
      <c r="AF210" s="237" t="e">
        <f>((Summary!$N$14*(AA210*AD210)*(A210-$D$3))+(Summary!$M$14*Z210*AC210*(AJ210-EOMONTH(EDATE(A210,-1),0))))/(AK210*AB210*AE210)</f>
        <v>#VALUE!</v>
      </c>
      <c r="AG210" s="88" t="str">
        <f>IF($A211="","",Summary!$Q$14)</f>
        <v/>
      </c>
      <c r="AH210" s="88" t="str">
        <f>IF($A211="","",IF(Summary!$R$12="Y",(VLOOKUP($A210,Summary!$AD$6:$AF$9,3)+'Escalating commodity'!J223),'Escalating commodity'!J223))</f>
        <v/>
      </c>
      <c r="AI210" s="88" t="str">
        <f t="shared" si="154"/>
        <v/>
      </c>
      <c r="AJ210" s="236" t="e">
        <f t="shared" si="139"/>
        <v>#VALUE!</v>
      </c>
      <c r="AK210" s="58" t="str">
        <f t="shared" si="140"/>
        <v/>
      </c>
      <c r="AL210" s="26" t="str">
        <f>IF($A211="","",_xll.SPRDOPT(P210,X210,AI210,0,AB210,AE210,AF210,AK210,$AJ$2,0))</f>
        <v/>
      </c>
      <c r="AM210" s="89" t="str">
        <f t="shared" si="141"/>
        <v/>
      </c>
      <c r="AN210" s="89" t="str">
        <f t="shared" si="142"/>
        <v/>
      </c>
      <c r="AO210" s="3" t="str">
        <f t="shared" si="143"/>
        <v/>
      </c>
      <c r="AP210" s="33" t="str">
        <f t="shared" si="144"/>
        <v/>
      </c>
      <c r="AQ210" s="58" t="str">
        <f t="shared" si="145"/>
        <v/>
      </c>
      <c r="AR210" s="38">
        <f>'ANR OK vs ML7'!AR210</f>
        <v>0.1</v>
      </c>
      <c r="AS210" s="35" t="str">
        <f t="shared" si="146"/>
        <v/>
      </c>
      <c r="AT210" s="3" t="str">
        <f t="shared" si="147"/>
        <v/>
      </c>
      <c r="AU210" s="3" t="str">
        <f t="shared" si="148"/>
        <v/>
      </c>
      <c r="AW210" s="32" t="str">
        <f t="shared" si="149"/>
        <v/>
      </c>
      <c r="AX210" s="32" t="str">
        <f t="shared" si="150"/>
        <v/>
      </c>
      <c r="AY210" s="32" t="str">
        <f t="shared" si="151"/>
        <v/>
      </c>
      <c r="BA210" s="32" t="str">
        <f>IF($A211="","",F210*Summary!$Q$14)</f>
        <v/>
      </c>
    </row>
    <row r="211" spans="1:53" ht="12" customHeight="1">
      <c r="A211" s="67" t="str">
        <f t="shared" si="152"/>
        <v/>
      </c>
      <c r="B211" s="69" t="str">
        <f t="shared" si="153"/>
        <v/>
      </c>
      <c r="C211" s="71"/>
      <c r="D211" s="69" t="str">
        <f t="shared" si="117"/>
        <v/>
      </c>
      <c r="E211" s="70" t="str">
        <f t="shared" si="118"/>
        <v/>
      </c>
      <c r="F211" s="70" t="str">
        <f t="shared" si="119"/>
        <v/>
      </c>
      <c r="G211" s="63" t="str">
        <f t="shared" si="120"/>
        <v/>
      </c>
      <c r="H211" s="64" t="str">
        <f t="shared" si="121"/>
        <v/>
      </c>
      <c r="I211" s="43"/>
      <c r="J211" s="63" t="str">
        <f t="shared" si="122"/>
        <v/>
      </c>
      <c r="K211" s="64" t="str">
        <f t="shared" si="123"/>
        <v/>
      </c>
      <c r="L211" s="38">
        <v>0</v>
      </c>
      <c r="M211" s="64" t="str">
        <f t="shared" si="124"/>
        <v/>
      </c>
      <c r="N211" s="65"/>
      <c r="O211" s="63" t="str">
        <f t="shared" si="125"/>
        <v/>
      </c>
      <c r="P211" s="63" t="str">
        <f t="shared" si="126"/>
        <v/>
      </c>
      <c r="Q211" s="66"/>
      <c r="R211" s="63" t="str">
        <f t="shared" si="127"/>
        <v/>
      </c>
      <c r="S211" s="64" t="str">
        <f t="shared" si="128"/>
        <v/>
      </c>
      <c r="T211" s="63" t="str">
        <f t="shared" si="129"/>
        <v/>
      </c>
      <c r="U211" s="64" t="str">
        <f t="shared" si="130"/>
        <v/>
      </c>
      <c r="V211" s="207" t="str">
        <f>IF($A212="","",IF(AND(MONTH(A211)&gt;3,MONTH(A211)&lt;11),(T211+R211+G211)*(((1/(1-Summary!$T$14))/(1-Summary!$W$14))-1),(T211+R211+G211)*((1/(1-Summary!$U$14))/(1-Summary!$X$14)-1)))</f>
        <v/>
      </c>
      <c r="W211" s="43" t="str">
        <f t="shared" si="131"/>
        <v/>
      </c>
      <c r="X211" s="43" t="str">
        <f t="shared" si="132"/>
        <v/>
      </c>
      <c r="Y211" s="43"/>
      <c r="Z211" s="38" t="str">
        <f t="shared" si="133"/>
        <v/>
      </c>
      <c r="AA211" s="38" t="str">
        <f t="shared" si="134"/>
        <v/>
      </c>
      <c r="AB211" s="38" t="e">
        <f t="shared" si="135"/>
        <v>#VALUE!</v>
      </c>
      <c r="AC211" s="38" t="str">
        <f t="shared" si="136"/>
        <v/>
      </c>
      <c r="AD211" s="38" t="str">
        <f t="shared" si="137"/>
        <v/>
      </c>
      <c r="AE211" s="38" t="e">
        <f t="shared" si="138"/>
        <v>#VALUE!</v>
      </c>
      <c r="AF211" s="237" t="e">
        <f>((Summary!$N$14*(AA211*AD211)*(A211-$D$3))+(Summary!$M$14*Z211*AC211*(AJ211-EOMONTH(EDATE(A211,-1),0))))/(AK211*AB211*AE211)</f>
        <v>#VALUE!</v>
      </c>
      <c r="AG211" s="88" t="str">
        <f>IF($A212="","",Summary!$Q$14)</f>
        <v/>
      </c>
      <c r="AH211" s="88" t="str">
        <f>IF($A212="","",IF(Summary!$R$12="Y",(VLOOKUP($A211,Summary!$AD$6:$AF$9,3)+'Escalating commodity'!J224),'Escalating commodity'!J224))</f>
        <v/>
      </c>
      <c r="AI211" s="88" t="str">
        <f t="shared" si="154"/>
        <v/>
      </c>
      <c r="AJ211" s="236" t="e">
        <f t="shared" si="139"/>
        <v>#VALUE!</v>
      </c>
      <c r="AK211" s="58" t="str">
        <f t="shared" si="140"/>
        <v/>
      </c>
      <c r="AL211" s="26" t="str">
        <f>IF($A212="","",_xll.SPRDOPT(P211,X211,AI211,0,AB211,AE211,AF211,AK211,$AJ$2,0))</f>
        <v/>
      </c>
      <c r="AM211" s="89" t="str">
        <f t="shared" si="141"/>
        <v/>
      </c>
      <c r="AN211" s="89" t="str">
        <f t="shared" si="142"/>
        <v/>
      </c>
      <c r="AO211" s="3" t="str">
        <f t="shared" si="143"/>
        <v/>
      </c>
      <c r="AP211" s="33" t="str">
        <f t="shared" si="144"/>
        <v/>
      </c>
      <c r="AQ211" s="58" t="str">
        <f t="shared" si="145"/>
        <v/>
      </c>
      <c r="AR211" s="38">
        <f>'ANR OK vs ML7'!AR211</f>
        <v>0.1</v>
      </c>
      <c r="AS211" s="35" t="str">
        <f t="shared" si="146"/>
        <v/>
      </c>
      <c r="AT211" s="3" t="str">
        <f t="shared" si="147"/>
        <v/>
      </c>
      <c r="AU211" s="3" t="str">
        <f t="shared" si="148"/>
        <v/>
      </c>
      <c r="AW211" s="32" t="str">
        <f t="shared" si="149"/>
        <v/>
      </c>
      <c r="AX211" s="32" t="str">
        <f t="shared" si="150"/>
        <v/>
      </c>
      <c r="AY211" s="32" t="str">
        <f t="shared" si="151"/>
        <v/>
      </c>
      <c r="BA211" s="32" t="str">
        <f>IF($A212="","",F211*Summary!$Q$14)</f>
        <v/>
      </c>
    </row>
    <row r="212" spans="1:53" ht="12" customHeight="1">
      <c r="A212" s="67" t="str">
        <f t="shared" si="152"/>
        <v/>
      </c>
      <c r="B212" s="69" t="str">
        <f t="shared" si="153"/>
        <v/>
      </c>
      <c r="C212" s="71"/>
      <c r="D212" s="69" t="str">
        <f t="shared" si="117"/>
        <v/>
      </c>
      <c r="E212" s="70" t="str">
        <f t="shared" si="118"/>
        <v/>
      </c>
      <c r="F212" s="70" t="str">
        <f t="shared" si="119"/>
        <v/>
      </c>
      <c r="G212" s="63" t="str">
        <f t="shared" si="120"/>
        <v/>
      </c>
      <c r="H212" s="64" t="str">
        <f t="shared" si="121"/>
        <v/>
      </c>
      <c r="I212" s="43"/>
      <c r="J212" s="63" t="str">
        <f t="shared" si="122"/>
        <v/>
      </c>
      <c r="K212" s="64" t="str">
        <f t="shared" si="123"/>
        <v/>
      </c>
      <c r="L212" s="38">
        <v>0</v>
      </c>
      <c r="M212" s="64" t="str">
        <f t="shared" si="124"/>
        <v/>
      </c>
      <c r="N212" s="65"/>
      <c r="O212" s="63" t="str">
        <f t="shared" si="125"/>
        <v/>
      </c>
      <c r="P212" s="63" t="str">
        <f t="shared" si="126"/>
        <v/>
      </c>
      <c r="Q212" s="66"/>
      <c r="R212" s="63" t="str">
        <f t="shared" si="127"/>
        <v/>
      </c>
      <c r="S212" s="64" t="str">
        <f t="shared" si="128"/>
        <v/>
      </c>
      <c r="T212" s="63" t="str">
        <f t="shared" si="129"/>
        <v/>
      </c>
      <c r="U212" s="64" t="str">
        <f t="shared" si="130"/>
        <v/>
      </c>
      <c r="V212" s="207" t="str">
        <f>IF($A213="","",IF(AND(MONTH(A212)&gt;3,MONTH(A212)&lt;11),(T212+R212+G212)*(((1/(1-Summary!$T$14))/(1-Summary!$W$14))-1),(T212+R212+G212)*((1/(1-Summary!$U$14))/(1-Summary!$X$14)-1)))</f>
        <v/>
      </c>
      <c r="W212" s="43" t="str">
        <f t="shared" si="131"/>
        <v/>
      </c>
      <c r="X212" s="43" t="str">
        <f t="shared" si="132"/>
        <v/>
      </c>
      <c r="Y212" s="43"/>
      <c r="Z212" s="38" t="str">
        <f t="shared" si="133"/>
        <v/>
      </c>
      <c r="AA212" s="38" t="str">
        <f t="shared" si="134"/>
        <v/>
      </c>
      <c r="AB212" s="38" t="e">
        <f t="shared" si="135"/>
        <v>#VALUE!</v>
      </c>
      <c r="AC212" s="38" t="str">
        <f t="shared" si="136"/>
        <v/>
      </c>
      <c r="AD212" s="38" t="str">
        <f t="shared" si="137"/>
        <v/>
      </c>
      <c r="AE212" s="38" t="e">
        <f t="shared" si="138"/>
        <v>#VALUE!</v>
      </c>
      <c r="AF212" s="237" t="e">
        <f>((Summary!$N$14*(AA212*AD212)*(A212-$D$3))+(Summary!$M$14*Z212*AC212*(AJ212-EOMONTH(EDATE(A212,-1),0))))/(AK212*AB212*AE212)</f>
        <v>#VALUE!</v>
      </c>
      <c r="AG212" s="88" t="str">
        <f>IF($A213="","",Summary!$Q$14)</f>
        <v/>
      </c>
      <c r="AH212" s="88" t="str">
        <f>IF($A213="","",IF(Summary!$R$12="Y",(VLOOKUP($A212,Summary!$AD$6:$AF$9,3)+'Escalating commodity'!J225),'Escalating commodity'!J225))</f>
        <v/>
      </c>
      <c r="AI212" s="88" t="str">
        <f t="shared" si="154"/>
        <v/>
      </c>
      <c r="AJ212" s="236" t="e">
        <f t="shared" si="139"/>
        <v>#VALUE!</v>
      </c>
      <c r="AK212" s="58" t="str">
        <f t="shared" si="140"/>
        <v/>
      </c>
      <c r="AL212" s="26" t="str">
        <f>IF($A213="","",_xll.SPRDOPT(P212,X212,AI212,0,AB212,AE212,AF212,AK212,$AJ$2,0))</f>
        <v/>
      </c>
      <c r="AM212" s="89" t="str">
        <f t="shared" si="141"/>
        <v/>
      </c>
      <c r="AN212" s="89" t="str">
        <f t="shared" si="142"/>
        <v/>
      </c>
      <c r="AO212" s="3" t="str">
        <f t="shared" si="143"/>
        <v/>
      </c>
      <c r="AP212" s="33" t="str">
        <f t="shared" si="144"/>
        <v/>
      </c>
      <c r="AQ212" s="58" t="str">
        <f t="shared" si="145"/>
        <v/>
      </c>
      <c r="AR212" s="38">
        <f>'ANR OK vs ML7'!AR212</f>
        <v>0.1</v>
      </c>
      <c r="AS212" s="35" t="str">
        <f t="shared" si="146"/>
        <v/>
      </c>
      <c r="AT212" s="3" t="str">
        <f t="shared" si="147"/>
        <v/>
      </c>
      <c r="AU212" s="3" t="str">
        <f t="shared" si="148"/>
        <v/>
      </c>
      <c r="AW212" s="32" t="str">
        <f t="shared" si="149"/>
        <v/>
      </c>
      <c r="AX212" s="32" t="str">
        <f t="shared" si="150"/>
        <v/>
      </c>
      <c r="AY212" s="32" t="str">
        <f t="shared" si="151"/>
        <v/>
      </c>
      <c r="BA212" s="32" t="str">
        <f>IF($A213="","",F212*Summary!$Q$14)</f>
        <v/>
      </c>
    </row>
    <row r="213" spans="1:53" ht="12" customHeight="1">
      <c r="A213" s="67" t="str">
        <f t="shared" si="152"/>
        <v/>
      </c>
      <c r="B213" s="69" t="str">
        <f t="shared" si="153"/>
        <v/>
      </c>
      <c r="C213" s="71"/>
      <c r="D213" s="69" t="str">
        <f t="shared" si="117"/>
        <v/>
      </c>
      <c r="E213" s="70" t="str">
        <f t="shared" si="118"/>
        <v/>
      </c>
      <c r="F213" s="70" t="str">
        <f t="shared" si="119"/>
        <v/>
      </c>
      <c r="G213" s="63" t="str">
        <f t="shared" si="120"/>
        <v/>
      </c>
      <c r="H213" s="64" t="str">
        <f t="shared" si="121"/>
        <v/>
      </c>
      <c r="I213" s="43"/>
      <c r="J213" s="63" t="str">
        <f t="shared" si="122"/>
        <v/>
      </c>
      <c r="K213" s="64" t="str">
        <f t="shared" si="123"/>
        <v/>
      </c>
      <c r="L213" s="38">
        <v>0</v>
      </c>
      <c r="M213" s="64" t="str">
        <f t="shared" si="124"/>
        <v/>
      </c>
      <c r="N213" s="65"/>
      <c r="O213" s="63" t="str">
        <f t="shared" si="125"/>
        <v/>
      </c>
      <c r="P213" s="63" t="str">
        <f t="shared" si="126"/>
        <v/>
      </c>
      <c r="Q213" s="66"/>
      <c r="R213" s="63" t="str">
        <f t="shared" si="127"/>
        <v/>
      </c>
      <c r="S213" s="64" t="str">
        <f t="shared" si="128"/>
        <v/>
      </c>
      <c r="T213" s="63" t="str">
        <f t="shared" si="129"/>
        <v/>
      </c>
      <c r="U213" s="64" t="str">
        <f t="shared" si="130"/>
        <v/>
      </c>
      <c r="V213" s="207" t="str">
        <f>IF($A214="","",IF(AND(MONTH(A213)&gt;3,MONTH(A213)&lt;11),(T213+R213+G213)*(((1/(1-Summary!$T$14))/(1-Summary!$W$14))-1),(T213+R213+G213)*((1/(1-Summary!$U$14))/(1-Summary!$X$14)-1)))</f>
        <v/>
      </c>
      <c r="W213" s="43" t="str">
        <f t="shared" si="131"/>
        <v/>
      </c>
      <c r="X213" s="43" t="str">
        <f t="shared" si="132"/>
        <v/>
      </c>
      <c r="Y213" s="43"/>
      <c r="Z213" s="38" t="str">
        <f t="shared" si="133"/>
        <v/>
      </c>
      <c r="AA213" s="38" t="str">
        <f t="shared" si="134"/>
        <v/>
      </c>
      <c r="AB213" s="38" t="e">
        <f t="shared" si="135"/>
        <v>#VALUE!</v>
      </c>
      <c r="AC213" s="38" t="str">
        <f t="shared" si="136"/>
        <v/>
      </c>
      <c r="AD213" s="38" t="str">
        <f t="shared" si="137"/>
        <v/>
      </c>
      <c r="AE213" s="38" t="e">
        <f t="shared" si="138"/>
        <v>#VALUE!</v>
      </c>
      <c r="AF213" s="237" t="e">
        <f>((Summary!$N$14*(AA213*AD213)*(A213-$D$3))+(Summary!$M$14*Z213*AC213*(AJ213-EOMONTH(EDATE(A213,-1),0))))/(AK213*AB213*AE213)</f>
        <v>#VALUE!</v>
      </c>
      <c r="AG213" s="88" t="str">
        <f>IF($A214="","",Summary!$Q$14)</f>
        <v/>
      </c>
      <c r="AH213" s="88" t="str">
        <f>IF($A214="","",IF(Summary!$R$12="Y",(VLOOKUP($A213,Summary!$AD$6:$AF$9,3)+'Escalating commodity'!J226),'Escalating commodity'!J226))</f>
        <v/>
      </c>
      <c r="AI213" s="88" t="str">
        <f t="shared" si="154"/>
        <v/>
      </c>
      <c r="AJ213" s="236" t="e">
        <f t="shared" si="139"/>
        <v>#VALUE!</v>
      </c>
      <c r="AK213" s="58" t="str">
        <f t="shared" si="140"/>
        <v/>
      </c>
      <c r="AL213" s="26" t="str">
        <f>IF($A214="","",_xll.SPRDOPT(P213,X213,AI213,0,AB213,AE213,AF213,AK213,$AJ$2,0))</f>
        <v/>
      </c>
      <c r="AM213" s="89" t="str">
        <f t="shared" si="141"/>
        <v/>
      </c>
      <c r="AN213" s="89" t="str">
        <f t="shared" si="142"/>
        <v/>
      </c>
      <c r="AO213" s="3" t="str">
        <f t="shared" si="143"/>
        <v/>
      </c>
      <c r="AP213" s="33" t="str">
        <f t="shared" si="144"/>
        <v/>
      </c>
      <c r="AQ213" s="58" t="str">
        <f t="shared" si="145"/>
        <v/>
      </c>
      <c r="AR213" s="38">
        <f>'ANR OK vs ML7'!AR213</f>
        <v>0.1</v>
      </c>
      <c r="AS213" s="35" t="str">
        <f t="shared" si="146"/>
        <v/>
      </c>
      <c r="AT213" s="3" t="str">
        <f t="shared" si="147"/>
        <v/>
      </c>
      <c r="AU213" s="3" t="str">
        <f t="shared" si="148"/>
        <v/>
      </c>
      <c r="AW213" s="32" t="str">
        <f t="shared" si="149"/>
        <v/>
      </c>
      <c r="AX213" s="32" t="str">
        <f t="shared" si="150"/>
        <v/>
      </c>
      <c r="AY213" s="32" t="str">
        <f t="shared" si="151"/>
        <v/>
      </c>
      <c r="BA213" s="32" t="str">
        <f>IF($A214="","",F213*Summary!$Q$14)</f>
        <v/>
      </c>
    </row>
    <row r="214" spans="1:53" ht="12" customHeight="1">
      <c r="A214" s="67" t="str">
        <f t="shared" si="152"/>
        <v/>
      </c>
      <c r="B214" s="69" t="str">
        <f t="shared" si="153"/>
        <v/>
      </c>
      <c r="C214" s="71"/>
      <c r="D214" s="69" t="str">
        <f t="shared" si="117"/>
        <v/>
      </c>
      <c r="E214" s="70" t="str">
        <f t="shared" si="118"/>
        <v/>
      </c>
      <c r="F214" s="70" t="str">
        <f t="shared" si="119"/>
        <v/>
      </c>
      <c r="G214" s="63" t="str">
        <f t="shared" si="120"/>
        <v/>
      </c>
      <c r="H214" s="64" t="str">
        <f t="shared" si="121"/>
        <v/>
      </c>
      <c r="I214" s="43"/>
      <c r="J214" s="63" t="str">
        <f t="shared" si="122"/>
        <v/>
      </c>
      <c r="K214" s="64" t="str">
        <f t="shared" si="123"/>
        <v/>
      </c>
      <c r="L214" s="38">
        <v>0</v>
      </c>
      <c r="M214" s="64" t="str">
        <f t="shared" si="124"/>
        <v/>
      </c>
      <c r="N214" s="65"/>
      <c r="O214" s="63" t="str">
        <f t="shared" si="125"/>
        <v/>
      </c>
      <c r="P214" s="63" t="str">
        <f t="shared" si="126"/>
        <v/>
      </c>
      <c r="Q214" s="66"/>
      <c r="R214" s="63" t="str">
        <f t="shared" si="127"/>
        <v/>
      </c>
      <c r="S214" s="64" t="str">
        <f t="shared" si="128"/>
        <v/>
      </c>
      <c r="T214" s="63" t="str">
        <f t="shared" si="129"/>
        <v/>
      </c>
      <c r="U214" s="64" t="str">
        <f t="shared" si="130"/>
        <v/>
      </c>
      <c r="V214" s="207" t="str">
        <f>IF($A215="","",IF(AND(MONTH(A214)&gt;3,MONTH(A214)&lt;11),(T214+R214+G214)*(((1/(1-Summary!$T$14))/(1-Summary!$W$14))-1),(T214+R214+G214)*((1/(1-Summary!$U$14))/(1-Summary!$X$14)-1)))</f>
        <v/>
      </c>
      <c r="W214" s="43" t="str">
        <f t="shared" si="131"/>
        <v/>
      </c>
      <c r="X214" s="43" t="str">
        <f t="shared" si="132"/>
        <v/>
      </c>
      <c r="Y214" s="43"/>
      <c r="Z214" s="38" t="str">
        <f t="shared" si="133"/>
        <v/>
      </c>
      <c r="AA214" s="38" t="str">
        <f t="shared" si="134"/>
        <v/>
      </c>
      <c r="AB214" s="38" t="e">
        <f t="shared" si="135"/>
        <v>#VALUE!</v>
      </c>
      <c r="AC214" s="38" t="str">
        <f t="shared" si="136"/>
        <v/>
      </c>
      <c r="AD214" s="38" t="str">
        <f t="shared" si="137"/>
        <v/>
      </c>
      <c r="AE214" s="38" t="e">
        <f t="shared" si="138"/>
        <v>#VALUE!</v>
      </c>
      <c r="AF214" s="237" t="e">
        <f>((Summary!$N$14*(AA214*AD214)*(A214-$D$3))+(Summary!$M$14*Z214*AC214*(AJ214-EOMONTH(EDATE(A214,-1),0))))/(AK214*AB214*AE214)</f>
        <v>#VALUE!</v>
      </c>
      <c r="AG214" s="88" t="str">
        <f>IF($A215="","",Summary!$Q$14)</f>
        <v/>
      </c>
      <c r="AH214" s="88" t="str">
        <f>IF($A215="","",IF(Summary!$R$12="Y",(VLOOKUP($A214,Summary!$AD$6:$AF$9,3)+'Escalating commodity'!J227),'Escalating commodity'!J227))</f>
        <v/>
      </c>
      <c r="AI214" s="88" t="str">
        <f t="shared" si="154"/>
        <v/>
      </c>
      <c r="AJ214" s="236" t="e">
        <f t="shared" si="139"/>
        <v>#VALUE!</v>
      </c>
      <c r="AK214" s="58" t="str">
        <f t="shared" si="140"/>
        <v/>
      </c>
      <c r="AL214" s="26" t="str">
        <f>IF($A215="","",_xll.SPRDOPT(P214,X214,AI214,0,AB214,AE214,AF214,AK214,$AJ$2,0))</f>
        <v/>
      </c>
      <c r="AM214" s="89" t="str">
        <f t="shared" si="141"/>
        <v/>
      </c>
      <c r="AN214" s="89" t="str">
        <f t="shared" si="142"/>
        <v/>
      </c>
      <c r="AO214" s="3" t="str">
        <f t="shared" si="143"/>
        <v/>
      </c>
      <c r="AP214" s="33" t="str">
        <f t="shared" si="144"/>
        <v/>
      </c>
      <c r="AQ214" s="58" t="str">
        <f t="shared" si="145"/>
        <v/>
      </c>
      <c r="AR214" s="38">
        <f>'ANR OK vs ML7'!AR214</f>
        <v>0.1</v>
      </c>
      <c r="AS214" s="35" t="str">
        <f t="shared" si="146"/>
        <v/>
      </c>
      <c r="AT214" s="3" t="str">
        <f t="shared" si="147"/>
        <v/>
      </c>
      <c r="AU214" s="3" t="str">
        <f t="shared" si="148"/>
        <v/>
      </c>
      <c r="AW214" s="32" t="str">
        <f t="shared" si="149"/>
        <v/>
      </c>
      <c r="AX214" s="32" t="str">
        <f t="shared" si="150"/>
        <v/>
      </c>
      <c r="AY214" s="32" t="str">
        <f t="shared" si="151"/>
        <v/>
      </c>
      <c r="BA214" s="32" t="str">
        <f>IF($A215="","",F214*Summary!$Q$14)</f>
        <v/>
      </c>
    </row>
    <row r="215" spans="1:53" ht="12" customHeight="1">
      <c r="A215" s="67" t="str">
        <f t="shared" si="152"/>
        <v/>
      </c>
      <c r="B215" s="69" t="str">
        <f t="shared" si="153"/>
        <v/>
      </c>
      <c r="C215" s="71"/>
      <c r="D215" s="69" t="str">
        <f t="shared" si="117"/>
        <v/>
      </c>
      <c r="E215" s="70" t="str">
        <f t="shared" si="118"/>
        <v/>
      </c>
      <c r="F215" s="70" t="str">
        <f t="shared" si="119"/>
        <v/>
      </c>
      <c r="G215" s="63" t="str">
        <f t="shared" si="120"/>
        <v/>
      </c>
      <c r="H215" s="64" t="str">
        <f t="shared" si="121"/>
        <v/>
      </c>
      <c r="I215" s="43"/>
      <c r="J215" s="63" t="str">
        <f t="shared" si="122"/>
        <v/>
      </c>
      <c r="K215" s="64" t="str">
        <f t="shared" si="123"/>
        <v/>
      </c>
      <c r="L215" s="38">
        <v>0</v>
      </c>
      <c r="M215" s="64" t="str">
        <f t="shared" si="124"/>
        <v/>
      </c>
      <c r="N215" s="65"/>
      <c r="O215" s="63" t="str">
        <f t="shared" si="125"/>
        <v/>
      </c>
      <c r="P215" s="63" t="str">
        <f t="shared" si="126"/>
        <v/>
      </c>
      <c r="Q215" s="66"/>
      <c r="R215" s="63" t="str">
        <f t="shared" si="127"/>
        <v/>
      </c>
      <c r="S215" s="64" t="str">
        <f t="shared" si="128"/>
        <v/>
      </c>
      <c r="T215" s="63" t="str">
        <f t="shared" si="129"/>
        <v/>
      </c>
      <c r="U215" s="64" t="str">
        <f t="shared" si="130"/>
        <v/>
      </c>
      <c r="V215" s="207" t="str">
        <f>IF($A216="","",IF(AND(MONTH(A215)&gt;3,MONTH(A215)&lt;11),(T215+R215+G215)*(((1/(1-Summary!$T$14))/(1-Summary!$W$14))-1),(T215+R215+G215)*((1/(1-Summary!$U$14))/(1-Summary!$X$14)-1)))</f>
        <v/>
      </c>
      <c r="W215" s="43" t="str">
        <f t="shared" si="131"/>
        <v/>
      </c>
      <c r="X215" s="43" t="str">
        <f t="shared" si="132"/>
        <v/>
      </c>
      <c r="Y215" s="43"/>
      <c r="Z215" s="38" t="str">
        <f t="shared" si="133"/>
        <v/>
      </c>
      <c r="AA215" s="38" t="str">
        <f t="shared" si="134"/>
        <v/>
      </c>
      <c r="AB215" s="38" t="e">
        <f t="shared" si="135"/>
        <v>#VALUE!</v>
      </c>
      <c r="AC215" s="38" t="str">
        <f t="shared" si="136"/>
        <v/>
      </c>
      <c r="AD215" s="38" t="str">
        <f t="shared" si="137"/>
        <v/>
      </c>
      <c r="AE215" s="38" t="e">
        <f t="shared" si="138"/>
        <v>#VALUE!</v>
      </c>
      <c r="AF215" s="237" t="e">
        <f>((Summary!$N$14*(AA215*AD215)*(A215-$D$3))+(Summary!$M$14*Z215*AC215*(AJ215-EOMONTH(EDATE(A215,-1),0))))/(AK215*AB215*AE215)</f>
        <v>#VALUE!</v>
      </c>
      <c r="AG215" s="88" t="str">
        <f>IF($A216="","",Summary!$Q$14)</f>
        <v/>
      </c>
      <c r="AH215" s="88" t="str">
        <f>IF($A216="","",IF(Summary!$R$12="Y",(VLOOKUP($A215,Summary!$AD$6:$AF$9,3)+'Escalating commodity'!J228),'Escalating commodity'!J228))</f>
        <v/>
      </c>
      <c r="AI215" s="88" t="str">
        <f t="shared" si="154"/>
        <v/>
      </c>
      <c r="AJ215" s="236" t="e">
        <f t="shared" si="139"/>
        <v>#VALUE!</v>
      </c>
      <c r="AK215" s="58" t="str">
        <f t="shared" si="140"/>
        <v/>
      </c>
      <c r="AL215" s="26" t="str">
        <f>IF($A216="","",_xll.SPRDOPT(P215,X215,AI215,0,AB215,AE215,AF215,AK215,$AJ$2,0))</f>
        <v/>
      </c>
      <c r="AM215" s="89" t="str">
        <f t="shared" si="141"/>
        <v/>
      </c>
      <c r="AN215" s="89" t="str">
        <f t="shared" si="142"/>
        <v/>
      </c>
      <c r="AO215" s="3" t="str">
        <f t="shared" si="143"/>
        <v/>
      </c>
      <c r="AP215" s="33" t="str">
        <f t="shared" si="144"/>
        <v/>
      </c>
      <c r="AQ215" s="58" t="str">
        <f t="shared" si="145"/>
        <v/>
      </c>
      <c r="AR215" s="38">
        <f>'ANR OK vs ML7'!AR215</f>
        <v>0.1</v>
      </c>
      <c r="AS215" s="35" t="str">
        <f t="shared" si="146"/>
        <v/>
      </c>
      <c r="AT215" s="3" t="str">
        <f t="shared" si="147"/>
        <v/>
      </c>
      <c r="AU215" s="3" t="str">
        <f t="shared" si="148"/>
        <v/>
      </c>
      <c r="AW215" s="32" t="str">
        <f t="shared" si="149"/>
        <v/>
      </c>
      <c r="AX215" s="32" t="str">
        <f t="shared" si="150"/>
        <v/>
      </c>
      <c r="AY215" s="32" t="str">
        <f t="shared" si="151"/>
        <v/>
      </c>
      <c r="BA215" s="32" t="str">
        <f>IF($A216="","",F215*Summary!$Q$14)</f>
        <v/>
      </c>
    </row>
    <row r="216" spans="1:53" ht="12" customHeight="1">
      <c r="A216" s="67" t="str">
        <f t="shared" si="152"/>
        <v/>
      </c>
      <c r="B216" s="69" t="str">
        <f t="shared" si="153"/>
        <v/>
      </c>
      <c r="C216" s="71"/>
      <c r="D216" s="69" t="str">
        <f t="shared" si="117"/>
        <v/>
      </c>
      <c r="E216" s="70" t="str">
        <f t="shared" si="118"/>
        <v/>
      </c>
      <c r="F216" s="70" t="str">
        <f t="shared" si="119"/>
        <v/>
      </c>
      <c r="G216" s="63" t="str">
        <f t="shared" si="120"/>
        <v/>
      </c>
      <c r="H216" s="64" t="str">
        <f t="shared" si="121"/>
        <v/>
      </c>
      <c r="I216" s="43"/>
      <c r="J216" s="63" t="str">
        <f t="shared" si="122"/>
        <v/>
      </c>
      <c r="K216" s="64" t="str">
        <f t="shared" si="123"/>
        <v/>
      </c>
      <c r="L216" s="38">
        <v>0</v>
      </c>
      <c r="M216" s="64" t="str">
        <f t="shared" si="124"/>
        <v/>
      </c>
      <c r="N216" s="65"/>
      <c r="O216" s="63" t="str">
        <f t="shared" si="125"/>
        <v/>
      </c>
      <c r="P216" s="63" t="str">
        <f t="shared" si="126"/>
        <v/>
      </c>
      <c r="Q216" s="66"/>
      <c r="R216" s="63" t="str">
        <f t="shared" si="127"/>
        <v/>
      </c>
      <c r="S216" s="64" t="str">
        <f t="shared" si="128"/>
        <v/>
      </c>
      <c r="T216" s="63" t="str">
        <f t="shared" si="129"/>
        <v/>
      </c>
      <c r="U216" s="64" t="str">
        <f t="shared" si="130"/>
        <v/>
      </c>
      <c r="V216" s="207" t="str">
        <f>IF($A217="","",IF(AND(MONTH(A216)&gt;3,MONTH(A216)&lt;11),(T216+R216+G216)*(((1/(1-Summary!$T$14))/(1-Summary!$W$14))-1),(T216+R216+G216)*((1/(1-Summary!$U$14))/(1-Summary!$X$14)-1)))</f>
        <v/>
      </c>
      <c r="W216" s="43" t="str">
        <f t="shared" si="131"/>
        <v/>
      </c>
      <c r="X216" s="43" t="str">
        <f t="shared" si="132"/>
        <v/>
      </c>
      <c r="Y216" s="43"/>
      <c r="Z216" s="38" t="str">
        <f t="shared" si="133"/>
        <v/>
      </c>
      <c r="AA216" s="38" t="str">
        <f t="shared" si="134"/>
        <v/>
      </c>
      <c r="AB216" s="38" t="e">
        <f t="shared" si="135"/>
        <v>#VALUE!</v>
      </c>
      <c r="AC216" s="38" t="str">
        <f t="shared" si="136"/>
        <v/>
      </c>
      <c r="AD216" s="38" t="str">
        <f t="shared" si="137"/>
        <v/>
      </c>
      <c r="AE216" s="38" t="e">
        <f t="shared" si="138"/>
        <v>#VALUE!</v>
      </c>
      <c r="AF216" s="237" t="e">
        <f>((Summary!$N$14*(AA216*AD216)*(A216-$D$3))+(Summary!$M$14*Z216*AC216*(AJ216-EOMONTH(EDATE(A216,-1),0))))/(AK216*AB216*AE216)</f>
        <v>#VALUE!</v>
      </c>
      <c r="AG216" s="88" t="str">
        <f>IF($A217="","",Summary!$Q$14)</f>
        <v/>
      </c>
      <c r="AH216" s="88" t="str">
        <f>IF($A217="","",IF(Summary!$R$12="Y",(VLOOKUP($A216,Summary!$AD$6:$AF$9,3)+'Escalating commodity'!J229),'Escalating commodity'!J229))</f>
        <v/>
      </c>
      <c r="AI216" s="88" t="str">
        <f t="shared" si="154"/>
        <v/>
      </c>
      <c r="AJ216" s="236" t="e">
        <f t="shared" si="139"/>
        <v>#VALUE!</v>
      </c>
      <c r="AK216" s="58" t="str">
        <f t="shared" si="140"/>
        <v/>
      </c>
      <c r="AL216" s="26" t="str">
        <f>IF($A217="","",_xll.SPRDOPT(P216,X216,AI216,0,AB216,AE216,AF216,AK216,$AJ$2,0))</f>
        <v/>
      </c>
      <c r="AM216" s="89" t="str">
        <f t="shared" si="141"/>
        <v/>
      </c>
      <c r="AN216" s="89" t="str">
        <f t="shared" si="142"/>
        <v/>
      </c>
      <c r="AO216" s="3" t="str">
        <f t="shared" si="143"/>
        <v/>
      </c>
      <c r="AP216" s="33" t="str">
        <f t="shared" si="144"/>
        <v/>
      </c>
      <c r="AQ216" s="58" t="str">
        <f t="shared" si="145"/>
        <v/>
      </c>
      <c r="AR216" s="38">
        <f>'ANR OK vs ML7'!AR216</f>
        <v>0.1</v>
      </c>
      <c r="AS216" s="35" t="str">
        <f t="shared" si="146"/>
        <v/>
      </c>
      <c r="AT216" s="3" t="str">
        <f t="shared" si="147"/>
        <v/>
      </c>
      <c r="AU216" s="3" t="str">
        <f t="shared" si="148"/>
        <v/>
      </c>
      <c r="AW216" s="32" t="str">
        <f t="shared" si="149"/>
        <v/>
      </c>
      <c r="AX216" s="32" t="str">
        <f t="shared" si="150"/>
        <v/>
      </c>
      <c r="AY216" s="32" t="str">
        <f t="shared" si="151"/>
        <v/>
      </c>
      <c r="BA216" s="32" t="str">
        <f>IF($A217="","",F216*Summary!$Q$14)</f>
        <v/>
      </c>
    </row>
    <row r="217" spans="1:53" ht="12" customHeight="1">
      <c r="A217" s="67" t="str">
        <f t="shared" si="152"/>
        <v/>
      </c>
      <c r="B217" s="69" t="str">
        <f t="shared" si="153"/>
        <v/>
      </c>
      <c r="C217" s="71"/>
      <c r="D217" s="69" t="str">
        <f t="shared" si="117"/>
        <v/>
      </c>
      <c r="E217" s="70" t="str">
        <f t="shared" si="118"/>
        <v/>
      </c>
      <c r="F217" s="70" t="str">
        <f t="shared" si="119"/>
        <v/>
      </c>
      <c r="G217" s="63" t="str">
        <f t="shared" si="120"/>
        <v/>
      </c>
      <c r="H217" s="64" t="str">
        <f t="shared" si="121"/>
        <v/>
      </c>
      <c r="I217" s="43"/>
      <c r="J217" s="63" t="str">
        <f t="shared" si="122"/>
        <v/>
      </c>
      <c r="K217" s="64" t="str">
        <f t="shared" si="123"/>
        <v/>
      </c>
      <c r="L217" s="38">
        <v>0</v>
      </c>
      <c r="M217" s="64" t="str">
        <f t="shared" si="124"/>
        <v/>
      </c>
      <c r="N217" s="65"/>
      <c r="O217" s="63" t="str">
        <f t="shared" si="125"/>
        <v/>
      </c>
      <c r="P217" s="63" t="str">
        <f t="shared" si="126"/>
        <v/>
      </c>
      <c r="Q217" s="66"/>
      <c r="R217" s="63" t="str">
        <f t="shared" si="127"/>
        <v/>
      </c>
      <c r="S217" s="64" t="str">
        <f t="shared" si="128"/>
        <v/>
      </c>
      <c r="T217" s="63" t="str">
        <f t="shared" si="129"/>
        <v/>
      </c>
      <c r="U217" s="64" t="str">
        <f t="shared" si="130"/>
        <v/>
      </c>
      <c r="V217" s="207" t="str">
        <f>IF($A218="","",IF(AND(MONTH(A217)&gt;3,MONTH(A217)&lt;11),(T217+R217+G217)*(((1/(1-Summary!$T$14))/(1-Summary!$W$14))-1),(T217+R217+G217)*((1/(1-Summary!$U$14))/(1-Summary!$X$14)-1)))</f>
        <v/>
      </c>
      <c r="W217" s="43" t="str">
        <f t="shared" si="131"/>
        <v/>
      </c>
      <c r="X217" s="43" t="str">
        <f t="shared" si="132"/>
        <v/>
      </c>
      <c r="Y217" s="43"/>
      <c r="Z217" s="38" t="str">
        <f t="shared" si="133"/>
        <v/>
      </c>
      <c r="AA217" s="38" t="str">
        <f t="shared" si="134"/>
        <v/>
      </c>
      <c r="AB217" s="38" t="e">
        <f t="shared" si="135"/>
        <v>#VALUE!</v>
      </c>
      <c r="AC217" s="38" t="str">
        <f t="shared" si="136"/>
        <v/>
      </c>
      <c r="AD217" s="38" t="str">
        <f t="shared" si="137"/>
        <v/>
      </c>
      <c r="AE217" s="38" t="e">
        <f t="shared" si="138"/>
        <v>#VALUE!</v>
      </c>
      <c r="AF217" s="237" t="e">
        <f>((Summary!$N$14*(AA217*AD217)*(A217-$D$3))+(Summary!$M$14*Z217*AC217*(AJ217-EOMONTH(EDATE(A217,-1),0))))/(AK217*AB217*AE217)</f>
        <v>#VALUE!</v>
      </c>
      <c r="AG217" s="88" t="str">
        <f>IF($A218="","",Summary!$Q$14)</f>
        <v/>
      </c>
      <c r="AH217" s="88" t="str">
        <f>IF($A218="","",IF(Summary!$R$12="Y",(VLOOKUP($A217,Summary!$AD$6:$AF$9,3)+'Escalating commodity'!J230),'Escalating commodity'!J230))</f>
        <v/>
      </c>
      <c r="AI217" s="88" t="str">
        <f t="shared" si="154"/>
        <v/>
      </c>
      <c r="AJ217" s="236" t="e">
        <f t="shared" si="139"/>
        <v>#VALUE!</v>
      </c>
      <c r="AK217" s="58" t="str">
        <f t="shared" si="140"/>
        <v/>
      </c>
      <c r="AL217" s="26" t="str">
        <f>IF($A218="","",_xll.SPRDOPT(P217,X217,AI217,0,AB217,AE217,AF217,AK217,$AJ$2,0))</f>
        <v/>
      </c>
      <c r="AM217" s="89" t="str">
        <f t="shared" si="141"/>
        <v/>
      </c>
      <c r="AN217" s="89" t="str">
        <f t="shared" si="142"/>
        <v/>
      </c>
      <c r="AO217" s="3" t="str">
        <f t="shared" si="143"/>
        <v/>
      </c>
      <c r="AP217" s="33" t="str">
        <f t="shared" si="144"/>
        <v/>
      </c>
      <c r="AQ217" s="58" t="str">
        <f t="shared" si="145"/>
        <v/>
      </c>
      <c r="AR217" s="38">
        <f>'ANR OK vs ML7'!AR217</f>
        <v>0.1</v>
      </c>
      <c r="AS217" s="35" t="str">
        <f t="shared" si="146"/>
        <v/>
      </c>
      <c r="AT217" s="3" t="str">
        <f t="shared" si="147"/>
        <v/>
      </c>
      <c r="AU217" s="3" t="str">
        <f t="shared" si="148"/>
        <v/>
      </c>
      <c r="AW217" s="32" t="str">
        <f t="shared" si="149"/>
        <v/>
      </c>
      <c r="AX217" s="32" t="str">
        <f t="shared" si="150"/>
        <v/>
      </c>
      <c r="AY217" s="32" t="str">
        <f t="shared" si="151"/>
        <v/>
      </c>
      <c r="BA217" s="32" t="str">
        <f>IF($A218="","",F217*Summary!$Q$14)</f>
        <v/>
      </c>
    </row>
    <row r="218" spans="1:53" ht="12" customHeight="1">
      <c r="A218" s="67" t="str">
        <f t="shared" si="152"/>
        <v/>
      </c>
      <c r="B218" s="69" t="str">
        <f t="shared" si="153"/>
        <v/>
      </c>
      <c r="C218" s="71"/>
      <c r="D218" s="69" t="str">
        <f t="shared" si="117"/>
        <v/>
      </c>
      <c r="E218" s="70" t="str">
        <f t="shared" si="118"/>
        <v/>
      </c>
      <c r="F218" s="70" t="str">
        <f t="shared" si="119"/>
        <v/>
      </c>
      <c r="G218" s="63" t="str">
        <f t="shared" si="120"/>
        <v/>
      </c>
      <c r="H218" s="64" t="str">
        <f t="shared" si="121"/>
        <v/>
      </c>
      <c r="I218" s="43"/>
      <c r="J218" s="63" t="str">
        <f t="shared" si="122"/>
        <v/>
      </c>
      <c r="K218" s="64" t="str">
        <f t="shared" si="123"/>
        <v/>
      </c>
      <c r="L218" s="38">
        <v>0</v>
      </c>
      <c r="M218" s="64" t="str">
        <f t="shared" si="124"/>
        <v/>
      </c>
      <c r="N218" s="65"/>
      <c r="O218" s="63" t="str">
        <f t="shared" si="125"/>
        <v/>
      </c>
      <c r="P218" s="63" t="str">
        <f t="shared" si="126"/>
        <v/>
      </c>
      <c r="Q218" s="66"/>
      <c r="R218" s="63" t="str">
        <f t="shared" si="127"/>
        <v/>
      </c>
      <c r="S218" s="64" t="str">
        <f t="shared" si="128"/>
        <v/>
      </c>
      <c r="T218" s="63" t="str">
        <f t="shared" si="129"/>
        <v/>
      </c>
      <c r="U218" s="64" t="str">
        <f t="shared" si="130"/>
        <v/>
      </c>
      <c r="V218" s="207" t="str">
        <f>IF($A219="","",IF(AND(MONTH(A218)&gt;3,MONTH(A218)&lt;11),(T218+R218+G218)*(((1/(1-Summary!$T$14))/(1-Summary!$W$14))-1),(T218+R218+G218)*((1/(1-Summary!$U$14))/(1-Summary!$X$14)-1)))</f>
        <v/>
      </c>
      <c r="W218" s="43" t="str">
        <f t="shared" si="131"/>
        <v/>
      </c>
      <c r="X218" s="43" t="str">
        <f t="shared" si="132"/>
        <v/>
      </c>
      <c r="Y218" s="43"/>
      <c r="Z218" s="38" t="str">
        <f t="shared" si="133"/>
        <v/>
      </c>
      <c r="AA218" s="38" t="str">
        <f t="shared" si="134"/>
        <v/>
      </c>
      <c r="AB218" s="38" t="e">
        <f t="shared" si="135"/>
        <v>#VALUE!</v>
      </c>
      <c r="AC218" s="38" t="str">
        <f t="shared" si="136"/>
        <v/>
      </c>
      <c r="AD218" s="38" t="str">
        <f t="shared" si="137"/>
        <v/>
      </c>
      <c r="AE218" s="38" t="e">
        <f t="shared" si="138"/>
        <v>#VALUE!</v>
      </c>
      <c r="AF218" s="237" t="e">
        <f>((Summary!$N$14*(AA218*AD218)*(A218-$D$3))+(Summary!$M$14*Z218*AC218*(AJ218-EOMONTH(EDATE(A218,-1),0))))/(AK218*AB218*AE218)</f>
        <v>#VALUE!</v>
      </c>
      <c r="AG218" s="88" t="str">
        <f>IF($A219="","",Summary!$Q$14)</f>
        <v/>
      </c>
      <c r="AH218" s="88" t="str">
        <f>IF($A219="","",IF(Summary!$R$12="Y",(VLOOKUP($A218,Summary!$AD$6:$AF$9,3)+'Escalating commodity'!J231),'Escalating commodity'!J231))</f>
        <v/>
      </c>
      <c r="AI218" s="88" t="str">
        <f t="shared" si="154"/>
        <v/>
      </c>
      <c r="AJ218" s="236" t="e">
        <f t="shared" si="139"/>
        <v>#VALUE!</v>
      </c>
      <c r="AK218" s="58" t="str">
        <f t="shared" si="140"/>
        <v/>
      </c>
      <c r="AL218" s="26" t="str">
        <f>IF($A219="","",_xll.SPRDOPT(P218,X218,AI218,0,AB218,AE218,AF218,AK218,$AJ$2,0))</f>
        <v/>
      </c>
      <c r="AM218" s="89" t="str">
        <f t="shared" si="141"/>
        <v/>
      </c>
      <c r="AN218" s="89" t="str">
        <f t="shared" si="142"/>
        <v/>
      </c>
      <c r="AO218" s="3" t="str">
        <f t="shared" si="143"/>
        <v/>
      </c>
      <c r="AP218" s="33" t="str">
        <f t="shared" si="144"/>
        <v/>
      </c>
      <c r="AQ218" s="58" t="str">
        <f t="shared" si="145"/>
        <v/>
      </c>
      <c r="AR218" s="38">
        <f>'ANR OK vs ML7'!AR218</f>
        <v>0.1</v>
      </c>
      <c r="AS218" s="35" t="str">
        <f t="shared" si="146"/>
        <v/>
      </c>
      <c r="AT218" s="3" t="str">
        <f t="shared" si="147"/>
        <v/>
      </c>
      <c r="AU218" s="3" t="str">
        <f t="shared" si="148"/>
        <v/>
      </c>
      <c r="AW218" s="32" t="str">
        <f t="shared" si="149"/>
        <v/>
      </c>
      <c r="AX218" s="32" t="str">
        <f t="shared" si="150"/>
        <v/>
      </c>
      <c r="AY218" s="32" t="str">
        <f t="shared" si="151"/>
        <v/>
      </c>
      <c r="BA218" s="32" t="str">
        <f>IF($A219="","",F218*Summary!$Q$14)</f>
        <v/>
      </c>
    </row>
    <row r="219" spans="1:53" ht="12" customHeight="1">
      <c r="A219" s="67" t="str">
        <f t="shared" si="152"/>
        <v/>
      </c>
      <c r="B219" s="69" t="str">
        <f t="shared" si="153"/>
        <v/>
      </c>
      <c r="C219" s="71"/>
      <c r="D219" s="69" t="str">
        <f t="shared" si="117"/>
        <v/>
      </c>
      <c r="E219" s="70" t="str">
        <f t="shared" si="118"/>
        <v/>
      </c>
      <c r="F219" s="70" t="str">
        <f t="shared" si="119"/>
        <v/>
      </c>
      <c r="G219" s="63" t="str">
        <f t="shared" si="120"/>
        <v/>
      </c>
      <c r="H219" s="64" t="str">
        <f t="shared" si="121"/>
        <v/>
      </c>
      <c r="I219" s="43"/>
      <c r="J219" s="63" t="str">
        <f t="shared" si="122"/>
        <v/>
      </c>
      <c r="K219" s="64" t="str">
        <f t="shared" si="123"/>
        <v/>
      </c>
      <c r="L219" s="38">
        <v>0</v>
      </c>
      <c r="M219" s="64" t="str">
        <f t="shared" si="124"/>
        <v/>
      </c>
      <c r="N219" s="65"/>
      <c r="O219" s="63" t="str">
        <f t="shared" si="125"/>
        <v/>
      </c>
      <c r="P219" s="63" t="str">
        <f t="shared" si="126"/>
        <v/>
      </c>
      <c r="Q219" s="66"/>
      <c r="R219" s="63" t="str">
        <f t="shared" si="127"/>
        <v/>
      </c>
      <c r="S219" s="64" t="str">
        <f t="shared" si="128"/>
        <v/>
      </c>
      <c r="T219" s="63" t="str">
        <f t="shared" si="129"/>
        <v/>
      </c>
      <c r="U219" s="64" t="str">
        <f t="shared" si="130"/>
        <v/>
      </c>
      <c r="V219" s="207" t="str">
        <f>IF($A220="","",IF(AND(MONTH(A219)&gt;3,MONTH(A219)&lt;11),(T219+R219+G219)*(((1/(1-Summary!$T$14))/(1-Summary!$W$14))-1),(T219+R219+G219)*((1/(1-Summary!$U$14))/(1-Summary!$X$14)-1)))</f>
        <v/>
      </c>
      <c r="W219" s="43" t="str">
        <f t="shared" si="131"/>
        <v/>
      </c>
      <c r="X219" s="43" t="str">
        <f t="shared" si="132"/>
        <v/>
      </c>
      <c r="Y219" s="43"/>
      <c r="Z219" s="38" t="str">
        <f t="shared" si="133"/>
        <v/>
      </c>
      <c r="AA219" s="38" t="str">
        <f t="shared" si="134"/>
        <v/>
      </c>
      <c r="AB219" s="38" t="e">
        <f t="shared" si="135"/>
        <v>#VALUE!</v>
      </c>
      <c r="AC219" s="38" t="str">
        <f t="shared" si="136"/>
        <v/>
      </c>
      <c r="AD219" s="38" t="str">
        <f t="shared" si="137"/>
        <v/>
      </c>
      <c r="AE219" s="38" t="e">
        <f t="shared" si="138"/>
        <v>#VALUE!</v>
      </c>
      <c r="AF219" s="237" t="e">
        <f>((Summary!$N$14*(AA219*AD219)*(A219-$D$3))+(Summary!$M$14*Z219*AC219*(AJ219-EOMONTH(EDATE(A219,-1),0))))/(AK219*AB219*AE219)</f>
        <v>#VALUE!</v>
      </c>
      <c r="AG219" s="88" t="str">
        <f>IF($A220="","",Summary!$Q$14)</f>
        <v/>
      </c>
      <c r="AH219" s="88" t="str">
        <f>IF($A220="","",IF(Summary!$R$12="Y",(VLOOKUP($A219,Summary!$AD$6:$AF$9,3)+'Escalating commodity'!J232),'Escalating commodity'!J232))</f>
        <v/>
      </c>
      <c r="AI219" s="88" t="str">
        <f t="shared" si="154"/>
        <v/>
      </c>
      <c r="AJ219" s="236" t="e">
        <f t="shared" si="139"/>
        <v>#VALUE!</v>
      </c>
      <c r="AK219" s="58" t="str">
        <f t="shared" si="140"/>
        <v/>
      </c>
      <c r="AL219" s="26" t="str">
        <f>IF($A220="","",_xll.SPRDOPT(P219,X219,AI219,0,AB219,AE219,AF219,AK219,$AJ$2,0))</f>
        <v/>
      </c>
      <c r="AM219" s="89" t="str">
        <f t="shared" si="141"/>
        <v/>
      </c>
      <c r="AN219" s="89" t="str">
        <f t="shared" si="142"/>
        <v/>
      </c>
      <c r="AO219" s="3" t="str">
        <f t="shared" si="143"/>
        <v/>
      </c>
      <c r="AP219" s="33" t="str">
        <f t="shared" si="144"/>
        <v/>
      </c>
      <c r="AQ219" s="58" t="str">
        <f t="shared" si="145"/>
        <v/>
      </c>
      <c r="AR219" s="38">
        <f>'ANR OK vs ML7'!AR219</f>
        <v>0.1</v>
      </c>
      <c r="AS219" s="35" t="str">
        <f t="shared" si="146"/>
        <v/>
      </c>
      <c r="AT219" s="3" t="str">
        <f t="shared" si="147"/>
        <v/>
      </c>
      <c r="AU219" s="3" t="str">
        <f t="shared" si="148"/>
        <v/>
      </c>
      <c r="AW219" s="32" t="str">
        <f t="shared" si="149"/>
        <v/>
      </c>
      <c r="AX219" s="32" t="str">
        <f t="shared" si="150"/>
        <v/>
      </c>
      <c r="AY219" s="32" t="str">
        <f t="shared" si="151"/>
        <v/>
      </c>
      <c r="BA219" s="32" t="str">
        <f>IF($A220="","",F219*Summary!$Q$14)</f>
        <v/>
      </c>
    </row>
    <row r="220" spans="1:53" ht="12" customHeight="1">
      <c r="A220" s="67" t="str">
        <f t="shared" si="152"/>
        <v/>
      </c>
      <c r="B220" s="69" t="str">
        <f t="shared" si="153"/>
        <v/>
      </c>
      <c r="C220" s="71"/>
      <c r="D220" s="69" t="str">
        <f t="shared" si="117"/>
        <v/>
      </c>
      <c r="E220" s="70" t="str">
        <f t="shared" si="118"/>
        <v/>
      </c>
      <c r="F220" s="70" t="str">
        <f t="shared" si="119"/>
        <v/>
      </c>
      <c r="G220" s="63" t="str">
        <f t="shared" si="120"/>
        <v/>
      </c>
      <c r="H220" s="64" t="str">
        <f t="shared" si="121"/>
        <v/>
      </c>
      <c r="I220" s="43"/>
      <c r="J220" s="63" t="str">
        <f t="shared" si="122"/>
        <v/>
      </c>
      <c r="K220" s="64" t="str">
        <f t="shared" si="123"/>
        <v/>
      </c>
      <c r="L220" s="38">
        <v>0</v>
      </c>
      <c r="M220" s="64" t="str">
        <f t="shared" si="124"/>
        <v/>
      </c>
      <c r="N220" s="65"/>
      <c r="O220" s="63" t="str">
        <f t="shared" si="125"/>
        <v/>
      </c>
      <c r="P220" s="63" t="str">
        <f t="shared" si="126"/>
        <v/>
      </c>
      <c r="Q220" s="66"/>
      <c r="R220" s="63" t="str">
        <f t="shared" si="127"/>
        <v/>
      </c>
      <c r="S220" s="64" t="str">
        <f t="shared" si="128"/>
        <v/>
      </c>
      <c r="T220" s="63" t="str">
        <f t="shared" si="129"/>
        <v/>
      </c>
      <c r="U220" s="64" t="str">
        <f t="shared" si="130"/>
        <v/>
      </c>
      <c r="V220" s="207" t="str">
        <f>IF($A221="","",IF(AND(MONTH(A220)&gt;3,MONTH(A220)&lt;11),(T220+R220+G220)*(((1/(1-Summary!$T$14))/(1-Summary!$W$14))-1),(T220+R220+G220)*((1/(1-Summary!$U$14))/(1-Summary!$X$14)-1)))</f>
        <v/>
      </c>
      <c r="W220" s="43" t="str">
        <f t="shared" si="131"/>
        <v/>
      </c>
      <c r="X220" s="43" t="str">
        <f t="shared" si="132"/>
        <v/>
      </c>
      <c r="Y220" s="43"/>
      <c r="Z220" s="38" t="str">
        <f t="shared" si="133"/>
        <v/>
      </c>
      <c r="AA220" s="38" t="str">
        <f t="shared" si="134"/>
        <v/>
      </c>
      <c r="AB220" s="38" t="e">
        <f t="shared" si="135"/>
        <v>#VALUE!</v>
      </c>
      <c r="AC220" s="38" t="str">
        <f t="shared" si="136"/>
        <v/>
      </c>
      <c r="AD220" s="38" t="str">
        <f t="shared" si="137"/>
        <v/>
      </c>
      <c r="AE220" s="38" t="e">
        <f t="shared" si="138"/>
        <v>#VALUE!</v>
      </c>
      <c r="AF220" s="237" t="e">
        <f>((Summary!$N$14*(AA220*AD220)*(A220-$D$3))+(Summary!$M$14*Z220*AC220*(AJ220-EOMONTH(EDATE(A220,-1),0))))/(AK220*AB220*AE220)</f>
        <v>#VALUE!</v>
      </c>
      <c r="AG220" s="88" t="str">
        <f>IF($A221="","",Summary!$Q$14)</f>
        <v/>
      </c>
      <c r="AH220" s="88" t="str">
        <f>IF($A221="","",IF(Summary!$R$12="Y",(VLOOKUP($A220,Summary!$AD$6:$AF$9,3)+'Escalating commodity'!J233),'Escalating commodity'!J233))</f>
        <v/>
      </c>
      <c r="AI220" s="88" t="str">
        <f t="shared" si="154"/>
        <v/>
      </c>
      <c r="AJ220" s="236" t="e">
        <f t="shared" si="139"/>
        <v>#VALUE!</v>
      </c>
      <c r="AK220" s="58" t="str">
        <f t="shared" si="140"/>
        <v/>
      </c>
      <c r="AL220" s="26" t="str">
        <f>IF($A221="","",_xll.SPRDOPT(P220,X220,AI220,0,AB220,AE220,AF220,AK220,$AJ$2,0))</f>
        <v/>
      </c>
      <c r="AM220" s="89" t="str">
        <f t="shared" si="141"/>
        <v/>
      </c>
      <c r="AN220" s="89" t="str">
        <f t="shared" si="142"/>
        <v/>
      </c>
      <c r="AO220" s="3" t="str">
        <f t="shared" si="143"/>
        <v/>
      </c>
      <c r="AP220" s="33" t="str">
        <f t="shared" si="144"/>
        <v/>
      </c>
      <c r="AQ220" s="58" t="str">
        <f t="shared" si="145"/>
        <v/>
      </c>
      <c r="AR220" s="38">
        <f>'ANR OK vs ML7'!AR220</f>
        <v>0.1</v>
      </c>
      <c r="AS220" s="35" t="str">
        <f t="shared" si="146"/>
        <v/>
      </c>
      <c r="AT220" s="3" t="str">
        <f t="shared" si="147"/>
        <v/>
      </c>
      <c r="AU220" s="3" t="str">
        <f t="shared" si="148"/>
        <v/>
      </c>
      <c r="AW220" s="32" t="str">
        <f t="shared" si="149"/>
        <v/>
      </c>
      <c r="AX220" s="32" t="str">
        <f t="shared" si="150"/>
        <v/>
      </c>
      <c r="AY220" s="32" t="str">
        <f t="shared" si="151"/>
        <v/>
      </c>
      <c r="BA220" s="32" t="str">
        <f>IF($A221="","",F220*Summary!$Q$14)</f>
        <v/>
      </c>
    </row>
    <row r="221" spans="1:53" ht="12" customHeight="1">
      <c r="A221" s="67" t="str">
        <f t="shared" si="152"/>
        <v/>
      </c>
      <c r="B221" s="69" t="str">
        <f t="shared" si="153"/>
        <v/>
      </c>
      <c r="C221" s="71"/>
      <c r="D221" s="69" t="str">
        <f t="shared" si="117"/>
        <v/>
      </c>
      <c r="E221" s="70" t="str">
        <f t="shared" si="118"/>
        <v/>
      </c>
      <c r="F221" s="70" t="str">
        <f t="shared" si="119"/>
        <v/>
      </c>
      <c r="G221" s="63" t="str">
        <f t="shared" si="120"/>
        <v/>
      </c>
      <c r="H221" s="64" t="str">
        <f t="shared" si="121"/>
        <v/>
      </c>
      <c r="I221" s="43"/>
      <c r="J221" s="63" t="str">
        <f t="shared" si="122"/>
        <v/>
      </c>
      <c r="K221" s="64" t="str">
        <f t="shared" si="123"/>
        <v/>
      </c>
      <c r="L221" s="38">
        <v>0</v>
      </c>
      <c r="M221" s="64" t="str">
        <f t="shared" si="124"/>
        <v/>
      </c>
      <c r="N221" s="65"/>
      <c r="O221" s="63" t="str">
        <f t="shared" si="125"/>
        <v/>
      </c>
      <c r="P221" s="63" t="str">
        <f t="shared" si="126"/>
        <v/>
      </c>
      <c r="Q221" s="66"/>
      <c r="R221" s="63" t="str">
        <f t="shared" si="127"/>
        <v/>
      </c>
      <c r="S221" s="64" t="str">
        <f t="shared" si="128"/>
        <v/>
      </c>
      <c r="T221" s="63" t="str">
        <f t="shared" si="129"/>
        <v/>
      </c>
      <c r="U221" s="64" t="str">
        <f t="shared" si="130"/>
        <v/>
      </c>
      <c r="V221" s="207" t="str">
        <f>IF($A222="","",IF(AND(MONTH(A221)&gt;3,MONTH(A221)&lt;11),(T221+R221+G221)*(((1/(1-Summary!$T$14))/(1-Summary!$W$14))-1),(T221+R221+G221)*((1/(1-Summary!$U$14))/(1-Summary!$X$14)-1)))</f>
        <v/>
      </c>
      <c r="W221" s="43" t="str">
        <f t="shared" si="131"/>
        <v/>
      </c>
      <c r="X221" s="43" t="str">
        <f t="shared" si="132"/>
        <v/>
      </c>
      <c r="Y221" s="43"/>
      <c r="Z221" s="38" t="str">
        <f t="shared" si="133"/>
        <v/>
      </c>
      <c r="AA221" s="38" t="str">
        <f t="shared" si="134"/>
        <v/>
      </c>
      <c r="AB221" s="38" t="e">
        <f t="shared" si="135"/>
        <v>#VALUE!</v>
      </c>
      <c r="AC221" s="38" t="str">
        <f t="shared" si="136"/>
        <v/>
      </c>
      <c r="AD221" s="38" t="str">
        <f t="shared" si="137"/>
        <v/>
      </c>
      <c r="AE221" s="38" t="e">
        <f t="shared" si="138"/>
        <v>#VALUE!</v>
      </c>
      <c r="AF221" s="237" t="e">
        <f>((Summary!$N$14*(AA221*AD221)*(A221-$D$3))+(Summary!$M$14*Z221*AC221*(AJ221-EOMONTH(EDATE(A221,-1),0))))/(AK221*AB221*AE221)</f>
        <v>#VALUE!</v>
      </c>
      <c r="AG221" s="88" t="str">
        <f>IF($A222="","",Summary!$Q$14)</f>
        <v/>
      </c>
      <c r="AH221" s="88" t="str">
        <f>IF($A222="","",IF(Summary!$R$12="Y",(VLOOKUP($A221,Summary!$AD$6:$AF$9,3)+'Escalating commodity'!J234),'Escalating commodity'!J234))</f>
        <v/>
      </c>
      <c r="AI221" s="88" t="str">
        <f t="shared" si="154"/>
        <v/>
      </c>
      <c r="AJ221" s="236" t="e">
        <f t="shared" si="139"/>
        <v>#VALUE!</v>
      </c>
      <c r="AK221" s="58" t="str">
        <f t="shared" si="140"/>
        <v/>
      </c>
      <c r="AL221" s="26" t="str">
        <f>IF($A222="","",_xll.SPRDOPT(P221,X221,AI221,0,AB221,AE221,AF221,AK221,$AJ$2,0))</f>
        <v/>
      </c>
      <c r="AM221" s="89" t="str">
        <f t="shared" si="141"/>
        <v/>
      </c>
      <c r="AN221" s="89" t="str">
        <f t="shared" si="142"/>
        <v/>
      </c>
      <c r="AO221" s="3" t="str">
        <f t="shared" si="143"/>
        <v/>
      </c>
      <c r="AP221" s="33" t="str">
        <f t="shared" si="144"/>
        <v/>
      </c>
      <c r="AQ221" s="58" t="str">
        <f t="shared" si="145"/>
        <v/>
      </c>
      <c r="AR221" s="38">
        <f>'ANR OK vs ML7'!AR221</f>
        <v>0.1</v>
      </c>
      <c r="AS221" s="35" t="str">
        <f t="shared" si="146"/>
        <v/>
      </c>
      <c r="AT221" s="3" t="str">
        <f t="shared" si="147"/>
        <v/>
      </c>
      <c r="AU221" s="3" t="str">
        <f t="shared" si="148"/>
        <v/>
      </c>
      <c r="AW221" s="32" t="str">
        <f t="shared" si="149"/>
        <v/>
      </c>
      <c r="AX221" s="32" t="str">
        <f t="shared" si="150"/>
        <v/>
      </c>
      <c r="AY221" s="32" t="str">
        <f t="shared" si="151"/>
        <v/>
      </c>
      <c r="BA221" s="32" t="str">
        <f>IF($A222="","",F221*Summary!$Q$14)</f>
        <v/>
      </c>
    </row>
    <row r="222" spans="1:53" ht="12" customHeight="1">
      <c r="A222" s="67" t="str">
        <f t="shared" si="152"/>
        <v/>
      </c>
      <c r="B222" s="69" t="str">
        <f t="shared" si="153"/>
        <v/>
      </c>
      <c r="C222" s="71"/>
      <c r="D222" s="69" t="str">
        <f t="shared" si="117"/>
        <v/>
      </c>
      <c r="E222" s="70" t="str">
        <f t="shared" si="118"/>
        <v/>
      </c>
      <c r="F222" s="70" t="str">
        <f t="shared" si="119"/>
        <v/>
      </c>
      <c r="G222" s="63" t="str">
        <f t="shared" si="120"/>
        <v/>
      </c>
      <c r="H222" s="64" t="str">
        <f t="shared" si="121"/>
        <v/>
      </c>
      <c r="I222" s="43"/>
      <c r="J222" s="63" t="str">
        <f t="shared" si="122"/>
        <v/>
      </c>
      <c r="K222" s="64" t="str">
        <f t="shared" si="123"/>
        <v/>
      </c>
      <c r="L222" s="38">
        <v>0</v>
      </c>
      <c r="M222" s="64" t="str">
        <f t="shared" si="124"/>
        <v/>
      </c>
      <c r="N222" s="65"/>
      <c r="O222" s="63" t="str">
        <f t="shared" si="125"/>
        <v/>
      </c>
      <c r="P222" s="63" t="str">
        <f t="shared" si="126"/>
        <v/>
      </c>
      <c r="Q222" s="66"/>
      <c r="R222" s="63" t="str">
        <f t="shared" si="127"/>
        <v/>
      </c>
      <c r="S222" s="64" t="str">
        <f t="shared" si="128"/>
        <v/>
      </c>
      <c r="T222" s="63" t="str">
        <f t="shared" si="129"/>
        <v/>
      </c>
      <c r="U222" s="64" t="str">
        <f t="shared" si="130"/>
        <v/>
      </c>
      <c r="V222" s="207" t="str">
        <f>IF($A223="","",IF(AND(MONTH(A222)&gt;3,MONTH(A222)&lt;11),(T222+R222+G222)*(((1/(1-Summary!$T$14))/(1-Summary!$W$14))-1),(T222+R222+G222)*((1/(1-Summary!$U$14))/(1-Summary!$X$14)-1)))</f>
        <v/>
      </c>
      <c r="W222" s="43" t="str">
        <f t="shared" si="131"/>
        <v/>
      </c>
      <c r="X222" s="43" t="str">
        <f t="shared" si="132"/>
        <v/>
      </c>
      <c r="Y222" s="43"/>
      <c r="Z222" s="38" t="str">
        <f t="shared" si="133"/>
        <v/>
      </c>
      <c r="AA222" s="38" t="str">
        <f t="shared" si="134"/>
        <v/>
      </c>
      <c r="AB222" s="38" t="e">
        <f t="shared" si="135"/>
        <v>#VALUE!</v>
      </c>
      <c r="AC222" s="38" t="str">
        <f t="shared" si="136"/>
        <v/>
      </c>
      <c r="AD222" s="38" t="str">
        <f t="shared" si="137"/>
        <v/>
      </c>
      <c r="AE222" s="38" t="e">
        <f t="shared" si="138"/>
        <v>#VALUE!</v>
      </c>
      <c r="AF222" s="237" t="e">
        <f>((Summary!$N$14*(AA222*AD222)*(A222-$D$3))+(Summary!$M$14*Z222*AC222*(AJ222-EOMONTH(EDATE(A222,-1),0))))/(AK222*AB222*AE222)</f>
        <v>#VALUE!</v>
      </c>
      <c r="AG222" s="88" t="str">
        <f>IF($A223="","",Summary!$Q$14)</f>
        <v/>
      </c>
      <c r="AH222" s="88" t="str">
        <f>IF($A223="","",IF(Summary!$R$12="Y",(VLOOKUP($A222,Summary!$AD$6:$AF$9,3)+'Escalating commodity'!J235),'Escalating commodity'!J235))</f>
        <v/>
      </c>
      <c r="AI222" s="88" t="str">
        <f t="shared" si="154"/>
        <v/>
      </c>
      <c r="AJ222" s="236" t="e">
        <f t="shared" si="139"/>
        <v>#VALUE!</v>
      </c>
      <c r="AK222" s="58" t="str">
        <f t="shared" si="140"/>
        <v/>
      </c>
      <c r="AL222" s="26" t="str">
        <f>IF($A223="","",_xll.SPRDOPT(P222,X222,AI222,0,AB222,AE222,AF222,AK222,$AJ$2,0))</f>
        <v/>
      </c>
      <c r="AM222" s="89" t="str">
        <f t="shared" si="141"/>
        <v/>
      </c>
      <c r="AN222" s="89" t="str">
        <f t="shared" si="142"/>
        <v/>
      </c>
      <c r="AO222" s="3" t="str">
        <f t="shared" si="143"/>
        <v/>
      </c>
      <c r="AP222" s="33" t="str">
        <f t="shared" si="144"/>
        <v/>
      </c>
      <c r="AQ222" s="58" t="str">
        <f t="shared" si="145"/>
        <v/>
      </c>
      <c r="AR222" s="38">
        <f>'ANR OK vs ML7'!AR222</f>
        <v>0.1</v>
      </c>
      <c r="AS222" s="35" t="str">
        <f t="shared" si="146"/>
        <v/>
      </c>
      <c r="AT222" s="3" t="str">
        <f t="shared" si="147"/>
        <v/>
      </c>
      <c r="AU222" s="3" t="str">
        <f t="shared" si="148"/>
        <v/>
      </c>
      <c r="AW222" s="32" t="str">
        <f t="shared" si="149"/>
        <v/>
      </c>
      <c r="AX222" s="32" t="str">
        <f t="shared" si="150"/>
        <v/>
      </c>
      <c r="AY222" s="32" t="str">
        <f t="shared" si="151"/>
        <v/>
      </c>
      <c r="BA222" s="32" t="str">
        <f>IF($A223="","",F222*Summary!$Q$14)</f>
        <v/>
      </c>
    </row>
    <row r="223" spans="1:53" ht="12" customHeight="1">
      <c r="A223" s="67" t="str">
        <f t="shared" si="152"/>
        <v/>
      </c>
      <c r="B223" s="69" t="str">
        <f t="shared" si="153"/>
        <v/>
      </c>
      <c r="C223" s="71"/>
      <c r="D223" s="69" t="str">
        <f t="shared" si="117"/>
        <v/>
      </c>
      <c r="E223" s="70" t="str">
        <f t="shared" si="118"/>
        <v/>
      </c>
      <c r="F223" s="70" t="str">
        <f t="shared" si="119"/>
        <v/>
      </c>
      <c r="G223" s="63" t="str">
        <f t="shared" si="120"/>
        <v/>
      </c>
      <c r="H223" s="64" t="str">
        <f t="shared" si="121"/>
        <v/>
      </c>
      <c r="I223" s="43"/>
      <c r="J223" s="63" t="str">
        <f t="shared" si="122"/>
        <v/>
      </c>
      <c r="K223" s="64" t="str">
        <f t="shared" si="123"/>
        <v/>
      </c>
      <c r="L223" s="38">
        <v>0</v>
      </c>
      <c r="M223" s="64" t="str">
        <f t="shared" si="124"/>
        <v/>
      </c>
      <c r="N223" s="65"/>
      <c r="O223" s="63" t="str">
        <f t="shared" si="125"/>
        <v/>
      </c>
      <c r="P223" s="63" t="str">
        <f t="shared" si="126"/>
        <v/>
      </c>
      <c r="Q223" s="66"/>
      <c r="R223" s="63" t="str">
        <f t="shared" si="127"/>
        <v/>
      </c>
      <c r="S223" s="64" t="str">
        <f t="shared" si="128"/>
        <v/>
      </c>
      <c r="T223" s="63" t="str">
        <f t="shared" si="129"/>
        <v/>
      </c>
      <c r="U223" s="64" t="str">
        <f t="shared" si="130"/>
        <v/>
      </c>
      <c r="V223" s="207" t="str">
        <f>IF($A224="","",IF(AND(MONTH(A223)&gt;3,MONTH(A223)&lt;11),(T223+R223+G223)*(((1/(1-Summary!$T$14))/(1-Summary!$W$14))-1),(T223+R223+G223)*((1/(1-Summary!$U$14))/(1-Summary!$X$14)-1)))</f>
        <v/>
      </c>
      <c r="W223" s="43" t="str">
        <f t="shared" si="131"/>
        <v/>
      </c>
      <c r="X223" s="43" t="str">
        <f t="shared" si="132"/>
        <v/>
      </c>
      <c r="Y223" s="43"/>
      <c r="Z223" s="38" t="str">
        <f t="shared" si="133"/>
        <v/>
      </c>
      <c r="AA223" s="38" t="str">
        <f t="shared" si="134"/>
        <v/>
      </c>
      <c r="AB223" s="38" t="e">
        <f t="shared" si="135"/>
        <v>#VALUE!</v>
      </c>
      <c r="AC223" s="38" t="str">
        <f t="shared" si="136"/>
        <v/>
      </c>
      <c r="AD223" s="38" t="str">
        <f t="shared" si="137"/>
        <v/>
      </c>
      <c r="AE223" s="38" t="e">
        <f t="shared" si="138"/>
        <v>#VALUE!</v>
      </c>
      <c r="AF223" s="237" t="e">
        <f>((Summary!$N$14*(AA223*AD223)*(A223-$D$3))+(Summary!$M$14*Z223*AC223*(AJ223-EOMONTH(EDATE(A223,-1),0))))/(AK223*AB223*AE223)</f>
        <v>#VALUE!</v>
      </c>
      <c r="AG223" s="88" t="str">
        <f>IF($A224="","",Summary!$Q$14)</f>
        <v/>
      </c>
      <c r="AH223" s="88" t="str">
        <f>IF($A224="","",IF(Summary!$R$12="Y",(VLOOKUP($A223,Summary!$AD$6:$AF$9,3)+'Escalating commodity'!J236),'Escalating commodity'!J236))</f>
        <v/>
      </c>
      <c r="AI223" s="88" t="str">
        <f t="shared" si="154"/>
        <v/>
      </c>
      <c r="AJ223" s="236" t="e">
        <f t="shared" si="139"/>
        <v>#VALUE!</v>
      </c>
      <c r="AK223" s="58" t="str">
        <f t="shared" si="140"/>
        <v/>
      </c>
      <c r="AL223" s="26" t="str">
        <f>IF($A224="","",_xll.SPRDOPT(P223,X223,AI223,0,AB223,AE223,AF223,AK223,$AJ$2,0))</f>
        <v/>
      </c>
      <c r="AM223" s="89" t="str">
        <f t="shared" si="141"/>
        <v/>
      </c>
      <c r="AN223" s="89" t="str">
        <f t="shared" si="142"/>
        <v/>
      </c>
      <c r="AO223" s="3" t="str">
        <f t="shared" si="143"/>
        <v/>
      </c>
      <c r="AP223" s="33" t="str">
        <f t="shared" si="144"/>
        <v/>
      </c>
      <c r="AQ223" s="58" t="str">
        <f t="shared" si="145"/>
        <v/>
      </c>
      <c r="AR223" s="38">
        <f>'ANR OK vs ML7'!AR223</f>
        <v>0.1</v>
      </c>
      <c r="AS223" s="35" t="str">
        <f t="shared" si="146"/>
        <v/>
      </c>
      <c r="AT223" s="3" t="str">
        <f t="shared" si="147"/>
        <v/>
      </c>
      <c r="AU223" s="3" t="str">
        <f t="shared" si="148"/>
        <v/>
      </c>
      <c r="AW223" s="32" t="str">
        <f t="shared" si="149"/>
        <v/>
      </c>
      <c r="AX223" s="32" t="str">
        <f t="shared" si="150"/>
        <v/>
      </c>
      <c r="AY223" s="32" t="str">
        <f t="shared" si="151"/>
        <v/>
      </c>
      <c r="BA223" s="32" t="str">
        <f>IF($A224="","",F223*Summary!$Q$14)</f>
        <v/>
      </c>
    </row>
    <row r="224" spans="1:53" ht="12" customHeight="1">
      <c r="A224" s="67" t="str">
        <f t="shared" si="152"/>
        <v/>
      </c>
      <c r="B224" s="69" t="str">
        <f t="shared" si="153"/>
        <v/>
      </c>
      <c r="C224" s="71"/>
      <c r="D224" s="69" t="str">
        <f t="shared" si="117"/>
        <v/>
      </c>
      <c r="E224" s="70" t="str">
        <f t="shared" si="118"/>
        <v/>
      </c>
      <c r="F224" s="70" t="str">
        <f t="shared" si="119"/>
        <v/>
      </c>
      <c r="G224" s="63" t="str">
        <f t="shared" si="120"/>
        <v/>
      </c>
      <c r="H224" s="64" t="str">
        <f t="shared" si="121"/>
        <v/>
      </c>
      <c r="I224" s="43"/>
      <c r="J224" s="63" t="str">
        <f t="shared" si="122"/>
        <v/>
      </c>
      <c r="K224" s="64" t="str">
        <f t="shared" si="123"/>
        <v/>
      </c>
      <c r="L224" s="38">
        <v>0</v>
      </c>
      <c r="M224" s="64" t="str">
        <f t="shared" si="124"/>
        <v/>
      </c>
      <c r="N224" s="65"/>
      <c r="O224" s="63" t="str">
        <f t="shared" si="125"/>
        <v/>
      </c>
      <c r="P224" s="63" t="str">
        <f t="shared" si="126"/>
        <v/>
      </c>
      <c r="Q224" s="66"/>
      <c r="R224" s="63" t="str">
        <f t="shared" si="127"/>
        <v/>
      </c>
      <c r="S224" s="64" t="str">
        <f t="shared" si="128"/>
        <v/>
      </c>
      <c r="T224" s="63" t="str">
        <f t="shared" si="129"/>
        <v/>
      </c>
      <c r="U224" s="64" t="str">
        <f t="shared" si="130"/>
        <v/>
      </c>
      <c r="V224" s="207" t="str">
        <f>IF($A225="","",IF(AND(MONTH(A224)&gt;3,MONTH(A224)&lt;11),(T224+R224+G224)*(((1/(1-Summary!$T$14))/(1-Summary!$W$14))-1),(T224+R224+G224)*((1/(1-Summary!$U$14))/(1-Summary!$X$14)-1)))</f>
        <v/>
      </c>
      <c r="W224" s="43" t="str">
        <f t="shared" si="131"/>
        <v/>
      </c>
      <c r="X224" s="43" t="str">
        <f t="shared" si="132"/>
        <v/>
      </c>
      <c r="Y224" s="43"/>
      <c r="Z224" s="38" t="str">
        <f t="shared" si="133"/>
        <v/>
      </c>
      <c r="AA224" s="38" t="str">
        <f t="shared" si="134"/>
        <v/>
      </c>
      <c r="AB224" s="38" t="e">
        <f t="shared" si="135"/>
        <v>#VALUE!</v>
      </c>
      <c r="AC224" s="38" t="str">
        <f t="shared" si="136"/>
        <v/>
      </c>
      <c r="AD224" s="38" t="str">
        <f t="shared" si="137"/>
        <v/>
      </c>
      <c r="AE224" s="38" t="e">
        <f t="shared" si="138"/>
        <v>#VALUE!</v>
      </c>
      <c r="AF224" s="237" t="e">
        <f>((Summary!$N$14*(AA224*AD224)*(A224-$D$3))+(Summary!$M$14*Z224*AC224*(AJ224-EOMONTH(EDATE(A224,-1),0))))/(AK224*AB224*AE224)</f>
        <v>#VALUE!</v>
      </c>
      <c r="AG224" s="88" t="str">
        <f>IF($A225="","",Summary!$Q$14)</f>
        <v/>
      </c>
      <c r="AH224" s="88" t="str">
        <f>IF($A225="","",IF(Summary!$R$12="Y",(VLOOKUP($A224,Summary!$AD$6:$AF$9,3)+'Escalating commodity'!J237),'Escalating commodity'!J237))</f>
        <v/>
      </c>
      <c r="AI224" s="88" t="str">
        <f t="shared" si="154"/>
        <v/>
      </c>
      <c r="AJ224" s="236" t="e">
        <f t="shared" si="139"/>
        <v>#VALUE!</v>
      </c>
      <c r="AK224" s="58" t="str">
        <f t="shared" si="140"/>
        <v/>
      </c>
      <c r="AL224" s="26" t="str">
        <f>IF($A225="","",_xll.SPRDOPT(P224,X224,AI224,0,AB224,AE224,AF224,AK224,$AJ$2,0))</f>
        <v/>
      </c>
      <c r="AM224" s="89" t="str">
        <f t="shared" si="141"/>
        <v/>
      </c>
      <c r="AN224" s="89" t="str">
        <f t="shared" si="142"/>
        <v/>
      </c>
      <c r="AO224" s="3" t="str">
        <f t="shared" si="143"/>
        <v/>
      </c>
      <c r="AP224" s="33" t="str">
        <f t="shared" si="144"/>
        <v/>
      </c>
      <c r="AQ224" s="58" t="str">
        <f t="shared" si="145"/>
        <v/>
      </c>
      <c r="AR224" s="38">
        <f>'ANR OK vs ML7'!AR224</f>
        <v>0.1</v>
      </c>
      <c r="AS224" s="35" t="str">
        <f t="shared" si="146"/>
        <v/>
      </c>
      <c r="AT224" s="3" t="str">
        <f t="shared" si="147"/>
        <v/>
      </c>
      <c r="AU224" s="3" t="str">
        <f t="shared" si="148"/>
        <v/>
      </c>
      <c r="AW224" s="32" t="str">
        <f t="shared" si="149"/>
        <v/>
      </c>
      <c r="AX224" s="32" t="str">
        <f t="shared" si="150"/>
        <v/>
      </c>
      <c r="AY224" s="32" t="str">
        <f t="shared" si="151"/>
        <v/>
      </c>
      <c r="BA224" s="32" t="str">
        <f>IF($A225="","",F224*Summary!$Q$14)</f>
        <v/>
      </c>
    </row>
    <row r="225" spans="1:53" ht="12" customHeight="1">
      <c r="A225" s="67" t="str">
        <f t="shared" si="152"/>
        <v/>
      </c>
      <c r="B225" s="69" t="str">
        <f t="shared" si="153"/>
        <v/>
      </c>
      <c r="C225" s="71"/>
      <c r="D225" s="69" t="str">
        <f t="shared" si="117"/>
        <v/>
      </c>
      <c r="E225" s="70" t="str">
        <f t="shared" si="118"/>
        <v/>
      </c>
      <c r="F225" s="70" t="str">
        <f t="shared" si="119"/>
        <v/>
      </c>
      <c r="G225" s="63" t="str">
        <f t="shared" si="120"/>
        <v/>
      </c>
      <c r="H225" s="64" t="str">
        <f t="shared" si="121"/>
        <v/>
      </c>
      <c r="I225" s="43"/>
      <c r="J225" s="63" t="str">
        <f t="shared" si="122"/>
        <v/>
      </c>
      <c r="K225" s="64" t="str">
        <f t="shared" si="123"/>
        <v/>
      </c>
      <c r="L225" s="38">
        <v>0</v>
      </c>
      <c r="M225" s="64" t="str">
        <f t="shared" si="124"/>
        <v/>
      </c>
      <c r="N225" s="65"/>
      <c r="O225" s="63" t="str">
        <f t="shared" si="125"/>
        <v/>
      </c>
      <c r="P225" s="63" t="str">
        <f t="shared" si="126"/>
        <v/>
      </c>
      <c r="Q225" s="66"/>
      <c r="R225" s="63" t="str">
        <f t="shared" si="127"/>
        <v/>
      </c>
      <c r="S225" s="64" t="str">
        <f t="shared" si="128"/>
        <v/>
      </c>
      <c r="T225" s="63" t="str">
        <f t="shared" si="129"/>
        <v/>
      </c>
      <c r="U225" s="64" t="str">
        <f t="shared" si="130"/>
        <v/>
      </c>
      <c r="V225" s="207" t="str">
        <f>IF($A226="","",IF(AND(MONTH(A225)&gt;3,MONTH(A225)&lt;11),(T225+R225+G225)*(((1/(1-Summary!$T$14))/(1-Summary!$W$14))-1),(T225+R225+G225)*((1/(1-Summary!$U$14))/(1-Summary!$X$14)-1)))</f>
        <v/>
      </c>
      <c r="W225" s="43" t="str">
        <f t="shared" si="131"/>
        <v/>
      </c>
      <c r="X225" s="43" t="str">
        <f t="shared" si="132"/>
        <v/>
      </c>
      <c r="Y225" s="43"/>
      <c r="Z225" s="38" t="str">
        <f t="shared" si="133"/>
        <v/>
      </c>
      <c r="AA225" s="38" t="str">
        <f t="shared" si="134"/>
        <v/>
      </c>
      <c r="AB225" s="38" t="e">
        <f t="shared" si="135"/>
        <v>#VALUE!</v>
      </c>
      <c r="AC225" s="38" t="str">
        <f t="shared" si="136"/>
        <v/>
      </c>
      <c r="AD225" s="38" t="str">
        <f t="shared" si="137"/>
        <v/>
      </c>
      <c r="AE225" s="38" t="e">
        <f t="shared" si="138"/>
        <v>#VALUE!</v>
      </c>
      <c r="AF225" s="237" t="e">
        <f>((Summary!$N$14*(AA225*AD225)*(A225-$D$3))+(Summary!$M$14*Z225*AC225*(AJ225-EOMONTH(EDATE(A225,-1),0))))/(AK225*AB225*AE225)</f>
        <v>#VALUE!</v>
      </c>
      <c r="AG225" s="88" t="str">
        <f>IF($A226="","",Summary!$Q$14)</f>
        <v/>
      </c>
      <c r="AH225" s="88" t="str">
        <f>IF($A226="","",IF(Summary!$R$12="Y",(VLOOKUP($A225,Summary!$AD$6:$AF$9,3)+'Escalating commodity'!J238),'Escalating commodity'!J238))</f>
        <v/>
      </c>
      <c r="AI225" s="88" t="str">
        <f t="shared" si="154"/>
        <v/>
      </c>
      <c r="AJ225" s="236" t="e">
        <f t="shared" si="139"/>
        <v>#VALUE!</v>
      </c>
      <c r="AK225" s="58" t="str">
        <f t="shared" si="140"/>
        <v/>
      </c>
      <c r="AL225" s="26" t="str">
        <f>IF($A226="","",_xll.SPRDOPT(P225,X225,AI225,0,AB225,AE225,AF225,AK225,$AJ$2,0))</f>
        <v/>
      </c>
      <c r="AM225" s="89" t="str">
        <f t="shared" si="141"/>
        <v/>
      </c>
      <c r="AN225" s="89" t="str">
        <f t="shared" si="142"/>
        <v/>
      </c>
      <c r="AO225" s="3" t="str">
        <f t="shared" si="143"/>
        <v/>
      </c>
      <c r="AP225" s="33" t="str">
        <f t="shared" si="144"/>
        <v/>
      </c>
      <c r="AQ225" s="58" t="str">
        <f t="shared" si="145"/>
        <v/>
      </c>
      <c r="AR225" s="38">
        <f>'ANR OK vs ML7'!AR225</f>
        <v>0.1</v>
      </c>
      <c r="AS225" s="35" t="str">
        <f t="shared" si="146"/>
        <v/>
      </c>
      <c r="AT225" s="3" t="str">
        <f t="shared" si="147"/>
        <v/>
      </c>
      <c r="AU225" s="3" t="str">
        <f t="shared" si="148"/>
        <v/>
      </c>
      <c r="AW225" s="32" t="str">
        <f t="shared" si="149"/>
        <v/>
      </c>
      <c r="AX225" s="32" t="str">
        <f t="shared" si="150"/>
        <v/>
      </c>
      <c r="AY225" s="32" t="str">
        <f t="shared" si="151"/>
        <v/>
      </c>
      <c r="BA225" s="32" t="str">
        <f>IF($A226="","",F225*Summary!$Q$14)</f>
        <v/>
      </c>
    </row>
    <row r="226" spans="1:53" ht="12" customHeight="1">
      <c r="A226" s="67" t="str">
        <f t="shared" si="152"/>
        <v/>
      </c>
      <c r="B226" s="69" t="str">
        <f t="shared" si="153"/>
        <v/>
      </c>
      <c r="C226" s="71"/>
      <c r="D226" s="69" t="str">
        <f t="shared" si="117"/>
        <v/>
      </c>
      <c r="E226" s="70" t="str">
        <f t="shared" si="118"/>
        <v/>
      </c>
      <c r="F226" s="70" t="str">
        <f t="shared" si="119"/>
        <v/>
      </c>
      <c r="G226" s="63" t="str">
        <f t="shared" si="120"/>
        <v/>
      </c>
      <c r="H226" s="64" t="str">
        <f t="shared" si="121"/>
        <v/>
      </c>
      <c r="I226" s="43"/>
      <c r="J226" s="63" t="str">
        <f t="shared" si="122"/>
        <v/>
      </c>
      <c r="K226" s="64" t="str">
        <f t="shared" si="123"/>
        <v/>
      </c>
      <c r="L226" s="38">
        <v>0</v>
      </c>
      <c r="M226" s="64" t="str">
        <f t="shared" si="124"/>
        <v/>
      </c>
      <c r="N226" s="65"/>
      <c r="O226" s="63" t="str">
        <f t="shared" si="125"/>
        <v/>
      </c>
      <c r="P226" s="63" t="str">
        <f t="shared" si="126"/>
        <v/>
      </c>
      <c r="Q226" s="66"/>
      <c r="R226" s="63" t="str">
        <f t="shared" si="127"/>
        <v/>
      </c>
      <c r="S226" s="64" t="str">
        <f t="shared" si="128"/>
        <v/>
      </c>
      <c r="T226" s="63" t="str">
        <f t="shared" si="129"/>
        <v/>
      </c>
      <c r="U226" s="64" t="str">
        <f t="shared" si="130"/>
        <v/>
      </c>
      <c r="V226" s="207" t="str">
        <f>IF($A227="","",IF(AND(MONTH(A226)&gt;3,MONTH(A226)&lt;11),(T226+R226+G226)*(((1/(1-Summary!$T$14))/(1-Summary!$W$14))-1),(T226+R226+G226)*((1/(1-Summary!$U$14))/(1-Summary!$X$14)-1)))</f>
        <v/>
      </c>
      <c r="W226" s="43" t="str">
        <f t="shared" si="131"/>
        <v/>
      </c>
      <c r="X226" s="43" t="str">
        <f t="shared" si="132"/>
        <v/>
      </c>
      <c r="Y226" s="43"/>
      <c r="Z226" s="38" t="str">
        <f t="shared" si="133"/>
        <v/>
      </c>
      <c r="AA226" s="38" t="str">
        <f t="shared" si="134"/>
        <v/>
      </c>
      <c r="AB226" s="38" t="e">
        <f t="shared" si="135"/>
        <v>#VALUE!</v>
      </c>
      <c r="AC226" s="38" t="str">
        <f t="shared" si="136"/>
        <v/>
      </c>
      <c r="AD226" s="38" t="str">
        <f t="shared" si="137"/>
        <v/>
      </c>
      <c r="AE226" s="38" t="e">
        <f t="shared" si="138"/>
        <v>#VALUE!</v>
      </c>
      <c r="AF226" s="237" t="e">
        <f>((Summary!$N$14*(AA226*AD226)*(A226-$D$3))+(Summary!$M$14*Z226*AC226*(AJ226-EOMONTH(EDATE(A226,-1),0))))/(AK226*AB226*AE226)</f>
        <v>#VALUE!</v>
      </c>
      <c r="AG226" s="88" t="str">
        <f>IF($A227="","",Summary!$Q$14)</f>
        <v/>
      </c>
      <c r="AH226" s="88" t="str">
        <f>IF($A227="","",IF(Summary!$R$12="Y",(VLOOKUP($A226,Summary!$AD$6:$AF$9,3)+'Escalating commodity'!J239),'Escalating commodity'!J239))</f>
        <v/>
      </c>
      <c r="AI226" s="88" t="str">
        <f t="shared" si="154"/>
        <v/>
      </c>
      <c r="AJ226" s="236" t="e">
        <f t="shared" si="139"/>
        <v>#VALUE!</v>
      </c>
      <c r="AK226" s="58" t="str">
        <f t="shared" si="140"/>
        <v/>
      </c>
      <c r="AL226" s="26" t="str">
        <f>IF($A227="","",_xll.SPRDOPT(P226,X226,AI226,0,AB226,AE226,AF226,AK226,$AJ$2,0))</f>
        <v/>
      </c>
      <c r="AM226" s="89" t="str">
        <f t="shared" si="141"/>
        <v/>
      </c>
      <c r="AN226" s="89" t="str">
        <f t="shared" si="142"/>
        <v/>
      </c>
      <c r="AO226" s="3" t="str">
        <f t="shared" si="143"/>
        <v/>
      </c>
      <c r="AP226" s="33" t="str">
        <f t="shared" si="144"/>
        <v/>
      </c>
      <c r="AQ226" s="58" t="str">
        <f t="shared" si="145"/>
        <v/>
      </c>
      <c r="AR226" s="38">
        <f>'ANR OK vs ML7'!AR226</f>
        <v>0.1</v>
      </c>
      <c r="AS226" s="35" t="str">
        <f t="shared" si="146"/>
        <v/>
      </c>
      <c r="AT226" s="3" t="str">
        <f t="shared" si="147"/>
        <v/>
      </c>
      <c r="AU226" s="3" t="str">
        <f t="shared" si="148"/>
        <v/>
      </c>
      <c r="AW226" s="32" t="str">
        <f t="shared" si="149"/>
        <v/>
      </c>
      <c r="AX226" s="32" t="str">
        <f t="shared" si="150"/>
        <v/>
      </c>
      <c r="AY226" s="32" t="str">
        <f t="shared" si="151"/>
        <v/>
      </c>
      <c r="BA226" s="32" t="str">
        <f>IF($A227="","",F226*Summary!$Q$14)</f>
        <v/>
      </c>
    </row>
    <row r="227" spans="1:53" ht="12" customHeight="1">
      <c r="A227" s="67" t="str">
        <f t="shared" si="152"/>
        <v/>
      </c>
      <c r="B227" s="69" t="str">
        <f t="shared" si="153"/>
        <v/>
      </c>
      <c r="C227" s="71"/>
      <c r="D227" s="69" t="str">
        <f t="shared" si="117"/>
        <v/>
      </c>
      <c r="E227" s="70" t="str">
        <f t="shared" si="118"/>
        <v/>
      </c>
      <c r="F227" s="70" t="str">
        <f t="shared" si="119"/>
        <v/>
      </c>
      <c r="G227" s="63" t="str">
        <f t="shared" si="120"/>
        <v/>
      </c>
      <c r="H227" s="64" t="str">
        <f t="shared" si="121"/>
        <v/>
      </c>
      <c r="I227" s="43"/>
      <c r="J227" s="63" t="str">
        <f t="shared" si="122"/>
        <v/>
      </c>
      <c r="K227" s="64" t="str">
        <f t="shared" si="123"/>
        <v/>
      </c>
      <c r="L227" s="38">
        <v>0</v>
      </c>
      <c r="M227" s="64" t="str">
        <f t="shared" si="124"/>
        <v/>
      </c>
      <c r="N227" s="65"/>
      <c r="O227" s="63" t="str">
        <f t="shared" si="125"/>
        <v/>
      </c>
      <c r="P227" s="63" t="str">
        <f t="shared" si="126"/>
        <v/>
      </c>
      <c r="Q227" s="66"/>
      <c r="R227" s="63" t="str">
        <f t="shared" si="127"/>
        <v/>
      </c>
      <c r="S227" s="64" t="str">
        <f t="shared" si="128"/>
        <v/>
      </c>
      <c r="T227" s="63" t="str">
        <f t="shared" si="129"/>
        <v/>
      </c>
      <c r="U227" s="64" t="str">
        <f t="shared" si="130"/>
        <v/>
      </c>
      <c r="V227" s="207" t="str">
        <f>IF($A228="","",IF(AND(MONTH(A227)&gt;3,MONTH(A227)&lt;11),(T227+R227+G227)*(((1/(1-Summary!$T$14))/(1-Summary!$W$14))-1),(T227+R227+G227)*((1/(1-Summary!$U$14))/(1-Summary!$X$14)-1)))</f>
        <v/>
      </c>
      <c r="W227" s="43" t="str">
        <f t="shared" si="131"/>
        <v/>
      </c>
      <c r="X227" s="43" t="str">
        <f t="shared" si="132"/>
        <v/>
      </c>
      <c r="Y227" s="43"/>
      <c r="Z227" s="38" t="str">
        <f t="shared" si="133"/>
        <v/>
      </c>
      <c r="AA227" s="38" t="str">
        <f t="shared" si="134"/>
        <v/>
      </c>
      <c r="AB227" s="38" t="e">
        <f t="shared" si="135"/>
        <v>#VALUE!</v>
      </c>
      <c r="AC227" s="38" t="str">
        <f t="shared" si="136"/>
        <v/>
      </c>
      <c r="AD227" s="38" t="str">
        <f t="shared" si="137"/>
        <v/>
      </c>
      <c r="AE227" s="38" t="e">
        <f t="shared" si="138"/>
        <v>#VALUE!</v>
      </c>
      <c r="AF227" s="237" t="e">
        <f>((Summary!$N$14*(AA227*AD227)*(A227-$D$3))+(Summary!$M$14*Z227*AC227*(AJ227-EOMONTH(EDATE(A227,-1),0))))/(AK227*AB227*AE227)</f>
        <v>#VALUE!</v>
      </c>
      <c r="AG227" s="88" t="str">
        <f>IF($A228="","",Summary!$Q$14)</f>
        <v/>
      </c>
      <c r="AH227" s="88" t="str">
        <f>IF($A228="","",IF(Summary!$R$12="Y",(VLOOKUP($A227,Summary!$AD$6:$AF$9,3)+'Escalating commodity'!J240),'Escalating commodity'!J240))</f>
        <v/>
      </c>
      <c r="AI227" s="88" t="str">
        <f t="shared" si="154"/>
        <v/>
      </c>
      <c r="AJ227" s="236" t="e">
        <f t="shared" si="139"/>
        <v>#VALUE!</v>
      </c>
      <c r="AK227" s="58" t="str">
        <f t="shared" si="140"/>
        <v/>
      </c>
      <c r="AL227" s="26" t="str">
        <f>IF($A228="","",_xll.SPRDOPT(P227,X227,AI227,0,AB227,AE227,AF227,AK227,$AJ$2,0))</f>
        <v/>
      </c>
      <c r="AM227" s="89" t="str">
        <f t="shared" si="141"/>
        <v/>
      </c>
      <c r="AN227" s="89" t="str">
        <f t="shared" si="142"/>
        <v/>
      </c>
      <c r="AO227" s="3" t="str">
        <f t="shared" si="143"/>
        <v/>
      </c>
      <c r="AP227" s="33" t="str">
        <f t="shared" si="144"/>
        <v/>
      </c>
      <c r="AQ227" s="58" t="str">
        <f t="shared" si="145"/>
        <v/>
      </c>
      <c r="AR227" s="38">
        <f>'ANR OK vs ML7'!AR227</f>
        <v>0.1</v>
      </c>
      <c r="AS227" s="35" t="str">
        <f t="shared" si="146"/>
        <v/>
      </c>
      <c r="AT227" s="3" t="str">
        <f t="shared" si="147"/>
        <v/>
      </c>
      <c r="AU227" s="3" t="str">
        <f t="shared" si="148"/>
        <v/>
      </c>
      <c r="AW227" s="32" t="str">
        <f t="shared" si="149"/>
        <v/>
      </c>
      <c r="AX227" s="32" t="str">
        <f t="shared" si="150"/>
        <v/>
      </c>
      <c r="AY227" s="32" t="str">
        <f t="shared" si="151"/>
        <v/>
      </c>
      <c r="BA227" s="32" t="str">
        <f>IF($A228="","",F227*Summary!$Q$14)</f>
        <v/>
      </c>
    </row>
    <row r="228" spans="1:53" ht="12" customHeight="1">
      <c r="A228" s="67" t="str">
        <f t="shared" si="152"/>
        <v/>
      </c>
      <c r="B228" s="69" t="str">
        <f t="shared" si="153"/>
        <v/>
      </c>
      <c r="C228" s="71"/>
      <c r="D228" s="69" t="str">
        <f t="shared" si="117"/>
        <v/>
      </c>
      <c r="E228" s="70" t="str">
        <f t="shared" si="118"/>
        <v/>
      </c>
      <c r="F228" s="70" t="str">
        <f t="shared" si="119"/>
        <v/>
      </c>
      <c r="G228" s="63" t="str">
        <f t="shared" si="120"/>
        <v/>
      </c>
      <c r="H228" s="64" t="str">
        <f t="shared" si="121"/>
        <v/>
      </c>
      <c r="I228" s="43"/>
      <c r="J228" s="63" t="str">
        <f t="shared" si="122"/>
        <v/>
      </c>
      <c r="K228" s="64" t="str">
        <f t="shared" si="123"/>
        <v/>
      </c>
      <c r="L228" s="38">
        <v>0</v>
      </c>
      <c r="M228" s="64" t="str">
        <f t="shared" si="124"/>
        <v/>
      </c>
      <c r="N228" s="65"/>
      <c r="O228" s="63" t="str">
        <f t="shared" si="125"/>
        <v/>
      </c>
      <c r="P228" s="63" t="str">
        <f t="shared" si="126"/>
        <v/>
      </c>
      <c r="Q228" s="66"/>
      <c r="R228" s="63" t="str">
        <f t="shared" si="127"/>
        <v/>
      </c>
      <c r="S228" s="64" t="str">
        <f t="shared" si="128"/>
        <v/>
      </c>
      <c r="T228" s="63" t="str">
        <f t="shared" si="129"/>
        <v/>
      </c>
      <c r="U228" s="64" t="str">
        <f t="shared" si="130"/>
        <v/>
      </c>
      <c r="V228" s="207" t="str">
        <f>IF($A229="","",IF(AND(MONTH(A228)&gt;3,MONTH(A228)&lt;11),(T228+R228+G228)*(((1/(1-Summary!$T$14))/(1-Summary!$W$14))-1),(T228+R228+G228)*((1/(1-Summary!$U$14))/(1-Summary!$X$14)-1)))</f>
        <v/>
      </c>
      <c r="W228" s="43" t="str">
        <f t="shared" si="131"/>
        <v/>
      </c>
      <c r="X228" s="43" t="str">
        <f t="shared" si="132"/>
        <v/>
      </c>
      <c r="Y228" s="43"/>
      <c r="Z228" s="38" t="str">
        <f t="shared" si="133"/>
        <v/>
      </c>
      <c r="AA228" s="38" t="str">
        <f t="shared" si="134"/>
        <v/>
      </c>
      <c r="AB228" s="38" t="e">
        <f t="shared" si="135"/>
        <v>#VALUE!</v>
      </c>
      <c r="AC228" s="38" t="str">
        <f t="shared" si="136"/>
        <v/>
      </c>
      <c r="AD228" s="38" t="str">
        <f t="shared" si="137"/>
        <v/>
      </c>
      <c r="AE228" s="38" t="e">
        <f t="shared" si="138"/>
        <v>#VALUE!</v>
      </c>
      <c r="AF228" s="237" t="e">
        <f>((Summary!$N$14*(AA228*AD228)*(A228-$D$3))+(Summary!$M$14*Z228*AC228*(AJ228-EOMONTH(EDATE(A228,-1),0))))/(AK228*AB228*AE228)</f>
        <v>#VALUE!</v>
      </c>
      <c r="AG228" s="88" t="str">
        <f>IF($A229="","",Summary!$Q$14)</f>
        <v/>
      </c>
      <c r="AH228" s="88" t="str">
        <f>IF($A229="","",IF(Summary!$R$12="Y",(VLOOKUP($A228,Summary!$AD$6:$AF$9,3)+'Escalating commodity'!J241),'Escalating commodity'!J241))</f>
        <v/>
      </c>
      <c r="AI228" s="88" t="str">
        <f t="shared" si="154"/>
        <v/>
      </c>
      <c r="AJ228" s="236" t="e">
        <f t="shared" si="139"/>
        <v>#VALUE!</v>
      </c>
      <c r="AK228" s="58" t="str">
        <f t="shared" si="140"/>
        <v/>
      </c>
      <c r="AL228" s="26" t="str">
        <f>IF($A229="","",_xll.SPRDOPT(P228,X228,AI228,0,AB228,AE228,AF228,AK228,$AJ$2,0))</f>
        <v/>
      </c>
      <c r="AM228" s="89" t="str">
        <f t="shared" si="141"/>
        <v/>
      </c>
      <c r="AN228" s="89" t="str">
        <f t="shared" si="142"/>
        <v/>
      </c>
      <c r="AO228" s="3" t="str">
        <f t="shared" si="143"/>
        <v/>
      </c>
      <c r="AP228" s="33" t="str">
        <f t="shared" si="144"/>
        <v/>
      </c>
      <c r="AQ228" s="58" t="str">
        <f t="shared" si="145"/>
        <v/>
      </c>
      <c r="AR228" s="38">
        <f>'ANR OK vs ML7'!AR228</f>
        <v>0.1</v>
      </c>
      <c r="AS228" s="35" t="str">
        <f t="shared" si="146"/>
        <v/>
      </c>
      <c r="AT228" s="3" t="str">
        <f t="shared" si="147"/>
        <v/>
      </c>
      <c r="AU228" s="3" t="str">
        <f t="shared" si="148"/>
        <v/>
      </c>
      <c r="AW228" s="32" t="str">
        <f t="shared" si="149"/>
        <v/>
      </c>
      <c r="AX228" s="32" t="str">
        <f t="shared" si="150"/>
        <v/>
      </c>
      <c r="AY228" s="32" t="str">
        <f t="shared" si="151"/>
        <v/>
      </c>
      <c r="BA228" s="32" t="str">
        <f>IF($A229="","",F228*Summary!$Q$14)</f>
        <v/>
      </c>
    </row>
    <row r="229" spans="1:53" ht="12" customHeight="1">
      <c r="A229" s="67" t="str">
        <f t="shared" si="152"/>
        <v/>
      </c>
      <c r="B229" s="69" t="str">
        <f t="shared" si="153"/>
        <v/>
      </c>
      <c r="C229" s="71"/>
      <c r="D229" s="69" t="str">
        <f t="shared" si="117"/>
        <v/>
      </c>
      <c r="E229" s="70" t="str">
        <f t="shared" si="118"/>
        <v/>
      </c>
      <c r="F229" s="70" t="str">
        <f t="shared" si="119"/>
        <v/>
      </c>
      <c r="G229" s="63" t="str">
        <f t="shared" si="120"/>
        <v/>
      </c>
      <c r="H229" s="64" t="str">
        <f t="shared" si="121"/>
        <v/>
      </c>
      <c r="I229" s="43"/>
      <c r="J229" s="63" t="str">
        <f t="shared" si="122"/>
        <v/>
      </c>
      <c r="K229" s="64" t="str">
        <f t="shared" si="123"/>
        <v/>
      </c>
      <c r="L229" s="38">
        <v>0</v>
      </c>
      <c r="M229" s="64" t="str">
        <f t="shared" si="124"/>
        <v/>
      </c>
      <c r="N229" s="65"/>
      <c r="O229" s="63" t="str">
        <f t="shared" si="125"/>
        <v/>
      </c>
      <c r="P229" s="63" t="str">
        <f t="shared" si="126"/>
        <v/>
      </c>
      <c r="Q229" s="66"/>
      <c r="R229" s="63" t="str">
        <f t="shared" si="127"/>
        <v/>
      </c>
      <c r="S229" s="64" t="str">
        <f t="shared" si="128"/>
        <v/>
      </c>
      <c r="T229" s="63" t="str">
        <f t="shared" si="129"/>
        <v/>
      </c>
      <c r="U229" s="64" t="str">
        <f t="shared" si="130"/>
        <v/>
      </c>
      <c r="V229" s="207" t="str">
        <f>IF($A230="","",IF(AND(MONTH(A229)&gt;3,MONTH(A229)&lt;11),(T229+R229+G229)*(((1/(1-Summary!$T$14))/(1-Summary!$W$14))-1),(T229+R229+G229)*((1/(1-Summary!$U$14))/(1-Summary!$X$14)-1)))</f>
        <v/>
      </c>
      <c r="W229" s="43" t="str">
        <f t="shared" si="131"/>
        <v/>
      </c>
      <c r="X229" s="43" t="str">
        <f t="shared" si="132"/>
        <v/>
      </c>
      <c r="Y229" s="43"/>
      <c r="Z229" s="38" t="str">
        <f t="shared" si="133"/>
        <v/>
      </c>
      <c r="AA229" s="38" t="str">
        <f t="shared" si="134"/>
        <v/>
      </c>
      <c r="AB229" s="38" t="e">
        <f t="shared" si="135"/>
        <v>#VALUE!</v>
      </c>
      <c r="AC229" s="38" t="str">
        <f t="shared" si="136"/>
        <v/>
      </c>
      <c r="AD229" s="38" t="str">
        <f t="shared" si="137"/>
        <v/>
      </c>
      <c r="AE229" s="38" t="e">
        <f t="shared" si="138"/>
        <v>#VALUE!</v>
      </c>
      <c r="AF229" s="237" t="e">
        <f>((Summary!$N$14*(AA229*AD229)*(A229-$D$3))+(Summary!$M$14*Z229*AC229*(AJ229-EOMONTH(EDATE(A229,-1),0))))/(AK229*AB229*AE229)</f>
        <v>#VALUE!</v>
      </c>
      <c r="AG229" s="88" t="str">
        <f>IF($A230="","",Summary!$Q$14)</f>
        <v/>
      </c>
      <c r="AH229" s="88" t="str">
        <f>IF($A230="","",IF(Summary!$R$12="Y",(VLOOKUP($A229,Summary!$AD$6:$AF$9,3)+'Escalating commodity'!J242),'Escalating commodity'!J242))</f>
        <v/>
      </c>
      <c r="AI229" s="88" t="str">
        <f t="shared" si="154"/>
        <v/>
      </c>
      <c r="AJ229" s="236" t="e">
        <f t="shared" si="139"/>
        <v>#VALUE!</v>
      </c>
      <c r="AK229" s="58" t="str">
        <f t="shared" si="140"/>
        <v/>
      </c>
      <c r="AL229" s="26" t="str">
        <f>IF($A230="","",_xll.SPRDOPT(P229,X229,AI229,0,AB229,AE229,AF229,AK229,$AJ$2,0))</f>
        <v/>
      </c>
      <c r="AM229" s="89" t="str">
        <f t="shared" si="141"/>
        <v/>
      </c>
      <c r="AN229" s="89" t="str">
        <f t="shared" si="142"/>
        <v/>
      </c>
      <c r="AO229" s="3" t="str">
        <f t="shared" si="143"/>
        <v/>
      </c>
      <c r="AP229" s="33" t="str">
        <f t="shared" si="144"/>
        <v/>
      </c>
      <c r="AQ229" s="58" t="str">
        <f t="shared" si="145"/>
        <v/>
      </c>
      <c r="AR229" s="38">
        <f>'ANR OK vs ML7'!AR229</f>
        <v>0.1</v>
      </c>
      <c r="AS229" s="35" t="str">
        <f t="shared" si="146"/>
        <v/>
      </c>
      <c r="AT229" s="3" t="str">
        <f t="shared" si="147"/>
        <v/>
      </c>
      <c r="AU229" s="3" t="str">
        <f t="shared" si="148"/>
        <v/>
      </c>
      <c r="AW229" s="32" t="str">
        <f t="shared" si="149"/>
        <v/>
      </c>
      <c r="AX229" s="32" t="str">
        <f t="shared" si="150"/>
        <v/>
      </c>
      <c r="AY229" s="32" t="str">
        <f t="shared" si="151"/>
        <v/>
      </c>
      <c r="BA229" s="32" t="str">
        <f>IF($A230="","",F229*Summary!$Q$14)</f>
        <v/>
      </c>
    </row>
    <row r="230" spans="1:53" ht="12" customHeight="1">
      <c r="A230" s="67" t="str">
        <f t="shared" si="152"/>
        <v/>
      </c>
      <c r="B230" s="69" t="str">
        <f t="shared" si="153"/>
        <v/>
      </c>
      <c r="C230" s="71"/>
      <c r="D230" s="69" t="str">
        <f t="shared" si="117"/>
        <v/>
      </c>
      <c r="E230" s="70" t="str">
        <f t="shared" si="118"/>
        <v/>
      </c>
      <c r="F230" s="70" t="str">
        <f t="shared" si="119"/>
        <v/>
      </c>
      <c r="G230" s="63" t="str">
        <f t="shared" si="120"/>
        <v/>
      </c>
      <c r="H230" s="64" t="str">
        <f t="shared" si="121"/>
        <v/>
      </c>
      <c r="I230" s="43"/>
      <c r="J230" s="63" t="str">
        <f t="shared" si="122"/>
        <v/>
      </c>
      <c r="K230" s="64" t="str">
        <f t="shared" si="123"/>
        <v/>
      </c>
      <c r="L230" s="38">
        <v>0</v>
      </c>
      <c r="M230" s="64" t="str">
        <f t="shared" si="124"/>
        <v/>
      </c>
      <c r="N230" s="65"/>
      <c r="O230" s="63" t="str">
        <f t="shared" si="125"/>
        <v/>
      </c>
      <c r="P230" s="63" t="str">
        <f t="shared" si="126"/>
        <v/>
      </c>
      <c r="Q230" s="66"/>
      <c r="R230" s="63" t="str">
        <f t="shared" si="127"/>
        <v/>
      </c>
      <c r="S230" s="64" t="str">
        <f t="shared" si="128"/>
        <v/>
      </c>
      <c r="T230" s="63" t="str">
        <f t="shared" si="129"/>
        <v/>
      </c>
      <c r="U230" s="64" t="str">
        <f t="shared" si="130"/>
        <v/>
      </c>
      <c r="V230" s="207" t="str">
        <f>IF($A231="","",IF(AND(MONTH(A230)&gt;3,MONTH(A230)&lt;11),(T230+R230+G230)*(((1/(1-Summary!$T$14))/(1-Summary!$W$14))-1),(T230+R230+G230)*((1/(1-Summary!$U$14))/(1-Summary!$X$14)-1)))</f>
        <v/>
      </c>
      <c r="W230" s="43" t="str">
        <f t="shared" si="131"/>
        <v/>
      </c>
      <c r="X230" s="43" t="str">
        <f t="shared" si="132"/>
        <v/>
      </c>
      <c r="Y230" s="43"/>
      <c r="Z230" s="38" t="str">
        <f t="shared" si="133"/>
        <v/>
      </c>
      <c r="AA230" s="38" t="str">
        <f t="shared" si="134"/>
        <v/>
      </c>
      <c r="AB230" s="38" t="e">
        <f t="shared" si="135"/>
        <v>#VALUE!</v>
      </c>
      <c r="AC230" s="38" t="str">
        <f t="shared" si="136"/>
        <v/>
      </c>
      <c r="AD230" s="38" t="str">
        <f t="shared" si="137"/>
        <v/>
      </c>
      <c r="AE230" s="38" t="e">
        <f t="shared" si="138"/>
        <v>#VALUE!</v>
      </c>
      <c r="AF230" s="237" t="e">
        <f>((Summary!$N$14*(AA230*AD230)*(A230-$D$3))+(Summary!$M$14*Z230*AC230*(AJ230-EOMONTH(EDATE(A230,-1),0))))/(AK230*AB230*AE230)</f>
        <v>#VALUE!</v>
      </c>
      <c r="AG230" s="88" t="str">
        <f>IF($A231="","",Summary!$Q$14)</f>
        <v/>
      </c>
      <c r="AH230" s="88" t="str">
        <f>IF($A231="","",IF(Summary!$R$12="Y",(VLOOKUP($A230,Summary!$AD$6:$AF$9,3)+'Escalating commodity'!J243),'Escalating commodity'!J243))</f>
        <v/>
      </c>
      <c r="AI230" s="88" t="str">
        <f t="shared" si="154"/>
        <v/>
      </c>
      <c r="AJ230" s="236" t="e">
        <f t="shared" si="139"/>
        <v>#VALUE!</v>
      </c>
      <c r="AK230" s="58" t="str">
        <f t="shared" si="140"/>
        <v/>
      </c>
      <c r="AL230" s="26" t="str">
        <f>IF($A231="","",_xll.SPRDOPT(P230,X230,AI230,0,AB230,AE230,AF230,AK230,$AJ$2,0))</f>
        <v/>
      </c>
      <c r="AM230" s="89" t="str">
        <f t="shared" si="141"/>
        <v/>
      </c>
      <c r="AN230" s="89" t="str">
        <f t="shared" si="142"/>
        <v/>
      </c>
      <c r="AO230" s="3" t="str">
        <f t="shared" si="143"/>
        <v/>
      </c>
      <c r="AP230" s="33" t="str">
        <f t="shared" si="144"/>
        <v/>
      </c>
      <c r="AQ230" s="58" t="str">
        <f t="shared" si="145"/>
        <v/>
      </c>
      <c r="AR230" s="38">
        <f>'ANR OK vs ML7'!AR230</f>
        <v>0.1</v>
      </c>
      <c r="AS230" s="35" t="str">
        <f t="shared" si="146"/>
        <v/>
      </c>
      <c r="AT230" s="3" t="str">
        <f t="shared" si="147"/>
        <v/>
      </c>
      <c r="AU230" s="3" t="str">
        <f t="shared" si="148"/>
        <v/>
      </c>
      <c r="AW230" s="32" t="str">
        <f t="shared" si="149"/>
        <v/>
      </c>
      <c r="AX230" s="32" t="str">
        <f t="shared" si="150"/>
        <v/>
      </c>
      <c r="AY230" s="32" t="str">
        <f t="shared" si="151"/>
        <v/>
      </c>
      <c r="BA230" s="32" t="str">
        <f>IF($A231="","",F230*Summary!$Q$14)</f>
        <v/>
      </c>
    </row>
    <row r="231" spans="1:53" ht="12" customHeight="1">
      <c r="A231" s="67" t="str">
        <f t="shared" si="152"/>
        <v/>
      </c>
      <c r="B231" s="69" t="str">
        <f t="shared" si="153"/>
        <v/>
      </c>
      <c r="C231" s="71"/>
      <c r="D231" s="69" t="str">
        <f t="shared" si="117"/>
        <v/>
      </c>
      <c r="E231" s="70" t="str">
        <f t="shared" si="118"/>
        <v/>
      </c>
      <c r="F231" s="70" t="str">
        <f t="shared" si="119"/>
        <v/>
      </c>
      <c r="G231" s="63" t="str">
        <f t="shared" si="120"/>
        <v/>
      </c>
      <c r="H231" s="64" t="str">
        <f t="shared" si="121"/>
        <v/>
      </c>
      <c r="I231" s="43"/>
      <c r="J231" s="63" t="str">
        <f t="shared" si="122"/>
        <v/>
      </c>
      <c r="K231" s="64" t="str">
        <f t="shared" si="123"/>
        <v/>
      </c>
      <c r="L231" s="38">
        <v>0</v>
      </c>
      <c r="M231" s="64" t="str">
        <f t="shared" si="124"/>
        <v/>
      </c>
      <c r="N231" s="65"/>
      <c r="O231" s="63" t="str">
        <f t="shared" si="125"/>
        <v/>
      </c>
      <c r="P231" s="63" t="str">
        <f t="shared" si="126"/>
        <v/>
      </c>
      <c r="Q231" s="66"/>
      <c r="R231" s="63" t="str">
        <f t="shared" si="127"/>
        <v/>
      </c>
      <c r="S231" s="64" t="str">
        <f t="shared" si="128"/>
        <v/>
      </c>
      <c r="T231" s="63" t="str">
        <f t="shared" si="129"/>
        <v/>
      </c>
      <c r="U231" s="64" t="str">
        <f t="shared" si="130"/>
        <v/>
      </c>
      <c r="V231" s="207" t="str">
        <f>IF($A232="","",IF(AND(MONTH(A231)&gt;3,MONTH(A231)&lt;11),(T231+R231+G231)*(((1/(1-Summary!$T$14))/(1-Summary!$W$14))-1),(T231+R231+G231)*((1/(1-Summary!$U$14))/(1-Summary!$X$14)-1)))</f>
        <v/>
      </c>
      <c r="W231" s="43" t="str">
        <f t="shared" si="131"/>
        <v/>
      </c>
      <c r="X231" s="43" t="str">
        <f t="shared" si="132"/>
        <v/>
      </c>
      <c r="Y231" s="43"/>
      <c r="Z231" s="38" t="str">
        <f t="shared" si="133"/>
        <v/>
      </c>
      <c r="AA231" s="38" t="str">
        <f t="shared" si="134"/>
        <v/>
      </c>
      <c r="AB231" s="38" t="e">
        <f t="shared" si="135"/>
        <v>#VALUE!</v>
      </c>
      <c r="AC231" s="38" t="str">
        <f t="shared" si="136"/>
        <v/>
      </c>
      <c r="AD231" s="38" t="str">
        <f t="shared" si="137"/>
        <v/>
      </c>
      <c r="AE231" s="38" t="e">
        <f t="shared" si="138"/>
        <v>#VALUE!</v>
      </c>
      <c r="AF231" s="237" t="e">
        <f>((Summary!$N$14*(AA231*AD231)*(A231-$D$3))+(Summary!$M$14*Z231*AC231*(AJ231-EOMONTH(EDATE(A231,-1),0))))/(AK231*AB231*AE231)</f>
        <v>#VALUE!</v>
      </c>
      <c r="AG231" s="88" t="str">
        <f>IF($A232="","",Summary!$Q$14)</f>
        <v/>
      </c>
      <c r="AH231" s="88" t="str">
        <f>IF($A232="","",IF(Summary!$R$12="Y",(VLOOKUP($A231,Summary!$AD$6:$AF$9,3)+'Escalating commodity'!J244),'Escalating commodity'!J244))</f>
        <v/>
      </c>
      <c r="AI231" s="88" t="str">
        <f t="shared" si="154"/>
        <v/>
      </c>
      <c r="AJ231" s="236" t="e">
        <f t="shared" si="139"/>
        <v>#VALUE!</v>
      </c>
      <c r="AK231" s="58" t="str">
        <f t="shared" si="140"/>
        <v/>
      </c>
      <c r="AL231" s="26" t="str">
        <f>IF($A232="","",_xll.SPRDOPT(P231,X231,AI231,0,AB231,AE231,AF231,AK231,$AJ$2,0))</f>
        <v/>
      </c>
      <c r="AM231" s="89" t="str">
        <f t="shared" si="141"/>
        <v/>
      </c>
      <c r="AN231" s="89" t="str">
        <f t="shared" si="142"/>
        <v/>
      </c>
      <c r="AO231" s="3" t="str">
        <f t="shared" si="143"/>
        <v/>
      </c>
      <c r="AP231" s="33" t="str">
        <f t="shared" si="144"/>
        <v/>
      </c>
      <c r="AQ231" s="58" t="str">
        <f t="shared" si="145"/>
        <v/>
      </c>
      <c r="AR231" s="38">
        <f>'ANR OK vs ML7'!AR231</f>
        <v>0.1</v>
      </c>
      <c r="AS231" s="35" t="str">
        <f t="shared" si="146"/>
        <v/>
      </c>
      <c r="AT231" s="3" t="str">
        <f t="shared" si="147"/>
        <v/>
      </c>
      <c r="AU231" s="3" t="str">
        <f t="shared" si="148"/>
        <v/>
      </c>
      <c r="AW231" s="32" t="str">
        <f t="shared" si="149"/>
        <v/>
      </c>
      <c r="AX231" s="32" t="str">
        <f t="shared" si="150"/>
        <v/>
      </c>
      <c r="AY231" s="32" t="str">
        <f t="shared" si="151"/>
        <v/>
      </c>
      <c r="BA231" s="32" t="str">
        <f>IF($A232="","",F231*Summary!$Q$14)</f>
        <v/>
      </c>
    </row>
    <row r="232" spans="1:53" ht="12" customHeight="1">
      <c r="A232" s="67" t="str">
        <f t="shared" si="152"/>
        <v/>
      </c>
      <c r="B232" s="69" t="str">
        <f t="shared" si="153"/>
        <v/>
      </c>
      <c r="C232" s="71"/>
      <c r="D232" s="69" t="str">
        <f t="shared" si="117"/>
        <v/>
      </c>
      <c r="E232" s="70" t="str">
        <f t="shared" si="118"/>
        <v/>
      </c>
      <c r="F232" s="70" t="str">
        <f t="shared" si="119"/>
        <v/>
      </c>
      <c r="G232" s="63" t="str">
        <f t="shared" si="120"/>
        <v/>
      </c>
      <c r="H232" s="64" t="str">
        <f t="shared" si="121"/>
        <v/>
      </c>
      <c r="I232" s="43"/>
      <c r="J232" s="63" t="str">
        <f t="shared" si="122"/>
        <v/>
      </c>
      <c r="K232" s="64" t="str">
        <f t="shared" si="123"/>
        <v/>
      </c>
      <c r="L232" s="38">
        <v>0</v>
      </c>
      <c r="M232" s="64" t="str">
        <f t="shared" si="124"/>
        <v/>
      </c>
      <c r="N232" s="65"/>
      <c r="O232" s="63" t="str">
        <f t="shared" si="125"/>
        <v/>
      </c>
      <c r="P232" s="63" t="str">
        <f t="shared" si="126"/>
        <v/>
      </c>
      <c r="Q232" s="66"/>
      <c r="R232" s="63" t="str">
        <f t="shared" si="127"/>
        <v/>
      </c>
      <c r="S232" s="64" t="str">
        <f t="shared" si="128"/>
        <v/>
      </c>
      <c r="T232" s="63" t="str">
        <f t="shared" si="129"/>
        <v/>
      </c>
      <c r="U232" s="64" t="str">
        <f t="shared" si="130"/>
        <v/>
      </c>
      <c r="V232" s="207" t="str">
        <f>IF($A233="","",IF(AND(MONTH(A232)&gt;3,MONTH(A232)&lt;11),(T232+R232+G232)*(((1/(1-Summary!$T$14))/(1-Summary!$W$14))-1),(T232+R232+G232)*((1/(1-Summary!$U$14))/(1-Summary!$X$14)-1)))</f>
        <v/>
      </c>
      <c r="W232" s="43" t="str">
        <f t="shared" si="131"/>
        <v/>
      </c>
      <c r="X232" s="43" t="str">
        <f t="shared" si="132"/>
        <v/>
      </c>
      <c r="Y232" s="43"/>
      <c r="Z232" s="38" t="str">
        <f t="shared" si="133"/>
        <v/>
      </c>
      <c r="AA232" s="38" t="str">
        <f t="shared" si="134"/>
        <v/>
      </c>
      <c r="AB232" s="38" t="e">
        <f t="shared" si="135"/>
        <v>#VALUE!</v>
      </c>
      <c r="AC232" s="38" t="str">
        <f t="shared" si="136"/>
        <v/>
      </c>
      <c r="AD232" s="38" t="str">
        <f t="shared" si="137"/>
        <v/>
      </c>
      <c r="AE232" s="38" t="e">
        <f t="shared" si="138"/>
        <v>#VALUE!</v>
      </c>
      <c r="AF232" s="237" t="e">
        <f>((Summary!$N$14*(AA232*AD232)*(A232-$D$3))+(Summary!$M$14*Z232*AC232*(AJ232-EOMONTH(EDATE(A232,-1),0))))/(AK232*AB232*AE232)</f>
        <v>#VALUE!</v>
      </c>
      <c r="AG232" s="88" t="str">
        <f>IF($A233="","",Summary!$Q$14)</f>
        <v/>
      </c>
      <c r="AH232" s="88" t="str">
        <f>IF($A233="","",IF(Summary!$R$12="Y",(VLOOKUP($A232,Summary!$AD$6:$AF$9,3)+'Escalating commodity'!J245),'Escalating commodity'!J245))</f>
        <v/>
      </c>
      <c r="AI232" s="88" t="str">
        <f t="shared" si="154"/>
        <v/>
      </c>
      <c r="AJ232" s="236" t="e">
        <f t="shared" si="139"/>
        <v>#VALUE!</v>
      </c>
      <c r="AK232" s="58" t="str">
        <f t="shared" si="140"/>
        <v/>
      </c>
      <c r="AL232" s="26" t="str">
        <f>IF($A233="","",_xll.SPRDOPT(P232,X232,AI232,0,AB232,AE232,AF232,AK232,$AJ$2,0))</f>
        <v/>
      </c>
      <c r="AM232" s="89" t="str">
        <f t="shared" si="141"/>
        <v/>
      </c>
      <c r="AN232" s="89" t="str">
        <f t="shared" si="142"/>
        <v/>
      </c>
      <c r="AO232" s="3" t="str">
        <f t="shared" si="143"/>
        <v/>
      </c>
      <c r="AP232" s="33" t="str">
        <f t="shared" si="144"/>
        <v/>
      </c>
      <c r="AQ232" s="58" t="str">
        <f t="shared" si="145"/>
        <v/>
      </c>
      <c r="AR232" s="38">
        <f>'ANR OK vs ML7'!AR232</f>
        <v>0.1</v>
      </c>
      <c r="AS232" s="35" t="str">
        <f t="shared" si="146"/>
        <v/>
      </c>
      <c r="AT232" s="3" t="str">
        <f t="shared" si="147"/>
        <v/>
      </c>
      <c r="AU232" s="3" t="str">
        <f t="shared" si="148"/>
        <v/>
      </c>
      <c r="AW232" s="32" t="str">
        <f t="shared" si="149"/>
        <v/>
      </c>
      <c r="AX232" s="32" t="str">
        <f t="shared" si="150"/>
        <v/>
      </c>
      <c r="AY232" s="32" t="str">
        <f t="shared" si="151"/>
        <v/>
      </c>
      <c r="BA232" s="32" t="str">
        <f>IF($A233="","",F232*Summary!$Q$14)</f>
        <v/>
      </c>
    </row>
    <row r="233" spans="1:53" ht="12" customHeight="1">
      <c r="A233" s="67" t="str">
        <f t="shared" si="152"/>
        <v/>
      </c>
      <c r="B233" s="69" t="str">
        <f t="shared" si="153"/>
        <v/>
      </c>
      <c r="C233" s="71"/>
      <c r="D233" s="69" t="str">
        <f t="shared" si="117"/>
        <v/>
      </c>
      <c r="E233" s="70" t="str">
        <f t="shared" si="118"/>
        <v/>
      </c>
      <c r="F233" s="70" t="str">
        <f t="shared" si="119"/>
        <v/>
      </c>
      <c r="G233" s="63" t="str">
        <f t="shared" si="120"/>
        <v/>
      </c>
      <c r="H233" s="64" t="str">
        <f t="shared" si="121"/>
        <v/>
      </c>
      <c r="I233" s="43"/>
      <c r="J233" s="63" t="str">
        <f t="shared" si="122"/>
        <v/>
      </c>
      <c r="K233" s="64" t="str">
        <f t="shared" si="123"/>
        <v/>
      </c>
      <c r="L233" s="38">
        <v>0</v>
      </c>
      <c r="M233" s="64" t="str">
        <f t="shared" si="124"/>
        <v/>
      </c>
      <c r="N233" s="65"/>
      <c r="O233" s="63" t="str">
        <f t="shared" si="125"/>
        <v/>
      </c>
      <c r="P233" s="63" t="str">
        <f t="shared" si="126"/>
        <v/>
      </c>
      <c r="Q233" s="66"/>
      <c r="R233" s="63" t="str">
        <f t="shared" si="127"/>
        <v/>
      </c>
      <c r="S233" s="64" t="str">
        <f t="shared" si="128"/>
        <v/>
      </c>
      <c r="T233" s="63" t="str">
        <f t="shared" si="129"/>
        <v/>
      </c>
      <c r="U233" s="64" t="str">
        <f t="shared" si="130"/>
        <v/>
      </c>
      <c r="V233" s="207" t="str">
        <f>IF($A234="","",IF(AND(MONTH(A233)&gt;3,MONTH(A233)&lt;11),(T233+R233+G233)*(((1/(1-Summary!$T$14))/(1-Summary!$W$14))-1),(T233+R233+G233)*((1/(1-Summary!$U$14))/(1-Summary!$X$14)-1)))</f>
        <v/>
      </c>
      <c r="W233" s="43" t="str">
        <f t="shared" si="131"/>
        <v/>
      </c>
      <c r="X233" s="43" t="str">
        <f t="shared" si="132"/>
        <v/>
      </c>
      <c r="Y233" s="43"/>
      <c r="Z233" s="38" t="str">
        <f t="shared" si="133"/>
        <v/>
      </c>
      <c r="AA233" s="38" t="str">
        <f t="shared" si="134"/>
        <v/>
      </c>
      <c r="AB233" s="38" t="e">
        <f t="shared" si="135"/>
        <v>#VALUE!</v>
      </c>
      <c r="AC233" s="38" t="str">
        <f t="shared" si="136"/>
        <v/>
      </c>
      <c r="AD233" s="38" t="str">
        <f t="shared" si="137"/>
        <v/>
      </c>
      <c r="AE233" s="38" t="e">
        <f t="shared" si="138"/>
        <v>#VALUE!</v>
      </c>
      <c r="AF233" s="237" t="e">
        <f>((Summary!$N$14*(AA233*AD233)*(A233-$D$3))+(Summary!$M$14*Z233*AC233*(AJ233-EOMONTH(EDATE(A233,-1),0))))/(AK233*AB233*AE233)</f>
        <v>#VALUE!</v>
      </c>
      <c r="AG233" s="88" t="str">
        <f>IF($A234="","",Summary!$Q$14)</f>
        <v/>
      </c>
      <c r="AH233" s="88" t="str">
        <f>IF($A234="","",IF(Summary!$R$12="Y",(VLOOKUP($A233,Summary!$AD$6:$AF$9,3)+'Escalating commodity'!J246),'Escalating commodity'!J246))</f>
        <v/>
      </c>
      <c r="AI233" s="88" t="str">
        <f t="shared" si="154"/>
        <v/>
      </c>
      <c r="AJ233" s="236" t="e">
        <f t="shared" si="139"/>
        <v>#VALUE!</v>
      </c>
      <c r="AK233" s="58" t="str">
        <f t="shared" si="140"/>
        <v/>
      </c>
      <c r="AL233" s="26" t="str">
        <f>IF($A234="","",_xll.SPRDOPT(P233,X233,AI233,0,AB233,AE233,AF233,AK233,$AJ$2,0))</f>
        <v/>
      </c>
      <c r="AM233" s="89" t="str">
        <f t="shared" si="141"/>
        <v/>
      </c>
      <c r="AN233" s="89" t="str">
        <f t="shared" si="142"/>
        <v/>
      </c>
      <c r="AO233" s="3" t="str">
        <f t="shared" si="143"/>
        <v/>
      </c>
      <c r="AP233" s="33" t="str">
        <f t="shared" si="144"/>
        <v/>
      </c>
      <c r="AQ233" s="58" t="str">
        <f t="shared" si="145"/>
        <v/>
      </c>
      <c r="AR233" s="38">
        <f>'ANR OK vs ML7'!AR233</f>
        <v>0.1</v>
      </c>
      <c r="AS233" s="35" t="str">
        <f t="shared" si="146"/>
        <v/>
      </c>
      <c r="AT233" s="3" t="str">
        <f t="shared" si="147"/>
        <v/>
      </c>
      <c r="AU233" s="3" t="str">
        <f t="shared" si="148"/>
        <v/>
      </c>
      <c r="AW233" s="32" t="str">
        <f t="shared" si="149"/>
        <v/>
      </c>
      <c r="AX233" s="32" t="str">
        <f t="shared" si="150"/>
        <v/>
      </c>
      <c r="AY233" s="32" t="str">
        <f t="shared" si="151"/>
        <v/>
      </c>
      <c r="BA233" s="32" t="str">
        <f>IF($A234="","",F233*Summary!$Q$14)</f>
        <v/>
      </c>
    </row>
    <row r="234" spans="1:53" ht="12" customHeight="1">
      <c r="A234" s="67" t="str">
        <f t="shared" si="152"/>
        <v/>
      </c>
      <c r="B234" s="69" t="str">
        <f t="shared" si="153"/>
        <v/>
      </c>
      <c r="C234" s="71"/>
      <c r="D234" s="69" t="str">
        <f t="shared" si="117"/>
        <v/>
      </c>
      <c r="E234" s="70" t="str">
        <f t="shared" si="118"/>
        <v/>
      </c>
      <c r="F234" s="70" t="str">
        <f t="shared" si="119"/>
        <v/>
      </c>
      <c r="G234" s="63" t="str">
        <f t="shared" si="120"/>
        <v/>
      </c>
      <c r="H234" s="64" t="str">
        <f t="shared" si="121"/>
        <v/>
      </c>
      <c r="I234" s="43"/>
      <c r="J234" s="63" t="str">
        <f t="shared" si="122"/>
        <v/>
      </c>
      <c r="K234" s="64" t="str">
        <f t="shared" si="123"/>
        <v/>
      </c>
      <c r="L234" s="38">
        <v>0</v>
      </c>
      <c r="M234" s="64" t="str">
        <f t="shared" si="124"/>
        <v/>
      </c>
      <c r="N234" s="65"/>
      <c r="O234" s="63" t="str">
        <f t="shared" si="125"/>
        <v/>
      </c>
      <c r="P234" s="63" t="str">
        <f t="shared" si="126"/>
        <v/>
      </c>
      <c r="Q234" s="66"/>
      <c r="R234" s="63" t="str">
        <f t="shared" si="127"/>
        <v/>
      </c>
      <c r="S234" s="64" t="str">
        <f t="shared" si="128"/>
        <v/>
      </c>
      <c r="T234" s="63" t="str">
        <f t="shared" si="129"/>
        <v/>
      </c>
      <c r="U234" s="64" t="str">
        <f t="shared" si="130"/>
        <v/>
      </c>
      <c r="V234" s="207" t="str">
        <f>IF($A235="","",IF(AND(MONTH(A234)&gt;3,MONTH(A234)&lt;11),(T234+R234+G234)*(((1/(1-Summary!$T$14))/(1-Summary!$W$14))-1),(T234+R234+G234)*((1/(1-Summary!$U$14))/(1-Summary!$X$14)-1)))</f>
        <v/>
      </c>
      <c r="W234" s="43" t="str">
        <f t="shared" si="131"/>
        <v/>
      </c>
      <c r="X234" s="43" t="str">
        <f t="shared" si="132"/>
        <v/>
      </c>
      <c r="Y234" s="43"/>
      <c r="Z234" s="38" t="str">
        <f t="shared" si="133"/>
        <v/>
      </c>
      <c r="AA234" s="38" t="str">
        <f t="shared" si="134"/>
        <v/>
      </c>
      <c r="AB234" s="38" t="e">
        <f t="shared" si="135"/>
        <v>#VALUE!</v>
      </c>
      <c r="AC234" s="38" t="str">
        <f t="shared" si="136"/>
        <v/>
      </c>
      <c r="AD234" s="38" t="str">
        <f t="shared" si="137"/>
        <v/>
      </c>
      <c r="AE234" s="38" t="e">
        <f t="shared" si="138"/>
        <v>#VALUE!</v>
      </c>
      <c r="AF234" s="237" t="e">
        <f>((Summary!$N$14*(AA234*AD234)*(A234-$D$3))+(Summary!$M$14*Z234*AC234*(AJ234-EOMONTH(EDATE(A234,-1),0))))/(AK234*AB234*AE234)</f>
        <v>#VALUE!</v>
      </c>
      <c r="AG234" s="88" t="str">
        <f>IF($A235="","",Summary!$Q$14)</f>
        <v/>
      </c>
      <c r="AH234" s="88" t="str">
        <f>IF($A235="","",IF(Summary!$R$12="Y",(VLOOKUP($A234,Summary!$AD$6:$AF$9,3)+'Escalating commodity'!J247),'Escalating commodity'!J247))</f>
        <v/>
      </c>
      <c r="AI234" s="88" t="str">
        <f t="shared" si="154"/>
        <v/>
      </c>
      <c r="AJ234" s="236" t="e">
        <f t="shared" si="139"/>
        <v>#VALUE!</v>
      </c>
      <c r="AK234" s="58" t="str">
        <f t="shared" si="140"/>
        <v/>
      </c>
      <c r="AL234" s="26" t="str">
        <f>IF($A235="","",_xll.SPRDOPT(P234,X234,AI234,0,AB234,AE234,AF234,AK234,$AJ$2,0))</f>
        <v/>
      </c>
      <c r="AM234" s="89" t="str">
        <f t="shared" si="141"/>
        <v/>
      </c>
      <c r="AN234" s="89" t="str">
        <f t="shared" si="142"/>
        <v/>
      </c>
      <c r="AO234" s="3" t="str">
        <f t="shared" si="143"/>
        <v/>
      </c>
      <c r="AP234" s="33" t="str">
        <f t="shared" si="144"/>
        <v/>
      </c>
      <c r="AQ234" s="58" t="str">
        <f t="shared" si="145"/>
        <v/>
      </c>
      <c r="AR234" s="38">
        <f>'ANR OK vs ML7'!AR234</f>
        <v>0.1</v>
      </c>
      <c r="AS234" s="35" t="str">
        <f t="shared" si="146"/>
        <v/>
      </c>
      <c r="AT234" s="3" t="str">
        <f t="shared" si="147"/>
        <v/>
      </c>
      <c r="AU234" s="3" t="str">
        <f t="shared" si="148"/>
        <v/>
      </c>
      <c r="AW234" s="32" t="str">
        <f t="shared" si="149"/>
        <v/>
      </c>
      <c r="AX234" s="32" t="str">
        <f t="shared" si="150"/>
        <v/>
      </c>
      <c r="AY234" s="32" t="str">
        <f t="shared" si="151"/>
        <v/>
      </c>
      <c r="BA234" s="32" t="str">
        <f>IF($A235="","",F234*Summary!$Q$14)</f>
        <v/>
      </c>
    </row>
    <row r="235" spans="1:53" ht="12" customHeight="1">
      <c r="A235" s="67" t="str">
        <f t="shared" si="152"/>
        <v/>
      </c>
      <c r="B235" s="69" t="str">
        <f t="shared" si="153"/>
        <v/>
      </c>
      <c r="C235" s="71"/>
      <c r="D235" s="69" t="str">
        <f t="shared" si="117"/>
        <v/>
      </c>
      <c r="E235" s="70" t="str">
        <f t="shared" si="118"/>
        <v/>
      </c>
      <c r="F235" s="70" t="str">
        <f t="shared" si="119"/>
        <v/>
      </c>
      <c r="G235" s="63" t="str">
        <f t="shared" si="120"/>
        <v/>
      </c>
      <c r="H235" s="64" t="str">
        <f t="shared" si="121"/>
        <v/>
      </c>
      <c r="I235" s="43"/>
      <c r="J235" s="63" t="str">
        <f t="shared" si="122"/>
        <v/>
      </c>
      <c r="K235" s="64" t="str">
        <f t="shared" si="123"/>
        <v/>
      </c>
      <c r="L235" s="38">
        <v>0</v>
      </c>
      <c r="M235" s="64" t="str">
        <f t="shared" si="124"/>
        <v/>
      </c>
      <c r="N235" s="65"/>
      <c r="O235" s="63" t="str">
        <f t="shared" si="125"/>
        <v/>
      </c>
      <c r="P235" s="63" t="str">
        <f t="shared" si="126"/>
        <v/>
      </c>
      <c r="Q235" s="66"/>
      <c r="R235" s="63" t="str">
        <f t="shared" si="127"/>
        <v/>
      </c>
      <c r="S235" s="64" t="str">
        <f t="shared" si="128"/>
        <v/>
      </c>
      <c r="T235" s="63" t="str">
        <f t="shared" si="129"/>
        <v/>
      </c>
      <c r="U235" s="64" t="str">
        <f t="shared" si="130"/>
        <v/>
      </c>
      <c r="V235" s="207" t="str">
        <f>IF($A236="","",IF(AND(MONTH(A235)&gt;3,MONTH(A235)&lt;11),(T235+R235+G235)*(((1/(1-Summary!$T$14))/(1-Summary!$W$14))-1),(T235+R235+G235)*((1/(1-Summary!$U$14))/(1-Summary!$X$14)-1)))</f>
        <v/>
      </c>
      <c r="W235" s="43" t="str">
        <f t="shared" si="131"/>
        <v/>
      </c>
      <c r="X235" s="43" t="str">
        <f t="shared" si="132"/>
        <v/>
      </c>
      <c r="Y235" s="43"/>
      <c r="Z235" s="38" t="str">
        <f t="shared" si="133"/>
        <v/>
      </c>
      <c r="AA235" s="38" t="str">
        <f t="shared" si="134"/>
        <v/>
      </c>
      <c r="AB235" s="38" t="e">
        <f t="shared" si="135"/>
        <v>#VALUE!</v>
      </c>
      <c r="AC235" s="38" t="str">
        <f t="shared" si="136"/>
        <v/>
      </c>
      <c r="AD235" s="38" t="str">
        <f t="shared" si="137"/>
        <v/>
      </c>
      <c r="AE235" s="38" t="e">
        <f t="shared" si="138"/>
        <v>#VALUE!</v>
      </c>
      <c r="AF235" s="237" t="e">
        <f>((Summary!$N$14*(AA235*AD235)*(A235-$D$3))+(Summary!$M$14*Z235*AC235*(AJ235-EOMONTH(EDATE(A235,-1),0))))/(AK235*AB235*AE235)</f>
        <v>#VALUE!</v>
      </c>
      <c r="AG235" s="88" t="str">
        <f>IF($A236="","",Summary!$Q$14)</f>
        <v/>
      </c>
      <c r="AH235" s="88" t="str">
        <f>IF($A236="","",IF(Summary!$R$12="Y",(VLOOKUP($A235,Summary!$AD$6:$AF$9,3)+'Escalating commodity'!J248),'Escalating commodity'!J248))</f>
        <v/>
      </c>
      <c r="AI235" s="88" t="str">
        <f t="shared" si="154"/>
        <v/>
      </c>
      <c r="AJ235" s="236" t="e">
        <f t="shared" si="139"/>
        <v>#VALUE!</v>
      </c>
      <c r="AK235" s="58" t="str">
        <f t="shared" si="140"/>
        <v/>
      </c>
      <c r="AL235" s="26" t="str">
        <f>IF($A236="","",_xll.SPRDOPT(P235,X235,AI235,0,AB235,AE235,AF235,AK235,$AJ$2,0))</f>
        <v/>
      </c>
      <c r="AM235" s="89" t="str">
        <f t="shared" si="141"/>
        <v/>
      </c>
      <c r="AN235" s="89" t="str">
        <f t="shared" si="142"/>
        <v/>
      </c>
      <c r="AO235" s="3" t="str">
        <f t="shared" si="143"/>
        <v/>
      </c>
      <c r="AP235" s="33" t="str">
        <f t="shared" si="144"/>
        <v/>
      </c>
      <c r="AQ235" s="58" t="str">
        <f t="shared" si="145"/>
        <v/>
      </c>
      <c r="AR235" s="38">
        <f>'ANR OK vs ML7'!AR235</f>
        <v>0.1</v>
      </c>
      <c r="AS235" s="35" t="str">
        <f t="shared" si="146"/>
        <v/>
      </c>
      <c r="AT235" s="3" t="str">
        <f t="shared" si="147"/>
        <v/>
      </c>
      <c r="AU235" s="3" t="str">
        <f t="shared" si="148"/>
        <v/>
      </c>
      <c r="AW235" s="32" t="str">
        <f t="shared" si="149"/>
        <v/>
      </c>
      <c r="AX235" s="32" t="str">
        <f t="shared" si="150"/>
        <v/>
      </c>
      <c r="AY235" s="32" t="str">
        <f t="shared" si="151"/>
        <v/>
      </c>
      <c r="BA235" s="32" t="str">
        <f>IF($A236="","",F235*Summary!$Q$14)</f>
        <v/>
      </c>
    </row>
    <row r="236" spans="1:53" ht="12" customHeight="1">
      <c r="A236" s="67" t="str">
        <f t="shared" si="152"/>
        <v/>
      </c>
      <c r="B236" s="69" t="str">
        <f t="shared" si="153"/>
        <v/>
      </c>
      <c r="C236" s="71"/>
      <c r="D236" s="69" t="str">
        <f t="shared" si="117"/>
        <v/>
      </c>
      <c r="E236" s="70" t="str">
        <f t="shared" si="118"/>
        <v/>
      </c>
      <c r="F236" s="70" t="str">
        <f t="shared" si="119"/>
        <v/>
      </c>
      <c r="G236" s="63" t="str">
        <f t="shared" si="120"/>
        <v/>
      </c>
      <c r="H236" s="64" t="str">
        <f t="shared" si="121"/>
        <v/>
      </c>
      <c r="I236" s="43"/>
      <c r="J236" s="63" t="str">
        <f t="shared" si="122"/>
        <v/>
      </c>
      <c r="K236" s="64" t="str">
        <f t="shared" si="123"/>
        <v/>
      </c>
      <c r="L236" s="38">
        <v>0</v>
      </c>
      <c r="M236" s="64" t="str">
        <f t="shared" si="124"/>
        <v/>
      </c>
      <c r="N236" s="65"/>
      <c r="O236" s="63" t="str">
        <f t="shared" si="125"/>
        <v/>
      </c>
      <c r="P236" s="63" t="str">
        <f t="shared" si="126"/>
        <v/>
      </c>
      <c r="Q236" s="66"/>
      <c r="R236" s="63" t="str">
        <f t="shared" si="127"/>
        <v/>
      </c>
      <c r="S236" s="64" t="str">
        <f t="shared" si="128"/>
        <v/>
      </c>
      <c r="T236" s="63" t="str">
        <f t="shared" si="129"/>
        <v/>
      </c>
      <c r="U236" s="64" t="str">
        <f t="shared" si="130"/>
        <v/>
      </c>
      <c r="V236" s="207" t="str">
        <f>IF($A237="","",IF(AND(MONTH(A236)&gt;3,MONTH(A236)&lt;11),(T236+R236+G236)*(((1/(1-Summary!$T$14))/(1-Summary!$W$14))-1),(T236+R236+G236)*((1/(1-Summary!$U$14))/(1-Summary!$X$14)-1)))</f>
        <v/>
      </c>
      <c r="W236" s="43" t="str">
        <f t="shared" si="131"/>
        <v/>
      </c>
      <c r="X236" s="43" t="str">
        <f t="shared" si="132"/>
        <v/>
      </c>
      <c r="Y236" s="43"/>
      <c r="Z236" s="38" t="str">
        <f t="shared" si="133"/>
        <v/>
      </c>
      <c r="AA236" s="38" t="str">
        <f t="shared" si="134"/>
        <v/>
      </c>
      <c r="AB236" s="38" t="e">
        <f t="shared" si="135"/>
        <v>#VALUE!</v>
      </c>
      <c r="AC236" s="38" t="str">
        <f t="shared" si="136"/>
        <v/>
      </c>
      <c r="AD236" s="38" t="str">
        <f t="shared" si="137"/>
        <v/>
      </c>
      <c r="AE236" s="38" t="e">
        <f t="shared" si="138"/>
        <v>#VALUE!</v>
      </c>
      <c r="AF236" s="237" t="e">
        <f>((Summary!$N$14*(AA236*AD236)*(A236-$D$3))+(Summary!$M$14*Z236*AC236*(AJ236-EOMONTH(EDATE(A236,-1),0))))/(AK236*AB236*AE236)</f>
        <v>#VALUE!</v>
      </c>
      <c r="AG236" s="88" t="str">
        <f>IF($A237="","",Summary!$Q$14)</f>
        <v/>
      </c>
      <c r="AH236" s="88" t="str">
        <f>IF($A237="","",IF(Summary!$R$12="Y",(VLOOKUP($A236,Summary!$AD$6:$AF$9,3)+'Escalating commodity'!J249),'Escalating commodity'!J249))</f>
        <v/>
      </c>
      <c r="AI236" s="88" t="str">
        <f t="shared" si="154"/>
        <v/>
      </c>
      <c r="AJ236" s="236" t="e">
        <f t="shared" si="139"/>
        <v>#VALUE!</v>
      </c>
      <c r="AK236" s="58" t="str">
        <f t="shared" si="140"/>
        <v/>
      </c>
      <c r="AL236" s="26" t="str">
        <f>IF($A237="","",_xll.SPRDOPT(P236,X236,AI236,0,AB236,AE236,AF236,AK236,$AJ$2,0))</f>
        <v/>
      </c>
      <c r="AM236" s="89" t="str">
        <f t="shared" si="141"/>
        <v/>
      </c>
      <c r="AN236" s="89" t="str">
        <f t="shared" si="142"/>
        <v/>
      </c>
      <c r="AO236" s="3" t="str">
        <f t="shared" si="143"/>
        <v/>
      </c>
      <c r="AP236" s="33" t="str">
        <f t="shared" si="144"/>
        <v/>
      </c>
      <c r="AQ236" s="58" t="str">
        <f t="shared" si="145"/>
        <v/>
      </c>
      <c r="AR236" s="38">
        <f>'ANR OK vs ML7'!AR236</f>
        <v>0.1</v>
      </c>
      <c r="AS236" s="35" t="str">
        <f t="shared" si="146"/>
        <v/>
      </c>
      <c r="AT236" s="3" t="str">
        <f t="shared" si="147"/>
        <v/>
      </c>
      <c r="AU236" s="3" t="str">
        <f t="shared" si="148"/>
        <v/>
      </c>
      <c r="AW236" s="32" t="str">
        <f t="shared" si="149"/>
        <v/>
      </c>
      <c r="AX236" s="32" t="str">
        <f t="shared" si="150"/>
        <v/>
      </c>
      <c r="AY236" s="32" t="str">
        <f t="shared" si="151"/>
        <v/>
      </c>
      <c r="BA236" s="32" t="str">
        <f>IF($A237="","",F236*Summary!$Q$14)</f>
        <v/>
      </c>
    </row>
    <row r="237" spans="1:53" ht="12" customHeight="1">
      <c r="A237" s="67" t="str">
        <f t="shared" si="152"/>
        <v/>
      </c>
      <c r="B237" s="69" t="str">
        <f t="shared" si="153"/>
        <v/>
      </c>
      <c r="C237" s="71"/>
      <c r="D237" s="69" t="str">
        <f t="shared" si="117"/>
        <v/>
      </c>
      <c r="E237" s="70" t="str">
        <f t="shared" si="118"/>
        <v/>
      </c>
      <c r="F237" s="70" t="str">
        <f t="shared" si="119"/>
        <v/>
      </c>
      <c r="G237" s="63" t="str">
        <f t="shared" si="120"/>
        <v/>
      </c>
      <c r="H237" s="64" t="str">
        <f t="shared" si="121"/>
        <v/>
      </c>
      <c r="I237" s="43"/>
      <c r="J237" s="63" t="str">
        <f t="shared" si="122"/>
        <v/>
      </c>
      <c r="K237" s="64" t="str">
        <f t="shared" si="123"/>
        <v/>
      </c>
      <c r="L237" s="38">
        <v>0</v>
      </c>
      <c r="M237" s="64" t="str">
        <f t="shared" si="124"/>
        <v/>
      </c>
      <c r="N237" s="65"/>
      <c r="O237" s="63" t="str">
        <f t="shared" si="125"/>
        <v/>
      </c>
      <c r="P237" s="63" t="str">
        <f t="shared" si="126"/>
        <v/>
      </c>
      <c r="Q237" s="66"/>
      <c r="R237" s="63" t="str">
        <f t="shared" si="127"/>
        <v/>
      </c>
      <c r="S237" s="64" t="str">
        <f t="shared" si="128"/>
        <v/>
      </c>
      <c r="T237" s="63" t="str">
        <f t="shared" si="129"/>
        <v/>
      </c>
      <c r="U237" s="64" t="str">
        <f t="shared" si="130"/>
        <v/>
      </c>
      <c r="V237" s="207" t="str">
        <f>IF($A238="","",IF(AND(MONTH(A237)&gt;3,MONTH(A237)&lt;11),(T237+R237+G237)*(((1/(1-Summary!$T$14))/(1-Summary!$W$14))-1),(T237+R237+G237)*((1/(1-Summary!$U$14))/(1-Summary!$X$14)-1)))</f>
        <v/>
      </c>
      <c r="W237" s="43" t="str">
        <f t="shared" si="131"/>
        <v/>
      </c>
      <c r="X237" s="43" t="str">
        <f t="shared" si="132"/>
        <v/>
      </c>
      <c r="Y237" s="43"/>
      <c r="Z237" s="38" t="str">
        <f t="shared" si="133"/>
        <v/>
      </c>
      <c r="AA237" s="38" t="str">
        <f t="shared" si="134"/>
        <v/>
      </c>
      <c r="AB237" s="38" t="e">
        <f t="shared" si="135"/>
        <v>#VALUE!</v>
      </c>
      <c r="AC237" s="38" t="str">
        <f t="shared" si="136"/>
        <v/>
      </c>
      <c r="AD237" s="38" t="str">
        <f t="shared" si="137"/>
        <v/>
      </c>
      <c r="AE237" s="38" t="e">
        <f t="shared" si="138"/>
        <v>#VALUE!</v>
      </c>
      <c r="AF237" s="237" t="e">
        <f>((Summary!$N$14*(AA237*AD237)*(A237-$D$3))+(Summary!$M$14*Z237*AC237*(AJ237-EOMONTH(EDATE(A237,-1),0))))/(AK237*AB237*AE237)</f>
        <v>#VALUE!</v>
      </c>
      <c r="AG237" s="88" t="str">
        <f>IF($A238="","",Summary!$Q$14)</f>
        <v/>
      </c>
      <c r="AH237" s="88" t="str">
        <f>IF($A238="","",IF(Summary!$R$12="Y",(VLOOKUP($A237,Summary!$AD$6:$AF$9,3)+'Escalating commodity'!J250),'Escalating commodity'!J250))</f>
        <v/>
      </c>
      <c r="AI237" s="88" t="str">
        <f t="shared" si="154"/>
        <v/>
      </c>
      <c r="AJ237" s="236" t="e">
        <f t="shared" si="139"/>
        <v>#VALUE!</v>
      </c>
      <c r="AK237" s="58" t="str">
        <f t="shared" si="140"/>
        <v/>
      </c>
      <c r="AL237" s="26" t="str">
        <f>IF($A238="","",_xll.SPRDOPT(P237,X237,AI237,0,AB237,AE237,AF237,AK237,$AJ$2,0))</f>
        <v/>
      </c>
      <c r="AM237" s="89" t="str">
        <f t="shared" si="141"/>
        <v/>
      </c>
      <c r="AN237" s="89" t="str">
        <f t="shared" si="142"/>
        <v/>
      </c>
      <c r="AO237" s="3" t="str">
        <f t="shared" si="143"/>
        <v/>
      </c>
      <c r="AP237" s="33" t="str">
        <f t="shared" si="144"/>
        <v/>
      </c>
      <c r="AQ237" s="58" t="str">
        <f t="shared" si="145"/>
        <v/>
      </c>
      <c r="AR237" s="38">
        <f>'ANR OK vs ML7'!AR237</f>
        <v>0.1</v>
      </c>
      <c r="AS237" s="35" t="str">
        <f t="shared" si="146"/>
        <v/>
      </c>
      <c r="AT237" s="3" t="str">
        <f t="shared" si="147"/>
        <v/>
      </c>
      <c r="AU237" s="3" t="str">
        <f t="shared" si="148"/>
        <v/>
      </c>
      <c r="AW237" s="32" t="str">
        <f t="shared" si="149"/>
        <v/>
      </c>
      <c r="AX237" s="32" t="str">
        <f t="shared" si="150"/>
        <v/>
      </c>
      <c r="AY237" s="32" t="str">
        <f t="shared" si="151"/>
        <v/>
      </c>
      <c r="BA237" s="32" t="str">
        <f>IF($A238="","",F237*Summary!$Q$14)</f>
        <v/>
      </c>
    </row>
    <row r="238" spans="1:53" ht="12" customHeight="1">
      <c r="A238" s="67" t="str">
        <f t="shared" si="152"/>
        <v/>
      </c>
      <c r="B238" s="69" t="str">
        <f t="shared" si="153"/>
        <v/>
      </c>
      <c r="C238" s="71"/>
      <c r="D238" s="69" t="str">
        <f t="shared" si="117"/>
        <v/>
      </c>
      <c r="E238" s="70" t="str">
        <f t="shared" si="118"/>
        <v/>
      </c>
      <c r="F238" s="70" t="str">
        <f t="shared" si="119"/>
        <v/>
      </c>
      <c r="G238" s="63" t="str">
        <f t="shared" si="120"/>
        <v/>
      </c>
      <c r="H238" s="64" t="str">
        <f t="shared" si="121"/>
        <v/>
      </c>
      <c r="I238" s="43"/>
      <c r="J238" s="63" t="str">
        <f t="shared" si="122"/>
        <v/>
      </c>
      <c r="K238" s="64" t="str">
        <f t="shared" si="123"/>
        <v/>
      </c>
      <c r="L238" s="38">
        <v>0</v>
      </c>
      <c r="M238" s="64" t="str">
        <f t="shared" si="124"/>
        <v/>
      </c>
      <c r="N238" s="65"/>
      <c r="O238" s="63" t="str">
        <f t="shared" si="125"/>
        <v/>
      </c>
      <c r="P238" s="63" t="str">
        <f t="shared" si="126"/>
        <v/>
      </c>
      <c r="Q238" s="66"/>
      <c r="R238" s="63" t="str">
        <f t="shared" si="127"/>
        <v/>
      </c>
      <c r="S238" s="64" t="str">
        <f t="shared" si="128"/>
        <v/>
      </c>
      <c r="T238" s="63" t="str">
        <f t="shared" si="129"/>
        <v/>
      </c>
      <c r="U238" s="64" t="str">
        <f t="shared" si="130"/>
        <v/>
      </c>
      <c r="V238" s="207" t="str">
        <f>IF($A239="","",IF(AND(MONTH(A238)&gt;3,MONTH(A238)&lt;11),(T238+R238+G238)*(((1/(1-Summary!$T$14))/(1-Summary!$W$14))-1),(T238+R238+G238)*((1/(1-Summary!$U$14))/(1-Summary!$X$14)-1)))</f>
        <v/>
      </c>
      <c r="W238" s="43" t="str">
        <f t="shared" si="131"/>
        <v/>
      </c>
      <c r="X238" s="43" t="str">
        <f t="shared" si="132"/>
        <v/>
      </c>
      <c r="Y238" s="43"/>
      <c r="Z238" s="38" t="str">
        <f t="shared" si="133"/>
        <v/>
      </c>
      <c r="AA238" s="38" t="str">
        <f t="shared" si="134"/>
        <v/>
      </c>
      <c r="AB238" s="38" t="e">
        <f t="shared" si="135"/>
        <v>#VALUE!</v>
      </c>
      <c r="AC238" s="38" t="str">
        <f t="shared" si="136"/>
        <v/>
      </c>
      <c r="AD238" s="38" t="str">
        <f t="shared" si="137"/>
        <v/>
      </c>
      <c r="AE238" s="38" t="e">
        <f t="shared" si="138"/>
        <v>#VALUE!</v>
      </c>
      <c r="AF238" s="237" t="e">
        <f>((Summary!$N$14*(AA238*AD238)*(A238-$D$3))+(Summary!$M$14*Z238*AC238*(AJ238-EOMONTH(EDATE(A238,-1),0))))/(AK238*AB238*AE238)</f>
        <v>#VALUE!</v>
      </c>
      <c r="AG238" s="88" t="str">
        <f>IF($A239="","",Summary!$Q$14)</f>
        <v/>
      </c>
      <c r="AH238" s="88" t="str">
        <f>IF($A239="","",IF(Summary!$R$12="Y",(VLOOKUP($A238,Summary!$AD$6:$AF$9,3)+'Escalating commodity'!J251),'Escalating commodity'!J251))</f>
        <v/>
      </c>
      <c r="AI238" s="88" t="str">
        <f t="shared" si="154"/>
        <v/>
      </c>
      <c r="AJ238" s="236" t="e">
        <f t="shared" si="139"/>
        <v>#VALUE!</v>
      </c>
      <c r="AK238" s="58" t="str">
        <f t="shared" si="140"/>
        <v/>
      </c>
      <c r="AL238" s="26" t="str">
        <f>IF($A239="","",_xll.SPRDOPT(P238,X238,AI238,0,AB238,AE238,AF238,AK238,$AJ$2,0))</f>
        <v/>
      </c>
      <c r="AM238" s="89" t="str">
        <f t="shared" si="141"/>
        <v/>
      </c>
      <c r="AN238" s="89" t="str">
        <f t="shared" si="142"/>
        <v/>
      </c>
      <c r="AO238" s="3" t="str">
        <f t="shared" si="143"/>
        <v/>
      </c>
      <c r="AP238" s="33" t="str">
        <f t="shared" si="144"/>
        <v/>
      </c>
      <c r="AQ238" s="58" t="str">
        <f t="shared" si="145"/>
        <v/>
      </c>
      <c r="AR238" s="38">
        <f>'ANR OK vs ML7'!AR238</f>
        <v>0.1</v>
      </c>
      <c r="AS238" s="35" t="str">
        <f t="shared" si="146"/>
        <v/>
      </c>
      <c r="AT238" s="3" t="str">
        <f t="shared" si="147"/>
        <v/>
      </c>
      <c r="AU238" s="3" t="str">
        <f t="shared" si="148"/>
        <v/>
      </c>
      <c r="AW238" s="32" t="str">
        <f t="shared" si="149"/>
        <v/>
      </c>
      <c r="AX238" s="32" t="str">
        <f t="shared" si="150"/>
        <v/>
      </c>
      <c r="AY238" s="32" t="str">
        <f t="shared" si="151"/>
        <v/>
      </c>
      <c r="BA238" s="32" t="str">
        <f>IF($A239="","",F238*Summary!$Q$14)</f>
        <v/>
      </c>
    </row>
    <row r="239" spans="1:53" ht="12" customHeight="1">
      <c r="A239" s="67" t="str">
        <f t="shared" si="152"/>
        <v/>
      </c>
      <c r="B239" s="69" t="str">
        <f t="shared" si="153"/>
        <v/>
      </c>
      <c r="C239" s="71"/>
      <c r="D239" s="69" t="str">
        <f t="shared" si="117"/>
        <v/>
      </c>
      <c r="E239" s="70" t="str">
        <f t="shared" si="118"/>
        <v/>
      </c>
      <c r="F239" s="70" t="str">
        <f t="shared" si="119"/>
        <v/>
      </c>
      <c r="G239" s="63" t="str">
        <f t="shared" si="120"/>
        <v/>
      </c>
      <c r="H239" s="64" t="str">
        <f t="shared" si="121"/>
        <v/>
      </c>
      <c r="I239" s="43"/>
      <c r="J239" s="63" t="str">
        <f t="shared" si="122"/>
        <v/>
      </c>
      <c r="K239" s="64" t="str">
        <f t="shared" si="123"/>
        <v/>
      </c>
      <c r="L239" s="38">
        <v>0</v>
      </c>
      <c r="M239" s="64" t="str">
        <f t="shared" si="124"/>
        <v/>
      </c>
      <c r="N239" s="65"/>
      <c r="O239" s="63" t="str">
        <f t="shared" si="125"/>
        <v/>
      </c>
      <c r="P239" s="63" t="str">
        <f t="shared" si="126"/>
        <v/>
      </c>
      <c r="Q239" s="66"/>
      <c r="R239" s="63" t="str">
        <f t="shared" si="127"/>
        <v/>
      </c>
      <c r="S239" s="64" t="str">
        <f t="shared" si="128"/>
        <v/>
      </c>
      <c r="T239" s="63" t="str">
        <f t="shared" si="129"/>
        <v/>
      </c>
      <c r="U239" s="64" t="str">
        <f t="shared" si="130"/>
        <v/>
      </c>
      <c r="V239" s="207" t="str">
        <f>IF($A240="","",IF(AND(MONTH(A239)&gt;3,MONTH(A239)&lt;11),(T239+R239+G239)*(((1/(1-Summary!$T$14))/(1-Summary!$W$14))-1),(T239+R239+G239)*((1/(1-Summary!$U$14))/(1-Summary!$X$14)-1)))</f>
        <v/>
      </c>
      <c r="W239" s="43" t="str">
        <f t="shared" si="131"/>
        <v/>
      </c>
      <c r="X239" s="43" t="str">
        <f t="shared" si="132"/>
        <v/>
      </c>
      <c r="Y239" s="43"/>
      <c r="Z239" s="38" t="str">
        <f t="shared" si="133"/>
        <v/>
      </c>
      <c r="AA239" s="38" t="str">
        <f t="shared" si="134"/>
        <v/>
      </c>
      <c r="AB239" s="38" t="e">
        <f t="shared" si="135"/>
        <v>#VALUE!</v>
      </c>
      <c r="AC239" s="38" t="str">
        <f t="shared" si="136"/>
        <v/>
      </c>
      <c r="AD239" s="38" t="str">
        <f t="shared" si="137"/>
        <v/>
      </c>
      <c r="AE239" s="38" t="e">
        <f t="shared" si="138"/>
        <v>#VALUE!</v>
      </c>
      <c r="AF239" s="237" t="e">
        <f>((Summary!$N$14*(AA239*AD239)*(A239-$D$3))+(Summary!$M$14*Z239*AC239*(AJ239-EOMONTH(EDATE(A239,-1),0))))/(AK239*AB239*AE239)</f>
        <v>#VALUE!</v>
      </c>
      <c r="AG239" s="88" t="str">
        <f>IF($A240="","",Summary!$Q$14)</f>
        <v/>
      </c>
      <c r="AH239" s="88" t="str">
        <f>IF($A240="","",IF(Summary!$R$12="Y",(VLOOKUP($A239,Summary!$AD$6:$AF$9,3)+'Escalating commodity'!J252),'Escalating commodity'!J252))</f>
        <v/>
      </c>
      <c r="AI239" s="88" t="str">
        <f t="shared" si="154"/>
        <v/>
      </c>
      <c r="AJ239" s="236" t="e">
        <f t="shared" si="139"/>
        <v>#VALUE!</v>
      </c>
      <c r="AK239" s="58" t="str">
        <f t="shared" si="140"/>
        <v/>
      </c>
      <c r="AL239" s="26" t="str">
        <f>IF($A240="","",_xll.SPRDOPT(P239,X239,AI239,0,AB239,AE239,AF239,AK239,$AJ$2,0))</f>
        <v/>
      </c>
      <c r="AM239" s="89" t="str">
        <f t="shared" si="141"/>
        <v/>
      </c>
      <c r="AN239" s="89" t="str">
        <f t="shared" si="142"/>
        <v/>
      </c>
      <c r="AO239" s="3" t="str">
        <f t="shared" si="143"/>
        <v/>
      </c>
      <c r="AP239" s="33" t="str">
        <f t="shared" si="144"/>
        <v/>
      </c>
      <c r="AQ239" s="58" t="str">
        <f t="shared" si="145"/>
        <v/>
      </c>
      <c r="AR239" s="38">
        <f>'ANR OK vs ML7'!AR239</f>
        <v>0.1</v>
      </c>
      <c r="AS239" s="35" t="str">
        <f t="shared" si="146"/>
        <v/>
      </c>
      <c r="AT239" s="3" t="str">
        <f t="shared" si="147"/>
        <v/>
      </c>
      <c r="AU239" s="3" t="str">
        <f t="shared" si="148"/>
        <v/>
      </c>
      <c r="AW239" s="32" t="str">
        <f t="shared" si="149"/>
        <v/>
      </c>
      <c r="AX239" s="32" t="str">
        <f t="shared" si="150"/>
        <v/>
      </c>
      <c r="AY239" s="32" t="str">
        <f t="shared" si="151"/>
        <v/>
      </c>
      <c r="BA239" s="32" t="str">
        <f>IF($A240="","",F239*Summary!$Q$14)</f>
        <v/>
      </c>
    </row>
    <row r="240" spans="1:53" ht="12" customHeight="1">
      <c r="A240" s="67" t="str">
        <f t="shared" si="152"/>
        <v/>
      </c>
      <c r="B240" s="69" t="str">
        <f t="shared" si="153"/>
        <v/>
      </c>
      <c r="C240" s="71"/>
      <c r="D240" s="69" t="str">
        <f t="shared" si="117"/>
        <v/>
      </c>
      <c r="E240" s="70" t="str">
        <f t="shared" si="118"/>
        <v/>
      </c>
      <c r="F240" s="70" t="str">
        <f t="shared" si="119"/>
        <v/>
      </c>
      <c r="G240" s="63" t="str">
        <f t="shared" si="120"/>
        <v/>
      </c>
      <c r="H240" s="64" t="str">
        <f t="shared" si="121"/>
        <v/>
      </c>
      <c r="I240" s="43"/>
      <c r="J240" s="63" t="str">
        <f t="shared" si="122"/>
        <v/>
      </c>
      <c r="K240" s="64" t="str">
        <f t="shared" si="123"/>
        <v/>
      </c>
      <c r="L240" s="38">
        <v>0</v>
      </c>
      <c r="M240" s="64" t="str">
        <f t="shared" si="124"/>
        <v/>
      </c>
      <c r="N240" s="65"/>
      <c r="O240" s="63" t="str">
        <f t="shared" si="125"/>
        <v/>
      </c>
      <c r="P240" s="63" t="str">
        <f t="shared" si="126"/>
        <v/>
      </c>
      <c r="Q240" s="66"/>
      <c r="R240" s="63" t="str">
        <f t="shared" si="127"/>
        <v/>
      </c>
      <c r="S240" s="64" t="str">
        <f t="shared" si="128"/>
        <v/>
      </c>
      <c r="T240" s="63" t="str">
        <f t="shared" si="129"/>
        <v/>
      </c>
      <c r="U240" s="64" t="str">
        <f t="shared" si="130"/>
        <v/>
      </c>
      <c r="V240" s="207" t="str">
        <f>IF($A241="","",IF(AND(MONTH(A240)&gt;3,MONTH(A240)&lt;11),(T240+R240+G240)*(((1/(1-Summary!$T$14))/(1-Summary!$W$14))-1),(T240+R240+G240)*((1/(1-Summary!$U$14))/(1-Summary!$X$14)-1)))</f>
        <v/>
      </c>
      <c r="W240" s="43" t="str">
        <f t="shared" si="131"/>
        <v/>
      </c>
      <c r="X240" s="43" t="str">
        <f t="shared" si="132"/>
        <v/>
      </c>
      <c r="Y240" s="43"/>
      <c r="Z240" s="38" t="str">
        <f t="shared" si="133"/>
        <v/>
      </c>
      <c r="AA240" s="38" t="str">
        <f t="shared" si="134"/>
        <v/>
      </c>
      <c r="AB240" s="38" t="e">
        <f t="shared" si="135"/>
        <v>#VALUE!</v>
      </c>
      <c r="AC240" s="38" t="str">
        <f t="shared" si="136"/>
        <v/>
      </c>
      <c r="AD240" s="38" t="str">
        <f t="shared" si="137"/>
        <v/>
      </c>
      <c r="AE240" s="38" t="e">
        <f t="shared" si="138"/>
        <v>#VALUE!</v>
      </c>
      <c r="AF240" s="237" t="e">
        <f>((Summary!$N$14*(AA240*AD240)*(A240-$D$3))+(Summary!$M$14*Z240*AC240*(AJ240-EOMONTH(EDATE(A240,-1),0))))/(AK240*AB240*AE240)</f>
        <v>#VALUE!</v>
      </c>
      <c r="AG240" s="88" t="str">
        <f>IF($A241="","",Summary!$Q$14)</f>
        <v/>
      </c>
      <c r="AH240" s="88" t="str">
        <f>IF($A241="","",IF(Summary!$R$12="Y",(VLOOKUP($A240,Summary!$AD$6:$AF$9,3)+'Escalating commodity'!J253),'Escalating commodity'!J253))</f>
        <v/>
      </c>
      <c r="AI240" s="88" t="str">
        <f t="shared" si="154"/>
        <v/>
      </c>
      <c r="AJ240" s="236" t="e">
        <f t="shared" si="139"/>
        <v>#VALUE!</v>
      </c>
      <c r="AK240" s="58" t="str">
        <f t="shared" si="140"/>
        <v/>
      </c>
      <c r="AL240" s="26" t="str">
        <f>IF($A241="","",_xll.SPRDOPT(P240,X240,AI240,0,AB240,AE240,AF240,AK240,$AJ$2,0))</f>
        <v/>
      </c>
      <c r="AM240" s="89" t="str">
        <f t="shared" si="141"/>
        <v/>
      </c>
      <c r="AN240" s="89" t="str">
        <f t="shared" si="142"/>
        <v/>
      </c>
      <c r="AO240" s="3" t="str">
        <f t="shared" si="143"/>
        <v/>
      </c>
      <c r="AP240" s="33" t="str">
        <f t="shared" si="144"/>
        <v/>
      </c>
      <c r="AQ240" s="58" t="str">
        <f t="shared" si="145"/>
        <v/>
      </c>
      <c r="AR240" s="38">
        <f>'ANR OK vs ML7'!AR240</f>
        <v>0.1</v>
      </c>
      <c r="AS240" s="35" t="str">
        <f t="shared" si="146"/>
        <v/>
      </c>
      <c r="AT240" s="3" t="str">
        <f t="shared" si="147"/>
        <v/>
      </c>
      <c r="AU240" s="3" t="str">
        <f t="shared" si="148"/>
        <v/>
      </c>
      <c r="AW240" s="32" t="str">
        <f t="shared" si="149"/>
        <v/>
      </c>
      <c r="AX240" s="32" t="str">
        <f t="shared" si="150"/>
        <v/>
      </c>
      <c r="AY240" s="32" t="str">
        <f t="shared" si="151"/>
        <v/>
      </c>
      <c r="BA240" s="32" t="str">
        <f>IF($A241="","",F240*Summary!$Q$14)</f>
        <v/>
      </c>
    </row>
    <row r="241" spans="1:53" ht="12" customHeight="1">
      <c r="A241" s="67" t="str">
        <f t="shared" si="152"/>
        <v/>
      </c>
      <c r="B241" s="69" t="str">
        <f t="shared" si="153"/>
        <v/>
      </c>
      <c r="C241" s="71"/>
      <c r="D241" s="69" t="str">
        <f t="shared" si="117"/>
        <v/>
      </c>
      <c r="E241" s="70" t="str">
        <f t="shared" si="118"/>
        <v/>
      </c>
      <c r="F241" s="70" t="str">
        <f t="shared" si="119"/>
        <v/>
      </c>
      <c r="G241" s="63" t="str">
        <f t="shared" si="120"/>
        <v/>
      </c>
      <c r="H241" s="64" t="str">
        <f t="shared" si="121"/>
        <v/>
      </c>
      <c r="I241" s="43"/>
      <c r="J241" s="63" t="str">
        <f t="shared" si="122"/>
        <v/>
      </c>
      <c r="K241" s="64" t="str">
        <f t="shared" si="123"/>
        <v/>
      </c>
      <c r="L241" s="38">
        <v>0</v>
      </c>
      <c r="M241" s="64" t="str">
        <f t="shared" si="124"/>
        <v/>
      </c>
      <c r="N241" s="65"/>
      <c r="O241" s="63" t="str">
        <f t="shared" si="125"/>
        <v/>
      </c>
      <c r="P241" s="63" t="str">
        <f t="shared" si="126"/>
        <v/>
      </c>
      <c r="Q241" s="66"/>
      <c r="R241" s="63" t="str">
        <f t="shared" si="127"/>
        <v/>
      </c>
      <c r="S241" s="64" t="str">
        <f t="shared" si="128"/>
        <v/>
      </c>
      <c r="T241" s="63" t="str">
        <f t="shared" si="129"/>
        <v/>
      </c>
      <c r="U241" s="64" t="str">
        <f t="shared" si="130"/>
        <v/>
      </c>
      <c r="V241" s="207" t="str">
        <f>IF($A242="","",IF(AND(MONTH(A241)&gt;3,MONTH(A241)&lt;11),(T241+R241+G241)*(((1/(1-Summary!$T$14))/(1-Summary!$W$14))-1),(T241+R241+G241)*((1/(1-Summary!$U$14))/(1-Summary!$X$14)-1)))</f>
        <v/>
      </c>
      <c r="W241" s="43" t="str">
        <f t="shared" si="131"/>
        <v/>
      </c>
      <c r="X241" s="43" t="str">
        <f t="shared" si="132"/>
        <v/>
      </c>
      <c r="Y241" s="43"/>
      <c r="Z241" s="38" t="str">
        <f t="shared" si="133"/>
        <v/>
      </c>
      <c r="AA241" s="38" t="str">
        <f t="shared" si="134"/>
        <v/>
      </c>
      <c r="AB241" s="38" t="e">
        <f t="shared" si="135"/>
        <v>#VALUE!</v>
      </c>
      <c r="AC241" s="38" t="str">
        <f t="shared" si="136"/>
        <v/>
      </c>
      <c r="AD241" s="38" t="str">
        <f t="shared" si="137"/>
        <v/>
      </c>
      <c r="AE241" s="38" t="e">
        <f t="shared" si="138"/>
        <v>#VALUE!</v>
      </c>
      <c r="AF241" s="237" t="e">
        <f>((Summary!$N$14*(AA241*AD241)*(A241-$D$3))+(Summary!$M$14*Z241*AC241*(AJ241-EOMONTH(EDATE(A241,-1),0))))/(AK241*AB241*AE241)</f>
        <v>#VALUE!</v>
      </c>
      <c r="AG241" s="88" t="str">
        <f>IF($A242="","",Summary!$Q$14)</f>
        <v/>
      </c>
      <c r="AH241" s="88" t="str">
        <f>IF($A242="","",IF(Summary!$R$12="Y",(VLOOKUP($A241,Summary!$AD$6:$AF$9,3)+'Escalating commodity'!J254),'Escalating commodity'!J254))</f>
        <v/>
      </c>
      <c r="AI241" s="88" t="str">
        <f t="shared" si="154"/>
        <v/>
      </c>
      <c r="AJ241" s="236" t="e">
        <f t="shared" si="139"/>
        <v>#VALUE!</v>
      </c>
      <c r="AK241" s="58" t="str">
        <f t="shared" si="140"/>
        <v/>
      </c>
      <c r="AL241" s="26" t="str">
        <f>IF($A242="","",_xll.SPRDOPT(P241,X241,AI241,0,AB241,AE241,AF241,AK241,$AJ$2,0))</f>
        <v/>
      </c>
      <c r="AM241" s="89" t="str">
        <f t="shared" si="141"/>
        <v/>
      </c>
      <c r="AN241" s="89" t="str">
        <f t="shared" si="142"/>
        <v/>
      </c>
      <c r="AO241" s="3" t="str">
        <f t="shared" si="143"/>
        <v/>
      </c>
      <c r="AP241" s="33" t="str">
        <f t="shared" si="144"/>
        <v/>
      </c>
      <c r="AQ241" s="58" t="str">
        <f t="shared" si="145"/>
        <v/>
      </c>
      <c r="AR241" s="38">
        <f>'ANR OK vs ML7'!AR241</f>
        <v>0.1</v>
      </c>
      <c r="AS241" s="35" t="str">
        <f t="shared" si="146"/>
        <v/>
      </c>
      <c r="AT241" s="3" t="str">
        <f t="shared" si="147"/>
        <v/>
      </c>
      <c r="AU241" s="3" t="str">
        <f t="shared" si="148"/>
        <v/>
      </c>
      <c r="AW241" s="32" t="str">
        <f t="shared" si="149"/>
        <v/>
      </c>
      <c r="AX241" s="32" t="str">
        <f t="shared" si="150"/>
        <v/>
      </c>
      <c r="AY241" s="32" t="str">
        <f t="shared" si="151"/>
        <v/>
      </c>
      <c r="BA241" s="32" t="str">
        <f>IF($A242="","",F241*Summary!$Q$14)</f>
        <v/>
      </c>
    </row>
    <row r="242" spans="1:53" ht="12" customHeight="1">
      <c r="A242" s="67" t="str">
        <f t="shared" si="152"/>
        <v/>
      </c>
      <c r="B242" s="69" t="str">
        <f t="shared" si="153"/>
        <v/>
      </c>
      <c r="C242" s="71"/>
      <c r="D242" s="69" t="str">
        <f t="shared" si="117"/>
        <v/>
      </c>
      <c r="E242" s="70" t="str">
        <f t="shared" si="118"/>
        <v/>
      </c>
      <c r="F242" s="70" t="str">
        <f t="shared" si="119"/>
        <v/>
      </c>
      <c r="G242" s="63" t="str">
        <f t="shared" si="120"/>
        <v/>
      </c>
      <c r="H242" s="64" t="str">
        <f t="shared" si="121"/>
        <v/>
      </c>
      <c r="I242" s="43"/>
      <c r="J242" s="63" t="str">
        <f t="shared" si="122"/>
        <v/>
      </c>
      <c r="K242" s="64" t="str">
        <f t="shared" si="123"/>
        <v/>
      </c>
      <c r="L242" s="38">
        <v>0</v>
      </c>
      <c r="M242" s="64" t="str">
        <f t="shared" si="124"/>
        <v/>
      </c>
      <c r="N242" s="65"/>
      <c r="O242" s="63" t="str">
        <f t="shared" si="125"/>
        <v/>
      </c>
      <c r="P242" s="63" t="str">
        <f t="shared" si="126"/>
        <v/>
      </c>
      <c r="Q242" s="66"/>
      <c r="R242" s="63" t="str">
        <f t="shared" si="127"/>
        <v/>
      </c>
      <c r="S242" s="64" t="str">
        <f t="shared" si="128"/>
        <v/>
      </c>
      <c r="T242" s="63" t="str">
        <f t="shared" si="129"/>
        <v/>
      </c>
      <c r="U242" s="64" t="str">
        <f t="shared" si="130"/>
        <v/>
      </c>
      <c r="V242" s="207" t="str">
        <f>IF($A243="","",IF(AND(MONTH(A242)&gt;3,MONTH(A242)&lt;11),(T242+R242+G242)*(((1/(1-Summary!$T$14))/(1-Summary!$W$14))-1),(T242+R242+G242)*((1/(1-Summary!$U$14))/(1-Summary!$X$14)-1)))</f>
        <v/>
      </c>
      <c r="W242" s="43" t="str">
        <f t="shared" si="131"/>
        <v/>
      </c>
      <c r="X242" s="43" t="str">
        <f t="shared" si="132"/>
        <v/>
      </c>
      <c r="Y242" s="43"/>
      <c r="Z242" s="38" t="str">
        <f t="shared" si="133"/>
        <v/>
      </c>
      <c r="AA242" s="38" t="str">
        <f t="shared" si="134"/>
        <v/>
      </c>
      <c r="AB242" s="38" t="e">
        <f t="shared" si="135"/>
        <v>#VALUE!</v>
      </c>
      <c r="AC242" s="38" t="str">
        <f t="shared" si="136"/>
        <v/>
      </c>
      <c r="AD242" s="38" t="str">
        <f t="shared" si="137"/>
        <v/>
      </c>
      <c r="AE242" s="38" t="e">
        <f t="shared" si="138"/>
        <v>#VALUE!</v>
      </c>
      <c r="AF242" s="237" t="e">
        <f>((Summary!$N$14*(AA242*AD242)*(A242-$D$3))+(Summary!$M$14*Z242*AC242*(AJ242-EOMONTH(EDATE(A242,-1),0))))/(AK242*AB242*AE242)</f>
        <v>#VALUE!</v>
      </c>
      <c r="AG242" s="88" t="str">
        <f>IF($A243="","",Summary!$Q$14)</f>
        <v/>
      </c>
      <c r="AH242" s="88" t="str">
        <f>IF($A243="","",IF(Summary!$R$12="Y",(VLOOKUP($A242,Summary!$AD$6:$AF$9,3)+'Escalating commodity'!J255),'Escalating commodity'!J255))</f>
        <v/>
      </c>
      <c r="AI242" s="88" t="str">
        <f t="shared" si="154"/>
        <v/>
      </c>
      <c r="AJ242" s="236" t="e">
        <f t="shared" si="139"/>
        <v>#VALUE!</v>
      </c>
      <c r="AK242" s="58" t="str">
        <f t="shared" si="140"/>
        <v/>
      </c>
      <c r="AL242" s="26" t="str">
        <f>IF($A243="","",_xll.SPRDOPT(P242,X242,AI242,0,AB242,AE242,AF242,AK242,$AJ$2,0))</f>
        <v/>
      </c>
      <c r="AM242" s="89" t="str">
        <f t="shared" si="141"/>
        <v/>
      </c>
      <c r="AN242" s="89" t="str">
        <f t="shared" si="142"/>
        <v/>
      </c>
      <c r="AO242" s="3" t="str">
        <f t="shared" si="143"/>
        <v/>
      </c>
      <c r="AP242" s="33" t="str">
        <f t="shared" si="144"/>
        <v/>
      </c>
      <c r="AQ242" s="58" t="str">
        <f t="shared" si="145"/>
        <v/>
      </c>
      <c r="AR242" s="38">
        <f>'ANR OK vs ML7'!AR242</f>
        <v>0.1</v>
      </c>
      <c r="AS242" s="35" t="str">
        <f t="shared" si="146"/>
        <v/>
      </c>
      <c r="AT242" s="3" t="str">
        <f t="shared" si="147"/>
        <v/>
      </c>
      <c r="AU242" s="3" t="str">
        <f t="shared" si="148"/>
        <v/>
      </c>
      <c r="AW242" s="32" t="str">
        <f t="shared" si="149"/>
        <v/>
      </c>
      <c r="AX242" s="32" t="str">
        <f t="shared" si="150"/>
        <v/>
      </c>
      <c r="AY242" s="32" t="str">
        <f t="shared" si="151"/>
        <v/>
      </c>
      <c r="BA242" s="32" t="str">
        <f>IF($A243="","",F242*Summary!$Q$14)</f>
        <v/>
      </c>
    </row>
    <row r="243" spans="1:53" ht="12" customHeight="1">
      <c r="A243" s="67" t="str">
        <f t="shared" si="152"/>
        <v/>
      </c>
      <c r="B243" s="69" t="str">
        <f t="shared" si="153"/>
        <v/>
      </c>
      <c r="C243" s="71"/>
      <c r="D243" s="69" t="str">
        <f t="shared" si="117"/>
        <v/>
      </c>
      <c r="E243" s="70" t="str">
        <f t="shared" si="118"/>
        <v/>
      </c>
      <c r="F243" s="70" t="str">
        <f t="shared" si="119"/>
        <v/>
      </c>
      <c r="G243" s="63" t="str">
        <f t="shared" si="120"/>
        <v/>
      </c>
      <c r="H243" s="64" t="str">
        <f t="shared" si="121"/>
        <v/>
      </c>
      <c r="I243" s="43"/>
      <c r="J243" s="63" t="str">
        <f t="shared" si="122"/>
        <v/>
      </c>
      <c r="K243" s="64" t="str">
        <f t="shared" si="123"/>
        <v/>
      </c>
      <c r="L243" s="38">
        <v>0</v>
      </c>
      <c r="M243" s="64" t="str">
        <f t="shared" si="124"/>
        <v/>
      </c>
      <c r="N243" s="65"/>
      <c r="O243" s="63" t="str">
        <f t="shared" si="125"/>
        <v/>
      </c>
      <c r="P243" s="63" t="str">
        <f t="shared" si="126"/>
        <v/>
      </c>
      <c r="Q243" s="66"/>
      <c r="R243" s="63" t="str">
        <f t="shared" si="127"/>
        <v/>
      </c>
      <c r="S243" s="64" t="str">
        <f t="shared" si="128"/>
        <v/>
      </c>
      <c r="T243" s="63" t="str">
        <f t="shared" si="129"/>
        <v/>
      </c>
      <c r="U243" s="64" t="str">
        <f t="shared" si="130"/>
        <v/>
      </c>
      <c r="V243" s="207" t="str">
        <f>IF($A244="","",IF(AND(MONTH(A243)&gt;3,MONTH(A243)&lt;11),(T243+R243+G243)*(((1/(1-Summary!$T$14))/(1-Summary!$W$14))-1),(T243+R243+G243)*((1/(1-Summary!$U$14))/(1-Summary!$X$14)-1)))</f>
        <v/>
      </c>
      <c r="W243" s="43" t="str">
        <f t="shared" si="131"/>
        <v/>
      </c>
      <c r="X243" s="43" t="str">
        <f t="shared" si="132"/>
        <v/>
      </c>
      <c r="Y243" s="43"/>
      <c r="Z243" s="38" t="str">
        <f t="shared" si="133"/>
        <v/>
      </c>
      <c r="AA243" s="38" t="str">
        <f t="shared" si="134"/>
        <v/>
      </c>
      <c r="AB243" s="38" t="e">
        <f t="shared" si="135"/>
        <v>#VALUE!</v>
      </c>
      <c r="AC243" s="38" t="str">
        <f t="shared" si="136"/>
        <v/>
      </c>
      <c r="AD243" s="38" t="str">
        <f t="shared" si="137"/>
        <v/>
      </c>
      <c r="AE243" s="38" t="e">
        <f t="shared" si="138"/>
        <v>#VALUE!</v>
      </c>
      <c r="AF243" s="237" t="e">
        <f>((Summary!$N$14*(AA243*AD243)*(A243-$D$3))+(Summary!$M$14*Z243*AC243*(AJ243-EOMONTH(EDATE(A243,-1),0))))/(AK243*AB243*AE243)</f>
        <v>#VALUE!</v>
      </c>
      <c r="AG243" s="88" t="str">
        <f>IF($A244="","",Summary!$Q$14)</f>
        <v/>
      </c>
      <c r="AH243" s="88" t="str">
        <f>IF($A244="","",IF(Summary!$R$12="Y",(VLOOKUP($A243,Summary!$AD$6:$AF$9,3)+'Escalating commodity'!J256),'Escalating commodity'!J256))</f>
        <v/>
      </c>
      <c r="AI243" s="88" t="str">
        <f t="shared" si="154"/>
        <v/>
      </c>
      <c r="AJ243" s="236" t="e">
        <f t="shared" si="139"/>
        <v>#VALUE!</v>
      </c>
      <c r="AK243" s="58" t="str">
        <f t="shared" si="140"/>
        <v/>
      </c>
      <c r="AL243" s="26" t="str">
        <f>IF($A244="","",_xll.SPRDOPT(P243,X243,AI243,0,AB243,AE243,AF243,AK243,$AJ$2,0))</f>
        <v/>
      </c>
      <c r="AM243" s="89" t="str">
        <f t="shared" si="141"/>
        <v/>
      </c>
      <c r="AN243" s="89" t="str">
        <f t="shared" si="142"/>
        <v/>
      </c>
      <c r="AO243" s="3" t="str">
        <f t="shared" si="143"/>
        <v/>
      </c>
      <c r="AP243" s="33" t="str">
        <f t="shared" si="144"/>
        <v/>
      </c>
      <c r="AQ243" s="58" t="str">
        <f t="shared" si="145"/>
        <v/>
      </c>
      <c r="AR243" s="38">
        <f>'ANR OK vs ML7'!AR243</f>
        <v>0.1</v>
      </c>
      <c r="AS243" s="35" t="str">
        <f t="shared" si="146"/>
        <v/>
      </c>
      <c r="AT243" s="3" t="str">
        <f t="shared" si="147"/>
        <v/>
      </c>
      <c r="AU243" s="3" t="str">
        <f t="shared" si="148"/>
        <v/>
      </c>
      <c r="AW243" s="32" t="str">
        <f t="shared" si="149"/>
        <v/>
      </c>
      <c r="AX243" s="32" t="str">
        <f t="shared" si="150"/>
        <v/>
      </c>
      <c r="AY243" s="32" t="str">
        <f t="shared" si="151"/>
        <v/>
      </c>
      <c r="BA243" s="32" t="str">
        <f>IF($A244="","",F243*Summary!$Q$14)</f>
        <v/>
      </c>
    </row>
    <row r="244" spans="1:53" ht="12" customHeight="1">
      <c r="A244" s="67" t="str">
        <f t="shared" si="152"/>
        <v/>
      </c>
      <c r="B244" s="69" t="str">
        <f t="shared" si="153"/>
        <v/>
      </c>
      <c r="C244" s="71"/>
      <c r="D244" s="69" t="str">
        <f t="shared" si="117"/>
        <v/>
      </c>
      <c r="E244" s="70" t="str">
        <f t="shared" si="118"/>
        <v/>
      </c>
      <c r="F244" s="70" t="str">
        <f t="shared" si="119"/>
        <v/>
      </c>
      <c r="G244" s="63" t="str">
        <f t="shared" si="120"/>
        <v/>
      </c>
      <c r="H244" s="64" t="str">
        <f t="shared" si="121"/>
        <v/>
      </c>
      <c r="I244" s="43"/>
      <c r="J244" s="63" t="str">
        <f t="shared" si="122"/>
        <v/>
      </c>
      <c r="K244" s="64" t="str">
        <f t="shared" si="123"/>
        <v/>
      </c>
      <c r="L244" s="38">
        <v>0</v>
      </c>
      <c r="M244" s="64" t="str">
        <f t="shared" si="124"/>
        <v/>
      </c>
      <c r="N244" s="65"/>
      <c r="O244" s="63" t="str">
        <f t="shared" si="125"/>
        <v/>
      </c>
      <c r="P244" s="63" t="str">
        <f t="shared" si="126"/>
        <v/>
      </c>
      <c r="Q244" s="66"/>
      <c r="R244" s="63" t="str">
        <f t="shared" si="127"/>
        <v/>
      </c>
      <c r="S244" s="64" t="str">
        <f t="shared" si="128"/>
        <v/>
      </c>
      <c r="T244" s="63" t="str">
        <f t="shared" si="129"/>
        <v/>
      </c>
      <c r="U244" s="64" t="str">
        <f t="shared" si="130"/>
        <v/>
      </c>
      <c r="V244" s="207" t="str">
        <f>IF($A245="","",IF(AND(MONTH(A244)&gt;3,MONTH(A244)&lt;11),(T244+R244+G244)*(((1/(1-Summary!$T$14))/(1-Summary!$W$14))-1),(T244+R244+G244)*((1/(1-Summary!$U$14))/(1-Summary!$X$14)-1)))</f>
        <v/>
      </c>
      <c r="W244" s="43" t="str">
        <f t="shared" si="131"/>
        <v/>
      </c>
      <c r="X244" s="43" t="str">
        <f t="shared" si="132"/>
        <v/>
      </c>
      <c r="Y244" s="43"/>
      <c r="Z244" s="38" t="str">
        <f t="shared" si="133"/>
        <v/>
      </c>
      <c r="AA244" s="38" t="str">
        <f t="shared" si="134"/>
        <v/>
      </c>
      <c r="AB244" s="38" t="e">
        <f t="shared" si="135"/>
        <v>#VALUE!</v>
      </c>
      <c r="AC244" s="38" t="str">
        <f t="shared" si="136"/>
        <v/>
      </c>
      <c r="AD244" s="38" t="str">
        <f t="shared" si="137"/>
        <v/>
      </c>
      <c r="AE244" s="38" t="e">
        <f t="shared" si="138"/>
        <v>#VALUE!</v>
      </c>
      <c r="AF244" s="237" t="e">
        <f>((Summary!$N$14*(AA244*AD244)*(A244-$D$3))+(Summary!$M$14*Z244*AC244*(AJ244-EOMONTH(EDATE(A244,-1),0))))/(AK244*AB244*AE244)</f>
        <v>#VALUE!</v>
      </c>
      <c r="AG244" s="88" t="str">
        <f>IF($A245="","",Summary!$Q$14)</f>
        <v/>
      </c>
      <c r="AH244" s="88" t="str">
        <f>IF($A245="","",IF(Summary!$R$12="Y",(VLOOKUP($A244,Summary!$AD$6:$AF$9,3)+'Escalating commodity'!J257),'Escalating commodity'!J257))</f>
        <v/>
      </c>
      <c r="AI244" s="88" t="str">
        <f t="shared" si="154"/>
        <v/>
      </c>
      <c r="AJ244" s="236" t="e">
        <f t="shared" si="139"/>
        <v>#VALUE!</v>
      </c>
      <c r="AK244" s="58" t="str">
        <f t="shared" si="140"/>
        <v/>
      </c>
      <c r="AL244" s="26" t="str">
        <f>IF($A245="","",_xll.SPRDOPT(P244,X244,AI244,0,AB244,AE244,AF244,AK244,$AJ$2,0))</f>
        <v/>
      </c>
      <c r="AM244" s="89" t="str">
        <f t="shared" si="141"/>
        <v/>
      </c>
      <c r="AN244" s="89" t="str">
        <f t="shared" si="142"/>
        <v/>
      </c>
      <c r="AO244" s="3" t="str">
        <f t="shared" si="143"/>
        <v/>
      </c>
      <c r="AP244" s="33" t="str">
        <f t="shared" si="144"/>
        <v/>
      </c>
      <c r="AQ244" s="58" t="str">
        <f t="shared" si="145"/>
        <v/>
      </c>
      <c r="AR244" s="38">
        <f>'ANR OK vs ML7'!AR244</f>
        <v>0.1</v>
      </c>
      <c r="AS244" s="35" t="str">
        <f t="shared" si="146"/>
        <v/>
      </c>
      <c r="AT244" s="3" t="str">
        <f t="shared" si="147"/>
        <v/>
      </c>
      <c r="AU244" s="3" t="str">
        <f t="shared" si="148"/>
        <v/>
      </c>
      <c r="AW244" s="32" t="str">
        <f t="shared" si="149"/>
        <v/>
      </c>
      <c r="AX244" s="32" t="str">
        <f t="shared" si="150"/>
        <v/>
      </c>
      <c r="AY244" s="32" t="str">
        <f t="shared" si="151"/>
        <v/>
      </c>
      <c r="BA244" s="32" t="str">
        <f>IF($A245="","",F244*Summary!$Q$14)</f>
        <v/>
      </c>
    </row>
    <row r="245" spans="1:53" ht="12" customHeight="1">
      <c r="A245" s="67" t="str">
        <f t="shared" si="152"/>
        <v/>
      </c>
      <c r="B245" s="69" t="str">
        <f t="shared" si="153"/>
        <v/>
      </c>
      <c r="C245" s="71"/>
      <c r="D245" s="69" t="str">
        <f t="shared" si="117"/>
        <v/>
      </c>
      <c r="E245" s="70" t="str">
        <f t="shared" si="118"/>
        <v/>
      </c>
      <c r="F245" s="70" t="str">
        <f t="shared" si="119"/>
        <v/>
      </c>
      <c r="G245" s="63" t="str">
        <f t="shared" si="120"/>
        <v/>
      </c>
      <c r="H245" s="64" t="str">
        <f t="shared" si="121"/>
        <v/>
      </c>
      <c r="I245" s="43"/>
      <c r="J245" s="63" t="str">
        <f t="shared" si="122"/>
        <v/>
      </c>
      <c r="K245" s="64" t="str">
        <f t="shared" si="123"/>
        <v/>
      </c>
      <c r="L245" s="38">
        <v>0</v>
      </c>
      <c r="M245" s="64" t="str">
        <f t="shared" si="124"/>
        <v/>
      </c>
      <c r="N245" s="65"/>
      <c r="O245" s="63" t="str">
        <f t="shared" si="125"/>
        <v/>
      </c>
      <c r="P245" s="63" t="str">
        <f t="shared" si="126"/>
        <v/>
      </c>
      <c r="Q245" s="66"/>
      <c r="R245" s="63" t="str">
        <f t="shared" si="127"/>
        <v/>
      </c>
      <c r="S245" s="64" t="str">
        <f t="shared" si="128"/>
        <v/>
      </c>
      <c r="T245" s="63" t="str">
        <f t="shared" si="129"/>
        <v/>
      </c>
      <c r="U245" s="64" t="str">
        <f t="shared" si="130"/>
        <v/>
      </c>
      <c r="V245" s="207" t="str">
        <f>IF($A246="","",IF(AND(MONTH(A245)&gt;3,MONTH(A245)&lt;11),(T245+R245+G245)*(((1/(1-Summary!$T$14))/(1-Summary!$W$14))-1),(T245+R245+G245)*((1/(1-Summary!$U$14))/(1-Summary!$X$14)-1)))</f>
        <v/>
      </c>
      <c r="W245" s="43" t="str">
        <f t="shared" si="131"/>
        <v/>
      </c>
      <c r="X245" s="43" t="str">
        <f t="shared" si="132"/>
        <v/>
      </c>
      <c r="Y245" s="43"/>
      <c r="Z245" s="38" t="str">
        <f t="shared" si="133"/>
        <v/>
      </c>
      <c r="AA245" s="38" t="str">
        <f t="shared" si="134"/>
        <v/>
      </c>
      <c r="AB245" s="38" t="e">
        <f t="shared" si="135"/>
        <v>#VALUE!</v>
      </c>
      <c r="AC245" s="38" t="str">
        <f t="shared" si="136"/>
        <v/>
      </c>
      <c r="AD245" s="38" t="str">
        <f t="shared" si="137"/>
        <v/>
      </c>
      <c r="AE245" s="38" t="e">
        <f t="shared" si="138"/>
        <v>#VALUE!</v>
      </c>
      <c r="AF245" s="237" t="e">
        <f>((Summary!$N$14*(AA245*AD245)*(A245-$D$3))+(Summary!$M$14*Z245*AC245*(AJ245-EOMONTH(EDATE(A245,-1),0))))/(AK245*AB245*AE245)</f>
        <v>#VALUE!</v>
      </c>
      <c r="AG245" s="88" t="str">
        <f>IF($A246="","",Summary!$Q$14)</f>
        <v/>
      </c>
      <c r="AH245" s="88" t="str">
        <f>IF($A246="","",IF(Summary!$R$12="Y",(VLOOKUP($A245,Summary!$AD$6:$AF$9,3)+'Escalating commodity'!J258),'Escalating commodity'!J258))</f>
        <v/>
      </c>
      <c r="AI245" s="88" t="str">
        <f t="shared" si="154"/>
        <v/>
      </c>
      <c r="AJ245" s="236" t="e">
        <f t="shared" si="139"/>
        <v>#VALUE!</v>
      </c>
      <c r="AK245" s="58" t="str">
        <f t="shared" si="140"/>
        <v/>
      </c>
      <c r="AL245" s="26" t="str">
        <f>IF($A246="","",_xll.SPRDOPT(P245,X245,AI245,0,AB245,AE245,AF245,AK245,$AJ$2,0))</f>
        <v/>
      </c>
      <c r="AM245" s="89" t="str">
        <f t="shared" si="141"/>
        <v/>
      </c>
      <c r="AN245" s="89" t="str">
        <f t="shared" si="142"/>
        <v/>
      </c>
      <c r="AO245" s="3" t="str">
        <f t="shared" si="143"/>
        <v/>
      </c>
      <c r="AP245" s="33" t="str">
        <f t="shared" si="144"/>
        <v/>
      </c>
      <c r="AQ245" s="58" t="str">
        <f t="shared" si="145"/>
        <v/>
      </c>
      <c r="AR245" s="38">
        <f>'ANR OK vs ML7'!AR245</f>
        <v>0.1</v>
      </c>
      <c r="AS245" s="35" t="str">
        <f t="shared" si="146"/>
        <v/>
      </c>
      <c r="AT245" s="3" t="str">
        <f t="shared" si="147"/>
        <v/>
      </c>
      <c r="AU245" s="3" t="str">
        <f t="shared" si="148"/>
        <v/>
      </c>
      <c r="AW245" s="32" t="str">
        <f t="shared" si="149"/>
        <v/>
      </c>
      <c r="AX245" s="32" t="str">
        <f t="shared" si="150"/>
        <v/>
      </c>
      <c r="AY245" s="32" t="str">
        <f t="shared" si="151"/>
        <v/>
      </c>
      <c r="BA245" s="32" t="str">
        <f>IF($A246="","",F245*Summary!$Q$14)</f>
        <v/>
      </c>
    </row>
    <row r="246" spans="1:53" ht="12" customHeight="1">
      <c r="A246" s="67" t="str">
        <f t="shared" si="152"/>
        <v/>
      </c>
      <c r="B246" s="69" t="str">
        <f t="shared" si="153"/>
        <v/>
      </c>
      <c r="C246" s="71"/>
      <c r="D246" s="69" t="str">
        <f t="shared" si="117"/>
        <v/>
      </c>
      <c r="E246" s="70" t="str">
        <f t="shared" si="118"/>
        <v/>
      </c>
      <c r="F246" s="70" t="str">
        <f t="shared" si="119"/>
        <v/>
      </c>
      <c r="G246" s="63" t="str">
        <f t="shared" si="120"/>
        <v/>
      </c>
      <c r="H246" s="64" t="str">
        <f t="shared" si="121"/>
        <v/>
      </c>
      <c r="I246" s="43"/>
      <c r="J246" s="63" t="str">
        <f t="shared" si="122"/>
        <v/>
      </c>
      <c r="K246" s="64" t="str">
        <f t="shared" si="123"/>
        <v/>
      </c>
      <c r="L246" s="38">
        <v>0</v>
      </c>
      <c r="M246" s="64" t="str">
        <f t="shared" si="124"/>
        <v/>
      </c>
      <c r="N246" s="65"/>
      <c r="O246" s="63" t="str">
        <f t="shared" si="125"/>
        <v/>
      </c>
      <c r="P246" s="63" t="str">
        <f t="shared" si="126"/>
        <v/>
      </c>
      <c r="Q246" s="66"/>
      <c r="R246" s="63" t="str">
        <f t="shared" si="127"/>
        <v/>
      </c>
      <c r="S246" s="64" t="str">
        <f t="shared" si="128"/>
        <v/>
      </c>
      <c r="T246" s="63" t="str">
        <f t="shared" si="129"/>
        <v/>
      </c>
      <c r="U246" s="64" t="str">
        <f t="shared" si="130"/>
        <v/>
      </c>
      <c r="V246" s="207" t="str">
        <f>IF($A247="","",IF(AND(MONTH(A246)&gt;3,MONTH(A246)&lt;11),(T246+R246+G246)*(((1/(1-Summary!$T$14))/(1-Summary!$W$14))-1),(T246+R246+G246)*((1/(1-Summary!$U$14))/(1-Summary!$X$14)-1)))</f>
        <v/>
      </c>
      <c r="W246" s="43" t="str">
        <f t="shared" si="131"/>
        <v/>
      </c>
      <c r="X246" s="43" t="str">
        <f t="shared" si="132"/>
        <v/>
      </c>
      <c r="Y246" s="43"/>
      <c r="Z246" s="38" t="str">
        <f t="shared" si="133"/>
        <v/>
      </c>
      <c r="AA246" s="38" t="str">
        <f t="shared" si="134"/>
        <v/>
      </c>
      <c r="AB246" s="38" t="e">
        <f t="shared" si="135"/>
        <v>#VALUE!</v>
      </c>
      <c r="AC246" s="38" t="str">
        <f t="shared" si="136"/>
        <v/>
      </c>
      <c r="AD246" s="38" t="str">
        <f t="shared" si="137"/>
        <v/>
      </c>
      <c r="AE246" s="38" t="e">
        <f t="shared" si="138"/>
        <v>#VALUE!</v>
      </c>
      <c r="AF246" s="237" t="e">
        <f>((Summary!$N$14*(AA246*AD246)*(A246-$D$3))+(Summary!$M$14*Z246*AC246*(AJ246-EOMONTH(EDATE(A246,-1),0))))/(AK246*AB246*AE246)</f>
        <v>#VALUE!</v>
      </c>
      <c r="AG246" s="88" t="str">
        <f>IF($A247="","",Summary!$Q$14)</f>
        <v/>
      </c>
      <c r="AH246" s="88" t="str">
        <f>IF($A247="","",IF(Summary!$R$12="Y",(VLOOKUP($A246,Summary!$AD$6:$AF$9,3)+'Escalating commodity'!J259),'Escalating commodity'!J259))</f>
        <v/>
      </c>
      <c r="AI246" s="88" t="str">
        <f t="shared" si="154"/>
        <v/>
      </c>
      <c r="AJ246" s="236" t="e">
        <f t="shared" si="139"/>
        <v>#VALUE!</v>
      </c>
      <c r="AK246" s="58" t="str">
        <f t="shared" si="140"/>
        <v/>
      </c>
      <c r="AL246" s="26" t="str">
        <f>IF($A247="","",_xll.SPRDOPT(P246,X246,AI246,0,AB246,AE246,AF246,AK246,$AJ$2,0))</f>
        <v/>
      </c>
      <c r="AM246" s="89" t="str">
        <f t="shared" si="141"/>
        <v/>
      </c>
      <c r="AN246" s="89" t="str">
        <f t="shared" si="142"/>
        <v/>
      </c>
      <c r="AO246" s="3" t="str">
        <f t="shared" si="143"/>
        <v/>
      </c>
      <c r="AP246" s="33" t="str">
        <f t="shared" si="144"/>
        <v/>
      </c>
      <c r="AQ246" s="58" t="str">
        <f t="shared" si="145"/>
        <v/>
      </c>
      <c r="AR246" s="38">
        <f>'ANR OK vs ML7'!AR246</f>
        <v>0.1</v>
      </c>
      <c r="AS246" s="35" t="str">
        <f t="shared" si="146"/>
        <v/>
      </c>
      <c r="AT246" s="3" t="str">
        <f t="shared" si="147"/>
        <v/>
      </c>
      <c r="AU246" s="3" t="str">
        <f t="shared" si="148"/>
        <v/>
      </c>
      <c r="AW246" s="32" t="str">
        <f t="shared" si="149"/>
        <v/>
      </c>
      <c r="AX246" s="32" t="str">
        <f t="shared" si="150"/>
        <v/>
      </c>
      <c r="AY246" s="32" t="str">
        <f t="shared" si="151"/>
        <v/>
      </c>
      <c r="BA246" s="32" t="str">
        <f>IF($A247="","",F246*Summary!$Q$14)</f>
        <v/>
      </c>
    </row>
    <row r="247" spans="1:53" ht="12" customHeight="1">
      <c r="A247" s="67" t="str">
        <f t="shared" si="152"/>
        <v/>
      </c>
      <c r="B247" s="69" t="str">
        <f t="shared" si="153"/>
        <v/>
      </c>
      <c r="C247" s="71"/>
      <c r="D247" s="69" t="str">
        <f t="shared" si="117"/>
        <v/>
      </c>
      <c r="E247" s="70" t="str">
        <f t="shared" si="118"/>
        <v/>
      </c>
      <c r="F247" s="70" t="str">
        <f t="shared" si="119"/>
        <v/>
      </c>
      <c r="G247" s="63" t="str">
        <f t="shared" si="120"/>
        <v/>
      </c>
      <c r="H247" s="64" t="str">
        <f t="shared" si="121"/>
        <v/>
      </c>
      <c r="I247" s="43"/>
      <c r="J247" s="63" t="str">
        <f t="shared" si="122"/>
        <v/>
      </c>
      <c r="K247" s="64" t="str">
        <f t="shared" si="123"/>
        <v/>
      </c>
      <c r="L247" s="38">
        <v>0</v>
      </c>
      <c r="M247" s="64" t="str">
        <f t="shared" si="124"/>
        <v/>
      </c>
      <c r="N247" s="65"/>
      <c r="O247" s="63" t="str">
        <f t="shared" si="125"/>
        <v/>
      </c>
      <c r="P247" s="63" t="str">
        <f t="shared" si="126"/>
        <v/>
      </c>
      <c r="Q247" s="66"/>
      <c r="R247" s="63" t="str">
        <f t="shared" si="127"/>
        <v/>
      </c>
      <c r="S247" s="64" t="str">
        <f t="shared" si="128"/>
        <v/>
      </c>
      <c r="T247" s="63" t="str">
        <f t="shared" si="129"/>
        <v/>
      </c>
      <c r="U247" s="64" t="str">
        <f t="shared" si="130"/>
        <v/>
      </c>
      <c r="V247" s="207" t="str">
        <f>IF($A248="","",IF(AND(MONTH(A247)&gt;3,MONTH(A247)&lt;11),(T247+R247+G247)*(((1/(1-Summary!$T$14))/(1-Summary!$W$14))-1),(T247+R247+G247)*((1/(1-Summary!$U$14))/(1-Summary!$X$14)-1)))</f>
        <v/>
      </c>
      <c r="W247" s="43" t="str">
        <f t="shared" si="131"/>
        <v/>
      </c>
      <c r="X247" s="43" t="str">
        <f t="shared" si="132"/>
        <v/>
      </c>
      <c r="Y247" s="43"/>
      <c r="Z247" s="38" t="str">
        <f t="shared" si="133"/>
        <v/>
      </c>
      <c r="AA247" s="38" t="str">
        <f t="shared" si="134"/>
        <v/>
      </c>
      <c r="AB247" s="38" t="e">
        <f t="shared" si="135"/>
        <v>#VALUE!</v>
      </c>
      <c r="AC247" s="38" t="str">
        <f t="shared" si="136"/>
        <v/>
      </c>
      <c r="AD247" s="38" t="str">
        <f t="shared" si="137"/>
        <v/>
      </c>
      <c r="AE247" s="38" t="e">
        <f t="shared" si="138"/>
        <v>#VALUE!</v>
      </c>
      <c r="AF247" s="237" t="e">
        <f>((Summary!$N$14*(AA247*AD247)*(A247-$D$3))+(Summary!$M$14*Z247*AC247*(AJ247-EOMONTH(EDATE(A247,-1),0))))/(AK247*AB247*AE247)</f>
        <v>#VALUE!</v>
      </c>
      <c r="AG247" s="88" t="str">
        <f>IF($A248="","",Summary!$Q$14)</f>
        <v/>
      </c>
      <c r="AH247" s="88" t="str">
        <f>IF($A248="","",IF(Summary!$R$12="Y",(VLOOKUP($A247,Summary!$AD$6:$AF$9,3)+'Escalating commodity'!J260),'Escalating commodity'!J260))</f>
        <v/>
      </c>
      <c r="AI247" s="88" t="str">
        <f t="shared" si="154"/>
        <v/>
      </c>
      <c r="AJ247" s="236" t="e">
        <f t="shared" si="139"/>
        <v>#VALUE!</v>
      </c>
      <c r="AK247" s="58" t="str">
        <f t="shared" si="140"/>
        <v/>
      </c>
      <c r="AL247" s="26" t="str">
        <f>IF($A248="","",_xll.SPRDOPT(P247,X247,AI247,0,AB247,AE247,AF247,AK247,$AJ$2,0))</f>
        <v/>
      </c>
      <c r="AM247" s="89" t="str">
        <f t="shared" si="141"/>
        <v/>
      </c>
      <c r="AN247" s="89" t="str">
        <f t="shared" si="142"/>
        <v/>
      </c>
      <c r="AO247" s="3" t="str">
        <f t="shared" si="143"/>
        <v/>
      </c>
      <c r="AP247" s="33" t="str">
        <f t="shared" si="144"/>
        <v/>
      </c>
      <c r="AQ247" s="58" t="str">
        <f t="shared" si="145"/>
        <v/>
      </c>
      <c r="AR247" s="38">
        <f>'ANR OK vs ML7'!AR247</f>
        <v>0.1</v>
      </c>
      <c r="AS247" s="35" t="str">
        <f t="shared" si="146"/>
        <v/>
      </c>
      <c r="AT247" s="3" t="str">
        <f t="shared" si="147"/>
        <v/>
      </c>
      <c r="AU247" s="3" t="str">
        <f t="shared" si="148"/>
        <v/>
      </c>
      <c r="AW247" s="32" t="str">
        <f t="shared" si="149"/>
        <v/>
      </c>
      <c r="AX247" s="32" t="str">
        <f t="shared" si="150"/>
        <v/>
      </c>
      <c r="AY247" s="32" t="str">
        <f t="shared" si="151"/>
        <v/>
      </c>
      <c r="BA247" s="32" t="str">
        <f>IF($A248="","",F247*Summary!$Q$14)</f>
        <v/>
      </c>
    </row>
    <row r="248" spans="1:53" ht="12" customHeight="1">
      <c r="A248" s="67" t="str">
        <f t="shared" si="152"/>
        <v/>
      </c>
      <c r="B248" s="69" t="str">
        <f t="shared" si="153"/>
        <v/>
      </c>
      <c r="C248" s="71"/>
      <c r="D248" s="69" t="str">
        <f t="shared" si="117"/>
        <v/>
      </c>
      <c r="E248" s="70" t="str">
        <f t="shared" si="118"/>
        <v/>
      </c>
      <c r="F248" s="70" t="str">
        <f t="shared" si="119"/>
        <v/>
      </c>
      <c r="G248" s="63" t="str">
        <f t="shared" si="120"/>
        <v/>
      </c>
      <c r="H248" s="64" t="str">
        <f t="shared" si="121"/>
        <v/>
      </c>
      <c r="I248" s="43"/>
      <c r="J248" s="63" t="str">
        <f t="shared" si="122"/>
        <v/>
      </c>
      <c r="K248" s="64" t="str">
        <f t="shared" si="123"/>
        <v/>
      </c>
      <c r="L248" s="38">
        <v>0</v>
      </c>
      <c r="M248" s="64" t="str">
        <f t="shared" si="124"/>
        <v/>
      </c>
      <c r="N248" s="65"/>
      <c r="O248" s="63" t="str">
        <f t="shared" si="125"/>
        <v/>
      </c>
      <c r="P248" s="63" t="str">
        <f t="shared" si="126"/>
        <v/>
      </c>
      <c r="Q248" s="66"/>
      <c r="R248" s="63" t="str">
        <f t="shared" si="127"/>
        <v/>
      </c>
      <c r="S248" s="64" t="str">
        <f t="shared" si="128"/>
        <v/>
      </c>
      <c r="T248" s="63" t="str">
        <f t="shared" si="129"/>
        <v/>
      </c>
      <c r="U248" s="64" t="str">
        <f t="shared" si="130"/>
        <v/>
      </c>
      <c r="V248" s="207" t="str">
        <f>IF($A249="","",IF(AND(MONTH(A248)&gt;3,MONTH(A248)&lt;11),(T248+R248+G248)*(((1/(1-Summary!$T$14))/(1-Summary!$W$14))-1),(T248+R248+G248)*((1/(1-Summary!$U$14))/(1-Summary!$X$14)-1)))</f>
        <v/>
      </c>
      <c r="W248" s="43" t="str">
        <f t="shared" si="131"/>
        <v/>
      </c>
      <c r="X248" s="43" t="str">
        <f t="shared" si="132"/>
        <v/>
      </c>
      <c r="Y248" s="43"/>
      <c r="Z248" s="38" t="str">
        <f t="shared" si="133"/>
        <v/>
      </c>
      <c r="AA248" s="38" t="str">
        <f t="shared" si="134"/>
        <v/>
      </c>
      <c r="AB248" s="38" t="e">
        <f t="shared" si="135"/>
        <v>#VALUE!</v>
      </c>
      <c r="AC248" s="38" t="str">
        <f t="shared" si="136"/>
        <v/>
      </c>
      <c r="AD248" s="38" t="str">
        <f t="shared" si="137"/>
        <v/>
      </c>
      <c r="AE248" s="38" t="e">
        <f t="shared" si="138"/>
        <v>#VALUE!</v>
      </c>
      <c r="AF248" s="237" t="e">
        <f>((Summary!$N$14*(AA248*AD248)*(A248-$D$3))+(Summary!$M$14*Z248*AC248*(AJ248-EOMONTH(EDATE(A248,-1),0))))/(AK248*AB248*AE248)</f>
        <v>#VALUE!</v>
      </c>
      <c r="AG248" s="88" t="str">
        <f>IF($A249="","",Summary!$Q$14)</f>
        <v/>
      </c>
      <c r="AH248" s="88" t="str">
        <f>IF($A249="","",IF(Summary!$R$12="Y",(VLOOKUP($A248,Summary!$AD$6:$AF$9,3)+'Escalating commodity'!J261),'Escalating commodity'!J261))</f>
        <v/>
      </c>
      <c r="AI248" s="88" t="str">
        <f t="shared" si="154"/>
        <v/>
      </c>
      <c r="AJ248" s="236" t="e">
        <f t="shared" si="139"/>
        <v>#VALUE!</v>
      </c>
      <c r="AK248" s="58" t="str">
        <f t="shared" si="140"/>
        <v/>
      </c>
      <c r="AL248" s="26" t="str">
        <f>IF($A249="","",_xll.SPRDOPT(P248,X248,AI248,0,AB248,AE248,AF248,AK248,$AJ$2,0))</f>
        <v/>
      </c>
      <c r="AM248" s="89" t="str">
        <f t="shared" si="141"/>
        <v/>
      </c>
      <c r="AN248" s="89" t="str">
        <f t="shared" si="142"/>
        <v/>
      </c>
      <c r="AO248" s="3" t="str">
        <f t="shared" si="143"/>
        <v/>
      </c>
      <c r="AP248" s="33" t="str">
        <f t="shared" si="144"/>
        <v/>
      </c>
      <c r="AQ248" s="58" t="str">
        <f t="shared" si="145"/>
        <v/>
      </c>
      <c r="AR248" s="38">
        <f>'ANR OK vs ML7'!AR248</f>
        <v>0.1</v>
      </c>
      <c r="AS248" s="35" t="str">
        <f t="shared" si="146"/>
        <v/>
      </c>
      <c r="AT248" s="3" t="str">
        <f t="shared" si="147"/>
        <v/>
      </c>
      <c r="AU248" s="3" t="str">
        <f t="shared" si="148"/>
        <v/>
      </c>
      <c r="AW248" s="32" t="str">
        <f t="shared" si="149"/>
        <v/>
      </c>
      <c r="AX248" s="32" t="str">
        <f t="shared" si="150"/>
        <v/>
      </c>
      <c r="AY248" s="32" t="str">
        <f t="shared" si="151"/>
        <v/>
      </c>
      <c r="BA248" s="32" t="str">
        <f>IF($A249="","",F248*Summary!$Q$14)</f>
        <v/>
      </c>
    </row>
    <row r="249" spans="1:53" ht="12" customHeight="1">
      <c r="A249" s="67" t="str">
        <f t="shared" si="152"/>
        <v/>
      </c>
      <c r="B249" s="69" t="str">
        <f t="shared" si="153"/>
        <v/>
      </c>
      <c r="C249" s="71"/>
      <c r="D249" s="69" t="str">
        <f t="shared" si="117"/>
        <v/>
      </c>
      <c r="E249" s="70" t="str">
        <f t="shared" si="118"/>
        <v/>
      </c>
      <c r="F249" s="70" t="str">
        <f t="shared" si="119"/>
        <v/>
      </c>
      <c r="G249" s="63" t="str">
        <f t="shared" si="120"/>
        <v/>
      </c>
      <c r="H249" s="64" t="str">
        <f t="shared" si="121"/>
        <v/>
      </c>
      <c r="I249" s="43"/>
      <c r="J249" s="63" t="str">
        <f t="shared" si="122"/>
        <v/>
      </c>
      <c r="K249" s="64" t="str">
        <f t="shared" si="123"/>
        <v/>
      </c>
      <c r="L249" s="38">
        <v>0</v>
      </c>
      <c r="M249" s="64" t="str">
        <f t="shared" si="124"/>
        <v/>
      </c>
      <c r="N249" s="65"/>
      <c r="O249" s="63" t="str">
        <f t="shared" si="125"/>
        <v/>
      </c>
      <c r="P249" s="63" t="str">
        <f t="shared" si="126"/>
        <v/>
      </c>
      <c r="Q249" s="66"/>
      <c r="R249" s="63" t="str">
        <f t="shared" si="127"/>
        <v/>
      </c>
      <c r="S249" s="64" t="str">
        <f t="shared" si="128"/>
        <v/>
      </c>
      <c r="T249" s="63" t="str">
        <f t="shared" si="129"/>
        <v/>
      </c>
      <c r="U249" s="64" t="str">
        <f t="shared" si="130"/>
        <v/>
      </c>
      <c r="V249" s="207" t="str">
        <f>IF($A250="","",IF(AND(MONTH(A249)&gt;3,MONTH(A249)&lt;11),(T249+R249+G249)*(((1/(1-Summary!$T$14))/(1-Summary!$W$14))-1),(T249+R249+G249)*((1/(1-Summary!$U$14))/(1-Summary!$X$14)-1)))</f>
        <v/>
      </c>
      <c r="W249" s="43" t="str">
        <f t="shared" si="131"/>
        <v/>
      </c>
      <c r="X249" s="43" t="str">
        <f t="shared" si="132"/>
        <v/>
      </c>
      <c r="Y249" s="43"/>
      <c r="Z249" s="38" t="str">
        <f t="shared" si="133"/>
        <v/>
      </c>
      <c r="AA249" s="38" t="str">
        <f t="shared" si="134"/>
        <v/>
      </c>
      <c r="AB249" s="38" t="e">
        <f t="shared" si="135"/>
        <v>#VALUE!</v>
      </c>
      <c r="AC249" s="38" t="str">
        <f t="shared" si="136"/>
        <v/>
      </c>
      <c r="AD249" s="38" t="str">
        <f t="shared" si="137"/>
        <v/>
      </c>
      <c r="AE249" s="38" t="e">
        <f t="shared" si="138"/>
        <v>#VALUE!</v>
      </c>
      <c r="AF249" s="237" t="e">
        <f>((Summary!$N$14*(AA249*AD249)*(A249-$D$3))+(Summary!$M$14*Z249*AC249*(AJ249-EOMONTH(EDATE(A249,-1),0))))/(AK249*AB249*AE249)</f>
        <v>#VALUE!</v>
      </c>
      <c r="AG249" s="88" t="str">
        <f>IF($A250="","",Summary!$Q$14)</f>
        <v/>
      </c>
      <c r="AH249" s="88" t="str">
        <f>IF($A250="","",IF(Summary!$R$12="Y",(VLOOKUP($A249,Summary!$AD$6:$AF$9,3)+'Escalating commodity'!J262),'Escalating commodity'!J262))</f>
        <v/>
      </c>
      <c r="AI249" s="88" t="str">
        <f t="shared" si="154"/>
        <v/>
      </c>
      <c r="AJ249" s="236" t="e">
        <f t="shared" si="139"/>
        <v>#VALUE!</v>
      </c>
      <c r="AK249" s="58" t="str">
        <f t="shared" si="140"/>
        <v/>
      </c>
      <c r="AL249" s="26" t="str">
        <f>IF($A250="","",_xll.SPRDOPT(P249,X249,AI249,0,AB249,AE249,AF249,AK249,$AJ$2,0))</f>
        <v/>
      </c>
      <c r="AM249" s="89" t="str">
        <f t="shared" si="141"/>
        <v/>
      </c>
      <c r="AN249" s="89" t="str">
        <f t="shared" si="142"/>
        <v/>
      </c>
      <c r="AO249" s="3" t="str">
        <f t="shared" si="143"/>
        <v/>
      </c>
      <c r="AP249" s="33" t="str">
        <f t="shared" si="144"/>
        <v/>
      </c>
      <c r="AQ249" s="58" t="str">
        <f t="shared" si="145"/>
        <v/>
      </c>
      <c r="AR249" s="38">
        <f>'ANR OK vs ML7'!AR249</f>
        <v>0.1</v>
      </c>
      <c r="AS249" s="35" t="str">
        <f t="shared" si="146"/>
        <v/>
      </c>
      <c r="AT249" s="3" t="str">
        <f t="shared" si="147"/>
        <v/>
      </c>
      <c r="AU249" s="3" t="str">
        <f t="shared" si="148"/>
        <v/>
      </c>
      <c r="AW249" s="32" t="str">
        <f t="shared" si="149"/>
        <v/>
      </c>
      <c r="AX249" s="32" t="str">
        <f t="shared" si="150"/>
        <v/>
      </c>
      <c r="AY249" s="32" t="str">
        <f t="shared" si="151"/>
        <v/>
      </c>
      <c r="BA249" s="32" t="str">
        <f>IF($A250="","",F249*Summary!$Q$14)</f>
        <v/>
      </c>
    </row>
    <row r="250" spans="1:53" ht="12" customHeight="1">
      <c r="A250" s="67" t="str">
        <f t="shared" si="152"/>
        <v/>
      </c>
      <c r="B250" s="69" t="str">
        <f t="shared" si="153"/>
        <v/>
      </c>
      <c r="C250" s="71"/>
      <c r="D250" s="69" t="str">
        <f t="shared" si="117"/>
        <v/>
      </c>
      <c r="E250" s="70" t="str">
        <f t="shared" si="118"/>
        <v/>
      </c>
      <c r="F250" s="70" t="str">
        <f t="shared" si="119"/>
        <v/>
      </c>
      <c r="G250" s="63" t="str">
        <f t="shared" si="120"/>
        <v/>
      </c>
      <c r="H250" s="64" t="str">
        <f t="shared" si="121"/>
        <v/>
      </c>
      <c r="I250" s="43"/>
      <c r="J250" s="63" t="str">
        <f t="shared" si="122"/>
        <v/>
      </c>
      <c r="K250" s="64" t="str">
        <f t="shared" si="123"/>
        <v/>
      </c>
      <c r="L250" s="38">
        <v>0</v>
      </c>
      <c r="M250" s="64" t="str">
        <f t="shared" si="124"/>
        <v/>
      </c>
      <c r="N250" s="65"/>
      <c r="O250" s="63" t="str">
        <f t="shared" si="125"/>
        <v/>
      </c>
      <c r="P250" s="63" t="str">
        <f t="shared" si="126"/>
        <v/>
      </c>
      <c r="Q250" s="66"/>
      <c r="R250" s="63" t="str">
        <f t="shared" si="127"/>
        <v/>
      </c>
      <c r="S250" s="64" t="str">
        <f t="shared" si="128"/>
        <v/>
      </c>
      <c r="T250" s="63" t="str">
        <f t="shared" si="129"/>
        <v/>
      </c>
      <c r="U250" s="64" t="str">
        <f t="shared" si="130"/>
        <v/>
      </c>
      <c r="V250" s="207" t="str">
        <f>IF($A251="","",IF(AND(MONTH(A250)&gt;3,MONTH(A250)&lt;11),(T250+R250+G250)*(((1/(1-Summary!$T$14))/(1-Summary!$W$14))-1),(T250+R250+G250)*((1/(1-Summary!$U$14))/(1-Summary!$X$14)-1)))</f>
        <v/>
      </c>
      <c r="W250" s="43" t="str">
        <f t="shared" si="131"/>
        <v/>
      </c>
      <c r="X250" s="43" t="str">
        <f t="shared" si="132"/>
        <v/>
      </c>
      <c r="Y250" s="43"/>
      <c r="Z250" s="38" t="str">
        <f t="shared" si="133"/>
        <v/>
      </c>
      <c r="AA250" s="38" t="str">
        <f t="shared" si="134"/>
        <v/>
      </c>
      <c r="AB250" s="38" t="e">
        <f t="shared" si="135"/>
        <v>#VALUE!</v>
      </c>
      <c r="AC250" s="38" t="str">
        <f t="shared" si="136"/>
        <v/>
      </c>
      <c r="AD250" s="38" t="str">
        <f t="shared" si="137"/>
        <v/>
      </c>
      <c r="AE250" s="38" t="e">
        <f t="shared" si="138"/>
        <v>#VALUE!</v>
      </c>
      <c r="AF250" s="237" t="e">
        <f>((Summary!$N$14*(AA250*AD250)*(A250-$D$3))+(Summary!$M$14*Z250*AC250*(AJ250-EOMONTH(EDATE(A250,-1),0))))/(AK250*AB250*AE250)</f>
        <v>#VALUE!</v>
      </c>
      <c r="AG250" s="88" t="str">
        <f>IF($A251="","",Summary!$Q$14)</f>
        <v/>
      </c>
      <c r="AH250" s="88" t="str">
        <f>IF($A251="","",IF(Summary!$R$12="Y",(VLOOKUP($A250,Summary!$AD$6:$AF$9,3)+'Escalating commodity'!J263),'Escalating commodity'!J263))</f>
        <v/>
      </c>
      <c r="AI250" s="88" t="str">
        <f t="shared" si="154"/>
        <v/>
      </c>
      <c r="AJ250" s="236" t="e">
        <f t="shared" si="139"/>
        <v>#VALUE!</v>
      </c>
      <c r="AK250" s="58" t="str">
        <f t="shared" si="140"/>
        <v/>
      </c>
      <c r="AL250" s="26" t="str">
        <f>IF($A251="","",_xll.SPRDOPT(P250,X250,AI250,0,AB250,AE250,AF250,AK250,$AJ$2,0))</f>
        <v/>
      </c>
      <c r="AM250" s="89" t="str">
        <f t="shared" si="141"/>
        <v/>
      </c>
      <c r="AN250" s="89" t="str">
        <f t="shared" si="142"/>
        <v/>
      </c>
      <c r="AO250" s="3" t="str">
        <f t="shared" si="143"/>
        <v/>
      </c>
      <c r="AP250" s="33" t="str">
        <f t="shared" si="144"/>
        <v/>
      </c>
      <c r="AQ250" s="58" t="str">
        <f t="shared" si="145"/>
        <v/>
      </c>
      <c r="AR250" s="38">
        <f>'ANR OK vs ML7'!AR250</f>
        <v>0.1</v>
      </c>
      <c r="AS250" s="35" t="str">
        <f t="shared" si="146"/>
        <v/>
      </c>
      <c r="AT250" s="3" t="str">
        <f t="shared" si="147"/>
        <v/>
      </c>
      <c r="AU250" s="3" t="str">
        <f t="shared" si="148"/>
        <v/>
      </c>
      <c r="AW250" s="32" t="str">
        <f t="shared" si="149"/>
        <v/>
      </c>
      <c r="AX250" s="32" t="str">
        <f t="shared" si="150"/>
        <v/>
      </c>
      <c r="AY250" s="32" t="str">
        <f t="shared" si="151"/>
        <v/>
      </c>
      <c r="BA250" s="32" t="str">
        <f>IF($A251="","",F250*Summary!$Q$14)</f>
        <v/>
      </c>
    </row>
    <row r="251" spans="1:53" ht="12" customHeight="1">
      <c r="A251" s="67" t="str">
        <f t="shared" si="152"/>
        <v/>
      </c>
      <c r="B251" s="69" t="str">
        <f t="shared" si="153"/>
        <v/>
      </c>
      <c r="C251" s="71"/>
      <c r="D251" s="69" t="str">
        <f t="shared" si="117"/>
        <v/>
      </c>
      <c r="E251" s="70" t="str">
        <f t="shared" si="118"/>
        <v/>
      </c>
      <c r="F251" s="70" t="str">
        <f t="shared" si="119"/>
        <v/>
      </c>
      <c r="G251" s="63" t="str">
        <f t="shared" si="120"/>
        <v/>
      </c>
      <c r="H251" s="64" t="str">
        <f t="shared" si="121"/>
        <v/>
      </c>
      <c r="I251" s="43"/>
      <c r="J251" s="63" t="str">
        <f t="shared" si="122"/>
        <v/>
      </c>
      <c r="K251" s="64" t="str">
        <f t="shared" si="123"/>
        <v/>
      </c>
      <c r="L251" s="38">
        <v>0</v>
      </c>
      <c r="M251" s="64" t="str">
        <f t="shared" si="124"/>
        <v/>
      </c>
      <c r="N251" s="65"/>
      <c r="O251" s="63" t="str">
        <f t="shared" si="125"/>
        <v/>
      </c>
      <c r="P251" s="63" t="str">
        <f t="shared" si="126"/>
        <v/>
      </c>
      <c r="Q251" s="66"/>
      <c r="R251" s="63" t="str">
        <f t="shared" si="127"/>
        <v/>
      </c>
      <c r="S251" s="64" t="str">
        <f t="shared" si="128"/>
        <v/>
      </c>
      <c r="T251" s="63" t="str">
        <f t="shared" si="129"/>
        <v/>
      </c>
      <c r="U251" s="64" t="str">
        <f t="shared" si="130"/>
        <v/>
      </c>
      <c r="V251" s="207" t="str">
        <f>IF($A252="","",IF(AND(MONTH(A251)&gt;3,MONTH(A251)&lt;11),(T251+R251+G251)*(((1/(1-Summary!$T$14))/(1-Summary!$W$14))-1),(T251+R251+G251)*((1/(1-Summary!$U$14))/(1-Summary!$X$14)-1)))</f>
        <v/>
      </c>
      <c r="W251" s="43" t="str">
        <f t="shared" si="131"/>
        <v/>
      </c>
      <c r="X251" s="43" t="str">
        <f t="shared" si="132"/>
        <v/>
      </c>
      <c r="Y251" s="43"/>
      <c r="Z251" s="38" t="str">
        <f t="shared" si="133"/>
        <v/>
      </c>
      <c r="AA251" s="38" t="str">
        <f t="shared" si="134"/>
        <v/>
      </c>
      <c r="AB251" s="38" t="e">
        <f t="shared" si="135"/>
        <v>#VALUE!</v>
      </c>
      <c r="AC251" s="38" t="str">
        <f t="shared" si="136"/>
        <v/>
      </c>
      <c r="AD251" s="38" t="str">
        <f t="shared" si="137"/>
        <v/>
      </c>
      <c r="AE251" s="38" t="e">
        <f t="shared" si="138"/>
        <v>#VALUE!</v>
      </c>
      <c r="AF251" s="237" t="e">
        <f>((Summary!$N$14*(AA251*AD251)*(A251-$D$3))+(Summary!$M$14*Z251*AC251*(AJ251-EOMONTH(EDATE(A251,-1),0))))/(AK251*AB251*AE251)</f>
        <v>#VALUE!</v>
      </c>
      <c r="AG251" s="88" t="str">
        <f>IF($A252="","",Summary!$Q$14)</f>
        <v/>
      </c>
      <c r="AH251" s="88" t="str">
        <f>IF($A252="","",IF(Summary!$R$12="Y",(VLOOKUP($A251,Summary!$AD$6:$AF$9,3)+'Escalating commodity'!J264),'Escalating commodity'!J264))</f>
        <v/>
      </c>
      <c r="AI251" s="88" t="str">
        <f t="shared" si="154"/>
        <v/>
      </c>
      <c r="AJ251" s="236" t="e">
        <f t="shared" si="139"/>
        <v>#VALUE!</v>
      </c>
      <c r="AK251" s="58" t="str">
        <f t="shared" si="140"/>
        <v/>
      </c>
      <c r="AL251" s="26" t="str">
        <f>IF($A252="","",_xll.SPRDOPT(P251,X251,AI251,0,AB251,AE251,AF251,AK251,$AJ$2,0))</f>
        <v/>
      </c>
      <c r="AM251" s="89" t="str">
        <f t="shared" si="141"/>
        <v/>
      </c>
      <c r="AN251" s="89" t="str">
        <f t="shared" si="142"/>
        <v/>
      </c>
      <c r="AO251" s="3" t="str">
        <f t="shared" si="143"/>
        <v/>
      </c>
      <c r="AP251" s="33" t="str">
        <f t="shared" si="144"/>
        <v/>
      </c>
      <c r="AQ251" s="58" t="str">
        <f t="shared" si="145"/>
        <v/>
      </c>
      <c r="AR251" s="38">
        <f>'ANR OK vs ML7'!AR251</f>
        <v>0.1</v>
      </c>
      <c r="AS251" s="35" t="str">
        <f t="shared" si="146"/>
        <v/>
      </c>
      <c r="AT251" s="3" t="str">
        <f t="shared" si="147"/>
        <v/>
      </c>
      <c r="AU251" s="3" t="str">
        <f t="shared" si="148"/>
        <v/>
      </c>
      <c r="AW251" s="32" t="str">
        <f t="shared" si="149"/>
        <v/>
      </c>
      <c r="AX251" s="32" t="str">
        <f t="shared" si="150"/>
        <v/>
      </c>
      <c r="AY251" s="32" t="str">
        <f t="shared" si="151"/>
        <v/>
      </c>
      <c r="BA251" s="32" t="str">
        <f>IF($A252="","",F251*Summary!$Q$14)</f>
        <v/>
      </c>
    </row>
    <row r="252" spans="1:53" ht="12" customHeight="1">
      <c r="A252" s="67" t="str">
        <f t="shared" si="152"/>
        <v/>
      </c>
      <c r="B252" s="69" t="str">
        <f t="shared" si="153"/>
        <v/>
      </c>
      <c r="C252" s="71"/>
      <c r="D252" s="69" t="str">
        <f t="shared" si="117"/>
        <v/>
      </c>
      <c r="E252" s="70" t="str">
        <f t="shared" si="118"/>
        <v/>
      </c>
      <c r="F252" s="70" t="str">
        <f t="shared" si="119"/>
        <v/>
      </c>
      <c r="G252" s="63" t="str">
        <f t="shared" si="120"/>
        <v/>
      </c>
      <c r="H252" s="64" t="str">
        <f t="shared" si="121"/>
        <v/>
      </c>
      <c r="I252" s="43"/>
      <c r="J252" s="63" t="str">
        <f t="shared" si="122"/>
        <v/>
      </c>
      <c r="K252" s="64" t="str">
        <f t="shared" si="123"/>
        <v/>
      </c>
      <c r="L252" s="38">
        <v>0</v>
      </c>
      <c r="M252" s="64" t="str">
        <f t="shared" si="124"/>
        <v/>
      </c>
      <c r="N252" s="65"/>
      <c r="O252" s="63" t="str">
        <f t="shared" si="125"/>
        <v/>
      </c>
      <c r="P252" s="63" t="str">
        <f t="shared" si="126"/>
        <v/>
      </c>
      <c r="Q252" s="66"/>
      <c r="R252" s="63" t="str">
        <f t="shared" si="127"/>
        <v/>
      </c>
      <c r="S252" s="64" t="str">
        <f t="shared" si="128"/>
        <v/>
      </c>
      <c r="T252" s="63" t="str">
        <f t="shared" si="129"/>
        <v/>
      </c>
      <c r="U252" s="64" t="str">
        <f t="shared" si="130"/>
        <v/>
      </c>
      <c r="V252" s="207" t="str">
        <f>IF($A253="","",IF(AND(MONTH(A252)&gt;3,MONTH(A252)&lt;11),(T252+R252+G252)*(((1/(1-Summary!$T$14))/(1-Summary!$W$14))-1),(T252+R252+G252)*((1/(1-Summary!$U$14))/(1-Summary!$X$14)-1)))</f>
        <v/>
      </c>
      <c r="W252" s="43" t="str">
        <f t="shared" si="131"/>
        <v/>
      </c>
      <c r="X252" s="43" t="str">
        <f t="shared" si="132"/>
        <v/>
      </c>
      <c r="Y252" s="43"/>
      <c r="Z252" s="38" t="str">
        <f t="shared" si="133"/>
        <v/>
      </c>
      <c r="AA252" s="38" t="str">
        <f t="shared" si="134"/>
        <v/>
      </c>
      <c r="AB252" s="38" t="e">
        <f t="shared" si="135"/>
        <v>#VALUE!</v>
      </c>
      <c r="AC252" s="38" t="str">
        <f t="shared" si="136"/>
        <v/>
      </c>
      <c r="AD252" s="38" t="str">
        <f t="shared" si="137"/>
        <v/>
      </c>
      <c r="AE252" s="38" t="e">
        <f t="shared" si="138"/>
        <v>#VALUE!</v>
      </c>
      <c r="AF252" s="237" t="e">
        <f>((Summary!$N$14*(AA252*AD252)*(A252-$D$3))+(Summary!$M$14*Z252*AC252*(AJ252-EOMONTH(EDATE(A252,-1),0))))/(AK252*AB252*AE252)</f>
        <v>#VALUE!</v>
      </c>
      <c r="AG252" s="88" t="str">
        <f>IF($A253="","",Summary!$Q$14)</f>
        <v/>
      </c>
      <c r="AH252" s="88" t="str">
        <f>IF($A253="","",IF(Summary!$R$12="Y",(VLOOKUP($A252,Summary!$AD$6:$AF$9,3)+'Escalating commodity'!J265),'Escalating commodity'!J265))</f>
        <v/>
      </c>
      <c r="AI252" s="88" t="str">
        <f t="shared" si="154"/>
        <v/>
      </c>
      <c r="AJ252" s="236" t="e">
        <f t="shared" si="139"/>
        <v>#VALUE!</v>
      </c>
      <c r="AK252" s="58" t="str">
        <f t="shared" si="140"/>
        <v/>
      </c>
      <c r="AL252" s="26" t="str">
        <f>IF($A253="","",_xll.SPRDOPT(P252,X252,AI252,0,AB252,AE252,AF252,AK252,$AJ$2,0))</f>
        <v/>
      </c>
      <c r="AM252" s="89" t="str">
        <f t="shared" si="141"/>
        <v/>
      </c>
      <c r="AN252" s="89" t="str">
        <f t="shared" si="142"/>
        <v/>
      </c>
      <c r="AO252" s="3" t="str">
        <f t="shared" si="143"/>
        <v/>
      </c>
      <c r="AP252" s="33" t="str">
        <f t="shared" si="144"/>
        <v/>
      </c>
      <c r="AQ252" s="58" t="str">
        <f t="shared" si="145"/>
        <v/>
      </c>
      <c r="AR252" s="38">
        <f>'ANR OK vs ML7'!AR252</f>
        <v>0.1</v>
      </c>
      <c r="AS252" s="35" t="str">
        <f t="shared" si="146"/>
        <v/>
      </c>
      <c r="AT252" s="3" t="str">
        <f t="shared" si="147"/>
        <v/>
      </c>
      <c r="AU252" s="3" t="str">
        <f t="shared" si="148"/>
        <v/>
      </c>
      <c r="AW252" s="32" t="str">
        <f t="shared" si="149"/>
        <v/>
      </c>
      <c r="AX252" s="32" t="str">
        <f t="shared" si="150"/>
        <v/>
      </c>
      <c r="AY252" s="32" t="str">
        <f t="shared" si="151"/>
        <v/>
      </c>
      <c r="BA252" s="32" t="str">
        <f>IF($A253="","",F252*Summary!$Q$14)</f>
        <v/>
      </c>
    </row>
    <row r="253" spans="1:53" ht="12" customHeight="1">
      <c r="A253" s="67" t="str">
        <f t="shared" si="152"/>
        <v/>
      </c>
      <c r="B253" s="69" t="str">
        <f t="shared" si="153"/>
        <v/>
      </c>
      <c r="C253" s="71"/>
      <c r="D253" s="69" t="str">
        <f t="shared" si="117"/>
        <v/>
      </c>
      <c r="E253" s="70" t="str">
        <f t="shared" si="118"/>
        <v/>
      </c>
      <c r="F253" s="70" t="str">
        <f t="shared" si="119"/>
        <v/>
      </c>
      <c r="G253" s="63" t="str">
        <f t="shared" si="120"/>
        <v/>
      </c>
      <c r="H253" s="64" t="str">
        <f t="shared" si="121"/>
        <v/>
      </c>
      <c r="I253" s="43"/>
      <c r="J253" s="63" t="str">
        <f t="shared" si="122"/>
        <v/>
      </c>
      <c r="K253" s="64" t="str">
        <f t="shared" si="123"/>
        <v/>
      </c>
      <c r="L253" s="38">
        <v>0</v>
      </c>
      <c r="M253" s="64" t="str">
        <f t="shared" si="124"/>
        <v/>
      </c>
      <c r="N253" s="65"/>
      <c r="O253" s="63" t="str">
        <f t="shared" si="125"/>
        <v/>
      </c>
      <c r="P253" s="63" t="str">
        <f t="shared" si="126"/>
        <v/>
      </c>
      <c r="Q253" s="66"/>
      <c r="R253" s="63" t="str">
        <f t="shared" si="127"/>
        <v/>
      </c>
      <c r="S253" s="64" t="str">
        <f t="shared" si="128"/>
        <v/>
      </c>
      <c r="T253" s="63" t="str">
        <f t="shared" si="129"/>
        <v/>
      </c>
      <c r="U253" s="64" t="str">
        <f t="shared" si="130"/>
        <v/>
      </c>
      <c r="V253" s="207" t="str">
        <f>IF($A254="","",IF(AND(MONTH(A253)&gt;3,MONTH(A253)&lt;11),(T253+R253+G253)*(((1/(1-Summary!$T$14))/(1-Summary!$W$14))-1),(T253+R253+G253)*((1/(1-Summary!$U$14))/(1-Summary!$X$14)-1)))</f>
        <v/>
      </c>
      <c r="W253" s="43" t="str">
        <f t="shared" si="131"/>
        <v/>
      </c>
      <c r="X253" s="43" t="str">
        <f t="shared" si="132"/>
        <v/>
      </c>
      <c r="Y253" s="43"/>
      <c r="Z253" s="38" t="str">
        <f t="shared" si="133"/>
        <v/>
      </c>
      <c r="AA253" s="38" t="str">
        <f t="shared" si="134"/>
        <v/>
      </c>
      <c r="AB253" s="38" t="e">
        <f t="shared" si="135"/>
        <v>#VALUE!</v>
      </c>
      <c r="AC253" s="38" t="str">
        <f t="shared" si="136"/>
        <v/>
      </c>
      <c r="AD253" s="38" t="str">
        <f t="shared" si="137"/>
        <v/>
      </c>
      <c r="AE253" s="38" t="e">
        <f t="shared" si="138"/>
        <v>#VALUE!</v>
      </c>
      <c r="AF253" s="237" t="e">
        <f>((Summary!$N$14*(AA253*AD253)*(A253-$D$3))+(Summary!$M$14*Z253*AC253*(AJ253-EOMONTH(EDATE(A253,-1),0))))/(AK253*AB253*AE253)</f>
        <v>#VALUE!</v>
      </c>
      <c r="AG253" s="88" t="str">
        <f>IF($A254="","",Summary!$Q$14)</f>
        <v/>
      </c>
      <c r="AH253" s="88" t="str">
        <f>IF($A254="","",IF(Summary!$R$12="Y",(VLOOKUP($A253,Summary!$AD$6:$AF$9,3)+'Escalating commodity'!J266),'Escalating commodity'!J266))</f>
        <v/>
      </c>
      <c r="AI253" s="88" t="str">
        <f t="shared" si="154"/>
        <v/>
      </c>
      <c r="AJ253" s="236" t="e">
        <f t="shared" si="139"/>
        <v>#VALUE!</v>
      </c>
      <c r="AK253" s="58" t="str">
        <f t="shared" si="140"/>
        <v/>
      </c>
      <c r="AL253" s="26" t="str">
        <f>IF($A254="","",_xll.SPRDOPT(P253,X253,AI253,0,AB253,AE253,AF253,AK253,$AJ$2,0))</f>
        <v/>
      </c>
      <c r="AM253" s="89" t="str">
        <f t="shared" si="141"/>
        <v/>
      </c>
      <c r="AN253" s="89" t="str">
        <f t="shared" si="142"/>
        <v/>
      </c>
      <c r="AO253" s="3" t="str">
        <f t="shared" si="143"/>
        <v/>
      </c>
      <c r="AP253" s="33" t="str">
        <f t="shared" si="144"/>
        <v/>
      </c>
      <c r="AQ253" s="58" t="str">
        <f t="shared" si="145"/>
        <v/>
      </c>
      <c r="AR253" s="38">
        <f>'ANR OK vs ML7'!AR253</f>
        <v>0.1</v>
      </c>
      <c r="AS253" s="35" t="str">
        <f t="shared" si="146"/>
        <v/>
      </c>
      <c r="AT253" s="3" t="str">
        <f t="shared" si="147"/>
        <v/>
      </c>
      <c r="AU253" s="3" t="str">
        <f t="shared" si="148"/>
        <v/>
      </c>
      <c r="AW253" s="32" t="str">
        <f t="shared" si="149"/>
        <v/>
      </c>
      <c r="AX253" s="32" t="str">
        <f t="shared" si="150"/>
        <v/>
      </c>
      <c r="AY253" s="32" t="str">
        <f t="shared" si="151"/>
        <v/>
      </c>
      <c r="BA253" s="32" t="str">
        <f>IF($A254="","",F253*Summary!$Q$14)</f>
        <v/>
      </c>
    </row>
    <row r="254" spans="1:53" ht="12" customHeight="1">
      <c r="A254" s="67" t="str">
        <f t="shared" si="152"/>
        <v/>
      </c>
      <c r="B254" s="69" t="str">
        <f t="shared" si="153"/>
        <v/>
      </c>
      <c r="C254" s="71"/>
      <c r="D254" s="69" t="str">
        <f t="shared" si="117"/>
        <v/>
      </c>
      <c r="E254" s="70" t="str">
        <f t="shared" si="118"/>
        <v/>
      </c>
      <c r="F254" s="70" t="str">
        <f t="shared" si="119"/>
        <v/>
      </c>
      <c r="G254" s="63" t="str">
        <f t="shared" si="120"/>
        <v/>
      </c>
      <c r="H254" s="64" t="str">
        <f t="shared" si="121"/>
        <v/>
      </c>
      <c r="I254" s="43"/>
      <c r="J254" s="63" t="str">
        <f t="shared" si="122"/>
        <v/>
      </c>
      <c r="K254" s="64" t="str">
        <f t="shared" si="123"/>
        <v/>
      </c>
      <c r="L254" s="38">
        <v>0</v>
      </c>
      <c r="M254" s="64" t="str">
        <f t="shared" si="124"/>
        <v/>
      </c>
      <c r="N254" s="65"/>
      <c r="O254" s="63" t="str">
        <f t="shared" si="125"/>
        <v/>
      </c>
      <c r="P254" s="63" t="str">
        <f t="shared" si="126"/>
        <v/>
      </c>
      <c r="Q254" s="66"/>
      <c r="R254" s="63" t="str">
        <f t="shared" si="127"/>
        <v/>
      </c>
      <c r="S254" s="64" t="str">
        <f t="shared" si="128"/>
        <v/>
      </c>
      <c r="T254" s="63" t="str">
        <f t="shared" si="129"/>
        <v/>
      </c>
      <c r="U254" s="64" t="str">
        <f t="shared" si="130"/>
        <v/>
      </c>
      <c r="V254" s="207" t="str">
        <f>IF($A255="","",IF(AND(MONTH(A254)&gt;3,MONTH(A254)&lt;11),(T254+R254+G254)*(((1/(1-Summary!$T$14))/(1-Summary!$W$14))-1),(T254+R254+G254)*((1/(1-Summary!$U$14))/(1-Summary!$X$14)-1)))</f>
        <v/>
      </c>
      <c r="W254" s="43" t="str">
        <f t="shared" si="131"/>
        <v/>
      </c>
      <c r="X254" s="43" t="str">
        <f t="shared" si="132"/>
        <v/>
      </c>
      <c r="Y254" s="43"/>
      <c r="Z254" s="38" t="str">
        <f t="shared" si="133"/>
        <v/>
      </c>
      <c r="AA254" s="38" t="str">
        <f t="shared" si="134"/>
        <v/>
      </c>
      <c r="AB254" s="38" t="e">
        <f t="shared" si="135"/>
        <v>#VALUE!</v>
      </c>
      <c r="AC254" s="38" t="str">
        <f t="shared" si="136"/>
        <v/>
      </c>
      <c r="AD254" s="38" t="str">
        <f t="shared" si="137"/>
        <v/>
      </c>
      <c r="AE254" s="38" t="e">
        <f t="shared" si="138"/>
        <v>#VALUE!</v>
      </c>
      <c r="AF254" s="237" t="e">
        <f>((Summary!$N$14*(AA254*AD254)*(A254-$D$3))+(Summary!$M$14*Z254*AC254*(AJ254-EOMONTH(EDATE(A254,-1),0))))/(AK254*AB254*AE254)</f>
        <v>#VALUE!</v>
      </c>
      <c r="AG254" s="88" t="str">
        <f>IF($A255="","",Summary!$Q$14)</f>
        <v/>
      </c>
      <c r="AH254" s="88" t="str">
        <f>IF($A255="","",IF(Summary!$R$12="Y",(VLOOKUP($A254,Summary!$AD$6:$AF$9,3)+'Escalating commodity'!J267),'Escalating commodity'!J267))</f>
        <v/>
      </c>
      <c r="AI254" s="88" t="str">
        <f t="shared" si="154"/>
        <v/>
      </c>
      <c r="AJ254" s="236" t="e">
        <f t="shared" si="139"/>
        <v>#VALUE!</v>
      </c>
      <c r="AK254" s="58" t="str">
        <f t="shared" si="140"/>
        <v/>
      </c>
      <c r="AL254" s="26" t="str">
        <f>IF($A255="","",_xll.SPRDOPT(P254,X254,AI254,0,AB254,AE254,AF254,AK254,$AJ$2,0))</f>
        <v/>
      </c>
      <c r="AM254" s="89" t="str">
        <f t="shared" si="141"/>
        <v/>
      </c>
      <c r="AN254" s="89" t="str">
        <f t="shared" si="142"/>
        <v/>
      </c>
      <c r="AO254" s="3" t="str">
        <f t="shared" si="143"/>
        <v/>
      </c>
      <c r="AP254" s="33" t="str">
        <f t="shared" si="144"/>
        <v/>
      </c>
      <c r="AQ254" s="58" t="str">
        <f t="shared" si="145"/>
        <v/>
      </c>
      <c r="AR254" s="38">
        <f>'ANR OK vs ML7'!AR254</f>
        <v>0.1</v>
      </c>
      <c r="AS254" s="35" t="str">
        <f t="shared" si="146"/>
        <v/>
      </c>
      <c r="AT254" s="3" t="str">
        <f t="shared" si="147"/>
        <v/>
      </c>
      <c r="AU254" s="3" t="str">
        <f t="shared" si="148"/>
        <v/>
      </c>
      <c r="AW254" s="32" t="str">
        <f t="shared" si="149"/>
        <v/>
      </c>
      <c r="AX254" s="32" t="str">
        <f t="shared" si="150"/>
        <v/>
      </c>
      <c r="AY254" s="32" t="str">
        <f t="shared" si="151"/>
        <v/>
      </c>
      <c r="BA254" s="32" t="str">
        <f>IF($A255="","",F254*Summary!$Q$14)</f>
        <v/>
      </c>
    </row>
    <row r="255" spans="1:53" ht="12" customHeight="1">
      <c r="A255" s="67" t="str">
        <f t="shared" si="152"/>
        <v/>
      </c>
      <c r="B255" s="69" t="str">
        <f t="shared" si="153"/>
        <v/>
      </c>
      <c r="C255" s="71"/>
      <c r="D255" s="69" t="str">
        <f t="shared" si="117"/>
        <v/>
      </c>
      <c r="E255" s="70" t="str">
        <f t="shared" si="118"/>
        <v/>
      </c>
      <c r="F255" s="70" t="str">
        <f t="shared" si="119"/>
        <v/>
      </c>
      <c r="G255" s="63" t="str">
        <f t="shared" si="120"/>
        <v/>
      </c>
      <c r="H255" s="64" t="str">
        <f t="shared" si="121"/>
        <v/>
      </c>
      <c r="I255" s="43"/>
      <c r="J255" s="63" t="str">
        <f t="shared" si="122"/>
        <v/>
      </c>
      <c r="K255" s="64" t="str">
        <f t="shared" si="123"/>
        <v/>
      </c>
      <c r="L255" s="38">
        <v>0</v>
      </c>
      <c r="M255" s="64" t="str">
        <f t="shared" si="124"/>
        <v/>
      </c>
      <c r="N255" s="65"/>
      <c r="O255" s="63" t="str">
        <f t="shared" si="125"/>
        <v/>
      </c>
      <c r="P255" s="63" t="str">
        <f t="shared" si="126"/>
        <v/>
      </c>
      <c r="Q255" s="66"/>
      <c r="R255" s="63" t="str">
        <f t="shared" si="127"/>
        <v/>
      </c>
      <c r="S255" s="64" t="str">
        <f t="shared" si="128"/>
        <v/>
      </c>
      <c r="T255" s="63" t="str">
        <f t="shared" si="129"/>
        <v/>
      </c>
      <c r="U255" s="64" t="str">
        <f t="shared" si="130"/>
        <v/>
      </c>
      <c r="V255" s="207" t="str">
        <f>IF($A256="","",IF(AND(MONTH(A255)&gt;3,MONTH(A255)&lt;11),(T255+R255+G255)*(((1/(1-Summary!$T$14))/(1-Summary!$W$14))-1),(T255+R255+G255)*((1/(1-Summary!$U$14))/(1-Summary!$X$14)-1)))</f>
        <v/>
      </c>
      <c r="W255" s="43" t="str">
        <f t="shared" si="131"/>
        <v/>
      </c>
      <c r="X255" s="43" t="str">
        <f t="shared" si="132"/>
        <v/>
      </c>
      <c r="Y255" s="43"/>
      <c r="Z255" s="38" t="str">
        <f t="shared" si="133"/>
        <v/>
      </c>
      <c r="AA255" s="38" t="str">
        <f t="shared" si="134"/>
        <v/>
      </c>
      <c r="AB255" s="38" t="e">
        <f t="shared" si="135"/>
        <v>#VALUE!</v>
      </c>
      <c r="AC255" s="38" t="str">
        <f t="shared" si="136"/>
        <v/>
      </c>
      <c r="AD255" s="38" t="str">
        <f t="shared" si="137"/>
        <v/>
      </c>
      <c r="AE255" s="38" t="e">
        <f t="shared" si="138"/>
        <v>#VALUE!</v>
      </c>
      <c r="AF255" s="237" t="e">
        <f>((Summary!$N$14*(AA255*AD255)*(A255-$D$3))+(Summary!$M$14*Z255*AC255*(AJ255-EOMONTH(EDATE(A255,-1),0))))/(AK255*AB255*AE255)</f>
        <v>#VALUE!</v>
      </c>
      <c r="AG255" s="88" t="str">
        <f>IF($A256="","",Summary!$Q$14)</f>
        <v/>
      </c>
      <c r="AH255" s="88" t="str">
        <f>IF($A256="","",IF(Summary!$R$12="Y",(VLOOKUP($A255,Summary!$AD$6:$AF$9,3)+'Escalating commodity'!J268),'Escalating commodity'!J268))</f>
        <v/>
      </c>
      <c r="AI255" s="88" t="str">
        <f t="shared" si="154"/>
        <v/>
      </c>
      <c r="AJ255" s="236" t="e">
        <f t="shared" si="139"/>
        <v>#VALUE!</v>
      </c>
      <c r="AK255" s="58" t="str">
        <f t="shared" si="140"/>
        <v/>
      </c>
      <c r="AL255" s="26" t="str">
        <f>IF($A256="","",_xll.SPRDOPT(P255,X255,AI255,0,AB255,AE255,AF255,AK255,$AJ$2,0))</f>
        <v/>
      </c>
      <c r="AM255" s="89" t="str">
        <f t="shared" si="141"/>
        <v/>
      </c>
      <c r="AN255" s="89" t="str">
        <f t="shared" si="142"/>
        <v/>
      </c>
      <c r="AO255" s="3" t="str">
        <f t="shared" si="143"/>
        <v/>
      </c>
      <c r="AP255" s="33" t="str">
        <f t="shared" si="144"/>
        <v/>
      </c>
      <c r="AQ255" s="58" t="str">
        <f t="shared" si="145"/>
        <v/>
      </c>
      <c r="AR255" s="38">
        <f>'ANR OK vs ML7'!AR255</f>
        <v>0.1</v>
      </c>
      <c r="AS255" s="35" t="str">
        <f t="shared" si="146"/>
        <v/>
      </c>
      <c r="AT255" s="3" t="str">
        <f t="shared" si="147"/>
        <v/>
      </c>
      <c r="AU255" s="3" t="str">
        <f t="shared" si="148"/>
        <v/>
      </c>
      <c r="AW255" s="32" t="str">
        <f t="shared" si="149"/>
        <v/>
      </c>
      <c r="AX255" s="32" t="str">
        <f t="shared" si="150"/>
        <v/>
      </c>
      <c r="AY255" s="32" t="str">
        <f t="shared" si="151"/>
        <v/>
      </c>
      <c r="BA255" s="32" t="str">
        <f>IF($A256="","",F255*Summary!$Q$14)</f>
        <v/>
      </c>
    </row>
    <row r="256" spans="1:53" ht="12" customHeight="1">
      <c r="A256" s="67" t="str">
        <f t="shared" si="152"/>
        <v/>
      </c>
      <c r="B256" s="69" t="str">
        <f t="shared" si="153"/>
        <v/>
      </c>
      <c r="C256" s="71"/>
      <c r="D256" s="69" t="str">
        <f t="shared" si="117"/>
        <v/>
      </c>
      <c r="E256" s="70" t="str">
        <f t="shared" si="118"/>
        <v/>
      </c>
      <c r="F256" s="70" t="str">
        <f t="shared" si="119"/>
        <v/>
      </c>
      <c r="G256" s="63" t="str">
        <f t="shared" si="120"/>
        <v/>
      </c>
      <c r="H256" s="64" t="str">
        <f t="shared" si="121"/>
        <v/>
      </c>
      <c r="I256" s="43"/>
      <c r="J256" s="63" t="str">
        <f t="shared" si="122"/>
        <v/>
      </c>
      <c r="K256" s="64" t="str">
        <f t="shared" si="123"/>
        <v/>
      </c>
      <c r="L256" s="38">
        <v>0</v>
      </c>
      <c r="M256" s="64" t="str">
        <f t="shared" si="124"/>
        <v/>
      </c>
      <c r="N256" s="65"/>
      <c r="O256" s="63" t="str">
        <f t="shared" si="125"/>
        <v/>
      </c>
      <c r="P256" s="63" t="str">
        <f t="shared" si="126"/>
        <v/>
      </c>
      <c r="Q256" s="66"/>
      <c r="R256" s="63" t="str">
        <f t="shared" si="127"/>
        <v/>
      </c>
      <c r="S256" s="64" t="str">
        <f t="shared" si="128"/>
        <v/>
      </c>
      <c r="T256" s="63" t="str">
        <f t="shared" si="129"/>
        <v/>
      </c>
      <c r="U256" s="64" t="str">
        <f t="shared" si="130"/>
        <v/>
      </c>
      <c r="V256" s="207" t="str">
        <f>IF($A257="","",IF(AND(MONTH(A256)&gt;3,MONTH(A256)&lt;11),(T256+R256+G256)*(((1/(1-Summary!$T$14))/(1-Summary!$W$14))-1),(T256+R256+G256)*((1/(1-Summary!$U$14))/(1-Summary!$X$14)-1)))</f>
        <v/>
      </c>
      <c r="W256" s="43" t="str">
        <f t="shared" si="131"/>
        <v/>
      </c>
      <c r="X256" s="43" t="str">
        <f t="shared" si="132"/>
        <v/>
      </c>
      <c r="Y256" s="43"/>
      <c r="Z256" s="38" t="str">
        <f t="shared" si="133"/>
        <v/>
      </c>
      <c r="AA256" s="38" t="str">
        <f t="shared" si="134"/>
        <v/>
      </c>
      <c r="AB256" s="38" t="e">
        <f t="shared" si="135"/>
        <v>#VALUE!</v>
      </c>
      <c r="AC256" s="38" t="str">
        <f t="shared" si="136"/>
        <v/>
      </c>
      <c r="AD256" s="38" t="str">
        <f t="shared" si="137"/>
        <v/>
      </c>
      <c r="AE256" s="38" t="e">
        <f t="shared" si="138"/>
        <v>#VALUE!</v>
      </c>
      <c r="AF256" s="237" t="e">
        <f>((Summary!$N$14*(AA256*AD256)*(A256-$D$3))+(Summary!$M$14*Z256*AC256*(AJ256-EOMONTH(EDATE(A256,-1),0))))/(AK256*AB256*AE256)</f>
        <v>#VALUE!</v>
      </c>
      <c r="AG256" s="88" t="str">
        <f>IF($A257="","",Summary!$Q$14)</f>
        <v/>
      </c>
      <c r="AH256" s="88" t="str">
        <f>IF($A257="","",IF(Summary!$R$12="Y",(VLOOKUP($A256,Summary!$AD$6:$AF$9,3)+'Escalating commodity'!J269),'Escalating commodity'!J269))</f>
        <v/>
      </c>
      <c r="AI256" s="88" t="str">
        <f t="shared" si="154"/>
        <v/>
      </c>
      <c r="AJ256" s="236" t="e">
        <f t="shared" si="139"/>
        <v>#VALUE!</v>
      </c>
      <c r="AK256" s="58" t="str">
        <f t="shared" si="140"/>
        <v/>
      </c>
      <c r="AL256" s="26" t="str">
        <f>IF($A257="","",_xll.SPRDOPT(P256,X256,AI256,0,AB256,AE256,AF256,AK256,$AJ$2,0))</f>
        <v/>
      </c>
      <c r="AM256" s="89" t="str">
        <f t="shared" si="141"/>
        <v/>
      </c>
      <c r="AN256" s="89" t="str">
        <f t="shared" si="142"/>
        <v/>
      </c>
      <c r="AO256" s="3" t="str">
        <f t="shared" si="143"/>
        <v/>
      </c>
      <c r="AP256" s="33" t="str">
        <f t="shared" si="144"/>
        <v/>
      </c>
      <c r="AQ256" s="58" t="str">
        <f t="shared" si="145"/>
        <v/>
      </c>
      <c r="AR256" s="38">
        <f>'ANR OK vs ML7'!AR256</f>
        <v>0.1</v>
      </c>
      <c r="AS256" s="35" t="str">
        <f t="shared" si="146"/>
        <v/>
      </c>
      <c r="AT256" s="3" t="str">
        <f t="shared" si="147"/>
        <v/>
      </c>
      <c r="AU256" s="3" t="str">
        <f t="shared" si="148"/>
        <v/>
      </c>
      <c r="AW256" s="32" t="str">
        <f t="shared" si="149"/>
        <v/>
      </c>
      <c r="AX256" s="32" t="str">
        <f t="shared" si="150"/>
        <v/>
      </c>
      <c r="AY256" s="32" t="str">
        <f t="shared" si="151"/>
        <v/>
      </c>
      <c r="BA256" s="32" t="str">
        <f>IF($A257="","",F256*Summary!$Q$14)</f>
        <v/>
      </c>
    </row>
    <row r="257" spans="1:53" ht="12" customHeight="1">
      <c r="A257" s="67" t="str">
        <f t="shared" si="152"/>
        <v/>
      </c>
      <c r="B257" s="69" t="str">
        <f t="shared" si="153"/>
        <v/>
      </c>
      <c r="C257" s="71"/>
      <c r="D257" s="69" t="str">
        <f t="shared" si="117"/>
        <v/>
      </c>
      <c r="E257" s="70" t="str">
        <f t="shared" si="118"/>
        <v/>
      </c>
      <c r="F257" s="70" t="str">
        <f t="shared" si="119"/>
        <v/>
      </c>
      <c r="G257" s="63" t="str">
        <f t="shared" si="120"/>
        <v/>
      </c>
      <c r="H257" s="64" t="str">
        <f t="shared" si="121"/>
        <v/>
      </c>
      <c r="I257" s="43"/>
      <c r="J257" s="63" t="str">
        <f t="shared" si="122"/>
        <v/>
      </c>
      <c r="K257" s="64" t="str">
        <f t="shared" si="123"/>
        <v/>
      </c>
      <c r="L257" s="38">
        <v>0</v>
      </c>
      <c r="M257" s="64" t="str">
        <f t="shared" si="124"/>
        <v/>
      </c>
      <c r="N257" s="65"/>
      <c r="O257" s="63" t="str">
        <f t="shared" si="125"/>
        <v/>
      </c>
      <c r="P257" s="63" t="str">
        <f t="shared" si="126"/>
        <v/>
      </c>
      <c r="Q257" s="66"/>
      <c r="R257" s="63" t="str">
        <f t="shared" si="127"/>
        <v/>
      </c>
      <c r="S257" s="64" t="str">
        <f t="shared" si="128"/>
        <v/>
      </c>
      <c r="T257" s="63" t="str">
        <f t="shared" si="129"/>
        <v/>
      </c>
      <c r="U257" s="64" t="str">
        <f t="shared" si="130"/>
        <v/>
      </c>
      <c r="V257" s="207" t="str">
        <f>IF($A258="","",IF(AND(MONTH(A257)&gt;3,MONTH(A257)&lt;11),(T257+R257+G257)*(((1/(1-Summary!$T$14))/(1-Summary!$W$14))-1),(T257+R257+G257)*((1/(1-Summary!$U$14))/(1-Summary!$X$14)-1)))</f>
        <v/>
      </c>
      <c r="W257" s="43" t="str">
        <f t="shared" si="131"/>
        <v/>
      </c>
      <c r="X257" s="43" t="str">
        <f t="shared" si="132"/>
        <v/>
      </c>
      <c r="Y257" s="43"/>
      <c r="Z257" s="38" t="str">
        <f t="shared" si="133"/>
        <v/>
      </c>
      <c r="AA257" s="38" t="str">
        <f t="shared" si="134"/>
        <v/>
      </c>
      <c r="AB257" s="38" t="e">
        <f t="shared" si="135"/>
        <v>#VALUE!</v>
      </c>
      <c r="AC257" s="38" t="str">
        <f t="shared" si="136"/>
        <v/>
      </c>
      <c r="AD257" s="38" t="str">
        <f t="shared" si="137"/>
        <v/>
      </c>
      <c r="AE257" s="38" t="e">
        <f t="shared" si="138"/>
        <v>#VALUE!</v>
      </c>
      <c r="AF257" s="237" t="e">
        <f>((Summary!$N$14*(AA257*AD257)*(A257-$D$3))+(Summary!$M$14*Z257*AC257*(AJ257-EOMONTH(EDATE(A257,-1),0))))/(AK257*AB257*AE257)</f>
        <v>#VALUE!</v>
      </c>
      <c r="AG257" s="88" t="str">
        <f>IF($A258="","",Summary!$Q$14)</f>
        <v/>
      </c>
      <c r="AH257" s="88" t="str">
        <f>IF($A258="","",IF(Summary!$R$12="Y",(VLOOKUP($A257,Summary!$AD$6:$AF$9,3)+'Escalating commodity'!J270),'Escalating commodity'!J270))</f>
        <v/>
      </c>
      <c r="AI257" s="88" t="str">
        <f t="shared" si="154"/>
        <v/>
      </c>
      <c r="AJ257" s="236" t="e">
        <f t="shared" si="139"/>
        <v>#VALUE!</v>
      </c>
      <c r="AK257" s="58" t="str">
        <f t="shared" si="140"/>
        <v/>
      </c>
      <c r="AL257" s="26" t="str">
        <f>IF($A258="","",_xll.SPRDOPT(P257,X257,AI257,0,AB257,AE257,AF257,AK257,$AJ$2,0))</f>
        <v/>
      </c>
      <c r="AM257" s="89" t="str">
        <f t="shared" si="141"/>
        <v/>
      </c>
      <c r="AN257" s="89" t="str">
        <f t="shared" si="142"/>
        <v/>
      </c>
      <c r="AO257" s="3" t="str">
        <f t="shared" si="143"/>
        <v/>
      </c>
      <c r="AP257" s="33" t="str">
        <f t="shared" si="144"/>
        <v/>
      </c>
      <c r="AQ257" s="58" t="str">
        <f t="shared" si="145"/>
        <v/>
      </c>
      <c r="AR257" s="38">
        <f>'ANR OK vs ML7'!AR257</f>
        <v>0.1</v>
      </c>
      <c r="AS257" s="35" t="str">
        <f t="shared" si="146"/>
        <v/>
      </c>
      <c r="AT257" s="3" t="str">
        <f t="shared" si="147"/>
        <v/>
      </c>
      <c r="AU257" s="3" t="str">
        <f t="shared" si="148"/>
        <v/>
      </c>
      <c r="AW257" s="32" t="str">
        <f t="shared" si="149"/>
        <v/>
      </c>
      <c r="AX257" s="32" t="str">
        <f t="shared" si="150"/>
        <v/>
      </c>
      <c r="AY257" s="32" t="str">
        <f t="shared" si="151"/>
        <v/>
      </c>
      <c r="BA257" s="32" t="str">
        <f>IF($A258="","",F257*Summary!$Q$14)</f>
        <v/>
      </c>
    </row>
    <row r="258" spans="1:53" ht="12" customHeight="1">
      <c r="A258" s="67" t="str">
        <f t="shared" si="152"/>
        <v/>
      </c>
      <c r="B258" s="69" t="str">
        <f t="shared" si="153"/>
        <v/>
      </c>
      <c r="C258" s="71"/>
      <c r="D258" s="69" t="str">
        <f t="shared" si="117"/>
        <v/>
      </c>
      <c r="E258" s="70" t="str">
        <f t="shared" si="118"/>
        <v/>
      </c>
      <c r="F258" s="70" t="str">
        <f t="shared" si="119"/>
        <v/>
      </c>
      <c r="G258" s="63" t="str">
        <f t="shared" si="120"/>
        <v/>
      </c>
      <c r="H258" s="64" t="str">
        <f t="shared" si="121"/>
        <v/>
      </c>
      <c r="I258" s="43"/>
      <c r="J258" s="63" t="str">
        <f t="shared" si="122"/>
        <v/>
      </c>
      <c r="K258" s="64" t="str">
        <f t="shared" si="123"/>
        <v/>
      </c>
      <c r="L258" s="38">
        <v>0</v>
      </c>
      <c r="M258" s="64" t="str">
        <f t="shared" si="124"/>
        <v/>
      </c>
      <c r="N258" s="65"/>
      <c r="O258" s="63" t="str">
        <f t="shared" si="125"/>
        <v/>
      </c>
      <c r="P258" s="63" t="str">
        <f t="shared" si="126"/>
        <v/>
      </c>
      <c r="Q258" s="66"/>
      <c r="R258" s="63" t="str">
        <f t="shared" si="127"/>
        <v/>
      </c>
      <c r="S258" s="64" t="str">
        <f t="shared" si="128"/>
        <v/>
      </c>
      <c r="T258" s="63" t="str">
        <f t="shared" si="129"/>
        <v/>
      </c>
      <c r="U258" s="64" t="str">
        <f t="shared" si="130"/>
        <v/>
      </c>
      <c r="V258" s="207" t="str">
        <f>IF($A259="","",IF(AND(MONTH(A258)&gt;3,MONTH(A258)&lt;11),(T258+R258+G258)*(((1/(1-Summary!$T$14))/(1-Summary!$W$14))-1),(T258+R258+G258)*((1/(1-Summary!$U$14))/(1-Summary!$X$14)-1)))</f>
        <v/>
      </c>
      <c r="W258" s="43" t="str">
        <f t="shared" si="131"/>
        <v/>
      </c>
      <c r="X258" s="43" t="str">
        <f t="shared" si="132"/>
        <v/>
      </c>
      <c r="Y258" s="43"/>
      <c r="Z258" s="38" t="str">
        <f t="shared" si="133"/>
        <v/>
      </c>
      <c r="AA258" s="38" t="str">
        <f t="shared" si="134"/>
        <v/>
      </c>
      <c r="AB258" s="38" t="e">
        <f t="shared" si="135"/>
        <v>#VALUE!</v>
      </c>
      <c r="AC258" s="38" t="str">
        <f t="shared" si="136"/>
        <v/>
      </c>
      <c r="AD258" s="38" t="str">
        <f t="shared" si="137"/>
        <v/>
      </c>
      <c r="AE258" s="38" t="e">
        <f t="shared" si="138"/>
        <v>#VALUE!</v>
      </c>
      <c r="AF258" s="237" t="e">
        <f>((Summary!$N$14*(AA258*AD258)*(A258-$D$3))+(Summary!$M$14*Z258*AC258*(AJ258-EOMONTH(EDATE(A258,-1),0))))/(AK258*AB258*AE258)</f>
        <v>#VALUE!</v>
      </c>
      <c r="AG258" s="88" t="str">
        <f>IF($A259="","",Summary!$Q$14)</f>
        <v/>
      </c>
      <c r="AH258" s="88" t="str">
        <f>IF($A259="","",IF(Summary!$R$12="Y",(VLOOKUP($A258,Summary!$AD$6:$AF$9,3)+'Escalating commodity'!J271),'Escalating commodity'!J271))</f>
        <v/>
      </c>
      <c r="AI258" s="88" t="str">
        <f t="shared" si="154"/>
        <v/>
      </c>
      <c r="AJ258" s="236" t="e">
        <f t="shared" si="139"/>
        <v>#VALUE!</v>
      </c>
      <c r="AK258" s="58" t="str">
        <f t="shared" si="140"/>
        <v/>
      </c>
      <c r="AL258" s="26" t="str">
        <f>IF($A259="","",_xll.SPRDOPT(P258,X258,AI258,0,AB258,AE258,AF258,AK258,$AJ$2,0))</f>
        <v/>
      </c>
      <c r="AM258" s="89" t="str">
        <f t="shared" si="141"/>
        <v/>
      </c>
      <c r="AN258" s="89" t="str">
        <f t="shared" si="142"/>
        <v/>
      </c>
      <c r="AO258" s="3" t="str">
        <f t="shared" si="143"/>
        <v/>
      </c>
      <c r="AP258" s="33" t="str">
        <f t="shared" si="144"/>
        <v/>
      </c>
      <c r="AQ258" s="58" t="str">
        <f t="shared" si="145"/>
        <v/>
      </c>
      <c r="AR258" s="38">
        <f>'ANR OK vs ML7'!AR258</f>
        <v>0.1</v>
      </c>
      <c r="AS258" s="35" t="str">
        <f t="shared" si="146"/>
        <v/>
      </c>
      <c r="AT258" s="3" t="str">
        <f t="shared" si="147"/>
        <v/>
      </c>
      <c r="AU258" s="3" t="str">
        <f t="shared" si="148"/>
        <v/>
      </c>
      <c r="AW258" s="32" t="str">
        <f t="shared" si="149"/>
        <v/>
      </c>
      <c r="AX258" s="32" t="str">
        <f t="shared" si="150"/>
        <v/>
      </c>
      <c r="AY258" s="32" t="str">
        <f t="shared" si="151"/>
        <v/>
      </c>
      <c r="BA258" s="32" t="str">
        <f>IF($A259="","",F258*Summary!$Q$14)</f>
        <v/>
      </c>
    </row>
    <row r="259" spans="1:53" ht="12" customHeight="1">
      <c r="A259" s="67" t="str">
        <f t="shared" si="152"/>
        <v/>
      </c>
      <c r="B259" s="69" t="str">
        <f t="shared" si="153"/>
        <v/>
      </c>
      <c r="C259" s="71"/>
      <c r="D259" s="69" t="str">
        <f t="shared" si="117"/>
        <v/>
      </c>
      <c r="E259" s="70" t="str">
        <f t="shared" si="118"/>
        <v/>
      </c>
      <c r="F259" s="70" t="str">
        <f t="shared" si="119"/>
        <v/>
      </c>
      <c r="G259" s="63" t="str">
        <f t="shared" si="120"/>
        <v/>
      </c>
      <c r="H259" s="64" t="str">
        <f t="shared" si="121"/>
        <v/>
      </c>
      <c r="I259" s="43"/>
      <c r="J259" s="63" t="str">
        <f t="shared" si="122"/>
        <v/>
      </c>
      <c r="K259" s="64" t="str">
        <f t="shared" si="123"/>
        <v/>
      </c>
      <c r="L259" s="38">
        <v>0</v>
      </c>
      <c r="M259" s="64" t="str">
        <f t="shared" si="124"/>
        <v/>
      </c>
      <c r="N259" s="65"/>
      <c r="O259" s="63" t="str">
        <f t="shared" si="125"/>
        <v/>
      </c>
      <c r="P259" s="63" t="str">
        <f t="shared" si="126"/>
        <v/>
      </c>
      <c r="Q259" s="66"/>
      <c r="R259" s="63" t="str">
        <f t="shared" si="127"/>
        <v/>
      </c>
      <c r="S259" s="64" t="str">
        <f t="shared" si="128"/>
        <v/>
      </c>
      <c r="T259" s="63" t="str">
        <f t="shared" si="129"/>
        <v/>
      </c>
      <c r="U259" s="64" t="str">
        <f t="shared" si="130"/>
        <v/>
      </c>
      <c r="V259" s="207" t="str">
        <f>IF($A260="","",IF(AND(MONTH(A259)&gt;3,MONTH(A259)&lt;11),(T259+R259+G259)*(((1/(1-Summary!$T$14))/(1-Summary!$W$14))-1),(T259+R259+G259)*((1/(1-Summary!$U$14))/(1-Summary!$X$14)-1)))</f>
        <v/>
      </c>
      <c r="W259" s="43" t="str">
        <f t="shared" si="131"/>
        <v/>
      </c>
      <c r="X259" s="43" t="str">
        <f t="shared" si="132"/>
        <v/>
      </c>
      <c r="Y259" s="43"/>
      <c r="Z259" s="38" t="str">
        <f t="shared" si="133"/>
        <v/>
      </c>
      <c r="AA259" s="38" t="str">
        <f t="shared" si="134"/>
        <v/>
      </c>
      <c r="AB259" s="38" t="e">
        <f t="shared" si="135"/>
        <v>#VALUE!</v>
      </c>
      <c r="AC259" s="38" t="str">
        <f t="shared" si="136"/>
        <v/>
      </c>
      <c r="AD259" s="38" t="str">
        <f t="shared" si="137"/>
        <v/>
      </c>
      <c r="AE259" s="38" t="e">
        <f t="shared" si="138"/>
        <v>#VALUE!</v>
      </c>
      <c r="AF259" s="237" t="e">
        <f>((Summary!$N$14*(AA259*AD259)*(A259-$D$3))+(Summary!$M$14*Z259*AC259*(AJ259-EOMONTH(EDATE(A259,-1),0))))/(AK259*AB259*AE259)</f>
        <v>#VALUE!</v>
      </c>
      <c r="AG259" s="88" t="str">
        <f>IF($A260="","",Summary!$Q$14)</f>
        <v/>
      </c>
      <c r="AH259" s="88" t="str">
        <f>IF($A260="","",IF(Summary!$R$12="Y",(VLOOKUP($A259,Summary!$AD$6:$AF$9,3)+'Escalating commodity'!J272),'Escalating commodity'!J272))</f>
        <v/>
      </c>
      <c r="AI259" s="88" t="str">
        <f t="shared" si="154"/>
        <v/>
      </c>
      <c r="AJ259" s="236" t="e">
        <f t="shared" si="139"/>
        <v>#VALUE!</v>
      </c>
      <c r="AK259" s="58" t="str">
        <f t="shared" si="140"/>
        <v/>
      </c>
      <c r="AL259" s="26" t="str">
        <f>IF($A260="","",_xll.SPRDOPT(P259,X259,AI259,0,AB259,AE259,AF259,AK259,$AJ$2,0))</f>
        <v/>
      </c>
      <c r="AM259" s="89" t="str">
        <f t="shared" si="141"/>
        <v/>
      </c>
      <c r="AN259" s="89" t="str">
        <f t="shared" si="142"/>
        <v/>
      </c>
      <c r="AO259" s="3" t="str">
        <f t="shared" si="143"/>
        <v/>
      </c>
      <c r="AP259" s="33" t="str">
        <f t="shared" si="144"/>
        <v/>
      </c>
      <c r="AQ259" s="58" t="str">
        <f t="shared" si="145"/>
        <v/>
      </c>
      <c r="AR259" s="38">
        <f>'ANR OK vs ML7'!AR259</f>
        <v>0.1</v>
      </c>
      <c r="AS259" s="35" t="str">
        <f t="shared" si="146"/>
        <v/>
      </c>
      <c r="AT259" s="3" t="str">
        <f t="shared" si="147"/>
        <v/>
      </c>
      <c r="AU259" s="3" t="str">
        <f t="shared" si="148"/>
        <v/>
      </c>
      <c r="AW259" s="32" t="str">
        <f t="shared" si="149"/>
        <v/>
      </c>
      <c r="AX259" s="32" t="str">
        <f t="shared" si="150"/>
        <v/>
      </c>
      <c r="AY259" s="32" t="str">
        <f t="shared" si="151"/>
        <v/>
      </c>
      <c r="BA259" s="32" t="str">
        <f>IF($A260="","",F259*Summary!$Q$14)</f>
        <v/>
      </c>
    </row>
    <row r="260" spans="1:53" ht="12" customHeight="1">
      <c r="A260" s="67" t="str">
        <f t="shared" si="152"/>
        <v/>
      </c>
      <c r="B260" s="69" t="str">
        <f t="shared" si="153"/>
        <v/>
      </c>
      <c r="C260" s="71"/>
      <c r="D260" s="69" t="str">
        <f t="shared" si="117"/>
        <v/>
      </c>
      <c r="E260" s="70" t="str">
        <f t="shared" si="118"/>
        <v/>
      </c>
      <c r="F260" s="70" t="str">
        <f t="shared" si="119"/>
        <v/>
      </c>
      <c r="G260" s="63" t="str">
        <f t="shared" si="120"/>
        <v/>
      </c>
      <c r="H260" s="64" t="str">
        <f t="shared" si="121"/>
        <v/>
      </c>
      <c r="I260" s="43"/>
      <c r="J260" s="63" t="str">
        <f t="shared" si="122"/>
        <v/>
      </c>
      <c r="K260" s="64" t="str">
        <f t="shared" si="123"/>
        <v/>
      </c>
      <c r="L260" s="38">
        <v>0</v>
      </c>
      <c r="M260" s="64" t="str">
        <f t="shared" si="124"/>
        <v/>
      </c>
      <c r="N260" s="65"/>
      <c r="O260" s="63" t="str">
        <f t="shared" si="125"/>
        <v/>
      </c>
      <c r="P260" s="63" t="str">
        <f t="shared" si="126"/>
        <v/>
      </c>
      <c r="Q260" s="66"/>
      <c r="R260" s="63" t="str">
        <f t="shared" si="127"/>
        <v/>
      </c>
      <c r="S260" s="64" t="str">
        <f t="shared" si="128"/>
        <v/>
      </c>
      <c r="T260" s="63" t="str">
        <f t="shared" si="129"/>
        <v/>
      </c>
      <c r="U260" s="64" t="str">
        <f t="shared" si="130"/>
        <v/>
      </c>
      <c r="V260" s="207" t="str">
        <f>IF($A261="","",IF(AND(MONTH(A260)&gt;3,MONTH(A260)&lt;11),(T260+R260+G260)*(((1/(1-Summary!$T$14))/(1-Summary!$W$14))-1),(T260+R260+G260)*((1/(1-Summary!$U$14))/(1-Summary!$X$14)-1)))</f>
        <v/>
      </c>
      <c r="W260" s="43" t="str">
        <f t="shared" si="131"/>
        <v/>
      </c>
      <c r="X260" s="43" t="str">
        <f t="shared" si="132"/>
        <v/>
      </c>
      <c r="Y260" s="43"/>
      <c r="Z260" s="38" t="str">
        <f t="shared" si="133"/>
        <v/>
      </c>
      <c r="AA260" s="38" t="str">
        <f t="shared" si="134"/>
        <v/>
      </c>
      <c r="AB260" s="38" t="e">
        <f t="shared" si="135"/>
        <v>#VALUE!</v>
      </c>
      <c r="AC260" s="38" t="str">
        <f t="shared" si="136"/>
        <v/>
      </c>
      <c r="AD260" s="38" t="str">
        <f t="shared" si="137"/>
        <v/>
      </c>
      <c r="AE260" s="38" t="e">
        <f t="shared" si="138"/>
        <v>#VALUE!</v>
      </c>
      <c r="AF260" s="237" t="e">
        <f>((Summary!$N$14*(AA260*AD260)*(A260-$D$3))+(Summary!$M$14*Z260*AC260*(AJ260-EOMONTH(EDATE(A260,-1),0))))/(AK260*AB260*AE260)</f>
        <v>#VALUE!</v>
      </c>
      <c r="AG260" s="88" t="str">
        <f>IF($A261="","",Summary!$Q$14)</f>
        <v/>
      </c>
      <c r="AH260" s="88" t="str">
        <f>IF($A261="","",IF(Summary!$R$12="Y",(VLOOKUP($A260,Summary!$AD$6:$AF$9,3)+'Escalating commodity'!J273),'Escalating commodity'!J273))</f>
        <v/>
      </c>
      <c r="AI260" s="88" t="str">
        <f t="shared" si="154"/>
        <v/>
      </c>
      <c r="AJ260" s="236" t="e">
        <f t="shared" si="139"/>
        <v>#VALUE!</v>
      </c>
      <c r="AK260" s="58" t="str">
        <f t="shared" si="140"/>
        <v/>
      </c>
      <c r="AL260" s="26" t="str">
        <f>IF($A261="","",_xll.SPRDOPT(P260,X260,AI260,0,AB260,AE260,AF260,AK260,$AJ$2,0))</f>
        <v/>
      </c>
      <c r="AM260" s="89" t="str">
        <f t="shared" si="141"/>
        <v/>
      </c>
      <c r="AN260" s="89" t="str">
        <f t="shared" si="142"/>
        <v/>
      </c>
      <c r="AO260" s="3" t="str">
        <f t="shared" si="143"/>
        <v/>
      </c>
      <c r="AP260" s="33" t="str">
        <f t="shared" si="144"/>
        <v/>
      </c>
      <c r="AQ260" s="58" t="str">
        <f t="shared" si="145"/>
        <v/>
      </c>
      <c r="AR260" s="38">
        <f>'ANR OK vs ML7'!AR260</f>
        <v>0.1</v>
      </c>
      <c r="AS260" s="35" t="str">
        <f t="shared" si="146"/>
        <v/>
      </c>
      <c r="AT260" s="3" t="str">
        <f t="shared" si="147"/>
        <v/>
      </c>
      <c r="AU260" s="3" t="str">
        <f t="shared" si="148"/>
        <v/>
      </c>
      <c r="AW260" s="32" t="str">
        <f t="shared" si="149"/>
        <v/>
      </c>
      <c r="AX260" s="32" t="str">
        <f t="shared" si="150"/>
        <v/>
      </c>
      <c r="AY260" s="32" t="str">
        <f t="shared" si="151"/>
        <v/>
      </c>
      <c r="BA260" s="32" t="str">
        <f>IF($A261="","",F260*Summary!$Q$14)</f>
        <v/>
      </c>
    </row>
    <row r="261" spans="1:53" ht="12" customHeight="1">
      <c r="A261" s="67" t="str">
        <f t="shared" si="152"/>
        <v/>
      </c>
      <c r="B261" s="69" t="str">
        <f t="shared" si="153"/>
        <v/>
      </c>
      <c r="C261" s="71"/>
      <c r="D261" s="69" t="str">
        <f t="shared" si="117"/>
        <v/>
      </c>
      <c r="E261" s="70" t="str">
        <f t="shared" si="118"/>
        <v/>
      </c>
      <c r="F261" s="70" t="str">
        <f t="shared" si="119"/>
        <v/>
      </c>
      <c r="G261" s="63" t="str">
        <f t="shared" si="120"/>
        <v/>
      </c>
      <c r="H261" s="64" t="str">
        <f t="shared" si="121"/>
        <v/>
      </c>
      <c r="I261" s="43"/>
      <c r="J261" s="63" t="str">
        <f t="shared" si="122"/>
        <v/>
      </c>
      <c r="K261" s="64" t="str">
        <f t="shared" si="123"/>
        <v/>
      </c>
      <c r="L261" s="38">
        <v>0</v>
      </c>
      <c r="M261" s="64" t="str">
        <f t="shared" si="124"/>
        <v/>
      </c>
      <c r="N261" s="65"/>
      <c r="O261" s="63" t="str">
        <f t="shared" si="125"/>
        <v/>
      </c>
      <c r="P261" s="63" t="str">
        <f t="shared" si="126"/>
        <v/>
      </c>
      <c r="Q261" s="66"/>
      <c r="R261" s="63" t="str">
        <f t="shared" si="127"/>
        <v/>
      </c>
      <c r="S261" s="64" t="str">
        <f t="shared" si="128"/>
        <v/>
      </c>
      <c r="T261" s="63" t="str">
        <f t="shared" si="129"/>
        <v/>
      </c>
      <c r="U261" s="64" t="str">
        <f t="shared" si="130"/>
        <v/>
      </c>
      <c r="V261" s="207" t="str">
        <f>IF($A262="","",IF(AND(MONTH(A261)&gt;3,MONTH(A261)&lt;11),(T261+R261+G261)*(((1/(1-Summary!$T$14))/(1-Summary!$W$14))-1),(T261+R261+G261)*((1/(1-Summary!$U$14))/(1-Summary!$X$14)-1)))</f>
        <v/>
      </c>
      <c r="W261" s="43" t="str">
        <f t="shared" si="131"/>
        <v/>
      </c>
      <c r="X261" s="43" t="str">
        <f t="shared" si="132"/>
        <v/>
      </c>
      <c r="Y261" s="43"/>
      <c r="Z261" s="38" t="str">
        <f t="shared" si="133"/>
        <v/>
      </c>
      <c r="AA261" s="38" t="str">
        <f t="shared" si="134"/>
        <v/>
      </c>
      <c r="AB261" s="38" t="e">
        <f t="shared" si="135"/>
        <v>#VALUE!</v>
      </c>
      <c r="AC261" s="38" t="str">
        <f t="shared" si="136"/>
        <v/>
      </c>
      <c r="AD261" s="38" t="str">
        <f t="shared" si="137"/>
        <v/>
      </c>
      <c r="AE261" s="38" t="e">
        <f t="shared" si="138"/>
        <v>#VALUE!</v>
      </c>
      <c r="AF261" s="237" t="e">
        <f>((Summary!$N$14*(AA261*AD261)*(A261-$D$3))+(Summary!$M$14*Z261*AC261*(AJ261-EOMONTH(EDATE(A261,-1),0))))/(AK261*AB261*AE261)</f>
        <v>#VALUE!</v>
      </c>
      <c r="AG261" s="88" t="str">
        <f>IF($A262="","",Summary!$Q$14)</f>
        <v/>
      </c>
      <c r="AH261" s="88" t="str">
        <f>IF($A262="","",IF(Summary!$R$12="Y",(VLOOKUP($A261,Summary!$AD$6:$AF$9,3)+'Escalating commodity'!J274),'Escalating commodity'!J274))</f>
        <v/>
      </c>
      <c r="AI261" s="88" t="str">
        <f t="shared" si="154"/>
        <v/>
      </c>
      <c r="AJ261" s="236" t="e">
        <f t="shared" si="139"/>
        <v>#VALUE!</v>
      </c>
      <c r="AK261" s="58" t="str">
        <f t="shared" si="140"/>
        <v/>
      </c>
      <c r="AL261" s="26" t="str">
        <f>IF($A262="","",_xll.SPRDOPT(P261,X261,AI261,0,AB261,AE261,AF261,AK261,$AJ$2,0))</f>
        <v/>
      </c>
      <c r="AM261" s="89" t="str">
        <f t="shared" si="141"/>
        <v/>
      </c>
      <c r="AN261" s="89" t="str">
        <f t="shared" si="142"/>
        <v/>
      </c>
      <c r="AO261" s="3" t="str">
        <f t="shared" si="143"/>
        <v/>
      </c>
      <c r="AP261" s="33" t="str">
        <f t="shared" si="144"/>
        <v/>
      </c>
      <c r="AQ261" s="58" t="str">
        <f t="shared" si="145"/>
        <v/>
      </c>
      <c r="AR261" s="38">
        <f>'ANR OK vs ML7'!AR261</f>
        <v>0.1</v>
      </c>
      <c r="AS261" s="35" t="str">
        <f t="shared" si="146"/>
        <v/>
      </c>
      <c r="AT261" s="3" t="str">
        <f t="shared" si="147"/>
        <v/>
      </c>
      <c r="AU261" s="3" t="str">
        <f t="shared" si="148"/>
        <v/>
      </c>
      <c r="AW261" s="32" t="str">
        <f t="shared" si="149"/>
        <v/>
      </c>
      <c r="AX261" s="32" t="str">
        <f t="shared" si="150"/>
        <v/>
      </c>
      <c r="AY261" s="32" t="str">
        <f t="shared" si="151"/>
        <v/>
      </c>
      <c r="BA261" s="32" t="str">
        <f>IF($A262="","",F261*Summary!$Q$14)</f>
        <v/>
      </c>
    </row>
    <row r="262" spans="1:53" ht="12" customHeight="1">
      <c r="A262" s="67" t="str">
        <f t="shared" si="152"/>
        <v/>
      </c>
      <c r="B262" s="69" t="str">
        <f t="shared" si="153"/>
        <v/>
      </c>
      <c r="C262" s="71"/>
      <c r="D262" s="69" t="str">
        <f t="shared" si="117"/>
        <v/>
      </c>
      <c r="E262" s="70" t="str">
        <f t="shared" si="118"/>
        <v/>
      </c>
      <c r="F262" s="70" t="str">
        <f t="shared" si="119"/>
        <v/>
      </c>
      <c r="G262" s="63" t="str">
        <f t="shared" si="120"/>
        <v/>
      </c>
      <c r="H262" s="64" t="str">
        <f t="shared" si="121"/>
        <v/>
      </c>
      <c r="I262" s="43"/>
      <c r="J262" s="63" t="str">
        <f t="shared" si="122"/>
        <v/>
      </c>
      <c r="K262" s="64" t="str">
        <f t="shared" si="123"/>
        <v/>
      </c>
      <c r="L262" s="38">
        <v>0</v>
      </c>
      <c r="M262" s="64" t="str">
        <f t="shared" si="124"/>
        <v/>
      </c>
      <c r="N262" s="65"/>
      <c r="O262" s="63" t="str">
        <f t="shared" si="125"/>
        <v/>
      </c>
      <c r="P262" s="63" t="str">
        <f t="shared" si="126"/>
        <v/>
      </c>
      <c r="Q262" s="66"/>
      <c r="R262" s="63" t="str">
        <f t="shared" si="127"/>
        <v/>
      </c>
      <c r="S262" s="64" t="str">
        <f t="shared" si="128"/>
        <v/>
      </c>
      <c r="T262" s="63" t="str">
        <f t="shared" si="129"/>
        <v/>
      </c>
      <c r="U262" s="64" t="str">
        <f t="shared" si="130"/>
        <v/>
      </c>
      <c r="V262" s="207" t="str">
        <f>IF($A263="","",IF(AND(MONTH(A262)&gt;3,MONTH(A262)&lt;11),(T262+R262+G262)*(((1/(1-Summary!$T$14))/(1-Summary!$W$14))-1),(T262+R262+G262)*((1/(1-Summary!$U$14))/(1-Summary!$X$14)-1)))</f>
        <v/>
      </c>
      <c r="W262" s="43" t="str">
        <f t="shared" si="131"/>
        <v/>
      </c>
      <c r="X262" s="43" t="str">
        <f t="shared" si="132"/>
        <v/>
      </c>
      <c r="Y262" s="43"/>
      <c r="Z262" s="38" t="str">
        <f t="shared" si="133"/>
        <v/>
      </c>
      <c r="AA262" s="38" t="str">
        <f t="shared" si="134"/>
        <v/>
      </c>
      <c r="AB262" s="38" t="e">
        <f t="shared" si="135"/>
        <v>#VALUE!</v>
      </c>
      <c r="AC262" s="38" t="str">
        <f t="shared" si="136"/>
        <v/>
      </c>
      <c r="AD262" s="38" t="str">
        <f t="shared" si="137"/>
        <v/>
      </c>
      <c r="AE262" s="38" t="e">
        <f t="shared" si="138"/>
        <v>#VALUE!</v>
      </c>
      <c r="AF262" s="237" t="e">
        <f>((Summary!$N$14*(AA262*AD262)*(A262-$D$3))+(Summary!$M$14*Z262*AC262*(AJ262-EOMONTH(EDATE(A262,-1),0))))/(AK262*AB262*AE262)</f>
        <v>#VALUE!</v>
      </c>
      <c r="AG262" s="88" t="str">
        <f>IF($A263="","",Summary!$Q$14)</f>
        <v/>
      </c>
      <c r="AH262" s="88" t="str">
        <f>IF($A263="","",IF(Summary!$R$12="Y",(VLOOKUP($A262,Summary!$AD$6:$AF$9,3)+'Escalating commodity'!J275),'Escalating commodity'!J275))</f>
        <v/>
      </c>
      <c r="AI262" s="88" t="str">
        <f t="shared" si="154"/>
        <v/>
      </c>
      <c r="AJ262" s="236" t="e">
        <f t="shared" si="139"/>
        <v>#VALUE!</v>
      </c>
      <c r="AK262" s="58" t="str">
        <f t="shared" si="140"/>
        <v/>
      </c>
      <c r="AL262" s="26" t="str">
        <f>IF($A263="","",_xll.SPRDOPT(P262,X262,AI262,0,AB262,AE262,AF262,AK262,$AJ$2,0))</f>
        <v/>
      </c>
      <c r="AM262" s="89" t="str">
        <f t="shared" si="141"/>
        <v/>
      </c>
      <c r="AN262" s="89" t="str">
        <f t="shared" si="142"/>
        <v/>
      </c>
      <c r="AO262" s="3" t="str">
        <f t="shared" si="143"/>
        <v/>
      </c>
      <c r="AP262" s="33" t="str">
        <f t="shared" si="144"/>
        <v/>
      </c>
      <c r="AQ262" s="58" t="str">
        <f t="shared" si="145"/>
        <v/>
      </c>
      <c r="AR262" s="38">
        <f>'ANR OK vs ML7'!AR262</f>
        <v>0.1</v>
      </c>
      <c r="AS262" s="35" t="str">
        <f t="shared" si="146"/>
        <v/>
      </c>
      <c r="AT262" s="3" t="str">
        <f t="shared" si="147"/>
        <v/>
      </c>
      <c r="AU262" s="3" t="str">
        <f t="shared" si="148"/>
        <v/>
      </c>
      <c r="AW262" s="32" t="str">
        <f t="shared" si="149"/>
        <v/>
      </c>
      <c r="AX262" s="32" t="str">
        <f t="shared" si="150"/>
        <v/>
      </c>
      <c r="AY262" s="32" t="str">
        <f t="shared" si="151"/>
        <v/>
      </c>
      <c r="BA262" s="32" t="str">
        <f>IF($A263="","",F262*Summary!$Q$14)</f>
        <v/>
      </c>
    </row>
    <row r="263" spans="1:53" ht="12" customHeight="1">
      <c r="A263" s="67" t="str">
        <f t="shared" si="152"/>
        <v/>
      </c>
      <c r="B263" s="69" t="str">
        <f t="shared" si="153"/>
        <v/>
      </c>
      <c r="C263" s="71"/>
      <c r="D263" s="69" t="str">
        <f t="shared" si="117"/>
        <v/>
      </c>
      <c r="E263" s="70" t="str">
        <f t="shared" si="118"/>
        <v/>
      </c>
      <c r="F263" s="70" t="str">
        <f t="shared" si="119"/>
        <v/>
      </c>
      <c r="G263" s="63" t="str">
        <f t="shared" si="120"/>
        <v/>
      </c>
      <c r="H263" s="64" t="str">
        <f t="shared" si="121"/>
        <v/>
      </c>
      <c r="I263" s="43"/>
      <c r="J263" s="63" t="str">
        <f t="shared" si="122"/>
        <v/>
      </c>
      <c r="K263" s="64" t="str">
        <f t="shared" si="123"/>
        <v/>
      </c>
      <c r="L263" s="38">
        <v>0</v>
      </c>
      <c r="M263" s="64" t="str">
        <f t="shared" si="124"/>
        <v/>
      </c>
      <c r="N263" s="65"/>
      <c r="O263" s="63" t="str">
        <f t="shared" si="125"/>
        <v/>
      </c>
      <c r="P263" s="63" t="str">
        <f t="shared" si="126"/>
        <v/>
      </c>
      <c r="Q263" s="66"/>
      <c r="R263" s="63" t="str">
        <f t="shared" si="127"/>
        <v/>
      </c>
      <c r="S263" s="64" t="str">
        <f t="shared" si="128"/>
        <v/>
      </c>
      <c r="T263" s="63" t="str">
        <f t="shared" si="129"/>
        <v/>
      </c>
      <c r="U263" s="64" t="str">
        <f t="shared" si="130"/>
        <v/>
      </c>
      <c r="V263" s="207" t="str">
        <f>IF($A264="","",IF(AND(MONTH(A263)&gt;3,MONTH(A263)&lt;11),(T263+R263+G263)*(((1/(1-Summary!$T$14))/(1-Summary!$W$14))-1),(T263+R263+G263)*((1/(1-Summary!$U$14))/(1-Summary!$X$14)-1)))</f>
        <v/>
      </c>
      <c r="W263" s="43" t="str">
        <f t="shared" si="131"/>
        <v/>
      </c>
      <c r="X263" s="43" t="str">
        <f t="shared" si="132"/>
        <v/>
      </c>
      <c r="Y263" s="43"/>
      <c r="Z263" s="38" t="str">
        <f t="shared" si="133"/>
        <v/>
      </c>
      <c r="AA263" s="38" t="str">
        <f t="shared" si="134"/>
        <v/>
      </c>
      <c r="AB263" s="38" t="e">
        <f t="shared" si="135"/>
        <v>#VALUE!</v>
      </c>
      <c r="AC263" s="38" t="str">
        <f t="shared" si="136"/>
        <v/>
      </c>
      <c r="AD263" s="38" t="str">
        <f t="shared" si="137"/>
        <v/>
      </c>
      <c r="AE263" s="38" t="e">
        <f t="shared" si="138"/>
        <v>#VALUE!</v>
      </c>
      <c r="AF263" s="237" t="e">
        <f>((Summary!$N$14*(AA263*AD263)*(A263-$D$3))+(Summary!$M$14*Z263*AC263*(AJ263-EOMONTH(EDATE(A263,-1),0))))/(AK263*AB263*AE263)</f>
        <v>#VALUE!</v>
      </c>
      <c r="AG263" s="88" t="str">
        <f>IF($A264="","",Summary!$Q$14)</f>
        <v/>
      </c>
      <c r="AH263" s="88" t="str">
        <f>IF($A264="","",IF(Summary!$R$12="Y",(VLOOKUP($A263,Summary!$AD$6:$AF$9,3)+'Escalating commodity'!J276),'Escalating commodity'!J276))</f>
        <v/>
      </c>
      <c r="AI263" s="88" t="str">
        <f t="shared" si="154"/>
        <v/>
      </c>
      <c r="AJ263" s="236" t="e">
        <f t="shared" si="139"/>
        <v>#VALUE!</v>
      </c>
      <c r="AK263" s="58" t="str">
        <f t="shared" si="140"/>
        <v/>
      </c>
      <c r="AL263" s="26" t="str">
        <f>IF($A264="","",_xll.SPRDOPT(P263,X263,AI263,0,AB263,AE263,AF263,AK263,$AJ$2,0))</f>
        <v/>
      </c>
      <c r="AM263" s="89" t="str">
        <f t="shared" si="141"/>
        <v/>
      </c>
      <c r="AN263" s="89" t="str">
        <f t="shared" si="142"/>
        <v/>
      </c>
      <c r="AO263" s="3" t="str">
        <f t="shared" si="143"/>
        <v/>
      </c>
      <c r="AP263" s="33" t="str">
        <f t="shared" si="144"/>
        <v/>
      </c>
      <c r="AQ263" s="58" t="str">
        <f t="shared" si="145"/>
        <v/>
      </c>
      <c r="AR263" s="38">
        <f>'ANR OK vs ML7'!AR263</f>
        <v>0.1</v>
      </c>
      <c r="AS263" s="35" t="str">
        <f t="shared" si="146"/>
        <v/>
      </c>
      <c r="AT263" s="3" t="str">
        <f t="shared" si="147"/>
        <v/>
      </c>
      <c r="AU263" s="3" t="str">
        <f t="shared" si="148"/>
        <v/>
      </c>
      <c r="AW263" s="32" t="str">
        <f t="shared" si="149"/>
        <v/>
      </c>
      <c r="AX263" s="32" t="str">
        <f t="shared" si="150"/>
        <v/>
      </c>
      <c r="AY263" s="32" t="str">
        <f t="shared" si="151"/>
        <v/>
      </c>
      <c r="BA263" s="32" t="str">
        <f>IF($A264="","",F263*Summary!$Q$14)</f>
        <v/>
      </c>
    </row>
    <row r="264" spans="1:53" ht="12" customHeight="1">
      <c r="A264" s="67" t="str">
        <f t="shared" si="152"/>
        <v/>
      </c>
      <c r="B264" s="69" t="str">
        <f t="shared" si="153"/>
        <v/>
      </c>
      <c r="C264" s="71"/>
      <c r="D264" s="69" t="str">
        <f t="shared" si="117"/>
        <v/>
      </c>
      <c r="E264" s="70" t="str">
        <f t="shared" si="118"/>
        <v/>
      </c>
      <c r="F264" s="70" t="str">
        <f t="shared" si="119"/>
        <v/>
      </c>
      <c r="G264" s="63" t="str">
        <f t="shared" si="120"/>
        <v/>
      </c>
      <c r="H264" s="64" t="str">
        <f t="shared" si="121"/>
        <v/>
      </c>
      <c r="I264" s="43"/>
      <c r="J264" s="63" t="str">
        <f t="shared" si="122"/>
        <v/>
      </c>
      <c r="K264" s="64" t="str">
        <f t="shared" si="123"/>
        <v/>
      </c>
      <c r="L264" s="38">
        <v>0</v>
      </c>
      <c r="M264" s="64" t="str">
        <f t="shared" si="124"/>
        <v/>
      </c>
      <c r="N264" s="65"/>
      <c r="O264" s="63" t="str">
        <f t="shared" si="125"/>
        <v/>
      </c>
      <c r="P264" s="63" t="str">
        <f t="shared" si="126"/>
        <v/>
      </c>
      <c r="Q264" s="66"/>
      <c r="R264" s="63" t="str">
        <f t="shared" si="127"/>
        <v/>
      </c>
      <c r="S264" s="64" t="str">
        <f t="shared" si="128"/>
        <v/>
      </c>
      <c r="T264" s="63" t="str">
        <f t="shared" si="129"/>
        <v/>
      </c>
      <c r="U264" s="64" t="str">
        <f t="shared" si="130"/>
        <v/>
      </c>
      <c r="V264" s="207" t="str">
        <f>IF($A265="","",IF(AND(MONTH(A264)&gt;3,MONTH(A264)&lt;11),(T264+R264+G264)*(((1/(1-Summary!$T$14))/(1-Summary!$W$14))-1),(T264+R264+G264)*((1/(1-Summary!$U$14))/(1-Summary!$X$14)-1)))</f>
        <v/>
      </c>
      <c r="W264" s="43" t="str">
        <f t="shared" si="131"/>
        <v/>
      </c>
      <c r="X264" s="43" t="str">
        <f t="shared" si="132"/>
        <v/>
      </c>
      <c r="Y264" s="43"/>
      <c r="Z264" s="38" t="str">
        <f t="shared" si="133"/>
        <v/>
      </c>
      <c r="AA264" s="38" t="str">
        <f t="shared" si="134"/>
        <v/>
      </c>
      <c r="AB264" s="38" t="e">
        <f t="shared" si="135"/>
        <v>#VALUE!</v>
      </c>
      <c r="AC264" s="38" t="str">
        <f t="shared" si="136"/>
        <v/>
      </c>
      <c r="AD264" s="38" t="str">
        <f t="shared" si="137"/>
        <v/>
      </c>
      <c r="AE264" s="38" t="e">
        <f t="shared" si="138"/>
        <v>#VALUE!</v>
      </c>
      <c r="AF264" s="237" t="e">
        <f>((Summary!$N$14*(AA264*AD264)*(A264-$D$3))+(Summary!$M$14*Z264*AC264*(AJ264-EOMONTH(EDATE(A264,-1),0))))/(AK264*AB264*AE264)</f>
        <v>#VALUE!</v>
      </c>
      <c r="AG264" s="88" t="str">
        <f>IF($A265="","",Summary!$Q$14)</f>
        <v/>
      </c>
      <c r="AH264" s="88" t="str">
        <f>IF($A265="","",IF(Summary!$R$12="Y",(VLOOKUP($A264,Summary!$AD$6:$AF$9,3)+'Escalating commodity'!J277),'Escalating commodity'!J277))</f>
        <v/>
      </c>
      <c r="AI264" s="88" t="str">
        <f t="shared" si="154"/>
        <v/>
      </c>
      <c r="AJ264" s="236" t="e">
        <f t="shared" si="139"/>
        <v>#VALUE!</v>
      </c>
      <c r="AK264" s="58" t="str">
        <f t="shared" si="140"/>
        <v/>
      </c>
      <c r="AL264" s="26" t="str">
        <f>IF($A265="","",_xll.SPRDOPT(P264,X264,AI264,0,AB264,AE264,AF264,AK264,$AJ$2,0))</f>
        <v/>
      </c>
      <c r="AM264" s="89" t="str">
        <f t="shared" si="141"/>
        <v/>
      </c>
      <c r="AN264" s="89" t="str">
        <f t="shared" si="142"/>
        <v/>
      </c>
      <c r="AO264" s="3" t="str">
        <f t="shared" si="143"/>
        <v/>
      </c>
      <c r="AP264" s="33" t="str">
        <f t="shared" si="144"/>
        <v/>
      </c>
      <c r="AQ264" s="58" t="str">
        <f t="shared" si="145"/>
        <v/>
      </c>
      <c r="AR264" s="38">
        <f>'ANR OK vs ML7'!AR264</f>
        <v>0.1</v>
      </c>
      <c r="AS264" s="35" t="str">
        <f t="shared" si="146"/>
        <v/>
      </c>
      <c r="AT264" s="3" t="str">
        <f t="shared" si="147"/>
        <v/>
      </c>
      <c r="AU264" s="3" t="str">
        <f t="shared" si="148"/>
        <v/>
      </c>
      <c r="AW264" s="32" t="str">
        <f t="shared" si="149"/>
        <v/>
      </c>
      <c r="AX264" s="32" t="str">
        <f t="shared" si="150"/>
        <v/>
      </c>
      <c r="AY264" s="32" t="str">
        <f t="shared" si="151"/>
        <v/>
      </c>
      <c r="BA264" s="32" t="str">
        <f>IF($A265="","",F264*Summary!$Q$14)</f>
        <v/>
      </c>
    </row>
    <row r="265" spans="1:53" ht="12" customHeight="1">
      <c r="A265" s="67" t="str">
        <f t="shared" si="152"/>
        <v/>
      </c>
      <c r="B265" s="69" t="str">
        <f t="shared" si="153"/>
        <v/>
      </c>
      <c r="C265" s="71"/>
      <c r="D265" s="69" t="str">
        <f t="shared" si="117"/>
        <v/>
      </c>
      <c r="E265" s="70" t="str">
        <f t="shared" si="118"/>
        <v/>
      </c>
      <c r="F265" s="70" t="str">
        <f t="shared" si="119"/>
        <v/>
      </c>
      <c r="G265" s="63" t="str">
        <f t="shared" si="120"/>
        <v/>
      </c>
      <c r="H265" s="64" t="str">
        <f t="shared" si="121"/>
        <v/>
      </c>
      <c r="I265" s="43"/>
      <c r="J265" s="63" t="str">
        <f t="shared" si="122"/>
        <v/>
      </c>
      <c r="K265" s="64" t="str">
        <f t="shared" si="123"/>
        <v/>
      </c>
      <c r="L265" s="38">
        <v>0</v>
      </c>
      <c r="M265" s="64" t="str">
        <f t="shared" si="124"/>
        <v/>
      </c>
      <c r="N265" s="65"/>
      <c r="O265" s="63" t="str">
        <f t="shared" si="125"/>
        <v/>
      </c>
      <c r="P265" s="63" t="str">
        <f t="shared" si="126"/>
        <v/>
      </c>
      <c r="Q265" s="66"/>
      <c r="R265" s="63" t="str">
        <f t="shared" si="127"/>
        <v/>
      </c>
      <c r="S265" s="64" t="str">
        <f t="shared" si="128"/>
        <v/>
      </c>
      <c r="T265" s="63" t="str">
        <f t="shared" si="129"/>
        <v/>
      </c>
      <c r="U265" s="64" t="str">
        <f t="shared" si="130"/>
        <v/>
      </c>
      <c r="V265" s="207" t="str">
        <f>IF($A266="","",IF(AND(MONTH(A265)&gt;3,MONTH(A265)&lt;11),(T265+R265+G265)*(((1/(1-Summary!$T$14))/(1-Summary!$W$14))-1),(T265+R265+G265)*((1/(1-Summary!$U$14))/(1-Summary!$X$14)-1)))</f>
        <v/>
      </c>
      <c r="W265" s="43" t="str">
        <f t="shared" si="131"/>
        <v/>
      </c>
      <c r="X265" s="43" t="str">
        <f t="shared" si="132"/>
        <v/>
      </c>
      <c r="Y265" s="43"/>
      <c r="Z265" s="38" t="str">
        <f t="shared" si="133"/>
        <v/>
      </c>
      <c r="AA265" s="38" t="str">
        <f t="shared" si="134"/>
        <v/>
      </c>
      <c r="AB265" s="38" t="e">
        <f t="shared" si="135"/>
        <v>#VALUE!</v>
      </c>
      <c r="AC265" s="38" t="str">
        <f t="shared" si="136"/>
        <v/>
      </c>
      <c r="AD265" s="38" t="str">
        <f t="shared" si="137"/>
        <v/>
      </c>
      <c r="AE265" s="38" t="e">
        <f t="shared" si="138"/>
        <v>#VALUE!</v>
      </c>
      <c r="AF265" s="237" t="e">
        <f>((Summary!$N$14*(AA265*AD265)*(A265-$D$3))+(Summary!$M$14*Z265*AC265*(AJ265-EOMONTH(EDATE(A265,-1),0))))/(AK265*AB265*AE265)</f>
        <v>#VALUE!</v>
      </c>
      <c r="AG265" s="88" t="str">
        <f>IF($A266="","",Summary!$Q$14)</f>
        <v/>
      </c>
      <c r="AH265" s="88" t="str">
        <f>IF($A266="","",IF(Summary!$R$12="Y",(VLOOKUP($A265,Summary!$AD$6:$AF$9,3)+'Escalating commodity'!J278),'Escalating commodity'!J278))</f>
        <v/>
      </c>
      <c r="AI265" s="88" t="str">
        <f t="shared" si="154"/>
        <v/>
      </c>
      <c r="AJ265" s="236" t="e">
        <f t="shared" si="139"/>
        <v>#VALUE!</v>
      </c>
      <c r="AK265" s="58" t="str">
        <f t="shared" si="140"/>
        <v/>
      </c>
      <c r="AL265" s="26" t="str">
        <f>IF($A266="","",_xll.SPRDOPT(P265,X265,AI265,0,AB265,AE265,AF265,AK265,$AJ$2,0))</f>
        <v/>
      </c>
      <c r="AM265" s="89" t="str">
        <f t="shared" si="141"/>
        <v/>
      </c>
      <c r="AN265" s="89" t="str">
        <f t="shared" si="142"/>
        <v/>
      </c>
      <c r="AO265" s="3" t="str">
        <f t="shared" si="143"/>
        <v/>
      </c>
      <c r="AP265" s="33" t="str">
        <f t="shared" si="144"/>
        <v/>
      </c>
      <c r="AQ265" s="58" t="str">
        <f t="shared" si="145"/>
        <v/>
      </c>
      <c r="AR265" s="38">
        <f>'ANR OK vs ML7'!AR265</f>
        <v>0.1</v>
      </c>
      <c r="AS265" s="35" t="str">
        <f t="shared" si="146"/>
        <v/>
      </c>
      <c r="AT265" s="3" t="str">
        <f t="shared" si="147"/>
        <v/>
      </c>
      <c r="AU265" s="3" t="str">
        <f t="shared" si="148"/>
        <v/>
      </c>
      <c r="AW265" s="32" t="str">
        <f t="shared" si="149"/>
        <v/>
      </c>
      <c r="AX265" s="32" t="str">
        <f t="shared" si="150"/>
        <v/>
      </c>
      <c r="AY265" s="32" t="str">
        <f t="shared" si="151"/>
        <v/>
      </c>
      <c r="BA265" s="32" t="str">
        <f>IF($A266="","",F265*Summary!$Q$14)</f>
        <v/>
      </c>
    </row>
    <row r="266" spans="1:53" ht="12" customHeight="1">
      <c r="A266" s="67" t="str">
        <f t="shared" si="152"/>
        <v/>
      </c>
      <c r="B266" s="69" t="str">
        <f t="shared" si="153"/>
        <v/>
      </c>
      <c r="C266" s="71"/>
      <c r="D266" s="69" t="str">
        <f t="shared" ref="D266:D329" si="155">IF(A267&lt;&gt;"",B266+C266,"")</f>
        <v/>
      </c>
      <c r="E266" s="70" t="str">
        <f t="shared" ref="E266:E329" si="156">IF(A267="","",IF(AND(AT266=1,$H$3=1),D266*AO266,IF($H$3=2,D266,"N/A")))</f>
        <v/>
      </c>
      <c r="F266" s="70" t="str">
        <f t="shared" ref="F266:F329" si="157">IF(A267="","",E266*AS266)</f>
        <v/>
      </c>
      <c r="G266" s="63" t="str">
        <f t="shared" ref="G266:G329" si="158">IF($A267="","",VLOOKUP($A266,Table,MATCH(G$4,Curves,0)))</f>
        <v/>
      </c>
      <c r="H266" s="64" t="str">
        <f t="shared" ref="H266:H329" si="159">IF(A267="","",G266)</f>
        <v/>
      </c>
      <c r="I266" s="43"/>
      <c r="J266" s="63" t="str">
        <f t="shared" ref="J266:J329" si="160">IF($A267="","",VLOOKUP($A266,Table,MATCH(J$4,Curves,0)))</f>
        <v/>
      </c>
      <c r="K266" s="64" t="str">
        <f t="shared" ref="K266:K329" si="161">IF(A267="","",J266)</f>
        <v/>
      </c>
      <c r="L266" s="38">
        <v>0</v>
      </c>
      <c r="M266" s="64" t="str">
        <f t="shared" ref="M266:M329" si="162">IF(A267="","",L266)</f>
        <v/>
      </c>
      <c r="N266" s="65"/>
      <c r="O266" s="63" t="str">
        <f t="shared" ref="O266:O329" si="163">IF(A267="","",L266+J266+G266)</f>
        <v/>
      </c>
      <c r="P266" s="63" t="str">
        <f t="shared" ref="P266:P329" si="164">IF(A267="","",M266+K266+H266)</f>
        <v/>
      </c>
      <c r="Q266" s="66"/>
      <c r="R266" s="63" t="str">
        <f t="shared" ref="R266:R329" si="165">IF($A267="","",VLOOKUP($A266,Table,MATCH(R$4,Curves,0)))</f>
        <v/>
      </c>
      <c r="S266" s="64" t="str">
        <f t="shared" ref="S266:S329" si="166">IF(A267="","",R266)</f>
        <v/>
      </c>
      <c r="T266" s="63" t="str">
        <f t="shared" ref="T266:T329" si="167">IF($A267="","",VLOOKUP($A266,Table,MATCH(T$4,Curves,0)))</f>
        <v/>
      </c>
      <c r="U266" s="64" t="str">
        <f t="shared" ref="U266:U329" si="168">IF(A267="","",T266)</f>
        <v/>
      </c>
      <c r="V266" s="207" t="str">
        <f>IF($A267="","",IF(AND(MONTH(A266)&gt;3,MONTH(A266)&lt;11),(T266+R266+G266)*(((1/(1-Summary!$T$14))/(1-Summary!$W$14))-1),(T266+R266+G266)*((1/(1-Summary!$U$14))/(1-Summary!$X$14)-1)))</f>
        <v/>
      </c>
      <c r="W266" s="43" t="str">
        <f t="shared" ref="W266:W329" si="169">IF($A267="","",(T266+R266+G266+V266))</f>
        <v/>
      </c>
      <c r="X266" s="43" t="str">
        <f t="shared" ref="X266:X329" si="170">IF($A267="","",(U266+S266+H266+V266))</f>
        <v/>
      </c>
      <c r="Y266" s="43"/>
      <c r="Z266" s="38" t="str">
        <f t="shared" ref="Z266:Z329" si="171">IF($A267="","",VLOOKUP($A266,Table,MATCH(Z$4,Curves,0)))</f>
        <v/>
      </c>
      <c r="AA266" s="38" t="str">
        <f t="shared" ref="AA266:AA329" si="172">IF($A267="","",VLOOKUP($A266,Table,MATCH(AA$4,Curves,0)))</f>
        <v/>
      </c>
      <c r="AB266" s="38" t="e">
        <f t="shared" ref="AB266:AB329" si="173">SQRT((AA266^2*(A266-$D$3)+Z266^2*(DAY(EOMONTH(A266,0))/2))/AK266)</f>
        <v>#VALUE!</v>
      </c>
      <c r="AC266" s="38" t="str">
        <f t="shared" ref="AC266:AC329" si="174">IF($A267="","",VLOOKUP($A266,Table,MATCH(AC$4,Curves,0)))</f>
        <v/>
      </c>
      <c r="AD266" s="38" t="str">
        <f t="shared" ref="AD266:AD329" si="175">IF($A267="","",VLOOKUP($A266,Table,MATCH(AD$4,Curves,0)))</f>
        <v/>
      </c>
      <c r="AE266" s="38" t="e">
        <f t="shared" ref="AE266:AE329" si="176">SQRT((AD266^2*(A266-$D$3)+AC266^2*(DAY(EOMONTH(A266,0))/2))/AK266)</f>
        <v>#VALUE!</v>
      </c>
      <c r="AF266" s="237" t="e">
        <f>((Summary!$N$14*(AA266*AD266)*(A266-$D$3))+(Summary!$M$14*Z266*AC266*(AJ266-EOMONTH(EDATE(A266,-1),0))))/(AK266*AB266*AE266)</f>
        <v>#VALUE!</v>
      </c>
      <c r="AG266" s="88" t="str">
        <f>IF($A267="","",Summary!$Q$14)</f>
        <v/>
      </c>
      <c r="AH266" s="88" t="str">
        <f>IF($A267="","",IF(Summary!$R$12="Y",(VLOOKUP($A266,Summary!$AD$6:$AF$9,3)+'Escalating commodity'!J279),'Escalating commodity'!J279))</f>
        <v/>
      </c>
      <c r="AI266" s="88" t="str">
        <f t="shared" si="154"/>
        <v/>
      </c>
      <c r="AJ266" s="236" t="e">
        <f t="shared" ref="AJ266:AJ329" si="177">A266+DAY(EOMONTH(A266,0))/2-1</f>
        <v>#VALUE!</v>
      </c>
      <c r="AK266" s="58" t="str">
        <f t="shared" ref="AK266:AK329" si="178">IF($A267="","",$A266-$E$1)</f>
        <v/>
      </c>
      <c r="AL266" s="26" t="str">
        <f>IF($A267="","",_xll.SPRDOPT(P266,X266,AI266,0,AB266,AE266,AF266,AK266,$AJ$2,0))</f>
        <v/>
      </c>
      <c r="AM266" s="89" t="str">
        <f t="shared" ref="AM266:AM329" si="179">IF($A267="","",MAX(0,O266-W266-AI266))</f>
        <v/>
      </c>
      <c r="AN266" s="89" t="str">
        <f t="shared" ref="AN266:AN329" si="180">IF($A267="","",AL266-AM266)</f>
        <v/>
      </c>
      <c r="AO266" s="3" t="str">
        <f t="shared" ref="AO266:AO329" si="181">IF(A267="","",A267-A266)</f>
        <v/>
      </c>
      <c r="AP266" s="33" t="str">
        <f t="shared" ref="AP266:AP329" si="182">IF(A267="","",CHOOSE(F$3,A267+24,A266))</f>
        <v/>
      </c>
      <c r="AQ266" s="58" t="str">
        <f t="shared" ref="AQ266:AQ329" si="183">IF(A267="","",AP266-$E$1)</f>
        <v/>
      </c>
      <c r="AR266" s="38">
        <f>'ANR OK vs ML7'!AR266</f>
        <v>0.1</v>
      </c>
      <c r="AS266" s="35" t="str">
        <f t="shared" ref="AS266:AS329" si="184">IF(A267="","",1/(1+CHOOSE(F$3,(AR267+($I$3/10000))/2,(AR266+($I$3/10000))/2))^(2*AQ266/365.25))</f>
        <v/>
      </c>
      <c r="AT266" s="3" t="str">
        <f t="shared" ref="AT266:AT329" si="185">IF(A267="","",IF(AND(mthbeg&lt;=A266,mthend&gt;=A266),1,0))</f>
        <v/>
      </c>
      <c r="AU266" s="3" t="str">
        <f t="shared" ref="AU266:AU329" si="186">IF(A267="","",AO266*AT266)</f>
        <v/>
      </c>
      <c r="AW266" s="32" t="str">
        <f t="shared" ref="AW266:AW329" si="187">IF($A267="","",AL266*$E266)</f>
        <v/>
      </c>
      <c r="AX266" s="32" t="str">
        <f t="shared" ref="AX266:AX329" si="188">IF($A267="","",AM266*$E266)</f>
        <v/>
      </c>
      <c r="AY266" s="32" t="str">
        <f t="shared" ref="AY266:AY329" si="189">IF($A267="","",AN266*$E266)</f>
        <v/>
      </c>
      <c r="BA266" s="32" t="str">
        <f>IF($A267="","",F266*Summary!$Q$14)</f>
        <v/>
      </c>
    </row>
    <row r="267" spans="1:53" ht="12" customHeight="1">
      <c r="A267" s="67" t="str">
        <f t="shared" ref="A267:A330" si="190">IF(A266&lt;mthend,EDATE(A266,1),"")</f>
        <v/>
      </c>
      <c r="B267" s="69" t="str">
        <f t="shared" ref="B267:B330" si="191">IF(A267&lt;mthend,B266,"")</f>
        <v/>
      </c>
      <c r="C267" s="71"/>
      <c r="D267" s="69" t="str">
        <f t="shared" si="155"/>
        <v/>
      </c>
      <c r="E267" s="70" t="str">
        <f t="shared" si="156"/>
        <v/>
      </c>
      <c r="F267" s="70" t="str">
        <f t="shared" si="157"/>
        <v/>
      </c>
      <c r="G267" s="63" t="str">
        <f t="shared" si="158"/>
        <v/>
      </c>
      <c r="H267" s="64" t="str">
        <f t="shared" si="159"/>
        <v/>
      </c>
      <c r="I267" s="43"/>
      <c r="J267" s="63" t="str">
        <f t="shared" si="160"/>
        <v/>
      </c>
      <c r="K267" s="64" t="str">
        <f t="shared" si="161"/>
        <v/>
      </c>
      <c r="L267" s="38">
        <v>0</v>
      </c>
      <c r="M267" s="64" t="str">
        <f t="shared" si="162"/>
        <v/>
      </c>
      <c r="N267" s="65"/>
      <c r="O267" s="63" t="str">
        <f t="shared" si="163"/>
        <v/>
      </c>
      <c r="P267" s="63" t="str">
        <f t="shared" si="164"/>
        <v/>
      </c>
      <c r="Q267" s="66"/>
      <c r="R267" s="63" t="str">
        <f t="shared" si="165"/>
        <v/>
      </c>
      <c r="S267" s="64" t="str">
        <f t="shared" si="166"/>
        <v/>
      </c>
      <c r="T267" s="63" t="str">
        <f t="shared" si="167"/>
        <v/>
      </c>
      <c r="U267" s="64" t="str">
        <f t="shared" si="168"/>
        <v/>
      </c>
      <c r="V267" s="207" t="str">
        <f>IF($A268="","",IF(AND(MONTH(A267)&gt;3,MONTH(A267)&lt;11),(T267+R267+G267)*(((1/(1-Summary!$T$14))/(1-Summary!$W$14))-1),(T267+R267+G267)*((1/(1-Summary!$U$14))/(1-Summary!$X$14)-1)))</f>
        <v/>
      </c>
      <c r="W267" s="43" t="str">
        <f t="shared" si="169"/>
        <v/>
      </c>
      <c r="X267" s="43" t="str">
        <f t="shared" si="170"/>
        <v/>
      </c>
      <c r="Y267" s="43"/>
      <c r="Z267" s="38" t="str">
        <f t="shared" si="171"/>
        <v/>
      </c>
      <c r="AA267" s="38" t="str">
        <f t="shared" si="172"/>
        <v/>
      </c>
      <c r="AB267" s="38" t="e">
        <f t="shared" si="173"/>
        <v>#VALUE!</v>
      </c>
      <c r="AC267" s="38" t="str">
        <f t="shared" si="174"/>
        <v/>
      </c>
      <c r="AD267" s="38" t="str">
        <f t="shared" si="175"/>
        <v/>
      </c>
      <c r="AE267" s="38" t="e">
        <f t="shared" si="176"/>
        <v>#VALUE!</v>
      </c>
      <c r="AF267" s="237" t="e">
        <f>((Summary!$N$14*(AA267*AD267)*(A267-$D$3))+(Summary!$M$14*Z267*AC267*(AJ267-EOMONTH(EDATE(A267,-1),0))))/(AK267*AB267*AE267)</f>
        <v>#VALUE!</v>
      </c>
      <c r="AG267" s="88" t="str">
        <f>IF($A268="","",Summary!$Q$14)</f>
        <v/>
      </c>
      <c r="AH267" s="88" t="str">
        <f>IF($A268="","",IF(Summary!$R$12="Y",(VLOOKUP($A267,Summary!$AD$6:$AF$9,3)+'Escalating commodity'!J280),'Escalating commodity'!J280))</f>
        <v/>
      </c>
      <c r="AI267" s="88" t="str">
        <f t="shared" ref="AI267:AI330" si="192">IF($A268="","",AH267)</f>
        <v/>
      </c>
      <c r="AJ267" s="236" t="e">
        <f t="shared" si="177"/>
        <v>#VALUE!</v>
      </c>
      <c r="AK267" s="58" t="str">
        <f t="shared" si="178"/>
        <v/>
      </c>
      <c r="AL267" s="26" t="str">
        <f>IF($A268="","",_xll.SPRDOPT(P267,X267,AI267,0,AB267,AE267,AF267,AK267,$AJ$2,0))</f>
        <v/>
      </c>
      <c r="AM267" s="89" t="str">
        <f t="shared" si="179"/>
        <v/>
      </c>
      <c r="AN267" s="89" t="str">
        <f t="shared" si="180"/>
        <v/>
      </c>
      <c r="AO267" s="3" t="str">
        <f t="shared" si="181"/>
        <v/>
      </c>
      <c r="AP267" s="33" t="str">
        <f t="shared" si="182"/>
        <v/>
      </c>
      <c r="AQ267" s="58" t="str">
        <f t="shared" si="183"/>
        <v/>
      </c>
      <c r="AR267" s="38">
        <f>'ANR OK vs ML7'!AR267</f>
        <v>0.1</v>
      </c>
      <c r="AS267" s="35" t="str">
        <f t="shared" si="184"/>
        <v/>
      </c>
      <c r="AT267" s="3" t="str">
        <f t="shared" si="185"/>
        <v/>
      </c>
      <c r="AU267" s="3" t="str">
        <f t="shared" si="186"/>
        <v/>
      </c>
      <c r="AW267" s="32" t="str">
        <f t="shared" si="187"/>
        <v/>
      </c>
      <c r="AX267" s="32" t="str">
        <f t="shared" si="188"/>
        <v/>
      </c>
      <c r="AY267" s="32" t="str">
        <f t="shared" si="189"/>
        <v/>
      </c>
      <c r="BA267" s="32" t="str">
        <f>IF($A268="","",F267*Summary!$Q$14)</f>
        <v/>
      </c>
    </row>
    <row r="268" spans="1:53" ht="12" customHeight="1">
      <c r="A268" s="67" t="str">
        <f t="shared" si="190"/>
        <v/>
      </c>
      <c r="B268" s="69" t="str">
        <f t="shared" si="191"/>
        <v/>
      </c>
      <c r="C268" s="71"/>
      <c r="D268" s="69" t="str">
        <f t="shared" si="155"/>
        <v/>
      </c>
      <c r="E268" s="70" t="str">
        <f t="shared" si="156"/>
        <v/>
      </c>
      <c r="F268" s="70" t="str">
        <f t="shared" si="157"/>
        <v/>
      </c>
      <c r="G268" s="63" t="str">
        <f t="shared" si="158"/>
        <v/>
      </c>
      <c r="H268" s="64" t="str">
        <f t="shared" si="159"/>
        <v/>
      </c>
      <c r="I268" s="43"/>
      <c r="J268" s="63" t="str">
        <f t="shared" si="160"/>
        <v/>
      </c>
      <c r="K268" s="64" t="str">
        <f t="shared" si="161"/>
        <v/>
      </c>
      <c r="L268" s="38">
        <v>0</v>
      </c>
      <c r="M268" s="64" t="str">
        <f t="shared" si="162"/>
        <v/>
      </c>
      <c r="N268" s="65"/>
      <c r="O268" s="63" t="str">
        <f t="shared" si="163"/>
        <v/>
      </c>
      <c r="P268" s="63" t="str">
        <f t="shared" si="164"/>
        <v/>
      </c>
      <c r="Q268" s="66"/>
      <c r="R268" s="63" t="str">
        <f t="shared" si="165"/>
        <v/>
      </c>
      <c r="S268" s="64" t="str">
        <f t="shared" si="166"/>
        <v/>
      </c>
      <c r="T268" s="63" t="str">
        <f t="shared" si="167"/>
        <v/>
      </c>
      <c r="U268" s="64" t="str">
        <f t="shared" si="168"/>
        <v/>
      </c>
      <c r="V268" s="207" t="str">
        <f>IF($A269="","",IF(AND(MONTH(A268)&gt;3,MONTH(A268)&lt;11),(T268+R268+G268)*(((1/(1-Summary!$T$14))/(1-Summary!$W$14))-1),(T268+R268+G268)*((1/(1-Summary!$U$14))/(1-Summary!$X$14)-1)))</f>
        <v/>
      </c>
      <c r="W268" s="43" t="str">
        <f t="shared" si="169"/>
        <v/>
      </c>
      <c r="X268" s="43" t="str">
        <f t="shared" si="170"/>
        <v/>
      </c>
      <c r="Y268" s="43"/>
      <c r="Z268" s="38" t="str">
        <f t="shared" si="171"/>
        <v/>
      </c>
      <c r="AA268" s="38" t="str">
        <f t="shared" si="172"/>
        <v/>
      </c>
      <c r="AB268" s="38" t="e">
        <f t="shared" si="173"/>
        <v>#VALUE!</v>
      </c>
      <c r="AC268" s="38" t="str">
        <f t="shared" si="174"/>
        <v/>
      </c>
      <c r="AD268" s="38" t="str">
        <f t="shared" si="175"/>
        <v/>
      </c>
      <c r="AE268" s="38" t="e">
        <f t="shared" si="176"/>
        <v>#VALUE!</v>
      </c>
      <c r="AF268" s="237" t="e">
        <f>((Summary!$N$14*(AA268*AD268)*(A268-$D$3))+(Summary!$M$14*Z268*AC268*(AJ268-EOMONTH(EDATE(A268,-1),0))))/(AK268*AB268*AE268)</f>
        <v>#VALUE!</v>
      </c>
      <c r="AG268" s="88" t="str">
        <f>IF($A269="","",Summary!$Q$14)</f>
        <v/>
      </c>
      <c r="AH268" s="88" t="str">
        <f>IF($A269="","",IF(Summary!$R$12="Y",(VLOOKUP($A268,Summary!$AD$6:$AF$9,3)+'Escalating commodity'!J281),'Escalating commodity'!J281))</f>
        <v/>
      </c>
      <c r="AI268" s="88" t="str">
        <f t="shared" si="192"/>
        <v/>
      </c>
      <c r="AJ268" s="236" t="e">
        <f t="shared" si="177"/>
        <v>#VALUE!</v>
      </c>
      <c r="AK268" s="58" t="str">
        <f t="shared" si="178"/>
        <v/>
      </c>
      <c r="AL268" s="26" t="str">
        <f>IF($A269="","",_xll.SPRDOPT(P268,X268,AI268,0,AB268,AE268,AF268,AK268,$AJ$2,0))</f>
        <v/>
      </c>
      <c r="AM268" s="89" t="str">
        <f t="shared" si="179"/>
        <v/>
      </c>
      <c r="AN268" s="89" t="str">
        <f t="shared" si="180"/>
        <v/>
      </c>
      <c r="AO268" s="3" t="str">
        <f t="shared" si="181"/>
        <v/>
      </c>
      <c r="AP268" s="33" t="str">
        <f t="shared" si="182"/>
        <v/>
      </c>
      <c r="AQ268" s="58" t="str">
        <f t="shared" si="183"/>
        <v/>
      </c>
      <c r="AR268" s="38">
        <f>'ANR OK vs ML7'!AR268</f>
        <v>0.1</v>
      </c>
      <c r="AS268" s="35" t="str">
        <f t="shared" si="184"/>
        <v/>
      </c>
      <c r="AT268" s="3" t="str">
        <f t="shared" si="185"/>
        <v/>
      </c>
      <c r="AU268" s="3" t="str">
        <f t="shared" si="186"/>
        <v/>
      </c>
      <c r="AW268" s="32" t="str">
        <f t="shared" si="187"/>
        <v/>
      </c>
      <c r="AX268" s="32" t="str">
        <f t="shared" si="188"/>
        <v/>
      </c>
      <c r="AY268" s="32" t="str">
        <f t="shared" si="189"/>
        <v/>
      </c>
      <c r="BA268" s="32" t="str">
        <f>IF($A269="","",F268*Summary!$Q$14)</f>
        <v/>
      </c>
    </row>
    <row r="269" spans="1:53" ht="12" customHeight="1">
      <c r="A269" s="67" t="str">
        <f t="shared" si="190"/>
        <v/>
      </c>
      <c r="B269" s="69" t="str">
        <f t="shared" si="191"/>
        <v/>
      </c>
      <c r="C269" s="71"/>
      <c r="D269" s="69" t="str">
        <f t="shared" si="155"/>
        <v/>
      </c>
      <c r="E269" s="70" t="str">
        <f t="shared" si="156"/>
        <v/>
      </c>
      <c r="F269" s="70" t="str">
        <f t="shared" si="157"/>
        <v/>
      </c>
      <c r="G269" s="63" t="str">
        <f t="shared" si="158"/>
        <v/>
      </c>
      <c r="H269" s="64" t="str">
        <f t="shared" si="159"/>
        <v/>
      </c>
      <c r="I269" s="43"/>
      <c r="J269" s="63" t="str">
        <f t="shared" si="160"/>
        <v/>
      </c>
      <c r="K269" s="64" t="str">
        <f t="shared" si="161"/>
        <v/>
      </c>
      <c r="L269" s="38">
        <v>0</v>
      </c>
      <c r="M269" s="64" t="str">
        <f t="shared" si="162"/>
        <v/>
      </c>
      <c r="N269" s="65"/>
      <c r="O269" s="63" t="str">
        <f t="shared" si="163"/>
        <v/>
      </c>
      <c r="P269" s="63" t="str">
        <f t="shared" si="164"/>
        <v/>
      </c>
      <c r="Q269" s="66"/>
      <c r="R269" s="63" t="str">
        <f t="shared" si="165"/>
        <v/>
      </c>
      <c r="S269" s="64" t="str">
        <f t="shared" si="166"/>
        <v/>
      </c>
      <c r="T269" s="63" t="str">
        <f t="shared" si="167"/>
        <v/>
      </c>
      <c r="U269" s="64" t="str">
        <f t="shared" si="168"/>
        <v/>
      </c>
      <c r="V269" s="207" t="str">
        <f>IF($A270="","",IF(AND(MONTH(A269)&gt;3,MONTH(A269)&lt;11),(T269+R269+G269)*(((1/(1-Summary!$T$14))/(1-Summary!$W$14))-1),(T269+R269+G269)*((1/(1-Summary!$U$14))/(1-Summary!$X$14)-1)))</f>
        <v/>
      </c>
      <c r="W269" s="43" t="str">
        <f t="shared" si="169"/>
        <v/>
      </c>
      <c r="X269" s="43" t="str">
        <f t="shared" si="170"/>
        <v/>
      </c>
      <c r="Y269" s="43"/>
      <c r="Z269" s="38" t="str">
        <f t="shared" si="171"/>
        <v/>
      </c>
      <c r="AA269" s="38" t="str">
        <f t="shared" si="172"/>
        <v/>
      </c>
      <c r="AB269" s="38" t="e">
        <f t="shared" si="173"/>
        <v>#VALUE!</v>
      </c>
      <c r="AC269" s="38" t="str">
        <f t="shared" si="174"/>
        <v/>
      </c>
      <c r="AD269" s="38" t="str">
        <f t="shared" si="175"/>
        <v/>
      </c>
      <c r="AE269" s="38" t="e">
        <f t="shared" si="176"/>
        <v>#VALUE!</v>
      </c>
      <c r="AF269" s="237" t="e">
        <f>((Summary!$N$14*(AA269*AD269)*(A269-$D$3))+(Summary!$M$14*Z269*AC269*(AJ269-EOMONTH(EDATE(A269,-1),0))))/(AK269*AB269*AE269)</f>
        <v>#VALUE!</v>
      </c>
      <c r="AG269" s="88" t="str">
        <f>IF($A270="","",Summary!$Q$14)</f>
        <v/>
      </c>
      <c r="AH269" s="88" t="str">
        <f>IF($A270="","",IF(Summary!$R$12="Y",(VLOOKUP($A269,Summary!$AD$6:$AF$9,3)+'Escalating commodity'!J282),'Escalating commodity'!J282))</f>
        <v/>
      </c>
      <c r="AI269" s="88" t="str">
        <f t="shared" si="192"/>
        <v/>
      </c>
      <c r="AJ269" s="236" t="e">
        <f t="shared" si="177"/>
        <v>#VALUE!</v>
      </c>
      <c r="AK269" s="58" t="str">
        <f t="shared" si="178"/>
        <v/>
      </c>
      <c r="AL269" s="26" t="str">
        <f>IF($A270="","",_xll.SPRDOPT(P269,X269,AI269,0,AB269,AE269,AF269,AK269,$AJ$2,0))</f>
        <v/>
      </c>
      <c r="AM269" s="89" t="str">
        <f t="shared" si="179"/>
        <v/>
      </c>
      <c r="AN269" s="89" t="str">
        <f t="shared" si="180"/>
        <v/>
      </c>
      <c r="AO269" s="3" t="str">
        <f t="shared" si="181"/>
        <v/>
      </c>
      <c r="AP269" s="33" t="str">
        <f t="shared" si="182"/>
        <v/>
      </c>
      <c r="AQ269" s="58" t="str">
        <f t="shared" si="183"/>
        <v/>
      </c>
      <c r="AR269" s="38">
        <f>'ANR OK vs ML7'!AR269</f>
        <v>0.1</v>
      </c>
      <c r="AS269" s="35" t="str">
        <f t="shared" si="184"/>
        <v/>
      </c>
      <c r="AT269" s="3" t="str">
        <f t="shared" si="185"/>
        <v/>
      </c>
      <c r="AU269" s="3" t="str">
        <f t="shared" si="186"/>
        <v/>
      </c>
      <c r="AW269" s="32" t="str">
        <f t="shared" si="187"/>
        <v/>
      </c>
      <c r="AX269" s="32" t="str">
        <f t="shared" si="188"/>
        <v/>
      </c>
      <c r="AY269" s="32" t="str">
        <f t="shared" si="189"/>
        <v/>
      </c>
      <c r="BA269" s="32" t="str">
        <f>IF($A270="","",F269*Summary!$Q$14)</f>
        <v/>
      </c>
    </row>
    <row r="270" spans="1:53" ht="12" customHeight="1">
      <c r="A270" s="67" t="str">
        <f t="shared" si="190"/>
        <v/>
      </c>
      <c r="B270" s="69" t="str">
        <f t="shared" si="191"/>
        <v/>
      </c>
      <c r="C270" s="71"/>
      <c r="D270" s="69" t="str">
        <f t="shared" si="155"/>
        <v/>
      </c>
      <c r="E270" s="70" t="str">
        <f t="shared" si="156"/>
        <v/>
      </c>
      <c r="F270" s="70" t="str">
        <f t="shared" si="157"/>
        <v/>
      </c>
      <c r="G270" s="63" t="str">
        <f t="shared" si="158"/>
        <v/>
      </c>
      <c r="H270" s="64" t="str">
        <f t="shared" si="159"/>
        <v/>
      </c>
      <c r="I270" s="43"/>
      <c r="J270" s="63" t="str">
        <f t="shared" si="160"/>
        <v/>
      </c>
      <c r="K270" s="64" t="str">
        <f t="shared" si="161"/>
        <v/>
      </c>
      <c r="L270" s="38">
        <v>0</v>
      </c>
      <c r="M270" s="64" t="str">
        <f t="shared" si="162"/>
        <v/>
      </c>
      <c r="N270" s="65"/>
      <c r="O270" s="63" t="str">
        <f t="shared" si="163"/>
        <v/>
      </c>
      <c r="P270" s="63" t="str">
        <f t="shared" si="164"/>
        <v/>
      </c>
      <c r="Q270" s="66"/>
      <c r="R270" s="63" t="str">
        <f t="shared" si="165"/>
        <v/>
      </c>
      <c r="S270" s="64" t="str">
        <f t="shared" si="166"/>
        <v/>
      </c>
      <c r="T270" s="63" t="str">
        <f t="shared" si="167"/>
        <v/>
      </c>
      <c r="U270" s="64" t="str">
        <f t="shared" si="168"/>
        <v/>
      </c>
      <c r="V270" s="207" t="str">
        <f>IF($A271="","",IF(AND(MONTH(A270)&gt;3,MONTH(A270)&lt;11),(T270+R270+G270)*(((1/(1-Summary!$T$14))/(1-Summary!$W$14))-1),(T270+R270+G270)*((1/(1-Summary!$U$14))/(1-Summary!$X$14)-1)))</f>
        <v/>
      </c>
      <c r="W270" s="43" t="str">
        <f t="shared" si="169"/>
        <v/>
      </c>
      <c r="X270" s="43" t="str">
        <f t="shared" si="170"/>
        <v/>
      </c>
      <c r="Y270" s="43"/>
      <c r="Z270" s="38" t="str">
        <f t="shared" si="171"/>
        <v/>
      </c>
      <c r="AA270" s="38" t="str">
        <f t="shared" si="172"/>
        <v/>
      </c>
      <c r="AB270" s="38" t="e">
        <f t="shared" si="173"/>
        <v>#VALUE!</v>
      </c>
      <c r="AC270" s="38" t="str">
        <f t="shared" si="174"/>
        <v/>
      </c>
      <c r="AD270" s="38" t="str">
        <f t="shared" si="175"/>
        <v/>
      </c>
      <c r="AE270" s="38" t="e">
        <f t="shared" si="176"/>
        <v>#VALUE!</v>
      </c>
      <c r="AF270" s="237" t="e">
        <f>((Summary!$N$14*(AA270*AD270)*(A270-$D$3))+(Summary!$M$14*Z270*AC270*(AJ270-EOMONTH(EDATE(A270,-1),0))))/(AK270*AB270*AE270)</f>
        <v>#VALUE!</v>
      </c>
      <c r="AG270" s="88" t="str">
        <f>IF($A271="","",Summary!$Q$14)</f>
        <v/>
      </c>
      <c r="AH270" s="88" t="str">
        <f>IF($A271="","",IF(Summary!$R$12="Y",(VLOOKUP($A270,Summary!$AD$6:$AF$9,3)+'Escalating commodity'!J283),'Escalating commodity'!J283))</f>
        <v/>
      </c>
      <c r="AI270" s="88" t="str">
        <f t="shared" si="192"/>
        <v/>
      </c>
      <c r="AJ270" s="236" t="e">
        <f t="shared" si="177"/>
        <v>#VALUE!</v>
      </c>
      <c r="AK270" s="58" t="str">
        <f t="shared" si="178"/>
        <v/>
      </c>
      <c r="AL270" s="26" t="str">
        <f>IF($A271="","",_xll.SPRDOPT(P270,X270,AI270,0,AB270,AE270,AF270,AK270,$AJ$2,0))</f>
        <v/>
      </c>
      <c r="AM270" s="89" t="str">
        <f t="shared" si="179"/>
        <v/>
      </c>
      <c r="AN270" s="89" t="str">
        <f t="shared" si="180"/>
        <v/>
      </c>
      <c r="AO270" s="3" t="str">
        <f t="shared" si="181"/>
        <v/>
      </c>
      <c r="AP270" s="33" t="str">
        <f t="shared" si="182"/>
        <v/>
      </c>
      <c r="AQ270" s="58" t="str">
        <f t="shared" si="183"/>
        <v/>
      </c>
      <c r="AR270" s="38">
        <f>'ANR OK vs ML7'!AR270</f>
        <v>0.1</v>
      </c>
      <c r="AS270" s="35" t="str">
        <f t="shared" si="184"/>
        <v/>
      </c>
      <c r="AT270" s="3" t="str">
        <f t="shared" si="185"/>
        <v/>
      </c>
      <c r="AU270" s="3" t="str">
        <f t="shared" si="186"/>
        <v/>
      </c>
      <c r="AW270" s="32" t="str">
        <f t="shared" si="187"/>
        <v/>
      </c>
      <c r="AX270" s="32" t="str">
        <f t="shared" si="188"/>
        <v/>
      </c>
      <c r="AY270" s="32" t="str">
        <f t="shared" si="189"/>
        <v/>
      </c>
      <c r="BA270" s="32" t="str">
        <f>IF($A271="","",F270*Summary!$Q$14)</f>
        <v/>
      </c>
    </row>
    <row r="271" spans="1:53" ht="12" customHeight="1">
      <c r="A271" s="67" t="str">
        <f t="shared" si="190"/>
        <v/>
      </c>
      <c r="B271" s="69" t="str">
        <f t="shared" si="191"/>
        <v/>
      </c>
      <c r="C271" s="71"/>
      <c r="D271" s="69" t="str">
        <f t="shared" si="155"/>
        <v/>
      </c>
      <c r="E271" s="70" t="str">
        <f t="shared" si="156"/>
        <v/>
      </c>
      <c r="F271" s="70" t="str">
        <f t="shared" si="157"/>
        <v/>
      </c>
      <c r="G271" s="63" t="str">
        <f t="shared" si="158"/>
        <v/>
      </c>
      <c r="H271" s="64" t="str">
        <f t="shared" si="159"/>
        <v/>
      </c>
      <c r="I271" s="43"/>
      <c r="J271" s="63" t="str">
        <f t="shared" si="160"/>
        <v/>
      </c>
      <c r="K271" s="64" t="str">
        <f t="shared" si="161"/>
        <v/>
      </c>
      <c r="L271" s="38">
        <v>0</v>
      </c>
      <c r="M271" s="64" t="str">
        <f t="shared" si="162"/>
        <v/>
      </c>
      <c r="N271" s="65"/>
      <c r="O271" s="63" t="str">
        <f t="shared" si="163"/>
        <v/>
      </c>
      <c r="P271" s="63" t="str">
        <f t="shared" si="164"/>
        <v/>
      </c>
      <c r="Q271" s="66"/>
      <c r="R271" s="63" t="str">
        <f t="shared" si="165"/>
        <v/>
      </c>
      <c r="S271" s="64" t="str">
        <f t="shared" si="166"/>
        <v/>
      </c>
      <c r="T271" s="63" t="str">
        <f t="shared" si="167"/>
        <v/>
      </c>
      <c r="U271" s="64" t="str">
        <f t="shared" si="168"/>
        <v/>
      </c>
      <c r="V271" s="207" t="str">
        <f>IF($A272="","",IF(AND(MONTH(A271)&gt;3,MONTH(A271)&lt;11),(T271+R271+G271)*(((1/(1-Summary!$T$14))/(1-Summary!$W$14))-1),(T271+R271+G271)*((1/(1-Summary!$U$14))/(1-Summary!$X$14)-1)))</f>
        <v/>
      </c>
      <c r="W271" s="43" t="str">
        <f t="shared" si="169"/>
        <v/>
      </c>
      <c r="X271" s="43" t="str">
        <f t="shared" si="170"/>
        <v/>
      </c>
      <c r="Y271" s="43"/>
      <c r="Z271" s="38" t="str">
        <f t="shared" si="171"/>
        <v/>
      </c>
      <c r="AA271" s="38" t="str">
        <f t="shared" si="172"/>
        <v/>
      </c>
      <c r="AB271" s="38" t="e">
        <f t="shared" si="173"/>
        <v>#VALUE!</v>
      </c>
      <c r="AC271" s="38" t="str">
        <f t="shared" si="174"/>
        <v/>
      </c>
      <c r="AD271" s="38" t="str">
        <f t="shared" si="175"/>
        <v/>
      </c>
      <c r="AE271" s="38" t="e">
        <f t="shared" si="176"/>
        <v>#VALUE!</v>
      </c>
      <c r="AF271" s="237" t="e">
        <f>((Summary!$N$14*(AA271*AD271)*(A271-$D$3))+(Summary!$M$14*Z271*AC271*(AJ271-EOMONTH(EDATE(A271,-1),0))))/(AK271*AB271*AE271)</f>
        <v>#VALUE!</v>
      </c>
      <c r="AG271" s="88" t="str">
        <f>IF($A272="","",Summary!$Q$14)</f>
        <v/>
      </c>
      <c r="AH271" s="88" t="str">
        <f>IF($A272="","",IF(Summary!$R$12="Y",(VLOOKUP($A271,Summary!$AD$6:$AF$9,3)+'Escalating commodity'!J284),'Escalating commodity'!J284))</f>
        <v/>
      </c>
      <c r="AI271" s="88" t="str">
        <f t="shared" si="192"/>
        <v/>
      </c>
      <c r="AJ271" s="236" t="e">
        <f t="shared" si="177"/>
        <v>#VALUE!</v>
      </c>
      <c r="AK271" s="58" t="str">
        <f t="shared" si="178"/>
        <v/>
      </c>
      <c r="AL271" s="26" t="str">
        <f>IF($A272="","",_xll.SPRDOPT(P271,X271,AI271,0,AB271,AE271,AF271,AK271,$AJ$2,0))</f>
        <v/>
      </c>
      <c r="AM271" s="89" t="str">
        <f t="shared" si="179"/>
        <v/>
      </c>
      <c r="AN271" s="89" t="str">
        <f t="shared" si="180"/>
        <v/>
      </c>
      <c r="AO271" s="3" t="str">
        <f t="shared" si="181"/>
        <v/>
      </c>
      <c r="AP271" s="33" t="str">
        <f t="shared" si="182"/>
        <v/>
      </c>
      <c r="AQ271" s="58" t="str">
        <f t="shared" si="183"/>
        <v/>
      </c>
      <c r="AR271" s="38">
        <f>'ANR OK vs ML7'!AR271</f>
        <v>0.1</v>
      </c>
      <c r="AS271" s="35" t="str">
        <f t="shared" si="184"/>
        <v/>
      </c>
      <c r="AT271" s="3" t="str">
        <f t="shared" si="185"/>
        <v/>
      </c>
      <c r="AU271" s="3" t="str">
        <f t="shared" si="186"/>
        <v/>
      </c>
      <c r="AW271" s="32" t="str">
        <f t="shared" si="187"/>
        <v/>
      </c>
      <c r="AX271" s="32" t="str">
        <f t="shared" si="188"/>
        <v/>
      </c>
      <c r="AY271" s="32" t="str">
        <f t="shared" si="189"/>
        <v/>
      </c>
      <c r="BA271" s="32" t="str">
        <f>IF($A272="","",F271*Summary!$Q$14)</f>
        <v/>
      </c>
    </row>
    <row r="272" spans="1:53" ht="12" customHeight="1">
      <c r="A272" s="67" t="str">
        <f t="shared" si="190"/>
        <v/>
      </c>
      <c r="B272" s="69" t="str">
        <f t="shared" si="191"/>
        <v/>
      </c>
      <c r="C272" s="71"/>
      <c r="D272" s="69" t="str">
        <f t="shared" si="155"/>
        <v/>
      </c>
      <c r="E272" s="70" t="str">
        <f t="shared" si="156"/>
        <v/>
      </c>
      <c r="F272" s="70" t="str">
        <f t="shared" si="157"/>
        <v/>
      </c>
      <c r="G272" s="63" t="str">
        <f t="shared" si="158"/>
        <v/>
      </c>
      <c r="H272" s="64" t="str">
        <f t="shared" si="159"/>
        <v/>
      </c>
      <c r="I272" s="43"/>
      <c r="J272" s="63" t="str">
        <f t="shared" si="160"/>
        <v/>
      </c>
      <c r="K272" s="64" t="str">
        <f t="shared" si="161"/>
        <v/>
      </c>
      <c r="L272" s="38">
        <v>0</v>
      </c>
      <c r="M272" s="64" t="str">
        <f t="shared" si="162"/>
        <v/>
      </c>
      <c r="N272" s="65"/>
      <c r="O272" s="63" t="str">
        <f t="shared" si="163"/>
        <v/>
      </c>
      <c r="P272" s="63" t="str">
        <f t="shared" si="164"/>
        <v/>
      </c>
      <c r="Q272" s="66"/>
      <c r="R272" s="63" t="str">
        <f t="shared" si="165"/>
        <v/>
      </c>
      <c r="S272" s="64" t="str">
        <f t="shared" si="166"/>
        <v/>
      </c>
      <c r="T272" s="63" t="str">
        <f t="shared" si="167"/>
        <v/>
      </c>
      <c r="U272" s="64" t="str">
        <f t="shared" si="168"/>
        <v/>
      </c>
      <c r="V272" s="207" t="str">
        <f>IF($A273="","",IF(AND(MONTH(A272)&gt;3,MONTH(A272)&lt;11),(T272+R272+G272)*(((1/(1-Summary!$T$14))/(1-Summary!$W$14))-1),(T272+R272+G272)*((1/(1-Summary!$U$14))/(1-Summary!$X$14)-1)))</f>
        <v/>
      </c>
      <c r="W272" s="43" t="str">
        <f t="shared" si="169"/>
        <v/>
      </c>
      <c r="X272" s="43" t="str">
        <f t="shared" si="170"/>
        <v/>
      </c>
      <c r="Y272" s="43"/>
      <c r="Z272" s="38" t="str">
        <f t="shared" si="171"/>
        <v/>
      </c>
      <c r="AA272" s="38" t="str">
        <f t="shared" si="172"/>
        <v/>
      </c>
      <c r="AB272" s="38" t="e">
        <f t="shared" si="173"/>
        <v>#VALUE!</v>
      </c>
      <c r="AC272" s="38" t="str">
        <f t="shared" si="174"/>
        <v/>
      </c>
      <c r="AD272" s="38" t="str">
        <f t="shared" si="175"/>
        <v/>
      </c>
      <c r="AE272" s="38" t="e">
        <f t="shared" si="176"/>
        <v>#VALUE!</v>
      </c>
      <c r="AF272" s="237" t="e">
        <f>((Summary!$N$14*(AA272*AD272)*(A272-$D$3))+(Summary!$M$14*Z272*AC272*(AJ272-EOMONTH(EDATE(A272,-1),0))))/(AK272*AB272*AE272)</f>
        <v>#VALUE!</v>
      </c>
      <c r="AG272" s="88" t="str">
        <f>IF($A273="","",Summary!$Q$14)</f>
        <v/>
      </c>
      <c r="AH272" s="88" t="str">
        <f>IF($A273="","",IF(Summary!$R$12="Y",(VLOOKUP($A272,Summary!$AD$6:$AF$9,3)+'Escalating commodity'!J285),'Escalating commodity'!J285))</f>
        <v/>
      </c>
      <c r="AI272" s="88" t="str">
        <f t="shared" si="192"/>
        <v/>
      </c>
      <c r="AJ272" s="236" t="e">
        <f t="shared" si="177"/>
        <v>#VALUE!</v>
      </c>
      <c r="AK272" s="58" t="str">
        <f t="shared" si="178"/>
        <v/>
      </c>
      <c r="AL272" s="26" t="str">
        <f>IF($A273="","",_xll.SPRDOPT(P272,X272,AI272,0,AB272,AE272,AF272,AK272,$AJ$2,0))</f>
        <v/>
      </c>
      <c r="AM272" s="89" t="str">
        <f t="shared" si="179"/>
        <v/>
      </c>
      <c r="AN272" s="89" t="str">
        <f t="shared" si="180"/>
        <v/>
      </c>
      <c r="AO272" s="3" t="str">
        <f t="shared" si="181"/>
        <v/>
      </c>
      <c r="AP272" s="33" t="str">
        <f t="shared" si="182"/>
        <v/>
      </c>
      <c r="AQ272" s="58" t="str">
        <f t="shared" si="183"/>
        <v/>
      </c>
      <c r="AR272" s="38">
        <f>'ANR OK vs ML7'!AR272</f>
        <v>0.1</v>
      </c>
      <c r="AS272" s="35" t="str">
        <f t="shared" si="184"/>
        <v/>
      </c>
      <c r="AT272" s="3" t="str">
        <f t="shared" si="185"/>
        <v/>
      </c>
      <c r="AU272" s="3" t="str">
        <f t="shared" si="186"/>
        <v/>
      </c>
      <c r="AW272" s="32" t="str">
        <f t="shared" si="187"/>
        <v/>
      </c>
      <c r="AX272" s="32" t="str">
        <f t="shared" si="188"/>
        <v/>
      </c>
      <c r="AY272" s="32" t="str">
        <f t="shared" si="189"/>
        <v/>
      </c>
      <c r="BA272" s="32" t="str">
        <f>IF($A273="","",F272*Summary!$Q$14)</f>
        <v/>
      </c>
    </row>
    <row r="273" spans="1:53" ht="12" customHeight="1">
      <c r="A273" s="67" t="str">
        <f t="shared" si="190"/>
        <v/>
      </c>
      <c r="B273" s="69" t="str">
        <f t="shared" si="191"/>
        <v/>
      </c>
      <c r="C273" s="71"/>
      <c r="D273" s="69" t="str">
        <f t="shared" si="155"/>
        <v/>
      </c>
      <c r="E273" s="70" t="str">
        <f t="shared" si="156"/>
        <v/>
      </c>
      <c r="F273" s="70" t="str">
        <f t="shared" si="157"/>
        <v/>
      </c>
      <c r="G273" s="63" t="str">
        <f t="shared" si="158"/>
        <v/>
      </c>
      <c r="H273" s="64" t="str">
        <f t="shared" si="159"/>
        <v/>
      </c>
      <c r="I273" s="43"/>
      <c r="J273" s="63" t="str">
        <f t="shared" si="160"/>
        <v/>
      </c>
      <c r="K273" s="64" t="str">
        <f t="shared" si="161"/>
        <v/>
      </c>
      <c r="L273" s="38">
        <v>0</v>
      </c>
      <c r="M273" s="64" t="str">
        <f t="shared" si="162"/>
        <v/>
      </c>
      <c r="N273" s="65"/>
      <c r="O273" s="63" t="str">
        <f t="shared" si="163"/>
        <v/>
      </c>
      <c r="P273" s="63" t="str">
        <f t="shared" si="164"/>
        <v/>
      </c>
      <c r="Q273" s="66"/>
      <c r="R273" s="63" t="str">
        <f t="shared" si="165"/>
        <v/>
      </c>
      <c r="S273" s="64" t="str">
        <f t="shared" si="166"/>
        <v/>
      </c>
      <c r="T273" s="63" t="str">
        <f t="shared" si="167"/>
        <v/>
      </c>
      <c r="U273" s="64" t="str">
        <f t="shared" si="168"/>
        <v/>
      </c>
      <c r="V273" s="207" t="str">
        <f>IF($A274="","",IF(AND(MONTH(A273)&gt;3,MONTH(A273)&lt;11),(T273+R273+G273)*(((1/(1-Summary!$T$14))/(1-Summary!$W$14))-1),(T273+R273+G273)*((1/(1-Summary!$U$14))/(1-Summary!$X$14)-1)))</f>
        <v/>
      </c>
      <c r="W273" s="43" t="str">
        <f t="shared" si="169"/>
        <v/>
      </c>
      <c r="X273" s="43" t="str">
        <f t="shared" si="170"/>
        <v/>
      </c>
      <c r="Y273" s="43"/>
      <c r="Z273" s="38" t="str">
        <f t="shared" si="171"/>
        <v/>
      </c>
      <c r="AA273" s="38" t="str">
        <f t="shared" si="172"/>
        <v/>
      </c>
      <c r="AB273" s="38" t="e">
        <f t="shared" si="173"/>
        <v>#VALUE!</v>
      </c>
      <c r="AC273" s="38" t="str">
        <f t="shared" si="174"/>
        <v/>
      </c>
      <c r="AD273" s="38" t="str">
        <f t="shared" si="175"/>
        <v/>
      </c>
      <c r="AE273" s="38" t="e">
        <f t="shared" si="176"/>
        <v>#VALUE!</v>
      </c>
      <c r="AF273" s="237" t="e">
        <f>((Summary!$N$14*(AA273*AD273)*(A273-$D$3))+(Summary!$M$14*Z273*AC273*(AJ273-EOMONTH(EDATE(A273,-1),0))))/(AK273*AB273*AE273)</f>
        <v>#VALUE!</v>
      </c>
      <c r="AG273" s="88" t="str">
        <f>IF($A274="","",Summary!$Q$14)</f>
        <v/>
      </c>
      <c r="AH273" s="88" t="str">
        <f>IF($A274="","",IF(Summary!$R$12="Y",(VLOOKUP($A273,Summary!$AD$6:$AF$9,3)+'Escalating commodity'!J286),'Escalating commodity'!J286))</f>
        <v/>
      </c>
      <c r="AI273" s="88" t="str">
        <f t="shared" si="192"/>
        <v/>
      </c>
      <c r="AJ273" s="236" t="e">
        <f t="shared" si="177"/>
        <v>#VALUE!</v>
      </c>
      <c r="AK273" s="58" t="str">
        <f t="shared" si="178"/>
        <v/>
      </c>
      <c r="AL273" s="26" t="str">
        <f>IF($A274="","",_xll.SPRDOPT(P273,X273,AI273,0,AB273,AE273,AF273,AK273,$AJ$2,0))</f>
        <v/>
      </c>
      <c r="AM273" s="89" t="str">
        <f t="shared" si="179"/>
        <v/>
      </c>
      <c r="AN273" s="89" t="str">
        <f t="shared" si="180"/>
        <v/>
      </c>
      <c r="AO273" s="3" t="str">
        <f t="shared" si="181"/>
        <v/>
      </c>
      <c r="AP273" s="33" t="str">
        <f t="shared" si="182"/>
        <v/>
      </c>
      <c r="AQ273" s="58" t="str">
        <f t="shared" si="183"/>
        <v/>
      </c>
      <c r="AR273" s="38">
        <f>'ANR OK vs ML7'!AR273</f>
        <v>0.1</v>
      </c>
      <c r="AS273" s="35" t="str">
        <f t="shared" si="184"/>
        <v/>
      </c>
      <c r="AT273" s="3" t="str">
        <f t="shared" si="185"/>
        <v/>
      </c>
      <c r="AU273" s="3" t="str">
        <f t="shared" si="186"/>
        <v/>
      </c>
      <c r="AW273" s="32" t="str">
        <f t="shared" si="187"/>
        <v/>
      </c>
      <c r="AX273" s="32" t="str">
        <f t="shared" si="188"/>
        <v/>
      </c>
      <c r="AY273" s="32" t="str">
        <f t="shared" si="189"/>
        <v/>
      </c>
      <c r="BA273" s="32" t="str">
        <f>IF($A274="","",F273*Summary!$Q$14)</f>
        <v/>
      </c>
    </row>
    <row r="274" spans="1:53" ht="12" customHeight="1">
      <c r="A274" s="67" t="str">
        <f t="shared" si="190"/>
        <v/>
      </c>
      <c r="B274" s="69" t="str">
        <f t="shared" si="191"/>
        <v/>
      </c>
      <c r="C274" s="71"/>
      <c r="D274" s="69" t="str">
        <f t="shared" si="155"/>
        <v/>
      </c>
      <c r="E274" s="70" t="str">
        <f t="shared" si="156"/>
        <v/>
      </c>
      <c r="F274" s="70" t="str">
        <f t="shared" si="157"/>
        <v/>
      </c>
      <c r="G274" s="63" t="str">
        <f t="shared" si="158"/>
        <v/>
      </c>
      <c r="H274" s="64" t="str">
        <f t="shared" si="159"/>
        <v/>
      </c>
      <c r="I274" s="43"/>
      <c r="J274" s="63" t="str">
        <f t="shared" si="160"/>
        <v/>
      </c>
      <c r="K274" s="64" t="str">
        <f t="shared" si="161"/>
        <v/>
      </c>
      <c r="L274" s="38">
        <v>0</v>
      </c>
      <c r="M274" s="64" t="str">
        <f t="shared" si="162"/>
        <v/>
      </c>
      <c r="N274" s="65"/>
      <c r="O274" s="63" t="str">
        <f t="shared" si="163"/>
        <v/>
      </c>
      <c r="P274" s="63" t="str">
        <f t="shared" si="164"/>
        <v/>
      </c>
      <c r="Q274" s="66"/>
      <c r="R274" s="63" t="str">
        <f t="shared" si="165"/>
        <v/>
      </c>
      <c r="S274" s="64" t="str">
        <f t="shared" si="166"/>
        <v/>
      </c>
      <c r="T274" s="63" t="str">
        <f t="shared" si="167"/>
        <v/>
      </c>
      <c r="U274" s="64" t="str">
        <f t="shared" si="168"/>
        <v/>
      </c>
      <c r="V274" s="207" t="str">
        <f>IF($A275="","",IF(AND(MONTH(A274)&gt;3,MONTH(A274)&lt;11),(T274+R274+G274)*(((1/(1-Summary!$T$14))/(1-Summary!$W$14))-1),(T274+R274+G274)*((1/(1-Summary!$U$14))/(1-Summary!$X$14)-1)))</f>
        <v/>
      </c>
      <c r="W274" s="43" t="str">
        <f t="shared" si="169"/>
        <v/>
      </c>
      <c r="X274" s="43" t="str">
        <f t="shared" si="170"/>
        <v/>
      </c>
      <c r="Y274" s="43"/>
      <c r="Z274" s="38" t="str">
        <f t="shared" si="171"/>
        <v/>
      </c>
      <c r="AA274" s="38" t="str">
        <f t="shared" si="172"/>
        <v/>
      </c>
      <c r="AB274" s="38" t="e">
        <f t="shared" si="173"/>
        <v>#VALUE!</v>
      </c>
      <c r="AC274" s="38" t="str">
        <f t="shared" si="174"/>
        <v/>
      </c>
      <c r="AD274" s="38" t="str">
        <f t="shared" si="175"/>
        <v/>
      </c>
      <c r="AE274" s="38" t="e">
        <f t="shared" si="176"/>
        <v>#VALUE!</v>
      </c>
      <c r="AF274" s="237" t="e">
        <f>((Summary!$N$14*(AA274*AD274)*(A274-$D$3))+(Summary!$M$14*Z274*AC274*(AJ274-EOMONTH(EDATE(A274,-1),0))))/(AK274*AB274*AE274)</f>
        <v>#VALUE!</v>
      </c>
      <c r="AG274" s="88" t="str">
        <f>IF($A275="","",Summary!$Q$14)</f>
        <v/>
      </c>
      <c r="AH274" s="88" t="str">
        <f>IF($A275="","",IF(Summary!$R$12="Y",(VLOOKUP($A274,Summary!$AD$6:$AF$9,3)+'Escalating commodity'!J287),'Escalating commodity'!J287))</f>
        <v/>
      </c>
      <c r="AI274" s="88" t="str">
        <f t="shared" si="192"/>
        <v/>
      </c>
      <c r="AJ274" s="236" t="e">
        <f t="shared" si="177"/>
        <v>#VALUE!</v>
      </c>
      <c r="AK274" s="58" t="str">
        <f t="shared" si="178"/>
        <v/>
      </c>
      <c r="AL274" s="26" t="str">
        <f>IF($A275="","",_xll.SPRDOPT(P274,X274,AI274,0,AB274,AE274,AF274,AK274,$AJ$2,0))</f>
        <v/>
      </c>
      <c r="AM274" s="89" t="str">
        <f t="shared" si="179"/>
        <v/>
      </c>
      <c r="AN274" s="89" t="str">
        <f t="shared" si="180"/>
        <v/>
      </c>
      <c r="AO274" s="3" t="str">
        <f t="shared" si="181"/>
        <v/>
      </c>
      <c r="AP274" s="33" t="str">
        <f t="shared" si="182"/>
        <v/>
      </c>
      <c r="AQ274" s="58" t="str">
        <f t="shared" si="183"/>
        <v/>
      </c>
      <c r="AR274" s="38">
        <f>'ANR OK vs ML7'!AR274</f>
        <v>0.1</v>
      </c>
      <c r="AS274" s="35" t="str">
        <f t="shared" si="184"/>
        <v/>
      </c>
      <c r="AT274" s="3" t="str">
        <f t="shared" si="185"/>
        <v/>
      </c>
      <c r="AU274" s="3" t="str">
        <f t="shared" si="186"/>
        <v/>
      </c>
      <c r="AW274" s="32" t="str">
        <f t="shared" si="187"/>
        <v/>
      </c>
      <c r="AX274" s="32" t="str">
        <f t="shared" si="188"/>
        <v/>
      </c>
      <c r="AY274" s="32" t="str">
        <f t="shared" si="189"/>
        <v/>
      </c>
      <c r="BA274" s="32" t="str">
        <f>IF($A275="","",F274*Summary!$Q$14)</f>
        <v/>
      </c>
    </row>
    <row r="275" spans="1:53" ht="12" customHeight="1">
      <c r="A275" s="67" t="str">
        <f t="shared" si="190"/>
        <v/>
      </c>
      <c r="B275" s="69" t="str">
        <f t="shared" si="191"/>
        <v/>
      </c>
      <c r="C275" s="71"/>
      <c r="D275" s="69" t="str">
        <f t="shared" si="155"/>
        <v/>
      </c>
      <c r="E275" s="70" t="str">
        <f t="shared" si="156"/>
        <v/>
      </c>
      <c r="F275" s="70" t="str">
        <f t="shared" si="157"/>
        <v/>
      </c>
      <c r="G275" s="63" t="str">
        <f t="shared" si="158"/>
        <v/>
      </c>
      <c r="H275" s="64" t="str">
        <f t="shared" si="159"/>
        <v/>
      </c>
      <c r="I275" s="43"/>
      <c r="J275" s="63" t="str">
        <f t="shared" si="160"/>
        <v/>
      </c>
      <c r="K275" s="64" t="str">
        <f t="shared" si="161"/>
        <v/>
      </c>
      <c r="L275" s="38">
        <v>0</v>
      </c>
      <c r="M275" s="64" t="str">
        <f t="shared" si="162"/>
        <v/>
      </c>
      <c r="N275" s="65"/>
      <c r="O275" s="63" t="str">
        <f t="shared" si="163"/>
        <v/>
      </c>
      <c r="P275" s="63" t="str">
        <f t="shared" si="164"/>
        <v/>
      </c>
      <c r="Q275" s="66"/>
      <c r="R275" s="63" t="str">
        <f t="shared" si="165"/>
        <v/>
      </c>
      <c r="S275" s="64" t="str">
        <f t="shared" si="166"/>
        <v/>
      </c>
      <c r="T275" s="63" t="str">
        <f t="shared" si="167"/>
        <v/>
      </c>
      <c r="U275" s="64" t="str">
        <f t="shared" si="168"/>
        <v/>
      </c>
      <c r="V275" s="207" t="str">
        <f>IF($A276="","",IF(AND(MONTH(A275)&gt;3,MONTH(A275)&lt;11),(T275+R275+G275)*(((1/(1-Summary!$T$14))/(1-Summary!$W$14))-1),(T275+R275+G275)*((1/(1-Summary!$U$14))/(1-Summary!$X$14)-1)))</f>
        <v/>
      </c>
      <c r="W275" s="43" t="str">
        <f t="shared" si="169"/>
        <v/>
      </c>
      <c r="X275" s="43" t="str">
        <f t="shared" si="170"/>
        <v/>
      </c>
      <c r="Y275" s="43"/>
      <c r="Z275" s="38" t="str">
        <f t="shared" si="171"/>
        <v/>
      </c>
      <c r="AA275" s="38" t="str">
        <f t="shared" si="172"/>
        <v/>
      </c>
      <c r="AB275" s="38" t="e">
        <f t="shared" si="173"/>
        <v>#VALUE!</v>
      </c>
      <c r="AC275" s="38" t="str">
        <f t="shared" si="174"/>
        <v/>
      </c>
      <c r="AD275" s="38" t="str">
        <f t="shared" si="175"/>
        <v/>
      </c>
      <c r="AE275" s="38" t="e">
        <f t="shared" si="176"/>
        <v>#VALUE!</v>
      </c>
      <c r="AF275" s="237" t="e">
        <f>((Summary!$N$14*(AA275*AD275)*(A275-$D$3))+(Summary!$M$14*Z275*AC275*(AJ275-EOMONTH(EDATE(A275,-1),0))))/(AK275*AB275*AE275)</f>
        <v>#VALUE!</v>
      </c>
      <c r="AG275" s="88" t="str">
        <f>IF($A276="","",Summary!$Q$14)</f>
        <v/>
      </c>
      <c r="AH275" s="88" t="str">
        <f>IF($A276="","",IF(Summary!$R$12="Y",(VLOOKUP($A275,Summary!$AD$6:$AF$9,3)+'Escalating commodity'!J288),'Escalating commodity'!J288))</f>
        <v/>
      </c>
      <c r="AI275" s="88" t="str">
        <f t="shared" si="192"/>
        <v/>
      </c>
      <c r="AJ275" s="236" t="e">
        <f t="shared" si="177"/>
        <v>#VALUE!</v>
      </c>
      <c r="AK275" s="58" t="str">
        <f t="shared" si="178"/>
        <v/>
      </c>
      <c r="AL275" s="26" t="str">
        <f>IF($A276="","",_xll.SPRDOPT(P275,X275,AI275,0,AB275,AE275,AF275,AK275,$AJ$2,0))</f>
        <v/>
      </c>
      <c r="AM275" s="89" t="str">
        <f t="shared" si="179"/>
        <v/>
      </c>
      <c r="AN275" s="89" t="str">
        <f t="shared" si="180"/>
        <v/>
      </c>
      <c r="AO275" s="3" t="str">
        <f t="shared" si="181"/>
        <v/>
      </c>
      <c r="AP275" s="33" t="str">
        <f t="shared" si="182"/>
        <v/>
      </c>
      <c r="AQ275" s="58" t="str">
        <f t="shared" si="183"/>
        <v/>
      </c>
      <c r="AR275" s="38">
        <f>'ANR OK vs ML7'!AR275</f>
        <v>0.1</v>
      </c>
      <c r="AS275" s="35" t="str">
        <f t="shared" si="184"/>
        <v/>
      </c>
      <c r="AT275" s="3" t="str">
        <f t="shared" si="185"/>
        <v/>
      </c>
      <c r="AU275" s="3" t="str">
        <f t="shared" si="186"/>
        <v/>
      </c>
      <c r="AW275" s="32" t="str">
        <f t="shared" si="187"/>
        <v/>
      </c>
      <c r="AX275" s="32" t="str">
        <f t="shared" si="188"/>
        <v/>
      </c>
      <c r="AY275" s="32" t="str">
        <f t="shared" si="189"/>
        <v/>
      </c>
      <c r="BA275" s="32" t="str">
        <f>IF($A276="","",F275*Summary!$Q$14)</f>
        <v/>
      </c>
    </row>
    <row r="276" spans="1:53" ht="12" customHeight="1">
      <c r="A276" s="67" t="str">
        <f t="shared" si="190"/>
        <v/>
      </c>
      <c r="B276" s="69" t="str">
        <f t="shared" si="191"/>
        <v/>
      </c>
      <c r="C276" s="71"/>
      <c r="D276" s="69" t="str">
        <f t="shared" si="155"/>
        <v/>
      </c>
      <c r="E276" s="70" t="str">
        <f t="shared" si="156"/>
        <v/>
      </c>
      <c r="F276" s="70" t="str">
        <f t="shared" si="157"/>
        <v/>
      </c>
      <c r="G276" s="63" t="str">
        <f t="shared" si="158"/>
        <v/>
      </c>
      <c r="H276" s="64" t="str">
        <f t="shared" si="159"/>
        <v/>
      </c>
      <c r="I276" s="43"/>
      <c r="J276" s="63" t="str">
        <f t="shared" si="160"/>
        <v/>
      </c>
      <c r="K276" s="64" t="str">
        <f t="shared" si="161"/>
        <v/>
      </c>
      <c r="L276" s="38">
        <v>0</v>
      </c>
      <c r="M276" s="64" t="str">
        <f t="shared" si="162"/>
        <v/>
      </c>
      <c r="N276" s="65"/>
      <c r="O276" s="63" t="str">
        <f t="shared" si="163"/>
        <v/>
      </c>
      <c r="P276" s="63" t="str">
        <f t="shared" si="164"/>
        <v/>
      </c>
      <c r="Q276" s="66"/>
      <c r="R276" s="63" t="str">
        <f t="shared" si="165"/>
        <v/>
      </c>
      <c r="S276" s="64" t="str">
        <f t="shared" si="166"/>
        <v/>
      </c>
      <c r="T276" s="63" t="str">
        <f t="shared" si="167"/>
        <v/>
      </c>
      <c r="U276" s="64" t="str">
        <f t="shared" si="168"/>
        <v/>
      </c>
      <c r="V276" s="207" t="str">
        <f>IF($A277="","",IF(AND(MONTH(A276)&gt;3,MONTH(A276)&lt;11),(T276+R276+G276)*(((1/(1-Summary!$T$14))/(1-Summary!$W$14))-1),(T276+R276+G276)*((1/(1-Summary!$U$14))/(1-Summary!$X$14)-1)))</f>
        <v/>
      </c>
      <c r="W276" s="43" t="str">
        <f t="shared" si="169"/>
        <v/>
      </c>
      <c r="X276" s="43" t="str">
        <f t="shared" si="170"/>
        <v/>
      </c>
      <c r="Y276" s="43"/>
      <c r="Z276" s="38" t="str">
        <f t="shared" si="171"/>
        <v/>
      </c>
      <c r="AA276" s="38" t="str">
        <f t="shared" si="172"/>
        <v/>
      </c>
      <c r="AB276" s="38" t="e">
        <f t="shared" si="173"/>
        <v>#VALUE!</v>
      </c>
      <c r="AC276" s="38" t="str">
        <f t="shared" si="174"/>
        <v/>
      </c>
      <c r="AD276" s="38" t="str">
        <f t="shared" si="175"/>
        <v/>
      </c>
      <c r="AE276" s="38" t="e">
        <f t="shared" si="176"/>
        <v>#VALUE!</v>
      </c>
      <c r="AF276" s="237" t="e">
        <f>((Summary!$N$14*(AA276*AD276)*(A276-$D$3))+(Summary!$M$14*Z276*AC276*(AJ276-EOMONTH(EDATE(A276,-1),0))))/(AK276*AB276*AE276)</f>
        <v>#VALUE!</v>
      </c>
      <c r="AG276" s="88" t="str">
        <f>IF($A277="","",Summary!$Q$14)</f>
        <v/>
      </c>
      <c r="AH276" s="88" t="str">
        <f>IF($A277="","",IF(Summary!$R$12="Y",(VLOOKUP($A276,Summary!$AD$6:$AF$9,3)+'Escalating commodity'!J289),'Escalating commodity'!J289))</f>
        <v/>
      </c>
      <c r="AI276" s="88" t="str">
        <f t="shared" si="192"/>
        <v/>
      </c>
      <c r="AJ276" s="236" t="e">
        <f t="shared" si="177"/>
        <v>#VALUE!</v>
      </c>
      <c r="AK276" s="58" t="str">
        <f t="shared" si="178"/>
        <v/>
      </c>
      <c r="AL276" s="26" t="str">
        <f>IF($A277="","",_xll.SPRDOPT(P276,X276,AI276,0,AB276,AE276,AF276,AK276,$AJ$2,0))</f>
        <v/>
      </c>
      <c r="AM276" s="89" t="str">
        <f t="shared" si="179"/>
        <v/>
      </c>
      <c r="AN276" s="89" t="str">
        <f t="shared" si="180"/>
        <v/>
      </c>
      <c r="AO276" s="3" t="str">
        <f t="shared" si="181"/>
        <v/>
      </c>
      <c r="AP276" s="33" t="str">
        <f t="shared" si="182"/>
        <v/>
      </c>
      <c r="AQ276" s="58" t="str">
        <f t="shared" si="183"/>
        <v/>
      </c>
      <c r="AR276" s="38">
        <f>'ANR OK vs ML7'!AR276</f>
        <v>0.1</v>
      </c>
      <c r="AS276" s="35" t="str">
        <f t="shared" si="184"/>
        <v/>
      </c>
      <c r="AT276" s="3" t="str">
        <f t="shared" si="185"/>
        <v/>
      </c>
      <c r="AU276" s="3" t="str">
        <f t="shared" si="186"/>
        <v/>
      </c>
      <c r="AW276" s="32" t="str">
        <f t="shared" si="187"/>
        <v/>
      </c>
      <c r="AX276" s="32" t="str">
        <f t="shared" si="188"/>
        <v/>
      </c>
      <c r="AY276" s="32" t="str">
        <f t="shared" si="189"/>
        <v/>
      </c>
      <c r="BA276" s="32" t="str">
        <f>IF($A277="","",F276*Summary!$Q$14)</f>
        <v/>
      </c>
    </row>
    <row r="277" spans="1:53" ht="12" customHeight="1">
      <c r="A277" s="67" t="str">
        <f t="shared" si="190"/>
        <v/>
      </c>
      <c r="B277" s="69" t="str">
        <f t="shared" si="191"/>
        <v/>
      </c>
      <c r="C277" s="71"/>
      <c r="D277" s="69" t="str">
        <f t="shared" si="155"/>
        <v/>
      </c>
      <c r="E277" s="70" t="str">
        <f t="shared" si="156"/>
        <v/>
      </c>
      <c r="F277" s="70" t="str">
        <f t="shared" si="157"/>
        <v/>
      </c>
      <c r="G277" s="63" t="str">
        <f t="shared" si="158"/>
        <v/>
      </c>
      <c r="H277" s="64" t="str">
        <f t="shared" si="159"/>
        <v/>
      </c>
      <c r="I277" s="43"/>
      <c r="J277" s="63" t="str">
        <f t="shared" si="160"/>
        <v/>
      </c>
      <c r="K277" s="64" t="str">
        <f t="shared" si="161"/>
        <v/>
      </c>
      <c r="L277" s="38">
        <v>0</v>
      </c>
      <c r="M277" s="64" t="str">
        <f t="shared" si="162"/>
        <v/>
      </c>
      <c r="N277" s="65"/>
      <c r="O277" s="63" t="str">
        <f t="shared" si="163"/>
        <v/>
      </c>
      <c r="P277" s="63" t="str">
        <f t="shared" si="164"/>
        <v/>
      </c>
      <c r="Q277" s="66"/>
      <c r="R277" s="63" t="str">
        <f t="shared" si="165"/>
        <v/>
      </c>
      <c r="S277" s="64" t="str">
        <f t="shared" si="166"/>
        <v/>
      </c>
      <c r="T277" s="63" t="str">
        <f t="shared" si="167"/>
        <v/>
      </c>
      <c r="U277" s="64" t="str">
        <f t="shared" si="168"/>
        <v/>
      </c>
      <c r="V277" s="207" t="str">
        <f>IF($A278="","",IF(AND(MONTH(A277)&gt;3,MONTH(A277)&lt;11),(T277+R277+G277)*(((1/(1-Summary!$T$14))/(1-Summary!$W$14))-1),(T277+R277+G277)*((1/(1-Summary!$U$14))/(1-Summary!$X$14)-1)))</f>
        <v/>
      </c>
      <c r="W277" s="43" t="str">
        <f t="shared" si="169"/>
        <v/>
      </c>
      <c r="X277" s="43" t="str">
        <f t="shared" si="170"/>
        <v/>
      </c>
      <c r="Y277" s="43"/>
      <c r="Z277" s="38" t="str">
        <f t="shared" si="171"/>
        <v/>
      </c>
      <c r="AA277" s="38" t="str">
        <f t="shared" si="172"/>
        <v/>
      </c>
      <c r="AB277" s="38" t="e">
        <f t="shared" si="173"/>
        <v>#VALUE!</v>
      </c>
      <c r="AC277" s="38" t="str">
        <f t="shared" si="174"/>
        <v/>
      </c>
      <c r="AD277" s="38" t="str">
        <f t="shared" si="175"/>
        <v/>
      </c>
      <c r="AE277" s="38" t="e">
        <f t="shared" si="176"/>
        <v>#VALUE!</v>
      </c>
      <c r="AF277" s="237" t="e">
        <f>((Summary!$N$14*(AA277*AD277)*(A277-$D$3))+(Summary!$M$14*Z277*AC277*(AJ277-EOMONTH(EDATE(A277,-1),0))))/(AK277*AB277*AE277)</f>
        <v>#VALUE!</v>
      </c>
      <c r="AG277" s="88" t="str">
        <f>IF($A278="","",Summary!$Q$14)</f>
        <v/>
      </c>
      <c r="AH277" s="88" t="str">
        <f>IF($A278="","",IF(Summary!$R$12="Y",(VLOOKUP($A277,Summary!$AD$6:$AF$9,3)+'Escalating commodity'!J290),'Escalating commodity'!J290))</f>
        <v/>
      </c>
      <c r="AI277" s="88" t="str">
        <f t="shared" si="192"/>
        <v/>
      </c>
      <c r="AJ277" s="236" t="e">
        <f t="shared" si="177"/>
        <v>#VALUE!</v>
      </c>
      <c r="AK277" s="58" t="str">
        <f t="shared" si="178"/>
        <v/>
      </c>
      <c r="AL277" s="26" t="str">
        <f>IF($A278="","",_xll.SPRDOPT(P277,X277,AI277,0,AB277,AE277,AF277,AK277,$AJ$2,0))</f>
        <v/>
      </c>
      <c r="AM277" s="89" t="str">
        <f t="shared" si="179"/>
        <v/>
      </c>
      <c r="AN277" s="89" t="str">
        <f t="shared" si="180"/>
        <v/>
      </c>
      <c r="AO277" s="3" t="str">
        <f t="shared" si="181"/>
        <v/>
      </c>
      <c r="AP277" s="33" t="str">
        <f t="shared" si="182"/>
        <v/>
      </c>
      <c r="AQ277" s="58" t="str">
        <f t="shared" si="183"/>
        <v/>
      </c>
      <c r="AR277" s="38">
        <f>'ANR OK vs ML7'!AR277</f>
        <v>0.1</v>
      </c>
      <c r="AS277" s="35" t="str">
        <f t="shared" si="184"/>
        <v/>
      </c>
      <c r="AT277" s="3" t="str">
        <f t="shared" si="185"/>
        <v/>
      </c>
      <c r="AU277" s="3" t="str">
        <f t="shared" si="186"/>
        <v/>
      </c>
      <c r="AW277" s="32" t="str">
        <f t="shared" si="187"/>
        <v/>
      </c>
      <c r="AX277" s="32" t="str">
        <f t="shared" si="188"/>
        <v/>
      </c>
      <c r="AY277" s="32" t="str">
        <f t="shared" si="189"/>
        <v/>
      </c>
      <c r="BA277" s="32" t="str">
        <f>IF($A278="","",F277*Summary!$Q$14)</f>
        <v/>
      </c>
    </row>
    <row r="278" spans="1:53" ht="12" customHeight="1">
      <c r="A278" s="67" t="str">
        <f t="shared" si="190"/>
        <v/>
      </c>
      <c r="B278" s="69" t="str">
        <f t="shared" si="191"/>
        <v/>
      </c>
      <c r="C278" s="71"/>
      <c r="D278" s="69" t="str">
        <f t="shared" si="155"/>
        <v/>
      </c>
      <c r="E278" s="70" t="str">
        <f t="shared" si="156"/>
        <v/>
      </c>
      <c r="F278" s="70" t="str">
        <f t="shared" si="157"/>
        <v/>
      </c>
      <c r="G278" s="63" t="str">
        <f t="shared" si="158"/>
        <v/>
      </c>
      <c r="H278" s="64" t="str">
        <f t="shared" si="159"/>
        <v/>
      </c>
      <c r="I278" s="43"/>
      <c r="J278" s="63" t="str">
        <f t="shared" si="160"/>
        <v/>
      </c>
      <c r="K278" s="64" t="str">
        <f t="shared" si="161"/>
        <v/>
      </c>
      <c r="L278" s="38">
        <v>0</v>
      </c>
      <c r="M278" s="64" t="str">
        <f t="shared" si="162"/>
        <v/>
      </c>
      <c r="N278" s="65"/>
      <c r="O278" s="63" t="str">
        <f t="shared" si="163"/>
        <v/>
      </c>
      <c r="P278" s="63" t="str">
        <f t="shared" si="164"/>
        <v/>
      </c>
      <c r="Q278" s="66"/>
      <c r="R278" s="63" t="str">
        <f t="shared" si="165"/>
        <v/>
      </c>
      <c r="S278" s="64" t="str">
        <f t="shared" si="166"/>
        <v/>
      </c>
      <c r="T278" s="63" t="str">
        <f t="shared" si="167"/>
        <v/>
      </c>
      <c r="U278" s="64" t="str">
        <f t="shared" si="168"/>
        <v/>
      </c>
      <c r="V278" s="207" t="str">
        <f>IF($A279="","",IF(AND(MONTH(A278)&gt;3,MONTH(A278)&lt;11),(T278+R278+G278)*(((1/(1-Summary!$T$14))/(1-Summary!$W$14))-1),(T278+R278+G278)*((1/(1-Summary!$U$14))/(1-Summary!$X$14)-1)))</f>
        <v/>
      </c>
      <c r="W278" s="43" t="str">
        <f t="shared" si="169"/>
        <v/>
      </c>
      <c r="X278" s="43" t="str">
        <f t="shared" si="170"/>
        <v/>
      </c>
      <c r="Y278" s="43"/>
      <c r="Z278" s="38" t="str">
        <f t="shared" si="171"/>
        <v/>
      </c>
      <c r="AA278" s="38" t="str">
        <f t="shared" si="172"/>
        <v/>
      </c>
      <c r="AB278" s="38" t="e">
        <f t="shared" si="173"/>
        <v>#VALUE!</v>
      </c>
      <c r="AC278" s="38" t="str">
        <f t="shared" si="174"/>
        <v/>
      </c>
      <c r="AD278" s="38" t="str">
        <f t="shared" si="175"/>
        <v/>
      </c>
      <c r="AE278" s="38" t="e">
        <f t="shared" si="176"/>
        <v>#VALUE!</v>
      </c>
      <c r="AF278" s="237" t="e">
        <f>((Summary!$N$14*(AA278*AD278)*(A278-$D$3))+(Summary!$M$14*Z278*AC278*(AJ278-EOMONTH(EDATE(A278,-1),0))))/(AK278*AB278*AE278)</f>
        <v>#VALUE!</v>
      </c>
      <c r="AG278" s="88" t="str">
        <f>IF($A279="","",Summary!$Q$14)</f>
        <v/>
      </c>
      <c r="AH278" s="88" t="str">
        <f>IF($A279="","",IF(Summary!$R$12="Y",(VLOOKUP($A278,Summary!$AD$6:$AF$9,3)+'Escalating commodity'!J291),'Escalating commodity'!J291))</f>
        <v/>
      </c>
      <c r="AI278" s="88" t="str">
        <f t="shared" si="192"/>
        <v/>
      </c>
      <c r="AJ278" s="236" t="e">
        <f t="shared" si="177"/>
        <v>#VALUE!</v>
      </c>
      <c r="AK278" s="58" t="str">
        <f t="shared" si="178"/>
        <v/>
      </c>
      <c r="AL278" s="26" t="str">
        <f>IF($A279="","",_xll.SPRDOPT(P278,X278,AI278,0,AB278,AE278,AF278,AK278,$AJ$2,0))</f>
        <v/>
      </c>
      <c r="AM278" s="89" t="str">
        <f t="shared" si="179"/>
        <v/>
      </c>
      <c r="AN278" s="89" t="str">
        <f t="shared" si="180"/>
        <v/>
      </c>
      <c r="AO278" s="3" t="str">
        <f t="shared" si="181"/>
        <v/>
      </c>
      <c r="AP278" s="33" t="str">
        <f t="shared" si="182"/>
        <v/>
      </c>
      <c r="AQ278" s="58" t="str">
        <f t="shared" si="183"/>
        <v/>
      </c>
      <c r="AR278" s="38">
        <f>'ANR OK vs ML7'!AR278</f>
        <v>0.1</v>
      </c>
      <c r="AS278" s="35" t="str">
        <f t="shared" si="184"/>
        <v/>
      </c>
      <c r="AT278" s="3" t="str">
        <f t="shared" si="185"/>
        <v/>
      </c>
      <c r="AU278" s="3" t="str">
        <f t="shared" si="186"/>
        <v/>
      </c>
      <c r="AW278" s="32" t="str">
        <f t="shared" si="187"/>
        <v/>
      </c>
      <c r="AX278" s="32" t="str">
        <f t="shared" si="188"/>
        <v/>
      </c>
      <c r="AY278" s="32" t="str">
        <f t="shared" si="189"/>
        <v/>
      </c>
      <c r="BA278" s="32" t="str">
        <f>IF($A279="","",F278*Summary!$Q$14)</f>
        <v/>
      </c>
    </row>
    <row r="279" spans="1:53" ht="12" customHeight="1">
      <c r="A279" s="67" t="str">
        <f t="shared" si="190"/>
        <v/>
      </c>
      <c r="B279" s="69" t="str">
        <f t="shared" si="191"/>
        <v/>
      </c>
      <c r="C279" s="71"/>
      <c r="D279" s="69" t="str">
        <f t="shared" si="155"/>
        <v/>
      </c>
      <c r="E279" s="70" t="str">
        <f t="shared" si="156"/>
        <v/>
      </c>
      <c r="F279" s="70" t="str">
        <f t="shared" si="157"/>
        <v/>
      </c>
      <c r="G279" s="63" t="str">
        <f t="shared" si="158"/>
        <v/>
      </c>
      <c r="H279" s="64" t="str">
        <f t="shared" si="159"/>
        <v/>
      </c>
      <c r="I279" s="43"/>
      <c r="J279" s="63" t="str">
        <f t="shared" si="160"/>
        <v/>
      </c>
      <c r="K279" s="64" t="str">
        <f t="shared" si="161"/>
        <v/>
      </c>
      <c r="L279" s="38">
        <v>0</v>
      </c>
      <c r="M279" s="64" t="str">
        <f t="shared" si="162"/>
        <v/>
      </c>
      <c r="N279" s="65"/>
      <c r="O279" s="63" t="str">
        <f t="shared" si="163"/>
        <v/>
      </c>
      <c r="P279" s="63" t="str">
        <f t="shared" si="164"/>
        <v/>
      </c>
      <c r="Q279" s="66"/>
      <c r="R279" s="63" t="str">
        <f t="shared" si="165"/>
        <v/>
      </c>
      <c r="S279" s="64" t="str">
        <f t="shared" si="166"/>
        <v/>
      </c>
      <c r="T279" s="63" t="str">
        <f t="shared" si="167"/>
        <v/>
      </c>
      <c r="U279" s="64" t="str">
        <f t="shared" si="168"/>
        <v/>
      </c>
      <c r="V279" s="207" t="str">
        <f>IF($A280="","",IF(AND(MONTH(A279)&gt;3,MONTH(A279)&lt;11),(T279+R279+G279)*(((1/(1-Summary!$T$14))/(1-Summary!$W$14))-1),(T279+R279+G279)*((1/(1-Summary!$U$14))/(1-Summary!$X$14)-1)))</f>
        <v/>
      </c>
      <c r="W279" s="43" t="str">
        <f t="shared" si="169"/>
        <v/>
      </c>
      <c r="X279" s="43" t="str">
        <f t="shared" si="170"/>
        <v/>
      </c>
      <c r="Y279" s="43"/>
      <c r="Z279" s="38" t="str">
        <f t="shared" si="171"/>
        <v/>
      </c>
      <c r="AA279" s="38" t="str">
        <f t="shared" si="172"/>
        <v/>
      </c>
      <c r="AB279" s="38" t="e">
        <f t="shared" si="173"/>
        <v>#VALUE!</v>
      </c>
      <c r="AC279" s="38" t="str">
        <f t="shared" si="174"/>
        <v/>
      </c>
      <c r="AD279" s="38" t="str">
        <f t="shared" si="175"/>
        <v/>
      </c>
      <c r="AE279" s="38" t="e">
        <f t="shared" si="176"/>
        <v>#VALUE!</v>
      </c>
      <c r="AF279" s="237" t="e">
        <f>((Summary!$N$14*(AA279*AD279)*(A279-$D$3))+(Summary!$M$14*Z279*AC279*(AJ279-EOMONTH(EDATE(A279,-1),0))))/(AK279*AB279*AE279)</f>
        <v>#VALUE!</v>
      </c>
      <c r="AG279" s="88" t="str">
        <f>IF($A280="","",Summary!$Q$14)</f>
        <v/>
      </c>
      <c r="AH279" s="88" t="str">
        <f>IF($A280="","",IF(Summary!$R$12="Y",(VLOOKUP($A279,Summary!$AD$6:$AF$9,3)+'Escalating commodity'!J292),'Escalating commodity'!J292))</f>
        <v/>
      </c>
      <c r="AI279" s="88" t="str">
        <f t="shared" si="192"/>
        <v/>
      </c>
      <c r="AJ279" s="236" t="e">
        <f t="shared" si="177"/>
        <v>#VALUE!</v>
      </c>
      <c r="AK279" s="58" t="str">
        <f t="shared" si="178"/>
        <v/>
      </c>
      <c r="AL279" s="26" t="str">
        <f>IF($A280="","",_xll.SPRDOPT(P279,X279,AI279,0,AB279,AE279,AF279,AK279,$AJ$2,0))</f>
        <v/>
      </c>
      <c r="AM279" s="89" t="str">
        <f t="shared" si="179"/>
        <v/>
      </c>
      <c r="AN279" s="89" t="str">
        <f t="shared" si="180"/>
        <v/>
      </c>
      <c r="AO279" s="3" t="str">
        <f t="shared" si="181"/>
        <v/>
      </c>
      <c r="AP279" s="33" t="str">
        <f t="shared" si="182"/>
        <v/>
      </c>
      <c r="AQ279" s="58" t="str">
        <f t="shared" si="183"/>
        <v/>
      </c>
      <c r="AR279" s="38">
        <f>'ANR OK vs ML7'!AR279</f>
        <v>0.1</v>
      </c>
      <c r="AS279" s="35" t="str">
        <f t="shared" si="184"/>
        <v/>
      </c>
      <c r="AT279" s="3" t="str">
        <f t="shared" si="185"/>
        <v/>
      </c>
      <c r="AU279" s="3" t="str">
        <f t="shared" si="186"/>
        <v/>
      </c>
      <c r="AW279" s="32" t="str">
        <f t="shared" si="187"/>
        <v/>
      </c>
      <c r="AX279" s="32" t="str">
        <f t="shared" si="188"/>
        <v/>
      </c>
      <c r="AY279" s="32" t="str">
        <f t="shared" si="189"/>
        <v/>
      </c>
      <c r="BA279" s="32" t="str">
        <f>IF($A280="","",F279*Summary!$Q$14)</f>
        <v/>
      </c>
    </row>
    <row r="280" spans="1:53" ht="12" customHeight="1">
      <c r="A280" s="67" t="str">
        <f t="shared" si="190"/>
        <v/>
      </c>
      <c r="B280" s="69" t="str">
        <f t="shared" si="191"/>
        <v/>
      </c>
      <c r="C280" s="71"/>
      <c r="D280" s="69" t="str">
        <f t="shared" si="155"/>
        <v/>
      </c>
      <c r="E280" s="70" t="str">
        <f t="shared" si="156"/>
        <v/>
      </c>
      <c r="F280" s="70" t="str">
        <f t="shared" si="157"/>
        <v/>
      </c>
      <c r="G280" s="63" t="str">
        <f t="shared" si="158"/>
        <v/>
      </c>
      <c r="H280" s="64" t="str">
        <f t="shared" si="159"/>
        <v/>
      </c>
      <c r="I280" s="43"/>
      <c r="J280" s="63" t="str">
        <f t="shared" si="160"/>
        <v/>
      </c>
      <c r="K280" s="64" t="str">
        <f t="shared" si="161"/>
        <v/>
      </c>
      <c r="L280" s="38">
        <v>0</v>
      </c>
      <c r="M280" s="64" t="str">
        <f t="shared" si="162"/>
        <v/>
      </c>
      <c r="N280" s="65"/>
      <c r="O280" s="63" t="str">
        <f t="shared" si="163"/>
        <v/>
      </c>
      <c r="P280" s="63" t="str">
        <f t="shared" si="164"/>
        <v/>
      </c>
      <c r="Q280" s="66"/>
      <c r="R280" s="63" t="str">
        <f t="shared" si="165"/>
        <v/>
      </c>
      <c r="S280" s="64" t="str">
        <f t="shared" si="166"/>
        <v/>
      </c>
      <c r="T280" s="63" t="str">
        <f t="shared" si="167"/>
        <v/>
      </c>
      <c r="U280" s="64" t="str">
        <f t="shared" si="168"/>
        <v/>
      </c>
      <c r="V280" s="207" t="str">
        <f>IF($A281="","",IF(AND(MONTH(A280)&gt;3,MONTH(A280)&lt;11),(T280+R280+G280)*(((1/(1-Summary!$T$14))/(1-Summary!$W$14))-1),(T280+R280+G280)*((1/(1-Summary!$U$14))/(1-Summary!$X$14)-1)))</f>
        <v/>
      </c>
      <c r="W280" s="43" t="str">
        <f t="shared" si="169"/>
        <v/>
      </c>
      <c r="X280" s="43" t="str">
        <f t="shared" si="170"/>
        <v/>
      </c>
      <c r="Y280" s="43"/>
      <c r="Z280" s="38" t="str">
        <f t="shared" si="171"/>
        <v/>
      </c>
      <c r="AA280" s="38" t="str">
        <f t="shared" si="172"/>
        <v/>
      </c>
      <c r="AB280" s="38" t="e">
        <f t="shared" si="173"/>
        <v>#VALUE!</v>
      </c>
      <c r="AC280" s="38" t="str">
        <f t="shared" si="174"/>
        <v/>
      </c>
      <c r="AD280" s="38" t="str">
        <f t="shared" si="175"/>
        <v/>
      </c>
      <c r="AE280" s="38" t="e">
        <f t="shared" si="176"/>
        <v>#VALUE!</v>
      </c>
      <c r="AF280" s="237" t="e">
        <f>((Summary!$N$14*(AA280*AD280)*(A280-$D$3))+(Summary!$M$14*Z280*AC280*(AJ280-EOMONTH(EDATE(A280,-1),0))))/(AK280*AB280*AE280)</f>
        <v>#VALUE!</v>
      </c>
      <c r="AG280" s="88" t="str">
        <f>IF($A281="","",Summary!$Q$14)</f>
        <v/>
      </c>
      <c r="AH280" s="88" t="str">
        <f>IF($A281="","",IF(Summary!$R$12="Y",(VLOOKUP($A280,Summary!$AD$6:$AF$9,3)+'Escalating commodity'!J293),'Escalating commodity'!J293))</f>
        <v/>
      </c>
      <c r="AI280" s="88" t="str">
        <f t="shared" si="192"/>
        <v/>
      </c>
      <c r="AJ280" s="236" t="e">
        <f t="shared" si="177"/>
        <v>#VALUE!</v>
      </c>
      <c r="AK280" s="58" t="str">
        <f t="shared" si="178"/>
        <v/>
      </c>
      <c r="AL280" s="26" t="str">
        <f>IF($A281="","",_xll.SPRDOPT(P280,X280,AI280,0,AB280,AE280,AF280,AK280,$AJ$2,0))</f>
        <v/>
      </c>
      <c r="AM280" s="89" t="str">
        <f t="shared" si="179"/>
        <v/>
      </c>
      <c r="AN280" s="89" t="str">
        <f t="shared" si="180"/>
        <v/>
      </c>
      <c r="AO280" s="3" t="str">
        <f t="shared" si="181"/>
        <v/>
      </c>
      <c r="AP280" s="33" t="str">
        <f t="shared" si="182"/>
        <v/>
      </c>
      <c r="AQ280" s="58" t="str">
        <f t="shared" si="183"/>
        <v/>
      </c>
      <c r="AR280" s="38">
        <f>'ANR OK vs ML7'!AR280</f>
        <v>0.1</v>
      </c>
      <c r="AS280" s="35" t="str">
        <f t="shared" si="184"/>
        <v/>
      </c>
      <c r="AT280" s="3" t="str">
        <f t="shared" si="185"/>
        <v/>
      </c>
      <c r="AU280" s="3" t="str">
        <f t="shared" si="186"/>
        <v/>
      </c>
      <c r="AW280" s="32" t="str">
        <f t="shared" si="187"/>
        <v/>
      </c>
      <c r="AX280" s="32" t="str">
        <f t="shared" si="188"/>
        <v/>
      </c>
      <c r="AY280" s="32" t="str">
        <f t="shared" si="189"/>
        <v/>
      </c>
      <c r="BA280" s="32" t="str">
        <f>IF($A281="","",F280*Summary!$Q$14)</f>
        <v/>
      </c>
    </row>
    <row r="281" spans="1:53" ht="12" customHeight="1">
      <c r="A281" s="67" t="str">
        <f t="shared" si="190"/>
        <v/>
      </c>
      <c r="B281" s="69" t="str">
        <f t="shared" si="191"/>
        <v/>
      </c>
      <c r="C281" s="71"/>
      <c r="D281" s="69" t="str">
        <f t="shared" si="155"/>
        <v/>
      </c>
      <c r="E281" s="70" t="str">
        <f t="shared" si="156"/>
        <v/>
      </c>
      <c r="F281" s="70" t="str">
        <f t="shared" si="157"/>
        <v/>
      </c>
      <c r="G281" s="63" t="str">
        <f t="shared" si="158"/>
        <v/>
      </c>
      <c r="H281" s="64" t="str">
        <f t="shared" si="159"/>
        <v/>
      </c>
      <c r="I281" s="43"/>
      <c r="J281" s="63" t="str">
        <f t="shared" si="160"/>
        <v/>
      </c>
      <c r="K281" s="64" t="str">
        <f t="shared" si="161"/>
        <v/>
      </c>
      <c r="L281" s="38">
        <v>0</v>
      </c>
      <c r="M281" s="64" t="str">
        <f t="shared" si="162"/>
        <v/>
      </c>
      <c r="N281" s="65"/>
      <c r="O281" s="63" t="str">
        <f t="shared" si="163"/>
        <v/>
      </c>
      <c r="P281" s="63" t="str">
        <f t="shared" si="164"/>
        <v/>
      </c>
      <c r="Q281" s="66"/>
      <c r="R281" s="63" t="str">
        <f t="shared" si="165"/>
        <v/>
      </c>
      <c r="S281" s="64" t="str">
        <f t="shared" si="166"/>
        <v/>
      </c>
      <c r="T281" s="63" t="str">
        <f t="shared" si="167"/>
        <v/>
      </c>
      <c r="U281" s="64" t="str">
        <f t="shared" si="168"/>
        <v/>
      </c>
      <c r="V281" s="207" t="str">
        <f>IF($A282="","",IF(AND(MONTH(A281)&gt;3,MONTH(A281)&lt;11),(T281+R281+G281)*(((1/(1-Summary!$T$14))/(1-Summary!$W$14))-1),(T281+R281+G281)*((1/(1-Summary!$U$14))/(1-Summary!$X$14)-1)))</f>
        <v/>
      </c>
      <c r="W281" s="43" t="str">
        <f t="shared" si="169"/>
        <v/>
      </c>
      <c r="X281" s="43" t="str">
        <f t="shared" si="170"/>
        <v/>
      </c>
      <c r="Y281" s="43"/>
      <c r="Z281" s="38" t="str">
        <f t="shared" si="171"/>
        <v/>
      </c>
      <c r="AA281" s="38" t="str">
        <f t="shared" si="172"/>
        <v/>
      </c>
      <c r="AB281" s="38" t="e">
        <f t="shared" si="173"/>
        <v>#VALUE!</v>
      </c>
      <c r="AC281" s="38" t="str">
        <f t="shared" si="174"/>
        <v/>
      </c>
      <c r="AD281" s="38" t="str">
        <f t="shared" si="175"/>
        <v/>
      </c>
      <c r="AE281" s="38" t="e">
        <f t="shared" si="176"/>
        <v>#VALUE!</v>
      </c>
      <c r="AF281" s="237" t="e">
        <f>((Summary!$N$14*(AA281*AD281)*(A281-$D$3))+(Summary!$M$14*Z281*AC281*(AJ281-EOMONTH(EDATE(A281,-1),0))))/(AK281*AB281*AE281)</f>
        <v>#VALUE!</v>
      </c>
      <c r="AG281" s="88" t="str">
        <f>IF($A282="","",Summary!$Q$14)</f>
        <v/>
      </c>
      <c r="AH281" s="88" t="str">
        <f>IF($A282="","",IF(Summary!$R$12="Y",(VLOOKUP($A281,Summary!$AD$6:$AF$9,3)+'Escalating commodity'!J294),'Escalating commodity'!J294))</f>
        <v/>
      </c>
      <c r="AI281" s="88" t="str">
        <f t="shared" si="192"/>
        <v/>
      </c>
      <c r="AJ281" s="236" t="e">
        <f t="shared" si="177"/>
        <v>#VALUE!</v>
      </c>
      <c r="AK281" s="58" t="str">
        <f t="shared" si="178"/>
        <v/>
      </c>
      <c r="AL281" s="26" t="str">
        <f>IF($A282="","",_xll.SPRDOPT(P281,X281,AI281,0,AB281,AE281,AF281,AK281,$AJ$2,0))</f>
        <v/>
      </c>
      <c r="AM281" s="89" t="str">
        <f t="shared" si="179"/>
        <v/>
      </c>
      <c r="AN281" s="89" t="str">
        <f t="shared" si="180"/>
        <v/>
      </c>
      <c r="AO281" s="3" t="str">
        <f t="shared" si="181"/>
        <v/>
      </c>
      <c r="AP281" s="33" t="str">
        <f t="shared" si="182"/>
        <v/>
      </c>
      <c r="AQ281" s="58" t="str">
        <f t="shared" si="183"/>
        <v/>
      </c>
      <c r="AR281" s="38">
        <f>'ANR OK vs ML7'!AR281</f>
        <v>0.1</v>
      </c>
      <c r="AS281" s="35" t="str">
        <f t="shared" si="184"/>
        <v/>
      </c>
      <c r="AT281" s="3" t="str">
        <f t="shared" si="185"/>
        <v/>
      </c>
      <c r="AU281" s="3" t="str">
        <f t="shared" si="186"/>
        <v/>
      </c>
      <c r="AW281" s="32" t="str">
        <f t="shared" si="187"/>
        <v/>
      </c>
      <c r="AX281" s="32" t="str">
        <f t="shared" si="188"/>
        <v/>
      </c>
      <c r="AY281" s="32" t="str">
        <f t="shared" si="189"/>
        <v/>
      </c>
      <c r="BA281" s="32" t="str">
        <f>IF($A282="","",F281*Summary!$Q$14)</f>
        <v/>
      </c>
    </row>
    <row r="282" spans="1:53" ht="12" customHeight="1">
      <c r="A282" s="67" t="str">
        <f t="shared" si="190"/>
        <v/>
      </c>
      <c r="B282" s="69" t="str">
        <f t="shared" si="191"/>
        <v/>
      </c>
      <c r="C282" s="71"/>
      <c r="D282" s="69" t="str">
        <f t="shared" si="155"/>
        <v/>
      </c>
      <c r="E282" s="70" t="str">
        <f t="shared" si="156"/>
        <v/>
      </c>
      <c r="F282" s="70" t="str">
        <f t="shared" si="157"/>
        <v/>
      </c>
      <c r="G282" s="63" t="str">
        <f t="shared" si="158"/>
        <v/>
      </c>
      <c r="H282" s="64" t="str">
        <f t="shared" si="159"/>
        <v/>
      </c>
      <c r="I282" s="43"/>
      <c r="J282" s="63" t="str">
        <f t="shared" si="160"/>
        <v/>
      </c>
      <c r="K282" s="64" t="str">
        <f t="shared" si="161"/>
        <v/>
      </c>
      <c r="L282" s="38">
        <v>0</v>
      </c>
      <c r="M282" s="64" t="str">
        <f t="shared" si="162"/>
        <v/>
      </c>
      <c r="N282" s="65"/>
      <c r="O282" s="63" t="str">
        <f t="shared" si="163"/>
        <v/>
      </c>
      <c r="P282" s="63" t="str">
        <f t="shared" si="164"/>
        <v/>
      </c>
      <c r="Q282" s="66"/>
      <c r="R282" s="63" t="str">
        <f t="shared" si="165"/>
        <v/>
      </c>
      <c r="S282" s="64" t="str">
        <f t="shared" si="166"/>
        <v/>
      </c>
      <c r="T282" s="63" t="str">
        <f t="shared" si="167"/>
        <v/>
      </c>
      <c r="U282" s="64" t="str">
        <f t="shared" si="168"/>
        <v/>
      </c>
      <c r="V282" s="207" t="str">
        <f>IF($A283="","",IF(AND(MONTH(A282)&gt;3,MONTH(A282)&lt;11),(T282+R282+G282)*(((1/(1-Summary!$T$14))/(1-Summary!$W$14))-1),(T282+R282+G282)*((1/(1-Summary!$U$14))/(1-Summary!$X$14)-1)))</f>
        <v/>
      </c>
      <c r="W282" s="43" t="str">
        <f t="shared" si="169"/>
        <v/>
      </c>
      <c r="X282" s="43" t="str">
        <f t="shared" si="170"/>
        <v/>
      </c>
      <c r="Y282" s="43"/>
      <c r="Z282" s="38" t="str">
        <f t="shared" si="171"/>
        <v/>
      </c>
      <c r="AA282" s="38" t="str">
        <f t="shared" si="172"/>
        <v/>
      </c>
      <c r="AB282" s="38" t="e">
        <f t="shared" si="173"/>
        <v>#VALUE!</v>
      </c>
      <c r="AC282" s="38" t="str">
        <f t="shared" si="174"/>
        <v/>
      </c>
      <c r="AD282" s="38" t="str">
        <f t="shared" si="175"/>
        <v/>
      </c>
      <c r="AE282" s="38" t="e">
        <f t="shared" si="176"/>
        <v>#VALUE!</v>
      </c>
      <c r="AF282" s="237" t="e">
        <f>((Summary!$N$14*(AA282*AD282)*(A282-$D$3))+(Summary!$M$14*Z282*AC282*(AJ282-EOMONTH(EDATE(A282,-1),0))))/(AK282*AB282*AE282)</f>
        <v>#VALUE!</v>
      </c>
      <c r="AG282" s="88" t="str">
        <f>IF($A283="","",Summary!$Q$14)</f>
        <v/>
      </c>
      <c r="AH282" s="88" t="str">
        <f>IF($A283="","",IF(Summary!$R$12="Y",(VLOOKUP($A282,Summary!$AD$6:$AF$9,3)+'Escalating commodity'!J295),'Escalating commodity'!J295))</f>
        <v/>
      </c>
      <c r="AI282" s="88" t="str">
        <f t="shared" si="192"/>
        <v/>
      </c>
      <c r="AJ282" s="236" t="e">
        <f t="shared" si="177"/>
        <v>#VALUE!</v>
      </c>
      <c r="AK282" s="58" t="str">
        <f t="shared" si="178"/>
        <v/>
      </c>
      <c r="AL282" s="26" t="str">
        <f>IF($A283="","",_xll.SPRDOPT(P282,X282,AI282,0,AB282,AE282,AF282,AK282,$AJ$2,0))</f>
        <v/>
      </c>
      <c r="AM282" s="89" t="str">
        <f t="shared" si="179"/>
        <v/>
      </c>
      <c r="AN282" s="89" t="str">
        <f t="shared" si="180"/>
        <v/>
      </c>
      <c r="AO282" s="3" t="str">
        <f t="shared" si="181"/>
        <v/>
      </c>
      <c r="AP282" s="33" t="str">
        <f t="shared" si="182"/>
        <v/>
      </c>
      <c r="AQ282" s="58" t="str">
        <f t="shared" si="183"/>
        <v/>
      </c>
      <c r="AR282" s="38">
        <f>'ANR OK vs ML7'!AR282</f>
        <v>0.1</v>
      </c>
      <c r="AS282" s="35" t="str">
        <f t="shared" si="184"/>
        <v/>
      </c>
      <c r="AT282" s="3" t="str">
        <f t="shared" si="185"/>
        <v/>
      </c>
      <c r="AU282" s="3" t="str">
        <f t="shared" si="186"/>
        <v/>
      </c>
      <c r="AW282" s="32" t="str">
        <f t="shared" si="187"/>
        <v/>
      </c>
      <c r="AX282" s="32" t="str">
        <f t="shared" si="188"/>
        <v/>
      </c>
      <c r="AY282" s="32" t="str">
        <f t="shared" si="189"/>
        <v/>
      </c>
      <c r="BA282" s="32" t="str">
        <f>IF($A283="","",F282*Summary!$Q$14)</f>
        <v/>
      </c>
    </row>
    <row r="283" spans="1:53" ht="12" customHeight="1">
      <c r="A283" s="67" t="str">
        <f t="shared" si="190"/>
        <v/>
      </c>
      <c r="B283" s="69" t="str">
        <f t="shared" si="191"/>
        <v/>
      </c>
      <c r="C283" s="71"/>
      <c r="D283" s="69" t="str">
        <f t="shared" si="155"/>
        <v/>
      </c>
      <c r="E283" s="70" t="str">
        <f t="shared" si="156"/>
        <v/>
      </c>
      <c r="F283" s="70" t="str">
        <f t="shared" si="157"/>
        <v/>
      </c>
      <c r="G283" s="63" t="str">
        <f t="shared" si="158"/>
        <v/>
      </c>
      <c r="H283" s="64" t="str">
        <f t="shared" si="159"/>
        <v/>
      </c>
      <c r="I283" s="43"/>
      <c r="J283" s="63" t="str">
        <f t="shared" si="160"/>
        <v/>
      </c>
      <c r="K283" s="64" t="str">
        <f t="shared" si="161"/>
        <v/>
      </c>
      <c r="L283" s="38">
        <v>0</v>
      </c>
      <c r="M283" s="64" t="str">
        <f t="shared" si="162"/>
        <v/>
      </c>
      <c r="N283" s="65"/>
      <c r="O283" s="63" t="str">
        <f t="shared" si="163"/>
        <v/>
      </c>
      <c r="P283" s="63" t="str">
        <f t="shared" si="164"/>
        <v/>
      </c>
      <c r="Q283" s="66"/>
      <c r="R283" s="63" t="str">
        <f t="shared" si="165"/>
        <v/>
      </c>
      <c r="S283" s="64" t="str">
        <f t="shared" si="166"/>
        <v/>
      </c>
      <c r="T283" s="63" t="str">
        <f t="shared" si="167"/>
        <v/>
      </c>
      <c r="U283" s="64" t="str">
        <f t="shared" si="168"/>
        <v/>
      </c>
      <c r="V283" s="207" t="str">
        <f>IF($A284="","",IF(AND(MONTH(A283)&gt;3,MONTH(A283)&lt;11),(T283+R283+G283)*(((1/(1-Summary!$T$14))/(1-Summary!$W$14))-1),(T283+R283+G283)*((1/(1-Summary!$U$14))/(1-Summary!$X$14)-1)))</f>
        <v/>
      </c>
      <c r="W283" s="43" t="str">
        <f t="shared" si="169"/>
        <v/>
      </c>
      <c r="X283" s="43" t="str">
        <f t="shared" si="170"/>
        <v/>
      </c>
      <c r="Y283" s="43"/>
      <c r="Z283" s="38" t="str">
        <f t="shared" si="171"/>
        <v/>
      </c>
      <c r="AA283" s="38" t="str">
        <f t="shared" si="172"/>
        <v/>
      </c>
      <c r="AB283" s="38" t="e">
        <f t="shared" si="173"/>
        <v>#VALUE!</v>
      </c>
      <c r="AC283" s="38" t="str">
        <f t="shared" si="174"/>
        <v/>
      </c>
      <c r="AD283" s="38" t="str">
        <f t="shared" si="175"/>
        <v/>
      </c>
      <c r="AE283" s="38" t="e">
        <f t="shared" si="176"/>
        <v>#VALUE!</v>
      </c>
      <c r="AF283" s="237" t="e">
        <f>((Summary!$N$14*(AA283*AD283)*(A283-$D$3))+(Summary!$M$14*Z283*AC283*(AJ283-EOMONTH(EDATE(A283,-1),0))))/(AK283*AB283*AE283)</f>
        <v>#VALUE!</v>
      </c>
      <c r="AG283" s="88" t="str">
        <f>IF($A284="","",Summary!$Q$14)</f>
        <v/>
      </c>
      <c r="AH283" s="88" t="str">
        <f>IF($A284="","",IF(Summary!$R$12="Y",(VLOOKUP($A283,Summary!$AD$6:$AF$9,3)+'Escalating commodity'!J296),'Escalating commodity'!J296))</f>
        <v/>
      </c>
      <c r="AI283" s="88" t="str">
        <f t="shared" si="192"/>
        <v/>
      </c>
      <c r="AJ283" s="236" t="e">
        <f t="shared" si="177"/>
        <v>#VALUE!</v>
      </c>
      <c r="AK283" s="58" t="str">
        <f t="shared" si="178"/>
        <v/>
      </c>
      <c r="AL283" s="26" t="str">
        <f>IF($A284="","",_xll.SPRDOPT(P283,X283,AI283,0,AB283,AE283,AF283,AK283,$AJ$2,0))</f>
        <v/>
      </c>
      <c r="AM283" s="89" t="str">
        <f t="shared" si="179"/>
        <v/>
      </c>
      <c r="AN283" s="89" t="str">
        <f t="shared" si="180"/>
        <v/>
      </c>
      <c r="AO283" s="3" t="str">
        <f t="shared" si="181"/>
        <v/>
      </c>
      <c r="AP283" s="33" t="str">
        <f t="shared" si="182"/>
        <v/>
      </c>
      <c r="AQ283" s="58" t="str">
        <f t="shared" si="183"/>
        <v/>
      </c>
      <c r="AR283" s="38">
        <f>'ANR OK vs ML7'!AR283</f>
        <v>0.1</v>
      </c>
      <c r="AS283" s="35" t="str">
        <f t="shared" si="184"/>
        <v/>
      </c>
      <c r="AT283" s="3" t="str">
        <f t="shared" si="185"/>
        <v/>
      </c>
      <c r="AU283" s="3" t="str">
        <f t="shared" si="186"/>
        <v/>
      </c>
      <c r="AW283" s="32" t="str">
        <f t="shared" si="187"/>
        <v/>
      </c>
      <c r="AX283" s="32" t="str">
        <f t="shared" si="188"/>
        <v/>
      </c>
      <c r="AY283" s="32" t="str">
        <f t="shared" si="189"/>
        <v/>
      </c>
      <c r="BA283" s="32" t="str">
        <f>IF($A284="","",F283*Summary!$Q$14)</f>
        <v/>
      </c>
    </row>
    <row r="284" spans="1:53" ht="12" customHeight="1">
      <c r="A284" s="67" t="str">
        <f t="shared" si="190"/>
        <v/>
      </c>
      <c r="B284" s="69" t="str">
        <f t="shared" si="191"/>
        <v/>
      </c>
      <c r="C284" s="71"/>
      <c r="D284" s="69" t="str">
        <f t="shared" si="155"/>
        <v/>
      </c>
      <c r="E284" s="70" t="str">
        <f t="shared" si="156"/>
        <v/>
      </c>
      <c r="F284" s="70" t="str">
        <f t="shared" si="157"/>
        <v/>
      </c>
      <c r="G284" s="63" t="str">
        <f t="shared" si="158"/>
        <v/>
      </c>
      <c r="H284" s="64" t="str">
        <f t="shared" si="159"/>
        <v/>
      </c>
      <c r="I284" s="43"/>
      <c r="J284" s="63" t="str">
        <f t="shared" si="160"/>
        <v/>
      </c>
      <c r="K284" s="64" t="str">
        <f t="shared" si="161"/>
        <v/>
      </c>
      <c r="L284" s="38">
        <v>0</v>
      </c>
      <c r="M284" s="64" t="str">
        <f t="shared" si="162"/>
        <v/>
      </c>
      <c r="N284" s="65"/>
      <c r="O284" s="63" t="str">
        <f t="shared" si="163"/>
        <v/>
      </c>
      <c r="P284" s="63" t="str">
        <f t="shared" si="164"/>
        <v/>
      </c>
      <c r="Q284" s="66"/>
      <c r="R284" s="63" t="str">
        <f t="shared" si="165"/>
        <v/>
      </c>
      <c r="S284" s="64" t="str">
        <f t="shared" si="166"/>
        <v/>
      </c>
      <c r="T284" s="63" t="str">
        <f t="shared" si="167"/>
        <v/>
      </c>
      <c r="U284" s="64" t="str">
        <f t="shared" si="168"/>
        <v/>
      </c>
      <c r="V284" s="207" t="str">
        <f>IF($A285="","",IF(AND(MONTH(A284)&gt;3,MONTH(A284)&lt;11),(T284+R284+G284)*(((1/(1-Summary!$T$14))/(1-Summary!$W$14))-1),(T284+R284+G284)*((1/(1-Summary!$U$14))/(1-Summary!$X$14)-1)))</f>
        <v/>
      </c>
      <c r="W284" s="43" t="str">
        <f t="shared" si="169"/>
        <v/>
      </c>
      <c r="X284" s="43" t="str">
        <f t="shared" si="170"/>
        <v/>
      </c>
      <c r="Y284" s="43"/>
      <c r="Z284" s="38" t="str">
        <f t="shared" si="171"/>
        <v/>
      </c>
      <c r="AA284" s="38" t="str">
        <f t="shared" si="172"/>
        <v/>
      </c>
      <c r="AB284" s="38" t="e">
        <f t="shared" si="173"/>
        <v>#VALUE!</v>
      </c>
      <c r="AC284" s="38" t="str">
        <f t="shared" si="174"/>
        <v/>
      </c>
      <c r="AD284" s="38" t="str">
        <f t="shared" si="175"/>
        <v/>
      </c>
      <c r="AE284" s="38" t="e">
        <f t="shared" si="176"/>
        <v>#VALUE!</v>
      </c>
      <c r="AF284" s="237" t="e">
        <f>((Summary!$N$14*(AA284*AD284)*(A284-$D$3))+(Summary!$M$14*Z284*AC284*(AJ284-EOMONTH(EDATE(A284,-1),0))))/(AK284*AB284*AE284)</f>
        <v>#VALUE!</v>
      </c>
      <c r="AG284" s="88" t="str">
        <f>IF($A285="","",Summary!$Q$14)</f>
        <v/>
      </c>
      <c r="AH284" s="88" t="str">
        <f>IF($A285="","",IF(Summary!$R$12="Y",(VLOOKUP($A284,Summary!$AD$6:$AF$9,3)+'Escalating commodity'!J297),'Escalating commodity'!J297))</f>
        <v/>
      </c>
      <c r="AI284" s="88" t="str">
        <f t="shared" si="192"/>
        <v/>
      </c>
      <c r="AJ284" s="236" t="e">
        <f t="shared" si="177"/>
        <v>#VALUE!</v>
      </c>
      <c r="AK284" s="58" t="str">
        <f t="shared" si="178"/>
        <v/>
      </c>
      <c r="AL284" s="26" t="str">
        <f>IF($A285="","",_xll.SPRDOPT(P284,X284,AI284,0,AB284,AE284,AF284,AK284,$AJ$2,0))</f>
        <v/>
      </c>
      <c r="AM284" s="89" t="str">
        <f t="shared" si="179"/>
        <v/>
      </c>
      <c r="AN284" s="89" t="str">
        <f t="shared" si="180"/>
        <v/>
      </c>
      <c r="AO284" s="3" t="str">
        <f t="shared" si="181"/>
        <v/>
      </c>
      <c r="AP284" s="33" t="str">
        <f t="shared" si="182"/>
        <v/>
      </c>
      <c r="AQ284" s="58" t="str">
        <f t="shared" si="183"/>
        <v/>
      </c>
      <c r="AR284" s="38">
        <f>'ANR OK vs ML7'!AR284</f>
        <v>0.1</v>
      </c>
      <c r="AS284" s="35" t="str">
        <f t="shared" si="184"/>
        <v/>
      </c>
      <c r="AT284" s="3" t="str">
        <f t="shared" si="185"/>
        <v/>
      </c>
      <c r="AU284" s="3" t="str">
        <f t="shared" si="186"/>
        <v/>
      </c>
      <c r="AW284" s="32" t="str">
        <f t="shared" si="187"/>
        <v/>
      </c>
      <c r="AX284" s="32" t="str">
        <f t="shared" si="188"/>
        <v/>
      </c>
      <c r="AY284" s="32" t="str">
        <f t="shared" si="189"/>
        <v/>
      </c>
      <c r="BA284" s="32" t="str">
        <f>IF($A285="","",F284*Summary!$Q$14)</f>
        <v/>
      </c>
    </row>
    <row r="285" spans="1:53" ht="12" customHeight="1">
      <c r="A285" s="67" t="str">
        <f t="shared" si="190"/>
        <v/>
      </c>
      <c r="B285" s="69" t="str">
        <f t="shared" si="191"/>
        <v/>
      </c>
      <c r="C285" s="71"/>
      <c r="D285" s="69" t="str">
        <f t="shared" si="155"/>
        <v/>
      </c>
      <c r="E285" s="70" t="str">
        <f t="shared" si="156"/>
        <v/>
      </c>
      <c r="F285" s="70" t="str">
        <f t="shared" si="157"/>
        <v/>
      </c>
      <c r="G285" s="63" t="str">
        <f t="shared" si="158"/>
        <v/>
      </c>
      <c r="H285" s="64" t="str">
        <f t="shared" si="159"/>
        <v/>
      </c>
      <c r="I285" s="43"/>
      <c r="J285" s="63" t="str">
        <f t="shared" si="160"/>
        <v/>
      </c>
      <c r="K285" s="64" t="str">
        <f t="shared" si="161"/>
        <v/>
      </c>
      <c r="L285" s="38">
        <v>0</v>
      </c>
      <c r="M285" s="64" t="str">
        <f t="shared" si="162"/>
        <v/>
      </c>
      <c r="N285" s="65"/>
      <c r="O285" s="63" t="str">
        <f t="shared" si="163"/>
        <v/>
      </c>
      <c r="P285" s="63" t="str">
        <f t="shared" si="164"/>
        <v/>
      </c>
      <c r="Q285" s="66"/>
      <c r="R285" s="63" t="str">
        <f t="shared" si="165"/>
        <v/>
      </c>
      <c r="S285" s="64" t="str">
        <f t="shared" si="166"/>
        <v/>
      </c>
      <c r="T285" s="63" t="str">
        <f t="shared" si="167"/>
        <v/>
      </c>
      <c r="U285" s="64" t="str">
        <f t="shared" si="168"/>
        <v/>
      </c>
      <c r="V285" s="207" t="str">
        <f>IF($A286="","",IF(AND(MONTH(A285)&gt;3,MONTH(A285)&lt;11),(T285+R285+G285)*(((1/(1-Summary!$T$14))/(1-Summary!$W$14))-1),(T285+R285+G285)*((1/(1-Summary!$U$14))/(1-Summary!$X$14)-1)))</f>
        <v/>
      </c>
      <c r="W285" s="43" t="str">
        <f t="shared" si="169"/>
        <v/>
      </c>
      <c r="X285" s="43" t="str">
        <f t="shared" si="170"/>
        <v/>
      </c>
      <c r="Y285" s="43"/>
      <c r="Z285" s="38" t="str">
        <f t="shared" si="171"/>
        <v/>
      </c>
      <c r="AA285" s="38" t="str">
        <f t="shared" si="172"/>
        <v/>
      </c>
      <c r="AB285" s="38" t="e">
        <f t="shared" si="173"/>
        <v>#VALUE!</v>
      </c>
      <c r="AC285" s="38" t="str">
        <f t="shared" si="174"/>
        <v/>
      </c>
      <c r="AD285" s="38" t="str">
        <f t="shared" si="175"/>
        <v/>
      </c>
      <c r="AE285" s="38" t="e">
        <f t="shared" si="176"/>
        <v>#VALUE!</v>
      </c>
      <c r="AF285" s="237" t="e">
        <f>((Summary!$N$14*(AA285*AD285)*(A285-$D$3))+(Summary!$M$14*Z285*AC285*(AJ285-EOMONTH(EDATE(A285,-1),0))))/(AK285*AB285*AE285)</f>
        <v>#VALUE!</v>
      </c>
      <c r="AG285" s="88" t="str">
        <f>IF($A286="","",Summary!$Q$14)</f>
        <v/>
      </c>
      <c r="AH285" s="88" t="str">
        <f>IF($A286="","",IF(Summary!$R$12="Y",(VLOOKUP($A285,Summary!$AD$6:$AF$9,3)+'Escalating commodity'!J298),'Escalating commodity'!J298))</f>
        <v/>
      </c>
      <c r="AI285" s="88" t="str">
        <f t="shared" si="192"/>
        <v/>
      </c>
      <c r="AJ285" s="236" t="e">
        <f t="shared" si="177"/>
        <v>#VALUE!</v>
      </c>
      <c r="AK285" s="58" t="str">
        <f t="shared" si="178"/>
        <v/>
      </c>
      <c r="AL285" s="26" t="str">
        <f>IF($A286="","",_xll.SPRDOPT(P285,X285,AI285,0,AB285,AE285,AF285,AK285,$AJ$2,0))</f>
        <v/>
      </c>
      <c r="AM285" s="89" t="str">
        <f t="shared" si="179"/>
        <v/>
      </c>
      <c r="AN285" s="89" t="str">
        <f t="shared" si="180"/>
        <v/>
      </c>
      <c r="AO285" s="3" t="str">
        <f t="shared" si="181"/>
        <v/>
      </c>
      <c r="AP285" s="33" t="str">
        <f t="shared" si="182"/>
        <v/>
      </c>
      <c r="AQ285" s="58" t="str">
        <f t="shared" si="183"/>
        <v/>
      </c>
      <c r="AR285" s="38">
        <f>'ANR OK vs ML7'!AR285</f>
        <v>0.1</v>
      </c>
      <c r="AS285" s="35" t="str">
        <f t="shared" si="184"/>
        <v/>
      </c>
      <c r="AT285" s="3" t="str">
        <f t="shared" si="185"/>
        <v/>
      </c>
      <c r="AU285" s="3" t="str">
        <f t="shared" si="186"/>
        <v/>
      </c>
      <c r="AW285" s="32" t="str">
        <f t="shared" si="187"/>
        <v/>
      </c>
      <c r="AX285" s="32" t="str">
        <f t="shared" si="188"/>
        <v/>
      </c>
      <c r="AY285" s="32" t="str">
        <f t="shared" si="189"/>
        <v/>
      </c>
      <c r="BA285" s="32" t="str">
        <f>IF($A286="","",F285*Summary!$Q$14)</f>
        <v/>
      </c>
    </row>
    <row r="286" spans="1:53" ht="12" customHeight="1">
      <c r="A286" s="67" t="str">
        <f t="shared" si="190"/>
        <v/>
      </c>
      <c r="B286" s="69" t="str">
        <f t="shared" si="191"/>
        <v/>
      </c>
      <c r="C286" s="71"/>
      <c r="D286" s="69" t="str">
        <f t="shared" si="155"/>
        <v/>
      </c>
      <c r="E286" s="70" t="str">
        <f t="shared" si="156"/>
        <v/>
      </c>
      <c r="F286" s="70" t="str">
        <f t="shared" si="157"/>
        <v/>
      </c>
      <c r="G286" s="63" t="str">
        <f t="shared" si="158"/>
        <v/>
      </c>
      <c r="H286" s="64" t="str">
        <f t="shared" si="159"/>
        <v/>
      </c>
      <c r="I286" s="43"/>
      <c r="J286" s="63" t="str">
        <f t="shared" si="160"/>
        <v/>
      </c>
      <c r="K286" s="64" t="str">
        <f t="shared" si="161"/>
        <v/>
      </c>
      <c r="L286" s="38">
        <v>0</v>
      </c>
      <c r="M286" s="64" t="str">
        <f t="shared" si="162"/>
        <v/>
      </c>
      <c r="N286" s="65"/>
      <c r="O286" s="63" t="str">
        <f t="shared" si="163"/>
        <v/>
      </c>
      <c r="P286" s="63" t="str">
        <f t="shared" si="164"/>
        <v/>
      </c>
      <c r="Q286" s="66"/>
      <c r="R286" s="63" t="str">
        <f t="shared" si="165"/>
        <v/>
      </c>
      <c r="S286" s="64" t="str">
        <f t="shared" si="166"/>
        <v/>
      </c>
      <c r="T286" s="63" t="str">
        <f t="shared" si="167"/>
        <v/>
      </c>
      <c r="U286" s="64" t="str">
        <f t="shared" si="168"/>
        <v/>
      </c>
      <c r="V286" s="207" t="str">
        <f>IF($A287="","",IF(AND(MONTH(A286)&gt;3,MONTH(A286)&lt;11),(T286+R286+G286)*(((1/(1-Summary!$T$14))/(1-Summary!$W$14))-1),(T286+R286+G286)*((1/(1-Summary!$U$14))/(1-Summary!$X$14)-1)))</f>
        <v/>
      </c>
      <c r="W286" s="43" t="str">
        <f t="shared" si="169"/>
        <v/>
      </c>
      <c r="X286" s="43" t="str">
        <f t="shared" si="170"/>
        <v/>
      </c>
      <c r="Y286" s="43"/>
      <c r="Z286" s="38" t="str">
        <f t="shared" si="171"/>
        <v/>
      </c>
      <c r="AA286" s="38" t="str">
        <f t="shared" si="172"/>
        <v/>
      </c>
      <c r="AB286" s="38" t="e">
        <f t="shared" si="173"/>
        <v>#VALUE!</v>
      </c>
      <c r="AC286" s="38" t="str">
        <f t="shared" si="174"/>
        <v/>
      </c>
      <c r="AD286" s="38" t="str">
        <f t="shared" si="175"/>
        <v/>
      </c>
      <c r="AE286" s="38" t="e">
        <f t="shared" si="176"/>
        <v>#VALUE!</v>
      </c>
      <c r="AF286" s="237" t="e">
        <f>((Summary!$N$14*(AA286*AD286)*(A286-$D$3))+(Summary!$M$14*Z286*AC286*(AJ286-EOMONTH(EDATE(A286,-1),0))))/(AK286*AB286*AE286)</f>
        <v>#VALUE!</v>
      </c>
      <c r="AG286" s="88" t="str">
        <f>IF($A287="","",Summary!$Q$14)</f>
        <v/>
      </c>
      <c r="AH286" s="88" t="str">
        <f>IF($A287="","",IF(Summary!$R$12="Y",(VLOOKUP($A286,Summary!$AD$6:$AF$9,3)+'Escalating commodity'!J299),'Escalating commodity'!J299))</f>
        <v/>
      </c>
      <c r="AI286" s="88" t="str">
        <f t="shared" si="192"/>
        <v/>
      </c>
      <c r="AJ286" s="236" t="e">
        <f t="shared" si="177"/>
        <v>#VALUE!</v>
      </c>
      <c r="AK286" s="58" t="str">
        <f t="shared" si="178"/>
        <v/>
      </c>
      <c r="AL286" s="26" t="str">
        <f>IF($A287="","",_xll.SPRDOPT(P286,X286,AI286,0,AB286,AE286,AF286,AK286,$AJ$2,0))</f>
        <v/>
      </c>
      <c r="AM286" s="89" t="str">
        <f t="shared" si="179"/>
        <v/>
      </c>
      <c r="AN286" s="89" t="str">
        <f t="shared" si="180"/>
        <v/>
      </c>
      <c r="AO286" s="3" t="str">
        <f t="shared" si="181"/>
        <v/>
      </c>
      <c r="AP286" s="33" t="str">
        <f t="shared" si="182"/>
        <v/>
      </c>
      <c r="AQ286" s="58" t="str">
        <f t="shared" si="183"/>
        <v/>
      </c>
      <c r="AR286" s="38">
        <f>'ANR OK vs ML7'!AR286</f>
        <v>0.1</v>
      </c>
      <c r="AS286" s="35" t="str">
        <f t="shared" si="184"/>
        <v/>
      </c>
      <c r="AT286" s="3" t="str">
        <f t="shared" si="185"/>
        <v/>
      </c>
      <c r="AU286" s="3" t="str">
        <f t="shared" si="186"/>
        <v/>
      </c>
      <c r="AW286" s="32" t="str">
        <f t="shared" si="187"/>
        <v/>
      </c>
      <c r="AX286" s="32" t="str">
        <f t="shared" si="188"/>
        <v/>
      </c>
      <c r="AY286" s="32" t="str">
        <f t="shared" si="189"/>
        <v/>
      </c>
      <c r="BA286" s="32" t="str">
        <f>IF($A287="","",F286*Summary!$Q$14)</f>
        <v/>
      </c>
    </row>
    <row r="287" spans="1:53" ht="12" customHeight="1">
      <c r="A287" s="67" t="str">
        <f t="shared" si="190"/>
        <v/>
      </c>
      <c r="B287" s="69" t="str">
        <f t="shared" si="191"/>
        <v/>
      </c>
      <c r="C287" s="71"/>
      <c r="D287" s="69" t="str">
        <f t="shared" si="155"/>
        <v/>
      </c>
      <c r="E287" s="70" t="str">
        <f t="shared" si="156"/>
        <v/>
      </c>
      <c r="F287" s="70" t="str">
        <f t="shared" si="157"/>
        <v/>
      </c>
      <c r="G287" s="63" t="str">
        <f t="shared" si="158"/>
        <v/>
      </c>
      <c r="H287" s="64" t="str">
        <f t="shared" si="159"/>
        <v/>
      </c>
      <c r="I287" s="43"/>
      <c r="J287" s="63" t="str">
        <f t="shared" si="160"/>
        <v/>
      </c>
      <c r="K287" s="64" t="str">
        <f t="shared" si="161"/>
        <v/>
      </c>
      <c r="L287" s="38">
        <v>0</v>
      </c>
      <c r="M287" s="64" t="str">
        <f t="shared" si="162"/>
        <v/>
      </c>
      <c r="N287" s="65"/>
      <c r="O287" s="63" t="str">
        <f t="shared" si="163"/>
        <v/>
      </c>
      <c r="P287" s="63" t="str">
        <f t="shared" si="164"/>
        <v/>
      </c>
      <c r="Q287" s="66"/>
      <c r="R287" s="63" t="str">
        <f t="shared" si="165"/>
        <v/>
      </c>
      <c r="S287" s="64" t="str">
        <f t="shared" si="166"/>
        <v/>
      </c>
      <c r="T287" s="63" t="str">
        <f t="shared" si="167"/>
        <v/>
      </c>
      <c r="U287" s="64" t="str">
        <f t="shared" si="168"/>
        <v/>
      </c>
      <c r="V287" s="207" t="str">
        <f>IF($A288="","",IF(AND(MONTH(A287)&gt;3,MONTH(A287)&lt;11),(T287+R287+G287)*(((1/(1-Summary!$T$14))/(1-Summary!$W$14))-1),(T287+R287+G287)*((1/(1-Summary!$U$14))/(1-Summary!$X$14)-1)))</f>
        <v/>
      </c>
      <c r="W287" s="43" t="str">
        <f t="shared" si="169"/>
        <v/>
      </c>
      <c r="X287" s="43" t="str">
        <f t="shared" si="170"/>
        <v/>
      </c>
      <c r="Y287" s="43"/>
      <c r="Z287" s="38" t="str">
        <f t="shared" si="171"/>
        <v/>
      </c>
      <c r="AA287" s="38" t="str">
        <f t="shared" si="172"/>
        <v/>
      </c>
      <c r="AB287" s="38" t="e">
        <f t="shared" si="173"/>
        <v>#VALUE!</v>
      </c>
      <c r="AC287" s="38" t="str">
        <f t="shared" si="174"/>
        <v/>
      </c>
      <c r="AD287" s="38" t="str">
        <f t="shared" si="175"/>
        <v/>
      </c>
      <c r="AE287" s="38" t="e">
        <f t="shared" si="176"/>
        <v>#VALUE!</v>
      </c>
      <c r="AF287" s="237" t="e">
        <f>((Summary!$N$14*(AA287*AD287)*(A287-$D$3))+(Summary!$M$14*Z287*AC287*(AJ287-EOMONTH(EDATE(A287,-1),0))))/(AK287*AB287*AE287)</f>
        <v>#VALUE!</v>
      </c>
      <c r="AG287" s="88" t="str">
        <f>IF($A288="","",Summary!$Q$14)</f>
        <v/>
      </c>
      <c r="AH287" s="88" t="str">
        <f>IF($A288="","",IF(Summary!$R$12="Y",(VLOOKUP($A287,Summary!$AD$6:$AF$9,3)+'Escalating commodity'!J300),'Escalating commodity'!J300))</f>
        <v/>
      </c>
      <c r="AI287" s="88" t="str">
        <f t="shared" si="192"/>
        <v/>
      </c>
      <c r="AJ287" s="236" t="e">
        <f t="shared" si="177"/>
        <v>#VALUE!</v>
      </c>
      <c r="AK287" s="58" t="str">
        <f t="shared" si="178"/>
        <v/>
      </c>
      <c r="AL287" s="26" t="str">
        <f>IF($A288="","",_xll.SPRDOPT(P287,X287,AI287,0,AB287,AE287,AF287,AK287,$AJ$2,0))</f>
        <v/>
      </c>
      <c r="AM287" s="89" t="str">
        <f t="shared" si="179"/>
        <v/>
      </c>
      <c r="AN287" s="89" t="str">
        <f t="shared" si="180"/>
        <v/>
      </c>
      <c r="AO287" s="3" t="str">
        <f t="shared" si="181"/>
        <v/>
      </c>
      <c r="AP287" s="33" t="str">
        <f t="shared" si="182"/>
        <v/>
      </c>
      <c r="AQ287" s="58" t="str">
        <f t="shared" si="183"/>
        <v/>
      </c>
      <c r="AR287" s="38">
        <f>'ANR OK vs ML7'!AR287</f>
        <v>0.1</v>
      </c>
      <c r="AS287" s="35" t="str">
        <f t="shared" si="184"/>
        <v/>
      </c>
      <c r="AT287" s="3" t="str">
        <f t="shared" si="185"/>
        <v/>
      </c>
      <c r="AU287" s="3" t="str">
        <f t="shared" si="186"/>
        <v/>
      </c>
      <c r="AW287" s="32" t="str">
        <f t="shared" si="187"/>
        <v/>
      </c>
      <c r="AX287" s="32" t="str">
        <f t="shared" si="188"/>
        <v/>
      </c>
      <c r="AY287" s="32" t="str">
        <f t="shared" si="189"/>
        <v/>
      </c>
      <c r="BA287" s="32" t="str">
        <f>IF($A288="","",F287*Summary!$Q$14)</f>
        <v/>
      </c>
    </row>
    <row r="288" spans="1:53" ht="12" customHeight="1">
      <c r="A288" s="67" t="str">
        <f t="shared" si="190"/>
        <v/>
      </c>
      <c r="B288" s="69" t="str">
        <f t="shared" si="191"/>
        <v/>
      </c>
      <c r="C288" s="71"/>
      <c r="D288" s="69" t="str">
        <f t="shared" si="155"/>
        <v/>
      </c>
      <c r="E288" s="70" t="str">
        <f t="shared" si="156"/>
        <v/>
      </c>
      <c r="F288" s="70" t="str">
        <f t="shared" si="157"/>
        <v/>
      </c>
      <c r="G288" s="63" t="str">
        <f t="shared" si="158"/>
        <v/>
      </c>
      <c r="H288" s="64" t="str">
        <f t="shared" si="159"/>
        <v/>
      </c>
      <c r="I288" s="43"/>
      <c r="J288" s="63" t="str">
        <f t="shared" si="160"/>
        <v/>
      </c>
      <c r="K288" s="64" t="str">
        <f t="shared" si="161"/>
        <v/>
      </c>
      <c r="L288" s="38">
        <v>0</v>
      </c>
      <c r="M288" s="64" t="str">
        <f t="shared" si="162"/>
        <v/>
      </c>
      <c r="N288" s="65"/>
      <c r="O288" s="63" t="str">
        <f t="shared" si="163"/>
        <v/>
      </c>
      <c r="P288" s="63" t="str">
        <f t="shared" si="164"/>
        <v/>
      </c>
      <c r="Q288" s="66"/>
      <c r="R288" s="63" t="str">
        <f t="shared" si="165"/>
        <v/>
      </c>
      <c r="S288" s="64" t="str">
        <f t="shared" si="166"/>
        <v/>
      </c>
      <c r="T288" s="63" t="str">
        <f t="shared" si="167"/>
        <v/>
      </c>
      <c r="U288" s="64" t="str">
        <f t="shared" si="168"/>
        <v/>
      </c>
      <c r="V288" s="207" t="str">
        <f>IF($A289="","",IF(AND(MONTH(A288)&gt;3,MONTH(A288)&lt;11),(T288+R288+G288)*(((1/(1-Summary!$T$14))/(1-Summary!$W$14))-1),(T288+R288+G288)*((1/(1-Summary!$U$14))/(1-Summary!$X$14)-1)))</f>
        <v/>
      </c>
      <c r="W288" s="43" t="str">
        <f t="shared" si="169"/>
        <v/>
      </c>
      <c r="X288" s="43" t="str">
        <f t="shared" si="170"/>
        <v/>
      </c>
      <c r="Y288" s="43"/>
      <c r="Z288" s="38" t="str">
        <f t="shared" si="171"/>
        <v/>
      </c>
      <c r="AA288" s="38" t="str">
        <f t="shared" si="172"/>
        <v/>
      </c>
      <c r="AB288" s="38" t="e">
        <f t="shared" si="173"/>
        <v>#VALUE!</v>
      </c>
      <c r="AC288" s="38" t="str">
        <f t="shared" si="174"/>
        <v/>
      </c>
      <c r="AD288" s="38" t="str">
        <f t="shared" si="175"/>
        <v/>
      </c>
      <c r="AE288" s="38" t="e">
        <f t="shared" si="176"/>
        <v>#VALUE!</v>
      </c>
      <c r="AF288" s="237" t="e">
        <f>((Summary!$N$14*(AA288*AD288)*(A288-$D$3))+(Summary!$M$14*Z288*AC288*(AJ288-EOMONTH(EDATE(A288,-1),0))))/(AK288*AB288*AE288)</f>
        <v>#VALUE!</v>
      </c>
      <c r="AG288" s="88" t="str">
        <f>IF($A289="","",Summary!$Q$14)</f>
        <v/>
      </c>
      <c r="AH288" s="88" t="str">
        <f>IF($A289="","",IF(Summary!$R$12="Y",(VLOOKUP($A288,Summary!$AD$6:$AF$9,3)+'Escalating commodity'!J301),'Escalating commodity'!J301))</f>
        <v/>
      </c>
      <c r="AI288" s="88" t="str">
        <f t="shared" si="192"/>
        <v/>
      </c>
      <c r="AJ288" s="236" t="e">
        <f t="shared" si="177"/>
        <v>#VALUE!</v>
      </c>
      <c r="AK288" s="58" t="str">
        <f t="shared" si="178"/>
        <v/>
      </c>
      <c r="AL288" s="26" t="str">
        <f>IF($A289="","",_xll.SPRDOPT(P288,X288,AI288,0,AB288,AE288,AF288,AK288,$AJ$2,0))</f>
        <v/>
      </c>
      <c r="AM288" s="89" t="str">
        <f t="shared" si="179"/>
        <v/>
      </c>
      <c r="AN288" s="89" t="str">
        <f t="shared" si="180"/>
        <v/>
      </c>
      <c r="AO288" s="3" t="str">
        <f t="shared" si="181"/>
        <v/>
      </c>
      <c r="AP288" s="33" t="str">
        <f t="shared" si="182"/>
        <v/>
      </c>
      <c r="AQ288" s="58" t="str">
        <f t="shared" si="183"/>
        <v/>
      </c>
      <c r="AR288" s="38">
        <f>'ANR OK vs ML7'!AR288</f>
        <v>0.1</v>
      </c>
      <c r="AS288" s="35" t="str">
        <f t="shared" si="184"/>
        <v/>
      </c>
      <c r="AT288" s="3" t="str">
        <f t="shared" si="185"/>
        <v/>
      </c>
      <c r="AU288" s="3" t="str">
        <f t="shared" si="186"/>
        <v/>
      </c>
      <c r="AW288" s="32" t="str">
        <f t="shared" si="187"/>
        <v/>
      </c>
      <c r="AX288" s="32" t="str">
        <f t="shared" si="188"/>
        <v/>
      </c>
      <c r="AY288" s="32" t="str">
        <f t="shared" si="189"/>
        <v/>
      </c>
      <c r="BA288" s="32" t="str">
        <f>IF($A289="","",F288*Summary!$Q$14)</f>
        <v/>
      </c>
    </row>
    <row r="289" spans="1:53" ht="12" customHeight="1">
      <c r="A289" s="67" t="str">
        <f t="shared" si="190"/>
        <v/>
      </c>
      <c r="B289" s="69" t="str">
        <f t="shared" si="191"/>
        <v/>
      </c>
      <c r="C289" s="71"/>
      <c r="D289" s="69" t="str">
        <f t="shared" si="155"/>
        <v/>
      </c>
      <c r="E289" s="70" t="str">
        <f t="shared" si="156"/>
        <v/>
      </c>
      <c r="F289" s="70" t="str">
        <f t="shared" si="157"/>
        <v/>
      </c>
      <c r="G289" s="63" t="str">
        <f t="shared" si="158"/>
        <v/>
      </c>
      <c r="H289" s="64" t="str">
        <f t="shared" si="159"/>
        <v/>
      </c>
      <c r="I289" s="43"/>
      <c r="J289" s="63" t="str">
        <f t="shared" si="160"/>
        <v/>
      </c>
      <c r="K289" s="64" t="str">
        <f t="shared" si="161"/>
        <v/>
      </c>
      <c r="L289" s="38">
        <v>0</v>
      </c>
      <c r="M289" s="64" t="str">
        <f t="shared" si="162"/>
        <v/>
      </c>
      <c r="N289" s="65"/>
      <c r="O289" s="63" t="str">
        <f t="shared" si="163"/>
        <v/>
      </c>
      <c r="P289" s="63" t="str">
        <f t="shared" si="164"/>
        <v/>
      </c>
      <c r="Q289" s="66"/>
      <c r="R289" s="63" t="str">
        <f t="shared" si="165"/>
        <v/>
      </c>
      <c r="S289" s="64" t="str">
        <f t="shared" si="166"/>
        <v/>
      </c>
      <c r="T289" s="63" t="str">
        <f t="shared" si="167"/>
        <v/>
      </c>
      <c r="U289" s="64" t="str">
        <f t="shared" si="168"/>
        <v/>
      </c>
      <c r="V289" s="207" t="str">
        <f>IF($A290="","",IF(AND(MONTH(A289)&gt;3,MONTH(A289)&lt;11),(T289+R289+G289)*(((1/(1-Summary!$T$14))/(1-Summary!$W$14))-1),(T289+R289+G289)*((1/(1-Summary!$U$14))/(1-Summary!$X$14)-1)))</f>
        <v/>
      </c>
      <c r="W289" s="43" t="str">
        <f t="shared" si="169"/>
        <v/>
      </c>
      <c r="X289" s="43" t="str">
        <f t="shared" si="170"/>
        <v/>
      </c>
      <c r="Y289" s="43"/>
      <c r="Z289" s="38" t="str">
        <f t="shared" si="171"/>
        <v/>
      </c>
      <c r="AA289" s="38" t="str">
        <f t="shared" si="172"/>
        <v/>
      </c>
      <c r="AB289" s="38" t="e">
        <f t="shared" si="173"/>
        <v>#VALUE!</v>
      </c>
      <c r="AC289" s="38" t="str">
        <f t="shared" si="174"/>
        <v/>
      </c>
      <c r="AD289" s="38" t="str">
        <f t="shared" si="175"/>
        <v/>
      </c>
      <c r="AE289" s="38" t="e">
        <f t="shared" si="176"/>
        <v>#VALUE!</v>
      </c>
      <c r="AF289" s="237" t="e">
        <f>((Summary!$N$14*(AA289*AD289)*(A289-$D$3))+(Summary!$M$14*Z289*AC289*(AJ289-EOMONTH(EDATE(A289,-1),0))))/(AK289*AB289*AE289)</f>
        <v>#VALUE!</v>
      </c>
      <c r="AG289" s="88" t="str">
        <f>IF($A290="","",Summary!$Q$14)</f>
        <v/>
      </c>
      <c r="AH289" s="88" t="str">
        <f>IF($A290="","",IF(Summary!$R$12="Y",(VLOOKUP($A289,Summary!$AD$6:$AF$9,3)+'Escalating commodity'!J302),'Escalating commodity'!J302))</f>
        <v/>
      </c>
      <c r="AI289" s="88" t="str">
        <f t="shared" si="192"/>
        <v/>
      </c>
      <c r="AJ289" s="236" t="e">
        <f t="shared" si="177"/>
        <v>#VALUE!</v>
      </c>
      <c r="AK289" s="58" t="str">
        <f t="shared" si="178"/>
        <v/>
      </c>
      <c r="AL289" s="26" t="str">
        <f>IF($A290="","",_xll.SPRDOPT(P289,X289,AI289,0,AB289,AE289,AF289,AK289,$AJ$2,0))</f>
        <v/>
      </c>
      <c r="AM289" s="89" t="str">
        <f t="shared" si="179"/>
        <v/>
      </c>
      <c r="AN289" s="89" t="str">
        <f t="shared" si="180"/>
        <v/>
      </c>
      <c r="AO289" s="3" t="str">
        <f t="shared" si="181"/>
        <v/>
      </c>
      <c r="AP289" s="33" t="str">
        <f t="shared" si="182"/>
        <v/>
      </c>
      <c r="AQ289" s="58" t="str">
        <f t="shared" si="183"/>
        <v/>
      </c>
      <c r="AR289" s="38">
        <f>'ANR OK vs ML7'!AR289</f>
        <v>0.1</v>
      </c>
      <c r="AS289" s="35" t="str">
        <f t="shared" si="184"/>
        <v/>
      </c>
      <c r="AT289" s="3" t="str">
        <f t="shared" si="185"/>
        <v/>
      </c>
      <c r="AU289" s="3" t="str">
        <f t="shared" si="186"/>
        <v/>
      </c>
      <c r="AW289" s="32" t="str">
        <f t="shared" si="187"/>
        <v/>
      </c>
      <c r="AX289" s="32" t="str">
        <f t="shared" si="188"/>
        <v/>
      </c>
      <c r="AY289" s="32" t="str">
        <f t="shared" si="189"/>
        <v/>
      </c>
      <c r="BA289" s="32" t="str">
        <f>IF($A290="","",F289*Summary!$Q$14)</f>
        <v/>
      </c>
    </row>
    <row r="290" spans="1:53" ht="12" customHeight="1">
      <c r="A290" s="67" t="str">
        <f t="shared" si="190"/>
        <v/>
      </c>
      <c r="B290" s="69" t="str">
        <f t="shared" si="191"/>
        <v/>
      </c>
      <c r="C290" s="71"/>
      <c r="D290" s="69" t="str">
        <f t="shared" si="155"/>
        <v/>
      </c>
      <c r="E290" s="70" t="str">
        <f t="shared" si="156"/>
        <v/>
      </c>
      <c r="F290" s="70" t="str">
        <f t="shared" si="157"/>
        <v/>
      </c>
      <c r="G290" s="63" t="str">
        <f t="shared" si="158"/>
        <v/>
      </c>
      <c r="H290" s="64" t="str">
        <f t="shared" si="159"/>
        <v/>
      </c>
      <c r="I290" s="43"/>
      <c r="J290" s="63" t="str">
        <f t="shared" si="160"/>
        <v/>
      </c>
      <c r="K290" s="64" t="str">
        <f t="shared" si="161"/>
        <v/>
      </c>
      <c r="L290" s="38">
        <v>0</v>
      </c>
      <c r="M290" s="64" t="str">
        <f t="shared" si="162"/>
        <v/>
      </c>
      <c r="N290" s="65"/>
      <c r="O290" s="63" t="str">
        <f t="shared" si="163"/>
        <v/>
      </c>
      <c r="P290" s="63" t="str">
        <f t="shared" si="164"/>
        <v/>
      </c>
      <c r="Q290" s="66"/>
      <c r="R290" s="63" t="str">
        <f t="shared" si="165"/>
        <v/>
      </c>
      <c r="S290" s="64" t="str">
        <f t="shared" si="166"/>
        <v/>
      </c>
      <c r="T290" s="63" t="str">
        <f t="shared" si="167"/>
        <v/>
      </c>
      <c r="U290" s="64" t="str">
        <f t="shared" si="168"/>
        <v/>
      </c>
      <c r="V290" s="207" t="str">
        <f>IF($A291="","",IF(AND(MONTH(A290)&gt;3,MONTH(A290)&lt;11),(T290+R290+G290)*(((1/(1-Summary!$T$14))/(1-Summary!$W$14))-1),(T290+R290+G290)*((1/(1-Summary!$U$14))/(1-Summary!$X$14)-1)))</f>
        <v/>
      </c>
      <c r="W290" s="43" t="str">
        <f t="shared" si="169"/>
        <v/>
      </c>
      <c r="X290" s="43" t="str">
        <f t="shared" si="170"/>
        <v/>
      </c>
      <c r="Y290" s="43"/>
      <c r="Z290" s="38" t="str">
        <f t="shared" si="171"/>
        <v/>
      </c>
      <c r="AA290" s="38" t="str">
        <f t="shared" si="172"/>
        <v/>
      </c>
      <c r="AB290" s="38" t="e">
        <f t="shared" si="173"/>
        <v>#VALUE!</v>
      </c>
      <c r="AC290" s="38" t="str">
        <f t="shared" si="174"/>
        <v/>
      </c>
      <c r="AD290" s="38" t="str">
        <f t="shared" si="175"/>
        <v/>
      </c>
      <c r="AE290" s="38" t="e">
        <f t="shared" si="176"/>
        <v>#VALUE!</v>
      </c>
      <c r="AF290" s="237" t="e">
        <f>((Summary!$N$14*(AA290*AD290)*(A290-$D$3))+(Summary!$M$14*Z290*AC290*(AJ290-EOMONTH(EDATE(A290,-1),0))))/(AK290*AB290*AE290)</f>
        <v>#VALUE!</v>
      </c>
      <c r="AG290" s="88" t="str">
        <f>IF($A291="","",Summary!$Q$14)</f>
        <v/>
      </c>
      <c r="AH290" s="88" t="str">
        <f>IF($A291="","",IF(Summary!$R$12="Y",(VLOOKUP($A290,Summary!$AD$6:$AF$9,3)+'Escalating commodity'!J303),'Escalating commodity'!J303))</f>
        <v/>
      </c>
      <c r="AI290" s="88" t="str">
        <f t="shared" si="192"/>
        <v/>
      </c>
      <c r="AJ290" s="236" t="e">
        <f t="shared" si="177"/>
        <v>#VALUE!</v>
      </c>
      <c r="AK290" s="58" t="str">
        <f t="shared" si="178"/>
        <v/>
      </c>
      <c r="AL290" s="26" t="str">
        <f>IF($A291="","",_xll.SPRDOPT(P290,X290,AI290,0,AB290,AE290,AF290,AK290,$AJ$2,0))</f>
        <v/>
      </c>
      <c r="AM290" s="89" t="str">
        <f t="shared" si="179"/>
        <v/>
      </c>
      <c r="AN290" s="89" t="str">
        <f t="shared" si="180"/>
        <v/>
      </c>
      <c r="AO290" s="3" t="str">
        <f t="shared" si="181"/>
        <v/>
      </c>
      <c r="AP290" s="33" t="str">
        <f t="shared" si="182"/>
        <v/>
      </c>
      <c r="AQ290" s="58" t="str">
        <f t="shared" si="183"/>
        <v/>
      </c>
      <c r="AR290" s="38">
        <f>'ANR OK vs ML7'!AR290</f>
        <v>0.1</v>
      </c>
      <c r="AS290" s="35" t="str">
        <f t="shared" si="184"/>
        <v/>
      </c>
      <c r="AT290" s="3" t="str">
        <f t="shared" si="185"/>
        <v/>
      </c>
      <c r="AU290" s="3" t="str">
        <f t="shared" si="186"/>
        <v/>
      </c>
      <c r="AW290" s="32" t="str">
        <f t="shared" si="187"/>
        <v/>
      </c>
      <c r="AX290" s="32" t="str">
        <f t="shared" si="188"/>
        <v/>
      </c>
      <c r="AY290" s="32" t="str">
        <f t="shared" si="189"/>
        <v/>
      </c>
      <c r="BA290" s="32" t="str">
        <f>IF($A291="","",F290*Summary!$Q$14)</f>
        <v/>
      </c>
    </row>
    <row r="291" spans="1:53" ht="12" customHeight="1">
      <c r="A291" s="67" t="str">
        <f t="shared" si="190"/>
        <v/>
      </c>
      <c r="B291" s="69" t="str">
        <f t="shared" si="191"/>
        <v/>
      </c>
      <c r="C291" s="71"/>
      <c r="D291" s="69" t="str">
        <f t="shared" si="155"/>
        <v/>
      </c>
      <c r="E291" s="70" t="str">
        <f t="shared" si="156"/>
        <v/>
      </c>
      <c r="F291" s="70" t="str">
        <f t="shared" si="157"/>
        <v/>
      </c>
      <c r="G291" s="63" t="str">
        <f t="shared" si="158"/>
        <v/>
      </c>
      <c r="H291" s="64" t="str">
        <f t="shared" si="159"/>
        <v/>
      </c>
      <c r="I291" s="43"/>
      <c r="J291" s="63" t="str">
        <f t="shared" si="160"/>
        <v/>
      </c>
      <c r="K291" s="64" t="str">
        <f t="shared" si="161"/>
        <v/>
      </c>
      <c r="L291" s="38">
        <v>0</v>
      </c>
      <c r="M291" s="64" t="str">
        <f t="shared" si="162"/>
        <v/>
      </c>
      <c r="N291" s="65"/>
      <c r="O291" s="63" t="str">
        <f t="shared" si="163"/>
        <v/>
      </c>
      <c r="P291" s="63" t="str">
        <f t="shared" si="164"/>
        <v/>
      </c>
      <c r="Q291" s="66"/>
      <c r="R291" s="63" t="str">
        <f t="shared" si="165"/>
        <v/>
      </c>
      <c r="S291" s="64" t="str">
        <f t="shared" si="166"/>
        <v/>
      </c>
      <c r="T291" s="63" t="str">
        <f t="shared" si="167"/>
        <v/>
      </c>
      <c r="U291" s="64" t="str">
        <f t="shared" si="168"/>
        <v/>
      </c>
      <c r="V291" s="207" t="str">
        <f>IF($A292="","",IF(AND(MONTH(A291)&gt;3,MONTH(A291)&lt;11),(T291+R291+G291)*(((1/(1-Summary!$T$14))/(1-Summary!$W$14))-1),(T291+R291+G291)*((1/(1-Summary!$U$14))/(1-Summary!$X$14)-1)))</f>
        <v/>
      </c>
      <c r="W291" s="43" t="str">
        <f t="shared" si="169"/>
        <v/>
      </c>
      <c r="X291" s="43" t="str">
        <f t="shared" si="170"/>
        <v/>
      </c>
      <c r="Y291" s="43"/>
      <c r="Z291" s="38" t="str">
        <f t="shared" si="171"/>
        <v/>
      </c>
      <c r="AA291" s="38" t="str">
        <f t="shared" si="172"/>
        <v/>
      </c>
      <c r="AB291" s="38" t="e">
        <f t="shared" si="173"/>
        <v>#VALUE!</v>
      </c>
      <c r="AC291" s="38" t="str">
        <f t="shared" si="174"/>
        <v/>
      </c>
      <c r="AD291" s="38" t="str">
        <f t="shared" si="175"/>
        <v/>
      </c>
      <c r="AE291" s="38" t="e">
        <f t="shared" si="176"/>
        <v>#VALUE!</v>
      </c>
      <c r="AF291" s="237" t="e">
        <f>((Summary!$N$14*(AA291*AD291)*(A291-$D$3))+(Summary!$M$14*Z291*AC291*(AJ291-EOMONTH(EDATE(A291,-1),0))))/(AK291*AB291*AE291)</f>
        <v>#VALUE!</v>
      </c>
      <c r="AG291" s="88" t="str">
        <f>IF($A292="","",Summary!$Q$14)</f>
        <v/>
      </c>
      <c r="AH291" s="88" t="str">
        <f>IF($A292="","",IF(Summary!$R$12="Y",(VLOOKUP($A291,Summary!$AD$6:$AF$9,3)+'Escalating commodity'!J304),'Escalating commodity'!J304))</f>
        <v/>
      </c>
      <c r="AI291" s="88" t="str">
        <f t="shared" si="192"/>
        <v/>
      </c>
      <c r="AJ291" s="236" t="e">
        <f t="shared" si="177"/>
        <v>#VALUE!</v>
      </c>
      <c r="AK291" s="58" t="str">
        <f t="shared" si="178"/>
        <v/>
      </c>
      <c r="AL291" s="26" t="str">
        <f>IF($A292="","",_xll.SPRDOPT(P291,X291,AI291,0,AB291,AE291,AF291,AK291,$AJ$2,0))</f>
        <v/>
      </c>
      <c r="AM291" s="89" t="str">
        <f t="shared" si="179"/>
        <v/>
      </c>
      <c r="AN291" s="89" t="str">
        <f t="shared" si="180"/>
        <v/>
      </c>
      <c r="AO291" s="3" t="str">
        <f t="shared" si="181"/>
        <v/>
      </c>
      <c r="AP291" s="33" t="str">
        <f t="shared" si="182"/>
        <v/>
      </c>
      <c r="AQ291" s="58" t="str">
        <f t="shared" si="183"/>
        <v/>
      </c>
      <c r="AR291" s="38">
        <f>'ANR OK vs ML7'!AR291</f>
        <v>0.1</v>
      </c>
      <c r="AS291" s="35" t="str">
        <f t="shared" si="184"/>
        <v/>
      </c>
      <c r="AT291" s="3" t="str">
        <f t="shared" si="185"/>
        <v/>
      </c>
      <c r="AU291" s="3" t="str">
        <f t="shared" si="186"/>
        <v/>
      </c>
      <c r="AW291" s="32" t="str">
        <f t="shared" si="187"/>
        <v/>
      </c>
      <c r="AX291" s="32" t="str">
        <f t="shared" si="188"/>
        <v/>
      </c>
      <c r="AY291" s="32" t="str">
        <f t="shared" si="189"/>
        <v/>
      </c>
      <c r="BA291" s="32" t="str">
        <f>IF($A292="","",F291*Summary!$Q$14)</f>
        <v/>
      </c>
    </row>
    <row r="292" spans="1:53" ht="12" customHeight="1">
      <c r="A292" s="67" t="str">
        <f t="shared" si="190"/>
        <v/>
      </c>
      <c r="B292" s="69" t="str">
        <f t="shared" si="191"/>
        <v/>
      </c>
      <c r="C292" s="71"/>
      <c r="D292" s="69" t="str">
        <f t="shared" si="155"/>
        <v/>
      </c>
      <c r="E292" s="70" t="str">
        <f t="shared" si="156"/>
        <v/>
      </c>
      <c r="F292" s="70" t="str">
        <f t="shared" si="157"/>
        <v/>
      </c>
      <c r="G292" s="63" t="str">
        <f t="shared" si="158"/>
        <v/>
      </c>
      <c r="H292" s="64" t="str">
        <f t="shared" si="159"/>
        <v/>
      </c>
      <c r="I292" s="43"/>
      <c r="J292" s="63" t="str">
        <f t="shared" si="160"/>
        <v/>
      </c>
      <c r="K292" s="64" t="str">
        <f t="shared" si="161"/>
        <v/>
      </c>
      <c r="L292" s="38">
        <v>0</v>
      </c>
      <c r="M292" s="64" t="str">
        <f t="shared" si="162"/>
        <v/>
      </c>
      <c r="N292" s="65"/>
      <c r="O292" s="63" t="str">
        <f t="shared" si="163"/>
        <v/>
      </c>
      <c r="P292" s="63" t="str">
        <f t="shared" si="164"/>
        <v/>
      </c>
      <c r="Q292" s="66"/>
      <c r="R292" s="63" t="str">
        <f t="shared" si="165"/>
        <v/>
      </c>
      <c r="S292" s="64" t="str">
        <f t="shared" si="166"/>
        <v/>
      </c>
      <c r="T292" s="63" t="str">
        <f t="shared" si="167"/>
        <v/>
      </c>
      <c r="U292" s="64" t="str">
        <f t="shared" si="168"/>
        <v/>
      </c>
      <c r="V292" s="207" t="str">
        <f>IF($A293="","",IF(AND(MONTH(A292)&gt;3,MONTH(A292)&lt;11),(T292+R292+G292)*(((1/(1-Summary!$T$14))/(1-Summary!$W$14))-1),(T292+R292+G292)*((1/(1-Summary!$U$14))/(1-Summary!$X$14)-1)))</f>
        <v/>
      </c>
      <c r="W292" s="43" t="str">
        <f t="shared" si="169"/>
        <v/>
      </c>
      <c r="X292" s="43" t="str">
        <f t="shared" si="170"/>
        <v/>
      </c>
      <c r="Y292" s="43"/>
      <c r="Z292" s="38" t="str">
        <f t="shared" si="171"/>
        <v/>
      </c>
      <c r="AA292" s="38" t="str">
        <f t="shared" si="172"/>
        <v/>
      </c>
      <c r="AB292" s="38" t="e">
        <f t="shared" si="173"/>
        <v>#VALUE!</v>
      </c>
      <c r="AC292" s="38" t="str">
        <f t="shared" si="174"/>
        <v/>
      </c>
      <c r="AD292" s="38" t="str">
        <f t="shared" si="175"/>
        <v/>
      </c>
      <c r="AE292" s="38" t="e">
        <f t="shared" si="176"/>
        <v>#VALUE!</v>
      </c>
      <c r="AF292" s="237" t="e">
        <f>((Summary!$N$14*(AA292*AD292)*(A292-$D$3))+(Summary!$M$14*Z292*AC292*(AJ292-EOMONTH(EDATE(A292,-1),0))))/(AK292*AB292*AE292)</f>
        <v>#VALUE!</v>
      </c>
      <c r="AG292" s="88" t="str">
        <f>IF($A293="","",Summary!$Q$14)</f>
        <v/>
      </c>
      <c r="AH292" s="88" t="str">
        <f>IF($A293="","",IF(Summary!$R$12="Y",(VLOOKUP($A292,Summary!$AD$6:$AF$9,3)+'Escalating commodity'!J305),'Escalating commodity'!J305))</f>
        <v/>
      </c>
      <c r="AI292" s="88" t="str">
        <f t="shared" si="192"/>
        <v/>
      </c>
      <c r="AJ292" s="236" t="e">
        <f t="shared" si="177"/>
        <v>#VALUE!</v>
      </c>
      <c r="AK292" s="58" t="str">
        <f t="shared" si="178"/>
        <v/>
      </c>
      <c r="AL292" s="26" t="str">
        <f>IF($A293="","",_xll.SPRDOPT(P292,X292,AI292,0,AB292,AE292,AF292,AK292,$AJ$2,0))</f>
        <v/>
      </c>
      <c r="AM292" s="89" t="str">
        <f t="shared" si="179"/>
        <v/>
      </c>
      <c r="AN292" s="89" t="str">
        <f t="shared" si="180"/>
        <v/>
      </c>
      <c r="AO292" s="3" t="str">
        <f t="shared" si="181"/>
        <v/>
      </c>
      <c r="AP292" s="33" t="str">
        <f t="shared" si="182"/>
        <v/>
      </c>
      <c r="AQ292" s="58" t="str">
        <f t="shared" si="183"/>
        <v/>
      </c>
      <c r="AR292" s="38">
        <f>'ANR OK vs ML7'!AR292</f>
        <v>0.1</v>
      </c>
      <c r="AS292" s="35" t="str">
        <f t="shared" si="184"/>
        <v/>
      </c>
      <c r="AT292" s="3" t="str">
        <f t="shared" si="185"/>
        <v/>
      </c>
      <c r="AU292" s="3" t="str">
        <f t="shared" si="186"/>
        <v/>
      </c>
      <c r="AW292" s="32" t="str">
        <f t="shared" si="187"/>
        <v/>
      </c>
      <c r="AX292" s="32" t="str">
        <f t="shared" si="188"/>
        <v/>
      </c>
      <c r="AY292" s="32" t="str">
        <f t="shared" si="189"/>
        <v/>
      </c>
      <c r="BA292" s="32" t="str">
        <f>IF($A293="","",F292*Summary!$Q$14)</f>
        <v/>
      </c>
    </row>
    <row r="293" spans="1:53" ht="12" customHeight="1">
      <c r="A293" s="67" t="str">
        <f t="shared" si="190"/>
        <v/>
      </c>
      <c r="B293" s="69" t="str">
        <f t="shared" si="191"/>
        <v/>
      </c>
      <c r="C293" s="71"/>
      <c r="D293" s="69" t="str">
        <f t="shared" si="155"/>
        <v/>
      </c>
      <c r="E293" s="70" t="str">
        <f t="shared" si="156"/>
        <v/>
      </c>
      <c r="F293" s="70" t="str">
        <f t="shared" si="157"/>
        <v/>
      </c>
      <c r="G293" s="63" t="str">
        <f t="shared" si="158"/>
        <v/>
      </c>
      <c r="H293" s="64" t="str">
        <f t="shared" si="159"/>
        <v/>
      </c>
      <c r="I293" s="43"/>
      <c r="J293" s="63" t="str">
        <f t="shared" si="160"/>
        <v/>
      </c>
      <c r="K293" s="64" t="str">
        <f t="shared" si="161"/>
        <v/>
      </c>
      <c r="L293" s="38">
        <v>0</v>
      </c>
      <c r="M293" s="64" t="str">
        <f t="shared" si="162"/>
        <v/>
      </c>
      <c r="N293" s="65"/>
      <c r="O293" s="63" t="str">
        <f t="shared" si="163"/>
        <v/>
      </c>
      <c r="P293" s="63" t="str">
        <f t="shared" si="164"/>
        <v/>
      </c>
      <c r="Q293" s="66"/>
      <c r="R293" s="63" t="str">
        <f t="shared" si="165"/>
        <v/>
      </c>
      <c r="S293" s="64" t="str">
        <f t="shared" si="166"/>
        <v/>
      </c>
      <c r="T293" s="63" t="str">
        <f t="shared" si="167"/>
        <v/>
      </c>
      <c r="U293" s="64" t="str">
        <f t="shared" si="168"/>
        <v/>
      </c>
      <c r="V293" s="207" t="str">
        <f>IF($A294="","",IF(AND(MONTH(A293)&gt;3,MONTH(A293)&lt;11),(T293+R293+G293)*(((1/(1-Summary!$T$14))/(1-Summary!$W$14))-1),(T293+R293+G293)*((1/(1-Summary!$U$14))/(1-Summary!$X$14)-1)))</f>
        <v/>
      </c>
      <c r="W293" s="43" t="str">
        <f t="shared" si="169"/>
        <v/>
      </c>
      <c r="X293" s="43" t="str">
        <f t="shared" si="170"/>
        <v/>
      </c>
      <c r="Y293" s="43"/>
      <c r="Z293" s="38" t="str">
        <f t="shared" si="171"/>
        <v/>
      </c>
      <c r="AA293" s="38" t="str">
        <f t="shared" si="172"/>
        <v/>
      </c>
      <c r="AB293" s="38" t="e">
        <f t="shared" si="173"/>
        <v>#VALUE!</v>
      </c>
      <c r="AC293" s="38" t="str">
        <f t="shared" si="174"/>
        <v/>
      </c>
      <c r="AD293" s="38" t="str">
        <f t="shared" si="175"/>
        <v/>
      </c>
      <c r="AE293" s="38" t="e">
        <f t="shared" si="176"/>
        <v>#VALUE!</v>
      </c>
      <c r="AF293" s="237" t="e">
        <f>((Summary!$N$14*(AA293*AD293)*(A293-$D$3))+(Summary!$M$14*Z293*AC293*(AJ293-EOMONTH(EDATE(A293,-1),0))))/(AK293*AB293*AE293)</f>
        <v>#VALUE!</v>
      </c>
      <c r="AG293" s="88" t="str">
        <f>IF($A294="","",Summary!$Q$14)</f>
        <v/>
      </c>
      <c r="AH293" s="88" t="str">
        <f>IF($A294="","",IF(Summary!$R$12="Y",(VLOOKUP($A293,Summary!$AD$6:$AF$9,3)+'Escalating commodity'!J306),'Escalating commodity'!J306))</f>
        <v/>
      </c>
      <c r="AI293" s="88" t="str">
        <f t="shared" si="192"/>
        <v/>
      </c>
      <c r="AJ293" s="236" t="e">
        <f t="shared" si="177"/>
        <v>#VALUE!</v>
      </c>
      <c r="AK293" s="58" t="str">
        <f t="shared" si="178"/>
        <v/>
      </c>
      <c r="AL293" s="26" t="str">
        <f>IF($A294="","",_xll.SPRDOPT(P293,X293,AI293,0,AB293,AE293,AF293,AK293,$AJ$2,0))</f>
        <v/>
      </c>
      <c r="AM293" s="89" t="str">
        <f t="shared" si="179"/>
        <v/>
      </c>
      <c r="AN293" s="89" t="str">
        <f t="shared" si="180"/>
        <v/>
      </c>
      <c r="AO293" s="3" t="str">
        <f t="shared" si="181"/>
        <v/>
      </c>
      <c r="AP293" s="33" t="str">
        <f t="shared" si="182"/>
        <v/>
      </c>
      <c r="AQ293" s="58" t="str">
        <f t="shared" si="183"/>
        <v/>
      </c>
      <c r="AR293" s="38">
        <f>'ANR OK vs ML7'!AR293</f>
        <v>0.1</v>
      </c>
      <c r="AS293" s="35" t="str">
        <f t="shared" si="184"/>
        <v/>
      </c>
      <c r="AT293" s="3" t="str">
        <f t="shared" si="185"/>
        <v/>
      </c>
      <c r="AU293" s="3" t="str">
        <f t="shared" si="186"/>
        <v/>
      </c>
      <c r="AW293" s="32" t="str">
        <f t="shared" si="187"/>
        <v/>
      </c>
      <c r="AX293" s="32" t="str">
        <f t="shared" si="188"/>
        <v/>
      </c>
      <c r="AY293" s="32" t="str">
        <f t="shared" si="189"/>
        <v/>
      </c>
      <c r="BA293" s="32" t="str">
        <f>IF($A294="","",F293*Summary!$Q$14)</f>
        <v/>
      </c>
    </row>
    <row r="294" spans="1:53" ht="12" customHeight="1">
      <c r="A294" s="67" t="str">
        <f t="shared" si="190"/>
        <v/>
      </c>
      <c r="B294" s="69" t="str">
        <f t="shared" si="191"/>
        <v/>
      </c>
      <c r="C294" s="71"/>
      <c r="D294" s="69" t="str">
        <f t="shared" si="155"/>
        <v/>
      </c>
      <c r="E294" s="70" t="str">
        <f t="shared" si="156"/>
        <v/>
      </c>
      <c r="F294" s="70" t="str">
        <f t="shared" si="157"/>
        <v/>
      </c>
      <c r="G294" s="63" t="str">
        <f t="shared" si="158"/>
        <v/>
      </c>
      <c r="H294" s="64" t="str">
        <f t="shared" si="159"/>
        <v/>
      </c>
      <c r="I294" s="43"/>
      <c r="J294" s="63" t="str">
        <f t="shared" si="160"/>
        <v/>
      </c>
      <c r="K294" s="64" t="str">
        <f t="shared" si="161"/>
        <v/>
      </c>
      <c r="L294" s="38">
        <v>0</v>
      </c>
      <c r="M294" s="64" t="str">
        <f t="shared" si="162"/>
        <v/>
      </c>
      <c r="N294" s="65"/>
      <c r="O294" s="63" t="str">
        <f t="shared" si="163"/>
        <v/>
      </c>
      <c r="P294" s="63" t="str">
        <f t="shared" si="164"/>
        <v/>
      </c>
      <c r="Q294" s="66"/>
      <c r="R294" s="63" t="str">
        <f t="shared" si="165"/>
        <v/>
      </c>
      <c r="S294" s="64" t="str">
        <f t="shared" si="166"/>
        <v/>
      </c>
      <c r="T294" s="63" t="str">
        <f t="shared" si="167"/>
        <v/>
      </c>
      <c r="U294" s="64" t="str">
        <f t="shared" si="168"/>
        <v/>
      </c>
      <c r="V294" s="207" t="str">
        <f>IF($A295="","",IF(AND(MONTH(A294)&gt;3,MONTH(A294)&lt;11),(T294+R294+G294)*(((1/(1-Summary!$T$14))/(1-Summary!$W$14))-1),(T294+R294+G294)*((1/(1-Summary!$U$14))/(1-Summary!$X$14)-1)))</f>
        <v/>
      </c>
      <c r="W294" s="43" t="str">
        <f t="shared" si="169"/>
        <v/>
      </c>
      <c r="X294" s="43" t="str">
        <f t="shared" si="170"/>
        <v/>
      </c>
      <c r="Y294" s="43"/>
      <c r="Z294" s="38" t="str">
        <f t="shared" si="171"/>
        <v/>
      </c>
      <c r="AA294" s="38" t="str">
        <f t="shared" si="172"/>
        <v/>
      </c>
      <c r="AB294" s="38" t="e">
        <f t="shared" si="173"/>
        <v>#VALUE!</v>
      </c>
      <c r="AC294" s="38" t="str">
        <f t="shared" si="174"/>
        <v/>
      </c>
      <c r="AD294" s="38" t="str">
        <f t="shared" si="175"/>
        <v/>
      </c>
      <c r="AE294" s="38" t="e">
        <f t="shared" si="176"/>
        <v>#VALUE!</v>
      </c>
      <c r="AF294" s="237" t="e">
        <f>((Summary!$N$14*(AA294*AD294)*(A294-$D$3))+(Summary!$M$14*Z294*AC294*(AJ294-EOMONTH(EDATE(A294,-1),0))))/(AK294*AB294*AE294)</f>
        <v>#VALUE!</v>
      </c>
      <c r="AG294" s="88" t="str">
        <f>IF($A295="","",Summary!$Q$14)</f>
        <v/>
      </c>
      <c r="AH294" s="88" t="str">
        <f>IF($A295="","",IF(Summary!$R$12="Y",(VLOOKUP($A294,Summary!$AD$6:$AF$9,3)+'Escalating commodity'!J307),'Escalating commodity'!J307))</f>
        <v/>
      </c>
      <c r="AI294" s="88" t="str">
        <f t="shared" si="192"/>
        <v/>
      </c>
      <c r="AJ294" s="236" t="e">
        <f t="shared" si="177"/>
        <v>#VALUE!</v>
      </c>
      <c r="AK294" s="58" t="str">
        <f t="shared" si="178"/>
        <v/>
      </c>
      <c r="AL294" s="26" t="str">
        <f>IF($A295="","",_xll.SPRDOPT(P294,X294,AI294,0,AB294,AE294,AF294,AK294,$AJ$2,0))</f>
        <v/>
      </c>
      <c r="AM294" s="89" t="str">
        <f t="shared" si="179"/>
        <v/>
      </c>
      <c r="AN294" s="89" t="str">
        <f t="shared" si="180"/>
        <v/>
      </c>
      <c r="AO294" s="3" t="str">
        <f t="shared" si="181"/>
        <v/>
      </c>
      <c r="AP294" s="33" t="str">
        <f t="shared" si="182"/>
        <v/>
      </c>
      <c r="AQ294" s="58" t="str">
        <f t="shared" si="183"/>
        <v/>
      </c>
      <c r="AR294" s="38">
        <f>'ANR OK vs ML7'!AR294</f>
        <v>0.1</v>
      </c>
      <c r="AS294" s="35" t="str">
        <f t="shared" si="184"/>
        <v/>
      </c>
      <c r="AT294" s="3" t="str">
        <f t="shared" si="185"/>
        <v/>
      </c>
      <c r="AU294" s="3" t="str">
        <f t="shared" si="186"/>
        <v/>
      </c>
      <c r="AW294" s="32" t="str">
        <f t="shared" si="187"/>
        <v/>
      </c>
      <c r="AX294" s="32" t="str">
        <f t="shared" si="188"/>
        <v/>
      </c>
      <c r="AY294" s="32" t="str">
        <f t="shared" si="189"/>
        <v/>
      </c>
      <c r="BA294" s="32" t="str">
        <f>IF($A295="","",F294*Summary!$Q$14)</f>
        <v/>
      </c>
    </row>
    <row r="295" spans="1:53" ht="12" customHeight="1">
      <c r="A295" s="67" t="str">
        <f t="shared" si="190"/>
        <v/>
      </c>
      <c r="B295" s="69" t="str">
        <f t="shared" si="191"/>
        <v/>
      </c>
      <c r="C295" s="71"/>
      <c r="D295" s="69" t="str">
        <f t="shared" si="155"/>
        <v/>
      </c>
      <c r="E295" s="70" t="str">
        <f t="shared" si="156"/>
        <v/>
      </c>
      <c r="F295" s="70" t="str">
        <f t="shared" si="157"/>
        <v/>
      </c>
      <c r="G295" s="63" t="str">
        <f t="shared" si="158"/>
        <v/>
      </c>
      <c r="H295" s="64" t="str">
        <f t="shared" si="159"/>
        <v/>
      </c>
      <c r="I295" s="43"/>
      <c r="J295" s="63" t="str">
        <f t="shared" si="160"/>
        <v/>
      </c>
      <c r="K295" s="64" t="str">
        <f t="shared" si="161"/>
        <v/>
      </c>
      <c r="L295" s="38">
        <v>0</v>
      </c>
      <c r="M295" s="64" t="str">
        <f t="shared" si="162"/>
        <v/>
      </c>
      <c r="N295" s="65"/>
      <c r="O295" s="63" t="str">
        <f t="shared" si="163"/>
        <v/>
      </c>
      <c r="P295" s="63" t="str">
        <f t="shared" si="164"/>
        <v/>
      </c>
      <c r="Q295" s="66"/>
      <c r="R295" s="63" t="str">
        <f t="shared" si="165"/>
        <v/>
      </c>
      <c r="S295" s="64" t="str">
        <f t="shared" si="166"/>
        <v/>
      </c>
      <c r="T295" s="63" t="str">
        <f t="shared" si="167"/>
        <v/>
      </c>
      <c r="U295" s="64" t="str">
        <f t="shared" si="168"/>
        <v/>
      </c>
      <c r="V295" s="207" t="str">
        <f>IF($A296="","",IF(AND(MONTH(A295)&gt;3,MONTH(A295)&lt;11),(T295+R295+G295)*(((1/(1-Summary!$T$14))/(1-Summary!$W$14))-1),(T295+R295+G295)*((1/(1-Summary!$U$14))/(1-Summary!$X$14)-1)))</f>
        <v/>
      </c>
      <c r="W295" s="43" t="str">
        <f t="shared" si="169"/>
        <v/>
      </c>
      <c r="X295" s="43" t="str">
        <f t="shared" si="170"/>
        <v/>
      </c>
      <c r="Y295" s="43"/>
      <c r="Z295" s="38" t="str">
        <f t="shared" si="171"/>
        <v/>
      </c>
      <c r="AA295" s="38" t="str">
        <f t="shared" si="172"/>
        <v/>
      </c>
      <c r="AB295" s="38" t="e">
        <f t="shared" si="173"/>
        <v>#VALUE!</v>
      </c>
      <c r="AC295" s="38" t="str">
        <f t="shared" si="174"/>
        <v/>
      </c>
      <c r="AD295" s="38" t="str">
        <f t="shared" si="175"/>
        <v/>
      </c>
      <c r="AE295" s="38" t="e">
        <f t="shared" si="176"/>
        <v>#VALUE!</v>
      </c>
      <c r="AF295" s="237" t="e">
        <f>((Summary!$N$14*(AA295*AD295)*(A295-$D$3))+(Summary!$M$14*Z295*AC295*(AJ295-EOMONTH(EDATE(A295,-1),0))))/(AK295*AB295*AE295)</f>
        <v>#VALUE!</v>
      </c>
      <c r="AG295" s="88" t="str">
        <f>IF($A296="","",Summary!$Q$14)</f>
        <v/>
      </c>
      <c r="AH295" s="88" t="str">
        <f>IF($A296="","",IF(Summary!$R$12="Y",(VLOOKUP($A295,Summary!$AD$6:$AF$9,3)+'Escalating commodity'!J308),'Escalating commodity'!J308))</f>
        <v/>
      </c>
      <c r="AI295" s="88" t="str">
        <f t="shared" si="192"/>
        <v/>
      </c>
      <c r="AJ295" s="236" t="e">
        <f t="shared" si="177"/>
        <v>#VALUE!</v>
      </c>
      <c r="AK295" s="58" t="str">
        <f t="shared" si="178"/>
        <v/>
      </c>
      <c r="AL295" s="26" t="str">
        <f>IF($A296="","",_xll.SPRDOPT(P295,X295,AI295,0,AB295,AE295,AF295,AK295,$AJ$2,0))</f>
        <v/>
      </c>
      <c r="AM295" s="89" t="str">
        <f t="shared" si="179"/>
        <v/>
      </c>
      <c r="AN295" s="89" t="str">
        <f t="shared" si="180"/>
        <v/>
      </c>
      <c r="AO295" s="3" t="str">
        <f t="shared" si="181"/>
        <v/>
      </c>
      <c r="AP295" s="33" t="str">
        <f t="shared" si="182"/>
        <v/>
      </c>
      <c r="AQ295" s="58" t="str">
        <f t="shared" si="183"/>
        <v/>
      </c>
      <c r="AR295" s="38">
        <f>'ANR OK vs ML7'!AR295</f>
        <v>0.1</v>
      </c>
      <c r="AS295" s="35" t="str">
        <f t="shared" si="184"/>
        <v/>
      </c>
      <c r="AT295" s="3" t="str">
        <f t="shared" si="185"/>
        <v/>
      </c>
      <c r="AU295" s="3" t="str">
        <f t="shared" si="186"/>
        <v/>
      </c>
      <c r="AW295" s="32" t="str">
        <f t="shared" si="187"/>
        <v/>
      </c>
      <c r="AX295" s="32" t="str">
        <f t="shared" si="188"/>
        <v/>
      </c>
      <c r="AY295" s="32" t="str">
        <f t="shared" si="189"/>
        <v/>
      </c>
      <c r="BA295" s="32" t="str">
        <f>IF($A296="","",F295*Summary!$Q$14)</f>
        <v/>
      </c>
    </row>
    <row r="296" spans="1:53" ht="12" customHeight="1">
      <c r="A296" s="67" t="str">
        <f t="shared" si="190"/>
        <v/>
      </c>
      <c r="B296" s="69" t="str">
        <f t="shared" si="191"/>
        <v/>
      </c>
      <c r="C296" s="71"/>
      <c r="D296" s="69" t="str">
        <f t="shared" si="155"/>
        <v/>
      </c>
      <c r="E296" s="70" t="str">
        <f t="shared" si="156"/>
        <v/>
      </c>
      <c r="F296" s="70" t="str">
        <f t="shared" si="157"/>
        <v/>
      </c>
      <c r="G296" s="63" t="str">
        <f t="shared" si="158"/>
        <v/>
      </c>
      <c r="H296" s="64" t="str">
        <f t="shared" si="159"/>
        <v/>
      </c>
      <c r="I296" s="43"/>
      <c r="J296" s="63" t="str">
        <f t="shared" si="160"/>
        <v/>
      </c>
      <c r="K296" s="64" t="str">
        <f t="shared" si="161"/>
        <v/>
      </c>
      <c r="L296" s="38">
        <v>0</v>
      </c>
      <c r="M296" s="64" t="str">
        <f t="shared" si="162"/>
        <v/>
      </c>
      <c r="N296" s="65"/>
      <c r="O296" s="63" t="str">
        <f t="shared" si="163"/>
        <v/>
      </c>
      <c r="P296" s="63" t="str">
        <f t="shared" si="164"/>
        <v/>
      </c>
      <c r="Q296" s="66"/>
      <c r="R296" s="63" t="str">
        <f t="shared" si="165"/>
        <v/>
      </c>
      <c r="S296" s="64" t="str">
        <f t="shared" si="166"/>
        <v/>
      </c>
      <c r="T296" s="63" t="str">
        <f t="shared" si="167"/>
        <v/>
      </c>
      <c r="U296" s="64" t="str">
        <f t="shared" si="168"/>
        <v/>
      </c>
      <c r="V296" s="207" t="str">
        <f>IF($A297="","",IF(AND(MONTH(A296)&gt;3,MONTH(A296)&lt;11),(T296+R296+G296)*(((1/(1-Summary!$T$14))/(1-Summary!$W$14))-1),(T296+R296+G296)*((1/(1-Summary!$U$14))/(1-Summary!$X$14)-1)))</f>
        <v/>
      </c>
      <c r="W296" s="43" t="str">
        <f t="shared" si="169"/>
        <v/>
      </c>
      <c r="X296" s="43" t="str">
        <f t="shared" si="170"/>
        <v/>
      </c>
      <c r="Y296" s="43"/>
      <c r="Z296" s="38" t="str">
        <f t="shared" si="171"/>
        <v/>
      </c>
      <c r="AA296" s="38" t="str">
        <f t="shared" si="172"/>
        <v/>
      </c>
      <c r="AB296" s="38" t="e">
        <f t="shared" si="173"/>
        <v>#VALUE!</v>
      </c>
      <c r="AC296" s="38" t="str">
        <f t="shared" si="174"/>
        <v/>
      </c>
      <c r="AD296" s="38" t="str">
        <f t="shared" si="175"/>
        <v/>
      </c>
      <c r="AE296" s="38" t="e">
        <f t="shared" si="176"/>
        <v>#VALUE!</v>
      </c>
      <c r="AF296" s="237" t="e">
        <f>((Summary!$N$14*(AA296*AD296)*(A296-$D$3))+(Summary!$M$14*Z296*AC296*(AJ296-EOMONTH(EDATE(A296,-1),0))))/(AK296*AB296*AE296)</f>
        <v>#VALUE!</v>
      </c>
      <c r="AG296" s="88" t="str">
        <f>IF($A297="","",Summary!$Q$14)</f>
        <v/>
      </c>
      <c r="AH296" s="88" t="str">
        <f>IF($A297="","",IF(Summary!$R$12="Y",(VLOOKUP($A296,Summary!$AD$6:$AF$9,3)+'Escalating commodity'!J309),'Escalating commodity'!J309))</f>
        <v/>
      </c>
      <c r="AI296" s="88" t="str">
        <f t="shared" si="192"/>
        <v/>
      </c>
      <c r="AJ296" s="236" t="e">
        <f t="shared" si="177"/>
        <v>#VALUE!</v>
      </c>
      <c r="AK296" s="58" t="str">
        <f t="shared" si="178"/>
        <v/>
      </c>
      <c r="AL296" s="26" t="str">
        <f>IF($A297="","",_xll.SPRDOPT(P296,X296,AI296,0,AB296,AE296,AF296,AK296,$AJ$2,0))</f>
        <v/>
      </c>
      <c r="AM296" s="89" t="str">
        <f t="shared" si="179"/>
        <v/>
      </c>
      <c r="AN296" s="89" t="str">
        <f t="shared" si="180"/>
        <v/>
      </c>
      <c r="AO296" s="3" t="str">
        <f t="shared" si="181"/>
        <v/>
      </c>
      <c r="AP296" s="33" t="str">
        <f t="shared" si="182"/>
        <v/>
      </c>
      <c r="AQ296" s="58" t="str">
        <f t="shared" si="183"/>
        <v/>
      </c>
      <c r="AR296" s="38">
        <f>'ANR OK vs ML7'!AR296</f>
        <v>0.1</v>
      </c>
      <c r="AS296" s="35" t="str">
        <f t="shared" si="184"/>
        <v/>
      </c>
      <c r="AT296" s="3" t="str">
        <f t="shared" si="185"/>
        <v/>
      </c>
      <c r="AU296" s="3" t="str">
        <f t="shared" si="186"/>
        <v/>
      </c>
      <c r="AW296" s="32" t="str">
        <f t="shared" si="187"/>
        <v/>
      </c>
      <c r="AX296" s="32" t="str">
        <f t="shared" si="188"/>
        <v/>
      </c>
      <c r="AY296" s="32" t="str">
        <f t="shared" si="189"/>
        <v/>
      </c>
      <c r="BA296" s="32" t="str">
        <f>IF($A297="","",F296*Summary!$Q$14)</f>
        <v/>
      </c>
    </row>
    <row r="297" spans="1:53" ht="12" customHeight="1">
      <c r="A297" s="67" t="str">
        <f t="shared" si="190"/>
        <v/>
      </c>
      <c r="B297" s="69" t="str">
        <f t="shared" si="191"/>
        <v/>
      </c>
      <c r="C297" s="71"/>
      <c r="D297" s="69" t="str">
        <f t="shared" si="155"/>
        <v/>
      </c>
      <c r="E297" s="70" t="str">
        <f t="shared" si="156"/>
        <v/>
      </c>
      <c r="F297" s="70" t="str">
        <f t="shared" si="157"/>
        <v/>
      </c>
      <c r="G297" s="63" t="str">
        <f t="shared" si="158"/>
        <v/>
      </c>
      <c r="H297" s="64" t="str">
        <f t="shared" si="159"/>
        <v/>
      </c>
      <c r="I297" s="43"/>
      <c r="J297" s="63" t="str">
        <f t="shared" si="160"/>
        <v/>
      </c>
      <c r="K297" s="64" t="str">
        <f t="shared" si="161"/>
        <v/>
      </c>
      <c r="L297" s="38">
        <v>0</v>
      </c>
      <c r="M297" s="64" t="str">
        <f t="shared" si="162"/>
        <v/>
      </c>
      <c r="N297" s="65"/>
      <c r="O297" s="63" t="str">
        <f t="shared" si="163"/>
        <v/>
      </c>
      <c r="P297" s="63" t="str">
        <f t="shared" si="164"/>
        <v/>
      </c>
      <c r="Q297" s="66"/>
      <c r="R297" s="63" t="str">
        <f t="shared" si="165"/>
        <v/>
      </c>
      <c r="S297" s="64" t="str">
        <f t="shared" si="166"/>
        <v/>
      </c>
      <c r="T297" s="63" t="str">
        <f t="shared" si="167"/>
        <v/>
      </c>
      <c r="U297" s="64" t="str">
        <f t="shared" si="168"/>
        <v/>
      </c>
      <c r="V297" s="207" t="str">
        <f>IF($A298="","",IF(AND(MONTH(A297)&gt;3,MONTH(A297)&lt;11),(T297+R297+G297)*(((1/(1-Summary!$T$14))/(1-Summary!$W$14))-1),(T297+R297+G297)*((1/(1-Summary!$U$14))/(1-Summary!$X$14)-1)))</f>
        <v/>
      </c>
      <c r="W297" s="43" t="str">
        <f t="shared" si="169"/>
        <v/>
      </c>
      <c r="X297" s="43" t="str">
        <f t="shared" si="170"/>
        <v/>
      </c>
      <c r="Y297" s="43"/>
      <c r="Z297" s="38" t="str">
        <f t="shared" si="171"/>
        <v/>
      </c>
      <c r="AA297" s="38" t="str">
        <f t="shared" si="172"/>
        <v/>
      </c>
      <c r="AB297" s="38" t="e">
        <f t="shared" si="173"/>
        <v>#VALUE!</v>
      </c>
      <c r="AC297" s="38" t="str">
        <f t="shared" si="174"/>
        <v/>
      </c>
      <c r="AD297" s="38" t="str">
        <f t="shared" si="175"/>
        <v/>
      </c>
      <c r="AE297" s="38" t="e">
        <f t="shared" si="176"/>
        <v>#VALUE!</v>
      </c>
      <c r="AF297" s="237" t="e">
        <f>((Summary!$N$14*(AA297*AD297)*(A297-$D$3))+(Summary!$M$14*Z297*AC297*(AJ297-EOMONTH(EDATE(A297,-1),0))))/(AK297*AB297*AE297)</f>
        <v>#VALUE!</v>
      </c>
      <c r="AG297" s="88" t="str">
        <f>IF($A298="","",Summary!$Q$14)</f>
        <v/>
      </c>
      <c r="AH297" s="88" t="str">
        <f>IF($A298="","",IF(Summary!$R$12="Y",(VLOOKUP($A297,Summary!$AD$6:$AF$9,3)+'Escalating commodity'!J310),'Escalating commodity'!J310))</f>
        <v/>
      </c>
      <c r="AI297" s="88" t="str">
        <f t="shared" si="192"/>
        <v/>
      </c>
      <c r="AJ297" s="236" t="e">
        <f t="shared" si="177"/>
        <v>#VALUE!</v>
      </c>
      <c r="AK297" s="58" t="str">
        <f t="shared" si="178"/>
        <v/>
      </c>
      <c r="AL297" s="26" t="str">
        <f>IF($A298="","",_xll.SPRDOPT(P297,X297,AI297,0,AB297,AE297,AF297,AK297,$AJ$2,0))</f>
        <v/>
      </c>
      <c r="AM297" s="89" t="str">
        <f t="shared" si="179"/>
        <v/>
      </c>
      <c r="AN297" s="89" t="str">
        <f t="shared" si="180"/>
        <v/>
      </c>
      <c r="AO297" s="3" t="str">
        <f t="shared" si="181"/>
        <v/>
      </c>
      <c r="AP297" s="33" t="str">
        <f t="shared" si="182"/>
        <v/>
      </c>
      <c r="AQ297" s="58" t="str">
        <f t="shared" si="183"/>
        <v/>
      </c>
      <c r="AR297" s="38">
        <f>'ANR OK vs ML7'!AR297</f>
        <v>0.1</v>
      </c>
      <c r="AS297" s="35" t="str">
        <f t="shared" si="184"/>
        <v/>
      </c>
      <c r="AT297" s="3" t="str">
        <f t="shared" si="185"/>
        <v/>
      </c>
      <c r="AU297" s="3" t="str">
        <f t="shared" si="186"/>
        <v/>
      </c>
      <c r="AW297" s="32" t="str">
        <f t="shared" si="187"/>
        <v/>
      </c>
      <c r="AX297" s="32" t="str">
        <f t="shared" si="188"/>
        <v/>
      </c>
      <c r="AY297" s="32" t="str">
        <f t="shared" si="189"/>
        <v/>
      </c>
      <c r="BA297" s="32" t="str">
        <f>IF($A298="","",F297*Summary!$Q$14)</f>
        <v/>
      </c>
    </row>
    <row r="298" spans="1:53" ht="12" customHeight="1">
      <c r="A298" s="67" t="str">
        <f t="shared" si="190"/>
        <v/>
      </c>
      <c r="B298" s="69" t="str">
        <f t="shared" si="191"/>
        <v/>
      </c>
      <c r="C298" s="71"/>
      <c r="D298" s="69" t="str">
        <f t="shared" si="155"/>
        <v/>
      </c>
      <c r="E298" s="70" t="str">
        <f t="shared" si="156"/>
        <v/>
      </c>
      <c r="F298" s="70" t="str">
        <f t="shared" si="157"/>
        <v/>
      </c>
      <c r="G298" s="63" t="str">
        <f t="shared" si="158"/>
        <v/>
      </c>
      <c r="H298" s="64" t="str">
        <f t="shared" si="159"/>
        <v/>
      </c>
      <c r="I298" s="43"/>
      <c r="J298" s="63" t="str">
        <f t="shared" si="160"/>
        <v/>
      </c>
      <c r="K298" s="64" t="str">
        <f t="shared" si="161"/>
        <v/>
      </c>
      <c r="L298" s="38">
        <v>0</v>
      </c>
      <c r="M298" s="64" t="str">
        <f t="shared" si="162"/>
        <v/>
      </c>
      <c r="N298" s="65"/>
      <c r="O298" s="63" t="str">
        <f t="shared" si="163"/>
        <v/>
      </c>
      <c r="P298" s="63" t="str">
        <f t="shared" si="164"/>
        <v/>
      </c>
      <c r="Q298" s="66"/>
      <c r="R298" s="63" t="str">
        <f t="shared" si="165"/>
        <v/>
      </c>
      <c r="S298" s="64" t="str">
        <f t="shared" si="166"/>
        <v/>
      </c>
      <c r="T298" s="63" t="str">
        <f t="shared" si="167"/>
        <v/>
      </c>
      <c r="U298" s="64" t="str">
        <f t="shared" si="168"/>
        <v/>
      </c>
      <c r="V298" s="207" t="str">
        <f>IF($A299="","",IF(AND(MONTH(A298)&gt;3,MONTH(A298)&lt;11),(T298+R298+G298)*(((1/(1-Summary!$T$14))/(1-Summary!$W$14))-1),(T298+R298+G298)*((1/(1-Summary!$U$14))/(1-Summary!$X$14)-1)))</f>
        <v/>
      </c>
      <c r="W298" s="43" t="str">
        <f t="shared" si="169"/>
        <v/>
      </c>
      <c r="X298" s="43" t="str">
        <f t="shared" si="170"/>
        <v/>
      </c>
      <c r="Y298" s="43"/>
      <c r="Z298" s="38" t="str">
        <f t="shared" si="171"/>
        <v/>
      </c>
      <c r="AA298" s="38" t="str">
        <f t="shared" si="172"/>
        <v/>
      </c>
      <c r="AB298" s="38" t="e">
        <f t="shared" si="173"/>
        <v>#VALUE!</v>
      </c>
      <c r="AC298" s="38" t="str">
        <f t="shared" si="174"/>
        <v/>
      </c>
      <c r="AD298" s="38" t="str">
        <f t="shared" si="175"/>
        <v/>
      </c>
      <c r="AE298" s="38" t="e">
        <f t="shared" si="176"/>
        <v>#VALUE!</v>
      </c>
      <c r="AF298" s="237" t="e">
        <f>((Summary!$N$14*(AA298*AD298)*(A298-$D$3))+(Summary!$M$14*Z298*AC298*(AJ298-EOMONTH(EDATE(A298,-1),0))))/(AK298*AB298*AE298)</f>
        <v>#VALUE!</v>
      </c>
      <c r="AG298" s="88" t="str">
        <f>IF($A299="","",Summary!$Q$14)</f>
        <v/>
      </c>
      <c r="AH298" s="88" t="str">
        <f>IF($A299="","",IF(Summary!$R$12="Y",(VLOOKUP($A298,Summary!$AD$6:$AF$9,3)+'Escalating commodity'!J311),'Escalating commodity'!J311))</f>
        <v/>
      </c>
      <c r="AI298" s="88" t="str">
        <f t="shared" si="192"/>
        <v/>
      </c>
      <c r="AJ298" s="236" t="e">
        <f t="shared" si="177"/>
        <v>#VALUE!</v>
      </c>
      <c r="AK298" s="58" t="str">
        <f t="shared" si="178"/>
        <v/>
      </c>
      <c r="AL298" s="26" t="str">
        <f>IF($A299="","",_xll.SPRDOPT(P298,X298,AI298,0,AB298,AE298,AF298,AK298,$AJ$2,0))</f>
        <v/>
      </c>
      <c r="AM298" s="89" t="str">
        <f t="shared" si="179"/>
        <v/>
      </c>
      <c r="AN298" s="89" t="str">
        <f t="shared" si="180"/>
        <v/>
      </c>
      <c r="AO298" s="3" t="str">
        <f t="shared" si="181"/>
        <v/>
      </c>
      <c r="AP298" s="33" t="str">
        <f t="shared" si="182"/>
        <v/>
      </c>
      <c r="AQ298" s="58" t="str">
        <f t="shared" si="183"/>
        <v/>
      </c>
      <c r="AR298" s="38">
        <f>'ANR OK vs ML7'!AR298</f>
        <v>0.1</v>
      </c>
      <c r="AS298" s="35" t="str">
        <f t="shared" si="184"/>
        <v/>
      </c>
      <c r="AT298" s="3" t="str">
        <f t="shared" si="185"/>
        <v/>
      </c>
      <c r="AU298" s="3" t="str">
        <f t="shared" si="186"/>
        <v/>
      </c>
      <c r="AW298" s="32" t="str">
        <f t="shared" si="187"/>
        <v/>
      </c>
      <c r="AX298" s="32" t="str">
        <f t="shared" si="188"/>
        <v/>
      </c>
      <c r="AY298" s="32" t="str">
        <f t="shared" si="189"/>
        <v/>
      </c>
      <c r="BA298" s="32" t="str">
        <f>IF($A299="","",F298*Summary!$Q$14)</f>
        <v/>
      </c>
    </row>
    <row r="299" spans="1:53" ht="12" customHeight="1">
      <c r="A299" s="67" t="str">
        <f t="shared" si="190"/>
        <v/>
      </c>
      <c r="B299" s="69" t="str">
        <f t="shared" si="191"/>
        <v/>
      </c>
      <c r="C299" s="71"/>
      <c r="D299" s="69" t="str">
        <f t="shared" si="155"/>
        <v/>
      </c>
      <c r="E299" s="70" t="str">
        <f t="shared" si="156"/>
        <v/>
      </c>
      <c r="F299" s="70" t="str">
        <f t="shared" si="157"/>
        <v/>
      </c>
      <c r="G299" s="63" t="str">
        <f t="shared" si="158"/>
        <v/>
      </c>
      <c r="H299" s="64" t="str">
        <f t="shared" si="159"/>
        <v/>
      </c>
      <c r="I299" s="43"/>
      <c r="J299" s="63" t="str">
        <f t="shared" si="160"/>
        <v/>
      </c>
      <c r="K299" s="64" t="str">
        <f t="shared" si="161"/>
        <v/>
      </c>
      <c r="L299" s="38">
        <v>0</v>
      </c>
      <c r="M299" s="64" t="str">
        <f t="shared" si="162"/>
        <v/>
      </c>
      <c r="N299" s="65"/>
      <c r="O299" s="63" t="str">
        <f t="shared" si="163"/>
        <v/>
      </c>
      <c r="P299" s="63" t="str">
        <f t="shared" si="164"/>
        <v/>
      </c>
      <c r="Q299" s="66"/>
      <c r="R299" s="63" t="str">
        <f t="shared" si="165"/>
        <v/>
      </c>
      <c r="S299" s="64" t="str">
        <f t="shared" si="166"/>
        <v/>
      </c>
      <c r="T299" s="63" t="str">
        <f t="shared" si="167"/>
        <v/>
      </c>
      <c r="U299" s="64" t="str">
        <f t="shared" si="168"/>
        <v/>
      </c>
      <c r="V299" s="207" t="str">
        <f>IF($A300="","",IF(AND(MONTH(A299)&gt;3,MONTH(A299)&lt;11),(T299+R299+G299)*(((1/(1-Summary!$T$14))/(1-Summary!$W$14))-1),(T299+R299+G299)*((1/(1-Summary!$U$14))/(1-Summary!$X$14)-1)))</f>
        <v/>
      </c>
      <c r="W299" s="43" t="str">
        <f t="shared" si="169"/>
        <v/>
      </c>
      <c r="X299" s="43" t="str">
        <f t="shared" si="170"/>
        <v/>
      </c>
      <c r="Y299" s="43"/>
      <c r="Z299" s="38" t="str">
        <f t="shared" si="171"/>
        <v/>
      </c>
      <c r="AA299" s="38" t="str">
        <f t="shared" si="172"/>
        <v/>
      </c>
      <c r="AB299" s="38" t="e">
        <f t="shared" si="173"/>
        <v>#VALUE!</v>
      </c>
      <c r="AC299" s="38" t="str">
        <f t="shared" si="174"/>
        <v/>
      </c>
      <c r="AD299" s="38" t="str">
        <f t="shared" si="175"/>
        <v/>
      </c>
      <c r="AE299" s="38" t="e">
        <f t="shared" si="176"/>
        <v>#VALUE!</v>
      </c>
      <c r="AF299" s="237" t="e">
        <f>((Summary!$N$14*(AA299*AD299)*(A299-$D$3))+(Summary!$M$14*Z299*AC299*(AJ299-EOMONTH(EDATE(A299,-1),0))))/(AK299*AB299*AE299)</f>
        <v>#VALUE!</v>
      </c>
      <c r="AG299" s="88" t="str">
        <f>IF($A300="","",Summary!$Q$14)</f>
        <v/>
      </c>
      <c r="AH299" s="88" t="str">
        <f>IF($A300="","",IF(Summary!$R$12="Y",(VLOOKUP($A299,Summary!$AD$6:$AF$9,3)+'Escalating commodity'!J312),'Escalating commodity'!J312))</f>
        <v/>
      </c>
      <c r="AI299" s="88" t="str">
        <f t="shared" si="192"/>
        <v/>
      </c>
      <c r="AJ299" s="236" t="e">
        <f t="shared" si="177"/>
        <v>#VALUE!</v>
      </c>
      <c r="AK299" s="58" t="str">
        <f t="shared" si="178"/>
        <v/>
      </c>
      <c r="AL299" s="26" t="str">
        <f>IF($A300="","",_xll.SPRDOPT(P299,X299,AI299,0,AB299,AE299,AF299,AK299,$AJ$2,0))</f>
        <v/>
      </c>
      <c r="AM299" s="89" t="str">
        <f t="shared" si="179"/>
        <v/>
      </c>
      <c r="AN299" s="89" t="str">
        <f t="shared" si="180"/>
        <v/>
      </c>
      <c r="AO299" s="3" t="str">
        <f t="shared" si="181"/>
        <v/>
      </c>
      <c r="AP299" s="33" t="str">
        <f t="shared" si="182"/>
        <v/>
      </c>
      <c r="AQ299" s="58" t="str">
        <f t="shared" si="183"/>
        <v/>
      </c>
      <c r="AR299" s="38">
        <f>'ANR OK vs ML7'!AR299</f>
        <v>0.1</v>
      </c>
      <c r="AS299" s="35" t="str">
        <f t="shared" si="184"/>
        <v/>
      </c>
      <c r="AT299" s="3" t="str">
        <f t="shared" si="185"/>
        <v/>
      </c>
      <c r="AU299" s="3" t="str">
        <f t="shared" si="186"/>
        <v/>
      </c>
      <c r="AW299" s="32" t="str">
        <f t="shared" si="187"/>
        <v/>
      </c>
      <c r="AX299" s="32" t="str">
        <f t="shared" si="188"/>
        <v/>
      </c>
      <c r="AY299" s="32" t="str">
        <f t="shared" si="189"/>
        <v/>
      </c>
      <c r="BA299" s="32" t="str">
        <f>IF($A300="","",F299*Summary!$Q$14)</f>
        <v/>
      </c>
    </row>
    <row r="300" spans="1:53" ht="12" customHeight="1">
      <c r="A300" s="67" t="str">
        <f t="shared" si="190"/>
        <v/>
      </c>
      <c r="B300" s="69" t="str">
        <f t="shared" si="191"/>
        <v/>
      </c>
      <c r="C300" s="71"/>
      <c r="D300" s="69" t="str">
        <f t="shared" si="155"/>
        <v/>
      </c>
      <c r="E300" s="70" t="str">
        <f t="shared" si="156"/>
        <v/>
      </c>
      <c r="F300" s="70" t="str">
        <f t="shared" si="157"/>
        <v/>
      </c>
      <c r="G300" s="63" t="str">
        <f t="shared" si="158"/>
        <v/>
      </c>
      <c r="H300" s="64" t="str">
        <f t="shared" si="159"/>
        <v/>
      </c>
      <c r="I300" s="43"/>
      <c r="J300" s="63" t="str">
        <f t="shared" si="160"/>
        <v/>
      </c>
      <c r="K300" s="64" t="str">
        <f t="shared" si="161"/>
        <v/>
      </c>
      <c r="L300" s="38">
        <v>0</v>
      </c>
      <c r="M300" s="64" t="str">
        <f t="shared" si="162"/>
        <v/>
      </c>
      <c r="N300" s="65"/>
      <c r="O300" s="63" t="str">
        <f t="shared" si="163"/>
        <v/>
      </c>
      <c r="P300" s="63" t="str">
        <f t="shared" si="164"/>
        <v/>
      </c>
      <c r="Q300" s="66"/>
      <c r="R300" s="63" t="str">
        <f t="shared" si="165"/>
        <v/>
      </c>
      <c r="S300" s="64" t="str">
        <f t="shared" si="166"/>
        <v/>
      </c>
      <c r="T300" s="63" t="str">
        <f t="shared" si="167"/>
        <v/>
      </c>
      <c r="U300" s="64" t="str">
        <f t="shared" si="168"/>
        <v/>
      </c>
      <c r="V300" s="207" t="str">
        <f>IF($A301="","",IF(AND(MONTH(A300)&gt;3,MONTH(A300)&lt;11),(T300+R300+G300)*(((1/(1-Summary!$T$14))/(1-Summary!$W$14))-1),(T300+R300+G300)*((1/(1-Summary!$U$14))/(1-Summary!$X$14)-1)))</f>
        <v/>
      </c>
      <c r="W300" s="43" t="str">
        <f t="shared" si="169"/>
        <v/>
      </c>
      <c r="X300" s="43" t="str">
        <f t="shared" si="170"/>
        <v/>
      </c>
      <c r="Y300" s="43"/>
      <c r="Z300" s="38" t="str">
        <f t="shared" si="171"/>
        <v/>
      </c>
      <c r="AA300" s="38" t="str">
        <f t="shared" si="172"/>
        <v/>
      </c>
      <c r="AB300" s="38" t="e">
        <f t="shared" si="173"/>
        <v>#VALUE!</v>
      </c>
      <c r="AC300" s="38" t="str">
        <f t="shared" si="174"/>
        <v/>
      </c>
      <c r="AD300" s="38" t="str">
        <f t="shared" si="175"/>
        <v/>
      </c>
      <c r="AE300" s="38" t="e">
        <f t="shared" si="176"/>
        <v>#VALUE!</v>
      </c>
      <c r="AF300" s="237" t="e">
        <f>((Summary!$N$14*(AA300*AD300)*(A300-$D$3))+(Summary!$M$14*Z300*AC300*(AJ300-EOMONTH(EDATE(A300,-1),0))))/(AK300*AB300*AE300)</f>
        <v>#VALUE!</v>
      </c>
      <c r="AG300" s="88" t="str">
        <f>IF($A301="","",Summary!$Q$14)</f>
        <v/>
      </c>
      <c r="AH300" s="88" t="str">
        <f>IF($A301="","",IF(Summary!$R$12="Y",(VLOOKUP($A300,Summary!$AD$6:$AF$9,3)+'Escalating commodity'!J313),'Escalating commodity'!J313))</f>
        <v/>
      </c>
      <c r="AI300" s="88" t="str">
        <f t="shared" si="192"/>
        <v/>
      </c>
      <c r="AJ300" s="236" t="e">
        <f t="shared" si="177"/>
        <v>#VALUE!</v>
      </c>
      <c r="AK300" s="58" t="str">
        <f t="shared" si="178"/>
        <v/>
      </c>
      <c r="AL300" s="26" t="str">
        <f>IF($A301="","",_xll.SPRDOPT(P300,X300,AI300,0,AB300,AE300,AF300,AK300,$AJ$2,0))</f>
        <v/>
      </c>
      <c r="AM300" s="89" t="str">
        <f t="shared" si="179"/>
        <v/>
      </c>
      <c r="AN300" s="89" t="str">
        <f t="shared" si="180"/>
        <v/>
      </c>
      <c r="AO300" s="3" t="str">
        <f t="shared" si="181"/>
        <v/>
      </c>
      <c r="AP300" s="33" t="str">
        <f t="shared" si="182"/>
        <v/>
      </c>
      <c r="AQ300" s="58" t="str">
        <f t="shared" si="183"/>
        <v/>
      </c>
      <c r="AR300" s="38">
        <f>'ANR OK vs ML7'!AR300</f>
        <v>0.1</v>
      </c>
      <c r="AS300" s="35" t="str">
        <f t="shared" si="184"/>
        <v/>
      </c>
      <c r="AT300" s="3" t="str">
        <f t="shared" si="185"/>
        <v/>
      </c>
      <c r="AU300" s="3" t="str">
        <f t="shared" si="186"/>
        <v/>
      </c>
      <c r="AW300" s="32" t="str">
        <f t="shared" si="187"/>
        <v/>
      </c>
      <c r="AX300" s="32" t="str">
        <f t="shared" si="188"/>
        <v/>
      </c>
      <c r="AY300" s="32" t="str">
        <f t="shared" si="189"/>
        <v/>
      </c>
      <c r="BA300" s="32" t="str">
        <f>IF($A301="","",F300*Summary!$Q$14)</f>
        <v/>
      </c>
    </row>
    <row r="301" spans="1:53" ht="12" customHeight="1">
      <c r="A301" s="67" t="str">
        <f t="shared" si="190"/>
        <v/>
      </c>
      <c r="B301" s="69" t="str">
        <f t="shared" si="191"/>
        <v/>
      </c>
      <c r="C301" s="71"/>
      <c r="D301" s="69" t="str">
        <f t="shared" si="155"/>
        <v/>
      </c>
      <c r="E301" s="70" t="str">
        <f t="shared" si="156"/>
        <v/>
      </c>
      <c r="F301" s="70" t="str">
        <f t="shared" si="157"/>
        <v/>
      </c>
      <c r="G301" s="63" t="str">
        <f t="shared" si="158"/>
        <v/>
      </c>
      <c r="H301" s="64" t="str">
        <f t="shared" si="159"/>
        <v/>
      </c>
      <c r="I301" s="43"/>
      <c r="J301" s="63" t="str">
        <f t="shared" si="160"/>
        <v/>
      </c>
      <c r="K301" s="64" t="str">
        <f t="shared" si="161"/>
        <v/>
      </c>
      <c r="L301" s="38">
        <v>0</v>
      </c>
      <c r="M301" s="64" t="str">
        <f t="shared" si="162"/>
        <v/>
      </c>
      <c r="N301" s="65"/>
      <c r="O301" s="63" t="str">
        <f t="shared" si="163"/>
        <v/>
      </c>
      <c r="P301" s="63" t="str">
        <f t="shared" si="164"/>
        <v/>
      </c>
      <c r="Q301" s="66"/>
      <c r="R301" s="63" t="str">
        <f t="shared" si="165"/>
        <v/>
      </c>
      <c r="S301" s="64" t="str">
        <f t="shared" si="166"/>
        <v/>
      </c>
      <c r="T301" s="63" t="str">
        <f t="shared" si="167"/>
        <v/>
      </c>
      <c r="U301" s="64" t="str">
        <f t="shared" si="168"/>
        <v/>
      </c>
      <c r="V301" s="207" t="str">
        <f>IF($A302="","",IF(AND(MONTH(A301)&gt;3,MONTH(A301)&lt;11),(T301+R301+G301)*(((1/(1-Summary!$T$14))/(1-Summary!$W$14))-1),(T301+R301+G301)*((1/(1-Summary!$U$14))/(1-Summary!$X$14)-1)))</f>
        <v/>
      </c>
      <c r="W301" s="43" t="str">
        <f t="shared" si="169"/>
        <v/>
      </c>
      <c r="X301" s="43" t="str">
        <f t="shared" si="170"/>
        <v/>
      </c>
      <c r="Y301" s="43"/>
      <c r="Z301" s="38" t="str">
        <f t="shared" si="171"/>
        <v/>
      </c>
      <c r="AA301" s="38" t="str">
        <f t="shared" si="172"/>
        <v/>
      </c>
      <c r="AB301" s="38" t="e">
        <f t="shared" si="173"/>
        <v>#VALUE!</v>
      </c>
      <c r="AC301" s="38" t="str">
        <f t="shared" si="174"/>
        <v/>
      </c>
      <c r="AD301" s="38" t="str">
        <f t="shared" si="175"/>
        <v/>
      </c>
      <c r="AE301" s="38" t="e">
        <f t="shared" si="176"/>
        <v>#VALUE!</v>
      </c>
      <c r="AF301" s="237" t="e">
        <f>((Summary!$N$14*(AA301*AD301)*(A301-$D$3))+(Summary!$M$14*Z301*AC301*(AJ301-EOMONTH(EDATE(A301,-1),0))))/(AK301*AB301*AE301)</f>
        <v>#VALUE!</v>
      </c>
      <c r="AG301" s="88" t="str">
        <f>IF($A302="","",Summary!$Q$14)</f>
        <v/>
      </c>
      <c r="AH301" s="88" t="str">
        <f>IF($A302="","",IF(Summary!$R$12="Y",(VLOOKUP($A301,Summary!$AD$6:$AF$9,3)+'Escalating commodity'!J314),'Escalating commodity'!J314))</f>
        <v/>
      </c>
      <c r="AI301" s="88" t="str">
        <f t="shared" si="192"/>
        <v/>
      </c>
      <c r="AJ301" s="236" t="e">
        <f t="shared" si="177"/>
        <v>#VALUE!</v>
      </c>
      <c r="AK301" s="58" t="str">
        <f t="shared" si="178"/>
        <v/>
      </c>
      <c r="AL301" s="26" t="str">
        <f>IF($A302="","",_xll.SPRDOPT(P301,X301,AI301,0,AB301,AE301,AF301,AK301,$AJ$2,0))</f>
        <v/>
      </c>
      <c r="AM301" s="89" t="str">
        <f t="shared" si="179"/>
        <v/>
      </c>
      <c r="AN301" s="89" t="str">
        <f t="shared" si="180"/>
        <v/>
      </c>
      <c r="AO301" s="3" t="str">
        <f t="shared" si="181"/>
        <v/>
      </c>
      <c r="AP301" s="33" t="str">
        <f t="shared" si="182"/>
        <v/>
      </c>
      <c r="AQ301" s="58" t="str">
        <f t="shared" si="183"/>
        <v/>
      </c>
      <c r="AR301" s="38">
        <f>'ANR OK vs ML7'!AR301</f>
        <v>0.1</v>
      </c>
      <c r="AS301" s="35" t="str">
        <f t="shared" si="184"/>
        <v/>
      </c>
      <c r="AT301" s="3" t="str">
        <f t="shared" si="185"/>
        <v/>
      </c>
      <c r="AU301" s="3" t="str">
        <f t="shared" si="186"/>
        <v/>
      </c>
      <c r="AW301" s="32" t="str">
        <f t="shared" si="187"/>
        <v/>
      </c>
      <c r="AX301" s="32" t="str">
        <f t="shared" si="188"/>
        <v/>
      </c>
      <c r="AY301" s="32" t="str">
        <f t="shared" si="189"/>
        <v/>
      </c>
      <c r="BA301" s="32" t="str">
        <f>IF($A302="","",F301*Summary!$Q$14)</f>
        <v/>
      </c>
    </row>
    <row r="302" spans="1:53" ht="12" customHeight="1">
      <c r="A302" s="67" t="str">
        <f t="shared" si="190"/>
        <v/>
      </c>
      <c r="B302" s="69" t="str">
        <f t="shared" si="191"/>
        <v/>
      </c>
      <c r="C302" s="71"/>
      <c r="D302" s="69" t="str">
        <f t="shared" si="155"/>
        <v/>
      </c>
      <c r="E302" s="70" t="str">
        <f t="shared" si="156"/>
        <v/>
      </c>
      <c r="F302" s="70" t="str">
        <f t="shared" si="157"/>
        <v/>
      </c>
      <c r="G302" s="63" t="str">
        <f t="shared" si="158"/>
        <v/>
      </c>
      <c r="H302" s="64" t="str">
        <f t="shared" si="159"/>
        <v/>
      </c>
      <c r="I302" s="43"/>
      <c r="J302" s="63" t="str">
        <f t="shared" si="160"/>
        <v/>
      </c>
      <c r="K302" s="64" t="str">
        <f t="shared" si="161"/>
        <v/>
      </c>
      <c r="L302" s="38">
        <v>0</v>
      </c>
      <c r="M302" s="64" t="str">
        <f t="shared" si="162"/>
        <v/>
      </c>
      <c r="N302" s="65"/>
      <c r="O302" s="63" t="str">
        <f t="shared" si="163"/>
        <v/>
      </c>
      <c r="P302" s="63" t="str">
        <f t="shared" si="164"/>
        <v/>
      </c>
      <c r="Q302" s="66"/>
      <c r="R302" s="63" t="str">
        <f t="shared" si="165"/>
        <v/>
      </c>
      <c r="S302" s="64" t="str">
        <f t="shared" si="166"/>
        <v/>
      </c>
      <c r="T302" s="63" t="str">
        <f t="shared" si="167"/>
        <v/>
      </c>
      <c r="U302" s="64" t="str">
        <f t="shared" si="168"/>
        <v/>
      </c>
      <c r="V302" s="207" t="str">
        <f>IF($A303="","",IF(AND(MONTH(A302)&gt;3,MONTH(A302)&lt;11),(T302+R302+G302)*(((1/(1-Summary!$T$14))/(1-Summary!$W$14))-1),(T302+R302+G302)*((1/(1-Summary!$U$14))/(1-Summary!$X$14)-1)))</f>
        <v/>
      </c>
      <c r="W302" s="43" t="str">
        <f t="shared" si="169"/>
        <v/>
      </c>
      <c r="X302" s="43" t="str">
        <f t="shared" si="170"/>
        <v/>
      </c>
      <c r="Y302" s="43"/>
      <c r="Z302" s="38" t="str">
        <f t="shared" si="171"/>
        <v/>
      </c>
      <c r="AA302" s="38" t="str">
        <f t="shared" si="172"/>
        <v/>
      </c>
      <c r="AB302" s="38" t="e">
        <f t="shared" si="173"/>
        <v>#VALUE!</v>
      </c>
      <c r="AC302" s="38" t="str">
        <f t="shared" si="174"/>
        <v/>
      </c>
      <c r="AD302" s="38" t="str">
        <f t="shared" si="175"/>
        <v/>
      </c>
      <c r="AE302" s="38" t="e">
        <f t="shared" si="176"/>
        <v>#VALUE!</v>
      </c>
      <c r="AF302" s="237" t="e">
        <f>((Summary!$N$14*(AA302*AD302)*(A302-$D$3))+(Summary!$M$14*Z302*AC302*(AJ302-EOMONTH(EDATE(A302,-1),0))))/(AK302*AB302*AE302)</f>
        <v>#VALUE!</v>
      </c>
      <c r="AG302" s="88" t="str">
        <f>IF($A303="","",Summary!$Q$14)</f>
        <v/>
      </c>
      <c r="AH302" s="88" t="str">
        <f>IF($A303="","",IF(Summary!$R$12="Y",(VLOOKUP($A302,Summary!$AD$6:$AF$9,3)+'Escalating commodity'!J315),'Escalating commodity'!J315))</f>
        <v/>
      </c>
      <c r="AI302" s="88" t="str">
        <f t="shared" si="192"/>
        <v/>
      </c>
      <c r="AJ302" s="236" t="e">
        <f t="shared" si="177"/>
        <v>#VALUE!</v>
      </c>
      <c r="AK302" s="58" t="str">
        <f t="shared" si="178"/>
        <v/>
      </c>
      <c r="AL302" s="26" t="str">
        <f>IF($A303="","",_xll.SPRDOPT(P302,X302,AI302,0,AB302,AE302,AF302,AK302,$AJ$2,0))</f>
        <v/>
      </c>
      <c r="AM302" s="89" t="str">
        <f t="shared" si="179"/>
        <v/>
      </c>
      <c r="AN302" s="89" t="str">
        <f t="shared" si="180"/>
        <v/>
      </c>
      <c r="AO302" s="3" t="str">
        <f t="shared" si="181"/>
        <v/>
      </c>
      <c r="AP302" s="33" t="str">
        <f t="shared" si="182"/>
        <v/>
      </c>
      <c r="AQ302" s="58" t="str">
        <f t="shared" si="183"/>
        <v/>
      </c>
      <c r="AR302" s="38">
        <f>'ANR OK vs ML7'!AR302</f>
        <v>0.1</v>
      </c>
      <c r="AS302" s="35" t="str">
        <f t="shared" si="184"/>
        <v/>
      </c>
      <c r="AT302" s="3" t="str">
        <f t="shared" si="185"/>
        <v/>
      </c>
      <c r="AU302" s="3" t="str">
        <f t="shared" si="186"/>
        <v/>
      </c>
      <c r="AW302" s="32" t="str">
        <f t="shared" si="187"/>
        <v/>
      </c>
      <c r="AX302" s="32" t="str">
        <f t="shared" si="188"/>
        <v/>
      </c>
      <c r="AY302" s="32" t="str">
        <f t="shared" si="189"/>
        <v/>
      </c>
      <c r="BA302" s="32" t="str">
        <f>IF($A303="","",F302*Summary!$Q$14)</f>
        <v/>
      </c>
    </row>
    <row r="303" spans="1:53" ht="12" customHeight="1">
      <c r="A303" s="67" t="str">
        <f t="shared" si="190"/>
        <v/>
      </c>
      <c r="B303" s="69" t="str">
        <f t="shared" si="191"/>
        <v/>
      </c>
      <c r="C303" s="71"/>
      <c r="D303" s="69" t="str">
        <f t="shared" si="155"/>
        <v/>
      </c>
      <c r="E303" s="70" t="str">
        <f t="shared" si="156"/>
        <v/>
      </c>
      <c r="F303" s="70" t="str">
        <f t="shared" si="157"/>
        <v/>
      </c>
      <c r="G303" s="63" t="str">
        <f t="shared" si="158"/>
        <v/>
      </c>
      <c r="H303" s="64" t="str">
        <f t="shared" si="159"/>
        <v/>
      </c>
      <c r="I303" s="43"/>
      <c r="J303" s="63" t="str">
        <f t="shared" si="160"/>
        <v/>
      </c>
      <c r="K303" s="64" t="str">
        <f t="shared" si="161"/>
        <v/>
      </c>
      <c r="L303" s="38">
        <v>0</v>
      </c>
      <c r="M303" s="64" t="str">
        <f t="shared" si="162"/>
        <v/>
      </c>
      <c r="N303" s="65"/>
      <c r="O303" s="63" t="str">
        <f t="shared" si="163"/>
        <v/>
      </c>
      <c r="P303" s="63" t="str">
        <f t="shared" si="164"/>
        <v/>
      </c>
      <c r="Q303" s="66"/>
      <c r="R303" s="63" t="str">
        <f t="shared" si="165"/>
        <v/>
      </c>
      <c r="S303" s="64" t="str">
        <f t="shared" si="166"/>
        <v/>
      </c>
      <c r="T303" s="63" t="str">
        <f t="shared" si="167"/>
        <v/>
      </c>
      <c r="U303" s="64" t="str">
        <f t="shared" si="168"/>
        <v/>
      </c>
      <c r="V303" s="207" t="str">
        <f>IF($A304="","",IF(AND(MONTH(A303)&gt;3,MONTH(A303)&lt;11),(T303+R303+G303)*(((1/(1-Summary!$T$14))/(1-Summary!$W$14))-1),(T303+R303+G303)*((1/(1-Summary!$U$14))/(1-Summary!$X$14)-1)))</f>
        <v/>
      </c>
      <c r="W303" s="43" t="str">
        <f t="shared" si="169"/>
        <v/>
      </c>
      <c r="X303" s="43" t="str">
        <f t="shared" si="170"/>
        <v/>
      </c>
      <c r="Y303" s="43"/>
      <c r="Z303" s="38" t="str">
        <f t="shared" si="171"/>
        <v/>
      </c>
      <c r="AA303" s="38" t="str">
        <f t="shared" si="172"/>
        <v/>
      </c>
      <c r="AB303" s="38" t="e">
        <f t="shared" si="173"/>
        <v>#VALUE!</v>
      </c>
      <c r="AC303" s="38" t="str">
        <f t="shared" si="174"/>
        <v/>
      </c>
      <c r="AD303" s="38" t="str">
        <f t="shared" si="175"/>
        <v/>
      </c>
      <c r="AE303" s="38" t="e">
        <f t="shared" si="176"/>
        <v>#VALUE!</v>
      </c>
      <c r="AF303" s="237" t="e">
        <f>((Summary!$N$14*(AA303*AD303)*(A303-$D$3))+(Summary!$M$14*Z303*AC303*(AJ303-EOMONTH(EDATE(A303,-1),0))))/(AK303*AB303*AE303)</f>
        <v>#VALUE!</v>
      </c>
      <c r="AG303" s="88" t="str">
        <f>IF($A304="","",Summary!$Q$14)</f>
        <v/>
      </c>
      <c r="AH303" s="88" t="str">
        <f>IF($A304="","",IF(Summary!$R$12="Y",(VLOOKUP($A303,Summary!$AD$6:$AF$9,3)+'Escalating commodity'!J316),'Escalating commodity'!J316))</f>
        <v/>
      </c>
      <c r="AI303" s="88" t="str">
        <f t="shared" si="192"/>
        <v/>
      </c>
      <c r="AJ303" s="236" t="e">
        <f t="shared" si="177"/>
        <v>#VALUE!</v>
      </c>
      <c r="AK303" s="58" t="str">
        <f t="shared" si="178"/>
        <v/>
      </c>
      <c r="AL303" s="26" t="str">
        <f>IF($A304="","",_xll.SPRDOPT(P303,X303,AI303,0,AB303,AE303,AF303,AK303,$AJ$2,0))</f>
        <v/>
      </c>
      <c r="AM303" s="89" t="str">
        <f t="shared" si="179"/>
        <v/>
      </c>
      <c r="AN303" s="89" t="str">
        <f t="shared" si="180"/>
        <v/>
      </c>
      <c r="AO303" s="3" t="str">
        <f t="shared" si="181"/>
        <v/>
      </c>
      <c r="AP303" s="33" t="str">
        <f t="shared" si="182"/>
        <v/>
      </c>
      <c r="AQ303" s="58" t="str">
        <f t="shared" si="183"/>
        <v/>
      </c>
      <c r="AR303" s="38">
        <f>'ANR OK vs ML7'!AR303</f>
        <v>0.1</v>
      </c>
      <c r="AS303" s="35" t="str">
        <f t="shared" si="184"/>
        <v/>
      </c>
      <c r="AT303" s="3" t="str">
        <f t="shared" si="185"/>
        <v/>
      </c>
      <c r="AU303" s="3" t="str">
        <f t="shared" si="186"/>
        <v/>
      </c>
      <c r="AW303" s="32" t="str">
        <f t="shared" si="187"/>
        <v/>
      </c>
      <c r="AX303" s="32" t="str">
        <f t="shared" si="188"/>
        <v/>
      </c>
      <c r="AY303" s="32" t="str">
        <f t="shared" si="189"/>
        <v/>
      </c>
      <c r="BA303" s="32" t="str">
        <f>IF($A304="","",F303*Summary!$Q$14)</f>
        <v/>
      </c>
    </row>
    <row r="304" spans="1:53" ht="12" customHeight="1">
      <c r="A304" s="67" t="str">
        <f t="shared" si="190"/>
        <v/>
      </c>
      <c r="B304" s="69" t="str">
        <f t="shared" si="191"/>
        <v/>
      </c>
      <c r="C304" s="71"/>
      <c r="D304" s="69" t="str">
        <f t="shared" si="155"/>
        <v/>
      </c>
      <c r="E304" s="70" t="str">
        <f t="shared" si="156"/>
        <v/>
      </c>
      <c r="F304" s="70" t="str">
        <f t="shared" si="157"/>
        <v/>
      </c>
      <c r="G304" s="63" t="str">
        <f t="shared" si="158"/>
        <v/>
      </c>
      <c r="H304" s="64" t="str">
        <f t="shared" si="159"/>
        <v/>
      </c>
      <c r="I304" s="43"/>
      <c r="J304" s="63" t="str">
        <f t="shared" si="160"/>
        <v/>
      </c>
      <c r="K304" s="64" t="str">
        <f t="shared" si="161"/>
        <v/>
      </c>
      <c r="L304" s="38">
        <v>0</v>
      </c>
      <c r="M304" s="64" t="str">
        <f t="shared" si="162"/>
        <v/>
      </c>
      <c r="N304" s="65"/>
      <c r="O304" s="63" t="str">
        <f t="shared" si="163"/>
        <v/>
      </c>
      <c r="P304" s="63" t="str">
        <f t="shared" si="164"/>
        <v/>
      </c>
      <c r="Q304" s="66"/>
      <c r="R304" s="63" t="str">
        <f t="shared" si="165"/>
        <v/>
      </c>
      <c r="S304" s="64" t="str">
        <f t="shared" si="166"/>
        <v/>
      </c>
      <c r="T304" s="63" t="str">
        <f t="shared" si="167"/>
        <v/>
      </c>
      <c r="U304" s="64" t="str">
        <f t="shared" si="168"/>
        <v/>
      </c>
      <c r="V304" s="207" t="str">
        <f>IF($A305="","",IF(AND(MONTH(A304)&gt;3,MONTH(A304)&lt;11),(T304+R304+G304)*(((1/(1-Summary!$T$14))/(1-Summary!$W$14))-1),(T304+R304+G304)*((1/(1-Summary!$U$14))/(1-Summary!$X$14)-1)))</f>
        <v/>
      </c>
      <c r="W304" s="43" t="str">
        <f t="shared" si="169"/>
        <v/>
      </c>
      <c r="X304" s="43" t="str">
        <f t="shared" si="170"/>
        <v/>
      </c>
      <c r="Y304" s="43"/>
      <c r="Z304" s="38" t="str">
        <f t="shared" si="171"/>
        <v/>
      </c>
      <c r="AA304" s="38" t="str">
        <f t="shared" si="172"/>
        <v/>
      </c>
      <c r="AB304" s="38" t="e">
        <f t="shared" si="173"/>
        <v>#VALUE!</v>
      </c>
      <c r="AC304" s="38" t="str">
        <f t="shared" si="174"/>
        <v/>
      </c>
      <c r="AD304" s="38" t="str">
        <f t="shared" si="175"/>
        <v/>
      </c>
      <c r="AE304" s="38" t="e">
        <f t="shared" si="176"/>
        <v>#VALUE!</v>
      </c>
      <c r="AF304" s="237" t="e">
        <f>((Summary!$N$14*(AA304*AD304)*(A304-$D$3))+(Summary!$M$14*Z304*AC304*(AJ304-EOMONTH(EDATE(A304,-1),0))))/(AK304*AB304*AE304)</f>
        <v>#VALUE!</v>
      </c>
      <c r="AG304" s="88" t="str">
        <f>IF($A305="","",Summary!$Q$14)</f>
        <v/>
      </c>
      <c r="AH304" s="88" t="str">
        <f>IF($A305="","",IF(Summary!$R$12="Y",(VLOOKUP($A304,Summary!$AD$6:$AF$9,3)+'Escalating commodity'!J317),'Escalating commodity'!J317))</f>
        <v/>
      </c>
      <c r="AI304" s="88" t="str">
        <f t="shared" si="192"/>
        <v/>
      </c>
      <c r="AJ304" s="236" t="e">
        <f t="shared" si="177"/>
        <v>#VALUE!</v>
      </c>
      <c r="AK304" s="58" t="str">
        <f t="shared" si="178"/>
        <v/>
      </c>
      <c r="AL304" s="26" t="str">
        <f>IF($A305="","",_xll.SPRDOPT(P304,X304,AI304,0,AB304,AE304,AF304,AK304,$AJ$2,0))</f>
        <v/>
      </c>
      <c r="AM304" s="89" t="str">
        <f t="shared" si="179"/>
        <v/>
      </c>
      <c r="AN304" s="89" t="str">
        <f t="shared" si="180"/>
        <v/>
      </c>
      <c r="AO304" s="3" t="str">
        <f t="shared" si="181"/>
        <v/>
      </c>
      <c r="AP304" s="33" t="str">
        <f t="shared" si="182"/>
        <v/>
      </c>
      <c r="AQ304" s="58" t="str">
        <f t="shared" si="183"/>
        <v/>
      </c>
      <c r="AR304" s="38">
        <f>'ANR OK vs ML7'!AR304</f>
        <v>0.1</v>
      </c>
      <c r="AS304" s="35" t="str">
        <f t="shared" si="184"/>
        <v/>
      </c>
      <c r="AT304" s="3" t="str">
        <f t="shared" si="185"/>
        <v/>
      </c>
      <c r="AU304" s="3" t="str">
        <f t="shared" si="186"/>
        <v/>
      </c>
      <c r="AW304" s="32" t="str">
        <f t="shared" si="187"/>
        <v/>
      </c>
      <c r="AX304" s="32" t="str">
        <f t="shared" si="188"/>
        <v/>
      </c>
      <c r="AY304" s="32" t="str">
        <f t="shared" si="189"/>
        <v/>
      </c>
      <c r="BA304" s="32" t="str">
        <f>IF($A305="","",F304*Summary!$Q$14)</f>
        <v/>
      </c>
    </row>
    <row r="305" spans="1:53" ht="12" customHeight="1">
      <c r="A305" s="67" t="str">
        <f t="shared" si="190"/>
        <v/>
      </c>
      <c r="B305" s="69" t="str">
        <f t="shared" si="191"/>
        <v/>
      </c>
      <c r="C305" s="71"/>
      <c r="D305" s="69" t="str">
        <f t="shared" si="155"/>
        <v/>
      </c>
      <c r="E305" s="70" t="str">
        <f t="shared" si="156"/>
        <v/>
      </c>
      <c r="F305" s="70" t="str">
        <f t="shared" si="157"/>
        <v/>
      </c>
      <c r="G305" s="63" t="str">
        <f t="shared" si="158"/>
        <v/>
      </c>
      <c r="H305" s="64" t="str">
        <f t="shared" si="159"/>
        <v/>
      </c>
      <c r="I305" s="43"/>
      <c r="J305" s="63" t="str">
        <f t="shared" si="160"/>
        <v/>
      </c>
      <c r="K305" s="64" t="str">
        <f t="shared" si="161"/>
        <v/>
      </c>
      <c r="L305" s="38">
        <v>0</v>
      </c>
      <c r="M305" s="64" t="str">
        <f t="shared" si="162"/>
        <v/>
      </c>
      <c r="N305" s="65"/>
      <c r="O305" s="63" t="str">
        <f t="shared" si="163"/>
        <v/>
      </c>
      <c r="P305" s="63" t="str">
        <f t="shared" si="164"/>
        <v/>
      </c>
      <c r="Q305" s="66"/>
      <c r="R305" s="63" t="str">
        <f t="shared" si="165"/>
        <v/>
      </c>
      <c r="S305" s="64" t="str">
        <f t="shared" si="166"/>
        <v/>
      </c>
      <c r="T305" s="63" t="str">
        <f t="shared" si="167"/>
        <v/>
      </c>
      <c r="U305" s="64" t="str">
        <f t="shared" si="168"/>
        <v/>
      </c>
      <c r="V305" s="207" t="str">
        <f>IF($A306="","",IF(AND(MONTH(A305)&gt;3,MONTH(A305)&lt;11),(T305+R305+G305)*(((1/(1-Summary!$T$14))/(1-Summary!$W$14))-1),(T305+R305+G305)*((1/(1-Summary!$U$14))/(1-Summary!$X$14)-1)))</f>
        <v/>
      </c>
      <c r="W305" s="43" t="str">
        <f t="shared" si="169"/>
        <v/>
      </c>
      <c r="X305" s="43" t="str">
        <f t="shared" si="170"/>
        <v/>
      </c>
      <c r="Y305" s="43"/>
      <c r="Z305" s="38" t="str">
        <f t="shared" si="171"/>
        <v/>
      </c>
      <c r="AA305" s="38" t="str">
        <f t="shared" si="172"/>
        <v/>
      </c>
      <c r="AB305" s="38" t="e">
        <f t="shared" si="173"/>
        <v>#VALUE!</v>
      </c>
      <c r="AC305" s="38" t="str">
        <f t="shared" si="174"/>
        <v/>
      </c>
      <c r="AD305" s="38" t="str">
        <f t="shared" si="175"/>
        <v/>
      </c>
      <c r="AE305" s="38" t="e">
        <f t="shared" si="176"/>
        <v>#VALUE!</v>
      </c>
      <c r="AF305" s="237" t="e">
        <f>((Summary!$N$14*(AA305*AD305)*(A305-$D$3))+(Summary!$M$14*Z305*AC305*(AJ305-EOMONTH(EDATE(A305,-1),0))))/(AK305*AB305*AE305)</f>
        <v>#VALUE!</v>
      </c>
      <c r="AG305" s="88" t="str">
        <f>IF($A306="","",Summary!$Q$14)</f>
        <v/>
      </c>
      <c r="AH305" s="88" t="str">
        <f>IF($A306="","",IF(Summary!$R$12="Y",(VLOOKUP($A305,Summary!$AD$6:$AF$9,3)+'Escalating commodity'!J318),'Escalating commodity'!J318))</f>
        <v/>
      </c>
      <c r="AI305" s="88" t="str">
        <f t="shared" si="192"/>
        <v/>
      </c>
      <c r="AJ305" s="236" t="e">
        <f t="shared" si="177"/>
        <v>#VALUE!</v>
      </c>
      <c r="AK305" s="58" t="str">
        <f t="shared" si="178"/>
        <v/>
      </c>
      <c r="AL305" s="26" t="str">
        <f>IF($A306="","",_xll.SPRDOPT(P305,X305,AI305,0,AB305,AE305,AF305,AK305,$AJ$2,0))</f>
        <v/>
      </c>
      <c r="AM305" s="89" t="str">
        <f t="shared" si="179"/>
        <v/>
      </c>
      <c r="AN305" s="89" t="str">
        <f t="shared" si="180"/>
        <v/>
      </c>
      <c r="AO305" s="3" t="str">
        <f t="shared" si="181"/>
        <v/>
      </c>
      <c r="AP305" s="33" t="str">
        <f t="shared" si="182"/>
        <v/>
      </c>
      <c r="AQ305" s="58" t="str">
        <f t="shared" si="183"/>
        <v/>
      </c>
      <c r="AR305" s="38">
        <f>'ANR OK vs ML7'!AR305</f>
        <v>0.1</v>
      </c>
      <c r="AS305" s="35" t="str">
        <f t="shared" si="184"/>
        <v/>
      </c>
      <c r="AT305" s="3" t="str">
        <f t="shared" si="185"/>
        <v/>
      </c>
      <c r="AU305" s="3" t="str">
        <f t="shared" si="186"/>
        <v/>
      </c>
      <c r="AW305" s="32" t="str">
        <f t="shared" si="187"/>
        <v/>
      </c>
      <c r="AX305" s="32" t="str">
        <f t="shared" si="188"/>
        <v/>
      </c>
      <c r="AY305" s="32" t="str">
        <f t="shared" si="189"/>
        <v/>
      </c>
      <c r="BA305" s="32" t="str">
        <f>IF($A306="","",F305*Summary!$Q$14)</f>
        <v/>
      </c>
    </row>
    <row r="306" spans="1:53" ht="12" customHeight="1">
      <c r="A306" s="67" t="str">
        <f t="shared" si="190"/>
        <v/>
      </c>
      <c r="B306" s="69" t="str">
        <f t="shared" si="191"/>
        <v/>
      </c>
      <c r="C306" s="71"/>
      <c r="D306" s="69" t="str">
        <f t="shared" si="155"/>
        <v/>
      </c>
      <c r="E306" s="70" t="str">
        <f t="shared" si="156"/>
        <v/>
      </c>
      <c r="F306" s="70" t="str">
        <f t="shared" si="157"/>
        <v/>
      </c>
      <c r="G306" s="63" t="str">
        <f t="shared" si="158"/>
        <v/>
      </c>
      <c r="H306" s="64" t="str">
        <f t="shared" si="159"/>
        <v/>
      </c>
      <c r="I306" s="43"/>
      <c r="J306" s="63" t="str">
        <f t="shared" si="160"/>
        <v/>
      </c>
      <c r="K306" s="64" t="str">
        <f t="shared" si="161"/>
        <v/>
      </c>
      <c r="L306" s="38">
        <v>0</v>
      </c>
      <c r="M306" s="64" t="str">
        <f t="shared" si="162"/>
        <v/>
      </c>
      <c r="N306" s="65"/>
      <c r="O306" s="63" t="str">
        <f t="shared" si="163"/>
        <v/>
      </c>
      <c r="P306" s="63" t="str">
        <f t="shared" si="164"/>
        <v/>
      </c>
      <c r="Q306" s="66"/>
      <c r="R306" s="63" t="str">
        <f t="shared" si="165"/>
        <v/>
      </c>
      <c r="S306" s="64" t="str">
        <f t="shared" si="166"/>
        <v/>
      </c>
      <c r="T306" s="63" t="str">
        <f t="shared" si="167"/>
        <v/>
      </c>
      <c r="U306" s="64" t="str">
        <f t="shared" si="168"/>
        <v/>
      </c>
      <c r="V306" s="207" t="str">
        <f>IF($A307="","",IF(AND(MONTH(A306)&gt;3,MONTH(A306)&lt;11),(T306+R306+G306)*(((1/(1-Summary!$T$14))/(1-Summary!$W$14))-1),(T306+R306+G306)*((1/(1-Summary!$U$14))/(1-Summary!$X$14)-1)))</f>
        <v/>
      </c>
      <c r="W306" s="43" t="str">
        <f t="shared" si="169"/>
        <v/>
      </c>
      <c r="X306" s="43" t="str">
        <f t="shared" si="170"/>
        <v/>
      </c>
      <c r="Y306" s="43"/>
      <c r="Z306" s="38" t="str">
        <f t="shared" si="171"/>
        <v/>
      </c>
      <c r="AA306" s="38" t="str">
        <f t="shared" si="172"/>
        <v/>
      </c>
      <c r="AB306" s="38" t="e">
        <f t="shared" si="173"/>
        <v>#VALUE!</v>
      </c>
      <c r="AC306" s="38" t="str">
        <f t="shared" si="174"/>
        <v/>
      </c>
      <c r="AD306" s="38" t="str">
        <f t="shared" si="175"/>
        <v/>
      </c>
      <c r="AE306" s="38" t="e">
        <f t="shared" si="176"/>
        <v>#VALUE!</v>
      </c>
      <c r="AF306" s="237" t="e">
        <f>((Summary!$N$14*(AA306*AD306)*(A306-$D$3))+(Summary!$M$14*Z306*AC306*(AJ306-EOMONTH(EDATE(A306,-1),0))))/(AK306*AB306*AE306)</f>
        <v>#VALUE!</v>
      </c>
      <c r="AG306" s="88" t="str">
        <f>IF($A307="","",Summary!$Q$14)</f>
        <v/>
      </c>
      <c r="AH306" s="88" t="str">
        <f>IF($A307="","",IF(Summary!$R$12="Y",(VLOOKUP($A306,Summary!$AD$6:$AF$9,3)+'Escalating commodity'!J319),'Escalating commodity'!J319))</f>
        <v/>
      </c>
      <c r="AI306" s="88" t="str">
        <f t="shared" si="192"/>
        <v/>
      </c>
      <c r="AJ306" s="236" t="e">
        <f t="shared" si="177"/>
        <v>#VALUE!</v>
      </c>
      <c r="AK306" s="58" t="str">
        <f t="shared" si="178"/>
        <v/>
      </c>
      <c r="AL306" s="26" t="str">
        <f>IF($A307="","",_xll.SPRDOPT(P306,X306,AI306,0,AB306,AE306,AF306,AK306,$AJ$2,0))</f>
        <v/>
      </c>
      <c r="AM306" s="89" t="str">
        <f t="shared" si="179"/>
        <v/>
      </c>
      <c r="AN306" s="89" t="str">
        <f t="shared" si="180"/>
        <v/>
      </c>
      <c r="AO306" s="3" t="str">
        <f t="shared" si="181"/>
        <v/>
      </c>
      <c r="AP306" s="33" t="str">
        <f t="shared" si="182"/>
        <v/>
      </c>
      <c r="AQ306" s="58" t="str">
        <f t="shared" si="183"/>
        <v/>
      </c>
      <c r="AR306" s="38">
        <f>'ANR OK vs ML7'!AR306</f>
        <v>0.1</v>
      </c>
      <c r="AS306" s="35" t="str">
        <f t="shared" si="184"/>
        <v/>
      </c>
      <c r="AT306" s="3" t="str">
        <f t="shared" si="185"/>
        <v/>
      </c>
      <c r="AU306" s="3" t="str">
        <f t="shared" si="186"/>
        <v/>
      </c>
      <c r="AW306" s="32" t="str">
        <f t="shared" si="187"/>
        <v/>
      </c>
      <c r="AX306" s="32" t="str">
        <f t="shared" si="188"/>
        <v/>
      </c>
      <c r="AY306" s="32" t="str">
        <f t="shared" si="189"/>
        <v/>
      </c>
      <c r="BA306" s="32" t="str">
        <f>IF($A307="","",F306*Summary!$Q$14)</f>
        <v/>
      </c>
    </row>
    <row r="307" spans="1:53" ht="12" customHeight="1">
      <c r="A307" s="67" t="str">
        <f t="shared" si="190"/>
        <v/>
      </c>
      <c r="B307" s="69" t="str">
        <f t="shared" si="191"/>
        <v/>
      </c>
      <c r="C307" s="71"/>
      <c r="D307" s="69" t="str">
        <f t="shared" si="155"/>
        <v/>
      </c>
      <c r="E307" s="70" t="str">
        <f t="shared" si="156"/>
        <v/>
      </c>
      <c r="F307" s="70" t="str">
        <f t="shared" si="157"/>
        <v/>
      </c>
      <c r="G307" s="63" t="str">
        <f t="shared" si="158"/>
        <v/>
      </c>
      <c r="H307" s="64" t="str">
        <f t="shared" si="159"/>
        <v/>
      </c>
      <c r="I307" s="43"/>
      <c r="J307" s="63" t="str">
        <f t="shared" si="160"/>
        <v/>
      </c>
      <c r="K307" s="64" t="str">
        <f t="shared" si="161"/>
        <v/>
      </c>
      <c r="L307" s="38">
        <v>0</v>
      </c>
      <c r="M307" s="64" t="str">
        <f t="shared" si="162"/>
        <v/>
      </c>
      <c r="N307" s="65"/>
      <c r="O307" s="63" t="str">
        <f t="shared" si="163"/>
        <v/>
      </c>
      <c r="P307" s="63" t="str">
        <f t="shared" si="164"/>
        <v/>
      </c>
      <c r="Q307" s="66"/>
      <c r="R307" s="63" t="str">
        <f t="shared" si="165"/>
        <v/>
      </c>
      <c r="S307" s="64" t="str">
        <f t="shared" si="166"/>
        <v/>
      </c>
      <c r="T307" s="63" t="str">
        <f t="shared" si="167"/>
        <v/>
      </c>
      <c r="U307" s="64" t="str">
        <f t="shared" si="168"/>
        <v/>
      </c>
      <c r="V307" s="207" t="str">
        <f>IF($A308="","",IF(AND(MONTH(A307)&gt;3,MONTH(A307)&lt;11),(T307+R307+G307)*(((1/(1-Summary!$T$14))/(1-Summary!$W$14))-1),(T307+R307+G307)*((1/(1-Summary!$U$14))/(1-Summary!$X$14)-1)))</f>
        <v/>
      </c>
      <c r="W307" s="43" t="str">
        <f t="shared" si="169"/>
        <v/>
      </c>
      <c r="X307" s="43" t="str">
        <f t="shared" si="170"/>
        <v/>
      </c>
      <c r="Y307" s="43"/>
      <c r="Z307" s="38" t="str">
        <f t="shared" si="171"/>
        <v/>
      </c>
      <c r="AA307" s="38" t="str">
        <f t="shared" si="172"/>
        <v/>
      </c>
      <c r="AB307" s="38" t="e">
        <f t="shared" si="173"/>
        <v>#VALUE!</v>
      </c>
      <c r="AC307" s="38" t="str">
        <f t="shared" si="174"/>
        <v/>
      </c>
      <c r="AD307" s="38" t="str">
        <f t="shared" si="175"/>
        <v/>
      </c>
      <c r="AE307" s="38" t="e">
        <f t="shared" si="176"/>
        <v>#VALUE!</v>
      </c>
      <c r="AF307" s="237" t="e">
        <f>((Summary!$N$14*(AA307*AD307)*(A307-$D$3))+(Summary!$M$14*Z307*AC307*(AJ307-EOMONTH(EDATE(A307,-1),0))))/(AK307*AB307*AE307)</f>
        <v>#VALUE!</v>
      </c>
      <c r="AG307" s="88" t="str">
        <f>IF($A308="","",Summary!$Q$14)</f>
        <v/>
      </c>
      <c r="AH307" s="88" t="str">
        <f>IF($A308="","",IF(Summary!$R$12="Y",(VLOOKUP($A307,Summary!$AD$6:$AF$9,3)+'Escalating commodity'!J320),'Escalating commodity'!J320))</f>
        <v/>
      </c>
      <c r="AI307" s="88" t="str">
        <f t="shared" si="192"/>
        <v/>
      </c>
      <c r="AJ307" s="236" t="e">
        <f t="shared" si="177"/>
        <v>#VALUE!</v>
      </c>
      <c r="AK307" s="58" t="str">
        <f t="shared" si="178"/>
        <v/>
      </c>
      <c r="AL307" s="26" t="str">
        <f>IF($A308="","",_xll.SPRDOPT(P307,X307,AI307,0,AB307,AE307,AF307,AK307,$AJ$2,0))</f>
        <v/>
      </c>
      <c r="AM307" s="89" t="str">
        <f t="shared" si="179"/>
        <v/>
      </c>
      <c r="AN307" s="89" t="str">
        <f t="shared" si="180"/>
        <v/>
      </c>
      <c r="AO307" s="3" t="str">
        <f t="shared" si="181"/>
        <v/>
      </c>
      <c r="AP307" s="33" t="str">
        <f t="shared" si="182"/>
        <v/>
      </c>
      <c r="AQ307" s="58" t="str">
        <f t="shared" si="183"/>
        <v/>
      </c>
      <c r="AR307" s="38">
        <f>'ANR OK vs ML7'!AR307</f>
        <v>0.1</v>
      </c>
      <c r="AS307" s="35" t="str">
        <f t="shared" si="184"/>
        <v/>
      </c>
      <c r="AT307" s="3" t="str">
        <f t="shared" si="185"/>
        <v/>
      </c>
      <c r="AU307" s="3" t="str">
        <f t="shared" si="186"/>
        <v/>
      </c>
      <c r="AW307" s="32" t="str">
        <f t="shared" si="187"/>
        <v/>
      </c>
      <c r="AX307" s="32" t="str">
        <f t="shared" si="188"/>
        <v/>
      </c>
      <c r="AY307" s="32" t="str">
        <f t="shared" si="189"/>
        <v/>
      </c>
      <c r="BA307" s="32" t="str">
        <f>IF($A308="","",F307*Summary!$Q$14)</f>
        <v/>
      </c>
    </row>
    <row r="308" spans="1:53" ht="12" customHeight="1">
      <c r="A308" s="67" t="str">
        <f t="shared" si="190"/>
        <v/>
      </c>
      <c r="B308" s="69" t="str">
        <f t="shared" si="191"/>
        <v/>
      </c>
      <c r="C308" s="71"/>
      <c r="D308" s="69" t="str">
        <f t="shared" si="155"/>
        <v/>
      </c>
      <c r="E308" s="70" t="str">
        <f t="shared" si="156"/>
        <v/>
      </c>
      <c r="F308" s="70" t="str">
        <f t="shared" si="157"/>
        <v/>
      </c>
      <c r="G308" s="63" t="str">
        <f t="shared" si="158"/>
        <v/>
      </c>
      <c r="H308" s="64" t="str">
        <f t="shared" si="159"/>
        <v/>
      </c>
      <c r="I308" s="43"/>
      <c r="J308" s="63" t="str">
        <f t="shared" si="160"/>
        <v/>
      </c>
      <c r="K308" s="64" t="str">
        <f t="shared" si="161"/>
        <v/>
      </c>
      <c r="L308" s="38">
        <v>0</v>
      </c>
      <c r="M308" s="64" t="str">
        <f t="shared" si="162"/>
        <v/>
      </c>
      <c r="N308" s="65"/>
      <c r="O308" s="63" t="str">
        <f t="shared" si="163"/>
        <v/>
      </c>
      <c r="P308" s="63" t="str">
        <f t="shared" si="164"/>
        <v/>
      </c>
      <c r="Q308" s="66"/>
      <c r="R308" s="63" t="str">
        <f t="shared" si="165"/>
        <v/>
      </c>
      <c r="S308" s="64" t="str">
        <f t="shared" si="166"/>
        <v/>
      </c>
      <c r="T308" s="63" t="str">
        <f t="shared" si="167"/>
        <v/>
      </c>
      <c r="U308" s="64" t="str">
        <f t="shared" si="168"/>
        <v/>
      </c>
      <c r="V308" s="207" t="str">
        <f>IF($A309="","",IF(AND(MONTH(A308)&gt;3,MONTH(A308)&lt;11),(T308+R308+G308)*(((1/(1-Summary!$T$14))/(1-Summary!$W$14))-1),(T308+R308+G308)*((1/(1-Summary!$U$14))/(1-Summary!$X$14)-1)))</f>
        <v/>
      </c>
      <c r="W308" s="43" t="str">
        <f t="shared" si="169"/>
        <v/>
      </c>
      <c r="X308" s="43" t="str">
        <f t="shared" si="170"/>
        <v/>
      </c>
      <c r="Y308" s="43"/>
      <c r="Z308" s="38" t="str">
        <f t="shared" si="171"/>
        <v/>
      </c>
      <c r="AA308" s="38" t="str">
        <f t="shared" si="172"/>
        <v/>
      </c>
      <c r="AB308" s="38" t="e">
        <f t="shared" si="173"/>
        <v>#VALUE!</v>
      </c>
      <c r="AC308" s="38" t="str">
        <f t="shared" si="174"/>
        <v/>
      </c>
      <c r="AD308" s="38" t="str">
        <f t="shared" si="175"/>
        <v/>
      </c>
      <c r="AE308" s="38" t="e">
        <f t="shared" si="176"/>
        <v>#VALUE!</v>
      </c>
      <c r="AF308" s="237" t="e">
        <f>((Summary!$N$14*(AA308*AD308)*(A308-$D$3))+(Summary!$M$14*Z308*AC308*(AJ308-EOMONTH(EDATE(A308,-1),0))))/(AK308*AB308*AE308)</f>
        <v>#VALUE!</v>
      </c>
      <c r="AG308" s="88" t="str">
        <f>IF($A309="","",Summary!$Q$14)</f>
        <v/>
      </c>
      <c r="AH308" s="88" t="str">
        <f>IF($A309="","",IF(Summary!$R$12="Y",(VLOOKUP($A308,Summary!$AD$6:$AF$9,3)+'Escalating commodity'!J321),'Escalating commodity'!J321))</f>
        <v/>
      </c>
      <c r="AI308" s="88" t="str">
        <f t="shared" si="192"/>
        <v/>
      </c>
      <c r="AJ308" s="236" t="e">
        <f t="shared" si="177"/>
        <v>#VALUE!</v>
      </c>
      <c r="AK308" s="58" t="str">
        <f t="shared" si="178"/>
        <v/>
      </c>
      <c r="AL308" s="26" t="str">
        <f>IF($A309="","",_xll.SPRDOPT(P308,X308,AI308,0,AB308,AE308,AF308,AK308,$AJ$2,0))</f>
        <v/>
      </c>
      <c r="AM308" s="89" t="str">
        <f t="shared" si="179"/>
        <v/>
      </c>
      <c r="AN308" s="89" t="str">
        <f t="shared" si="180"/>
        <v/>
      </c>
      <c r="AO308" s="3" t="str">
        <f t="shared" si="181"/>
        <v/>
      </c>
      <c r="AP308" s="33" t="str">
        <f t="shared" si="182"/>
        <v/>
      </c>
      <c r="AQ308" s="58" t="str">
        <f t="shared" si="183"/>
        <v/>
      </c>
      <c r="AR308" s="38">
        <f>'ANR OK vs ML7'!AR308</f>
        <v>0.1</v>
      </c>
      <c r="AS308" s="35" t="str">
        <f t="shared" si="184"/>
        <v/>
      </c>
      <c r="AT308" s="3" t="str">
        <f t="shared" si="185"/>
        <v/>
      </c>
      <c r="AU308" s="3" t="str">
        <f t="shared" si="186"/>
        <v/>
      </c>
      <c r="AW308" s="32" t="str">
        <f t="shared" si="187"/>
        <v/>
      </c>
      <c r="AX308" s="32" t="str">
        <f t="shared" si="188"/>
        <v/>
      </c>
      <c r="AY308" s="32" t="str">
        <f t="shared" si="189"/>
        <v/>
      </c>
      <c r="BA308" s="32" t="str">
        <f>IF($A309="","",F308*Summary!$Q$14)</f>
        <v/>
      </c>
    </row>
    <row r="309" spans="1:53" ht="12" customHeight="1">
      <c r="A309" s="67" t="str">
        <f t="shared" si="190"/>
        <v/>
      </c>
      <c r="B309" s="69" t="str">
        <f t="shared" si="191"/>
        <v/>
      </c>
      <c r="C309" s="71"/>
      <c r="D309" s="69" t="str">
        <f t="shared" si="155"/>
        <v/>
      </c>
      <c r="E309" s="70" t="str">
        <f t="shared" si="156"/>
        <v/>
      </c>
      <c r="F309" s="70" t="str">
        <f t="shared" si="157"/>
        <v/>
      </c>
      <c r="G309" s="63" t="str">
        <f t="shared" si="158"/>
        <v/>
      </c>
      <c r="H309" s="64" t="str">
        <f t="shared" si="159"/>
        <v/>
      </c>
      <c r="I309" s="43"/>
      <c r="J309" s="63" t="str">
        <f t="shared" si="160"/>
        <v/>
      </c>
      <c r="K309" s="64" t="str">
        <f t="shared" si="161"/>
        <v/>
      </c>
      <c r="L309" s="38">
        <v>0</v>
      </c>
      <c r="M309" s="64" t="str">
        <f t="shared" si="162"/>
        <v/>
      </c>
      <c r="N309" s="65"/>
      <c r="O309" s="63" t="str">
        <f t="shared" si="163"/>
        <v/>
      </c>
      <c r="P309" s="63" t="str">
        <f t="shared" si="164"/>
        <v/>
      </c>
      <c r="Q309" s="66"/>
      <c r="R309" s="63" t="str">
        <f t="shared" si="165"/>
        <v/>
      </c>
      <c r="S309" s="64" t="str">
        <f t="shared" si="166"/>
        <v/>
      </c>
      <c r="T309" s="63" t="str">
        <f t="shared" si="167"/>
        <v/>
      </c>
      <c r="U309" s="64" t="str">
        <f t="shared" si="168"/>
        <v/>
      </c>
      <c r="V309" s="207" t="str">
        <f>IF($A310="","",IF(AND(MONTH(A309)&gt;3,MONTH(A309)&lt;11),(T309+R309+G309)*(((1/(1-Summary!$T$14))/(1-Summary!$W$14))-1),(T309+R309+G309)*((1/(1-Summary!$U$14))/(1-Summary!$X$14)-1)))</f>
        <v/>
      </c>
      <c r="W309" s="43" t="str">
        <f t="shared" si="169"/>
        <v/>
      </c>
      <c r="X309" s="43" t="str">
        <f t="shared" si="170"/>
        <v/>
      </c>
      <c r="Y309" s="43"/>
      <c r="Z309" s="38" t="str">
        <f t="shared" si="171"/>
        <v/>
      </c>
      <c r="AA309" s="38" t="str">
        <f t="shared" si="172"/>
        <v/>
      </c>
      <c r="AB309" s="38" t="e">
        <f t="shared" si="173"/>
        <v>#VALUE!</v>
      </c>
      <c r="AC309" s="38" t="str">
        <f t="shared" si="174"/>
        <v/>
      </c>
      <c r="AD309" s="38" t="str">
        <f t="shared" si="175"/>
        <v/>
      </c>
      <c r="AE309" s="38" t="e">
        <f t="shared" si="176"/>
        <v>#VALUE!</v>
      </c>
      <c r="AF309" s="237" t="e">
        <f>((Summary!$N$14*(AA309*AD309)*(A309-$D$3))+(Summary!$M$14*Z309*AC309*(AJ309-EOMONTH(EDATE(A309,-1),0))))/(AK309*AB309*AE309)</f>
        <v>#VALUE!</v>
      </c>
      <c r="AG309" s="88" t="str">
        <f>IF($A310="","",Summary!$Q$14)</f>
        <v/>
      </c>
      <c r="AH309" s="88" t="str">
        <f>IF($A310="","",IF(Summary!$R$12="Y",(VLOOKUP($A309,Summary!$AD$6:$AF$9,3)+'Escalating commodity'!J322),'Escalating commodity'!J322))</f>
        <v/>
      </c>
      <c r="AI309" s="88" t="str">
        <f t="shared" si="192"/>
        <v/>
      </c>
      <c r="AJ309" s="236" t="e">
        <f t="shared" si="177"/>
        <v>#VALUE!</v>
      </c>
      <c r="AK309" s="58" t="str">
        <f t="shared" si="178"/>
        <v/>
      </c>
      <c r="AL309" s="26" t="str">
        <f>IF($A310="","",_xll.SPRDOPT(P309,X309,AI309,0,AB309,AE309,AF309,AK309,$AJ$2,0))</f>
        <v/>
      </c>
      <c r="AM309" s="89" t="str">
        <f t="shared" si="179"/>
        <v/>
      </c>
      <c r="AN309" s="89" t="str">
        <f t="shared" si="180"/>
        <v/>
      </c>
      <c r="AO309" s="3" t="str">
        <f t="shared" si="181"/>
        <v/>
      </c>
      <c r="AP309" s="33" t="str">
        <f t="shared" si="182"/>
        <v/>
      </c>
      <c r="AQ309" s="58" t="str">
        <f t="shared" si="183"/>
        <v/>
      </c>
      <c r="AR309" s="38">
        <f>'ANR OK vs ML7'!AR309</f>
        <v>0.1</v>
      </c>
      <c r="AS309" s="35" t="str">
        <f t="shared" si="184"/>
        <v/>
      </c>
      <c r="AT309" s="3" t="str">
        <f t="shared" si="185"/>
        <v/>
      </c>
      <c r="AU309" s="3" t="str">
        <f t="shared" si="186"/>
        <v/>
      </c>
      <c r="AW309" s="32" t="str">
        <f t="shared" si="187"/>
        <v/>
      </c>
      <c r="AX309" s="32" t="str">
        <f t="shared" si="188"/>
        <v/>
      </c>
      <c r="AY309" s="32" t="str">
        <f t="shared" si="189"/>
        <v/>
      </c>
      <c r="BA309" s="32" t="str">
        <f>IF($A310="","",F309*Summary!$Q$14)</f>
        <v/>
      </c>
    </row>
    <row r="310" spans="1:53" ht="12" customHeight="1">
      <c r="A310" s="67" t="str">
        <f t="shared" si="190"/>
        <v/>
      </c>
      <c r="B310" s="69" t="str">
        <f t="shared" si="191"/>
        <v/>
      </c>
      <c r="C310" s="71"/>
      <c r="D310" s="69" t="str">
        <f t="shared" si="155"/>
        <v/>
      </c>
      <c r="E310" s="70" t="str">
        <f t="shared" si="156"/>
        <v/>
      </c>
      <c r="F310" s="70" t="str">
        <f t="shared" si="157"/>
        <v/>
      </c>
      <c r="G310" s="63" t="str">
        <f t="shared" si="158"/>
        <v/>
      </c>
      <c r="H310" s="64" t="str">
        <f t="shared" si="159"/>
        <v/>
      </c>
      <c r="I310" s="43"/>
      <c r="J310" s="63" t="str">
        <f t="shared" si="160"/>
        <v/>
      </c>
      <c r="K310" s="64" t="str">
        <f t="shared" si="161"/>
        <v/>
      </c>
      <c r="L310" s="38">
        <v>0</v>
      </c>
      <c r="M310" s="64" t="str">
        <f t="shared" si="162"/>
        <v/>
      </c>
      <c r="N310" s="65"/>
      <c r="O310" s="63" t="str">
        <f t="shared" si="163"/>
        <v/>
      </c>
      <c r="P310" s="63" t="str">
        <f t="shared" si="164"/>
        <v/>
      </c>
      <c r="Q310" s="66"/>
      <c r="R310" s="63" t="str">
        <f t="shared" si="165"/>
        <v/>
      </c>
      <c r="S310" s="64" t="str">
        <f t="shared" si="166"/>
        <v/>
      </c>
      <c r="T310" s="63" t="str">
        <f t="shared" si="167"/>
        <v/>
      </c>
      <c r="U310" s="64" t="str">
        <f t="shared" si="168"/>
        <v/>
      </c>
      <c r="V310" s="207" t="str">
        <f>IF($A311="","",IF(AND(MONTH(A310)&gt;3,MONTH(A310)&lt;11),(T310+R310+G310)*(((1/(1-Summary!$T$14))/(1-Summary!$W$14))-1),(T310+R310+G310)*((1/(1-Summary!$U$14))/(1-Summary!$X$14)-1)))</f>
        <v/>
      </c>
      <c r="W310" s="43" t="str">
        <f t="shared" si="169"/>
        <v/>
      </c>
      <c r="X310" s="43" t="str">
        <f t="shared" si="170"/>
        <v/>
      </c>
      <c r="Y310" s="43"/>
      <c r="Z310" s="38" t="str">
        <f t="shared" si="171"/>
        <v/>
      </c>
      <c r="AA310" s="38" t="str">
        <f t="shared" si="172"/>
        <v/>
      </c>
      <c r="AB310" s="38" t="e">
        <f t="shared" si="173"/>
        <v>#VALUE!</v>
      </c>
      <c r="AC310" s="38" t="str">
        <f t="shared" si="174"/>
        <v/>
      </c>
      <c r="AD310" s="38" t="str">
        <f t="shared" si="175"/>
        <v/>
      </c>
      <c r="AE310" s="38" t="e">
        <f t="shared" si="176"/>
        <v>#VALUE!</v>
      </c>
      <c r="AF310" s="237" t="e">
        <f>((Summary!$N$14*(AA310*AD310)*(A310-$D$3))+(Summary!$M$14*Z310*AC310*(AJ310-EOMONTH(EDATE(A310,-1),0))))/(AK310*AB310*AE310)</f>
        <v>#VALUE!</v>
      </c>
      <c r="AG310" s="88" t="str">
        <f>IF($A311="","",Summary!$Q$14)</f>
        <v/>
      </c>
      <c r="AH310" s="88" t="str">
        <f>IF($A311="","",IF(Summary!$R$12="Y",(VLOOKUP($A310,Summary!$AD$6:$AF$9,3)+'Escalating commodity'!J323),'Escalating commodity'!J323))</f>
        <v/>
      </c>
      <c r="AI310" s="88" t="str">
        <f t="shared" si="192"/>
        <v/>
      </c>
      <c r="AJ310" s="236" t="e">
        <f t="shared" si="177"/>
        <v>#VALUE!</v>
      </c>
      <c r="AK310" s="58" t="str">
        <f t="shared" si="178"/>
        <v/>
      </c>
      <c r="AL310" s="26" t="str">
        <f>IF($A311="","",_xll.SPRDOPT(P310,X310,AI310,0,AB310,AE310,AF310,AK310,$AJ$2,0))</f>
        <v/>
      </c>
      <c r="AM310" s="89" t="str">
        <f t="shared" si="179"/>
        <v/>
      </c>
      <c r="AN310" s="89" t="str">
        <f t="shared" si="180"/>
        <v/>
      </c>
      <c r="AO310" s="3" t="str">
        <f t="shared" si="181"/>
        <v/>
      </c>
      <c r="AP310" s="33" t="str">
        <f t="shared" si="182"/>
        <v/>
      </c>
      <c r="AQ310" s="58" t="str">
        <f t="shared" si="183"/>
        <v/>
      </c>
      <c r="AR310" s="38">
        <f>'ANR OK vs ML7'!AR310</f>
        <v>0.1</v>
      </c>
      <c r="AS310" s="35" t="str">
        <f t="shared" si="184"/>
        <v/>
      </c>
      <c r="AT310" s="3" t="str">
        <f t="shared" si="185"/>
        <v/>
      </c>
      <c r="AU310" s="3" t="str">
        <f t="shared" si="186"/>
        <v/>
      </c>
      <c r="AW310" s="32" t="str">
        <f t="shared" si="187"/>
        <v/>
      </c>
      <c r="AX310" s="32" t="str">
        <f t="shared" si="188"/>
        <v/>
      </c>
      <c r="AY310" s="32" t="str">
        <f t="shared" si="189"/>
        <v/>
      </c>
      <c r="BA310" s="32" t="str">
        <f>IF($A311="","",F310*Summary!$Q$14)</f>
        <v/>
      </c>
    </row>
    <row r="311" spans="1:53" ht="12" customHeight="1">
      <c r="A311" s="67" t="str">
        <f t="shared" si="190"/>
        <v/>
      </c>
      <c r="B311" s="69" t="str">
        <f t="shared" si="191"/>
        <v/>
      </c>
      <c r="C311" s="71"/>
      <c r="D311" s="69" t="str">
        <f t="shared" si="155"/>
        <v/>
      </c>
      <c r="E311" s="70" t="str">
        <f t="shared" si="156"/>
        <v/>
      </c>
      <c r="F311" s="70" t="str">
        <f t="shared" si="157"/>
        <v/>
      </c>
      <c r="G311" s="63" t="str">
        <f t="shared" si="158"/>
        <v/>
      </c>
      <c r="H311" s="64" t="str">
        <f t="shared" si="159"/>
        <v/>
      </c>
      <c r="I311" s="43"/>
      <c r="J311" s="63" t="str">
        <f t="shared" si="160"/>
        <v/>
      </c>
      <c r="K311" s="64" t="str">
        <f t="shared" si="161"/>
        <v/>
      </c>
      <c r="L311" s="38">
        <v>0</v>
      </c>
      <c r="M311" s="64" t="str">
        <f t="shared" si="162"/>
        <v/>
      </c>
      <c r="N311" s="65"/>
      <c r="O311" s="63" t="str">
        <f t="shared" si="163"/>
        <v/>
      </c>
      <c r="P311" s="63" t="str">
        <f t="shared" si="164"/>
        <v/>
      </c>
      <c r="Q311" s="66"/>
      <c r="R311" s="63" t="str">
        <f t="shared" si="165"/>
        <v/>
      </c>
      <c r="S311" s="64" t="str">
        <f t="shared" si="166"/>
        <v/>
      </c>
      <c r="T311" s="63" t="str">
        <f t="shared" si="167"/>
        <v/>
      </c>
      <c r="U311" s="64" t="str">
        <f t="shared" si="168"/>
        <v/>
      </c>
      <c r="V311" s="207" t="str">
        <f>IF($A312="","",IF(AND(MONTH(A311)&gt;3,MONTH(A311)&lt;11),(T311+R311+G311)*(((1/(1-Summary!$T$14))/(1-Summary!$W$14))-1),(T311+R311+G311)*((1/(1-Summary!$U$14))/(1-Summary!$X$14)-1)))</f>
        <v/>
      </c>
      <c r="W311" s="43" t="str">
        <f t="shared" si="169"/>
        <v/>
      </c>
      <c r="X311" s="43" t="str">
        <f t="shared" si="170"/>
        <v/>
      </c>
      <c r="Y311" s="43"/>
      <c r="Z311" s="38" t="str">
        <f t="shared" si="171"/>
        <v/>
      </c>
      <c r="AA311" s="38" t="str">
        <f t="shared" si="172"/>
        <v/>
      </c>
      <c r="AB311" s="38" t="e">
        <f t="shared" si="173"/>
        <v>#VALUE!</v>
      </c>
      <c r="AC311" s="38" t="str">
        <f t="shared" si="174"/>
        <v/>
      </c>
      <c r="AD311" s="38" t="str">
        <f t="shared" si="175"/>
        <v/>
      </c>
      <c r="AE311" s="38" t="e">
        <f t="shared" si="176"/>
        <v>#VALUE!</v>
      </c>
      <c r="AF311" s="237" t="e">
        <f>((Summary!$N$14*(AA311*AD311)*(A311-$D$3))+(Summary!$M$14*Z311*AC311*(AJ311-EOMONTH(EDATE(A311,-1),0))))/(AK311*AB311*AE311)</f>
        <v>#VALUE!</v>
      </c>
      <c r="AG311" s="88" t="str">
        <f>IF($A312="","",Summary!$Q$14)</f>
        <v/>
      </c>
      <c r="AH311" s="88" t="str">
        <f>IF($A312="","",IF(Summary!$R$12="Y",(VLOOKUP($A311,Summary!$AD$6:$AF$9,3)+'Escalating commodity'!J324),'Escalating commodity'!J324))</f>
        <v/>
      </c>
      <c r="AI311" s="88" t="str">
        <f t="shared" si="192"/>
        <v/>
      </c>
      <c r="AJ311" s="236" t="e">
        <f t="shared" si="177"/>
        <v>#VALUE!</v>
      </c>
      <c r="AK311" s="58" t="str">
        <f t="shared" si="178"/>
        <v/>
      </c>
      <c r="AL311" s="26" t="str">
        <f>IF($A312="","",_xll.SPRDOPT(P311,X311,AI311,0,AB311,AE311,AF311,AK311,$AJ$2,0))</f>
        <v/>
      </c>
      <c r="AM311" s="89" t="str">
        <f t="shared" si="179"/>
        <v/>
      </c>
      <c r="AN311" s="89" t="str">
        <f t="shared" si="180"/>
        <v/>
      </c>
      <c r="AO311" s="3" t="str">
        <f t="shared" si="181"/>
        <v/>
      </c>
      <c r="AP311" s="33" t="str">
        <f t="shared" si="182"/>
        <v/>
      </c>
      <c r="AQ311" s="58" t="str">
        <f t="shared" si="183"/>
        <v/>
      </c>
      <c r="AR311" s="38">
        <f>'ANR OK vs ML7'!AR311</f>
        <v>0.1</v>
      </c>
      <c r="AS311" s="35" t="str">
        <f t="shared" si="184"/>
        <v/>
      </c>
      <c r="AT311" s="3" t="str">
        <f t="shared" si="185"/>
        <v/>
      </c>
      <c r="AU311" s="3" t="str">
        <f t="shared" si="186"/>
        <v/>
      </c>
      <c r="AW311" s="32" t="str">
        <f t="shared" si="187"/>
        <v/>
      </c>
      <c r="AX311" s="32" t="str">
        <f t="shared" si="188"/>
        <v/>
      </c>
      <c r="AY311" s="32" t="str">
        <f t="shared" si="189"/>
        <v/>
      </c>
      <c r="BA311" s="32" t="str">
        <f>IF($A312="","",F311*Summary!$Q$14)</f>
        <v/>
      </c>
    </row>
    <row r="312" spans="1:53" ht="12" customHeight="1">
      <c r="A312" s="67" t="str">
        <f t="shared" si="190"/>
        <v/>
      </c>
      <c r="B312" s="69" t="str">
        <f t="shared" si="191"/>
        <v/>
      </c>
      <c r="C312" s="71"/>
      <c r="D312" s="69" t="str">
        <f t="shared" si="155"/>
        <v/>
      </c>
      <c r="E312" s="70" t="str">
        <f t="shared" si="156"/>
        <v/>
      </c>
      <c r="F312" s="70" t="str">
        <f t="shared" si="157"/>
        <v/>
      </c>
      <c r="G312" s="63" t="str">
        <f t="shared" si="158"/>
        <v/>
      </c>
      <c r="H312" s="64" t="str">
        <f t="shared" si="159"/>
        <v/>
      </c>
      <c r="I312" s="43"/>
      <c r="J312" s="63" t="str">
        <f t="shared" si="160"/>
        <v/>
      </c>
      <c r="K312" s="64" t="str">
        <f t="shared" si="161"/>
        <v/>
      </c>
      <c r="L312" s="38">
        <v>0</v>
      </c>
      <c r="M312" s="64" t="str">
        <f t="shared" si="162"/>
        <v/>
      </c>
      <c r="N312" s="65"/>
      <c r="O312" s="63" t="str">
        <f t="shared" si="163"/>
        <v/>
      </c>
      <c r="P312" s="63" t="str">
        <f t="shared" si="164"/>
        <v/>
      </c>
      <c r="Q312" s="66"/>
      <c r="R312" s="63" t="str">
        <f t="shared" si="165"/>
        <v/>
      </c>
      <c r="S312" s="64" t="str">
        <f t="shared" si="166"/>
        <v/>
      </c>
      <c r="T312" s="63" t="str">
        <f t="shared" si="167"/>
        <v/>
      </c>
      <c r="U312" s="64" t="str">
        <f t="shared" si="168"/>
        <v/>
      </c>
      <c r="V312" s="207" t="str">
        <f>IF($A313="","",IF(AND(MONTH(A312)&gt;3,MONTH(A312)&lt;11),(T312+R312+G312)*(((1/(1-Summary!$T$14))/(1-Summary!$W$14))-1),(T312+R312+G312)*((1/(1-Summary!$U$14))/(1-Summary!$X$14)-1)))</f>
        <v/>
      </c>
      <c r="W312" s="43" t="str">
        <f t="shared" si="169"/>
        <v/>
      </c>
      <c r="X312" s="43" t="str">
        <f t="shared" si="170"/>
        <v/>
      </c>
      <c r="Y312" s="43"/>
      <c r="Z312" s="38" t="str">
        <f t="shared" si="171"/>
        <v/>
      </c>
      <c r="AA312" s="38" t="str">
        <f t="shared" si="172"/>
        <v/>
      </c>
      <c r="AB312" s="38" t="e">
        <f t="shared" si="173"/>
        <v>#VALUE!</v>
      </c>
      <c r="AC312" s="38" t="str">
        <f t="shared" si="174"/>
        <v/>
      </c>
      <c r="AD312" s="38" t="str">
        <f t="shared" si="175"/>
        <v/>
      </c>
      <c r="AE312" s="38" t="e">
        <f t="shared" si="176"/>
        <v>#VALUE!</v>
      </c>
      <c r="AF312" s="237" t="e">
        <f>((Summary!$N$14*(AA312*AD312)*(A312-$D$3))+(Summary!$M$14*Z312*AC312*(AJ312-EOMONTH(EDATE(A312,-1),0))))/(AK312*AB312*AE312)</f>
        <v>#VALUE!</v>
      </c>
      <c r="AG312" s="88" t="str">
        <f>IF($A313="","",Summary!$Q$14)</f>
        <v/>
      </c>
      <c r="AH312" s="88" t="str">
        <f>IF($A313="","",IF(Summary!$R$12="Y",(VLOOKUP($A312,Summary!$AD$6:$AF$9,3)+'Escalating commodity'!J325),'Escalating commodity'!J325))</f>
        <v/>
      </c>
      <c r="AI312" s="88" t="str">
        <f t="shared" si="192"/>
        <v/>
      </c>
      <c r="AJ312" s="236" t="e">
        <f t="shared" si="177"/>
        <v>#VALUE!</v>
      </c>
      <c r="AK312" s="58" t="str">
        <f t="shared" si="178"/>
        <v/>
      </c>
      <c r="AL312" s="26" t="str">
        <f>IF($A313="","",_xll.SPRDOPT(P312,X312,AI312,0,AB312,AE312,AF312,AK312,$AJ$2,0))</f>
        <v/>
      </c>
      <c r="AM312" s="89" t="str">
        <f t="shared" si="179"/>
        <v/>
      </c>
      <c r="AN312" s="89" t="str">
        <f t="shared" si="180"/>
        <v/>
      </c>
      <c r="AO312" s="3" t="str">
        <f t="shared" si="181"/>
        <v/>
      </c>
      <c r="AP312" s="33" t="str">
        <f t="shared" si="182"/>
        <v/>
      </c>
      <c r="AQ312" s="58" t="str">
        <f t="shared" si="183"/>
        <v/>
      </c>
      <c r="AR312" s="38">
        <f>'ANR OK vs ML7'!AR312</f>
        <v>0.1</v>
      </c>
      <c r="AS312" s="35" t="str">
        <f t="shared" si="184"/>
        <v/>
      </c>
      <c r="AT312" s="3" t="str">
        <f t="shared" si="185"/>
        <v/>
      </c>
      <c r="AU312" s="3" t="str">
        <f t="shared" si="186"/>
        <v/>
      </c>
      <c r="AW312" s="32" t="str">
        <f t="shared" si="187"/>
        <v/>
      </c>
      <c r="AX312" s="32" t="str">
        <f t="shared" si="188"/>
        <v/>
      </c>
      <c r="AY312" s="32" t="str">
        <f t="shared" si="189"/>
        <v/>
      </c>
      <c r="BA312" s="32" t="str">
        <f>IF($A313="","",F312*Summary!$Q$14)</f>
        <v/>
      </c>
    </row>
    <row r="313" spans="1:53" ht="12" customHeight="1">
      <c r="A313" s="67" t="str">
        <f t="shared" si="190"/>
        <v/>
      </c>
      <c r="B313" s="69" t="str">
        <f t="shared" si="191"/>
        <v/>
      </c>
      <c r="C313" s="71"/>
      <c r="D313" s="69" t="str">
        <f t="shared" si="155"/>
        <v/>
      </c>
      <c r="E313" s="70" t="str">
        <f t="shared" si="156"/>
        <v/>
      </c>
      <c r="F313" s="70" t="str">
        <f t="shared" si="157"/>
        <v/>
      </c>
      <c r="G313" s="63" t="str">
        <f t="shared" si="158"/>
        <v/>
      </c>
      <c r="H313" s="64" t="str">
        <f t="shared" si="159"/>
        <v/>
      </c>
      <c r="I313" s="43"/>
      <c r="J313" s="63" t="str">
        <f t="shared" si="160"/>
        <v/>
      </c>
      <c r="K313" s="64" t="str">
        <f t="shared" si="161"/>
        <v/>
      </c>
      <c r="L313" s="38">
        <v>0</v>
      </c>
      <c r="M313" s="64" t="str">
        <f t="shared" si="162"/>
        <v/>
      </c>
      <c r="N313" s="65"/>
      <c r="O313" s="63" t="str">
        <f t="shared" si="163"/>
        <v/>
      </c>
      <c r="P313" s="63" t="str">
        <f t="shared" si="164"/>
        <v/>
      </c>
      <c r="Q313" s="66"/>
      <c r="R313" s="63" t="str">
        <f t="shared" si="165"/>
        <v/>
      </c>
      <c r="S313" s="64" t="str">
        <f t="shared" si="166"/>
        <v/>
      </c>
      <c r="T313" s="63" t="str">
        <f t="shared" si="167"/>
        <v/>
      </c>
      <c r="U313" s="64" t="str">
        <f t="shared" si="168"/>
        <v/>
      </c>
      <c r="V313" s="207" t="str">
        <f>IF($A314="","",IF(AND(MONTH(A313)&gt;3,MONTH(A313)&lt;11),(T313+R313+G313)*(((1/(1-Summary!$T$14))/(1-Summary!$W$14))-1),(T313+R313+G313)*((1/(1-Summary!$U$14))/(1-Summary!$X$14)-1)))</f>
        <v/>
      </c>
      <c r="W313" s="43" t="str">
        <f t="shared" si="169"/>
        <v/>
      </c>
      <c r="X313" s="43" t="str">
        <f t="shared" si="170"/>
        <v/>
      </c>
      <c r="Y313" s="43"/>
      <c r="Z313" s="38" t="str">
        <f t="shared" si="171"/>
        <v/>
      </c>
      <c r="AA313" s="38" t="str">
        <f t="shared" si="172"/>
        <v/>
      </c>
      <c r="AB313" s="38" t="e">
        <f t="shared" si="173"/>
        <v>#VALUE!</v>
      </c>
      <c r="AC313" s="38" t="str">
        <f t="shared" si="174"/>
        <v/>
      </c>
      <c r="AD313" s="38" t="str">
        <f t="shared" si="175"/>
        <v/>
      </c>
      <c r="AE313" s="38" t="e">
        <f t="shared" si="176"/>
        <v>#VALUE!</v>
      </c>
      <c r="AF313" s="237" t="e">
        <f>((Summary!$N$14*(AA313*AD313)*(A313-$D$3))+(Summary!$M$14*Z313*AC313*(AJ313-EOMONTH(EDATE(A313,-1),0))))/(AK313*AB313*AE313)</f>
        <v>#VALUE!</v>
      </c>
      <c r="AG313" s="88" t="str">
        <f>IF($A314="","",Summary!$Q$14)</f>
        <v/>
      </c>
      <c r="AH313" s="88" t="str">
        <f>IF($A314="","",IF(Summary!$R$12="Y",(VLOOKUP($A313,Summary!$AD$6:$AF$9,3)+'Escalating commodity'!J326),'Escalating commodity'!J326))</f>
        <v/>
      </c>
      <c r="AI313" s="88" t="str">
        <f t="shared" si="192"/>
        <v/>
      </c>
      <c r="AJ313" s="236" t="e">
        <f t="shared" si="177"/>
        <v>#VALUE!</v>
      </c>
      <c r="AK313" s="58" t="str">
        <f t="shared" si="178"/>
        <v/>
      </c>
      <c r="AL313" s="26" t="str">
        <f>IF($A314="","",_xll.SPRDOPT(P313,X313,AI313,0,AB313,AE313,AF313,AK313,$AJ$2,0))</f>
        <v/>
      </c>
      <c r="AM313" s="89" t="str">
        <f t="shared" si="179"/>
        <v/>
      </c>
      <c r="AN313" s="89" t="str">
        <f t="shared" si="180"/>
        <v/>
      </c>
      <c r="AO313" s="3" t="str">
        <f t="shared" si="181"/>
        <v/>
      </c>
      <c r="AP313" s="33" t="str">
        <f t="shared" si="182"/>
        <v/>
      </c>
      <c r="AQ313" s="58" t="str">
        <f t="shared" si="183"/>
        <v/>
      </c>
      <c r="AR313" s="38">
        <f>'ANR OK vs ML7'!AR313</f>
        <v>0.1</v>
      </c>
      <c r="AS313" s="35" t="str">
        <f t="shared" si="184"/>
        <v/>
      </c>
      <c r="AT313" s="3" t="str">
        <f t="shared" si="185"/>
        <v/>
      </c>
      <c r="AU313" s="3" t="str">
        <f t="shared" si="186"/>
        <v/>
      </c>
      <c r="AW313" s="32" t="str">
        <f t="shared" si="187"/>
        <v/>
      </c>
      <c r="AX313" s="32" t="str">
        <f t="shared" si="188"/>
        <v/>
      </c>
      <c r="AY313" s="32" t="str">
        <f t="shared" si="189"/>
        <v/>
      </c>
      <c r="BA313" s="32" t="str">
        <f>IF($A314="","",F313*Summary!$Q$14)</f>
        <v/>
      </c>
    </row>
    <row r="314" spans="1:53" ht="12" customHeight="1">
      <c r="A314" s="67" t="str">
        <f t="shared" si="190"/>
        <v/>
      </c>
      <c r="B314" s="69" t="str">
        <f t="shared" si="191"/>
        <v/>
      </c>
      <c r="C314" s="71"/>
      <c r="D314" s="69" t="str">
        <f t="shared" si="155"/>
        <v/>
      </c>
      <c r="E314" s="70" t="str">
        <f t="shared" si="156"/>
        <v/>
      </c>
      <c r="F314" s="70" t="str">
        <f t="shared" si="157"/>
        <v/>
      </c>
      <c r="G314" s="63" t="str">
        <f t="shared" si="158"/>
        <v/>
      </c>
      <c r="H314" s="64" t="str">
        <f t="shared" si="159"/>
        <v/>
      </c>
      <c r="I314" s="43"/>
      <c r="J314" s="63" t="str">
        <f t="shared" si="160"/>
        <v/>
      </c>
      <c r="K314" s="64" t="str">
        <f t="shared" si="161"/>
        <v/>
      </c>
      <c r="L314" s="38">
        <v>0</v>
      </c>
      <c r="M314" s="64" t="str">
        <f t="shared" si="162"/>
        <v/>
      </c>
      <c r="N314" s="65"/>
      <c r="O314" s="63" t="str">
        <f t="shared" si="163"/>
        <v/>
      </c>
      <c r="P314" s="63" t="str">
        <f t="shared" si="164"/>
        <v/>
      </c>
      <c r="Q314" s="66"/>
      <c r="R314" s="63" t="str">
        <f t="shared" si="165"/>
        <v/>
      </c>
      <c r="S314" s="64" t="str">
        <f t="shared" si="166"/>
        <v/>
      </c>
      <c r="T314" s="63" t="str">
        <f t="shared" si="167"/>
        <v/>
      </c>
      <c r="U314" s="64" t="str">
        <f t="shared" si="168"/>
        <v/>
      </c>
      <c r="V314" s="207" t="str">
        <f>IF($A315="","",IF(AND(MONTH(A314)&gt;3,MONTH(A314)&lt;11),(T314+R314+G314)*(((1/(1-Summary!$T$14))/(1-Summary!$W$14))-1),(T314+R314+G314)*((1/(1-Summary!$U$14))/(1-Summary!$X$14)-1)))</f>
        <v/>
      </c>
      <c r="W314" s="43" t="str">
        <f t="shared" si="169"/>
        <v/>
      </c>
      <c r="X314" s="43" t="str">
        <f t="shared" si="170"/>
        <v/>
      </c>
      <c r="Y314" s="43"/>
      <c r="Z314" s="38" t="str">
        <f t="shared" si="171"/>
        <v/>
      </c>
      <c r="AA314" s="38" t="str">
        <f t="shared" si="172"/>
        <v/>
      </c>
      <c r="AB314" s="38" t="e">
        <f t="shared" si="173"/>
        <v>#VALUE!</v>
      </c>
      <c r="AC314" s="38" t="str">
        <f t="shared" si="174"/>
        <v/>
      </c>
      <c r="AD314" s="38" t="str">
        <f t="shared" si="175"/>
        <v/>
      </c>
      <c r="AE314" s="38" t="e">
        <f t="shared" si="176"/>
        <v>#VALUE!</v>
      </c>
      <c r="AF314" s="237" t="e">
        <f>((Summary!$N$14*(AA314*AD314)*(A314-$D$3))+(Summary!$M$14*Z314*AC314*(AJ314-EOMONTH(EDATE(A314,-1),0))))/(AK314*AB314*AE314)</f>
        <v>#VALUE!</v>
      </c>
      <c r="AG314" s="88" t="str">
        <f>IF($A315="","",Summary!$Q$14)</f>
        <v/>
      </c>
      <c r="AH314" s="88" t="str">
        <f>IF($A315="","",IF(Summary!$R$12="Y",(VLOOKUP($A314,Summary!$AD$6:$AF$9,3)+'Escalating commodity'!J327),'Escalating commodity'!J327))</f>
        <v/>
      </c>
      <c r="AI314" s="88" t="str">
        <f t="shared" si="192"/>
        <v/>
      </c>
      <c r="AJ314" s="236" t="e">
        <f t="shared" si="177"/>
        <v>#VALUE!</v>
      </c>
      <c r="AK314" s="58" t="str">
        <f t="shared" si="178"/>
        <v/>
      </c>
      <c r="AL314" s="26" t="str">
        <f>IF($A315="","",_xll.SPRDOPT(P314,X314,AI314,0,AB314,AE314,AF314,AK314,$AJ$2,0))</f>
        <v/>
      </c>
      <c r="AM314" s="89" t="str">
        <f t="shared" si="179"/>
        <v/>
      </c>
      <c r="AN314" s="89" t="str">
        <f t="shared" si="180"/>
        <v/>
      </c>
      <c r="AO314" s="3" t="str">
        <f t="shared" si="181"/>
        <v/>
      </c>
      <c r="AP314" s="33" t="str">
        <f t="shared" si="182"/>
        <v/>
      </c>
      <c r="AQ314" s="58" t="str">
        <f t="shared" si="183"/>
        <v/>
      </c>
      <c r="AR314" s="38">
        <f>'ANR OK vs ML7'!AR314</f>
        <v>0.1</v>
      </c>
      <c r="AS314" s="35" t="str">
        <f t="shared" si="184"/>
        <v/>
      </c>
      <c r="AT314" s="3" t="str">
        <f t="shared" si="185"/>
        <v/>
      </c>
      <c r="AU314" s="3" t="str">
        <f t="shared" si="186"/>
        <v/>
      </c>
      <c r="AW314" s="32" t="str">
        <f t="shared" si="187"/>
        <v/>
      </c>
      <c r="AX314" s="32" t="str">
        <f t="shared" si="188"/>
        <v/>
      </c>
      <c r="AY314" s="32" t="str">
        <f t="shared" si="189"/>
        <v/>
      </c>
      <c r="BA314" s="32" t="str">
        <f>IF($A315="","",F314*Summary!$Q$14)</f>
        <v/>
      </c>
    </row>
    <row r="315" spans="1:53" ht="12" customHeight="1">
      <c r="A315" s="67" t="str">
        <f t="shared" si="190"/>
        <v/>
      </c>
      <c r="B315" s="69" t="str">
        <f t="shared" si="191"/>
        <v/>
      </c>
      <c r="C315" s="71"/>
      <c r="D315" s="69" t="str">
        <f t="shared" si="155"/>
        <v/>
      </c>
      <c r="E315" s="70" t="str">
        <f t="shared" si="156"/>
        <v/>
      </c>
      <c r="F315" s="70" t="str">
        <f t="shared" si="157"/>
        <v/>
      </c>
      <c r="G315" s="63" t="str">
        <f t="shared" si="158"/>
        <v/>
      </c>
      <c r="H315" s="64" t="str">
        <f t="shared" si="159"/>
        <v/>
      </c>
      <c r="I315" s="43"/>
      <c r="J315" s="63" t="str">
        <f t="shared" si="160"/>
        <v/>
      </c>
      <c r="K315" s="64" t="str">
        <f t="shared" si="161"/>
        <v/>
      </c>
      <c r="L315" s="38">
        <v>0</v>
      </c>
      <c r="M315" s="64" t="str">
        <f t="shared" si="162"/>
        <v/>
      </c>
      <c r="N315" s="65"/>
      <c r="O315" s="63" t="str">
        <f t="shared" si="163"/>
        <v/>
      </c>
      <c r="P315" s="63" t="str">
        <f t="shared" si="164"/>
        <v/>
      </c>
      <c r="Q315" s="66"/>
      <c r="R315" s="63" t="str">
        <f t="shared" si="165"/>
        <v/>
      </c>
      <c r="S315" s="64" t="str">
        <f t="shared" si="166"/>
        <v/>
      </c>
      <c r="T315" s="63" t="str">
        <f t="shared" si="167"/>
        <v/>
      </c>
      <c r="U315" s="64" t="str">
        <f t="shared" si="168"/>
        <v/>
      </c>
      <c r="V315" s="207" t="str">
        <f>IF($A316="","",IF(AND(MONTH(A315)&gt;3,MONTH(A315)&lt;11),(T315+R315+G315)*(((1/(1-Summary!$T$14))/(1-Summary!$W$14))-1),(T315+R315+G315)*((1/(1-Summary!$U$14))/(1-Summary!$X$14)-1)))</f>
        <v/>
      </c>
      <c r="W315" s="43" t="str">
        <f t="shared" si="169"/>
        <v/>
      </c>
      <c r="X315" s="43" t="str">
        <f t="shared" si="170"/>
        <v/>
      </c>
      <c r="Y315" s="43"/>
      <c r="Z315" s="38" t="str">
        <f t="shared" si="171"/>
        <v/>
      </c>
      <c r="AA315" s="38" t="str">
        <f t="shared" si="172"/>
        <v/>
      </c>
      <c r="AB315" s="38" t="e">
        <f t="shared" si="173"/>
        <v>#VALUE!</v>
      </c>
      <c r="AC315" s="38" t="str">
        <f t="shared" si="174"/>
        <v/>
      </c>
      <c r="AD315" s="38" t="str">
        <f t="shared" si="175"/>
        <v/>
      </c>
      <c r="AE315" s="38" t="e">
        <f t="shared" si="176"/>
        <v>#VALUE!</v>
      </c>
      <c r="AF315" s="237" t="e">
        <f>((Summary!$N$14*(AA315*AD315)*(A315-$D$3))+(Summary!$M$14*Z315*AC315*(AJ315-EOMONTH(EDATE(A315,-1),0))))/(AK315*AB315*AE315)</f>
        <v>#VALUE!</v>
      </c>
      <c r="AG315" s="88" t="str">
        <f>IF($A316="","",Summary!$Q$14)</f>
        <v/>
      </c>
      <c r="AH315" s="88" t="str">
        <f>IF($A316="","",IF(Summary!$R$12="Y",(VLOOKUP($A315,Summary!$AD$6:$AF$9,3)+'Escalating commodity'!J328),'Escalating commodity'!J328))</f>
        <v/>
      </c>
      <c r="AI315" s="88" t="str">
        <f t="shared" si="192"/>
        <v/>
      </c>
      <c r="AJ315" s="236" t="e">
        <f t="shared" si="177"/>
        <v>#VALUE!</v>
      </c>
      <c r="AK315" s="58" t="str">
        <f t="shared" si="178"/>
        <v/>
      </c>
      <c r="AL315" s="26" t="str">
        <f>IF($A316="","",_xll.SPRDOPT(P315,X315,AI315,0,AB315,AE315,AF315,AK315,$AJ$2,0))</f>
        <v/>
      </c>
      <c r="AM315" s="89" t="str">
        <f t="shared" si="179"/>
        <v/>
      </c>
      <c r="AN315" s="89" t="str">
        <f t="shared" si="180"/>
        <v/>
      </c>
      <c r="AO315" s="3" t="str">
        <f t="shared" si="181"/>
        <v/>
      </c>
      <c r="AP315" s="33" t="str">
        <f t="shared" si="182"/>
        <v/>
      </c>
      <c r="AQ315" s="58" t="str">
        <f t="shared" si="183"/>
        <v/>
      </c>
      <c r="AR315" s="38">
        <f>'ANR OK vs ML7'!AR315</f>
        <v>0.1</v>
      </c>
      <c r="AS315" s="35" t="str">
        <f t="shared" si="184"/>
        <v/>
      </c>
      <c r="AT315" s="3" t="str">
        <f t="shared" si="185"/>
        <v/>
      </c>
      <c r="AU315" s="3" t="str">
        <f t="shared" si="186"/>
        <v/>
      </c>
      <c r="AW315" s="32" t="str">
        <f t="shared" si="187"/>
        <v/>
      </c>
      <c r="AX315" s="32" t="str">
        <f t="shared" si="188"/>
        <v/>
      </c>
      <c r="AY315" s="32" t="str">
        <f t="shared" si="189"/>
        <v/>
      </c>
      <c r="BA315" s="32" t="str">
        <f>IF($A316="","",F315*Summary!$Q$14)</f>
        <v/>
      </c>
    </row>
    <row r="316" spans="1:53" ht="12" customHeight="1">
      <c r="A316" s="67" t="str">
        <f t="shared" si="190"/>
        <v/>
      </c>
      <c r="B316" s="69" t="str">
        <f t="shared" si="191"/>
        <v/>
      </c>
      <c r="C316" s="71"/>
      <c r="D316" s="69" t="str">
        <f t="shared" si="155"/>
        <v/>
      </c>
      <c r="E316" s="70" t="str">
        <f t="shared" si="156"/>
        <v/>
      </c>
      <c r="F316" s="70" t="str">
        <f t="shared" si="157"/>
        <v/>
      </c>
      <c r="G316" s="63" t="str">
        <f t="shared" si="158"/>
        <v/>
      </c>
      <c r="H316" s="64" t="str">
        <f t="shared" si="159"/>
        <v/>
      </c>
      <c r="I316" s="43"/>
      <c r="J316" s="63" t="str">
        <f t="shared" si="160"/>
        <v/>
      </c>
      <c r="K316" s="64" t="str">
        <f t="shared" si="161"/>
        <v/>
      </c>
      <c r="L316" s="38">
        <v>0</v>
      </c>
      <c r="M316" s="64" t="str">
        <f t="shared" si="162"/>
        <v/>
      </c>
      <c r="N316" s="65"/>
      <c r="O316" s="63" t="str">
        <f t="shared" si="163"/>
        <v/>
      </c>
      <c r="P316" s="63" t="str">
        <f t="shared" si="164"/>
        <v/>
      </c>
      <c r="Q316" s="66"/>
      <c r="R316" s="63" t="str">
        <f t="shared" si="165"/>
        <v/>
      </c>
      <c r="S316" s="64" t="str">
        <f t="shared" si="166"/>
        <v/>
      </c>
      <c r="T316" s="63" t="str">
        <f t="shared" si="167"/>
        <v/>
      </c>
      <c r="U316" s="64" t="str">
        <f t="shared" si="168"/>
        <v/>
      </c>
      <c r="V316" s="207" t="str">
        <f>IF($A317="","",IF(AND(MONTH(A316)&gt;3,MONTH(A316)&lt;11),(T316+R316+G316)*(((1/(1-Summary!$T$14))/(1-Summary!$W$14))-1),(T316+R316+G316)*((1/(1-Summary!$U$14))/(1-Summary!$X$14)-1)))</f>
        <v/>
      </c>
      <c r="W316" s="43" t="str">
        <f t="shared" si="169"/>
        <v/>
      </c>
      <c r="X316" s="43" t="str">
        <f t="shared" si="170"/>
        <v/>
      </c>
      <c r="Y316" s="43"/>
      <c r="Z316" s="38" t="str">
        <f t="shared" si="171"/>
        <v/>
      </c>
      <c r="AA316" s="38" t="str">
        <f t="shared" si="172"/>
        <v/>
      </c>
      <c r="AB316" s="38" t="e">
        <f t="shared" si="173"/>
        <v>#VALUE!</v>
      </c>
      <c r="AC316" s="38" t="str">
        <f t="shared" si="174"/>
        <v/>
      </c>
      <c r="AD316" s="38" t="str">
        <f t="shared" si="175"/>
        <v/>
      </c>
      <c r="AE316" s="38" t="e">
        <f t="shared" si="176"/>
        <v>#VALUE!</v>
      </c>
      <c r="AF316" s="237" t="e">
        <f>((Summary!$N$14*(AA316*AD316)*(A316-$D$3))+(Summary!$M$14*Z316*AC316*(AJ316-EOMONTH(EDATE(A316,-1),0))))/(AK316*AB316*AE316)</f>
        <v>#VALUE!</v>
      </c>
      <c r="AG316" s="88" t="str">
        <f>IF($A317="","",Summary!$Q$14)</f>
        <v/>
      </c>
      <c r="AH316" s="88" t="str">
        <f>IF($A317="","",IF(Summary!$R$12="Y",(VLOOKUP($A316,Summary!$AD$6:$AF$9,3)+'Escalating commodity'!J329),'Escalating commodity'!J329))</f>
        <v/>
      </c>
      <c r="AI316" s="88" t="str">
        <f t="shared" si="192"/>
        <v/>
      </c>
      <c r="AJ316" s="236" t="e">
        <f t="shared" si="177"/>
        <v>#VALUE!</v>
      </c>
      <c r="AK316" s="58" t="str">
        <f t="shared" si="178"/>
        <v/>
      </c>
      <c r="AL316" s="26" t="str">
        <f>IF($A317="","",_xll.SPRDOPT(P316,X316,AI316,0,AB316,AE316,AF316,AK316,$AJ$2,0))</f>
        <v/>
      </c>
      <c r="AM316" s="89" t="str">
        <f t="shared" si="179"/>
        <v/>
      </c>
      <c r="AN316" s="89" t="str">
        <f t="shared" si="180"/>
        <v/>
      </c>
      <c r="AO316" s="3" t="str">
        <f t="shared" si="181"/>
        <v/>
      </c>
      <c r="AP316" s="33" t="str">
        <f t="shared" si="182"/>
        <v/>
      </c>
      <c r="AQ316" s="58" t="str">
        <f t="shared" si="183"/>
        <v/>
      </c>
      <c r="AR316" s="38">
        <f>'ANR OK vs ML7'!AR316</f>
        <v>0.1</v>
      </c>
      <c r="AS316" s="35" t="str">
        <f t="shared" si="184"/>
        <v/>
      </c>
      <c r="AT316" s="3" t="str">
        <f t="shared" si="185"/>
        <v/>
      </c>
      <c r="AU316" s="3" t="str">
        <f t="shared" si="186"/>
        <v/>
      </c>
      <c r="AW316" s="32" t="str">
        <f t="shared" si="187"/>
        <v/>
      </c>
      <c r="AX316" s="32" t="str">
        <f t="shared" si="188"/>
        <v/>
      </c>
      <c r="AY316" s="32" t="str">
        <f t="shared" si="189"/>
        <v/>
      </c>
      <c r="BA316" s="32" t="str">
        <f>IF($A317="","",F316*Summary!$Q$14)</f>
        <v/>
      </c>
    </row>
    <row r="317" spans="1:53" ht="12" customHeight="1">
      <c r="A317" s="67" t="str">
        <f t="shared" si="190"/>
        <v/>
      </c>
      <c r="B317" s="69" t="str">
        <f t="shared" si="191"/>
        <v/>
      </c>
      <c r="C317" s="71"/>
      <c r="D317" s="69" t="str">
        <f t="shared" si="155"/>
        <v/>
      </c>
      <c r="E317" s="70" t="str">
        <f t="shared" si="156"/>
        <v/>
      </c>
      <c r="F317" s="70" t="str">
        <f t="shared" si="157"/>
        <v/>
      </c>
      <c r="G317" s="63" t="str">
        <f t="shared" si="158"/>
        <v/>
      </c>
      <c r="H317" s="64" t="str">
        <f t="shared" si="159"/>
        <v/>
      </c>
      <c r="I317" s="43"/>
      <c r="J317" s="63" t="str">
        <f t="shared" si="160"/>
        <v/>
      </c>
      <c r="K317" s="64" t="str">
        <f t="shared" si="161"/>
        <v/>
      </c>
      <c r="L317" s="38">
        <v>0</v>
      </c>
      <c r="M317" s="64" t="str">
        <f t="shared" si="162"/>
        <v/>
      </c>
      <c r="N317" s="65"/>
      <c r="O317" s="63" t="str">
        <f t="shared" si="163"/>
        <v/>
      </c>
      <c r="P317" s="63" t="str">
        <f t="shared" si="164"/>
        <v/>
      </c>
      <c r="Q317" s="66"/>
      <c r="R317" s="63" t="str">
        <f t="shared" si="165"/>
        <v/>
      </c>
      <c r="S317" s="64" t="str">
        <f t="shared" si="166"/>
        <v/>
      </c>
      <c r="T317" s="63" t="str">
        <f t="shared" si="167"/>
        <v/>
      </c>
      <c r="U317" s="64" t="str">
        <f t="shared" si="168"/>
        <v/>
      </c>
      <c r="V317" s="207" t="str">
        <f>IF($A318="","",IF(AND(MONTH(A317)&gt;3,MONTH(A317)&lt;11),(T317+R317+G317)*(((1/(1-Summary!$T$14))/(1-Summary!$W$14))-1),(T317+R317+G317)*((1/(1-Summary!$U$14))/(1-Summary!$X$14)-1)))</f>
        <v/>
      </c>
      <c r="W317" s="43" t="str">
        <f t="shared" si="169"/>
        <v/>
      </c>
      <c r="X317" s="43" t="str">
        <f t="shared" si="170"/>
        <v/>
      </c>
      <c r="Y317" s="43"/>
      <c r="Z317" s="38" t="str">
        <f t="shared" si="171"/>
        <v/>
      </c>
      <c r="AA317" s="38" t="str">
        <f t="shared" si="172"/>
        <v/>
      </c>
      <c r="AB317" s="38" t="e">
        <f t="shared" si="173"/>
        <v>#VALUE!</v>
      </c>
      <c r="AC317" s="38" t="str">
        <f t="shared" si="174"/>
        <v/>
      </c>
      <c r="AD317" s="38" t="str">
        <f t="shared" si="175"/>
        <v/>
      </c>
      <c r="AE317" s="38" t="e">
        <f t="shared" si="176"/>
        <v>#VALUE!</v>
      </c>
      <c r="AF317" s="237" t="e">
        <f>((Summary!$N$14*(AA317*AD317)*(A317-$D$3))+(Summary!$M$14*Z317*AC317*(AJ317-EOMONTH(EDATE(A317,-1),0))))/(AK317*AB317*AE317)</f>
        <v>#VALUE!</v>
      </c>
      <c r="AG317" s="88" t="str">
        <f>IF($A318="","",Summary!$Q$14)</f>
        <v/>
      </c>
      <c r="AH317" s="88" t="str">
        <f>IF($A318="","",IF(Summary!$R$12="Y",(VLOOKUP($A317,Summary!$AD$6:$AF$9,3)+'Escalating commodity'!J330),'Escalating commodity'!J330))</f>
        <v/>
      </c>
      <c r="AI317" s="88" t="str">
        <f t="shared" si="192"/>
        <v/>
      </c>
      <c r="AJ317" s="236" t="e">
        <f t="shared" si="177"/>
        <v>#VALUE!</v>
      </c>
      <c r="AK317" s="58" t="str">
        <f t="shared" si="178"/>
        <v/>
      </c>
      <c r="AL317" s="26" t="str">
        <f>IF($A318="","",_xll.SPRDOPT(P317,X317,AI317,0,AB317,AE317,AF317,AK317,$AJ$2,0))</f>
        <v/>
      </c>
      <c r="AM317" s="89" t="str">
        <f t="shared" si="179"/>
        <v/>
      </c>
      <c r="AN317" s="89" t="str">
        <f t="shared" si="180"/>
        <v/>
      </c>
      <c r="AO317" s="3" t="str">
        <f t="shared" si="181"/>
        <v/>
      </c>
      <c r="AP317" s="33" t="str">
        <f t="shared" si="182"/>
        <v/>
      </c>
      <c r="AQ317" s="58" t="str">
        <f t="shared" si="183"/>
        <v/>
      </c>
      <c r="AR317" s="38">
        <f>'ANR OK vs ML7'!AR317</f>
        <v>0.1</v>
      </c>
      <c r="AS317" s="35" t="str">
        <f t="shared" si="184"/>
        <v/>
      </c>
      <c r="AT317" s="3" t="str">
        <f t="shared" si="185"/>
        <v/>
      </c>
      <c r="AU317" s="3" t="str">
        <f t="shared" si="186"/>
        <v/>
      </c>
      <c r="AW317" s="32" t="str">
        <f t="shared" si="187"/>
        <v/>
      </c>
      <c r="AX317" s="32" t="str">
        <f t="shared" si="188"/>
        <v/>
      </c>
      <c r="AY317" s="32" t="str">
        <f t="shared" si="189"/>
        <v/>
      </c>
      <c r="BA317" s="32" t="str">
        <f>IF($A318="","",F317*Summary!$Q$14)</f>
        <v/>
      </c>
    </row>
    <row r="318" spans="1:53" ht="12" customHeight="1">
      <c r="A318" s="67" t="str">
        <f t="shared" si="190"/>
        <v/>
      </c>
      <c r="B318" s="69" t="str">
        <f t="shared" si="191"/>
        <v/>
      </c>
      <c r="C318" s="71"/>
      <c r="D318" s="69" t="str">
        <f t="shared" si="155"/>
        <v/>
      </c>
      <c r="E318" s="70" t="str">
        <f t="shared" si="156"/>
        <v/>
      </c>
      <c r="F318" s="70" t="str">
        <f t="shared" si="157"/>
        <v/>
      </c>
      <c r="G318" s="63" t="str">
        <f t="shared" si="158"/>
        <v/>
      </c>
      <c r="H318" s="64" t="str">
        <f t="shared" si="159"/>
        <v/>
      </c>
      <c r="I318" s="43"/>
      <c r="J318" s="63" t="str">
        <f t="shared" si="160"/>
        <v/>
      </c>
      <c r="K318" s="64" t="str">
        <f t="shared" si="161"/>
        <v/>
      </c>
      <c r="L318" s="38">
        <v>0</v>
      </c>
      <c r="M318" s="64" t="str">
        <f t="shared" si="162"/>
        <v/>
      </c>
      <c r="N318" s="65"/>
      <c r="O318" s="63" t="str">
        <f t="shared" si="163"/>
        <v/>
      </c>
      <c r="P318" s="63" t="str">
        <f t="shared" si="164"/>
        <v/>
      </c>
      <c r="Q318" s="66"/>
      <c r="R318" s="63" t="str">
        <f t="shared" si="165"/>
        <v/>
      </c>
      <c r="S318" s="64" t="str">
        <f t="shared" si="166"/>
        <v/>
      </c>
      <c r="T318" s="63" t="str">
        <f t="shared" si="167"/>
        <v/>
      </c>
      <c r="U318" s="64" t="str">
        <f t="shared" si="168"/>
        <v/>
      </c>
      <c r="V318" s="207" t="str">
        <f>IF($A319="","",IF(AND(MONTH(A318)&gt;3,MONTH(A318)&lt;11),(T318+R318+G318)*(((1/(1-Summary!$T$14))/(1-Summary!$W$14))-1),(T318+R318+G318)*((1/(1-Summary!$U$14))/(1-Summary!$X$14)-1)))</f>
        <v/>
      </c>
      <c r="W318" s="43" t="str">
        <f t="shared" si="169"/>
        <v/>
      </c>
      <c r="X318" s="43" t="str">
        <f t="shared" si="170"/>
        <v/>
      </c>
      <c r="Y318" s="43"/>
      <c r="Z318" s="38" t="str">
        <f t="shared" si="171"/>
        <v/>
      </c>
      <c r="AA318" s="38" t="str">
        <f t="shared" si="172"/>
        <v/>
      </c>
      <c r="AB318" s="38" t="e">
        <f t="shared" si="173"/>
        <v>#VALUE!</v>
      </c>
      <c r="AC318" s="38" t="str">
        <f t="shared" si="174"/>
        <v/>
      </c>
      <c r="AD318" s="38" t="str">
        <f t="shared" si="175"/>
        <v/>
      </c>
      <c r="AE318" s="38" t="e">
        <f t="shared" si="176"/>
        <v>#VALUE!</v>
      </c>
      <c r="AF318" s="237" t="e">
        <f>((Summary!$N$14*(AA318*AD318)*(A318-$D$3))+(Summary!$M$14*Z318*AC318*(AJ318-EOMONTH(EDATE(A318,-1),0))))/(AK318*AB318*AE318)</f>
        <v>#VALUE!</v>
      </c>
      <c r="AG318" s="88" t="str">
        <f>IF($A319="","",Summary!$Q$14)</f>
        <v/>
      </c>
      <c r="AH318" s="88" t="str">
        <f>IF($A319="","",IF(Summary!$R$12="Y",(VLOOKUP($A318,Summary!$AD$6:$AF$9,3)+'Escalating commodity'!J331),'Escalating commodity'!J331))</f>
        <v/>
      </c>
      <c r="AI318" s="88" t="str">
        <f t="shared" si="192"/>
        <v/>
      </c>
      <c r="AJ318" s="236" t="e">
        <f t="shared" si="177"/>
        <v>#VALUE!</v>
      </c>
      <c r="AK318" s="58" t="str">
        <f t="shared" si="178"/>
        <v/>
      </c>
      <c r="AL318" s="26" t="str">
        <f>IF($A319="","",_xll.SPRDOPT(P318,X318,AI318,0,AB318,AE318,AF318,AK318,$AJ$2,0))</f>
        <v/>
      </c>
      <c r="AM318" s="89" t="str">
        <f t="shared" si="179"/>
        <v/>
      </c>
      <c r="AN318" s="89" t="str">
        <f t="shared" si="180"/>
        <v/>
      </c>
      <c r="AO318" s="3" t="str">
        <f t="shared" si="181"/>
        <v/>
      </c>
      <c r="AP318" s="33" t="str">
        <f t="shared" si="182"/>
        <v/>
      </c>
      <c r="AQ318" s="58" t="str">
        <f t="shared" si="183"/>
        <v/>
      </c>
      <c r="AR318" s="38">
        <f>'ANR OK vs ML7'!AR318</f>
        <v>0.1</v>
      </c>
      <c r="AS318" s="35" t="str">
        <f t="shared" si="184"/>
        <v/>
      </c>
      <c r="AT318" s="3" t="str">
        <f t="shared" si="185"/>
        <v/>
      </c>
      <c r="AU318" s="3" t="str">
        <f t="shared" si="186"/>
        <v/>
      </c>
      <c r="AW318" s="32" t="str">
        <f t="shared" si="187"/>
        <v/>
      </c>
      <c r="AX318" s="32" t="str">
        <f t="shared" si="188"/>
        <v/>
      </c>
      <c r="AY318" s="32" t="str">
        <f t="shared" si="189"/>
        <v/>
      </c>
      <c r="BA318" s="32" t="str">
        <f>IF($A319="","",F318*Summary!$Q$14)</f>
        <v/>
      </c>
    </row>
    <row r="319" spans="1:53" ht="12" customHeight="1">
      <c r="A319" s="67" t="str">
        <f t="shared" si="190"/>
        <v/>
      </c>
      <c r="B319" s="69" t="str">
        <f t="shared" si="191"/>
        <v/>
      </c>
      <c r="C319" s="71"/>
      <c r="D319" s="69" t="str">
        <f t="shared" si="155"/>
        <v/>
      </c>
      <c r="E319" s="70" t="str">
        <f t="shared" si="156"/>
        <v/>
      </c>
      <c r="F319" s="70" t="str">
        <f t="shared" si="157"/>
        <v/>
      </c>
      <c r="G319" s="63" t="str">
        <f t="shared" si="158"/>
        <v/>
      </c>
      <c r="H319" s="64" t="str">
        <f t="shared" si="159"/>
        <v/>
      </c>
      <c r="I319" s="43"/>
      <c r="J319" s="63" t="str">
        <f t="shared" si="160"/>
        <v/>
      </c>
      <c r="K319" s="64" t="str">
        <f t="shared" si="161"/>
        <v/>
      </c>
      <c r="L319" s="38">
        <v>0</v>
      </c>
      <c r="M319" s="64" t="str">
        <f t="shared" si="162"/>
        <v/>
      </c>
      <c r="N319" s="65"/>
      <c r="O319" s="63" t="str">
        <f t="shared" si="163"/>
        <v/>
      </c>
      <c r="P319" s="63" t="str">
        <f t="shared" si="164"/>
        <v/>
      </c>
      <c r="Q319" s="66"/>
      <c r="R319" s="63" t="str">
        <f t="shared" si="165"/>
        <v/>
      </c>
      <c r="S319" s="64" t="str">
        <f t="shared" si="166"/>
        <v/>
      </c>
      <c r="T319" s="63" t="str">
        <f t="shared" si="167"/>
        <v/>
      </c>
      <c r="U319" s="64" t="str">
        <f t="shared" si="168"/>
        <v/>
      </c>
      <c r="V319" s="207" t="str">
        <f>IF($A320="","",IF(AND(MONTH(A319)&gt;3,MONTH(A319)&lt;11),(T319+R319+G319)*(((1/(1-Summary!$T$14))/(1-Summary!$W$14))-1),(T319+R319+G319)*((1/(1-Summary!$U$14))/(1-Summary!$X$14)-1)))</f>
        <v/>
      </c>
      <c r="W319" s="43" t="str">
        <f t="shared" si="169"/>
        <v/>
      </c>
      <c r="X319" s="43" t="str">
        <f t="shared" si="170"/>
        <v/>
      </c>
      <c r="Y319" s="43"/>
      <c r="Z319" s="38" t="str">
        <f t="shared" si="171"/>
        <v/>
      </c>
      <c r="AA319" s="38" t="str">
        <f t="shared" si="172"/>
        <v/>
      </c>
      <c r="AB319" s="38" t="e">
        <f t="shared" si="173"/>
        <v>#VALUE!</v>
      </c>
      <c r="AC319" s="38" t="str">
        <f t="shared" si="174"/>
        <v/>
      </c>
      <c r="AD319" s="38" t="str">
        <f t="shared" si="175"/>
        <v/>
      </c>
      <c r="AE319" s="38" t="e">
        <f t="shared" si="176"/>
        <v>#VALUE!</v>
      </c>
      <c r="AF319" s="237" t="e">
        <f>((Summary!$N$14*(AA319*AD319)*(A319-$D$3))+(Summary!$M$14*Z319*AC319*(AJ319-EOMONTH(EDATE(A319,-1),0))))/(AK319*AB319*AE319)</f>
        <v>#VALUE!</v>
      </c>
      <c r="AG319" s="88" t="str">
        <f>IF($A320="","",Summary!$Q$14)</f>
        <v/>
      </c>
      <c r="AH319" s="88" t="str">
        <f>IF($A320="","",IF(Summary!$R$12="Y",(VLOOKUP($A319,Summary!$AD$6:$AF$9,3)+'Escalating commodity'!J332),'Escalating commodity'!J332))</f>
        <v/>
      </c>
      <c r="AI319" s="88" t="str">
        <f t="shared" si="192"/>
        <v/>
      </c>
      <c r="AJ319" s="236" t="e">
        <f t="shared" si="177"/>
        <v>#VALUE!</v>
      </c>
      <c r="AK319" s="58" t="str">
        <f t="shared" si="178"/>
        <v/>
      </c>
      <c r="AL319" s="26" t="str">
        <f>IF($A320="","",_xll.SPRDOPT(P319,X319,AI319,0,AB319,AE319,AF319,AK319,$AJ$2,0))</f>
        <v/>
      </c>
      <c r="AM319" s="89" t="str">
        <f t="shared" si="179"/>
        <v/>
      </c>
      <c r="AN319" s="89" t="str">
        <f t="shared" si="180"/>
        <v/>
      </c>
      <c r="AO319" s="3" t="str">
        <f t="shared" si="181"/>
        <v/>
      </c>
      <c r="AP319" s="33" t="str">
        <f t="shared" si="182"/>
        <v/>
      </c>
      <c r="AQ319" s="58" t="str">
        <f t="shared" si="183"/>
        <v/>
      </c>
      <c r="AR319" s="38">
        <f>'ANR OK vs ML7'!AR319</f>
        <v>0.1</v>
      </c>
      <c r="AS319" s="35" t="str">
        <f t="shared" si="184"/>
        <v/>
      </c>
      <c r="AT319" s="3" t="str">
        <f t="shared" si="185"/>
        <v/>
      </c>
      <c r="AU319" s="3" t="str">
        <f t="shared" si="186"/>
        <v/>
      </c>
      <c r="AW319" s="32" t="str">
        <f t="shared" si="187"/>
        <v/>
      </c>
      <c r="AX319" s="32" t="str">
        <f t="shared" si="188"/>
        <v/>
      </c>
      <c r="AY319" s="32" t="str">
        <f t="shared" si="189"/>
        <v/>
      </c>
      <c r="BA319" s="32" t="str">
        <f>IF($A320="","",F319*Summary!$Q$14)</f>
        <v/>
      </c>
    </row>
    <row r="320" spans="1:53" ht="12" customHeight="1">
      <c r="A320" s="67" t="str">
        <f t="shared" si="190"/>
        <v/>
      </c>
      <c r="B320" s="69" t="str">
        <f t="shared" si="191"/>
        <v/>
      </c>
      <c r="C320" s="71"/>
      <c r="D320" s="69" t="str">
        <f t="shared" si="155"/>
        <v/>
      </c>
      <c r="E320" s="70" t="str">
        <f t="shared" si="156"/>
        <v/>
      </c>
      <c r="F320" s="70" t="str">
        <f t="shared" si="157"/>
        <v/>
      </c>
      <c r="G320" s="63" t="str">
        <f t="shared" si="158"/>
        <v/>
      </c>
      <c r="H320" s="64" t="str">
        <f t="shared" si="159"/>
        <v/>
      </c>
      <c r="I320" s="43"/>
      <c r="J320" s="63" t="str">
        <f t="shared" si="160"/>
        <v/>
      </c>
      <c r="K320" s="64" t="str">
        <f t="shared" si="161"/>
        <v/>
      </c>
      <c r="L320" s="38">
        <v>0</v>
      </c>
      <c r="M320" s="64" t="str">
        <f t="shared" si="162"/>
        <v/>
      </c>
      <c r="N320" s="65"/>
      <c r="O320" s="63" t="str">
        <f t="shared" si="163"/>
        <v/>
      </c>
      <c r="P320" s="63" t="str">
        <f t="shared" si="164"/>
        <v/>
      </c>
      <c r="Q320" s="66"/>
      <c r="R320" s="63" t="str">
        <f t="shared" si="165"/>
        <v/>
      </c>
      <c r="S320" s="64" t="str">
        <f t="shared" si="166"/>
        <v/>
      </c>
      <c r="T320" s="63" t="str">
        <f t="shared" si="167"/>
        <v/>
      </c>
      <c r="U320" s="64" t="str">
        <f t="shared" si="168"/>
        <v/>
      </c>
      <c r="V320" s="207" t="str">
        <f>IF($A321="","",IF(AND(MONTH(A320)&gt;3,MONTH(A320)&lt;11),(T320+R320+G320)*(((1/(1-Summary!$T$14))/(1-Summary!$W$14))-1),(T320+R320+G320)*((1/(1-Summary!$U$14))/(1-Summary!$X$14)-1)))</f>
        <v/>
      </c>
      <c r="W320" s="43" t="str">
        <f t="shared" si="169"/>
        <v/>
      </c>
      <c r="X320" s="43" t="str">
        <f t="shared" si="170"/>
        <v/>
      </c>
      <c r="Y320" s="43"/>
      <c r="Z320" s="38" t="str">
        <f t="shared" si="171"/>
        <v/>
      </c>
      <c r="AA320" s="38" t="str">
        <f t="shared" si="172"/>
        <v/>
      </c>
      <c r="AB320" s="38" t="e">
        <f t="shared" si="173"/>
        <v>#VALUE!</v>
      </c>
      <c r="AC320" s="38" t="str">
        <f t="shared" si="174"/>
        <v/>
      </c>
      <c r="AD320" s="38" t="str">
        <f t="shared" si="175"/>
        <v/>
      </c>
      <c r="AE320" s="38" t="e">
        <f t="shared" si="176"/>
        <v>#VALUE!</v>
      </c>
      <c r="AF320" s="237" t="e">
        <f>((Summary!$N$14*(AA320*AD320)*(A320-$D$3))+(Summary!$M$14*Z320*AC320*(AJ320-EOMONTH(EDATE(A320,-1),0))))/(AK320*AB320*AE320)</f>
        <v>#VALUE!</v>
      </c>
      <c r="AG320" s="88" t="str">
        <f>IF($A321="","",Summary!$Q$14)</f>
        <v/>
      </c>
      <c r="AH320" s="88" t="str">
        <f>IF($A321="","",IF(Summary!$R$12="Y",(VLOOKUP($A320,Summary!$AD$6:$AF$9,3)+'Escalating commodity'!J333),'Escalating commodity'!J333))</f>
        <v/>
      </c>
      <c r="AI320" s="88" t="str">
        <f t="shared" si="192"/>
        <v/>
      </c>
      <c r="AJ320" s="236" t="e">
        <f t="shared" si="177"/>
        <v>#VALUE!</v>
      </c>
      <c r="AK320" s="58" t="str">
        <f t="shared" si="178"/>
        <v/>
      </c>
      <c r="AL320" s="26" t="str">
        <f>IF($A321="","",_xll.SPRDOPT(P320,X320,AI320,0,AB320,AE320,AF320,AK320,$AJ$2,0))</f>
        <v/>
      </c>
      <c r="AM320" s="89" t="str">
        <f t="shared" si="179"/>
        <v/>
      </c>
      <c r="AN320" s="89" t="str">
        <f t="shared" si="180"/>
        <v/>
      </c>
      <c r="AO320" s="3" t="str">
        <f t="shared" si="181"/>
        <v/>
      </c>
      <c r="AP320" s="33" t="str">
        <f t="shared" si="182"/>
        <v/>
      </c>
      <c r="AQ320" s="58" t="str">
        <f t="shared" si="183"/>
        <v/>
      </c>
      <c r="AR320" s="38">
        <f>'ANR OK vs ML7'!AR320</f>
        <v>0.1</v>
      </c>
      <c r="AS320" s="35" t="str">
        <f t="shared" si="184"/>
        <v/>
      </c>
      <c r="AT320" s="3" t="str">
        <f t="shared" si="185"/>
        <v/>
      </c>
      <c r="AU320" s="3" t="str">
        <f t="shared" si="186"/>
        <v/>
      </c>
      <c r="AW320" s="32" t="str">
        <f t="shared" si="187"/>
        <v/>
      </c>
      <c r="AX320" s="32" t="str">
        <f t="shared" si="188"/>
        <v/>
      </c>
      <c r="AY320" s="32" t="str">
        <f t="shared" si="189"/>
        <v/>
      </c>
      <c r="BA320" s="32" t="str">
        <f>IF($A321="","",F320*Summary!$Q$14)</f>
        <v/>
      </c>
    </row>
    <row r="321" spans="1:53" ht="12" customHeight="1">
      <c r="A321" s="67" t="str">
        <f t="shared" si="190"/>
        <v/>
      </c>
      <c r="B321" s="69" t="str">
        <f t="shared" si="191"/>
        <v/>
      </c>
      <c r="C321" s="71"/>
      <c r="D321" s="69" t="str">
        <f t="shared" si="155"/>
        <v/>
      </c>
      <c r="E321" s="70" t="str">
        <f t="shared" si="156"/>
        <v/>
      </c>
      <c r="F321" s="70" t="str">
        <f t="shared" si="157"/>
        <v/>
      </c>
      <c r="G321" s="63" t="str">
        <f t="shared" si="158"/>
        <v/>
      </c>
      <c r="H321" s="64" t="str">
        <f t="shared" si="159"/>
        <v/>
      </c>
      <c r="I321" s="43"/>
      <c r="J321" s="63" t="str">
        <f t="shared" si="160"/>
        <v/>
      </c>
      <c r="K321" s="64" t="str">
        <f t="shared" si="161"/>
        <v/>
      </c>
      <c r="L321" s="38">
        <v>0</v>
      </c>
      <c r="M321" s="64" t="str">
        <f t="shared" si="162"/>
        <v/>
      </c>
      <c r="N321" s="65"/>
      <c r="O321" s="63" t="str">
        <f t="shared" si="163"/>
        <v/>
      </c>
      <c r="P321" s="63" t="str">
        <f t="shared" si="164"/>
        <v/>
      </c>
      <c r="Q321" s="66"/>
      <c r="R321" s="63" t="str">
        <f t="shared" si="165"/>
        <v/>
      </c>
      <c r="S321" s="64" t="str">
        <f t="shared" si="166"/>
        <v/>
      </c>
      <c r="T321" s="63" t="str">
        <f t="shared" si="167"/>
        <v/>
      </c>
      <c r="U321" s="64" t="str">
        <f t="shared" si="168"/>
        <v/>
      </c>
      <c r="V321" s="207" t="str">
        <f>IF($A322="","",IF(AND(MONTH(A321)&gt;3,MONTH(A321)&lt;11),(T321+R321+G321)*(((1/(1-Summary!$T$14))/(1-Summary!$W$14))-1),(T321+R321+G321)*((1/(1-Summary!$U$14))/(1-Summary!$X$14)-1)))</f>
        <v/>
      </c>
      <c r="W321" s="43" t="str">
        <f t="shared" si="169"/>
        <v/>
      </c>
      <c r="X321" s="43" t="str">
        <f t="shared" si="170"/>
        <v/>
      </c>
      <c r="Y321" s="43"/>
      <c r="Z321" s="38" t="str">
        <f t="shared" si="171"/>
        <v/>
      </c>
      <c r="AA321" s="38" t="str">
        <f t="shared" si="172"/>
        <v/>
      </c>
      <c r="AB321" s="38" t="e">
        <f t="shared" si="173"/>
        <v>#VALUE!</v>
      </c>
      <c r="AC321" s="38" t="str">
        <f t="shared" si="174"/>
        <v/>
      </c>
      <c r="AD321" s="38" t="str">
        <f t="shared" si="175"/>
        <v/>
      </c>
      <c r="AE321" s="38" t="e">
        <f t="shared" si="176"/>
        <v>#VALUE!</v>
      </c>
      <c r="AF321" s="237" t="e">
        <f>((Summary!$N$14*(AA321*AD321)*(A321-$D$3))+(Summary!$M$14*Z321*AC321*(AJ321-EOMONTH(EDATE(A321,-1),0))))/(AK321*AB321*AE321)</f>
        <v>#VALUE!</v>
      </c>
      <c r="AG321" s="88" t="str">
        <f>IF($A322="","",Summary!$Q$14)</f>
        <v/>
      </c>
      <c r="AH321" s="88" t="str">
        <f>IF($A322="","",IF(Summary!$R$12="Y",(VLOOKUP($A321,Summary!$AD$6:$AF$9,3)+'Escalating commodity'!J334),'Escalating commodity'!J334))</f>
        <v/>
      </c>
      <c r="AI321" s="88" t="str">
        <f t="shared" si="192"/>
        <v/>
      </c>
      <c r="AJ321" s="236" t="e">
        <f t="shared" si="177"/>
        <v>#VALUE!</v>
      </c>
      <c r="AK321" s="58" t="str">
        <f t="shared" si="178"/>
        <v/>
      </c>
      <c r="AL321" s="26" t="str">
        <f>IF($A322="","",_xll.SPRDOPT(P321,X321,AI321,0,AB321,AE321,AF321,AK321,$AJ$2,0))</f>
        <v/>
      </c>
      <c r="AM321" s="89" t="str">
        <f t="shared" si="179"/>
        <v/>
      </c>
      <c r="AN321" s="89" t="str">
        <f t="shared" si="180"/>
        <v/>
      </c>
      <c r="AO321" s="3" t="str">
        <f t="shared" si="181"/>
        <v/>
      </c>
      <c r="AP321" s="33" t="str">
        <f t="shared" si="182"/>
        <v/>
      </c>
      <c r="AQ321" s="58" t="str">
        <f t="shared" si="183"/>
        <v/>
      </c>
      <c r="AR321" s="38">
        <f>'ANR OK vs ML7'!AR321</f>
        <v>0.1</v>
      </c>
      <c r="AS321" s="35" t="str">
        <f t="shared" si="184"/>
        <v/>
      </c>
      <c r="AT321" s="3" t="str">
        <f t="shared" si="185"/>
        <v/>
      </c>
      <c r="AU321" s="3" t="str">
        <f t="shared" si="186"/>
        <v/>
      </c>
      <c r="AW321" s="32" t="str">
        <f t="shared" si="187"/>
        <v/>
      </c>
      <c r="AX321" s="32" t="str">
        <f t="shared" si="188"/>
        <v/>
      </c>
      <c r="AY321" s="32" t="str">
        <f t="shared" si="189"/>
        <v/>
      </c>
      <c r="BA321" s="32" t="str">
        <f>IF($A322="","",F321*Summary!$Q$14)</f>
        <v/>
      </c>
    </row>
    <row r="322" spans="1:53" ht="12" customHeight="1">
      <c r="A322" s="67" t="str">
        <f t="shared" si="190"/>
        <v/>
      </c>
      <c r="B322" s="69" t="str">
        <f t="shared" si="191"/>
        <v/>
      </c>
      <c r="C322" s="71"/>
      <c r="D322" s="69" t="str">
        <f t="shared" si="155"/>
        <v/>
      </c>
      <c r="E322" s="70" t="str">
        <f t="shared" si="156"/>
        <v/>
      </c>
      <c r="F322" s="70" t="str">
        <f t="shared" si="157"/>
        <v/>
      </c>
      <c r="G322" s="63" t="str">
        <f t="shared" si="158"/>
        <v/>
      </c>
      <c r="H322" s="64" t="str">
        <f t="shared" si="159"/>
        <v/>
      </c>
      <c r="I322" s="43"/>
      <c r="J322" s="63" t="str">
        <f t="shared" si="160"/>
        <v/>
      </c>
      <c r="K322" s="64" t="str">
        <f t="shared" si="161"/>
        <v/>
      </c>
      <c r="L322" s="38">
        <v>0</v>
      </c>
      <c r="M322" s="64" t="str">
        <f t="shared" si="162"/>
        <v/>
      </c>
      <c r="N322" s="65"/>
      <c r="O322" s="63" t="str">
        <f t="shared" si="163"/>
        <v/>
      </c>
      <c r="P322" s="63" t="str">
        <f t="shared" si="164"/>
        <v/>
      </c>
      <c r="Q322" s="66"/>
      <c r="R322" s="63" t="str">
        <f t="shared" si="165"/>
        <v/>
      </c>
      <c r="S322" s="64" t="str">
        <f t="shared" si="166"/>
        <v/>
      </c>
      <c r="T322" s="63" t="str">
        <f t="shared" si="167"/>
        <v/>
      </c>
      <c r="U322" s="64" t="str">
        <f t="shared" si="168"/>
        <v/>
      </c>
      <c r="V322" s="207" t="str">
        <f>IF($A323="","",IF(AND(MONTH(A322)&gt;3,MONTH(A322)&lt;11),(T322+R322+G322)*(((1/(1-Summary!$T$14))/(1-Summary!$W$14))-1),(T322+R322+G322)*((1/(1-Summary!$U$14))/(1-Summary!$X$14)-1)))</f>
        <v/>
      </c>
      <c r="W322" s="43" t="str">
        <f t="shared" si="169"/>
        <v/>
      </c>
      <c r="X322" s="43" t="str">
        <f t="shared" si="170"/>
        <v/>
      </c>
      <c r="Y322" s="43"/>
      <c r="Z322" s="38" t="str">
        <f t="shared" si="171"/>
        <v/>
      </c>
      <c r="AA322" s="38" t="str">
        <f t="shared" si="172"/>
        <v/>
      </c>
      <c r="AB322" s="38" t="e">
        <f t="shared" si="173"/>
        <v>#VALUE!</v>
      </c>
      <c r="AC322" s="38" t="str">
        <f t="shared" si="174"/>
        <v/>
      </c>
      <c r="AD322" s="38" t="str">
        <f t="shared" si="175"/>
        <v/>
      </c>
      <c r="AE322" s="38" t="e">
        <f t="shared" si="176"/>
        <v>#VALUE!</v>
      </c>
      <c r="AF322" s="237" t="e">
        <f>((Summary!$N$14*(AA322*AD322)*(A322-$D$3))+(Summary!$M$14*Z322*AC322*(AJ322-EOMONTH(EDATE(A322,-1),0))))/(AK322*AB322*AE322)</f>
        <v>#VALUE!</v>
      </c>
      <c r="AG322" s="88" t="str">
        <f>IF($A323="","",Summary!$Q$14)</f>
        <v/>
      </c>
      <c r="AH322" s="88" t="str">
        <f>IF($A323="","",IF(Summary!$R$12="Y",(VLOOKUP($A322,Summary!$AD$6:$AF$9,3)+'Escalating commodity'!J335),'Escalating commodity'!J335))</f>
        <v/>
      </c>
      <c r="AI322" s="88" t="str">
        <f t="shared" si="192"/>
        <v/>
      </c>
      <c r="AJ322" s="236" t="e">
        <f t="shared" si="177"/>
        <v>#VALUE!</v>
      </c>
      <c r="AK322" s="58" t="str">
        <f t="shared" si="178"/>
        <v/>
      </c>
      <c r="AL322" s="26" t="str">
        <f>IF($A323="","",_xll.SPRDOPT(P322,X322,AI322,0,AB322,AE322,AF322,AK322,$AJ$2,0))</f>
        <v/>
      </c>
      <c r="AM322" s="89" t="str">
        <f t="shared" si="179"/>
        <v/>
      </c>
      <c r="AN322" s="89" t="str">
        <f t="shared" si="180"/>
        <v/>
      </c>
      <c r="AO322" s="3" t="str">
        <f t="shared" si="181"/>
        <v/>
      </c>
      <c r="AP322" s="33" t="str">
        <f t="shared" si="182"/>
        <v/>
      </c>
      <c r="AQ322" s="58" t="str">
        <f t="shared" si="183"/>
        <v/>
      </c>
      <c r="AR322" s="38">
        <f>'ANR OK vs ML7'!AR322</f>
        <v>0.1</v>
      </c>
      <c r="AS322" s="35" t="str">
        <f t="shared" si="184"/>
        <v/>
      </c>
      <c r="AT322" s="3" t="str">
        <f t="shared" si="185"/>
        <v/>
      </c>
      <c r="AU322" s="3" t="str">
        <f t="shared" si="186"/>
        <v/>
      </c>
      <c r="AW322" s="32" t="str">
        <f t="shared" si="187"/>
        <v/>
      </c>
      <c r="AX322" s="32" t="str">
        <f t="shared" si="188"/>
        <v/>
      </c>
      <c r="AY322" s="32" t="str">
        <f t="shared" si="189"/>
        <v/>
      </c>
      <c r="BA322" s="32" t="str">
        <f>IF($A323="","",F322*Summary!$Q$14)</f>
        <v/>
      </c>
    </row>
    <row r="323" spans="1:53" ht="12" customHeight="1">
      <c r="A323" s="67" t="str">
        <f t="shared" si="190"/>
        <v/>
      </c>
      <c r="B323" s="69" t="str">
        <f t="shared" si="191"/>
        <v/>
      </c>
      <c r="C323" s="71"/>
      <c r="D323" s="69" t="str">
        <f t="shared" si="155"/>
        <v/>
      </c>
      <c r="E323" s="70" t="str">
        <f t="shared" si="156"/>
        <v/>
      </c>
      <c r="F323" s="70" t="str">
        <f t="shared" si="157"/>
        <v/>
      </c>
      <c r="G323" s="63" t="str">
        <f t="shared" si="158"/>
        <v/>
      </c>
      <c r="H323" s="64" t="str">
        <f t="shared" si="159"/>
        <v/>
      </c>
      <c r="I323" s="43"/>
      <c r="J323" s="63" t="str">
        <f t="shared" si="160"/>
        <v/>
      </c>
      <c r="K323" s="64" t="str">
        <f t="shared" si="161"/>
        <v/>
      </c>
      <c r="L323" s="38">
        <v>0</v>
      </c>
      <c r="M323" s="64" t="str">
        <f t="shared" si="162"/>
        <v/>
      </c>
      <c r="N323" s="65"/>
      <c r="O323" s="63" t="str">
        <f t="shared" si="163"/>
        <v/>
      </c>
      <c r="P323" s="63" t="str">
        <f t="shared" si="164"/>
        <v/>
      </c>
      <c r="Q323" s="66"/>
      <c r="R323" s="63" t="str">
        <f t="shared" si="165"/>
        <v/>
      </c>
      <c r="S323" s="64" t="str">
        <f t="shared" si="166"/>
        <v/>
      </c>
      <c r="T323" s="63" t="str">
        <f t="shared" si="167"/>
        <v/>
      </c>
      <c r="U323" s="64" t="str">
        <f t="shared" si="168"/>
        <v/>
      </c>
      <c r="V323" s="207" t="str">
        <f>IF($A324="","",IF(AND(MONTH(A323)&gt;3,MONTH(A323)&lt;11),(T323+R323+G323)*(((1/(1-Summary!$T$14))/(1-Summary!$W$14))-1),(T323+R323+G323)*((1/(1-Summary!$U$14))/(1-Summary!$X$14)-1)))</f>
        <v/>
      </c>
      <c r="W323" s="43" t="str">
        <f t="shared" si="169"/>
        <v/>
      </c>
      <c r="X323" s="43" t="str">
        <f t="shared" si="170"/>
        <v/>
      </c>
      <c r="Y323" s="43"/>
      <c r="Z323" s="38" t="str">
        <f t="shared" si="171"/>
        <v/>
      </c>
      <c r="AA323" s="38" t="str">
        <f t="shared" si="172"/>
        <v/>
      </c>
      <c r="AB323" s="38" t="e">
        <f t="shared" si="173"/>
        <v>#VALUE!</v>
      </c>
      <c r="AC323" s="38" t="str">
        <f t="shared" si="174"/>
        <v/>
      </c>
      <c r="AD323" s="38" t="str">
        <f t="shared" si="175"/>
        <v/>
      </c>
      <c r="AE323" s="38" t="e">
        <f t="shared" si="176"/>
        <v>#VALUE!</v>
      </c>
      <c r="AF323" s="237" t="e">
        <f>((Summary!$N$14*(AA323*AD323)*(A323-$D$3))+(Summary!$M$14*Z323*AC323*(AJ323-EOMONTH(EDATE(A323,-1),0))))/(AK323*AB323*AE323)</f>
        <v>#VALUE!</v>
      </c>
      <c r="AG323" s="88" t="str">
        <f>IF($A324="","",Summary!$Q$14)</f>
        <v/>
      </c>
      <c r="AH323" s="88" t="str">
        <f>IF($A324="","",IF(Summary!$R$12="Y",(VLOOKUP($A323,Summary!$AD$6:$AF$9,3)+'Escalating commodity'!J336),'Escalating commodity'!J336))</f>
        <v/>
      </c>
      <c r="AI323" s="88" t="str">
        <f t="shared" si="192"/>
        <v/>
      </c>
      <c r="AJ323" s="236" t="e">
        <f t="shared" si="177"/>
        <v>#VALUE!</v>
      </c>
      <c r="AK323" s="58" t="str">
        <f t="shared" si="178"/>
        <v/>
      </c>
      <c r="AL323" s="26" t="str">
        <f>IF($A324="","",_xll.SPRDOPT(P323,X323,AI323,0,AB323,AE323,AF323,AK323,$AJ$2,0))</f>
        <v/>
      </c>
      <c r="AM323" s="89" t="str">
        <f t="shared" si="179"/>
        <v/>
      </c>
      <c r="AN323" s="89" t="str">
        <f t="shared" si="180"/>
        <v/>
      </c>
      <c r="AO323" s="3" t="str">
        <f t="shared" si="181"/>
        <v/>
      </c>
      <c r="AP323" s="33" t="str">
        <f t="shared" si="182"/>
        <v/>
      </c>
      <c r="AQ323" s="58" t="str">
        <f t="shared" si="183"/>
        <v/>
      </c>
      <c r="AR323" s="38">
        <f>'ANR OK vs ML7'!AR323</f>
        <v>0.1</v>
      </c>
      <c r="AS323" s="35" t="str">
        <f t="shared" si="184"/>
        <v/>
      </c>
      <c r="AT323" s="3" t="str">
        <f t="shared" si="185"/>
        <v/>
      </c>
      <c r="AU323" s="3" t="str">
        <f t="shared" si="186"/>
        <v/>
      </c>
      <c r="AW323" s="32" t="str">
        <f t="shared" si="187"/>
        <v/>
      </c>
      <c r="AX323" s="32" t="str">
        <f t="shared" si="188"/>
        <v/>
      </c>
      <c r="AY323" s="32" t="str">
        <f t="shared" si="189"/>
        <v/>
      </c>
      <c r="BA323" s="32" t="str">
        <f>IF($A324="","",F323*Summary!$Q$14)</f>
        <v/>
      </c>
    </row>
    <row r="324" spans="1:53" ht="12" customHeight="1">
      <c r="A324" s="67" t="str">
        <f t="shared" si="190"/>
        <v/>
      </c>
      <c r="B324" s="69" t="str">
        <f t="shared" si="191"/>
        <v/>
      </c>
      <c r="C324" s="71"/>
      <c r="D324" s="69" t="str">
        <f t="shared" si="155"/>
        <v/>
      </c>
      <c r="E324" s="70" t="str">
        <f t="shared" si="156"/>
        <v/>
      </c>
      <c r="F324" s="70" t="str">
        <f t="shared" si="157"/>
        <v/>
      </c>
      <c r="G324" s="63" t="str">
        <f t="shared" si="158"/>
        <v/>
      </c>
      <c r="H324" s="64" t="str">
        <f t="shared" si="159"/>
        <v/>
      </c>
      <c r="I324" s="43"/>
      <c r="J324" s="63" t="str">
        <f t="shared" si="160"/>
        <v/>
      </c>
      <c r="K324" s="64" t="str">
        <f t="shared" si="161"/>
        <v/>
      </c>
      <c r="L324" s="38">
        <v>0</v>
      </c>
      <c r="M324" s="64" t="str">
        <f t="shared" si="162"/>
        <v/>
      </c>
      <c r="N324" s="65"/>
      <c r="O324" s="63" t="str">
        <f t="shared" si="163"/>
        <v/>
      </c>
      <c r="P324" s="63" t="str">
        <f t="shared" si="164"/>
        <v/>
      </c>
      <c r="Q324" s="66"/>
      <c r="R324" s="63" t="str">
        <f t="shared" si="165"/>
        <v/>
      </c>
      <c r="S324" s="64" t="str">
        <f t="shared" si="166"/>
        <v/>
      </c>
      <c r="T324" s="63" t="str">
        <f t="shared" si="167"/>
        <v/>
      </c>
      <c r="U324" s="64" t="str">
        <f t="shared" si="168"/>
        <v/>
      </c>
      <c r="V324" s="207" t="str">
        <f>IF($A325="","",IF(AND(MONTH(A324)&gt;3,MONTH(A324)&lt;11),(T324+R324+G324)*(((1/(1-Summary!$T$14))/(1-Summary!$W$14))-1),(T324+R324+G324)*((1/(1-Summary!$U$14))/(1-Summary!$X$14)-1)))</f>
        <v/>
      </c>
      <c r="W324" s="43" t="str">
        <f t="shared" si="169"/>
        <v/>
      </c>
      <c r="X324" s="43" t="str">
        <f t="shared" si="170"/>
        <v/>
      </c>
      <c r="Y324" s="43"/>
      <c r="Z324" s="38" t="str">
        <f t="shared" si="171"/>
        <v/>
      </c>
      <c r="AA324" s="38" t="str">
        <f t="shared" si="172"/>
        <v/>
      </c>
      <c r="AB324" s="38" t="e">
        <f t="shared" si="173"/>
        <v>#VALUE!</v>
      </c>
      <c r="AC324" s="38" t="str">
        <f t="shared" si="174"/>
        <v/>
      </c>
      <c r="AD324" s="38" t="str">
        <f t="shared" si="175"/>
        <v/>
      </c>
      <c r="AE324" s="38" t="e">
        <f t="shared" si="176"/>
        <v>#VALUE!</v>
      </c>
      <c r="AF324" s="237" t="e">
        <f>((Summary!$N$14*(AA324*AD324)*(A324-$D$3))+(Summary!$M$14*Z324*AC324*(AJ324-EOMONTH(EDATE(A324,-1),0))))/(AK324*AB324*AE324)</f>
        <v>#VALUE!</v>
      </c>
      <c r="AG324" s="88" t="str">
        <f>IF($A325="","",Summary!$Q$14)</f>
        <v/>
      </c>
      <c r="AH324" s="88" t="str">
        <f>IF($A325="","",IF(Summary!$R$12="Y",(VLOOKUP($A324,Summary!$AD$6:$AF$9,3)+'Escalating commodity'!J337),'Escalating commodity'!J337))</f>
        <v/>
      </c>
      <c r="AI324" s="88" t="str">
        <f t="shared" si="192"/>
        <v/>
      </c>
      <c r="AJ324" s="236" t="e">
        <f t="shared" si="177"/>
        <v>#VALUE!</v>
      </c>
      <c r="AK324" s="58" t="str">
        <f t="shared" si="178"/>
        <v/>
      </c>
      <c r="AL324" s="26" t="str">
        <f>IF($A325="","",_xll.SPRDOPT(P324,X324,AI324,0,AB324,AE324,AF324,AK324,$AJ$2,0))</f>
        <v/>
      </c>
      <c r="AM324" s="89" t="str">
        <f t="shared" si="179"/>
        <v/>
      </c>
      <c r="AN324" s="89" t="str">
        <f t="shared" si="180"/>
        <v/>
      </c>
      <c r="AO324" s="3" t="str">
        <f t="shared" si="181"/>
        <v/>
      </c>
      <c r="AP324" s="33" t="str">
        <f t="shared" si="182"/>
        <v/>
      </c>
      <c r="AQ324" s="58" t="str">
        <f t="shared" si="183"/>
        <v/>
      </c>
      <c r="AR324" s="38">
        <f>'ANR OK vs ML7'!AR324</f>
        <v>0.1</v>
      </c>
      <c r="AS324" s="35" t="str">
        <f t="shared" si="184"/>
        <v/>
      </c>
      <c r="AT324" s="3" t="str">
        <f t="shared" si="185"/>
        <v/>
      </c>
      <c r="AU324" s="3" t="str">
        <f t="shared" si="186"/>
        <v/>
      </c>
      <c r="AW324" s="32" t="str">
        <f t="shared" si="187"/>
        <v/>
      </c>
      <c r="AX324" s="32" t="str">
        <f t="shared" si="188"/>
        <v/>
      </c>
      <c r="AY324" s="32" t="str">
        <f t="shared" si="189"/>
        <v/>
      </c>
      <c r="BA324" s="32" t="str">
        <f>IF($A325="","",F324*Summary!$Q$14)</f>
        <v/>
      </c>
    </row>
    <row r="325" spans="1:53" ht="12" customHeight="1">
      <c r="A325" s="67" t="str">
        <f t="shared" si="190"/>
        <v/>
      </c>
      <c r="B325" s="69" t="str">
        <f t="shared" si="191"/>
        <v/>
      </c>
      <c r="C325" s="71"/>
      <c r="D325" s="69" t="str">
        <f t="shared" si="155"/>
        <v/>
      </c>
      <c r="E325" s="70" t="str">
        <f t="shared" si="156"/>
        <v/>
      </c>
      <c r="F325" s="70" t="str">
        <f t="shared" si="157"/>
        <v/>
      </c>
      <c r="G325" s="63" t="str">
        <f t="shared" si="158"/>
        <v/>
      </c>
      <c r="H325" s="64" t="str">
        <f t="shared" si="159"/>
        <v/>
      </c>
      <c r="I325" s="43"/>
      <c r="J325" s="63" t="str">
        <f t="shared" si="160"/>
        <v/>
      </c>
      <c r="K325" s="64" t="str">
        <f t="shared" si="161"/>
        <v/>
      </c>
      <c r="L325" s="38">
        <v>0</v>
      </c>
      <c r="M325" s="64" t="str">
        <f t="shared" si="162"/>
        <v/>
      </c>
      <c r="N325" s="65"/>
      <c r="O325" s="63" t="str">
        <f t="shared" si="163"/>
        <v/>
      </c>
      <c r="P325" s="63" t="str">
        <f t="shared" si="164"/>
        <v/>
      </c>
      <c r="Q325" s="66"/>
      <c r="R325" s="63" t="str">
        <f t="shared" si="165"/>
        <v/>
      </c>
      <c r="S325" s="64" t="str">
        <f t="shared" si="166"/>
        <v/>
      </c>
      <c r="T325" s="63" t="str">
        <f t="shared" si="167"/>
        <v/>
      </c>
      <c r="U325" s="64" t="str">
        <f t="shared" si="168"/>
        <v/>
      </c>
      <c r="V325" s="207" t="str">
        <f>IF($A326="","",IF(AND(MONTH(A325)&gt;3,MONTH(A325)&lt;11),(T325+R325+G325)*(((1/(1-Summary!$T$14))/(1-Summary!$W$14))-1),(T325+R325+G325)*((1/(1-Summary!$U$14))/(1-Summary!$X$14)-1)))</f>
        <v/>
      </c>
      <c r="W325" s="43" t="str">
        <f t="shared" si="169"/>
        <v/>
      </c>
      <c r="X325" s="43" t="str">
        <f t="shared" si="170"/>
        <v/>
      </c>
      <c r="Y325" s="43"/>
      <c r="Z325" s="38" t="str">
        <f t="shared" si="171"/>
        <v/>
      </c>
      <c r="AA325" s="38" t="str">
        <f t="shared" si="172"/>
        <v/>
      </c>
      <c r="AB325" s="38" t="e">
        <f t="shared" si="173"/>
        <v>#VALUE!</v>
      </c>
      <c r="AC325" s="38" t="str">
        <f t="shared" si="174"/>
        <v/>
      </c>
      <c r="AD325" s="38" t="str">
        <f t="shared" si="175"/>
        <v/>
      </c>
      <c r="AE325" s="38" t="e">
        <f t="shared" si="176"/>
        <v>#VALUE!</v>
      </c>
      <c r="AF325" s="237" t="e">
        <f>((Summary!$N$14*(AA325*AD325)*(A325-$D$3))+(Summary!$M$14*Z325*AC325*(AJ325-EOMONTH(EDATE(A325,-1),0))))/(AK325*AB325*AE325)</f>
        <v>#VALUE!</v>
      </c>
      <c r="AG325" s="88" t="str">
        <f>IF($A326="","",Summary!$Q$14)</f>
        <v/>
      </c>
      <c r="AH325" s="88" t="str">
        <f>IF($A326="","",IF(Summary!$R$12="Y",(VLOOKUP($A325,Summary!$AD$6:$AF$9,3)+'Escalating commodity'!J338),'Escalating commodity'!J338))</f>
        <v/>
      </c>
      <c r="AI325" s="88" t="str">
        <f t="shared" si="192"/>
        <v/>
      </c>
      <c r="AJ325" s="236" t="e">
        <f t="shared" si="177"/>
        <v>#VALUE!</v>
      </c>
      <c r="AK325" s="58" t="str">
        <f t="shared" si="178"/>
        <v/>
      </c>
      <c r="AL325" s="26" t="str">
        <f>IF($A326="","",_xll.SPRDOPT(P325,X325,AI325,0,AB325,AE325,AF325,AK325,$AJ$2,0))</f>
        <v/>
      </c>
      <c r="AM325" s="89" t="str">
        <f t="shared" si="179"/>
        <v/>
      </c>
      <c r="AN325" s="89" t="str">
        <f t="shared" si="180"/>
        <v/>
      </c>
      <c r="AO325" s="3" t="str">
        <f t="shared" si="181"/>
        <v/>
      </c>
      <c r="AP325" s="33" t="str">
        <f t="shared" si="182"/>
        <v/>
      </c>
      <c r="AQ325" s="58" t="str">
        <f t="shared" si="183"/>
        <v/>
      </c>
      <c r="AR325" s="38">
        <f>'ANR OK vs ML7'!AR325</f>
        <v>0.1</v>
      </c>
      <c r="AS325" s="35" t="str">
        <f t="shared" si="184"/>
        <v/>
      </c>
      <c r="AT325" s="3" t="str">
        <f t="shared" si="185"/>
        <v/>
      </c>
      <c r="AU325" s="3" t="str">
        <f t="shared" si="186"/>
        <v/>
      </c>
      <c r="AW325" s="32" t="str">
        <f t="shared" si="187"/>
        <v/>
      </c>
      <c r="AX325" s="32" t="str">
        <f t="shared" si="188"/>
        <v/>
      </c>
      <c r="AY325" s="32" t="str">
        <f t="shared" si="189"/>
        <v/>
      </c>
      <c r="BA325" s="32" t="str">
        <f>IF($A326="","",F325*Summary!$Q$14)</f>
        <v/>
      </c>
    </row>
    <row r="326" spans="1:53" ht="12" customHeight="1">
      <c r="A326" s="67" t="str">
        <f t="shared" si="190"/>
        <v/>
      </c>
      <c r="B326" s="69" t="str">
        <f t="shared" si="191"/>
        <v/>
      </c>
      <c r="C326" s="71"/>
      <c r="D326" s="69" t="str">
        <f t="shared" si="155"/>
        <v/>
      </c>
      <c r="E326" s="70" t="str">
        <f t="shared" si="156"/>
        <v/>
      </c>
      <c r="F326" s="70" t="str">
        <f t="shared" si="157"/>
        <v/>
      </c>
      <c r="G326" s="63" t="str">
        <f t="shared" si="158"/>
        <v/>
      </c>
      <c r="H326" s="64" t="str">
        <f t="shared" si="159"/>
        <v/>
      </c>
      <c r="I326" s="43"/>
      <c r="J326" s="63" t="str">
        <f t="shared" si="160"/>
        <v/>
      </c>
      <c r="K326" s="64" t="str">
        <f t="shared" si="161"/>
        <v/>
      </c>
      <c r="L326" s="38">
        <v>0</v>
      </c>
      <c r="M326" s="64" t="str">
        <f t="shared" si="162"/>
        <v/>
      </c>
      <c r="N326" s="65"/>
      <c r="O326" s="63" t="str">
        <f t="shared" si="163"/>
        <v/>
      </c>
      <c r="P326" s="63" t="str">
        <f t="shared" si="164"/>
        <v/>
      </c>
      <c r="Q326" s="66"/>
      <c r="R326" s="63" t="str">
        <f t="shared" si="165"/>
        <v/>
      </c>
      <c r="S326" s="64" t="str">
        <f t="shared" si="166"/>
        <v/>
      </c>
      <c r="T326" s="63" t="str">
        <f t="shared" si="167"/>
        <v/>
      </c>
      <c r="U326" s="64" t="str">
        <f t="shared" si="168"/>
        <v/>
      </c>
      <c r="V326" s="207" t="str">
        <f>IF($A327="","",IF(AND(MONTH(A326)&gt;3,MONTH(A326)&lt;11),(T326+R326+G326)*(((1/(1-Summary!$T$14))/(1-Summary!$W$14))-1),(T326+R326+G326)*((1/(1-Summary!$U$14))/(1-Summary!$X$14)-1)))</f>
        <v/>
      </c>
      <c r="W326" s="43" t="str">
        <f t="shared" si="169"/>
        <v/>
      </c>
      <c r="X326" s="43" t="str">
        <f t="shared" si="170"/>
        <v/>
      </c>
      <c r="Y326" s="43"/>
      <c r="Z326" s="38" t="str">
        <f t="shared" si="171"/>
        <v/>
      </c>
      <c r="AA326" s="38" t="str">
        <f t="shared" si="172"/>
        <v/>
      </c>
      <c r="AB326" s="38" t="e">
        <f t="shared" si="173"/>
        <v>#VALUE!</v>
      </c>
      <c r="AC326" s="38" t="str">
        <f t="shared" si="174"/>
        <v/>
      </c>
      <c r="AD326" s="38" t="str">
        <f t="shared" si="175"/>
        <v/>
      </c>
      <c r="AE326" s="38" t="e">
        <f t="shared" si="176"/>
        <v>#VALUE!</v>
      </c>
      <c r="AF326" s="237" t="e">
        <f>((Summary!$N$14*(AA326*AD326)*(A326-$D$3))+(Summary!$M$14*Z326*AC326*(AJ326-EOMONTH(EDATE(A326,-1),0))))/(AK326*AB326*AE326)</f>
        <v>#VALUE!</v>
      </c>
      <c r="AG326" s="88" t="str">
        <f>IF($A327="","",Summary!$Q$14)</f>
        <v/>
      </c>
      <c r="AH326" s="88" t="str">
        <f>IF($A327="","",IF(Summary!$R$12="Y",(VLOOKUP($A326,Summary!$AD$6:$AF$9,3)+'Escalating commodity'!J339),'Escalating commodity'!J339))</f>
        <v/>
      </c>
      <c r="AI326" s="88" t="str">
        <f t="shared" si="192"/>
        <v/>
      </c>
      <c r="AJ326" s="236" t="e">
        <f t="shared" si="177"/>
        <v>#VALUE!</v>
      </c>
      <c r="AK326" s="58" t="str">
        <f t="shared" si="178"/>
        <v/>
      </c>
      <c r="AL326" s="26" t="str">
        <f>IF($A327="","",_xll.SPRDOPT(P326,X326,AI326,0,AB326,AE326,AF326,AK326,$AJ$2,0))</f>
        <v/>
      </c>
      <c r="AM326" s="89" t="str">
        <f t="shared" si="179"/>
        <v/>
      </c>
      <c r="AN326" s="89" t="str">
        <f t="shared" si="180"/>
        <v/>
      </c>
      <c r="AO326" s="3" t="str">
        <f t="shared" si="181"/>
        <v/>
      </c>
      <c r="AP326" s="33" t="str">
        <f t="shared" si="182"/>
        <v/>
      </c>
      <c r="AQ326" s="58" t="str">
        <f t="shared" si="183"/>
        <v/>
      </c>
      <c r="AR326" s="38">
        <f>'ANR OK vs ML7'!AR326</f>
        <v>0.1</v>
      </c>
      <c r="AS326" s="35" t="str">
        <f t="shared" si="184"/>
        <v/>
      </c>
      <c r="AT326" s="3" t="str">
        <f t="shared" si="185"/>
        <v/>
      </c>
      <c r="AU326" s="3" t="str">
        <f t="shared" si="186"/>
        <v/>
      </c>
      <c r="AW326" s="32" t="str">
        <f t="shared" si="187"/>
        <v/>
      </c>
      <c r="AX326" s="32" t="str">
        <f t="shared" si="188"/>
        <v/>
      </c>
      <c r="AY326" s="32" t="str">
        <f t="shared" si="189"/>
        <v/>
      </c>
      <c r="BA326" s="32" t="str">
        <f>IF($A327="","",F326*Summary!$Q$14)</f>
        <v/>
      </c>
    </row>
    <row r="327" spans="1:53" ht="12" customHeight="1">
      <c r="A327" s="67" t="str">
        <f t="shared" si="190"/>
        <v/>
      </c>
      <c r="B327" s="69" t="str">
        <f t="shared" si="191"/>
        <v/>
      </c>
      <c r="C327" s="71"/>
      <c r="D327" s="69" t="str">
        <f t="shared" si="155"/>
        <v/>
      </c>
      <c r="E327" s="70" t="str">
        <f t="shared" si="156"/>
        <v/>
      </c>
      <c r="F327" s="70" t="str">
        <f t="shared" si="157"/>
        <v/>
      </c>
      <c r="G327" s="63" t="str">
        <f t="shared" si="158"/>
        <v/>
      </c>
      <c r="H327" s="64" t="str">
        <f t="shared" si="159"/>
        <v/>
      </c>
      <c r="I327" s="43"/>
      <c r="J327" s="63" t="str">
        <f t="shared" si="160"/>
        <v/>
      </c>
      <c r="K327" s="64" t="str">
        <f t="shared" si="161"/>
        <v/>
      </c>
      <c r="L327" s="38">
        <v>0</v>
      </c>
      <c r="M327" s="64" t="str">
        <f t="shared" si="162"/>
        <v/>
      </c>
      <c r="N327" s="65"/>
      <c r="O327" s="63" t="str">
        <f t="shared" si="163"/>
        <v/>
      </c>
      <c r="P327" s="63" t="str">
        <f t="shared" si="164"/>
        <v/>
      </c>
      <c r="Q327" s="66"/>
      <c r="R327" s="63" t="str">
        <f t="shared" si="165"/>
        <v/>
      </c>
      <c r="S327" s="64" t="str">
        <f t="shared" si="166"/>
        <v/>
      </c>
      <c r="T327" s="63" t="str">
        <f t="shared" si="167"/>
        <v/>
      </c>
      <c r="U327" s="64" t="str">
        <f t="shared" si="168"/>
        <v/>
      </c>
      <c r="V327" s="207" t="str">
        <f>IF($A328="","",IF(AND(MONTH(A327)&gt;3,MONTH(A327)&lt;11),(T327+R327+G327)*(((1/(1-Summary!$T$14))/(1-Summary!$W$14))-1),(T327+R327+G327)*((1/(1-Summary!$U$14))/(1-Summary!$X$14)-1)))</f>
        <v/>
      </c>
      <c r="W327" s="43" t="str">
        <f t="shared" si="169"/>
        <v/>
      </c>
      <c r="X327" s="43" t="str">
        <f t="shared" si="170"/>
        <v/>
      </c>
      <c r="Y327" s="43"/>
      <c r="Z327" s="38" t="str">
        <f t="shared" si="171"/>
        <v/>
      </c>
      <c r="AA327" s="38" t="str">
        <f t="shared" si="172"/>
        <v/>
      </c>
      <c r="AB327" s="38" t="e">
        <f t="shared" si="173"/>
        <v>#VALUE!</v>
      </c>
      <c r="AC327" s="38" t="str">
        <f t="shared" si="174"/>
        <v/>
      </c>
      <c r="AD327" s="38" t="str">
        <f t="shared" si="175"/>
        <v/>
      </c>
      <c r="AE327" s="38" t="e">
        <f t="shared" si="176"/>
        <v>#VALUE!</v>
      </c>
      <c r="AF327" s="237" t="e">
        <f>((Summary!$N$14*(AA327*AD327)*(A327-$D$3))+(Summary!$M$14*Z327*AC327*(AJ327-EOMONTH(EDATE(A327,-1),0))))/(AK327*AB327*AE327)</f>
        <v>#VALUE!</v>
      </c>
      <c r="AG327" s="88" t="str">
        <f>IF($A328="","",Summary!$Q$14)</f>
        <v/>
      </c>
      <c r="AH327" s="88" t="str">
        <f>IF($A328="","",IF(Summary!$R$12="Y",(VLOOKUP($A327,Summary!$AD$6:$AF$9,3)+'Escalating commodity'!J340),'Escalating commodity'!J340))</f>
        <v/>
      </c>
      <c r="AI327" s="88" t="str">
        <f t="shared" si="192"/>
        <v/>
      </c>
      <c r="AJ327" s="236" t="e">
        <f t="shared" si="177"/>
        <v>#VALUE!</v>
      </c>
      <c r="AK327" s="58" t="str">
        <f t="shared" si="178"/>
        <v/>
      </c>
      <c r="AL327" s="26" t="str">
        <f>IF($A328="","",_xll.SPRDOPT(P327,X327,AI327,0,AB327,AE327,AF327,AK327,$AJ$2,0))</f>
        <v/>
      </c>
      <c r="AM327" s="89" t="str">
        <f t="shared" si="179"/>
        <v/>
      </c>
      <c r="AN327" s="89" t="str">
        <f t="shared" si="180"/>
        <v/>
      </c>
      <c r="AO327" s="3" t="str">
        <f t="shared" si="181"/>
        <v/>
      </c>
      <c r="AP327" s="33" t="str">
        <f t="shared" si="182"/>
        <v/>
      </c>
      <c r="AQ327" s="58" t="str">
        <f t="shared" si="183"/>
        <v/>
      </c>
      <c r="AR327" s="38">
        <f>'ANR OK vs ML7'!AR327</f>
        <v>0.1</v>
      </c>
      <c r="AS327" s="35" t="str">
        <f t="shared" si="184"/>
        <v/>
      </c>
      <c r="AT327" s="3" t="str">
        <f t="shared" si="185"/>
        <v/>
      </c>
      <c r="AU327" s="3" t="str">
        <f t="shared" si="186"/>
        <v/>
      </c>
      <c r="AW327" s="32" t="str">
        <f t="shared" si="187"/>
        <v/>
      </c>
      <c r="AX327" s="32" t="str">
        <f t="shared" si="188"/>
        <v/>
      </c>
      <c r="AY327" s="32" t="str">
        <f t="shared" si="189"/>
        <v/>
      </c>
      <c r="BA327" s="32" t="str">
        <f>IF($A328="","",F327*Summary!$Q$14)</f>
        <v/>
      </c>
    </row>
    <row r="328" spans="1:53" ht="12" customHeight="1">
      <c r="A328" s="67" t="str">
        <f t="shared" si="190"/>
        <v/>
      </c>
      <c r="B328" s="69" t="str">
        <f t="shared" si="191"/>
        <v/>
      </c>
      <c r="C328" s="71"/>
      <c r="D328" s="69" t="str">
        <f t="shared" si="155"/>
        <v/>
      </c>
      <c r="E328" s="70" t="str">
        <f t="shared" si="156"/>
        <v/>
      </c>
      <c r="F328" s="70" t="str">
        <f t="shared" si="157"/>
        <v/>
      </c>
      <c r="G328" s="63" t="str">
        <f t="shared" si="158"/>
        <v/>
      </c>
      <c r="H328" s="64" t="str">
        <f t="shared" si="159"/>
        <v/>
      </c>
      <c r="I328" s="43"/>
      <c r="J328" s="63" t="str">
        <f t="shared" si="160"/>
        <v/>
      </c>
      <c r="K328" s="64" t="str">
        <f t="shared" si="161"/>
        <v/>
      </c>
      <c r="L328" s="38">
        <v>0</v>
      </c>
      <c r="M328" s="64" t="str">
        <f t="shared" si="162"/>
        <v/>
      </c>
      <c r="N328" s="65"/>
      <c r="O328" s="63" t="str">
        <f t="shared" si="163"/>
        <v/>
      </c>
      <c r="P328" s="63" t="str">
        <f t="shared" si="164"/>
        <v/>
      </c>
      <c r="Q328" s="66"/>
      <c r="R328" s="63" t="str">
        <f t="shared" si="165"/>
        <v/>
      </c>
      <c r="S328" s="64" t="str">
        <f t="shared" si="166"/>
        <v/>
      </c>
      <c r="T328" s="63" t="str">
        <f t="shared" si="167"/>
        <v/>
      </c>
      <c r="U328" s="64" t="str">
        <f t="shared" si="168"/>
        <v/>
      </c>
      <c r="V328" s="207" t="str">
        <f>IF($A329="","",IF(AND(MONTH(A328)&gt;3,MONTH(A328)&lt;11),(T328+R328+G328)*(((1/(1-Summary!$T$14))/(1-Summary!$W$14))-1),(T328+R328+G328)*((1/(1-Summary!$U$14))/(1-Summary!$X$14)-1)))</f>
        <v/>
      </c>
      <c r="W328" s="43" t="str">
        <f t="shared" si="169"/>
        <v/>
      </c>
      <c r="X328" s="43" t="str">
        <f t="shared" si="170"/>
        <v/>
      </c>
      <c r="Y328" s="43"/>
      <c r="Z328" s="38" t="str">
        <f t="shared" si="171"/>
        <v/>
      </c>
      <c r="AA328" s="38" t="str">
        <f t="shared" si="172"/>
        <v/>
      </c>
      <c r="AB328" s="38" t="e">
        <f t="shared" si="173"/>
        <v>#VALUE!</v>
      </c>
      <c r="AC328" s="38" t="str">
        <f t="shared" si="174"/>
        <v/>
      </c>
      <c r="AD328" s="38" t="str">
        <f t="shared" si="175"/>
        <v/>
      </c>
      <c r="AE328" s="38" t="e">
        <f t="shared" si="176"/>
        <v>#VALUE!</v>
      </c>
      <c r="AF328" s="237" t="e">
        <f>((Summary!$N$14*(AA328*AD328)*(A328-$D$3))+(Summary!$M$14*Z328*AC328*(AJ328-EOMONTH(EDATE(A328,-1),0))))/(AK328*AB328*AE328)</f>
        <v>#VALUE!</v>
      </c>
      <c r="AG328" s="88" t="str">
        <f>IF($A329="","",Summary!$Q$14)</f>
        <v/>
      </c>
      <c r="AH328" s="88" t="str">
        <f>IF($A329="","",IF(Summary!$R$12="Y",(VLOOKUP($A328,Summary!$AD$6:$AF$9,3)+'Escalating commodity'!J341),'Escalating commodity'!J341))</f>
        <v/>
      </c>
      <c r="AI328" s="88" t="str">
        <f t="shared" si="192"/>
        <v/>
      </c>
      <c r="AJ328" s="236" t="e">
        <f t="shared" si="177"/>
        <v>#VALUE!</v>
      </c>
      <c r="AK328" s="58" t="str">
        <f t="shared" si="178"/>
        <v/>
      </c>
      <c r="AL328" s="26" t="str">
        <f>IF($A329="","",_xll.SPRDOPT(P328,X328,AI328,0,AB328,AE328,AF328,AK328,$AJ$2,0))</f>
        <v/>
      </c>
      <c r="AM328" s="89" t="str">
        <f t="shared" si="179"/>
        <v/>
      </c>
      <c r="AN328" s="89" t="str">
        <f t="shared" si="180"/>
        <v/>
      </c>
      <c r="AO328" s="3" t="str">
        <f t="shared" si="181"/>
        <v/>
      </c>
      <c r="AP328" s="33" t="str">
        <f t="shared" si="182"/>
        <v/>
      </c>
      <c r="AQ328" s="58" t="str">
        <f t="shared" si="183"/>
        <v/>
      </c>
      <c r="AR328" s="38">
        <f>'ANR OK vs ML7'!AR328</f>
        <v>0.1</v>
      </c>
      <c r="AS328" s="35" t="str">
        <f t="shared" si="184"/>
        <v/>
      </c>
      <c r="AT328" s="3" t="str">
        <f t="shared" si="185"/>
        <v/>
      </c>
      <c r="AU328" s="3" t="str">
        <f t="shared" si="186"/>
        <v/>
      </c>
      <c r="AW328" s="32" t="str">
        <f t="shared" si="187"/>
        <v/>
      </c>
      <c r="AX328" s="32" t="str">
        <f t="shared" si="188"/>
        <v/>
      </c>
      <c r="AY328" s="32" t="str">
        <f t="shared" si="189"/>
        <v/>
      </c>
      <c r="BA328" s="32" t="str">
        <f>IF($A329="","",F328*Summary!$Q$14)</f>
        <v/>
      </c>
    </row>
    <row r="329" spans="1:53" ht="12" customHeight="1">
      <c r="A329" s="67" t="str">
        <f t="shared" si="190"/>
        <v/>
      </c>
      <c r="B329" s="69" t="str">
        <f t="shared" si="191"/>
        <v/>
      </c>
      <c r="C329" s="71"/>
      <c r="D329" s="69" t="str">
        <f t="shared" si="155"/>
        <v/>
      </c>
      <c r="E329" s="70" t="str">
        <f t="shared" si="156"/>
        <v/>
      </c>
      <c r="F329" s="70" t="str">
        <f t="shared" si="157"/>
        <v/>
      </c>
      <c r="G329" s="63" t="str">
        <f t="shared" si="158"/>
        <v/>
      </c>
      <c r="H329" s="64" t="str">
        <f t="shared" si="159"/>
        <v/>
      </c>
      <c r="I329" s="43"/>
      <c r="J329" s="63" t="str">
        <f t="shared" si="160"/>
        <v/>
      </c>
      <c r="K329" s="64" t="str">
        <f t="shared" si="161"/>
        <v/>
      </c>
      <c r="L329" s="38">
        <v>0</v>
      </c>
      <c r="M329" s="64" t="str">
        <f t="shared" si="162"/>
        <v/>
      </c>
      <c r="N329" s="65"/>
      <c r="O329" s="63" t="str">
        <f t="shared" si="163"/>
        <v/>
      </c>
      <c r="P329" s="63" t="str">
        <f t="shared" si="164"/>
        <v/>
      </c>
      <c r="Q329" s="66"/>
      <c r="R329" s="63" t="str">
        <f t="shared" si="165"/>
        <v/>
      </c>
      <c r="S329" s="64" t="str">
        <f t="shared" si="166"/>
        <v/>
      </c>
      <c r="T329" s="63" t="str">
        <f t="shared" si="167"/>
        <v/>
      </c>
      <c r="U329" s="64" t="str">
        <f t="shared" si="168"/>
        <v/>
      </c>
      <c r="V329" s="207" t="str">
        <f>IF($A330="","",IF(AND(MONTH(A329)&gt;3,MONTH(A329)&lt;11),(T329+R329+G329)*(((1/(1-Summary!$T$14))/(1-Summary!$W$14))-1),(T329+R329+G329)*((1/(1-Summary!$U$14))/(1-Summary!$X$14)-1)))</f>
        <v/>
      </c>
      <c r="W329" s="43" t="str">
        <f t="shared" si="169"/>
        <v/>
      </c>
      <c r="X329" s="43" t="str">
        <f t="shared" si="170"/>
        <v/>
      </c>
      <c r="Y329" s="43"/>
      <c r="Z329" s="38" t="str">
        <f t="shared" si="171"/>
        <v/>
      </c>
      <c r="AA329" s="38" t="str">
        <f t="shared" si="172"/>
        <v/>
      </c>
      <c r="AB329" s="38" t="e">
        <f t="shared" si="173"/>
        <v>#VALUE!</v>
      </c>
      <c r="AC329" s="38" t="str">
        <f t="shared" si="174"/>
        <v/>
      </c>
      <c r="AD329" s="38" t="str">
        <f t="shared" si="175"/>
        <v/>
      </c>
      <c r="AE329" s="38" t="e">
        <f t="shared" si="176"/>
        <v>#VALUE!</v>
      </c>
      <c r="AF329" s="237" t="e">
        <f>((Summary!$N$14*(AA329*AD329)*(A329-$D$3))+(Summary!$M$14*Z329*AC329*(AJ329-EOMONTH(EDATE(A329,-1),0))))/(AK329*AB329*AE329)</f>
        <v>#VALUE!</v>
      </c>
      <c r="AG329" s="88" t="str">
        <f>IF($A330="","",Summary!$Q$14)</f>
        <v/>
      </c>
      <c r="AH329" s="88" t="str">
        <f>IF($A330="","",IF(Summary!$R$12="Y",(VLOOKUP($A329,Summary!$AD$6:$AF$9,3)+'Escalating commodity'!J342),'Escalating commodity'!J342))</f>
        <v/>
      </c>
      <c r="AI329" s="88" t="str">
        <f t="shared" si="192"/>
        <v/>
      </c>
      <c r="AJ329" s="236" t="e">
        <f t="shared" si="177"/>
        <v>#VALUE!</v>
      </c>
      <c r="AK329" s="58" t="str">
        <f t="shared" si="178"/>
        <v/>
      </c>
      <c r="AL329" s="26" t="str">
        <f>IF($A330="","",_xll.SPRDOPT(P329,X329,AI329,0,AB329,AE329,AF329,AK329,$AJ$2,0))</f>
        <v/>
      </c>
      <c r="AM329" s="89" t="str">
        <f t="shared" si="179"/>
        <v/>
      </c>
      <c r="AN329" s="89" t="str">
        <f t="shared" si="180"/>
        <v/>
      </c>
      <c r="AO329" s="3" t="str">
        <f t="shared" si="181"/>
        <v/>
      </c>
      <c r="AP329" s="33" t="str">
        <f t="shared" si="182"/>
        <v/>
      </c>
      <c r="AQ329" s="58" t="str">
        <f t="shared" si="183"/>
        <v/>
      </c>
      <c r="AR329" s="38">
        <f>'ANR OK vs ML7'!AR329</f>
        <v>0.1</v>
      </c>
      <c r="AS329" s="35" t="str">
        <f t="shared" si="184"/>
        <v/>
      </c>
      <c r="AT329" s="3" t="str">
        <f t="shared" si="185"/>
        <v/>
      </c>
      <c r="AU329" s="3" t="str">
        <f t="shared" si="186"/>
        <v/>
      </c>
      <c r="AW329" s="32" t="str">
        <f t="shared" si="187"/>
        <v/>
      </c>
      <c r="AX329" s="32" t="str">
        <f t="shared" si="188"/>
        <v/>
      </c>
      <c r="AY329" s="32" t="str">
        <f t="shared" si="189"/>
        <v/>
      </c>
      <c r="BA329" s="32" t="str">
        <f>IF($A330="","",F329*Summary!$Q$14)</f>
        <v/>
      </c>
    </row>
    <row r="330" spans="1:53" ht="12" customHeight="1">
      <c r="A330" s="67" t="str">
        <f t="shared" si="190"/>
        <v/>
      </c>
      <c r="B330" s="69" t="str">
        <f t="shared" si="191"/>
        <v/>
      </c>
      <c r="C330" s="71"/>
      <c r="D330" s="69" t="str">
        <f t="shared" ref="D330:D393" si="193">IF(A331&lt;&gt;"",B330+C330,"")</f>
        <v/>
      </c>
      <c r="E330" s="70" t="str">
        <f t="shared" ref="E330:E393" si="194">IF(A331="","",IF(AND(AT330=1,$H$3=1),D330*AO330,IF($H$3=2,D330,"N/A")))</f>
        <v/>
      </c>
      <c r="F330" s="70" t="str">
        <f t="shared" ref="F330:F393" si="195">IF(A331="","",E330*AS330)</f>
        <v/>
      </c>
      <c r="G330" s="63" t="str">
        <f t="shared" ref="G330:G393" si="196">IF($A331="","",VLOOKUP($A330,Table,MATCH(G$4,Curves,0)))</f>
        <v/>
      </c>
      <c r="H330" s="64" t="str">
        <f t="shared" ref="H330:H393" si="197">IF(A331="","",G330)</f>
        <v/>
      </c>
      <c r="I330" s="43"/>
      <c r="J330" s="63" t="str">
        <f t="shared" ref="J330:J393" si="198">IF($A331="","",VLOOKUP($A330,Table,MATCH(J$4,Curves,0)))</f>
        <v/>
      </c>
      <c r="K330" s="64" t="str">
        <f t="shared" ref="K330:K393" si="199">IF(A331="","",J330)</f>
        <v/>
      </c>
      <c r="L330" s="38">
        <v>0</v>
      </c>
      <c r="M330" s="64" t="str">
        <f t="shared" ref="M330:M393" si="200">IF(A331="","",L330)</f>
        <v/>
      </c>
      <c r="N330" s="65"/>
      <c r="O330" s="63" t="str">
        <f t="shared" ref="O330:O393" si="201">IF(A331="","",L330+J330+G330)</f>
        <v/>
      </c>
      <c r="P330" s="63" t="str">
        <f t="shared" ref="P330:P393" si="202">IF(A331="","",M330+K330+H330)</f>
        <v/>
      </c>
      <c r="Q330" s="66"/>
      <c r="R330" s="63" t="str">
        <f t="shared" ref="R330:R393" si="203">IF($A331="","",VLOOKUP($A330,Table,MATCH(R$4,Curves,0)))</f>
        <v/>
      </c>
      <c r="S330" s="64" t="str">
        <f t="shared" ref="S330:S393" si="204">IF(A331="","",R330)</f>
        <v/>
      </c>
      <c r="T330" s="63" t="str">
        <f t="shared" ref="T330:T393" si="205">IF($A331="","",VLOOKUP($A330,Table,MATCH(T$4,Curves,0)))</f>
        <v/>
      </c>
      <c r="U330" s="64" t="str">
        <f t="shared" ref="U330:U393" si="206">IF(A331="","",T330)</f>
        <v/>
      </c>
      <c r="V330" s="207" t="str">
        <f>IF($A331="","",IF(AND(MONTH(A330)&gt;3,MONTH(A330)&lt;11),(T330+R330+G330)*(((1/(1-Summary!$T$14))/(1-Summary!$W$14))-1),(T330+R330+G330)*((1/(1-Summary!$U$14))/(1-Summary!$X$14)-1)))</f>
        <v/>
      </c>
      <c r="W330" s="43" t="str">
        <f t="shared" ref="W330:W393" si="207">IF($A331="","",(T330+R330+G330+V330))</f>
        <v/>
      </c>
      <c r="X330" s="43" t="str">
        <f t="shared" ref="X330:X393" si="208">IF($A331="","",(U330+S330+H330+V330))</f>
        <v/>
      </c>
      <c r="Y330" s="43"/>
      <c r="Z330" s="38" t="str">
        <f t="shared" ref="Z330:Z369" si="209">IF($A331="","",VLOOKUP($A330,Table,MATCH(Z$4,Curves,0)))</f>
        <v/>
      </c>
      <c r="AA330" s="38" t="str">
        <f t="shared" ref="AA330:AA369" si="210">IF($A331="","",VLOOKUP($A330,Table,MATCH(AA$4,Curves,0)))</f>
        <v/>
      </c>
      <c r="AB330" s="38" t="e">
        <f t="shared" ref="AB330:AB393" si="211">SQRT((AA330^2*(A330-$D$3)+Z330^2*(DAY(EOMONTH(A330,0))/2))/AK330)</f>
        <v>#VALUE!</v>
      </c>
      <c r="AC330" s="38" t="str">
        <f t="shared" ref="AC330:AC369" si="212">IF($A331="","",VLOOKUP($A330,Table,MATCH(AC$4,Curves,0)))</f>
        <v/>
      </c>
      <c r="AD330" s="38" t="str">
        <f t="shared" ref="AD330:AD369" si="213">IF($A331="","",VLOOKUP($A330,Table,MATCH(AD$4,Curves,0)))</f>
        <v/>
      </c>
      <c r="AE330" s="38" t="e">
        <f t="shared" ref="AE330:AE393" si="214">SQRT((AD330^2*(A330-$D$3)+AC330^2*(DAY(EOMONTH(A330,0))/2))/AK330)</f>
        <v>#VALUE!</v>
      </c>
      <c r="AF330" s="237" t="e">
        <f>((Summary!$N$14*(AA330*AD330)*(A330-$D$3))+(Summary!$M$14*Z330*AC330*(AJ330-EOMONTH(EDATE(A330,-1),0))))/(AK330*AB330*AE330)</f>
        <v>#VALUE!</v>
      </c>
      <c r="AG330" s="88" t="str">
        <f>IF($A331="","",Summary!$Q$14)</f>
        <v/>
      </c>
      <c r="AH330" s="88" t="str">
        <f>IF($A331="","",IF(Summary!$R$12="Y",(VLOOKUP($A330,Summary!$AD$6:$AF$9,3)+'Escalating commodity'!J343),'Escalating commodity'!J343))</f>
        <v/>
      </c>
      <c r="AI330" s="88" t="str">
        <f t="shared" si="192"/>
        <v/>
      </c>
      <c r="AJ330" s="236" t="e">
        <f t="shared" ref="AJ330:AJ369" si="215">A330+DAY(EOMONTH(A330,0))/2-1</f>
        <v>#VALUE!</v>
      </c>
      <c r="AK330" s="58" t="str">
        <f t="shared" ref="AK330:AK369" si="216">IF($A331="","",$A330-$E$1)</f>
        <v/>
      </c>
      <c r="AL330" s="26" t="str">
        <f>IF($A331="","",_xll.SPRDOPT(P330,X330,AI330,0,AB330,AE330,AF330,AK330,$AJ$2,0))</f>
        <v/>
      </c>
      <c r="AM330" s="89" t="str">
        <f t="shared" ref="AM330:AM369" si="217">IF($A331="","",MAX(0,O330-W330-AI330))</f>
        <v/>
      </c>
      <c r="AN330" s="89" t="str">
        <f t="shared" ref="AN330:AN369" si="218">IF($A331="","",AL330-AM330)</f>
        <v/>
      </c>
      <c r="AO330" s="3" t="str">
        <f t="shared" ref="AO330:AO393" si="219">IF(A331="","",A331-A330)</f>
        <v/>
      </c>
      <c r="AP330" s="33" t="str">
        <f t="shared" ref="AP330:AP393" si="220">IF(A331="","",CHOOSE(F$3,A331+24,A330))</f>
        <v/>
      </c>
      <c r="AQ330" s="58" t="str">
        <f t="shared" ref="AQ330:AQ393" si="221">IF(A331="","",AP330-$E$1)</f>
        <v/>
      </c>
      <c r="AR330" s="38">
        <f>'ANR OK vs ML7'!AR330</f>
        <v>0.1</v>
      </c>
      <c r="AS330" s="35" t="str">
        <f t="shared" ref="AS330:AS393" si="222">IF(A331="","",1/(1+CHOOSE(F$3,(AR331+($I$3/10000))/2,(AR330+($I$3/10000))/2))^(2*AQ330/365.25))</f>
        <v/>
      </c>
      <c r="AT330" s="3" t="str">
        <f t="shared" ref="AT330:AT393" si="223">IF(A331="","",IF(AND(mthbeg&lt;=A330,mthend&gt;=A330),1,0))</f>
        <v/>
      </c>
      <c r="AU330" s="3" t="str">
        <f t="shared" ref="AU330:AU393" si="224">IF(A331="","",AO330*AT330)</f>
        <v/>
      </c>
      <c r="AW330" s="32" t="str">
        <f t="shared" ref="AW330:AW393" si="225">IF($A331="","",AL330*$E330)</f>
        <v/>
      </c>
      <c r="AX330" s="32" t="str">
        <f t="shared" ref="AX330:AX393" si="226">IF($A331="","",AM330*$E330)</f>
        <v/>
      </c>
      <c r="AY330" s="32" t="str">
        <f t="shared" ref="AY330:AY393" si="227">IF($A331="","",AN330*$E330)</f>
        <v/>
      </c>
      <c r="BA330" s="32" t="str">
        <f>IF($A331="","",F330*Summary!$Q$14)</f>
        <v/>
      </c>
    </row>
    <row r="331" spans="1:53" ht="12" customHeight="1">
      <c r="A331" s="67" t="str">
        <f t="shared" ref="A331:A394" si="228">IF(A330&lt;mthend,EDATE(A330,1),"")</f>
        <v/>
      </c>
      <c r="B331" s="69" t="str">
        <f t="shared" ref="B331:B394" si="229">IF(A331&lt;mthend,B330,"")</f>
        <v/>
      </c>
      <c r="C331" s="71"/>
      <c r="D331" s="69" t="str">
        <f t="shared" si="193"/>
        <v/>
      </c>
      <c r="E331" s="70" t="str">
        <f t="shared" si="194"/>
        <v/>
      </c>
      <c r="F331" s="70" t="str">
        <f t="shared" si="195"/>
        <v/>
      </c>
      <c r="G331" s="63" t="str">
        <f t="shared" si="196"/>
        <v/>
      </c>
      <c r="H331" s="64" t="str">
        <f t="shared" si="197"/>
        <v/>
      </c>
      <c r="I331" s="43"/>
      <c r="J331" s="63" t="str">
        <f t="shared" si="198"/>
        <v/>
      </c>
      <c r="K331" s="64" t="str">
        <f t="shared" si="199"/>
        <v/>
      </c>
      <c r="L331" s="38">
        <v>0</v>
      </c>
      <c r="M331" s="64" t="str">
        <f t="shared" si="200"/>
        <v/>
      </c>
      <c r="N331" s="65"/>
      <c r="O331" s="63" t="str">
        <f t="shared" si="201"/>
        <v/>
      </c>
      <c r="P331" s="63" t="str">
        <f t="shared" si="202"/>
        <v/>
      </c>
      <c r="Q331" s="66"/>
      <c r="R331" s="63" t="str">
        <f t="shared" si="203"/>
        <v/>
      </c>
      <c r="S331" s="64" t="str">
        <f t="shared" si="204"/>
        <v/>
      </c>
      <c r="T331" s="63" t="str">
        <f t="shared" si="205"/>
        <v/>
      </c>
      <c r="U331" s="64" t="str">
        <f t="shared" si="206"/>
        <v/>
      </c>
      <c r="V331" s="207" t="str">
        <f>IF($A332="","",IF(AND(MONTH(A331)&gt;3,MONTH(A331)&lt;11),(T331+R331+G331)*(((1/(1-Summary!$T$14))/(1-Summary!$W$14))-1),(T331+R331+G331)*((1/(1-Summary!$U$14))/(1-Summary!$X$14)-1)))</f>
        <v/>
      </c>
      <c r="W331" s="43" t="str">
        <f t="shared" si="207"/>
        <v/>
      </c>
      <c r="X331" s="43" t="str">
        <f t="shared" si="208"/>
        <v/>
      </c>
      <c r="Y331" s="43"/>
      <c r="Z331" s="38" t="str">
        <f t="shared" si="209"/>
        <v/>
      </c>
      <c r="AA331" s="38" t="str">
        <f t="shared" si="210"/>
        <v/>
      </c>
      <c r="AB331" s="38" t="e">
        <f t="shared" si="211"/>
        <v>#VALUE!</v>
      </c>
      <c r="AC331" s="38" t="str">
        <f t="shared" si="212"/>
        <v/>
      </c>
      <c r="AD331" s="38" t="str">
        <f t="shared" si="213"/>
        <v/>
      </c>
      <c r="AE331" s="38" t="e">
        <f t="shared" si="214"/>
        <v>#VALUE!</v>
      </c>
      <c r="AF331" s="237" t="e">
        <f>((Summary!$N$14*(AA331*AD331)*(A331-$D$3))+(Summary!$M$14*Z331*AC331*(AJ331-EOMONTH(EDATE(A331,-1),0))))/(AK331*AB331*AE331)</f>
        <v>#VALUE!</v>
      </c>
      <c r="AG331" s="88" t="str">
        <f>IF($A332="","",Summary!$Q$14)</f>
        <v/>
      </c>
      <c r="AH331" s="88" t="str">
        <f>IF($A332="","",IF(Summary!$R$12="Y",(VLOOKUP($A331,Summary!$AD$6:$AF$9,3)+'Escalating commodity'!J344),'Escalating commodity'!J344))</f>
        <v/>
      </c>
      <c r="AI331" s="88" t="str">
        <f t="shared" ref="AI331:AI369" si="230">IF($A332="","",AH331)</f>
        <v/>
      </c>
      <c r="AJ331" s="236" t="e">
        <f t="shared" si="215"/>
        <v>#VALUE!</v>
      </c>
      <c r="AK331" s="58" t="str">
        <f t="shared" si="216"/>
        <v/>
      </c>
      <c r="AL331" s="26" t="str">
        <f>IF($A332="","",_xll.SPRDOPT(P331,X331,AI331,0,AB331,AE331,AF331,AK331,$AJ$2,0))</f>
        <v/>
      </c>
      <c r="AM331" s="89" t="str">
        <f t="shared" si="217"/>
        <v/>
      </c>
      <c r="AN331" s="89" t="str">
        <f t="shared" si="218"/>
        <v/>
      </c>
      <c r="AO331" s="3" t="str">
        <f t="shared" si="219"/>
        <v/>
      </c>
      <c r="AP331" s="33" t="str">
        <f t="shared" si="220"/>
        <v/>
      </c>
      <c r="AQ331" s="58" t="str">
        <f t="shared" si="221"/>
        <v/>
      </c>
      <c r="AR331" s="38">
        <f>'ANR OK vs ML7'!AR331</f>
        <v>0.1</v>
      </c>
      <c r="AS331" s="35" t="str">
        <f t="shared" si="222"/>
        <v/>
      </c>
      <c r="AT331" s="3" t="str">
        <f t="shared" si="223"/>
        <v/>
      </c>
      <c r="AU331" s="3" t="str">
        <f t="shared" si="224"/>
        <v/>
      </c>
      <c r="AW331" s="32" t="str">
        <f t="shared" si="225"/>
        <v/>
      </c>
      <c r="AX331" s="32" t="str">
        <f t="shared" si="226"/>
        <v/>
      </c>
      <c r="AY331" s="32" t="str">
        <f t="shared" si="227"/>
        <v/>
      </c>
      <c r="BA331" s="32" t="str">
        <f>IF($A332="","",F331*Summary!$Q$14)</f>
        <v/>
      </c>
    </row>
    <row r="332" spans="1:53" ht="12" customHeight="1">
      <c r="A332" s="67" t="str">
        <f t="shared" si="228"/>
        <v/>
      </c>
      <c r="B332" s="69" t="str">
        <f t="shared" si="229"/>
        <v/>
      </c>
      <c r="C332" s="71"/>
      <c r="D332" s="69" t="str">
        <f t="shared" si="193"/>
        <v/>
      </c>
      <c r="E332" s="70" t="str">
        <f t="shared" si="194"/>
        <v/>
      </c>
      <c r="F332" s="70" t="str">
        <f t="shared" si="195"/>
        <v/>
      </c>
      <c r="G332" s="63" t="str">
        <f t="shared" si="196"/>
        <v/>
      </c>
      <c r="H332" s="64" t="str">
        <f t="shared" si="197"/>
        <v/>
      </c>
      <c r="I332" s="43"/>
      <c r="J332" s="63" t="str">
        <f t="shared" si="198"/>
        <v/>
      </c>
      <c r="K332" s="64" t="str">
        <f t="shared" si="199"/>
        <v/>
      </c>
      <c r="L332" s="38">
        <v>0</v>
      </c>
      <c r="M332" s="64" t="str">
        <f t="shared" si="200"/>
        <v/>
      </c>
      <c r="N332" s="65"/>
      <c r="O332" s="63" t="str">
        <f t="shared" si="201"/>
        <v/>
      </c>
      <c r="P332" s="63" t="str">
        <f t="shared" si="202"/>
        <v/>
      </c>
      <c r="Q332" s="66"/>
      <c r="R332" s="63" t="str">
        <f t="shared" si="203"/>
        <v/>
      </c>
      <c r="S332" s="64" t="str">
        <f t="shared" si="204"/>
        <v/>
      </c>
      <c r="T332" s="63" t="str">
        <f t="shared" si="205"/>
        <v/>
      </c>
      <c r="U332" s="64" t="str">
        <f t="shared" si="206"/>
        <v/>
      </c>
      <c r="V332" s="207" t="str">
        <f>IF($A333="","",IF(AND(MONTH(A332)&gt;3,MONTH(A332)&lt;11),(T332+R332+G332)*(((1/(1-Summary!$T$14))/(1-Summary!$W$14))-1),(T332+R332+G332)*((1/(1-Summary!$U$14))/(1-Summary!$X$14)-1)))</f>
        <v/>
      </c>
      <c r="W332" s="43" t="str">
        <f t="shared" si="207"/>
        <v/>
      </c>
      <c r="X332" s="43" t="str">
        <f t="shared" si="208"/>
        <v/>
      </c>
      <c r="Y332" s="43"/>
      <c r="Z332" s="38" t="str">
        <f t="shared" si="209"/>
        <v/>
      </c>
      <c r="AA332" s="38" t="str">
        <f t="shared" si="210"/>
        <v/>
      </c>
      <c r="AB332" s="38" t="e">
        <f t="shared" si="211"/>
        <v>#VALUE!</v>
      </c>
      <c r="AC332" s="38" t="str">
        <f t="shared" si="212"/>
        <v/>
      </c>
      <c r="AD332" s="38" t="str">
        <f t="shared" si="213"/>
        <v/>
      </c>
      <c r="AE332" s="38" t="e">
        <f t="shared" si="214"/>
        <v>#VALUE!</v>
      </c>
      <c r="AF332" s="237" t="e">
        <f>((Summary!$N$14*(AA332*AD332)*(A332-$D$3))+(Summary!$M$14*Z332*AC332*(AJ332-EOMONTH(EDATE(A332,-1),0))))/(AK332*AB332*AE332)</f>
        <v>#VALUE!</v>
      </c>
      <c r="AG332" s="88" t="str">
        <f>IF($A333="","",Summary!$Q$14)</f>
        <v/>
      </c>
      <c r="AH332" s="88" t="str">
        <f>IF($A333="","",IF(Summary!$R$12="Y",(VLOOKUP($A332,Summary!$AD$6:$AF$9,3)+'Escalating commodity'!J345),'Escalating commodity'!J345))</f>
        <v/>
      </c>
      <c r="AI332" s="88" t="str">
        <f t="shared" si="230"/>
        <v/>
      </c>
      <c r="AJ332" s="236" t="e">
        <f t="shared" si="215"/>
        <v>#VALUE!</v>
      </c>
      <c r="AK332" s="58" t="str">
        <f t="shared" si="216"/>
        <v/>
      </c>
      <c r="AL332" s="26" t="str">
        <f>IF($A333="","",_xll.SPRDOPT(P332,X332,AI332,0,AB332,AE332,AF332,AK332,$AJ$2,0))</f>
        <v/>
      </c>
      <c r="AM332" s="89" t="str">
        <f t="shared" si="217"/>
        <v/>
      </c>
      <c r="AN332" s="89" t="str">
        <f t="shared" si="218"/>
        <v/>
      </c>
      <c r="AO332" s="3" t="str">
        <f t="shared" si="219"/>
        <v/>
      </c>
      <c r="AP332" s="33" t="str">
        <f t="shared" si="220"/>
        <v/>
      </c>
      <c r="AQ332" s="58" t="str">
        <f t="shared" si="221"/>
        <v/>
      </c>
      <c r="AR332" s="38">
        <f>'ANR OK vs ML7'!AR332</f>
        <v>0.1</v>
      </c>
      <c r="AS332" s="35" t="str">
        <f t="shared" si="222"/>
        <v/>
      </c>
      <c r="AT332" s="3" t="str">
        <f t="shared" si="223"/>
        <v/>
      </c>
      <c r="AU332" s="3" t="str">
        <f t="shared" si="224"/>
        <v/>
      </c>
      <c r="AW332" s="32" t="str">
        <f t="shared" si="225"/>
        <v/>
      </c>
      <c r="AX332" s="32" t="str">
        <f t="shared" si="226"/>
        <v/>
      </c>
      <c r="AY332" s="32" t="str">
        <f t="shared" si="227"/>
        <v/>
      </c>
      <c r="BA332" s="32" t="str">
        <f>IF($A333="","",F332*Summary!$Q$14)</f>
        <v/>
      </c>
    </row>
    <row r="333" spans="1:53" ht="12" customHeight="1">
      <c r="A333" s="67" t="str">
        <f t="shared" si="228"/>
        <v/>
      </c>
      <c r="B333" s="69" t="str">
        <f t="shared" si="229"/>
        <v/>
      </c>
      <c r="C333" s="71"/>
      <c r="D333" s="69" t="str">
        <f t="shared" si="193"/>
        <v/>
      </c>
      <c r="E333" s="70" t="str">
        <f t="shared" si="194"/>
        <v/>
      </c>
      <c r="F333" s="70" t="str">
        <f t="shared" si="195"/>
        <v/>
      </c>
      <c r="G333" s="63" t="str">
        <f t="shared" si="196"/>
        <v/>
      </c>
      <c r="H333" s="64" t="str">
        <f t="shared" si="197"/>
        <v/>
      </c>
      <c r="I333" s="43"/>
      <c r="J333" s="63" t="str">
        <f t="shared" si="198"/>
        <v/>
      </c>
      <c r="K333" s="64" t="str">
        <f t="shared" si="199"/>
        <v/>
      </c>
      <c r="L333" s="38">
        <v>0</v>
      </c>
      <c r="M333" s="64" t="str">
        <f t="shared" si="200"/>
        <v/>
      </c>
      <c r="N333" s="65"/>
      <c r="O333" s="63" t="str">
        <f t="shared" si="201"/>
        <v/>
      </c>
      <c r="P333" s="63" t="str">
        <f t="shared" si="202"/>
        <v/>
      </c>
      <c r="Q333" s="66"/>
      <c r="R333" s="63" t="str">
        <f t="shared" si="203"/>
        <v/>
      </c>
      <c r="S333" s="64" t="str">
        <f t="shared" si="204"/>
        <v/>
      </c>
      <c r="T333" s="63" t="str">
        <f t="shared" si="205"/>
        <v/>
      </c>
      <c r="U333" s="64" t="str">
        <f t="shared" si="206"/>
        <v/>
      </c>
      <c r="V333" s="207" t="str">
        <f>IF($A334="","",IF(AND(MONTH(A333)&gt;3,MONTH(A333)&lt;11),(T333+R333+G333)*(((1/(1-Summary!$T$14))/(1-Summary!$W$14))-1),(T333+R333+G333)*((1/(1-Summary!$U$14))/(1-Summary!$X$14)-1)))</f>
        <v/>
      </c>
      <c r="W333" s="43" t="str">
        <f t="shared" si="207"/>
        <v/>
      </c>
      <c r="X333" s="43" t="str">
        <f t="shared" si="208"/>
        <v/>
      </c>
      <c r="Y333" s="43"/>
      <c r="Z333" s="38" t="str">
        <f t="shared" si="209"/>
        <v/>
      </c>
      <c r="AA333" s="38" t="str">
        <f t="shared" si="210"/>
        <v/>
      </c>
      <c r="AB333" s="38" t="e">
        <f t="shared" si="211"/>
        <v>#VALUE!</v>
      </c>
      <c r="AC333" s="38" t="str">
        <f t="shared" si="212"/>
        <v/>
      </c>
      <c r="AD333" s="38" t="str">
        <f t="shared" si="213"/>
        <v/>
      </c>
      <c r="AE333" s="38" t="e">
        <f t="shared" si="214"/>
        <v>#VALUE!</v>
      </c>
      <c r="AF333" s="237" t="e">
        <f>((Summary!$N$14*(AA333*AD333)*(A333-$D$3))+(Summary!$M$14*Z333*AC333*(AJ333-EOMONTH(EDATE(A333,-1),0))))/(AK333*AB333*AE333)</f>
        <v>#VALUE!</v>
      </c>
      <c r="AG333" s="88" t="str">
        <f>IF($A334="","",Summary!$Q$14)</f>
        <v/>
      </c>
      <c r="AH333" s="88" t="str">
        <f>IF($A334="","",IF(Summary!$R$12="Y",(VLOOKUP($A333,Summary!$AD$6:$AF$9,3)+'Escalating commodity'!J346),'Escalating commodity'!J346))</f>
        <v/>
      </c>
      <c r="AI333" s="88" t="str">
        <f t="shared" si="230"/>
        <v/>
      </c>
      <c r="AJ333" s="236" t="e">
        <f t="shared" si="215"/>
        <v>#VALUE!</v>
      </c>
      <c r="AK333" s="58" t="str">
        <f t="shared" si="216"/>
        <v/>
      </c>
      <c r="AL333" s="26" t="str">
        <f>IF($A334="","",_xll.SPRDOPT(P333,X333,AI333,0,AB333,AE333,AF333,AK333,$AJ$2,0))</f>
        <v/>
      </c>
      <c r="AM333" s="89" t="str">
        <f t="shared" si="217"/>
        <v/>
      </c>
      <c r="AN333" s="89" t="str">
        <f t="shared" si="218"/>
        <v/>
      </c>
      <c r="AO333" s="3" t="str">
        <f t="shared" si="219"/>
        <v/>
      </c>
      <c r="AP333" s="33" t="str">
        <f t="shared" si="220"/>
        <v/>
      </c>
      <c r="AQ333" s="58" t="str">
        <f t="shared" si="221"/>
        <v/>
      </c>
      <c r="AR333" s="38">
        <f>'ANR OK vs ML7'!AR333</f>
        <v>0.1</v>
      </c>
      <c r="AS333" s="35" t="str">
        <f t="shared" si="222"/>
        <v/>
      </c>
      <c r="AT333" s="3" t="str">
        <f t="shared" si="223"/>
        <v/>
      </c>
      <c r="AU333" s="3" t="str">
        <f t="shared" si="224"/>
        <v/>
      </c>
      <c r="AW333" s="32" t="str">
        <f t="shared" si="225"/>
        <v/>
      </c>
      <c r="AX333" s="32" t="str">
        <f t="shared" si="226"/>
        <v/>
      </c>
      <c r="AY333" s="32" t="str">
        <f t="shared" si="227"/>
        <v/>
      </c>
      <c r="BA333" s="32" t="str">
        <f>IF($A334="","",F333*Summary!$Q$14)</f>
        <v/>
      </c>
    </row>
    <row r="334" spans="1:53" ht="12" customHeight="1">
      <c r="A334" s="67" t="str">
        <f t="shared" si="228"/>
        <v/>
      </c>
      <c r="B334" s="69" t="str">
        <f t="shared" si="229"/>
        <v/>
      </c>
      <c r="C334" s="71"/>
      <c r="D334" s="69" t="str">
        <f t="shared" si="193"/>
        <v/>
      </c>
      <c r="E334" s="70" t="str">
        <f t="shared" si="194"/>
        <v/>
      </c>
      <c r="F334" s="70" t="str">
        <f t="shared" si="195"/>
        <v/>
      </c>
      <c r="G334" s="63" t="str">
        <f t="shared" si="196"/>
        <v/>
      </c>
      <c r="H334" s="64" t="str">
        <f t="shared" si="197"/>
        <v/>
      </c>
      <c r="I334" s="43"/>
      <c r="J334" s="63" t="str">
        <f t="shared" si="198"/>
        <v/>
      </c>
      <c r="K334" s="64" t="str">
        <f t="shared" si="199"/>
        <v/>
      </c>
      <c r="L334" s="38">
        <v>0</v>
      </c>
      <c r="M334" s="64" t="str">
        <f t="shared" si="200"/>
        <v/>
      </c>
      <c r="N334" s="65"/>
      <c r="O334" s="63" t="str">
        <f t="shared" si="201"/>
        <v/>
      </c>
      <c r="P334" s="63" t="str">
        <f t="shared" si="202"/>
        <v/>
      </c>
      <c r="Q334" s="66"/>
      <c r="R334" s="63" t="str">
        <f t="shared" si="203"/>
        <v/>
      </c>
      <c r="S334" s="64" t="str">
        <f t="shared" si="204"/>
        <v/>
      </c>
      <c r="T334" s="63" t="str">
        <f t="shared" si="205"/>
        <v/>
      </c>
      <c r="U334" s="64" t="str">
        <f t="shared" si="206"/>
        <v/>
      </c>
      <c r="V334" s="207" t="str">
        <f>IF($A335="","",IF(AND(MONTH(A334)&gt;3,MONTH(A334)&lt;11),(T334+R334+G334)*(((1/(1-Summary!$T$14))/(1-Summary!$W$14))-1),(T334+R334+G334)*((1/(1-Summary!$U$14))/(1-Summary!$X$14)-1)))</f>
        <v/>
      </c>
      <c r="W334" s="43" t="str">
        <f t="shared" si="207"/>
        <v/>
      </c>
      <c r="X334" s="43" t="str">
        <f t="shared" si="208"/>
        <v/>
      </c>
      <c r="Y334" s="43"/>
      <c r="Z334" s="38" t="str">
        <f t="shared" si="209"/>
        <v/>
      </c>
      <c r="AA334" s="38" t="str">
        <f t="shared" si="210"/>
        <v/>
      </c>
      <c r="AB334" s="38" t="e">
        <f t="shared" si="211"/>
        <v>#VALUE!</v>
      </c>
      <c r="AC334" s="38" t="str">
        <f t="shared" si="212"/>
        <v/>
      </c>
      <c r="AD334" s="38" t="str">
        <f t="shared" si="213"/>
        <v/>
      </c>
      <c r="AE334" s="38" t="e">
        <f t="shared" si="214"/>
        <v>#VALUE!</v>
      </c>
      <c r="AF334" s="237" t="e">
        <f>((Summary!$N$14*(AA334*AD334)*(A334-$D$3))+(Summary!$M$14*Z334*AC334*(AJ334-EOMONTH(EDATE(A334,-1),0))))/(AK334*AB334*AE334)</f>
        <v>#VALUE!</v>
      </c>
      <c r="AG334" s="88" t="str">
        <f>IF($A335="","",Summary!$Q$14)</f>
        <v/>
      </c>
      <c r="AH334" s="88" t="str">
        <f>IF($A335="","",IF(Summary!$R$12="Y",(VLOOKUP($A334,Summary!$AD$6:$AF$9,3)+'Escalating commodity'!J347),'Escalating commodity'!J347))</f>
        <v/>
      </c>
      <c r="AI334" s="88" t="str">
        <f t="shared" si="230"/>
        <v/>
      </c>
      <c r="AJ334" s="236" t="e">
        <f t="shared" si="215"/>
        <v>#VALUE!</v>
      </c>
      <c r="AK334" s="58" t="str">
        <f t="shared" si="216"/>
        <v/>
      </c>
      <c r="AL334" s="26" t="str">
        <f>IF($A335="","",_xll.SPRDOPT(P334,X334,AI334,0,AB334,AE334,AF334,AK334,$AJ$2,0))</f>
        <v/>
      </c>
      <c r="AM334" s="89" t="str">
        <f t="shared" si="217"/>
        <v/>
      </c>
      <c r="AN334" s="89" t="str">
        <f t="shared" si="218"/>
        <v/>
      </c>
      <c r="AO334" s="3" t="str">
        <f t="shared" si="219"/>
        <v/>
      </c>
      <c r="AP334" s="33" t="str">
        <f t="shared" si="220"/>
        <v/>
      </c>
      <c r="AQ334" s="58" t="str">
        <f t="shared" si="221"/>
        <v/>
      </c>
      <c r="AR334" s="38">
        <f>'ANR OK vs ML7'!AR334</f>
        <v>0.1</v>
      </c>
      <c r="AS334" s="35" t="str">
        <f t="shared" si="222"/>
        <v/>
      </c>
      <c r="AT334" s="3" t="str">
        <f t="shared" si="223"/>
        <v/>
      </c>
      <c r="AU334" s="3" t="str">
        <f t="shared" si="224"/>
        <v/>
      </c>
      <c r="AW334" s="32" t="str">
        <f t="shared" si="225"/>
        <v/>
      </c>
      <c r="AX334" s="32" t="str">
        <f t="shared" si="226"/>
        <v/>
      </c>
      <c r="AY334" s="32" t="str">
        <f t="shared" si="227"/>
        <v/>
      </c>
      <c r="BA334" s="32" t="str">
        <f>IF($A335="","",F334*Summary!$Q$14)</f>
        <v/>
      </c>
    </row>
    <row r="335" spans="1:53" ht="12" customHeight="1">
      <c r="A335" s="67" t="str">
        <f t="shared" si="228"/>
        <v/>
      </c>
      <c r="B335" s="69" t="str">
        <f t="shared" si="229"/>
        <v/>
      </c>
      <c r="C335" s="71"/>
      <c r="D335" s="69" t="str">
        <f t="shared" si="193"/>
        <v/>
      </c>
      <c r="E335" s="70" t="str">
        <f t="shared" si="194"/>
        <v/>
      </c>
      <c r="F335" s="70" t="str">
        <f t="shared" si="195"/>
        <v/>
      </c>
      <c r="G335" s="63" t="str">
        <f t="shared" si="196"/>
        <v/>
      </c>
      <c r="H335" s="64" t="str">
        <f t="shared" si="197"/>
        <v/>
      </c>
      <c r="I335" s="43"/>
      <c r="J335" s="63" t="str">
        <f t="shared" si="198"/>
        <v/>
      </c>
      <c r="K335" s="64" t="str">
        <f t="shared" si="199"/>
        <v/>
      </c>
      <c r="L335" s="38">
        <v>0</v>
      </c>
      <c r="M335" s="64" t="str">
        <f t="shared" si="200"/>
        <v/>
      </c>
      <c r="N335" s="65"/>
      <c r="O335" s="63" t="str">
        <f t="shared" si="201"/>
        <v/>
      </c>
      <c r="P335" s="63" t="str">
        <f t="shared" si="202"/>
        <v/>
      </c>
      <c r="Q335" s="66"/>
      <c r="R335" s="63" t="str">
        <f t="shared" si="203"/>
        <v/>
      </c>
      <c r="S335" s="64" t="str">
        <f t="shared" si="204"/>
        <v/>
      </c>
      <c r="T335" s="63" t="str">
        <f t="shared" si="205"/>
        <v/>
      </c>
      <c r="U335" s="64" t="str">
        <f t="shared" si="206"/>
        <v/>
      </c>
      <c r="V335" s="207" t="str">
        <f>IF($A336="","",IF(AND(MONTH(A335)&gt;3,MONTH(A335)&lt;11),(T335+R335+G335)*(((1/(1-Summary!$T$14))/(1-Summary!$W$14))-1),(T335+R335+G335)*((1/(1-Summary!$U$14))/(1-Summary!$X$14)-1)))</f>
        <v/>
      </c>
      <c r="W335" s="43" t="str">
        <f t="shared" si="207"/>
        <v/>
      </c>
      <c r="X335" s="43" t="str">
        <f t="shared" si="208"/>
        <v/>
      </c>
      <c r="Y335" s="43"/>
      <c r="Z335" s="38" t="str">
        <f t="shared" si="209"/>
        <v/>
      </c>
      <c r="AA335" s="38" t="str">
        <f t="shared" si="210"/>
        <v/>
      </c>
      <c r="AB335" s="38" t="e">
        <f t="shared" si="211"/>
        <v>#VALUE!</v>
      </c>
      <c r="AC335" s="38" t="str">
        <f t="shared" si="212"/>
        <v/>
      </c>
      <c r="AD335" s="38" t="str">
        <f t="shared" si="213"/>
        <v/>
      </c>
      <c r="AE335" s="38" t="e">
        <f t="shared" si="214"/>
        <v>#VALUE!</v>
      </c>
      <c r="AF335" s="237" t="e">
        <f>((Summary!$N$14*(AA335*AD335)*(A335-$D$3))+(Summary!$M$14*Z335*AC335*(AJ335-EOMONTH(EDATE(A335,-1),0))))/(AK335*AB335*AE335)</f>
        <v>#VALUE!</v>
      </c>
      <c r="AG335" s="88" t="str">
        <f>IF($A336="","",Summary!$Q$14)</f>
        <v/>
      </c>
      <c r="AH335" s="88" t="str">
        <f>IF($A336="","",IF(Summary!$R$12="Y",(VLOOKUP($A335,Summary!$AD$6:$AF$9,3)+'Escalating commodity'!J348),'Escalating commodity'!J348))</f>
        <v/>
      </c>
      <c r="AI335" s="88" t="str">
        <f t="shared" si="230"/>
        <v/>
      </c>
      <c r="AJ335" s="236" t="e">
        <f t="shared" si="215"/>
        <v>#VALUE!</v>
      </c>
      <c r="AK335" s="58" t="str">
        <f t="shared" si="216"/>
        <v/>
      </c>
      <c r="AL335" s="26" t="str">
        <f>IF($A336="","",_xll.SPRDOPT(P335,X335,AI335,0,AB335,AE335,AF335,AK335,$AJ$2,0))</f>
        <v/>
      </c>
      <c r="AM335" s="89" t="str">
        <f t="shared" si="217"/>
        <v/>
      </c>
      <c r="AN335" s="89" t="str">
        <f t="shared" si="218"/>
        <v/>
      </c>
      <c r="AO335" s="3" t="str">
        <f t="shared" si="219"/>
        <v/>
      </c>
      <c r="AP335" s="33" t="str">
        <f t="shared" si="220"/>
        <v/>
      </c>
      <c r="AQ335" s="58" t="str">
        <f t="shared" si="221"/>
        <v/>
      </c>
      <c r="AR335" s="38">
        <f>'ANR OK vs ML7'!AR335</f>
        <v>0.1</v>
      </c>
      <c r="AS335" s="35" t="str">
        <f t="shared" si="222"/>
        <v/>
      </c>
      <c r="AT335" s="3" t="str">
        <f t="shared" si="223"/>
        <v/>
      </c>
      <c r="AU335" s="3" t="str">
        <f t="shared" si="224"/>
        <v/>
      </c>
      <c r="AW335" s="32" t="str">
        <f t="shared" si="225"/>
        <v/>
      </c>
      <c r="AX335" s="32" t="str">
        <f t="shared" si="226"/>
        <v/>
      </c>
      <c r="AY335" s="32" t="str">
        <f t="shared" si="227"/>
        <v/>
      </c>
      <c r="BA335" s="32" t="str">
        <f>IF($A336="","",F335*Summary!$Q$14)</f>
        <v/>
      </c>
    </row>
    <row r="336" spans="1:53" ht="12" customHeight="1">
      <c r="A336" s="67" t="str">
        <f t="shared" si="228"/>
        <v/>
      </c>
      <c r="B336" s="69" t="str">
        <f t="shared" si="229"/>
        <v/>
      </c>
      <c r="C336" s="71"/>
      <c r="D336" s="69" t="str">
        <f t="shared" si="193"/>
        <v/>
      </c>
      <c r="E336" s="70" t="str">
        <f t="shared" si="194"/>
        <v/>
      </c>
      <c r="F336" s="70" t="str">
        <f t="shared" si="195"/>
        <v/>
      </c>
      <c r="G336" s="63" t="str">
        <f t="shared" si="196"/>
        <v/>
      </c>
      <c r="H336" s="64" t="str">
        <f t="shared" si="197"/>
        <v/>
      </c>
      <c r="I336" s="43"/>
      <c r="J336" s="63" t="str">
        <f t="shared" si="198"/>
        <v/>
      </c>
      <c r="K336" s="64" t="str">
        <f t="shared" si="199"/>
        <v/>
      </c>
      <c r="L336" s="38">
        <v>0</v>
      </c>
      <c r="M336" s="64" t="str">
        <f t="shared" si="200"/>
        <v/>
      </c>
      <c r="N336" s="65"/>
      <c r="O336" s="63" t="str">
        <f t="shared" si="201"/>
        <v/>
      </c>
      <c r="P336" s="63" t="str">
        <f t="shared" si="202"/>
        <v/>
      </c>
      <c r="Q336" s="66"/>
      <c r="R336" s="63" t="str">
        <f t="shared" si="203"/>
        <v/>
      </c>
      <c r="S336" s="64" t="str">
        <f t="shared" si="204"/>
        <v/>
      </c>
      <c r="T336" s="63" t="str">
        <f t="shared" si="205"/>
        <v/>
      </c>
      <c r="U336" s="64" t="str">
        <f t="shared" si="206"/>
        <v/>
      </c>
      <c r="V336" s="207" t="str">
        <f>IF($A337="","",IF(AND(MONTH(A336)&gt;3,MONTH(A336)&lt;11),(T336+R336+G336)*(((1/(1-Summary!$T$14))/(1-Summary!$W$14))-1),(T336+R336+G336)*((1/(1-Summary!$U$14))/(1-Summary!$X$14)-1)))</f>
        <v/>
      </c>
      <c r="W336" s="43" t="str">
        <f t="shared" si="207"/>
        <v/>
      </c>
      <c r="X336" s="43" t="str">
        <f t="shared" si="208"/>
        <v/>
      </c>
      <c r="Y336" s="43"/>
      <c r="Z336" s="38" t="str">
        <f t="shared" si="209"/>
        <v/>
      </c>
      <c r="AA336" s="38" t="str">
        <f t="shared" si="210"/>
        <v/>
      </c>
      <c r="AB336" s="38" t="e">
        <f t="shared" si="211"/>
        <v>#VALUE!</v>
      </c>
      <c r="AC336" s="38" t="str">
        <f t="shared" si="212"/>
        <v/>
      </c>
      <c r="AD336" s="38" t="str">
        <f t="shared" si="213"/>
        <v/>
      </c>
      <c r="AE336" s="38" t="e">
        <f t="shared" si="214"/>
        <v>#VALUE!</v>
      </c>
      <c r="AF336" s="237" t="e">
        <f>((Summary!$N$14*(AA336*AD336)*(A336-$D$3))+(Summary!$M$14*Z336*AC336*(AJ336-EOMONTH(EDATE(A336,-1),0))))/(AK336*AB336*AE336)</f>
        <v>#VALUE!</v>
      </c>
      <c r="AG336" s="88" t="str">
        <f>IF($A337="","",Summary!$Q$14)</f>
        <v/>
      </c>
      <c r="AH336" s="88" t="str">
        <f>IF($A337="","",IF(Summary!$R$12="Y",(VLOOKUP($A336,Summary!$AD$6:$AF$9,3)+'Escalating commodity'!J349),'Escalating commodity'!J349))</f>
        <v/>
      </c>
      <c r="AI336" s="88" t="str">
        <f t="shared" si="230"/>
        <v/>
      </c>
      <c r="AJ336" s="236" t="e">
        <f t="shared" si="215"/>
        <v>#VALUE!</v>
      </c>
      <c r="AK336" s="58" t="str">
        <f t="shared" si="216"/>
        <v/>
      </c>
      <c r="AL336" s="26" t="str">
        <f>IF($A337="","",_xll.SPRDOPT(P336,X336,AI336,0,AB336,AE336,AF336,AK336,$AJ$2,0))</f>
        <v/>
      </c>
      <c r="AM336" s="89" t="str">
        <f t="shared" si="217"/>
        <v/>
      </c>
      <c r="AN336" s="89" t="str">
        <f t="shared" si="218"/>
        <v/>
      </c>
      <c r="AO336" s="3" t="str">
        <f t="shared" si="219"/>
        <v/>
      </c>
      <c r="AP336" s="33" t="str">
        <f t="shared" si="220"/>
        <v/>
      </c>
      <c r="AQ336" s="58" t="str">
        <f t="shared" si="221"/>
        <v/>
      </c>
      <c r="AR336" s="38">
        <f>'ANR OK vs ML7'!AR336</f>
        <v>0.1</v>
      </c>
      <c r="AS336" s="35" t="str">
        <f t="shared" si="222"/>
        <v/>
      </c>
      <c r="AT336" s="3" t="str">
        <f t="shared" si="223"/>
        <v/>
      </c>
      <c r="AU336" s="3" t="str">
        <f t="shared" si="224"/>
        <v/>
      </c>
      <c r="AW336" s="32" t="str">
        <f t="shared" si="225"/>
        <v/>
      </c>
      <c r="AX336" s="32" t="str">
        <f t="shared" si="226"/>
        <v/>
      </c>
      <c r="AY336" s="32" t="str">
        <f t="shared" si="227"/>
        <v/>
      </c>
      <c r="BA336" s="32" t="str">
        <f>IF($A337="","",F336*Summary!$Q$14)</f>
        <v/>
      </c>
    </row>
    <row r="337" spans="1:53" ht="12" customHeight="1">
      <c r="A337" s="67" t="str">
        <f t="shared" si="228"/>
        <v/>
      </c>
      <c r="B337" s="69" t="str">
        <f t="shared" si="229"/>
        <v/>
      </c>
      <c r="C337" s="71"/>
      <c r="D337" s="69" t="str">
        <f t="shared" si="193"/>
        <v/>
      </c>
      <c r="E337" s="70" t="str">
        <f t="shared" si="194"/>
        <v/>
      </c>
      <c r="F337" s="70" t="str">
        <f t="shared" si="195"/>
        <v/>
      </c>
      <c r="G337" s="63" t="str">
        <f t="shared" si="196"/>
        <v/>
      </c>
      <c r="H337" s="64" t="str">
        <f t="shared" si="197"/>
        <v/>
      </c>
      <c r="I337" s="43"/>
      <c r="J337" s="63" t="str">
        <f t="shared" si="198"/>
        <v/>
      </c>
      <c r="K337" s="64" t="str">
        <f t="shared" si="199"/>
        <v/>
      </c>
      <c r="L337" s="38">
        <v>0</v>
      </c>
      <c r="M337" s="64" t="str">
        <f t="shared" si="200"/>
        <v/>
      </c>
      <c r="N337" s="65"/>
      <c r="O337" s="63" t="str">
        <f t="shared" si="201"/>
        <v/>
      </c>
      <c r="P337" s="63" t="str">
        <f t="shared" si="202"/>
        <v/>
      </c>
      <c r="Q337" s="66"/>
      <c r="R337" s="63" t="str">
        <f t="shared" si="203"/>
        <v/>
      </c>
      <c r="S337" s="64" t="str">
        <f t="shared" si="204"/>
        <v/>
      </c>
      <c r="T337" s="63" t="str">
        <f t="shared" si="205"/>
        <v/>
      </c>
      <c r="U337" s="64" t="str">
        <f t="shared" si="206"/>
        <v/>
      </c>
      <c r="V337" s="207" t="str">
        <f>IF($A338="","",IF(AND(MONTH(A337)&gt;3,MONTH(A337)&lt;11),(T337+R337+G337)*(((1/(1-Summary!$T$14))/(1-Summary!$W$14))-1),(T337+R337+G337)*((1/(1-Summary!$U$14))/(1-Summary!$X$14)-1)))</f>
        <v/>
      </c>
      <c r="W337" s="43" t="str">
        <f t="shared" si="207"/>
        <v/>
      </c>
      <c r="X337" s="43" t="str">
        <f t="shared" si="208"/>
        <v/>
      </c>
      <c r="Y337" s="43"/>
      <c r="Z337" s="38" t="str">
        <f t="shared" si="209"/>
        <v/>
      </c>
      <c r="AA337" s="38" t="str">
        <f t="shared" si="210"/>
        <v/>
      </c>
      <c r="AB337" s="38" t="e">
        <f t="shared" si="211"/>
        <v>#VALUE!</v>
      </c>
      <c r="AC337" s="38" t="str">
        <f t="shared" si="212"/>
        <v/>
      </c>
      <c r="AD337" s="38" t="str">
        <f t="shared" si="213"/>
        <v/>
      </c>
      <c r="AE337" s="38" t="e">
        <f t="shared" si="214"/>
        <v>#VALUE!</v>
      </c>
      <c r="AF337" s="237" t="e">
        <f>((Summary!$N$14*(AA337*AD337)*(A337-$D$3))+(Summary!$M$14*Z337*AC337*(AJ337-EOMONTH(EDATE(A337,-1),0))))/(AK337*AB337*AE337)</f>
        <v>#VALUE!</v>
      </c>
      <c r="AG337" s="88" t="str">
        <f>IF($A338="","",Summary!$Q$14)</f>
        <v/>
      </c>
      <c r="AH337" s="88" t="str">
        <f>IF($A338="","",IF(Summary!$R$12="Y",(VLOOKUP($A337,Summary!$AD$6:$AF$9,3)+'Escalating commodity'!J350),'Escalating commodity'!J350))</f>
        <v/>
      </c>
      <c r="AI337" s="88" t="str">
        <f t="shared" si="230"/>
        <v/>
      </c>
      <c r="AJ337" s="236" t="e">
        <f t="shared" si="215"/>
        <v>#VALUE!</v>
      </c>
      <c r="AK337" s="58" t="str">
        <f t="shared" si="216"/>
        <v/>
      </c>
      <c r="AL337" s="26" t="str">
        <f>IF($A338="","",_xll.SPRDOPT(P337,X337,AI337,0,AB337,AE337,AF337,AK337,$AJ$2,0))</f>
        <v/>
      </c>
      <c r="AM337" s="89" t="str">
        <f t="shared" si="217"/>
        <v/>
      </c>
      <c r="AN337" s="89" t="str">
        <f t="shared" si="218"/>
        <v/>
      </c>
      <c r="AO337" s="3" t="str">
        <f t="shared" si="219"/>
        <v/>
      </c>
      <c r="AP337" s="33" t="str">
        <f t="shared" si="220"/>
        <v/>
      </c>
      <c r="AQ337" s="58" t="str">
        <f t="shared" si="221"/>
        <v/>
      </c>
      <c r="AR337" s="38">
        <f>'ANR OK vs ML7'!AR337</f>
        <v>0.1</v>
      </c>
      <c r="AS337" s="35" t="str">
        <f t="shared" si="222"/>
        <v/>
      </c>
      <c r="AT337" s="3" t="str">
        <f t="shared" si="223"/>
        <v/>
      </c>
      <c r="AU337" s="3" t="str">
        <f t="shared" si="224"/>
        <v/>
      </c>
      <c r="AW337" s="32" t="str">
        <f t="shared" si="225"/>
        <v/>
      </c>
      <c r="AX337" s="32" t="str">
        <f t="shared" si="226"/>
        <v/>
      </c>
      <c r="AY337" s="32" t="str">
        <f t="shared" si="227"/>
        <v/>
      </c>
      <c r="BA337" s="32" t="str">
        <f>IF($A338="","",F337*Summary!$Q$14)</f>
        <v/>
      </c>
    </row>
    <row r="338" spans="1:53" ht="12" customHeight="1">
      <c r="A338" s="67" t="str">
        <f t="shared" si="228"/>
        <v/>
      </c>
      <c r="B338" s="69" t="str">
        <f t="shared" si="229"/>
        <v/>
      </c>
      <c r="C338" s="71"/>
      <c r="D338" s="69" t="str">
        <f t="shared" si="193"/>
        <v/>
      </c>
      <c r="E338" s="70" t="str">
        <f t="shared" si="194"/>
        <v/>
      </c>
      <c r="F338" s="70" t="str">
        <f t="shared" si="195"/>
        <v/>
      </c>
      <c r="G338" s="63" t="str">
        <f t="shared" si="196"/>
        <v/>
      </c>
      <c r="H338" s="64" t="str">
        <f t="shared" si="197"/>
        <v/>
      </c>
      <c r="I338" s="43"/>
      <c r="J338" s="63" t="str">
        <f t="shared" si="198"/>
        <v/>
      </c>
      <c r="K338" s="64" t="str">
        <f t="shared" si="199"/>
        <v/>
      </c>
      <c r="L338" s="38">
        <v>0</v>
      </c>
      <c r="M338" s="64" t="str">
        <f t="shared" si="200"/>
        <v/>
      </c>
      <c r="N338" s="65"/>
      <c r="O338" s="63" t="str">
        <f t="shared" si="201"/>
        <v/>
      </c>
      <c r="P338" s="63" t="str">
        <f t="shared" si="202"/>
        <v/>
      </c>
      <c r="Q338" s="66"/>
      <c r="R338" s="63" t="str">
        <f t="shared" si="203"/>
        <v/>
      </c>
      <c r="S338" s="64" t="str">
        <f t="shared" si="204"/>
        <v/>
      </c>
      <c r="T338" s="63" t="str">
        <f t="shared" si="205"/>
        <v/>
      </c>
      <c r="U338" s="64" t="str">
        <f t="shared" si="206"/>
        <v/>
      </c>
      <c r="V338" s="207" t="str">
        <f>IF($A339="","",IF(AND(MONTH(A338)&gt;3,MONTH(A338)&lt;11),(T338+R338+G338)*(((1/(1-Summary!$T$14))/(1-Summary!$W$14))-1),(T338+R338+G338)*((1/(1-Summary!$U$14))/(1-Summary!$X$14)-1)))</f>
        <v/>
      </c>
      <c r="W338" s="43" t="str">
        <f t="shared" si="207"/>
        <v/>
      </c>
      <c r="X338" s="43" t="str">
        <f t="shared" si="208"/>
        <v/>
      </c>
      <c r="Y338" s="43"/>
      <c r="Z338" s="38" t="str">
        <f t="shared" si="209"/>
        <v/>
      </c>
      <c r="AA338" s="38" t="str">
        <f t="shared" si="210"/>
        <v/>
      </c>
      <c r="AB338" s="38" t="e">
        <f t="shared" si="211"/>
        <v>#VALUE!</v>
      </c>
      <c r="AC338" s="38" t="str">
        <f t="shared" si="212"/>
        <v/>
      </c>
      <c r="AD338" s="38" t="str">
        <f t="shared" si="213"/>
        <v/>
      </c>
      <c r="AE338" s="38" t="e">
        <f t="shared" si="214"/>
        <v>#VALUE!</v>
      </c>
      <c r="AF338" s="237" t="e">
        <f>((Summary!$N$14*(AA338*AD338)*(A338-$D$3))+(Summary!$M$14*Z338*AC338*(AJ338-EOMONTH(EDATE(A338,-1),0))))/(AK338*AB338*AE338)</f>
        <v>#VALUE!</v>
      </c>
      <c r="AG338" s="88" t="str">
        <f>IF($A339="","",Summary!$Q$14)</f>
        <v/>
      </c>
      <c r="AH338" s="88" t="str">
        <f>IF($A339="","",IF(Summary!$R$12="Y",(VLOOKUP($A338,Summary!$AD$6:$AF$9,3)+'Escalating commodity'!J351),'Escalating commodity'!J351))</f>
        <v/>
      </c>
      <c r="AI338" s="88" t="str">
        <f t="shared" si="230"/>
        <v/>
      </c>
      <c r="AJ338" s="236" t="e">
        <f t="shared" si="215"/>
        <v>#VALUE!</v>
      </c>
      <c r="AK338" s="58" t="str">
        <f t="shared" si="216"/>
        <v/>
      </c>
      <c r="AL338" s="26" t="str">
        <f>IF($A339="","",_xll.SPRDOPT(P338,X338,AI338,0,AB338,AE338,AF338,AK338,$AJ$2,0))</f>
        <v/>
      </c>
      <c r="AM338" s="89" t="str">
        <f t="shared" si="217"/>
        <v/>
      </c>
      <c r="AN338" s="89" t="str">
        <f t="shared" si="218"/>
        <v/>
      </c>
      <c r="AO338" s="3" t="str">
        <f t="shared" si="219"/>
        <v/>
      </c>
      <c r="AP338" s="33" t="str">
        <f t="shared" si="220"/>
        <v/>
      </c>
      <c r="AQ338" s="58" t="str">
        <f t="shared" si="221"/>
        <v/>
      </c>
      <c r="AR338" s="38">
        <f>'ANR OK vs ML7'!AR338</f>
        <v>0.1</v>
      </c>
      <c r="AS338" s="35" t="str">
        <f t="shared" si="222"/>
        <v/>
      </c>
      <c r="AT338" s="3" t="str">
        <f t="shared" si="223"/>
        <v/>
      </c>
      <c r="AU338" s="3" t="str">
        <f t="shared" si="224"/>
        <v/>
      </c>
      <c r="AW338" s="32" t="str">
        <f t="shared" si="225"/>
        <v/>
      </c>
      <c r="AX338" s="32" t="str">
        <f t="shared" si="226"/>
        <v/>
      </c>
      <c r="AY338" s="32" t="str">
        <f t="shared" si="227"/>
        <v/>
      </c>
      <c r="BA338" s="32" t="str">
        <f>IF($A339="","",F338*Summary!$Q$14)</f>
        <v/>
      </c>
    </row>
    <row r="339" spans="1:53" ht="12" customHeight="1">
      <c r="A339" s="67" t="str">
        <f t="shared" si="228"/>
        <v/>
      </c>
      <c r="B339" s="69" t="str">
        <f t="shared" si="229"/>
        <v/>
      </c>
      <c r="C339" s="71"/>
      <c r="D339" s="69" t="str">
        <f t="shared" si="193"/>
        <v/>
      </c>
      <c r="E339" s="70" t="str">
        <f t="shared" si="194"/>
        <v/>
      </c>
      <c r="F339" s="70" t="str">
        <f t="shared" si="195"/>
        <v/>
      </c>
      <c r="G339" s="63" t="str">
        <f t="shared" si="196"/>
        <v/>
      </c>
      <c r="H339" s="64" t="str">
        <f t="shared" si="197"/>
        <v/>
      </c>
      <c r="I339" s="43"/>
      <c r="J339" s="63" t="str">
        <f t="shared" si="198"/>
        <v/>
      </c>
      <c r="K339" s="64" t="str">
        <f t="shared" si="199"/>
        <v/>
      </c>
      <c r="L339" s="38">
        <v>0</v>
      </c>
      <c r="M339" s="64" t="str">
        <f t="shared" si="200"/>
        <v/>
      </c>
      <c r="N339" s="65"/>
      <c r="O339" s="63" t="str">
        <f t="shared" si="201"/>
        <v/>
      </c>
      <c r="P339" s="63" t="str">
        <f t="shared" si="202"/>
        <v/>
      </c>
      <c r="Q339" s="66"/>
      <c r="R339" s="63" t="str">
        <f t="shared" si="203"/>
        <v/>
      </c>
      <c r="S339" s="64" t="str">
        <f t="shared" si="204"/>
        <v/>
      </c>
      <c r="T339" s="63" t="str">
        <f t="shared" si="205"/>
        <v/>
      </c>
      <c r="U339" s="64" t="str">
        <f t="shared" si="206"/>
        <v/>
      </c>
      <c r="V339" s="207" t="str">
        <f>IF($A340="","",IF(AND(MONTH(A339)&gt;3,MONTH(A339)&lt;11),(T339+R339+G339)*(((1/(1-Summary!$T$14))/(1-Summary!$W$14))-1),(T339+R339+G339)*((1/(1-Summary!$U$14))/(1-Summary!$X$14)-1)))</f>
        <v/>
      </c>
      <c r="W339" s="43" t="str">
        <f t="shared" si="207"/>
        <v/>
      </c>
      <c r="X339" s="43" t="str">
        <f t="shared" si="208"/>
        <v/>
      </c>
      <c r="Y339" s="43"/>
      <c r="Z339" s="38" t="str">
        <f t="shared" si="209"/>
        <v/>
      </c>
      <c r="AA339" s="38" t="str">
        <f t="shared" si="210"/>
        <v/>
      </c>
      <c r="AB339" s="38" t="e">
        <f t="shared" si="211"/>
        <v>#VALUE!</v>
      </c>
      <c r="AC339" s="38" t="str">
        <f t="shared" si="212"/>
        <v/>
      </c>
      <c r="AD339" s="38" t="str">
        <f t="shared" si="213"/>
        <v/>
      </c>
      <c r="AE339" s="38" t="e">
        <f t="shared" si="214"/>
        <v>#VALUE!</v>
      </c>
      <c r="AF339" s="237" t="e">
        <f>((Summary!$N$14*(AA339*AD339)*(A339-$D$3))+(Summary!$M$14*Z339*AC339*(AJ339-EOMONTH(EDATE(A339,-1),0))))/(AK339*AB339*AE339)</f>
        <v>#VALUE!</v>
      </c>
      <c r="AG339" s="88" t="str">
        <f>IF($A340="","",Summary!$Q$14)</f>
        <v/>
      </c>
      <c r="AH339" s="88" t="str">
        <f>IF($A340="","",IF(Summary!$R$12="Y",(VLOOKUP($A339,Summary!$AD$6:$AF$9,3)+'Escalating commodity'!J352),'Escalating commodity'!J352))</f>
        <v/>
      </c>
      <c r="AI339" s="88" t="str">
        <f t="shared" si="230"/>
        <v/>
      </c>
      <c r="AJ339" s="236" t="e">
        <f t="shared" si="215"/>
        <v>#VALUE!</v>
      </c>
      <c r="AK339" s="58" t="str">
        <f t="shared" si="216"/>
        <v/>
      </c>
      <c r="AL339" s="26" t="str">
        <f>IF($A340="","",_xll.SPRDOPT(P339,X339,AI339,0,AB339,AE339,AF339,AK339,$AJ$2,0))</f>
        <v/>
      </c>
      <c r="AM339" s="89" t="str">
        <f t="shared" si="217"/>
        <v/>
      </c>
      <c r="AN339" s="89" t="str">
        <f t="shared" si="218"/>
        <v/>
      </c>
      <c r="AO339" s="3" t="str">
        <f t="shared" si="219"/>
        <v/>
      </c>
      <c r="AP339" s="33" t="str">
        <f t="shared" si="220"/>
        <v/>
      </c>
      <c r="AQ339" s="58" t="str">
        <f t="shared" si="221"/>
        <v/>
      </c>
      <c r="AR339" s="38">
        <f>'ANR OK vs ML7'!AR339</f>
        <v>0.1</v>
      </c>
      <c r="AS339" s="35" t="str">
        <f t="shared" si="222"/>
        <v/>
      </c>
      <c r="AT339" s="3" t="str">
        <f t="shared" si="223"/>
        <v/>
      </c>
      <c r="AU339" s="3" t="str">
        <f t="shared" si="224"/>
        <v/>
      </c>
      <c r="AW339" s="32" t="str">
        <f t="shared" si="225"/>
        <v/>
      </c>
      <c r="AX339" s="32" t="str">
        <f t="shared" si="226"/>
        <v/>
      </c>
      <c r="AY339" s="32" t="str">
        <f t="shared" si="227"/>
        <v/>
      </c>
      <c r="BA339" s="32" t="str">
        <f>IF($A340="","",F339*Summary!$Q$14)</f>
        <v/>
      </c>
    </row>
    <row r="340" spans="1:53" ht="12" customHeight="1">
      <c r="A340" s="67" t="str">
        <f t="shared" si="228"/>
        <v/>
      </c>
      <c r="B340" s="69" t="str">
        <f t="shared" si="229"/>
        <v/>
      </c>
      <c r="C340" s="71"/>
      <c r="D340" s="69" t="str">
        <f t="shared" si="193"/>
        <v/>
      </c>
      <c r="E340" s="70" t="str">
        <f t="shared" si="194"/>
        <v/>
      </c>
      <c r="F340" s="70" t="str">
        <f t="shared" si="195"/>
        <v/>
      </c>
      <c r="G340" s="63" t="str">
        <f t="shared" si="196"/>
        <v/>
      </c>
      <c r="H340" s="64" t="str">
        <f t="shared" si="197"/>
        <v/>
      </c>
      <c r="I340" s="43"/>
      <c r="J340" s="63" t="str">
        <f t="shared" si="198"/>
        <v/>
      </c>
      <c r="K340" s="64" t="str">
        <f t="shared" si="199"/>
        <v/>
      </c>
      <c r="L340" s="38">
        <v>0</v>
      </c>
      <c r="M340" s="64" t="str">
        <f t="shared" si="200"/>
        <v/>
      </c>
      <c r="N340" s="65"/>
      <c r="O340" s="63" t="str">
        <f t="shared" si="201"/>
        <v/>
      </c>
      <c r="P340" s="63" t="str">
        <f t="shared" si="202"/>
        <v/>
      </c>
      <c r="Q340" s="66"/>
      <c r="R340" s="63" t="str">
        <f t="shared" si="203"/>
        <v/>
      </c>
      <c r="S340" s="64" t="str">
        <f t="shared" si="204"/>
        <v/>
      </c>
      <c r="T340" s="63" t="str">
        <f t="shared" si="205"/>
        <v/>
      </c>
      <c r="U340" s="64" t="str">
        <f t="shared" si="206"/>
        <v/>
      </c>
      <c r="V340" s="207" t="str">
        <f>IF($A341="","",IF(AND(MONTH(A340)&gt;3,MONTH(A340)&lt;11),(T340+R340+G340)*(((1/(1-Summary!$T$14))/(1-Summary!$W$14))-1),(T340+R340+G340)*((1/(1-Summary!$U$14))/(1-Summary!$X$14)-1)))</f>
        <v/>
      </c>
      <c r="W340" s="43" t="str">
        <f t="shared" si="207"/>
        <v/>
      </c>
      <c r="X340" s="43" t="str">
        <f t="shared" si="208"/>
        <v/>
      </c>
      <c r="Y340" s="43"/>
      <c r="Z340" s="38" t="str">
        <f t="shared" si="209"/>
        <v/>
      </c>
      <c r="AA340" s="38" t="str">
        <f t="shared" si="210"/>
        <v/>
      </c>
      <c r="AB340" s="38" t="e">
        <f t="shared" si="211"/>
        <v>#VALUE!</v>
      </c>
      <c r="AC340" s="38" t="str">
        <f t="shared" si="212"/>
        <v/>
      </c>
      <c r="AD340" s="38" t="str">
        <f t="shared" si="213"/>
        <v/>
      </c>
      <c r="AE340" s="38" t="e">
        <f t="shared" si="214"/>
        <v>#VALUE!</v>
      </c>
      <c r="AF340" s="237" t="e">
        <f>((Summary!$N$14*(AA340*AD340)*(A340-$D$3))+(Summary!$M$14*Z340*AC340*(AJ340-EOMONTH(EDATE(A340,-1),0))))/(AK340*AB340*AE340)</f>
        <v>#VALUE!</v>
      </c>
      <c r="AG340" s="88" t="str">
        <f>IF($A341="","",Summary!$Q$14)</f>
        <v/>
      </c>
      <c r="AH340" s="88" t="str">
        <f>IF($A341="","",IF(Summary!$R$12="Y",(VLOOKUP($A340,Summary!$AD$6:$AF$9,3)+'Escalating commodity'!J353),'Escalating commodity'!J353))</f>
        <v/>
      </c>
      <c r="AI340" s="88" t="str">
        <f t="shared" si="230"/>
        <v/>
      </c>
      <c r="AJ340" s="236" t="e">
        <f t="shared" si="215"/>
        <v>#VALUE!</v>
      </c>
      <c r="AK340" s="58" t="str">
        <f t="shared" si="216"/>
        <v/>
      </c>
      <c r="AL340" s="26" t="str">
        <f>IF($A341="","",_xll.SPRDOPT(P340,X340,AI340,0,AB340,AE340,AF340,AK340,$AJ$2,0))</f>
        <v/>
      </c>
      <c r="AM340" s="89" t="str">
        <f t="shared" si="217"/>
        <v/>
      </c>
      <c r="AN340" s="89" t="str">
        <f t="shared" si="218"/>
        <v/>
      </c>
      <c r="AO340" s="3" t="str">
        <f t="shared" si="219"/>
        <v/>
      </c>
      <c r="AP340" s="33" t="str">
        <f t="shared" si="220"/>
        <v/>
      </c>
      <c r="AQ340" s="58" t="str">
        <f t="shared" si="221"/>
        <v/>
      </c>
      <c r="AR340" s="38">
        <f>'ANR OK vs ML7'!AR340</f>
        <v>0.1</v>
      </c>
      <c r="AS340" s="35" t="str">
        <f t="shared" si="222"/>
        <v/>
      </c>
      <c r="AT340" s="3" t="str">
        <f t="shared" si="223"/>
        <v/>
      </c>
      <c r="AU340" s="3" t="str">
        <f t="shared" si="224"/>
        <v/>
      </c>
      <c r="AW340" s="32" t="str">
        <f t="shared" si="225"/>
        <v/>
      </c>
      <c r="AX340" s="32" t="str">
        <f t="shared" si="226"/>
        <v/>
      </c>
      <c r="AY340" s="32" t="str">
        <f t="shared" si="227"/>
        <v/>
      </c>
      <c r="BA340" s="32" t="str">
        <f>IF($A341="","",F340*Summary!$Q$14)</f>
        <v/>
      </c>
    </row>
    <row r="341" spans="1:53" ht="12" customHeight="1">
      <c r="A341" s="67" t="str">
        <f t="shared" si="228"/>
        <v/>
      </c>
      <c r="B341" s="69" t="str">
        <f t="shared" si="229"/>
        <v/>
      </c>
      <c r="C341" s="71"/>
      <c r="D341" s="69" t="str">
        <f t="shared" si="193"/>
        <v/>
      </c>
      <c r="E341" s="70" t="str">
        <f t="shared" si="194"/>
        <v/>
      </c>
      <c r="F341" s="70" t="str">
        <f t="shared" si="195"/>
        <v/>
      </c>
      <c r="G341" s="63" t="str">
        <f t="shared" si="196"/>
        <v/>
      </c>
      <c r="H341" s="64" t="str">
        <f t="shared" si="197"/>
        <v/>
      </c>
      <c r="I341" s="43"/>
      <c r="J341" s="63" t="str">
        <f t="shared" si="198"/>
        <v/>
      </c>
      <c r="K341" s="64" t="str">
        <f t="shared" si="199"/>
        <v/>
      </c>
      <c r="L341" s="38">
        <v>0</v>
      </c>
      <c r="M341" s="64" t="str">
        <f t="shared" si="200"/>
        <v/>
      </c>
      <c r="N341" s="65"/>
      <c r="O341" s="63" t="str">
        <f t="shared" si="201"/>
        <v/>
      </c>
      <c r="P341" s="63" t="str">
        <f t="shared" si="202"/>
        <v/>
      </c>
      <c r="Q341" s="66"/>
      <c r="R341" s="63" t="str">
        <f t="shared" si="203"/>
        <v/>
      </c>
      <c r="S341" s="64" t="str">
        <f t="shared" si="204"/>
        <v/>
      </c>
      <c r="T341" s="63" t="str">
        <f t="shared" si="205"/>
        <v/>
      </c>
      <c r="U341" s="64" t="str">
        <f t="shared" si="206"/>
        <v/>
      </c>
      <c r="V341" s="207" t="str">
        <f>IF($A342="","",IF(AND(MONTH(A341)&gt;3,MONTH(A341)&lt;11),(T341+R341+G341)*(((1/(1-Summary!$T$14))/(1-Summary!$W$14))-1),(T341+R341+G341)*((1/(1-Summary!$U$14))/(1-Summary!$X$14)-1)))</f>
        <v/>
      </c>
      <c r="W341" s="43" t="str">
        <f t="shared" si="207"/>
        <v/>
      </c>
      <c r="X341" s="43" t="str">
        <f t="shared" si="208"/>
        <v/>
      </c>
      <c r="Y341" s="43"/>
      <c r="Z341" s="38" t="str">
        <f t="shared" si="209"/>
        <v/>
      </c>
      <c r="AA341" s="38" t="str">
        <f t="shared" si="210"/>
        <v/>
      </c>
      <c r="AB341" s="38" t="e">
        <f t="shared" si="211"/>
        <v>#VALUE!</v>
      </c>
      <c r="AC341" s="38" t="str">
        <f t="shared" si="212"/>
        <v/>
      </c>
      <c r="AD341" s="38" t="str">
        <f t="shared" si="213"/>
        <v/>
      </c>
      <c r="AE341" s="38" t="e">
        <f t="shared" si="214"/>
        <v>#VALUE!</v>
      </c>
      <c r="AF341" s="237" t="e">
        <f>((Summary!$N$14*(AA341*AD341)*(A341-$D$3))+(Summary!$M$14*Z341*AC341*(AJ341-EOMONTH(EDATE(A341,-1),0))))/(AK341*AB341*AE341)</f>
        <v>#VALUE!</v>
      </c>
      <c r="AG341" s="88" t="str">
        <f>IF($A342="","",Summary!$Q$14)</f>
        <v/>
      </c>
      <c r="AH341" s="88" t="str">
        <f>IF($A342="","",IF(Summary!$R$12="Y",(VLOOKUP($A341,Summary!$AD$6:$AF$9,3)+'Escalating commodity'!J354),'Escalating commodity'!J354))</f>
        <v/>
      </c>
      <c r="AI341" s="88" t="str">
        <f t="shared" si="230"/>
        <v/>
      </c>
      <c r="AJ341" s="236" t="e">
        <f t="shared" si="215"/>
        <v>#VALUE!</v>
      </c>
      <c r="AK341" s="58" t="str">
        <f t="shared" si="216"/>
        <v/>
      </c>
      <c r="AL341" s="26" t="str">
        <f>IF($A342="","",_xll.SPRDOPT(P341,X341,AI341,0,AB341,AE341,AF341,AK341,$AJ$2,0))</f>
        <v/>
      </c>
      <c r="AM341" s="89" t="str">
        <f t="shared" si="217"/>
        <v/>
      </c>
      <c r="AN341" s="89" t="str">
        <f t="shared" si="218"/>
        <v/>
      </c>
      <c r="AO341" s="3" t="str">
        <f t="shared" si="219"/>
        <v/>
      </c>
      <c r="AP341" s="33" t="str">
        <f t="shared" si="220"/>
        <v/>
      </c>
      <c r="AQ341" s="58" t="str">
        <f t="shared" si="221"/>
        <v/>
      </c>
      <c r="AR341" s="38">
        <f>'ANR OK vs ML7'!AR341</f>
        <v>0.1</v>
      </c>
      <c r="AS341" s="35" t="str">
        <f t="shared" si="222"/>
        <v/>
      </c>
      <c r="AT341" s="3" t="str">
        <f t="shared" si="223"/>
        <v/>
      </c>
      <c r="AU341" s="3" t="str">
        <f t="shared" si="224"/>
        <v/>
      </c>
      <c r="AW341" s="32" t="str">
        <f t="shared" si="225"/>
        <v/>
      </c>
      <c r="AX341" s="32" t="str">
        <f t="shared" si="226"/>
        <v/>
      </c>
      <c r="AY341" s="32" t="str">
        <f t="shared" si="227"/>
        <v/>
      </c>
      <c r="BA341" s="32" t="str">
        <f>IF($A342="","",F341*Summary!$Q$14)</f>
        <v/>
      </c>
    </row>
    <row r="342" spans="1:53" ht="12" customHeight="1">
      <c r="A342" s="67" t="str">
        <f t="shared" si="228"/>
        <v/>
      </c>
      <c r="B342" s="69" t="str">
        <f t="shared" si="229"/>
        <v/>
      </c>
      <c r="C342" s="71"/>
      <c r="D342" s="69" t="str">
        <f t="shared" si="193"/>
        <v/>
      </c>
      <c r="E342" s="70" t="str">
        <f t="shared" si="194"/>
        <v/>
      </c>
      <c r="F342" s="70" t="str">
        <f t="shared" si="195"/>
        <v/>
      </c>
      <c r="G342" s="63" t="str">
        <f t="shared" si="196"/>
        <v/>
      </c>
      <c r="H342" s="64" t="str">
        <f t="shared" si="197"/>
        <v/>
      </c>
      <c r="I342" s="43"/>
      <c r="J342" s="63" t="str">
        <f t="shared" si="198"/>
        <v/>
      </c>
      <c r="K342" s="64" t="str">
        <f t="shared" si="199"/>
        <v/>
      </c>
      <c r="L342" s="38">
        <v>0</v>
      </c>
      <c r="M342" s="64" t="str">
        <f t="shared" si="200"/>
        <v/>
      </c>
      <c r="N342" s="65"/>
      <c r="O342" s="63" t="str">
        <f t="shared" si="201"/>
        <v/>
      </c>
      <c r="P342" s="63" t="str">
        <f t="shared" si="202"/>
        <v/>
      </c>
      <c r="Q342" s="66"/>
      <c r="R342" s="63" t="str">
        <f t="shared" si="203"/>
        <v/>
      </c>
      <c r="S342" s="64" t="str">
        <f t="shared" si="204"/>
        <v/>
      </c>
      <c r="T342" s="63" t="str">
        <f t="shared" si="205"/>
        <v/>
      </c>
      <c r="U342" s="64" t="str">
        <f t="shared" si="206"/>
        <v/>
      </c>
      <c r="V342" s="207" t="str">
        <f>IF($A343="","",IF(AND(MONTH(A342)&gt;3,MONTH(A342)&lt;11),(T342+R342+G342)*(((1/(1-Summary!$T$14))/(1-Summary!$W$14))-1),(T342+R342+G342)*((1/(1-Summary!$U$14))/(1-Summary!$X$14)-1)))</f>
        <v/>
      </c>
      <c r="W342" s="43" t="str">
        <f t="shared" si="207"/>
        <v/>
      </c>
      <c r="X342" s="43" t="str">
        <f t="shared" si="208"/>
        <v/>
      </c>
      <c r="Y342" s="43"/>
      <c r="Z342" s="38" t="str">
        <f t="shared" si="209"/>
        <v/>
      </c>
      <c r="AA342" s="38" t="str">
        <f t="shared" si="210"/>
        <v/>
      </c>
      <c r="AB342" s="38" t="e">
        <f t="shared" si="211"/>
        <v>#VALUE!</v>
      </c>
      <c r="AC342" s="38" t="str">
        <f t="shared" si="212"/>
        <v/>
      </c>
      <c r="AD342" s="38" t="str">
        <f t="shared" si="213"/>
        <v/>
      </c>
      <c r="AE342" s="38" t="e">
        <f t="shared" si="214"/>
        <v>#VALUE!</v>
      </c>
      <c r="AF342" s="237" t="e">
        <f>((Summary!$N$14*(AA342*AD342)*(A342-$D$3))+(Summary!$M$14*Z342*AC342*(AJ342-EOMONTH(EDATE(A342,-1),0))))/(AK342*AB342*AE342)</f>
        <v>#VALUE!</v>
      </c>
      <c r="AG342" s="88" t="str">
        <f>IF($A343="","",Summary!$Q$14)</f>
        <v/>
      </c>
      <c r="AH342" s="88" t="str">
        <f>IF($A343="","",IF(Summary!$R$12="Y",(VLOOKUP($A342,Summary!$AD$6:$AF$9,3)+'Escalating commodity'!J355),'Escalating commodity'!J355))</f>
        <v/>
      </c>
      <c r="AI342" s="88" t="str">
        <f t="shared" si="230"/>
        <v/>
      </c>
      <c r="AJ342" s="236" t="e">
        <f t="shared" si="215"/>
        <v>#VALUE!</v>
      </c>
      <c r="AK342" s="58" t="str">
        <f t="shared" si="216"/>
        <v/>
      </c>
      <c r="AL342" s="26" t="str">
        <f>IF($A343="","",_xll.SPRDOPT(P342,X342,AI342,0,AB342,AE342,AF342,AK342,$AJ$2,0))</f>
        <v/>
      </c>
      <c r="AM342" s="89" t="str">
        <f t="shared" si="217"/>
        <v/>
      </c>
      <c r="AN342" s="89" t="str">
        <f t="shared" si="218"/>
        <v/>
      </c>
      <c r="AO342" s="3" t="str">
        <f t="shared" si="219"/>
        <v/>
      </c>
      <c r="AP342" s="33" t="str">
        <f t="shared" si="220"/>
        <v/>
      </c>
      <c r="AQ342" s="58" t="str">
        <f t="shared" si="221"/>
        <v/>
      </c>
      <c r="AR342" s="38">
        <f>'ANR OK vs ML7'!AR342</f>
        <v>0.1</v>
      </c>
      <c r="AS342" s="35" t="str">
        <f t="shared" si="222"/>
        <v/>
      </c>
      <c r="AT342" s="3" t="str">
        <f t="shared" si="223"/>
        <v/>
      </c>
      <c r="AU342" s="3" t="str">
        <f t="shared" si="224"/>
        <v/>
      </c>
      <c r="AW342" s="32" t="str">
        <f t="shared" si="225"/>
        <v/>
      </c>
      <c r="AX342" s="32" t="str">
        <f t="shared" si="226"/>
        <v/>
      </c>
      <c r="AY342" s="32" t="str">
        <f t="shared" si="227"/>
        <v/>
      </c>
      <c r="BA342" s="32" t="str">
        <f>IF($A343="","",F342*Summary!$Q$14)</f>
        <v/>
      </c>
    </row>
    <row r="343" spans="1:53" ht="12" customHeight="1">
      <c r="A343" s="67" t="str">
        <f t="shared" si="228"/>
        <v/>
      </c>
      <c r="B343" s="69" t="str">
        <f t="shared" si="229"/>
        <v/>
      </c>
      <c r="C343" s="71"/>
      <c r="D343" s="69" t="str">
        <f t="shared" si="193"/>
        <v/>
      </c>
      <c r="E343" s="70" t="str">
        <f t="shared" si="194"/>
        <v/>
      </c>
      <c r="F343" s="70" t="str">
        <f t="shared" si="195"/>
        <v/>
      </c>
      <c r="G343" s="63" t="str">
        <f t="shared" si="196"/>
        <v/>
      </c>
      <c r="H343" s="64" t="str">
        <f t="shared" si="197"/>
        <v/>
      </c>
      <c r="I343" s="43"/>
      <c r="J343" s="63" t="str">
        <f t="shared" si="198"/>
        <v/>
      </c>
      <c r="K343" s="64" t="str">
        <f t="shared" si="199"/>
        <v/>
      </c>
      <c r="L343" s="38">
        <v>0</v>
      </c>
      <c r="M343" s="64" t="str">
        <f t="shared" si="200"/>
        <v/>
      </c>
      <c r="N343" s="65"/>
      <c r="O343" s="63" t="str">
        <f t="shared" si="201"/>
        <v/>
      </c>
      <c r="P343" s="63" t="str">
        <f t="shared" si="202"/>
        <v/>
      </c>
      <c r="Q343" s="66"/>
      <c r="R343" s="63" t="str">
        <f t="shared" si="203"/>
        <v/>
      </c>
      <c r="S343" s="64" t="str">
        <f t="shared" si="204"/>
        <v/>
      </c>
      <c r="T343" s="63" t="str">
        <f t="shared" si="205"/>
        <v/>
      </c>
      <c r="U343" s="64" t="str">
        <f t="shared" si="206"/>
        <v/>
      </c>
      <c r="V343" s="207" t="str">
        <f>IF($A344="","",IF(AND(MONTH(A343)&gt;3,MONTH(A343)&lt;11),(T343+R343+G343)*(((1/(1-Summary!$T$14))/(1-Summary!$W$14))-1),(T343+R343+G343)*((1/(1-Summary!$U$14))/(1-Summary!$X$14)-1)))</f>
        <v/>
      </c>
      <c r="W343" s="43" t="str">
        <f t="shared" si="207"/>
        <v/>
      </c>
      <c r="X343" s="43" t="str">
        <f t="shared" si="208"/>
        <v/>
      </c>
      <c r="Y343" s="43"/>
      <c r="Z343" s="38" t="str">
        <f t="shared" si="209"/>
        <v/>
      </c>
      <c r="AA343" s="38" t="str">
        <f t="shared" si="210"/>
        <v/>
      </c>
      <c r="AB343" s="38" t="e">
        <f t="shared" si="211"/>
        <v>#VALUE!</v>
      </c>
      <c r="AC343" s="38" t="str">
        <f t="shared" si="212"/>
        <v/>
      </c>
      <c r="AD343" s="38" t="str">
        <f t="shared" si="213"/>
        <v/>
      </c>
      <c r="AE343" s="38" t="e">
        <f t="shared" si="214"/>
        <v>#VALUE!</v>
      </c>
      <c r="AF343" s="237" t="e">
        <f>((Summary!$N$14*(AA343*AD343)*(A343-$D$3))+(Summary!$M$14*Z343*AC343*(AJ343-EOMONTH(EDATE(A343,-1),0))))/(AK343*AB343*AE343)</f>
        <v>#VALUE!</v>
      </c>
      <c r="AG343" s="88" t="str">
        <f>IF($A344="","",Summary!$Q$14)</f>
        <v/>
      </c>
      <c r="AH343" s="88" t="str">
        <f>IF($A344="","",IF(Summary!$R$12="Y",(VLOOKUP($A343,Summary!$AD$6:$AF$9,3)+'Escalating commodity'!J356),'Escalating commodity'!J356))</f>
        <v/>
      </c>
      <c r="AI343" s="88" t="str">
        <f t="shared" si="230"/>
        <v/>
      </c>
      <c r="AJ343" s="236" t="e">
        <f t="shared" si="215"/>
        <v>#VALUE!</v>
      </c>
      <c r="AK343" s="58" t="str">
        <f t="shared" si="216"/>
        <v/>
      </c>
      <c r="AL343" s="26" t="str">
        <f>IF($A344="","",_xll.SPRDOPT(P343,X343,AI343,0,AB343,AE343,AF343,AK343,$AJ$2,0))</f>
        <v/>
      </c>
      <c r="AM343" s="89" t="str">
        <f t="shared" si="217"/>
        <v/>
      </c>
      <c r="AN343" s="89" t="str">
        <f t="shared" si="218"/>
        <v/>
      </c>
      <c r="AO343" s="3" t="str">
        <f t="shared" si="219"/>
        <v/>
      </c>
      <c r="AP343" s="33" t="str">
        <f t="shared" si="220"/>
        <v/>
      </c>
      <c r="AQ343" s="58" t="str">
        <f t="shared" si="221"/>
        <v/>
      </c>
      <c r="AR343" s="38">
        <f>'ANR OK vs ML7'!AR343</f>
        <v>0.1</v>
      </c>
      <c r="AS343" s="35" t="str">
        <f t="shared" si="222"/>
        <v/>
      </c>
      <c r="AT343" s="3" t="str">
        <f t="shared" si="223"/>
        <v/>
      </c>
      <c r="AU343" s="3" t="str">
        <f t="shared" si="224"/>
        <v/>
      </c>
      <c r="AW343" s="32" t="str">
        <f t="shared" si="225"/>
        <v/>
      </c>
      <c r="AX343" s="32" t="str">
        <f t="shared" si="226"/>
        <v/>
      </c>
      <c r="AY343" s="32" t="str">
        <f t="shared" si="227"/>
        <v/>
      </c>
      <c r="BA343" s="32" t="str">
        <f>IF($A344="","",F343*Summary!$Q$14)</f>
        <v/>
      </c>
    </row>
    <row r="344" spans="1:53" ht="12" customHeight="1">
      <c r="A344" s="67" t="str">
        <f t="shared" si="228"/>
        <v/>
      </c>
      <c r="B344" s="69" t="str">
        <f t="shared" si="229"/>
        <v/>
      </c>
      <c r="C344" s="71"/>
      <c r="D344" s="69" t="str">
        <f t="shared" si="193"/>
        <v/>
      </c>
      <c r="E344" s="70" t="str">
        <f t="shared" si="194"/>
        <v/>
      </c>
      <c r="F344" s="70" t="str">
        <f t="shared" si="195"/>
        <v/>
      </c>
      <c r="G344" s="63" t="str">
        <f t="shared" si="196"/>
        <v/>
      </c>
      <c r="H344" s="64" t="str">
        <f t="shared" si="197"/>
        <v/>
      </c>
      <c r="I344" s="43"/>
      <c r="J344" s="63" t="str">
        <f t="shared" si="198"/>
        <v/>
      </c>
      <c r="K344" s="64" t="str">
        <f t="shared" si="199"/>
        <v/>
      </c>
      <c r="L344" s="38">
        <v>0</v>
      </c>
      <c r="M344" s="64" t="str">
        <f t="shared" si="200"/>
        <v/>
      </c>
      <c r="N344" s="65"/>
      <c r="O344" s="63" t="str">
        <f t="shared" si="201"/>
        <v/>
      </c>
      <c r="P344" s="63" t="str">
        <f t="shared" si="202"/>
        <v/>
      </c>
      <c r="Q344" s="66"/>
      <c r="R344" s="63" t="str">
        <f t="shared" si="203"/>
        <v/>
      </c>
      <c r="S344" s="64" t="str">
        <f t="shared" si="204"/>
        <v/>
      </c>
      <c r="T344" s="63" t="str">
        <f t="shared" si="205"/>
        <v/>
      </c>
      <c r="U344" s="64" t="str">
        <f t="shared" si="206"/>
        <v/>
      </c>
      <c r="V344" s="207" t="str">
        <f>IF($A345="","",IF(AND(MONTH(A344)&gt;3,MONTH(A344)&lt;11),(T344+R344+G344)*(((1/(1-Summary!$T$14))/(1-Summary!$W$14))-1),(T344+R344+G344)*((1/(1-Summary!$U$14))/(1-Summary!$X$14)-1)))</f>
        <v/>
      </c>
      <c r="W344" s="43" t="str">
        <f t="shared" si="207"/>
        <v/>
      </c>
      <c r="X344" s="43" t="str">
        <f t="shared" si="208"/>
        <v/>
      </c>
      <c r="Y344" s="43"/>
      <c r="Z344" s="38" t="str">
        <f t="shared" si="209"/>
        <v/>
      </c>
      <c r="AA344" s="38" t="str">
        <f t="shared" si="210"/>
        <v/>
      </c>
      <c r="AB344" s="38" t="e">
        <f t="shared" si="211"/>
        <v>#VALUE!</v>
      </c>
      <c r="AC344" s="38" t="str">
        <f t="shared" si="212"/>
        <v/>
      </c>
      <c r="AD344" s="38" t="str">
        <f t="shared" si="213"/>
        <v/>
      </c>
      <c r="AE344" s="38" t="e">
        <f t="shared" si="214"/>
        <v>#VALUE!</v>
      </c>
      <c r="AF344" s="237" t="e">
        <f>((Summary!$N$14*(AA344*AD344)*(A344-$D$3))+(Summary!$M$14*Z344*AC344*(AJ344-EOMONTH(EDATE(A344,-1),0))))/(AK344*AB344*AE344)</f>
        <v>#VALUE!</v>
      </c>
      <c r="AG344" s="88" t="str">
        <f>IF($A345="","",Summary!$Q$14)</f>
        <v/>
      </c>
      <c r="AH344" s="88" t="str">
        <f>IF($A345="","",IF(Summary!$R$12="Y",(VLOOKUP($A344,Summary!$AD$6:$AF$9,3)+'Escalating commodity'!J357),'Escalating commodity'!J357))</f>
        <v/>
      </c>
      <c r="AI344" s="88" t="str">
        <f t="shared" si="230"/>
        <v/>
      </c>
      <c r="AJ344" s="236" t="e">
        <f t="shared" si="215"/>
        <v>#VALUE!</v>
      </c>
      <c r="AK344" s="58" t="str">
        <f t="shared" si="216"/>
        <v/>
      </c>
      <c r="AL344" s="26" t="str">
        <f>IF($A345="","",_xll.SPRDOPT(P344,X344,AI344,0,AB344,AE344,AF344,AK344,$AJ$2,0))</f>
        <v/>
      </c>
      <c r="AM344" s="89" t="str">
        <f t="shared" si="217"/>
        <v/>
      </c>
      <c r="AN344" s="89" t="str">
        <f t="shared" si="218"/>
        <v/>
      </c>
      <c r="AO344" s="3" t="str">
        <f t="shared" si="219"/>
        <v/>
      </c>
      <c r="AP344" s="33" t="str">
        <f t="shared" si="220"/>
        <v/>
      </c>
      <c r="AQ344" s="58" t="str">
        <f t="shared" si="221"/>
        <v/>
      </c>
      <c r="AR344" s="38">
        <f>'ANR OK vs ML7'!AR344</f>
        <v>0.1</v>
      </c>
      <c r="AS344" s="35" t="str">
        <f t="shared" si="222"/>
        <v/>
      </c>
      <c r="AT344" s="3" t="str">
        <f t="shared" si="223"/>
        <v/>
      </c>
      <c r="AU344" s="3" t="str">
        <f t="shared" si="224"/>
        <v/>
      </c>
      <c r="AW344" s="32" t="str">
        <f t="shared" si="225"/>
        <v/>
      </c>
      <c r="AX344" s="32" t="str">
        <f t="shared" si="226"/>
        <v/>
      </c>
      <c r="AY344" s="32" t="str">
        <f t="shared" si="227"/>
        <v/>
      </c>
      <c r="BA344" s="32" t="str">
        <f>IF($A345="","",F344*Summary!$Q$14)</f>
        <v/>
      </c>
    </row>
    <row r="345" spans="1:53" ht="12" customHeight="1">
      <c r="A345" s="67" t="str">
        <f t="shared" si="228"/>
        <v/>
      </c>
      <c r="B345" s="69" t="str">
        <f t="shared" si="229"/>
        <v/>
      </c>
      <c r="C345" s="71"/>
      <c r="D345" s="69" t="str">
        <f t="shared" si="193"/>
        <v/>
      </c>
      <c r="E345" s="70" t="str">
        <f t="shared" si="194"/>
        <v/>
      </c>
      <c r="F345" s="70" t="str">
        <f t="shared" si="195"/>
        <v/>
      </c>
      <c r="G345" s="63" t="str">
        <f t="shared" si="196"/>
        <v/>
      </c>
      <c r="H345" s="64" t="str">
        <f t="shared" si="197"/>
        <v/>
      </c>
      <c r="I345" s="43"/>
      <c r="J345" s="63" t="str">
        <f t="shared" si="198"/>
        <v/>
      </c>
      <c r="K345" s="64" t="str">
        <f t="shared" si="199"/>
        <v/>
      </c>
      <c r="L345" s="38">
        <v>0</v>
      </c>
      <c r="M345" s="64" t="str">
        <f t="shared" si="200"/>
        <v/>
      </c>
      <c r="N345" s="65"/>
      <c r="O345" s="63" t="str">
        <f t="shared" si="201"/>
        <v/>
      </c>
      <c r="P345" s="63" t="str">
        <f t="shared" si="202"/>
        <v/>
      </c>
      <c r="Q345" s="66"/>
      <c r="R345" s="63" t="str">
        <f t="shared" si="203"/>
        <v/>
      </c>
      <c r="S345" s="64" t="str">
        <f t="shared" si="204"/>
        <v/>
      </c>
      <c r="T345" s="63" t="str">
        <f t="shared" si="205"/>
        <v/>
      </c>
      <c r="U345" s="64" t="str">
        <f t="shared" si="206"/>
        <v/>
      </c>
      <c r="V345" s="207" t="str">
        <f>IF($A346="","",IF(AND(MONTH(A345)&gt;3,MONTH(A345)&lt;11),(T345+R345+G345)*(((1/(1-Summary!$T$14))/(1-Summary!$W$14))-1),(T345+R345+G345)*((1/(1-Summary!$U$14))/(1-Summary!$X$14)-1)))</f>
        <v/>
      </c>
      <c r="W345" s="43" t="str">
        <f t="shared" si="207"/>
        <v/>
      </c>
      <c r="X345" s="43" t="str">
        <f t="shared" si="208"/>
        <v/>
      </c>
      <c r="Y345" s="43"/>
      <c r="Z345" s="38" t="str">
        <f t="shared" si="209"/>
        <v/>
      </c>
      <c r="AA345" s="38" t="str">
        <f t="shared" si="210"/>
        <v/>
      </c>
      <c r="AB345" s="38" t="e">
        <f t="shared" si="211"/>
        <v>#VALUE!</v>
      </c>
      <c r="AC345" s="38" t="str">
        <f t="shared" si="212"/>
        <v/>
      </c>
      <c r="AD345" s="38" t="str">
        <f t="shared" si="213"/>
        <v/>
      </c>
      <c r="AE345" s="38" t="e">
        <f t="shared" si="214"/>
        <v>#VALUE!</v>
      </c>
      <c r="AF345" s="237" t="e">
        <f>((Summary!$N$14*(AA345*AD345)*(A345-$D$3))+(Summary!$M$14*Z345*AC345*(AJ345-EOMONTH(EDATE(A345,-1),0))))/(AK345*AB345*AE345)</f>
        <v>#VALUE!</v>
      </c>
      <c r="AG345" s="88" t="str">
        <f>IF($A346="","",Summary!$Q$14)</f>
        <v/>
      </c>
      <c r="AH345" s="88" t="str">
        <f>IF($A346="","",IF(Summary!$R$12="Y",(VLOOKUP($A345,Summary!$AD$6:$AF$9,3)+'Escalating commodity'!J358),'Escalating commodity'!J358))</f>
        <v/>
      </c>
      <c r="AI345" s="88" t="str">
        <f t="shared" si="230"/>
        <v/>
      </c>
      <c r="AJ345" s="236" t="e">
        <f t="shared" si="215"/>
        <v>#VALUE!</v>
      </c>
      <c r="AK345" s="58" t="str">
        <f t="shared" si="216"/>
        <v/>
      </c>
      <c r="AL345" s="26" t="str">
        <f>IF($A346="","",_xll.SPRDOPT(P345,X345,AI345,0,AB345,AE345,AF345,AK345,$AJ$2,0))</f>
        <v/>
      </c>
      <c r="AM345" s="89" t="str">
        <f t="shared" si="217"/>
        <v/>
      </c>
      <c r="AN345" s="89" t="str">
        <f t="shared" si="218"/>
        <v/>
      </c>
      <c r="AO345" s="3" t="str">
        <f t="shared" si="219"/>
        <v/>
      </c>
      <c r="AP345" s="33" t="str">
        <f t="shared" si="220"/>
        <v/>
      </c>
      <c r="AQ345" s="58" t="str">
        <f t="shared" si="221"/>
        <v/>
      </c>
      <c r="AR345" s="38">
        <f>'ANR OK vs ML7'!AR345</f>
        <v>0.1</v>
      </c>
      <c r="AS345" s="35" t="str">
        <f t="shared" si="222"/>
        <v/>
      </c>
      <c r="AT345" s="3" t="str">
        <f t="shared" si="223"/>
        <v/>
      </c>
      <c r="AU345" s="3" t="str">
        <f t="shared" si="224"/>
        <v/>
      </c>
      <c r="AW345" s="32" t="str">
        <f t="shared" si="225"/>
        <v/>
      </c>
      <c r="AX345" s="32" t="str">
        <f t="shared" si="226"/>
        <v/>
      </c>
      <c r="AY345" s="32" t="str">
        <f t="shared" si="227"/>
        <v/>
      </c>
      <c r="BA345" s="32" t="str">
        <f>IF($A346="","",F345*Summary!$Q$14)</f>
        <v/>
      </c>
    </row>
    <row r="346" spans="1:53" ht="12" customHeight="1">
      <c r="A346" s="67" t="str">
        <f t="shared" si="228"/>
        <v/>
      </c>
      <c r="B346" s="69" t="str">
        <f t="shared" si="229"/>
        <v/>
      </c>
      <c r="C346" s="71"/>
      <c r="D346" s="69" t="str">
        <f t="shared" si="193"/>
        <v/>
      </c>
      <c r="E346" s="70" t="str">
        <f t="shared" si="194"/>
        <v/>
      </c>
      <c r="F346" s="70" t="str">
        <f t="shared" si="195"/>
        <v/>
      </c>
      <c r="G346" s="63" t="str">
        <f t="shared" si="196"/>
        <v/>
      </c>
      <c r="H346" s="64" t="str">
        <f t="shared" si="197"/>
        <v/>
      </c>
      <c r="I346" s="43"/>
      <c r="J346" s="63" t="str">
        <f t="shared" si="198"/>
        <v/>
      </c>
      <c r="K346" s="64" t="str">
        <f t="shared" si="199"/>
        <v/>
      </c>
      <c r="L346" s="38">
        <v>0</v>
      </c>
      <c r="M346" s="64" t="str">
        <f t="shared" si="200"/>
        <v/>
      </c>
      <c r="N346" s="65"/>
      <c r="O346" s="63" t="str">
        <f t="shared" si="201"/>
        <v/>
      </c>
      <c r="P346" s="63" t="str">
        <f t="shared" si="202"/>
        <v/>
      </c>
      <c r="Q346" s="66"/>
      <c r="R346" s="63" t="str">
        <f t="shared" si="203"/>
        <v/>
      </c>
      <c r="S346" s="64" t="str">
        <f t="shared" si="204"/>
        <v/>
      </c>
      <c r="T346" s="63" t="str">
        <f t="shared" si="205"/>
        <v/>
      </c>
      <c r="U346" s="64" t="str">
        <f t="shared" si="206"/>
        <v/>
      </c>
      <c r="V346" s="207" t="str">
        <f>IF($A347="","",IF(AND(MONTH(A346)&gt;3,MONTH(A346)&lt;11),(T346+R346+G346)*(((1/(1-Summary!$T$14))/(1-Summary!$W$14))-1),(T346+R346+G346)*((1/(1-Summary!$U$14))/(1-Summary!$X$14)-1)))</f>
        <v/>
      </c>
      <c r="W346" s="43" t="str">
        <f t="shared" si="207"/>
        <v/>
      </c>
      <c r="X346" s="43" t="str">
        <f t="shared" si="208"/>
        <v/>
      </c>
      <c r="Y346" s="43"/>
      <c r="Z346" s="38" t="str">
        <f t="shared" si="209"/>
        <v/>
      </c>
      <c r="AA346" s="38" t="str">
        <f t="shared" si="210"/>
        <v/>
      </c>
      <c r="AB346" s="38" t="e">
        <f t="shared" si="211"/>
        <v>#VALUE!</v>
      </c>
      <c r="AC346" s="38" t="str">
        <f t="shared" si="212"/>
        <v/>
      </c>
      <c r="AD346" s="38" t="str">
        <f t="shared" si="213"/>
        <v/>
      </c>
      <c r="AE346" s="38" t="e">
        <f t="shared" si="214"/>
        <v>#VALUE!</v>
      </c>
      <c r="AF346" s="237" t="e">
        <f>((Summary!$N$14*(AA346*AD346)*(A346-$D$3))+(Summary!$M$14*Z346*AC346*(AJ346-EOMONTH(EDATE(A346,-1),0))))/(AK346*AB346*AE346)</f>
        <v>#VALUE!</v>
      </c>
      <c r="AG346" s="88" t="str">
        <f>IF($A347="","",Summary!$Q$14)</f>
        <v/>
      </c>
      <c r="AH346" s="88" t="str">
        <f>IF($A347="","",IF(Summary!$R$12="Y",(VLOOKUP($A346,Summary!$AD$6:$AF$9,3)+'Escalating commodity'!J359),'Escalating commodity'!J359))</f>
        <v/>
      </c>
      <c r="AI346" s="88" t="str">
        <f t="shared" si="230"/>
        <v/>
      </c>
      <c r="AJ346" s="236" t="e">
        <f t="shared" si="215"/>
        <v>#VALUE!</v>
      </c>
      <c r="AK346" s="58" t="str">
        <f t="shared" si="216"/>
        <v/>
      </c>
      <c r="AL346" s="26" t="str">
        <f>IF($A347="","",_xll.SPRDOPT(P346,X346,AI346,0,AB346,AE346,AF346,AK346,$AJ$2,0))</f>
        <v/>
      </c>
      <c r="AM346" s="89" t="str">
        <f t="shared" si="217"/>
        <v/>
      </c>
      <c r="AN346" s="89" t="str">
        <f t="shared" si="218"/>
        <v/>
      </c>
      <c r="AO346" s="3" t="str">
        <f t="shared" si="219"/>
        <v/>
      </c>
      <c r="AP346" s="33" t="str">
        <f t="shared" si="220"/>
        <v/>
      </c>
      <c r="AQ346" s="58" t="str">
        <f t="shared" si="221"/>
        <v/>
      </c>
      <c r="AR346" s="38">
        <f>'ANR OK vs ML7'!AR346</f>
        <v>0.1</v>
      </c>
      <c r="AS346" s="35" t="str">
        <f t="shared" si="222"/>
        <v/>
      </c>
      <c r="AT346" s="3" t="str">
        <f t="shared" si="223"/>
        <v/>
      </c>
      <c r="AU346" s="3" t="str">
        <f t="shared" si="224"/>
        <v/>
      </c>
      <c r="AW346" s="32" t="str">
        <f t="shared" si="225"/>
        <v/>
      </c>
      <c r="AX346" s="32" t="str">
        <f t="shared" si="226"/>
        <v/>
      </c>
      <c r="AY346" s="32" t="str">
        <f t="shared" si="227"/>
        <v/>
      </c>
      <c r="BA346" s="32" t="str">
        <f>IF($A347="","",F346*Summary!$Q$14)</f>
        <v/>
      </c>
    </row>
    <row r="347" spans="1:53" ht="12" customHeight="1">
      <c r="A347" s="67" t="str">
        <f t="shared" si="228"/>
        <v/>
      </c>
      <c r="B347" s="69" t="str">
        <f t="shared" si="229"/>
        <v/>
      </c>
      <c r="C347" s="71"/>
      <c r="D347" s="69" t="str">
        <f t="shared" si="193"/>
        <v/>
      </c>
      <c r="E347" s="70" t="str">
        <f t="shared" si="194"/>
        <v/>
      </c>
      <c r="F347" s="70" t="str">
        <f t="shared" si="195"/>
        <v/>
      </c>
      <c r="G347" s="63" t="str">
        <f t="shared" si="196"/>
        <v/>
      </c>
      <c r="H347" s="64" t="str">
        <f t="shared" si="197"/>
        <v/>
      </c>
      <c r="I347" s="43"/>
      <c r="J347" s="63" t="str">
        <f t="shared" si="198"/>
        <v/>
      </c>
      <c r="K347" s="64" t="str">
        <f t="shared" si="199"/>
        <v/>
      </c>
      <c r="L347" s="38">
        <v>0</v>
      </c>
      <c r="M347" s="64" t="str">
        <f t="shared" si="200"/>
        <v/>
      </c>
      <c r="N347" s="65"/>
      <c r="O347" s="63" t="str">
        <f t="shared" si="201"/>
        <v/>
      </c>
      <c r="P347" s="63" t="str">
        <f t="shared" si="202"/>
        <v/>
      </c>
      <c r="Q347" s="66"/>
      <c r="R347" s="63" t="str">
        <f t="shared" si="203"/>
        <v/>
      </c>
      <c r="S347" s="64" t="str">
        <f t="shared" si="204"/>
        <v/>
      </c>
      <c r="T347" s="63" t="str">
        <f t="shared" si="205"/>
        <v/>
      </c>
      <c r="U347" s="64" t="str">
        <f t="shared" si="206"/>
        <v/>
      </c>
      <c r="V347" s="207" t="str">
        <f>IF($A348="","",IF(AND(MONTH(A347)&gt;3,MONTH(A347)&lt;11),(T347+R347+G347)*(((1/(1-Summary!$T$14))/(1-Summary!$W$14))-1),(T347+R347+G347)*((1/(1-Summary!$U$14))/(1-Summary!$X$14)-1)))</f>
        <v/>
      </c>
      <c r="W347" s="43" t="str">
        <f t="shared" si="207"/>
        <v/>
      </c>
      <c r="X347" s="43" t="str">
        <f t="shared" si="208"/>
        <v/>
      </c>
      <c r="Y347" s="43"/>
      <c r="Z347" s="38" t="str">
        <f t="shared" si="209"/>
        <v/>
      </c>
      <c r="AA347" s="38" t="str">
        <f t="shared" si="210"/>
        <v/>
      </c>
      <c r="AB347" s="38" t="e">
        <f t="shared" si="211"/>
        <v>#VALUE!</v>
      </c>
      <c r="AC347" s="38" t="str">
        <f t="shared" si="212"/>
        <v/>
      </c>
      <c r="AD347" s="38" t="str">
        <f t="shared" si="213"/>
        <v/>
      </c>
      <c r="AE347" s="38" t="e">
        <f t="shared" si="214"/>
        <v>#VALUE!</v>
      </c>
      <c r="AF347" s="237" t="e">
        <f>((Summary!$N$14*(AA347*AD347)*(A347-$D$3))+(Summary!$M$14*Z347*AC347*(AJ347-EOMONTH(EDATE(A347,-1),0))))/(AK347*AB347*AE347)</f>
        <v>#VALUE!</v>
      </c>
      <c r="AG347" s="88" t="str">
        <f>IF($A348="","",Summary!$Q$14)</f>
        <v/>
      </c>
      <c r="AH347" s="88" t="str">
        <f>IF($A348="","",IF(Summary!$R$12="Y",(VLOOKUP($A347,Summary!$AD$6:$AF$9,3)+'Escalating commodity'!J360),'Escalating commodity'!J360))</f>
        <v/>
      </c>
      <c r="AI347" s="88" t="str">
        <f t="shared" si="230"/>
        <v/>
      </c>
      <c r="AJ347" s="236" t="e">
        <f t="shared" si="215"/>
        <v>#VALUE!</v>
      </c>
      <c r="AK347" s="58" t="str">
        <f t="shared" si="216"/>
        <v/>
      </c>
      <c r="AL347" s="26" t="str">
        <f>IF($A348="","",_xll.SPRDOPT(P347,X347,AI347,0,AB347,AE347,AF347,AK347,$AJ$2,0))</f>
        <v/>
      </c>
      <c r="AM347" s="89" t="str">
        <f t="shared" si="217"/>
        <v/>
      </c>
      <c r="AN347" s="89" t="str">
        <f t="shared" si="218"/>
        <v/>
      </c>
      <c r="AO347" s="3" t="str">
        <f t="shared" si="219"/>
        <v/>
      </c>
      <c r="AP347" s="33" t="str">
        <f t="shared" si="220"/>
        <v/>
      </c>
      <c r="AQ347" s="58" t="str">
        <f t="shared" si="221"/>
        <v/>
      </c>
      <c r="AR347" s="38">
        <f>'ANR OK vs ML7'!AR347</f>
        <v>0.1</v>
      </c>
      <c r="AS347" s="35" t="str">
        <f t="shared" si="222"/>
        <v/>
      </c>
      <c r="AT347" s="3" t="str">
        <f t="shared" si="223"/>
        <v/>
      </c>
      <c r="AU347" s="3" t="str">
        <f t="shared" si="224"/>
        <v/>
      </c>
      <c r="AW347" s="32" t="str">
        <f t="shared" si="225"/>
        <v/>
      </c>
      <c r="AX347" s="32" t="str">
        <f t="shared" si="226"/>
        <v/>
      </c>
      <c r="AY347" s="32" t="str">
        <f t="shared" si="227"/>
        <v/>
      </c>
      <c r="BA347" s="32" t="str">
        <f>IF($A348="","",F347*Summary!$Q$14)</f>
        <v/>
      </c>
    </row>
    <row r="348" spans="1:53" ht="12" customHeight="1">
      <c r="A348" s="67" t="str">
        <f t="shared" si="228"/>
        <v/>
      </c>
      <c r="B348" s="69" t="str">
        <f t="shared" si="229"/>
        <v/>
      </c>
      <c r="C348" s="71"/>
      <c r="D348" s="69" t="str">
        <f t="shared" si="193"/>
        <v/>
      </c>
      <c r="E348" s="70" t="str">
        <f t="shared" si="194"/>
        <v/>
      </c>
      <c r="F348" s="70" t="str">
        <f t="shared" si="195"/>
        <v/>
      </c>
      <c r="G348" s="63" t="str">
        <f t="shared" si="196"/>
        <v/>
      </c>
      <c r="H348" s="64" t="str">
        <f t="shared" si="197"/>
        <v/>
      </c>
      <c r="I348" s="43"/>
      <c r="J348" s="63" t="str">
        <f t="shared" si="198"/>
        <v/>
      </c>
      <c r="K348" s="64" t="str">
        <f t="shared" si="199"/>
        <v/>
      </c>
      <c r="L348" s="38">
        <v>0</v>
      </c>
      <c r="M348" s="64" t="str">
        <f t="shared" si="200"/>
        <v/>
      </c>
      <c r="N348" s="65"/>
      <c r="O348" s="63" t="str">
        <f t="shared" si="201"/>
        <v/>
      </c>
      <c r="P348" s="63" t="str">
        <f t="shared" si="202"/>
        <v/>
      </c>
      <c r="Q348" s="66"/>
      <c r="R348" s="63" t="str">
        <f t="shared" si="203"/>
        <v/>
      </c>
      <c r="S348" s="64" t="str">
        <f t="shared" si="204"/>
        <v/>
      </c>
      <c r="T348" s="63" t="str">
        <f t="shared" si="205"/>
        <v/>
      </c>
      <c r="U348" s="64" t="str">
        <f t="shared" si="206"/>
        <v/>
      </c>
      <c r="V348" s="207" t="str">
        <f>IF($A349="","",IF(AND(MONTH(A348)&gt;3,MONTH(A348)&lt;11),(T348+R348+G348)*(((1/(1-Summary!$T$14))/(1-Summary!$W$14))-1),(T348+R348+G348)*((1/(1-Summary!$U$14))/(1-Summary!$X$14)-1)))</f>
        <v/>
      </c>
      <c r="W348" s="43" t="str">
        <f t="shared" si="207"/>
        <v/>
      </c>
      <c r="X348" s="43" t="str">
        <f t="shared" si="208"/>
        <v/>
      </c>
      <c r="Y348" s="43"/>
      <c r="Z348" s="38" t="str">
        <f t="shared" si="209"/>
        <v/>
      </c>
      <c r="AA348" s="38" t="str">
        <f t="shared" si="210"/>
        <v/>
      </c>
      <c r="AB348" s="38" t="e">
        <f t="shared" si="211"/>
        <v>#VALUE!</v>
      </c>
      <c r="AC348" s="38" t="str">
        <f t="shared" si="212"/>
        <v/>
      </c>
      <c r="AD348" s="38" t="str">
        <f t="shared" si="213"/>
        <v/>
      </c>
      <c r="AE348" s="38" t="e">
        <f t="shared" si="214"/>
        <v>#VALUE!</v>
      </c>
      <c r="AF348" s="237" t="e">
        <f>((Summary!$N$14*(AA348*AD348)*(A348-$D$3))+(Summary!$M$14*Z348*AC348*(AJ348-EOMONTH(EDATE(A348,-1),0))))/(AK348*AB348*AE348)</f>
        <v>#VALUE!</v>
      </c>
      <c r="AG348" s="88" t="str">
        <f>IF($A349="","",Summary!$Q$14)</f>
        <v/>
      </c>
      <c r="AH348" s="88" t="str">
        <f>IF($A349="","",IF(Summary!$R$12="Y",(VLOOKUP($A348,Summary!$AD$6:$AF$9,3)+'Escalating commodity'!J361),'Escalating commodity'!J361))</f>
        <v/>
      </c>
      <c r="AI348" s="88" t="str">
        <f t="shared" si="230"/>
        <v/>
      </c>
      <c r="AJ348" s="236" t="e">
        <f t="shared" si="215"/>
        <v>#VALUE!</v>
      </c>
      <c r="AK348" s="58" t="str">
        <f t="shared" si="216"/>
        <v/>
      </c>
      <c r="AL348" s="26" t="str">
        <f>IF($A349="","",_xll.SPRDOPT(P348,X348,AI348,0,AB348,AE348,AF348,AK348,$AJ$2,0))</f>
        <v/>
      </c>
      <c r="AM348" s="89" t="str">
        <f t="shared" si="217"/>
        <v/>
      </c>
      <c r="AN348" s="89" t="str">
        <f t="shared" si="218"/>
        <v/>
      </c>
      <c r="AO348" s="3" t="str">
        <f t="shared" si="219"/>
        <v/>
      </c>
      <c r="AP348" s="33" t="str">
        <f t="shared" si="220"/>
        <v/>
      </c>
      <c r="AQ348" s="58" t="str">
        <f t="shared" si="221"/>
        <v/>
      </c>
      <c r="AR348" s="38">
        <f>'ANR OK vs ML7'!AR348</f>
        <v>0.1</v>
      </c>
      <c r="AS348" s="35" t="str">
        <f t="shared" si="222"/>
        <v/>
      </c>
      <c r="AT348" s="3" t="str">
        <f t="shared" si="223"/>
        <v/>
      </c>
      <c r="AU348" s="3" t="str">
        <f t="shared" si="224"/>
        <v/>
      </c>
      <c r="AW348" s="32" t="str">
        <f t="shared" si="225"/>
        <v/>
      </c>
      <c r="AX348" s="32" t="str">
        <f t="shared" si="226"/>
        <v/>
      </c>
      <c r="AY348" s="32" t="str">
        <f t="shared" si="227"/>
        <v/>
      </c>
      <c r="BA348" s="32" t="str">
        <f>IF($A349="","",F348*Summary!$Q$14)</f>
        <v/>
      </c>
    </row>
    <row r="349" spans="1:53" ht="12" customHeight="1">
      <c r="A349" s="67" t="str">
        <f t="shared" si="228"/>
        <v/>
      </c>
      <c r="B349" s="69" t="str">
        <f t="shared" si="229"/>
        <v/>
      </c>
      <c r="C349" s="71"/>
      <c r="D349" s="69" t="str">
        <f t="shared" si="193"/>
        <v/>
      </c>
      <c r="E349" s="70" t="str">
        <f t="shared" si="194"/>
        <v/>
      </c>
      <c r="F349" s="70" t="str">
        <f t="shared" si="195"/>
        <v/>
      </c>
      <c r="G349" s="63" t="str">
        <f t="shared" si="196"/>
        <v/>
      </c>
      <c r="H349" s="64" t="str">
        <f t="shared" si="197"/>
        <v/>
      </c>
      <c r="I349" s="43"/>
      <c r="J349" s="63" t="str">
        <f t="shared" si="198"/>
        <v/>
      </c>
      <c r="K349" s="64" t="str">
        <f t="shared" si="199"/>
        <v/>
      </c>
      <c r="L349" s="38">
        <v>0</v>
      </c>
      <c r="M349" s="64" t="str">
        <f t="shared" si="200"/>
        <v/>
      </c>
      <c r="N349" s="65"/>
      <c r="O349" s="63" t="str">
        <f t="shared" si="201"/>
        <v/>
      </c>
      <c r="P349" s="63" t="str">
        <f t="shared" si="202"/>
        <v/>
      </c>
      <c r="Q349" s="66"/>
      <c r="R349" s="63" t="str">
        <f t="shared" si="203"/>
        <v/>
      </c>
      <c r="S349" s="64" t="str">
        <f t="shared" si="204"/>
        <v/>
      </c>
      <c r="T349" s="63" t="str">
        <f t="shared" si="205"/>
        <v/>
      </c>
      <c r="U349" s="64" t="str">
        <f t="shared" si="206"/>
        <v/>
      </c>
      <c r="V349" s="207" t="str">
        <f>IF($A350="","",IF(AND(MONTH(A349)&gt;3,MONTH(A349)&lt;11),(T349+R349+G349)*(((1/(1-Summary!$T$14))/(1-Summary!$W$14))-1),(T349+R349+G349)*((1/(1-Summary!$U$14))/(1-Summary!$X$14)-1)))</f>
        <v/>
      </c>
      <c r="W349" s="43" t="str">
        <f t="shared" si="207"/>
        <v/>
      </c>
      <c r="X349" s="43" t="str">
        <f t="shared" si="208"/>
        <v/>
      </c>
      <c r="Y349" s="43"/>
      <c r="Z349" s="38" t="str">
        <f t="shared" si="209"/>
        <v/>
      </c>
      <c r="AA349" s="38" t="str">
        <f t="shared" si="210"/>
        <v/>
      </c>
      <c r="AB349" s="38" t="e">
        <f t="shared" si="211"/>
        <v>#VALUE!</v>
      </c>
      <c r="AC349" s="38" t="str">
        <f t="shared" si="212"/>
        <v/>
      </c>
      <c r="AD349" s="38" t="str">
        <f t="shared" si="213"/>
        <v/>
      </c>
      <c r="AE349" s="38" t="e">
        <f t="shared" si="214"/>
        <v>#VALUE!</v>
      </c>
      <c r="AF349" s="237" t="e">
        <f>((Summary!$N$14*(AA349*AD349)*(A349-$D$3))+(Summary!$M$14*Z349*AC349*(AJ349-EOMONTH(EDATE(A349,-1),0))))/(AK349*AB349*AE349)</f>
        <v>#VALUE!</v>
      </c>
      <c r="AG349" s="88" t="str">
        <f>IF($A350="","",Summary!$Q$14)</f>
        <v/>
      </c>
      <c r="AH349" s="88" t="str">
        <f>IF($A350="","",IF(Summary!$R$12="Y",(VLOOKUP($A349,Summary!$AD$6:$AF$9,3)+'Escalating commodity'!J362),'Escalating commodity'!J362))</f>
        <v/>
      </c>
      <c r="AI349" s="88" t="str">
        <f t="shared" si="230"/>
        <v/>
      </c>
      <c r="AJ349" s="236" t="e">
        <f t="shared" si="215"/>
        <v>#VALUE!</v>
      </c>
      <c r="AK349" s="58" t="str">
        <f t="shared" si="216"/>
        <v/>
      </c>
      <c r="AL349" s="26" t="str">
        <f>IF($A350="","",_xll.SPRDOPT(P349,X349,AI349,0,AB349,AE349,AF349,AK349,$AJ$2,0))</f>
        <v/>
      </c>
      <c r="AM349" s="89" t="str">
        <f t="shared" si="217"/>
        <v/>
      </c>
      <c r="AN349" s="89" t="str">
        <f t="shared" si="218"/>
        <v/>
      </c>
      <c r="AO349" s="3" t="str">
        <f t="shared" si="219"/>
        <v/>
      </c>
      <c r="AP349" s="33" t="str">
        <f t="shared" si="220"/>
        <v/>
      </c>
      <c r="AQ349" s="58" t="str">
        <f t="shared" si="221"/>
        <v/>
      </c>
      <c r="AR349" s="38">
        <f>'ANR OK vs ML7'!AR349</f>
        <v>0.1</v>
      </c>
      <c r="AS349" s="35" t="str">
        <f t="shared" si="222"/>
        <v/>
      </c>
      <c r="AT349" s="3" t="str">
        <f t="shared" si="223"/>
        <v/>
      </c>
      <c r="AU349" s="3" t="str">
        <f t="shared" si="224"/>
        <v/>
      </c>
      <c r="AW349" s="32" t="str">
        <f t="shared" si="225"/>
        <v/>
      </c>
      <c r="AX349" s="32" t="str">
        <f t="shared" si="226"/>
        <v/>
      </c>
      <c r="AY349" s="32" t="str">
        <f t="shared" si="227"/>
        <v/>
      </c>
      <c r="BA349" s="32" t="str">
        <f>IF($A350="","",F349*Summary!$Q$14)</f>
        <v/>
      </c>
    </row>
    <row r="350" spans="1:53" ht="12" customHeight="1">
      <c r="A350" s="67" t="str">
        <f t="shared" si="228"/>
        <v/>
      </c>
      <c r="B350" s="69" t="str">
        <f t="shared" si="229"/>
        <v/>
      </c>
      <c r="C350" s="71"/>
      <c r="D350" s="69" t="str">
        <f t="shared" si="193"/>
        <v/>
      </c>
      <c r="E350" s="70" t="str">
        <f t="shared" si="194"/>
        <v/>
      </c>
      <c r="F350" s="70" t="str">
        <f t="shared" si="195"/>
        <v/>
      </c>
      <c r="G350" s="63" t="str">
        <f t="shared" si="196"/>
        <v/>
      </c>
      <c r="H350" s="64" t="str">
        <f t="shared" si="197"/>
        <v/>
      </c>
      <c r="I350" s="43"/>
      <c r="J350" s="63" t="str">
        <f t="shared" si="198"/>
        <v/>
      </c>
      <c r="K350" s="64" t="str">
        <f t="shared" si="199"/>
        <v/>
      </c>
      <c r="L350" s="38">
        <v>0</v>
      </c>
      <c r="M350" s="64" t="str">
        <f t="shared" si="200"/>
        <v/>
      </c>
      <c r="N350" s="65"/>
      <c r="O350" s="63" t="str">
        <f t="shared" si="201"/>
        <v/>
      </c>
      <c r="P350" s="63" t="str">
        <f t="shared" si="202"/>
        <v/>
      </c>
      <c r="Q350" s="66"/>
      <c r="R350" s="63" t="str">
        <f t="shared" si="203"/>
        <v/>
      </c>
      <c r="S350" s="64" t="str">
        <f t="shared" si="204"/>
        <v/>
      </c>
      <c r="T350" s="63" t="str">
        <f t="shared" si="205"/>
        <v/>
      </c>
      <c r="U350" s="64" t="str">
        <f t="shared" si="206"/>
        <v/>
      </c>
      <c r="V350" s="207" t="str">
        <f>IF($A351="","",IF(AND(MONTH(A350)&gt;3,MONTH(A350)&lt;11),(T350+R350+G350)*(((1/(1-Summary!$T$14))/(1-Summary!$W$14))-1),(T350+R350+G350)*((1/(1-Summary!$U$14))/(1-Summary!$X$14)-1)))</f>
        <v/>
      </c>
      <c r="W350" s="43" t="str">
        <f t="shared" si="207"/>
        <v/>
      </c>
      <c r="X350" s="43" t="str">
        <f t="shared" si="208"/>
        <v/>
      </c>
      <c r="Y350" s="43"/>
      <c r="Z350" s="38" t="str">
        <f t="shared" si="209"/>
        <v/>
      </c>
      <c r="AA350" s="38" t="str">
        <f t="shared" si="210"/>
        <v/>
      </c>
      <c r="AB350" s="38" t="e">
        <f t="shared" si="211"/>
        <v>#VALUE!</v>
      </c>
      <c r="AC350" s="38" t="str">
        <f t="shared" si="212"/>
        <v/>
      </c>
      <c r="AD350" s="38" t="str">
        <f t="shared" si="213"/>
        <v/>
      </c>
      <c r="AE350" s="38" t="e">
        <f t="shared" si="214"/>
        <v>#VALUE!</v>
      </c>
      <c r="AF350" s="237" t="e">
        <f>((Summary!$N$14*(AA350*AD350)*(A350-$D$3))+(Summary!$M$14*Z350*AC350*(AJ350-EOMONTH(EDATE(A350,-1),0))))/(AK350*AB350*AE350)</f>
        <v>#VALUE!</v>
      </c>
      <c r="AG350" s="88" t="str">
        <f>IF($A351="","",Summary!$Q$14)</f>
        <v/>
      </c>
      <c r="AH350" s="88" t="str">
        <f>IF($A351="","",IF(Summary!$R$12="Y",(VLOOKUP($A350,Summary!$AD$6:$AF$9,3)+'Escalating commodity'!J363),'Escalating commodity'!J363))</f>
        <v/>
      </c>
      <c r="AI350" s="88" t="str">
        <f t="shared" si="230"/>
        <v/>
      </c>
      <c r="AJ350" s="236" t="e">
        <f t="shared" si="215"/>
        <v>#VALUE!</v>
      </c>
      <c r="AK350" s="58" t="str">
        <f t="shared" si="216"/>
        <v/>
      </c>
      <c r="AL350" s="26" t="str">
        <f>IF($A351="","",_xll.SPRDOPT(P350,X350,AI350,0,AB350,AE350,AF350,AK350,$AJ$2,0))</f>
        <v/>
      </c>
      <c r="AM350" s="89" t="str">
        <f t="shared" si="217"/>
        <v/>
      </c>
      <c r="AN350" s="89" t="str">
        <f t="shared" si="218"/>
        <v/>
      </c>
      <c r="AO350" s="3" t="str">
        <f t="shared" si="219"/>
        <v/>
      </c>
      <c r="AP350" s="33" t="str">
        <f t="shared" si="220"/>
        <v/>
      </c>
      <c r="AQ350" s="58" t="str">
        <f t="shared" si="221"/>
        <v/>
      </c>
      <c r="AR350" s="38">
        <f>'ANR OK vs ML7'!AR350</f>
        <v>0.1</v>
      </c>
      <c r="AS350" s="35" t="str">
        <f t="shared" si="222"/>
        <v/>
      </c>
      <c r="AT350" s="3" t="str">
        <f t="shared" si="223"/>
        <v/>
      </c>
      <c r="AU350" s="3" t="str">
        <f t="shared" si="224"/>
        <v/>
      </c>
      <c r="AW350" s="32" t="str">
        <f t="shared" si="225"/>
        <v/>
      </c>
      <c r="AX350" s="32" t="str">
        <f t="shared" si="226"/>
        <v/>
      </c>
      <c r="AY350" s="32" t="str">
        <f t="shared" si="227"/>
        <v/>
      </c>
      <c r="BA350" s="32" t="str">
        <f>IF($A351="","",F350*Summary!$Q$14)</f>
        <v/>
      </c>
    </row>
    <row r="351" spans="1:53" ht="12" customHeight="1">
      <c r="A351" s="67" t="str">
        <f t="shared" si="228"/>
        <v/>
      </c>
      <c r="B351" s="69" t="str">
        <f t="shared" si="229"/>
        <v/>
      </c>
      <c r="C351" s="71"/>
      <c r="D351" s="69" t="str">
        <f t="shared" si="193"/>
        <v/>
      </c>
      <c r="E351" s="70" t="str">
        <f t="shared" si="194"/>
        <v/>
      </c>
      <c r="F351" s="70" t="str">
        <f t="shared" si="195"/>
        <v/>
      </c>
      <c r="G351" s="63" t="str">
        <f t="shared" si="196"/>
        <v/>
      </c>
      <c r="H351" s="64" t="str">
        <f t="shared" si="197"/>
        <v/>
      </c>
      <c r="I351" s="43"/>
      <c r="J351" s="63" t="str">
        <f t="shared" si="198"/>
        <v/>
      </c>
      <c r="K351" s="64" t="str">
        <f t="shared" si="199"/>
        <v/>
      </c>
      <c r="L351" s="38">
        <v>0</v>
      </c>
      <c r="M351" s="64" t="str">
        <f t="shared" si="200"/>
        <v/>
      </c>
      <c r="N351" s="65"/>
      <c r="O351" s="63" t="str">
        <f t="shared" si="201"/>
        <v/>
      </c>
      <c r="P351" s="63" t="str">
        <f t="shared" si="202"/>
        <v/>
      </c>
      <c r="Q351" s="66"/>
      <c r="R351" s="63" t="str">
        <f t="shared" si="203"/>
        <v/>
      </c>
      <c r="S351" s="64" t="str">
        <f t="shared" si="204"/>
        <v/>
      </c>
      <c r="T351" s="63" t="str">
        <f t="shared" si="205"/>
        <v/>
      </c>
      <c r="U351" s="64" t="str">
        <f t="shared" si="206"/>
        <v/>
      </c>
      <c r="V351" s="207" t="str">
        <f>IF($A352="","",IF(AND(MONTH(A351)&gt;3,MONTH(A351)&lt;11),(T351+R351+G351)*(((1/(1-Summary!$T$14))/(1-Summary!$W$14))-1),(T351+R351+G351)*((1/(1-Summary!$U$14))/(1-Summary!$X$14)-1)))</f>
        <v/>
      </c>
      <c r="W351" s="43" t="str">
        <f t="shared" si="207"/>
        <v/>
      </c>
      <c r="X351" s="43" t="str">
        <f t="shared" si="208"/>
        <v/>
      </c>
      <c r="Y351" s="43"/>
      <c r="Z351" s="38" t="str">
        <f t="shared" si="209"/>
        <v/>
      </c>
      <c r="AA351" s="38" t="str">
        <f t="shared" si="210"/>
        <v/>
      </c>
      <c r="AB351" s="38" t="e">
        <f t="shared" si="211"/>
        <v>#VALUE!</v>
      </c>
      <c r="AC351" s="38" t="str">
        <f t="shared" si="212"/>
        <v/>
      </c>
      <c r="AD351" s="38" t="str">
        <f t="shared" si="213"/>
        <v/>
      </c>
      <c r="AE351" s="38" t="e">
        <f t="shared" si="214"/>
        <v>#VALUE!</v>
      </c>
      <c r="AF351" s="237" t="e">
        <f>((Summary!$N$14*(AA351*AD351)*(A351-$D$3))+(Summary!$M$14*Z351*AC351*(AJ351-EOMONTH(EDATE(A351,-1),0))))/(AK351*AB351*AE351)</f>
        <v>#VALUE!</v>
      </c>
      <c r="AG351" s="88" t="str">
        <f>IF($A352="","",Summary!$Q$14)</f>
        <v/>
      </c>
      <c r="AH351" s="88" t="str">
        <f>IF($A352="","",IF(Summary!$R$12="Y",(VLOOKUP($A351,Summary!$AD$6:$AF$9,3)+'Escalating commodity'!J364),'Escalating commodity'!J364))</f>
        <v/>
      </c>
      <c r="AI351" s="88" t="str">
        <f t="shared" si="230"/>
        <v/>
      </c>
      <c r="AJ351" s="236" t="e">
        <f t="shared" si="215"/>
        <v>#VALUE!</v>
      </c>
      <c r="AK351" s="58" t="str">
        <f t="shared" si="216"/>
        <v/>
      </c>
      <c r="AL351" s="26" t="str">
        <f>IF($A352="","",_xll.SPRDOPT(P351,X351,AI351,0,AB351,AE351,AF351,AK351,$AJ$2,0))</f>
        <v/>
      </c>
      <c r="AM351" s="89" t="str">
        <f t="shared" si="217"/>
        <v/>
      </c>
      <c r="AN351" s="89" t="str">
        <f t="shared" si="218"/>
        <v/>
      </c>
      <c r="AO351" s="3" t="str">
        <f t="shared" si="219"/>
        <v/>
      </c>
      <c r="AP351" s="33" t="str">
        <f t="shared" si="220"/>
        <v/>
      </c>
      <c r="AQ351" s="58" t="str">
        <f t="shared" si="221"/>
        <v/>
      </c>
      <c r="AR351" s="38">
        <f>'ANR OK vs ML7'!AR351</f>
        <v>0.1</v>
      </c>
      <c r="AS351" s="35" t="str">
        <f t="shared" si="222"/>
        <v/>
      </c>
      <c r="AT351" s="3" t="str">
        <f t="shared" si="223"/>
        <v/>
      </c>
      <c r="AU351" s="3" t="str">
        <f t="shared" si="224"/>
        <v/>
      </c>
      <c r="AW351" s="32" t="str">
        <f t="shared" si="225"/>
        <v/>
      </c>
      <c r="AX351" s="32" t="str">
        <f t="shared" si="226"/>
        <v/>
      </c>
      <c r="AY351" s="32" t="str">
        <f t="shared" si="227"/>
        <v/>
      </c>
      <c r="BA351" s="32" t="str">
        <f>IF($A352="","",F351*Summary!$Q$14)</f>
        <v/>
      </c>
    </row>
    <row r="352" spans="1:53" ht="12" customHeight="1">
      <c r="A352" s="67" t="str">
        <f t="shared" si="228"/>
        <v/>
      </c>
      <c r="B352" s="69" t="str">
        <f t="shared" si="229"/>
        <v/>
      </c>
      <c r="C352" s="71"/>
      <c r="D352" s="69" t="str">
        <f t="shared" si="193"/>
        <v/>
      </c>
      <c r="E352" s="70" t="str">
        <f t="shared" si="194"/>
        <v/>
      </c>
      <c r="F352" s="70" t="str">
        <f t="shared" si="195"/>
        <v/>
      </c>
      <c r="G352" s="63" t="str">
        <f t="shared" si="196"/>
        <v/>
      </c>
      <c r="H352" s="64" t="str">
        <f t="shared" si="197"/>
        <v/>
      </c>
      <c r="I352" s="43"/>
      <c r="J352" s="63" t="str">
        <f t="shared" si="198"/>
        <v/>
      </c>
      <c r="K352" s="64" t="str">
        <f t="shared" si="199"/>
        <v/>
      </c>
      <c r="L352" s="38">
        <v>0</v>
      </c>
      <c r="M352" s="64" t="str">
        <f t="shared" si="200"/>
        <v/>
      </c>
      <c r="N352" s="65"/>
      <c r="O352" s="63" t="str">
        <f t="shared" si="201"/>
        <v/>
      </c>
      <c r="P352" s="63" t="str">
        <f t="shared" si="202"/>
        <v/>
      </c>
      <c r="Q352" s="66"/>
      <c r="R352" s="63" t="str">
        <f t="shared" si="203"/>
        <v/>
      </c>
      <c r="S352" s="64" t="str">
        <f t="shared" si="204"/>
        <v/>
      </c>
      <c r="T352" s="63" t="str">
        <f t="shared" si="205"/>
        <v/>
      </c>
      <c r="U352" s="64" t="str">
        <f t="shared" si="206"/>
        <v/>
      </c>
      <c r="V352" s="207" t="str">
        <f>IF($A353="","",IF(AND(MONTH(A352)&gt;3,MONTH(A352)&lt;11),(T352+R352+G352)*(((1/(1-Summary!$T$14))/(1-Summary!$W$14))-1),(T352+R352+G352)*((1/(1-Summary!$U$14))/(1-Summary!$X$14)-1)))</f>
        <v/>
      </c>
      <c r="W352" s="43" t="str">
        <f t="shared" si="207"/>
        <v/>
      </c>
      <c r="X352" s="43" t="str">
        <f t="shared" si="208"/>
        <v/>
      </c>
      <c r="Y352" s="43"/>
      <c r="Z352" s="38" t="str">
        <f t="shared" si="209"/>
        <v/>
      </c>
      <c r="AA352" s="38" t="str">
        <f t="shared" si="210"/>
        <v/>
      </c>
      <c r="AB352" s="38" t="e">
        <f t="shared" si="211"/>
        <v>#VALUE!</v>
      </c>
      <c r="AC352" s="38" t="str">
        <f t="shared" si="212"/>
        <v/>
      </c>
      <c r="AD352" s="38" t="str">
        <f t="shared" si="213"/>
        <v/>
      </c>
      <c r="AE352" s="38" t="e">
        <f t="shared" si="214"/>
        <v>#VALUE!</v>
      </c>
      <c r="AF352" s="237" t="e">
        <f>((Summary!$N$14*(AA352*AD352)*(A352-$D$3))+(Summary!$M$14*Z352*AC352*(AJ352-EOMONTH(EDATE(A352,-1),0))))/(AK352*AB352*AE352)</f>
        <v>#VALUE!</v>
      </c>
      <c r="AG352" s="88" t="str">
        <f>IF($A353="","",Summary!$Q$14)</f>
        <v/>
      </c>
      <c r="AH352" s="88" t="str">
        <f>IF($A353="","",IF(Summary!$R$12="Y",(VLOOKUP($A352,Summary!$AD$6:$AF$9,3)+'Escalating commodity'!J365),'Escalating commodity'!J365))</f>
        <v/>
      </c>
      <c r="AI352" s="88" t="str">
        <f t="shared" si="230"/>
        <v/>
      </c>
      <c r="AJ352" s="236" t="e">
        <f t="shared" si="215"/>
        <v>#VALUE!</v>
      </c>
      <c r="AK352" s="58" t="str">
        <f t="shared" si="216"/>
        <v/>
      </c>
      <c r="AL352" s="26" t="str">
        <f>IF($A353="","",_xll.SPRDOPT(P352,X352,AI352,0,AB352,AE352,AF352,AK352,$AJ$2,0))</f>
        <v/>
      </c>
      <c r="AM352" s="89" t="str">
        <f t="shared" si="217"/>
        <v/>
      </c>
      <c r="AN352" s="89" t="str">
        <f t="shared" si="218"/>
        <v/>
      </c>
      <c r="AO352" s="3" t="str">
        <f t="shared" si="219"/>
        <v/>
      </c>
      <c r="AP352" s="33" t="str">
        <f t="shared" si="220"/>
        <v/>
      </c>
      <c r="AQ352" s="58" t="str">
        <f t="shared" si="221"/>
        <v/>
      </c>
      <c r="AR352" s="38">
        <f>'ANR OK vs ML7'!AR352</f>
        <v>0.1</v>
      </c>
      <c r="AS352" s="35" t="str">
        <f t="shared" si="222"/>
        <v/>
      </c>
      <c r="AT352" s="3" t="str">
        <f t="shared" si="223"/>
        <v/>
      </c>
      <c r="AU352" s="3" t="str">
        <f t="shared" si="224"/>
        <v/>
      </c>
      <c r="AW352" s="32" t="str">
        <f t="shared" si="225"/>
        <v/>
      </c>
      <c r="AX352" s="32" t="str">
        <f t="shared" si="226"/>
        <v/>
      </c>
      <c r="AY352" s="32" t="str">
        <f t="shared" si="227"/>
        <v/>
      </c>
      <c r="BA352" s="32" t="str">
        <f>IF($A353="","",F352*Summary!$Q$14)</f>
        <v/>
      </c>
    </row>
    <row r="353" spans="1:53" ht="12" customHeight="1">
      <c r="A353" s="67" t="str">
        <f t="shared" si="228"/>
        <v/>
      </c>
      <c r="B353" s="69" t="str">
        <f t="shared" si="229"/>
        <v/>
      </c>
      <c r="C353" s="71"/>
      <c r="D353" s="69" t="str">
        <f t="shared" si="193"/>
        <v/>
      </c>
      <c r="E353" s="70" t="str">
        <f t="shared" si="194"/>
        <v/>
      </c>
      <c r="F353" s="70" t="str">
        <f t="shared" si="195"/>
        <v/>
      </c>
      <c r="G353" s="63" t="str">
        <f t="shared" si="196"/>
        <v/>
      </c>
      <c r="H353" s="64" t="str">
        <f t="shared" si="197"/>
        <v/>
      </c>
      <c r="I353" s="43"/>
      <c r="J353" s="63" t="str">
        <f t="shared" si="198"/>
        <v/>
      </c>
      <c r="K353" s="64" t="str">
        <f t="shared" si="199"/>
        <v/>
      </c>
      <c r="L353" s="38">
        <v>0</v>
      </c>
      <c r="M353" s="64" t="str">
        <f t="shared" si="200"/>
        <v/>
      </c>
      <c r="N353" s="65"/>
      <c r="O353" s="63" t="str">
        <f t="shared" si="201"/>
        <v/>
      </c>
      <c r="P353" s="63" t="str">
        <f t="shared" si="202"/>
        <v/>
      </c>
      <c r="Q353" s="66"/>
      <c r="R353" s="63" t="str">
        <f t="shared" si="203"/>
        <v/>
      </c>
      <c r="S353" s="64" t="str">
        <f t="shared" si="204"/>
        <v/>
      </c>
      <c r="T353" s="63" t="str">
        <f t="shared" si="205"/>
        <v/>
      </c>
      <c r="U353" s="64" t="str">
        <f t="shared" si="206"/>
        <v/>
      </c>
      <c r="V353" s="207" t="str">
        <f>IF($A354="","",IF(AND(MONTH(A353)&gt;3,MONTH(A353)&lt;11),(T353+R353+G353)*(((1/(1-Summary!$T$14))/(1-Summary!$W$14))-1),(T353+R353+G353)*((1/(1-Summary!$U$14))/(1-Summary!$X$14)-1)))</f>
        <v/>
      </c>
      <c r="W353" s="43" t="str">
        <f t="shared" si="207"/>
        <v/>
      </c>
      <c r="X353" s="43" t="str">
        <f t="shared" si="208"/>
        <v/>
      </c>
      <c r="Y353" s="43"/>
      <c r="Z353" s="38" t="str">
        <f t="shared" si="209"/>
        <v/>
      </c>
      <c r="AA353" s="38" t="str">
        <f t="shared" si="210"/>
        <v/>
      </c>
      <c r="AB353" s="38" t="e">
        <f t="shared" si="211"/>
        <v>#VALUE!</v>
      </c>
      <c r="AC353" s="38" t="str">
        <f t="shared" si="212"/>
        <v/>
      </c>
      <c r="AD353" s="38" t="str">
        <f t="shared" si="213"/>
        <v/>
      </c>
      <c r="AE353" s="38" t="e">
        <f t="shared" si="214"/>
        <v>#VALUE!</v>
      </c>
      <c r="AF353" s="237" t="e">
        <f>((Summary!$N$14*(AA353*AD353)*(A353-$D$3))+(Summary!$M$14*Z353*AC353*(AJ353-EOMONTH(EDATE(A353,-1),0))))/(AK353*AB353*AE353)</f>
        <v>#VALUE!</v>
      </c>
      <c r="AG353" s="88" t="str">
        <f>IF($A354="","",Summary!$Q$14)</f>
        <v/>
      </c>
      <c r="AH353" s="88" t="str">
        <f>IF($A354="","",IF(Summary!$R$12="Y",(VLOOKUP($A353,Summary!$AD$6:$AF$9,3)+'Escalating commodity'!J366),'Escalating commodity'!J366))</f>
        <v/>
      </c>
      <c r="AI353" s="88" t="str">
        <f t="shared" si="230"/>
        <v/>
      </c>
      <c r="AJ353" s="236" t="e">
        <f t="shared" si="215"/>
        <v>#VALUE!</v>
      </c>
      <c r="AK353" s="58" t="str">
        <f t="shared" si="216"/>
        <v/>
      </c>
      <c r="AL353" s="26" t="str">
        <f>IF($A354="","",_xll.SPRDOPT(P353,X353,AI353,0,AB353,AE353,AF353,AK353,$AJ$2,0))</f>
        <v/>
      </c>
      <c r="AM353" s="89" t="str">
        <f t="shared" si="217"/>
        <v/>
      </c>
      <c r="AN353" s="89" t="str">
        <f t="shared" si="218"/>
        <v/>
      </c>
      <c r="AO353" s="3" t="str">
        <f t="shared" si="219"/>
        <v/>
      </c>
      <c r="AP353" s="33" t="str">
        <f t="shared" si="220"/>
        <v/>
      </c>
      <c r="AQ353" s="58" t="str">
        <f t="shared" si="221"/>
        <v/>
      </c>
      <c r="AR353" s="38">
        <f>'ANR OK vs ML7'!AR353</f>
        <v>0.1</v>
      </c>
      <c r="AS353" s="35" t="str">
        <f t="shared" si="222"/>
        <v/>
      </c>
      <c r="AT353" s="3" t="str">
        <f t="shared" si="223"/>
        <v/>
      </c>
      <c r="AU353" s="3" t="str">
        <f t="shared" si="224"/>
        <v/>
      </c>
      <c r="AW353" s="32" t="str">
        <f t="shared" si="225"/>
        <v/>
      </c>
      <c r="AX353" s="32" t="str">
        <f t="shared" si="226"/>
        <v/>
      </c>
      <c r="AY353" s="32" t="str">
        <f t="shared" si="227"/>
        <v/>
      </c>
      <c r="BA353" s="32" t="str">
        <f>IF($A354="","",F353*Summary!$Q$14)</f>
        <v/>
      </c>
    </row>
    <row r="354" spans="1:53" ht="12" customHeight="1">
      <c r="A354" s="67" t="str">
        <f t="shared" si="228"/>
        <v/>
      </c>
      <c r="B354" s="69" t="str">
        <f t="shared" si="229"/>
        <v/>
      </c>
      <c r="C354" s="71"/>
      <c r="D354" s="69" t="str">
        <f t="shared" si="193"/>
        <v/>
      </c>
      <c r="E354" s="70" t="str">
        <f t="shared" si="194"/>
        <v/>
      </c>
      <c r="F354" s="70" t="str">
        <f t="shared" si="195"/>
        <v/>
      </c>
      <c r="G354" s="63" t="str">
        <f t="shared" si="196"/>
        <v/>
      </c>
      <c r="H354" s="64" t="str">
        <f t="shared" si="197"/>
        <v/>
      </c>
      <c r="I354" s="43"/>
      <c r="J354" s="63" t="str">
        <f t="shared" si="198"/>
        <v/>
      </c>
      <c r="K354" s="64" t="str">
        <f t="shared" si="199"/>
        <v/>
      </c>
      <c r="L354" s="38">
        <v>0</v>
      </c>
      <c r="M354" s="64" t="str">
        <f t="shared" si="200"/>
        <v/>
      </c>
      <c r="N354" s="65"/>
      <c r="O354" s="63" t="str">
        <f t="shared" si="201"/>
        <v/>
      </c>
      <c r="P354" s="63" t="str">
        <f t="shared" si="202"/>
        <v/>
      </c>
      <c r="Q354" s="66"/>
      <c r="R354" s="63" t="str">
        <f t="shared" si="203"/>
        <v/>
      </c>
      <c r="S354" s="64" t="str">
        <f t="shared" si="204"/>
        <v/>
      </c>
      <c r="T354" s="63" t="str">
        <f t="shared" si="205"/>
        <v/>
      </c>
      <c r="U354" s="64" t="str">
        <f t="shared" si="206"/>
        <v/>
      </c>
      <c r="V354" s="207" t="str">
        <f>IF($A355="","",IF(AND(MONTH(A354)&gt;3,MONTH(A354)&lt;11),(T354+R354+G354)*(((1/(1-Summary!$T$14))/(1-Summary!$W$14))-1),(T354+R354+G354)*((1/(1-Summary!$U$14))/(1-Summary!$X$14)-1)))</f>
        <v/>
      </c>
      <c r="W354" s="43" t="str">
        <f t="shared" si="207"/>
        <v/>
      </c>
      <c r="X354" s="43" t="str">
        <f t="shared" si="208"/>
        <v/>
      </c>
      <c r="Y354" s="43"/>
      <c r="Z354" s="38" t="str">
        <f t="shared" si="209"/>
        <v/>
      </c>
      <c r="AA354" s="38" t="str">
        <f t="shared" si="210"/>
        <v/>
      </c>
      <c r="AB354" s="38" t="e">
        <f t="shared" si="211"/>
        <v>#VALUE!</v>
      </c>
      <c r="AC354" s="38" t="str">
        <f t="shared" si="212"/>
        <v/>
      </c>
      <c r="AD354" s="38" t="str">
        <f t="shared" si="213"/>
        <v/>
      </c>
      <c r="AE354" s="38" t="e">
        <f t="shared" si="214"/>
        <v>#VALUE!</v>
      </c>
      <c r="AF354" s="237" t="e">
        <f>((Summary!$N$14*(AA354*AD354)*(A354-$D$3))+(Summary!$M$14*Z354*AC354*(AJ354-EOMONTH(EDATE(A354,-1),0))))/(AK354*AB354*AE354)</f>
        <v>#VALUE!</v>
      </c>
      <c r="AG354" s="88" t="str">
        <f>IF($A355="","",Summary!$Q$14)</f>
        <v/>
      </c>
      <c r="AH354" s="88" t="str">
        <f>IF($A355="","",IF(Summary!$R$12="Y",(VLOOKUP($A354,Summary!$AD$6:$AF$9,3)+'Escalating commodity'!J367),'Escalating commodity'!J367))</f>
        <v/>
      </c>
      <c r="AI354" s="88" t="str">
        <f t="shared" si="230"/>
        <v/>
      </c>
      <c r="AJ354" s="236" t="e">
        <f t="shared" si="215"/>
        <v>#VALUE!</v>
      </c>
      <c r="AK354" s="58" t="str">
        <f t="shared" si="216"/>
        <v/>
      </c>
      <c r="AL354" s="26" t="str">
        <f>IF($A355="","",_xll.SPRDOPT(P354,X354,AI354,0,AB354,AE354,AF354,AK354,$AJ$2,0))</f>
        <v/>
      </c>
      <c r="AM354" s="89" t="str">
        <f t="shared" si="217"/>
        <v/>
      </c>
      <c r="AN354" s="89" t="str">
        <f t="shared" si="218"/>
        <v/>
      </c>
      <c r="AO354" s="3" t="str">
        <f t="shared" si="219"/>
        <v/>
      </c>
      <c r="AP354" s="33" t="str">
        <f t="shared" si="220"/>
        <v/>
      </c>
      <c r="AQ354" s="58" t="str">
        <f t="shared" si="221"/>
        <v/>
      </c>
      <c r="AR354" s="38">
        <f>'ANR OK vs ML7'!AR354</f>
        <v>0.1</v>
      </c>
      <c r="AS354" s="35" t="str">
        <f t="shared" si="222"/>
        <v/>
      </c>
      <c r="AT354" s="3" t="str">
        <f t="shared" si="223"/>
        <v/>
      </c>
      <c r="AU354" s="3" t="str">
        <f t="shared" si="224"/>
        <v/>
      </c>
      <c r="AW354" s="32" t="str">
        <f t="shared" si="225"/>
        <v/>
      </c>
      <c r="AX354" s="32" t="str">
        <f t="shared" si="226"/>
        <v/>
      </c>
      <c r="AY354" s="32" t="str">
        <f t="shared" si="227"/>
        <v/>
      </c>
      <c r="BA354" s="32" t="str">
        <f>IF($A355="","",F354*Summary!$Q$14)</f>
        <v/>
      </c>
    </row>
    <row r="355" spans="1:53" ht="12" customHeight="1">
      <c r="A355" s="67" t="str">
        <f t="shared" si="228"/>
        <v/>
      </c>
      <c r="B355" s="69" t="str">
        <f t="shared" si="229"/>
        <v/>
      </c>
      <c r="C355" s="71"/>
      <c r="D355" s="69" t="str">
        <f t="shared" si="193"/>
        <v/>
      </c>
      <c r="E355" s="70" t="str">
        <f t="shared" si="194"/>
        <v/>
      </c>
      <c r="F355" s="70" t="str">
        <f t="shared" si="195"/>
        <v/>
      </c>
      <c r="G355" s="63" t="str">
        <f t="shared" si="196"/>
        <v/>
      </c>
      <c r="H355" s="64" t="str">
        <f t="shared" si="197"/>
        <v/>
      </c>
      <c r="I355" s="43"/>
      <c r="J355" s="63" t="str">
        <f t="shared" si="198"/>
        <v/>
      </c>
      <c r="K355" s="64" t="str">
        <f t="shared" si="199"/>
        <v/>
      </c>
      <c r="L355" s="38">
        <v>0</v>
      </c>
      <c r="M355" s="64" t="str">
        <f t="shared" si="200"/>
        <v/>
      </c>
      <c r="N355" s="65"/>
      <c r="O355" s="63" t="str">
        <f t="shared" si="201"/>
        <v/>
      </c>
      <c r="P355" s="63" t="str">
        <f t="shared" si="202"/>
        <v/>
      </c>
      <c r="Q355" s="66"/>
      <c r="R355" s="63" t="str">
        <f t="shared" si="203"/>
        <v/>
      </c>
      <c r="S355" s="64" t="str">
        <f t="shared" si="204"/>
        <v/>
      </c>
      <c r="T355" s="63" t="str">
        <f t="shared" si="205"/>
        <v/>
      </c>
      <c r="U355" s="64" t="str">
        <f t="shared" si="206"/>
        <v/>
      </c>
      <c r="V355" s="207" t="str">
        <f>IF($A356="","",IF(AND(MONTH(A355)&gt;3,MONTH(A355)&lt;11),(T355+R355+G355)*(((1/(1-Summary!$T$14))/(1-Summary!$W$14))-1),(T355+R355+G355)*((1/(1-Summary!$U$14))/(1-Summary!$X$14)-1)))</f>
        <v/>
      </c>
      <c r="W355" s="43" t="str">
        <f t="shared" si="207"/>
        <v/>
      </c>
      <c r="X355" s="43" t="str">
        <f t="shared" si="208"/>
        <v/>
      </c>
      <c r="Y355" s="43"/>
      <c r="Z355" s="38" t="str">
        <f t="shared" si="209"/>
        <v/>
      </c>
      <c r="AA355" s="38" t="str">
        <f t="shared" si="210"/>
        <v/>
      </c>
      <c r="AB355" s="38" t="e">
        <f t="shared" si="211"/>
        <v>#VALUE!</v>
      </c>
      <c r="AC355" s="38" t="str">
        <f t="shared" si="212"/>
        <v/>
      </c>
      <c r="AD355" s="38" t="str">
        <f t="shared" si="213"/>
        <v/>
      </c>
      <c r="AE355" s="38" t="e">
        <f t="shared" si="214"/>
        <v>#VALUE!</v>
      </c>
      <c r="AF355" s="237" t="e">
        <f>((Summary!$N$14*(AA355*AD355)*(A355-$D$3))+(Summary!$M$14*Z355*AC355*(AJ355-EOMONTH(EDATE(A355,-1),0))))/(AK355*AB355*AE355)</f>
        <v>#VALUE!</v>
      </c>
      <c r="AG355" s="88" t="str">
        <f>IF($A356="","",Summary!$Q$14)</f>
        <v/>
      </c>
      <c r="AH355" s="88" t="str">
        <f>IF($A356="","",IF(Summary!$R$12="Y",(VLOOKUP($A355,Summary!$AD$6:$AF$9,3)+'Escalating commodity'!J368),'Escalating commodity'!J368))</f>
        <v/>
      </c>
      <c r="AI355" s="88" t="str">
        <f t="shared" si="230"/>
        <v/>
      </c>
      <c r="AJ355" s="236" t="e">
        <f t="shared" si="215"/>
        <v>#VALUE!</v>
      </c>
      <c r="AK355" s="58" t="str">
        <f t="shared" si="216"/>
        <v/>
      </c>
      <c r="AL355" s="26" t="str">
        <f>IF($A356="","",_xll.SPRDOPT(P355,X355,AI355,0,AB355,AE355,AF355,AK355,$AJ$2,0))</f>
        <v/>
      </c>
      <c r="AM355" s="89" t="str">
        <f t="shared" si="217"/>
        <v/>
      </c>
      <c r="AN355" s="89" t="str">
        <f t="shared" si="218"/>
        <v/>
      </c>
      <c r="AO355" s="3" t="str">
        <f t="shared" si="219"/>
        <v/>
      </c>
      <c r="AP355" s="33" t="str">
        <f t="shared" si="220"/>
        <v/>
      </c>
      <c r="AQ355" s="58" t="str">
        <f t="shared" si="221"/>
        <v/>
      </c>
      <c r="AR355" s="38">
        <f>'ANR OK vs ML7'!AR355</f>
        <v>0.1</v>
      </c>
      <c r="AS355" s="35" t="str">
        <f t="shared" si="222"/>
        <v/>
      </c>
      <c r="AT355" s="3" t="str">
        <f t="shared" si="223"/>
        <v/>
      </c>
      <c r="AU355" s="3" t="str">
        <f t="shared" si="224"/>
        <v/>
      </c>
      <c r="AW355" s="32" t="str">
        <f t="shared" si="225"/>
        <v/>
      </c>
      <c r="AX355" s="32" t="str">
        <f t="shared" si="226"/>
        <v/>
      </c>
      <c r="AY355" s="32" t="str">
        <f t="shared" si="227"/>
        <v/>
      </c>
      <c r="BA355" s="32" t="str">
        <f>IF($A356="","",F355*Summary!$Q$14)</f>
        <v/>
      </c>
    </row>
    <row r="356" spans="1:53" ht="12" customHeight="1">
      <c r="A356" s="67" t="str">
        <f t="shared" si="228"/>
        <v/>
      </c>
      <c r="B356" s="69" t="str">
        <f t="shared" si="229"/>
        <v/>
      </c>
      <c r="C356" s="71"/>
      <c r="D356" s="69" t="str">
        <f t="shared" si="193"/>
        <v/>
      </c>
      <c r="E356" s="70" t="str">
        <f t="shared" si="194"/>
        <v/>
      </c>
      <c r="F356" s="70" t="str">
        <f t="shared" si="195"/>
        <v/>
      </c>
      <c r="G356" s="63" t="str">
        <f t="shared" si="196"/>
        <v/>
      </c>
      <c r="H356" s="64" t="str">
        <f t="shared" si="197"/>
        <v/>
      </c>
      <c r="I356" s="43"/>
      <c r="J356" s="63" t="str">
        <f t="shared" si="198"/>
        <v/>
      </c>
      <c r="K356" s="64" t="str">
        <f t="shared" si="199"/>
        <v/>
      </c>
      <c r="L356" s="38">
        <v>0</v>
      </c>
      <c r="M356" s="64" t="str">
        <f t="shared" si="200"/>
        <v/>
      </c>
      <c r="N356" s="65"/>
      <c r="O356" s="63" t="str">
        <f t="shared" si="201"/>
        <v/>
      </c>
      <c r="P356" s="63" t="str">
        <f t="shared" si="202"/>
        <v/>
      </c>
      <c r="Q356" s="66"/>
      <c r="R356" s="63" t="str">
        <f t="shared" si="203"/>
        <v/>
      </c>
      <c r="S356" s="64" t="str">
        <f t="shared" si="204"/>
        <v/>
      </c>
      <c r="T356" s="63" t="str">
        <f t="shared" si="205"/>
        <v/>
      </c>
      <c r="U356" s="64" t="str">
        <f t="shared" si="206"/>
        <v/>
      </c>
      <c r="V356" s="207" t="str">
        <f>IF($A357="","",IF(AND(MONTH(A356)&gt;3,MONTH(A356)&lt;11),(T356+R356+G356)*(((1/(1-Summary!$T$14))/(1-Summary!$W$14))-1),(T356+R356+G356)*((1/(1-Summary!$U$14))/(1-Summary!$X$14)-1)))</f>
        <v/>
      </c>
      <c r="W356" s="43" t="str">
        <f t="shared" si="207"/>
        <v/>
      </c>
      <c r="X356" s="43" t="str">
        <f t="shared" si="208"/>
        <v/>
      </c>
      <c r="Y356" s="43"/>
      <c r="Z356" s="38" t="str">
        <f t="shared" si="209"/>
        <v/>
      </c>
      <c r="AA356" s="38" t="str">
        <f t="shared" si="210"/>
        <v/>
      </c>
      <c r="AB356" s="38" t="e">
        <f t="shared" si="211"/>
        <v>#VALUE!</v>
      </c>
      <c r="AC356" s="38" t="str">
        <f t="shared" si="212"/>
        <v/>
      </c>
      <c r="AD356" s="38" t="str">
        <f t="shared" si="213"/>
        <v/>
      </c>
      <c r="AE356" s="38" t="e">
        <f t="shared" si="214"/>
        <v>#VALUE!</v>
      </c>
      <c r="AF356" s="237" t="e">
        <f>((Summary!$N$14*(AA356*AD356)*(A356-$D$3))+(Summary!$M$14*Z356*AC356*(AJ356-EOMONTH(EDATE(A356,-1),0))))/(AK356*AB356*AE356)</f>
        <v>#VALUE!</v>
      </c>
      <c r="AG356" s="88" t="str">
        <f>IF($A357="","",Summary!$Q$14)</f>
        <v/>
      </c>
      <c r="AH356" s="88" t="str">
        <f>IF($A357="","",IF(Summary!$R$12="Y",(VLOOKUP($A356,Summary!$AD$6:$AF$9,3)+'Escalating commodity'!J369),'Escalating commodity'!J369))</f>
        <v/>
      </c>
      <c r="AI356" s="88" t="str">
        <f t="shared" si="230"/>
        <v/>
      </c>
      <c r="AJ356" s="236" t="e">
        <f t="shared" si="215"/>
        <v>#VALUE!</v>
      </c>
      <c r="AK356" s="58" t="str">
        <f t="shared" si="216"/>
        <v/>
      </c>
      <c r="AL356" s="26" t="str">
        <f>IF($A357="","",_xll.SPRDOPT(P356,X356,AI356,0,AB356,AE356,AF356,AK356,$AJ$2,0))</f>
        <v/>
      </c>
      <c r="AM356" s="89" t="str">
        <f t="shared" si="217"/>
        <v/>
      </c>
      <c r="AN356" s="89" t="str">
        <f t="shared" si="218"/>
        <v/>
      </c>
      <c r="AO356" s="3" t="str">
        <f t="shared" si="219"/>
        <v/>
      </c>
      <c r="AP356" s="33" t="str">
        <f t="shared" si="220"/>
        <v/>
      </c>
      <c r="AQ356" s="58" t="str">
        <f t="shared" si="221"/>
        <v/>
      </c>
      <c r="AR356" s="38">
        <f>'ANR OK vs ML7'!AR356</f>
        <v>0.1</v>
      </c>
      <c r="AS356" s="35" t="str">
        <f t="shared" si="222"/>
        <v/>
      </c>
      <c r="AT356" s="3" t="str">
        <f t="shared" si="223"/>
        <v/>
      </c>
      <c r="AU356" s="3" t="str">
        <f t="shared" si="224"/>
        <v/>
      </c>
      <c r="AW356" s="32" t="str">
        <f t="shared" si="225"/>
        <v/>
      </c>
      <c r="AX356" s="32" t="str">
        <f t="shared" si="226"/>
        <v/>
      </c>
      <c r="AY356" s="32" t="str">
        <f t="shared" si="227"/>
        <v/>
      </c>
      <c r="BA356" s="32" t="str">
        <f>IF($A357="","",F356*Summary!$Q$14)</f>
        <v/>
      </c>
    </row>
    <row r="357" spans="1:53" ht="12" customHeight="1">
      <c r="A357" s="67" t="str">
        <f t="shared" si="228"/>
        <v/>
      </c>
      <c r="B357" s="69" t="str">
        <f t="shared" si="229"/>
        <v/>
      </c>
      <c r="C357" s="71"/>
      <c r="D357" s="69" t="str">
        <f t="shared" si="193"/>
        <v/>
      </c>
      <c r="E357" s="70" t="str">
        <f t="shared" si="194"/>
        <v/>
      </c>
      <c r="F357" s="70" t="str">
        <f t="shared" si="195"/>
        <v/>
      </c>
      <c r="G357" s="63" t="str">
        <f t="shared" si="196"/>
        <v/>
      </c>
      <c r="H357" s="64" t="str">
        <f t="shared" si="197"/>
        <v/>
      </c>
      <c r="I357" s="43"/>
      <c r="J357" s="63" t="str">
        <f t="shared" si="198"/>
        <v/>
      </c>
      <c r="K357" s="64" t="str">
        <f t="shared" si="199"/>
        <v/>
      </c>
      <c r="L357" s="38">
        <v>0</v>
      </c>
      <c r="M357" s="64" t="str">
        <f t="shared" si="200"/>
        <v/>
      </c>
      <c r="N357" s="65"/>
      <c r="O357" s="63" t="str">
        <f t="shared" si="201"/>
        <v/>
      </c>
      <c r="P357" s="63" t="str">
        <f t="shared" si="202"/>
        <v/>
      </c>
      <c r="Q357" s="66"/>
      <c r="R357" s="63" t="str">
        <f t="shared" si="203"/>
        <v/>
      </c>
      <c r="S357" s="64" t="str">
        <f t="shared" si="204"/>
        <v/>
      </c>
      <c r="T357" s="63" t="str">
        <f t="shared" si="205"/>
        <v/>
      </c>
      <c r="U357" s="64" t="str">
        <f t="shared" si="206"/>
        <v/>
      </c>
      <c r="V357" s="207" t="str">
        <f>IF($A358="","",IF(AND(MONTH(A357)&gt;3,MONTH(A357)&lt;11),(T357+R357+G357)*(((1/(1-Summary!$T$14))/(1-Summary!$W$14))-1),(T357+R357+G357)*((1/(1-Summary!$U$14))/(1-Summary!$X$14)-1)))</f>
        <v/>
      </c>
      <c r="W357" s="43" t="str">
        <f t="shared" si="207"/>
        <v/>
      </c>
      <c r="X357" s="43" t="str">
        <f t="shared" si="208"/>
        <v/>
      </c>
      <c r="Y357" s="43"/>
      <c r="Z357" s="38" t="str">
        <f t="shared" si="209"/>
        <v/>
      </c>
      <c r="AA357" s="38" t="str">
        <f t="shared" si="210"/>
        <v/>
      </c>
      <c r="AB357" s="38" t="e">
        <f t="shared" si="211"/>
        <v>#VALUE!</v>
      </c>
      <c r="AC357" s="38" t="str">
        <f t="shared" si="212"/>
        <v/>
      </c>
      <c r="AD357" s="38" t="str">
        <f t="shared" si="213"/>
        <v/>
      </c>
      <c r="AE357" s="38" t="e">
        <f t="shared" si="214"/>
        <v>#VALUE!</v>
      </c>
      <c r="AF357" s="237" t="e">
        <f>((Summary!$N$14*(AA357*AD357)*(A357-$D$3))+(Summary!$M$14*Z357*AC357*(AJ357-EOMONTH(EDATE(A357,-1),0))))/(AK357*AB357*AE357)</f>
        <v>#VALUE!</v>
      </c>
      <c r="AG357" s="88" t="str">
        <f>IF($A358="","",Summary!$Q$14)</f>
        <v/>
      </c>
      <c r="AH357" s="88" t="str">
        <f>IF($A358="","",IF(Summary!$R$12="Y",(VLOOKUP($A357,Summary!$AD$6:$AF$9,3)+'Escalating commodity'!J370),'Escalating commodity'!J370))</f>
        <v/>
      </c>
      <c r="AI357" s="88" t="str">
        <f t="shared" si="230"/>
        <v/>
      </c>
      <c r="AJ357" s="236" t="e">
        <f t="shared" si="215"/>
        <v>#VALUE!</v>
      </c>
      <c r="AK357" s="58" t="str">
        <f t="shared" si="216"/>
        <v/>
      </c>
      <c r="AL357" s="26" t="str">
        <f>IF($A358="","",_xll.SPRDOPT(P357,X357,AI357,0,AB357,AE357,AF357,AK357,$AJ$2,0))</f>
        <v/>
      </c>
      <c r="AM357" s="89" t="str">
        <f t="shared" si="217"/>
        <v/>
      </c>
      <c r="AN357" s="89" t="str">
        <f t="shared" si="218"/>
        <v/>
      </c>
      <c r="AO357" s="3" t="str">
        <f t="shared" si="219"/>
        <v/>
      </c>
      <c r="AP357" s="33" t="str">
        <f t="shared" si="220"/>
        <v/>
      </c>
      <c r="AQ357" s="58" t="str">
        <f t="shared" si="221"/>
        <v/>
      </c>
      <c r="AR357" s="38">
        <f>'ANR OK vs ML7'!AR357</f>
        <v>0.1</v>
      </c>
      <c r="AS357" s="35" t="str">
        <f t="shared" si="222"/>
        <v/>
      </c>
      <c r="AT357" s="3" t="str">
        <f t="shared" si="223"/>
        <v/>
      </c>
      <c r="AU357" s="3" t="str">
        <f t="shared" si="224"/>
        <v/>
      </c>
      <c r="AW357" s="32" t="str">
        <f t="shared" si="225"/>
        <v/>
      </c>
      <c r="AX357" s="32" t="str">
        <f t="shared" si="226"/>
        <v/>
      </c>
      <c r="AY357" s="32" t="str">
        <f t="shared" si="227"/>
        <v/>
      </c>
      <c r="BA357" s="32" t="str">
        <f>IF($A358="","",F357*Summary!$Q$14)</f>
        <v/>
      </c>
    </row>
    <row r="358" spans="1:53" ht="12" customHeight="1">
      <c r="A358" s="67" t="str">
        <f t="shared" si="228"/>
        <v/>
      </c>
      <c r="B358" s="69" t="str">
        <f t="shared" si="229"/>
        <v/>
      </c>
      <c r="C358" s="71"/>
      <c r="D358" s="69" t="str">
        <f t="shared" si="193"/>
        <v/>
      </c>
      <c r="E358" s="70" t="str">
        <f t="shared" si="194"/>
        <v/>
      </c>
      <c r="F358" s="70" t="str">
        <f t="shared" si="195"/>
        <v/>
      </c>
      <c r="G358" s="63" t="str">
        <f t="shared" si="196"/>
        <v/>
      </c>
      <c r="H358" s="64" t="str">
        <f t="shared" si="197"/>
        <v/>
      </c>
      <c r="I358" s="43"/>
      <c r="J358" s="63" t="str">
        <f t="shared" si="198"/>
        <v/>
      </c>
      <c r="K358" s="64" t="str">
        <f t="shared" si="199"/>
        <v/>
      </c>
      <c r="L358" s="38">
        <v>0</v>
      </c>
      <c r="M358" s="64" t="str">
        <f t="shared" si="200"/>
        <v/>
      </c>
      <c r="N358" s="65"/>
      <c r="O358" s="63" t="str">
        <f t="shared" si="201"/>
        <v/>
      </c>
      <c r="P358" s="63" t="str">
        <f t="shared" si="202"/>
        <v/>
      </c>
      <c r="Q358" s="66"/>
      <c r="R358" s="63" t="str">
        <f t="shared" si="203"/>
        <v/>
      </c>
      <c r="S358" s="64" t="str">
        <f t="shared" si="204"/>
        <v/>
      </c>
      <c r="T358" s="63" t="str">
        <f t="shared" si="205"/>
        <v/>
      </c>
      <c r="U358" s="64" t="str">
        <f t="shared" si="206"/>
        <v/>
      </c>
      <c r="V358" s="207" t="str">
        <f>IF($A359="","",IF(AND(MONTH(A358)&gt;3,MONTH(A358)&lt;11),(T358+R358+G358)*(((1/(1-Summary!$T$14))/(1-Summary!$W$14))-1),(T358+R358+G358)*((1/(1-Summary!$U$14))/(1-Summary!$X$14)-1)))</f>
        <v/>
      </c>
      <c r="W358" s="43" t="str">
        <f t="shared" si="207"/>
        <v/>
      </c>
      <c r="X358" s="43" t="str">
        <f t="shared" si="208"/>
        <v/>
      </c>
      <c r="Y358" s="43"/>
      <c r="Z358" s="38" t="str">
        <f t="shared" si="209"/>
        <v/>
      </c>
      <c r="AA358" s="38" t="str">
        <f t="shared" si="210"/>
        <v/>
      </c>
      <c r="AB358" s="38" t="e">
        <f t="shared" si="211"/>
        <v>#VALUE!</v>
      </c>
      <c r="AC358" s="38" t="str">
        <f t="shared" si="212"/>
        <v/>
      </c>
      <c r="AD358" s="38" t="str">
        <f t="shared" si="213"/>
        <v/>
      </c>
      <c r="AE358" s="38" t="e">
        <f t="shared" si="214"/>
        <v>#VALUE!</v>
      </c>
      <c r="AF358" s="237" t="e">
        <f>((Summary!$N$14*(AA358*AD358)*(A358-$D$3))+(Summary!$M$14*Z358*AC358*(AJ358-EOMONTH(EDATE(A358,-1),0))))/(AK358*AB358*AE358)</f>
        <v>#VALUE!</v>
      </c>
      <c r="AG358" s="88" t="str">
        <f>IF($A359="","",Summary!$Q$14)</f>
        <v/>
      </c>
      <c r="AH358" s="88" t="str">
        <f>IF($A359="","",IF(Summary!$R$12="Y",(VLOOKUP($A358,Summary!$AD$6:$AF$9,3)+'Escalating commodity'!J371),'Escalating commodity'!J371))</f>
        <v/>
      </c>
      <c r="AI358" s="88" t="str">
        <f t="shared" si="230"/>
        <v/>
      </c>
      <c r="AJ358" s="236" t="e">
        <f t="shared" si="215"/>
        <v>#VALUE!</v>
      </c>
      <c r="AK358" s="58" t="str">
        <f t="shared" si="216"/>
        <v/>
      </c>
      <c r="AL358" s="26" t="str">
        <f>IF($A359="","",_xll.SPRDOPT(P358,X358,AI358,0,AB358,AE358,AF358,AK358,$AJ$2,0))</f>
        <v/>
      </c>
      <c r="AM358" s="89" t="str">
        <f t="shared" si="217"/>
        <v/>
      </c>
      <c r="AN358" s="89" t="str">
        <f t="shared" si="218"/>
        <v/>
      </c>
      <c r="AO358" s="3" t="str">
        <f t="shared" si="219"/>
        <v/>
      </c>
      <c r="AP358" s="33" t="str">
        <f t="shared" si="220"/>
        <v/>
      </c>
      <c r="AQ358" s="58" t="str">
        <f t="shared" si="221"/>
        <v/>
      </c>
      <c r="AR358" s="38">
        <f>'ANR OK vs ML7'!AR358</f>
        <v>0.1</v>
      </c>
      <c r="AS358" s="35" t="str">
        <f t="shared" si="222"/>
        <v/>
      </c>
      <c r="AT358" s="3" t="str">
        <f t="shared" si="223"/>
        <v/>
      </c>
      <c r="AU358" s="3" t="str">
        <f t="shared" si="224"/>
        <v/>
      </c>
      <c r="AW358" s="32" t="str">
        <f t="shared" si="225"/>
        <v/>
      </c>
      <c r="AX358" s="32" t="str">
        <f t="shared" si="226"/>
        <v/>
      </c>
      <c r="AY358" s="32" t="str">
        <f t="shared" si="227"/>
        <v/>
      </c>
      <c r="BA358" s="32" t="str">
        <f>IF($A359="","",F358*Summary!$Q$14)</f>
        <v/>
      </c>
    </row>
    <row r="359" spans="1:53" ht="12" customHeight="1">
      <c r="A359" s="67" t="str">
        <f t="shared" si="228"/>
        <v/>
      </c>
      <c r="B359" s="69" t="str">
        <f t="shared" si="229"/>
        <v/>
      </c>
      <c r="C359" s="71"/>
      <c r="D359" s="69" t="str">
        <f t="shared" si="193"/>
        <v/>
      </c>
      <c r="E359" s="70" t="str">
        <f t="shared" si="194"/>
        <v/>
      </c>
      <c r="F359" s="70" t="str">
        <f t="shared" si="195"/>
        <v/>
      </c>
      <c r="G359" s="63" t="str">
        <f t="shared" si="196"/>
        <v/>
      </c>
      <c r="H359" s="64" t="str">
        <f t="shared" si="197"/>
        <v/>
      </c>
      <c r="I359" s="43"/>
      <c r="J359" s="63" t="str">
        <f t="shared" si="198"/>
        <v/>
      </c>
      <c r="K359" s="64" t="str">
        <f t="shared" si="199"/>
        <v/>
      </c>
      <c r="L359" s="38">
        <v>0</v>
      </c>
      <c r="M359" s="64" t="str">
        <f t="shared" si="200"/>
        <v/>
      </c>
      <c r="N359" s="65"/>
      <c r="O359" s="63" t="str">
        <f t="shared" si="201"/>
        <v/>
      </c>
      <c r="P359" s="63" t="str">
        <f t="shared" si="202"/>
        <v/>
      </c>
      <c r="Q359" s="66"/>
      <c r="R359" s="63" t="str">
        <f t="shared" si="203"/>
        <v/>
      </c>
      <c r="S359" s="64" t="str">
        <f t="shared" si="204"/>
        <v/>
      </c>
      <c r="T359" s="63" t="str">
        <f t="shared" si="205"/>
        <v/>
      </c>
      <c r="U359" s="64" t="str">
        <f t="shared" si="206"/>
        <v/>
      </c>
      <c r="V359" s="207" t="str">
        <f>IF($A360="","",IF(AND(MONTH(A359)&gt;3,MONTH(A359)&lt;11),(T359+R359+G359)*(((1/(1-Summary!$T$14))/(1-Summary!$W$14))-1),(T359+R359+G359)*((1/(1-Summary!$U$14))/(1-Summary!$X$14)-1)))</f>
        <v/>
      </c>
      <c r="W359" s="43" t="str">
        <f t="shared" si="207"/>
        <v/>
      </c>
      <c r="X359" s="43" t="str">
        <f t="shared" si="208"/>
        <v/>
      </c>
      <c r="Y359" s="43"/>
      <c r="Z359" s="38" t="str">
        <f t="shared" si="209"/>
        <v/>
      </c>
      <c r="AA359" s="38" t="str">
        <f t="shared" si="210"/>
        <v/>
      </c>
      <c r="AB359" s="38" t="e">
        <f t="shared" si="211"/>
        <v>#VALUE!</v>
      </c>
      <c r="AC359" s="38" t="str">
        <f t="shared" si="212"/>
        <v/>
      </c>
      <c r="AD359" s="38" t="str">
        <f t="shared" si="213"/>
        <v/>
      </c>
      <c r="AE359" s="38" t="e">
        <f t="shared" si="214"/>
        <v>#VALUE!</v>
      </c>
      <c r="AF359" s="237" t="e">
        <f>((Summary!$N$14*(AA359*AD359)*(A359-$D$3))+(Summary!$M$14*Z359*AC359*(AJ359-EOMONTH(EDATE(A359,-1),0))))/(AK359*AB359*AE359)</f>
        <v>#VALUE!</v>
      </c>
      <c r="AG359" s="88" t="str">
        <f>IF($A360="","",Summary!$Q$14)</f>
        <v/>
      </c>
      <c r="AH359" s="88" t="str">
        <f>IF($A360="","",IF(Summary!$R$12="Y",(VLOOKUP($A359,Summary!$AD$6:$AF$9,3)+'Escalating commodity'!J372),'Escalating commodity'!J372))</f>
        <v/>
      </c>
      <c r="AI359" s="88" t="str">
        <f t="shared" si="230"/>
        <v/>
      </c>
      <c r="AJ359" s="236" t="e">
        <f t="shared" si="215"/>
        <v>#VALUE!</v>
      </c>
      <c r="AK359" s="58" t="str">
        <f t="shared" si="216"/>
        <v/>
      </c>
      <c r="AL359" s="26" t="str">
        <f>IF($A360="","",_xll.SPRDOPT(P359,X359,AI359,0,AB359,AE359,AF359,AK359,$AJ$2,0))</f>
        <v/>
      </c>
      <c r="AM359" s="89" t="str">
        <f t="shared" si="217"/>
        <v/>
      </c>
      <c r="AN359" s="89" t="str">
        <f t="shared" si="218"/>
        <v/>
      </c>
      <c r="AO359" s="3" t="str">
        <f t="shared" si="219"/>
        <v/>
      </c>
      <c r="AP359" s="33" t="str">
        <f t="shared" si="220"/>
        <v/>
      </c>
      <c r="AQ359" s="58" t="str">
        <f t="shared" si="221"/>
        <v/>
      </c>
      <c r="AR359" s="38">
        <f>'ANR OK vs ML7'!AR359</f>
        <v>0.1</v>
      </c>
      <c r="AS359" s="35" t="str">
        <f t="shared" si="222"/>
        <v/>
      </c>
      <c r="AT359" s="3" t="str">
        <f t="shared" si="223"/>
        <v/>
      </c>
      <c r="AU359" s="3" t="str">
        <f t="shared" si="224"/>
        <v/>
      </c>
      <c r="AW359" s="32" t="str">
        <f t="shared" si="225"/>
        <v/>
      </c>
      <c r="AX359" s="32" t="str">
        <f t="shared" si="226"/>
        <v/>
      </c>
      <c r="AY359" s="32" t="str">
        <f t="shared" si="227"/>
        <v/>
      </c>
      <c r="BA359" s="32" t="str">
        <f>IF($A360="","",F359*Summary!$Q$14)</f>
        <v/>
      </c>
    </row>
    <row r="360" spans="1:53" ht="12" customHeight="1">
      <c r="A360" s="67" t="str">
        <f t="shared" si="228"/>
        <v/>
      </c>
      <c r="B360" s="69" t="str">
        <f t="shared" si="229"/>
        <v/>
      </c>
      <c r="C360" s="71"/>
      <c r="D360" s="69" t="str">
        <f t="shared" si="193"/>
        <v/>
      </c>
      <c r="E360" s="70" t="str">
        <f t="shared" si="194"/>
        <v/>
      </c>
      <c r="F360" s="70" t="str">
        <f t="shared" si="195"/>
        <v/>
      </c>
      <c r="G360" s="63" t="str">
        <f t="shared" si="196"/>
        <v/>
      </c>
      <c r="H360" s="64" t="str">
        <f t="shared" si="197"/>
        <v/>
      </c>
      <c r="I360" s="43"/>
      <c r="J360" s="63" t="str">
        <f t="shared" si="198"/>
        <v/>
      </c>
      <c r="K360" s="64" t="str">
        <f t="shared" si="199"/>
        <v/>
      </c>
      <c r="L360" s="38">
        <v>0</v>
      </c>
      <c r="M360" s="64" t="str">
        <f t="shared" si="200"/>
        <v/>
      </c>
      <c r="N360" s="65"/>
      <c r="O360" s="63" t="str">
        <f t="shared" si="201"/>
        <v/>
      </c>
      <c r="P360" s="63" t="str">
        <f t="shared" si="202"/>
        <v/>
      </c>
      <c r="Q360" s="66"/>
      <c r="R360" s="63" t="str">
        <f t="shared" si="203"/>
        <v/>
      </c>
      <c r="S360" s="64" t="str">
        <f t="shared" si="204"/>
        <v/>
      </c>
      <c r="T360" s="63" t="str">
        <f t="shared" si="205"/>
        <v/>
      </c>
      <c r="U360" s="64" t="str">
        <f t="shared" si="206"/>
        <v/>
      </c>
      <c r="V360" s="207" t="str">
        <f>IF($A361="","",IF(AND(MONTH(A360)&gt;3,MONTH(A360)&lt;11),(T360+R360+G360)*(((1/(1-Summary!$T$14))/(1-Summary!$W$14))-1),(T360+R360+G360)*((1/(1-Summary!$U$14))/(1-Summary!$X$14)-1)))</f>
        <v/>
      </c>
      <c r="W360" s="43" t="str">
        <f t="shared" si="207"/>
        <v/>
      </c>
      <c r="X360" s="43" t="str">
        <f t="shared" si="208"/>
        <v/>
      </c>
      <c r="Y360" s="43"/>
      <c r="Z360" s="38" t="str">
        <f t="shared" si="209"/>
        <v/>
      </c>
      <c r="AA360" s="38" t="str">
        <f t="shared" si="210"/>
        <v/>
      </c>
      <c r="AB360" s="38" t="e">
        <f t="shared" si="211"/>
        <v>#VALUE!</v>
      </c>
      <c r="AC360" s="38" t="str">
        <f t="shared" si="212"/>
        <v/>
      </c>
      <c r="AD360" s="38" t="str">
        <f t="shared" si="213"/>
        <v/>
      </c>
      <c r="AE360" s="38" t="e">
        <f t="shared" si="214"/>
        <v>#VALUE!</v>
      </c>
      <c r="AF360" s="237" t="e">
        <f>((Summary!$N$14*(AA360*AD360)*(A360-$D$3))+(Summary!$M$14*Z360*AC360*(AJ360-EOMONTH(EDATE(A360,-1),0))))/(AK360*AB360*AE360)</f>
        <v>#VALUE!</v>
      </c>
      <c r="AG360" s="88" t="str">
        <f>IF($A361="","",Summary!$Q$14)</f>
        <v/>
      </c>
      <c r="AH360" s="88" t="str">
        <f>IF($A361="","",IF(Summary!$R$12="Y",(VLOOKUP($A360,Summary!$AD$6:$AF$9,3)+'Escalating commodity'!J373),'Escalating commodity'!J373))</f>
        <v/>
      </c>
      <c r="AI360" s="88" t="str">
        <f t="shared" si="230"/>
        <v/>
      </c>
      <c r="AJ360" s="236" t="e">
        <f t="shared" si="215"/>
        <v>#VALUE!</v>
      </c>
      <c r="AK360" s="58" t="str">
        <f t="shared" si="216"/>
        <v/>
      </c>
      <c r="AL360" s="26" t="str">
        <f>IF($A361="","",_xll.SPRDOPT(P360,X360,AI360,0,AB360,AE360,AF360,AK360,$AJ$2,0))</f>
        <v/>
      </c>
      <c r="AM360" s="89" t="str">
        <f t="shared" si="217"/>
        <v/>
      </c>
      <c r="AN360" s="89" t="str">
        <f t="shared" si="218"/>
        <v/>
      </c>
      <c r="AO360" s="3" t="str">
        <f t="shared" si="219"/>
        <v/>
      </c>
      <c r="AP360" s="33" t="str">
        <f t="shared" si="220"/>
        <v/>
      </c>
      <c r="AQ360" s="58" t="str">
        <f t="shared" si="221"/>
        <v/>
      </c>
      <c r="AR360" s="38">
        <f>'ANR OK vs ML7'!AR360</f>
        <v>0.1</v>
      </c>
      <c r="AS360" s="35" t="str">
        <f t="shared" si="222"/>
        <v/>
      </c>
      <c r="AT360" s="3" t="str">
        <f t="shared" si="223"/>
        <v/>
      </c>
      <c r="AU360" s="3" t="str">
        <f t="shared" si="224"/>
        <v/>
      </c>
      <c r="AW360" s="32" t="str">
        <f t="shared" si="225"/>
        <v/>
      </c>
      <c r="AX360" s="32" t="str">
        <f t="shared" si="226"/>
        <v/>
      </c>
      <c r="AY360" s="32" t="str">
        <f t="shared" si="227"/>
        <v/>
      </c>
      <c r="BA360" s="32" t="str">
        <f>IF($A361="","",F360*Summary!$Q$14)</f>
        <v/>
      </c>
    </row>
    <row r="361" spans="1:53" ht="12" customHeight="1">
      <c r="A361" s="67" t="str">
        <f t="shared" si="228"/>
        <v/>
      </c>
      <c r="B361" s="69" t="str">
        <f t="shared" si="229"/>
        <v/>
      </c>
      <c r="C361" s="71"/>
      <c r="D361" s="69" t="str">
        <f t="shared" si="193"/>
        <v/>
      </c>
      <c r="E361" s="70" t="str">
        <f t="shared" si="194"/>
        <v/>
      </c>
      <c r="F361" s="70" t="str">
        <f t="shared" si="195"/>
        <v/>
      </c>
      <c r="G361" s="63" t="str">
        <f t="shared" si="196"/>
        <v/>
      </c>
      <c r="H361" s="64" t="str">
        <f t="shared" si="197"/>
        <v/>
      </c>
      <c r="I361" s="43"/>
      <c r="J361" s="63" t="str">
        <f t="shared" si="198"/>
        <v/>
      </c>
      <c r="K361" s="64" t="str">
        <f t="shared" si="199"/>
        <v/>
      </c>
      <c r="L361" s="38">
        <v>0</v>
      </c>
      <c r="M361" s="64" t="str">
        <f t="shared" si="200"/>
        <v/>
      </c>
      <c r="N361" s="65"/>
      <c r="O361" s="63" t="str">
        <f t="shared" si="201"/>
        <v/>
      </c>
      <c r="P361" s="63" t="str">
        <f t="shared" si="202"/>
        <v/>
      </c>
      <c r="Q361" s="66"/>
      <c r="R361" s="63" t="str">
        <f t="shared" si="203"/>
        <v/>
      </c>
      <c r="S361" s="64" t="str">
        <f t="shared" si="204"/>
        <v/>
      </c>
      <c r="T361" s="63" t="str">
        <f t="shared" si="205"/>
        <v/>
      </c>
      <c r="U361" s="64" t="str">
        <f t="shared" si="206"/>
        <v/>
      </c>
      <c r="V361" s="207" t="str">
        <f>IF($A362="","",IF(AND(MONTH(A361)&gt;3,MONTH(A361)&lt;11),(T361+R361+G361)*(((1/(1-Summary!$T$14))/(1-Summary!$W$14))-1),(T361+R361+G361)*((1/(1-Summary!$U$14))/(1-Summary!$X$14)-1)))</f>
        <v/>
      </c>
      <c r="W361" s="43" t="str">
        <f t="shared" si="207"/>
        <v/>
      </c>
      <c r="X361" s="43" t="str">
        <f t="shared" si="208"/>
        <v/>
      </c>
      <c r="Y361" s="43"/>
      <c r="Z361" s="38" t="str">
        <f t="shared" si="209"/>
        <v/>
      </c>
      <c r="AA361" s="38" t="str">
        <f t="shared" si="210"/>
        <v/>
      </c>
      <c r="AB361" s="38" t="e">
        <f t="shared" si="211"/>
        <v>#VALUE!</v>
      </c>
      <c r="AC361" s="38" t="str">
        <f t="shared" si="212"/>
        <v/>
      </c>
      <c r="AD361" s="38" t="str">
        <f t="shared" si="213"/>
        <v/>
      </c>
      <c r="AE361" s="38" t="e">
        <f t="shared" si="214"/>
        <v>#VALUE!</v>
      </c>
      <c r="AF361" s="237" t="e">
        <f>((Summary!$N$14*(AA361*AD361)*(A361-$D$3))+(Summary!$M$14*Z361*AC361*(AJ361-EOMONTH(EDATE(A361,-1),0))))/(AK361*AB361*AE361)</f>
        <v>#VALUE!</v>
      </c>
      <c r="AG361" s="88" t="str">
        <f>IF($A362="","",Summary!$Q$14)</f>
        <v/>
      </c>
      <c r="AH361" s="88" t="str">
        <f>IF($A362="","",IF(Summary!$R$12="Y",(VLOOKUP($A361,Summary!$AD$6:$AF$9,3)+'Escalating commodity'!J374),'Escalating commodity'!J374))</f>
        <v/>
      </c>
      <c r="AI361" s="88" t="str">
        <f t="shared" si="230"/>
        <v/>
      </c>
      <c r="AJ361" s="236" t="e">
        <f t="shared" si="215"/>
        <v>#VALUE!</v>
      </c>
      <c r="AK361" s="58" t="str">
        <f t="shared" si="216"/>
        <v/>
      </c>
      <c r="AL361" s="26" t="str">
        <f>IF($A362="","",_xll.SPRDOPT(P361,X361,AI361,0,AB361,AE361,AF361,AK361,$AJ$2,0))</f>
        <v/>
      </c>
      <c r="AM361" s="89" t="str">
        <f t="shared" si="217"/>
        <v/>
      </c>
      <c r="AN361" s="89" t="str">
        <f t="shared" si="218"/>
        <v/>
      </c>
      <c r="AO361" s="3" t="str">
        <f t="shared" si="219"/>
        <v/>
      </c>
      <c r="AP361" s="33" t="str">
        <f t="shared" si="220"/>
        <v/>
      </c>
      <c r="AQ361" s="58" t="str">
        <f t="shared" si="221"/>
        <v/>
      </c>
      <c r="AR361" s="38">
        <f>'ANR OK vs ML7'!AR361</f>
        <v>0.1</v>
      </c>
      <c r="AS361" s="35" t="str">
        <f t="shared" si="222"/>
        <v/>
      </c>
      <c r="AT361" s="3" t="str">
        <f t="shared" si="223"/>
        <v/>
      </c>
      <c r="AU361" s="3" t="str">
        <f t="shared" si="224"/>
        <v/>
      </c>
      <c r="AW361" s="32" t="str">
        <f t="shared" si="225"/>
        <v/>
      </c>
      <c r="AX361" s="32" t="str">
        <f t="shared" si="226"/>
        <v/>
      </c>
      <c r="AY361" s="32" t="str">
        <f t="shared" si="227"/>
        <v/>
      </c>
      <c r="BA361" s="32" t="str">
        <f>IF($A362="","",F361*Summary!$Q$14)</f>
        <v/>
      </c>
    </row>
    <row r="362" spans="1:53" ht="12" customHeight="1">
      <c r="A362" s="67" t="str">
        <f t="shared" si="228"/>
        <v/>
      </c>
      <c r="B362" s="69" t="str">
        <f t="shared" si="229"/>
        <v/>
      </c>
      <c r="C362" s="71"/>
      <c r="D362" s="69" t="str">
        <f t="shared" si="193"/>
        <v/>
      </c>
      <c r="E362" s="70" t="str">
        <f t="shared" si="194"/>
        <v/>
      </c>
      <c r="F362" s="70" t="str">
        <f t="shared" si="195"/>
        <v/>
      </c>
      <c r="G362" s="63" t="str">
        <f t="shared" si="196"/>
        <v/>
      </c>
      <c r="H362" s="64" t="str">
        <f t="shared" si="197"/>
        <v/>
      </c>
      <c r="I362" s="43"/>
      <c r="J362" s="63" t="str">
        <f t="shared" si="198"/>
        <v/>
      </c>
      <c r="K362" s="64" t="str">
        <f t="shared" si="199"/>
        <v/>
      </c>
      <c r="L362" s="38">
        <v>0</v>
      </c>
      <c r="M362" s="64" t="str">
        <f t="shared" si="200"/>
        <v/>
      </c>
      <c r="N362" s="65"/>
      <c r="O362" s="63" t="str">
        <f t="shared" si="201"/>
        <v/>
      </c>
      <c r="P362" s="63" t="str">
        <f t="shared" si="202"/>
        <v/>
      </c>
      <c r="Q362" s="66"/>
      <c r="R362" s="63" t="str">
        <f t="shared" si="203"/>
        <v/>
      </c>
      <c r="S362" s="64" t="str">
        <f t="shared" si="204"/>
        <v/>
      </c>
      <c r="T362" s="63" t="str">
        <f t="shared" si="205"/>
        <v/>
      </c>
      <c r="U362" s="64" t="str">
        <f t="shared" si="206"/>
        <v/>
      </c>
      <c r="V362" s="207" t="str">
        <f>IF($A363="","",IF(AND(MONTH(A362)&gt;3,MONTH(A362)&lt;11),(T362+R362+G362)*(((1/(1-Summary!$T$14))/(1-Summary!$W$14))-1),(T362+R362+G362)*((1/(1-Summary!$U$14))/(1-Summary!$X$14)-1)))</f>
        <v/>
      </c>
      <c r="W362" s="43" t="str">
        <f t="shared" si="207"/>
        <v/>
      </c>
      <c r="X362" s="43" t="str">
        <f t="shared" si="208"/>
        <v/>
      </c>
      <c r="Y362" s="43"/>
      <c r="Z362" s="38" t="str">
        <f t="shared" si="209"/>
        <v/>
      </c>
      <c r="AA362" s="38" t="str">
        <f t="shared" si="210"/>
        <v/>
      </c>
      <c r="AB362" s="38" t="e">
        <f t="shared" si="211"/>
        <v>#VALUE!</v>
      </c>
      <c r="AC362" s="38" t="str">
        <f t="shared" si="212"/>
        <v/>
      </c>
      <c r="AD362" s="38" t="str">
        <f t="shared" si="213"/>
        <v/>
      </c>
      <c r="AE362" s="38" t="e">
        <f t="shared" si="214"/>
        <v>#VALUE!</v>
      </c>
      <c r="AF362" s="237" t="e">
        <f>((Summary!$N$14*(AA362*AD362)*(A362-$D$3))+(Summary!$M$14*Z362*AC362*(AJ362-EOMONTH(EDATE(A362,-1),0))))/(AK362*AB362*AE362)</f>
        <v>#VALUE!</v>
      </c>
      <c r="AG362" s="88" t="str">
        <f>IF($A363="","",Summary!$Q$14)</f>
        <v/>
      </c>
      <c r="AH362" s="88" t="str">
        <f>IF($A363="","",IF(Summary!$R$12="Y",(VLOOKUP($A362,Summary!$AD$6:$AF$9,3)+'Escalating commodity'!J375),'Escalating commodity'!J375))</f>
        <v/>
      </c>
      <c r="AI362" s="88" t="str">
        <f t="shared" si="230"/>
        <v/>
      </c>
      <c r="AJ362" s="236" t="e">
        <f t="shared" si="215"/>
        <v>#VALUE!</v>
      </c>
      <c r="AK362" s="58" t="str">
        <f t="shared" si="216"/>
        <v/>
      </c>
      <c r="AL362" s="26" t="str">
        <f>IF($A363="","",_xll.SPRDOPT(P362,X362,AI362,0,AB362,AE362,AF362,AK362,$AJ$2,0))</f>
        <v/>
      </c>
      <c r="AM362" s="89" t="str">
        <f t="shared" si="217"/>
        <v/>
      </c>
      <c r="AN362" s="89" t="str">
        <f t="shared" si="218"/>
        <v/>
      </c>
      <c r="AO362" s="3" t="str">
        <f t="shared" si="219"/>
        <v/>
      </c>
      <c r="AP362" s="33" t="str">
        <f t="shared" si="220"/>
        <v/>
      </c>
      <c r="AQ362" s="58" t="str">
        <f t="shared" si="221"/>
        <v/>
      </c>
      <c r="AR362" s="38">
        <f>'ANR OK vs ML7'!AR362</f>
        <v>0.1</v>
      </c>
      <c r="AS362" s="35" t="str">
        <f t="shared" si="222"/>
        <v/>
      </c>
      <c r="AT362" s="3" t="str">
        <f t="shared" si="223"/>
        <v/>
      </c>
      <c r="AU362" s="3" t="str">
        <f t="shared" si="224"/>
        <v/>
      </c>
      <c r="AW362" s="32" t="str">
        <f t="shared" si="225"/>
        <v/>
      </c>
      <c r="AX362" s="32" t="str">
        <f t="shared" si="226"/>
        <v/>
      </c>
      <c r="AY362" s="32" t="str">
        <f t="shared" si="227"/>
        <v/>
      </c>
      <c r="BA362" s="32" t="str">
        <f>IF($A363="","",F362*Summary!$Q$14)</f>
        <v/>
      </c>
    </row>
    <row r="363" spans="1:53" ht="12" customHeight="1">
      <c r="A363" s="67" t="str">
        <f t="shared" si="228"/>
        <v/>
      </c>
      <c r="B363" s="69" t="str">
        <f t="shared" si="229"/>
        <v/>
      </c>
      <c r="C363" s="71"/>
      <c r="D363" s="69" t="str">
        <f t="shared" si="193"/>
        <v/>
      </c>
      <c r="E363" s="70" t="str">
        <f t="shared" si="194"/>
        <v/>
      </c>
      <c r="F363" s="70" t="str">
        <f t="shared" si="195"/>
        <v/>
      </c>
      <c r="G363" s="63" t="str">
        <f t="shared" si="196"/>
        <v/>
      </c>
      <c r="H363" s="64" t="str">
        <f t="shared" si="197"/>
        <v/>
      </c>
      <c r="I363" s="43"/>
      <c r="J363" s="63" t="str">
        <f t="shared" si="198"/>
        <v/>
      </c>
      <c r="K363" s="64" t="str">
        <f t="shared" si="199"/>
        <v/>
      </c>
      <c r="L363" s="38">
        <v>0</v>
      </c>
      <c r="M363" s="64" t="str">
        <f t="shared" si="200"/>
        <v/>
      </c>
      <c r="N363" s="65"/>
      <c r="O363" s="63" t="str">
        <f t="shared" si="201"/>
        <v/>
      </c>
      <c r="P363" s="63" t="str">
        <f t="shared" si="202"/>
        <v/>
      </c>
      <c r="Q363" s="66"/>
      <c r="R363" s="63" t="str">
        <f t="shared" si="203"/>
        <v/>
      </c>
      <c r="S363" s="64" t="str">
        <f t="shared" si="204"/>
        <v/>
      </c>
      <c r="T363" s="63" t="str">
        <f t="shared" si="205"/>
        <v/>
      </c>
      <c r="U363" s="64" t="str">
        <f t="shared" si="206"/>
        <v/>
      </c>
      <c r="V363" s="207" t="str">
        <f>IF($A364="","",IF(AND(MONTH(A363)&gt;3,MONTH(A363)&lt;11),(T363+R363+G363)*(((1/(1-Summary!$T$14))/(1-Summary!$W$14))-1),(T363+R363+G363)*((1/(1-Summary!$U$14))/(1-Summary!$X$14)-1)))</f>
        <v/>
      </c>
      <c r="W363" s="43" t="str">
        <f t="shared" si="207"/>
        <v/>
      </c>
      <c r="X363" s="43" t="str">
        <f t="shared" si="208"/>
        <v/>
      </c>
      <c r="Y363" s="43"/>
      <c r="Z363" s="38" t="str">
        <f t="shared" si="209"/>
        <v/>
      </c>
      <c r="AA363" s="38" t="str">
        <f t="shared" si="210"/>
        <v/>
      </c>
      <c r="AB363" s="38" t="e">
        <f t="shared" si="211"/>
        <v>#VALUE!</v>
      </c>
      <c r="AC363" s="38" t="str">
        <f t="shared" si="212"/>
        <v/>
      </c>
      <c r="AD363" s="38" t="str">
        <f t="shared" si="213"/>
        <v/>
      </c>
      <c r="AE363" s="38" t="e">
        <f t="shared" si="214"/>
        <v>#VALUE!</v>
      </c>
      <c r="AF363" s="237" t="e">
        <f>((Summary!$N$14*(AA363*AD363)*(A363-$D$3))+(Summary!$M$14*Z363*AC363*(AJ363-EOMONTH(EDATE(A363,-1),0))))/(AK363*AB363*AE363)</f>
        <v>#VALUE!</v>
      </c>
      <c r="AG363" s="88" t="str">
        <f>IF($A364="","",Summary!$Q$14)</f>
        <v/>
      </c>
      <c r="AH363" s="88" t="str">
        <f>IF($A364="","",IF(Summary!$R$12="Y",(VLOOKUP($A363,Summary!$AD$6:$AF$9,3)+'Escalating commodity'!J376),'Escalating commodity'!J376))</f>
        <v/>
      </c>
      <c r="AI363" s="88" t="str">
        <f t="shared" si="230"/>
        <v/>
      </c>
      <c r="AJ363" s="236" t="e">
        <f t="shared" si="215"/>
        <v>#VALUE!</v>
      </c>
      <c r="AK363" s="58" t="str">
        <f t="shared" si="216"/>
        <v/>
      </c>
      <c r="AL363" s="26" t="str">
        <f>IF($A364="","",_xll.SPRDOPT(P363,X363,AI363,0,AB363,AE363,AF363,AK363,$AJ$2,0))</f>
        <v/>
      </c>
      <c r="AM363" s="89" t="str">
        <f t="shared" si="217"/>
        <v/>
      </c>
      <c r="AN363" s="89" t="str">
        <f t="shared" si="218"/>
        <v/>
      </c>
      <c r="AO363" s="3" t="str">
        <f t="shared" si="219"/>
        <v/>
      </c>
      <c r="AP363" s="33" t="str">
        <f t="shared" si="220"/>
        <v/>
      </c>
      <c r="AQ363" s="58" t="str">
        <f t="shared" si="221"/>
        <v/>
      </c>
      <c r="AR363" s="38">
        <f>'ANR OK vs ML7'!AR363</f>
        <v>0.1</v>
      </c>
      <c r="AS363" s="35" t="str">
        <f t="shared" si="222"/>
        <v/>
      </c>
      <c r="AT363" s="3" t="str">
        <f t="shared" si="223"/>
        <v/>
      </c>
      <c r="AU363" s="3" t="str">
        <f t="shared" si="224"/>
        <v/>
      </c>
      <c r="AW363" s="32" t="str">
        <f t="shared" si="225"/>
        <v/>
      </c>
      <c r="AX363" s="32" t="str">
        <f t="shared" si="226"/>
        <v/>
      </c>
      <c r="AY363" s="32" t="str">
        <f t="shared" si="227"/>
        <v/>
      </c>
      <c r="BA363" s="32" t="str">
        <f>IF($A364="","",F363*Summary!$Q$14)</f>
        <v/>
      </c>
    </row>
    <row r="364" spans="1:53" ht="12" customHeight="1">
      <c r="A364" s="67" t="str">
        <f t="shared" si="228"/>
        <v/>
      </c>
      <c r="B364" s="69" t="str">
        <f t="shared" si="229"/>
        <v/>
      </c>
      <c r="C364" s="71"/>
      <c r="D364" s="69" t="str">
        <f t="shared" si="193"/>
        <v/>
      </c>
      <c r="E364" s="70" t="str">
        <f t="shared" si="194"/>
        <v/>
      </c>
      <c r="F364" s="70" t="str">
        <f t="shared" si="195"/>
        <v/>
      </c>
      <c r="G364" s="63" t="str">
        <f t="shared" si="196"/>
        <v/>
      </c>
      <c r="H364" s="64" t="str">
        <f t="shared" si="197"/>
        <v/>
      </c>
      <c r="I364" s="43"/>
      <c r="J364" s="63" t="str">
        <f t="shared" si="198"/>
        <v/>
      </c>
      <c r="K364" s="64" t="str">
        <f t="shared" si="199"/>
        <v/>
      </c>
      <c r="L364" s="38">
        <v>0</v>
      </c>
      <c r="M364" s="64" t="str">
        <f t="shared" si="200"/>
        <v/>
      </c>
      <c r="N364" s="65"/>
      <c r="O364" s="63" t="str">
        <f t="shared" si="201"/>
        <v/>
      </c>
      <c r="P364" s="63" t="str">
        <f t="shared" si="202"/>
        <v/>
      </c>
      <c r="Q364" s="66"/>
      <c r="R364" s="63" t="str">
        <f t="shared" si="203"/>
        <v/>
      </c>
      <c r="S364" s="64" t="str">
        <f t="shared" si="204"/>
        <v/>
      </c>
      <c r="T364" s="63" t="str">
        <f t="shared" si="205"/>
        <v/>
      </c>
      <c r="U364" s="64" t="str">
        <f t="shared" si="206"/>
        <v/>
      </c>
      <c r="V364" s="207" t="str">
        <f>IF($A365="","",IF(AND(MONTH(A364)&gt;3,MONTH(A364)&lt;11),(T364+R364+G364)*(((1/(1-Summary!$T$14))/(1-Summary!$W$14))-1),(T364+R364+G364)*((1/(1-Summary!$U$14))/(1-Summary!$X$14)-1)))</f>
        <v/>
      </c>
      <c r="W364" s="43" t="str">
        <f t="shared" si="207"/>
        <v/>
      </c>
      <c r="X364" s="43" t="str">
        <f t="shared" si="208"/>
        <v/>
      </c>
      <c r="Y364" s="43"/>
      <c r="Z364" s="38" t="str">
        <f t="shared" si="209"/>
        <v/>
      </c>
      <c r="AA364" s="38" t="str">
        <f t="shared" si="210"/>
        <v/>
      </c>
      <c r="AB364" s="38" t="e">
        <f t="shared" si="211"/>
        <v>#VALUE!</v>
      </c>
      <c r="AC364" s="38" t="str">
        <f t="shared" si="212"/>
        <v/>
      </c>
      <c r="AD364" s="38" t="str">
        <f t="shared" si="213"/>
        <v/>
      </c>
      <c r="AE364" s="38" t="e">
        <f t="shared" si="214"/>
        <v>#VALUE!</v>
      </c>
      <c r="AF364" s="237" t="e">
        <f>((Summary!$N$14*(AA364*AD364)*(A364-$D$3))+(Summary!$M$14*Z364*AC364*(AJ364-EOMONTH(EDATE(A364,-1),0))))/(AK364*AB364*AE364)</f>
        <v>#VALUE!</v>
      </c>
      <c r="AG364" s="88" t="str">
        <f>IF($A365="","",Summary!$Q$14)</f>
        <v/>
      </c>
      <c r="AH364" s="88" t="str">
        <f>IF($A365="","",IF(Summary!$R$12="Y",(VLOOKUP($A364,Summary!$AD$6:$AF$9,3)+'Escalating commodity'!J377),'Escalating commodity'!J377))</f>
        <v/>
      </c>
      <c r="AI364" s="88" t="str">
        <f t="shared" si="230"/>
        <v/>
      </c>
      <c r="AJ364" s="236" t="e">
        <f t="shared" si="215"/>
        <v>#VALUE!</v>
      </c>
      <c r="AK364" s="58" t="str">
        <f t="shared" si="216"/>
        <v/>
      </c>
      <c r="AL364" s="26" t="str">
        <f>IF($A365="","",_xll.SPRDOPT(P364,X364,AI364,0,AB364,AE364,AF364,AK364,$AJ$2,0))</f>
        <v/>
      </c>
      <c r="AM364" s="89" t="str">
        <f t="shared" si="217"/>
        <v/>
      </c>
      <c r="AN364" s="89" t="str">
        <f t="shared" si="218"/>
        <v/>
      </c>
      <c r="AO364" s="3" t="str">
        <f t="shared" si="219"/>
        <v/>
      </c>
      <c r="AP364" s="33" t="str">
        <f t="shared" si="220"/>
        <v/>
      </c>
      <c r="AQ364" s="58" t="str">
        <f t="shared" si="221"/>
        <v/>
      </c>
      <c r="AR364" s="38">
        <f>'ANR OK vs ML7'!AR364</f>
        <v>0.1</v>
      </c>
      <c r="AS364" s="35" t="str">
        <f t="shared" si="222"/>
        <v/>
      </c>
      <c r="AT364" s="3" t="str">
        <f t="shared" si="223"/>
        <v/>
      </c>
      <c r="AU364" s="3" t="str">
        <f t="shared" si="224"/>
        <v/>
      </c>
      <c r="AW364" s="32" t="str">
        <f t="shared" si="225"/>
        <v/>
      </c>
      <c r="AX364" s="32" t="str">
        <f t="shared" si="226"/>
        <v/>
      </c>
      <c r="AY364" s="32" t="str">
        <f t="shared" si="227"/>
        <v/>
      </c>
      <c r="BA364" s="32" t="str">
        <f>IF($A365="","",F364*Summary!$Q$14)</f>
        <v/>
      </c>
    </row>
    <row r="365" spans="1:53" ht="12" customHeight="1">
      <c r="A365" s="67" t="str">
        <f t="shared" si="228"/>
        <v/>
      </c>
      <c r="B365" s="69" t="str">
        <f t="shared" si="229"/>
        <v/>
      </c>
      <c r="C365" s="71"/>
      <c r="D365" s="69" t="str">
        <f t="shared" si="193"/>
        <v/>
      </c>
      <c r="E365" s="70" t="str">
        <f t="shared" si="194"/>
        <v/>
      </c>
      <c r="F365" s="70" t="str">
        <f t="shared" si="195"/>
        <v/>
      </c>
      <c r="G365" s="63" t="str">
        <f t="shared" si="196"/>
        <v/>
      </c>
      <c r="H365" s="64" t="str">
        <f t="shared" si="197"/>
        <v/>
      </c>
      <c r="I365" s="43"/>
      <c r="J365" s="63" t="str">
        <f t="shared" si="198"/>
        <v/>
      </c>
      <c r="K365" s="64" t="str">
        <f t="shared" si="199"/>
        <v/>
      </c>
      <c r="L365" s="38">
        <v>0</v>
      </c>
      <c r="M365" s="64" t="str">
        <f t="shared" si="200"/>
        <v/>
      </c>
      <c r="N365" s="65"/>
      <c r="O365" s="63" t="str">
        <f t="shared" si="201"/>
        <v/>
      </c>
      <c r="P365" s="63" t="str">
        <f t="shared" si="202"/>
        <v/>
      </c>
      <c r="Q365" s="66"/>
      <c r="R365" s="63" t="str">
        <f t="shared" si="203"/>
        <v/>
      </c>
      <c r="S365" s="64" t="str">
        <f t="shared" si="204"/>
        <v/>
      </c>
      <c r="T365" s="63" t="str">
        <f t="shared" si="205"/>
        <v/>
      </c>
      <c r="U365" s="64" t="str">
        <f t="shared" si="206"/>
        <v/>
      </c>
      <c r="V365" s="207" t="str">
        <f>IF($A366="","",IF(AND(MONTH(A365)&gt;3,MONTH(A365)&lt;11),(T365+R365+G365)*(((1/(1-Summary!$T$14))/(1-Summary!$W$14))-1),(T365+R365+G365)*((1/(1-Summary!$U$14))/(1-Summary!$X$14)-1)))</f>
        <v/>
      </c>
      <c r="W365" s="43" t="str">
        <f t="shared" si="207"/>
        <v/>
      </c>
      <c r="X365" s="43" t="str">
        <f t="shared" si="208"/>
        <v/>
      </c>
      <c r="Y365" s="43"/>
      <c r="Z365" s="38" t="str">
        <f t="shared" si="209"/>
        <v/>
      </c>
      <c r="AA365" s="38" t="str">
        <f t="shared" si="210"/>
        <v/>
      </c>
      <c r="AB365" s="38" t="e">
        <f t="shared" si="211"/>
        <v>#VALUE!</v>
      </c>
      <c r="AC365" s="38" t="str">
        <f t="shared" si="212"/>
        <v/>
      </c>
      <c r="AD365" s="38" t="str">
        <f t="shared" si="213"/>
        <v/>
      </c>
      <c r="AE365" s="38" t="e">
        <f t="shared" si="214"/>
        <v>#VALUE!</v>
      </c>
      <c r="AF365" s="237" t="e">
        <f>((Summary!$N$14*(AA365*AD365)*(A365-$D$3))+(Summary!$M$14*Z365*AC365*(AJ365-EOMONTH(EDATE(A365,-1),0))))/(AK365*AB365*AE365)</f>
        <v>#VALUE!</v>
      </c>
      <c r="AG365" s="88" t="str">
        <f>IF($A366="","",Summary!$Q$14)</f>
        <v/>
      </c>
      <c r="AH365" s="88" t="str">
        <f>IF($A366="","",IF(Summary!$R$12="Y",(VLOOKUP($A365,Summary!$AD$6:$AF$9,3)+'Escalating commodity'!J378),'Escalating commodity'!J378))</f>
        <v/>
      </c>
      <c r="AI365" s="88" t="str">
        <f t="shared" si="230"/>
        <v/>
      </c>
      <c r="AJ365" s="236" t="e">
        <f t="shared" si="215"/>
        <v>#VALUE!</v>
      </c>
      <c r="AK365" s="58" t="str">
        <f t="shared" si="216"/>
        <v/>
      </c>
      <c r="AL365" s="26" t="str">
        <f>IF($A366="","",_xll.SPRDOPT(P365,X365,AI365,0,AB365,AE365,AF365,AK365,$AJ$2,0))</f>
        <v/>
      </c>
      <c r="AM365" s="89" t="str">
        <f t="shared" si="217"/>
        <v/>
      </c>
      <c r="AN365" s="89" t="str">
        <f t="shared" si="218"/>
        <v/>
      </c>
      <c r="AO365" s="3" t="str">
        <f t="shared" si="219"/>
        <v/>
      </c>
      <c r="AP365" s="33" t="str">
        <f t="shared" si="220"/>
        <v/>
      </c>
      <c r="AQ365" s="58" t="str">
        <f t="shared" si="221"/>
        <v/>
      </c>
      <c r="AR365" s="38">
        <f>'ANR OK vs ML7'!AR365</f>
        <v>0.1</v>
      </c>
      <c r="AS365" s="35" t="str">
        <f t="shared" si="222"/>
        <v/>
      </c>
      <c r="AT365" s="3" t="str">
        <f t="shared" si="223"/>
        <v/>
      </c>
      <c r="AU365" s="3" t="str">
        <f t="shared" si="224"/>
        <v/>
      </c>
      <c r="AW365" s="32" t="str">
        <f t="shared" si="225"/>
        <v/>
      </c>
      <c r="AX365" s="32" t="str">
        <f t="shared" si="226"/>
        <v/>
      </c>
      <c r="AY365" s="32" t="str">
        <f t="shared" si="227"/>
        <v/>
      </c>
      <c r="BA365" s="32" t="str">
        <f>IF($A366="","",F365*Summary!$Q$14)</f>
        <v/>
      </c>
    </row>
    <row r="366" spans="1:53" ht="12" customHeight="1">
      <c r="A366" s="67" t="str">
        <f t="shared" si="228"/>
        <v/>
      </c>
      <c r="B366" s="69" t="str">
        <f t="shared" si="229"/>
        <v/>
      </c>
      <c r="C366" s="71"/>
      <c r="D366" s="69" t="str">
        <f t="shared" si="193"/>
        <v/>
      </c>
      <c r="E366" s="70" t="str">
        <f t="shared" si="194"/>
        <v/>
      </c>
      <c r="F366" s="70" t="str">
        <f t="shared" si="195"/>
        <v/>
      </c>
      <c r="G366" s="63" t="str">
        <f t="shared" si="196"/>
        <v/>
      </c>
      <c r="H366" s="64" t="str">
        <f t="shared" si="197"/>
        <v/>
      </c>
      <c r="I366" s="43"/>
      <c r="J366" s="63" t="str">
        <f t="shared" si="198"/>
        <v/>
      </c>
      <c r="K366" s="64" t="str">
        <f t="shared" si="199"/>
        <v/>
      </c>
      <c r="L366" s="38">
        <v>0</v>
      </c>
      <c r="M366" s="64" t="str">
        <f t="shared" si="200"/>
        <v/>
      </c>
      <c r="N366" s="65"/>
      <c r="O366" s="63" t="str">
        <f t="shared" si="201"/>
        <v/>
      </c>
      <c r="P366" s="63" t="str">
        <f t="shared" si="202"/>
        <v/>
      </c>
      <c r="Q366" s="66"/>
      <c r="R366" s="63" t="str">
        <f t="shared" si="203"/>
        <v/>
      </c>
      <c r="S366" s="64" t="str">
        <f t="shared" si="204"/>
        <v/>
      </c>
      <c r="T366" s="63" t="str">
        <f t="shared" si="205"/>
        <v/>
      </c>
      <c r="U366" s="64" t="str">
        <f t="shared" si="206"/>
        <v/>
      </c>
      <c r="V366" s="207" t="str">
        <f>IF($A367="","",IF(AND(MONTH(A366)&gt;3,MONTH(A366)&lt;11),(T366+R366+G366)*(((1/(1-Summary!$T$14))/(1-Summary!$W$14))-1),(T366+R366+G366)*((1/(1-Summary!$U$14))/(1-Summary!$X$14)-1)))</f>
        <v/>
      </c>
      <c r="W366" s="43" t="str">
        <f t="shared" si="207"/>
        <v/>
      </c>
      <c r="X366" s="43" t="str">
        <f t="shared" si="208"/>
        <v/>
      </c>
      <c r="Y366" s="43"/>
      <c r="Z366" s="38" t="str">
        <f t="shared" si="209"/>
        <v/>
      </c>
      <c r="AA366" s="38" t="str">
        <f t="shared" si="210"/>
        <v/>
      </c>
      <c r="AB366" s="38" t="e">
        <f t="shared" si="211"/>
        <v>#VALUE!</v>
      </c>
      <c r="AC366" s="38" t="str">
        <f t="shared" si="212"/>
        <v/>
      </c>
      <c r="AD366" s="38" t="str">
        <f t="shared" si="213"/>
        <v/>
      </c>
      <c r="AE366" s="38" t="e">
        <f t="shared" si="214"/>
        <v>#VALUE!</v>
      </c>
      <c r="AF366" s="237" t="e">
        <f>((Summary!$N$14*(AA366*AD366)*(A366-$D$3))+(Summary!$M$14*Z366*AC366*(AJ366-EOMONTH(EDATE(A366,-1),0))))/(AK366*AB366*AE366)</f>
        <v>#VALUE!</v>
      </c>
      <c r="AG366" s="88" t="str">
        <f>IF($A367="","",Summary!$Q$14)</f>
        <v/>
      </c>
      <c r="AH366" s="88" t="str">
        <f>IF($A367="","",IF(Summary!$R$12="Y",(VLOOKUP($A366,Summary!$AD$6:$AF$9,3)+'Escalating commodity'!J379),'Escalating commodity'!J379))</f>
        <v/>
      </c>
      <c r="AI366" s="88" t="str">
        <f t="shared" si="230"/>
        <v/>
      </c>
      <c r="AJ366" s="236" t="e">
        <f t="shared" si="215"/>
        <v>#VALUE!</v>
      </c>
      <c r="AK366" s="58" t="str">
        <f t="shared" si="216"/>
        <v/>
      </c>
      <c r="AL366" s="26" t="str">
        <f>IF($A367="","",_xll.SPRDOPT(P366,X366,AI366,0,AB366,AE366,AF366,AK366,$AJ$2,0))</f>
        <v/>
      </c>
      <c r="AM366" s="89" t="str">
        <f t="shared" si="217"/>
        <v/>
      </c>
      <c r="AN366" s="89" t="str">
        <f t="shared" si="218"/>
        <v/>
      </c>
      <c r="AO366" s="3" t="str">
        <f t="shared" si="219"/>
        <v/>
      </c>
      <c r="AP366" s="33" t="str">
        <f t="shared" si="220"/>
        <v/>
      </c>
      <c r="AQ366" s="58" t="str">
        <f t="shared" si="221"/>
        <v/>
      </c>
      <c r="AR366" s="38">
        <f>'ANR OK vs ML7'!AR366</f>
        <v>0.1</v>
      </c>
      <c r="AS366" s="35" t="str">
        <f t="shared" si="222"/>
        <v/>
      </c>
      <c r="AT366" s="3" t="str">
        <f t="shared" si="223"/>
        <v/>
      </c>
      <c r="AU366" s="3" t="str">
        <f t="shared" si="224"/>
        <v/>
      </c>
      <c r="AW366" s="32" t="str">
        <f t="shared" si="225"/>
        <v/>
      </c>
      <c r="AX366" s="32" t="str">
        <f t="shared" si="226"/>
        <v/>
      </c>
      <c r="AY366" s="32" t="str">
        <f t="shared" si="227"/>
        <v/>
      </c>
      <c r="BA366" s="32" t="str">
        <f>IF($A367="","",F366*Summary!$Q$14)</f>
        <v/>
      </c>
    </row>
    <row r="367" spans="1:53" ht="12" customHeight="1">
      <c r="A367" s="67" t="str">
        <f t="shared" si="228"/>
        <v/>
      </c>
      <c r="B367" s="69" t="str">
        <f t="shared" si="229"/>
        <v/>
      </c>
      <c r="C367" s="71"/>
      <c r="D367" s="69" t="str">
        <f t="shared" si="193"/>
        <v/>
      </c>
      <c r="E367" s="70" t="str">
        <f t="shared" si="194"/>
        <v/>
      </c>
      <c r="F367" s="70" t="str">
        <f t="shared" si="195"/>
        <v/>
      </c>
      <c r="G367" s="63" t="str">
        <f t="shared" si="196"/>
        <v/>
      </c>
      <c r="H367" s="64" t="str">
        <f t="shared" si="197"/>
        <v/>
      </c>
      <c r="I367" s="43"/>
      <c r="J367" s="63" t="str">
        <f t="shared" si="198"/>
        <v/>
      </c>
      <c r="K367" s="64" t="str">
        <f t="shared" si="199"/>
        <v/>
      </c>
      <c r="L367" s="38">
        <v>0</v>
      </c>
      <c r="M367" s="64" t="str">
        <f t="shared" si="200"/>
        <v/>
      </c>
      <c r="N367" s="65"/>
      <c r="O367" s="63" t="str">
        <f t="shared" si="201"/>
        <v/>
      </c>
      <c r="P367" s="63" t="str">
        <f t="shared" si="202"/>
        <v/>
      </c>
      <c r="Q367" s="66"/>
      <c r="R367" s="63" t="str">
        <f t="shared" si="203"/>
        <v/>
      </c>
      <c r="S367" s="64" t="str">
        <f t="shared" si="204"/>
        <v/>
      </c>
      <c r="T367" s="63" t="str">
        <f t="shared" si="205"/>
        <v/>
      </c>
      <c r="U367" s="64" t="str">
        <f t="shared" si="206"/>
        <v/>
      </c>
      <c r="V367" s="207" t="str">
        <f>IF($A368="","",IF(AND(MONTH(A367)&gt;3,MONTH(A367)&lt;11),(T367+R367+G367)*(((1/(1-Summary!$T$14))/(1-Summary!$W$14))-1),(T367+R367+G367)*((1/(1-Summary!$U$14))/(1-Summary!$X$14)-1)))</f>
        <v/>
      </c>
      <c r="W367" s="43" t="str">
        <f t="shared" si="207"/>
        <v/>
      </c>
      <c r="X367" s="43" t="str">
        <f t="shared" si="208"/>
        <v/>
      </c>
      <c r="Y367" s="43"/>
      <c r="Z367" s="38" t="str">
        <f t="shared" si="209"/>
        <v/>
      </c>
      <c r="AA367" s="38" t="str">
        <f t="shared" si="210"/>
        <v/>
      </c>
      <c r="AB367" s="38" t="e">
        <f t="shared" si="211"/>
        <v>#VALUE!</v>
      </c>
      <c r="AC367" s="38" t="str">
        <f t="shared" si="212"/>
        <v/>
      </c>
      <c r="AD367" s="38" t="str">
        <f t="shared" si="213"/>
        <v/>
      </c>
      <c r="AE367" s="38" t="e">
        <f t="shared" si="214"/>
        <v>#VALUE!</v>
      </c>
      <c r="AF367" s="237" t="e">
        <f>((Summary!$N$14*(AA367*AD367)*(A367-$D$3))+(Summary!$M$14*Z367*AC367*(AJ367-EOMONTH(EDATE(A367,-1),0))))/(AK367*AB367*AE367)</f>
        <v>#VALUE!</v>
      </c>
      <c r="AG367" s="88" t="str">
        <f>IF($A368="","",Summary!$Q$14)</f>
        <v/>
      </c>
      <c r="AH367" s="88" t="str">
        <f>IF($A368="","",IF(Summary!$R$12="Y",(VLOOKUP($A367,Summary!$AD$6:$AF$9,3)+'Escalating commodity'!J380),'Escalating commodity'!J380))</f>
        <v/>
      </c>
      <c r="AI367" s="88" t="str">
        <f t="shared" si="230"/>
        <v/>
      </c>
      <c r="AJ367" s="236" t="e">
        <f t="shared" si="215"/>
        <v>#VALUE!</v>
      </c>
      <c r="AK367" s="58" t="str">
        <f t="shared" si="216"/>
        <v/>
      </c>
      <c r="AL367" s="26" t="str">
        <f>IF($A368="","",_xll.SPRDOPT(P367,X367,AI367,0,AB367,AE367,AF367,AK367,$AJ$2,0))</f>
        <v/>
      </c>
      <c r="AM367" s="89" t="str">
        <f t="shared" si="217"/>
        <v/>
      </c>
      <c r="AN367" s="89" t="str">
        <f t="shared" si="218"/>
        <v/>
      </c>
      <c r="AO367" s="3" t="str">
        <f t="shared" si="219"/>
        <v/>
      </c>
      <c r="AP367" s="33" t="str">
        <f t="shared" si="220"/>
        <v/>
      </c>
      <c r="AQ367" s="58" t="str">
        <f t="shared" si="221"/>
        <v/>
      </c>
      <c r="AR367" s="38">
        <f>'ANR OK vs ML7'!AR367</f>
        <v>0.1</v>
      </c>
      <c r="AS367" s="35" t="str">
        <f t="shared" si="222"/>
        <v/>
      </c>
      <c r="AT367" s="3" t="str">
        <f t="shared" si="223"/>
        <v/>
      </c>
      <c r="AU367" s="3" t="str">
        <f t="shared" si="224"/>
        <v/>
      </c>
      <c r="AW367" s="32" t="str">
        <f t="shared" si="225"/>
        <v/>
      </c>
      <c r="AX367" s="32" t="str">
        <f t="shared" si="226"/>
        <v/>
      </c>
      <c r="AY367" s="32" t="str">
        <f t="shared" si="227"/>
        <v/>
      </c>
      <c r="BA367" s="32" t="str">
        <f>IF($A368="","",F367*Summary!$Q$14)</f>
        <v/>
      </c>
    </row>
    <row r="368" spans="1:53" ht="12" customHeight="1">
      <c r="A368" s="67" t="str">
        <f t="shared" si="228"/>
        <v/>
      </c>
      <c r="B368" s="69" t="str">
        <f t="shared" si="229"/>
        <v/>
      </c>
      <c r="C368" s="71"/>
      <c r="D368" s="69" t="str">
        <f t="shared" si="193"/>
        <v/>
      </c>
      <c r="E368" s="70" t="str">
        <f t="shared" si="194"/>
        <v/>
      </c>
      <c r="F368" s="70" t="str">
        <f t="shared" si="195"/>
        <v/>
      </c>
      <c r="G368" s="63" t="str">
        <f t="shared" si="196"/>
        <v/>
      </c>
      <c r="H368" s="64" t="str">
        <f t="shared" si="197"/>
        <v/>
      </c>
      <c r="I368" s="43"/>
      <c r="J368" s="63" t="str">
        <f t="shared" si="198"/>
        <v/>
      </c>
      <c r="K368" s="64" t="str">
        <f t="shared" si="199"/>
        <v/>
      </c>
      <c r="L368" s="38">
        <v>0</v>
      </c>
      <c r="M368" s="64" t="str">
        <f t="shared" si="200"/>
        <v/>
      </c>
      <c r="N368" s="65"/>
      <c r="O368" s="63" t="str">
        <f t="shared" si="201"/>
        <v/>
      </c>
      <c r="P368" s="63" t="str">
        <f t="shared" si="202"/>
        <v/>
      </c>
      <c r="Q368" s="66"/>
      <c r="R368" s="63" t="str">
        <f t="shared" si="203"/>
        <v/>
      </c>
      <c r="S368" s="64" t="str">
        <f t="shared" si="204"/>
        <v/>
      </c>
      <c r="T368" s="63" t="str">
        <f t="shared" si="205"/>
        <v/>
      </c>
      <c r="U368" s="64" t="str">
        <f t="shared" si="206"/>
        <v/>
      </c>
      <c r="V368" s="207" t="str">
        <f>IF($A369="","",IF(AND(MONTH(A368)&gt;3,MONTH(A368)&lt;11),(T368+R368+G368)*(((1/(1-Summary!$T$14))/(1-Summary!$W$14))-1),(T368+R368+G368)*((1/(1-Summary!$U$14))/(1-Summary!$X$14)-1)))</f>
        <v/>
      </c>
      <c r="W368" s="43" t="str">
        <f t="shared" si="207"/>
        <v/>
      </c>
      <c r="X368" s="43" t="str">
        <f t="shared" si="208"/>
        <v/>
      </c>
      <c r="Y368" s="43"/>
      <c r="Z368" s="38" t="str">
        <f t="shared" si="209"/>
        <v/>
      </c>
      <c r="AA368" s="38" t="str">
        <f t="shared" si="210"/>
        <v/>
      </c>
      <c r="AB368" s="38" t="e">
        <f t="shared" si="211"/>
        <v>#VALUE!</v>
      </c>
      <c r="AC368" s="38" t="str">
        <f t="shared" si="212"/>
        <v/>
      </c>
      <c r="AD368" s="38" t="str">
        <f t="shared" si="213"/>
        <v/>
      </c>
      <c r="AE368" s="38" t="e">
        <f t="shared" si="214"/>
        <v>#VALUE!</v>
      </c>
      <c r="AF368" s="237" t="e">
        <f>((Summary!$N$14*(AA368*AD368)*(A368-$D$3))+(Summary!$M$14*Z368*AC368*(AJ368-EOMONTH(EDATE(A368,-1),0))))/(AK368*AB368*AE368)</f>
        <v>#VALUE!</v>
      </c>
      <c r="AG368" s="88" t="str">
        <f>IF($A369="","",Summary!$Q$14)</f>
        <v/>
      </c>
      <c r="AH368" s="88" t="str">
        <f>IF($A369="","",IF(Summary!$R$12="Y",(VLOOKUP($A368,Summary!$AD$6:$AF$9,3)+'Escalating commodity'!J381),'Escalating commodity'!J381))</f>
        <v/>
      </c>
      <c r="AI368" s="88" t="str">
        <f t="shared" si="230"/>
        <v/>
      </c>
      <c r="AJ368" s="236" t="e">
        <f t="shared" si="215"/>
        <v>#VALUE!</v>
      </c>
      <c r="AK368" s="58" t="str">
        <f t="shared" si="216"/>
        <v/>
      </c>
      <c r="AL368" s="26" t="str">
        <f>IF($A369="","",_xll.SPRDOPT(P368,X368,AI368,0,AB368,AE368,AF368,AK368,$AJ$2,0))</f>
        <v/>
      </c>
      <c r="AM368" s="89" t="str">
        <f t="shared" si="217"/>
        <v/>
      </c>
      <c r="AN368" s="89" t="str">
        <f t="shared" si="218"/>
        <v/>
      </c>
      <c r="AO368" s="3" t="str">
        <f t="shared" si="219"/>
        <v/>
      </c>
      <c r="AP368" s="33" t="str">
        <f t="shared" si="220"/>
        <v/>
      </c>
      <c r="AQ368" s="58" t="str">
        <f t="shared" si="221"/>
        <v/>
      </c>
      <c r="AR368" s="38">
        <f>'ANR OK vs ML7'!AR368</f>
        <v>0.1</v>
      </c>
      <c r="AS368" s="35" t="str">
        <f t="shared" si="222"/>
        <v/>
      </c>
      <c r="AT368" s="3" t="str">
        <f t="shared" si="223"/>
        <v/>
      </c>
      <c r="AU368" s="3" t="str">
        <f t="shared" si="224"/>
        <v/>
      </c>
      <c r="AW368" s="32" t="str">
        <f t="shared" si="225"/>
        <v/>
      </c>
      <c r="AX368" s="32" t="str">
        <f t="shared" si="226"/>
        <v/>
      </c>
      <c r="AY368" s="32" t="str">
        <f t="shared" si="227"/>
        <v/>
      </c>
      <c r="BA368" s="32" t="str">
        <f>IF($A369="","",F368*Summary!$Q$14)</f>
        <v/>
      </c>
    </row>
    <row r="369" spans="1:53" ht="12" customHeight="1">
      <c r="A369" s="67" t="str">
        <f t="shared" si="228"/>
        <v/>
      </c>
      <c r="B369" s="69" t="str">
        <f t="shared" si="229"/>
        <v/>
      </c>
      <c r="C369" s="71"/>
      <c r="D369" s="69" t="str">
        <f t="shared" si="193"/>
        <v/>
      </c>
      <c r="E369" s="70" t="str">
        <f t="shared" si="194"/>
        <v/>
      </c>
      <c r="F369" s="70" t="str">
        <f t="shared" si="195"/>
        <v/>
      </c>
      <c r="G369" s="63" t="str">
        <f t="shared" si="196"/>
        <v/>
      </c>
      <c r="H369" s="64" t="str">
        <f t="shared" si="197"/>
        <v/>
      </c>
      <c r="I369" s="43"/>
      <c r="J369" s="63" t="str">
        <f t="shared" si="198"/>
        <v/>
      </c>
      <c r="K369" s="64" t="str">
        <f t="shared" si="199"/>
        <v/>
      </c>
      <c r="L369" s="38">
        <v>0</v>
      </c>
      <c r="M369" s="64" t="str">
        <f t="shared" si="200"/>
        <v/>
      </c>
      <c r="N369" s="65"/>
      <c r="O369" s="63" t="str">
        <f t="shared" si="201"/>
        <v/>
      </c>
      <c r="P369" s="63" t="str">
        <f t="shared" si="202"/>
        <v/>
      </c>
      <c r="Q369" s="66"/>
      <c r="R369" s="63" t="str">
        <f t="shared" si="203"/>
        <v/>
      </c>
      <c r="S369" s="64" t="str">
        <f t="shared" si="204"/>
        <v/>
      </c>
      <c r="T369" s="63" t="str">
        <f t="shared" si="205"/>
        <v/>
      </c>
      <c r="U369" s="64" t="str">
        <f t="shared" si="206"/>
        <v/>
      </c>
      <c r="V369" s="207" t="str">
        <f>IF($A370="","",IF(AND(MONTH(A369)&gt;3,MONTH(A369)&lt;11),(T369+R369+G369)*(((1/(1-Summary!$T$14))/(1-Summary!$W$14))-1),(T369+R369+G369)*((1/(1-Summary!$U$14))/(1-Summary!$X$14)-1)))</f>
        <v/>
      </c>
      <c r="W369" s="43" t="str">
        <f t="shared" si="207"/>
        <v/>
      </c>
      <c r="X369" s="43" t="str">
        <f t="shared" si="208"/>
        <v/>
      </c>
      <c r="Y369" s="43"/>
      <c r="Z369" s="38" t="str">
        <f t="shared" si="209"/>
        <v/>
      </c>
      <c r="AA369" s="38" t="str">
        <f t="shared" si="210"/>
        <v/>
      </c>
      <c r="AB369" s="38" t="e">
        <f t="shared" si="211"/>
        <v>#VALUE!</v>
      </c>
      <c r="AC369" s="38" t="str">
        <f t="shared" si="212"/>
        <v/>
      </c>
      <c r="AD369" s="38" t="str">
        <f t="shared" si="213"/>
        <v/>
      </c>
      <c r="AE369" s="38" t="e">
        <f t="shared" si="214"/>
        <v>#VALUE!</v>
      </c>
      <c r="AF369" s="237" t="e">
        <f>((Summary!$N$14*(AA369*AD369)*(A369-$D$3))+(Summary!$M$14*Z369*AC369*(AJ369-EOMONTH(EDATE(A369,-1),0))))/(AK369*AB369*AE369)</f>
        <v>#VALUE!</v>
      </c>
      <c r="AG369" s="88" t="str">
        <f>IF($A370="","",Summary!$Q$14)</f>
        <v/>
      </c>
      <c r="AH369" s="88" t="str">
        <f>IF($A370="","",IF(Summary!$R$12="Y",(VLOOKUP($A369,Summary!$AD$6:$AF$9,3)+'Escalating commodity'!J382),'Escalating commodity'!J382))</f>
        <v/>
      </c>
      <c r="AI369" s="88" t="str">
        <f t="shared" si="230"/>
        <v/>
      </c>
      <c r="AJ369" s="236" t="e">
        <f t="shared" si="215"/>
        <v>#VALUE!</v>
      </c>
      <c r="AK369" s="58" t="str">
        <f t="shared" si="216"/>
        <v/>
      </c>
      <c r="AL369" s="26" t="str">
        <f>IF($A370="","",_xll.SPRDOPT(P369,X369,AI369,0,AB369,AE369,AF369,AK369,$AJ$2,0))</f>
        <v/>
      </c>
      <c r="AM369" s="89" t="str">
        <f t="shared" si="217"/>
        <v/>
      </c>
      <c r="AN369" s="89" t="str">
        <f t="shared" si="218"/>
        <v/>
      </c>
      <c r="AO369" s="3" t="str">
        <f t="shared" si="219"/>
        <v/>
      </c>
      <c r="AP369" s="33" t="str">
        <f t="shared" si="220"/>
        <v/>
      </c>
      <c r="AQ369" s="58" t="str">
        <f t="shared" si="221"/>
        <v/>
      </c>
      <c r="AR369" s="38">
        <f>'ANR OK vs ML7'!AR369</f>
        <v>0.1</v>
      </c>
      <c r="AS369" s="35" t="str">
        <f t="shared" si="222"/>
        <v/>
      </c>
      <c r="AT369" s="3" t="str">
        <f t="shared" si="223"/>
        <v/>
      </c>
      <c r="AU369" s="3" t="str">
        <f t="shared" si="224"/>
        <v/>
      </c>
      <c r="AW369" s="32" t="str">
        <f t="shared" si="225"/>
        <v/>
      </c>
      <c r="AX369" s="32" t="str">
        <f t="shared" si="226"/>
        <v/>
      </c>
      <c r="AY369" s="32" t="str">
        <f t="shared" si="227"/>
        <v/>
      </c>
      <c r="BA369" s="32" t="str">
        <f>IF($A370="","",F369*Summary!$Q$14)</f>
        <v/>
      </c>
    </row>
    <row r="370" spans="1:53">
      <c r="A370" s="67" t="str">
        <f t="shared" si="228"/>
        <v/>
      </c>
      <c r="B370" s="69" t="str">
        <f t="shared" si="229"/>
        <v/>
      </c>
      <c r="C370" s="72"/>
      <c r="D370" s="69" t="str">
        <f t="shared" si="193"/>
        <v/>
      </c>
      <c r="E370" s="70" t="str">
        <f t="shared" si="194"/>
        <v/>
      </c>
      <c r="F370" s="70" t="str">
        <f t="shared" si="195"/>
        <v/>
      </c>
      <c r="G370" s="63" t="str">
        <f t="shared" si="196"/>
        <v/>
      </c>
      <c r="H370" s="64" t="str">
        <f t="shared" si="197"/>
        <v/>
      </c>
      <c r="J370" s="63" t="str">
        <f t="shared" si="198"/>
        <v/>
      </c>
      <c r="K370" s="64" t="str">
        <f t="shared" si="199"/>
        <v/>
      </c>
      <c r="L370" s="38">
        <v>0</v>
      </c>
      <c r="M370" s="64" t="str">
        <f t="shared" si="200"/>
        <v/>
      </c>
      <c r="O370" s="63" t="str">
        <f t="shared" si="201"/>
        <v/>
      </c>
      <c r="P370" s="63" t="str">
        <f t="shared" si="202"/>
        <v/>
      </c>
      <c r="R370" s="63" t="str">
        <f t="shared" si="203"/>
        <v/>
      </c>
      <c r="S370" s="64" t="str">
        <f t="shared" si="204"/>
        <v/>
      </c>
      <c r="T370" s="63" t="str">
        <f t="shared" si="205"/>
        <v/>
      </c>
      <c r="U370" s="64" t="str">
        <f t="shared" si="206"/>
        <v/>
      </c>
      <c r="V370" s="207" t="str">
        <f>IF($A371="","",IF(AND(MONTH(A370)&gt;3,MONTH(A370)&lt;11),(T370+R370+G370)*(((1/(1-Summary!$T$14))/(1-Summary!$W$14))-1),(T370+R370+G370)*((1/(1-Summary!$U$14))/(1-Summary!$X$14)-1)))</f>
        <v/>
      </c>
      <c r="W370" s="43" t="str">
        <f t="shared" si="207"/>
        <v/>
      </c>
      <c r="X370" s="43" t="str">
        <f t="shared" si="208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9"/>
        <v/>
      </c>
      <c r="AP370" s="33" t="str">
        <f t="shared" si="220"/>
        <v/>
      </c>
      <c r="AQ370" s="58" t="str">
        <f t="shared" si="221"/>
        <v/>
      </c>
      <c r="AR370" s="38">
        <f>'ANR OK vs ML7'!AR370</f>
        <v>0.1</v>
      </c>
      <c r="AS370" s="35" t="str">
        <f t="shared" si="222"/>
        <v/>
      </c>
      <c r="AT370" s="3" t="str">
        <f t="shared" si="223"/>
        <v/>
      </c>
      <c r="AU370" s="3" t="str">
        <f t="shared" si="224"/>
        <v/>
      </c>
      <c r="AW370" s="32" t="str">
        <f t="shared" si="225"/>
        <v/>
      </c>
      <c r="AX370" s="32" t="str">
        <f t="shared" si="226"/>
        <v/>
      </c>
      <c r="AY370" s="32" t="str">
        <f t="shared" si="227"/>
        <v/>
      </c>
      <c r="BA370" s="32" t="str">
        <f>IF($A371="","",F370*Summary!$Q$14)</f>
        <v/>
      </c>
    </row>
    <row r="371" spans="1:53">
      <c r="A371" s="67" t="str">
        <f t="shared" si="228"/>
        <v/>
      </c>
      <c r="B371" s="69" t="str">
        <f t="shared" si="229"/>
        <v/>
      </c>
      <c r="D371" s="69" t="str">
        <f t="shared" si="193"/>
        <v/>
      </c>
      <c r="E371" s="70" t="str">
        <f t="shared" si="194"/>
        <v/>
      </c>
      <c r="F371" s="70" t="str">
        <f t="shared" si="195"/>
        <v/>
      </c>
      <c r="G371" s="63" t="str">
        <f t="shared" si="196"/>
        <v/>
      </c>
      <c r="H371" s="64" t="str">
        <f t="shared" si="197"/>
        <v/>
      </c>
      <c r="J371" s="63" t="str">
        <f t="shared" si="198"/>
        <v/>
      </c>
      <c r="K371" s="64" t="str">
        <f t="shared" si="199"/>
        <v/>
      </c>
      <c r="L371" s="38">
        <v>0</v>
      </c>
      <c r="M371" s="64" t="str">
        <f t="shared" si="200"/>
        <v/>
      </c>
      <c r="O371" s="63" t="str">
        <f t="shared" si="201"/>
        <v/>
      </c>
      <c r="P371" s="63" t="str">
        <f t="shared" si="202"/>
        <v/>
      </c>
      <c r="R371" s="63" t="str">
        <f t="shared" si="203"/>
        <v/>
      </c>
      <c r="S371" s="64" t="str">
        <f t="shared" si="204"/>
        <v/>
      </c>
      <c r="T371" s="63" t="str">
        <f t="shared" si="205"/>
        <v/>
      </c>
      <c r="U371" s="64" t="str">
        <f t="shared" si="206"/>
        <v/>
      </c>
      <c r="V371" s="207" t="str">
        <f>IF($A372="","",IF(AND(MONTH(A371)&gt;3,MONTH(A371)&lt;11),(T371+R371+G371)*(((1/(1-Summary!$T$14))/(1-Summary!$W$14))-1),(T371+R371+G371)*((1/(1-Summary!$U$14))/(1-Summary!$X$14)-1)))</f>
        <v/>
      </c>
      <c r="W371" s="43" t="str">
        <f t="shared" si="207"/>
        <v/>
      </c>
      <c r="X371" s="43" t="str">
        <f t="shared" si="208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9"/>
        <v/>
      </c>
      <c r="AP371" s="33" t="str">
        <f t="shared" si="220"/>
        <v/>
      </c>
      <c r="AQ371" s="58" t="str">
        <f t="shared" si="221"/>
        <v/>
      </c>
      <c r="AR371" s="38">
        <f>'ANR OK vs ML7'!AR371</f>
        <v>0.1</v>
      </c>
      <c r="AS371" s="35" t="str">
        <f t="shared" si="222"/>
        <v/>
      </c>
      <c r="AT371" s="3" t="str">
        <f t="shared" si="223"/>
        <v/>
      </c>
      <c r="AU371" s="3" t="str">
        <f t="shared" si="224"/>
        <v/>
      </c>
      <c r="AW371" s="32" t="str">
        <f t="shared" si="225"/>
        <v/>
      </c>
      <c r="AX371" s="32" t="str">
        <f t="shared" si="226"/>
        <v/>
      </c>
      <c r="AY371" s="32" t="str">
        <f t="shared" si="227"/>
        <v/>
      </c>
      <c r="BA371" s="32" t="str">
        <f>IF($A372="","",F371*Summary!$Q$14)</f>
        <v/>
      </c>
    </row>
    <row r="372" spans="1:53">
      <c r="A372" s="67" t="str">
        <f t="shared" si="228"/>
        <v/>
      </c>
      <c r="B372" s="69" t="str">
        <f t="shared" si="229"/>
        <v/>
      </c>
      <c r="D372" s="69" t="str">
        <f t="shared" si="193"/>
        <v/>
      </c>
      <c r="E372" s="70" t="str">
        <f t="shared" si="194"/>
        <v/>
      </c>
      <c r="F372" s="70" t="str">
        <f t="shared" si="195"/>
        <v/>
      </c>
      <c r="G372" s="63" t="str">
        <f t="shared" si="196"/>
        <v/>
      </c>
      <c r="H372" s="64" t="str">
        <f t="shared" si="197"/>
        <v/>
      </c>
      <c r="J372" s="63" t="str">
        <f t="shared" si="198"/>
        <v/>
      </c>
      <c r="K372" s="64" t="str">
        <f t="shared" si="199"/>
        <v/>
      </c>
      <c r="L372" s="38">
        <v>0</v>
      </c>
      <c r="M372" s="64" t="str">
        <f t="shared" si="200"/>
        <v/>
      </c>
      <c r="O372" s="63" t="str">
        <f t="shared" si="201"/>
        <v/>
      </c>
      <c r="P372" s="63" t="str">
        <f t="shared" si="202"/>
        <v/>
      </c>
      <c r="R372" s="63" t="str">
        <f t="shared" si="203"/>
        <v/>
      </c>
      <c r="S372" s="64" t="str">
        <f t="shared" si="204"/>
        <v/>
      </c>
      <c r="T372" s="63" t="str">
        <f t="shared" si="205"/>
        <v/>
      </c>
      <c r="U372" s="64" t="str">
        <f t="shared" si="206"/>
        <v/>
      </c>
      <c r="V372" s="207" t="str">
        <f>IF($A373="","",IF(AND(MONTH(A372)&gt;3,MONTH(A372)&lt;11),(T372+R372+G372)*(((1/(1-Summary!$T$14))/(1-Summary!$W$14))-1),(T372+R372+G372)*((1/(1-Summary!$U$14))/(1-Summary!$X$14)-1)))</f>
        <v/>
      </c>
      <c r="W372" s="43" t="str">
        <f t="shared" si="207"/>
        <v/>
      </c>
      <c r="X372" s="43" t="str">
        <f t="shared" si="208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9"/>
        <v/>
      </c>
      <c r="AP372" s="33" t="str">
        <f t="shared" si="220"/>
        <v/>
      </c>
      <c r="AQ372" s="58" t="str">
        <f t="shared" si="221"/>
        <v/>
      </c>
      <c r="AR372" s="38">
        <f>'ANR OK vs ML7'!AR372</f>
        <v>0.1</v>
      </c>
      <c r="AS372" s="35" t="str">
        <f t="shared" si="222"/>
        <v/>
      </c>
      <c r="AT372" s="3" t="str">
        <f t="shared" si="223"/>
        <v/>
      </c>
      <c r="AU372" s="3" t="str">
        <f t="shared" si="224"/>
        <v/>
      </c>
      <c r="AW372" s="32" t="str">
        <f t="shared" si="225"/>
        <v/>
      </c>
      <c r="AX372" s="32" t="str">
        <f t="shared" si="226"/>
        <v/>
      </c>
      <c r="AY372" s="32" t="str">
        <f t="shared" si="227"/>
        <v/>
      </c>
      <c r="BA372" s="32" t="str">
        <f>IF($A373="","",F372*Summary!$Q$14)</f>
        <v/>
      </c>
    </row>
    <row r="373" spans="1:53">
      <c r="A373" s="67" t="str">
        <f t="shared" si="228"/>
        <v/>
      </c>
      <c r="B373" s="69" t="str">
        <f t="shared" si="229"/>
        <v/>
      </c>
      <c r="D373" s="69" t="str">
        <f t="shared" si="193"/>
        <v/>
      </c>
      <c r="E373" s="70" t="str">
        <f t="shared" si="194"/>
        <v/>
      </c>
      <c r="F373" s="70" t="str">
        <f t="shared" si="195"/>
        <v/>
      </c>
      <c r="G373" s="63" t="str">
        <f t="shared" si="196"/>
        <v/>
      </c>
      <c r="H373" s="64" t="str">
        <f t="shared" si="197"/>
        <v/>
      </c>
      <c r="J373" s="63" t="str">
        <f t="shared" si="198"/>
        <v/>
      </c>
      <c r="K373" s="64" t="str">
        <f t="shared" si="199"/>
        <v/>
      </c>
      <c r="L373" s="38">
        <v>0</v>
      </c>
      <c r="M373" s="64" t="str">
        <f t="shared" si="200"/>
        <v/>
      </c>
      <c r="O373" s="63" t="str">
        <f t="shared" si="201"/>
        <v/>
      </c>
      <c r="P373" s="63" t="str">
        <f t="shared" si="202"/>
        <v/>
      </c>
      <c r="R373" s="63" t="str">
        <f t="shared" si="203"/>
        <v/>
      </c>
      <c r="S373" s="64" t="str">
        <f t="shared" si="204"/>
        <v/>
      </c>
      <c r="T373" s="63" t="str">
        <f t="shared" si="205"/>
        <v/>
      </c>
      <c r="U373" s="64" t="str">
        <f t="shared" si="206"/>
        <v/>
      </c>
      <c r="V373" s="207" t="str">
        <f>IF($A374="","",IF(AND(MONTH(A373)&gt;3,MONTH(A373)&lt;11),(T373+R373+G373)*(((1/(1-Summary!$T$14))/(1-Summary!$W$14))-1),(T373+R373+G373)*((1/(1-Summary!$U$14))/(1-Summary!$X$14)-1)))</f>
        <v/>
      </c>
      <c r="W373" s="43" t="str">
        <f t="shared" si="207"/>
        <v/>
      </c>
      <c r="X373" s="43" t="str">
        <f t="shared" si="208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9"/>
        <v/>
      </c>
      <c r="AP373" s="33" t="str">
        <f t="shared" si="220"/>
        <v/>
      </c>
      <c r="AQ373" s="58" t="str">
        <f t="shared" si="221"/>
        <v/>
      </c>
      <c r="AR373" s="38">
        <f>'ANR OK vs ML7'!AR373</f>
        <v>0.1</v>
      </c>
      <c r="AS373" s="35" t="str">
        <f t="shared" si="222"/>
        <v/>
      </c>
      <c r="AT373" s="3" t="str">
        <f t="shared" si="223"/>
        <v/>
      </c>
      <c r="AU373" s="3" t="str">
        <f t="shared" si="224"/>
        <v/>
      </c>
      <c r="AW373" s="32" t="str">
        <f t="shared" si="225"/>
        <v/>
      </c>
      <c r="AX373" s="32" t="str">
        <f t="shared" si="226"/>
        <v/>
      </c>
      <c r="AY373" s="32" t="str">
        <f t="shared" si="227"/>
        <v/>
      </c>
      <c r="BA373" s="32" t="str">
        <f>IF($A374="","",F373*Summary!$Q$14)</f>
        <v/>
      </c>
    </row>
    <row r="374" spans="1:53">
      <c r="A374" s="67" t="str">
        <f t="shared" si="228"/>
        <v/>
      </c>
      <c r="B374" s="69" t="str">
        <f t="shared" si="229"/>
        <v/>
      </c>
      <c r="D374" s="69" t="str">
        <f t="shared" si="193"/>
        <v/>
      </c>
      <c r="E374" s="70" t="str">
        <f t="shared" si="194"/>
        <v/>
      </c>
      <c r="F374" s="70" t="str">
        <f t="shared" si="195"/>
        <v/>
      </c>
      <c r="G374" s="63" t="str">
        <f t="shared" si="196"/>
        <v/>
      </c>
      <c r="H374" s="64" t="str">
        <f t="shared" si="197"/>
        <v/>
      </c>
      <c r="J374" s="63" t="str">
        <f t="shared" si="198"/>
        <v/>
      </c>
      <c r="K374" s="64" t="str">
        <f t="shared" si="199"/>
        <v/>
      </c>
      <c r="L374" s="38">
        <v>0</v>
      </c>
      <c r="M374" s="64" t="str">
        <f t="shared" si="200"/>
        <v/>
      </c>
      <c r="O374" s="63" t="str">
        <f t="shared" si="201"/>
        <v/>
      </c>
      <c r="P374" s="63" t="str">
        <f t="shared" si="202"/>
        <v/>
      </c>
      <c r="R374" s="63" t="str">
        <f t="shared" si="203"/>
        <v/>
      </c>
      <c r="S374" s="64" t="str">
        <f t="shared" si="204"/>
        <v/>
      </c>
      <c r="T374" s="63" t="str">
        <f t="shared" si="205"/>
        <v/>
      </c>
      <c r="U374" s="64" t="str">
        <f t="shared" si="206"/>
        <v/>
      </c>
      <c r="V374" s="207" t="str">
        <f>IF($A375="","",IF(AND(MONTH(A374)&gt;3,MONTH(A374)&lt;11),(T374+R374+G374)*(((1/(1-Summary!$T$14))/(1-Summary!$W$14))-1),(T374+R374+G374)*((1/(1-Summary!$U$14))/(1-Summary!$X$14)-1)))</f>
        <v/>
      </c>
      <c r="W374" s="43" t="str">
        <f t="shared" si="207"/>
        <v/>
      </c>
      <c r="X374" s="43" t="str">
        <f t="shared" si="208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9"/>
        <v/>
      </c>
      <c r="AP374" s="33" t="str">
        <f t="shared" si="220"/>
        <v/>
      </c>
      <c r="AQ374" s="58" t="str">
        <f t="shared" si="221"/>
        <v/>
      </c>
      <c r="AR374" s="38">
        <f>'ANR OK vs ML7'!AR374</f>
        <v>0.1</v>
      </c>
      <c r="AS374" s="35" t="str">
        <f t="shared" si="222"/>
        <v/>
      </c>
      <c r="AT374" s="3" t="str">
        <f t="shared" si="223"/>
        <v/>
      </c>
      <c r="AU374" s="3" t="str">
        <f t="shared" si="224"/>
        <v/>
      </c>
      <c r="AW374" s="32" t="str">
        <f t="shared" si="225"/>
        <v/>
      </c>
      <c r="AX374" s="32" t="str">
        <f t="shared" si="226"/>
        <v/>
      </c>
      <c r="AY374" s="32" t="str">
        <f t="shared" si="227"/>
        <v/>
      </c>
      <c r="BA374" s="32" t="str">
        <f>IF($A375="","",F374*Summary!$Q$14)</f>
        <v/>
      </c>
    </row>
    <row r="375" spans="1:53">
      <c r="A375" s="67" t="str">
        <f t="shared" si="228"/>
        <v/>
      </c>
      <c r="B375" s="69" t="str">
        <f t="shared" si="229"/>
        <v/>
      </c>
      <c r="D375" s="69" t="str">
        <f t="shared" si="193"/>
        <v/>
      </c>
      <c r="E375" s="70" t="str">
        <f t="shared" si="194"/>
        <v/>
      </c>
      <c r="F375" s="70" t="str">
        <f t="shared" si="195"/>
        <v/>
      </c>
      <c r="G375" s="63" t="str">
        <f t="shared" si="196"/>
        <v/>
      </c>
      <c r="H375" s="64" t="str">
        <f t="shared" si="197"/>
        <v/>
      </c>
      <c r="J375" s="63" t="str">
        <f t="shared" si="198"/>
        <v/>
      </c>
      <c r="K375" s="64" t="str">
        <f t="shared" si="199"/>
        <v/>
      </c>
      <c r="L375" s="38">
        <v>0</v>
      </c>
      <c r="M375" s="64" t="str">
        <f t="shared" si="200"/>
        <v/>
      </c>
      <c r="O375" s="63" t="str">
        <f t="shared" si="201"/>
        <v/>
      </c>
      <c r="P375" s="63" t="str">
        <f t="shared" si="202"/>
        <v/>
      </c>
      <c r="R375" s="63" t="str">
        <f t="shared" si="203"/>
        <v/>
      </c>
      <c r="S375" s="64" t="str">
        <f t="shared" si="204"/>
        <v/>
      </c>
      <c r="T375" s="63" t="str">
        <f t="shared" si="205"/>
        <v/>
      </c>
      <c r="U375" s="64" t="str">
        <f t="shared" si="206"/>
        <v/>
      </c>
      <c r="V375" s="207" t="str">
        <f>IF($A376="","",IF(AND(MONTH(A375)&gt;3,MONTH(A375)&lt;11),(T375+R375+G375)*(((1/(1-Summary!$T$14))/(1-Summary!$W$14))-1),(T375+R375+G375)*((1/(1-Summary!$U$14))/(1-Summary!$X$14)-1)))</f>
        <v/>
      </c>
      <c r="W375" s="43" t="str">
        <f t="shared" si="207"/>
        <v/>
      </c>
      <c r="X375" s="43" t="str">
        <f t="shared" si="208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9"/>
        <v/>
      </c>
      <c r="AP375" s="33" t="str">
        <f t="shared" si="220"/>
        <v/>
      </c>
      <c r="AQ375" s="58" t="str">
        <f t="shared" si="221"/>
        <v/>
      </c>
      <c r="AR375" s="38">
        <f>'ANR OK vs ML7'!AR375</f>
        <v>0.1</v>
      </c>
      <c r="AS375" s="35" t="str">
        <f t="shared" si="222"/>
        <v/>
      </c>
      <c r="AT375" s="3" t="str">
        <f t="shared" si="223"/>
        <v/>
      </c>
      <c r="AU375" s="3" t="str">
        <f t="shared" si="224"/>
        <v/>
      </c>
      <c r="AW375" s="32" t="str">
        <f t="shared" si="225"/>
        <v/>
      </c>
      <c r="AX375" s="32" t="str">
        <f t="shared" si="226"/>
        <v/>
      </c>
      <c r="AY375" s="32" t="str">
        <f t="shared" si="227"/>
        <v/>
      </c>
      <c r="BA375" s="32" t="str">
        <f>IF($A376="","",F375*Summary!$Q$14)</f>
        <v/>
      </c>
    </row>
    <row r="376" spans="1:53">
      <c r="A376" s="67" t="str">
        <f t="shared" si="228"/>
        <v/>
      </c>
      <c r="B376" s="69" t="str">
        <f t="shared" si="229"/>
        <v/>
      </c>
      <c r="D376" s="69" t="str">
        <f t="shared" si="193"/>
        <v/>
      </c>
      <c r="E376" s="70" t="str">
        <f t="shared" si="194"/>
        <v/>
      </c>
      <c r="F376" s="70" t="str">
        <f t="shared" si="195"/>
        <v/>
      </c>
      <c r="G376" s="63" t="str">
        <f t="shared" si="196"/>
        <v/>
      </c>
      <c r="H376" s="64" t="str">
        <f t="shared" si="197"/>
        <v/>
      </c>
      <c r="J376" s="63" t="str">
        <f t="shared" si="198"/>
        <v/>
      </c>
      <c r="K376" s="64" t="str">
        <f t="shared" si="199"/>
        <v/>
      </c>
      <c r="L376" s="38">
        <v>0</v>
      </c>
      <c r="M376" s="64" t="str">
        <f t="shared" si="200"/>
        <v/>
      </c>
      <c r="O376" s="63" t="str">
        <f t="shared" si="201"/>
        <v/>
      </c>
      <c r="P376" s="63" t="str">
        <f t="shared" si="202"/>
        <v/>
      </c>
      <c r="R376" s="63" t="str">
        <f t="shared" si="203"/>
        <v/>
      </c>
      <c r="S376" s="64" t="str">
        <f t="shared" si="204"/>
        <v/>
      </c>
      <c r="T376" s="63" t="str">
        <f t="shared" si="205"/>
        <v/>
      </c>
      <c r="U376" s="64" t="str">
        <f t="shared" si="206"/>
        <v/>
      </c>
      <c r="V376" s="207" t="str">
        <f>IF($A377="","",IF(AND(MONTH(A376)&gt;3,MONTH(A376)&lt;11),(T376+R376+G376)*(((1/(1-Summary!$T$14))/(1-Summary!$W$14))-1),(T376+R376+G376)*((1/(1-Summary!$U$14))/(1-Summary!$X$14)-1)))</f>
        <v/>
      </c>
      <c r="W376" s="43" t="str">
        <f t="shared" si="207"/>
        <v/>
      </c>
      <c r="X376" s="43" t="str">
        <f t="shared" si="208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9"/>
        <v/>
      </c>
      <c r="AP376" s="33" t="str">
        <f t="shared" si="220"/>
        <v/>
      </c>
      <c r="AQ376" s="58" t="str">
        <f t="shared" si="221"/>
        <v/>
      </c>
      <c r="AR376" s="38">
        <f>'ANR OK vs ML7'!AR376</f>
        <v>0.1</v>
      </c>
      <c r="AS376" s="35" t="str">
        <f t="shared" si="222"/>
        <v/>
      </c>
      <c r="AT376" s="3" t="str">
        <f t="shared" si="223"/>
        <v/>
      </c>
      <c r="AU376" s="3" t="str">
        <f t="shared" si="224"/>
        <v/>
      </c>
      <c r="AW376" s="32" t="str">
        <f t="shared" si="225"/>
        <v/>
      </c>
      <c r="AX376" s="32" t="str">
        <f t="shared" si="226"/>
        <v/>
      </c>
      <c r="AY376" s="32" t="str">
        <f t="shared" si="227"/>
        <v/>
      </c>
      <c r="BA376" s="32" t="str">
        <f>IF($A377="","",F376*Summary!$Q$14)</f>
        <v/>
      </c>
    </row>
    <row r="377" spans="1:53">
      <c r="A377" s="67" t="str">
        <f t="shared" si="228"/>
        <v/>
      </c>
      <c r="B377" s="69" t="str">
        <f t="shared" si="229"/>
        <v/>
      </c>
      <c r="D377" s="69" t="str">
        <f t="shared" si="193"/>
        <v/>
      </c>
      <c r="E377" s="70" t="str">
        <f t="shared" si="194"/>
        <v/>
      </c>
      <c r="F377" s="70" t="str">
        <f t="shared" si="195"/>
        <v/>
      </c>
      <c r="G377" s="63" t="str">
        <f t="shared" si="196"/>
        <v/>
      </c>
      <c r="H377" s="64" t="str">
        <f t="shared" si="197"/>
        <v/>
      </c>
      <c r="J377" s="63" t="str">
        <f t="shared" si="198"/>
        <v/>
      </c>
      <c r="K377" s="64" t="str">
        <f t="shared" si="199"/>
        <v/>
      </c>
      <c r="L377" s="38">
        <v>0</v>
      </c>
      <c r="M377" s="64" t="str">
        <f t="shared" si="200"/>
        <v/>
      </c>
      <c r="O377" s="63" t="str">
        <f t="shared" si="201"/>
        <v/>
      </c>
      <c r="P377" s="63" t="str">
        <f t="shared" si="202"/>
        <v/>
      </c>
      <c r="R377" s="63" t="str">
        <f t="shared" si="203"/>
        <v/>
      </c>
      <c r="S377" s="64" t="str">
        <f t="shared" si="204"/>
        <v/>
      </c>
      <c r="T377" s="63" t="str">
        <f t="shared" si="205"/>
        <v/>
      </c>
      <c r="U377" s="64" t="str">
        <f t="shared" si="206"/>
        <v/>
      </c>
      <c r="V377" s="207" t="str">
        <f>IF($A378="","",IF(AND(MONTH(A377)&gt;3,MONTH(A377)&lt;11),(T377+R377+G377)*(((1/(1-Summary!$T$14))/(1-Summary!$W$14))-1),(T377+R377+G377)*((1/(1-Summary!$U$14))/(1-Summary!$X$14)-1)))</f>
        <v/>
      </c>
      <c r="W377" s="43" t="str">
        <f t="shared" si="207"/>
        <v/>
      </c>
      <c r="X377" s="43" t="str">
        <f t="shared" si="208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9"/>
        <v/>
      </c>
      <c r="AP377" s="33" t="str">
        <f t="shared" si="220"/>
        <v/>
      </c>
      <c r="AQ377" s="58" t="str">
        <f t="shared" si="221"/>
        <v/>
      </c>
      <c r="AR377" s="38">
        <f>'ANR OK vs ML7'!AR377</f>
        <v>0.1</v>
      </c>
      <c r="AS377" s="35" t="str">
        <f t="shared" si="222"/>
        <v/>
      </c>
      <c r="AT377" s="3" t="str">
        <f t="shared" si="223"/>
        <v/>
      </c>
      <c r="AU377" s="3" t="str">
        <f t="shared" si="224"/>
        <v/>
      </c>
      <c r="AW377" s="32" t="str">
        <f t="shared" si="225"/>
        <v/>
      </c>
      <c r="AX377" s="32" t="str">
        <f t="shared" si="226"/>
        <v/>
      </c>
      <c r="AY377" s="32" t="str">
        <f t="shared" si="227"/>
        <v/>
      </c>
      <c r="BA377" s="32" t="str">
        <f>IF($A378="","",F377*Summary!$Q$14)</f>
        <v/>
      </c>
    </row>
    <row r="378" spans="1:53">
      <c r="A378" s="67" t="str">
        <f t="shared" si="228"/>
        <v/>
      </c>
      <c r="B378" s="69" t="str">
        <f t="shared" si="229"/>
        <v/>
      </c>
      <c r="D378" s="69" t="str">
        <f t="shared" si="193"/>
        <v/>
      </c>
      <c r="E378" s="70" t="str">
        <f t="shared" si="194"/>
        <v/>
      </c>
      <c r="F378" s="70" t="str">
        <f t="shared" si="195"/>
        <v/>
      </c>
      <c r="G378" s="63" t="str">
        <f t="shared" si="196"/>
        <v/>
      </c>
      <c r="H378" s="64" t="str">
        <f t="shared" si="197"/>
        <v/>
      </c>
      <c r="J378" s="63" t="str">
        <f t="shared" si="198"/>
        <v/>
      </c>
      <c r="K378" s="64" t="str">
        <f t="shared" si="199"/>
        <v/>
      </c>
      <c r="L378" s="38">
        <v>0</v>
      </c>
      <c r="M378" s="64" t="str">
        <f t="shared" si="200"/>
        <v/>
      </c>
      <c r="O378" s="63" t="str">
        <f t="shared" si="201"/>
        <v/>
      </c>
      <c r="P378" s="63" t="str">
        <f t="shared" si="202"/>
        <v/>
      </c>
      <c r="R378" s="63" t="str">
        <f t="shared" si="203"/>
        <v/>
      </c>
      <c r="S378" s="64" t="str">
        <f t="shared" si="204"/>
        <v/>
      </c>
      <c r="T378" s="63" t="str">
        <f t="shared" si="205"/>
        <v/>
      </c>
      <c r="U378" s="64" t="str">
        <f t="shared" si="206"/>
        <v/>
      </c>
      <c r="V378" s="207" t="str">
        <f>IF($A379="","",IF(AND(MONTH(A378)&gt;3,MONTH(A378)&lt;11),(T378+R378+G378)*(((1/(1-Summary!$T$14))/(1-Summary!$W$14))-1),(T378+R378+G378)*((1/(1-Summary!$U$14))/(1-Summary!$X$14)-1)))</f>
        <v/>
      </c>
      <c r="W378" s="43" t="str">
        <f t="shared" si="207"/>
        <v/>
      </c>
      <c r="X378" s="43" t="str">
        <f t="shared" si="208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9"/>
        <v/>
      </c>
      <c r="AP378" s="33" t="str">
        <f t="shared" si="220"/>
        <v/>
      </c>
      <c r="AQ378" s="58" t="str">
        <f t="shared" si="221"/>
        <v/>
      </c>
      <c r="AR378" s="38">
        <f>'ANR OK vs ML7'!AR378</f>
        <v>0.1</v>
      </c>
      <c r="AS378" s="35" t="str">
        <f t="shared" si="222"/>
        <v/>
      </c>
      <c r="AT378" s="3" t="str">
        <f t="shared" si="223"/>
        <v/>
      </c>
      <c r="AU378" s="3" t="str">
        <f t="shared" si="224"/>
        <v/>
      </c>
      <c r="AW378" s="32" t="str">
        <f t="shared" si="225"/>
        <v/>
      </c>
      <c r="AX378" s="32" t="str">
        <f t="shared" si="226"/>
        <v/>
      </c>
      <c r="AY378" s="32" t="str">
        <f t="shared" si="227"/>
        <v/>
      </c>
      <c r="BA378" s="32" t="str">
        <f>IF($A379="","",F378*Summary!$Q$14)</f>
        <v/>
      </c>
    </row>
    <row r="379" spans="1:53">
      <c r="A379" s="67" t="str">
        <f t="shared" si="228"/>
        <v/>
      </c>
      <c r="B379" s="69" t="str">
        <f t="shared" si="229"/>
        <v/>
      </c>
      <c r="D379" s="69" t="str">
        <f t="shared" si="193"/>
        <v/>
      </c>
      <c r="E379" s="70" t="str">
        <f t="shared" si="194"/>
        <v/>
      </c>
      <c r="F379" s="70" t="str">
        <f t="shared" si="195"/>
        <v/>
      </c>
      <c r="G379" s="63" t="str">
        <f t="shared" si="196"/>
        <v/>
      </c>
      <c r="H379" s="64" t="str">
        <f t="shared" si="197"/>
        <v/>
      </c>
      <c r="J379" s="63" t="str">
        <f t="shared" si="198"/>
        <v/>
      </c>
      <c r="K379" s="64" t="str">
        <f t="shared" si="199"/>
        <v/>
      </c>
      <c r="L379" s="38">
        <v>0</v>
      </c>
      <c r="M379" s="64" t="str">
        <f t="shared" si="200"/>
        <v/>
      </c>
      <c r="O379" s="63" t="str">
        <f t="shared" si="201"/>
        <v/>
      </c>
      <c r="P379" s="63" t="str">
        <f t="shared" si="202"/>
        <v/>
      </c>
      <c r="R379" s="63" t="str">
        <f t="shared" si="203"/>
        <v/>
      </c>
      <c r="S379" s="64" t="str">
        <f t="shared" si="204"/>
        <v/>
      </c>
      <c r="T379" s="63" t="str">
        <f t="shared" si="205"/>
        <v/>
      </c>
      <c r="U379" s="64" t="str">
        <f t="shared" si="206"/>
        <v/>
      </c>
      <c r="V379" s="207" t="str">
        <f>IF($A380="","",IF(AND(MONTH(A379)&gt;3,MONTH(A379)&lt;11),(T379+R379+G379)*(((1/(1-Summary!$T$14))/(1-Summary!$W$14))-1),(T379+R379+G379)*((1/(1-Summary!$U$14))/(1-Summary!$X$14)-1)))</f>
        <v/>
      </c>
      <c r="W379" s="43" t="str">
        <f t="shared" si="207"/>
        <v/>
      </c>
      <c r="X379" s="43" t="str">
        <f t="shared" si="208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9"/>
        <v/>
      </c>
      <c r="AP379" s="33" t="str">
        <f t="shared" si="220"/>
        <v/>
      </c>
      <c r="AQ379" s="58" t="str">
        <f t="shared" si="221"/>
        <v/>
      </c>
      <c r="AR379" s="38">
        <f>'ANR OK vs ML7'!AR379</f>
        <v>0.1</v>
      </c>
      <c r="AS379" s="35" t="str">
        <f t="shared" si="222"/>
        <v/>
      </c>
      <c r="AT379" s="3" t="str">
        <f t="shared" si="223"/>
        <v/>
      </c>
      <c r="AU379" s="3" t="str">
        <f t="shared" si="224"/>
        <v/>
      </c>
      <c r="AW379" s="32" t="str">
        <f t="shared" si="225"/>
        <v/>
      </c>
      <c r="AX379" s="32" t="str">
        <f t="shared" si="226"/>
        <v/>
      </c>
      <c r="AY379" s="32" t="str">
        <f t="shared" si="227"/>
        <v/>
      </c>
      <c r="BA379" s="32" t="str">
        <f>IF($A380="","",F379*Summary!$Q$14)</f>
        <v/>
      </c>
    </row>
    <row r="380" spans="1:53">
      <c r="A380" s="67" t="str">
        <f t="shared" si="228"/>
        <v/>
      </c>
      <c r="B380" s="69" t="str">
        <f t="shared" si="229"/>
        <v/>
      </c>
      <c r="D380" s="69" t="str">
        <f t="shared" si="193"/>
        <v/>
      </c>
      <c r="E380" s="70" t="str">
        <f t="shared" si="194"/>
        <v/>
      </c>
      <c r="F380" s="70" t="str">
        <f t="shared" si="195"/>
        <v/>
      </c>
      <c r="G380" s="63" t="str">
        <f t="shared" si="196"/>
        <v/>
      </c>
      <c r="H380" s="64" t="str">
        <f t="shared" si="197"/>
        <v/>
      </c>
      <c r="J380" s="63" t="str">
        <f t="shared" si="198"/>
        <v/>
      </c>
      <c r="K380" s="64" t="str">
        <f t="shared" si="199"/>
        <v/>
      </c>
      <c r="L380" s="38">
        <v>0</v>
      </c>
      <c r="M380" s="64" t="str">
        <f t="shared" si="200"/>
        <v/>
      </c>
      <c r="O380" s="63" t="str">
        <f t="shared" si="201"/>
        <v/>
      </c>
      <c r="P380" s="63" t="str">
        <f t="shared" si="202"/>
        <v/>
      </c>
      <c r="R380" s="63" t="str">
        <f t="shared" si="203"/>
        <v/>
      </c>
      <c r="S380" s="64" t="str">
        <f t="shared" si="204"/>
        <v/>
      </c>
      <c r="T380" s="63" t="str">
        <f t="shared" si="205"/>
        <v/>
      </c>
      <c r="U380" s="64" t="str">
        <f t="shared" si="206"/>
        <v/>
      </c>
      <c r="V380" s="207" t="str">
        <f>IF($A381="","",IF(AND(MONTH(A380)&gt;3,MONTH(A380)&lt;11),(T380+R380+G380)*(((1/(1-Summary!$T$14))/(1-Summary!$W$14))-1),(T380+R380+G380)*((1/(1-Summary!$U$14))/(1-Summary!$X$14)-1)))</f>
        <v/>
      </c>
      <c r="W380" s="43" t="str">
        <f t="shared" si="207"/>
        <v/>
      </c>
      <c r="X380" s="43" t="str">
        <f t="shared" si="208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9"/>
        <v/>
      </c>
      <c r="AP380" s="33" t="str">
        <f t="shared" si="220"/>
        <v/>
      </c>
      <c r="AQ380" s="58" t="str">
        <f t="shared" si="221"/>
        <v/>
      </c>
      <c r="AR380" s="38">
        <f>'ANR OK vs ML7'!AR380</f>
        <v>0.1</v>
      </c>
      <c r="AS380" s="35" t="str">
        <f t="shared" si="222"/>
        <v/>
      </c>
      <c r="AT380" s="3" t="str">
        <f t="shared" si="223"/>
        <v/>
      </c>
      <c r="AU380" s="3" t="str">
        <f t="shared" si="224"/>
        <v/>
      </c>
      <c r="AW380" s="32" t="str">
        <f t="shared" si="225"/>
        <v/>
      </c>
      <c r="AX380" s="32" t="str">
        <f t="shared" si="226"/>
        <v/>
      </c>
      <c r="AY380" s="32" t="str">
        <f t="shared" si="227"/>
        <v/>
      </c>
      <c r="BA380" s="32" t="str">
        <f>IF($A381="","",F380*Summary!$Q$14)</f>
        <v/>
      </c>
    </row>
    <row r="381" spans="1:53">
      <c r="A381" s="67" t="str">
        <f t="shared" si="228"/>
        <v/>
      </c>
      <c r="B381" s="69" t="str">
        <f t="shared" si="229"/>
        <v/>
      </c>
      <c r="D381" s="69" t="str">
        <f t="shared" si="193"/>
        <v/>
      </c>
      <c r="E381" s="70" t="str">
        <f t="shared" si="194"/>
        <v/>
      </c>
      <c r="F381" s="70" t="str">
        <f t="shared" si="195"/>
        <v/>
      </c>
      <c r="G381" s="63" t="str">
        <f t="shared" si="196"/>
        <v/>
      </c>
      <c r="H381" s="64" t="str">
        <f t="shared" si="197"/>
        <v/>
      </c>
      <c r="J381" s="63" t="str">
        <f t="shared" si="198"/>
        <v/>
      </c>
      <c r="K381" s="64" t="str">
        <f t="shared" si="199"/>
        <v/>
      </c>
      <c r="L381" s="38">
        <v>0</v>
      </c>
      <c r="M381" s="64" t="str">
        <f t="shared" si="200"/>
        <v/>
      </c>
      <c r="O381" s="63" t="str">
        <f t="shared" si="201"/>
        <v/>
      </c>
      <c r="P381" s="63" t="str">
        <f t="shared" si="202"/>
        <v/>
      </c>
      <c r="R381" s="63" t="str">
        <f t="shared" si="203"/>
        <v/>
      </c>
      <c r="S381" s="64" t="str">
        <f t="shared" si="204"/>
        <v/>
      </c>
      <c r="T381" s="63" t="str">
        <f t="shared" si="205"/>
        <v/>
      </c>
      <c r="U381" s="64" t="str">
        <f t="shared" si="206"/>
        <v/>
      </c>
      <c r="V381" s="207" t="str">
        <f>IF($A382="","",IF(AND(MONTH(A381)&gt;3,MONTH(A381)&lt;11),(T381+R381+G381)*(((1/(1-Summary!$T$14))/(1-Summary!$W$14))-1),(T381+R381+G381)*((1/(1-Summary!$U$14))/(1-Summary!$X$14)-1)))</f>
        <v/>
      </c>
      <c r="W381" s="43" t="str">
        <f t="shared" si="207"/>
        <v/>
      </c>
      <c r="X381" s="43" t="str">
        <f t="shared" si="208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9"/>
        <v/>
      </c>
      <c r="AP381" s="33" t="str">
        <f t="shared" si="220"/>
        <v/>
      </c>
      <c r="AQ381" s="58" t="str">
        <f t="shared" si="221"/>
        <v/>
      </c>
      <c r="AR381" s="38">
        <f>'ANR OK vs ML7'!AR381</f>
        <v>0.1</v>
      </c>
      <c r="AS381" s="35" t="str">
        <f t="shared" si="222"/>
        <v/>
      </c>
      <c r="AT381" s="3" t="str">
        <f t="shared" si="223"/>
        <v/>
      </c>
      <c r="AU381" s="3" t="str">
        <f t="shared" si="224"/>
        <v/>
      </c>
      <c r="AW381" s="32" t="str">
        <f t="shared" si="225"/>
        <v/>
      </c>
      <c r="AX381" s="32" t="str">
        <f t="shared" si="226"/>
        <v/>
      </c>
      <c r="AY381" s="32" t="str">
        <f t="shared" si="227"/>
        <v/>
      </c>
      <c r="BA381" s="32" t="str">
        <f>IF($A382="","",F381*Summary!$Q$14)</f>
        <v/>
      </c>
    </row>
    <row r="382" spans="1:53">
      <c r="A382" s="67" t="str">
        <f t="shared" si="228"/>
        <v/>
      </c>
      <c r="B382" s="69" t="str">
        <f t="shared" si="229"/>
        <v/>
      </c>
      <c r="D382" s="69" t="str">
        <f t="shared" si="193"/>
        <v/>
      </c>
      <c r="E382" s="70" t="str">
        <f t="shared" si="194"/>
        <v/>
      </c>
      <c r="F382" s="70" t="str">
        <f t="shared" si="195"/>
        <v/>
      </c>
      <c r="G382" s="63" t="str">
        <f t="shared" si="196"/>
        <v/>
      </c>
      <c r="H382" s="64" t="str">
        <f t="shared" si="197"/>
        <v/>
      </c>
      <c r="J382" s="63" t="str">
        <f t="shared" si="198"/>
        <v/>
      </c>
      <c r="K382" s="64" t="str">
        <f t="shared" si="199"/>
        <v/>
      </c>
      <c r="L382" s="38">
        <v>0</v>
      </c>
      <c r="M382" s="64" t="str">
        <f t="shared" si="200"/>
        <v/>
      </c>
      <c r="O382" s="63" t="str">
        <f t="shared" si="201"/>
        <v/>
      </c>
      <c r="P382" s="63" t="str">
        <f t="shared" si="202"/>
        <v/>
      </c>
      <c r="R382" s="63" t="str">
        <f t="shared" si="203"/>
        <v/>
      </c>
      <c r="S382" s="64" t="str">
        <f t="shared" si="204"/>
        <v/>
      </c>
      <c r="T382" s="63" t="str">
        <f t="shared" si="205"/>
        <v/>
      </c>
      <c r="U382" s="64" t="str">
        <f t="shared" si="206"/>
        <v/>
      </c>
      <c r="V382" s="207" t="str">
        <f>IF($A383="","",IF(AND(MONTH(A382)&gt;3,MONTH(A382)&lt;11),(T382+R382+G382)*(((1/(1-Summary!$T$14))/(1-Summary!$W$14))-1),(T382+R382+G382)*((1/(1-Summary!$U$14))/(1-Summary!$X$14)-1)))</f>
        <v/>
      </c>
      <c r="W382" s="43" t="str">
        <f t="shared" si="207"/>
        <v/>
      </c>
      <c r="X382" s="43" t="str">
        <f t="shared" si="208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9"/>
        <v/>
      </c>
      <c r="AP382" s="33" t="str">
        <f t="shared" si="220"/>
        <v/>
      </c>
      <c r="AQ382" s="58" t="str">
        <f t="shared" si="221"/>
        <v/>
      </c>
      <c r="AR382" s="38">
        <f>'ANR OK vs ML7'!AR382</f>
        <v>0.1</v>
      </c>
      <c r="AS382" s="35" t="str">
        <f t="shared" si="222"/>
        <v/>
      </c>
      <c r="AT382" s="3" t="str">
        <f t="shared" si="223"/>
        <v/>
      </c>
      <c r="AU382" s="3" t="str">
        <f t="shared" si="224"/>
        <v/>
      </c>
      <c r="AW382" s="32" t="str">
        <f t="shared" si="225"/>
        <v/>
      </c>
      <c r="AX382" s="32" t="str">
        <f t="shared" si="226"/>
        <v/>
      </c>
      <c r="AY382" s="32" t="str">
        <f t="shared" si="227"/>
        <v/>
      </c>
      <c r="BA382" s="32" t="str">
        <f>IF($A383="","",F382*Summary!$Q$14)</f>
        <v/>
      </c>
    </row>
    <row r="383" spans="1:53">
      <c r="A383" s="67" t="str">
        <f t="shared" si="228"/>
        <v/>
      </c>
      <c r="B383" s="69" t="str">
        <f t="shared" si="229"/>
        <v/>
      </c>
      <c r="D383" s="69" t="str">
        <f t="shared" si="193"/>
        <v/>
      </c>
      <c r="E383" s="70" t="str">
        <f t="shared" si="194"/>
        <v/>
      </c>
      <c r="F383" s="70" t="str">
        <f t="shared" si="195"/>
        <v/>
      </c>
      <c r="G383" s="63" t="str">
        <f t="shared" si="196"/>
        <v/>
      </c>
      <c r="H383" s="64" t="str">
        <f t="shared" si="197"/>
        <v/>
      </c>
      <c r="J383" s="63" t="str">
        <f t="shared" si="198"/>
        <v/>
      </c>
      <c r="K383" s="64" t="str">
        <f t="shared" si="199"/>
        <v/>
      </c>
      <c r="L383" s="38">
        <v>0</v>
      </c>
      <c r="M383" s="64" t="str">
        <f t="shared" si="200"/>
        <v/>
      </c>
      <c r="O383" s="63" t="str">
        <f t="shared" si="201"/>
        <v/>
      </c>
      <c r="P383" s="63" t="str">
        <f t="shared" si="202"/>
        <v/>
      </c>
      <c r="R383" s="63" t="str">
        <f t="shared" si="203"/>
        <v/>
      </c>
      <c r="S383" s="64" t="str">
        <f t="shared" si="204"/>
        <v/>
      </c>
      <c r="T383" s="63" t="str">
        <f t="shared" si="205"/>
        <v/>
      </c>
      <c r="U383" s="64" t="str">
        <f t="shared" si="206"/>
        <v/>
      </c>
      <c r="V383" s="207" t="str">
        <f>IF($A384="","",IF(AND(MONTH(A383)&gt;3,MONTH(A383)&lt;11),(T383+R383+G383)*(((1/(1-Summary!$T$14))/(1-Summary!$W$14))-1),(T383+R383+G383)*((1/(1-Summary!$U$14))/(1-Summary!$X$14)-1)))</f>
        <v/>
      </c>
      <c r="W383" s="43" t="str">
        <f t="shared" si="207"/>
        <v/>
      </c>
      <c r="X383" s="43" t="str">
        <f t="shared" si="208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9"/>
        <v/>
      </c>
      <c r="AP383" s="33" t="str">
        <f t="shared" si="220"/>
        <v/>
      </c>
      <c r="AQ383" s="58" t="str">
        <f t="shared" si="221"/>
        <v/>
      </c>
      <c r="AR383" s="38">
        <f>'ANR OK vs ML7'!AR383</f>
        <v>0.1</v>
      </c>
      <c r="AS383" s="35" t="str">
        <f t="shared" si="222"/>
        <v/>
      </c>
      <c r="AT383" s="3" t="str">
        <f t="shared" si="223"/>
        <v/>
      </c>
      <c r="AU383" s="3" t="str">
        <f t="shared" si="224"/>
        <v/>
      </c>
      <c r="AW383" s="32" t="str">
        <f t="shared" si="225"/>
        <v/>
      </c>
      <c r="AX383" s="32" t="str">
        <f t="shared" si="226"/>
        <v/>
      </c>
      <c r="AY383" s="32" t="str">
        <f t="shared" si="227"/>
        <v/>
      </c>
      <c r="BA383" s="32" t="str">
        <f>IF($A384="","",F383*Summary!$Q$14)</f>
        <v/>
      </c>
    </row>
    <row r="384" spans="1:53">
      <c r="A384" s="67" t="str">
        <f t="shared" si="228"/>
        <v/>
      </c>
      <c r="B384" s="69" t="str">
        <f t="shared" si="229"/>
        <v/>
      </c>
      <c r="D384" s="69" t="str">
        <f t="shared" si="193"/>
        <v/>
      </c>
      <c r="E384" s="70" t="str">
        <f t="shared" si="194"/>
        <v/>
      </c>
      <c r="F384" s="70" t="str">
        <f t="shared" si="195"/>
        <v/>
      </c>
      <c r="G384" s="63" t="str">
        <f t="shared" si="196"/>
        <v/>
      </c>
      <c r="H384" s="64" t="str">
        <f t="shared" si="197"/>
        <v/>
      </c>
      <c r="J384" s="63" t="str">
        <f t="shared" si="198"/>
        <v/>
      </c>
      <c r="K384" s="64" t="str">
        <f t="shared" si="199"/>
        <v/>
      </c>
      <c r="L384" s="38">
        <v>0</v>
      </c>
      <c r="M384" s="64" t="str">
        <f t="shared" si="200"/>
        <v/>
      </c>
      <c r="O384" s="63" t="str">
        <f t="shared" si="201"/>
        <v/>
      </c>
      <c r="P384" s="63" t="str">
        <f t="shared" si="202"/>
        <v/>
      </c>
      <c r="R384" s="63" t="str">
        <f t="shared" si="203"/>
        <v/>
      </c>
      <c r="S384" s="64" t="str">
        <f t="shared" si="204"/>
        <v/>
      </c>
      <c r="T384" s="63" t="str">
        <f t="shared" si="205"/>
        <v/>
      </c>
      <c r="U384" s="64" t="str">
        <f t="shared" si="206"/>
        <v/>
      </c>
      <c r="V384" s="207" t="str">
        <f>IF($A385="","",IF(AND(MONTH(A384)&gt;3,MONTH(A384)&lt;11),(T384+R384+G384)*(((1/(1-Summary!$T$14))/(1-Summary!$W$14))-1),(T384+R384+G384)*((1/(1-Summary!$U$14))/(1-Summary!$X$14)-1)))</f>
        <v/>
      </c>
      <c r="W384" s="43" t="str">
        <f t="shared" si="207"/>
        <v/>
      </c>
      <c r="X384" s="43" t="str">
        <f t="shared" si="208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9"/>
        <v/>
      </c>
      <c r="AP384" s="33" t="str">
        <f t="shared" si="220"/>
        <v/>
      </c>
      <c r="AQ384" s="58" t="str">
        <f t="shared" si="221"/>
        <v/>
      </c>
      <c r="AR384" s="38">
        <f>'ANR OK vs ML7'!AR384</f>
        <v>0.1</v>
      </c>
      <c r="AS384" s="35" t="str">
        <f t="shared" si="222"/>
        <v/>
      </c>
      <c r="AT384" s="3" t="str">
        <f t="shared" si="223"/>
        <v/>
      </c>
      <c r="AU384" s="3" t="str">
        <f t="shared" si="224"/>
        <v/>
      </c>
      <c r="AW384" s="32" t="str">
        <f t="shared" si="225"/>
        <v/>
      </c>
      <c r="AX384" s="32" t="str">
        <f t="shared" si="226"/>
        <v/>
      </c>
      <c r="AY384" s="32" t="str">
        <f t="shared" si="227"/>
        <v/>
      </c>
      <c r="BA384" s="32" t="str">
        <f>IF($A385="","",F384*Summary!$Q$14)</f>
        <v/>
      </c>
    </row>
    <row r="385" spans="1:53">
      <c r="A385" s="67" t="str">
        <f t="shared" si="228"/>
        <v/>
      </c>
      <c r="B385" s="69" t="str">
        <f t="shared" si="229"/>
        <v/>
      </c>
      <c r="D385" s="69" t="str">
        <f t="shared" si="193"/>
        <v/>
      </c>
      <c r="E385" s="70" t="str">
        <f t="shared" si="194"/>
        <v/>
      </c>
      <c r="F385" s="70" t="str">
        <f t="shared" si="195"/>
        <v/>
      </c>
      <c r="G385" s="63" t="str">
        <f t="shared" si="196"/>
        <v/>
      </c>
      <c r="H385" s="64" t="str">
        <f t="shared" si="197"/>
        <v/>
      </c>
      <c r="J385" s="63" t="str">
        <f t="shared" si="198"/>
        <v/>
      </c>
      <c r="K385" s="64" t="str">
        <f t="shared" si="199"/>
        <v/>
      </c>
      <c r="L385" s="38">
        <v>0</v>
      </c>
      <c r="M385" s="64" t="str">
        <f t="shared" si="200"/>
        <v/>
      </c>
      <c r="O385" s="63" t="str">
        <f t="shared" si="201"/>
        <v/>
      </c>
      <c r="P385" s="63" t="str">
        <f t="shared" si="202"/>
        <v/>
      </c>
      <c r="R385" s="63" t="str">
        <f t="shared" si="203"/>
        <v/>
      </c>
      <c r="S385" s="64" t="str">
        <f t="shared" si="204"/>
        <v/>
      </c>
      <c r="T385" s="63" t="str">
        <f t="shared" si="205"/>
        <v/>
      </c>
      <c r="U385" s="64" t="str">
        <f t="shared" si="206"/>
        <v/>
      </c>
      <c r="V385" s="207" t="str">
        <f>IF($A386="","",IF(AND(MONTH(A385)&gt;3,MONTH(A385)&lt;11),(T385+R385+G385)*(((1/(1-Summary!$T$14))/(1-Summary!$W$14))-1),(T385+R385+G385)*((1/(1-Summary!$U$14))/(1-Summary!$X$14)-1)))</f>
        <v/>
      </c>
      <c r="W385" s="43" t="str">
        <f t="shared" si="207"/>
        <v/>
      </c>
      <c r="X385" s="43" t="str">
        <f t="shared" si="208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9"/>
        <v/>
      </c>
      <c r="AP385" s="33" t="str">
        <f t="shared" si="220"/>
        <v/>
      </c>
      <c r="AQ385" s="58" t="str">
        <f t="shared" si="221"/>
        <v/>
      </c>
      <c r="AR385" s="38">
        <f>'ANR OK vs ML7'!AR385</f>
        <v>0.1</v>
      </c>
      <c r="AS385" s="35" t="str">
        <f t="shared" si="222"/>
        <v/>
      </c>
      <c r="AT385" s="3" t="str">
        <f t="shared" si="223"/>
        <v/>
      </c>
      <c r="AU385" s="3" t="str">
        <f t="shared" si="224"/>
        <v/>
      </c>
      <c r="AW385" s="32" t="str">
        <f t="shared" si="225"/>
        <v/>
      </c>
      <c r="AX385" s="32" t="str">
        <f t="shared" si="226"/>
        <v/>
      </c>
      <c r="AY385" s="32" t="str">
        <f t="shared" si="227"/>
        <v/>
      </c>
      <c r="BA385" s="32" t="str">
        <f>IF($A386="","",F385*Summary!$Q$14)</f>
        <v/>
      </c>
    </row>
    <row r="386" spans="1:53">
      <c r="A386" s="67" t="str">
        <f t="shared" si="228"/>
        <v/>
      </c>
      <c r="B386" s="69" t="str">
        <f t="shared" si="229"/>
        <v/>
      </c>
      <c r="D386" s="69" t="str">
        <f t="shared" si="193"/>
        <v/>
      </c>
      <c r="E386" s="70" t="str">
        <f t="shared" si="194"/>
        <v/>
      </c>
      <c r="F386" s="70" t="str">
        <f t="shared" si="195"/>
        <v/>
      </c>
      <c r="G386" s="63" t="str">
        <f t="shared" si="196"/>
        <v/>
      </c>
      <c r="H386" s="64" t="str">
        <f t="shared" si="197"/>
        <v/>
      </c>
      <c r="J386" s="63" t="str">
        <f t="shared" si="198"/>
        <v/>
      </c>
      <c r="K386" s="64" t="str">
        <f t="shared" si="199"/>
        <v/>
      </c>
      <c r="L386" s="38">
        <v>0</v>
      </c>
      <c r="M386" s="64" t="str">
        <f t="shared" si="200"/>
        <v/>
      </c>
      <c r="O386" s="63" t="str">
        <f t="shared" si="201"/>
        <v/>
      </c>
      <c r="P386" s="63" t="str">
        <f t="shared" si="202"/>
        <v/>
      </c>
      <c r="R386" s="63" t="str">
        <f t="shared" si="203"/>
        <v/>
      </c>
      <c r="S386" s="64" t="str">
        <f t="shared" si="204"/>
        <v/>
      </c>
      <c r="T386" s="63" t="str">
        <f t="shared" si="205"/>
        <v/>
      </c>
      <c r="U386" s="64" t="str">
        <f t="shared" si="206"/>
        <v/>
      </c>
      <c r="V386" s="207" t="str">
        <f>IF($A387="","",IF(AND(MONTH(A386)&gt;3,MONTH(A386)&lt;11),(T386+R386+G386)*(((1/(1-Summary!$T$14))/(1-Summary!$W$14))-1),(T386+R386+G386)*((1/(1-Summary!$U$14))/(1-Summary!$X$14)-1)))</f>
        <v/>
      </c>
      <c r="W386" s="43" t="str">
        <f t="shared" si="207"/>
        <v/>
      </c>
      <c r="X386" s="43" t="str">
        <f t="shared" si="208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9"/>
        <v/>
      </c>
      <c r="AP386" s="33" t="str">
        <f t="shared" si="220"/>
        <v/>
      </c>
      <c r="AQ386" s="58" t="str">
        <f t="shared" si="221"/>
        <v/>
      </c>
      <c r="AR386" s="38">
        <f>'ANR OK vs ML7'!AR386</f>
        <v>0.1</v>
      </c>
      <c r="AS386" s="35" t="str">
        <f t="shared" si="222"/>
        <v/>
      </c>
      <c r="AT386" s="3" t="str">
        <f t="shared" si="223"/>
        <v/>
      </c>
      <c r="AU386" s="3" t="str">
        <f t="shared" si="224"/>
        <v/>
      </c>
      <c r="AW386" s="32" t="str">
        <f t="shared" si="225"/>
        <v/>
      </c>
      <c r="AX386" s="32" t="str">
        <f t="shared" si="226"/>
        <v/>
      </c>
      <c r="AY386" s="32" t="str">
        <f t="shared" si="227"/>
        <v/>
      </c>
      <c r="BA386" s="32" t="str">
        <f>IF($A387="","",F386*Summary!$Q$14)</f>
        <v/>
      </c>
    </row>
    <row r="387" spans="1:53">
      <c r="A387" s="67" t="str">
        <f t="shared" si="228"/>
        <v/>
      </c>
      <c r="B387" s="69" t="str">
        <f t="shared" si="229"/>
        <v/>
      </c>
      <c r="D387" s="69" t="str">
        <f t="shared" si="193"/>
        <v/>
      </c>
      <c r="E387" s="70" t="str">
        <f t="shared" si="194"/>
        <v/>
      </c>
      <c r="F387" s="70" t="str">
        <f t="shared" si="195"/>
        <v/>
      </c>
      <c r="G387" s="63" t="str">
        <f t="shared" si="196"/>
        <v/>
      </c>
      <c r="H387" s="64" t="str">
        <f t="shared" si="197"/>
        <v/>
      </c>
      <c r="J387" s="63" t="str">
        <f t="shared" si="198"/>
        <v/>
      </c>
      <c r="K387" s="64" t="str">
        <f t="shared" si="199"/>
        <v/>
      </c>
      <c r="L387" s="38">
        <v>0</v>
      </c>
      <c r="M387" s="64" t="str">
        <f t="shared" si="200"/>
        <v/>
      </c>
      <c r="O387" s="63" t="str">
        <f t="shared" si="201"/>
        <v/>
      </c>
      <c r="P387" s="63" t="str">
        <f t="shared" si="202"/>
        <v/>
      </c>
      <c r="R387" s="63" t="str">
        <f t="shared" si="203"/>
        <v/>
      </c>
      <c r="S387" s="64" t="str">
        <f t="shared" si="204"/>
        <v/>
      </c>
      <c r="T387" s="63" t="str">
        <f t="shared" si="205"/>
        <v/>
      </c>
      <c r="U387" s="64" t="str">
        <f t="shared" si="206"/>
        <v/>
      </c>
      <c r="V387" s="207" t="str">
        <f>IF($A388="","",IF(AND(MONTH(A387)&gt;3,MONTH(A387)&lt;11),(T387+R387+G387)*(((1/(1-Summary!$T$14))/(1-Summary!$W$14))-1),(T387+R387+G387)*((1/(1-Summary!$U$14))/(1-Summary!$X$14)-1)))</f>
        <v/>
      </c>
      <c r="W387" s="43" t="str">
        <f t="shared" si="207"/>
        <v/>
      </c>
      <c r="X387" s="43" t="str">
        <f t="shared" si="208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9"/>
        <v/>
      </c>
      <c r="AP387" s="33" t="str">
        <f t="shared" si="220"/>
        <v/>
      </c>
      <c r="AQ387" s="58" t="str">
        <f t="shared" si="221"/>
        <v/>
      </c>
      <c r="AR387" s="38">
        <f>'ANR OK vs ML7'!AR387</f>
        <v>0.1</v>
      </c>
      <c r="AS387" s="35" t="str">
        <f t="shared" si="222"/>
        <v/>
      </c>
      <c r="AT387" s="3" t="str">
        <f t="shared" si="223"/>
        <v/>
      </c>
      <c r="AU387" s="3" t="str">
        <f t="shared" si="224"/>
        <v/>
      </c>
      <c r="AW387" s="32" t="str">
        <f t="shared" si="225"/>
        <v/>
      </c>
      <c r="AX387" s="32" t="str">
        <f t="shared" si="226"/>
        <v/>
      </c>
      <c r="AY387" s="32" t="str">
        <f t="shared" si="227"/>
        <v/>
      </c>
      <c r="BA387" s="32" t="str">
        <f>IF($A388="","",F387*Summary!$Q$14)</f>
        <v/>
      </c>
    </row>
    <row r="388" spans="1:53">
      <c r="A388" s="67" t="str">
        <f t="shared" si="228"/>
        <v/>
      </c>
      <c r="B388" s="69" t="str">
        <f t="shared" si="229"/>
        <v/>
      </c>
      <c r="D388" s="69" t="str">
        <f t="shared" si="193"/>
        <v/>
      </c>
      <c r="E388" s="70" t="str">
        <f t="shared" si="194"/>
        <v/>
      </c>
      <c r="F388" s="70" t="str">
        <f t="shared" si="195"/>
        <v/>
      </c>
      <c r="G388" s="63" t="str">
        <f t="shared" si="196"/>
        <v/>
      </c>
      <c r="H388" s="64" t="str">
        <f t="shared" si="197"/>
        <v/>
      </c>
      <c r="J388" s="63" t="str">
        <f t="shared" si="198"/>
        <v/>
      </c>
      <c r="K388" s="64" t="str">
        <f t="shared" si="199"/>
        <v/>
      </c>
      <c r="L388" s="38">
        <v>0</v>
      </c>
      <c r="M388" s="64" t="str">
        <f t="shared" si="200"/>
        <v/>
      </c>
      <c r="O388" s="63" t="str">
        <f t="shared" si="201"/>
        <v/>
      </c>
      <c r="P388" s="63" t="str">
        <f t="shared" si="202"/>
        <v/>
      </c>
      <c r="R388" s="63" t="str">
        <f t="shared" si="203"/>
        <v/>
      </c>
      <c r="S388" s="64" t="str">
        <f t="shared" si="204"/>
        <v/>
      </c>
      <c r="T388" s="63" t="str">
        <f t="shared" si="205"/>
        <v/>
      </c>
      <c r="U388" s="64" t="str">
        <f t="shared" si="206"/>
        <v/>
      </c>
      <c r="V388" s="207" t="str">
        <f>IF($A389="","",IF(AND(MONTH(A388)&gt;3,MONTH(A388)&lt;11),(T388+R388+G388)*(((1/(1-Summary!$T$14))/(1-Summary!$W$14))-1),(T388+R388+G388)*((1/(1-Summary!$U$14))/(1-Summary!$X$14)-1)))</f>
        <v/>
      </c>
      <c r="W388" s="43" t="str">
        <f t="shared" si="207"/>
        <v/>
      </c>
      <c r="X388" s="43" t="str">
        <f t="shared" si="208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9"/>
        <v/>
      </c>
      <c r="AP388" s="33" t="str">
        <f t="shared" si="220"/>
        <v/>
      </c>
      <c r="AQ388" s="58" t="str">
        <f t="shared" si="221"/>
        <v/>
      </c>
      <c r="AR388" s="38">
        <f>'ANR OK vs ML7'!AR388</f>
        <v>0.1</v>
      </c>
      <c r="AS388" s="35" t="str">
        <f t="shared" si="222"/>
        <v/>
      </c>
      <c r="AT388" s="3" t="str">
        <f t="shared" si="223"/>
        <v/>
      </c>
      <c r="AU388" s="3" t="str">
        <f t="shared" si="224"/>
        <v/>
      </c>
      <c r="AW388" s="32" t="str">
        <f t="shared" si="225"/>
        <v/>
      </c>
      <c r="AX388" s="32" t="str">
        <f t="shared" si="226"/>
        <v/>
      </c>
      <c r="AY388" s="32" t="str">
        <f t="shared" si="227"/>
        <v/>
      </c>
      <c r="BA388" s="32" t="str">
        <f>IF($A389="","",F388*Summary!$Q$14)</f>
        <v/>
      </c>
    </row>
    <row r="389" spans="1:53">
      <c r="A389" s="67" t="str">
        <f t="shared" si="228"/>
        <v/>
      </c>
      <c r="B389" s="69" t="str">
        <f t="shared" si="229"/>
        <v/>
      </c>
      <c r="D389" s="69" t="str">
        <f t="shared" si="193"/>
        <v/>
      </c>
      <c r="E389" s="70" t="str">
        <f t="shared" si="194"/>
        <v/>
      </c>
      <c r="F389" s="70" t="str">
        <f t="shared" si="195"/>
        <v/>
      </c>
      <c r="G389" s="63" t="str">
        <f t="shared" si="196"/>
        <v/>
      </c>
      <c r="H389" s="64" t="str">
        <f t="shared" si="197"/>
        <v/>
      </c>
      <c r="J389" s="63" t="str">
        <f t="shared" si="198"/>
        <v/>
      </c>
      <c r="K389" s="64" t="str">
        <f t="shared" si="199"/>
        <v/>
      </c>
      <c r="L389" s="38">
        <v>0</v>
      </c>
      <c r="M389" s="64" t="str">
        <f t="shared" si="200"/>
        <v/>
      </c>
      <c r="O389" s="63" t="str">
        <f t="shared" si="201"/>
        <v/>
      </c>
      <c r="P389" s="63" t="str">
        <f t="shared" si="202"/>
        <v/>
      </c>
      <c r="R389" s="63" t="str">
        <f t="shared" si="203"/>
        <v/>
      </c>
      <c r="S389" s="64" t="str">
        <f t="shared" si="204"/>
        <v/>
      </c>
      <c r="T389" s="63" t="str">
        <f t="shared" si="205"/>
        <v/>
      </c>
      <c r="U389" s="64" t="str">
        <f t="shared" si="206"/>
        <v/>
      </c>
      <c r="V389" s="207" t="str">
        <f>IF($A390="","",IF(AND(MONTH(A389)&gt;3,MONTH(A389)&lt;11),(T389+R389+G389)*(((1/(1-Summary!$T$14))/(1-Summary!$W$14))-1),(T389+R389+G389)*((1/(1-Summary!$U$14))/(1-Summary!$X$14)-1)))</f>
        <v/>
      </c>
      <c r="W389" s="43" t="str">
        <f t="shared" si="207"/>
        <v/>
      </c>
      <c r="X389" s="43" t="str">
        <f t="shared" si="208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9"/>
        <v/>
      </c>
      <c r="AP389" s="33" t="str">
        <f t="shared" si="220"/>
        <v/>
      </c>
      <c r="AQ389" s="58" t="str">
        <f t="shared" si="221"/>
        <v/>
      </c>
      <c r="AR389" s="38">
        <f>'ANR OK vs ML7'!AR389</f>
        <v>0.1</v>
      </c>
      <c r="AS389" s="35" t="str">
        <f t="shared" si="222"/>
        <v/>
      </c>
      <c r="AT389" s="3" t="str">
        <f t="shared" si="223"/>
        <v/>
      </c>
      <c r="AU389" s="3" t="str">
        <f t="shared" si="224"/>
        <v/>
      </c>
      <c r="AW389" s="32" t="str">
        <f t="shared" si="225"/>
        <v/>
      </c>
      <c r="AX389" s="32" t="str">
        <f t="shared" si="226"/>
        <v/>
      </c>
      <c r="AY389" s="32" t="str">
        <f t="shared" si="227"/>
        <v/>
      </c>
      <c r="BA389" s="32" t="str">
        <f>IF($A390="","",F389*Summary!$Q$14)</f>
        <v/>
      </c>
    </row>
    <row r="390" spans="1:53">
      <c r="A390" s="67" t="str">
        <f t="shared" si="228"/>
        <v/>
      </c>
      <c r="B390" s="69" t="str">
        <f t="shared" si="229"/>
        <v/>
      </c>
      <c r="D390" s="69" t="str">
        <f t="shared" si="193"/>
        <v/>
      </c>
      <c r="E390" s="70" t="str">
        <f t="shared" si="194"/>
        <v/>
      </c>
      <c r="F390" s="70" t="str">
        <f t="shared" si="195"/>
        <v/>
      </c>
      <c r="G390" s="63" t="str">
        <f t="shared" si="196"/>
        <v/>
      </c>
      <c r="H390" s="64" t="str">
        <f t="shared" si="197"/>
        <v/>
      </c>
      <c r="J390" s="63" t="str">
        <f t="shared" si="198"/>
        <v/>
      </c>
      <c r="K390" s="64" t="str">
        <f t="shared" si="199"/>
        <v/>
      </c>
      <c r="L390" s="38">
        <v>0</v>
      </c>
      <c r="M390" s="64" t="str">
        <f t="shared" si="200"/>
        <v/>
      </c>
      <c r="O390" s="63" t="str">
        <f t="shared" si="201"/>
        <v/>
      </c>
      <c r="P390" s="63" t="str">
        <f t="shared" si="202"/>
        <v/>
      </c>
      <c r="R390" s="63" t="str">
        <f t="shared" si="203"/>
        <v/>
      </c>
      <c r="S390" s="64" t="str">
        <f t="shared" si="204"/>
        <v/>
      </c>
      <c r="T390" s="63" t="str">
        <f t="shared" si="205"/>
        <v/>
      </c>
      <c r="U390" s="64" t="str">
        <f t="shared" si="206"/>
        <v/>
      </c>
      <c r="V390" s="207" t="str">
        <f>IF($A391="","",IF(AND(MONTH(A390)&gt;3,MONTH(A390)&lt;11),(T390+R390+G390)*(((1/(1-Summary!$T$14))/(1-Summary!$W$14))-1),(T390+R390+G390)*((1/(1-Summary!$U$14))/(1-Summary!$X$14)-1)))</f>
        <v/>
      </c>
      <c r="W390" s="43" t="str">
        <f t="shared" si="207"/>
        <v/>
      </c>
      <c r="X390" s="43" t="str">
        <f t="shared" si="208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9"/>
        <v/>
      </c>
      <c r="AP390" s="33" t="str">
        <f t="shared" si="220"/>
        <v/>
      </c>
      <c r="AQ390" s="58" t="str">
        <f t="shared" si="221"/>
        <v/>
      </c>
      <c r="AR390" s="38">
        <f>'ANR OK vs ML7'!AR390</f>
        <v>0.1</v>
      </c>
      <c r="AS390" s="35" t="str">
        <f t="shared" si="222"/>
        <v/>
      </c>
      <c r="AT390" s="3" t="str">
        <f t="shared" si="223"/>
        <v/>
      </c>
      <c r="AU390" s="3" t="str">
        <f t="shared" si="224"/>
        <v/>
      </c>
      <c r="AW390" s="32" t="str">
        <f t="shared" si="225"/>
        <v/>
      </c>
      <c r="AX390" s="32" t="str">
        <f t="shared" si="226"/>
        <v/>
      </c>
      <c r="AY390" s="32" t="str">
        <f t="shared" si="227"/>
        <v/>
      </c>
      <c r="BA390" s="32" t="str">
        <f>IF($A391="","",F390*Summary!$Q$14)</f>
        <v/>
      </c>
    </row>
    <row r="391" spans="1:53">
      <c r="A391" s="67" t="str">
        <f t="shared" si="228"/>
        <v/>
      </c>
      <c r="B391" s="69" t="str">
        <f t="shared" si="229"/>
        <v/>
      </c>
      <c r="D391" s="69" t="str">
        <f t="shared" si="193"/>
        <v/>
      </c>
      <c r="E391" s="70" t="str">
        <f t="shared" si="194"/>
        <v/>
      </c>
      <c r="F391" s="70" t="str">
        <f t="shared" si="195"/>
        <v/>
      </c>
      <c r="G391" s="63" t="str">
        <f t="shared" si="196"/>
        <v/>
      </c>
      <c r="H391" s="64" t="str">
        <f t="shared" si="197"/>
        <v/>
      </c>
      <c r="J391" s="63" t="str">
        <f t="shared" si="198"/>
        <v/>
      </c>
      <c r="K391" s="64" t="str">
        <f t="shared" si="199"/>
        <v/>
      </c>
      <c r="L391" s="38">
        <v>0</v>
      </c>
      <c r="M391" s="64" t="str">
        <f t="shared" si="200"/>
        <v/>
      </c>
      <c r="O391" s="63" t="str">
        <f t="shared" si="201"/>
        <v/>
      </c>
      <c r="P391" s="63" t="str">
        <f t="shared" si="202"/>
        <v/>
      </c>
      <c r="R391" s="63" t="str">
        <f t="shared" si="203"/>
        <v/>
      </c>
      <c r="S391" s="64" t="str">
        <f t="shared" si="204"/>
        <v/>
      </c>
      <c r="T391" s="63" t="str">
        <f t="shared" si="205"/>
        <v/>
      </c>
      <c r="U391" s="64" t="str">
        <f t="shared" si="206"/>
        <v/>
      </c>
      <c r="V391" s="207" t="str">
        <f>IF($A392="","",IF(AND(MONTH(A391)&gt;3,MONTH(A391)&lt;11),(T391+R391+G391)*(((1/(1-Summary!$T$14))/(1-Summary!$W$14))-1),(T391+R391+G391)*((1/(1-Summary!$U$14))/(1-Summary!$X$14)-1)))</f>
        <v/>
      </c>
      <c r="W391" s="43" t="str">
        <f t="shared" si="207"/>
        <v/>
      </c>
      <c r="X391" s="43" t="str">
        <f t="shared" si="208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9"/>
        <v/>
      </c>
      <c r="AP391" s="33" t="str">
        <f t="shared" si="220"/>
        <v/>
      </c>
      <c r="AQ391" s="58" t="str">
        <f t="shared" si="221"/>
        <v/>
      </c>
      <c r="AR391" s="38">
        <f>'ANR OK vs ML7'!AR391</f>
        <v>0.1</v>
      </c>
      <c r="AS391" s="35" t="str">
        <f t="shared" si="222"/>
        <v/>
      </c>
      <c r="AT391" s="3" t="str">
        <f t="shared" si="223"/>
        <v/>
      </c>
      <c r="AU391" s="3" t="str">
        <f t="shared" si="224"/>
        <v/>
      </c>
      <c r="AW391" s="32" t="str">
        <f t="shared" si="225"/>
        <v/>
      </c>
      <c r="AX391" s="32" t="str">
        <f t="shared" si="226"/>
        <v/>
      </c>
      <c r="AY391" s="32" t="str">
        <f t="shared" si="227"/>
        <v/>
      </c>
      <c r="BA391" s="32" t="str">
        <f>IF($A392="","",F391*Summary!$Q$14)</f>
        <v/>
      </c>
    </row>
    <row r="392" spans="1:53">
      <c r="A392" s="67" t="str">
        <f t="shared" si="228"/>
        <v/>
      </c>
      <c r="B392" s="69" t="str">
        <f t="shared" si="229"/>
        <v/>
      </c>
      <c r="D392" s="69" t="str">
        <f t="shared" si="193"/>
        <v/>
      </c>
      <c r="E392" s="70" t="str">
        <f t="shared" si="194"/>
        <v/>
      </c>
      <c r="F392" s="70" t="str">
        <f t="shared" si="195"/>
        <v/>
      </c>
      <c r="G392" s="63" t="str">
        <f t="shared" si="196"/>
        <v/>
      </c>
      <c r="H392" s="64" t="str">
        <f t="shared" si="197"/>
        <v/>
      </c>
      <c r="J392" s="63" t="str">
        <f t="shared" si="198"/>
        <v/>
      </c>
      <c r="K392" s="64" t="str">
        <f t="shared" si="199"/>
        <v/>
      </c>
      <c r="L392" s="38">
        <v>0</v>
      </c>
      <c r="M392" s="64" t="str">
        <f t="shared" si="200"/>
        <v/>
      </c>
      <c r="O392" s="63" t="str">
        <f t="shared" si="201"/>
        <v/>
      </c>
      <c r="P392" s="63" t="str">
        <f t="shared" si="202"/>
        <v/>
      </c>
      <c r="R392" s="63" t="str">
        <f t="shared" si="203"/>
        <v/>
      </c>
      <c r="S392" s="64" t="str">
        <f t="shared" si="204"/>
        <v/>
      </c>
      <c r="T392" s="63" t="str">
        <f t="shared" si="205"/>
        <v/>
      </c>
      <c r="U392" s="64" t="str">
        <f t="shared" si="206"/>
        <v/>
      </c>
      <c r="V392" s="207" t="str">
        <f>IF($A393="","",IF(AND(MONTH(A392)&gt;3,MONTH(A392)&lt;11),(T392+R392+G392)*(((1/(1-Summary!$T$14))/(1-Summary!$W$14))-1),(T392+R392+G392)*((1/(1-Summary!$U$14))/(1-Summary!$X$14)-1)))</f>
        <v/>
      </c>
      <c r="W392" s="43" t="str">
        <f t="shared" si="207"/>
        <v/>
      </c>
      <c r="X392" s="43" t="str">
        <f t="shared" si="208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9"/>
        <v/>
      </c>
      <c r="AP392" s="33" t="str">
        <f t="shared" si="220"/>
        <v/>
      </c>
      <c r="AQ392" s="58" t="str">
        <f t="shared" si="221"/>
        <v/>
      </c>
      <c r="AR392" s="38">
        <f>'ANR OK vs ML7'!AR392</f>
        <v>0.1</v>
      </c>
      <c r="AS392" s="35" t="str">
        <f t="shared" si="222"/>
        <v/>
      </c>
      <c r="AT392" s="3" t="str">
        <f t="shared" si="223"/>
        <v/>
      </c>
      <c r="AU392" s="3" t="str">
        <f t="shared" si="224"/>
        <v/>
      </c>
      <c r="AW392" s="32" t="str">
        <f t="shared" si="225"/>
        <v/>
      </c>
      <c r="AX392" s="32" t="str">
        <f t="shared" si="226"/>
        <v/>
      </c>
      <c r="AY392" s="32" t="str">
        <f t="shared" si="227"/>
        <v/>
      </c>
      <c r="BA392" s="32" t="str">
        <f>IF($A393="","",F392*Summary!$Q$14)</f>
        <v/>
      </c>
    </row>
    <row r="393" spans="1:53">
      <c r="A393" s="67" t="str">
        <f t="shared" si="228"/>
        <v/>
      </c>
      <c r="B393" s="69" t="str">
        <f t="shared" si="229"/>
        <v/>
      </c>
      <c r="D393" s="69" t="str">
        <f t="shared" si="193"/>
        <v/>
      </c>
      <c r="E393" s="70" t="str">
        <f t="shared" si="194"/>
        <v/>
      </c>
      <c r="F393" s="70" t="str">
        <f t="shared" si="195"/>
        <v/>
      </c>
      <c r="G393" s="63" t="str">
        <f t="shared" si="196"/>
        <v/>
      </c>
      <c r="H393" s="64" t="str">
        <f t="shared" si="197"/>
        <v/>
      </c>
      <c r="J393" s="63" t="str">
        <f t="shared" si="198"/>
        <v/>
      </c>
      <c r="K393" s="64" t="str">
        <f t="shared" si="199"/>
        <v/>
      </c>
      <c r="L393" s="38">
        <v>0</v>
      </c>
      <c r="M393" s="64" t="str">
        <f t="shared" si="200"/>
        <v/>
      </c>
      <c r="O393" s="63" t="str">
        <f t="shared" si="201"/>
        <v/>
      </c>
      <c r="P393" s="63" t="str">
        <f t="shared" si="202"/>
        <v/>
      </c>
      <c r="R393" s="63" t="str">
        <f t="shared" si="203"/>
        <v/>
      </c>
      <c r="S393" s="64" t="str">
        <f t="shared" si="204"/>
        <v/>
      </c>
      <c r="T393" s="63" t="str">
        <f t="shared" si="205"/>
        <v/>
      </c>
      <c r="U393" s="64" t="str">
        <f t="shared" si="206"/>
        <v/>
      </c>
      <c r="V393" s="207" t="str">
        <f>IF($A394="","",IF(AND(MONTH(A393)&gt;3,MONTH(A393)&lt;11),(T393+R393+G393)*(((1/(1-Summary!$T$14))/(1-Summary!$W$14))-1),(T393+R393+G393)*((1/(1-Summary!$U$14))/(1-Summary!$X$14)-1)))</f>
        <v/>
      </c>
      <c r="W393" s="43" t="str">
        <f t="shared" si="207"/>
        <v/>
      </c>
      <c r="X393" s="43" t="str">
        <f t="shared" si="208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9"/>
        <v/>
      </c>
      <c r="AP393" s="33" t="str">
        <f t="shared" si="220"/>
        <v/>
      </c>
      <c r="AQ393" s="58" t="str">
        <f t="shared" si="221"/>
        <v/>
      </c>
      <c r="AR393" s="38">
        <f>'ANR OK vs ML7'!AR393</f>
        <v>0.1</v>
      </c>
      <c r="AS393" s="35" t="str">
        <f t="shared" si="222"/>
        <v/>
      </c>
      <c r="AT393" s="3" t="str">
        <f t="shared" si="223"/>
        <v/>
      </c>
      <c r="AU393" s="3" t="str">
        <f t="shared" si="224"/>
        <v/>
      </c>
      <c r="AW393" s="32" t="str">
        <f t="shared" si="225"/>
        <v/>
      </c>
      <c r="AX393" s="32" t="str">
        <f t="shared" si="226"/>
        <v/>
      </c>
      <c r="AY393" s="32" t="str">
        <f t="shared" si="227"/>
        <v/>
      </c>
      <c r="BA393" s="32" t="str">
        <f>IF($A394="","",F393*Summary!$Q$14)</f>
        <v/>
      </c>
    </row>
    <row r="394" spans="1:53">
      <c r="A394" s="67" t="str">
        <f t="shared" si="228"/>
        <v/>
      </c>
      <c r="B394" s="69" t="str">
        <f t="shared" si="229"/>
        <v/>
      </c>
      <c r="D394" s="69" t="str">
        <f t="shared" ref="D394:D457" si="231">IF(A395&lt;&gt;"",B394+C394,"")</f>
        <v/>
      </c>
      <c r="E394" s="70" t="str">
        <f t="shared" ref="E394:E457" si="232">IF(A395="","",IF(AND(AT394=1,$H$3=1),D394*AO394,IF($H$3=2,D394,"N/A")))</f>
        <v/>
      </c>
      <c r="F394" s="70" t="str">
        <f t="shared" ref="F394:F457" si="233">IF(A395="","",E394*AS394)</f>
        <v/>
      </c>
      <c r="G394" s="63" t="str">
        <f t="shared" ref="G394:G457" si="234">IF($A395="","",VLOOKUP($A394,Table,MATCH(G$4,Curves,0)))</f>
        <v/>
      </c>
      <c r="H394" s="64" t="str">
        <f t="shared" ref="H394:H457" si="235">IF(A395="","",G394)</f>
        <v/>
      </c>
      <c r="J394" s="63" t="str">
        <f t="shared" ref="J394:J457" si="236">IF($A395="","",VLOOKUP($A394,Table,MATCH(J$4,Curves,0)))</f>
        <v/>
      </c>
      <c r="K394" s="64" t="str">
        <f t="shared" ref="K394:K457" si="237">IF(A395="","",J394)</f>
        <v/>
      </c>
      <c r="L394" s="38">
        <v>0</v>
      </c>
      <c r="M394" s="64" t="str">
        <f t="shared" ref="M394:M457" si="238">IF(A395="","",L394)</f>
        <v/>
      </c>
      <c r="O394" s="63" t="str">
        <f t="shared" ref="O394:O457" si="239">IF(A395="","",L394+J394+G394)</f>
        <v/>
      </c>
      <c r="P394" s="63" t="str">
        <f t="shared" ref="P394:P457" si="240">IF(A395="","",M394+K394+H394)</f>
        <v/>
      </c>
      <c r="R394" s="63" t="str">
        <f t="shared" ref="R394:R457" si="241">IF($A395="","",VLOOKUP($A394,Table,MATCH(R$4,Curves,0)))</f>
        <v/>
      </c>
      <c r="S394" s="64" t="str">
        <f t="shared" ref="S394:S457" si="242">IF(A395="","",R394)</f>
        <v/>
      </c>
      <c r="T394" s="63" t="str">
        <f t="shared" ref="T394:T457" si="243">IF($A395="","",VLOOKUP($A394,Table,MATCH(T$4,Curves,0)))</f>
        <v/>
      </c>
      <c r="U394" s="64" t="str">
        <f t="shared" ref="U394:U457" si="244">IF(A395="","",T394)</f>
        <v/>
      </c>
      <c r="V394" s="207" t="str">
        <f>IF($A395="","",IF(AND(MONTH(A394)&gt;3,MONTH(A394)&lt;11),(T394+R394+G394)*(((1/(1-Summary!$T$14))/(1-Summary!$W$14))-1),(T394+R394+G394)*((1/(1-Summary!$U$14))/(1-Summary!$X$14)-1)))</f>
        <v/>
      </c>
      <c r="W394" s="43" t="str">
        <f t="shared" ref="W394:W457" si="245">IF($A395="","",(T394+R394+G394+V394))</f>
        <v/>
      </c>
      <c r="X394" s="43" t="str">
        <f t="shared" ref="X394:X457" si="246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7">IF(A395="","",A395-A394)</f>
        <v/>
      </c>
      <c r="AP394" s="33" t="str">
        <f t="shared" ref="AP394:AP457" si="248">IF(A395="","",CHOOSE(F$3,A395+24,A394))</f>
        <v/>
      </c>
      <c r="AQ394" s="58" t="str">
        <f t="shared" ref="AQ394:AQ457" si="249">IF(A395="","",AP394-$E$1)</f>
        <v/>
      </c>
      <c r="AR394" s="38">
        <f>'ANR OK vs ML7'!AR394</f>
        <v>0.1</v>
      </c>
      <c r="AS394" s="35" t="str">
        <f t="shared" ref="AS394:AS457" si="250">IF(A395="","",1/(1+CHOOSE(F$3,(AR395+($I$3/10000))/2,(AR394+($I$3/10000))/2))^(2*AQ394/365.25))</f>
        <v/>
      </c>
      <c r="AT394" s="3" t="str">
        <f t="shared" ref="AT394:AT457" si="251">IF(A395="","",IF(AND(mthbeg&lt;=A394,mthend&gt;=A394),1,0))</f>
        <v/>
      </c>
      <c r="AU394" s="3" t="str">
        <f t="shared" ref="AU394:AU457" si="252">IF(A395="","",AO394*AT394)</f>
        <v/>
      </c>
      <c r="AW394" s="32" t="str">
        <f t="shared" ref="AW394:AW457" si="253">IF($A395="","",AL394*$E394)</f>
        <v/>
      </c>
      <c r="AX394" s="32" t="str">
        <f t="shared" ref="AX394:AX457" si="254">IF($A395="","",AM394*$E394)</f>
        <v/>
      </c>
      <c r="AY394" s="32" t="str">
        <f t="shared" ref="AY394:AY457" si="255">IF($A395="","",AN394*$E394)</f>
        <v/>
      </c>
      <c r="BA394" s="32" t="str">
        <f>IF($A395="","",F394*Summary!$Q$14)</f>
        <v/>
      </c>
    </row>
    <row r="395" spans="1:53">
      <c r="A395" s="67" t="str">
        <f t="shared" ref="A395:A458" si="256">IF(A394&lt;mthend,EDATE(A394,1),"")</f>
        <v/>
      </c>
      <c r="B395" s="69" t="str">
        <f t="shared" ref="B395:B458" si="257">IF(A395&lt;mthend,B394,"")</f>
        <v/>
      </c>
      <c r="D395" s="69" t="str">
        <f t="shared" si="231"/>
        <v/>
      </c>
      <c r="E395" s="70" t="str">
        <f t="shared" si="232"/>
        <v/>
      </c>
      <c r="F395" s="70" t="str">
        <f t="shared" si="233"/>
        <v/>
      </c>
      <c r="G395" s="63" t="str">
        <f t="shared" si="234"/>
        <v/>
      </c>
      <c r="H395" s="64" t="str">
        <f t="shared" si="235"/>
        <v/>
      </c>
      <c r="J395" s="63" t="str">
        <f t="shared" si="236"/>
        <v/>
      </c>
      <c r="K395" s="64" t="str">
        <f t="shared" si="237"/>
        <v/>
      </c>
      <c r="L395" s="38">
        <v>0</v>
      </c>
      <c r="M395" s="64" t="str">
        <f t="shared" si="238"/>
        <v/>
      </c>
      <c r="O395" s="63" t="str">
        <f t="shared" si="239"/>
        <v/>
      </c>
      <c r="P395" s="63" t="str">
        <f t="shared" si="240"/>
        <v/>
      </c>
      <c r="R395" s="63" t="str">
        <f t="shared" si="241"/>
        <v/>
      </c>
      <c r="S395" s="64" t="str">
        <f t="shared" si="242"/>
        <v/>
      </c>
      <c r="T395" s="63" t="str">
        <f t="shared" si="243"/>
        <v/>
      </c>
      <c r="U395" s="64" t="str">
        <f t="shared" si="244"/>
        <v/>
      </c>
      <c r="V395" s="207" t="str">
        <f>IF($A396="","",IF(AND(MONTH(A395)&gt;3,MONTH(A395)&lt;11),(T395+R395+G395)*(((1/(1-Summary!$T$14))/(1-Summary!$W$14))-1),(T395+R395+G395)*((1/(1-Summary!$U$14))/(1-Summary!$X$14)-1)))</f>
        <v/>
      </c>
      <c r="W395" s="43" t="str">
        <f t="shared" si="245"/>
        <v/>
      </c>
      <c r="X395" s="43" t="str">
        <f t="shared" si="246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7"/>
        <v/>
      </c>
      <c r="AP395" s="33" t="str">
        <f t="shared" si="248"/>
        <v/>
      </c>
      <c r="AQ395" s="58" t="str">
        <f t="shared" si="249"/>
        <v/>
      </c>
      <c r="AR395" s="38">
        <f>'ANR OK vs ML7'!AR395</f>
        <v>0.1</v>
      </c>
      <c r="AS395" s="35" t="str">
        <f t="shared" si="250"/>
        <v/>
      </c>
      <c r="AT395" s="3" t="str">
        <f t="shared" si="251"/>
        <v/>
      </c>
      <c r="AU395" s="3" t="str">
        <f t="shared" si="252"/>
        <v/>
      </c>
      <c r="AW395" s="32" t="str">
        <f t="shared" si="253"/>
        <v/>
      </c>
      <c r="AX395" s="32" t="str">
        <f t="shared" si="254"/>
        <v/>
      </c>
      <c r="AY395" s="32" t="str">
        <f t="shared" si="255"/>
        <v/>
      </c>
      <c r="BA395" s="32" t="str">
        <f>IF($A396="","",F395*Summary!$Q$14)</f>
        <v/>
      </c>
    </row>
    <row r="396" spans="1:53">
      <c r="A396" s="67" t="str">
        <f t="shared" si="256"/>
        <v/>
      </c>
      <c r="B396" s="69" t="str">
        <f t="shared" si="257"/>
        <v/>
      </c>
      <c r="D396" s="69" t="str">
        <f t="shared" si="231"/>
        <v/>
      </c>
      <c r="E396" s="70" t="str">
        <f t="shared" si="232"/>
        <v/>
      </c>
      <c r="F396" s="70" t="str">
        <f t="shared" si="233"/>
        <v/>
      </c>
      <c r="G396" s="63" t="str">
        <f t="shared" si="234"/>
        <v/>
      </c>
      <c r="H396" s="64" t="str">
        <f t="shared" si="235"/>
        <v/>
      </c>
      <c r="J396" s="63" t="str">
        <f t="shared" si="236"/>
        <v/>
      </c>
      <c r="K396" s="64" t="str">
        <f t="shared" si="237"/>
        <v/>
      </c>
      <c r="L396" s="38">
        <v>0</v>
      </c>
      <c r="M396" s="64" t="str">
        <f t="shared" si="238"/>
        <v/>
      </c>
      <c r="O396" s="63" t="str">
        <f t="shared" si="239"/>
        <v/>
      </c>
      <c r="P396" s="63" t="str">
        <f t="shared" si="240"/>
        <v/>
      </c>
      <c r="R396" s="63" t="str">
        <f t="shared" si="241"/>
        <v/>
      </c>
      <c r="S396" s="64" t="str">
        <f t="shared" si="242"/>
        <v/>
      </c>
      <c r="T396" s="63" t="str">
        <f t="shared" si="243"/>
        <v/>
      </c>
      <c r="U396" s="64" t="str">
        <f t="shared" si="244"/>
        <v/>
      </c>
      <c r="V396" s="207" t="str">
        <f>IF($A397="","",IF(AND(MONTH(A396)&gt;3,MONTH(A396)&lt;11),(T396+R396+G396)*(((1/(1-Summary!$T$14))/(1-Summary!$W$14))-1),(T396+R396+G396)*((1/(1-Summary!$U$14))/(1-Summary!$X$14)-1)))</f>
        <v/>
      </c>
      <c r="W396" s="43" t="str">
        <f t="shared" si="245"/>
        <v/>
      </c>
      <c r="X396" s="43" t="str">
        <f t="shared" si="246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7"/>
        <v/>
      </c>
      <c r="AP396" s="33" t="str">
        <f t="shared" si="248"/>
        <v/>
      </c>
      <c r="AQ396" s="58" t="str">
        <f t="shared" si="249"/>
        <v/>
      </c>
      <c r="AR396" s="38">
        <f>'ANR OK vs ML7'!AR396</f>
        <v>0.1</v>
      </c>
      <c r="AS396" s="35" t="str">
        <f t="shared" si="250"/>
        <v/>
      </c>
      <c r="AT396" s="3" t="str">
        <f t="shared" si="251"/>
        <v/>
      </c>
      <c r="AU396" s="3" t="str">
        <f t="shared" si="252"/>
        <v/>
      </c>
      <c r="AW396" s="32" t="str">
        <f t="shared" si="253"/>
        <v/>
      </c>
      <c r="AX396" s="32" t="str">
        <f t="shared" si="254"/>
        <v/>
      </c>
      <c r="AY396" s="32" t="str">
        <f t="shared" si="255"/>
        <v/>
      </c>
      <c r="BA396" s="32" t="str">
        <f>IF($A397="","",F396*Summary!$Q$14)</f>
        <v/>
      </c>
    </row>
    <row r="397" spans="1:53">
      <c r="A397" s="67" t="str">
        <f t="shared" si="256"/>
        <v/>
      </c>
      <c r="B397" s="69" t="str">
        <f t="shared" si="257"/>
        <v/>
      </c>
      <c r="D397" s="69" t="str">
        <f t="shared" si="231"/>
        <v/>
      </c>
      <c r="E397" s="70" t="str">
        <f t="shared" si="232"/>
        <v/>
      </c>
      <c r="F397" s="70" t="str">
        <f t="shared" si="233"/>
        <v/>
      </c>
      <c r="G397" s="63" t="str">
        <f t="shared" si="234"/>
        <v/>
      </c>
      <c r="H397" s="64" t="str">
        <f t="shared" si="235"/>
        <v/>
      </c>
      <c r="J397" s="63" t="str">
        <f t="shared" si="236"/>
        <v/>
      </c>
      <c r="K397" s="64" t="str">
        <f t="shared" si="237"/>
        <v/>
      </c>
      <c r="L397" s="38">
        <v>0</v>
      </c>
      <c r="M397" s="64" t="str">
        <f t="shared" si="238"/>
        <v/>
      </c>
      <c r="O397" s="63" t="str">
        <f t="shared" si="239"/>
        <v/>
      </c>
      <c r="P397" s="63" t="str">
        <f t="shared" si="240"/>
        <v/>
      </c>
      <c r="R397" s="63" t="str">
        <f t="shared" si="241"/>
        <v/>
      </c>
      <c r="S397" s="64" t="str">
        <f t="shared" si="242"/>
        <v/>
      </c>
      <c r="T397" s="63" t="str">
        <f t="shared" si="243"/>
        <v/>
      </c>
      <c r="U397" s="64" t="str">
        <f t="shared" si="244"/>
        <v/>
      </c>
      <c r="V397" s="207" t="str">
        <f>IF($A398="","",IF(AND(MONTH(A397)&gt;3,MONTH(A397)&lt;11),(T397+R397+G397)*(((1/(1-Summary!$T$14))/(1-Summary!$W$14))-1),(T397+R397+G397)*((1/(1-Summary!$U$14))/(1-Summary!$X$14)-1)))</f>
        <v/>
      </c>
      <c r="W397" s="43" t="str">
        <f t="shared" si="245"/>
        <v/>
      </c>
      <c r="X397" s="43" t="str">
        <f t="shared" si="246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7"/>
        <v/>
      </c>
      <c r="AP397" s="33" t="str">
        <f t="shared" si="248"/>
        <v/>
      </c>
      <c r="AQ397" s="58" t="str">
        <f t="shared" si="249"/>
        <v/>
      </c>
      <c r="AR397" s="38">
        <f>'ANR OK vs ML7'!AR397</f>
        <v>0.1</v>
      </c>
      <c r="AS397" s="35" t="str">
        <f t="shared" si="250"/>
        <v/>
      </c>
      <c r="AT397" s="3" t="str">
        <f t="shared" si="251"/>
        <v/>
      </c>
      <c r="AU397" s="3" t="str">
        <f t="shared" si="252"/>
        <v/>
      </c>
      <c r="AW397" s="32" t="str">
        <f t="shared" si="253"/>
        <v/>
      </c>
      <c r="AX397" s="32" t="str">
        <f t="shared" si="254"/>
        <v/>
      </c>
      <c r="AY397" s="32" t="str">
        <f t="shared" si="255"/>
        <v/>
      </c>
      <c r="BA397" s="32" t="str">
        <f>IF($A398="","",F397*Summary!$Q$14)</f>
        <v/>
      </c>
    </row>
    <row r="398" spans="1:53">
      <c r="A398" s="67" t="str">
        <f t="shared" si="256"/>
        <v/>
      </c>
      <c r="B398" s="69" t="str">
        <f t="shared" si="257"/>
        <v/>
      </c>
      <c r="D398" s="69" t="str">
        <f t="shared" si="231"/>
        <v/>
      </c>
      <c r="E398" s="70" t="str">
        <f t="shared" si="232"/>
        <v/>
      </c>
      <c r="F398" s="70" t="str">
        <f t="shared" si="233"/>
        <v/>
      </c>
      <c r="G398" s="63" t="str">
        <f t="shared" si="234"/>
        <v/>
      </c>
      <c r="H398" s="64" t="str">
        <f t="shared" si="235"/>
        <v/>
      </c>
      <c r="J398" s="63" t="str">
        <f t="shared" si="236"/>
        <v/>
      </c>
      <c r="K398" s="64" t="str">
        <f t="shared" si="237"/>
        <v/>
      </c>
      <c r="L398" s="38">
        <v>0</v>
      </c>
      <c r="M398" s="64" t="str">
        <f t="shared" si="238"/>
        <v/>
      </c>
      <c r="O398" s="63" t="str">
        <f t="shared" si="239"/>
        <v/>
      </c>
      <c r="P398" s="63" t="str">
        <f t="shared" si="240"/>
        <v/>
      </c>
      <c r="R398" s="63" t="str">
        <f t="shared" si="241"/>
        <v/>
      </c>
      <c r="S398" s="64" t="str">
        <f t="shared" si="242"/>
        <v/>
      </c>
      <c r="T398" s="63" t="str">
        <f t="shared" si="243"/>
        <v/>
      </c>
      <c r="U398" s="64" t="str">
        <f t="shared" si="244"/>
        <v/>
      </c>
      <c r="V398" s="207" t="str">
        <f>IF($A399="","",IF(AND(MONTH(A398)&gt;3,MONTH(A398)&lt;11),(T398+R398+G398)*(((1/(1-Summary!$T$14))/(1-Summary!$W$14))-1),(T398+R398+G398)*((1/(1-Summary!$U$14))/(1-Summary!$X$14)-1)))</f>
        <v/>
      </c>
      <c r="W398" s="43" t="str">
        <f t="shared" si="245"/>
        <v/>
      </c>
      <c r="X398" s="43" t="str">
        <f t="shared" si="246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7"/>
        <v/>
      </c>
      <c r="AP398" s="33" t="str">
        <f t="shared" si="248"/>
        <v/>
      </c>
      <c r="AQ398" s="58" t="str">
        <f t="shared" si="249"/>
        <v/>
      </c>
      <c r="AR398" s="38">
        <f>'ANR OK vs ML7'!AR398</f>
        <v>0.1</v>
      </c>
      <c r="AS398" s="35" t="str">
        <f t="shared" si="250"/>
        <v/>
      </c>
      <c r="AT398" s="3" t="str">
        <f t="shared" si="251"/>
        <v/>
      </c>
      <c r="AU398" s="3" t="str">
        <f t="shared" si="252"/>
        <v/>
      </c>
      <c r="AW398" s="32" t="str">
        <f t="shared" si="253"/>
        <v/>
      </c>
      <c r="AX398" s="32" t="str">
        <f t="shared" si="254"/>
        <v/>
      </c>
      <c r="AY398" s="32" t="str">
        <f t="shared" si="255"/>
        <v/>
      </c>
      <c r="BA398" s="32" t="str">
        <f>IF($A399="","",F398*Summary!$Q$14)</f>
        <v/>
      </c>
    </row>
    <row r="399" spans="1:53">
      <c r="A399" s="67" t="str">
        <f t="shared" si="256"/>
        <v/>
      </c>
      <c r="B399" s="69" t="str">
        <f t="shared" si="257"/>
        <v/>
      </c>
      <c r="D399" s="69" t="str">
        <f t="shared" si="231"/>
        <v/>
      </c>
      <c r="E399" s="70" t="str">
        <f t="shared" si="232"/>
        <v/>
      </c>
      <c r="F399" s="70" t="str">
        <f t="shared" si="233"/>
        <v/>
      </c>
      <c r="G399" s="63" t="str">
        <f t="shared" si="234"/>
        <v/>
      </c>
      <c r="H399" s="64" t="str">
        <f t="shared" si="235"/>
        <v/>
      </c>
      <c r="J399" s="63" t="str">
        <f t="shared" si="236"/>
        <v/>
      </c>
      <c r="K399" s="64" t="str">
        <f t="shared" si="237"/>
        <v/>
      </c>
      <c r="L399" s="38">
        <v>0</v>
      </c>
      <c r="M399" s="64" t="str">
        <f t="shared" si="238"/>
        <v/>
      </c>
      <c r="O399" s="63" t="str">
        <f t="shared" si="239"/>
        <v/>
      </c>
      <c r="P399" s="63" t="str">
        <f t="shared" si="240"/>
        <v/>
      </c>
      <c r="R399" s="63" t="str">
        <f t="shared" si="241"/>
        <v/>
      </c>
      <c r="S399" s="64" t="str">
        <f t="shared" si="242"/>
        <v/>
      </c>
      <c r="T399" s="63" t="str">
        <f t="shared" si="243"/>
        <v/>
      </c>
      <c r="U399" s="64" t="str">
        <f t="shared" si="244"/>
        <v/>
      </c>
      <c r="V399" s="207" t="str">
        <f>IF($A400="","",IF(AND(MONTH(A399)&gt;3,MONTH(A399)&lt;11),(T399+R399+G399)*(((1/(1-Summary!$T$14))/(1-Summary!$W$14))-1),(T399+R399+G399)*((1/(1-Summary!$U$14))/(1-Summary!$X$14)-1)))</f>
        <v/>
      </c>
      <c r="W399" s="43" t="str">
        <f t="shared" si="245"/>
        <v/>
      </c>
      <c r="X399" s="43" t="str">
        <f t="shared" si="246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7"/>
        <v/>
      </c>
      <c r="AP399" s="33" t="str">
        <f t="shared" si="248"/>
        <v/>
      </c>
      <c r="AQ399" s="58" t="str">
        <f t="shared" si="249"/>
        <v/>
      </c>
      <c r="AR399" s="38">
        <f>'ANR OK vs ML7'!AR399</f>
        <v>0.1</v>
      </c>
      <c r="AS399" s="35" t="str">
        <f t="shared" si="250"/>
        <v/>
      </c>
      <c r="AT399" s="3" t="str">
        <f t="shared" si="251"/>
        <v/>
      </c>
      <c r="AU399" s="3" t="str">
        <f t="shared" si="252"/>
        <v/>
      </c>
      <c r="AW399" s="32" t="str">
        <f t="shared" si="253"/>
        <v/>
      </c>
      <c r="AX399" s="32" t="str">
        <f t="shared" si="254"/>
        <v/>
      </c>
      <c r="AY399" s="32" t="str">
        <f t="shared" si="255"/>
        <v/>
      </c>
      <c r="BA399" s="32" t="str">
        <f>IF($A400="","",F399*Summary!$Q$14)</f>
        <v/>
      </c>
    </row>
    <row r="400" spans="1:53">
      <c r="A400" s="67" t="str">
        <f t="shared" si="256"/>
        <v/>
      </c>
      <c r="B400" s="69" t="str">
        <f t="shared" si="257"/>
        <v/>
      </c>
      <c r="D400" s="69" t="str">
        <f t="shared" si="231"/>
        <v/>
      </c>
      <c r="E400" s="70" t="str">
        <f t="shared" si="232"/>
        <v/>
      </c>
      <c r="F400" s="70" t="str">
        <f t="shared" si="233"/>
        <v/>
      </c>
      <c r="G400" s="63" t="str">
        <f t="shared" si="234"/>
        <v/>
      </c>
      <c r="H400" s="64" t="str">
        <f t="shared" si="235"/>
        <v/>
      </c>
      <c r="J400" s="63" t="str">
        <f t="shared" si="236"/>
        <v/>
      </c>
      <c r="K400" s="64" t="str">
        <f t="shared" si="237"/>
        <v/>
      </c>
      <c r="L400" s="38">
        <v>0</v>
      </c>
      <c r="M400" s="64" t="str">
        <f t="shared" si="238"/>
        <v/>
      </c>
      <c r="O400" s="63" t="str">
        <f t="shared" si="239"/>
        <v/>
      </c>
      <c r="P400" s="63" t="str">
        <f t="shared" si="240"/>
        <v/>
      </c>
      <c r="R400" s="63" t="str">
        <f t="shared" si="241"/>
        <v/>
      </c>
      <c r="S400" s="64" t="str">
        <f t="shared" si="242"/>
        <v/>
      </c>
      <c r="T400" s="63" t="str">
        <f t="shared" si="243"/>
        <v/>
      </c>
      <c r="U400" s="64" t="str">
        <f t="shared" si="244"/>
        <v/>
      </c>
      <c r="V400" s="207" t="str">
        <f>IF($A401="","",IF(AND(MONTH(A400)&gt;3,MONTH(A400)&lt;11),(T400+R400+G400)*(((1/(1-Summary!$T$14))/(1-Summary!$W$14))-1),(T400+R400+G400)*((1/(1-Summary!$U$14))/(1-Summary!$X$14)-1)))</f>
        <v/>
      </c>
      <c r="W400" s="43" t="str">
        <f t="shared" si="245"/>
        <v/>
      </c>
      <c r="X400" s="43" t="str">
        <f t="shared" si="246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7"/>
        <v/>
      </c>
      <c r="AP400" s="33" t="str">
        <f t="shared" si="248"/>
        <v/>
      </c>
      <c r="AQ400" s="58" t="str">
        <f t="shared" si="249"/>
        <v/>
      </c>
      <c r="AR400" s="38">
        <f>'ANR OK vs ML7'!AR400</f>
        <v>0.1</v>
      </c>
      <c r="AS400" s="35" t="str">
        <f t="shared" si="250"/>
        <v/>
      </c>
      <c r="AT400" s="3" t="str">
        <f t="shared" si="251"/>
        <v/>
      </c>
      <c r="AU400" s="3" t="str">
        <f t="shared" si="252"/>
        <v/>
      </c>
      <c r="AW400" s="32" t="str">
        <f t="shared" si="253"/>
        <v/>
      </c>
      <c r="AX400" s="32" t="str">
        <f t="shared" si="254"/>
        <v/>
      </c>
      <c r="AY400" s="32" t="str">
        <f t="shared" si="255"/>
        <v/>
      </c>
      <c r="BA400" s="32" t="str">
        <f>IF($A401="","",F400*Summary!$Q$14)</f>
        <v/>
      </c>
    </row>
    <row r="401" spans="1:53">
      <c r="A401" s="67" t="str">
        <f t="shared" si="256"/>
        <v/>
      </c>
      <c r="B401" s="69" t="str">
        <f t="shared" si="257"/>
        <v/>
      </c>
      <c r="D401" s="69" t="str">
        <f t="shared" si="231"/>
        <v/>
      </c>
      <c r="E401" s="70" t="str">
        <f t="shared" si="232"/>
        <v/>
      </c>
      <c r="F401" s="70" t="str">
        <f t="shared" si="233"/>
        <v/>
      </c>
      <c r="G401" s="63" t="str">
        <f t="shared" si="234"/>
        <v/>
      </c>
      <c r="H401" s="64" t="str">
        <f t="shared" si="235"/>
        <v/>
      </c>
      <c r="J401" s="63" t="str">
        <f t="shared" si="236"/>
        <v/>
      </c>
      <c r="K401" s="64" t="str">
        <f t="shared" si="237"/>
        <v/>
      </c>
      <c r="L401" s="38">
        <v>0</v>
      </c>
      <c r="M401" s="64" t="str">
        <f t="shared" si="238"/>
        <v/>
      </c>
      <c r="O401" s="63" t="str">
        <f t="shared" si="239"/>
        <v/>
      </c>
      <c r="P401" s="63" t="str">
        <f t="shared" si="240"/>
        <v/>
      </c>
      <c r="R401" s="63" t="str">
        <f t="shared" si="241"/>
        <v/>
      </c>
      <c r="S401" s="64" t="str">
        <f t="shared" si="242"/>
        <v/>
      </c>
      <c r="T401" s="63" t="str">
        <f t="shared" si="243"/>
        <v/>
      </c>
      <c r="U401" s="64" t="str">
        <f t="shared" si="244"/>
        <v/>
      </c>
      <c r="V401" s="207" t="str">
        <f>IF($A402="","",IF(AND(MONTH(A401)&gt;3,MONTH(A401)&lt;11),(T401+R401+G401)*(((1/(1-Summary!$T$14))/(1-Summary!$W$14))-1),(T401+R401+G401)*((1/(1-Summary!$U$14))/(1-Summary!$X$14)-1)))</f>
        <v/>
      </c>
      <c r="W401" s="43" t="str">
        <f t="shared" si="245"/>
        <v/>
      </c>
      <c r="X401" s="43" t="str">
        <f t="shared" si="246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7"/>
        <v/>
      </c>
      <c r="AP401" s="33" t="str">
        <f t="shared" si="248"/>
        <v/>
      </c>
      <c r="AQ401" s="58" t="str">
        <f t="shared" si="249"/>
        <v/>
      </c>
      <c r="AR401" s="38">
        <f>'ANR OK vs ML7'!AR401</f>
        <v>0.1</v>
      </c>
      <c r="AS401" s="35" t="str">
        <f t="shared" si="250"/>
        <v/>
      </c>
      <c r="AT401" s="3" t="str">
        <f t="shared" si="251"/>
        <v/>
      </c>
      <c r="AU401" s="3" t="str">
        <f t="shared" si="252"/>
        <v/>
      </c>
      <c r="AW401" s="32" t="str">
        <f t="shared" si="253"/>
        <v/>
      </c>
      <c r="AX401" s="32" t="str">
        <f t="shared" si="254"/>
        <v/>
      </c>
      <c r="AY401" s="32" t="str">
        <f t="shared" si="255"/>
        <v/>
      </c>
      <c r="BA401" s="32" t="str">
        <f>IF($A402="","",F401*Summary!$Q$14)</f>
        <v/>
      </c>
    </row>
    <row r="402" spans="1:53">
      <c r="A402" s="67" t="str">
        <f t="shared" si="256"/>
        <v/>
      </c>
      <c r="B402" s="69" t="str">
        <f t="shared" si="257"/>
        <v/>
      </c>
      <c r="D402" s="69" t="str">
        <f t="shared" si="231"/>
        <v/>
      </c>
      <c r="E402" s="70" t="str">
        <f t="shared" si="232"/>
        <v/>
      </c>
      <c r="F402" s="70" t="str">
        <f t="shared" si="233"/>
        <v/>
      </c>
      <c r="G402" s="63" t="str">
        <f t="shared" si="234"/>
        <v/>
      </c>
      <c r="H402" s="64" t="str">
        <f t="shared" si="235"/>
        <v/>
      </c>
      <c r="J402" s="63" t="str">
        <f t="shared" si="236"/>
        <v/>
      </c>
      <c r="K402" s="64" t="str">
        <f t="shared" si="237"/>
        <v/>
      </c>
      <c r="L402" s="38">
        <v>0</v>
      </c>
      <c r="M402" s="64" t="str">
        <f t="shared" si="238"/>
        <v/>
      </c>
      <c r="O402" s="63" t="str">
        <f t="shared" si="239"/>
        <v/>
      </c>
      <c r="P402" s="63" t="str">
        <f t="shared" si="240"/>
        <v/>
      </c>
      <c r="R402" s="63" t="str">
        <f t="shared" si="241"/>
        <v/>
      </c>
      <c r="S402" s="64" t="str">
        <f t="shared" si="242"/>
        <v/>
      </c>
      <c r="T402" s="63" t="str">
        <f t="shared" si="243"/>
        <v/>
      </c>
      <c r="U402" s="64" t="str">
        <f t="shared" si="244"/>
        <v/>
      </c>
      <c r="V402" s="207" t="str">
        <f>IF($A403="","",IF(AND(MONTH(A402)&gt;3,MONTH(A402)&lt;11),(T402+R402+G402)*(((1/(1-Summary!$T$14))/(1-Summary!$W$14))-1),(T402+R402+G402)*((1/(1-Summary!$U$14))/(1-Summary!$X$14)-1)))</f>
        <v/>
      </c>
      <c r="W402" s="43" t="str">
        <f t="shared" si="245"/>
        <v/>
      </c>
      <c r="X402" s="43" t="str">
        <f t="shared" si="246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7"/>
        <v/>
      </c>
      <c r="AP402" s="33" t="str">
        <f t="shared" si="248"/>
        <v/>
      </c>
      <c r="AQ402" s="58" t="str">
        <f t="shared" si="249"/>
        <v/>
      </c>
      <c r="AR402" s="38">
        <f>'ANR OK vs ML7'!AR402</f>
        <v>0.1</v>
      </c>
      <c r="AS402" s="35" t="str">
        <f t="shared" si="250"/>
        <v/>
      </c>
      <c r="AT402" s="3" t="str">
        <f t="shared" si="251"/>
        <v/>
      </c>
      <c r="AU402" s="3" t="str">
        <f t="shared" si="252"/>
        <v/>
      </c>
      <c r="AW402" s="32" t="str">
        <f t="shared" si="253"/>
        <v/>
      </c>
      <c r="AX402" s="32" t="str">
        <f t="shared" si="254"/>
        <v/>
      </c>
      <c r="AY402" s="32" t="str">
        <f t="shared" si="255"/>
        <v/>
      </c>
      <c r="BA402" s="32" t="str">
        <f>IF($A403="","",F402*Summary!$Q$14)</f>
        <v/>
      </c>
    </row>
    <row r="403" spans="1:53">
      <c r="A403" s="67" t="str">
        <f t="shared" si="256"/>
        <v/>
      </c>
      <c r="B403" s="69" t="str">
        <f t="shared" si="257"/>
        <v/>
      </c>
      <c r="D403" s="69" t="str">
        <f t="shared" si="231"/>
        <v/>
      </c>
      <c r="E403" s="70" t="str">
        <f t="shared" si="232"/>
        <v/>
      </c>
      <c r="F403" s="70" t="str">
        <f t="shared" si="233"/>
        <v/>
      </c>
      <c r="G403" s="63" t="str">
        <f t="shared" si="234"/>
        <v/>
      </c>
      <c r="H403" s="64" t="str">
        <f t="shared" si="235"/>
        <v/>
      </c>
      <c r="J403" s="63" t="str">
        <f t="shared" si="236"/>
        <v/>
      </c>
      <c r="K403" s="64" t="str">
        <f t="shared" si="237"/>
        <v/>
      </c>
      <c r="L403" s="38">
        <v>0</v>
      </c>
      <c r="M403" s="64" t="str">
        <f t="shared" si="238"/>
        <v/>
      </c>
      <c r="O403" s="63" t="str">
        <f t="shared" si="239"/>
        <v/>
      </c>
      <c r="P403" s="63" t="str">
        <f t="shared" si="240"/>
        <v/>
      </c>
      <c r="R403" s="63" t="str">
        <f t="shared" si="241"/>
        <v/>
      </c>
      <c r="S403" s="64" t="str">
        <f t="shared" si="242"/>
        <v/>
      </c>
      <c r="T403" s="63" t="str">
        <f t="shared" si="243"/>
        <v/>
      </c>
      <c r="U403" s="64" t="str">
        <f t="shared" si="244"/>
        <v/>
      </c>
      <c r="V403" s="207" t="str">
        <f>IF($A404="","",IF(AND(MONTH(A403)&gt;3,MONTH(A403)&lt;11),(T403+R403+G403)*(((1/(1-Summary!$T$14))/(1-Summary!$W$14))-1),(T403+R403+G403)*((1/(1-Summary!$U$14))/(1-Summary!$X$14)-1)))</f>
        <v/>
      </c>
      <c r="W403" s="43" t="str">
        <f t="shared" si="245"/>
        <v/>
      </c>
      <c r="X403" s="43" t="str">
        <f t="shared" si="246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7"/>
        <v/>
      </c>
      <c r="AP403" s="33" t="str">
        <f t="shared" si="248"/>
        <v/>
      </c>
      <c r="AQ403" s="58" t="str">
        <f t="shared" si="249"/>
        <v/>
      </c>
      <c r="AR403" s="38">
        <f>'ANR OK vs ML7'!AR403</f>
        <v>0.1</v>
      </c>
      <c r="AS403" s="35" t="str">
        <f t="shared" si="250"/>
        <v/>
      </c>
      <c r="AT403" s="3" t="str">
        <f t="shared" si="251"/>
        <v/>
      </c>
      <c r="AU403" s="3" t="str">
        <f t="shared" si="252"/>
        <v/>
      </c>
      <c r="AW403" s="32" t="str">
        <f t="shared" si="253"/>
        <v/>
      </c>
      <c r="AX403" s="32" t="str">
        <f t="shared" si="254"/>
        <v/>
      </c>
      <c r="AY403" s="32" t="str">
        <f t="shared" si="255"/>
        <v/>
      </c>
      <c r="BA403" s="32" t="str">
        <f>IF($A404="","",F403*Summary!$Q$14)</f>
        <v/>
      </c>
    </row>
    <row r="404" spans="1:53">
      <c r="A404" s="67" t="str">
        <f t="shared" si="256"/>
        <v/>
      </c>
      <c r="B404" s="69" t="str">
        <f t="shared" si="257"/>
        <v/>
      </c>
      <c r="D404" s="69" t="str">
        <f t="shared" si="231"/>
        <v/>
      </c>
      <c r="E404" s="70" t="str">
        <f t="shared" si="232"/>
        <v/>
      </c>
      <c r="F404" s="70" t="str">
        <f t="shared" si="233"/>
        <v/>
      </c>
      <c r="G404" s="63" t="str">
        <f t="shared" si="234"/>
        <v/>
      </c>
      <c r="H404" s="64" t="str">
        <f t="shared" si="235"/>
        <v/>
      </c>
      <c r="J404" s="63" t="str">
        <f t="shared" si="236"/>
        <v/>
      </c>
      <c r="K404" s="64" t="str">
        <f t="shared" si="237"/>
        <v/>
      </c>
      <c r="L404" s="38">
        <v>0</v>
      </c>
      <c r="M404" s="64" t="str">
        <f t="shared" si="238"/>
        <v/>
      </c>
      <c r="O404" s="63" t="str">
        <f t="shared" si="239"/>
        <v/>
      </c>
      <c r="P404" s="63" t="str">
        <f t="shared" si="240"/>
        <v/>
      </c>
      <c r="R404" s="63" t="str">
        <f t="shared" si="241"/>
        <v/>
      </c>
      <c r="S404" s="64" t="str">
        <f t="shared" si="242"/>
        <v/>
      </c>
      <c r="T404" s="63" t="str">
        <f t="shared" si="243"/>
        <v/>
      </c>
      <c r="U404" s="64" t="str">
        <f t="shared" si="244"/>
        <v/>
      </c>
      <c r="V404" s="207" t="str">
        <f>IF($A405="","",IF(AND(MONTH(A404)&gt;3,MONTH(A404)&lt;11),(T404+R404+G404)*(((1/(1-Summary!$T$14))/(1-Summary!$W$14))-1),(T404+R404+G404)*((1/(1-Summary!$U$14))/(1-Summary!$X$14)-1)))</f>
        <v/>
      </c>
      <c r="W404" s="43" t="str">
        <f t="shared" si="245"/>
        <v/>
      </c>
      <c r="X404" s="43" t="str">
        <f t="shared" si="246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7"/>
        <v/>
      </c>
      <c r="AP404" s="33" t="str">
        <f t="shared" si="248"/>
        <v/>
      </c>
      <c r="AQ404" s="58" t="str">
        <f t="shared" si="249"/>
        <v/>
      </c>
      <c r="AR404" s="38">
        <f>'ANR OK vs ML7'!AR404</f>
        <v>0.1</v>
      </c>
      <c r="AS404" s="35" t="str">
        <f t="shared" si="250"/>
        <v/>
      </c>
      <c r="AT404" s="3" t="str">
        <f t="shared" si="251"/>
        <v/>
      </c>
      <c r="AU404" s="3" t="str">
        <f t="shared" si="252"/>
        <v/>
      </c>
      <c r="AW404" s="32" t="str">
        <f t="shared" si="253"/>
        <v/>
      </c>
      <c r="AX404" s="32" t="str">
        <f t="shared" si="254"/>
        <v/>
      </c>
      <c r="AY404" s="32" t="str">
        <f t="shared" si="255"/>
        <v/>
      </c>
      <c r="BA404" s="32" t="str">
        <f>IF($A405="","",F404*Summary!$Q$14)</f>
        <v/>
      </c>
    </row>
    <row r="405" spans="1:53">
      <c r="A405" s="67" t="str">
        <f t="shared" si="256"/>
        <v/>
      </c>
      <c r="B405" s="69" t="str">
        <f t="shared" si="257"/>
        <v/>
      </c>
      <c r="D405" s="69" t="str">
        <f t="shared" si="231"/>
        <v/>
      </c>
      <c r="E405" s="70" t="str">
        <f t="shared" si="232"/>
        <v/>
      </c>
      <c r="F405" s="70" t="str">
        <f t="shared" si="233"/>
        <v/>
      </c>
      <c r="G405" s="63" t="str">
        <f t="shared" si="234"/>
        <v/>
      </c>
      <c r="H405" s="64" t="str">
        <f t="shared" si="235"/>
        <v/>
      </c>
      <c r="J405" s="63" t="str">
        <f t="shared" si="236"/>
        <v/>
      </c>
      <c r="K405" s="64" t="str">
        <f t="shared" si="237"/>
        <v/>
      </c>
      <c r="L405" s="38">
        <v>0</v>
      </c>
      <c r="M405" s="64" t="str">
        <f t="shared" si="238"/>
        <v/>
      </c>
      <c r="O405" s="63" t="str">
        <f t="shared" si="239"/>
        <v/>
      </c>
      <c r="P405" s="63" t="str">
        <f t="shared" si="240"/>
        <v/>
      </c>
      <c r="R405" s="63" t="str">
        <f t="shared" si="241"/>
        <v/>
      </c>
      <c r="S405" s="64" t="str">
        <f t="shared" si="242"/>
        <v/>
      </c>
      <c r="T405" s="63" t="str">
        <f t="shared" si="243"/>
        <v/>
      </c>
      <c r="U405" s="64" t="str">
        <f t="shared" si="244"/>
        <v/>
      </c>
      <c r="V405" s="207" t="str">
        <f>IF($A406="","",IF(AND(MONTH(A405)&gt;3,MONTH(A405)&lt;11),(T405+R405+G405)*(((1/(1-Summary!$T$14))/(1-Summary!$W$14))-1),(T405+R405+G405)*((1/(1-Summary!$U$14))/(1-Summary!$X$14)-1)))</f>
        <v/>
      </c>
      <c r="W405" s="43" t="str">
        <f t="shared" si="245"/>
        <v/>
      </c>
      <c r="X405" s="43" t="str">
        <f t="shared" si="246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7"/>
        <v/>
      </c>
      <c r="AP405" s="33" t="str">
        <f t="shared" si="248"/>
        <v/>
      </c>
      <c r="AQ405" s="58" t="str">
        <f t="shared" si="249"/>
        <v/>
      </c>
      <c r="AR405" s="38">
        <f>'ANR OK vs ML7'!AR405</f>
        <v>0.1</v>
      </c>
      <c r="AS405" s="35" t="str">
        <f t="shared" si="250"/>
        <v/>
      </c>
      <c r="AT405" s="3" t="str">
        <f t="shared" si="251"/>
        <v/>
      </c>
      <c r="AU405" s="3" t="str">
        <f t="shared" si="252"/>
        <v/>
      </c>
      <c r="AW405" s="32" t="str">
        <f t="shared" si="253"/>
        <v/>
      </c>
      <c r="AX405" s="32" t="str">
        <f t="shared" si="254"/>
        <v/>
      </c>
      <c r="AY405" s="32" t="str">
        <f t="shared" si="255"/>
        <v/>
      </c>
      <c r="BA405" s="32" t="str">
        <f>IF($A406="","",F405*Summary!$Q$14)</f>
        <v/>
      </c>
    </row>
    <row r="406" spans="1:53">
      <c r="A406" s="67" t="str">
        <f t="shared" si="256"/>
        <v/>
      </c>
      <c r="B406" s="69" t="str">
        <f t="shared" si="257"/>
        <v/>
      </c>
      <c r="D406" s="69" t="str">
        <f t="shared" si="231"/>
        <v/>
      </c>
      <c r="E406" s="70" t="str">
        <f t="shared" si="232"/>
        <v/>
      </c>
      <c r="F406" s="70" t="str">
        <f t="shared" si="233"/>
        <v/>
      </c>
      <c r="G406" s="63" t="str">
        <f t="shared" si="234"/>
        <v/>
      </c>
      <c r="H406" s="64" t="str">
        <f t="shared" si="235"/>
        <v/>
      </c>
      <c r="J406" s="63" t="str">
        <f t="shared" si="236"/>
        <v/>
      </c>
      <c r="K406" s="64" t="str">
        <f t="shared" si="237"/>
        <v/>
      </c>
      <c r="L406" s="38">
        <v>0</v>
      </c>
      <c r="M406" s="64" t="str">
        <f t="shared" si="238"/>
        <v/>
      </c>
      <c r="O406" s="63" t="str">
        <f t="shared" si="239"/>
        <v/>
      </c>
      <c r="P406" s="63" t="str">
        <f t="shared" si="240"/>
        <v/>
      </c>
      <c r="R406" s="63" t="str">
        <f t="shared" si="241"/>
        <v/>
      </c>
      <c r="S406" s="64" t="str">
        <f t="shared" si="242"/>
        <v/>
      </c>
      <c r="T406" s="63" t="str">
        <f t="shared" si="243"/>
        <v/>
      </c>
      <c r="U406" s="64" t="str">
        <f t="shared" si="244"/>
        <v/>
      </c>
      <c r="V406" s="207" t="str">
        <f>IF($A407="","",IF(AND(MONTH(A406)&gt;3,MONTH(A406)&lt;11),(T406+R406+G406)*(((1/(1-Summary!$T$14))/(1-Summary!$W$14))-1),(T406+R406+G406)*((1/(1-Summary!$U$14))/(1-Summary!$X$14)-1)))</f>
        <v/>
      </c>
      <c r="W406" s="43" t="str">
        <f t="shared" si="245"/>
        <v/>
      </c>
      <c r="X406" s="43" t="str">
        <f t="shared" si="246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7"/>
        <v/>
      </c>
      <c r="AP406" s="33" t="str">
        <f t="shared" si="248"/>
        <v/>
      </c>
      <c r="AQ406" s="58" t="str">
        <f t="shared" si="249"/>
        <v/>
      </c>
      <c r="AR406" s="38">
        <f>'ANR OK vs ML7'!AR406</f>
        <v>0.1</v>
      </c>
      <c r="AS406" s="35" t="str">
        <f t="shared" si="250"/>
        <v/>
      </c>
      <c r="AT406" s="3" t="str">
        <f t="shared" si="251"/>
        <v/>
      </c>
      <c r="AU406" s="3" t="str">
        <f t="shared" si="252"/>
        <v/>
      </c>
      <c r="AW406" s="32" t="str">
        <f t="shared" si="253"/>
        <v/>
      </c>
      <c r="AX406" s="32" t="str">
        <f t="shared" si="254"/>
        <v/>
      </c>
      <c r="AY406" s="32" t="str">
        <f t="shared" si="255"/>
        <v/>
      </c>
      <c r="BA406" s="32" t="str">
        <f>IF($A407="","",F406*Summary!$Q$14)</f>
        <v/>
      </c>
    </row>
    <row r="407" spans="1:53">
      <c r="A407" s="67" t="str">
        <f t="shared" si="256"/>
        <v/>
      </c>
      <c r="B407" s="69" t="str">
        <f t="shared" si="257"/>
        <v/>
      </c>
      <c r="D407" s="69" t="str">
        <f t="shared" si="231"/>
        <v/>
      </c>
      <c r="E407" s="70" t="str">
        <f t="shared" si="232"/>
        <v/>
      </c>
      <c r="F407" s="70" t="str">
        <f t="shared" si="233"/>
        <v/>
      </c>
      <c r="G407" s="63" t="str">
        <f t="shared" si="234"/>
        <v/>
      </c>
      <c r="H407" s="64" t="str">
        <f t="shared" si="235"/>
        <v/>
      </c>
      <c r="J407" s="63" t="str">
        <f t="shared" si="236"/>
        <v/>
      </c>
      <c r="K407" s="64" t="str">
        <f t="shared" si="237"/>
        <v/>
      </c>
      <c r="L407" s="38">
        <v>0</v>
      </c>
      <c r="M407" s="64" t="str">
        <f t="shared" si="238"/>
        <v/>
      </c>
      <c r="O407" s="63" t="str">
        <f t="shared" si="239"/>
        <v/>
      </c>
      <c r="P407" s="63" t="str">
        <f t="shared" si="240"/>
        <v/>
      </c>
      <c r="R407" s="63" t="str">
        <f t="shared" si="241"/>
        <v/>
      </c>
      <c r="S407" s="64" t="str">
        <f t="shared" si="242"/>
        <v/>
      </c>
      <c r="T407" s="63" t="str">
        <f t="shared" si="243"/>
        <v/>
      </c>
      <c r="U407" s="64" t="str">
        <f t="shared" si="244"/>
        <v/>
      </c>
      <c r="V407" s="207" t="str">
        <f>IF($A408="","",IF(AND(MONTH(A407)&gt;3,MONTH(A407)&lt;11),(T407+R407+G407)*(((1/(1-Summary!$T$14))/(1-Summary!$W$14))-1),(T407+R407+G407)*((1/(1-Summary!$U$14))/(1-Summary!$X$14)-1)))</f>
        <v/>
      </c>
      <c r="W407" s="43" t="str">
        <f t="shared" si="245"/>
        <v/>
      </c>
      <c r="X407" s="43" t="str">
        <f t="shared" si="246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7"/>
        <v/>
      </c>
      <c r="AP407" s="33" t="str">
        <f t="shared" si="248"/>
        <v/>
      </c>
      <c r="AQ407" s="58" t="str">
        <f t="shared" si="249"/>
        <v/>
      </c>
      <c r="AR407" s="38">
        <f>'ANR OK vs ML7'!AR407</f>
        <v>0.1</v>
      </c>
      <c r="AS407" s="35" t="str">
        <f t="shared" si="250"/>
        <v/>
      </c>
      <c r="AT407" s="3" t="str">
        <f t="shared" si="251"/>
        <v/>
      </c>
      <c r="AU407" s="3" t="str">
        <f t="shared" si="252"/>
        <v/>
      </c>
      <c r="AW407" s="32" t="str">
        <f t="shared" si="253"/>
        <v/>
      </c>
      <c r="AX407" s="32" t="str">
        <f t="shared" si="254"/>
        <v/>
      </c>
      <c r="AY407" s="32" t="str">
        <f t="shared" si="255"/>
        <v/>
      </c>
      <c r="BA407" s="32" t="str">
        <f>IF($A408="","",F407*Summary!$Q$14)</f>
        <v/>
      </c>
    </row>
    <row r="408" spans="1:53">
      <c r="A408" s="67" t="str">
        <f t="shared" si="256"/>
        <v/>
      </c>
      <c r="B408" s="69" t="str">
        <f t="shared" si="257"/>
        <v/>
      </c>
      <c r="D408" s="69" t="str">
        <f t="shared" si="231"/>
        <v/>
      </c>
      <c r="E408" s="70" t="str">
        <f t="shared" si="232"/>
        <v/>
      </c>
      <c r="F408" s="70" t="str">
        <f t="shared" si="233"/>
        <v/>
      </c>
      <c r="G408" s="63" t="str">
        <f t="shared" si="234"/>
        <v/>
      </c>
      <c r="H408" s="64" t="str">
        <f t="shared" si="235"/>
        <v/>
      </c>
      <c r="J408" s="63" t="str">
        <f t="shared" si="236"/>
        <v/>
      </c>
      <c r="K408" s="64" t="str">
        <f t="shared" si="237"/>
        <v/>
      </c>
      <c r="L408" s="38">
        <v>0</v>
      </c>
      <c r="M408" s="64" t="str">
        <f t="shared" si="238"/>
        <v/>
      </c>
      <c r="O408" s="63" t="str">
        <f t="shared" si="239"/>
        <v/>
      </c>
      <c r="P408" s="63" t="str">
        <f t="shared" si="240"/>
        <v/>
      </c>
      <c r="R408" s="63" t="str">
        <f t="shared" si="241"/>
        <v/>
      </c>
      <c r="S408" s="64" t="str">
        <f t="shared" si="242"/>
        <v/>
      </c>
      <c r="T408" s="63" t="str">
        <f t="shared" si="243"/>
        <v/>
      </c>
      <c r="U408" s="64" t="str">
        <f t="shared" si="244"/>
        <v/>
      </c>
      <c r="V408" s="207" t="str">
        <f>IF($A409="","",IF(AND(MONTH(A408)&gt;3,MONTH(A408)&lt;11),(T408+R408+G408)*(((1/(1-Summary!$T$14))/(1-Summary!$W$14))-1),(T408+R408+G408)*((1/(1-Summary!$U$14))/(1-Summary!$X$14)-1)))</f>
        <v/>
      </c>
      <c r="W408" s="43" t="str">
        <f t="shared" si="245"/>
        <v/>
      </c>
      <c r="X408" s="43" t="str">
        <f t="shared" si="246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7"/>
        <v/>
      </c>
      <c r="AP408" s="33" t="str">
        <f t="shared" si="248"/>
        <v/>
      </c>
      <c r="AQ408" s="58" t="str">
        <f t="shared" si="249"/>
        <v/>
      </c>
      <c r="AR408" s="38">
        <f>'ANR OK vs ML7'!AR408</f>
        <v>0.1</v>
      </c>
      <c r="AS408" s="35" t="str">
        <f t="shared" si="250"/>
        <v/>
      </c>
      <c r="AT408" s="3" t="str">
        <f t="shared" si="251"/>
        <v/>
      </c>
      <c r="AU408" s="3" t="str">
        <f t="shared" si="252"/>
        <v/>
      </c>
      <c r="AW408" s="32" t="str">
        <f t="shared" si="253"/>
        <v/>
      </c>
      <c r="AX408" s="32" t="str">
        <f t="shared" si="254"/>
        <v/>
      </c>
      <c r="AY408" s="32" t="str">
        <f t="shared" si="255"/>
        <v/>
      </c>
      <c r="BA408" s="32" t="str">
        <f>IF($A409="","",F408*Summary!$Q$14)</f>
        <v/>
      </c>
    </row>
    <row r="409" spans="1:53">
      <c r="A409" s="67" t="str">
        <f t="shared" si="256"/>
        <v/>
      </c>
      <c r="B409" s="69" t="str">
        <f t="shared" si="257"/>
        <v/>
      </c>
      <c r="D409" s="69" t="str">
        <f t="shared" si="231"/>
        <v/>
      </c>
      <c r="E409" s="70" t="str">
        <f t="shared" si="232"/>
        <v/>
      </c>
      <c r="F409" s="70" t="str">
        <f t="shared" si="233"/>
        <v/>
      </c>
      <c r="G409" s="63" t="str">
        <f t="shared" si="234"/>
        <v/>
      </c>
      <c r="H409" s="64" t="str">
        <f t="shared" si="235"/>
        <v/>
      </c>
      <c r="J409" s="63" t="str">
        <f t="shared" si="236"/>
        <v/>
      </c>
      <c r="K409" s="64" t="str">
        <f t="shared" si="237"/>
        <v/>
      </c>
      <c r="L409" s="38">
        <v>0</v>
      </c>
      <c r="M409" s="64" t="str">
        <f t="shared" si="238"/>
        <v/>
      </c>
      <c r="O409" s="63" t="str">
        <f t="shared" si="239"/>
        <v/>
      </c>
      <c r="P409" s="63" t="str">
        <f t="shared" si="240"/>
        <v/>
      </c>
      <c r="R409" s="63" t="str">
        <f t="shared" si="241"/>
        <v/>
      </c>
      <c r="S409" s="64" t="str">
        <f t="shared" si="242"/>
        <v/>
      </c>
      <c r="T409" s="63" t="str">
        <f t="shared" si="243"/>
        <v/>
      </c>
      <c r="U409" s="64" t="str">
        <f t="shared" si="244"/>
        <v/>
      </c>
      <c r="V409" s="207" t="str">
        <f>IF($A410="","",IF(AND(MONTH(A409)&gt;3,MONTH(A409)&lt;11),(T409+R409+G409)*(((1/(1-Summary!$T$14))/(1-Summary!$W$14))-1),(T409+R409+G409)*((1/(1-Summary!$U$14))/(1-Summary!$X$14)-1)))</f>
        <v/>
      </c>
      <c r="W409" s="43" t="str">
        <f t="shared" si="245"/>
        <v/>
      </c>
      <c r="X409" s="43" t="str">
        <f t="shared" si="246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7"/>
        <v/>
      </c>
      <c r="AP409" s="33" t="str">
        <f t="shared" si="248"/>
        <v/>
      </c>
      <c r="AQ409" s="58" t="str">
        <f t="shared" si="249"/>
        <v/>
      </c>
      <c r="AR409" s="38">
        <f>'ANR OK vs ML7'!AR409</f>
        <v>0.1</v>
      </c>
      <c r="AS409" s="35" t="str">
        <f t="shared" si="250"/>
        <v/>
      </c>
      <c r="AT409" s="3" t="str">
        <f t="shared" si="251"/>
        <v/>
      </c>
      <c r="AU409" s="3" t="str">
        <f t="shared" si="252"/>
        <v/>
      </c>
      <c r="AW409" s="32" t="str">
        <f t="shared" si="253"/>
        <v/>
      </c>
      <c r="AX409" s="32" t="str">
        <f t="shared" si="254"/>
        <v/>
      </c>
      <c r="AY409" s="32" t="str">
        <f t="shared" si="255"/>
        <v/>
      </c>
      <c r="BA409" s="32" t="str">
        <f>IF($A410="","",F409*Summary!$Q$14)</f>
        <v/>
      </c>
    </row>
    <row r="410" spans="1:53">
      <c r="A410" s="67" t="str">
        <f t="shared" si="256"/>
        <v/>
      </c>
      <c r="B410" s="69" t="str">
        <f t="shared" si="257"/>
        <v/>
      </c>
      <c r="D410" s="69" t="str">
        <f t="shared" si="231"/>
        <v/>
      </c>
      <c r="E410" s="70" t="str">
        <f t="shared" si="232"/>
        <v/>
      </c>
      <c r="F410" s="70" t="str">
        <f t="shared" si="233"/>
        <v/>
      </c>
      <c r="G410" s="63" t="str">
        <f t="shared" si="234"/>
        <v/>
      </c>
      <c r="H410" s="64" t="str">
        <f t="shared" si="235"/>
        <v/>
      </c>
      <c r="J410" s="63" t="str">
        <f t="shared" si="236"/>
        <v/>
      </c>
      <c r="K410" s="64" t="str">
        <f t="shared" si="237"/>
        <v/>
      </c>
      <c r="L410" s="38">
        <v>0</v>
      </c>
      <c r="M410" s="64" t="str">
        <f t="shared" si="238"/>
        <v/>
      </c>
      <c r="O410" s="63" t="str">
        <f t="shared" si="239"/>
        <v/>
      </c>
      <c r="P410" s="63" t="str">
        <f t="shared" si="240"/>
        <v/>
      </c>
      <c r="R410" s="63" t="str">
        <f t="shared" si="241"/>
        <v/>
      </c>
      <c r="S410" s="64" t="str">
        <f t="shared" si="242"/>
        <v/>
      </c>
      <c r="T410" s="63" t="str">
        <f t="shared" si="243"/>
        <v/>
      </c>
      <c r="U410" s="64" t="str">
        <f t="shared" si="244"/>
        <v/>
      </c>
      <c r="V410" s="207" t="str">
        <f>IF($A411="","",IF(AND(MONTH(A410)&gt;3,MONTH(A410)&lt;11),(T410+R410+G410)*(((1/(1-Summary!$T$14))/(1-Summary!$W$14))-1),(T410+R410+G410)*((1/(1-Summary!$U$14))/(1-Summary!$X$14)-1)))</f>
        <v/>
      </c>
      <c r="W410" s="43" t="str">
        <f t="shared" si="245"/>
        <v/>
      </c>
      <c r="X410" s="43" t="str">
        <f t="shared" si="246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7"/>
        <v/>
      </c>
      <c r="AP410" s="33" t="str">
        <f t="shared" si="248"/>
        <v/>
      </c>
      <c r="AQ410" s="58" t="str">
        <f t="shared" si="249"/>
        <v/>
      </c>
      <c r="AR410" s="38">
        <f>'ANR OK vs ML7'!AR410</f>
        <v>0.1</v>
      </c>
      <c r="AS410" s="35" t="str">
        <f t="shared" si="250"/>
        <v/>
      </c>
      <c r="AT410" s="3" t="str">
        <f t="shared" si="251"/>
        <v/>
      </c>
      <c r="AU410" s="3" t="str">
        <f t="shared" si="252"/>
        <v/>
      </c>
      <c r="AW410" s="32" t="str">
        <f t="shared" si="253"/>
        <v/>
      </c>
      <c r="AX410" s="32" t="str">
        <f t="shared" si="254"/>
        <v/>
      </c>
      <c r="AY410" s="32" t="str">
        <f t="shared" si="255"/>
        <v/>
      </c>
      <c r="BA410" s="32" t="str">
        <f>IF($A411="","",F410*Summary!$Q$14)</f>
        <v/>
      </c>
    </row>
    <row r="411" spans="1:53">
      <c r="A411" s="67" t="str">
        <f t="shared" si="256"/>
        <v/>
      </c>
      <c r="B411" s="69" t="str">
        <f t="shared" si="257"/>
        <v/>
      </c>
      <c r="D411" s="69" t="str">
        <f t="shared" si="231"/>
        <v/>
      </c>
      <c r="E411" s="70" t="str">
        <f t="shared" si="232"/>
        <v/>
      </c>
      <c r="F411" s="70" t="str">
        <f t="shared" si="233"/>
        <v/>
      </c>
      <c r="G411" s="63" t="str">
        <f t="shared" si="234"/>
        <v/>
      </c>
      <c r="H411" s="64" t="str">
        <f t="shared" si="235"/>
        <v/>
      </c>
      <c r="J411" s="63" t="str">
        <f t="shared" si="236"/>
        <v/>
      </c>
      <c r="K411" s="64" t="str">
        <f t="shared" si="237"/>
        <v/>
      </c>
      <c r="L411" s="38">
        <v>0</v>
      </c>
      <c r="M411" s="64" t="str">
        <f t="shared" si="238"/>
        <v/>
      </c>
      <c r="O411" s="63" t="str">
        <f t="shared" si="239"/>
        <v/>
      </c>
      <c r="P411" s="63" t="str">
        <f t="shared" si="240"/>
        <v/>
      </c>
      <c r="R411" s="63" t="str">
        <f t="shared" si="241"/>
        <v/>
      </c>
      <c r="S411" s="64" t="str">
        <f t="shared" si="242"/>
        <v/>
      </c>
      <c r="T411" s="63" t="str">
        <f t="shared" si="243"/>
        <v/>
      </c>
      <c r="U411" s="64" t="str">
        <f t="shared" si="244"/>
        <v/>
      </c>
      <c r="V411" s="207" t="str">
        <f>IF($A412="","",IF(AND(MONTH(A411)&gt;3,MONTH(A411)&lt;11),(T411+R411+G411)*(((1/(1-Summary!$T$14))/(1-Summary!$W$14))-1),(T411+R411+G411)*((1/(1-Summary!$U$14))/(1-Summary!$X$14)-1)))</f>
        <v/>
      </c>
      <c r="W411" s="43" t="str">
        <f t="shared" si="245"/>
        <v/>
      </c>
      <c r="X411" s="43" t="str">
        <f t="shared" si="246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7"/>
        <v/>
      </c>
      <c r="AP411" s="33" t="str">
        <f t="shared" si="248"/>
        <v/>
      </c>
      <c r="AQ411" s="58" t="str">
        <f t="shared" si="249"/>
        <v/>
      </c>
      <c r="AR411" s="38">
        <f>'ANR OK vs ML7'!AR411</f>
        <v>0.1</v>
      </c>
      <c r="AS411" s="35" t="str">
        <f t="shared" si="250"/>
        <v/>
      </c>
      <c r="AT411" s="3" t="str">
        <f t="shared" si="251"/>
        <v/>
      </c>
      <c r="AU411" s="3" t="str">
        <f t="shared" si="252"/>
        <v/>
      </c>
      <c r="AW411" s="32" t="str">
        <f t="shared" si="253"/>
        <v/>
      </c>
      <c r="AX411" s="32" t="str">
        <f t="shared" si="254"/>
        <v/>
      </c>
      <c r="AY411" s="32" t="str">
        <f t="shared" si="255"/>
        <v/>
      </c>
      <c r="BA411" s="32" t="str">
        <f>IF($A412="","",F411*Summary!$Q$14)</f>
        <v/>
      </c>
    </row>
    <row r="412" spans="1:53">
      <c r="A412" s="67" t="str">
        <f t="shared" si="256"/>
        <v/>
      </c>
      <c r="B412" s="69" t="str">
        <f t="shared" si="257"/>
        <v/>
      </c>
      <c r="D412" s="69" t="str">
        <f t="shared" si="231"/>
        <v/>
      </c>
      <c r="E412" s="70" t="str">
        <f t="shared" si="232"/>
        <v/>
      </c>
      <c r="F412" s="70" t="str">
        <f t="shared" si="233"/>
        <v/>
      </c>
      <c r="G412" s="63" t="str">
        <f t="shared" si="234"/>
        <v/>
      </c>
      <c r="H412" s="64" t="str">
        <f t="shared" si="235"/>
        <v/>
      </c>
      <c r="J412" s="63" t="str">
        <f t="shared" si="236"/>
        <v/>
      </c>
      <c r="K412" s="64" t="str">
        <f t="shared" si="237"/>
        <v/>
      </c>
      <c r="L412" s="38">
        <v>0</v>
      </c>
      <c r="M412" s="64" t="str">
        <f t="shared" si="238"/>
        <v/>
      </c>
      <c r="O412" s="63" t="str">
        <f t="shared" si="239"/>
        <v/>
      </c>
      <c r="P412" s="63" t="str">
        <f t="shared" si="240"/>
        <v/>
      </c>
      <c r="R412" s="63" t="str">
        <f t="shared" si="241"/>
        <v/>
      </c>
      <c r="S412" s="64" t="str">
        <f t="shared" si="242"/>
        <v/>
      </c>
      <c r="T412" s="63" t="str">
        <f t="shared" si="243"/>
        <v/>
      </c>
      <c r="U412" s="64" t="str">
        <f t="shared" si="244"/>
        <v/>
      </c>
      <c r="V412" s="207" t="str">
        <f>IF($A413="","",IF(AND(MONTH(A412)&gt;3,MONTH(A412)&lt;11),(T412+R412+G412)*(((1/(1-Summary!$T$14))/(1-Summary!$W$14))-1),(T412+R412+G412)*((1/(1-Summary!$U$14))/(1-Summary!$X$14)-1)))</f>
        <v/>
      </c>
      <c r="W412" s="43" t="str">
        <f t="shared" si="245"/>
        <v/>
      </c>
      <c r="X412" s="43" t="str">
        <f t="shared" si="246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7"/>
        <v/>
      </c>
      <c r="AP412" s="33" t="str">
        <f t="shared" si="248"/>
        <v/>
      </c>
      <c r="AQ412" s="58" t="str">
        <f t="shared" si="249"/>
        <v/>
      </c>
      <c r="AR412" s="38">
        <f>'ANR OK vs ML7'!AR412</f>
        <v>0.1</v>
      </c>
      <c r="AS412" s="35" t="str">
        <f t="shared" si="250"/>
        <v/>
      </c>
      <c r="AT412" s="3" t="str">
        <f t="shared" si="251"/>
        <v/>
      </c>
      <c r="AU412" s="3" t="str">
        <f t="shared" si="252"/>
        <v/>
      </c>
      <c r="AW412" s="32" t="str">
        <f t="shared" si="253"/>
        <v/>
      </c>
      <c r="AX412" s="32" t="str">
        <f t="shared" si="254"/>
        <v/>
      </c>
      <c r="AY412" s="32" t="str">
        <f t="shared" si="255"/>
        <v/>
      </c>
      <c r="BA412" s="32" t="str">
        <f>IF($A413="","",F412*Summary!$Q$14)</f>
        <v/>
      </c>
    </row>
    <row r="413" spans="1:53">
      <c r="A413" s="67" t="str">
        <f t="shared" si="256"/>
        <v/>
      </c>
      <c r="B413" s="69" t="str">
        <f t="shared" si="257"/>
        <v/>
      </c>
      <c r="D413" s="69" t="str">
        <f t="shared" si="231"/>
        <v/>
      </c>
      <c r="E413" s="70" t="str">
        <f t="shared" si="232"/>
        <v/>
      </c>
      <c r="F413" s="70" t="str">
        <f t="shared" si="233"/>
        <v/>
      </c>
      <c r="G413" s="63" t="str">
        <f t="shared" si="234"/>
        <v/>
      </c>
      <c r="H413" s="64" t="str">
        <f t="shared" si="235"/>
        <v/>
      </c>
      <c r="J413" s="63" t="str">
        <f t="shared" si="236"/>
        <v/>
      </c>
      <c r="K413" s="64" t="str">
        <f t="shared" si="237"/>
        <v/>
      </c>
      <c r="L413" s="38">
        <v>0</v>
      </c>
      <c r="M413" s="64" t="str">
        <f t="shared" si="238"/>
        <v/>
      </c>
      <c r="O413" s="63" t="str">
        <f t="shared" si="239"/>
        <v/>
      </c>
      <c r="P413" s="63" t="str">
        <f t="shared" si="240"/>
        <v/>
      </c>
      <c r="R413" s="63" t="str">
        <f t="shared" si="241"/>
        <v/>
      </c>
      <c r="S413" s="64" t="str">
        <f t="shared" si="242"/>
        <v/>
      </c>
      <c r="T413" s="63" t="str">
        <f t="shared" si="243"/>
        <v/>
      </c>
      <c r="U413" s="64" t="str">
        <f t="shared" si="244"/>
        <v/>
      </c>
      <c r="V413" s="207" t="str">
        <f>IF($A414="","",IF(AND(MONTH(A413)&gt;3,MONTH(A413)&lt;11),(T413+R413+G413)*(((1/(1-Summary!$T$14))/(1-Summary!$W$14))-1),(T413+R413+G413)*((1/(1-Summary!$U$14))/(1-Summary!$X$14)-1)))</f>
        <v/>
      </c>
      <c r="W413" s="43" t="str">
        <f t="shared" si="245"/>
        <v/>
      </c>
      <c r="X413" s="43" t="str">
        <f t="shared" si="246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7"/>
        <v/>
      </c>
      <c r="AP413" s="33" t="str">
        <f t="shared" si="248"/>
        <v/>
      </c>
      <c r="AQ413" s="58" t="str">
        <f t="shared" si="249"/>
        <v/>
      </c>
      <c r="AR413" s="38">
        <f>'ANR OK vs ML7'!AR413</f>
        <v>0.1</v>
      </c>
      <c r="AS413" s="35" t="str">
        <f t="shared" si="250"/>
        <v/>
      </c>
      <c r="AT413" s="3" t="str">
        <f t="shared" si="251"/>
        <v/>
      </c>
      <c r="AU413" s="3" t="str">
        <f t="shared" si="252"/>
        <v/>
      </c>
      <c r="AW413" s="32" t="str">
        <f t="shared" si="253"/>
        <v/>
      </c>
      <c r="AX413" s="32" t="str">
        <f t="shared" si="254"/>
        <v/>
      </c>
      <c r="AY413" s="32" t="str">
        <f t="shared" si="255"/>
        <v/>
      </c>
      <c r="BA413" s="32" t="str">
        <f>IF($A414="","",F413*Summary!$Q$14)</f>
        <v/>
      </c>
    </row>
    <row r="414" spans="1:53">
      <c r="A414" s="67" t="str">
        <f t="shared" si="256"/>
        <v/>
      </c>
      <c r="B414" s="69" t="str">
        <f t="shared" si="257"/>
        <v/>
      </c>
      <c r="D414" s="69" t="str">
        <f t="shared" si="231"/>
        <v/>
      </c>
      <c r="E414" s="70" t="str">
        <f t="shared" si="232"/>
        <v/>
      </c>
      <c r="F414" s="70" t="str">
        <f t="shared" si="233"/>
        <v/>
      </c>
      <c r="G414" s="63" t="str">
        <f t="shared" si="234"/>
        <v/>
      </c>
      <c r="H414" s="64" t="str">
        <f t="shared" si="235"/>
        <v/>
      </c>
      <c r="J414" s="63" t="str">
        <f t="shared" si="236"/>
        <v/>
      </c>
      <c r="K414" s="64" t="str">
        <f t="shared" si="237"/>
        <v/>
      </c>
      <c r="L414" s="38">
        <v>0</v>
      </c>
      <c r="M414" s="64" t="str">
        <f t="shared" si="238"/>
        <v/>
      </c>
      <c r="O414" s="63" t="str">
        <f t="shared" si="239"/>
        <v/>
      </c>
      <c r="P414" s="63" t="str">
        <f t="shared" si="240"/>
        <v/>
      </c>
      <c r="R414" s="63" t="str">
        <f t="shared" si="241"/>
        <v/>
      </c>
      <c r="S414" s="64" t="str">
        <f t="shared" si="242"/>
        <v/>
      </c>
      <c r="T414" s="63" t="str">
        <f t="shared" si="243"/>
        <v/>
      </c>
      <c r="U414" s="64" t="str">
        <f t="shared" si="244"/>
        <v/>
      </c>
      <c r="V414" s="207" t="str">
        <f>IF($A415="","",IF(AND(MONTH(A414)&gt;3,MONTH(A414)&lt;11),(T414+R414+G414)*(((1/(1-Summary!$T$14))/(1-Summary!$W$14))-1),(T414+R414+G414)*((1/(1-Summary!$U$14))/(1-Summary!$X$14)-1)))</f>
        <v/>
      </c>
      <c r="W414" s="43" t="str">
        <f t="shared" si="245"/>
        <v/>
      </c>
      <c r="X414" s="43" t="str">
        <f t="shared" si="246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7"/>
        <v/>
      </c>
      <c r="AP414" s="33" t="str">
        <f t="shared" si="248"/>
        <v/>
      </c>
      <c r="AQ414" s="58" t="str">
        <f t="shared" si="249"/>
        <v/>
      </c>
      <c r="AR414" s="38">
        <f>'ANR OK vs ML7'!AR414</f>
        <v>0.1</v>
      </c>
      <c r="AS414" s="35" t="str">
        <f t="shared" si="250"/>
        <v/>
      </c>
      <c r="AT414" s="3" t="str">
        <f t="shared" si="251"/>
        <v/>
      </c>
      <c r="AU414" s="3" t="str">
        <f t="shared" si="252"/>
        <v/>
      </c>
      <c r="AW414" s="32" t="str">
        <f t="shared" si="253"/>
        <v/>
      </c>
      <c r="AX414" s="32" t="str">
        <f t="shared" si="254"/>
        <v/>
      </c>
      <c r="AY414" s="32" t="str">
        <f t="shared" si="255"/>
        <v/>
      </c>
      <c r="BA414" s="32" t="str">
        <f>IF($A415="","",F414*Summary!$Q$14)</f>
        <v/>
      </c>
    </row>
    <row r="415" spans="1:53">
      <c r="A415" s="67" t="str">
        <f t="shared" si="256"/>
        <v/>
      </c>
      <c r="B415" s="69" t="str">
        <f t="shared" si="257"/>
        <v/>
      </c>
      <c r="D415" s="69" t="str">
        <f t="shared" si="231"/>
        <v/>
      </c>
      <c r="E415" s="70" t="str">
        <f t="shared" si="232"/>
        <v/>
      </c>
      <c r="F415" s="70" t="str">
        <f t="shared" si="233"/>
        <v/>
      </c>
      <c r="G415" s="63" t="str">
        <f t="shared" si="234"/>
        <v/>
      </c>
      <c r="H415" s="64" t="str">
        <f t="shared" si="235"/>
        <v/>
      </c>
      <c r="J415" s="63" t="str">
        <f t="shared" si="236"/>
        <v/>
      </c>
      <c r="K415" s="64" t="str">
        <f t="shared" si="237"/>
        <v/>
      </c>
      <c r="L415" s="38">
        <v>0</v>
      </c>
      <c r="M415" s="64" t="str">
        <f t="shared" si="238"/>
        <v/>
      </c>
      <c r="O415" s="63" t="str">
        <f t="shared" si="239"/>
        <v/>
      </c>
      <c r="P415" s="63" t="str">
        <f t="shared" si="240"/>
        <v/>
      </c>
      <c r="R415" s="63" t="str">
        <f t="shared" si="241"/>
        <v/>
      </c>
      <c r="S415" s="64" t="str">
        <f t="shared" si="242"/>
        <v/>
      </c>
      <c r="T415" s="63" t="str">
        <f t="shared" si="243"/>
        <v/>
      </c>
      <c r="U415" s="64" t="str">
        <f t="shared" si="244"/>
        <v/>
      </c>
      <c r="V415" s="207" t="str">
        <f>IF($A416="","",IF(AND(MONTH(A415)&gt;3,MONTH(A415)&lt;11),(T415+R415+G415)*(((1/(1-Summary!$T$14))/(1-Summary!$W$14))-1),(T415+R415+G415)*((1/(1-Summary!$U$14))/(1-Summary!$X$14)-1)))</f>
        <v/>
      </c>
      <c r="W415" s="43" t="str">
        <f t="shared" si="245"/>
        <v/>
      </c>
      <c r="X415" s="43" t="str">
        <f t="shared" si="246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7"/>
        <v/>
      </c>
      <c r="AP415" s="33" t="str">
        <f t="shared" si="248"/>
        <v/>
      </c>
      <c r="AQ415" s="58" t="str">
        <f t="shared" si="249"/>
        <v/>
      </c>
      <c r="AR415" s="38">
        <f>'ANR OK vs ML7'!AR415</f>
        <v>0.1</v>
      </c>
      <c r="AS415" s="35" t="str">
        <f t="shared" si="250"/>
        <v/>
      </c>
      <c r="AT415" s="3" t="str">
        <f t="shared" si="251"/>
        <v/>
      </c>
      <c r="AU415" s="3" t="str">
        <f t="shared" si="252"/>
        <v/>
      </c>
      <c r="AW415" s="32" t="str">
        <f t="shared" si="253"/>
        <v/>
      </c>
      <c r="AX415" s="32" t="str">
        <f t="shared" si="254"/>
        <v/>
      </c>
      <c r="AY415" s="32" t="str">
        <f t="shared" si="255"/>
        <v/>
      </c>
      <c r="BA415" s="32" t="str">
        <f>IF($A416="","",F415*Summary!$Q$14)</f>
        <v/>
      </c>
    </row>
    <row r="416" spans="1:53">
      <c r="A416" s="67" t="str">
        <f t="shared" si="256"/>
        <v/>
      </c>
      <c r="B416" s="69" t="str">
        <f t="shared" si="257"/>
        <v/>
      </c>
      <c r="D416" s="69" t="str">
        <f t="shared" si="231"/>
        <v/>
      </c>
      <c r="E416" s="70" t="str">
        <f t="shared" si="232"/>
        <v/>
      </c>
      <c r="F416" s="70" t="str">
        <f t="shared" si="233"/>
        <v/>
      </c>
      <c r="G416" s="63" t="str">
        <f t="shared" si="234"/>
        <v/>
      </c>
      <c r="H416" s="64" t="str">
        <f t="shared" si="235"/>
        <v/>
      </c>
      <c r="J416" s="63" t="str">
        <f t="shared" si="236"/>
        <v/>
      </c>
      <c r="K416" s="64" t="str">
        <f t="shared" si="237"/>
        <v/>
      </c>
      <c r="L416" s="38">
        <v>0</v>
      </c>
      <c r="M416" s="64" t="str">
        <f t="shared" si="238"/>
        <v/>
      </c>
      <c r="O416" s="63" t="str">
        <f t="shared" si="239"/>
        <v/>
      </c>
      <c r="P416" s="63" t="str">
        <f t="shared" si="240"/>
        <v/>
      </c>
      <c r="R416" s="63" t="str">
        <f t="shared" si="241"/>
        <v/>
      </c>
      <c r="S416" s="64" t="str">
        <f t="shared" si="242"/>
        <v/>
      </c>
      <c r="T416" s="63" t="str">
        <f t="shared" si="243"/>
        <v/>
      </c>
      <c r="U416" s="64" t="str">
        <f t="shared" si="244"/>
        <v/>
      </c>
      <c r="V416" s="207" t="str">
        <f>IF($A417="","",IF(AND(MONTH(A416)&gt;3,MONTH(A416)&lt;11),(T416+R416+G416)*(((1/(1-Summary!$T$14))/(1-Summary!$W$14))-1),(T416+R416+G416)*((1/(1-Summary!$U$14))/(1-Summary!$X$14)-1)))</f>
        <v/>
      </c>
      <c r="W416" s="43" t="str">
        <f t="shared" si="245"/>
        <v/>
      </c>
      <c r="X416" s="43" t="str">
        <f t="shared" si="246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7"/>
        <v/>
      </c>
      <c r="AP416" s="33" t="str">
        <f t="shared" si="248"/>
        <v/>
      </c>
      <c r="AQ416" s="58" t="str">
        <f t="shared" si="249"/>
        <v/>
      </c>
      <c r="AR416" s="38">
        <f>'ANR OK vs ML7'!AR416</f>
        <v>0.1</v>
      </c>
      <c r="AS416" s="35" t="str">
        <f t="shared" si="250"/>
        <v/>
      </c>
      <c r="AT416" s="3" t="str">
        <f t="shared" si="251"/>
        <v/>
      </c>
      <c r="AU416" s="3" t="str">
        <f t="shared" si="252"/>
        <v/>
      </c>
      <c r="AW416" s="32" t="str">
        <f t="shared" si="253"/>
        <v/>
      </c>
      <c r="AX416" s="32" t="str">
        <f t="shared" si="254"/>
        <v/>
      </c>
      <c r="AY416" s="32" t="str">
        <f t="shared" si="255"/>
        <v/>
      </c>
      <c r="BA416" s="32" t="str">
        <f>IF($A417="","",F416*Summary!$Q$14)</f>
        <v/>
      </c>
    </row>
    <row r="417" spans="1:53">
      <c r="A417" s="67" t="str">
        <f t="shared" si="256"/>
        <v/>
      </c>
      <c r="B417" s="69" t="str">
        <f t="shared" si="257"/>
        <v/>
      </c>
      <c r="D417" s="69" t="str">
        <f t="shared" si="231"/>
        <v/>
      </c>
      <c r="E417" s="70" t="str">
        <f t="shared" si="232"/>
        <v/>
      </c>
      <c r="F417" s="70" t="str">
        <f t="shared" si="233"/>
        <v/>
      </c>
      <c r="G417" s="63" t="str">
        <f t="shared" si="234"/>
        <v/>
      </c>
      <c r="H417" s="64" t="str">
        <f t="shared" si="235"/>
        <v/>
      </c>
      <c r="J417" s="63" t="str">
        <f t="shared" si="236"/>
        <v/>
      </c>
      <c r="K417" s="64" t="str">
        <f t="shared" si="237"/>
        <v/>
      </c>
      <c r="L417" s="38">
        <v>0</v>
      </c>
      <c r="M417" s="64" t="str">
        <f t="shared" si="238"/>
        <v/>
      </c>
      <c r="O417" s="63" t="str">
        <f t="shared" si="239"/>
        <v/>
      </c>
      <c r="P417" s="63" t="str">
        <f t="shared" si="240"/>
        <v/>
      </c>
      <c r="R417" s="63" t="str">
        <f t="shared" si="241"/>
        <v/>
      </c>
      <c r="S417" s="64" t="str">
        <f t="shared" si="242"/>
        <v/>
      </c>
      <c r="T417" s="63" t="str">
        <f t="shared" si="243"/>
        <v/>
      </c>
      <c r="U417" s="64" t="str">
        <f t="shared" si="244"/>
        <v/>
      </c>
      <c r="V417" s="207" t="str">
        <f>IF($A418="","",IF(AND(MONTH(A417)&gt;3,MONTH(A417)&lt;11),(T417+R417+G417)*(((1/(1-Summary!$T$14))/(1-Summary!$W$14))-1),(T417+R417+G417)*((1/(1-Summary!$U$14))/(1-Summary!$X$14)-1)))</f>
        <v/>
      </c>
      <c r="W417" s="43" t="str">
        <f t="shared" si="245"/>
        <v/>
      </c>
      <c r="X417" s="43" t="str">
        <f t="shared" si="246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7"/>
        <v/>
      </c>
      <c r="AP417" s="33" t="str">
        <f t="shared" si="248"/>
        <v/>
      </c>
      <c r="AQ417" s="58" t="str">
        <f t="shared" si="249"/>
        <v/>
      </c>
      <c r="AR417" s="38">
        <f>'ANR OK vs ML7'!AR417</f>
        <v>0.1</v>
      </c>
      <c r="AS417" s="35" t="str">
        <f t="shared" si="250"/>
        <v/>
      </c>
      <c r="AT417" s="3" t="str">
        <f t="shared" si="251"/>
        <v/>
      </c>
      <c r="AU417" s="3" t="str">
        <f t="shared" si="252"/>
        <v/>
      </c>
      <c r="AW417" s="32" t="str">
        <f t="shared" si="253"/>
        <v/>
      </c>
      <c r="AX417" s="32" t="str">
        <f t="shared" si="254"/>
        <v/>
      </c>
      <c r="AY417" s="32" t="str">
        <f t="shared" si="255"/>
        <v/>
      </c>
      <c r="BA417" s="32" t="str">
        <f>IF($A418="","",F417*Summary!$Q$14)</f>
        <v/>
      </c>
    </row>
    <row r="418" spans="1:53">
      <c r="A418" s="67" t="str">
        <f t="shared" si="256"/>
        <v/>
      </c>
      <c r="B418" s="69" t="str">
        <f t="shared" si="257"/>
        <v/>
      </c>
      <c r="D418" s="69" t="str">
        <f t="shared" si="231"/>
        <v/>
      </c>
      <c r="E418" s="70" t="str">
        <f t="shared" si="232"/>
        <v/>
      </c>
      <c r="F418" s="70" t="str">
        <f t="shared" si="233"/>
        <v/>
      </c>
      <c r="G418" s="63" t="str">
        <f t="shared" si="234"/>
        <v/>
      </c>
      <c r="H418" s="64" t="str">
        <f t="shared" si="235"/>
        <v/>
      </c>
      <c r="J418" s="63" t="str">
        <f t="shared" si="236"/>
        <v/>
      </c>
      <c r="K418" s="64" t="str">
        <f t="shared" si="237"/>
        <v/>
      </c>
      <c r="L418" s="38">
        <v>0</v>
      </c>
      <c r="M418" s="64" t="str">
        <f t="shared" si="238"/>
        <v/>
      </c>
      <c r="O418" s="63" t="str">
        <f t="shared" si="239"/>
        <v/>
      </c>
      <c r="P418" s="63" t="str">
        <f t="shared" si="240"/>
        <v/>
      </c>
      <c r="R418" s="63" t="str">
        <f t="shared" si="241"/>
        <v/>
      </c>
      <c r="S418" s="64" t="str">
        <f t="shared" si="242"/>
        <v/>
      </c>
      <c r="T418" s="63" t="str">
        <f t="shared" si="243"/>
        <v/>
      </c>
      <c r="U418" s="64" t="str">
        <f t="shared" si="244"/>
        <v/>
      </c>
      <c r="V418" s="207" t="str">
        <f>IF($A419="","",IF(AND(MONTH(A418)&gt;3,MONTH(A418)&lt;11),(T418+R418+G418)*(((1/(1-Summary!$T$14))/(1-Summary!$W$14))-1),(T418+R418+G418)*((1/(1-Summary!$U$14))/(1-Summary!$X$14)-1)))</f>
        <v/>
      </c>
      <c r="W418" s="43" t="str">
        <f t="shared" si="245"/>
        <v/>
      </c>
      <c r="X418" s="43" t="str">
        <f t="shared" si="246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7"/>
        <v/>
      </c>
      <c r="AP418" s="33" t="str">
        <f t="shared" si="248"/>
        <v/>
      </c>
      <c r="AQ418" s="58" t="str">
        <f t="shared" si="249"/>
        <v/>
      </c>
      <c r="AR418" s="38">
        <f>'ANR OK vs ML7'!AR418</f>
        <v>0.1</v>
      </c>
      <c r="AS418" s="35" t="str">
        <f t="shared" si="250"/>
        <v/>
      </c>
      <c r="AT418" s="3" t="str">
        <f t="shared" si="251"/>
        <v/>
      </c>
      <c r="AU418" s="3" t="str">
        <f t="shared" si="252"/>
        <v/>
      </c>
      <c r="AW418" s="32" t="str">
        <f t="shared" si="253"/>
        <v/>
      </c>
      <c r="AX418" s="32" t="str">
        <f t="shared" si="254"/>
        <v/>
      </c>
      <c r="AY418" s="32" t="str">
        <f t="shared" si="255"/>
        <v/>
      </c>
      <c r="BA418" s="32" t="str">
        <f>IF($A419="","",F418*Summary!$Q$14)</f>
        <v/>
      </c>
    </row>
    <row r="419" spans="1:53">
      <c r="A419" s="67" t="str">
        <f t="shared" si="256"/>
        <v/>
      </c>
      <c r="B419" s="69" t="str">
        <f t="shared" si="257"/>
        <v/>
      </c>
      <c r="D419" s="69" t="str">
        <f t="shared" si="231"/>
        <v/>
      </c>
      <c r="E419" s="70" t="str">
        <f t="shared" si="232"/>
        <v/>
      </c>
      <c r="F419" s="70" t="str">
        <f t="shared" si="233"/>
        <v/>
      </c>
      <c r="G419" s="63" t="str">
        <f t="shared" si="234"/>
        <v/>
      </c>
      <c r="H419" s="64" t="str">
        <f t="shared" si="235"/>
        <v/>
      </c>
      <c r="J419" s="63" t="str">
        <f t="shared" si="236"/>
        <v/>
      </c>
      <c r="K419" s="64" t="str">
        <f t="shared" si="237"/>
        <v/>
      </c>
      <c r="L419" s="38">
        <v>0</v>
      </c>
      <c r="M419" s="64" t="str">
        <f t="shared" si="238"/>
        <v/>
      </c>
      <c r="O419" s="63" t="str">
        <f t="shared" si="239"/>
        <v/>
      </c>
      <c r="P419" s="63" t="str">
        <f t="shared" si="240"/>
        <v/>
      </c>
      <c r="R419" s="63" t="str">
        <f t="shared" si="241"/>
        <v/>
      </c>
      <c r="S419" s="64" t="str">
        <f t="shared" si="242"/>
        <v/>
      </c>
      <c r="T419" s="63" t="str">
        <f t="shared" si="243"/>
        <v/>
      </c>
      <c r="U419" s="64" t="str">
        <f t="shared" si="244"/>
        <v/>
      </c>
      <c r="V419" s="207" t="str">
        <f>IF($A420="","",IF(AND(MONTH(A419)&gt;3,MONTH(A419)&lt;11),(T419+R419+G419)*(((1/(1-Summary!$T$14))/(1-Summary!$W$14))-1),(T419+R419+G419)*((1/(1-Summary!$U$14))/(1-Summary!$X$14)-1)))</f>
        <v/>
      </c>
      <c r="W419" s="43" t="str">
        <f t="shared" si="245"/>
        <v/>
      </c>
      <c r="X419" s="43" t="str">
        <f t="shared" si="246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7"/>
        <v/>
      </c>
      <c r="AP419" s="33" t="str">
        <f t="shared" si="248"/>
        <v/>
      </c>
      <c r="AQ419" s="58" t="str">
        <f t="shared" si="249"/>
        <v/>
      </c>
      <c r="AR419" s="38">
        <f>'ANR OK vs ML7'!AR419</f>
        <v>0.1</v>
      </c>
      <c r="AS419" s="35" t="str">
        <f t="shared" si="250"/>
        <v/>
      </c>
      <c r="AT419" s="3" t="str">
        <f t="shared" si="251"/>
        <v/>
      </c>
      <c r="AU419" s="3" t="str">
        <f t="shared" si="252"/>
        <v/>
      </c>
      <c r="AW419" s="32" t="str">
        <f t="shared" si="253"/>
        <v/>
      </c>
      <c r="AX419" s="32" t="str">
        <f t="shared" si="254"/>
        <v/>
      </c>
      <c r="AY419" s="32" t="str">
        <f t="shared" si="255"/>
        <v/>
      </c>
      <c r="BA419" s="32" t="str">
        <f>IF($A420="","",F419*Summary!$Q$14)</f>
        <v/>
      </c>
    </row>
    <row r="420" spans="1:53">
      <c r="A420" s="67" t="str">
        <f t="shared" si="256"/>
        <v/>
      </c>
      <c r="B420" s="69" t="str">
        <f t="shared" si="257"/>
        <v/>
      </c>
      <c r="D420" s="69" t="str">
        <f t="shared" si="231"/>
        <v/>
      </c>
      <c r="E420" s="70" t="str">
        <f t="shared" si="232"/>
        <v/>
      </c>
      <c r="F420" s="70" t="str">
        <f t="shared" si="233"/>
        <v/>
      </c>
      <c r="G420" s="63" t="str">
        <f t="shared" si="234"/>
        <v/>
      </c>
      <c r="H420" s="64" t="str">
        <f t="shared" si="235"/>
        <v/>
      </c>
      <c r="J420" s="63" t="str">
        <f t="shared" si="236"/>
        <v/>
      </c>
      <c r="K420" s="64" t="str">
        <f t="shared" si="237"/>
        <v/>
      </c>
      <c r="L420" s="38">
        <v>0</v>
      </c>
      <c r="M420" s="64" t="str">
        <f t="shared" si="238"/>
        <v/>
      </c>
      <c r="O420" s="63" t="str">
        <f t="shared" si="239"/>
        <v/>
      </c>
      <c r="P420" s="63" t="str">
        <f t="shared" si="240"/>
        <v/>
      </c>
      <c r="R420" s="63" t="str">
        <f t="shared" si="241"/>
        <v/>
      </c>
      <c r="S420" s="64" t="str">
        <f t="shared" si="242"/>
        <v/>
      </c>
      <c r="T420" s="63" t="str">
        <f t="shared" si="243"/>
        <v/>
      </c>
      <c r="U420" s="64" t="str">
        <f t="shared" si="244"/>
        <v/>
      </c>
      <c r="V420" s="207" t="str">
        <f>IF($A421="","",IF(AND(MONTH(A420)&gt;3,MONTH(A420)&lt;11),(T420+R420+G420)*(((1/(1-Summary!$T$14))/(1-Summary!$W$14))-1),(T420+R420+G420)*((1/(1-Summary!$U$14))/(1-Summary!$X$14)-1)))</f>
        <v/>
      </c>
      <c r="W420" s="43" t="str">
        <f t="shared" si="245"/>
        <v/>
      </c>
      <c r="X420" s="43" t="str">
        <f t="shared" si="246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7"/>
        <v/>
      </c>
      <c r="AP420" s="33" t="str">
        <f t="shared" si="248"/>
        <v/>
      </c>
      <c r="AQ420" s="58" t="str">
        <f t="shared" si="249"/>
        <v/>
      </c>
      <c r="AR420" s="38">
        <f>'ANR OK vs ML7'!AR420</f>
        <v>0.1</v>
      </c>
      <c r="AS420" s="35" t="str">
        <f t="shared" si="250"/>
        <v/>
      </c>
      <c r="AT420" s="3" t="str">
        <f t="shared" si="251"/>
        <v/>
      </c>
      <c r="AU420" s="3" t="str">
        <f t="shared" si="252"/>
        <v/>
      </c>
      <c r="AW420" s="32" t="str">
        <f t="shared" si="253"/>
        <v/>
      </c>
      <c r="AX420" s="32" t="str">
        <f t="shared" si="254"/>
        <v/>
      </c>
      <c r="AY420" s="32" t="str">
        <f t="shared" si="255"/>
        <v/>
      </c>
      <c r="BA420" s="32" t="str">
        <f>IF($A421="","",F420*Summary!$Q$14)</f>
        <v/>
      </c>
    </row>
    <row r="421" spans="1:53">
      <c r="A421" s="67" t="str">
        <f t="shared" si="256"/>
        <v/>
      </c>
      <c r="B421" s="69" t="str">
        <f t="shared" si="257"/>
        <v/>
      </c>
      <c r="D421" s="69" t="str">
        <f t="shared" si="231"/>
        <v/>
      </c>
      <c r="E421" s="70" t="str">
        <f t="shared" si="232"/>
        <v/>
      </c>
      <c r="F421" s="70" t="str">
        <f t="shared" si="233"/>
        <v/>
      </c>
      <c r="G421" s="63" t="str">
        <f t="shared" si="234"/>
        <v/>
      </c>
      <c r="H421" s="64" t="str">
        <f t="shared" si="235"/>
        <v/>
      </c>
      <c r="J421" s="63" t="str">
        <f t="shared" si="236"/>
        <v/>
      </c>
      <c r="K421" s="64" t="str">
        <f t="shared" si="237"/>
        <v/>
      </c>
      <c r="L421" s="38">
        <v>0</v>
      </c>
      <c r="M421" s="64" t="str">
        <f t="shared" si="238"/>
        <v/>
      </c>
      <c r="O421" s="63" t="str">
        <f t="shared" si="239"/>
        <v/>
      </c>
      <c r="P421" s="63" t="str">
        <f t="shared" si="240"/>
        <v/>
      </c>
      <c r="R421" s="63" t="str">
        <f t="shared" si="241"/>
        <v/>
      </c>
      <c r="S421" s="64" t="str">
        <f t="shared" si="242"/>
        <v/>
      </c>
      <c r="T421" s="63" t="str">
        <f t="shared" si="243"/>
        <v/>
      </c>
      <c r="U421" s="64" t="str">
        <f t="shared" si="244"/>
        <v/>
      </c>
      <c r="V421" s="207" t="str">
        <f>IF($A422="","",IF(AND(MONTH(A421)&gt;3,MONTH(A421)&lt;11),(T421+R421+G421)*(((1/(1-Summary!$T$14))/(1-Summary!$W$14))-1),(T421+R421+G421)*((1/(1-Summary!$U$14))/(1-Summary!$X$14)-1)))</f>
        <v/>
      </c>
      <c r="W421" s="43" t="str">
        <f t="shared" si="245"/>
        <v/>
      </c>
      <c r="X421" s="43" t="str">
        <f t="shared" si="246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7"/>
        <v/>
      </c>
      <c r="AP421" s="33" t="str">
        <f t="shared" si="248"/>
        <v/>
      </c>
      <c r="AQ421" s="58" t="str">
        <f t="shared" si="249"/>
        <v/>
      </c>
      <c r="AR421" s="38">
        <f>'ANR OK vs ML7'!AR421</f>
        <v>0.1</v>
      </c>
      <c r="AS421" s="35" t="str">
        <f t="shared" si="250"/>
        <v/>
      </c>
      <c r="AT421" s="3" t="str">
        <f t="shared" si="251"/>
        <v/>
      </c>
      <c r="AU421" s="3" t="str">
        <f t="shared" si="252"/>
        <v/>
      </c>
      <c r="AW421" s="32" t="str">
        <f t="shared" si="253"/>
        <v/>
      </c>
      <c r="AX421" s="32" t="str">
        <f t="shared" si="254"/>
        <v/>
      </c>
      <c r="AY421" s="32" t="str">
        <f t="shared" si="255"/>
        <v/>
      </c>
      <c r="BA421" s="32" t="str">
        <f>IF($A422="","",F421*Summary!$Q$14)</f>
        <v/>
      </c>
    </row>
    <row r="422" spans="1:53">
      <c r="A422" s="67" t="str">
        <f t="shared" si="256"/>
        <v/>
      </c>
      <c r="B422" s="69" t="str">
        <f t="shared" si="257"/>
        <v/>
      </c>
      <c r="D422" s="69" t="str">
        <f t="shared" si="231"/>
        <v/>
      </c>
      <c r="E422" s="70" t="str">
        <f t="shared" si="232"/>
        <v/>
      </c>
      <c r="F422" s="70" t="str">
        <f t="shared" si="233"/>
        <v/>
      </c>
      <c r="G422" s="63" t="str">
        <f t="shared" si="234"/>
        <v/>
      </c>
      <c r="H422" s="64" t="str">
        <f t="shared" si="235"/>
        <v/>
      </c>
      <c r="J422" s="63" t="str">
        <f t="shared" si="236"/>
        <v/>
      </c>
      <c r="K422" s="64" t="str">
        <f t="shared" si="237"/>
        <v/>
      </c>
      <c r="L422" s="38">
        <v>0</v>
      </c>
      <c r="M422" s="64" t="str">
        <f t="shared" si="238"/>
        <v/>
      </c>
      <c r="O422" s="63" t="str">
        <f t="shared" si="239"/>
        <v/>
      </c>
      <c r="P422" s="63" t="str">
        <f t="shared" si="240"/>
        <v/>
      </c>
      <c r="R422" s="63" t="str">
        <f t="shared" si="241"/>
        <v/>
      </c>
      <c r="S422" s="64" t="str">
        <f t="shared" si="242"/>
        <v/>
      </c>
      <c r="T422" s="63" t="str">
        <f t="shared" si="243"/>
        <v/>
      </c>
      <c r="U422" s="64" t="str">
        <f t="shared" si="244"/>
        <v/>
      </c>
      <c r="V422" s="207" t="str">
        <f>IF($A423="","",IF(AND(MONTH(A422)&gt;3,MONTH(A422)&lt;11),(T422+R422+G422)*(((1/(1-Summary!$T$14))/(1-Summary!$W$14))-1),(T422+R422+G422)*((1/(1-Summary!$U$14))/(1-Summary!$X$14)-1)))</f>
        <v/>
      </c>
      <c r="W422" s="43" t="str">
        <f t="shared" si="245"/>
        <v/>
      </c>
      <c r="X422" s="43" t="str">
        <f t="shared" si="246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7"/>
        <v/>
      </c>
      <c r="AP422" s="33" t="str">
        <f t="shared" si="248"/>
        <v/>
      </c>
      <c r="AQ422" s="58" t="str">
        <f t="shared" si="249"/>
        <v/>
      </c>
      <c r="AR422" s="38">
        <f>'ANR OK vs ML7'!AR422</f>
        <v>0.1</v>
      </c>
      <c r="AS422" s="35" t="str">
        <f t="shared" si="250"/>
        <v/>
      </c>
      <c r="AT422" s="3" t="str">
        <f t="shared" si="251"/>
        <v/>
      </c>
      <c r="AU422" s="3" t="str">
        <f t="shared" si="252"/>
        <v/>
      </c>
      <c r="AW422" s="32" t="str">
        <f t="shared" si="253"/>
        <v/>
      </c>
      <c r="AX422" s="32" t="str">
        <f t="shared" si="254"/>
        <v/>
      </c>
      <c r="AY422" s="32" t="str">
        <f t="shared" si="255"/>
        <v/>
      </c>
      <c r="BA422" s="32" t="str">
        <f>IF($A423="","",F422*Summary!$Q$14)</f>
        <v/>
      </c>
    </row>
    <row r="423" spans="1:53">
      <c r="A423" s="67" t="str">
        <f t="shared" si="256"/>
        <v/>
      </c>
      <c r="B423" s="69" t="str">
        <f t="shared" si="257"/>
        <v/>
      </c>
      <c r="D423" s="69" t="str">
        <f t="shared" si="231"/>
        <v/>
      </c>
      <c r="E423" s="70" t="str">
        <f t="shared" si="232"/>
        <v/>
      </c>
      <c r="F423" s="70" t="str">
        <f t="shared" si="233"/>
        <v/>
      </c>
      <c r="G423" s="63" t="str">
        <f t="shared" si="234"/>
        <v/>
      </c>
      <c r="H423" s="64" t="str">
        <f t="shared" si="235"/>
        <v/>
      </c>
      <c r="J423" s="63" t="str">
        <f t="shared" si="236"/>
        <v/>
      </c>
      <c r="K423" s="64" t="str">
        <f t="shared" si="237"/>
        <v/>
      </c>
      <c r="L423" s="38">
        <v>0</v>
      </c>
      <c r="M423" s="64" t="str">
        <f t="shared" si="238"/>
        <v/>
      </c>
      <c r="O423" s="63" t="str">
        <f t="shared" si="239"/>
        <v/>
      </c>
      <c r="P423" s="63" t="str">
        <f t="shared" si="240"/>
        <v/>
      </c>
      <c r="R423" s="63" t="str">
        <f t="shared" si="241"/>
        <v/>
      </c>
      <c r="S423" s="64" t="str">
        <f t="shared" si="242"/>
        <v/>
      </c>
      <c r="T423" s="63" t="str">
        <f t="shared" si="243"/>
        <v/>
      </c>
      <c r="U423" s="64" t="str">
        <f t="shared" si="244"/>
        <v/>
      </c>
      <c r="V423" s="207" t="str">
        <f>IF($A424="","",IF(AND(MONTH(A423)&gt;3,MONTH(A423)&lt;11),(T423+R423+G423)*(((1/(1-Summary!$T$14))/(1-Summary!$W$14))-1),(T423+R423+G423)*((1/(1-Summary!$U$14))/(1-Summary!$X$14)-1)))</f>
        <v/>
      </c>
      <c r="W423" s="43" t="str">
        <f t="shared" si="245"/>
        <v/>
      </c>
      <c r="X423" s="43" t="str">
        <f t="shared" si="246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7"/>
        <v/>
      </c>
      <c r="AP423" s="33" t="str">
        <f t="shared" si="248"/>
        <v/>
      </c>
      <c r="AQ423" s="58" t="str">
        <f t="shared" si="249"/>
        <v/>
      </c>
      <c r="AR423" s="38">
        <f>'ANR OK vs ML7'!AR423</f>
        <v>0.1</v>
      </c>
      <c r="AS423" s="35" t="str">
        <f t="shared" si="250"/>
        <v/>
      </c>
      <c r="AT423" s="3" t="str">
        <f t="shared" si="251"/>
        <v/>
      </c>
      <c r="AU423" s="3" t="str">
        <f t="shared" si="252"/>
        <v/>
      </c>
      <c r="AW423" s="32" t="str">
        <f t="shared" si="253"/>
        <v/>
      </c>
      <c r="AX423" s="32" t="str">
        <f t="shared" si="254"/>
        <v/>
      </c>
      <c r="AY423" s="32" t="str">
        <f t="shared" si="255"/>
        <v/>
      </c>
      <c r="BA423" s="32" t="str">
        <f>IF($A424="","",F423*Summary!$Q$14)</f>
        <v/>
      </c>
    </row>
    <row r="424" spans="1:53">
      <c r="A424" s="67" t="str">
        <f t="shared" si="256"/>
        <v/>
      </c>
      <c r="B424" s="69" t="str">
        <f t="shared" si="257"/>
        <v/>
      </c>
      <c r="D424" s="69" t="str">
        <f t="shared" si="231"/>
        <v/>
      </c>
      <c r="E424" s="70" t="str">
        <f t="shared" si="232"/>
        <v/>
      </c>
      <c r="F424" s="70" t="str">
        <f t="shared" si="233"/>
        <v/>
      </c>
      <c r="G424" s="63" t="str">
        <f t="shared" si="234"/>
        <v/>
      </c>
      <c r="H424" s="64" t="str">
        <f t="shared" si="235"/>
        <v/>
      </c>
      <c r="J424" s="63" t="str">
        <f t="shared" si="236"/>
        <v/>
      </c>
      <c r="K424" s="64" t="str">
        <f t="shared" si="237"/>
        <v/>
      </c>
      <c r="L424" s="38">
        <v>0</v>
      </c>
      <c r="M424" s="64" t="str">
        <f t="shared" si="238"/>
        <v/>
      </c>
      <c r="O424" s="63" t="str">
        <f t="shared" si="239"/>
        <v/>
      </c>
      <c r="P424" s="63" t="str">
        <f t="shared" si="240"/>
        <v/>
      </c>
      <c r="R424" s="63" t="str">
        <f t="shared" si="241"/>
        <v/>
      </c>
      <c r="S424" s="64" t="str">
        <f t="shared" si="242"/>
        <v/>
      </c>
      <c r="T424" s="63" t="str">
        <f t="shared" si="243"/>
        <v/>
      </c>
      <c r="U424" s="64" t="str">
        <f t="shared" si="244"/>
        <v/>
      </c>
      <c r="V424" s="207" t="str">
        <f>IF($A425="","",IF(AND(MONTH(A424)&gt;3,MONTH(A424)&lt;11),(T424+R424+G424)*(((1/(1-Summary!$T$14))/(1-Summary!$W$14))-1),(T424+R424+G424)*((1/(1-Summary!$U$14))/(1-Summary!$X$14)-1)))</f>
        <v/>
      </c>
      <c r="W424" s="43" t="str">
        <f t="shared" si="245"/>
        <v/>
      </c>
      <c r="X424" s="43" t="str">
        <f t="shared" si="246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7"/>
        <v/>
      </c>
      <c r="AP424" s="33" t="str">
        <f t="shared" si="248"/>
        <v/>
      </c>
      <c r="AQ424" s="58" t="str">
        <f t="shared" si="249"/>
        <v/>
      </c>
      <c r="AR424" s="38">
        <f>'ANR OK vs ML7'!AR424</f>
        <v>0.1</v>
      </c>
      <c r="AS424" s="35" t="str">
        <f t="shared" si="250"/>
        <v/>
      </c>
      <c r="AT424" s="3" t="str">
        <f t="shared" si="251"/>
        <v/>
      </c>
      <c r="AU424" s="3" t="str">
        <f t="shared" si="252"/>
        <v/>
      </c>
      <c r="AW424" s="32" t="str">
        <f t="shared" si="253"/>
        <v/>
      </c>
      <c r="AX424" s="32" t="str">
        <f t="shared" si="254"/>
        <v/>
      </c>
      <c r="AY424" s="32" t="str">
        <f t="shared" si="255"/>
        <v/>
      </c>
      <c r="BA424" s="32" t="str">
        <f>IF($A425="","",F424*Summary!$Q$14)</f>
        <v/>
      </c>
    </row>
    <row r="425" spans="1:53">
      <c r="A425" s="67" t="str">
        <f t="shared" si="256"/>
        <v/>
      </c>
      <c r="B425" s="69" t="str">
        <f t="shared" si="257"/>
        <v/>
      </c>
      <c r="D425" s="69" t="str">
        <f t="shared" si="231"/>
        <v/>
      </c>
      <c r="E425" s="70" t="str">
        <f t="shared" si="232"/>
        <v/>
      </c>
      <c r="F425" s="70" t="str">
        <f t="shared" si="233"/>
        <v/>
      </c>
      <c r="G425" s="63" t="str">
        <f t="shared" si="234"/>
        <v/>
      </c>
      <c r="H425" s="64" t="str">
        <f t="shared" si="235"/>
        <v/>
      </c>
      <c r="J425" s="63" t="str">
        <f t="shared" si="236"/>
        <v/>
      </c>
      <c r="K425" s="64" t="str">
        <f t="shared" si="237"/>
        <v/>
      </c>
      <c r="L425" s="38">
        <v>0</v>
      </c>
      <c r="M425" s="64" t="str">
        <f t="shared" si="238"/>
        <v/>
      </c>
      <c r="O425" s="63" t="str">
        <f t="shared" si="239"/>
        <v/>
      </c>
      <c r="P425" s="63" t="str">
        <f t="shared" si="240"/>
        <v/>
      </c>
      <c r="R425" s="63" t="str">
        <f t="shared" si="241"/>
        <v/>
      </c>
      <c r="S425" s="64" t="str">
        <f t="shared" si="242"/>
        <v/>
      </c>
      <c r="T425" s="63" t="str">
        <f t="shared" si="243"/>
        <v/>
      </c>
      <c r="U425" s="64" t="str">
        <f t="shared" si="244"/>
        <v/>
      </c>
      <c r="V425" s="207" t="str">
        <f>IF($A426="","",IF(AND(MONTH(A425)&gt;3,MONTH(A425)&lt;11),(T425+R425+G425)*(((1/(1-Summary!$T$14))/(1-Summary!$W$14))-1),(T425+R425+G425)*((1/(1-Summary!$U$14))/(1-Summary!$X$14)-1)))</f>
        <v/>
      </c>
      <c r="W425" s="43" t="str">
        <f t="shared" si="245"/>
        <v/>
      </c>
      <c r="X425" s="43" t="str">
        <f t="shared" si="246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7"/>
        <v/>
      </c>
      <c r="AP425" s="33" t="str">
        <f t="shared" si="248"/>
        <v/>
      </c>
      <c r="AQ425" s="58" t="str">
        <f t="shared" si="249"/>
        <v/>
      </c>
      <c r="AR425" s="38">
        <f>'ANR OK vs ML7'!AR425</f>
        <v>0.1</v>
      </c>
      <c r="AS425" s="35" t="str">
        <f t="shared" si="250"/>
        <v/>
      </c>
      <c r="AT425" s="3" t="str">
        <f t="shared" si="251"/>
        <v/>
      </c>
      <c r="AU425" s="3" t="str">
        <f t="shared" si="252"/>
        <v/>
      </c>
      <c r="AW425" s="32" t="str">
        <f t="shared" si="253"/>
        <v/>
      </c>
      <c r="AX425" s="32" t="str">
        <f t="shared" si="254"/>
        <v/>
      </c>
      <c r="AY425" s="32" t="str">
        <f t="shared" si="255"/>
        <v/>
      </c>
      <c r="BA425" s="32" t="str">
        <f>IF($A426="","",F425*Summary!$Q$14)</f>
        <v/>
      </c>
    </row>
    <row r="426" spans="1:53">
      <c r="A426" s="67" t="str">
        <f t="shared" si="256"/>
        <v/>
      </c>
      <c r="B426" s="69" t="str">
        <f t="shared" si="257"/>
        <v/>
      </c>
      <c r="D426" s="69" t="str">
        <f t="shared" si="231"/>
        <v/>
      </c>
      <c r="E426" s="70" t="str">
        <f t="shared" si="232"/>
        <v/>
      </c>
      <c r="F426" s="70" t="str">
        <f t="shared" si="233"/>
        <v/>
      </c>
      <c r="G426" s="63" t="str">
        <f t="shared" si="234"/>
        <v/>
      </c>
      <c r="H426" s="64" t="str">
        <f t="shared" si="235"/>
        <v/>
      </c>
      <c r="J426" s="63" t="str">
        <f t="shared" si="236"/>
        <v/>
      </c>
      <c r="K426" s="64" t="str">
        <f t="shared" si="237"/>
        <v/>
      </c>
      <c r="L426" s="38">
        <v>0</v>
      </c>
      <c r="M426" s="64" t="str">
        <f t="shared" si="238"/>
        <v/>
      </c>
      <c r="O426" s="63" t="str">
        <f t="shared" si="239"/>
        <v/>
      </c>
      <c r="P426" s="63" t="str">
        <f t="shared" si="240"/>
        <v/>
      </c>
      <c r="R426" s="63" t="str">
        <f t="shared" si="241"/>
        <v/>
      </c>
      <c r="S426" s="64" t="str">
        <f t="shared" si="242"/>
        <v/>
      </c>
      <c r="T426" s="63" t="str">
        <f t="shared" si="243"/>
        <v/>
      </c>
      <c r="U426" s="64" t="str">
        <f t="shared" si="244"/>
        <v/>
      </c>
      <c r="V426" s="207" t="str">
        <f>IF($A427="","",IF(AND(MONTH(A426)&gt;3,MONTH(A426)&lt;11),(T426+R426+G426)*(((1/(1-Summary!$T$14))/(1-Summary!$W$14))-1),(T426+R426+G426)*((1/(1-Summary!$U$14))/(1-Summary!$X$14)-1)))</f>
        <v/>
      </c>
      <c r="W426" s="43" t="str">
        <f t="shared" si="245"/>
        <v/>
      </c>
      <c r="X426" s="43" t="str">
        <f t="shared" si="246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7"/>
        <v/>
      </c>
      <c r="AP426" s="33" t="str">
        <f t="shared" si="248"/>
        <v/>
      </c>
      <c r="AQ426" s="58" t="str">
        <f t="shared" si="249"/>
        <v/>
      </c>
      <c r="AR426" s="38">
        <f>'ANR OK vs ML7'!AR426</f>
        <v>0.1</v>
      </c>
      <c r="AS426" s="35" t="str">
        <f t="shared" si="250"/>
        <v/>
      </c>
      <c r="AT426" s="3" t="str">
        <f t="shared" si="251"/>
        <v/>
      </c>
      <c r="AU426" s="3" t="str">
        <f t="shared" si="252"/>
        <v/>
      </c>
      <c r="AW426" s="32" t="str">
        <f t="shared" si="253"/>
        <v/>
      </c>
      <c r="AX426" s="32" t="str">
        <f t="shared" si="254"/>
        <v/>
      </c>
      <c r="AY426" s="32" t="str">
        <f t="shared" si="255"/>
        <v/>
      </c>
      <c r="BA426" s="32" t="str">
        <f>IF($A427="","",F426*Summary!$Q$14)</f>
        <v/>
      </c>
    </row>
    <row r="427" spans="1:53">
      <c r="A427" s="67" t="str">
        <f t="shared" si="256"/>
        <v/>
      </c>
      <c r="B427" s="69" t="str">
        <f t="shared" si="257"/>
        <v/>
      </c>
      <c r="D427" s="69" t="str">
        <f t="shared" si="231"/>
        <v/>
      </c>
      <c r="E427" s="70" t="str">
        <f t="shared" si="232"/>
        <v/>
      </c>
      <c r="F427" s="70" t="str">
        <f t="shared" si="233"/>
        <v/>
      </c>
      <c r="G427" s="63" t="str">
        <f t="shared" si="234"/>
        <v/>
      </c>
      <c r="H427" s="64" t="str">
        <f t="shared" si="235"/>
        <v/>
      </c>
      <c r="J427" s="63" t="str">
        <f t="shared" si="236"/>
        <v/>
      </c>
      <c r="K427" s="64" t="str">
        <f t="shared" si="237"/>
        <v/>
      </c>
      <c r="L427" s="38">
        <v>0</v>
      </c>
      <c r="M427" s="64" t="str">
        <f t="shared" si="238"/>
        <v/>
      </c>
      <c r="O427" s="63" t="str">
        <f t="shared" si="239"/>
        <v/>
      </c>
      <c r="P427" s="63" t="str">
        <f t="shared" si="240"/>
        <v/>
      </c>
      <c r="R427" s="63" t="str">
        <f t="shared" si="241"/>
        <v/>
      </c>
      <c r="S427" s="64" t="str">
        <f t="shared" si="242"/>
        <v/>
      </c>
      <c r="T427" s="63" t="str">
        <f t="shared" si="243"/>
        <v/>
      </c>
      <c r="U427" s="64" t="str">
        <f t="shared" si="244"/>
        <v/>
      </c>
      <c r="V427" s="207" t="str">
        <f>IF($A428="","",IF(AND(MONTH(A427)&gt;3,MONTH(A427)&lt;11),(T427+R427+G427)*(((1/(1-Summary!$T$14))/(1-Summary!$W$14))-1),(T427+R427+G427)*((1/(1-Summary!$U$14))/(1-Summary!$X$14)-1)))</f>
        <v/>
      </c>
      <c r="W427" s="43" t="str">
        <f t="shared" si="245"/>
        <v/>
      </c>
      <c r="X427" s="43" t="str">
        <f t="shared" si="246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7"/>
        <v/>
      </c>
      <c r="AP427" s="33" t="str">
        <f t="shared" si="248"/>
        <v/>
      </c>
      <c r="AQ427" s="58" t="str">
        <f t="shared" si="249"/>
        <v/>
      </c>
      <c r="AR427" s="38">
        <f>'ANR OK vs ML7'!AR427</f>
        <v>0.1</v>
      </c>
      <c r="AS427" s="35" t="str">
        <f t="shared" si="250"/>
        <v/>
      </c>
      <c r="AT427" s="3" t="str">
        <f t="shared" si="251"/>
        <v/>
      </c>
      <c r="AU427" s="3" t="str">
        <f t="shared" si="252"/>
        <v/>
      </c>
      <c r="AW427" s="32" t="str">
        <f t="shared" si="253"/>
        <v/>
      </c>
      <c r="AX427" s="32" t="str">
        <f t="shared" si="254"/>
        <v/>
      </c>
      <c r="AY427" s="32" t="str">
        <f t="shared" si="255"/>
        <v/>
      </c>
      <c r="BA427" s="32" t="str">
        <f>IF($A428="","",F427*Summary!$Q$14)</f>
        <v/>
      </c>
    </row>
    <row r="428" spans="1:53">
      <c r="A428" s="67" t="str">
        <f t="shared" si="256"/>
        <v/>
      </c>
      <c r="B428" s="69" t="str">
        <f t="shared" si="257"/>
        <v/>
      </c>
      <c r="D428" s="69" t="str">
        <f t="shared" si="231"/>
        <v/>
      </c>
      <c r="E428" s="70" t="str">
        <f t="shared" si="232"/>
        <v/>
      </c>
      <c r="F428" s="70" t="str">
        <f t="shared" si="233"/>
        <v/>
      </c>
      <c r="G428" s="63" t="str">
        <f t="shared" si="234"/>
        <v/>
      </c>
      <c r="H428" s="64" t="str">
        <f t="shared" si="235"/>
        <v/>
      </c>
      <c r="J428" s="63" t="str">
        <f t="shared" si="236"/>
        <v/>
      </c>
      <c r="K428" s="64" t="str">
        <f t="shared" si="237"/>
        <v/>
      </c>
      <c r="L428" s="38">
        <v>0</v>
      </c>
      <c r="M428" s="64" t="str">
        <f t="shared" si="238"/>
        <v/>
      </c>
      <c r="O428" s="63" t="str">
        <f t="shared" si="239"/>
        <v/>
      </c>
      <c r="P428" s="63" t="str">
        <f t="shared" si="240"/>
        <v/>
      </c>
      <c r="R428" s="63" t="str">
        <f t="shared" si="241"/>
        <v/>
      </c>
      <c r="S428" s="64" t="str">
        <f t="shared" si="242"/>
        <v/>
      </c>
      <c r="T428" s="63" t="str">
        <f t="shared" si="243"/>
        <v/>
      </c>
      <c r="U428" s="64" t="str">
        <f t="shared" si="244"/>
        <v/>
      </c>
      <c r="V428" s="207" t="str">
        <f>IF($A429="","",IF(AND(MONTH(A428)&gt;3,MONTH(A428)&lt;11),(T428+R428+G428)*(((1/(1-Summary!$T$14))/(1-Summary!$W$14))-1),(T428+R428+G428)*((1/(1-Summary!$U$14))/(1-Summary!$X$14)-1)))</f>
        <v/>
      </c>
      <c r="W428" s="43" t="str">
        <f t="shared" si="245"/>
        <v/>
      </c>
      <c r="X428" s="43" t="str">
        <f t="shared" si="246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7"/>
        <v/>
      </c>
      <c r="AP428" s="33" t="str">
        <f t="shared" si="248"/>
        <v/>
      </c>
      <c r="AQ428" s="58" t="str">
        <f t="shared" si="249"/>
        <v/>
      </c>
      <c r="AR428" s="38">
        <f>'ANR OK vs ML7'!AR428</f>
        <v>0.1</v>
      </c>
      <c r="AS428" s="35" t="str">
        <f t="shared" si="250"/>
        <v/>
      </c>
      <c r="AT428" s="3" t="str">
        <f t="shared" si="251"/>
        <v/>
      </c>
      <c r="AU428" s="3" t="str">
        <f t="shared" si="252"/>
        <v/>
      </c>
      <c r="AW428" s="32" t="str">
        <f t="shared" si="253"/>
        <v/>
      </c>
      <c r="AX428" s="32" t="str">
        <f t="shared" si="254"/>
        <v/>
      </c>
      <c r="AY428" s="32" t="str">
        <f t="shared" si="255"/>
        <v/>
      </c>
      <c r="BA428" s="32" t="str">
        <f>IF($A429="","",F428*Summary!$Q$14)</f>
        <v/>
      </c>
    </row>
    <row r="429" spans="1:53">
      <c r="A429" s="67" t="str">
        <f t="shared" si="256"/>
        <v/>
      </c>
      <c r="B429" s="69" t="str">
        <f t="shared" si="257"/>
        <v/>
      </c>
      <c r="D429" s="69" t="str">
        <f t="shared" si="231"/>
        <v/>
      </c>
      <c r="E429" s="70" t="str">
        <f t="shared" si="232"/>
        <v/>
      </c>
      <c r="F429" s="70" t="str">
        <f t="shared" si="233"/>
        <v/>
      </c>
      <c r="G429" s="63" t="str">
        <f t="shared" si="234"/>
        <v/>
      </c>
      <c r="H429" s="64" t="str">
        <f t="shared" si="235"/>
        <v/>
      </c>
      <c r="J429" s="63" t="str">
        <f t="shared" si="236"/>
        <v/>
      </c>
      <c r="K429" s="64" t="str">
        <f t="shared" si="237"/>
        <v/>
      </c>
      <c r="L429" s="38">
        <v>0</v>
      </c>
      <c r="M429" s="64" t="str">
        <f t="shared" si="238"/>
        <v/>
      </c>
      <c r="O429" s="63" t="str">
        <f t="shared" si="239"/>
        <v/>
      </c>
      <c r="P429" s="63" t="str">
        <f t="shared" si="240"/>
        <v/>
      </c>
      <c r="R429" s="63" t="str">
        <f t="shared" si="241"/>
        <v/>
      </c>
      <c r="S429" s="64" t="str">
        <f t="shared" si="242"/>
        <v/>
      </c>
      <c r="T429" s="63" t="str">
        <f t="shared" si="243"/>
        <v/>
      </c>
      <c r="U429" s="64" t="str">
        <f t="shared" si="244"/>
        <v/>
      </c>
      <c r="V429" s="207" t="str">
        <f>IF($A430="","",IF(AND(MONTH(A429)&gt;3,MONTH(A429)&lt;11),(T429+R429+G429)*(((1/(1-Summary!$T$14))/(1-Summary!$W$14))-1),(T429+R429+G429)*((1/(1-Summary!$U$14))/(1-Summary!$X$14)-1)))</f>
        <v/>
      </c>
      <c r="W429" s="43" t="str">
        <f t="shared" si="245"/>
        <v/>
      </c>
      <c r="X429" s="43" t="str">
        <f t="shared" si="246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7"/>
        <v/>
      </c>
      <c r="AP429" s="33" t="str">
        <f t="shared" si="248"/>
        <v/>
      </c>
      <c r="AQ429" s="58" t="str">
        <f t="shared" si="249"/>
        <v/>
      </c>
      <c r="AR429" s="38">
        <f>'ANR OK vs ML7'!AR429</f>
        <v>0.1</v>
      </c>
      <c r="AS429" s="35" t="str">
        <f t="shared" si="250"/>
        <v/>
      </c>
      <c r="AT429" s="3" t="str">
        <f t="shared" si="251"/>
        <v/>
      </c>
      <c r="AU429" s="3" t="str">
        <f t="shared" si="252"/>
        <v/>
      </c>
      <c r="AW429" s="32" t="str">
        <f t="shared" si="253"/>
        <v/>
      </c>
      <c r="AX429" s="32" t="str">
        <f t="shared" si="254"/>
        <v/>
      </c>
      <c r="AY429" s="32" t="str">
        <f t="shared" si="255"/>
        <v/>
      </c>
      <c r="BA429" s="32" t="str">
        <f>IF($A430="","",F429*Summary!$Q$14)</f>
        <v/>
      </c>
    </row>
    <row r="430" spans="1:53">
      <c r="A430" s="67" t="str">
        <f t="shared" si="256"/>
        <v/>
      </c>
      <c r="B430" s="69" t="str">
        <f t="shared" si="257"/>
        <v/>
      </c>
      <c r="D430" s="69" t="str">
        <f t="shared" si="231"/>
        <v/>
      </c>
      <c r="E430" s="70" t="str">
        <f t="shared" si="232"/>
        <v/>
      </c>
      <c r="F430" s="70" t="str">
        <f t="shared" si="233"/>
        <v/>
      </c>
      <c r="G430" s="63" t="str">
        <f t="shared" si="234"/>
        <v/>
      </c>
      <c r="H430" s="64" t="str">
        <f t="shared" si="235"/>
        <v/>
      </c>
      <c r="J430" s="63" t="str">
        <f t="shared" si="236"/>
        <v/>
      </c>
      <c r="K430" s="64" t="str">
        <f t="shared" si="237"/>
        <v/>
      </c>
      <c r="L430" s="38">
        <v>0</v>
      </c>
      <c r="M430" s="64" t="str">
        <f t="shared" si="238"/>
        <v/>
      </c>
      <c r="O430" s="63" t="str">
        <f t="shared" si="239"/>
        <v/>
      </c>
      <c r="P430" s="63" t="str">
        <f t="shared" si="240"/>
        <v/>
      </c>
      <c r="R430" s="63" t="str">
        <f t="shared" si="241"/>
        <v/>
      </c>
      <c r="S430" s="64" t="str">
        <f t="shared" si="242"/>
        <v/>
      </c>
      <c r="T430" s="63" t="str">
        <f t="shared" si="243"/>
        <v/>
      </c>
      <c r="U430" s="64" t="str">
        <f t="shared" si="244"/>
        <v/>
      </c>
      <c r="V430" s="207" t="str">
        <f>IF($A431="","",IF(AND(MONTH(A430)&gt;3,MONTH(A430)&lt;11),(T430+R430+G430)*(((1/(1-Summary!$T$14))/(1-Summary!$W$14))-1),(T430+R430+G430)*((1/(1-Summary!$U$14))/(1-Summary!$X$14)-1)))</f>
        <v/>
      </c>
      <c r="W430" s="43" t="str">
        <f t="shared" si="245"/>
        <v/>
      </c>
      <c r="X430" s="43" t="str">
        <f t="shared" si="246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7"/>
        <v/>
      </c>
      <c r="AP430" s="33" t="str">
        <f t="shared" si="248"/>
        <v/>
      </c>
      <c r="AQ430" s="58" t="str">
        <f t="shared" si="249"/>
        <v/>
      </c>
      <c r="AR430" s="38">
        <f>'ANR OK vs ML7'!AR430</f>
        <v>0.1</v>
      </c>
      <c r="AS430" s="35" t="str">
        <f t="shared" si="250"/>
        <v/>
      </c>
      <c r="AT430" s="3" t="str">
        <f t="shared" si="251"/>
        <v/>
      </c>
      <c r="AU430" s="3" t="str">
        <f t="shared" si="252"/>
        <v/>
      </c>
      <c r="AW430" s="32" t="str">
        <f t="shared" si="253"/>
        <v/>
      </c>
      <c r="AX430" s="32" t="str">
        <f t="shared" si="254"/>
        <v/>
      </c>
      <c r="AY430" s="32" t="str">
        <f t="shared" si="255"/>
        <v/>
      </c>
      <c r="BA430" s="32" t="str">
        <f>IF($A431="","",F430*Summary!$Q$14)</f>
        <v/>
      </c>
    </row>
    <row r="431" spans="1:53">
      <c r="A431" s="67" t="str">
        <f t="shared" si="256"/>
        <v/>
      </c>
      <c r="B431" s="69" t="str">
        <f t="shared" si="257"/>
        <v/>
      </c>
      <c r="D431" s="69" t="str">
        <f t="shared" si="231"/>
        <v/>
      </c>
      <c r="E431" s="70" t="str">
        <f t="shared" si="232"/>
        <v/>
      </c>
      <c r="F431" s="70" t="str">
        <f t="shared" si="233"/>
        <v/>
      </c>
      <c r="G431" s="63" t="str">
        <f t="shared" si="234"/>
        <v/>
      </c>
      <c r="H431" s="64" t="str">
        <f t="shared" si="235"/>
        <v/>
      </c>
      <c r="J431" s="63" t="str">
        <f t="shared" si="236"/>
        <v/>
      </c>
      <c r="K431" s="64" t="str">
        <f t="shared" si="237"/>
        <v/>
      </c>
      <c r="L431" s="38">
        <v>0</v>
      </c>
      <c r="M431" s="64" t="str">
        <f t="shared" si="238"/>
        <v/>
      </c>
      <c r="O431" s="63" t="str">
        <f t="shared" si="239"/>
        <v/>
      </c>
      <c r="P431" s="63" t="str">
        <f t="shared" si="240"/>
        <v/>
      </c>
      <c r="R431" s="63" t="str">
        <f t="shared" si="241"/>
        <v/>
      </c>
      <c r="S431" s="64" t="str">
        <f t="shared" si="242"/>
        <v/>
      </c>
      <c r="T431" s="63" t="str">
        <f t="shared" si="243"/>
        <v/>
      </c>
      <c r="U431" s="64" t="str">
        <f t="shared" si="244"/>
        <v/>
      </c>
      <c r="V431" s="207" t="str">
        <f>IF($A432="","",IF(AND(MONTH(A431)&gt;3,MONTH(A431)&lt;11),(T431+R431+G431)*(((1/(1-Summary!$T$14))/(1-Summary!$W$14))-1),(T431+R431+G431)*((1/(1-Summary!$U$14))/(1-Summary!$X$14)-1)))</f>
        <v/>
      </c>
      <c r="W431" s="43" t="str">
        <f t="shared" si="245"/>
        <v/>
      </c>
      <c r="X431" s="43" t="str">
        <f t="shared" si="246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7"/>
        <v/>
      </c>
      <c r="AP431" s="33" t="str">
        <f t="shared" si="248"/>
        <v/>
      </c>
      <c r="AQ431" s="58" t="str">
        <f t="shared" si="249"/>
        <v/>
      </c>
      <c r="AR431" s="38">
        <f>'ANR OK vs ML7'!AR431</f>
        <v>0.1</v>
      </c>
      <c r="AS431" s="35" t="str">
        <f t="shared" si="250"/>
        <v/>
      </c>
      <c r="AT431" s="3" t="str">
        <f t="shared" si="251"/>
        <v/>
      </c>
      <c r="AU431" s="3" t="str">
        <f t="shared" si="252"/>
        <v/>
      </c>
      <c r="AW431" s="32" t="str">
        <f t="shared" si="253"/>
        <v/>
      </c>
      <c r="AX431" s="32" t="str">
        <f t="shared" si="254"/>
        <v/>
      </c>
      <c r="AY431" s="32" t="str">
        <f t="shared" si="255"/>
        <v/>
      </c>
      <c r="BA431" s="32" t="str">
        <f>IF($A432="","",F431*Summary!$Q$14)</f>
        <v/>
      </c>
    </row>
    <row r="432" spans="1:53">
      <c r="A432" s="67" t="str">
        <f t="shared" si="256"/>
        <v/>
      </c>
      <c r="B432" s="69" t="str">
        <f t="shared" si="257"/>
        <v/>
      </c>
      <c r="D432" s="69" t="str">
        <f t="shared" si="231"/>
        <v/>
      </c>
      <c r="E432" s="70" t="str">
        <f t="shared" si="232"/>
        <v/>
      </c>
      <c r="F432" s="70" t="str">
        <f t="shared" si="233"/>
        <v/>
      </c>
      <c r="G432" s="63" t="str">
        <f t="shared" si="234"/>
        <v/>
      </c>
      <c r="H432" s="64" t="str">
        <f t="shared" si="235"/>
        <v/>
      </c>
      <c r="J432" s="63" t="str">
        <f t="shared" si="236"/>
        <v/>
      </c>
      <c r="K432" s="64" t="str">
        <f t="shared" si="237"/>
        <v/>
      </c>
      <c r="L432" s="38">
        <v>0</v>
      </c>
      <c r="M432" s="64" t="str">
        <f t="shared" si="238"/>
        <v/>
      </c>
      <c r="O432" s="63" t="str">
        <f t="shared" si="239"/>
        <v/>
      </c>
      <c r="P432" s="63" t="str">
        <f t="shared" si="240"/>
        <v/>
      </c>
      <c r="R432" s="63" t="str">
        <f t="shared" si="241"/>
        <v/>
      </c>
      <c r="S432" s="64" t="str">
        <f t="shared" si="242"/>
        <v/>
      </c>
      <c r="T432" s="63" t="str">
        <f t="shared" si="243"/>
        <v/>
      </c>
      <c r="U432" s="64" t="str">
        <f t="shared" si="244"/>
        <v/>
      </c>
      <c r="V432" s="207" t="str">
        <f>IF($A433="","",IF(AND(MONTH(A432)&gt;3,MONTH(A432)&lt;11),(T432+R432+G432)*(((1/(1-Summary!$T$14))/(1-Summary!$W$14))-1),(T432+R432+G432)*((1/(1-Summary!$U$14))/(1-Summary!$X$14)-1)))</f>
        <v/>
      </c>
      <c r="W432" s="43" t="str">
        <f t="shared" si="245"/>
        <v/>
      </c>
      <c r="X432" s="43" t="str">
        <f t="shared" si="246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7"/>
        <v/>
      </c>
      <c r="AP432" s="33" t="str">
        <f t="shared" si="248"/>
        <v/>
      </c>
      <c r="AQ432" s="58" t="str">
        <f t="shared" si="249"/>
        <v/>
      </c>
      <c r="AR432" s="38">
        <f>'ANR OK vs ML7'!AR432</f>
        <v>0.1</v>
      </c>
      <c r="AS432" s="35" t="str">
        <f t="shared" si="250"/>
        <v/>
      </c>
      <c r="AT432" s="3" t="str">
        <f t="shared" si="251"/>
        <v/>
      </c>
      <c r="AU432" s="3" t="str">
        <f t="shared" si="252"/>
        <v/>
      </c>
      <c r="AW432" s="32" t="str">
        <f t="shared" si="253"/>
        <v/>
      </c>
      <c r="AX432" s="32" t="str">
        <f t="shared" si="254"/>
        <v/>
      </c>
      <c r="AY432" s="32" t="str">
        <f t="shared" si="255"/>
        <v/>
      </c>
      <c r="BA432" s="32" t="str">
        <f>IF($A433="","",F432*Summary!$Q$14)</f>
        <v/>
      </c>
    </row>
    <row r="433" spans="1:53">
      <c r="A433" s="67" t="str">
        <f t="shared" si="256"/>
        <v/>
      </c>
      <c r="B433" s="69" t="str">
        <f t="shared" si="257"/>
        <v/>
      </c>
      <c r="D433" s="69" t="str">
        <f t="shared" si="231"/>
        <v/>
      </c>
      <c r="E433" s="70" t="str">
        <f t="shared" si="232"/>
        <v/>
      </c>
      <c r="F433" s="70" t="str">
        <f t="shared" si="233"/>
        <v/>
      </c>
      <c r="G433" s="63" t="str">
        <f t="shared" si="234"/>
        <v/>
      </c>
      <c r="H433" s="64" t="str">
        <f t="shared" si="235"/>
        <v/>
      </c>
      <c r="J433" s="63" t="str">
        <f t="shared" si="236"/>
        <v/>
      </c>
      <c r="K433" s="64" t="str">
        <f t="shared" si="237"/>
        <v/>
      </c>
      <c r="L433" s="38">
        <v>0</v>
      </c>
      <c r="M433" s="64" t="str">
        <f t="shared" si="238"/>
        <v/>
      </c>
      <c r="O433" s="63" t="str">
        <f t="shared" si="239"/>
        <v/>
      </c>
      <c r="P433" s="63" t="str">
        <f t="shared" si="240"/>
        <v/>
      </c>
      <c r="R433" s="63" t="str">
        <f t="shared" si="241"/>
        <v/>
      </c>
      <c r="S433" s="64" t="str">
        <f t="shared" si="242"/>
        <v/>
      </c>
      <c r="T433" s="63" t="str">
        <f t="shared" si="243"/>
        <v/>
      </c>
      <c r="U433" s="64" t="str">
        <f t="shared" si="244"/>
        <v/>
      </c>
      <c r="V433" s="207" t="str">
        <f>IF($A434="","",IF(AND(MONTH(A433)&gt;3,MONTH(A433)&lt;11),(T433+R433+G433)*(((1/(1-Summary!$T$14))/(1-Summary!$W$14))-1),(T433+R433+G433)*((1/(1-Summary!$U$14))/(1-Summary!$X$14)-1)))</f>
        <v/>
      </c>
      <c r="W433" s="43" t="str">
        <f t="shared" si="245"/>
        <v/>
      </c>
      <c r="X433" s="43" t="str">
        <f t="shared" si="246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7"/>
        <v/>
      </c>
      <c r="AP433" s="33" t="str">
        <f t="shared" si="248"/>
        <v/>
      </c>
      <c r="AQ433" s="58" t="str">
        <f t="shared" si="249"/>
        <v/>
      </c>
      <c r="AR433" s="38">
        <f>'ANR OK vs ML7'!AR433</f>
        <v>0.1</v>
      </c>
      <c r="AS433" s="35" t="str">
        <f t="shared" si="250"/>
        <v/>
      </c>
      <c r="AT433" s="3" t="str">
        <f t="shared" si="251"/>
        <v/>
      </c>
      <c r="AU433" s="3" t="str">
        <f t="shared" si="252"/>
        <v/>
      </c>
      <c r="AW433" s="32" t="str">
        <f t="shared" si="253"/>
        <v/>
      </c>
      <c r="AX433" s="32" t="str">
        <f t="shared" si="254"/>
        <v/>
      </c>
      <c r="AY433" s="32" t="str">
        <f t="shared" si="255"/>
        <v/>
      </c>
      <c r="BA433" s="32" t="str">
        <f>IF($A434="","",F433*Summary!$Q$14)</f>
        <v/>
      </c>
    </row>
    <row r="434" spans="1:53">
      <c r="A434" s="67" t="str">
        <f t="shared" si="256"/>
        <v/>
      </c>
      <c r="B434" s="69" t="str">
        <f t="shared" si="257"/>
        <v/>
      </c>
      <c r="D434" s="69" t="str">
        <f t="shared" si="231"/>
        <v/>
      </c>
      <c r="E434" s="70" t="str">
        <f t="shared" si="232"/>
        <v/>
      </c>
      <c r="F434" s="70" t="str">
        <f t="shared" si="233"/>
        <v/>
      </c>
      <c r="G434" s="63" t="str">
        <f t="shared" si="234"/>
        <v/>
      </c>
      <c r="H434" s="64" t="str">
        <f t="shared" si="235"/>
        <v/>
      </c>
      <c r="J434" s="63" t="str">
        <f t="shared" si="236"/>
        <v/>
      </c>
      <c r="K434" s="64" t="str">
        <f t="shared" si="237"/>
        <v/>
      </c>
      <c r="L434" s="38">
        <v>0</v>
      </c>
      <c r="M434" s="64" t="str">
        <f t="shared" si="238"/>
        <v/>
      </c>
      <c r="O434" s="63" t="str">
        <f t="shared" si="239"/>
        <v/>
      </c>
      <c r="P434" s="63" t="str">
        <f t="shared" si="240"/>
        <v/>
      </c>
      <c r="R434" s="63" t="str">
        <f t="shared" si="241"/>
        <v/>
      </c>
      <c r="S434" s="64" t="str">
        <f t="shared" si="242"/>
        <v/>
      </c>
      <c r="T434" s="63" t="str">
        <f t="shared" si="243"/>
        <v/>
      </c>
      <c r="U434" s="64" t="str">
        <f t="shared" si="244"/>
        <v/>
      </c>
      <c r="V434" s="207" t="str">
        <f>IF($A435="","",IF(AND(MONTH(A434)&gt;3,MONTH(A434)&lt;11),(T434+R434+G434)*(((1/(1-Summary!$T$14))/(1-Summary!$W$14))-1),(T434+R434+G434)*((1/(1-Summary!$U$14))/(1-Summary!$X$14)-1)))</f>
        <v/>
      </c>
      <c r="W434" s="43" t="str">
        <f t="shared" si="245"/>
        <v/>
      </c>
      <c r="X434" s="43" t="str">
        <f t="shared" si="246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7"/>
        <v/>
      </c>
      <c r="AP434" s="33" t="str">
        <f t="shared" si="248"/>
        <v/>
      </c>
      <c r="AQ434" s="58" t="str">
        <f t="shared" si="249"/>
        <v/>
      </c>
      <c r="AR434" s="38">
        <f>'ANR OK vs ML7'!AR434</f>
        <v>0.1</v>
      </c>
      <c r="AS434" s="35" t="str">
        <f t="shared" si="250"/>
        <v/>
      </c>
      <c r="AT434" s="3" t="str">
        <f t="shared" si="251"/>
        <v/>
      </c>
      <c r="AU434" s="3" t="str">
        <f t="shared" si="252"/>
        <v/>
      </c>
      <c r="AW434" s="32" t="str">
        <f t="shared" si="253"/>
        <v/>
      </c>
      <c r="AX434" s="32" t="str">
        <f t="shared" si="254"/>
        <v/>
      </c>
      <c r="AY434" s="32" t="str">
        <f t="shared" si="255"/>
        <v/>
      </c>
      <c r="BA434" s="32" t="str">
        <f>IF($A435="","",F434*Summary!$Q$14)</f>
        <v/>
      </c>
    </row>
    <row r="435" spans="1:53">
      <c r="A435" s="67" t="str">
        <f t="shared" si="256"/>
        <v/>
      </c>
      <c r="B435" s="69" t="str">
        <f t="shared" si="257"/>
        <v/>
      </c>
      <c r="D435" s="69" t="str">
        <f t="shared" si="231"/>
        <v/>
      </c>
      <c r="E435" s="70" t="str">
        <f t="shared" si="232"/>
        <v/>
      </c>
      <c r="F435" s="70" t="str">
        <f t="shared" si="233"/>
        <v/>
      </c>
      <c r="G435" s="63" t="str">
        <f t="shared" si="234"/>
        <v/>
      </c>
      <c r="H435" s="64" t="str">
        <f t="shared" si="235"/>
        <v/>
      </c>
      <c r="J435" s="63" t="str">
        <f t="shared" si="236"/>
        <v/>
      </c>
      <c r="K435" s="64" t="str">
        <f t="shared" si="237"/>
        <v/>
      </c>
      <c r="L435" s="38">
        <v>0</v>
      </c>
      <c r="M435" s="64" t="str">
        <f t="shared" si="238"/>
        <v/>
      </c>
      <c r="O435" s="63" t="str">
        <f t="shared" si="239"/>
        <v/>
      </c>
      <c r="P435" s="63" t="str">
        <f t="shared" si="240"/>
        <v/>
      </c>
      <c r="R435" s="63" t="str">
        <f t="shared" si="241"/>
        <v/>
      </c>
      <c r="S435" s="64" t="str">
        <f t="shared" si="242"/>
        <v/>
      </c>
      <c r="T435" s="63" t="str">
        <f t="shared" si="243"/>
        <v/>
      </c>
      <c r="U435" s="64" t="str">
        <f t="shared" si="244"/>
        <v/>
      </c>
      <c r="V435" s="207" t="str">
        <f>IF($A436="","",IF(AND(MONTH(A435)&gt;3,MONTH(A435)&lt;11),(T435+R435+G435)*(((1/(1-Summary!$T$14))/(1-Summary!$W$14))-1),(T435+R435+G435)*((1/(1-Summary!$U$14))/(1-Summary!$X$14)-1)))</f>
        <v/>
      </c>
      <c r="W435" s="43" t="str">
        <f t="shared" si="245"/>
        <v/>
      </c>
      <c r="X435" s="43" t="str">
        <f t="shared" si="246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7"/>
        <v/>
      </c>
      <c r="AP435" s="33" t="str">
        <f t="shared" si="248"/>
        <v/>
      </c>
      <c r="AQ435" s="58" t="str">
        <f t="shared" si="249"/>
        <v/>
      </c>
      <c r="AR435" s="38">
        <f>'ANR OK vs ML7'!AR435</f>
        <v>0.1</v>
      </c>
      <c r="AS435" s="35" t="str">
        <f t="shared" si="250"/>
        <v/>
      </c>
      <c r="AT435" s="3" t="str">
        <f t="shared" si="251"/>
        <v/>
      </c>
      <c r="AU435" s="3" t="str">
        <f t="shared" si="252"/>
        <v/>
      </c>
      <c r="AW435" s="32" t="str">
        <f t="shared" si="253"/>
        <v/>
      </c>
      <c r="AX435" s="32" t="str">
        <f t="shared" si="254"/>
        <v/>
      </c>
      <c r="AY435" s="32" t="str">
        <f t="shared" si="255"/>
        <v/>
      </c>
      <c r="BA435" s="32" t="str">
        <f>IF($A436="","",F435*Summary!$Q$14)</f>
        <v/>
      </c>
    </row>
    <row r="436" spans="1:53">
      <c r="A436" s="67" t="str">
        <f t="shared" si="256"/>
        <v/>
      </c>
      <c r="B436" s="69" t="str">
        <f t="shared" si="257"/>
        <v/>
      </c>
      <c r="D436" s="69" t="str">
        <f t="shared" si="231"/>
        <v/>
      </c>
      <c r="E436" s="70" t="str">
        <f t="shared" si="232"/>
        <v/>
      </c>
      <c r="F436" s="70" t="str">
        <f t="shared" si="233"/>
        <v/>
      </c>
      <c r="G436" s="63" t="str">
        <f t="shared" si="234"/>
        <v/>
      </c>
      <c r="H436" s="64" t="str">
        <f t="shared" si="235"/>
        <v/>
      </c>
      <c r="J436" s="63" t="str">
        <f t="shared" si="236"/>
        <v/>
      </c>
      <c r="K436" s="64" t="str">
        <f t="shared" si="237"/>
        <v/>
      </c>
      <c r="L436" s="38">
        <v>0</v>
      </c>
      <c r="M436" s="64" t="str">
        <f t="shared" si="238"/>
        <v/>
      </c>
      <c r="O436" s="63" t="str">
        <f t="shared" si="239"/>
        <v/>
      </c>
      <c r="P436" s="63" t="str">
        <f t="shared" si="240"/>
        <v/>
      </c>
      <c r="R436" s="63" t="str">
        <f t="shared" si="241"/>
        <v/>
      </c>
      <c r="S436" s="64" t="str">
        <f t="shared" si="242"/>
        <v/>
      </c>
      <c r="T436" s="63" t="str">
        <f t="shared" si="243"/>
        <v/>
      </c>
      <c r="U436" s="64" t="str">
        <f t="shared" si="244"/>
        <v/>
      </c>
      <c r="V436" s="207" t="str">
        <f>IF($A437="","",IF(AND(MONTH(A436)&gt;3,MONTH(A436)&lt;11),(T436+R436+G436)*(((1/(1-Summary!$T$14))/(1-Summary!$W$14))-1),(T436+R436+G436)*((1/(1-Summary!$U$14))/(1-Summary!$X$14)-1)))</f>
        <v/>
      </c>
      <c r="W436" s="43" t="str">
        <f t="shared" si="245"/>
        <v/>
      </c>
      <c r="X436" s="43" t="str">
        <f t="shared" si="246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7"/>
        <v/>
      </c>
      <c r="AP436" s="33" t="str">
        <f t="shared" si="248"/>
        <v/>
      </c>
      <c r="AQ436" s="58" t="str">
        <f t="shared" si="249"/>
        <v/>
      </c>
      <c r="AR436" s="38">
        <f>'ANR OK vs ML7'!AR436</f>
        <v>0.1</v>
      </c>
      <c r="AS436" s="35" t="str">
        <f t="shared" si="250"/>
        <v/>
      </c>
      <c r="AT436" s="3" t="str">
        <f t="shared" si="251"/>
        <v/>
      </c>
      <c r="AU436" s="3" t="str">
        <f t="shared" si="252"/>
        <v/>
      </c>
      <c r="AW436" s="32" t="str">
        <f t="shared" si="253"/>
        <v/>
      </c>
      <c r="AX436" s="32" t="str">
        <f t="shared" si="254"/>
        <v/>
      </c>
      <c r="AY436" s="32" t="str">
        <f t="shared" si="255"/>
        <v/>
      </c>
      <c r="BA436" s="32" t="str">
        <f>IF($A437="","",F436*Summary!$Q$14)</f>
        <v/>
      </c>
    </row>
    <row r="437" spans="1:53">
      <c r="A437" s="67" t="str">
        <f t="shared" si="256"/>
        <v/>
      </c>
      <c r="B437" s="69" t="str">
        <f t="shared" si="257"/>
        <v/>
      </c>
      <c r="D437" s="69" t="str">
        <f t="shared" si="231"/>
        <v/>
      </c>
      <c r="E437" s="70" t="str">
        <f t="shared" si="232"/>
        <v/>
      </c>
      <c r="F437" s="70" t="str">
        <f t="shared" si="233"/>
        <v/>
      </c>
      <c r="G437" s="63" t="str">
        <f t="shared" si="234"/>
        <v/>
      </c>
      <c r="H437" s="64" t="str">
        <f t="shared" si="235"/>
        <v/>
      </c>
      <c r="J437" s="63" t="str">
        <f t="shared" si="236"/>
        <v/>
      </c>
      <c r="K437" s="64" t="str">
        <f t="shared" si="237"/>
        <v/>
      </c>
      <c r="L437" s="38">
        <v>0</v>
      </c>
      <c r="M437" s="64" t="str">
        <f t="shared" si="238"/>
        <v/>
      </c>
      <c r="O437" s="63" t="str">
        <f t="shared" si="239"/>
        <v/>
      </c>
      <c r="P437" s="63" t="str">
        <f t="shared" si="240"/>
        <v/>
      </c>
      <c r="R437" s="63" t="str">
        <f t="shared" si="241"/>
        <v/>
      </c>
      <c r="S437" s="64" t="str">
        <f t="shared" si="242"/>
        <v/>
      </c>
      <c r="T437" s="63" t="str">
        <f t="shared" si="243"/>
        <v/>
      </c>
      <c r="U437" s="64" t="str">
        <f t="shared" si="244"/>
        <v/>
      </c>
      <c r="V437" s="207" t="str">
        <f>IF($A438="","",IF(AND(MONTH(A437)&gt;3,MONTH(A437)&lt;11),(T437+R437+G437)*(((1/(1-Summary!$T$14))/(1-Summary!$W$14))-1),(T437+R437+G437)*((1/(1-Summary!$U$14))/(1-Summary!$X$14)-1)))</f>
        <v/>
      </c>
      <c r="W437" s="43" t="str">
        <f t="shared" si="245"/>
        <v/>
      </c>
      <c r="X437" s="43" t="str">
        <f t="shared" si="246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7"/>
        <v/>
      </c>
      <c r="AP437" s="33" t="str">
        <f t="shared" si="248"/>
        <v/>
      </c>
      <c r="AQ437" s="58" t="str">
        <f t="shared" si="249"/>
        <v/>
      </c>
      <c r="AR437" s="38">
        <f>'ANR OK vs ML7'!AR437</f>
        <v>0.1</v>
      </c>
      <c r="AS437" s="35" t="str">
        <f t="shared" si="250"/>
        <v/>
      </c>
      <c r="AT437" s="3" t="str">
        <f t="shared" si="251"/>
        <v/>
      </c>
      <c r="AU437" s="3" t="str">
        <f t="shared" si="252"/>
        <v/>
      </c>
      <c r="AW437" s="32" t="str">
        <f t="shared" si="253"/>
        <v/>
      </c>
      <c r="AX437" s="32" t="str">
        <f t="shared" si="254"/>
        <v/>
      </c>
      <c r="AY437" s="32" t="str">
        <f t="shared" si="255"/>
        <v/>
      </c>
      <c r="BA437" s="32" t="str">
        <f>IF($A438="","",F437*Summary!$Q$14)</f>
        <v/>
      </c>
    </row>
    <row r="438" spans="1:53">
      <c r="A438" s="67" t="str">
        <f t="shared" si="256"/>
        <v/>
      </c>
      <c r="B438" s="69" t="str">
        <f t="shared" si="257"/>
        <v/>
      </c>
      <c r="D438" s="69" t="str">
        <f t="shared" si="231"/>
        <v/>
      </c>
      <c r="E438" s="70" t="str">
        <f t="shared" si="232"/>
        <v/>
      </c>
      <c r="F438" s="70" t="str">
        <f t="shared" si="233"/>
        <v/>
      </c>
      <c r="G438" s="63" t="str">
        <f t="shared" si="234"/>
        <v/>
      </c>
      <c r="H438" s="64" t="str">
        <f t="shared" si="235"/>
        <v/>
      </c>
      <c r="J438" s="63" t="str">
        <f t="shared" si="236"/>
        <v/>
      </c>
      <c r="K438" s="64" t="str">
        <f t="shared" si="237"/>
        <v/>
      </c>
      <c r="L438" s="38">
        <v>0</v>
      </c>
      <c r="M438" s="64" t="str">
        <f t="shared" si="238"/>
        <v/>
      </c>
      <c r="O438" s="63" t="str">
        <f t="shared" si="239"/>
        <v/>
      </c>
      <c r="P438" s="63" t="str">
        <f t="shared" si="240"/>
        <v/>
      </c>
      <c r="R438" s="63" t="str">
        <f t="shared" si="241"/>
        <v/>
      </c>
      <c r="S438" s="64" t="str">
        <f t="shared" si="242"/>
        <v/>
      </c>
      <c r="T438" s="63" t="str">
        <f t="shared" si="243"/>
        <v/>
      </c>
      <c r="U438" s="64" t="str">
        <f t="shared" si="244"/>
        <v/>
      </c>
      <c r="V438" s="207" t="str">
        <f>IF($A439="","",IF(AND(MONTH(A438)&gt;3,MONTH(A438)&lt;11),(T438+R438+G438)*(((1/(1-Summary!$T$14))/(1-Summary!$W$14))-1),(T438+R438+G438)*((1/(1-Summary!$U$14))/(1-Summary!$X$14)-1)))</f>
        <v/>
      </c>
      <c r="W438" s="43" t="str">
        <f t="shared" si="245"/>
        <v/>
      </c>
      <c r="X438" s="43" t="str">
        <f t="shared" si="246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7"/>
        <v/>
      </c>
      <c r="AP438" s="33" t="str">
        <f t="shared" si="248"/>
        <v/>
      </c>
      <c r="AQ438" s="58" t="str">
        <f t="shared" si="249"/>
        <v/>
      </c>
      <c r="AR438" s="38">
        <f>'ANR OK vs ML7'!AR438</f>
        <v>0.1</v>
      </c>
      <c r="AS438" s="35" t="str">
        <f t="shared" si="250"/>
        <v/>
      </c>
      <c r="AT438" s="3" t="str">
        <f t="shared" si="251"/>
        <v/>
      </c>
      <c r="AU438" s="3" t="str">
        <f t="shared" si="252"/>
        <v/>
      </c>
      <c r="AW438" s="32" t="str">
        <f t="shared" si="253"/>
        <v/>
      </c>
      <c r="AX438" s="32" t="str">
        <f t="shared" si="254"/>
        <v/>
      </c>
      <c r="AY438" s="32" t="str">
        <f t="shared" si="255"/>
        <v/>
      </c>
      <c r="BA438" s="32" t="str">
        <f>IF($A439="","",F438*Summary!$Q$14)</f>
        <v/>
      </c>
    </row>
    <row r="439" spans="1:53">
      <c r="A439" s="67" t="str">
        <f t="shared" si="256"/>
        <v/>
      </c>
      <c r="B439" s="69" t="str">
        <f t="shared" si="257"/>
        <v/>
      </c>
      <c r="D439" s="69" t="str">
        <f t="shared" si="231"/>
        <v/>
      </c>
      <c r="E439" s="70" t="str">
        <f t="shared" si="232"/>
        <v/>
      </c>
      <c r="F439" s="70" t="str">
        <f t="shared" si="233"/>
        <v/>
      </c>
      <c r="G439" s="63" t="str">
        <f t="shared" si="234"/>
        <v/>
      </c>
      <c r="H439" s="64" t="str">
        <f t="shared" si="235"/>
        <v/>
      </c>
      <c r="J439" s="63" t="str">
        <f t="shared" si="236"/>
        <v/>
      </c>
      <c r="K439" s="64" t="str">
        <f t="shared" si="237"/>
        <v/>
      </c>
      <c r="L439" s="38">
        <v>0</v>
      </c>
      <c r="M439" s="64" t="str">
        <f t="shared" si="238"/>
        <v/>
      </c>
      <c r="O439" s="63" t="str">
        <f t="shared" si="239"/>
        <v/>
      </c>
      <c r="P439" s="63" t="str">
        <f t="shared" si="240"/>
        <v/>
      </c>
      <c r="R439" s="63" t="str">
        <f t="shared" si="241"/>
        <v/>
      </c>
      <c r="S439" s="64" t="str">
        <f t="shared" si="242"/>
        <v/>
      </c>
      <c r="T439" s="63" t="str">
        <f t="shared" si="243"/>
        <v/>
      </c>
      <c r="U439" s="64" t="str">
        <f t="shared" si="244"/>
        <v/>
      </c>
      <c r="V439" s="207" t="str">
        <f>IF($A440="","",IF(AND(MONTH(A439)&gt;3,MONTH(A439)&lt;11),(T439+R439+G439)*(((1/(1-Summary!$T$14))/(1-Summary!$W$14))-1),(T439+R439+G439)*((1/(1-Summary!$U$14))/(1-Summary!$X$14)-1)))</f>
        <v/>
      </c>
      <c r="W439" s="43" t="str">
        <f t="shared" si="245"/>
        <v/>
      </c>
      <c r="X439" s="43" t="str">
        <f t="shared" si="246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7"/>
        <v/>
      </c>
      <c r="AP439" s="33" t="str">
        <f t="shared" si="248"/>
        <v/>
      </c>
      <c r="AQ439" s="58" t="str">
        <f t="shared" si="249"/>
        <v/>
      </c>
      <c r="AR439" s="38">
        <f>'ANR OK vs ML7'!AR439</f>
        <v>0.1</v>
      </c>
      <c r="AS439" s="35" t="str">
        <f t="shared" si="250"/>
        <v/>
      </c>
      <c r="AT439" s="3" t="str">
        <f t="shared" si="251"/>
        <v/>
      </c>
      <c r="AU439" s="3" t="str">
        <f t="shared" si="252"/>
        <v/>
      </c>
      <c r="AW439" s="32" t="str">
        <f t="shared" si="253"/>
        <v/>
      </c>
      <c r="AX439" s="32" t="str">
        <f t="shared" si="254"/>
        <v/>
      </c>
      <c r="AY439" s="32" t="str">
        <f t="shared" si="255"/>
        <v/>
      </c>
      <c r="BA439" s="32" t="str">
        <f>IF($A440="","",F439*Summary!$Q$14)</f>
        <v/>
      </c>
    </row>
    <row r="440" spans="1:53">
      <c r="A440" s="67" t="str">
        <f t="shared" si="256"/>
        <v/>
      </c>
      <c r="B440" s="69" t="str">
        <f t="shared" si="257"/>
        <v/>
      </c>
      <c r="D440" s="69" t="str">
        <f t="shared" si="231"/>
        <v/>
      </c>
      <c r="E440" s="70" t="str">
        <f t="shared" si="232"/>
        <v/>
      </c>
      <c r="F440" s="70" t="str">
        <f t="shared" si="233"/>
        <v/>
      </c>
      <c r="G440" s="63" t="str">
        <f t="shared" si="234"/>
        <v/>
      </c>
      <c r="H440" s="64" t="str">
        <f t="shared" si="235"/>
        <v/>
      </c>
      <c r="J440" s="63" t="str">
        <f t="shared" si="236"/>
        <v/>
      </c>
      <c r="K440" s="64" t="str">
        <f t="shared" si="237"/>
        <v/>
      </c>
      <c r="L440" s="38">
        <v>0</v>
      </c>
      <c r="M440" s="64" t="str">
        <f t="shared" si="238"/>
        <v/>
      </c>
      <c r="O440" s="63" t="str">
        <f t="shared" si="239"/>
        <v/>
      </c>
      <c r="P440" s="63" t="str">
        <f t="shared" si="240"/>
        <v/>
      </c>
      <c r="R440" s="63" t="str">
        <f t="shared" si="241"/>
        <v/>
      </c>
      <c r="S440" s="64" t="str">
        <f t="shared" si="242"/>
        <v/>
      </c>
      <c r="T440" s="63" t="str">
        <f t="shared" si="243"/>
        <v/>
      </c>
      <c r="U440" s="64" t="str">
        <f t="shared" si="244"/>
        <v/>
      </c>
      <c r="V440" s="207" t="str">
        <f>IF($A441="","",IF(AND(MONTH(A440)&gt;3,MONTH(A440)&lt;11),(T440+R440+G440)*(((1/(1-Summary!$T$14))/(1-Summary!$W$14))-1),(T440+R440+G440)*((1/(1-Summary!$U$14))/(1-Summary!$X$14)-1)))</f>
        <v/>
      </c>
      <c r="W440" s="43" t="str">
        <f t="shared" si="245"/>
        <v/>
      </c>
      <c r="X440" s="43" t="str">
        <f t="shared" si="246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7"/>
        <v/>
      </c>
      <c r="AP440" s="33" t="str">
        <f t="shared" si="248"/>
        <v/>
      </c>
      <c r="AQ440" s="58" t="str">
        <f t="shared" si="249"/>
        <v/>
      </c>
      <c r="AR440" s="38">
        <f>'ANR OK vs ML7'!AR440</f>
        <v>0.1</v>
      </c>
      <c r="AS440" s="35" t="str">
        <f t="shared" si="250"/>
        <v/>
      </c>
      <c r="AT440" s="3" t="str">
        <f t="shared" si="251"/>
        <v/>
      </c>
      <c r="AU440" s="3" t="str">
        <f t="shared" si="252"/>
        <v/>
      </c>
      <c r="AW440" s="32" t="str">
        <f t="shared" si="253"/>
        <v/>
      </c>
      <c r="AX440" s="32" t="str">
        <f t="shared" si="254"/>
        <v/>
      </c>
      <c r="AY440" s="32" t="str">
        <f t="shared" si="255"/>
        <v/>
      </c>
      <c r="BA440" s="32" t="str">
        <f>IF($A441="","",F440*Summary!$Q$14)</f>
        <v/>
      </c>
    </row>
    <row r="441" spans="1:53">
      <c r="A441" s="67" t="str">
        <f t="shared" si="256"/>
        <v/>
      </c>
      <c r="B441" s="69" t="str">
        <f t="shared" si="257"/>
        <v/>
      </c>
      <c r="D441" s="69" t="str">
        <f t="shared" si="231"/>
        <v/>
      </c>
      <c r="E441" s="70" t="str">
        <f t="shared" si="232"/>
        <v/>
      </c>
      <c r="F441" s="70" t="str">
        <f t="shared" si="233"/>
        <v/>
      </c>
      <c r="G441" s="63" t="str">
        <f t="shared" si="234"/>
        <v/>
      </c>
      <c r="H441" s="64" t="str">
        <f t="shared" si="235"/>
        <v/>
      </c>
      <c r="J441" s="63" t="str">
        <f t="shared" si="236"/>
        <v/>
      </c>
      <c r="K441" s="64" t="str">
        <f t="shared" si="237"/>
        <v/>
      </c>
      <c r="L441" s="38">
        <v>0</v>
      </c>
      <c r="M441" s="64" t="str">
        <f t="shared" si="238"/>
        <v/>
      </c>
      <c r="O441" s="63" t="str">
        <f t="shared" si="239"/>
        <v/>
      </c>
      <c r="P441" s="63" t="str">
        <f t="shared" si="240"/>
        <v/>
      </c>
      <c r="R441" s="63" t="str">
        <f t="shared" si="241"/>
        <v/>
      </c>
      <c r="S441" s="64" t="str">
        <f t="shared" si="242"/>
        <v/>
      </c>
      <c r="T441" s="63" t="str">
        <f t="shared" si="243"/>
        <v/>
      </c>
      <c r="U441" s="64" t="str">
        <f t="shared" si="244"/>
        <v/>
      </c>
      <c r="V441" s="207" t="str">
        <f>IF($A442="","",IF(AND(MONTH(A441)&gt;3,MONTH(A441)&lt;11),(T441+R441+G441)*(((1/(1-Summary!$T$14))/(1-Summary!$W$14))-1),(T441+R441+G441)*((1/(1-Summary!$U$14))/(1-Summary!$X$14)-1)))</f>
        <v/>
      </c>
      <c r="W441" s="43" t="str">
        <f t="shared" si="245"/>
        <v/>
      </c>
      <c r="X441" s="43" t="str">
        <f t="shared" si="246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7"/>
        <v/>
      </c>
      <c r="AP441" s="33" t="str">
        <f t="shared" si="248"/>
        <v/>
      </c>
      <c r="AQ441" s="58" t="str">
        <f t="shared" si="249"/>
        <v/>
      </c>
      <c r="AR441" s="38">
        <f>'ANR OK vs ML7'!AR441</f>
        <v>0.1</v>
      </c>
      <c r="AS441" s="35" t="str">
        <f t="shared" si="250"/>
        <v/>
      </c>
      <c r="AT441" s="3" t="str">
        <f t="shared" si="251"/>
        <v/>
      </c>
      <c r="AU441" s="3" t="str">
        <f t="shared" si="252"/>
        <v/>
      </c>
      <c r="AW441" s="32" t="str">
        <f t="shared" si="253"/>
        <v/>
      </c>
      <c r="AX441" s="32" t="str">
        <f t="shared" si="254"/>
        <v/>
      </c>
      <c r="AY441" s="32" t="str">
        <f t="shared" si="255"/>
        <v/>
      </c>
      <c r="BA441" s="32" t="str">
        <f>IF($A442="","",F441*Summary!$Q$14)</f>
        <v/>
      </c>
    </row>
    <row r="442" spans="1:53">
      <c r="A442" s="67" t="str">
        <f t="shared" si="256"/>
        <v/>
      </c>
      <c r="B442" s="69" t="str">
        <f t="shared" si="257"/>
        <v/>
      </c>
      <c r="D442" s="69" t="str">
        <f t="shared" si="231"/>
        <v/>
      </c>
      <c r="E442" s="70" t="str">
        <f t="shared" si="232"/>
        <v/>
      </c>
      <c r="F442" s="70" t="str">
        <f t="shared" si="233"/>
        <v/>
      </c>
      <c r="G442" s="63" t="str">
        <f t="shared" si="234"/>
        <v/>
      </c>
      <c r="H442" s="64" t="str">
        <f t="shared" si="235"/>
        <v/>
      </c>
      <c r="J442" s="63" t="str">
        <f t="shared" si="236"/>
        <v/>
      </c>
      <c r="K442" s="64" t="str">
        <f t="shared" si="237"/>
        <v/>
      </c>
      <c r="L442" s="38">
        <v>0</v>
      </c>
      <c r="M442" s="64" t="str">
        <f t="shared" si="238"/>
        <v/>
      </c>
      <c r="O442" s="63" t="str">
        <f t="shared" si="239"/>
        <v/>
      </c>
      <c r="P442" s="63" t="str">
        <f t="shared" si="240"/>
        <v/>
      </c>
      <c r="R442" s="63" t="str">
        <f t="shared" si="241"/>
        <v/>
      </c>
      <c r="S442" s="64" t="str">
        <f t="shared" si="242"/>
        <v/>
      </c>
      <c r="T442" s="63" t="str">
        <f t="shared" si="243"/>
        <v/>
      </c>
      <c r="U442" s="64" t="str">
        <f t="shared" si="244"/>
        <v/>
      </c>
      <c r="V442" s="207" t="str">
        <f>IF($A443="","",IF(AND(MONTH(A442)&gt;3,MONTH(A442)&lt;11),(T442+R442+G442)*(((1/(1-Summary!$T$14))/(1-Summary!$W$14))-1),(T442+R442+G442)*((1/(1-Summary!$U$14))/(1-Summary!$X$14)-1)))</f>
        <v/>
      </c>
      <c r="W442" s="43" t="str">
        <f t="shared" si="245"/>
        <v/>
      </c>
      <c r="X442" s="43" t="str">
        <f t="shared" si="246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7"/>
        <v/>
      </c>
      <c r="AP442" s="33" t="str">
        <f t="shared" si="248"/>
        <v/>
      </c>
      <c r="AQ442" s="58" t="str">
        <f t="shared" si="249"/>
        <v/>
      </c>
      <c r="AR442" s="38">
        <f>'ANR OK vs ML7'!AR442</f>
        <v>0.1</v>
      </c>
      <c r="AS442" s="35" t="str">
        <f t="shared" si="250"/>
        <v/>
      </c>
      <c r="AT442" s="3" t="str">
        <f t="shared" si="251"/>
        <v/>
      </c>
      <c r="AU442" s="3" t="str">
        <f t="shared" si="252"/>
        <v/>
      </c>
      <c r="AW442" s="32" t="str">
        <f t="shared" si="253"/>
        <v/>
      </c>
      <c r="AX442" s="32" t="str">
        <f t="shared" si="254"/>
        <v/>
      </c>
      <c r="AY442" s="32" t="str">
        <f t="shared" si="255"/>
        <v/>
      </c>
      <c r="BA442" s="32" t="str">
        <f>IF($A443="","",F442*Summary!$Q$14)</f>
        <v/>
      </c>
    </row>
    <row r="443" spans="1:53">
      <c r="A443" s="67" t="str">
        <f t="shared" si="256"/>
        <v/>
      </c>
      <c r="B443" s="69" t="str">
        <f t="shared" si="257"/>
        <v/>
      </c>
      <c r="D443" s="69" t="str">
        <f t="shared" si="231"/>
        <v/>
      </c>
      <c r="E443" s="70" t="str">
        <f t="shared" si="232"/>
        <v/>
      </c>
      <c r="F443" s="70" t="str">
        <f t="shared" si="233"/>
        <v/>
      </c>
      <c r="G443" s="63" t="str">
        <f t="shared" si="234"/>
        <v/>
      </c>
      <c r="H443" s="64" t="str">
        <f t="shared" si="235"/>
        <v/>
      </c>
      <c r="J443" s="63" t="str">
        <f t="shared" si="236"/>
        <v/>
      </c>
      <c r="K443" s="64" t="str">
        <f t="shared" si="237"/>
        <v/>
      </c>
      <c r="L443" s="38">
        <v>0</v>
      </c>
      <c r="M443" s="64" t="str">
        <f t="shared" si="238"/>
        <v/>
      </c>
      <c r="O443" s="63" t="str">
        <f t="shared" si="239"/>
        <v/>
      </c>
      <c r="P443" s="63" t="str">
        <f t="shared" si="240"/>
        <v/>
      </c>
      <c r="R443" s="63" t="str">
        <f t="shared" si="241"/>
        <v/>
      </c>
      <c r="S443" s="64" t="str">
        <f t="shared" si="242"/>
        <v/>
      </c>
      <c r="T443" s="63" t="str">
        <f t="shared" si="243"/>
        <v/>
      </c>
      <c r="U443" s="64" t="str">
        <f t="shared" si="244"/>
        <v/>
      </c>
      <c r="V443" s="207" t="str">
        <f>IF($A444="","",IF(AND(MONTH(A443)&gt;3,MONTH(A443)&lt;11),(T443+R443+G443)*(((1/(1-Summary!$T$14))/(1-Summary!$W$14))-1),(T443+R443+G443)*((1/(1-Summary!$U$14))/(1-Summary!$X$14)-1)))</f>
        <v/>
      </c>
      <c r="W443" s="43" t="str">
        <f t="shared" si="245"/>
        <v/>
      </c>
      <c r="X443" s="43" t="str">
        <f t="shared" si="246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7"/>
        <v/>
      </c>
      <c r="AP443" s="33" t="str">
        <f t="shared" si="248"/>
        <v/>
      </c>
      <c r="AQ443" s="58" t="str">
        <f t="shared" si="249"/>
        <v/>
      </c>
      <c r="AR443" s="38">
        <f>'ANR OK vs ML7'!AR443</f>
        <v>0.1</v>
      </c>
      <c r="AS443" s="35" t="str">
        <f t="shared" si="250"/>
        <v/>
      </c>
      <c r="AT443" s="3" t="str">
        <f t="shared" si="251"/>
        <v/>
      </c>
      <c r="AU443" s="3" t="str">
        <f t="shared" si="252"/>
        <v/>
      </c>
      <c r="AW443" s="32" t="str">
        <f t="shared" si="253"/>
        <v/>
      </c>
      <c r="AX443" s="32" t="str">
        <f t="shared" si="254"/>
        <v/>
      </c>
      <c r="AY443" s="32" t="str">
        <f t="shared" si="255"/>
        <v/>
      </c>
      <c r="BA443" s="32" t="str">
        <f>IF($A444="","",F443*Summary!$Q$14)</f>
        <v/>
      </c>
    </row>
    <row r="444" spans="1:53">
      <c r="A444" s="67" t="str">
        <f t="shared" si="256"/>
        <v/>
      </c>
      <c r="B444" s="69" t="str">
        <f t="shared" si="257"/>
        <v/>
      </c>
      <c r="D444" s="69" t="str">
        <f t="shared" si="231"/>
        <v/>
      </c>
      <c r="E444" s="70" t="str">
        <f t="shared" si="232"/>
        <v/>
      </c>
      <c r="F444" s="70" t="str">
        <f t="shared" si="233"/>
        <v/>
      </c>
      <c r="G444" s="63" t="str">
        <f t="shared" si="234"/>
        <v/>
      </c>
      <c r="H444" s="64" t="str">
        <f t="shared" si="235"/>
        <v/>
      </c>
      <c r="J444" s="63" t="str">
        <f t="shared" si="236"/>
        <v/>
      </c>
      <c r="K444" s="64" t="str">
        <f t="shared" si="237"/>
        <v/>
      </c>
      <c r="L444" s="38">
        <v>0</v>
      </c>
      <c r="M444" s="64" t="str">
        <f t="shared" si="238"/>
        <v/>
      </c>
      <c r="O444" s="63" t="str">
        <f t="shared" si="239"/>
        <v/>
      </c>
      <c r="P444" s="63" t="str">
        <f t="shared" si="240"/>
        <v/>
      </c>
      <c r="R444" s="63" t="str">
        <f t="shared" si="241"/>
        <v/>
      </c>
      <c r="S444" s="64" t="str">
        <f t="shared" si="242"/>
        <v/>
      </c>
      <c r="T444" s="63" t="str">
        <f t="shared" si="243"/>
        <v/>
      </c>
      <c r="U444" s="64" t="str">
        <f t="shared" si="244"/>
        <v/>
      </c>
      <c r="V444" s="207" t="str">
        <f>IF($A445="","",IF(AND(MONTH(A444)&gt;3,MONTH(A444)&lt;11),(T444+R444+G444)*(((1/(1-Summary!$T$14))/(1-Summary!$W$14))-1),(T444+R444+G444)*((1/(1-Summary!$U$14))/(1-Summary!$X$14)-1)))</f>
        <v/>
      </c>
      <c r="W444" s="43" t="str">
        <f t="shared" si="245"/>
        <v/>
      </c>
      <c r="X444" s="43" t="str">
        <f t="shared" si="246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7"/>
        <v/>
      </c>
      <c r="AP444" s="33" t="str">
        <f t="shared" si="248"/>
        <v/>
      </c>
      <c r="AQ444" s="58" t="str">
        <f t="shared" si="249"/>
        <v/>
      </c>
      <c r="AR444" s="38">
        <f>'ANR OK vs ML7'!AR444</f>
        <v>0.1</v>
      </c>
      <c r="AS444" s="35" t="str">
        <f t="shared" si="250"/>
        <v/>
      </c>
      <c r="AT444" s="3" t="str">
        <f t="shared" si="251"/>
        <v/>
      </c>
      <c r="AU444" s="3" t="str">
        <f t="shared" si="252"/>
        <v/>
      </c>
      <c r="AW444" s="32" t="str">
        <f t="shared" si="253"/>
        <v/>
      </c>
      <c r="AX444" s="32" t="str">
        <f t="shared" si="254"/>
        <v/>
      </c>
      <c r="AY444" s="32" t="str">
        <f t="shared" si="255"/>
        <v/>
      </c>
      <c r="BA444" s="32" t="str">
        <f>IF($A445="","",F444*Summary!$Q$14)</f>
        <v/>
      </c>
    </row>
    <row r="445" spans="1:53">
      <c r="A445" s="67" t="str">
        <f t="shared" si="256"/>
        <v/>
      </c>
      <c r="B445" s="69" t="str">
        <f t="shared" si="257"/>
        <v/>
      </c>
      <c r="D445" s="69" t="str">
        <f t="shared" si="231"/>
        <v/>
      </c>
      <c r="E445" s="70" t="str">
        <f t="shared" si="232"/>
        <v/>
      </c>
      <c r="F445" s="70" t="str">
        <f t="shared" si="233"/>
        <v/>
      </c>
      <c r="G445" s="63" t="str">
        <f t="shared" si="234"/>
        <v/>
      </c>
      <c r="H445" s="64" t="str">
        <f t="shared" si="235"/>
        <v/>
      </c>
      <c r="J445" s="63" t="str">
        <f t="shared" si="236"/>
        <v/>
      </c>
      <c r="K445" s="64" t="str">
        <f t="shared" si="237"/>
        <v/>
      </c>
      <c r="L445" s="38">
        <v>0</v>
      </c>
      <c r="M445" s="64" t="str">
        <f t="shared" si="238"/>
        <v/>
      </c>
      <c r="O445" s="63" t="str">
        <f t="shared" si="239"/>
        <v/>
      </c>
      <c r="P445" s="63" t="str">
        <f t="shared" si="240"/>
        <v/>
      </c>
      <c r="R445" s="63" t="str">
        <f t="shared" si="241"/>
        <v/>
      </c>
      <c r="S445" s="64" t="str">
        <f t="shared" si="242"/>
        <v/>
      </c>
      <c r="T445" s="63" t="str">
        <f t="shared" si="243"/>
        <v/>
      </c>
      <c r="U445" s="64" t="str">
        <f t="shared" si="244"/>
        <v/>
      </c>
      <c r="V445" s="207" t="str">
        <f>IF($A446="","",IF(AND(MONTH(A445)&gt;3,MONTH(A445)&lt;11),(T445+R445+G445)*(((1/(1-Summary!$T$14))/(1-Summary!$W$14))-1),(T445+R445+G445)*((1/(1-Summary!$U$14))/(1-Summary!$X$14)-1)))</f>
        <v/>
      </c>
      <c r="W445" s="43" t="str">
        <f t="shared" si="245"/>
        <v/>
      </c>
      <c r="X445" s="43" t="str">
        <f t="shared" si="246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7"/>
        <v/>
      </c>
      <c r="AP445" s="33" t="str">
        <f t="shared" si="248"/>
        <v/>
      </c>
      <c r="AQ445" s="58" t="str">
        <f t="shared" si="249"/>
        <v/>
      </c>
      <c r="AR445" s="38">
        <f>'ANR OK vs ML7'!AR445</f>
        <v>0.1</v>
      </c>
      <c r="AS445" s="35" t="str">
        <f t="shared" si="250"/>
        <v/>
      </c>
      <c r="AT445" s="3" t="str">
        <f t="shared" si="251"/>
        <v/>
      </c>
      <c r="AU445" s="3" t="str">
        <f t="shared" si="252"/>
        <v/>
      </c>
      <c r="AW445" s="32" t="str">
        <f t="shared" si="253"/>
        <v/>
      </c>
      <c r="AX445" s="32" t="str">
        <f t="shared" si="254"/>
        <v/>
      </c>
      <c r="AY445" s="32" t="str">
        <f t="shared" si="255"/>
        <v/>
      </c>
      <c r="BA445" s="32" t="str">
        <f>IF($A446="","",F445*Summary!$Q$14)</f>
        <v/>
      </c>
    </row>
    <row r="446" spans="1:53">
      <c r="A446" s="67" t="str">
        <f t="shared" si="256"/>
        <v/>
      </c>
      <c r="B446" s="69" t="str">
        <f t="shared" si="257"/>
        <v/>
      </c>
      <c r="D446" s="69" t="str">
        <f t="shared" si="231"/>
        <v/>
      </c>
      <c r="E446" s="70" t="str">
        <f t="shared" si="232"/>
        <v/>
      </c>
      <c r="F446" s="70" t="str">
        <f t="shared" si="233"/>
        <v/>
      </c>
      <c r="G446" s="63" t="str">
        <f t="shared" si="234"/>
        <v/>
      </c>
      <c r="H446" s="64" t="str">
        <f t="shared" si="235"/>
        <v/>
      </c>
      <c r="J446" s="63" t="str">
        <f t="shared" si="236"/>
        <v/>
      </c>
      <c r="K446" s="64" t="str">
        <f t="shared" si="237"/>
        <v/>
      </c>
      <c r="L446" s="38">
        <v>0</v>
      </c>
      <c r="M446" s="64" t="str">
        <f t="shared" si="238"/>
        <v/>
      </c>
      <c r="O446" s="63" t="str">
        <f t="shared" si="239"/>
        <v/>
      </c>
      <c r="P446" s="63" t="str">
        <f t="shared" si="240"/>
        <v/>
      </c>
      <c r="R446" s="63" t="str">
        <f t="shared" si="241"/>
        <v/>
      </c>
      <c r="S446" s="64" t="str">
        <f t="shared" si="242"/>
        <v/>
      </c>
      <c r="T446" s="63" t="str">
        <f t="shared" si="243"/>
        <v/>
      </c>
      <c r="U446" s="64" t="str">
        <f t="shared" si="244"/>
        <v/>
      </c>
      <c r="V446" s="207" t="str">
        <f>IF($A447="","",IF(AND(MONTH(A446)&gt;3,MONTH(A446)&lt;11),(T446+R446+G446)*(((1/(1-Summary!$T$14))/(1-Summary!$W$14))-1),(T446+R446+G446)*((1/(1-Summary!$U$14))/(1-Summary!$X$14)-1)))</f>
        <v/>
      </c>
      <c r="W446" s="43" t="str">
        <f t="shared" si="245"/>
        <v/>
      </c>
      <c r="X446" s="43" t="str">
        <f t="shared" si="246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7"/>
        <v/>
      </c>
      <c r="AP446" s="33" t="str">
        <f t="shared" si="248"/>
        <v/>
      </c>
      <c r="AQ446" s="58" t="str">
        <f t="shared" si="249"/>
        <v/>
      </c>
      <c r="AR446" s="38">
        <f>'ANR OK vs ML7'!AR446</f>
        <v>0.1</v>
      </c>
      <c r="AS446" s="35" t="str">
        <f t="shared" si="250"/>
        <v/>
      </c>
      <c r="AT446" s="3" t="str">
        <f t="shared" si="251"/>
        <v/>
      </c>
      <c r="AU446" s="3" t="str">
        <f t="shared" si="252"/>
        <v/>
      </c>
      <c r="AW446" s="32" t="str">
        <f t="shared" si="253"/>
        <v/>
      </c>
      <c r="AX446" s="32" t="str">
        <f t="shared" si="254"/>
        <v/>
      </c>
      <c r="AY446" s="32" t="str">
        <f t="shared" si="255"/>
        <v/>
      </c>
      <c r="BA446" s="32" t="str">
        <f>IF($A447="","",F446*Summary!$Q$14)</f>
        <v/>
      </c>
    </row>
    <row r="447" spans="1:53">
      <c r="A447" s="67" t="str">
        <f t="shared" si="256"/>
        <v/>
      </c>
      <c r="B447" s="69" t="str">
        <f t="shared" si="257"/>
        <v/>
      </c>
      <c r="D447" s="69" t="str">
        <f t="shared" si="231"/>
        <v/>
      </c>
      <c r="E447" s="70" t="str">
        <f t="shared" si="232"/>
        <v/>
      </c>
      <c r="F447" s="70" t="str">
        <f t="shared" si="233"/>
        <v/>
      </c>
      <c r="G447" s="63" t="str">
        <f t="shared" si="234"/>
        <v/>
      </c>
      <c r="H447" s="64" t="str">
        <f t="shared" si="235"/>
        <v/>
      </c>
      <c r="J447" s="63" t="str">
        <f t="shared" si="236"/>
        <v/>
      </c>
      <c r="K447" s="64" t="str">
        <f t="shared" si="237"/>
        <v/>
      </c>
      <c r="L447" s="38">
        <v>0</v>
      </c>
      <c r="M447" s="64" t="str">
        <f t="shared" si="238"/>
        <v/>
      </c>
      <c r="O447" s="63" t="str">
        <f t="shared" si="239"/>
        <v/>
      </c>
      <c r="P447" s="63" t="str">
        <f t="shared" si="240"/>
        <v/>
      </c>
      <c r="R447" s="63" t="str">
        <f t="shared" si="241"/>
        <v/>
      </c>
      <c r="S447" s="64" t="str">
        <f t="shared" si="242"/>
        <v/>
      </c>
      <c r="T447" s="63" t="str">
        <f t="shared" si="243"/>
        <v/>
      </c>
      <c r="U447" s="64" t="str">
        <f t="shared" si="244"/>
        <v/>
      </c>
      <c r="V447" s="207" t="str">
        <f>IF($A448="","",IF(AND(MONTH(A447)&gt;3,MONTH(A447)&lt;11),(T447+R447+G447)*(((1/(1-Summary!$T$14))/(1-Summary!$W$14))-1),(T447+R447+G447)*((1/(1-Summary!$U$14))/(1-Summary!$X$14)-1)))</f>
        <v/>
      </c>
      <c r="W447" s="43" t="str">
        <f t="shared" si="245"/>
        <v/>
      </c>
      <c r="X447" s="43" t="str">
        <f t="shared" si="246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7"/>
        <v/>
      </c>
      <c r="AP447" s="33" t="str">
        <f t="shared" si="248"/>
        <v/>
      </c>
      <c r="AQ447" s="58" t="str">
        <f t="shared" si="249"/>
        <v/>
      </c>
      <c r="AR447" s="38">
        <f>'ANR OK vs ML7'!AR447</f>
        <v>0.1</v>
      </c>
      <c r="AS447" s="35" t="str">
        <f t="shared" si="250"/>
        <v/>
      </c>
      <c r="AT447" s="3" t="str">
        <f t="shared" si="251"/>
        <v/>
      </c>
      <c r="AU447" s="3" t="str">
        <f t="shared" si="252"/>
        <v/>
      </c>
      <c r="AW447" s="32" t="str">
        <f t="shared" si="253"/>
        <v/>
      </c>
      <c r="AX447" s="32" t="str">
        <f t="shared" si="254"/>
        <v/>
      </c>
      <c r="AY447" s="32" t="str">
        <f t="shared" si="255"/>
        <v/>
      </c>
      <c r="BA447" s="32" t="str">
        <f>IF($A448="","",F447*Summary!$Q$14)</f>
        <v/>
      </c>
    </row>
    <row r="448" spans="1:53">
      <c r="A448" s="67" t="str">
        <f t="shared" si="256"/>
        <v/>
      </c>
      <c r="B448" s="69" t="str">
        <f t="shared" si="257"/>
        <v/>
      </c>
      <c r="D448" s="69" t="str">
        <f t="shared" si="231"/>
        <v/>
      </c>
      <c r="E448" s="70" t="str">
        <f t="shared" si="232"/>
        <v/>
      </c>
      <c r="F448" s="70" t="str">
        <f t="shared" si="233"/>
        <v/>
      </c>
      <c r="G448" s="63" t="str">
        <f t="shared" si="234"/>
        <v/>
      </c>
      <c r="H448" s="64" t="str">
        <f t="shared" si="235"/>
        <v/>
      </c>
      <c r="J448" s="63" t="str">
        <f t="shared" si="236"/>
        <v/>
      </c>
      <c r="K448" s="64" t="str">
        <f t="shared" si="237"/>
        <v/>
      </c>
      <c r="L448" s="38">
        <v>0</v>
      </c>
      <c r="M448" s="64" t="str">
        <f t="shared" si="238"/>
        <v/>
      </c>
      <c r="O448" s="63" t="str">
        <f t="shared" si="239"/>
        <v/>
      </c>
      <c r="P448" s="63" t="str">
        <f t="shared" si="240"/>
        <v/>
      </c>
      <c r="R448" s="63" t="str">
        <f t="shared" si="241"/>
        <v/>
      </c>
      <c r="S448" s="64" t="str">
        <f t="shared" si="242"/>
        <v/>
      </c>
      <c r="T448" s="63" t="str">
        <f t="shared" si="243"/>
        <v/>
      </c>
      <c r="U448" s="64" t="str">
        <f t="shared" si="244"/>
        <v/>
      </c>
      <c r="V448" s="207" t="str">
        <f>IF($A449="","",IF(AND(MONTH(A448)&gt;3,MONTH(A448)&lt;11),(T448+R448+G448)*(((1/(1-Summary!$T$14))/(1-Summary!$W$14))-1),(T448+R448+G448)*((1/(1-Summary!$U$14))/(1-Summary!$X$14)-1)))</f>
        <v/>
      </c>
      <c r="W448" s="43" t="str">
        <f t="shared" si="245"/>
        <v/>
      </c>
      <c r="X448" s="43" t="str">
        <f t="shared" si="246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7"/>
        <v/>
      </c>
      <c r="AP448" s="33" t="str">
        <f t="shared" si="248"/>
        <v/>
      </c>
      <c r="AQ448" s="58" t="str">
        <f t="shared" si="249"/>
        <v/>
      </c>
      <c r="AR448" s="38">
        <f>'ANR OK vs ML7'!AR448</f>
        <v>0.1</v>
      </c>
      <c r="AS448" s="35" t="str">
        <f t="shared" si="250"/>
        <v/>
      </c>
      <c r="AT448" s="3" t="str">
        <f t="shared" si="251"/>
        <v/>
      </c>
      <c r="AU448" s="3" t="str">
        <f t="shared" si="252"/>
        <v/>
      </c>
      <c r="AW448" s="32" t="str">
        <f t="shared" si="253"/>
        <v/>
      </c>
      <c r="AX448" s="32" t="str">
        <f t="shared" si="254"/>
        <v/>
      </c>
      <c r="AY448" s="32" t="str">
        <f t="shared" si="255"/>
        <v/>
      </c>
      <c r="BA448" s="32" t="str">
        <f>IF($A449="","",F448*Summary!$Q$14)</f>
        <v/>
      </c>
    </row>
    <row r="449" spans="1:53">
      <c r="A449" s="67" t="str">
        <f t="shared" si="256"/>
        <v/>
      </c>
      <c r="B449" s="69" t="str">
        <f t="shared" si="257"/>
        <v/>
      </c>
      <c r="D449" s="69" t="str">
        <f t="shared" si="231"/>
        <v/>
      </c>
      <c r="E449" s="70" t="str">
        <f t="shared" si="232"/>
        <v/>
      </c>
      <c r="F449" s="70" t="str">
        <f t="shared" si="233"/>
        <v/>
      </c>
      <c r="G449" s="63" t="str">
        <f t="shared" si="234"/>
        <v/>
      </c>
      <c r="H449" s="64" t="str">
        <f t="shared" si="235"/>
        <v/>
      </c>
      <c r="J449" s="63" t="str">
        <f t="shared" si="236"/>
        <v/>
      </c>
      <c r="K449" s="64" t="str">
        <f t="shared" si="237"/>
        <v/>
      </c>
      <c r="L449" s="38">
        <v>0</v>
      </c>
      <c r="M449" s="64" t="str">
        <f t="shared" si="238"/>
        <v/>
      </c>
      <c r="O449" s="63" t="str">
        <f t="shared" si="239"/>
        <v/>
      </c>
      <c r="P449" s="63" t="str">
        <f t="shared" si="240"/>
        <v/>
      </c>
      <c r="R449" s="63" t="str">
        <f t="shared" si="241"/>
        <v/>
      </c>
      <c r="S449" s="64" t="str">
        <f t="shared" si="242"/>
        <v/>
      </c>
      <c r="T449" s="63" t="str">
        <f t="shared" si="243"/>
        <v/>
      </c>
      <c r="U449" s="64" t="str">
        <f t="shared" si="244"/>
        <v/>
      </c>
      <c r="V449" s="207" t="str">
        <f>IF($A450="","",IF(AND(MONTH(A449)&gt;3,MONTH(A449)&lt;11),(T449+R449+G449)*(((1/(1-Summary!$T$14))/(1-Summary!$W$14))-1),(T449+R449+G449)*((1/(1-Summary!$U$14))/(1-Summary!$X$14)-1)))</f>
        <v/>
      </c>
      <c r="W449" s="43" t="str">
        <f t="shared" si="245"/>
        <v/>
      </c>
      <c r="X449" s="43" t="str">
        <f t="shared" si="246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7"/>
        <v/>
      </c>
      <c r="AP449" s="33" t="str">
        <f t="shared" si="248"/>
        <v/>
      </c>
      <c r="AQ449" s="58" t="str">
        <f t="shared" si="249"/>
        <v/>
      </c>
      <c r="AR449" s="38">
        <f>'ANR OK vs ML7'!AR449</f>
        <v>0.1</v>
      </c>
      <c r="AS449" s="35" t="str">
        <f t="shared" si="250"/>
        <v/>
      </c>
      <c r="AT449" s="3" t="str">
        <f t="shared" si="251"/>
        <v/>
      </c>
      <c r="AU449" s="3" t="str">
        <f t="shared" si="252"/>
        <v/>
      </c>
      <c r="AW449" s="32" t="str">
        <f t="shared" si="253"/>
        <v/>
      </c>
      <c r="AX449" s="32" t="str">
        <f t="shared" si="254"/>
        <v/>
      </c>
      <c r="AY449" s="32" t="str">
        <f t="shared" si="255"/>
        <v/>
      </c>
      <c r="BA449" s="32" t="str">
        <f>IF($A450="","",F449*Summary!$Q$14)</f>
        <v/>
      </c>
    </row>
    <row r="450" spans="1:53">
      <c r="A450" s="67" t="str">
        <f t="shared" si="256"/>
        <v/>
      </c>
      <c r="B450" s="69" t="str">
        <f t="shared" si="257"/>
        <v/>
      </c>
      <c r="D450" s="69" t="str">
        <f t="shared" si="231"/>
        <v/>
      </c>
      <c r="E450" s="70" t="str">
        <f t="shared" si="232"/>
        <v/>
      </c>
      <c r="F450" s="70" t="str">
        <f t="shared" si="233"/>
        <v/>
      </c>
      <c r="G450" s="63" t="str">
        <f t="shared" si="234"/>
        <v/>
      </c>
      <c r="H450" s="64" t="str">
        <f t="shared" si="235"/>
        <v/>
      </c>
      <c r="J450" s="63" t="str">
        <f t="shared" si="236"/>
        <v/>
      </c>
      <c r="K450" s="64" t="str">
        <f t="shared" si="237"/>
        <v/>
      </c>
      <c r="L450" s="38">
        <v>0</v>
      </c>
      <c r="M450" s="64" t="str">
        <f t="shared" si="238"/>
        <v/>
      </c>
      <c r="O450" s="63" t="str">
        <f t="shared" si="239"/>
        <v/>
      </c>
      <c r="P450" s="63" t="str">
        <f t="shared" si="240"/>
        <v/>
      </c>
      <c r="R450" s="63" t="str">
        <f t="shared" si="241"/>
        <v/>
      </c>
      <c r="S450" s="64" t="str">
        <f t="shared" si="242"/>
        <v/>
      </c>
      <c r="T450" s="63" t="str">
        <f t="shared" si="243"/>
        <v/>
      </c>
      <c r="U450" s="64" t="str">
        <f t="shared" si="244"/>
        <v/>
      </c>
      <c r="V450" s="207" t="str">
        <f>IF($A451="","",IF(AND(MONTH(A450)&gt;3,MONTH(A450)&lt;11),(T450+R450+G450)*(((1/(1-Summary!$T$14))/(1-Summary!$W$14))-1),(T450+R450+G450)*((1/(1-Summary!$U$14))/(1-Summary!$X$14)-1)))</f>
        <v/>
      </c>
      <c r="W450" s="43" t="str">
        <f t="shared" si="245"/>
        <v/>
      </c>
      <c r="X450" s="43" t="str">
        <f t="shared" si="246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7"/>
        <v/>
      </c>
      <c r="AP450" s="33" t="str">
        <f t="shared" si="248"/>
        <v/>
      </c>
      <c r="AQ450" s="58" t="str">
        <f t="shared" si="249"/>
        <v/>
      </c>
      <c r="AR450" s="38">
        <f>'ANR OK vs ML7'!AR450</f>
        <v>0.1</v>
      </c>
      <c r="AS450" s="35" t="str">
        <f t="shared" si="250"/>
        <v/>
      </c>
      <c r="AT450" s="3" t="str">
        <f t="shared" si="251"/>
        <v/>
      </c>
      <c r="AU450" s="3" t="str">
        <f t="shared" si="252"/>
        <v/>
      </c>
      <c r="AW450" s="32" t="str">
        <f t="shared" si="253"/>
        <v/>
      </c>
      <c r="AX450" s="32" t="str">
        <f t="shared" si="254"/>
        <v/>
      </c>
      <c r="AY450" s="32" t="str">
        <f t="shared" si="255"/>
        <v/>
      </c>
      <c r="BA450" s="32" t="str">
        <f>IF($A451="","",F450*Summary!$Q$14)</f>
        <v/>
      </c>
    </row>
    <row r="451" spans="1:53">
      <c r="A451" s="67" t="str">
        <f t="shared" si="256"/>
        <v/>
      </c>
      <c r="B451" s="69" t="str">
        <f t="shared" si="257"/>
        <v/>
      </c>
      <c r="D451" s="69" t="str">
        <f t="shared" si="231"/>
        <v/>
      </c>
      <c r="E451" s="70" t="str">
        <f t="shared" si="232"/>
        <v/>
      </c>
      <c r="F451" s="70" t="str">
        <f t="shared" si="233"/>
        <v/>
      </c>
      <c r="G451" s="63" t="str">
        <f t="shared" si="234"/>
        <v/>
      </c>
      <c r="H451" s="64" t="str">
        <f t="shared" si="235"/>
        <v/>
      </c>
      <c r="J451" s="63" t="str">
        <f t="shared" si="236"/>
        <v/>
      </c>
      <c r="K451" s="64" t="str">
        <f t="shared" si="237"/>
        <v/>
      </c>
      <c r="L451" s="38">
        <v>0</v>
      </c>
      <c r="M451" s="64" t="str">
        <f t="shared" si="238"/>
        <v/>
      </c>
      <c r="O451" s="63" t="str">
        <f t="shared" si="239"/>
        <v/>
      </c>
      <c r="P451" s="63" t="str">
        <f t="shared" si="240"/>
        <v/>
      </c>
      <c r="R451" s="63" t="str">
        <f t="shared" si="241"/>
        <v/>
      </c>
      <c r="S451" s="64" t="str">
        <f t="shared" si="242"/>
        <v/>
      </c>
      <c r="T451" s="63" t="str">
        <f t="shared" si="243"/>
        <v/>
      </c>
      <c r="U451" s="64" t="str">
        <f t="shared" si="244"/>
        <v/>
      </c>
      <c r="V451" s="207" t="str">
        <f>IF($A452="","",IF(AND(MONTH(A451)&gt;3,MONTH(A451)&lt;11),(T451+R451+G451)*(((1/(1-Summary!$T$14))/(1-Summary!$W$14))-1),(T451+R451+G451)*((1/(1-Summary!$U$14))/(1-Summary!$X$14)-1)))</f>
        <v/>
      </c>
      <c r="W451" s="43" t="str">
        <f t="shared" si="245"/>
        <v/>
      </c>
      <c r="X451" s="43" t="str">
        <f t="shared" si="246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7"/>
        <v/>
      </c>
      <c r="AP451" s="33" t="str">
        <f t="shared" si="248"/>
        <v/>
      </c>
      <c r="AQ451" s="58" t="str">
        <f t="shared" si="249"/>
        <v/>
      </c>
      <c r="AR451" s="38">
        <f>'ANR OK vs ML7'!AR451</f>
        <v>0.1</v>
      </c>
      <c r="AS451" s="35" t="str">
        <f t="shared" si="250"/>
        <v/>
      </c>
      <c r="AT451" s="3" t="str">
        <f t="shared" si="251"/>
        <v/>
      </c>
      <c r="AU451" s="3" t="str">
        <f t="shared" si="252"/>
        <v/>
      </c>
      <c r="AW451" s="32" t="str">
        <f t="shared" si="253"/>
        <v/>
      </c>
      <c r="AX451" s="32" t="str">
        <f t="shared" si="254"/>
        <v/>
      </c>
      <c r="AY451" s="32" t="str">
        <f t="shared" si="255"/>
        <v/>
      </c>
      <c r="BA451" s="32" t="str">
        <f>IF($A452="","",F451*Summary!$Q$14)</f>
        <v/>
      </c>
    </row>
    <row r="452" spans="1:53">
      <c r="A452" s="67" t="str">
        <f t="shared" si="256"/>
        <v/>
      </c>
      <c r="B452" s="69" t="str">
        <f t="shared" si="257"/>
        <v/>
      </c>
      <c r="D452" s="69" t="str">
        <f t="shared" si="231"/>
        <v/>
      </c>
      <c r="E452" s="70" t="str">
        <f t="shared" si="232"/>
        <v/>
      </c>
      <c r="F452" s="70" t="str">
        <f t="shared" si="233"/>
        <v/>
      </c>
      <c r="G452" s="63" t="str">
        <f t="shared" si="234"/>
        <v/>
      </c>
      <c r="H452" s="64" t="str">
        <f t="shared" si="235"/>
        <v/>
      </c>
      <c r="J452" s="63" t="str">
        <f t="shared" si="236"/>
        <v/>
      </c>
      <c r="K452" s="64" t="str">
        <f t="shared" si="237"/>
        <v/>
      </c>
      <c r="L452" s="38">
        <v>0</v>
      </c>
      <c r="M452" s="64" t="str">
        <f t="shared" si="238"/>
        <v/>
      </c>
      <c r="O452" s="63" t="str">
        <f t="shared" si="239"/>
        <v/>
      </c>
      <c r="P452" s="63" t="str">
        <f t="shared" si="240"/>
        <v/>
      </c>
      <c r="R452" s="63" t="str">
        <f t="shared" si="241"/>
        <v/>
      </c>
      <c r="S452" s="64" t="str">
        <f t="shared" si="242"/>
        <v/>
      </c>
      <c r="T452" s="63" t="str">
        <f t="shared" si="243"/>
        <v/>
      </c>
      <c r="U452" s="64" t="str">
        <f t="shared" si="244"/>
        <v/>
      </c>
      <c r="V452" s="207" t="str">
        <f>IF($A453="","",IF(AND(MONTH(A452)&gt;3,MONTH(A452)&lt;11),(T452+R452+G452)*(((1/(1-Summary!$T$14))/(1-Summary!$W$14))-1),(T452+R452+G452)*((1/(1-Summary!$U$14))/(1-Summary!$X$14)-1)))</f>
        <v/>
      </c>
      <c r="W452" s="43" t="str">
        <f t="shared" si="245"/>
        <v/>
      </c>
      <c r="X452" s="43" t="str">
        <f t="shared" si="246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7"/>
        <v/>
      </c>
      <c r="AP452" s="33" t="str">
        <f t="shared" si="248"/>
        <v/>
      </c>
      <c r="AQ452" s="58" t="str">
        <f t="shared" si="249"/>
        <v/>
      </c>
      <c r="AR452" s="38">
        <f>'ANR OK vs ML7'!AR452</f>
        <v>0.1</v>
      </c>
      <c r="AS452" s="35" t="str">
        <f t="shared" si="250"/>
        <v/>
      </c>
      <c r="AT452" s="3" t="str">
        <f t="shared" si="251"/>
        <v/>
      </c>
      <c r="AU452" s="3" t="str">
        <f t="shared" si="252"/>
        <v/>
      </c>
      <c r="AW452" s="32" t="str">
        <f t="shared" si="253"/>
        <v/>
      </c>
      <c r="AX452" s="32" t="str">
        <f t="shared" si="254"/>
        <v/>
      </c>
      <c r="AY452" s="32" t="str">
        <f t="shared" si="255"/>
        <v/>
      </c>
      <c r="BA452" s="32" t="str">
        <f>IF($A453="","",F452*Summary!$Q$14)</f>
        <v/>
      </c>
    </row>
    <row r="453" spans="1:53">
      <c r="A453" s="67" t="str">
        <f t="shared" si="256"/>
        <v/>
      </c>
      <c r="B453" s="69" t="str">
        <f t="shared" si="257"/>
        <v/>
      </c>
      <c r="D453" s="69" t="str">
        <f t="shared" si="231"/>
        <v/>
      </c>
      <c r="E453" s="70" t="str">
        <f t="shared" si="232"/>
        <v/>
      </c>
      <c r="F453" s="70" t="str">
        <f t="shared" si="233"/>
        <v/>
      </c>
      <c r="G453" s="63" t="str">
        <f t="shared" si="234"/>
        <v/>
      </c>
      <c r="H453" s="64" t="str">
        <f t="shared" si="235"/>
        <v/>
      </c>
      <c r="J453" s="63" t="str">
        <f t="shared" si="236"/>
        <v/>
      </c>
      <c r="K453" s="64" t="str">
        <f t="shared" si="237"/>
        <v/>
      </c>
      <c r="L453" s="38">
        <v>0</v>
      </c>
      <c r="M453" s="64" t="str">
        <f t="shared" si="238"/>
        <v/>
      </c>
      <c r="O453" s="63" t="str">
        <f t="shared" si="239"/>
        <v/>
      </c>
      <c r="P453" s="63" t="str">
        <f t="shared" si="240"/>
        <v/>
      </c>
      <c r="R453" s="63" t="str">
        <f t="shared" si="241"/>
        <v/>
      </c>
      <c r="S453" s="64" t="str">
        <f t="shared" si="242"/>
        <v/>
      </c>
      <c r="T453" s="63" t="str">
        <f t="shared" si="243"/>
        <v/>
      </c>
      <c r="U453" s="64" t="str">
        <f t="shared" si="244"/>
        <v/>
      </c>
      <c r="V453" s="207" t="str">
        <f>IF($A454="","",IF(AND(MONTH(A453)&gt;3,MONTH(A453)&lt;11),(T453+R453+G453)*(((1/(1-Summary!$T$14))/(1-Summary!$W$14))-1),(T453+R453+G453)*((1/(1-Summary!$U$14))/(1-Summary!$X$14)-1)))</f>
        <v/>
      </c>
      <c r="W453" s="43" t="str">
        <f t="shared" si="245"/>
        <v/>
      </c>
      <c r="X453" s="43" t="str">
        <f t="shared" si="246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7"/>
        <v/>
      </c>
      <c r="AP453" s="33" t="str">
        <f t="shared" si="248"/>
        <v/>
      </c>
      <c r="AQ453" s="58" t="str">
        <f t="shared" si="249"/>
        <v/>
      </c>
      <c r="AR453" s="38">
        <f>'ANR OK vs ML7'!AR453</f>
        <v>0.1</v>
      </c>
      <c r="AS453" s="35" t="str">
        <f t="shared" si="250"/>
        <v/>
      </c>
      <c r="AT453" s="3" t="str">
        <f t="shared" si="251"/>
        <v/>
      </c>
      <c r="AU453" s="3" t="str">
        <f t="shared" si="252"/>
        <v/>
      </c>
      <c r="AW453" s="32" t="str">
        <f t="shared" si="253"/>
        <v/>
      </c>
      <c r="AX453" s="32" t="str">
        <f t="shared" si="254"/>
        <v/>
      </c>
      <c r="AY453" s="32" t="str">
        <f t="shared" si="255"/>
        <v/>
      </c>
      <c r="BA453" s="32" t="str">
        <f>IF($A454="","",F453*Summary!$Q$14)</f>
        <v/>
      </c>
    </row>
    <row r="454" spans="1:53">
      <c r="A454" s="67" t="str">
        <f t="shared" si="256"/>
        <v/>
      </c>
      <c r="B454" s="69" t="str">
        <f t="shared" si="257"/>
        <v/>
      </c>
      <c r="D454" s="69" t="str">
        <f t="shared" si="231"/>
        <v/>
      </c>
      <c r="E454" s="70" t="str">
        <f t="shared" si="232"/>
        <v/>
      </c>
      <c r="F454" s="70" t="str">
        <f t="shared" si="233"/>
        <v/>
      </c>
      <c r="G454" s="63" t="str">
        <f t="shared" si="234"/>
        <v/>
      </c>
      <c r="H454" s="64" t="str">
        <f t="shared" si="235"/>
        <v/>
      </c>
      <c r="J454" s="63" t="str">
        <f t="shared" si="236"/>
        <v/>
      </c>
      <c r="K454" s="64" t="str">
        <f t="shared" si="237"/>
        <v/>
      </c>
      <c r="L454" s="38">
        <v>0</v>
      </c>
      <c r="M454" s="64" t="str">
        <f t="shared" si="238"/>
        <v/>
      </c>
      <c r="O454" s="63" t="str">
        <f t="shared" si="239"/>
        <v/>
      </c>
      <c r="P454" s="63" t="str">
        <f t="shared" si="240"/>
        <v/>
      </c>
      <c r="R454" s="63" t="str">
        <f t="shared" si="241"/>
        <v/>
      </c>
      <c r="S454" s="64" t="str">
        <f t="shared" si="242"/>
        <v/>
      </c>
      <c r="T454" s="63" t="str">
        <f t="shared" si="243"/>
        <v/>
      </c>
      <c r="U454" s="64" t="str">
        <f t="shared" si="244"/>
        <v/>
      </c>
      <c r="V454" s="207" t="str">
        <f>IF($A455="","",IF(AND(MONTH(A454)&gt;3,MONTH(A454)&lt;11),(T454+R454+G454)*(((1/(1-Summary!$T$14))/(1-Summary!$W$14))-1),(T454+R454+G454)*((1/(1-Summary!$U$14))/(1-Summary!$X$14)-1)))</f>
        <v/>
      </c>
      <c r="W454" s="43" t="str">
        <f t="shared" si="245"/>
        <v/>
      </c>
      <c r="X454" s="43" t="str">
        <f t="shared" si="246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7"/>
        <v/>
      </c>
      <c r="AP454" s="33" t="str">
        <f t="shared" si="248"/>
        <v/>
      </c>
      <c r="AQ454" s="58" t="str">
        <f t="shared" si="249"/>
        <v/>
      </c>
      <c r="AR454" s="38">
        <f>'ANR OK vs ML7'!AR454</f>
        <v>0.1</v>
      </c>
      <c r="AS454" s="35" t="str">
        <f t="shared" si="250"/>
        <v/>
      </c>
      <c r="AT454" s="3" t="str">
        <f t="shared" si="251"/>
        <v/>
      </c>
      <c r="AU454" s="3" t="str">
        <f t="shared" si="252"/>
        <v/>
      </c>
      <c r="AW454" s="32" t="str">
        <f t="shared" si="253"/>
        <v/>
      </c>
      <c r="AX454" s="32" t="str">
        <f t="shared" si="254"/>
        <v/>
      </c>
      <c r="AY454" s="32" t="str">
        <f t="shared" si="255"/>
        <v/>
      </c>
      <c r="BA454" s="32" t="str">
        <f>IF($A455="","",F454*Summary!$Q$14)</f>
        <v/>
      </c>
    </row>
    <row r="455" spans="1:53">
      <c r="A455" s="67" t="str">
        <f t="shared" si="256"/>
        <v/>
      </c>
      <c r="B455" s="69" t="str">
        <f t="shared" si="257"/>
        <v/>
      </c>
      <c r="D455" s="69" t="str">
        <f t="shared" si="231"/>
        <v/>
      </c>
      <c r="E455" s="70" t="str">
        <f t="shared" si="232"/>
        <v/>
      </c>
      <c r="F455" s="70" t="str">
        <f t="shared" si="233"/>
        <v/>
      </c>
      <c r="G455" s="63" t="str">
        <f t="shared" si="234"/>
        <v/>
      </c>
      <c r="H455" s="64" t="str">
        <f t="shared" si="235"/>
        <v/>
      </c>
      <c r="J455" s="63" t="str">
        <f t="shared" si="236"/>
        <v/>
      </c>
      <c r="K455" s="64" t="str">
        <f t="shared" si="237"/>
        <v/>
      </c>
      <c r="L455" s="38">
        <v>0</v>
      </c>
      <c r="M455" s="64" t="str">
        <f t="shared" si="238"/>
        <v/>
      </c>
      <c r="O455" s="63" t="str">
        <f t="shared" si="239"/>
        <v/>
      </c>
      <c r="P455" s="63" t="str">
        <f t="shared" si="240"/>
        <v/>
      </c>
      <c r="R455" s="63" t="str">
        <f t="shared" si="241"/>
        <v/>
      </c>
      <c r="S455" s="64" t="str">
        <f t="shared" si="242"/>
        <v/>
      </c>
      <c r="T455" s="63" t="str">
        <f t="shared" si="243"/>
        <v/>
      </c>
      <c r="U455" s="64" t="str">
        <f t="shared" si="244"/>
        <v/>
      </c>
      <c r="V455" s="207" t="str">
        <f>IF($A456="","",IF(AND(MONTH(A455)&gt;3,MONTH(A455)&lt;11),(T455+R455+G455)*(((1/(1-Summary!$T$14))/(1-Summary!$W$14))-1),(T455+R455+G455)*((1/(1-Summary!$U$14))/(1-Summary!$X$14)-1)))</f>
        <v/>
      </c>
      <c r="W455" s="43" t="str">
        <f t="shared" si="245"/>
        <v/>
      </c>
      <c r="X455" s="43" t="str">
        <f t="shared" si="246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7"/>
        <v/>
      </c>
      <c r="AP455" s="33" t="str">
        <f t="shared" si="248"/>
        <v/>
      </c>
      <c r="AQ455" s="58" t="str">
        <f t="shared" si="249"/>
        <v/>
      </c>
      <c r="AR455" s="38">
        <f>'ANR OK vs ML7'!AR455</f>
        <v>0.1</v>
      </c>
      <c r="AS455" s="35" t="str">
        <f t="shared" si="250"/>
        <v/>
      </c>
      <c r="AT455" s="3" t="str">
        <f t="shared" si="251"/>
        <v/>
      </c>
      <c r="AU455" s="3" t="str">
        <f t="shared" si="252"/>
        <v/>
      </c>
      <c r="AW455" s="32" t="str">
        <f t="shared" si="253"/>
        <v/>
      </c>
      <c r="AX455" s="32" t="str">
        <f t="shared" si="254"/>
        <v/>
      </c>
      <c r="AY455" s="32" t="str">
        <f t="shared" si="255"/>
        <v/>
      </c>
      <c r="BA455" s="32" t="str">
        <f>IF($A456="","",F455*Summary!$Q$14)</f>
        <v/>
      </c>
    </row>
    <row r="456" spans="1:53">
      <c r="A456" s="67" t="str">
        <f t="shared" si="256"/>
        <v/>
      </c>
      <c r="B456" s="69" t="str">
        <f t="shared" si="257"/>
        <v/>
      </c>
      <c r="D456" s="69" t="str">
        <f t="shared" si="231"/>
        <v/>
      </c>
      <c r="E456" s="70" t="str">
        <f t="shared" si="232"/>
        <v/>
      </c>
      <c r="F456" s="70" t="str">
        <f t="shared" si="233"/>
        <v/>
      </c>
      <c r="G456" s="63" t="str">
        <f t="shared" si="234"/>
        <v/>
      </c>
      <c r="H456" s="64" t="str">
        <f t="shared" si="235"/>
        <v/>
      </c>
      <c r="J456" s="63" t="str">
        <f t="shared" si="236"/>
        <v/>
      </c>
      <c r="K456" s="64" t="str">
        <f t="shared" si="237"/>
        <v/>
      </c>
      <c r="L456" s="38">
        <v>0</v>
      </c>
      <c r="M456" s="64" t="str">
        <f t="shared" si="238"/>
        <v/>
      </c>
      <c r="O456" s="63" t="str">
        <f t="shared" si="239"/>
        <v/>
      </c>
      <c r="P456" s="63" t="str">
        <f t="shared" si="240"/>
        <v/>
      </c>
      <c r="R456" s="63" t="str">
        <f t="shared" si="241"/>
        <v/>
      </c>
      <c r="S456" s="64" t="str">
        <f t="shared" si="242"/>
        <v/>
      </c>
      <c r="T456" s="63" t="str">
        <f t="shared" si="243"/>
        <v/>
      </c>
      <c r="U456" s="64" t="str">
        <f t="shared" si="244"/>
        <v/>
      </c>
      <c r="V456" s="207" t="str">
        <f>IF($A457="","",IF(AND(MONTH(A456)&gt;3,MONTH(A456)&lt;11),(T456+R456+G456)*(((1/(1-Summary!$T$14))/(1-Summary!$W$14))-1),(T456+R456+G456)*((1/(1-Summary!$U$14))/(1-Summary!$X$14)-1)))</f>
        <v/>
      </c>
      <c r="W456" s="43" t="str">
        <f t="shared" si="245"/>
        <v/>
      </c>
      <c r="X456" s="43" t="str">
        <f t="shared" si="246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7"/>
        <v/>
      </c>
      <c r="AP456" s="33" t="str">
        <f t="shared" si="248"/>
        <v/>
      </c>
      <c r="AQ456" s="58" t="str">
        <f t="shared" si="249"/>
        <v/>
      </c>
      <c r="AR456" s="38">
        <f>'ANR OK vs ML7'!AR456</f>
        <v>0.1</v>
      </c>
      <c r="AS456" s="35" t="str">
        <f t="shared" si="250"/>
        <v/>
      </c>
      <c r="AT456" s="3" t="str">
        <f t="shared" si="251"/>
        <v/>
      </c>
      <c r="AU456" s="3" t="str">
        <f t="shared" si="252"/>
        <v/>
      </c>
      <c r="AW456" s="32" t="str">
        <f t="shared" si="253"/>
        <v/>
      </c>
      <c r="AX456" s="32" t="str">
        <f t="shared" si="254"/>
        <v/>
      </c>
      <c r="AY456" s="32" t="str">
        <f t="shared" si="255"/>
        <v/>
      </c>
      <c r="BA456" s="32" t="str">
        <f>IF($A457="","",F456*Summary!$Q$14)</f>
        <v/>
      </c>
    </row>
    <row r="457" spans="1:53">
      <c r="A457" s="67" t="str">
        <f t="shared" si="256"/>
        <v/>
      </c>
      <c r="B457" s="69" t="str">
        <f t="shared" si="257"/>
        <v/>
      </c>
      <c r="D457" s="69" t="str">
        <f t="shared" si="231"/>
        <v/>
      </c>
      <c r="E457" s="70" t="str">
        <f t="shared" si="232"/>
        <v/>
      </c>
      <c r="F457" s="70" t="str">
        <f t="shared" si="233"/>
        <v/>
      </c>
      <c r="G457" s="63" t="str">
        <f t="shared" si="234"/>
        <v/>
      </c>
      <c r="H457" s="64" t="str">
        <f t="shared" si="235"/>
        <v/>
      </c>
      <c r="J457" s="63" t="str">
        <f t="shared" si="236"/>
        <v/>
      </c>
      <c r="K457" s="64" t="str">
        <f t="shared" si="237"/>
        <v/>
      </c>
      <c r="L457" s="38">
        <v>0</v>
      </c>
      <c r="M457" s="64" t="str">
        <f t="shared" si="238"/>
        <v/>
      </c>
      <c r="O457" s="63" t="str">
        <f t="shared" si="239"/>
        <v/>
      </c>
      <c r="P457" s="63" t="str">
        <f t="shared" si="240"/>
        <v/>
      </c>
      <c r="R457" s="63" t="str">
        <f t="shared" si="241"/>
        <v/>
      </c>
      <c r="S457" s="64" t="str">
        <f t="shared" si="242"/>
        <v/>
      </c>
      <c r="T457" s="63" t="str">
        <f t="shared" si="243"/>
        <v/>
      </c>
      <c r="U457" s="64" t="str">
        <f t="shared" si="244"/>
        <v/>
      </c>
      <c r="V457" s="207" t="str">
        <f>IF($A458="","",IF(AND(MONTH(A457)&gt;3,MONTH(A457)&lt;11),(T457+R457+G457)*(((1/(1-Summary!$T$14))/(1-Summary!$W$14))-1),(T457+R457+G457)*((1/(1-Summary!$U$14))/(1-Summary!$X$14)-1)))</f>
        <v/>
      </c>
      <c r="W457" s="43" t="str">
        <f t="shared" si="245"/>
        <v/>
      </c>
      <c r="X457" s="43" t="str">
        <f t="shared" si="246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7"/>
        <v/>
      </c>
      <c r="AP457" s="33" t="str">
        <f t="shared" si="248"/>
        <v/>
      </c>
      <c r="AQ457" s="58" t="str">
        <f t="shared" si="249"/>
        <v/>
      </c>
      <c r="AR457" s="38">
        <f>'ANR OK vs ML7'!AR457</f>
        <v>0.1</v>
      </c>
      <c r="AS457" s="35" t="str">
        <f t="shared" si="250"/>
        <v/>
      </c>
      <c r="AT457" s="3" t="str">
        <f t="shared" si="251"/>
        <v/>
      </c>
      <c r="AU457" s="3" t="str">
        <f t="shared" si="252"/>
        <v/>
      </c>
      <c r="AW457" s="32" t="str">
        <f t="shared" si="253"/>
        <v/>
      </c>
      <c r="AX457" s="32" t="str">
        <f t="shared" si="254"/>
        <v/>
      </c>
      <c r="AY457" s="32" t="str">
        <f t="shared" si="255"/>
        <v/>
      </c>
      <c r="BA457" s="32" t="str">
        <f>IF($A458="","",F457*Summary!$Q$14)</f>
        <v/>
      </c>
    </row>
    <row r="458" spans="1:53">
      <c r="A458" s="67" t="str">
        <f t="shared" si="256"/>
        <v/>
      </c>
      <c r="B458" s="69" t="str">
        <f t="shared" si="257"/>
        <v/>
      </c>
      <c r="D458" s="69" t="str">
        <f t="shared" ref="D458:D499" si="258">IF(A459&lt;&gt;"",B458+C458,"")</f>
        <v/>
      </c>
      <c r="E458" s="70" t="str">
        <f t="shared" ref="E458:E499" si="259">IF(A459="","",IF(AND(AT458=1,$H$3=1),D458*AO458,IF($H$3=2,D458,"N/A")))</f>
        <v/>
      </c>
      <c r="F458" s="70" t="str">
        <f t="shared" ref="F458:F499" si="260">IF(A459="","",E458*AS458)</f>
        <v/>
      </c>
      <c r="G458" s="63" t="str">
        <f t="shared" ref="G458:G499" si="261">IF($A459="","",VLOOKUP($A458,Table,MATCH(G$4,Curves,0)))</f>
        <v/>
      </c>
      <c r="H458" s="64" t="str">
        <f t="shared" ref="H458:H499" si="262">IF(A459="","",G458)</f>
        <v/>
      </c>
      <c r="J458" s="63" t="str">
        <f t="shared" ref="J458:J499" si="263">IF($A459="","",VLOOKUP($A458,Table,MATCH(J$4,Curves,0)))</f>
        <v/>
      </c>
      <c r="K458" s="64" t="str">
        <f t="shared" ref="K458:K499" si="264">IF(A459="","",J458)</f>
        <v/>
      </c>
      <c r="L458" s="38">
        <v>0</v>
      </c>
      <c r="M458" s="64" t="str">
        <f t="shared" ref="M458:M499" si="265">IF(A459="","",L458)</f>
        <v/>
      </c>
      <c r="O458" s="63" t="str">
        <f t="shared" ref="O458:O499" si="266">IF(A459="","",L458+J458+G458)</f>
        <v/>
      </c>
      <c r="P458" s="63" t="str">
        <f t="shared" ref="P458:P499" si="267">IF(A459="","",M458+K458+H458)</f>
        <v/>
      </c>
      <c r="R458" s="63" t="str">
        <f t="shared" ref="R458:R499" si="268">IF($A459="","",VLOOKUP($A458,Table,MATCH(R$4,Curves,0)))</f>
        <v/>
      </c>
      <c r="S458" s="64" t="str">
        <f t="shared" ref="S458:S499" si="269">IF(A459="","",R458)</f>
        <v/>
      </c>
      <c r="T458" s="63" t="str">
        <f t="shared" ref="T458:T499" si="270">IF($A459="","",VLOOKUP($A458,Table,MATCH(T$4,Curves,0)))</f>
        <v/>
      </c>
      <c r="U458" s="64" t="str">
        <f t="shared" ref="U458:U499" si="271">IF(A459="","",T458)</f>
        <v/>
      </c>
      <c r="V458" s="207" t="str">
        <f>IF($A459="","",IF(AND(MONTH(A458)&gt;3,MONTH(A458)&lt;11),(T458+R458+G458)*(((1/(1-Summary!$T$14))/(1-Summary!$W$14))-1),(T458+R458+G458)*((1/(1-Summary!$U$14))/(1-Summary!$X$14)-1)))</f>
        <v/>
      </c>
      <c r="W458" s="43" t="str">
        <f t="shared" ref="W458:W499" si="272">IF($A459="","",(T458+R458+G458+V458))</f>
        <v/>
      </c>
      <c r="X458" s="43" t="str">
        <f t="shared" ref="X458:X499" si="273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74">IF(A459="","",A459-A458)</f>
        <v/>
      </c>
      <c r="AP458" s="33" t="str">
        <f t="shared" ref="AP458:AP499" si="275">IF(A459="","",CHOOSE(F$3,A459+24,A458))</f>
        <v/>
      </c>
      <c r="AQ458" s="58" t="str">
        <f t="shared" ref="AQ458:AQ499" si="276">IF(A459="","",AP458-$E$1)</f>
        <v/>
      </c>
      <c r="AR458" s="38">
        <f>'ANR OK vs ML7'!AR458</f>
        <v>0.1</v>
      </c>
      <c r="AS458" s="35" t="str">
        <f t="shared" ref="AS458:AS499" si="277">IF(A459="","",1/(1+CHOOSE(F$3,(AR459+($I$3/10000))/2,(AR458+($I$3/10000))/2))^(2*AQ458/365.25))</f>
        <v/>
      </c>
      <c r="AT458" s="3" t="str">
        <f t="shared" ref="AT458:AT499" si="278">IF(A459="","",IF(AND(mthbeg&lt;=A458,mthend&gt;=A458),1,0))</f>
        <v/>
      </c>
      <c r="AU458" s="3" t="str">
        <f t="shared" ref="AU458:AU499" si="279">IF(A459="","",AO458*AT458)</f>
        <v/>
      </c>
      <c r="AW458" s="32" t="str">
        <f t="shared" ref="AW458:AW501" si="280">IF($A459="","",AL458*$E458)</f>
        <v/>
      </c>
      <c r="AX458" s="32" t="str">
        <f t="shared" ref="AX458:AX501" si="281">IF($A459="","",AM458*$E458)</f>
        <v/>
      </c>
      <c r="AY458" s="32" t="str">
        <f t="shared" ref="AY458:AY501" si="282">IF($A459="","",AN458*$E458)</f>
        <v/>
      </c>
      <c r="BA458" s="32" t="str">
        <f>IF($A459="","",F458*Summary!$Q$14)</f>
        <v/>
      </c>
    </row>
    <row r="459" spans="1:53">
      <c r="A459" s="67" t="str">
        <f t="shared" ref="A459:A501" si="283">IF(A458&lt;mthend,EDATE(A458,1),"")</f>
        <v/>
      </c>
      <c r="B459" s="69" t="str">
        <f t="shared" ref="B459:B501" si="284">IF(A459&lt;mthend,B458,"")</f>
        <v/>
      </c>
      <c r="D459" s="69" t="str">
        <f t="shared" si="258"/>
        <v/>
      </c>
      <c r="E459" s="70" t="str">
        <f t="shared" si="259"/>
        <v/>
      </c>
      <c r="F459" s="70" t="str">
        <f t="shared" si="260"/>
        <v/>
      </c>
      <c r="G459" s="63" t="str">
        <f t="shared" si="261"/>
        <v/>
      </c>
      <c r="H459" s="64" t="str">
        <f t="shared" si="262"/>
        <v/>
      </c>
      <c r="J459" s="63" t="str">
        <f t="shared" si="263"/>
        <v/>
      </c>
      <c r="K459" s="64" t="str">
        <f t="shared" si="264"/>
        <v/>
      </c>
      <c r="L459" s="38">
        <v>0</v>
      </c>
      <c r="M459" s="64" t="str">
        <f t="shared" si="265"/>
        <v/>
      </c>
      <c r="O459" s="63" t="str">
        <f t="shared" si="266"/>
        <v/>
      </c>
      <c r="P459" s="63" t="str">
        <f t="shared" si="267"/>
        <v/>
      </c>
      <c r="R459" s="63" t="str">
        <f t="shared" si="268"/>
        <v/>
      </c>
      <c r="S459" s="64" t="str">
        <f t="shared" si="269"/>
        <v/>
      </c>
      <c r="T459" s="63" t="str">
        <f t="shared" si="270"/>
        <v/>
      </c>
      <c r="U459" s="64" t="str">
        <f t="shared" si="271"/>
        <v/>
      </c>
      <c r="V459" s="207" t="str">
        <f>IF($A460="","",IF(AND(MONTH(A459)&gt;3,MONTH(A459)&lt;11),(T459+R459+G459)*(((1/(1-Summary!$T$14))/(1-Summary!$W$14))-1),(T459+R459+G459)*((1/(1-Summary!$U$14))/(1-Summary!$X$14)-1)))</f>
        <v/>
      </c>
      <c r="W459" s="43" t="str">
        <f t="shared" si="272"/>
        <v/>
      </c>
      <c r="X459" s="43" t="str">
        <f t="shared" si="273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74"/>
        <v/>
      </c>
      <c r="AP459" s="33" t="str">
        <f t="shared" si="275"/>
        <v/>
      </c>
      <c r="AQ459" s="58" t="str">
        <f t="shared" si="276"/>
        <v/>
      </c>
      <c r="AR459" s="38">
        <f>'ANR OK vs ML7'!AR459</f>
        <v>0.1</v>
      </c>
      <c r="AS459" s="35" t="str">
        <f t="shared" si="277"/>
        <v/>
      </c>
      <c r="AT459" s="3" t="str">
        <f t="shared" si="278"/>
        <v/>
      </c>
      <c r="AU459" s="3" t="str">
        <f t="shared" si="279"/>
        <v/>
      </c>
      <c r="AW459" s="32" t="str">
        <f t="shared" si="280"/>
        <v/>
      </c>
      <c r="AX459" s="32" t="str">
        <f t="shared" si="281"/>
        <v/>
      </c>
      <c r="AY459" s="32" t="str">
        <f t="shared" si="282"/>
        <v/>
      </c>
      <c r="BA459" s="32" t="str">
        <f>IF($A460="","",F459*Summary!$Q$14)</f>
        <v/>
      </c>
    </row>
    <row r="460" spans="1:53">
      <c r="A460" s="67" t="str">
        <f t="shared" si="283"/>
        <v/>
      </c>
      <c r="B460" s="69" t="str">
        <f t="shared" si="284"/>
        <v/>
      </c>
      <c r="D460" s="69" t="str">
        <f t="shared" si="258"/>
        <v/>
      </c>
      <c r="E460" s="70" t="str">
        <f t="shared" si="259"/>
        <v/>
      </c>
      <c r="F460" s="70" t="str">
        <f t="shared" si="260"/>
        <v/>
      </c>
      <c r="G460" s="63" t="str">
        <f t="shared" si="261"/>
        <v/>
      </c>
      <c r="H460" s="64" t="str">
        <f t="shared" si="262"/>
        <v/>
      </c>
      <c r="J460" s="63" t="str">
        <f t="shared" si="263"/>
        <v/>
      </c>
      <c r="K460" s="64" t="str">
        <f t="shared" si="264"/>
        <v/>
      </c>
      <c r="L460" s="38">
        <v>0</v>
      </c>
      <c r="M460" s="64" t="str">
        <f t="shared" si="265"/>
        <v/>
      </c>
      <c r="O460" s="63" t="str">
        <f t="shared" si="266"/>
        <v/>
      </c>
      <c r="P460" s="63" t="str">
        <f t="shared" si="267"/>
        <v/>
      </c>
      <c r="R460" s="63" t="str">
        <f t="shared" si="268"/>
        <v/>
      </c>
      <c r="S460" s="64" t="str">
        <f t="shared" si="269"/>
        <v/>
      </c>
      <c r="T460" s="63" t="str">
        <f t="shared" si="270"/>
        <v/>
      </c>
      <c r="U460" s="64" t="str">
        <f t="shared" si="271"/>
        <v/>
      </c>
      <c r="V460" s="207" t="str">
        <f>IF($A461="","",IF(AND(MONTH(A460)&gt;3,MONTH(A460)&lt;11),(T460+R460+G460)*(((1/(1-Summary!$T$14))/(1-Summary!$W$14))-1),(T460+R460+G460)*((1/(1-Summary!$U$14))/(1-Summary!$X$14)-1)))</f>
        <v/>
      </c>
      <c r="W460" s="43" t="str">
        <f t="shared" si="272"/>
        <v/>
      </c>
      <c r="X460" s="43" t="str">
        <f t="shared" si="273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74"/>
        <v/>
      </c>
      <c r="AP460" s="33" t="str">
        <f t="shared" si="275"/>
        <v/>
      </c>
      <c r="AQ460" s="58" t="str">
        <f t="shared" si="276"/>
        <v/>
      </c>
      <c r="AR460" s="38">
        <f>'ANR OK vs ML7'!AR460</f>
        <v>0.1</v>
      </c>
      <c r="AS460" s="35" t="str">
        <f t="shared" si="277"/>
        <v/>
      </c>
      <c r="AT460" s="3" t="str">
        <f t="shared" si="278"/>
        <v/>
      </c>
      <c r="AU460" s="3" t="str">
        <f t="shared" si="279"/>
        <v/>
      </c>
      <c r="AW460" s="32" t="str">
        <f t="shared" si="280"/>
        <v/>
      </c>
      <c r="AX460" s="32" t="str">
        <f t="shared" si="281"/>
        <v/>
      </c>
      <c r="AY460" s="32" t="str">
        <f t="shared" si="282"/>
        <v/>
      </c>
      <c r="BA460" s="32" t="str">
        <f>IF($A461="","",F460*Summary!$Q$14)</f>
        <v/>
      </c>
    </row>
    <row r="461" spans="1:53">
      <c r="A461" s="67" t="str">
        <f t="shared" si="283"/>
        <v/>
      </c>
      <c r="B461" s="69" t="str">
        <f t="shared" si="284"/>
        <v/>
      </c>
      <c r="D461" s="69" t="str">
        <f t="shared" si="258"/>
        <v/>
      </c>
      <c r="E461" s="70" t="str">
        <f t="shared" si="259"/>
        <v/>
      </c>
      <c r="F461" s="70" t="str">
        <f t="shared" si="260"/>
        <v/>
      </c>
      <c r="G461" s="63" t="str">
        <f t="shared" si="261"/>
        <v/>
      </c>
      <c r="H461" s="64" t="str">
        <f t="shared" si="262"/>
        <v/>
      </c>
      <c r="J461" s="63" t="str">
        <f t="shared" si="263"/>
        <v/>
      </c>
      <c r="K461" s="64" t="str">
        <f t="shared" si="264"/>
        <v/>
      </c>
      <c r="L461" s="38">
        <v>0</v>
      </c>
      <c r="M461" s="64" t="str">
        <f t="shared" si="265"/>
        <v/>
      </c>
      <c r="O461" s="63" t="str">
        <f t="shared" si="266"/>
        <v/>
      </c>
      <c r="P461" s="63" t="str">
        <f t="shared" si="267"/>
        <v/>
      </c>
      <c r="R461" s="63" t="str">
        <f t="shared" si="268"/>
        <v/>
      </c>
      <c r="S461" s="64" t="str">
        <f t="shared" si="269"/>
        <v/>
      </c>
      <c r="T461" s="63" t="str">
        <f t="shared" si="270"/>
        <v/>
      </c>
      <c r="U461" s="64" t="str">
        <f t="shared" si="271"/>
        <v/>
      </c>
      <c r="V461" s="207" t="str">
        <f>IF($A462="","",IF(AND(MONTH(A461)&gt;3,MONTH(A461)&lt;11),(T461+R461+G461)*(((1/(1-Summary!$T$14))/(1-Summary!$W$14))-1),(T461+R461+G461)*((1/(1-Summary!$U$14))/(1-Summary!$X$14)-1)))</f>
        <v/>
      </c>
      <c r="W461" s="43" t="str">
        <f t="shared" si="272"/>
        <v/>
      </c>
      <c r="X461" s="43" t="str">
        <f t="shared" si="273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74"/>
        <v/>
      </c>
      <c r="AP461" s="33" t="str">
        <f t="shared" si="275"/>
        <v/>
      </c>
      <c r="AQ461" s="58" t="str">
        <f t="shared" si="276"/>
        <v/>
      </c>
      <c r="AR461" s="38">
        <f>'ANR OK vs ML7'!AR461</f>
        <v>0.1</v>
      </c>
      <c r="AS461" s="35" t="str">
        <f t="shared" si="277"/>
        <v/>
      </c>
      <c r="AT461" s="3" t="str">
        <f t="shared" si="278"/>
        <v/>
      </c>
      <c r="AU461" s="3" t="str">
        <f t="shared" si="279"/>
        <v/>
      </c>
      <c r="AW461" s="32" t="str">
        <f t="shared" si="280"/>
        <v/>
      </c>
      <c r="AX461" s="32" t="str">
        <f t="shared" si="281"/>
        <v/>
      </c>
      <c r="AY461" s="32" t="str">
        <f t="shared" si="282"/>
        <v/>
      </c>
      <c r="BA461" s="32" t="str">
        <f>IF($A462="","",F461*Summary!$Q$14)</f>
        <v/>
      </c>
    </row>
    <row r="462" spans="1:53">
      <c r="A462" s="67" t="str">
        <f t="shared" si="283"/>
        <v/>
      </c>
      <c r="B462" s="69" t="str">
        <f t="shared" si="284"/>
        <v/>
      </c>
      <c r="D462" s="69" t="str">
        <f t="shared" si="258"/>
        <v/>
      </c>
      <c r="E462" s="70" t="str">
        <f t="shared" si="259"/>
        <v/>
      </c>
      <c r="F462" s="70" t="str">
        <f t="shared" si="260"/>
        <v/>
      </c>
      <c r="G462" s="63" t="str">
        <f t="shared" si="261"/>
        <v/>
      </c>
      <c r="H462" s="64" t="str">
        <f t="shared" si="262"/>
        <v/>
      </c>
      <c r="J462" s="63" t="str">
        <f t="shared" si="263"/>
        <v/>
      </c>
      <c r="K462" s="64" t="str">
        <f t="shared" si="264"/>
        <v/>
      </c>
      <c r="L462" s="38">
        <v>0</v>
      </c>
      <c r="M462" s="64" t="str">
        <f t="shared" si="265"/>
        <v/>
      </c>
      <c r="O462" s="63" t="str">
        <f t="shared" si="266"/>
        <v/>
      </c>
      <c r="P462" s="63" t="str">
        <f t="shared" si="267"/>
        <v/>
      </c>
      <c r="R462" s="63" t="str">
        <f t="shared" si="268"/>
        <v/>
      </c>
      <c r="S462" s="64" t="str">
        <f t="shared" si="269"/>
        <v/>
      </c>
      <c r="T462" s="63" t="str">
        <f t="shared" si="270"/>
        <v/>
      </c>
      <c r="U462" s="64" t="str">
        <f t="shared" si="271"/>
        <v/>
      </c>
      <c r="V462" s="207" t="str">
        <f>IF($A463="","",IF(AND(MONTH(A462)&gt;3,MONTH(A462)&lt;11),(T462+R462+G462)*(((1/(1-Summary!$T$14))/(1-Summary!$W$14))-1),(T462+R462+G462)*((1/(1-Summary!$U$14))/(1-Summary!$X$14)-1)))</f>
        <v/>
      </c>
      <c r="W462" s="43" t="str">
        <f t="shared" si="272"/>
        <v/>
      </c>
      <c r="X462" s="43" t="str">
        <f t="shared" si="273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74"/>
        <v/>
      </c>
      <c r="AP462" s="33" t="str">
        <f t="shared" si="275"/>
        <v/>
      </c>
      <c r="AQ462" s="58" t="str">
        <f t="shared" si="276"/>
        <v/>
      </c>
      <c r="AR462" s="38">
        <f>'ANR OK vs ML7'!AR462</f>
        <v>0.1</v>
      </c>
      <c r="AS462" s="35" t="str">
        <f t="shared" si="277"/>
        <v/>
      </c>
      <c r="AT462" s="3" t="str">
        <f t="shared" si="278"/>
        <v/>
      </c>
      <c r="AU462" s="3" t="str">
        <f t="shared" si="279"/>
        <v/>
      </c>
      <c r="AW462" s="32" t="str">
        <f t="shared" si="280"/>
        <v/>
      </c>
      <c r="AX462" s="32" t="str">
        <f t="shared" si="281"/>
        <v/>
      </c>
      <c r="AY462" s="32" t="str">
        <f t="shared" si="282"/>
        <v/>
      </c>
      <c r="BA462" s="32" t="str">
        <f>IF($A463="","",F462*Summary!$Q$14)</f>
        <v/>
      </c>
    </row>
    <row r="463" spans="1:53">
      <c r="A463" s="67" t="str">
        <f t="shared" si="283"/>
        <v/>
      </c>
      <c r="B463" s="69" t="str">
        <f t="shared" si="284"/>
        <v/>
      </c>
      <c r="D463" s="69" t="str">
        <f t="shared" si="258"/>
        <v/>
      </c>
      <c r="E463" s="70" t="str">
        <f t="shared" si="259"/>
        <v/>
      </c>
      <c r="F463" s="70" t="str">
        <f t="shared" si="260"/>
        <v/>
      </c>
      <c r="G463" s="63" t="str">
        <f t="shared" si="261"/>
        <v/>
      </c>
      <c r="H463" s="64" t="str">
        <f t="shared" si="262"/>
        <v/>
      </c>
      <c r="J463" s="63" t="str">
        <f t="shared" si="263"/>
        <v/>
      </c>
      <c r="K463" s="64" t="str">
        <f t="shared" si="264"/>
        <v/>
      </c>
      <c r="L463" s="38">
        <v>0</v>
      </c>
      <c r="M463" s="64" t="str">
        <f t="shared" si="265"/>
        <v/>
      </c>
      <c r="O463" s="63" t="str">
        <f t="shared" si="266"/>
        <v/>
      </c>
      <c r="P463" s="63" t="str">
        <f t="shared" si="267"/>
        <v/>
      </c>
      <c r="R463" s="63" t="str">
        <f t="shared" si="268"/>
        <v/>
      </c>
      <c r="S463" s="64" t="str">
        <f t="shared" si="269"/>
        <v/>
      </c>
      <c r="T463" s="63" t="str">
        <f t="shared" si="270"/>
        <v/>
      </c>
      <c r="U463" s="64" t="str">
        <f t="shared" si="271"/>
        <v/>
      </c>
      <c r="V463" s="207" t="str">
        <f>IF($A464="","",IF(AND(MONTH(A463)&gt;3,MONTH(A463)&lt;11),(T463+R463+G463)*(((1/(1-Summary!$T$14))/(1-Summary!$W$14))-1),(T463+R463+G463)*((1/(1-Summary!$U$14))/(1-Summary!$X$14)-1)))</f>
        <v/>
      </c>
      <c r="W463" s="43" t="str">
        <f t="shared" si="272"/>
        <v/>
      </c>
      <c r="X463" s="43" t="str">
        <f t="shared" si="273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74"/>
        <v/>
      </c>
      <c r="AP463" s="33" t="str">
        <f t="shared" si="275"/>
        <v/>
      </c>
      <c r="AQ463" s="58" t="str">
        <f t="shared" si="276"/>
        <v/>
      </c>
      <c r="AR463" s="38">
        <f>'ANR OK vs ML7'!AR463</f>
        <v>0.1</v>
      </c>
      <c r="AS463" s="35" t="str">
        <f t="shared" si="277"/>
        <v/>
      </c>
      <c r="AT463" s="3" t="str">
        <f t="shared" si="278"/>
        <v/>
      </c>
      <c r="AU463" s="3" t="str">
        <f t="shared" si="279"/>
        <v/>
      </c>
      <c r="AW463" s="32" t="str">
        <f t="shared" si="280"/>
        <v/>
      </c>
      <c r="AX463" s="32" t="str">
        <f t="shared" si="281"/>
        <v/>
      </c>
      <c r="AY463" s="32" t="str">
        <f t="shared" si="282"/>
        <v/>
      </c>
      <c r="BA463" s="32" t="str">
        <f>IF($A464="","",F463*Summary!$Q$14)</f>
        <v/>
      </c>
    </row>
    <row r="464" spans="1:53">
      <c r="A464" s="67" t="str">
        <f t="shared" si="283"/>
        <v/>
      </c>
      <c r="B464" s="69" t="str">
        <f t="shared" si="284"/>
        <v/>
      </c>
      <c r="D464" s="69" t="str">
        <f t="shared" si="258"/>
        <v/>
      </c>
      <c r="E464" s="70" t="str">
        <f t="shared" si="259"/>
        <v/>
      </c>
      <c r="F464" s="70" t="str">
        <f t="shared" si="260"/>
        <v/>
      </c>
      <c r="G464" s="63" t="str">
        <f t="shared" si="261"/>
        <v/>
      </c>
      <c r="H464" s="64" t="str">
        <f t="shared" si="262"/>
        <v/>
      </c>
      <c r="J464" s="63" t="str">
        <f t="shared" si="263"/>
        <v/>
      </c>
      <c r="K464" s="64" t="str">
        <f t="shared" si="264"/>
        <v/>
      </c>
      <c r="L464" s="38">
        <v>0</v>
      </c>
      <c r="M464" s="64" t="str">
        <f t="shared" si="265"/>
        <v/>
      </c>
      <c r="O464" s="63" t="str">
        <f t="shared" si="266"/>
        <v/>
      </c>
      <c r="P464" s="63" t="str">
        <f t="shared" si="267"/>
        <v/>
      </c>
      <c r="R464" s="63" t="str">
        <f t="shared" si="268"/>
        <v/>
      </c>
      <c r="S464" s="64" t="str">
        <f t="shared" si="269"/>
        <v/>
      </c>
      <c r="T464" s="63" t="str">
        <f t="shared" si="270"/>
        <v/>
      </c>
      <c r="U464" s="64" t="str">
        <f t="shared" si="271"/>
        <v/>
      </c>
      <c r="V464" s="207" t="str">
        <f>IF($A465="","",IF(AND(MONTH(A464)&gt;3,MONTH(A464)&lt;11),(T464+R464+G464)*(((1/(1-Summary!$T$14))/(1-Summary!$W$14))-1),(T464+R464+G464)*((1/(1-Summary!$U$14))/(1-Summary!$X$14)-1)))</f>
        <v/>
      </c>
      <c r="W464" s="43" t="str">
        <f t="shared" si="272"/>
        <v/>
      </c>
      <c r="X464" s="43" t="str">
        <f t="shared" si="273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74"/>
        <v/>
      </c>
      <c r="AP464" s="33" t="str">
        <f t="shared" si="275"/>
        <v/>
      </c>
      <c r="AQ464" s="58" t="str">
        <f t="shared" si="276"/>
        <v/>
      </c>
      <c r="AR464" s="38">
        <f>'ANR OK vs ML7'!AR464</f>
        <v>0.1</v>
      </c>
      <c r="AS464" s="35" t="str">
        <f t="shared" si="277"/>
        <v/>
      </c>
      <c r="AT464" s="3" t="str">
        <f t="shared" si="278"/>
        <v/>
      </c>
      <c r="AU464" s="3" t="str">
        <f t="shared" si="279"/>
        <v/>
      </c>
      <c r="AW464" s="32" t="str">
        <f t="shared" si="280"/>
        <v/>
      </c>
      <c r="AX464" s="32" t="str">
        <f t="shared" si="281"/>
        <v/>
      </c>
      <c r="AY464" s="32" t="str">
        <f t="shared" si="282"/>
        <v/>
      </c>
      <c r="BA464" s="32" t="str">
        <f>IF($A465="","",F464*Summary!$Q$14)</f>
        <v/>
      </c>
    </row>
    <row r="465" spans="1:53">
      <c r="A465" s="67" t="str">
        <f t="shared" si="283"/>
        <v/>
      </c>
      <c r="B465" s="69" t="str">
        <f t="shared" si="284"/>
        <v/>
      </c>
      <c r="D465" s="69" t="str">
        <f t="shared" si="258"/>
        <v/>
      </c>
      <c r="E465" s="70" t="str">
        <f t="shared" si="259"/>
        <v/>
      </c>
      <c r="F465" s="70" t="str">
        <f t="shared" si="260"/>
        <v/>
      </c>
      <c r="G465" s="63" t="str">
        <f t="shared" si="261"/>
        <v/>
      </c>
      <c r="H465" s="64" t="str">
        <f t="shared" si="262"/>
        <v/>
      </c>
      <c r="J465" s="63" t="str">
        <f t="shared" si="263"/>
        <v/>
      </c>
      <c r="K465" s="64" t="str">
        <f t="shared" si="264"/>
        <v/>
      </c>
      <c r="L465" s="38">
        <v>0</v>
      </c>
      <c r="M465" s="64" t="str">
        <f t="shared" si="265"/>
        <v/>
      </c>
      <c r="O465" s="63" t="str">
        <f t="shared" si="266"/>
        <v/>
      </c>
      <c r="P465" s="63" t="str">
        <f t="shared" si="267"/>
        <v/>
      </c>
      <c r="R465" s="63" t="str">
        <f t="shared" si="268"/>
        <v/>
      </c>
      <c r="S465" s="64" t="str">
        <f t="shared" si="269"/>
        <v/>
      </c>
      <c r="T465" s="63" t="str">
        <f t="shared" si="270"/>
        <v/>
      </c>
      <c r="U465" s="64" t="str">
        <f t="shared" si="271"/>
        <v/>
      </c>
      <c r="V465" s="207" t="str">
        <f>IF($A466="","",IF(AND(MONTH(A465)&gt;3,MONTH(A465)&lt;11),(T465+R465+G465)*(((1/(1-Summary!$T$14))/(1-Summary!$W$14))-1),(T465+R465+G465)*((1/(1-Summary!$U$14))/(1-Summary!$X$14)-1)))</f>
        <v/>
      </c>
      <c r="W465" s="43" t="str">
        <f t="shared" si="272"/>
        <v/>
      </c>
      <c r="X465" s="43" t="str">
        <f t="shared" si="273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74"/>
        <v/>
      </c>
      <c r="AP465" s="33" t="str">
        <f t="shared" si="275"/>
        <v/>
      </c>
      <c r="AQ465" s="58" t="str">
        <f t="shared" si="276"/>
        <v/>
      </c>
      <c r="AR465" s="38">
        <f>'ANR OK vs ML7'!AR465</f>
        <v>0.1</v>
      </c>
      <c r="AS465" s="35" t="str">
        <f t="shared" si="277"/>
        <v/>
      </c>
      <c r="AT465" s="3" t="str">
        <f t="shared" si="278"/>
        <v/>
      </c>
      <c r="AU465" s="3" t="str">
        <f t="shared" si="279"/>
        <v/>
      </c>
      <c r="AW465" s="32" t="str">
        <f t="shared" si="280"/>
        <v/>
      </c>
      <c r="AX465" s="32" t="str">
        <f t="shared" si="281"/>
        <v/>
      </c>
      <c r="AY465" s="32" t="str">
        <f t="shared" si="282"/>
        <v/>
      </c>
      <c r="BA465" s="32" t="str">
        <f>IF($A466="","",F465*Summary!$Q$14)</f>
        <v/>
      </c>
    </row>
    <row r="466" spans="1:53">
      <c r="A466" s="67" t="str">
        <f t="shared" si="283"/>
        <v/>
      </c>
      <c r="B466" s="69" t="str">
        <f t="shared" si="284"/>
        <v/>
      </c>
      <c r="D466" s="69" t="str">
        <f t="shared" si="258"/>
        <v/>
      </c>
      <c r="E466" s="70" t="str">
        <f t="shared" si="259"/>
        <v/>
      </c>
      <c r="F466" s="70" t="str">
        <f t="shared" si="260"/>
        <v/>
      </c>
      <c r="G466" s="63" t="str">
        <f t="shared" si="261"/>
        <v/>
      </c>
      <c r="H466" s="64" t="str">
        <f t="shared" si="262"/>
        <v/>
      </c>
      <c r="J466" s="63" t="str">
        <f t="shared" si="263"/>
        <v/>
      </c>
      <c r="K466" s="64" t="str">
        <f t="shared" si="264"/>
        <v/>
      </c>
      <c r="L466" s="38">
        <v>0</v>
      </c>
      <c r="M466" s="64" t="str">
        <f t="shared" si="265"/>
        <v/>
      </c>
      <c r="O466" s="63" t="str">
        <f t="shared" si="266"/>
        <v/>
      </c>
      <c r="P466" s="63" t="str">
        <f t="shared" si="267"/>
        <v/>
      </c>
      <c r="R466" s="63" t="str">
        <f t="shared" si="268"/>
        <v/>
      </c>
      <c r="S466" s="64" t="str">
        <f t="shared" si="269"/>
        <v/>
      </c>
      <c r="T466" s="63" t="str">
        <f t="shared" si="270"/>
        <v/>
      </c>
      <c r="U466" s="64" t="str">
        <f t="shared" si="271"/>
        <v/>
      </c>
      <c r="V466" s="207" t="str">
        <f>IF($A467="","",IF(AND(MONTH(A466)&gt;3,MONTH(A466)&lt;11),(T466+R466+G466)*(((1/(1-Summary!$T$14))/(1-Summary!$W$14))-1),(T466+R466+G466)*((1/(1-Summary!$U$14))/(1-Summary!$X$14)-1)))</f>
        <v/>
      </c>
      <c r="W466" s="43" t="str">
        <f t="shared" si="272"/>
        <v/>
      </c>
      <c r="X466" s="43" t="str">
        <f t="shared" si="273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74"/>
        <v/>
      </c>
      <c r="AP466" s="33" t="str">
        <f t="shared" si="275"/>
        <v/>
      </c>
      <c r="AQ466" s="58" t="str">
        <f t="shared" si="276"/>
        <v/>
      </c>
      <c r="AR466" s="38">
        <f>'ANR OK vs ML7'!AR466</f>
        <v>0.1</v>
      </c>
      <c r="AS466" s="35" t="str">
        <f t="shared" si="277"/>
        <v/>
      </c>
      <c r="AT466" s="3" t="str">
        <f t="shared" si="278"/>
        <v/>
      </c>
      <c r="AU466" s="3" t="str">
        <f t="shared" si="279"/>
        <v/>
      </c>
      <c r="AW466" s="32" t="str">
        <f t="shared" si="280"/>
        <v/>
      </c>
      <c r="AX466" s="32" t="str">
        <f t="shared" si="281"/>
        <v/>
      </c>
      <c r="AY466" s="32" t="str">
        <f t="shared" si="282"/>
        <v/>
      </c>
      <c r="BA466" s="32" t="str">
        <f>IF($A467="","",F466*Summary!$Q$14)</f>
        <v/>
      </c>
    </row>
    <row r="467" spans="1:53">
      <c r="A467" s="67" t="str">
        <f t="shared" si="283"/>
        <v/>
      </c>
      <c r="B467" s="69" t="str">
        <f t="shared" si="284"/>
        <v/>
      </c>
      <c r="D467" s="69" t="str">
        <f t="shared" si="258"/>
        <v/>
      </c>
      <c r="E467" s="70" t="str">
        <f t="shared" si="259"/>
        <v/>
      </c>
      <c r="F467" s="70" t="str">
        <f t="shared" si="260"/>
        <v/>
      </c>
      <c r="G467" s="63" t="str">
        <f t="shared" si="261"/>
        <v/>
      </c>
      <c r="H467" s="64" t="str">
        <f t="shared" si="262"/>
        <v/>
      </c>
      <c r="J467" s="63" t="str">
        <f t="shared" si="263"/>
        <v/>
      </c>
      <c r="K467" s="64" t="str">
        <f t="shared" si="264"/>
        <v/>
      </c>
      <c r="L467" s="38">
        <v>0</v>
      </c>
      <c r="M467" s="64" t="str">
        <f t="shared" si="265"/>
        <v/>
      </c>
      <c r="O467" s="63" t="str">
        <f t="shared" si="266"/>
        <v/>
      </c>
      <c r="P467" s="63" t="str">
        <f t="shared" si="267"/>
        <v/>
      </c>
      <c r="R467" s="63" t="str">
        <f t="shared" si="268"/>
        <v/>
      </c>
      <c r="S467" s="64" t="str">
        <f t="shared" si="269"/>
        <v/>
      </c>
      <c r="T467" s="63" t="str">
        <f t="shared" si="270"/>
        <v/>
      </c>
      <c r="U467" s="64" t="str">
        <f t="shared" si="271"/>
        <v/>
      </c>
      <c r="V467" s="207" t="str">
        <f>IF($A468="","",IF(AND(MONTH(A467)&gt;3,MONTH(A467)&lt;11),(T467+R467+G467)*(((1/(1-Summary!$T$14))/(1-Summary!$W$14))-1),(T467+R467+G467)*((1/(1-Summary!$U$14))/(1-Summary!$X$14)-1)))</f>
        <v/>
      </c>
      <c r="W467" s="43" t="str">
        <f t="shared" si="272"/>
        <v/>
      </c>
      <c r="X467" s="43" t="str">
        <f t="shared" si="273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74"/>
        <v/>
      </c>
      <c r="AP467" s="33" t="str">
        <f t="shared" si="275"/>
        <v/>
      </c>
      <c r="AQ467" s="58" t="str">
        <f t="shared" si="276"/>
        <v/>
      </c>
      <c r="AR467" s="38">
        <f>'ANR OK vs ML7'!AR467</f>
        <v>0.1</v>
      </c>
      <c r="AS467" s="35" t="str">
        <f t="shared" si="277"/>
        <v/>
      </c>
      <c r="AT467" s="3" t="str">
        <f t="shared" si="278"/>
        <v/>
      </c>
      <c r="AU467" s="3" t="str">
        <f t="shared" si="279"/>
        <v/>
      </c>
      <c r="AW467" s="32" t="str">
        <f t="shared" si="280"/>
        <v/>
      </c>
      <c r="AX467" s="32" t="str">
        <f t="shared" si="281"/>
        <v/>
      </c>
      <c r="AY467" s="32" t="str">
        <f t="shared" si="282"/>
        <v/>
      </c>
      <c r="BA467" s="32" t="str">
        <f>IF($A468="","",F467*Summary!$Q$14)</f>
        <v/>
      </c>
    </row>
    <row r="468" spans="1:53">
      <c r="A468" s="67" t="str">
        <f t="shared" si="283"/>
        <v/>
      </c>
      <c r="B468" s="69" t="str">
        <f t="shared" si="284"/>
        <v/>
      </c>
      <c r="D468" s="69" t="str">
        <f t="shared" si="258"/>
        <v/>
      </c>
      <c r="E468" s="70" t="str">
        <f t="shared" si="259"/>
        <v/>
      </c>
      <c r="F468" s="70" t="str">
        <f t="shared" si="260"/>
        <v/>
      </c>
      <c r="G468" s="63" t="str">
        <f t="shared" si="261"/>
        <v/>
      </c>
      <c r="H468" s="64" t="str">
        <f t="shared" si="262"/>
        <v/>
      </c>
      <c r="J468" s="63" t="str">
        <f t="shared" si="263"/>
        <v/>
      </c>
      <c r="K468" s="64" t="str">
        <f t="shared" si="264"/>
        <v/>
      </c>
      <c r="L468" s="38">
        <v>0</v>
      </c>
      <c r="M468" s="64" t="str">
        <f t="shared" si="265"/>
        <v/>
      </c>
      <c r="O468" s="63" t="str">
        <f t="shared" si="266"/>
        <v/>
      </c>
      <c r="P468" s="63" t="str">
        <f t="shared" si="267"/>
        <v/>
      </c>
      <c r="R468" s="63" t="str">
        <f t="shared" si="268"/>
        <v/>
      </c>
      <c r="S468" s="64" t="str">
        <f t="shared" si="269"/>
        <v/>
      </c>
      <c r="T468" s="63" t="str">
        <f t="shared" si="270"/>
        <v/>
      </c>
      <c r="U468" s="64" t="str">
        <f t="shared" si="271"/>
        <v/>
      </c>
      <c r="V468" s="207" t="str">
        <f>IF($A469="","",IF(AND(MONTH(A468)&gt;3,MONTH(A468)&lt;11),(T468+R468+G468)*(((1/(1-Summary!$T$14))/(1-Summary!$W$14))-1),(T468+R468+G468)*((1/(1-Summary!$U$14))/(1-Summary!$X$14)-1)))</f>
        <v/>
      </c>
      <c r="W468" s="43" t="str">
        <f t="shared" si="272"/>
        <v/>
      </c>
      <c r="X468" s="43" t="str">
        <f t="shared" si="273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74"/>
        <v/>
      </c>
      <c r="AP468" s="33" t="str">
        <f t="shared" si="275"/>
        <v/>
      </c>
      <c r="AQ468" s="58" t="str">
        <f t="shared" si="276"/>
        <v/>
      </c>
      <c r="AR468" s="38">
        <f>'ANR OK vs ML7'!AR468</f>
        <v>0.1</v>
      </c>
      <c r="AS468" s="35" t="str">
        <f t="shared" si="277"/>
        <v/>
      </c>
      <c r="AT468" s="3" t="str">
        <f t="shared" si="278"/>
        <v/>
      </c>
      <c r="AU468" s="3" t="str">
        <f t="shared" si="279"/>
        <v/>
      </c>
      <c r="AW468" s="32" t="str">
        <f t="shared" si="280"/>
        <v/>
      </c>
      <c r="AX468" s="32" t="str">
        <f t="shared" si="281"/>
        <v/>
      </c>
      <c r="AY468" s="32" t="str">
        <f t="shared" si="282"/>
        <v/>
      </c>
      <c r="BA468" s="32" t="str">
        <f>IF($A469="","",F468*Summary!$Q$14)</f>
        <v/>
      </c>
    </row>
    <row r="469" spans="1:53">
      <c r="A469" s="67" t="str">
        <f t="shared" si="283"/>
        <v/>
      </c>
      <c r="B469" s="69" t="str">
        <f t="shared" si="284"/>
        <v/>
      </c>
      <c r="D469" s="69" t="str">
        <f t="shared" si="258"/>
        <v/>
      </c>
      <c r="E469" s="70" t="str">
        <f t="shared" si="259"/>
        <v/>
      </c>
      <c r="F469" s="70" t="str">
        <f t="shared" si="260"/>
        <v/>
      </c>
      <c r="G469" s="63" t="str">
        <f t="shared" si="261"/>
        <v/>
      </c>
      <c r="H469" s="64" t="str">
        <f t="shared" si="262"/>
        <v/>
      </c>
      <c r="J469" s="63" t="str">
        <f t="shared" si="263"/>
        <v/>
      </c>
      <c r="K469" s="64" t="str">
        <f t="shared" si="264"/>
        <v/>
      </c>
      <c r="L469" s="38">
        <v>0</v>
      </c>
      <c r="M469" s="64" t="str">
        <f t="shared" si="265"/>
        <v/>
      </c>
      <c r="O469" s="63" t="str">
        <f t="shared" si="266"/>
        <v/>
      </c>
      <c r="P469" s="63" t="str">
        <f t="shared" si="267"/>
        <v/>
      </c>
      <c r="R469" s="63" t="str">
        <f t="shared" si="268"/>
        <v/>
      </c>
      <c r="S469" s="64" t="str">
        <f t="shared" si="269"/>
        <v/>
      </c>
      <c r="T469" s="63" t="str">
        <f t="shared" si="270"/>
        <v/>
      </c>
      <c r="U469" s="64" t="str">
        <f t="shared" si="271"/>
        <v/>
      </c>
      <c r="V469" s="207" t="str">
        <f>IF($A470="","",IF(AND(MONTH(A469)&gt;3,MONTH(A469)&lt;11),(T469+R469+G469)*(((1/(1-Summary!$T$14))/(1-Summary!$W$14))-1),(T469+R469+G469)*((1/(1-Summary!$U$14))/(1-Summary!$X$14)-1)))</f>
        <v/>
      </c>
      <c r="W469" s="43" t="str">
        <f t="shared" si="272"/>
        <v/>
      </c>
      <c r="X469" s="43" t="str">
        <f t="shared" si="273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74"/>
        <v/>
      </c>
      <c r="AP469" s="33" t="str">
        <f t="shared" si="275"/>
        <v/>
      </c>
      <c r="AQ469" s="58" t="str">
        <f t="shared" si="276"/>
        <v/>
      </c>
      <c r="AR469" s="38">
        <f>'ANR OK vs ML7'!AR469</f>
        <v>0.1</v>
      </c>
      <c r="AS469" s="35" t="str">
        <f t="shared" si="277"/>
        <v/>
      </c>
      <c r="AT469" s="3" t="str">
        <f t="shared" si="278"/>
        <v/>
      </c>
      <c r="AU469" s="3" t="str">
        <f t="shared" si="279"/>
        <v/>
      </c>
      <c r="AW469" s="32" t="str">
        <f t="shared" si="280"/>
        <v/>
      </c>
      <c r="AX469" s="32" t="str">
        <f t="shared" si="281"/>
        <v/>
      </c>
      <c r="AY469" s="32" t="str">
        <f t="shared" si="282"/>
        <v/>
      </c>
      <c r="BA469" s="32" t="str">
        <f>IF($A470="","",F469*Summary!$Q$14)</f>
        <v/>
      </c>
    </row>
    <row r="470" spans="1:53">
      <c r="A470" s="67" t="str">
        <f t="shared" si="283"/>
        <v/>
      </c>
      <c r="B470" s="69" t="str">
        <f t="shared" si="284"/>
        <v/>
      </c>
      <c r="D470" s="69" t="str">
        <f t="shared" si="258"/>
        <v/>
      </c>
      <c r="E470" s="70" t="str">
        <f t="shared" si="259"/>
        <v/>
      </c>
      <c r="F470" s="70" t="str">
        <f t="shared" si="260"/>
        <v/>
      </c>
      <c r="G470" s="63" t="str">
        <f t="shared" si="261"/>
        <v/>
      </c>
      <c r="H470" s="64" t="str">
        <f t="shared" si="262"/>
        <v/>
      </c>
      <c r="J470" s="63" t="str">
        <f t="shared" si="263"/>
        <v/>
      </c>
      <c r="K470" s="64" t="str">
        <f t="shared" si="264"/>
        <v/>
      </c>
      <c r="L470" s="38">
        <v>0</v>
      </c>
      <c r="M470" s="64" t="str">
        <f t="shared" si="265"/>
        <v/>
      </c>
      <c r="O470" s="63" t="str">
        <f t="shared" si="266"/>
        <v/>
      </c>
      <c r="P470" s="63" t="str">
        <f t="shared" si="267"/>
        <v/>
      </c>
      <c r="R470" s="63" t="str">
        <f t="shared" si="268"/>
        <v/>
      </c>
      <c r="S470" s="64" t="str">
        <f t="shared" si="269"/>
        <v/>
      </c>
      <c r="T470" s="63" t="str">
        <f t="shared" si="270"/>
        <v/>
      </c>
      <c r="U470" s="64" t="str">
        <f t="shared" si="271"/>
        <v/>
      </c>
      <c r="V470" s="207" t="str">
        <f>IF($A471="","",IF(AND(MONTH(A470)&gt;3,MONTH(A470)&lt;11),(T470+R470+G470)*(((1/(1-Summary!$T$14))/(1-Summary!$W$14))-1),(T470+R470+G470)*((1/(1-Summary!$U$14))/(1-Summary!$X$14)-1)))</f>
        <v/>
      </c>
      <c r="W470" s="43" t="str">
        <f t="shared" si="272"/>
        <v/>
      </c>
      <c r="X470" s="43" t="str">
        <f t="shared" si="273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74"/>
        <v/>
      </c>
      <c r="AP470" s="33" t="str">
        <f t="shared" si="275"/>
        <v/>
      </c>
      <c r="AQ470" s="58" t="str">
        <f t="shared" si="276"/>
        <v/>
      </c>
      <c r="AR470" s="38">
        <f>'ANR OK vs ML7'!AR470</f>
        <v>0.1</v>
      </c>
      <c r="AS470" s="35" t="str">
        <f t="shared" si="277"/>
        <v/>
      </c>
      <c r="AT470" s="3" t="str">
        <f t="shared" si="278"/>
        <v/>
      </c>
      <c r="AU470" s="3" t="str">
        <f t="shared" si="279"/>
        <v/>
      </c>
      <c r="AW470" s="32" t="str">
        <f t="shared" si="280"/>
        <v/>
      </c>
      <c r="AX470" s="32" t="str">
        <f t="shared" si="281"/>
        <v/>
      </c>
      <c r="AY470" s="32" t="str">
        <f t="shared" si="282"/>
        <v/>
      </c>
      <c r="BA470" s="32" t="str">
        <f>IF($A471="","",F470*Summary!$Q$14)</f>
        <v/>
      </c>
    </row>
    <row r="471" spans="1:53">
      <c r="A471" s="67" t="str">
        <f t="shared" si="283"/>
        <v/>
      </c>
      <c r="B471" s="69" t="str">
        <f t="shared" si="284"/>
        <v/>
      </c>
      <c r="D471" s="69" t="str">
        <f t="shared" si="258"/>
        <v/>
      </c>
      <c r="E471" s="70" t="str">
        <f t="shared" si="259"/>
        <v/>
      </c>
      <c r="F471" s="70" t="str">
        <f t="shared" si="260"/>
        <v/>
      </c>
      <c r="G471" s="63" t="str">
        <f t="shared" si="261"/>
        <v/>
      </c>
      <c r="H471" s="64" t="str">
        <f t="shared" si="262"/>
        <v/>
      </c>
      <c r="J471" s="63" t="str">
        <f t="shared" si="263"/>
        <v/>
      </c>
      <c r="K471" s="64" t="str">
        <f t="shared" si="264"/>
        <v/>
      </c>
      <c r="L471" s="38">
        <v>0</v>
      </c>
      <c r="M471" s="64" t="str">
        <f t="shared" si="265"/>
        <v/>
      </c>
      <c r="O471" s="63" t="str">
        <f t="shared" si="266"/>
        <v/>
      </c>
      <c r="P471" s="63" t="str">
        <f t="shared" si="267"/>
        <v/>
      </c>
      <c r="R471" s="63" t="str">
        <f t="shared" si="268"/>
        <v/>
      </c>
      <c r="S471" s="64" t="str">
        <f t="shared" si="269"/>
        <v/>
      </c>
      <c r="T471" s="63" t="str">
        <f t="shared" si="270"/>
        <v/>
      </c>
      <c r="U471" s="64" t="str">
        <f t="shared" si="271"/>
        <v/>
      </c>
      <c r="V471" s="207" t="str">
        <f>IF($A472="","",IF(AND(MONTH(A471)&gt;3,MONTH(A471)&lt;11),(T471+R471+G471)*(((1/(1-Summary!$T$14))/(1-Summary!$W$14))-1),(T471+R471+G471)*((1/(1-Summary!$U$14))/(1-Summary!$X$14)-1)))</f>
        <v/>
      </c>
      <c r="W471" s="43" t="str">
        <f t="shared" si="272"/>
        <v/>
      </c>
      <c r="X471" s="43" t="str">
        <f t="shared" si="273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74"/>
        <v/>
      </c>
      <c r="AP471" s="33" t="str">
        <f t="shared" si="275"/>
        <v/>
      </c>
      <c r="AQ471" s="58" t="str">
        <f t="shared" si="276"/>
        <v/>
      </c>
      <c r="AR471" s="38">
        <f>'ANR OK vs ML7'!AR471</f>
        <v>0.1</v>
      </c>
      <c r="AS471" s="35" t="str">
        <f t="shared" si="277"/>
        <v/>
      </c>
      <c r="AT471" s="3" t="str">
        <f t="shared" si="278"/>
        <v/>
      </c>
      <c r="AU471" s="3" t="str">
        <f t="shared" si="279"/>
        <v/>
      </c>
      <c r="AW471" s="32" t="str">
        <f t="shared" si="280"/>
        <v/>
      </c>
      <c r="AX471" s="32" t="str">
        <f t="shared" si="281"/>
        <v/>
      </c>
      <c r="AY471" s="32" t="str">
        <f t="shared" si="282"/>
        <v/>
      </c>
      <c r="BA471" s="32" t="str">
        <f>IF($A472="","",F471*Summary!$Q$14)</f>
        <v/>
      </c>
    </row>
    <row r="472" spans="1:53">
      <c r="A472" s="67" t="str">
        <f t="shared" si="283"/>
        <v/>
      </c>
      <c r="B472" s="69" t="str">
        <f t="shared" si="284"/>
        <v/>
      </c>
      <c r="D472" s="69" t="str">
        <f t="shared" si="258"/>
        <v/>
      </c>
      <c r="E472" s="70" t="str">
        <f t="shared" si="259"/>
        <v/>
      </c>
      <c r="F472" s="70" t="str">
        <f t="shared" si="260"/>
        <v/>
      </c>
      <c r="G472" s="63" t="str">
        <f t="shared" si="261"/>
        <v/>
      </c>
      <c r="H472" s="64" t="str">
        <f t="shared" si="262"/>
        <v/>
      </c>
      <c r="J472" s="63" t="str">
        <f t="shared" si="263"/>
        <v/>
      </c>
      <c r="K472" s="64" t="str">
        <f t="shared" si="264"/>
        <v/>
      </c>
      <c r="L472" s="38">
        <v>0</v>
      </c>
      <c r="M472" s="64" t="str">
        <f t="shared" si="265"/>
        <v/>
      </c>
      <c r="O472" s="63" t="str">
        <f t="shared" si="266"/>
        <v/>
      </c>
      <c r="P472" s="63" t="str">
        <f t="shared" si="267"/>
        <v/>
      </c>
      <c r="R472" s="63" t="str">
        <f t="shared" si="268"/>
        <v/>
      </c>
      <c r="S472" s="64" t="str">
        <f t="shared" si="269"/>
        <v/>
      </c>
      <c r="T472" s="63" t="str">
        <f t="shared" si="270"/>
        <v/>
      </c>
      <c r="U472" s="64" t="str">
        <f t="shared" si="271"/>
        <v/>
      </c>
      <c r="V472" s="207" t="str">
        <f>IF($A473="","",IF(AND(MONTH(A472)&gt;3,MONTH(A472)&lt;11),(T472+R472+G472)*(((1/(1-Summary!$T$14))/(1-Summary!$W$14))-1),(T472+R472+G472)*((1/(1-Summary!$U$14))/(1-Summary!$X$14)-1)))</f>
        <v/>
      </c>
      <c r="W472" s="43" t="str">
        <f t="shared" si="272"/>
        <v/>
      </c>
      <c r="X472" s="43" t="str">
        <f t="shared" si="273"/>
        <v/>
      </c>
      <c r="Y472" s="43"/>
      <c r="AJ472" s="86"/>
      <c r="AK472" s="86"/>
      <c r="AL472" s="86"/>
      <c r="AM472" s="86"/>
      <c r="AN472" s="86"/>
      <c r="AO472" s="3" t="str">
        <f t="shared" si="274"/>
        <v/>
      </c>
      <c r="AP472" s="33" t="str">
        <f t="shared" si="275"/>
        <v/>
      </c>
      <c r="AQ472" s="58" t="str">
        <f t="shared" si="276"/>
        <v/>
      </c>
      <c r="AR472" s="38">
        <f>'ANR OK vs ML7'!AR472</f>
        <v>0.1</v>
      </c>
      <c r="AS472" s="35" t="str">
        <f t="shared" si="277"/>
        <v/>
      </c>
      <c r="AT472" s="3" t="str">
        <f t="shared" si="278"/>
        <v/>
      </c>
      <c r="AU472" s="3" t="str">
        <f t="shared" si="279"/>
        <v/>
      </c>
      <c r="AW472" s="32" t="str">
        <f t="shared" si="280"/>
        <v/>
      </c>
      <c r="AX472" s="32" t="str">
        <f t="shared" si="281"/>
        <v/>
      </c>
      <c r="AY472" s="32" t="str">
        <f t="shared" si="282"/>
        <v/>
      </c>
      <c r="BA472" s="32" t="str">
        <f>IF($A473="","",F472*Summary!$Q$14)</f>
        <v/>
      </c>
    </row>
    <row r="473" spans="1:53">
      <c r="A473" s="67" t="str">
        <f t="shared" si="283"/>
        <v/>
      </c>
      <c r="B473" s="69" t="str">
        <f t="shared" si="284"/>
        <v/>
      </c>
      <c r="D473" s="69" t="str">
        <f t="shared" si="258"/>
        <v/>
      </c>
      <c r="E473" s="70" t="str">
        <f t="shared" si="259"/>
        <v/>
      </c>
      <c r="F473" s="70" t="str">
        <f t="shared" si="260"/>
        <v/>
      </c>
      <c r="G473" s="63" t="str">
        <f t="shared" si="261"/>
        <v/>
      </c>
      <c r="H473" s="64" t="str">
        <f t="shared" si="262"/>
        <v/>
      </c>
      <c r="J473" s="63" t="str">
        <f t="shared" si="263"/>
        <v/>
      </c>
      <c r="K473" s="64" t="str">
        <f t="shared" si="264"/>
        <v/>
      </c>
      <c r="L473" s="38">
        <v>0</v>
      </c>
      <c r="M473" s="64" t="str">
        <f t="shared" si="265"/>
        <v/>
      </c>
      <c r="O473" s="63" t="str">
        <f t="shared" si="266"/>
        <v/>
      </c>
      <c r="P473" s="63" t="str">
        <f t="shared" si="267"/>
        <v/>
      </c>
      <c r="R473" s="63" t="str">
        <f t="shared" si="268"/>
        <v/>
      </c>
      <c r="S473" s="64" t="str">
        <f t="shared" si="269"/>
        <v/>
      </c>
      <c r="T473" s="63" t="str">
        <f t="shared" si="270"/>
        <v/>
      </c>
      <c r="U473" s="64" t="str">
        <f t="shared" si="271"/>
        <v/>
      </c>
      <c r="V473" s="207" t="str">
        <f>IF($A474="","",IF(AND(MONTH(A473)&gt;3,MONTH(A473)&lt;11),(T473+R473+G473)*(((1/(1-Summary!$T$14))/(1-Summary!$W$14))-1),(T473+R473+G473)*((1/(1-Summary!$U$14))/(1-Summary!$X$14)-1)))</f>
        <v/>
      </c>
      <c r="W473" s="43" t="str">
        <f t="shared" si="272"/>
        <v/>
      </c>
      <c r="X473" s="43" t="str">
        <f t="shared" si="273"/>
        <v/>
      </c>
      <c r="Y473" s="43"/>
      <c r="AJ473" s="86"/>
      <c r="AK473" s="86"/>
      <c r="AL473" s="86"/>
      <c r="AM473" s="86"/>
      <c r="AN473" s="86"/>
      <c r="AO473" s="3" t="str">
        <f t="shared" si="274"/>
        <v/>
      </c>
      <c r="AP473" s="33" t="str">
        <f t="shared" si="275"/>
        <v/>
      </c>
      <c r="AQ473" s="58" t="str">
        <f t="shared" si="276"/>
        <v/>
      </c>
      <c r="AR473" s="38">
        <f>'ANR OK vs ML7'!AR473</f>
        <v>0.1</v>
      </c>
      <c r="AS473" s="35" t="str">
        <f t="shared" si="277"/>
        <v/>
      </c>
      <c r="AT473" s="3" t="str">
        <f t="shared" si="278"/>
        <v/>
      </c>
      <c r="AU473" s="3" t="str">
        <f t="shared" si="279"/>
        <v/>
      </c>
      <c r="AW473" s="32" t="str">
        <f t="shared" si="280"/>
        <v/>
      </c>
      <c r="AX473" s="32" t="str">
        <f t="shared" si="281"/>
        <v/>
      </c>
      <c r="AY473" s="32" t="str">
        <f t="shared" si="282"/>
        <v/>
      </c>
      <c r="BA473" s="32" t="str">
        <f>IF($A474="","",F473*Summary!$Q$14)</f>
        <v/>
      </c>
    </row>
    <row r="474" spans="1:53">
      <c r="A474" s="67" t="str">
        <f t="shared" si="283"/>
        <v/>
      </c>
      <c r="B474" s="69" t="str">
        <f t="shared" si="284"/>
        <v/>
      </c>
      <c r="D474" s="69" t="str">
        <f t="shared" si="258"/>
        <v/>
      </c>
      <c r="E474" s="70" t="str">
        <f t="shared" si="259"/>
        <v/>
      </c>
      <c r="F474" s="70" t="str">
        <f t="shared" si="260"/>
        <v/>
      </c>
      <c r="G474" s="63" t="str">
        <f t="shared" si="261"/>
        <v/>
      </c>
      <c r="H474" s="64" t="str">
        <f t="shared" si="262"/>
        <v/>
      </c>
      <c r="J474" s="63" t="str">
        <f t="shared" si="263"/>
        <v/>
      </c>
      <c r="K474" s="64" t="str">
        <f t="shared" si="264"/>
        <v/>
      </c>
      <c r="L474" s="38">
        <v>0</v>
      </c>
      <c r="M474" s="64" t="str">
        <f t="shared" si="265"/>
        <v/>
      </c>
      <c r="O474" s="63" t="str">
        <f t="shared" si="266"/>
        <v/>
      </c>
      <c r="P474" s="63" t="str">
        <f t="shared" si="267"/>
        <v/>
      </c>
      <c r="R474" s="63" t="str">
        <f t="shared" si="268"/>
        <v/>
      </c>
      <c r="S474" s="64" t="str">
        <f t="shared" si="269"/>
        <v/>
      </c>
      <c r="T474" s="63" t="str">
        <f t="shared" si="270"/>
        <v/>
      </c>
      <c r="U474" s="64" t="str">
        <f t="shared" si="271"/>
        <v/>
      </c>
      <c r="V474" s="207" t="str">
        <f>IF($A475="","",IF(AND(MONTH(A474)&gt;3,MONTH(A474)&lt;11),(T474+R474+G474)*(((1/(1-Summary!$T$14))/(1-Summary!$W$14))-1),(T474+R474+G474)*((1/(1-Summary!$U$14))/(1-Summary!$X$14)-1)))</f>
        <v/>
      </c>
      <c r="W474" s="43" t="str">
        <f t="shared" si="272"/>
        <v/>
      </c>
      <c r="X474" s="43" t="str">
        <f t="shared" si="273"/>
        <v/>
      </c>
      <c r="Y474" s="43"/>
      <c r="AJ474" s="86"/>
      <c r="AK474" s="86"/>
      <c r="AL474" s="86"/>
      <c r="AM474" s="86"/>
      <c r="AN474" s="86"/>
      <c r="AO474" s="3" t="str">
        <f t="shared" si="274"/>
        <v/>
      </c>
      <c r="AP474" s="33" t="str">
        <f t="shared" si="275"/>
        <v/>
      </c>
      <c r="AQ474" s="58" t="str">
        <f t="shared" si="276"/>
        <v/>
      </c>
      <c r="AR474" s="38">
        <f>'ANR OK vs ML7'!AR474</f>
        <v>0.1</v>
      </c>
      <c r="AS474" s="35" t="str">
        <f t="shared" si="277"/>
        <v/>
      </c>
      <c r="AT474" s="3" t="str">
        <f t="shared" si="278"/>
        <v/>
      </c>
      <c r="AU474" s="3" t="str">
        <f t="shared" si="279"/>
        <v/>
      </c>
      <c r="AW474" s="32" t="str">
        <f t="shared" si="280"/>
        <v/>
      </c>
      <c r="AX474" s="32" t="str">
        <f t="shared" si="281"/>
        <v/>
      </c>
      <c r="AY474" s="32" t="str">
        <f t="shared" si="282"/>
        <v/>
      </c>
      <c r="BA474" s="32" t="str">
        <f>IF($A475="","",F474*Summary!$Q$14)</f>
        <v/>
      </c>
    </row>
    <row r="475" spans="1:53">
      <c r="A475" s="67" t="str">
        <f t="shared" si="283"/>
        <v/>
      </c>
      <c r="B475" s="69" t="str">
        <f t="shared" si="284"/>
        <v/>
      </c>
      <c r="D475" s="69" t="str">
        <f t="shared" si="258"/>
        <v/>
      </c>
      <c r="E475" s="70" t="str">
        <f t="shared" si="259"/>
        <v/>
      </c>
      <c r="F475" s="70" t="str">
        <f t="shared" si="260"/>
        <v/>
      </c>
      <c r="G475" s="63" t="str">
        <f t="shared" si="261"/>
        <v/>
      </c>
      <c r="H475" s="64" t="str">
        <f t="shared" si="262"/>
        <v/>
      </c>
      <c r="J475" s="63" t="str">
        <f t="shared" si="263"/>
        <v/>
      </c>
      <c r="K475" s="64" t="str">
        <f t="shared" si="264"/>
        <v/>
      </c>
      <c r="L475" s="38">
        <v>0</v>
      </c>
      <c r="M475" s="64" t="str">
        <f t="shared" si="265"/>
        <v/>
      </c>
      <c r="O475" s="63" t="str">
        <f t="shared" si="266"/>
        <v/>
      </c>
      <c r="P475" s="63" t="str">
        <f t="shared" si="267"/>
        <v/>
      </c>
      <c r="R475" s="63" t="str">
        <f t="shared" si="268"/>
        <v/>
      </c>
      <c r="S475" s="64" t="str">
        <f t="shared" si="269"/>
        <v/>
      </c>
      <c r="T475" s="63" t="str">
        <f t="shared" si="270"/>
        <v/>
      </c>
      <c r="U475" s="64" t="str">
        <f t="shared" si="271"/>
        <v/>
      </c>
      <c r="V475" s="207" t="str">
        <f>IF($A476="","",IF(AND(MONTH(A475)&gt;3,MONTH(A475)&lt;11),(T475+R475+G475)*(((1/(1-Summary!$T$14))/(1-Summary!$W$14))-1),(T475+R475+G475)*((1/(1-Summary!$U$14))/(1-Summary!$X$14)-1)))</f>
        <v/>
      </c>
      <c r="W475" s="43" t="str">
        <f t="shared" si="272"/>
        <v/>
      </c>
      <c r="X475" s="43" t="str">
        <f t="shared" si="273"/>
        <v/>
      </c>
      <c r="Y475" s="43"/>
      <c r="AJ475" s="86"/>
      <c r="AK475" s="86"/>
      <c r="AL475" s="86"/>
      <c r="AM475" s="86"/>
      <c r="AN475" s="86"/>
      <c r="AO475" s="3" t="str">
        <f t="shared" si="274"/>
        <v/>
      </c>
      <c r="AP475" s="33" t="str">
        <f t="shared" si="275"/>
        <v/>
      </c>
      <c r="AQ475" s="58" t="str">
        <f t="shared" si="276"/>
        <v/>
      </c>
      <c r="AR475" s="38">
        <f>'ANR OK vs ML7'!AR475</f>
        <v>0.1</v>
      </c>
      <c r="AS475" s="35" t="str">
        <f t="shared" si="277"/>
        <v/>
      </c>
      <c r="AT475" s="3" t="str">
        <f t="shared" si="278"/>
        <v/>
      </c>
      <c r="AU475" s="3" t="str">
        <f t="shared" si="279"/>
        <v/>
      </c>
      <c r="AW475" s="32" t="str">
        <f t="shared" si="280"/>
        <v/>
      </c>
      <c r="AX475" s="32" t="str">
        <f t="shared" si="281"/>
        <v/>
      </c>
      <c r="AY475" s="32" t="str">
        <f t="shared" si="282"/>
        <v/>
      </c>
      <c r="BA475" s="32" t="str">
        <f>IF($A476="","",F475*Summary!$Q$14)</f>
        <v/>
      </c>
    </row>
    <row r="476" spans="1:53">
      <c r="A476" s="67" t="str">
        <f t="shared" si="283"/>
        <v/>
      </c>
      <c r="B476" s="69" t="str">
        <f t="shared" si="284"/>
        <v/>
      </c>
      <c r="D476" s="69" t="str">
        <f t="shared" si="258"/>
        <v/>
      </c>
      <c r="E476" s="70" t="str">
        <f t="shared" si="259"/>
        <v/>
      </c>
      <c r="F476" s="70" t="str">
        <f t="shared" si="260"/>
        <v/>
      </c>
      <c r="G476" s="63" t="str">
        <f t="shared" si="261"/>
        <v/>
      </c>
      <c r="H476" s="64" t="str">
        <f t="shared" si="262"/>
        <v/>
      </c>
      <c r="J476" s="63" t="str">
        <f t="shared" si="263"/>
        <v/>
      </c>
      <c r="K476" s="64" t="str">
        <f t="shared" si="264"/>
        <v/>
      </c>
      <c r="L476" s="38">
        <v>0</v>
      </c>
      <c r="M476" s="64" t="str">
        <f t="shared" si="265"/>
        <v/>
      </c>
      <c r="O476" s="63" t="str">
        <f t="shared" si="266"/>
        <v/>
      </c>
      <c r="P476" s="63" t="str">
        <f t="shared" si="267"/>
        <v/>
      </c>
      <c r="R476" s="63" t="str">
        <f t="shared" si="268"/>
        <v/>
      </c>
      <c r="S476" s="64" t="str">
        <f t="shared" si="269"/>
        <v/>
      </c>
      <c r="T476" s="63" t="str">
        <f t="shared" si="270"/>
        <v/>
      </c>
      <c r="U476" s="64" t="str">
        <f t="shared" si="271"/>
        <v/>
      </c>
      <c r="V476" s="207" t="str">
        <f>IF($A477="","",IF(AND(MONTH(A476)&gt;3,MONTH(A476)&lt;11),(T476+R476+G476)*(((1/(1-Summary!$T$14))/(1-Summary!$W$14))-1),(T476+R476+G476)*((1/(1-Summary!$U$14))/(1-Summary!$X$14)-1)))</f>
        <v/>
      </c>
      <c r="W476" s="43" t="str">
        <f t="shared" si="272"/>
        <v/>
      </c>
      <c r="X476" s="43" t="str">
        <f t="shared" si="273"/>
        <v/>
      </c>
      <c r="Y476" s="43"/>
      <c r="AJ476" s="86"/>
      <c r="AK476" s="86"/>
      <c r="AL476" s="86"/>
      <c r="AM476" s="86"/>
      <c r="AN476" s="86"/>
      <c r="AO476" s="3" t="str">
        <f t="shared" si="274"/>
        <v/>
      </c>
      <c r="AP476" s="33" t="str">
        <f t="shared" si="275"/>
        <v/>
      </c>
      <c r="AQ476" s="58" t="str">
        <f t="shared" si="276"/>
        <v/>
      </c>
      <c r="AR476" s="38">
        <f>'ANR OK vs ML7'!AR476</f>
        <v>0.1</v>
      </c>
      <c r="AS476" s="35" t="str">
        <f t="shared" si="277"/>
        <v/>
      </c>
      <c r="AT476" s="3" t="str">
        <f t="shared" si="278"/>
        <v/>
      </c>
      <c r="AU476" s="3" t="str">
        <f t="shared" si="279"/>
        <v/>
      </c>
      <c r="AW476" s="32" t="str">
        <f t="shared" si="280"/>
        <v/>
      </c>
      <c r="AX476" s="32" t="str">
        <f t="shared" si="281"/>
        <v/>
      </c>
      <c r="AY476" s="32" t="str">
        <f t="shared" si="282"/>
        <v/>
      </c>
      <c r="BA476" s="32" t="str">
        <f>IF($A477="","",F476*Summary!$Q$14)</f>
        <v/>
      </c>
    </row>
    <row r="477" spans="1:53">
      <c r="A477" s="67" t="str">
        <f t="shared" si="283"/>
        <v/>
      </c>
      <c r="B477" s="69" t="str">
        <f t="shared" si="284"/>
        <v/>
      </c>
      <c r="D477" s="69" t="str">
        <f t="shared" si="258"/>
        <v/>
      </c>
      <c r="E477" s="70" t="str">
        <f t="shared" si="259"/>
        <v/>
      </c>
      <c r="F477" s="70" t="str">
        <f t="shared" si="260"/>
        <v/>
      </c>
      <c r="G477" s="63" t="str">
        <f t="shared" si="261"/>
        <v/>
      </c>
      <c r="H477" s="64" t="str">
        <f t="shared" si="262"/>
        <v/>
      </c>
      <c r="J477" s="63" t="str">
        <f t="shared" si="263"/>
        <v/>
      </c>
      <c r="K477" s="64" t="str">
        <f t="shared" si="264"/>
        <v/>
      </c>
      <c r="L477" s="38">
        <v>0</v>
      </c>
      <c r="M477" s="64" t="str">
        <f t="shared" si="265"/>
        <v/>
      </c>
      <c r="O477" s="63" t="str">
        <f t="shared" si="266"/>
        <v/>
      </c>
      <c r="P477" s="63" t="str">
        <f t="shared" si="267"/>
        <v/>
      </c>
      <c r="R477" s="63" t="str">
        <f t="shared" si="268"/>
        <v/>
      </c>
      <c r="S477" s="64" t="str">
        <f t="shared" si="269"/>
        <v/>
      </c>
      <c r="T477" s="63" t="str">
        <f t="shared" si="270"/>
        <v/>
      </c>
      <c r="U477" s="64" t="str">
        <f t="shared" si="271"/>
        <v/>
      </c>
      <c r="V477" s="207" t="str">
        <f>IF($A478="","",IF(AND(MONTH(A477)&gt;3,MONTH(A477)&lt;11),(T477+R477+G477)*(((1/(1-Summary!$T$14))/(1-Summary!$W$14))-1),(T477+R477+G477)*((1/(1-Summary!$U$14))/(1-Summary!$X$14)-1)))</f>
        <v/>
      </c>
      <c r="W477" s="43" t="str">
        <f t="shared" si="272"/>
        <v/>
      </c>
      <c r="X477" s="43" t="str">
        <f t="shared" si="273"/>
        <v/>
      </c>
      <c r="Y477" s="43"/>
      <c r="AJ477" s="86"/>
      <c r="AK477" s="86"/>
      <c r="AL477" s="86"/>
      <c r="AM477" s="86"/>
      <c r="AN477" s="86"/>
      <c r="AO477" s="3" t="str">
        <f t="shared" si="274"/>
        <v/>
      </c>
      <c r="AP477" s="33" t="str">
        <f t="shared" si="275"/>
        <v/>
      </c>
      <c r="AQ477" s="58" t="str">
        <f t="shared" si="276"/>
        <v/>
      </c>
      <c r="AR477" s="38">
        <f>'ANR OK vs ML7'!AR477</f>
        <v>0.1</v>
      </c>
      <c r="AS477" s="35" t="str">
        <f t="shared" si="277"/>
        <v/>
      </c>
      <c r="AT477" s="3" t="str">
        <f t="shared" si="278"/>
        <v/>
      </c>
      <c r="AU477" s="3" t="str">
        <f t="shared" si="279"/>
        <v/>
      </c>
      <c r="AW477" s="32" t="str">
        <f t="shared" si="280"/>
        <v/>
      </c>
      <c r="AX477" s="32" t="str">
        <f t="shared" si="281"/>
        <v/>
      </c>
      <c r="AY477" s="32" t="str">
        <f t="shared" si="282"/>
        <v/>
      </c>
      <c r="BA477" s="32" t="str">
        <f>IF($A478="","",F477*Summary!$Q$14)</f>
        <v/>
      </c>
    </row>
    <row r="478" spans="1:53">
      <c r="A478" s="67" t="str">
        <f t="shared" si="283"/>
        <v/>
      </c>
      <c r="B478" s="69" t="str">
        <f t="shared" si="284"/>
        <v/>
      </c>
      <c r="D478" s="69" t="str">
        <f t="shared" si="258"/>
        <v/>
      </c>
      <c r="E478" s="70" t="str">
        <f t="shared" si="259"/>
        <v/>
      </c>
      <c r="F478" s="70" t="str">
        <f t="shared" si="260"/>
        <v/>
      </c>
      <c r="G478" s="63" t="str">
        <f t="shared" si="261"/>
        <v/>
      </c>
      <c r="H478" s="64" t="str">
        <f t="shared" si="262"/>
        <v/>
      </c>
      <c r="J478" s="63" t="str">
        <f t="shared" si="263"/>
        <v/>
      </c>
      <c r="K478" s="64" t="str">
        <f t="shared" si="264"/>
        <v/>
      </c>
      <c r="L478" s="38">
        <v>0</v>
      </c>
      <c r="M478" s="64" t="str">
        <f t="shared" si="265"/>
        <v/>
      </c>
      <c r="O478" s="63" t="str">
        <f t="shared" si="266"/>
        <v/>
      </c>
      <c r="P478" s="63" t="str">
        <f t="shared" si="267"/>
        <v/>
      </c>
      <c r="R478" s="63" t="str">
        <f t="shared" si="268"/>
        <v/>
      </c>
      <c r="S478" s="64" t="str">
        <f t="shared" si="269"/>
        <v/>
      </c>
      <c r="T478" s="63" t="str">
        <f t="shared" si="270"/>
        <v/>
      </c>
      <c r="U478" s="64" t="str">
        <f t="shared" si="271"/>
        <v/>
      </c>
      <c r="V478" s="207" t="str">
        <f>IF($A479="","",IF(AND(MONTH(A478)&gt;3,MONTH(A478)&lt;11),(T478+R478+G478)*(((1/(1-Summary!$T$14))/(1-Summary!$W$14))-1),(T478+R478+G478)*((1/(1-Summary!$U$14))/(1-Summary!$X$14)-1)))</f>
        <v/>
      </c>
      <c r="W478" s="43" t="str">
        <f t="shared" si="272"/>
        <v/>
      </c>
      <c r="X478" s="43" t="str">
        <f t="shared" si="273"/>
        <v/>
      </c>
      <c r="Y478" s="43"/>
      <c r="AJ478" s="86"/>
      <c r="AK478" s="86"/>
      <c r="AL478" s="86"/>
      <c r="AM478" s="86"/>
      <c r="AN478" s="86"/>
      <c r="AO478" s="3" t="str">
        <f t="shared" si="274"/>
        <v/>
      </c>
      <c r="AP478" s="33" t="str">
        <f t="shared" si="275"/>
        <v/>
      </c>
      <c r="AQ478" s="58" t="str">
        <f t="shared" si="276"/>
        <v/>
      </c>
      <c r="AR478" s="38">
        <f>'ANR OK vs ML7'!AR478</f>
        <v>0.1</v>
      </c>
      <c r="AS478" s="35" t="str">
        <f t="shared" si="277"/>
        <v/>
      </c>
      <c r="AT478" s="3" t="str">
        <f t="shared" si="278"/>
        <v/>
      </c>
      <c r="AU478" s="3" t="str">
        <f t="shared" si="279"/>
        <v/>
      </c>
      <c r="AW478" s="32" t="str">
        <f t="shared" si="280"/>
        <v/>
      </c>
      <c r="AX478" s="32" t="str">
        <f t="shared" si="281"/>
        <v/>
      </c>
      <c r="AY478" s="32" t="str">
        <f t="shared" si="282"/>
        <v/>
      </c>
      <c r="BA478" s="32" t="str">
        <f>IF($A479="","",F478*Summary!$Q$14)</f>
        <v/>
      </c>
    </row>
    <row r="479" spans="1:53">
      <c r="A479" s="67" t="str">
        <f t="shared" si="283"/>
        <v/>
      </c>
      <c r="B479" s="69" t="str">
        <f t="shared" si="284"/>
        <v/>
      </c>
      <c r="D479" s="69" t="str">
        <f t="shared" si="258"/>
        <v/>
      </c>
      <c r="E479" s="70" t="str">
        <f t="shared" si="259"/>
        <v/>
      </c>
      <c r="F479" s="70" t="str">
        <f t="shared" si="260"/>
        <v/>
      </c>
      <c r="G479" s="63" t="str">
        <f t="shared" si="261"/>
        <v/>
      </c>
      <c r="H479" s="64" t="str">
        <f t="shared" si="262"/>
        <v/>
      </c>
      <c r="J479" s="63" t="str">
        <f t="shared" si="263"/>
        <v/>
      </c>
      <c r="K479" s="64" t="str">
        <f t="shared" si="264"/>
        <v/>
      </c>
      <c r="L479" s="38">
        <v>0</v>
      </c>
      <c r="M479" s="64" t="str">
        <f t="shared" si="265"/>
        <v/>
      </c>
      <c r="O479" s="63" t="str">
        <f t="shared" si="266"/>
        <v/>
      </c>
      <c r="P479" s="63" t="str">
        <f t="shared" si="267"/>
        <v/>
      </c>
      <c r="R479" s="63" t="str">
        <f t="shared" si="268"/>
        <v/>
      </c>
      <c r="S479" s="64" t="str">
        <f t="shared" si="269"/>
        <v/>
      </c>
      <c r="T479" s="63" t="str">
        <f t="shared" si="270"/>
        <v/>
      </c>
      <c r="U479" s="64" t="str">
        <f t="shared" si="271"/>
        <v/>
      </c>
      <c r="V479" s="207" t="str">
        <f>IF($A480="","",IF(AND(MONTH(A479)&gt;3,MONTH(A479)&lt;11),(T479+R479+G479)*(((1/(1-Summary!$T$14))/(1-Summary!$W$14))-1),(T479+R479+G479)*((1/(1-Summary!$U$14))/(1-Summary!$X$14)-1)))</f>
        <v/>
      </c>
      <c r="W479" s="43" t="str">
        <f t="shared" si="272"/>
        <v/>
      </c>
      <c r="X479" s="43" t="str">
        <f t="shared" si="273"/>
        <v/>
      </c>
      <c r="Y479" s="43"/>
      <c r="AJ479" s="86"/>
      <c r="AK479" s="86"/>
      <c r="AL479" s="86"/>
      <c r="AM479" s="86"/>
      <c r="AN479" s="86"/>
      <c r="AO479" s="3" t="str">
        <f t="shared" si="274"/>
        <v/>
      </c>
      <c r="AP479" s="33" t="str">
        <f t="shared" si="275"/>
        <v/>
      </c>
      <c r="AQ479" s="58" t="str">
        <f t="shared" si="276"/>
        <v/>
      </c>
      <c r="AR479" s="38">
        <f>'ANR OK vs ML7'!AR479</f>
        <v>0.1</v>
      </c>
      <c r="AS479" s="35" t="str">
        <f t="shared" si="277"/>
        <v/>
      </c>
      <c r="AT479" s="3" t="str">
        <f t="shared" si="278"/>
        <v/>
      </c>
      <c r="AU479" s="3" t="str">
        <f t="shared" si="279"/>
        <v/>
      </c>
      <c r="AW479" s="32" t="str">
        <f t="shared" si="280"/>
        <v/>
      </c>
      <c r="AX479" s="32" t="str">
        <f t="shared" si="281"/>
        <v/>
      </c>
      <c r="AY479" s="32" t="str">
        <f t="shared" si="282"/>
        <v/>
      </c>
      <c r="BA479" s="32" t="str">
        <f>IF($A480="","",F479*Summary!$Q$14)</f>
        <v/>
      </c>
    </row>
    <row r="480" spans="1:53">
      <c r="A480" s="67" t="str">
        <f t="shared" si="283"/>
        <v/>
      </c>
      <c r="B480" s="69" t="str">
        <f t="shared" si="284"/>
        <v/>
      </c>
      <c r="D480" s="69" t="str">
        <f t="shared" si="258"/>
        <v/>
      </c>
      <c r="E480" s="70" t="str">
        <f t="shared" si="259"/>
        <v/>
      </c>
      <c r="F480" s="70" t="str">
        <f t="shared" si="260"/>
        <v/>
      </c>
      <c r="G480" s="63" t="str">
        <f t="shared" si="261"/>
        <v/>
      </c>
      <c r="H480" s="64" t="str">
        <f t="shared" si="262"/>
        <v/>
      </c>
      <c r="J480" s="63" t="str">
        <f t="shared" si="263"/>
        <v/>
      </c>
      <c r="K480" s="64" t="str">
        <f t="shared" si="264"/>
        <v/>
      </c>
      <c r="L480" s="38">
        <v>0</v>
      </c>
      <c r="M480" s="64" t="str">
        <f t="shared" si="265"/>
        <v/>
      </c>
      <c r="O480" s="63" t="str">
        <f t="shared" si="266"/>
        <v/>
      </c>
      <c r="P480" s="63" t="str">
        <f t="shared" si="267"/>
        <v/>
      </c>
      <c r="R480" s="63" t="str">
        <f t="shared" si="268"/>
        <v/>
      </c>
      <c r="S480" s="64" t="str">
        <f t="shared" si="269"/>
        <v/>
      </c>
      <c r="T480" s="63" t="str">
        <f t="shared" si="270"/>
        <v/>
      </c>
      <c r="U480" s="64" t="str">
        <f t="shared" si="271"/>
        <v/>
      </c>
      <c r="V480" s="207" t="str">
        <f>IF($A481="","",IF(AND(MONTH(A480)&gt;3,MONTH(A480)&lt;11),(T480+R480+G480)*(((1/(1-Summary!$T$14))/(1-Summary!$W$14))-1),(T480+R480+G480)*((1/(1-Summary!$U$14))/(1-Summary!$X$14)-1)))</f>
        <v/>
      </c>
      <c r="W480" s="43" t="str">
        <f t="shared" si="272"/>
        <v/>
      </c>
      <c r="X480" s="43" t="str">
        <f t="shared" si="273"/>
        <v/>
      </c>
      <c r="Y480" s="43"/>
      <c r="AJ480" s="86"/>
      <c r="AK480" s="86"/>
      <c r="AL480" s="86"/>
      <c r="AM480" s="86"/>
      <c r="AN480" s="86"/>
      <c r="AO480" s="3" t="str">
        <f t="shared" si="274"/>
        <v/>
      </c>
      <c r="AP480" s="33" t="str">
        <f t="shared" si="275"/>
        <v/>
      </c>
      <c r="AQ480" s="58" t="str">
        <f t="shared" si="276"/>
        <v/>
      </c>
      <c r="AR480" s="38">
        <f>'ANR OK vs ML7'!AR480</f>
        <v>0.1</v>
      </c>
      <c r="AS480" s="35" t="str">
        <f t="shared" si="277"/>
        <v/>
      </c>
      <c r="AT480" s="3" t="str">
        <f t="shared" si="278"/>
        <v/>
      </c>
      <c r="AU480" s="3" t="str">
        <f t="shared" si="279"/>
        <v/>
      </c>
      <c r="AW480" s="32" t="str">
        <f t="shared" si="280"/>
        <v/>
      </c>
      <c r="AX480" s="32" t="str">
        <f t="shared" si="281"/>
        <v/>
      </c>
      <c r="AY480" s="32" t="str">
        <f t="shared" si="282"/>
        <v/>
      </c>
      <c r="BA480" s="32" t="str">
        <f>IF($A481="","",F480*Summary!$Q$14)</f>
        <v/>
      </c>
    </row>
    <row r="481" spans="1:53">
      <c r="A481" s="67" t="str">
        <f t="shared" si="283"/>
        <v/>
      </c>
      <c r="B481" s="69" t="str">
        <f t="shared" si="284"/>
        <v/>
      </c>
      <c r="D481" s="69" t="str">
        <f t="shared" si="258"/>
        <v/>
      </c>
      <c r="E481" s="70" t="str">
        <f t="shared" si="259"/>
        <v/>
      </c>
      <c r="F481" s="70" t="str">
        <f t="shared" si="260"/>
        <v/>
      </c>
      <c r="G481" s="63" t="str">
        <f t="shared" si="261"/>
        <v/>
      </c>
      <c r="H481" s="64" t="str">
        <f t="shared" si="262"/>
        <v/>
      </c>
      <c r="J481" s="63" t="str">
        <f t="shared" si="263"/>
        <v/>
      </c>
      <c r="K481" s="64" t="str">
        <f t="shared" si="264"/>
        <v/>
      </c>
      <c r="L481" s="38">
        <v>0</v>
      </c>
      <c r="M481" s="64" t="str">
        <f t="shared" si="265"/>
        <v/>
      </c>
      <c r="O481" s="63" t="str">
        <f t="shared" si="266"/>
        <v/>
      </c>
      <c r="P481" s="63" t="str">
        <f t="shared" si="267"/>
        <v/>
      </c>
      <c r="R481" s="63" t="str">
        <f t="shared" si="268"/>
        <v/>
      </c>
      <c r="S481" s="64" t="str">
        <f t="shared" si="269"/>
        <v/>
      </c>
      <c r="T481" s="63" t="str">
        <f t="shared" si="270"/>
        <v/>
      </c>
      <c r="U481" s="64" t="str">
        <f t="shared" si="271"/>
        <v/>
      </c>
      <c r="V481" s="207" t="str">
        <f>IF($A482="","",IF(AND(MONTH(A481)&gt;3,MONTH(A481)&lt;11),(T481+R481+G481)*(((1/(1-Summary!$T$14))/(1-Summary!$W$14))-1),(T481+R481+G481)*((1/(1-Summary!$U$14))/(1-Summary!$X$14)-1)))</f>
        <v/>
      </c>
      <c r="W481" s="43" t="str">
        <f t="shared" si="272"/>
        <v/>
      </c>
      <c r="X481" s="43" t="str">
        <f t="shared" si="273"/>
        <v/>
      </c>
      <c r="Y481" s="43"/>
      <c r="AJ481" s="86"/>
      <c r="AK481" s="86"/>
      <c r="AL481" s="86"/>
      <c r="AM481" s="86"/>
      <c r="AN481" s="86"/>
      <c r="AO481" s="3" t="str">
        <f t="shared" si="274"/>
        <v/>
      </c>
      <c r="AP481" s="33" t="str">
        <f t="shared" si="275"/>
        <v/>
      </c>
      <c r="AQ481" s="58" t="str">
        <f t="shared" si="276"/>
        <v/>
      </c>
      <c r="AR481" s="38">
        <f>'ANR OK vs ML7'!AR481</f>
        <v>0.1</v>
      </c>
      <c r="AS481" s="35" t="str">
        <f t="shared" si="277"/>
        <v/>
      </c>
      <c r="AT481" s="3" t="str">
        <f t="shared" si="278"/>
        <v/>
      </c>
      <c r="AU481" s="3" t="str">
        <f t="shared" si="279"/>
        <v/>
      </c>
      <c r="AW481" s="32" t="str">
        <f t="shared" si="280"/>
        <v/>
      </c>
      <c r="AX481" s="32" t="str">
        <f t="shared" si="281"/>
        <v/>
      </c>
      <c r="AY481" s="32" t="str">
        <f t="shared" si="282"/>
        <v/>
      </c>
      <c r="BA481" s="32" t="str">
        <f>IF($A482="","",F481*Summary!$Q$14)</f>
        <v/>
      </c>
    </row>
    <row r="482" spans="1:53">
      <c r="A482" s="67" t="str">
        <f t="shared" si="283"/>
        <v/>
      </c>
      <c r="B482" s="69" t="str">
        <f t="shared" si="284"/>
        <v/>
      </c>
      <c r="D482" s="69" t="str">
        <f t="shared" si="258"/>
        <v/>
      </c>
      <c r="E482" s="70" t="str">
        <f t="shared" si="259"/>
        <v/>
      </c>
      <c r="F482" s="70" t="str">
        <f t="shared" si="260"/>
        <v/>
      </c>
      <c r="G482" s="63" t="str">
        <f t="shared" si="261"/>
        <v/>
      </c>
      <c r="H482" s="64" t="str">
        <f t="shared" si="262"/>
        <v/>
      </c>
      <c r="J482" s="63" t="str">
        <f t="shared" si="263"/>
        <v/>
      </c>
      <c r="K482" s="64" t="str">
        <f t="shared" si="264"/>
        <v/>
      </c>
      <c r="L482" s="38">
        <v>0</v>
      </c>
      <c r="M482" s="64" t="str">
        <f t="shared" si="265"/>
        <v/>
      </c>
      <c r="O482" s="63" t="str">
        <f t="shared" si="266"/>
        <v/>
      </c>
      <c r="P482" s="63" t="str">
        <f t="shared" si="267"/>
        <v/>
      </c>
      <c r="R482" s="63" t="str">
        <f t="shared" si="268"/>
        <v/>
      </c>
      <c r="S482" s="64" t="str">
        <f t="shared" si="269"/>
        <v/>
      </c>
      <c r="T482" s="63" t="str">
        <f t="shared" si="270"/>
        <v/>
      </c>
      <c r="U482" s="64" t="str">
        <f t="shared" si="271"/>
        <v/>
      </c>
      <c r="V482" s="207" t="str">
        <f>IF($A483="","",IF(AND(MONTH(A482)&gt;3,MONTH(A482)&lt;11),(T482+R482+G482)*(((1/(1-Summary!$T$14))/(1-Summary!$W$14))-1),(T482+R482+G482)*((1/(1-Summary!$U$14))/(1-Summary!$X$14)-1)))</f>
        <v/>
      </c>
      <c r="W482" s="43" t="str">
        <f t="shared" si="272"/>
        <v/>
      </c>
      <c r="X482" s="43" t="str">
        <f t="shared" si="273"/>
        <v/>
      </c>
      <c r="Y482" s="43"/>
      <c r="AJ482" s="86"/>
      <c r="AK482" s="86"/>
      <c r="AL482" s="86"/>
      <c r="AM482" s="86"/>
      <c r="AN482" s="86"/>
      <c r="AO482" s="3" t="str">
        <f t="shared" si="274"/>
        <v/>
      </c>
      <c r="AP482" s="33" t="str">
        <f t="shared" si="275"/>
        <v/>
      </c>
      <c r="AQ482" s="58" t="str">
        <f t="shared" si="276"/>
        <v/>
      </c>
      <c r="AR482" s="38">
        <f>'ANR OK vs ML7'!AR482</f>
        <v>0.1</v>
      </c>
      <c r="AS482" s="35" t="str">
        <f t="shared" si="277"/>
        <v/>
      </c>
      <c r="AT482" s="3" t="str">
        <f t="shared" si="278"/>
        <v/>
      </c>
      <c r="AU482" s="3" t="str">
        <f t="shared" si="279"/>
        <v/>
      </c>
      <c r="AW482" s="32" t="str">
        <f t="shared" si="280"/>
        <v/>
      </c>
      <c r="AX482" s="32" t="str">
        <f t="shared" si="281"/>
        <v/>
      </c>
      <c r="AY482" s="32" t="str">
        <f t="shared" si="282"/>
        <v/>
      </c>
      <c r="BA482" s="32" t="str">
        <f>IF($A483="","",F482*Summary!$Q$14)</f>
        <v/>
      </c>
    </row>
    <row r="483" spans="1:53">
      <c r="A483" s="67" t="str">
        <f t="shared" si="283"/>
        <v/>
      </c>
      <c r="B483" s="69" t="str">
        <f t="shared" si="284"/>
        <v/>
      </c>
      <c r="D483" s="69" t="str">
        <f t="shared" si="258"/>
        <v/>
      </c>
      <c r="E483" s="70" t="str">
        <f t="shared" si="259"/>
        <v/>
      </c>
      <c r="F483" s="70" t="str">
        <f t="shared" si="260"/>
        <v/>
      </c>
      <c r="G483" s="63" t="str">
        <f t="shared" si="261"/>
        <v/>
      </c>
      <c r="H483" s="64" t="str">
        <f t="shared" si="262"/>
        <v/>
      </c>
      <c r="J483" s="63" t="str">
        <f t="shared" si="263"/>
        <v/>
      </c>
      <c r="K483" s="64" t="str">
        <f t="shared" si="264"/>
        <v/>
      </c>
      <c r="L483" s="38">
        <v>0</v>
      </c>
      <c r="M483" s="64" t="str">
        <f t="shared" si="265"/>
        <v/>
      </c>
      <c r="O483" s="63" t="str">
        <f t="shared" si="266"/>
        <v/>
      </c>
      <c r="P483" s="63" t="str">
        <f t="shared" si="267"/>
        <v/>
      </c>
      <c r="R483" s="63" t="str">
        <f t="shared" si="268"/>
        <v/>
      </c>
      <c r="S483" s="64" t="str">
        <f t="shared" si="269"/>
        <v/>
      </c>
      <c r="T483" s="63" t="str">
        <f t="shared" si="270"/>
        <v/>
      </c>
      <c r="U483" s="64" t="str">
        <f t="shared" si="271"/>
        <v/>
      </c>
      <c r="V483" s="207" t="str">
        <f>IF($A484="","",IF(AND(MONTH(A483)&gt;3,MONTH(A483)&lt;11),(T483+R483+G483)*(((1/(1-Summary!$T$14))/(1-Summary!$W$14))-1),(T483+R483+G483)*((1/(1-Summary!$U$14))/(1-Summary!$X$14)-1)))</f>
        <v/>
      </c>
      <c r="W483" s="43" t="str">
        <f t="shared" si="272"/>
        <v/>
      </c>
      <c r="X483" s="43" t="str">
        <f t="shared" si="273"/>
        <v/>
      </c>
      <c r="Y483" s="43"/>
      <c r="AJ483" s="86"/>
      <c r="AK483" s="86"/>
      <c r="AL483" s="86"/>
      <c r="AM483" s="86"/>
      <c r="AN483" s="86"/>
      <c r="AO483" s="3" t="str">
        <f t="shared" si="274"/>
        <v/>
      </c>
      <c r="AP483" s="33" t="str">
        <f t="shared" si="275"/>
        <v/>
      </c>
      <c r="AQ483" s="58" t="str">
        <f t="shared" si="276"/>
        <v/>
      </c>
      <c r="AR483" s="38">
        <f>'ANR OK vs ML7'!AR483</f>
        <v>0.1</v>
      </c>
      <c r="AS483" s="35" t="str">
        <f t="shared" si="277"/>
        <v/>
      </c>
      <c r="AT483" s="3" t="str">
        <f t="shared" si="278"/>
        <v/>
      </c>
      <c r="AU483" s="3" t="str">
        <f t="shared" si="279"/>
        <v/>
      </c>
      <c r="AW483" s="32" t="str">
        <f t="shared" si="280"/>
        <v/>
      </c>
      <c r="AX483" s="32" t="str">
        <f t="shared" si="281"/>
        <v/>
      </c>
      <c r="AY483" s="32" t="str">
        <f t="shared" si="282"/>
        <v/>
      </c>
      <c r="BA483" s="32" t="str">
        <f>IF($A484="","",F483*Summary!$Q$14)</f>
        <v/>
      </c>
    </row>
    <row r="484" spans="1:53">
      <c r="A484" s="67" t="str">
        <f t="shared" si="283"/>
        <v/>
      </c>
      <c r="B484" s="69" t="str">
        <f t="shared" si="284"/>
        <v/>
      </c>
      <c r="D484" s="69" t="str">
        <f t="shared" si="258"/>
        <v/>
      </c>
      <c r="E484" s="70" t="str">
        <f t="shared" si="259"/>
        <v/>
      </c>
      <c r="F484" s="70" t="str">
        <f t="shared" si="260"/>
        <v/>
      </c>
      <c r="G484" s="63" t="str">
        <f t="shared" si="261"/>
        <v/>
      </c>
      <c r="H484" s="64" t="str">
        <f t="shared" si="262"/>
        <v/>
      </c>
      <c r="J484" s="63" t="str">
        <f t="shared" si="263"/>
        <v/>
      </c>
      <c r="K484" s="64" t="str">
        <f t="shared" si="264"/>
        <v/>
      </c>
      <c r="L484" s="38">
        <v>0</v>
      </c>
      <c r="M484" s="64" t="str">
        <f t="shared" si="265"/>
        <v/>
      </c>
      <c r="O484" s="63" t="str">
        <f t="shared" si="266"/>
        <v/>
      </c>
      <c r="P484" s="63" t="str">
        <f t="shared" si="267"/>
        <v/>
      </c>
      <c r="R484" s="63" t="str">
        <f t="shared" si="268"/>
        <v/>
      </c>
      <c r="S484" s="64" t="str">
        <f t="shared" si="269"/>
        <v/>
      </c>
      <c r="T484" s="63" t="str">
        <f t="shared" si="270"/>
        <v/>
      </c>
      <c r="U484" s="64" t="str">
        <f t="shared" si="271"/>
        <v/>
      </c>
      <c r="V484" s="207" t="str">
        <f>IF($A485="","",IF(AND(MONTH(A484)&gt;3,MONTH(A484)&lt;11),(T484+R484+G484)*(((1/(1-Summary!$T$14))/(1-Summary!$W$14))-1),(T484+R484+G484)*((1/(1-Summary!$U$14))/(1-Summary!$X$14)-1)))</f>
        <v/>
      </c>
      <c r="W484" s="43" t="str">
        <f t="shared" si="272"/>
        <v/>
      </c>
      <c r="X484" s="43" t="str">
        <f t="shared" si="273"/>
        <v/>
      </c>
      <c r="Y484" s="43"/>
      <c r="AJ484" s="86"/>
      <c r="AK484" s="86"/>
      <c r="AL484" s="86"/>
      <c r="AM484" s="86"/>
      <c r="AN484" s="86"/>
      <c r="AO484" s="3" t="str">
        <f t="shared" si="274"/>
        <v/>
      </c>
      <c r="AP484" s="33" t="str">
        <f t="shared" si="275"/>
        <v/>
      </c>
      <c r="AQ484" s="58" t="str">
        <f t="shared" si="276"/>
        <v/>
      </c>
      <c r="AR484" s="38">
        <f>'ANR OK vs ML7'!AR484</f>
        <v>0.1</v>
      </c>
      <c r="AS484" s="35" t="str">
        <f t="shared" si="277"/>
        <v/>
      </c>
      <c r="AT484" s="3" t="str">
        <f t="shared" si="278"/>
        <v/>
      </c>
      <c r="AU484" s="3" t="str">
        <f t="shared" si="279"/>
        <v/>
      </c>
      <c r="AW484" s="32" t="str">
        <f t="shared" si="280"/>
        <v/>
      </c>
      <c r="AX484" s="32" t="str">
        <f t="shared" si="281"/>
        <v/>
      </c>
      <c r="AY484" s="32" t="str">
        <f t="shared" si="282"/>
        <v/>
      </c>
      <c r="BA484" s="32" t="str">
        <f>IF($A485="","",F484*Summary!$Q$14)</f>
        <v/>
      </c>
    </row>
    <row r="485" spans="1:53">
      <c r="A485" s="67" t="str">
        <f t="shared" si="283"/>
        <v/>
      </c>
      <c r="B485" s="69" t="str">
        <f t="shared" si="284"/>
        <v/>
      </c>
      <c r="D485" s="69" t="str">
        <f t="shared" si="258"/>
        <v/>
      </c>
      <c r="E485" s="70" t="str">
        <f t="shared" si="259"/>
        <v/>
      </c>
      <c r="F485" s="70" t="str">
        <f t="shared" si="260"/>
        <v/>
      </c>
      <c r="G485" s="63" t="str">
        <f t="shared" si="261"/>
        <v/>
      </c>
      <c r="H485" s="64" t="str">
        <f t="shared" si="262"/>
        <v/>
      </c>
      <c r="J485" s="63" t="str">
        <f t="shared" si="263"/>
        <v/>
      </c>
      <c r="K485" s="64" t="str">
        <f t="shared" si="264"/>
        <v/>
      </c>
      <c r="L485" s="38">
        <v>0</v>
      </c>
      <c r="M485" s="64" t="str">
        <f t="shared" si="265"/>
        <v/>
      </c>
      <c r="O485" s="63" t="str">
        <f t="shared" si="266"/>
        <v/>
      </c>
      <c r="P485" s="63" t="str">
        <f t="shared" si="267"/>
        <v/>
      </c>
      <c r="R485" s="63" t="str">
        <f t="shared" si="268"/>
        <v/>
      </c>
      <c r="S485" s="64" t="str">
        <f t="shared" si="269"/>
        <v/>
      </c>
      <c r="T485" s="63" t="str">
        <f t="shared" si="270"/>
        <v/>
      </c>
      <c r="U485" s="64" t="str">
        <f t="shared" si="271"/>
        <v/>
      </c>
      <c r="V485" s="207" t="str">
        <f>IF($A486="","",IF(AND(MONTH(A485)&gt;3,MONTH(A485)&lt;11),(T485+R485+G485)*(((1/(1-Summary!$T$14))/(1-Summary!$W$14))-1),(T485+R485+G485)*((1/(1-Summary!$U$14))/(1-Summary!$X$14)-1)))</f>
        <v/>
      </c>
      <c r="W485" s="43" t="str">
        <f t="shared" si="272"/>
        <v/>
      </c>
      <c r="X485" s="43" t="str">
        <f t="shared" si="273"/>
        <v/>
      </c>
      <c r="Y485" s="43"/>
      <c r="AJ485" s="86"/>
      <c r="AK485" s="86"/>
      <c r="AL485" s="86"/>
      <c r="AM485" s="86"/>
      <c r="AN485" s="86"/>
      <c r="AO485" s="3" t="str">
        <f t="shared" si="274"/>
        <v/>
      </c>
      <c r="AP485" s="33" t="str">
        <f t="shared" si="275"/>
        <v/>
      </c>
      <c r="AQ485" s="58" t="str">
        <f t="shared" si="276"/>
        <v/>
      </c>
      <c r="AR485" s="38">
        <f>'ANR OK vs ML7'!AR485</f>
        <v>0.1</v>
      </c>
      <c r="AS485" s="35" t="str">
        <f t="shared" si="277"/>
        <v/>
      </c>
      <c r="AT485" s="3" t="str">
        <f t="shared" si="278"/>
        <v/>
      </c>
      <c r="AU485" s="3" t="str">
        <f t="shared" si="279"/>
        <v/>
      </c>
      <c r="AW485" s="32" t="str">
        <f t="shared" si="280"/>
        <v/>
      </c>
      <c r="AX485" s="32" t="str">
        <f t="shared" si="281"/>
        <v/>
      </c>
      <c r="AY485" s="32" t="str">
        <f t="shared" si="282"/>
        <v/>
      </c>
      <c r="BA485" s="32" t="str">
        <f>IF($A486="","",F485*Summary!$Q$14)</f>
        <v/>
      </c>
    </row>
    <row r="486" spans="1:53">
      <c r="A486" s="67" t="str">
        <f t="shared" si="283"/>
        <v/>
      </c>
      <c r="B486" s="69" t="str">
        <f t="shared" si="284"/>
        <v/>
      </c>
      <c r="D486" s="69" t="str">
        <f t="shared" si="258"/>
        <v/>
      </c>
      <c r="E486" s="70" t="str">
        <f t="shared" si="259"/>
        <v/>
      </c>
      <c r="F486" s="70" t="str">
        <f t="shared" si="260"/>
        <v/>
      </c>
      <c r="G486" s="63" t="str">
        <f t="shared" si="261"/>
        <v/>
      </c>
      <c r="H486" s="64" t="str">
        <f t="shared" si="262"/>
        <v/>
      </c>
      <c r="J486" s="63" t="str">
        <f t="shared" si="263"/>
        <v/>
      </c>
      <c r="K486" s="64" t="str">
        <f t="shared" si="264"/>
        <v/>
      </c>
      <c r="L486" s="38">
        <v>0</v>
      </c>
      <c r="M486" s="64" t="str">
        <f t="shared" si="265"/>
        <v/>
      </c>
      <c r="O486" s="63" t="str">
        <f t="shared" si="266"/>
        <v/>
      </c>
      <c r="P486" s="63" t="str">
        <f t="shared" si="267"/>
        <v/>
      </c>
      <c r="R486" s="63" t="str">
        <f t="shared" si="268"/>
        <v/>
      </c>
      <c r="S486" s="64" t="str">
        <f t="shared" si="269"/>
        <v/>
      </c>
      <c r="T486" s="63" t="str">
        <f t="shared" si="270"/>
        <v/>
      </c>
      <c r="U486" s="64" t="str">
        <f t="shared" si="271"/>
        <v/>
      </c>
      <c r="V486" s="207" t="str">
        <f>IF($A487="","",IF(AND(MONTH(A486)&gt;3,MONTH(A486)&lt;11),(T486+R486+G486)*(((1/(1-Summary!$T$14))/(1-Summary!$W$14))-1),(T486+R486+G486)*((1/(1-Summary!$U$14))/(1-Summary!$X$14)-1)))</f>
        <v/>
      </c>
      <c r="W486" s="43" t="str">
        <f t="shared" si="272"/>
        <v/>
      </c>
      <c r="X486" s="43" t="str">
        <f t="shared" si="273"/>
        <v/>
      </c>
      <c r="Y486" s="43"/>
      <c r="AJ486" s="86"/>
      <c r="AK486" s="86"/>
      <c r="AL486" s="86"/>
      <c r="AM486" s="86"/>
      <c r="AN486" s="86"/>
      <c r="AO486" s="3" t="str">
        <f t="shared" si="274"/>
        <v/>
      </c>
      <c r="AP486" s="33" t="str">
        <f t="shared" si="275"/>
        <v/>
      </c>
      <c r="AQ486" s="58" t="str">
        <f t="shared" si="276"/>
        <v/>
      </c>
      <c r="AR486" s="38">
        <f>'ANR OK vs ML7'!AR486</f>
        <v>0.1</v>
      </c>
      <c r="AS486" s="35" t="str">
        <f t="shared" si="277"/>
        <v/>
      </c>
      <c r="AT486" s="3" t="str">
        <f t="shared" si="278"/>
        <v/>
      </c>
      <c r="AU486" s="3" t="str">
        <f t="shared" si="279"/>
        <v/>
      </c>
      <c r="AW486" s="32" t="str">
        <f t="shared" si="280"/>
        <v/>
      </c>
      <c r="AX486" s="32" t="str">
        <f t="shared" si="281"/>
        <v/>
      </c>
      <c r="AY486" s="32" t="str">
        <f t="shared" si="282"/>
        <v/>
      </c>
      <c r="BA486" s="32" t="str">
        <f>IF($A487="","",F486*Summary!$Q$14)</f>
        <v/>
      </c>
    </row>
    <row r="487" spans="1:53">
      <c r="A487" s="67" t="str">
        <f t="shared" si="283"/>
        <v/>
      </c>
      <c r="B487" s="69" t="str">
        <f t="shared" si="284"/>
        <v/>
      </c>
      <c r="D487" s="69" t="str">
        <f t="shared" si="258"/>
        <v/>
      </c>
      <c r="E487" s="70" t="str">
        <f t="shared" si="259"/>
        <v/>
      </c>
      <c r="F487" s="70" t="str">
        <f t="shared" si="260"/>
        <v/>
      </c>
      <c r="G487" s="63" t="str">
        <f t="shared" si="261"/>
        <v/>
      </c>
      <c r="H487" s="64" t="str">
        <f t="shared" si="262"/>
        <v/>
      </c>
      <c r="J487" s="63" t="str">
        <f t="shared" si="263"/>
        <v/>
      </c>
      <c r="K487" s="64" t="str">
        <f t="shared" si="264"/>
        <v/>
      </c>
      <c r="L487" s="38">
        <v>0</v>
      </c>
      <c r="M487" s="64" t="str">
        <f t="shared" si="265"/>
        <v/>
      </c>
      <c r="O487" s="63" t="str">
        <f t="shared" si="266"/>
        <v/>
      </c>
      <c r="P487" s="63" t="str">
        <f t="shared" si="267"/>
        <v/>
      </c>
      <c r="R487" s="63" t="str">
        <f t="shared" si="268"/>
        <v/>
      </c>
      <c r="S487" s="64" t="str">
        <f t="shared" si="269"/>
        <v/>
      </c>
      <c r="T487" s="63" t="str">
        <f t="shared" si="270"/>
        <v/>
      </c>
      <c r="U487" s="64" t="str">
        <f t="shared" si="271"/>
        <v/>
      </c>
      <c r="V487" s="207" t="str">
        <f>IF($A488="","",IF(AND(MONTH(A487)&gt;3,MONTH(A487)&lt;11),(T487+R487+G487)*(((1/(1-Summary!$T$14))/(1-Summary!$W$14))-1),(T487+R487+G487)*((1/(1-Summary!$U$14))/(1-Summary!$X$14)-1)))</f>
        <v/>
      </c>
      <c r="W487" s="43" t="str">
        <f t="shared" si="272"/>
        <v/>
      </c>
      <c r="X487" s="43" t="str">
        <f t="shared" si="273"/>
        <v/>
      </c>
      <c r="Y487" s="43"/>
      <c r="AJ487" s="86"/>
      <c r="AK487" s="86"/>
      <c r="AL487" s="86"/>
      <c r="AM487" s="86"/>
      <c r="AN487" s="86"/>
      <c r="AO487" s="3" t="str">
        <f t="shared" si="274"/>
        <v/>
      </c>
      <c r="AP487" s="33" t="str">
        <f t="shared" si="275"/>
        <v/>
      </c>
      <c r="AQ487" s="58" t="str">
        <f t="shared" si="276"/>
        <v/>
      </c>
      <c r="AR487" s="38">
        <f>'ANR OK vs ML7'!AR487</f>
        <v>0.1</v>
      </c>
      <c r="AS487" s="35" t="str">
        <f t="shared" si="277"/>
        <v/>
      </c>
      <c r="AT487" s="3" t="str">
        <f t="shared" si="278"/>
        <v/>
      </c>
      <c r="AU487" s="3" t="str">
        <f t="shared" si="279"/>
        <v/>
      </c>
      <c r="AW487" s="32" t="str">
        <f t="shared" si="280"/>
        <v/>
      </c>
      <c r="AX487" s="32" t="str">
        <f t="shared" si="281"/>
        <v/>
      </c>
      <c r="AY487" s="32" t="str">
        <f t="shared" si="282"/>
        <v/>
      </c>
      <c r="BA487" s="32" t="str">
        <f>IF($A488="","",F487*Summary!$Q$14)</f>
        <v/>
      </c>
    </row>
    <row r="488" spans="1:53">
      <c r="A488" s="67" t="str">
        <f t="shared" si="283"/>
        <v/>
      </c>
      <c r="B488" s="69" t="str">
        <f t="shared" si="284"/>
        <v/>
      </c>
      <c r="D488" s="69" t="str">
        <f t="shared" si="258"/>
        <v/>
      </c>
      <c r="E488" s="70" t="str">
        <f t="shared" si="259"/>
        <v/>
      </c>
      <c r="F488" s="70" t="str">
        <f t="shared" si="260"/>
        <v/>
      </c>
      <c r="G488" s="63" t="str">
        <f t="shared" si="261"/>
        <v/>
      </c>
      <c r="H488" s="64" t="str">
        <f t="shared" si="262"/>
        <v/>
      </c>
      <c r="J488" s="63" t="str">
        <f t="shared" si="263"/>
        <v/>
      </c>
      <c r="K488" s="64" t="str">
        <f t="shared" si="264"/>
        <v/>
      </c>
      <c r="L488" s="38">
        <v>0</v>
      </c>
      <c r="M488" s="64" t="str">
        <f t="shared" si="265"/>
        <v/>
      </c>
      <c r="O488" s="63" t="str">
        <f t="shared" si="266"/>
        <v/>
      </c>
      <c r="P488" s="63" t="str">
        <f t="shared" si="267"/>
        <v/>
      </c>
      <c r="R488" s="63" t="str">
        <f t="shared" si="268"/>
        <v/>
      </c>
      <c r="S488" s="64" t="str">
        <f t="shared" si="269"/>
        <v/>
      </c>
      <c r="T488" s="63" t="str">
        <f t="shared" si="270"/>
        <v/>
      </c>
      <c r="U488" s="64" t="str">
        <f t="shared" si="271"/>
        <v/>
      </c>
      <c r="V488" s="207" t="str">
        <f>IF($A489="","",IF(AND(MONTH(A488)&gt;3,MONTH(A488)&lt;11),(T488+R488+G488)*(((1/(1-Summary!$T$14))/(1-Summary!$W$14))-1),(T488+R488+G488)*((1/(1-Summary!$U$14))/(1-Summary!$X$14)-1)))</f>
        <v/>
      </c>
      <c r="W488" s="43" t="str">
        <f t="shared" si="272"/>
        <v/>
      </c>
      <c r="X488" s="43" t="str">
        <f t="shared" si="273"/>
        <v/>
      </c>
      <c r="Y488" s="43"/>
      <c r="AJ488" s="86"/>
      <c r="AK488" s="86"/>
      <c r="AL488" s="86"/>
      <c r="AM488" s="86"/>
      <c r="AN488" s="86"/>
      <c r="AO488" s="3" t="str">
        <f t="shared" si="274"/>
        <v/>
      </c>
      <c r="AP488" s="33" t="str">
        <f t="shared" si="275"/>
        <v/>
      </c>
      <c r="AQ488" s="58" t="str">
        <f t="shared" si="276"/>
        <v/>
      </c>
      <c r="AR488" s="38">
        <f>'ANR OK vs ML7'!AR488</f>
        <v>0.1</v>
      </c>
      <c r="AS488" s="35" t="str">
        <f t="shared" si="277"/>
        <v/>
      </c>
      <c r="AT488" s="3" t="str">
        <f t="shared" si="278"/>
        <v/>
      </c>
      <c r="AU488" s="3" t="str">
        <f t="shared" si="279"/>
        <v/>
      </c>
      <c r="AW488" s="32" t="str">
        <f t="shared" si="280"/>
        <v/>
      </c>
      <c r="AX488" s="32" t="str">
        <f t="shared" si="281"/>
        <v/>
      </c>
      <c r="AY488" s="32" t="str">
        <f t="shared" si="282"/>
        <v/>
      </c>
      <c r="BA488" s="32" t="str">
        <f>IF($A489="","",F488*Summary!$Q$14)</f>
        <v/>
      </c>
    </row>
    <row r="489" spans="1:53">
      <c r="A489" s="67" t="str">
        <f t="shared" si="283"/>
        <v/>
      </c>
      <c r="B489" s="69" t="str">
        <f t="shared" si="284"/>
        <v/>
      </c>
      <c r="D489" s="69" t="str">
        <f t="shared" si="258"/>
        <v/>
      </c>
      <c r="E489" s="70" t="str">
        <f t="shared" si="259"/>
        <v/>
      </c>
      <c r="F489" s="70" t="str">
        <f t="shared" si="260"/>
        <v/>
      </c>
      <c r="G489" s="63" t="str">
        <f t="shared" si="261"/>
        <v/>
      </c>
      <c r="H489" s="64" t="str">
        <f t="shared" si="262"/>
        <v/>
      </c>
      <c r="J489" s="63" t="str">
        <f t="shared" si="263"/>
        <v/>
      </c>
      <c r="K489" s="64" t="str">
        <f t="shared" si="264"/>
        <v/>
      </c>
      <c r="L489" s="38">
        <v>0</v>
      </c>
      <c r="M489" s="64" t="str">
        <f t="shared" si="265"/>
        <v/>
      </c>
      <c r="O489" s="63" t="str">
        <f t="shared" si="266"/>
        <v/>
      </c>
      <c r="P489" s="63" t="str">
        <f t="shared" si="267"/>
        <v/>
      </c>
      <c r="R489" s="63" t="str">
        <f t="shared" si="268"/>
        <v/>
      </c>
      <c r="S489" s="64" t="str">
        <f t="shared" si="269"/>
        <v/>
      </c>
      <c r="T489" s="63" t="str">
        <f t="shared" si="270"/>
        <v/>
      </c>
      <c r="U489" s="64" t="str">
        <f t="shared" si="271"/>
        <v/>
      </c>
      <c r="V489" s="207" t="str">
        <f>IF($A490="","",IF(AND(MONTH(A489)&gt;3,MONTH(A489)&lt;11),(T489+R489+G489)*(((1/(1-Summary!$T$14))/(1-Summary!$W$14))-1),(T489+R489+G489)*((1/(1-Summary!$U$14))/(1-Summary!$X$14)-1)))</f>
        <v/>
      </c>
      <c r="W489" s="43" t="str">
        <f t="shared" si="272"/>
        <v/>
      </c>
      <c r="X489" s="43" t="str">
        <f t="shared" si="273"/>
        <v/>
      </c>
      <c r="Y489" s="43"/>
      <c r="AJ489" s="86"/>
      <c r="AK489" s="86"/>
      <c r="AL489" s="86"/>
      <c r="AM489" s="86"/>
      <c r="AN489" s="86"/>
      <c r="AO489" s="3" t="str">
        <f t="shared" si="274"/>
        <v/>
      </c>
      <c r="AP489" s="33" t="str">
        <f t="shared" si="275"/>
        <v/>
      </c>
      <c r="AQ489" s="58" t="str">
        <f t="shared" si="276"/>
        <v/>
      </c>
      <c r="AR489" s="38">
        <f>'ANR OK vs ML7'!AR489</f>
        <v>0.1</v>
      </c>
      <c r="AS489" s="35" t="str">
        <f t="shared" si="277"/>
        <v/>
      </c>
      <c r="AT489" s="3" t="str">
        <f t="shared" si="278"/>
        <v/>
      </c>
      <c r="AU489" s="3" t="str">
        <f t="shared" si="279"/>
        <v/>
      </c>
      <c r="AW489" s="32" t="str">
        <f t="shared" si="280"/>
        <v/>
      </c>
      <c r="AX489" s="32" t="str">
        <f t="shared" si="281"/>
        <v/>
      </c>
      <c r="AY489" s="32" t="str">
        <f t="shared" si="282"/>
        <v/>
      </c>
      <c r="BA489" s="32" t="str">
        <f>IF($A490="","",F489*Summary!$Q$14)</f>
        <v/>
      </c>
    </row>
    <row r="490" spans="1:53">
      <c r="A490" s="67" t="str">
        <f t="shared" si="283"/>
        <v/>
      </c>
      <c r="B490" s="69" t="str">
        <f t="shared" si="284"/>
        <v/>
      </c>
      <c r="D490" s="69" t="str">
        <f t="shared" si="258"/>
        <v/>
      </c>
      <c r="E490" s="70" t="str">
        <f t="shared" si="259"/>
        <v/>
      </c>
      <c r="F490" s="70" t="str">
        <f t="shared" si="260"/>
        <v/>
      </c>
      <c r="G490" s="63" t="str">
        <f t="shared" si="261"/>
        <v/>
      </c>
      <c r="H490" s="64" t="str">
        <f t="shared" si="262"/>
        <v/>
      </c>
      <c r="J490" s="63" t="str">
        <f t="shared" si="263"/>
        <v/>
      </c>
      <c r="K490" s="64" t="str">
        <f t="shared" si="264"/>
        <v/>
      </c>
      <c r="L490" s="38">
        <v>0</v>
      </c>
      <c r="M490" s="64" t="str">
        <f t="shared" si="265"/>
        <v/>
      </c>
      <c r="O490" s="63" t="str">
        <f t="shared" si="266"/>
        <v/>
      </c>
      <c r="P490" s="63" t="str">
        <f t="shared" si="267"/>
        <v/>
      </c>
      <c r="R490" s="63" t="str">
        <f t="shared" si="268"/>
        <v/>
      </c>
      <c r="S490" s="64" t="str">
        <f t="shared" si="269"/>
        <v/>
      </c>
      <c r="T490" s="63" t="str">
        <f t="shared" si="270"/>
        <v/>
      </c>
      <c r="U490" s="64" t="str">
        <f t="shared" si="271"/>
        <v/>
      </c>
      <c r="V490" s="207" t="str">
        <f>IF($A491="","",IF(AND(MONTH(A490)&gt;3,MONTH(A490)&lt;11),(T490+R490+G490)*(((1/(1-Summary!$T$14))/(1-Summary!$W$14))-1),(T490+R490+G490)*((1/(1-Summary!$U$14))/(1-Summary!$X$14)-1)))</f>
        <v/>
      </c>
      <c r="W490" s="43" t="str">
        <f t="shared" si="272"/>
        <v/>
      </c>
      <c r="X490" s="43" t="str">
        <f t="shared" si="273"/>
        <v/>
      </c>
      <c r="Y490" s="43"/>
      <c r="AJ490" s="86"/>
      <c r="AK490" s="86"/>
      <c r="AL490" s="86"/>
      <c r="AM490" s="86"/>
      <c r="AN490" s="86"/>
      <c r="AO490" s="3" t="str">
        <f t="shared" si="274"/>
        <v/>
      </c>
      <c r="AP490" s="33" t="str">
        <f t="shared" si="275"/>
        <v/>
      </c>
      <c r="AQ490" s="58" t="str">
        <f t="shared" si="276"/>
        <v/>
      </c>
      <c r="AR490" s="38">
        <f>'ANR OK vs ML7'!AR490</f>
        <v>0.1</v>
      </c>
      <c r="AS490" s="35" t="str">
        <f t="shared" si="277"/>
        <v/>
      </c>
      <c r="AT490" s="3" t="str">
        <f t="shared" si="278"/>
        <v/>
      </c>
      <c r="AU490" s="3" t="str">
        <f t="shared" si="279"/>
        <v/>
      </c>
      <c r="AW490" s="32" t="str">
        <f t="shared" si="280"/>
        <v/>
      </c>
      <c r="AX490" s="32" t="str">
        <f t="shared" si="281"/>
        <v/>
      </c>
      <c r="AY490" s="32" t="str">
        <f t="shared" si="282"/>
        <v/>
      </c>
      <c r="BA490" s="32" t="str">
        <f>IF($A491="","",F490*Summary!$Q$14)</f>
        <v/>
      </c>
    </row>
    <row r="491" spans="1:53">
      <c r="A491" s="67" t="str">
        <f t="shared" si="283"/>
        <v/>
      </c>
      <c r="B491" s="69" t="str">
        <f t="shared" si="284"/>
        <v/>
      </c>
      <c r="D491" s="69" t="str">
        <f t="shared" si="258"/>
        <v/>
      </c>
      <c r="E491" s="70" t="str">
        <f t="shared" si="259"/>
        <v/>
      </c>
      <c r="F491" s="70" t="str">
        <f t="shared" si="260"/>
        <v/>
      </c>
      <c r="G491" s="63" t="str">
        <f t="shared" si="261"/>
        <v/>
      </c>
      <c r="H491" s="64" t="str">
        <f t="shared" si="262"/>
        <v/>
      </c>
      <c r="J491" s="63" t="str">
        <f t="shared" si="263"/>
        <v/>
      </c>
      <c r="K491" s="64" t="str">
        <f t="shared" si="264"/>
        <v/>
      </c>
      <c r="L491" s="38">
        <v>0</v>
      </c>
      <c r="M491" s="64" t="str">
        <f t="shared" si="265"/>
        <v/>
      </c>
      <c r="O491" s="63" t="str">
        <f t="shared" si="266"/>
        <v/>
      </c>
      <c r="P491" s="63" t="str">
        <f t="shared" si="267"/>
        <v/>
      </c>
      <c r="R491" s="63" t="str">
        <f t="shared" si="268"/>
        <v/>
      </c>
      <c r="S491" s="64" t="str">
        <f t="shared" si="269"/>
        <v/>
      </c>
      <c r="T491" s="63" t="str">
        <f t="shared" si="270"/>
        <v/>
      </c>
      <c r="U491" s="64" t="str">
        <f t="shared" si="271"/>
        <v/>
      </c>
      <c r="V491" s="207" t="str">
        <f>IF($A492="","",IF(AND(MONTH(A491)&gt;3,MONTH(A491)&lt;11),(T491+R491+G491)*(((1/(1-Summary!$T$14))/(1-Summary!$W$14))-1),(T491+R491+G491)*((1/(1-Summary!$U$14))/(1-Summary!$X$14)-1)))</f>
        <v/>
      </c>
      <c r="W491" s="43" t="str">
        <f t="shared" si="272"/>
        <v/>
      </c>
      <c r="X491" s="43" t="str">
        <f t="shared" si="273"/>
        <v/>
      </c>
      <c r="Y491" s="43"/>
      <c r="AJ491" s="86"/>
      <c r="AK491" s="86"/>
      <c r="AL491" s="86"/>
      <c r="AM491" s="86"/>
      <c r="AN491" s="86"/>
      <c r="AO491" s="3" t="str">
        <f t="shared" si="274"/>
        <v/>
      </c>
      <c r="AP491" s="33" t="str">
        <f t="shared" si="275"/>
        <v/>
      </c>
      <c r="AQ491" s="58" t="str">
        <f t="shared" si="276"/>
        <v/>
      </c>
      <c r="AR491" s="38">
        <f>'ANR OK vs ML7'!AR491</f>
        <v>0.1</v>
      </c>
      <c r="AS491" s="35" t="str">
        <f t="shared" si="277"/>
        <v/>
      </c>
      <c r="AT491" s="3" t="str">
        <f t="shared" si="278"/>
        <v/>
      </c>
      <c r="AU491" s="3" t="str">
        <f t="shared" si="279"/>
        <v/>
      </c>
      <c r="AW491" s="32" t="str">
        <f t="shared" si="280"/>
        <v/>
      </c>
      <c r="AX491" s="32" t="str">
        <f t="shared" si="281"/>
        <v/>
      </c>
      <c r="AY491" s="32" t="str">
        <f t="shared" si="282"/>
        <v/>
      </c>
      <c r="BA491" s="32" t="str">
        <f>IF($A492="","",F491*Summary!$Q$14)</f>
        <v/>
      </c>
    </row>
    <row r="492" spans="1:53">
      <c r="A492" s="67" t="str">
        <f t="shared" si="283"/>
        <v/>
      </c>
      <c r="B492" s="69" t="str">
        <f t="shared" si="284"/>
        <v/>
      </c>
      <c r="D492" s="69" t="str">
        <f t="shared" si="258"/>
        <v/>
      </c>
      <c r="E492" s="70" t="str">
        <f t="shared" si="259"/>
        <v/>
      </c>
      <c r="F492" s="70" t="str">
        <f t="shared" si="260"/>
        <v/>
      </c>
      <c r="G492" s="63" t="str">
        <f t="shared" si="261"/>
        <v/>
      </c>
      <c r="H492" s="64" t="str">
        <f t="shared" si="262"/>
        <v/>
      </c>
      <c r="J492" s="63" t="str">
        <f t="shared" si="263"/>
        <v/>
      </c>
      <c r="K492" s="64" t="str">
        <f t="shared" si="264"/>
        <v/>
      </c>
      <c r="L492" s="38">
        <v>0</v>
      </c>
      <c r="M492" s="64" t="str">
        <f t="shared" si="265"/>
        <v/>
      </c>
      <c r="O492" s="63" t="str">
        <f t="shared" si="266"/>
        <v/>
      </c>
      <c r="P492" s="63" t="str">
        <f t="shared" si="267"/>
        <v/>
      </c>
      <c r="R492" s="63" t="str">
        <f t="shared" si="268"/>
        <v/>
      </c>
      <c r="S492" s="64" t="str">
        <f t="shared" si="269"/>
        <v/>
      </c>
      <c r="T492" s="63" t="str">
        <f t="shared" si="270"/>
        <v/>
      </c>
      <c r="U492" s="64" t="str">
        <f t="shared" si="271"/>
        <v/>
      </c>
      <c r="V492" s="207" t="str">
        <f>IF($A493="","",IF(AND(MONTH(A492)&gt;3,MONTH(A492)&lt;11),(T492+R492+G492)*(((1/(1-Summary!$T$14))/(1-Summary!$W$14))-1),(T492+R492+G492)*((1/(1-Summary!$U$14))/(1-Summary!$X$14)-1)))</f>
        <v/>
      </c>
      <c r="W492" s="43" t="str">
        <f t="shared" si="272"/>
        <v/>
      </c>
      <c r="X492" s="43" t="str">
        <f t="shared" si="273"/>
        <v/>
      </c>
      <c r="Y492" s="43"/>
      <c r="AJ492" s="86"/>
      <c r="AK492" s="86"/>
      <c r="AL492" s="86"/>
      <c r="AM492" s="86"/>
      <c r="AN492" s="86"/>
      <c r="AO492" s="3" t="str">
        <f t="shared" si="274"/>
        <v/>
      </c>
      <c r="AP492" s="33" t="str">
        <f t="shared" si="275"/>
        <v/>
      </c>
      <c r="AQ492" s="58" t="str">
        <f t="shared" si="276"/>
        <v/>
      </c>
      <c r="AR492" s="38">
        <f>'ANR OK vs ML7'!AR492</f>
        <v>0.1</v>
      </c>
      <c r="AS492" s="35" t="str">
        <f t="shared" si="277"/>
        <v/>
      </c>
      <c r="AT492" s="3" t="str">
        <f t="shared" si="278"/>
        <v/>
      </c>
      <c r="AU492" s="3" t="str">
        <f t="shared" si="279"/>
        <v/>
      </c>
      <c r="AW492" s="32" t="str">
        <f t="shared" si="280"/>
        <v/>
      </c>
      <c r="AX492" s="32" t="str">
        <f t="shared" si="281"/>
        <v/>
      </c>
      <c r="AY492" s="32" t="str">
        <f t="shared" si="282"/>
        <v/>
      </c>
      <c r="BA492" s="32" t="str">
        <f>IF($A493="","",F492*Summary!$Q$14)</f>
        <v/>
      </c>
    </row>
    <row r="493" spans="1:53">
      <c r="A493" s="67" t="str">
        <f t="shared" si="283"/>
        <v/>
      </c>
      <c r="B493" s="69" t="str">
        <f t="shared" si="284"/>
        <v/>
      </c>
      <c r="D493" s="69" t="str">
        <f t="shared" si="258"/>
        <v/>
      </c>
      <c r="E493" s="70" t="str">
        <f t="shared" si="259"/>
        <v/>
      </c>
      <c r="F493" s="70" t="str">
        <f t="shared" si="260"/>
        <v/>
      </c>
      <c r="G493" s="63" t="str">
        <f t="shared" si="261"/>
        <v/>
      </c>
      <c r="H493" s="64" t="str">
        <f t="shared" si="262"/>
        <v/>
      </c>
      <c r="J493" s="63" t="str">
        <f t="shared" si="263"/>
        <v/>
      </c>
      <c r="K493" s="64" t="str">
        <f t="shared" si="264"/>
        <v/>
      </c>
      <c r="L493" s="38">
        <v>0</v>
      </c>
      <c r="M493" s="64" t="str">
        <f t="shared" si="265"/>
        <v/>
      </c>
      <c r="O493" s="63" t="str">
        <f t="shared" si="266"/>
        <v/>
      </c>
      <c r="P493" s="63" t="str">
        <f t="shared" si="267"/>
        <v/>
      </c>
      <c r="R493" s="63" t="str">
        <f t="shared" si="268"/>
        <v/>
      </c>
      <c r="S493" s="64" t="str">
        <f t="shared" si="269"/>
        <v/>
      </c>
      <c r="T493" s="63" t="str">
        <f t="shared" si="270"/>
        <v/>
      </c>
      <c r="U493" s="64" t="str">
        <f t="shared" si="271"/>
        <v/>
      </c>
      <c r="V493" s="207" t="str">
        <f>IF($A494="","",IF(AND(MONTH(A493)&gt;3,MONTH(A493)&lt;11),(T493+R493+G493)*(((1/(1-Summary!$T$14))/(1-Summary!$W$14))-1),(T493+R493+G493)*((1/(1-Summary!$U$14))/(1-Summary!$X$14)-1)))</f>
        <v/>
      </c>
      <c r="W493" s="43" t="str">
        <f t="shared" si="272"/>
        <v/>
      </c>
      <c r="X493" s="43" t="str">
        <f t="shared" si="273"/>
        <v/>
      </c>
      <c r="Y493" s="43"/>
      <c r="AJ493" s="86"/>
      <c r="AK493" s="86"/>
      <c r="AL493" s="86"/>
      <c r="AM493" s="86"/>
      <c r="AN493" s="86"/>
      <c r="AO493" s="3" t="str">
        <f t="shared" si="274"/>
        <v/>
      </c>
      <c r="AP493" s="33" t="str">
        <f t="shared" si="275"/>
        <v/>
      </c>
      <c r="AQ493" s="58" t="str">
        <f t="shared" si="276"/>
        <v/>
      </c>
      <c r="AR493" s="38">
        <f>'ANR OK vs ML7'!AR493</f>
        <v>0.1</v>
      </c>
      <c r="AS493" s="35" t="str">
        <f t="shared" si="277"/>
        <v/>
      </c>
      <c r="AT493" s="3" t="str">
        <f t="shared" si="278"/>
        <v/>
      </c>
      <c r="AU493" s="3" t="str">
        <f t="shared" si="279"/>
        <v/>
      </c>
      <c r="AW493" s="32" t="str">
        <f t="shared" si="280"/>
        <v/>
      </c>
      <c r="AX493" s="32" t="str">
        <f t="shared" si="281"/>
        <v/>
      </c>
      <c r="AY493" s="32" t="str">
        <f t="shared" si="282"/>
        <v/>
      </c>
      <c r="BA493" s="32" t="str">
        <f>IF($A494="","",F493*Summary!$Q$14)</f>
        <v/>
      </c>
    </row>
    <row r="494" spans="1:53">
      <c r="A494" s="67" t="str">
        <f t="shared" si="283"/>
        <v/>
      </c>
      <c r="B494" s="69" t="str">
        <f t="shared" si="284"/>
        <v/>
      </c>
      <c r="D494" s="69" t="str">
        <f t="shared" si="258"/>
        <v/>
      </c>
      <c r="E494" s="70" t="str">
        <f t="shared" si="259"/>
        <v/>
      </c>
      <c r="F494" s="70" t="str">
        <f t="shared" si="260"/>
        <v/>
      </c>
      <c r="G494" s="63" t="str">
        <f t="shared" si="261"/>
        <v/>
      </c>
      <c r="H494" s="64" t="str">
        <f t="shared" si="262"/>
        <v/>
      </c>
      <c r="J494" s="63" t="str">
        <f t="shared" si="263"/>
        <v/>
      </c>
      <c r="K494" s="64" t="str">
        <f t="shared" si="264"/>
        <v/>
      </c>
      <c r="L494" s="38">
        <v>0</v>
      </c>
      <c r="M494" s="64" t="str">
        <f t="shared" si="265"/>
        <v/>
      </c>
      <c r="O494" s="63" t="str">
        <f t="shared" si="266"/>
        <v/>
      </c>
      <c r="P494" s="63" t="str">
        <f t="shared" si="267"/>
        <v/>
      </c>
      <c r="R494" s="63" t="str">
        <f t="shared" si="268"/>
        <v/>
      </c>
      <c r="S494" s="64" t="str">
        <f t="shared" si="269"/>
        <v/>
      </c>
      <c r="T494" s="63" t="str">
        <f t="shared" si="270"/>
        <v/>
      </c>
      <c r="U494" s="64" t="str">
        <f t="shared" si="271"/>
        <v/>
      </c>
      <c r="V494" s="207" t="str">
        <f>IF($A495="","",IF(AND(MONTH(A494)&gt;3,MONTH(A494)&lt;11),(T494+R494+G494)*(((1/(1-Summary!$T$14))/(1-Summary!$W$14))-1),(T494+R494+G494)*((1/(1-Summary!$U$14))/(1-Summary!$X$14)-1)))</f>
        <v/>
      </c>
      <c r="W494" s="43" t="str">
        <f t="shared" si="272"/>
        <v/>
      </c>
      <c r="X494" s="43" t="str">
        <f t="shared" si="273"/>
        <v/>
      </c>
      <c r="Y494" s="43"/>
      <c r="AJ494" s="86"/>
      <c r="AK494" s="86"/>
      <c r="AL494" s="86"/>
      <c r="AM494" s="86"/>
      <c r="AN494" s="86"/>
      <c r="AO494" s="3" t="str">
        <f t="shared" si="274"/>
        <v/>
      </c>
      <c r="AP494" s="33" t="str">
        <f t="shared" si="275"/>
        <v/>
      </c>
      <c r="AQ494" s="58" t="str">
        <f t="shared" si="276"/>
        <v/>
      </c>
      <c r="AR494" s="38">
        <f>'ANR OK vs ML7'!AR494</f>
        <v>0.1</v>
      </c>
      <c r="AS494" s="35" t="str">
        <f t="shared" si="277"/>
        <v/>
      </c>
      <c r="AT494" s="3" t="str">
        <f t="shared" si="278"/>
        <v/>
      </c>
      <c r="AU494" s="3" t="str">
        <f t="shared" si="279"/>
        <v/>
      </c>
      <c r="AW494" s="32" t="str">
        <f t="shared" si="280"/>
        <v/>
      </c>
      <c r="AX494" s="32" t="str">
        <f t="shared" si="281"/>
        <v/>
      </c>
      <c r="AY494" s="32" t="str">
        <f t="shared" si="282"/>
        <v/>
      </c>
      <c r="BA494" s="32" t="str">
        <f>IF($A495="","",F494*Summary!$Q$14)</f>
        <v/>
      </c>
    </row>
    <row r="495" spans="1:53">
      <c r="A495" s="67" t="str">
        <f t="shared" si="283"/>
        <v/>
      </c>
      <c r="B495" s="69" t="str">
        <f t="shared" si="284"/>
        <v/>
      </c>
      <c r="D495" s="69" t="str">
        <f t="shared" si="258"/>
        <v/>
      </c>
      <c r="E495" s="70" t="str">
        <f t="shared" si="259"/>
        <v/>
      </c>
      <c r="F495" s="70" t="str">
        <f t="shared" si="260"/>
        <v/>
      </c>
      <c r="G495" s="63" t="str">
        <f t="shared" si="261"/>
        <v/>
      </c>
      <c r="H495" s="64" t="str">
        <f t="shared" si="262"/>
        <v/>
      </c>
      <c r="J495" s="63" t="str">
        <f t="shared" si="263"/>
        <v/>
      </c>
      <c r="K495" s="64" t="str">
        <f t="shared" si="264"/>
        <v/>
      </c>
      <c r="L495" s="38">
        <v>0</v>
      </c>
      <c r="M495" s="64" t="str">
        <f t="shared" si="265"/>
        <v/>
      </c>
      <c r="O495" s="63" t="str">
        <f t="shared" si="266"/>
        <v/>
      </c>
      <c r="P495" s="63" t="str">
        <f t="shared" si="267"/>
        <v/>
      </c>
      <c r="R495" s="63" t="str">
        <f t="shared" si="268"/>
        <v/>
      </c>
      <c r="S495" s="64" t="str">
        <f t="shared" si="269"/>
        <v/>
      </c>
      <c r="T495" s="63" t="str">
        <f t="shared" si="270"/>
        <v/>
      </c>
      <c r="U495" s="64" t="str">
        <f t="shared" si="271"/>
        <v/>
      </c>
      <c r="V495" s="207" t="str">
        <f>IF($A496="","",IF(AND(MONTH(A495)&gt;3,MONTH(A495)&lt;11),(T495+R495+G495)*(((1/(1-Summary!$T$14))/(1-Summary!$W$14))-1),(T495+R495+G495)*((1/(1-Summary!$U$14))/(1-Summary!$X$14)-1)))</f>
        <v/>
      </c>
      <c r="W495" s="43" t="str">
        <f t="shared" si="272"/>
        <v/>
      </c>
      <c r="X495" s="43" t="str">
        <f t="shared" si="273"/>
        <v/>
      </c>
      <c r="Y495" s="43"/>
      <c r="AJ495" s="86"/>
      <c r="AK495" s="86"/>
      <c r="AL495" s="86"/>
      <c r="AM495" s="86"/>
      <c r="AN495" s="86"/>
      <c r="AO495" s="3" t="str">
        <f t="shared" si="274"/>
        <v/>
      </c>
      <c r="AP495" s="33" t="str">
        <f t="shared" si="275"/>
        <v/>
      </c>
      <c r="AQ495" s="58" t="str">
        <f t="shared" si="276"/>
        <v/>
      </c>
      <c r="AR495" s="38">
        <f>'ANR OK vs ML7'!AR495</f>
        <v>0.1</v>
      </c>
      <c r="AS495" s="35" t="str">
        <f t="shared" si="277"/>
        <v/>
      </c>
      <c r="AT495" s="3" t="str">
        <f t="shared" si="278"/>
        <v/>
      </c>
      <c r="AU495" s="3" t="str">
        <f t="shared" si="279"/>
        <v/>
      </c>
      <c r="AW495" s="32" t="str">
        <f t="shared" si="280"/>
        <v/>
      </c>
      <c r="AX495" s="32" t="str">
        <f t="shared" si="281"/>
        <v/>
      </c>
      <c r="AY495" s="32" t="str">
        <f t="shared" si="282"/>
        <v/>
      </c>
      <c r="BA495" s="32" t="str">
        <f>IF($A496="","",F495*Summary!$Q$14)</f>
        <v/>
      </c>
    </row>
    <row r="496" spans="1:53">
      <c r="A496" s="67" t="str">
        <f t="shared" si="283"/>
        <v/>
      </c>
      <c r="B496" s="69" t="str">
        <f t="shared" si="284"/>
        <v/>
      </c>
      <c r="D496" s="69" t="str">
        <f t="shared" si="258"/>
        <v/>
      </c>
      <c r="E496" s="70" t="str">
        <f t="shared" si="259"/>
        <v/>
      </c>
      <c r="F496" s="70" t="str">
        <f t="shared" si="260"/>
        <v/>
      </c>
      <c r="G496" s="63" t="str">
        <f t="shared" si="261"/>
        <v/>
      </c>
      <c r="H496" s="64" t="str">
        <f t="shared" si="262"/>
        <v/>
      </c>
      <c r="J496" s="63" t="str">
        <f t="shared" si="263"/>
        <v/>
      </c>
      <c r="K496" s="64" t="str">
        <f t="shared" si="264"/>
        <v/>
      </c>
      <c r="L496" s="38">
        <v>0</v>
      </c>
      <c r="M496" s="64" t="str">
        <f t="shared" si="265"/>
        <v/>
      </c>
      <c r="O496" s="63" t="str">
        <f t="shared" si="266"/>
        <v/>
      </c>
      <c r="P496" s="63" t="str">
        <f t="shared" si="267"/>
        <v/>
      </c>
      <c r="R496" s="63" t="str">
        <f t="shared" si="268"/>
        <v/>
      </c>
      <c r="S496" s="64" t="str">
        <f t="shared" si="269"/>
        <v/>
      </c>
      <c r="T496" s="63" t="str">
        <f t="shared" si="270"/>
        <v/>
      </c>
      <c r="U496" s="64" t="str">
        <f t="shared" si="271"/>
        <v/>
      </c>
      <c r="V496" s="207" t="str">
        <f>IF($A497="","",IF(AND(MONTH(A496)&gt;3,MONTH(A496)&lt;11),(T496+R496+G496)*(((1/(1-Summary!$T$14))/(1-Summary!$W$14))-1),(T496+R496+G496)*((1/(1-Summary!$U$14))/(1-Summary!$X$14)-1)))</f>
        <v/>
      </c>
      <c r="W496" s="43" t="str">
        <f t="shared" si="272"/>
        <v/>
      </c>
      <c r="X496" s="43" t="str">
        <f t="shared" si="273"/>
        <v/>
      </c>
      <c r="Y496" s="43"/>
      <c r="AJ496" s="86"/>
      <c r="AK496" s="86"/>
      <c r="AL496" s="86"/>
      <c r="AM496" s="86"/>
      <c r="AN496" s="86"/>
      <c r="AO496" s="3" t="str">
        <f t="shared" si="274"/>
        <v/>
      </c>
      <c r="AP496" s="33" t="str">
        <f t="shared" si="275"/>
        <v/>
      </c>
      <c r="AQ496" s="58" t="str">
        <f t="shared" si="276"/>
        <v/>
      </c>
      <c r="AR496" s="38">
        <f>'ANR OK vs ML7'!AR496</f>
        <v>0.1</v>
      </c>
      <c r="AS496" s="35" t="str">
        <f t="shared" si="277"/>
        <v/>
      </c>
      <c r="AT496" s="3" t="str">
        <f t="shared" si="278"/>
        <v/>
      </c>
      <c r="AU496" s="3" t="str">
        <f t="shared" si="279"/>
        <v/>
      </c>
      <c r="AW496" s="32" t="str">
        <f t="shared" si="280"/>
        <v/>
      </c>
      <c r="AX496" s="32" t="str">
        <f t="shared" si="281"/>
        <v/>
      </c>
      <c r="AY496" s="32" t="str">
        <f t="shared" si="282"/>
        <v/>
      </c>
      <c r="BA496" s="32" t="str">
        <f>IF($A497="","",F496*Summary!$Q$14)</f>
        <v/>
      </c>
    </row>
    <row r="497" spans="1:242">
      <c r="A497" s="67" t="str">
        <f t="shared" si="283"/>
        <v/>
      </c>
      <c r="B497" s="69" t="str">
        <f t="shared" si="284"/>
        <v/>
      </c>
      <c r="D497" s="69" t="str">
        <f t="shared" si="258"/>
        <v/>
      </c>
      <c r="E497" s="70" t="str">
        <f t="shared" si="259"/>
        <v/>
      </c>
      <c r="F497" s="70" t="str">
        <f t="shared" si="260"/>
        <v/>
      </c>
      <c r="G497" s="63" t="str">
        <f t="shared" si="261"/>
        <v/>
      </c>
      <c r="H497" s="64" t="str">
        <f t="shared" si="262"/>
        <v/>
      </c>
      <c r="J497" s="63" t="str">
        <f t="shared" si="263"/>
        <v/>
      </c>
      <c r="K497" s="64" t="str">
        <f t="shared" si="264"/>
        <v/>
      </c>
      <c r="L497" s="38">
        <v>0</v>
      </c>
      <c r="M497" s="64" t="str">
        <f t="shared" si="265"/>
        <v/>
      </c>
      <c r="O497" s="63" t="str">
        <f t="shared" si="266"/>
        <v/>
      </c>
      <c r="P497" s="63" t="str">
        <f t="shared" si="267"/>
        <v/>
      </c>
      <c r="R497" s="63" t="str">
        <f t="shared" si="268"/>
        <v/>
      </c>
      <c r="S497" s="64" t="str">
        <f t="shared" si="269"/>
        <v/>
      </c>
      <c r="T497" s="63" t="str">
        <f t="shared" si="270"/>
        <v/>
      </c>
      <c r="U497" s="64" t="str">
        <f t="shared" si="271"/>
        <v/>
      </c>
      <c r="V497" s="207" t="str">
        <f>IF($A498="","",IF(AND(MONTH(A497)&gt;3,MONTH(A497)&lt;11),(T497+R497+G497)*(((1/(1-Summary!$T$14))/(1-Summary!$W$14))-1),(T497+R497+G497)*((1/(1-Summary!$U$14))/(1-Summary!$X$14)-1)))</f>
        <v/>
      </c>
      <c r="W497" s="43" t="str">
        <f t="shared" si="272"/>
        <v/>
      </c>
      <c r="X497" s="43" t="str">
        <f t="shared" si="273"/>
        <v/>
      </c>
      <c r="Y497" s="43"/>
      <c r="AJ497" s="86"/>
      <c r="AK497" s="86"/>
      <c r="AL497" s="86"/>
      <c r="AM497" s="86"/>
      <c r="AN497" s="86"/>
      <c r="AO497" s="3" t="str">
        <f t="shared" si="274"/>
        <v/>
      </c>
      <c r="AP497" s="33" t="str">
        <f t="shared" si="275"/>
        <v/>
      </c>
      <c r="AQ497" s="58" t="str">
        <f t="shared" si="276"/>
        <v/>
      </c>
      <c r="AR497" s="38">
        <f>'ANR OK vs ML7'!AR497</f>
        <v>0.1</v>
      </c>
      <c r="AS497" s="35" t="str">
        <f t="shared" si="277"/>
        <v/>
      </c>
      <c r="AT497" s="3" t="str">
        <f t="shared" si="278"/>
        <v/>
      </c>
      <c r="AU497" s="3" t="str">
        <f t="shared" si="279"/>
        <v/>
      </c>
      <c r="AW497" s="32" t="str">
        <f t="shared" si="280"/>
        <v/>
      </c>
      <c r="AX497" s="32" t="str">
        <f t="shared" si="281"/>
        <v/>
      </c>
      <c r="AY497" s="32" t="str">
        <f t="shared" si="282"/>
        <v/>
      </c>
      <c r="BA497" s="32" t="str">
        <f>IF($A498="","",F497*Summary!$Q$14)</f>
        <v/>
      </c>
    </row>
    <row r="498" spans="1:242">
      <c r="A498" s="67" t="str">
        <f t="shared" si="283"/>
        <v/>
      </c>
      <c r="B498" s="69" t="str">
        <f t="shared" si="284"/>
        <v/>
      </c>
      <c r="D498" s="69" t="str">
        <f t="shared" si="258"/>
        <v/>
      </c>
      <c r="E498" s="70" t="str">
        <f t="shared" si="259"/>
        <v/>
      </c>
      <c r="F498" s="70" t="str">
        <f t="shared" si="260"/>
        <v/>
      </c>
      <c r="G498" s="63" t="str">
        <f t="shared" si="261"/>
        <v/>
      </c>
      <c r="H498" s="64" t="str">
        <f t="shared" si="262"/>
        <v/>
      </c>
      <c r="J498" s="63" t="str">
        <f t="shared" si="263"/>
        <v/>
      </c>
      <c r="K498" s="64" t="str">
        <f t="shared" si="264"/>
        <v/>
      </c>
      <c r="L498" s="38">
        <v>0</v>
      </c>
      <c r="M498" s="64" t="str">
        <f t="shared" si="265"/>
        <v/>
      </c>
      <c r="O498" s="63" t="str">
        <f t="shared" si="266"/>
        <v/>
      </c>
      <c r="P498" s="63" t="str">
        <f t="shared" si="267"/>
        <v/>
      </c>
      <c r="R498" s="63" t="str">
        <f t="shared" si="268"/>
        <v/>
      </c>
      <c r="S498" s="64" t="str">
        <f t="shared" si="269"/>
        <v/>
      </c>
      <c r="T498" s="63" t="str">
        <f t="shared" si="270"/>
        <v/>
      </c>
      <c r="U498" s="64" t="str">
        <f t="shared" si="271"/>
        <v/>
      </c>
      <c r="V498" s="207" t="str">
        <f>IF($A499="","",IF(AND(MONTH(A498)&gt;3,MONTH(A498)&lt;11),(T498+R498+G498)*(((1/(1-Summary!$T$14))/(1-Summary!$W$14))-1),(T498+R498+G498)*((1/(1-Summary!$U$14))/(1-Summary!$X$14)-1)))</f>
        <v/>
      </c>
      <c r="W498" s="43" t="str">
        <f t="shared" si="272"/>
        <v/>
      </c>
      <c r="X498" s="43" t="str">
        <f t="shared" si="273"/>
        <v/>
      </c>
      <c r="Y498" s="43"/>
      <c r="AJ498" s="86"/>
      <c r="AK498" s="86"/>
      <c r="AL498" s="86"/>
      <c r="AM498" s="86"/>
      <c r="AN498" s="86"/>
      <c r="AO498" s="3" t="str">
        <f t="shared" si="274"/>
        <v/>
      </c>
      <c r="AP498" s="33" t="str">
        <f t="shared" si="275"/>
        <v/>
      </c>
      <c r="AQ498" s="58" t="str">
        <f t="shared" si="276"/>
        <v/>
      </c>
      <c r="AR498" s="38">
        <f>'ANR OK vs ML7'!AR498</f>
        <v>0.1</v>
      </c>
      <c r="AS498" s="35" t="str">
        <f t="shared" si="277"/>
        <v/>
      </c>
      <c r="AT498" s="3" t="str">
        <f t="shared" si="278"/>
        <v/>
      </c>
      <c r="AU498" s="3" t="str">
        <f t="shared" si="279"/>
        <v/>
      </c>
      <c r="AW498" s="32" t="str">
        <f t="shared" si="280"/>
        <v/>
      </c>
      <c r="AX498" s="32" t="str">
        <f t="shared" si="281"/>
        <v/>
      </c>
      <c r="AY498" s="32" t="str">
        <f t="shared" si="282"/>
        <v/>
      </c>
      <c r="BA498" s="32" t="str">
        <f>IF($A499="","",F498*Summary!$Q$14)</f>
        <v/>
      </c>
    </row>
    <row r="499" spans="1:242">
      <c r="A499" s="67" t="str">
        <f t="shared" si="283"/>
        <v/>
      </c>
      <c r="B499" s="69" t="str">
        <f t="shared" si="284"/>
        <v/>
      </c>
      <c r="D499" s="69" t="str">
        <f t="shared" si="258"/>
        <v/>
      </c>
      <c r="E499" s="70" t="str">
        <f t="shared" si="259"/>
        <v/>
      </c>
      <c r="F499" s="70" t="str">
        <f t="shared" si="260"/>
        <v/>
      </c>
      <c r="G499" s="63" t="str">
        <f t="shared" si="261"/>
        <v/>
      </c>
      <c r="H499" s="64" t="str">
        <f t="shared" si="262"/>
        <v/>
      </c>
      <c r="J499" s="63" t="str">
        <f t="shared" si="263"/>
        <v/>
      </c>
      <c r="K499" s="64" t="str">
        <f t="shared" si="264"/>
        <v/>
      </c>
      <c r="L499" s="38">
        <v>0</v>
      </c>
      <c r="M499" s="64" t="str">
        <f t="shared" si="265"/>
        <v/>
      </c>
      <c r="O499" s="63" t="str">
        <f t="shared" si="266"/>
        <v/>
      </c>
      <c r="P499" s="63" t="str">
        <f t="shared" si="267"/>
        <v/>
      </c>
      <c r="R499" s="63" t="str">
        <f t="shared" si="268"/>
        <v/>
      </c>
      <c r="S499" s="64" t="str">
        <f t="shared" si="269"/>
        <v/>
      </c>
      <c r="T499" s="63" t="str">
        <f t="shared" si="270"/>
        <v/>
      </c>
      <c r="U499" s="64" t="str">
        <f t="shared" si="271"/>
        <v/>
      </c>
      <c r="V499" s="207" t="str">
        <f>IF($A500="","",IF(AND(MONTH(A499)&gt;3,MONTH(A499)&lt;11),(T499+R499+G499)*(((1/(1-Summary!$T$14))/(1-Summary!$W$14))-1),(T499+R499+G499)*((1/(1-Summary!$U$14))/(1-Summary!$X$14)-1)))</f>
        <v/>
      </c>
      <c r="W499" s="43" t="str">
        <f t="shared" si="272"/>
        <v/>
      </c>
      <c r="X499" s="43" t="str">
        <f t="shared" si="273"/>
        <v/>
      </c>
      <c r="Y499" s="43"/>
      <c r="AJ499" s="86"/>
      <c r="AK499" s="86"/>
      <c r="AL499" s="86"/>
      <c r="AM499" s="86"/>
      <c r="AN499" s="86"/>
      <c r="AO499" s="3" t="str">
        <f t="shared" si="274"/>
        <v/>
      </c>
      <c r="AP499" s="33" t="str">
        <f t="shared" si="275"/>
        <v/>
      </c>
      <c r="AQ499" s="58" t="str">
        <f t="shared" si="276"/>
        <v/>
      </c>
      <c r="AR499" s="38">
        <f>'ANR OK vs ML7'!AR499</f>
        <v>0.1</v>
      </c>
      <c r="AS499" s="35" t="str">
        <f t="shared" si="277"/>
        <v/>
      </c>
      <c r="AT499" s="3" t="str">
        <f t="shared" si="278"/>
        <v/>
      </c>
      <c r="AU499" s="3" t="str">
        <f t="shared" si="279"/>
        <v/>
      </c>
      <c r="AW499" s="32" t="str">
        <f t="shared" si="280"/>
        <v/>
      </c>
      <c r="AX499" s="32" t="str">
        <f t="shared" si="281"/>
        <v/>
      </c>
      <c r="AY499" s="32" t="str">
        <f t="shared" si="282"/>
        <v/>
      </c>
      <c r="BA499" s="32" t="str">
        <f>IF($A500="","",F499*Summary!$Q$14)</f>
        <v/>
      </c>
    </row>
    <row r="500" spans="1:242">
      <c r="A500" s="67" t="str">
        <f t="shared" si="283"/>
        <v/>
      </c>
      <c r="B500" s="69" t="str">
        <f t="shared" si="284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80"/>
        <v/>
      </c>
      <c r="AX500" s="32" t="str">
        <f t="shared" si="281"/>
        <v/>
      </c>
      <c r="AY500" s="32" t="str">
        <f t="shared" si="282"/>
        <v/>
      </c>
      <c r="BA500" s="32" t="str">
        <f>IF($A501="","",F500*Summary!$Q$14)</f>
        <v/>
      </c>
    </row>
    <row r="501" spans="1:242">
      <c r="A501" s="67" t="str">
        <f t="shared" si="283"/>
        <v/>
      </c>
      <c r="B501" s="69" t="str">
        <f t="shared" si="284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80"/>
        <v/>
      </c>
      <c r="AX501" s="32" t="str">
        <f t="shared" si="281"/>
        <v/>
      </c>
      <c r="AY501" s="32" t="str">
        <f t="shared" si="282"/>
        <v/>
      </c>
      <c r="AZ501" s="1">
        <v>0</v>
      </c>
      <c r="BA501" s="32" t="str">
        <f>IF($A502="","",F501*Summary!$Q$14)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U377"/>
  <sheetViews>
    <sheetView showGridLines="0" zoomScale="80" workbookViewId="0">
      <pane xSplit="3" ySplit="16" topLeftCell="D17" activePane="bottomRight" state="frozen"/>
      <selection pane="topRight" activeCell="D1" sqref="D1"/>
      <selection pane="bottomLeft" activeCell="A17" sqref="A17"/>
      <selection pane="bottomRight" activeCell="D17" sqref="D17"/>
    </sheetView>
  </sheetViews>
  <sheetFormatPr defaultRowHeight="11.25"/>
  <cols>
    <col min="1" max="1" width="10.7109375" style="50" customWidth="1"/>
    <col min="2" max="2" width="17" style="50" customWidth="1"/>
    <col min="3" max="3" width="9.7109375" style="48" customWidth="1"/>
    <col min="4" max="10" width="14.140625" style="48" customWidth="1"/>
    <col min="11" max="11" width="14.140625" style="45" customWidth="1"/>
    <col min="12" max="18" width="14.140625" style="48" customWidth="1"/>
    <col min="19" max="50" width="14.140625" style="45" customWidth="1"/>
    <col min="51" max="16384" width="9.140625" style="45"/>
  </cols>
  <sheetData>
    <row r="1" spans="1:73">
      <c r="A1" s="45" t="s">
        <v>38</v>
      </c>
      <c r="B1" s="45"/>
      <c r="C1" s="46" t="s">
        <v>39</v>
      </c>
      <c r="D1" s="47" t="s">
        <v>40</v>
      </c>
    </row>
    <row r="2" spans="1:73">
      <c r="A2" s="45" t="s">
        <v>41</v>
      </c>
      <c r="B2" s="45"/>
      <c r="C2" s="46" t="s">
        <v>39</v>
      </c>
      <c r="D2" s="47" t="s">
        <v>42</v>
      </c>
    </row>
    <row r="3" spans="1:73">
      <c r="A3" s="45" t="s">
        <v>43</v>
      </c>
      <c r="B3" s="45"/>
      <c r="C3" s="46" t="s">
        <v>44</v>
      </c>
      <c r="D3" s="47" t="s">
        <v>45</v>
      </c>
      <c r="BU3" s="48"/>
    </row>
    <row r="4" spans="1:73">
      <c r="A4" s="45"/>
      <c r="B4" s="45"/>
      <c r="C4" s="46"/>
      <c r="D4" s="47"/>
      <c r="K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</row>
    <row r="5" spans="1:73">
      <c r="A5" s="47"/>
      <c r="B5" s="47"/>
    </row>
    <row r="6" spans="1:73" ht="12">
      <c r="A6" s="203">
        <v>37025</v>
      </c>
      <c r="B6" s="55"/>
      <c r="D6" s="47" t="str">
        <f t="shared" ref="D6:M6" si="0">IF(D18="",1," ")</f>
        <v xml:space="preserve"> </v>
      </c>
      <c r="E6" s="47" t="str">
        <f t="shared" si="0"/>
        <v xml:space="preserve"> </v>
      </c>
      <c r="F6" s="47" t="str">
        <f t="shared" si="0"/>
        <v xml:space="preserve"> </v>
      </c>
      <c r="G6" s="47" t="str">
        <f t="shared" si="0"/>
        <v xml:space="preserve"> </v>
      </c>
      <c r="H6" s="47" t="str">
        <f t="shared" si="0"/>
        <v xml:space="preserve"> </v>
      </c>
      <c r="I6" s="47" t="str">
        <f t="shared" si="0"/>
        <v xml:space="preserve"> </v>
      </c>
      <c r="J6" s="47"/>
      <c r="L6" s="47" t="str">
        <f t="shared" si="0"/>
        <v xml:space="preserve"> </v>
      </c>
      <c r="M6" s="47" t="str">
        <f t="shared" si="0"/>
        <v xml:space="preserve"> </v>
      </c>
      <c r="N6" s="47"/>
      <c r="O6" s="47"/>
      <c r="P6" s="47"/>
      <c r="Q6" s="47" t="str">
        <f>IF(Q18="",1," ")</f>
        <v xml:space="preserve"> </v>
      </c>
      <c r="R6" s="47"/>
      <c r="S6" s="47" t="str">
        <f>IF(S18="",1," ")</f>
        <v xml:space="preserve"> </v>
      </c>
      <c r="T6" s="47"/>
      <c r="U6" s="47"/>
      <c r="V6" s="47"/>
      <c r="W6" s="47" t="str">
        <f>IF(W18="",1," ")</f>
        <v xml:space="preserve"> </v>
      </c>
      <c r="X6" s="47"/>
      <c r="Y6" s="45">
        <f>SUM(D6:W6)</f>
        <v>0</v>
      </c>
      <c r="AT6" s="216">
        <f>[10]Sheet1!$Y$194</f>
        <v>1.055056</v>
      </c>
    </row>
    <row r="7" spans="1:73">
      <c r="A7" s="45"/>
      <c r="B7" s="45"/>
      <c r="C7" s="46"/>
      <c r="D7" s="49"/>
    </row>
    <row r="8" spans="1:73">
      <c r="A8" s="45"/>
      <c r="B8" s="45"/>
      <c r="C8" s="50"/>
      <c r="D8" s="205" t="s">
        <v>37</v>
      </c>
      <c r="E8" s="205" t="str">
        <f>CONCATENATE(E13,"-",E15)</f>
        <v>NG-P</v>
      </c>
      <c r="F8" s="205" t="str">
        <f>CONCATENATE(F13,"-",F14)</f>
        <v>NG-VO</v>
      </c>
      <c r="G8" s="205" t="str">
        <f t="shared" ref="G8:W8" si="1">CONCATENATE(G13,"-",G15)</f>
        <v>IF-ANR/OK-P</v>
      </c>
      <c r="H8" s="205" t="str">
        <f t="shared" si="1"/>
        <v>IF-CGT/APPALAC-P</v>
      </c>
      <c r="I8" s="205" t="str">
        <f t="shared" si="1"/>
        <v>MICH/CONS-P</v>
      </c>
      <c r="J8" s="205" t="str">
        <f t="shared" si="1"/>
        <v>IF-PAN/TX/OK-P</v>
      </c>
      <c r="K8" s="205" t="str">
        <f t="shared" si="1"/>
        <v>CGPR-DAWN-P</v>
      </c>
      <c r="L8" s="205" t="str">
        <f t="shared" si="1"/>
        <v>NG_OMICRON_1-P</v>
      </c>
      <c r="M8" s="205" t="str">
        <f t="shared" si="1"/>
        <v>NG_OMICRON_3-P</v>
      </c>
      <c r="N8" s="205" t="str">
        <f t="shared" si="1"/>
        <v>NG_OMICRON_11-P</v>
      </c>
      <c r="O8" s="205" t="str">
        <f t="shared" si="1"/>
        <v>NG_OMICRON_9-P</v>
      </c>
      <c r="P8" s="205" t="str">
        <f t="shared" si="1"/>
        <v>NG_OMICRON_7-P</v>
      </c>
      <c r="Q8" s="205" t="str">
        <f t="shared" si="1"/>
        <v>ML7/CG-D</v>
      </c>
      <c r="R8" s="205" t="str">
        <f t="shared" si="1"/>
        <v>ML7/CG-I</v>
      </c>
      <c r="S8" s="205" t="str">
        <f t="shared" si="1"/>
        <v>IF-ANR/LA-D</v>
      </c>
      <c r="T8" s="205" t="str">
        <f t="shared" si="1"/>
        <v>IF-ANR/LA-I</v>
      </c>
      <c r="U8" s="205" t="str">
        <f t="shared" si="1"/>
        <v>IF-ANR/OK-D</v>
      </c>
      <c r="V8" s="205" t="str">
        <f t="shared" si="1"/>
        <v>IF-ANR/OK-I</v>
      </c>
      <c r="W8" s="205" t="str">
        <f t="shared" si="1"/>
        <v>IF-PAN/TX/OK-D</v>
      </c>
      <c r="X8" s="205" t="str">
        <f t="shared" ref="X8:AJ8" si="2">CONCATENATE(X13,"-",X15)</f>
        <v>IF-PAN/TX/OK-I</v>
      </c>
      <c r="Y8" s="205" t="str">
        <f t="shared" si="2"/>
        <v>NGI-MICH_CG-D</v>
      </c>
      <c r="Z8" s="205" t="str">
        <f t="shared" si="2"/>
        <v>NGI-MICH_CG-I</v>
      </c>
      <c r="AA8" s="205" t="str">
        <f t="shared" si="2"/>
        <v>NGI-MICH_CG-D</v>
      </c>
      <c r="AB8" s="205" t="str">
        <f t="shared" si="2"/>
        <v>NGI-MICH_CG-I</v>
      </c>
      <c r="AC8" s="205" t="str">
        <f t="shared" si="2"/>
        <v>IF-CGT/APPALAC-D</v>
      </c>
      <c r="AD8" s="205" t="str">
        <f t="shared" si="2"/>
        <v>IF-CGT/APPALAC-I</v>
      </c>
      <c r="AE8" s="205" t="str">
        <f t="shared" si="2"/>
        <v>NGI/CHI. GATE-D</v>
      </c>
      <c r="AF8" s="205" t="str">
        <f t="shared" si="2"/>
        <v>NGI/CHI. GATE-I</v>
      </c>
      <c r="AG8" s="205" t="str">
        <f t="shared" si="2"/>
        <v>CGPR-CHIPPAWA-D</v>
      </c>
      <c r="AH8" s="205" t="str">
        <f t="shared" si="2"/>
        <v>CGPR-CHIPPAWA-I</v>
      </c>
      <c r="AI8" s="205" t="str">
        <f t="shared" si="2"/>
        <v>CGPR-DAWN-D</v>
      </c>
      <c r="AJ8" s="205" t="str">
        <f t="shared" si="2"/>
        <v>CGPR-DAWN-I</v>
      </c>
      <c r="AK8" s="205" t="str">
        <f t="shared" ref="AK8:AP8" si="3">CONCATENATE(AK13,"-",AK15)</f>
        <v>CGPR-AECO/BASIS-D</v>
      </c>
      <c r="AL8" s="205" t="str">
        <f t="shared" si="3"/>
        <v>CGPR-AECO/BASIS-I</v>
      </c>
      <c r="AM8" s="205" t="str">
        <f t="shared" si="3"/>
        <v>TRANS:AECO/EMP-D</v>
      </c>
      <c r="AN8" s="205" t="str">
        <f t="shared" si="3"/>
        <v>CAD/USD-F</v>
      </c>
      <c r="AO8" s="205" t="str">
        <f t="shared" si="3"/>
        <v>CGPR-DAWN-P</v>
      </c>
      <c r="AP8" s="205" t="str">
        <f t="shared" si="3"/>
        <v>CGPR-ST.CLAIR-D</v>
      </c>
      <c r="AQ8" s="205" t="str">
        <f>CONCATENATE(AQ13,"-",AQ15)</f>
        <v>CGPR-OJIBWAY-D</v>
      </c>
      <c r="AU8" s="205" t="s">
        <v>185</v>
      </c>
      <c r="AV8" s="250" t="s">
        <v>209</v>
      </c>
      <c r="AW8" s="45" t="s">
        <v>251</v>
      </c>
    </row>
    <row r="9" spans="1:73">
      <c r="A9" s="45"/>
      <c r="B9" s="45"/>
      <c r="C9" s="50"/>
      <c r="S9" s="48"/>
      <c r="T9" s="48"/>
      <c r="U9" s="48"/>
      <c r="V9" s="48"/>
      <c r="W9" s="48"/>
      <c r="X9" s="48"/>
      <c r="Y9" s="48"/>
      <c r="Z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</row>
    <row r="10" spans="1:73" s="48" customFormat="1">
      <c r="C10" s="48">
        <v>1</v>
      </c>
      <c r="D10" s="48">
        <v>2</v>
      </c>
      <c r="E10" s="48">
        <v>3</v>
      </c>
      <c r="F10" s="48">
        <v>4</v>
      </c>
      <c r="G10" s="48">
        <v>5</v>
      </c>
      <c r="H10" s="48">
        <v>6</v>
      </c>
      <c r="I10" s="48">
        <v>7</v>
      </c>
      <c r="J10" s="48">
        <v>8</v>
      </c>
      <c r="K10" s="48">
        <v>9</v>
      </c>
      <c r="L10" s="48">
        <v>10</v>
      </c>
      <c r="M10" s="48">
        <v>11</v>
      </c>
      <c r="N10" s="48">
        <v>12</v>
      </c>
      <c r="O10" s="48">
        <v>13</v>
      </c>
      <c r="P10" s="48">
        <v>14</v>
      </c>
      <c r="Q10" s="48">
        <v>15</v>
      </c>
      <c r="R10" s="48">
        <v>16</v>
      </c>
      <c r="S10" s="48">
        <v>17</v>
      </c>
      <c r="T10" s="48">
        <v>18</v>
      </c>
      <c r="U10" s="48">
        <v>19</v>
      </c>
      <c r="V10" s="48">
        <v>20</v>
      </c>
      <c r="W10" s="48">
        <v>21</v>
      </c>
      <c r="X10" s="48">
        <v>22</v>
      </c>
      <c r="Y10" s="48">
        <v>23</v>
      </c>
      <c r="Z10" s="48">
        <v>24</v>
      </c>
      <c r="AA10" s="48">
        <v>25</v>
      </c>
      <c r="AB10" s="48">
        <v>26</v>
      </c>
      <c r="AC10" s="48">
        <v>27</v>
      </c>
      <c r="AD10" s="48">
        <v>28</v>
      </c>
      <c r="AE10" s="48">
        <v>29</v>
      </c>
      <c r="AF10" s="48">
        <v>30</v>
      </c>
      <c r="AG10" s="48">
        <v>31</v>
      </c>
      <c r="AH10" s="48">
        <v>32</v>
      </c>
      <c r="AI10" s="48">
        <v>33</v>
      </c>
      <c r="AJ10" s="48">
        <v>34</v>
      </c>
      <c r="AK10" s="48">
        <v>35</v>
      </c>
      <c r="AL10" s="48">
        <v>36</v>
      </c>
      <c r="AM10" s="48">
        <v>37</v>
      </c>
      <c r="AN10" s="48">
        <v>38</v>
      </c>
      <c r="AO10" s="48">
        <v>39</v>
      </c>
      <c r="AP10" s="48">
        <v>40</v>
      </c>
      <c r="AQ10" s="48">
        <v>41</v>
      </c>
      <c r="AV10" s="48">
        <v>42</v>
      </c>
    </row>
    <row r="11" spans="1:73" s="48" customFormat="1">
      <c r="C11" s="46" t="s">
        <v>46</v>
      </c>
      <c r="D11" s="51">
        <f t="shared" ref="D11:AQ11" si="4">today</f>
        <v>37025</v>
      </c>
      <c r="E11" s="51">
        <f t="shared" si="4"/>
        <v>37025</v>
      </c>
      <c r="F11" s="51">
        <f t="shared" si="4"/>
        <v>37025</v>
      </c>
      <c r="G11" s="51">
        <f t="shared" si="4"/>
        <v>37025</v>
      </c>
      <c r="H11" s="51">
        <f t="shared" si="4"/>
        <v>37025</v>
      </c>
      <c r="I11" s="51">
        <f t="shared" si="4"/>
        <v>37025</v>
      </c>
      <c r="J11" s="51">
        <f t="shared" si="4"/>
        <v>37025</v>
      </c>
      <c r="K11" s="51">
        <f t="shared" si="4"/>
        <v>37025</v>
      </c>
      <c r="L11" s="51">
        <f t="shared" si="4"/>
        <v>37025</v>
      </c>
      <c r="M11" s="51">
        <f t="shared" si="4"/>
        <v>37025</v>
      </c>
      <c r="N11" s="51">
        <f t="shared" si="4"/>
        <v>37025</v>
      </c>
      <c r="O11" s="51">
        <f t="shared" si="4"/>
        <v>37025</v>
      </c>
      <c r="P11" s="51">
        <f t="shared" si="4"/>
        <v>37025</v>
      </c>
      <c r="Q11" s="51">
        <f t="shared" si="4"/>
        <v>37025</v>
      </c>
      <c r="R11" s="51">
        <f t="shared" si="4"/>
        <v>37025</v>
      </c>
      <c r="S11" s="51">
        <f t="shared" si="4"/>
        <v>37025</v>
      </c>
      <c r="T11" s="51">
        <f t="shared" si="4"/>
        <v>37025</v>
      </c>
      <c r="U11" s="51">
        <f t="shared" si="4"/>
        <v>37025</v>
      </c>
      <c r="V11" s="51">
        <f t="shared" si="4"/>
        <v>37025</v>
      </c>
      <c r="W11" s="51">
        <f t="shared" si="4"/>
        <v>37025</v>
      </c>
      <c r="X11" s="51">
        <f t="shared" si="4"/>
        <v>37025</v>
      </c>
      <c r="Y11" s="51">
        <f t="shared" si="4"/>
        <v>37025</v>
      </c>
      <c r="Z11" s="51">
        <f t="shared" si="4"/>
        <v>37025</v>
      </c>
      <c r="AA11" s="51">
        <f t="shared" si="4"/>
        <v>37025</v>
      </c>
      <c r="AB11" s="51">
        <f t="shared" si="4"/>
        <v>37025</v>
      </c>
      <c r="AC11" s="51">
        <f t="shared" si="4"/>
        <v>37025</v>
      </c>
      <c r="AD11" s="51">
        <f t="shared" si="4"/>
        <v>37025</v>
      </c>
      <c r="AE11" s="51">
        <f t="shared" si="4"/>
        <v>37025</v>
      </c>
      <c r="AF11" s="51">
        <f t="shared" si="4"/>
        <v>37025</v>
      </c>
      <c r="AG11" s="51">
        <f t="shared" si="4"/>
        <v>37025</v>
      </c>
      <c r="AH11" s="51">
        <f t="shared" si="4"/>
        <v>37025</v>
      </c>
      <c r="AI11" s="51">
        <f t="shared" si="4"/>
        <v>37025</v>
      </c>
      <c r="AJ11" s="51">
        <f t="shared" si="4"/>
        <v>37025</v>
      </c>
      <c r="AK11" s="51">
        <f t="shared" si="4"/>
        <v>37025</v>
      </c>
      <c r="AL11" s="51">
        <f t="shared" si="4"/>
        <v>37025</v>
      </c>
      <c r="AM11" s="51">
        <f t="shared" si="4"/>
        <v>37025</v>
      </c>
      <c r="AN11" s="51">
        <f t="shared" si="4"/>
        <v>37025</v>
      </c>
      <c r="AO11" s="51">
        <f t="shared" si="4"/>
        <v>37025</v>
      </c>
      <c r="AP11" s="51">
        <f t="shared" si="4"/>
        <v>37025</v>
      </c>
      <c r="AQ11" s="51">
        <f t="shared" si="4"/>
        <v>37025</v>
      </c>
      <c r="AV11" s="51">
        <f>today</f>
        <v>37025</v>
      </c>
    </row>
    <row r="12" spans="1:73" s="48" customFormat="1">
      <c r="C12" s="46" t="s">
        <v>47</v>
      </c>
      <c r="D12" s="46">
        <f t="shared" ref="D12:X12" si="5">BeginningOfNextMonth(D11)</f>
        <v>37043</v>
      </c>
      <c r="E12" s="46">
        <f t="shared" si="5"/>
        <v>37043</v>
      </c>
      <c r="F12" s="46">
        <f t="shared" si="5"/>
        <v>37043</v>
      </c>
      <c r="G12" s="46">
        <f t="shared" si="5"/>
        <v>37043</v>
      </c>
      <c r="H12" s="46">
        <f t="shared" si="5"/>
        <v>37043</v>
      </c>
      <c r="I12" s="46">
        <f t="shared" si="5"/>
        <v>37043</v>
      </c>
      <c r="J12" s="46">
        <f t="shared" si="5"/>
        <v>37043</v>
      </c>
      <c r="K12" s="46">
        <f t="shared" si="5"/>
        <v>37043</v>
      </c>
      <c r="L12" s="46">
        <f t="shared" si="5"/>
        <v>37043</v>
      </c>
      <c r="M12" s="46">
        <f t="shared" si="5"/>
        <v>37043</v>
      </c>
      <c r="N12" s="46">
        <f t="shared" si="5"/>
        <v>37043</v>
      </c>
      <c r="O12" s="46">
        <f t="shared" si="5"/>
        <v>37043</v>
      </c>
      <c r="P12" s="46">
        <f t="shared" si="5"/>
        <v>37043</v>
      </c>
      <c r="Q12" s="46">
        <f t="shared" si="5"/>
        <v>37043</v>
      </c>
      <c r="R12" s="46">
        <f t="shared" si="5"/>
        <v>37043</v>
      </c>
      <c r="S12" s="46">
        <f t="shared" si="5"/>
        <v>37043</v>
      </c>
      <c r="T12" s="46">
        <f t="shared" si="5"/>
        <v>37043</v>
      </c>
      <c r="U12" s="46">
        <f>BeginningOfNextMonth(U11)</f>
        <v>37043</v>
      </c>
      <c r="V12" s="46">
        <f>BeginningOfNextMonth(V11)</f>
        <v>37043</v>
      </c>
      <c r="W12" s="46">
        <f t="shared" si="5"/>
        <v>37043</v>
      </c>
      <c r="X12" s="46">
        <f t="shared" si="5"/>
        <v>37043</v>
      </c>
      <c r="Y12" s="46">
        <f t="shared" ref="Y12:AF12" si="6">BeginningOfNextMonth(Y11)</f>
        <v>37043</v>
      </c>
      <c r="Z12" s="46">
        <f t="shared" si="6"/>
        <v>37043</v>
      </c>
      <c r="AA12" s="46">
        <f>BeginningOfNextMonth(AA11)</f>
        <v>37043</v>
      </c>
      <c r="AB12" s="46">
        <f>BeginningOfNextMonth(AB11)</f>
        <v>37043</v>
      </c>
      <c r="AC12" s="46">
        <f t="shared" si="6"/>
        <v>37043</v>
      </c>
      <c r="AD12" s="46">
        <f t="shared" si="6"/>
        <v>37043</v>
      </c>
      <c r="AE12" s="46">
        <f t="shared" si="6"/>
        <v>37043</v>
      </c>
      <c r="AF12" s="46">
        <f t="shared" si="6"/>
        <v>37043</v>
      </c>
      <c r="AG12" s="46">
        <f t="shared" ref="AG12:AP12" si="7">BeginningOfNextMonth(AG11)</f>
        <v>37043</v>
      </c>
      <c r="AH12" s="46">
        <f t="shared" si="7"/>
        <v>37043</v>
      </c>
      <c r="AI12" s="46">
        <f t="shared" si="7"/>
        <v>37043</v>
      </c>
      <c r="AJ12" s="46">
        <f t="shared" si="7"/>
        <v>37043</v>
      </c>
      <c r="AK12" s="46">
        <f t="shared" si="7"/>
        <v>37043</v>
      </c>
      <c r="AL12" s="46">
        <f t="shared" si="7"/>
        <v>37043</v>
      </c>
      <c r="AM12" s="46">
        <f t="shared" si="7"/>
        <v>37043</v>
      </c>
      <c r="AN12" s="46">
        <f t="shared" si="7"/>
        <v>37043</v>
      </c>
      <c r="AO12" s="46">
        <f t="shared" si="7"/>
        <v>37043</v>
      </c>
      <c r="AP12" s="46">
        <f t="shared" si="7"/>
        <v>37043</v>
      </c>
      <c r="AQ12" s="46">
        <f>BeginningOfNextMonth(AQ11)</f>
        <v>37043</v>
      </c>
      <c r="AV12" s="46">
        <f>BeginningOfNextMonth(AV11)</f>
        <v>37043</v>
      </c>
    </row>
    <row r="13" spans="1:73" s="48" customFormat="1" ht="22.5">
      <c r="C13" s="46" t="s">
        <v>48</v>
      </c>
      <c r="D13" s="52" t="s">
        <v>49</v>
      </c>
      <c r="E13" s="48" t="s">
        <v>50</v>
      </c>
      <c r="F13" s="48" t="s">
        <v>50</v>
      </c>
      <c r="G13" s="185" t="s">
        <v>159</v>
      </c>
      <c r="H13" s="185" t="s">
        <v>155</v>
      </c>
      <c r="I13" s="185" t="s">
        <v>158</v>
      </c>
      <c r="J13" s="185" t="s">
        <v>163</v>
      </c>
      <c r="K13" s="175" t="s">
        <v>166</v>
      </c>
      <c r="L13" s="48" t="s">
        <v>143</v>
      </c>
      <c r="M13" s="48" t="s">
        <v>160</v>
      </c>
      <c r="N13" s="48" t="s">
        <v>157</v>
      </c>
      <c r="O13" s="48" t="s">
        <v>167</v>
      </c>
      <c r="P13" s="48" t="s">
        <v>168</v>
      </c>
      <c r="Q13" s="186" t="s">
        <v>156</v>
      </c>
      <c r="R13" s="186" t="s">
        <v>156</v>
      </c>
      <c r="S13" s="172" t="s">
        <v>169</v>
      </c>
      <c r="T13" s="172" t="s">
        <v>169</v>
      </c>
      <c r="U13" s="186" t="s">
        <v>159</v>
      </c>
      <c r="V13" s="186" t="s">
        <v>159</v>
      </c>
      <c r="W13" s="186" t="s">
        <v>163</v>
      </c>
      <c r="X13" s="186" t="s">
        <v>163</v>
      </c>
      <c r="Y13" s="185" t="s">
        <v>165</v>
      </c>
      <c r="Z13" s="185" t="s">
        <v>165</v>
      </c>
      <c r="AA13" s="48" t="s">
        <v>165</v>
      </c>
      <c r="AB13" s="48" t="s">
        <v>165</v>
      </c>
      <c r="AC13" s="173" t="s">
        <v>155</v>
      </c>
      <c r="AD13" s="173" t="s">
        <v>155</v>
      </c>
      <c r="AE13" s="172" t="s">
        <v>170</v>
      </c>
      <c r="AF13" s="172" t="s">
        <v>170</v>
      </c>
      <c r="AG13" s="175" t="s">
        <v>164</v>
      </c>
      <c r="AH13" s="175" t="s">
        <v>164</v>
      </c>
      <c r="AI13" s="175" t="s">
        <v>166</v>
      </c>
      <c r="AJ13" s="175" t="s">
        <v>166</v>
      </c>
      <c r="AK13" s="172" t="s">
        <v>171</v>
      </c>
      <c r="AL13" s="172" t="s">
        <v>171</v>
      </c>
      <c r="AM13" s="172" t="s">
        <v>173</v>
      </c>
      <c r="AN13" s="48" t="s">
        <v>174</v>
      </c>
      <c r="AO13" s="175" t="s">
        <v>166</v>
      </c>
      <c r="AP13" s="175" t="s">
        <v>212</v>
      </c>
      <c r="AQ13" s="271" t="s">
        <v>226</v>
      </c>
      <c r="AR13" s="175" t="s">
        <v>183</v>
      </c>
      <c r="AT13" s="48" t="s">
        <v>184</v>
      </c>
      <c r="AU13" s="48" t="s">
        <v>185</v>
      </c>
      <c r="AV13" s="175" t="s">
        <v>212</v>
      </c>
    </row>
    <row r="14" spans="1:73" s="48" customFormat="1">
      <c r="C14" s="46" t="s">
        <v>51</v>
      </c>
      <c r="D14" s="53" t="s">
        <v>29</v>
      </c>
      <c r="E14" s="48" t="s">
        <v>52</v>
      </c>
      <c r="F14" s="48" t="s">
        <v>53</v>
      </c>
      <c r="G14" s="48" t="s">
        <v>53</v>
      </c>
      <c r="H14" s="48" t="s">
        <v>53</v>
      </c>
      <c r="I14" s="48" t="s">
        <v>53</v>
      </c>
      <c r="J14" s="48" t="s">
        <v>53</v>
      </c>
      <c r="K14" s="48" t="s">
        <v>53</v>
      </c>
      <c r="L14" s="48" t="s">
        <v>53</v>
      </c>
      <c r="M14" s="48" t="s">
        <v>53</v>
      </c>
      <c r="N14" s="48" t="s">
        <v>53</v>
      </c>
      <c r="O14" s="48" t="s">
        <v>53</v>
      </c>
      <c r="P14" s="48" t="s">
        <v>53</v>
      </c>
      <c r="Q14" s="48" t="s">
        <v>52</v>
      </c>
      <c r="R14" s="48" t="s">
        <v>52</v>
      </c>
      <c r="S14" s="48" t="s">
        <v>52</v>
      </c>
      <c r="T14" s="48" t="s">
        <v>52</v>
      </c>
      <c r="U14" s="48" t="s">
        <v>52</v>
      </c>
      <c r="V14" s="48" t="s">
        <v>52</v>
      </c>
      <c r="W14" s="48" t="s">
        <v>52</v>
      </c>
      <c r="X14" s="48" t="s">
        <v>52</v>
      </c>
      <c r="Y14" s="48" t="s">
        <v>52</v>
      </c>
      <c r="Z14" s="48" t="s">
        <v>52</v>
      </c>
      <c r="AA14" s="48" t="s">
        <v>52</v>
      </c>
      <c r="AB14" s="48" t="s">
        <v>52</v>
      </c>
      <c r="AC14" s="48" t="s">
        <v>52</v>
      </c>
      <c r="AD14" s="48" t="s">
        <v>52</v>
      </c>
      <c r="AE14" s="48" t="s">
        <v>52</v>
      </c>
      <c r="AF14" s="48" t="s">
        <v>52</v>
      </c>
      <c r="AG14" s="48" t="s">
        <v>52</v>
      </c>
      <c r="AH14" s="48" t="s">
        <v>52</v>
      </c>
      <c r="AI14" s="48" t="s">
        <v>52</v>
      </c>
      <c r="AJ14" s="48" t="s">
        <v>52</v>
      </c>
      <c r="AK14" s="48" t="s">
        <v>52</v>
      </c>
      <c r="AL14" s="48" t="s">
        <v>52</v>
      </c>
      <c r="AM14" s="48" t="s">
        <v>52</v>
      </c>
      <c r="AN14" s="48" t="s">
        <v>175</v>
      </c>
      <c r="AO14" s="48" t="s">
        <v>53</v>
      </c>
      <c r="AP14" s="48" t="s">
        <v>52</v>
      </c>
      <c r="AQ14" s="48" t="s">
        <v>52</v>
      </c>
      <c r="AV14" s="48" t="s">
        <v>52</v>
      </c>
    </row>
    <row r="15" spans="1:73">
      <c r="A15" s="45"/>
      <c r="B15" s="45"/>
      <c r="C15" s="54" t="s">
        <v>54</v>
      </c>
      <c r="D15" s="53" t="s">
        <v>55</v>
      </c>
      <c r="E15" s="48" t="s">
        <v>56</v>
      </c>
      <c r="F15" s="48" t="s">
        <v>56</v>
      </c>
      <c r="G15" s="48" t="s">
        <v>56</v>
      </c>
      <c r="H15" s="48" t="s">
        <v>56</v>
      </c>
      <c r="I15" s="48" t="s">
        <v>56</v>
      </c>
      <c r="J15" s="48" t="s">
        <v>56</v>
      </c>
      <c r="K15" s="48" t="s">
        <v>56</v>
      </c>
      <c r="L15" s="48" t="s">
        <v>56</v>
      </c>
      <c r="M15" s="48" t="s">
        <v>56</v>
      </c>
      <c r="N15" s="48" t="s">
        <v>56</v>
      </c>
      <c r="O15" s="48" t="s">
        <v>56</v>
      </c>
      <c r="P15" s="48" t="s">
        <v>56</v>
      </c>
      <c r="Q15" s="48" t="s">
        <v>57</v>
      </c>
      <c r="R15" s="48" t="s">
        <v>58</v>
      </c>
      <c r="S15" s="48" t="s">
        <v>57</v>
      </c>
      <c r="T15" s="48" t="s">
        <v>58</v>
      </c>
      <c r="U15" s="48" t="s">
        <v>57</v>
      </c>
      <c r="V15" s="48" t="s">
        <v>58</v>
      </c>
      <c r="W15" s="48" t="s">
        <v>57</v>
      </c>
      <c r="X15" s="48" t="s">
        <v>58</v>
      </c>
      <c r="Y15" s="48" t="s">
        <v>57</v>
      </c>
      <c r="Z15" s="48" t="s">
        <v>58</v>
      </c>
      <c r="AA15" s="48" t="s">
        <v>57</v>
      </c>
      <c r="AB15" s="48" t="s">
        <v>58</v>
      </c>
      <c r="AC15" s="48" t="s">
        <v>57</v>
      </c>
      <c r="AD15" s="48" t="s">
        <v>58</v>
      </c>
      <c r="AE15" s="48" t="s">
        <v>57</v>
      </c>
      <c r="AF15" s="48" t="s">
        <v>58</v>
      </c>
      <c r="AG15" s="48" t="s">
        <v>57</v>
      </c>
      <c r="AH15" s="48" t="s">
        <v>58</v>
      </c>
      <c r="AI15" s="48" t="s">
        <v>57</v>
      </c>
      <c r="AJ15" s="48" t="s">
        <v>58</v>
      </c>
      <c r="AK15" s="48" t="s">
        <v>57</v>
      </c>
      <c r="AL15" s="48" t="s">
        <v>58</v>
      </c>
      <c r="AM15" s="48" t="s">
        <v>57</v>
      </c>
      <c r="AN15" s="48" t="s">
        <v>176</v>
      </c>
      <c r="AO15" s="48" t="s">
        <v>56</v>
      </c>
      <c r="AP15" s="48" t="s">
        <v>57</v>
      </c>
      <c r="AQ15" s="48" t="s">
        <v>57</v>
      </c>
      <c r="AU15" s="48"/>
      <c r="AV15" s="48" t="s">
        <v>57</v>
      </c>
    </row>
    <row r="16" spans="1:73">
      <c r="A16" s="45"/>
      <c r="B16" s="45"/>
      <c r="C16" s="54" t="s">
        <v>59</v>
      </c>
      <c r="D16" s="53" t="s">
        <v>154</v>
      </c>
      <c r="E16" s="48" t="s">
        <v>60</v>
      </c>
      <c r="F16" s="48" t="s">
        <v>60</v>
      </c>
      <c r="G16" s="48" t="s">
        <v>204</v>
      </c>
      <c r="H16" s="48" t="s">
        <v>204</v>
      </c>
      <c r="I16" s="48" t="s">
        <v>204</v>
      </c>
      <c r="J16" s="48" t="s">
        <v>204</v>
      </c>
      <c r="K16" s="45" t="s">
        <v>204</v>
      </c>
      <c r="L16" s="48" t="s">
        <v>204</v>
      </c>
      <c r="M16" s="48" t="s">
        <v>204</v>
      </c>
      <c r="N16" s="48" t="s">
        <v>204</v>
      </c>
      <c r="O16" s="48" t="s">
        <v>204</v>
      </c>
      <c r="P16" s="48" t="s">
        <v>204</v>
      </c>
      <c r="Q16" s="48" t="s">
        <v>161</v>
      </c>
      <c r="R16" s="48" t="s">
        <v>161</v>
      </c>
      <c r="S16" s="48" t="s">
        <v>161</v>
      </c>
      <c r="T16" s="48" t="s">
        <v>161</v>
      </c>
      <c r="U16" s="48" t="s">
        <v>161</v>
      </c>
      <c r="V16" s="48" t="s">
        <v>161</v>
      </c>
      <c r="W16" s="48" t="s">
        <v>161</v>
      </c>
      <c r="X16" s="48" t="s">
        <v>161</v>
      </c>
      <c r="Y16" s="48" t="s">
        <v>161</v>
      </c>
      <c r="Z16" s="48" t="s">
        <v>161</v>
      </c>
      <c r="AA16" s="45" t="s">
        <v>161</v>
      </c>
      <c r="AB16" s="45" t="s">
        <v>161</v>
      </c>
      <c r="AC16" s="48" t="s">
        <v>249</v>
      </c>
      <c r="AD16" s="48" t="s">
        <v>249</v>
      </c>
      <c r="AE16" s="48" t="s">
        <v>161</v>
      </c>
      <c r="AF16" s="48" t="s">
        <v>161</v>
      </c>
      <c r="AG16" s="48" t="s">
        <v>161</v>
      </c>
      <c r="AH16" s="48" t="s">
        <v>161</v>
      </c>
      <c r="AI16" s="48" t="s">
        <v>161</v>
      </c>
      <c r="AJ16" s="48" t="s">
        <v>161</v>
      </c>
      <c r="AK16" s="48" t="s">
        <v>172</v>
      </c>
      <c r="AL16" s="48" t="s">
        <v>172</v>
      </c>
      <c r="AM16" s="48" t="s">
        <v>172</v>
      </c>
      <c r="AN16" s="45" t="s">
        <v>154</v>
      </c>
      <c r="AO16" s="45" t="s">
        <v>204</v>
      </c>
      <c r="AP16" s="45" t="s">
        <v>161</v>
      </c>
      <c r="AQ16" s="45" t="s">
        <v>161</v>
      </c>
      <c r="AV16" s="45" t="s">
        <v>205</v>
      </c>
    </row>
    <row r="17" spans="1:49">
      <c r="A17" s="45"/>
      <c r="B17" s="45"/>
      <c r="C17" s="55">
        <f>BeginningOfNextMonth(today)</f>
        <v>37043</v>
      </c>
      <c r="D17" s="56">
        <v>4.3204204151979099E-2</v>
      </c>
      <c r="E17" s="56">
        <v>4.3940000000000001</v>
      </c>
      <c r="F17" s="56">
        <v>0.54</v>
      </c>
      <c r="G17" s="56">
        <v>0.54</v>
      </c>
      <c r="H17" s="56">
        <v>0.54</v>
      </c>
      <c r="I17" s="56">
        <v>0.55600000000000005</v>
      </c>
      <c r="J17" s="56">
        <v>0.54</v>
      </c>
      <c r="K17" s="45">
        <v>0.54</v>
      </c>
      <c r="L17" s="56">
        <v>0.43</v>
      </c>
      <c r="M17" s="56">
        <v>0.38</v>
      </c>
      <c r="N17" s="56">
        <v>0.53</v>
      </c>
      <c r="O17" s="56">
        <v>0.48</v>
      </c>
      <c r="P17" s="56">
        <v>0.48</v>
      </c>
      <c r="Q17" s="56">
        <v>0.22500000000000001</v>
      </c>
      <c r="R17" s="56">
        <v>0</v>
      </c>
      <c r="S17" s="45">
        <v>-8.5000000000000006E-2</v>
      </c>
      <c r="T17" s="45">
        <v>-5.0000000000000001E-3</v>
      </c>
      <c r="U17" s="45">
        <v>-0.1</v>
      </c>
      <c r="V17" s="45">
        <v>-0.01</v>
      </c>
      <c r="W17" s="45">
        <v>-0.1</v>
      </c>
      <c r="X17" s="45">
        <v>-0.01</v>
      </c>
      <c r="Y17" s="45">
        <v>0.17499999999999999</v>
      </c>
      <c r="Z17" s="45">
        <v>0</v>
      </c>
      <c r="AA17" s="45">
        <v>0.17499999999999999</v>
      </c>
      <c r="AB17" s="45">
        <v>0</v>
      </c>
      <c r="AC17" s="45">
        <v>0.22</v>
      </c>
      <c r="AD17" s="45">
        <v>1.2500000000000001E-2</v>
      </c>
      <c r="AE17" s="45">
        <v>0.1</v>
      </c>
      <c r="AF17" s="45">
        <v>0</v>
      </c>
      <c r="AG17" s="45">
        <v>0.27</v>
      </c>
      <c r="AH17" s="45">
        <v>0</v>
      </c>
      <c r="AI17" s="45">
        <v>0.22</v>
      </c>
      <c r="AJ17" s="45">
        <v>0</v>
      </c>
      <c r="AK17" s="45">
        <v>-0.31365058625694997</v>
      </c>
      <c r="AL17" s="45">
        <v>3.3988698996187E-3</v>
      </c>
      <c r="AM17" s="45">
        <v>0</v>
      </c>
      <c r="AN17" s="45">
        <v>1.55142007659412</v>
      </c>
      <c r="AO17" s="45">
        <v>0.54</v>
      </c>
      <c r="AP17" s="45">
        <v>0.21</v>
      </c>
      <c r="AQ17" s="45">
        <v>0.21</v>
      </c>
      <c r="AR17" s="45">
        <f>1/AN17</f>
        <v>0.64457074849471496</v>
      </c>
      <c r="AT17" s="217">
        <f>AR17*AM17*$AT$6</f>
        <v>0</v>
      </c>
      <c r="AU17" s="217">
        <f>AK17+AL17+AT17</f>
        <v>-0.31025171635733129</v>
      </c>
      <c r="AV17" s="45">
        <f>[10]Sheet1!AA8</f>
        <v>0.12199999999999993</v>
      </c>
      <c r="AW17" s="45">
        <v>0</v>
      </c>
    </row>
    <row r="18" spans="1:49">
      <c r="A18" s="45"/>
      <c r="B18" s="45"/>
      <c r="C18" s="55">
        <f t="shared" ref="C18:C81" si="8">NextMonth(C17)</f>
        <v>37073</v>
      </c>
      <c r="D18" s="56">
        <v>4.2540072012683602E-2</v>
      </c>
      <c r="E18" s="56">
        <v>4.4649999999999999</v>
      </c>
      <c r="F18" s="56">
        <v>0.52500000000000002</v>
      </c>
      <c r="G18" s="56">
        <v>0.52500000000000002</v>
      </c>
      <c r="H18" s="56">
        <v>0.52500000000000002</v>
      </c>
      <c r="I18" s="56">
        <v>0.54100000000000004</v>
      </c>
      <c r="J18" s="56">
        <v>0.52500000000000002</v>
      </c>
      <c r="K18" s="45">
        <v>0.52500000000000002</v>
      </c>
      <c r="L18" s="56">
        <v>0.48</v>
      </c>
      <c r="M18" s="56">
        <v>0.38</v>
      </c>
      <c r="N18" s="56">
        <v>0.57999999999999996</v>
      </c>
      <c r="O18" s="56">
        <v>0.48</v>
      </c>
      <c r="P18" s="56">
        <v>0.48</v>
      </c>
      <c r="Q18" s="56">
        <v>0.22500000000000001</v>
      </c>
      <c r="R18" s="56">
        <v>0</v>
      </c>
      <c r="S18" s="45">
        <v>-8.5000000000000006E-2</v>
      </c>
      <c r="T18" s="45">
        <v>-5.0000000000000001E-3</v>
      </c>
      <c r="U18" s="45">
        <v>-0.1</v>
      </c>
      <c r="V18" s="45">
        <v>-0.01</v>
      </c>
      <c r="W18" s="45">
        <v>-0.1</v>
      </c>
      <c r="X18" s="45">
        <v>-0.01</v>
      </c>
      <c r="Y18" s="45">
        <v>0.17499999999999999</v>
      </c>
      <c r="Z18" s="45">
        <v>0</v>
      </c>
      <c r="AA18" s="45">
        <v>0.17499999999999999</v>
      </c>
      <c r="AB18" s="45">
        <v>0</v>
      </c>
      <c r="AC18" s="45">
        <v>0.22750000000000001</v>
      </c>
      <c r="AD18" s="45">
        <v>1.2500000000000001E-2</v>
      </c>
      <c r="AE18" s="45">
        <v>0.1</v>
      </c>
      <c r="AF18" s="45">
        <v>5.0000000000000001E-3</v>
      </c>
      <c r="AG18" s="45">
        <v>0.24</v>
      </c>
      <c r="AH18" s="45">
        <v>0</v>
      </c>
      <c r="AI18" s="45">
        <v>0.19</v>
      </c>
      <c r="AJ18" s="45">
        <v>0</v>
      </c>
      <c r="AK18" s="45">
        <v>-0.33</v>
      </c>
      <c r="AL18" s="45">
        <v>3.3979568422877002E-3</v>
      </c>
      <c r="AM18" s="45">
        <v>0</v>
      </c>
      <c r="AN18" s="45">
        <v>1.55183695518915</v>
      </c>
      <c r="AO18" s="45">
        <v>0.52500000000000002</v>
      </c>
      <c r="AP18" s="45">
        <v>0.18</v>
      </c>
      <c r="AQ18" s="45">
        <v>0.18</v>
      </c>
      <c r="AR18" s="45">
        <f t="shared" ref="AR18:AR81" si="9">1/AN18</f>
        <v>0.64439759386843076</v>
      </c>
      <c r="AT18" s="217">
        <f t="shared" ref="AT18:AT81" si="10">AR18*AM18*$AT$6</f>
        <v>0</v>
      </c>
      <c r="AU18" s="217">
        <f t="shared" ref="AU18:AU81" si="11">AK18+AL18+AT18</f>
        <v>-0.3266020431577123</v>
      </c>
      <c r="AV18" s="45">
        <f>[10]Sheet1!AA9</f>
        <v>0.12199999999999993</v>
      </c>
      <c r="AW18" s="45">
        <v>0</v>
      </c>
    </row>
    <row r="19" spans="1:49">
      <c r="A19" s="45"/>
      <c r="B19" s="45"/>
      <c r="C19" s="55">
        <f t="shared" si="8"/>
        <v>37104</v>
      </c>
      <c r="D19" s="56">
        <v>4.2228878514739804E-2</v>
      </c>
      <c r="E19" s="56">
        <v>4.5280000000000005</v>
      </c>
      <c r="F19" s="56">
        <v>0.53</v>
      </c>
      <c r="G19" s="56">
        <v>0.53</v>
      </c>
      <c r="H19" s="56">
        <v>0.53</v>
      </c>
      <c r="I19" s="56">
        <v>0.54600000000000004</v>
      </c>
      <c r="J19" s="56">
        <v>0.53</v>
      </c>
      <c r="K19" s="45">
        <v>0.53</v>
      </c>
      <c r="L19" s="56">
        <v>0.53</v>
      </c>
      <c r="M19" s="56">
        <v>0.48</v>
      </c>
      <c r="N19" s="56">
        <v>0.63</v>
      </c>
      <c r="O19" s="56">
        <v>0.43</v>
      </c>
      <c r="P19" s="56">
        <v>0.53</v>
      </c>
      <c r="Q19" s="56">
        <v>0.22500000000000001</v>
      </c>
      <c r="R19" s="56">
        <v>0</v>
      </c>
      <c r="S19" s="45">
        <v>-8.5000000000000006E-2</v>
      </c>
      <c r="T19" s="45">
        <v>-5.0000000000000001E-3</v>
      </c>
      <c r="U19" s="45">
        <v>-0.1</v>
      </c>
      <c r="V19" s="45">
        <v>-0.01</v>
      </c>
      <c r="W19" s="45">
        <v>-0.1</v>
      </c>
      <c r="X19" s="45">
        <v>-0.01</v>
      </c>
      <c r="Y19" s="45">
        <v>0.17499999999999999</v>
      </c>
      <c r="Z19" s="45">
        <v>0</v>
      </c>
      <c r="AA19" s="45">
        <v>0.17499999999999999</v>
      </c>
      <c r="AB19" s="45">
        <v>0</v>
      </c>
      <c r="AC19" s="45">
        <v>0.255</v>
      </c>
      <c r="AD19" s="45">
        <v>1.2500000000000001E-2</v>
      </c>
      <c r="AE19" s="45">
        <v>0.1</v>
      </c>
      <c r="AF19" s="45">
        <v>5.0000000000000001E-3</v>
      </c>
      <c r="AG19" s="45">
        <v>0.215</v>
      </c>
      <c r="AH19" s="45">
        <v>0</v>
      </c>
      <c r="AI19" s="45">
        <v>0.16500000000000001</v>
      </c>
      <c r="AJ19" s="45">
        <v>0</v>
      </c>
      <c r="AK19" s="45">
        <v>-0.35</v>
      </c>
      <c r="AL19" s="45">
        <v>5.0961123135117997E-3</v>
      </c>
      <c r="AM19" s="45">
        <v>0</v>
      </c>
      <c r="AN19" s="45">
        <v>1.55208755486578</v>
      </c>
      <c r="AO19" s="45">
        <v>0.53</v>
      </c>
      <c r="AP19" s="45">
        <v>0.155</v>
      </c>
      <c r="AQ19" s="45">
        <v>0.155</v>
      </c>
      <c r="AR19" s="45">
        <f t="shared" si="9"/>
        <v>0.64429354959068474</v>
      </c>
      <c r="AT19" s="217">
        <f t="shared" si="10"/>
        <v>0</v>
      </c>
      <c r="AU19" s="217">
        <f t="shared" si="11"/>
        <v>-0.34490388768648816</v>
      </c>
      <c r="AV19" s="45">
        <f>[10]Sheet1!AA10</f>
        <v>0.12199999999999993</v>
      </c>
      <c r="AW19" s="45">
        <v>0</v>
      </c>
    </row>
    <row r="20" spans="1:49">
      <c r="A20" s="45"/>
      <c r="B20" s="45"/>
      <c r="C20" s="55">
        <f t="shared" si="8"/>
        <v>37135</v>
      </c>
      <c r="D20" s="56">
        <v>4.19943687965341E-2</v>
      </c>
      <c r="E20" s="56">
        <v>4.5430000000000001</v>
      </c>
      <c r="F20" s="56">
        <v>0.54</v>
      </c>
      <c r="G20" s="56">
        <v>0.54</v>
      </c>
      <c r="H20" s="56">
        <v>0.54</v>
      </c>
      <c r="I20" s="56">
        <v>0.55600000000000005</v>
      </c>
      <c r="J20" s="56">
        <v>0.54</v>
      </c>
      <c r="K20" s="45">
        <v>0.54</v>
      </c>
      <c r="L20" s="56">
        <v>0.53</v>
      </c>
      <c r="M20" s="56">
        <v>0.53</v>
      </c>
      <c r="N20" s="56">
        <v>0.63</v>
      </c>
      <c r="O20" s="56">
        <v>0.48</v>
      </c>
      <c r="P20" s="56">
        <v>0.57999999999999996</v>
      </c>
      <c r="Q20" s="56">
        <v>0.22500000000000001</v>
      </c>
      <c r="R20" s="56">
        <v>0</v>
      </c>
      <c r="S20" s="206">
        <v>-8.5000000000000006E-2</v>
      </c>
      <c r="T20" s="45">
        <v>-5.0000000000000001E-3</v>
      </c>
      <c r="U20" s="45">
        <v>-0.1</v>
      </c>
      <c r="V20" s="45">
        <v>-0.01</v>
      </c>
      <c r="W20" s="45">
        <v>-0.1</v>
      </c>
      <c r="X20" s="45">
        <v>-0.01</v>
      </c>
      <c r="Y20" s="45">
        <v>0.17499999999999999</v>
      </c>
      <c r="Z20" s="45">
        <v>0</v>
      </c>
      <c r="AA20" s="45">
        <v>0.17499999999999999</v>
      </c>
      <c r="AB20" s="45">
        <v>0</v>
      </c>
      <c r="AC20" s="45">
        <v>0.21</v>
      </c>
      <c r="AD20" s="45">
        <v>1.2500000000000001E-2</v>
      </c>
      <c r="AE20" s="45">
        <v>0.1</v>
      </c>
      <c r="AF20" s="45">
        <v>5.0000000000000001E-3</v>
      </c>
      <c r="AG20" s="45">
        <v>0.22500000000000001</v>
      </c>
      <c r="AH20" s="45">
        <v>0</v>
      </c>
      <c r="AI20" s="45">
        <v>0.17499999999999999</v>
      </c>
      <c r="AJ20" s="45">
        <v>0</v>
      </c>
      <c r="AK20" s="45">
        <v>-0.35</v>
      </c>
      <c r="AL20" s="45">
        <v>5.0953205251694006E-3</v>
      </c>
      <c r="AM20" s="45">
        <v>0</v>
      </c>
      <c r="AN20" s="45">
        <v>1.5523287418188398</v>
      </c>
      <c r="AO20" s="45">
        <v>0.54</v>
      </c>
      <c r="AP20" s="45">
        <v>0.16500000000000001</v>
      </c>
      <c r="AQ20" s="45">
        <v>0.16500000000000001</v>
      </c>
      <c r="AR20" s="45">
        <f t="shared" si="9"/>
        <v>0.6441934450226795</v>
      </c>
      <c r="AT20" s="217">
        <f t="shared" si="10"/>
        <v>0</v>
      </c>
      <c r="AU20" s="217">
        <f t="shared" si="11"/>
        <v>-0.34490467947483056</v>
      </c>
      <c r="AV20" s="45">
        <f>[10]Sheet1!AA11</f>
        <v>0.12199999999999993</v>
      </c>
      <c r="AW20" s="45">
        <v>0</v>
      </c>
    </row>
    <row r="21" spans="1:49">
      <c r="A21" s="45"/>
      <c r="B21" s="45"/>
      <c r="C21" s="55">
        <f t="shared" si="8"/>
        <v>37165</v>
      </c>
      <c r="D21" s="56">
        <v>4.1825017298912304E-2</v>
      </c>
      <c r="E21" s="56">
        <v>4.5630000000000006</v>
      </c>
      <c r="F21" s="56">
        <v>0.55000000000000004</v>
      </c>
      <c r="G21" s="56">
        <v>0.55000000000000004</v>
      </c>
      <c r="H21" s="56">
        <v>0.55000000000000004</v>
      </c>
      <c r="I21" s="56">
        <v>0.56700000000000006</v>
      </c>
      <c r="J21" s="56">
        <v>0.55000000000000004</v>
      </c>
      <c r="K21" s="45">
        <v>0.55000000000000004</v>
      </c>
      <c r="L21" s="56">
        <v>0.57999999999999996</v>
      </c>
      <c r="M21" s="56">
        <v>0.53</v>
      </c>
      <c r="N21" s="56">
        <v>0.68</v>
      </c>
      <c r="O21" s="56">
        <v>0.48</v>
      </c>
      <c r="P21" s="56">
        <v>0.63</v>
      </c>
      <c r="Q21" s="56">
        <v>0.22500000000000001</v>
      </c>
      <c r="R21" s="56">
        <v>0</v>
      </c>
      <c r="S21" s="45">
        <v>-8.5000000000000006E-2</v>
      </c>
      <c r="T21" s="45">
        <v>-5.0000000000000001E-3</v>
      </c>
      <c r="U21" s="45">
        <v>-0.1</v>
      </c>
      <c r="V21" s="45">
        <v>-0.01</v>
      </c>
      <c r="W21" s="45">
        <v>-0.1</v>
      </c>
      <c r="X21" s="45">
        <v>-0.01</v>
      </c>
      <c r="Y21" s="45">
        <v>0.17499999999999999</v>
      </c>
      <c r="Z21" s="45">
        <v>0</v>
      </c>
      <c r="AA21" s="45">
        <v>0.17499999999999999</v>
      </c>
      <c r="AB21" s="45">
        <v>0</v>
      </c>
      <c r="AC21" s="45">
        <v>0.23250000000000001</v>
      </c>
      <c r="AD21" s="45">
        <v>1.2500000000000001E-2</v>
      </c>
      <c r="AE21" s="45">
        <v>0.1</v>
      </c>
      <c r="AF21" s="45">
        <v>5.0000000000000001E-3</v>
      </c>
      <c r="AG21" s="45">
        <v>0.23</v>
      </c>
      <c r="AH21" s="45">
        <v>0</v>
      </c>
      <c r="AI21" s="45">
        <v>0.18</v>
      </c>
      <c r="AJ21" s="45">
        <v>0</v>
      </c>
      <c r="AK21" s="45">
        <v>-0.28999999999999998</v>
      </c>
      <c r="AL21" s="45">
        <v>5.0943268567908003E-3</v>
      </c>
      <c r="AM21" s="45">
        <v>0</v>
      </c>
      <c r="AN21" s="45">
        <v>1.5526315296114699</v>
      </c>
      <c r="AO21" s="45">
        <v>0.55000000000000004</v>
      </c>
      <c r="AP21" s="45">
        <v>0.17</v>
      </c>
      <c r="AQ21" s="45">
        <v>0.17</v>
      </c>
      <c r="AR21" s="45">
        <f t="shared" si="9"/>
        <v>0.6440678170758517</v>
      </c>
      <c r="AT21" s="217">
        <f t="shared" si="10"/>
        <v>0</v>
      </c>
      <c r="AU21" s="217">
        <f t="shared" si="11"/>
        <v>-0.28490567314320919</v>
      </c>
      <c r="AV21" s="45">
        <f>[10]Sheet1!AA12</f>
        <v>0.12199999999999993</v>
      </c>
      <c r="AW21" s="45">
        <v>0</v>
      </c>
    </row>
    <row r="22" spans="1:49">
      <c r="A22" s="45"/>
      <c r="B22" s="45"/>
      <c r="C22" s="55">
        <f t="shared" si="8"/>
        <v>37196</v>
      </c>
      <c r="D22" s="56">
        <v>4.1754948237570803E-2</v>
      </c>
      <c r="E22" s="56">
        <v>4.7280000000000006</v>
      </c>
      <c r="F22" s="56">
        <v>0.56000000000000005</v>
      </c>
      <c r="G22" s="56">
        <v>0.56000000000000005</v>
      </c>
      <c r="H22" s="56">
        <v>0.56000000000000005</v>
      </c>
      <c r="I22" s="56">
        <v>0.57700000000000007</v>
      </c>
      <c r="J22" s="56">
        <v>0.56000000000000005</v>
      </c>
      <c r="K22" s="45">
        <v>0.56000000000000005</v>
      </c>
      <c r="L22" s="56">
        <v>1.05</v>
      </c>
      <c r="M22" s="56">
        <v>1.05</v>
      </c>
      <c r="N22" s="56">
        <v>1.05</v>
      </c>
      <c r="O22" s="56">
        <v>1.2</v>
      </c>
      <c r="P22" s="56">
        <v>1.1000000000000001</v>
      </c>
      <c r="Q22" s="56">
        <v>0.25</v>
      </c>
      <c r="R22" s="56">
        <v>0</v>
      </c>
      <c r="S22" s="45">
        <v>-0.08</v>
      </c>
      <c r="T22" s="45">
        <v>5.0000000000000001E-3</v>
      </c>
      <c r="U22" s="45">
        <v>-0.1</v>
      </c>
      <c r="V22" s="45">
        <v>0.01</v>
      </c>
      <c r="W22" s="45">
        <v>-0.1</v>
      </c>
      <c r="X22" s="45">
        <v>0.01</v>
      </c>
      <c r="Y22" s="45">
        <v>0.16500000000000001</v>
      </c>
      <c r="Z22" s="45">
        <v>0</v>
      </c>
      <c r="AA22" s="45">
        <v>0.16500000000000001</v>
      </c>
      <c r="AB22" s="45">
        <v>0</v>
      </c>
      <c r="AC22" s="45">
        <v>0.27</v>
      </c>
      <c r="AD22" s="45">
        <v>0.03</v>
      </c>
      <c r="AE22" s="45">
        <v>0.12</v>
      </c>
      <c r="AF22" s="45">
        <v>2.5000000000000001E-2</v>
      </c>
      <c r="AG22" s="45">
        <v>0.435</v>
      </c>
      <c r="AH22" s="45">
        <v>0</v>
      </c>
      <c r="AI22" s="45">
        <v>0.25</v>
      </c>
      <c r="AJ22" s="45">
        <v>0</v>
      </c>
      <c r="AK22" s="45">
        <v>-0.28000000000000003</v>
      </c>
      <c r="AL22" s="45">
        <v>3.3955850043292002E-3</v>
      </c>
      <c r="AM22" s="45">
        <v>0.15</v>
      </c>
      <c r="AN22" s="45">
        <v>1.5529209232803798</v>
      </c>
      <c r="AO22" s="45">
        <v>0.56000000000000005</v>
      </c>
      <c r="AP22" s="45">
        <v>0.24</v>
      </c>
      <c r="AQ22" s="45">
        <v>0.24</v>
      </c>
      <c r="AR22" s="45">
        <f t="shared" si="9"/>
        <v>0.64394779219511489</v>
      </c>
      <c r="AT22" s="217">
        <f t="shared" si="10"/>
        <v>0.10191014727633137</v>
      </c>
      <c r="AU22" s="217">
        <f t="shared" si="11"/>
        <v>-0.17469426771933949</v>
      </c>
      <c r="AV22" s="45">
        <f>[10]Sheet1!AA13</f>
        <v>0.17107142857142854</v>
      </c>
      <c r="AW22" s="45">
        <v>0</v>
      </c>
    </row>
    <row r="23" spans="1:49">
      <c r="A23" s="45"/>
      <c r="B23" s="45"/>
      <c r="C23" s="55">
        <f t="shared" si="8"/>
        <v>37226</v>
      </c>
      <c r="D23" s="56">
        <v>4.1687139470097702E-2</v>
      </c>
      <c r="E23" s="56">
        <v>4.8849999999999998</v>
      </c>
      <c r="F23" s="56">
        <v>0.5675</v>
      </c>
      <c r="G23" s="56">
        <v>0.56800000000000006</v>
      </c>
      <c r="H23" s="56">
        <v>0.56800000000000006</v>
      </c>
      <c r="I23" s="56">
        <v>0.58499999999999996</v>
      </c>
      <c r="J23" s="56">
        <v>0.56800000000000006</v>
      </c>
      <c r="K23" s="45">
        <v>0.56800000000000006</v>
      </c>
      <c r="L23" s="56">
        <v>1.25</v>
      </c>
      <c r="M23" s="56">
        <v>1.25</v>
      </c>
      <c r="N23" s="56">
        <v>1.35</v>
      </c>
      <c r="O23" s="56">
        <v>1.6</v>
      </c>
      <c r="P23" s="56">
        <v>1.3</v>
      </c>
      <c r="Q23" s="56">
        <v>0.26</v>
      </c>
      <c r="R23" s="56">
        <v>0</v>
      </c>
      <c r="S23" s="45">
        <v>-0.08</v>
      </c>
      <c r="T23" s="45">
        <v>5.0000000000000001E-3</v>
      </c>
      <c r="U23" s="45">
        <v>-0.10249999999999999</v>
      </c>
      <c r="V23" s="45">
        <v>0.01</v>
      </c>
      <c r="W23" s="45">
        <v>-0.10249999999999999</v>
      </c>
      <c r="X23" s="45">
        <v>0.01</v>
      </c>
      <c r="Y23" s="45">
        <v>0.17499999999999999</v>
      </c>
      <c r="Z23" s="45">
        <v>0</v>
      </c>
      <c r="AA23" s="45">
        <v>0.17499999999999999</v>
      </c>
      <c r="AB23" s="45">
        <v>0</v>
      </c>
      <c r="AC23" s="45">
        <v>0.3</v>
      </c>
      <c r="AD23" s="45">
        <v>0.03</v>
      </c>
      <c r="AE23" s="45">
        <v>0.16</v>
      </c>
      <c r="AF23" s="45">
        <v>2.5000000000000001E-2</v>
      </c>
      <c r="AG23" s="45">
        <v>0.435</v>
      </c>
      <c r="AH23" s="45">
        <v>0</v>
      </c>
      <c r="AI23" s="45">
        <v>0.25</v>
      </c>
      <c r="AJ23" s="45">
        <v>0</v>
      </c>
      <c r="AK23" s="45">
        <v>-0.28000000000000003</v>
      </c>
      <c r="AL23" s="45">
        <v>3.3949935940565E-3</v>
      </c>
      <c r="AM23" s="45">
        <v>0.15</v>
      </c>
      <c r="AN23" s="45">
        <v>1.55319144319782</v>
      </c>
      <c r="AO23" s="45">
        <v>0.56800000000000006</v>
      </c>
      <c r="AP23" s="45">
        <v>0.24</v>
      </c>
      <c r="AQ23" s="45">
        <v>0.24</v>
      </c>
      <c r="AR23" s="45">
        <f t="shared" si="9"/>
        <v>0.64383563557440771</v>
      </c>
      <c r="AT23" s="217">
        <f t="shared" si="10"/>
        <v>0.10189239754898884</v>
      </c>
      <c r="AU23" s="217">
        <f t="shared" si="11"/>
        <v>-0.17471260885695472</v>
      </c>
      <c r="AV23" s="45">
        <f>[10]Sheet1!AA14</f>
        <v>0.17607142857142855</v>
      </c>
      <c r="AW23" s="45">
        <v>0</v>
      </c>
    </row>
    <row r="24" spans="1:49">
      <c r="A24" s="45"/>
      <c r="B24" s="45"/>
      <c r="C24" s="55">
        <f t="shared" si="8"/>
        <v>37257</v>
      </c>
      <c r="D24" s="56">
        <v>4.1768791879633699E-2</v>
      </c>
      <c r="E24" s="48">
        <v>4.9470000000000001</v>
      </c>
      <c r="F24" s="48">
        <v>0.57499999999999996</v>
      </c>
      <c r="G24" s="48">
        <v>0.57499999999999996</v>
      </c>
      <c r="H24" s="48">
        <v>0.57499999999999996</v>
      </c>
      <c r="I24" s="48">
        <v>0.59200000000000008</v>
      </c>
      <c r="J24" s="48">
        <v>0.57499999999999996</v>
      </c>
      <c r="K24" s="45">
        <v>0.57499999999999996</v>
      </c>
      <c r="L24" s="48">
        <v>1.25</v>
      </c>
      <c r="M24" s="48">
        <v>1.25</v>
      </c>
      <c r="N24" s="48">
        <v>1.35</v>
      </c>
      <c r="O24" s="48">
        <v>1.6</v>
      </c>
      <c r="P24" s="48">
        <v>1.3</v>
      </c>
      <c r="Q24" s="56">
        <v>0.26</v>
      </c>
      <c r="R24" s="56">
        <v>0</v>
      </c>
      <c r="S24" s="45">
        <v>-0.08</v>
      </c>
      <c r="T24" s="45">
        <v>5.0000000000000001E-3</v>
      </c>
      <c r="U24" s="45">
        <v>-0.105</v>
      </c>
      <c r="V24" s="45">
        <v>0.01</v>
      </c>
      <c r="W24" s="45">
        <v>-0.105</v>
      </c>
      <c r="X24" s="45">
        <v>0.01</v>
      </c>
      <c r="Y24" s="45">
        <v>0.17499999999999999</v>
      </c>
      <c r="Z24" s="45">
        <v>0</v>
      </c>
      <c r="AA24" s="45">
        <v>0.17499999999999999</v>
      </c>
      <c r="AB24" s="45">
        <v>0</v>
      </c>
      <c r="AC24" s="45">
        <v>0.3</v>
      </c>
      <c r="AD24" s="45">
        <v>0.03</v>
      </c>
      <c r="AE24" s="45">
        <v>0.215</v>
      </c>
      <c r="AF24" s="45">
        <v>2.5000000000000001E-2</v>
      </c>
      <c r="AG24" s="45">
        <v>0.435</v>
      </c>
      <c r="AH24" s="45">
        <v>0</v>
      </c>
      <c r="AI24" s="45">
        <v>0.25</v>
      </c>
      <c r="AJ24" s="45">
        <v>0</v>
      </c>
      <c r="AK24" s="45">
        <v>-0.28000000000000003</v>
      </c>
      <c r="AL24" s="45">
        <v>3.3944201048771E-3</v>
      </c>
      <c r="AM24" s="45">
        <v>0.15</v>
      </c>
      <c r="AN24" s="45">
        <v>1.55345385576276</v>
      </c>
      <c r="AO24" s="45">
        <v>0.57499999999999996</v>
      </c>
      <c r="AP24" s="45">
        <v>0.24</v>
      </c>
      <c r="AQ24" s="45">
        <v>0.24</v>
      </c>
      <c r="AR24" s="45">
        <f t="shared" si="9"/>
        <v>0.6437268775576156</v>
      </c>
      <c r="AT24" s="217">
        <f t="shared" si="10"/>
        <v>0.10187518567926415</v>
      </c>
      <c r="AU24" s="217">
        <f t="shared" si="11"/>
        <v>-0.17473039421585876</v>
      </c>
      <c r="AV24" s="45">
        <f>[10]Sheet1!AA15</f>
        <v>0.17607142857142855</v>
      </c>
      <c r="AW24" s="45">
        <v>0</v>
      </c>
    </row>
    <row r="25" spans="1:49">
      <c r="A25" s="45"/>
      <c r="B25" s="45"/>
      <c r="C25" s="55">
        <f t="shared" si="8"/>
        <v>37288</v>
      </c>
      <c r="D25" s="56">
        <v>4.2060520188163003E-2</v>
      </c>
      <c r="E25" s="48">
        <v>4.8170000000000002</v>
      </c>
      <c r="F25" s="48">
        <v>0.56999999999999995</v>
      </c>
      <c r="G25" s="48">
        <v>0.56999999999999995</v>
      </c>
      <c r="H25" s="48">
        <v>0.56999999999999995</v>
      </c>
      <c r="I25" s="48">
        <v>0.58700000000000008</v>
      </c>
      <c r="J25" s="48">
        <v>0.56999999999999995</v>
      </c>
      <c r="K25" s="45">
        <v>0.56999999999999995</v>
      </c>
      <c r="L25" s="48">
        <v>1.25</v>
      </c>
      <c r="M25" s="48">
        <v>1.25</v>
      </c>
      <c r="N25" s="48">
        <v>1.35</v>
      </c>
      <c r="O25" s="48">
        <v>1.6</v>
      </c>
      <c r="P25" s="48">
        <v>1.3</v>
      </c>
      <c r="Q25" s="56">
        <v>0.34</v>
      </c>
      <c r="R25" s="56">
        <v>0</v>
      </c>
      <c r="S25" s="45">
        <v>-0.08</v>
      </c>
      <c r="T25" s="45">
        <v>5.0000000000000001E-3</v>
      </c>
      <c r="U25" s="45">
        <v>-9.7500000000000003E-2</v>
      </c>
      <c r="V25" s="45">
        <v>0.01</v>
      </c>
      <c r="W25" s="45">
        <v>-9.7500000000000003E-2</v>
      </c>
      <c r="X25" s="45">
        <v>0.01</v>
      </c>
      <c r="Y25" s="45">
        <v>0.255</v>
      </c>
      <c r="Z25" s="45">
        <v>0</v>
      </c>
      <c r="AA25" s="45">
        <v>0.255</v>
      </c>
      <c r="AB25" s="45">
        <v>0</v>
      </c>
      <c r="AC25" s="45">
        <v>0.3</v>
      </c>
      <c r="AD25" s="45">
        <v>0.03</v>
      </c>
      <c r="AE25" s="45">
        <v>0.20499999999999999</v>
      </c>
      <c r="AF25" s="45">
        <v>2.5000000000000001E-2</v>
      </c>
      <c r="AG25" s="45">
        <v>0.54500000000000004</v>
      </c>
      <c r="AH25" s="45">
        <v>0</v>
      </c>
      <c r="AI25" s="45">
        <v>0.36</v>
      </c>
      <c r="AJ25" s="45">
        <v>0</v>
      </c>
      <c r="AK25" s="45">
        <v>-0.28000000000000003</v>
      </c>
      <c r="AL25" s="45">
        <v>3.3940075857903998E-3</v>
      </c>
      <c r="AM25" s="45">
        <v>0.15</v>
      </c>
      <c r="AN25" s="45">
        <v>1.55364266776437</v>
      </c>
      <c r="AO25" s="45">
        <v>0.56999999999999995</v>
      </c>
      <c r="AP25" s="45">
        <v>0.35</v>
      </c>
      <c r="AQ25" s="45">
        <v>0.35</v>
      </c>
      <c r="AR25" s="45">
        <f t="shared" si="9"/>
        <v>0.64364864633832453</v>
      </c>
      <c r="AT25" s="217">
        <f t="shared" si="10"/>
        <v>0.1018628049316691</v>
      </c>
      <c r="AU25" s="217">
        <f t="shared" si="11"/>
        <v>-0.17474318748254053</v>
      </c>
      <c r="AV25" s="45">
        <f>[10]Sheet1!AA16</f>
        <v>0.17607142857142855</v>
      </c>
      <c r="AW25" s="45">
        <v>0</v>
      </c>
    </row>
    <row r="26" spans="1:49">
      <c r="A26" s="45"/>
      <c r="B26" s="45"/>
      <c r="C26" s="55">
        <f t="shared" si="8"/>
        <v>37316</v>
      </c>
      <c r="D26" s="56">
        <v>4.2324016749417701E-2</v>
      </c>
      <c r="E26" s="48">
        <v>4.63</v>
      </c>
      <c r="F26" s="48">
        <v>0.52249999999999996</v>
      </c>
      <c r="G26" s="48">
        <v>0.52300000000000002</v>
      </c>
      <c r="H26" s="48">
        <v>0.52300000000000002</v>
      </c>
      <c r="I26" s="48">
        <v>0.53800000000000003</v>
      </c>
      <c r="J26" s="48">
        <v>0.52300000000000002</v>
      </c>
      <c r="K26" s="45">
        <v>0.52300000000000002</v>
      </c>
      <c r="L26" s="48">
        <v>1</v>
      </c>
      <c r="M26" s="48">
        <v>1</v>
      </c>
      <c r="N26" s="48">
        <v>1</v>
      </c>
      <c r="O26" s="48">
        <v>1.2</v>
      </c>
      <c r="P26" s="48">
        <v>1</v>
      </c>
      <c r="Q26" s="56">
        <v>0.34</v>
      </c>
      <c r="R26" s="56">
        <v>0</v>
      </c>
      <c r="S26" s="45">
        <v>-0.08</v>
      </c>
      <c r="T26" s="45">
        <v>5.0000000000000001E-3</v>
      </c>
      <c r="U26" s="45">
        <v>-9.5000000000000001E-2</v>
      </c>
      <c r="V26" s="45">
        <v>0.01</v>
      </c>
      <c r="W26" s="45">
        <v>-9.5000000000000001E-2</v>
      </c>
      <c r="X26" s="45">
        <v>0.01</v>
      </c>
      <c r="Y26" s="45">
        <v>0.255</v>
      </c>
      <c r="Z26" s="45">
        <v>0</v>
      </c>
      <c r="AA26" s="45">
        <v>0.255</v>
      </c>
      <c r="AB26" s="45">
        <v>0</v>
      </c>
      <c r="AC26" s="45">
        <v>0.27</v>
      </c>
      <c r="AD26" s="45">
        <v>0.03</v>
      </c>
      <c r="AE26" s="45">
        <v>0.2</v>
      </c>
      <c r="AF26" s="45">
        <v>2.5000000000000001E-2</v>
      </c>
      <c r="AG26" s="45">
        <v>0.54500000000000004</v>
      </c>
      <c r="AH26" s="45">
        <v>0</v>
      </c>
      <c r="AI26" s="45">
        <v>0.36</v>
      </c>
      <c r="AJ26" s="45">
        <v>0</v>
      </c>
      <c r="AK26" s="45">
        <v>-0.28000000000000003</v>
      </c>
      <c r="AL26" s="45">
        <v>3.3936848097206001E-3</v>
      </c>
      <c r="AM26" s="45">
        <v>0.15</v>
      </c>
      <c r="AN26" s="45">
        <v>1.5537904359580399</v>
      </c>
      <c r="AO26" s="45">
        <v>0.52300000000000002</v>
      </c>
      <c r="AP26" s="45">
        <v>0.35</v>
      </c>
      <c r="AQ26" s="45">
        <v>0.35</v>
      </c>
      <c r="AR26" s="45">
        <f t="shared" si="9"/>
        <v>0.64358743422398368</v>
      </c>
      <c r="AT26" s="217">
        <f t="shared" si="10"/>
        <v>0.1018531176003929</v>
      </c>
      <c r="AU26" s="217">
        <f t="shared" si="11"/>
        <v>-0.17475319758988656</v>
      </c>
      <c r="AV26" s="45">
        <f>[10]Sheet1!AA17</f>
        <v>0.17607142857142855</v>
      </c>
      <c r="AW26" s="45">
        <v>0</v>
      </c>
    </row>
    <row r="27" spans="1:49">
      <c r="A27" s="45"/>
      <c r="B27" s="45"/>
      <c r="C27" s="55">
        <f t="shared" si="8"/>
        <v>37347</v>
      </c>
      <c r="D27" s="56">
        <v>4.2627977701219504E-2</v>
      </c>
      <c r="E27" s="48">
        <v>4.2919999999999998</v>
      </c>
      <c r="F27" s="48">
        <v>0.4</v>
      </c>
      <c r="G27" s="48">
        <v>0.4</v>
      </c>
      <c r="H27" s="48">
        <v>0.4</v>
      </c>
      <c r="I27" s="48">
        <v>0.41200000000000003</v>
      </c>
      <c r="J27" s="48">
        <v>0.4</v>
      </c>
      <c r="K27" s="45">
        <v>0.4</v>
      </c>
      <c r="L27" s="48">
        <v>0.4</v>
      </c>
      <c r="M27" s="48">
        <v>0.4</v>
      </c>
      <c r="N27" s="48">
        <v>0.45</v>
      </c>
      <c r="O27" s="48">
        <v>0.5</v>
      </c>
      <c r="P27" s="48">
        <v>0.45</v>
      </c>
      <c r="Q27" s="56">
        <v>0.22500000000000001</v>
      </c>
      <c r="R27" s="56">
        <v>0</v>
      </c>
      <c r="S27" s="45">
        <v>-7.4999999999999997E-2</v>
      </c>
      <c r="T27" s="45">
        <v>0</v>
      </c>
      <c r="U27" s="45">
        <v>-0.09</v>
      </c>
      <c r="V27" s="45">
        <v>-0.01</v>
      </c>
      <c r="W27" s="45">
        <v>-0.09</v>
      </c>
      <c r="X27" s="45">
        <v>-0.01</v>
      </c>
      <c r="Y27" s="45">
        <v>0.16500000000000001</v>
      </c>
      <c r="Z27" s="45">
        <v>0</v>
      </c>
      <c r="AA27" s="45">
        <v>0.16500000000000001</v>
      </c>
      <c r="AB27" s="45">
        <v>0</v>
      </c>
      <c r="AC27" s="45">
        <v>0.20499999999999999</v>
      </c>
      <c r="AD27" s="45">
        <v>1.7500000000000002E-2</v>
      </c>
      <c r="AE27" s="45">
        <v>0.09</v>
      </c>
      <c r="AF27" s="45">
        <v>5.0000000000000001E-3</v>
      </c>
      <c r="AG27" s="45">
        <v>0.245</v>
      </c>
      <c r="AH27" s="45">
        <v>0</v>
      </c>
      <c r="AI27" s="45">
        <v>0.18</v>
      </c>
      <c r="AJ27" s="45">
        <v>0</v>
      </c>
      <c r="AK27" s="45">
        <v>-0.37</v>
      </c>
      <c r="AL27" s="45">
        <v>1.6966422310489002E-3</v>
      </c>
      <c r="AM27" s="45">
        <v>0.15</v>
      </c>
      <c r="AN27" s="45">
        <v>1.5539737557811097</v>
      </c>
      <c r="AO27" s="45">
        <v>0.4</v>
      </c>
      <c r="AP27" s="45">
        <v>0.17499999999999999</v>
      </c>
      <c r="AQ27" s="45">
        <v>0.17499999999999999</v>
      </c>
      <c r="AR27" s="45">
        <f t="shared" si="9"/>
        <v>0.64351151123356454</v>
      </c>
      <c r="AT27" s="217">
        <f t="shared" si="10"/>
        <v>0.10184110214940595</v>
      </c>
      <c r="AU27" s="217">
        <f t="shared" si="11"/>
        <v>-0.26646225561954517</v>
      </c>
      <c r="AV27" s="45">
        <f>[10]Sheet1!AA18</f>
        <v>0.13199999999999995</v>
      </c>
      <c r="AW27" s="45">
        <v>0</v>
      </c>
    </row>
    <row r="28" spans="1:49">
      <c r="A28" s="45"/>
      <c r="B28" s="45"/>
      <c r="C28" s="55">
        <f t="shared" si="8"/>
        <v>37377</v>
      </c>
      <c r="D28" s="56">
        <v>4.2929626260043804E-2</v>
      </c>
      <c r="E28" s="48">
        <v>4.2120000000000006</v>
      </c>
      <c r="F28" s="48">
        <v>0.35</v>
      </c>
      <c r="G28" s="48">
        <v>0.35</v>
      </c>
      <c r="H28" s="48">
        <v>0.35</v>
      </c>
      <c r="I28" s="48">
        <v>0.36100000000000004</v>
      </c>
      <c r="J28" s="48">
        <v>0.35</v>
      </c>
      <c r="K28" s="45">
        <v>0.35</v>
      </c>
      <c r="L28" s="48">
        <v>0.45</v>
      </c>
      <c r="M28" s="48">
        <v>0.4</v>
      </c>
      <c r="N28" s="48">
        <v>0.5</v>
      </c>
      <c r="O28" s="48">
        <v>0.45</v>
      </c>
      <c r="P28" s="48">
        <v>0.45</v>
      </c>
      <c r="Q28" s="56">
        <v>0.22500000000000001</v>
      </c>
      <c r="R28" s="56">
        <v>0</v>
      </c>
      <c r="S28" s="45">
        <v>-7.4999999999999997E-2</v>
      </c>
      <c r="T28" s="45">
        <v>0</v>
      </c>
      <c r="U28" s="45">
        <v>-0.09</v>
      </c>
      <c r="V28" s="45">
        <v>-0.01</v>
      </c>
      <c r="W28" s="45">
        <v>-0.09</v>
      </c>
      <c r="X28" s="45">
        <v>-0.01</v>
      </c>
      <c r="Y28" s="45">
        <v>0.16500000000000001</v>
      </c>
      <c r="Z28" s="45">
        <v>0</v>
      </c>
      <c r="AA28" s="45">
        <v>0.16500000000000001</v>
      </c>
      <c r="AB28" s="45">
        <v>0</v>
      </c>
      <c r="AC28" s="45">
        <v>0.19500000000000001</v>
      </c>
      <c r="AD28" s="45">
        <v>0.01</v>
      </c>
      <c r="AE28" s="45">
        <v>0.09</v>
      </c>
      <c r="AF28" s="45">
        <v>5.0000000000000001E-3</v>
      </c>
      <c r="AG28" s="45">
        <v>0.245</v>
      </c>
      <c r="AH28" s="45">
        <v>0</v>
      </c>
      <c r="AI28" s="45">
        <v>0.18</v>
      </c>
      <c r="AJ28" s="45">
        <v>0</v>
      </c>
      <c r="AK28" s="45">
        <v>-0.37</v>
      </c>
      <c r="AL28" s="45">
        <v>1.6963930845596E-3</v>
      </c>
      <c r="AM28" s="45">
        <v>0.15</v>
      </c>
      <c r="AN28" s="45">
        <v>1.55420198537559</v>
      </c>
      <c r="AO28" s="45">
        <v>0.35</v>
      </c>
      <c r="AP28" s="45">
        <v>0.17499999999999999</v>
      </c>
      <c r="AQ28" s="45">
        <v>0.17499999999999999</v>
      </c>
      <c r="AR28" s="45">
        <f t="shared" si="9"/>
        <v>0.64341701362473747</v>
      </c>
      <c r="AT28" s="217">
        <f t="shared" si="10"/>
        <v>0.10182614710902915</v>
      </c>
      <c r="AU28" s="217">
        <f t="shared" si="11"/>
        <v>-0.26647745980641124</v>
      </c>
      <c r="AV28" s="45">
        <f>[10]Sheet1!AA19</f>
        <v>0.13199999999999995</v>
      </c>
      <c r="AW28" s="45">
        <v>0</v>
      </c>
    </row>
    <row r="29" spans="1:49">
      <c r="A29" s="45"/>
      <c r="B29" s="45"/>
      <c r="C29" s="55">
        <f t="shared" si="8"/>
        <v>37408</v>
      </c>
      <c r="D29" s="56">
        <v>4.32413298028562E-2</v>
      </c>
      <c r="E29" s="48">
        <v>4.2519999999999998</v>
      </c>
      <c r="F29" s="48">
        <v>0.35</v>
      </c>
      <c r="G29" s="48">
        <v>0.35</v>
      </c>
      <c r="H29" s="48">
        <v>0.35</v>
      </c>
      <c r="I29" s="48">
        <v>0.36100000000000004</v>
      </c>
      <c r="J29" s="48">
        <v>0.35</v>
      </c>
      <c r="K29" s="45">
        <v>0.35</v>
      </c>
      <c r="L29" s="48">
        <v>0.45</v>
      </c>
      <c r="M29" s="48">
        <v>0.4</v>
      </c>
      <c r="N29" s="48">
        <v>0.5</v>
      </c>
      <c r="O29" s="48">
        <v>0.5</v>
      </c>
      <c r="P29" s="48">
        <v>0.5</v>
      </c>
      <c r="Q29" s="56">
        <v>0.22500000000000001</v>
      </c>
      <c r="R29" s="56">
        <v>0</v>
      </c>
      <c r="S29" s="45">
        <v>-7.4999999999999997E-2</v>
      </c>
      <c r="T29" s="45">
        <v>0</v>
      </c>
      <c r="U29" s="45">
        <v>-0.09</v>
      </c>
      <c r="V29" s="45">
        <v>-0.01</v>
      </c>
      <c r="W29" s="45">
        <v>-0.09</v>
      </c>
      <c r="X29" s="45">
        <v>-0.01</v>
      </c>
      <c r="Y29" s="45">
        <v>0.16500000000000001</v>
      </c>
      <c r="Z29" s="45">
        <v>0</v>
      </c>
      <c r="AA29" s="45">
        <v>0.16500000000000001</v>
      </c>
      <c r="AB29" s="45">
        <v>0</v>
      </c>
      <c r="AC29" s="45">
        <v>0.20499999999999999</v>
      </c>
      <c r="AD29" s="45">
        <v>1.2500000000000001E-2</v>
      </c>
      <c r="AE29" s="45">
        <v>0.09</v>
      </c>
      <c r="AF29" s="45">
        <v>5.0000000000000001E-3</v>
      </c>
      <c r="AG29" s="45">
        <v>0.245</v>
      </c>
      <c r="AH29" s="45">
        <v>0</v>
      </c>
      <c r="AI29" s="45">
        <v>0.18</v>
      </c>
      <c r="AJ29" s="45">
        <v>0</v>
      </c>
      <c r="AK29" s="45">
        <v>-0.37</v>
      </c>
      <c r="AL29" s="45">
        <v>1.6961416109253001E-3</v>
      </c>
      <c r="AM29" s="45">
        <v>0.15</v>
      </c>
      <c r="AN29" s="45">
        <v>1.5544324147331201</v>
      </c>
      <c r="AO29" s="45">
        <v>0.35</v>
      </c>
      <c r="AP29" s="45">
        <v>0.17499999999999999</v>
      </c>
      <c r="AQ29" s="45">
        <v>0.17499999999999999</v>
      </c>
      <c r="AR29" s="45">
        <f t="shared" si="9"/>
        <v>0.64332163336396297</v>
      </c>
      <c r="AT29" s="217">
        <f t="shared" si="10"/>
        <v>0.1018110523815674</v>
      </c>
      <c r="AU29" s="217">
        <f t="shared" si="11"/>
        <v>-0.2664928060075073</v>
      </c>
      <c r="AV29" s="45">
        <f>[10]Sheet1!AA20</f>
        <v>0.13199999999999995</v>
      </c>
      <c r="AW29" s="45">
        <v>0</v>
      </c>
    </row>
    <row r="30" spans="1:49">
      <c r="A30" s="45"/>
      <c r="B30" s="45"/>
      <c r="C30" s="55">
        <f t="shared" si="8"/>
        <v>37438</v>
      </c>
      <c r="D30" s="56">
        <v>4.3581029885035399E-2</v>
      </c>
      <c r="E30" s="48">
        <v>4.2970000000000006</v>
      </c>
      <c r="F30" s="48">
        <v>0.35</v>
      </c>
      <c r="G30" s="48">
        <v>0.35</v>
      </c>
      <c r="H30" s="48">
        <v>0.35</v>
      </c>
      <c r="I30" s="48">
        <v>0.36100000000000004</v>
      </c>
      <c r="J30" s="48">
        <v>0.35</v>
      </c>
      <c r="K30" s="45">
        <v>0.35</v>
      </c>
      <c r="L30" s="48">
        <v>0.5</v>
      </c>
      <c r="M30" s="48">
        <v>0.4</v>
      </c>
      <c r="N30" s="48">
        <v>0.55000000000000004</v>
      </c>
      <c r="O30" s="48">
        <v>0.5</v>
      </c>
      <c r="P30" s="48">
        <v>0.5</v>
      </c>
      <c r="Q30" s="56">
        <v>0.22500000000000001</v>
      </c>
      <c r="R30" s="56">
        <v>0</v>
      </c>
      <c r="S30" s="45">
        <v>-7.4999999999999997E-2</v>
      </c>
      <c r="T30" s="45">
        <v>0</v>
      </c>
      <c r="U30" s="45">
        <v>-0.09</v>
      </c>
      <c r="V30" s="45">
        <v>-0.01</v>
      </c>
      <c r="W30" s="45">
        <v>-0.09</v>
      </c>
      <c r="X30" s="45">
        <v>-0.01</v>
      </c>
      <c r="Y30" s="45">
        <v>0.16500000000000001</v>
      </c>
      <c r="Z30" s="45">
        <v>0</v>
      </c>
      <c r="AA30" s="45">
        <v>0.16500000000000001</v>
      </c>
      <c r="AB30" s="45">
        <v>0</v>
      </c>
      <c r="AC30" s="45">
        <v>0.24</v>
      </c>
      <c r="AD30" s="45">
        <v>1.2500000000000001E-2</v>
      </c>
      <c r="AE30" s="45">
        <v>0.09</v>
      </c>
      <c r="AF30" s="45">
        <v>5.0000000000000001E-3</v>
      </c>
      <c r="AG30" s="45">
        <v>0.245</v>
      </c>
      <c r="AH30" s="45">
        <v>0</v>
      </c>
      <c r="AI30" s="45">
        <v>0.18</v>
      </c>
      <c r="AJ30" s="45">
        <v>0</v>
      </c>
      <c r="AK30" s="45">
        <v>-0.37</v>
      </c>
      <c r="AL30" s="45">
        <v>1.6958848026332001E-3</v>
      </c>
      <c r="AM30" s="45">
        <v>0.15</v>
      </c>
      <c r="AN30" s="45">
        <v>1.55466780285204</v>
      </c>
      <c r="AO30" s="45">
        <v>0.35</v>
      </c>
      <c r="AP30" s="45">
        <v>0.17499999999999999</v>
      </c>
      <c r="AQ30" s="45">
        <v>0.17499999999999999</v>
      </c>
      <c r="AR30" s="45">
        <f t="shared" si="9"/>
        <v>0.64322422974573656</v>
      </c>
      <c r="AT30" s="217">
        <f t="shared" si="10"/>
        <v>0.10179563744079267</v>
      </c>
      <c r="AU30" s="217">
        <f t="shared" si="11"/>
        <v>-0.2665084777565741</v>
      </c>
      <c r="AV30" s="45">
        <f>[10]Sheet1!AA21</f>
        <v>0.13199999999999995</v>
      </c>
      <c r="AW30" s="45">
        <v>0</v>
      </c>
    </row>
    <row r="31" spans="1:49">
      <c r="A31" s="45"/>
      <c r="B31" s="45"/>
      <c r="C31" s="55">
        <f t="shared" si="8"/>
        <v>37469</v>
      </c>
      <c r="D31" s="56">
        <v>4.3994290369646201E-2</v>
      </c>
      <c r="E31" s="48">
        <v>4.3220000000000001</v>
      </c>
      <c r="F31" s="48">
        <v>0.35</v>
      </c>
      <c r="G31" s="48">
        <v>0.35</v>
      </c>
      <c r="H31" s="48">
        <v>0.35</v>
      </c>
      <c r="I31" s="48">
        <v>0.36100000000000004</v>
      </c>
      <c r="J31" s="48">
        <v>0.35</v>
      </c>
      <c r="K31" s="45">
        <v>0.35</v>
      </c>
      <c r="L31" s="48">
        <v>0.55000000000000004</v>
      </c>
      <c r="M31" s="48">
        <v>0.5</v>
      </c>
      <c r="N31" s="48">
        <v>0.6</v>
      </c>
      <c r="O31" s="48">
        <v>0.45</v>
      </c>
      <c r="P31" s="48">
        <v>0.55000000000000004</v>
      </c>
      <c r="Q31" s="56">
        <v>0.22500000000000001</v>
      </c>
      <c r="R31" s="56">
        <v>0</v>
      </c>
      <c r="S31" s="45">
        <v>-7.4999999999999997E-2</v>
      </c>
      <c r="T31" s="45">
        <v>0</v>
      </c>
      <c r="U31" s="45">
        <v>-0.09</v>
      </c>
      <c r="V31" s="45">
        <v>-0.01</v>
      </c>
      <c r="W31" s="45">
        <v>-0.09</v>
      </c>
      <c r="X31" s="45">
        <v>-0.01</v>
      </c>
      <c r="Y31" s="45">
        <v>0.16500000000000001</v>
      </c>
      <c r="Z31" s="45">
        <v>0</v>
      </c>
      <c r="AA31" s="45">
        <v>0.16500000000000001</v>
      </c>
      <c r="AB31" s="45">
        <v>0</v>
      </c>
      <c r="AC31" s="45">
        <v>0.24</v>
      </c>
      <c r="AD31" s="45">
        <v>1.2500000000000001E-2</v>
      </c>
      <c r="AE31" s="45">
        <v>0.09</v>
      </c>
      <c r="AF31" s="45">
        <v>5.0000000000000001E-3</v>
      </c>
      <c r="AG31" s="45">
        <v>0.245</v>
      </c>
      <c r="AH31" s="45">
        <v>0</v>
      </c>
      <c r="AI31" s="45">
        <v>0.18</v>
      </c>
      <c r="AJ31" s="45">
        <v>0</v>
      </c>
      <c r="AK31" s="45">
        <v>-0.37</v>
      </c>
      <c r="AL31" s="45">
        <v>1.6956163775974E-3</v>
      </c>
      <c r="AM31" s="45">
        <v>0.15</v>
      </c>
      <c r="AN31" s="45">
        <v>1.5549139149833799</v>
      </c>
      <c r="AO31" s="45">
        <v>0.35</v>
      </c>
      <c r="AP31" s="45">
        <v>0.17499999999999999</v>
      </c>
      <c r="AQ31" s="45">
        <v>0.17499999999999999</v>
      </c>
      <c r="AR31" s="45">
        <f t="shared" si="9"/>
        <v>0.64312242006702269</v>
      </c>
      <c r="AT31" s="217">
        <f t="shared" si="10"/>
        <v>0.10177952520393491</v>
      </c>
      <c r="AU31" s="217">
        <f t="shared" si="11"/>
        <v>-0.26652485841846768</v>
      </c>
      <c r="AV31" s="45">
        <f>[10]Sheet1!AA22</f>
        <v>0.13199999999999995</v>
      </c>
      <c r="AW31" s="45">
        <v>0</v>
      </c>
    </row>
    <row r="32" spans="1:49">
      <c r="A32" s="45"/>
      <c r="B32" s="45"/>
      <c r="C32" s="55">
        <f t="shared" si="8"/>
        <v>37500</v>
      </c>
      <c r="D32" s="56">
        <v>4.4407550911447706E-2</v>
      </c>
      <c r="E32" s="48">
        <v>4.327</v>
      </c>
      <c r="F32" s="48">
        <v>0.35</v>
      </c>
      <c r="G32" s="48">
        <v>0.35</v>
      </c>
      <c r="H32" s="48">
        <v>0.35</v>
      </c>
      <c r="I32" s="48">
        <v>0.36100000000000004</v>
      </c>
      <c r="J32" s="48">
        <v>0.35</v>
      </c>
      <c r="K32" s="45">
        <v>0.35</v>
      </c>
      <c r="L32" s="48">
        <v>0.55000000000000004</v>
      </c>
      <c r="M32" s="48">
        <v>0.55000000000000004</v>
      </c>
      <c r="N32" s="48">
        <v>0.6</v>
      </c>
      <c r="O32" s="48">
        <v>0.5</v>
      </c>
      <c r="P32" s="48">
        <v>0.6</v>
      </c>
      <c r="Q32" s="56">
        <v>0.22500000000000001</v>
      </c>
      <c r="R32" s="56">
        <v>0</v>
      </c>
      <c r="S32" s="45">
        <v>-7.4999999999999997E-2</v>
      </c>
      <c r="T32" s="45">
        <v>0</v>
      </c>
      <c r="U32" s="45">
        <v>-0.09</v>
      </c>
      <c r="V32" s="45">
        <v>-0.01</v>
      </c>
      <c r="W32" s="45">
        <v>-0.09</v>
      </c>
      <c r="X32" s="45">
        <v>-0.01</v>
      </c>
      <c r="Y32" s="45">
        <v>0.16500000000000001</v>
      </c>
      <c r="Z32" s="45">
        <v>0</v>
      </c>
      <c r="AA32" s="45">
        <v>0.16500000000000001</v>
      </c>
      <c r="AB32" s="45">
        <v>0</v>
      </c>
      <c r="AC32" s="45">
        <v>0.21</v>
      </c>
      <c r="AD32" s="45">
        <v>1.2500000000000001E-2</v>
      </c>
      <c r="AE32" s="45">
        <v>0.09</v>
      </c>
      <c r="AF32" s="45">
        <v>5.0000000000000001E-3</v>
      </c>
      <c r="AG32" s="45">
        <v>0.245</v>
      </c>
      <c r="AH32" s="45">
        <v>0</v>
      </c>
      <c r="AI32" s="45">
        <v>0.18</v>
      </c>
      <c r="AJ32" s="45">
        <v>0</v>
      </c>
      <c r="AK32" s="45">
        <v>-0.37</v>
      </c>
      <c r="AL32" s="45">
        <v>1.695350195244E-3</v>
      </c>
      <c r="AM32" s="45">
        <v>0.15</v>
      </c>
      <c r="AN32" s="45">
        <v>1.55515804781585</v>
      </c>
      <c r="AO32" s="45">
        <v>0.35</v>
      </c>
      <c r="AP32" s="45">
        <v>0.17499999999999999</v>
      </c>
      <c r="AQ32" s="45">
        <v>0.17499999999999999</v>
      </c>
      <c r="AR32" s="45">
        <f t="shared" si="9"/>
        <v>0.64302146100485114</v>
      </c>
      <c r="AT32" s="217">
        <f t="shared" si="10"/>
        <v>0.10176354758429014</v>
      </c>
      <c r="AU32" s="217">
        <f t="shared" si="11"/>
        <v>-0.26654110222046584</v>
      </c>
      <c r="AV32" s="45">
        <f>[10]Sheet1!AA23</f>
        <v>0.13199999999999995</v>
      </c>
      <c r="AW32" s="45">
        <v>0</v>
      </c>
    </row>
    <row r="33" spans="1:49">
      <c r="A33" s="45"/>
      <c r="B33" s="45"/>
      <c r="C33" s="55">
        <f t="shared" si="8"/>
        <v>37530</v>
      </c>
      <c r="D33" s="56">
        <v>4.4824597016173098E-2</v>
      </c>
      <c r="E33" s="48">
        <v>4.3370000000000006</v>
      </c>
      <c r="F33" s="48">
        <v>0.35249999999999998</v>
      </c>
      <c r="G33" s="48">
        <v>0.35300000000000004</v>
      </c>
      <c r="H33" s="48">
        <v>0.35300000000000004</v>
      </c>
      <c r="I33" s="48">
        <v>0.36300000000000004</v>
      </c>
      <c r="J33" s="48">
        <v>0.35300000000000004</v>
      </c>
      <c r="K33" s="45">
        <v>0.35300000000000004</v>
      </c>
      <c r="L33" s="48">
        <v>0.6</v>
      </c>
      <c r="M33" s="48">
        <v>0.55000000000000004</v>
      </c>
      <c r="N33" s="48">
        <v>0.65</v>
      </c>
      <c r="O33" s="48">
        <v>0.5</v>
      </c>
      <c r="P33" s="48">
        <v>0.65</v>
      </c>
      <c r="Q33" s="56">
        <v>0.22500000000000001</v>
      </c>
      <c r="R33" s="56">
        <v>0</v>
      </c>
      <c r="S33" s="45">
        <v>-7.4999999999999997E-2</v>
      </c>
      <c r="T33" s="45">
        <v>0</v>
      </c>
      <c r="U33" s="45">
        <v>-0.09</v>
      </c>
      <c r="V33" s="45">
        <v>-0.01</v>
      </c>
      <c r="W33" s="45">
        <v>-0.09</v>
      </c>
      <c r="X33" s="45">
        <v>-0.01</v>
      </c>
      <c r="Y33" s="45">
        <v>0.16500000000000001</v>
      </c>
      <c r="Z33" s="45">
        <v>0</v>
      </c>
      <c r="AA33" s="45">
        <v>0.16500000000000001</v>
      </c>
      <c r="AB33" s="45">
        <v>0</v>
      </c>
      <c r="AC33" s="45">
        <v>0.20499999999999999</v>
      </c>
      <c r="AD33" s="45">
        <v>1.2500000000000001E-2</v>
      </c>
      <c r="AE33" s="45">
        <v>0.09</v>
      </c>
      <c r="AF33" s="45">
        <v>5.0000000000000001E-3</v>
      </c>
      <c r="AG33" s="45">
        <v>0.245</v>
      </c>
      <c r="AH33" s="45">
        <v>0</v>
      </c>
      <c r="AI33" s="45">
        <v>0.18</v>
      </c>
      <c r="AJ33" s="45">
        <v>0</v>
      </c>
      <c r="AK33" s="45">
        <v>-0.37</v>
      </c>
      <c r="AL33" s="45">
        <v>1.6951339690653999E-3</v>
      </c>
      <c r="AM33" s="45">
        <v>0.15</v>
      </c>
      <c r="AN33" s="45">
        <v>1.5553564190879499</v>
      </c>
      <c r="AO33" s="45">
        <v>0.35300000000000004</v>
      </c>
      <c r="AP33" s="45">
        <v>0.17499999999999999</v>
      </c>
      <c r="AQ33" s="45">
        <v>0.17499999999999999</v>
      </c>
      <c r="AR33" s="45">
        <f t="shared" si="9"/>
        <v>0.64293944958699112</v>
      </c>
      <c r="AT33" s="217">
        <f t="shared" si="10"/>
        <v>0.10175056858851787</v>
      </c>
      <c r="AU33" s="217">
        <f t="shared" si="11"/>
        <v>-0.26655429744241671</v>
      </c>
      <c r="AV33" s="45">
        <f>[10]Sheet1!AA24</f>
        <v>0.13199999999999995</v>
      </c>
      <c r="AW33" s="45">
        <v>0</v>
      </c>
    </row>
    <row r="34" spans="1:49">
      <c r="A34" s="45"/>
      <c r="B34" s="45"/>
      <c r="C34" s="55">
        <f t="shared" si="8"/>
        <v>37561</v>
      </c>
      <c r="D34" s="56">
        <v>4.5279999861980197E-2</v>
      </c>
      <c r="E34" s="48">
        <v>4.4770000000000003</v>
      </c>
      <c r="F34" s="48">
        <v>0.35749999999999998</v>
      </c>
      <c r="G34" s="48">
        <v>0.35800000000000004</v>
      </c>
      <c r="H34" s="48">
        <v>0.35800000000000004</v>
      </c>
      <c r="I34" s="48">
        <v>0.36799999999999999</v>
      </c>
      <c r="J34" s="48">
        <v>0.35800000000000004</v>
      </c>
      <c r="K34" s="45">
        <v>0.35800000000000004</v>
      </c>
      <c r="L34" s="48">
        <v>0.8</v>
      </c>
      <c r="M34" s="48">
        <v>0.8</v>
      </c>
      <c r="N34" s="48">
        <v>0.8</v>
      </c>
      <c r="O34" s="48">
        <v>0.95</v>
      </c>
      <c r="P34" s="48">
        <v>0.85</v>
      </c>
      <c r="Q34" s="56">
        <v>0.26</v>
      </c>
      <c r="R34" s="56">
        <v>0</v>
      </c>
      <c r="S34" s="45">
        <v>-7.0000000000000007E-2</v>
      </c>
      <c r="T34" s="45">
        <v>5.0000000000000001E-3</v>
      </c>
      <c r="U34" s="45">
        <v>-0.09</v>
      </c>
      <c r="V34" s="45">
        <v>0.01</v>
      </c>
      <c r="W34" s="45">
        <v>-0.09</v>
      </c>
      <c r="X34" s="45">
        <v>0.01</v>
      </c>
      <c r="Y34" s="45">
        <v>0.16</v>
      </c>
      <c r="Z34" s="45">
        <v>0</v>
      </c>
      <c r="AA34" s="45">
        <v>0.16</v>
      </c>
      <c r="AB34" s="45">
        <v>0</v>
      </c>
      <c r="AC34" s="45">
        <v>0.28000000000000003</v>
      </c>
      <c r="AD34" s="45">
        <v>0.03</v>
      </c>
      <c r="AE34" s="45">
        <v>0.12</v>
      </c>
      <c r="AF34" s="45">
        <v>0.03</v>
      </c>
      <c r="AG34" s="45">
        <v>0.45500000000000002</v>
      </c>
      <c r="AH34" s="45">
        <v>0</v>
      </c>
      <c r="AI34" s="45">
        <v>0.26500000000000001</v>
      </c>
      <c r="AJ34" s="45">
        <v>0</v>
      </c>
      <c r="AK34" s="45">
        <v>-0.33500000000000002</v>
      </c>
      <c r="AL34" s="45">
        <v>5.4239266773032004E-3</v>
      </c>
      <c r="AM34" s="45">
        <v>0.14499999999999999</v>
      </c>
      <c r="AN34" s="45">
        <v>1.5555003785919099</v>
      </c>
      <c r="AO34" s="45">
        <v>0.35800000000000004</v>
      </c>
      <c r="AP34" s="45">
        <v>0.255</v>
      </c>
      <c r="AQ34" s="45">
        <v>0.255</v>
      </c>
      <c r="AR34" s="45">
        <f t="shared" si="9"/>
        <v>0.64287994639077672</v>
      </c>
      <c r="AT34" s="217">
        <f t="shared" si="10"/>
        <v>9.8349779984293756E-2</v>
      </c>
      <c r="AU34" s="217">
        <f t="shared" si="11"/>
        <v>-0.23122629333840308</v>
      </c>
      <c r="AV34" s="45">
        <f>[10]Sheet1!AA25</f>
        <v>0.18357142857142855</v>
      </c>
      <c r="AW34" s="45">
        <v>0</v>
      </c>
    </row>
    <row r="35" spans="1:49">
      <c r="A35" s="45"/>
      <c r="B35" s="45"/>
      <c r="C35" s="55">
        <f t="shared" si="8"/>
        <v>37591</v>
      </c>
      <c r="D35" s="56">
        <v>4.5720712359488901E-2</v>
      </c>
      <c r="E35" s="48">
        <v>4.6070000000000002</v>
      </c>
      <c r="F35" s="48">
        <v>0.36249999999999999</v>
      </c>
      <c r="G35" s="48">
        <v>0.36300000000000004</v>
      </c>
      <c r="H35" s="48">
        <v>0.36300000000000004</v>
      </c>
      <c r="I35" s="48">
        <v>0.373</v>
      </c>
      <c r="J35" s="48">
        <v>0.36300000000000004</v>
      </c>
      <c r="K35" s="45">
        <v>0.36300000000000004</v>
      </c>
      <c r="L35" s="48">
        <v>1</v>
      </c>
      <c r="M35" s="48">
        <v>1</v>
      </c>
      <c r="N35" s="48">
        <v>1.1000000000000001</v>
      </c>
      <c r="O35" s="48">
        <v>1.35</v>
      </c>
      <c r="P35" s="48">
        <v>1.05</v>
      </c>
      <c r="Q35" s="56">
        <v>0.25</v>
      </c>
      <c r="R35" s="56">
        <v>0</v>
      </c>
      <c r="S35" s="45">
        <v>-7.0000000000000007E-2</v>
      </c>
      <c r="T35" s="45">
        <v>5.0000000000000001E-3</v>
      </c>
      <c r="U35" s="45">
        <v>-9.2499999999999999E-2</v>
      </c>
      <c r="V35" s="45">
        <v>0.01</v>
      </c>
      <c r="W35" s="45">
        <v>-9.2499999999999999E-2</v>
      </c>
      <c r="X35" s="45">
        <v>0.01</v>
      </c>
      <c r="Y35" s="45">
        <v>0.15</v>
      </c>
      <c r="Z35" s="45">
        <v>0</v>
      </c>
      <c r="AA35" s="45">
        <v>0.15</v>
      </c>
      <c r="AB35" s="45">
        <v>0</v>
      </c>
      <c r="AC35" s="45">
        <v>0.32</v>
      </c>
      <c r="AD35" s="45">
        <v>0.03</v>
      </c>
      <c r="AE35" s="45">
        <v>0.15</v>
      </c>
      <c r="AF35" s="45">
        <v>0.03</v>
      </c>
      <c r="AG35" s="45">
        <v>0.44500000000000001</v>
      </c>
      <c r="AH35" s="45">
        <v>0</v>
      </c>
      <c r="AI35" s="45">
        <v>0.255</v>
      </c>
      <c r="AJ35" s="45">
        <v>0</v>
      </c>
      <c r="AK35" s="45">
        <v>-0.33500000000000002</v>
      </c>
      <c r="AL35" s="45">
        <v>5.4234835611830009E-3</v>
      </c>
      <c r="AM35" s="45">
        <v>0.14499999999999999</v>
      </c>
      <c r="AN35" s="45">
        <v>1.5556274679957998</v>
      </c>
      <c r="AO35" s="45">
        <v>0.36300000000000004</v>
      </c>
      <c r="AP35" s="45">
        <v>0.245</v>
      </c>
      <c r="AQ35" s="45">
        <v>0.245</v>
      </c>
      <c r="AR35" s="45">
        <f t="shared" si="9"/>
        <v>0.64282742531433623</v>
      </c>
      <c r="AT35" s="217">
        <f t="shared" si="10"/>
        <v>9.8341745146154125E-2</v>
      </c>
      <c r="AU35" s="217">
        <f t="shared" si="11"/>
        <v>-0.2312347712926629</v>
      </c>
      <c r="AV35" s="45">
        <f>[10]Sheet1!AA26</f>
        <v>0.18857142857142856</v>
      </c>
      <c r="AW35" s="45">
        <v>0</v>
      </c>
    </row>
    <row r="36" spans="1:49">
      <c r="A36" s="45"/>
      <c r="B36" s="45"/>
      <c r="C36" s="55">
        <f t="shared" si="8"/>
        <v>37622</v>
      </c>
      <c r="D36" s="56">
        <v>4.61927424381878E-2</v>
      </c>
      <c r="E36" s="48">
        <v>4.6509999999999998</v>
      </c>
      <c r="F36" s="48">
        <v>0.36749999999999999</v>
      </c>
      <c r="G36" s="48">
        <v>0.36799999999999999</v>
      </c>
      <c r="H36" s="48">
        <v>0.36799999999999999</v>
      </c>
      <c r="I36" s="48">
        <v>0.379</v>
      </c>
      <c r="J36" s="48">
        <v>0.36799999999999999</v>
      </c>
      <c r="K36" s="45">
        <v>0.36799999999999999</v>
      </c>
      <c r="L36" s="48">
        <v>1</v>
      </c>
      <c r="M36" s="48">
        <v>1</v>
      </c>
      <c r="N36" s="48">
        <v>1.1000000000000001</v>
      </c>
      <c r="O36" s="48">
        <v>1.35</v>
      </c>
      <c r="P36" s="48">
        <v>1.05</v>
      </c>
      <c r="Q36" s="56">
        <v>0.27</v>
      </c>
      <c r="R36" s="56">
        <v>0</v>
      </c>
      <c r="S36" s="45">
        <v>-7.0000000000000007E-2</v>
      </c>
      <c r="T36" s="45">
        <v>5.0000000000000001E-3</v>
      </c>
      <c r="U36" s="45">
        <v>-9.5000000000000001E-2</v>
      </c>
      <c r="V36" s="45">
        <v>0.01</v>
      </c>
      <c r="W36" s="45">
        <v>-9.5000000000000001E-2</v>
      </c>
      <c r="X36" s="45">
        <v>0.01</v>
      </c>
      <c r="Y36" s="45">
        <v>0.17</v>
      </c>
      <c r="Z36" s="45">
        <v>0</v>
      </c>
      <c r="AA36" s="45">
        <v>0.17</v>
      </c>
      <c r="AB36" s="45">
        <v>0</v>
      </c>
      <c r="AC36" s="45">
        <v>0.32</v>
      </c>
      <c r="AD36" s="45">
        <v>0.03</v>
      </c>
      <c r="AE36" s="45">
        <v>0.17</v>
      </c>
      <c r="AF36" s="45">
        <v>0.03</v>
      </c>
      <c r="AG36" s="45">
        <v>0.46500000000000002</v>
      </c>
      <c r="AH36" s="45">
        <v>0</v>
      </c>
      <c r="AI36" s="45">
        <v>0.27500000000000002</v>
      </c>
      <c r="AJ36" s="45">
        <v>0</v>
      </c>
      <c r="AK36" s="45">
        <v>-0.33500000000000002</v>
      </c>
      <c r="AL36" s="45">
        <v>5.4232138307925004E-3</v>
      </c>
      <c r="AM36" s="45">
        <v>0.14499999999999999</v>
      </c>
      <c r="AN36" s="45">
        <v>1.55570483909298</v>
      </c>
      <c r="AO36" s="45">
        <v>0.36799999999999999</v>
      </c>
      <c r="AP36" s="45">
        <v>0.26500000000000001</v>
      </c>
      <c r="AQ36" s="45">
        <v>0.26500000000000001</v>
      </c>
      <c r="AR36" s="45">
        <f t="shared" si="9"/>
        <v>0.64279545507040292</v>
      </c>
      <c r="AT36" s="217">
        <f t="shared" si="10"/>
        <v>9.8336854238490048E-2</v>
      </c>
      <c r="AU36" s="217">
        <f t="shared" si="11"/>
        <v>-0.23123993193071746</v>
      </c>
      <c r="AV36" s="45">
        <f>[10]Sheet1!AA27</f>
        <v>0.18857142857142856</v>
      </c>
      <c r="AW36" s="45">
        <v>0</v>
      </c>
    </row>
    <row r="37" spans="1:49">
      <c r="A37" s="45"/>
      <c r="B37" s="45"/>
      <c r="C37" s="55">
        <f t="shared" si="8"/>
        <v>37653</v>
      </c>
      <c r="D37" s="56">
        <v>4.6684962640282095E-2</v>
      </c>
      <c r="E37" s="48">
        <v>4.4960000000000004</v>
      </c>
      <c r="F37" s="48">
        <v>0.36</v>
      </c>
      <c r="G37" s="48">
        <v>0.36</v>
      </c>
      <c r="H37" s="48">
        <v>0.36</v>
      </c>
      <c r="I37" s="48">
        <v>0.371</v>
      </c>
      <c r="J37" s="48">
        <v>0.36</v>
      </c>
      <c r="K37" s="45">
        <v>0.36</v>
      </c>
      <c r="L37" s="48">
        <v>1</v>
      </c>
      <c r="M37" s="48">
        <v>1</v>
      </c>
      <c r="N37" s="48">
        <v>1.1000000000000001</v>
      </c>
      <c r="O37" s="48">
        <v>1.35</v>
      </c>
      <c r="P37" s="48">
        <v>1.05</v>
      </c>
      <c r="Q37" s="56">
        <v>0.33</v>
      </c>
      <c r="R37" s="56">
        <v>0</v>
      </c>
      <c r="S37" s="45">
        <v>-7.0000000000000007E-2</v>
      </c>
      <c r="T37" s="45">
        <v>5.0000000000000001E-3</v>
      </c>
      <c r="U37" s="45">
        <v>-8.7499999999999994E-2</v>
      </c>
      <c r="V37" s="45">
        <v>0.01</v>
      </c>
      <c r="W37" s="45">
        <v>-8.7499999999999994E-2</v>
      </c>
      <c r="X37" s="45">
        <v>0.01</v>
      </c>
      <c r="Y37" s="45">
        <v>0.23</v>
      </c>
      <c r="Z37" s="45">
        <v>0</v>
      </c>
      <c r="AA37" s="45">
        <v>0.23</v>
      </c>
      <c r="AB37" s="45">
        <v>0</v>
      </c>
      <c r="AC37" s="45">
        <v>0.3</v>
      </c>
      <c r="AD37" s="45">
        <v>0.03</v>
      </c>
      <c r="AE37" s="45">
        <v>0.17</v>
      </c>
      <c r="AF37" s="45">
        <v>0.03</v>
      </c>
      <c r="AG37" s="45">
        <v>0.52500000000000002</v>
      </c>
      <c r="AH37" s="45">
        <v>0</v>
      </c>
      <c r="AI37" s="45">
        <v>0.33500000000000002</v>
      </c>
      <c r="AJ37" s="45">
        <v>0</v>
      </c>
      <c r="AK37" s="45">
        <v>-0.33500000000000002</v>
      </c>
      <c r="AL37" s="45">
        <v>5.4231877247285006E-3</v>
      </c>
      <c r="AM37" s="45">
        <v>0.14499999999999999</v>
      </c>
      <c r="AN37" s="45">
        <v>1.55571232792284</v>
      </c>
      <c r="AO37" s="45">
        <v>0.36</v>
      </c>
      <c r="AP37" s="45">
        <v>0.32500000000000001</v>
      </c>
      <c r="AQ37" s="45">
        <v>0.32500000000000001</v>
      </c>
      <c r="AR37" s="45">
        <f t="shared" si="9"/>
        <v>0.64279236080566549</v>
      </c>
      <c r="AT37" s="217">
        <f t="shared" si="10"/>
        <v>9.8336380868216403E-2</v>
      </c>
      <c r="AU37" s="217">
        <f t="shared" si="11"/>
        <v>-0.23124043140705514</v>
      </c>
      <c r="AV37" s="45">
        <f>[10]Sheet1!AA28</f>
        <v>0.18857142857142856</v>
      </c>
      <c r="AW37" s="45">
        <v>0</v>
      </c>
    </row>
    <row r="38" spans="1:49">
      <c r="A38" s="45"/>
      <c r="B38" s="45"/>
      <c r="C38" s="55">
        <f t="shared" si="8"/>
        <v>37681</v>
      </c>
      <c r="D38" s="56">
        <v>4.71295486989134E-2</v>
      </c>
      <c r="E38" s="48">
        <v>4.3079999999999998</v>
      </c>
      <c r="F38" s="48">
        <v>0.33750000000000002</v>
      </c>
      <c r="G38" s="48">
        <v>0.33800000000000002</v>
      </c>
      <c r="H38" s="48">
        <v>0.33800000000000002</v>
      </c>
      <c r="I38" s="48">
        <v>0.34800000000000003</v>
      </c>
      <c r="J38" s="48">
        <v>0.33800000000000002</v>
      </c>
      <c r="K38" s="45">
        <v>0.33800000000000002</v>
      </c>
      <c r="L38" s="48">
        <v>0.75</v>
      </c>
      <c r="M38" s="48">
        <v>0.75</v>
      </c>
      <c r="N38" s="48">
        <v>0.75</v>
      </c>
      <c r="O38" s="48">
        <v>0.95</v>
      </c>
      <c r="P38" s="48">
        <v>0.75</v>
      </c>
      <c r="Q38" s="56">
        <v>0.33</v>
      </c>
      <c r="R38" s="56">
        <v>0</v>
      </c>
      <c r="S38" s="45">
        <v>-7.0000000000000007E-2</v>
      </c>
      <c r="T38" s="45">
        <v>5.0000000000000001E-3</v>
      </c>
      <c r="U38" s="45">
        <v>-8.5000000000000006E-2</v>
      </c>
      <c r="V38" s="45">
        <v>0.01</v>
      </c>
      <c r="W38" s="45">
        <v>-8.5000000000000006E-2</v>
      </c>
      <c r="X38" s="45">
        <v>0.01</v>
      </c>
      <c r="Y38" s="45">
        <v>0.23</v>
      </c>
      <c r="Z38" s="45">
        <v>0</v>
      </c>
      <c r="AA38" s="45">
        <v>0.23</v>
      </c>
      <c r="AB38" s="45">
        <v>0</v>
      </c>
      <c r="AC38" s="45">
        <v>0.28000000000000003</v>
      </c>
      <c r="AD38" s="45">
        <v>0.03</v>
      </c>
      <c r="AE38" s="45">
        <v>0.16</v>
      </c>
      <c r="AF38" s="45">
        <v>0.03</v>
      </c>
      <c r="AG38" s="45">
        <v>0.52500000000000002</v>
      </c>
      <c r="AH38" s="45">
        <v>0</v>
      </c>
      <c r="AI38" s="45">
        <v>0.33500000000000002</v>
      </c>
      <c r="AJ38" s="45">
        <v>0</v>
      </c>
      <c r="AK38" s="45">
        <v>-0.33500000000000002</v>
      </c>
      <c r="AL38" s="45">
        <v>5.4232309156331E-3</v>
      </c>
      <c r="AM38" s="45">
        <v>0.14499999999999999</v>
      </c>
      <c r="AN38" s="45">
        <v>1.55569993814564</v>
      </c>
      <c r="AO38" s="45">
        <v>0.33800000000000002</v>
      </c>
      <c r="AP38" s="45">
        <v>0.32500000000000001</v>
      </c>
      <c r="AQ38" s="45">
        <v>0.32500000000000001</v>
      </c>
      <c r="AR38" s="45">
        <f t="shared" si="9"/>
        <v>0.64279748007959547</v>
      </c>
      <c r="AT38" s="217">
        <f t="shared" si="10"/>
        <v>9.8337164030714366E-2</v>
      </c>
      <c r="AU38" s="217">
        <f t="shared" si="11"/>
        <v>-0.23123960505365254</v>
      </c>
      <c r="AV38" s="45">
        <f>[10]Sheet1!AA29</f>
        <v>0.18857142857142856</v>
      </c>
      <c r="AW38" s="45">
        <v>0</v>
      </c>
    </row>
    <row r="39" spans="1:49">
      <c r="A39" s="45"/>
      <c r="B39" s="45"/>
      <c r="C39" s="55">
        <f t="shared" si="8"/>
        <v>37712</v>
      </c>
      <c r="D39" s="56">
        <v>4.7597691907097096E-2</v>
      </c>
      <c r="E39" s="48">
        <v>3.98</v>
      </c>
      <c r="F39" s="48">
        <v>0.32</v>
      </c>
      <c r="G39" s="48">
        <v>0.32</v>
      </c>
      <c r="H39" s="48">
        <v>0.32</v>
      </c>
      <c r="I39" s="48">
        <v>0.33</v>
      </c>
      <c r="J39" s="48">
        <v>0.32</v>
      </c>
      <c r="K39" s="45">
        <v>0.32</v>
      </c>
      <c r="L39" s="48">
        <v>0.4</v>
      </c>
      <c r="M39" s="48">
        <v>0.4</v>
      </c>
      <c r="N39" s="48">
        <v>0.45</v>
      </c>
      <c r="O39" s="48">
        <v>0.5</v>
      </c>
      <c r="P39" s="48">
        <v>0.45</v>
      </c>
      <c r="Q39" s="56">
        <v>0.22500000000000001</v>
      </c>
      <c r="R39" s="56">
        <v>0</v>
      </c>
      <c r="S39" s="45">
        <v>-5.7500000000000002E-2</v>
      </c>
      <c r="T39" s="45">
        <v>0</v>
      </c>
      <c r="U39" s="45">
        <v>-0.09</v>
      </c>
      <c r="V39" s="45">
        <v>-0.01</v>
      </c>
      <c r="W39" s="45">
        <v>-0.09</v>
      </c>
      <c r="X39" s="45">
        <v>-0.01</v>
      </c>
      <c r="Y39" s="45">
        <v>0.16500000000000001</v>
      </c>
      <c r="Z39" s="45">
        <v>0</v>
      </c>
      <c r="AA39" s="45">
        <v>0.16500000000000001</v>
      </c>
      <c r="AB39" s="45">
        <v>0</v>
      </c>
      <c r="AC39" s="45">
        <v>0.19500000000000001</v>
      </c>
      <c r="AD39" s="45">
        <v>1.7500000000000002E-2</v>
      </c>
      <c r="AE39" s="45">
        <v>0.09</v>
      </c>
      <c r="AF39" s="45">
        <v>5.0000000000000001E-3</v>
      </c>
      <c r="AG39" s="45">
        <v>0.26</v>
      </c>
      <c r="AH39" s="45">
        <v>0</v>
      </c>
      <c r="AI39" s="45">
        <v>0.20499999999999999</v>
      </c>
      <c r="AJ39" s="45">
        <v>0</v>
      </c>
      <c r="AK39" s="45">
        <v>-0.41</v>
      </c>
      <c r="AL39" s="45">
        <v>1.6947227260382001E-3</v>
      </c>
      <c r="AM39" s="45">
        <v>0.14499999999999999</v>
      </c>
      <c r="AN39" s="45">
        <v>1.5557338433547201</v>
      </c>
      <c r="AO39" s="45">
        <v>0.32</v>
      </c>
      <c r="AP39" s="45">
        <v>0.19500000000000001</v>
      </c>
      <c r="AQ39" s="45">
        <v>0.19500000000000001</v>
      </c>
      <c r="AR39" s="45">
        <f t="shared" si="9"/>
        <v>0.64278347113902301</v>
      </c>
      <c r="AT39" s="217">
        <f t="shared" si="10"/>
        <v>9.8335020899277675E-2</v>
      </c>
      <c r="AU39" s="217">
        <f t="shared" si="11"/>
        <v>-0.30997025637468412</v>
      </c>
      <c r="AV39" s="45">
        <f>[10]Sheet1!AA30</f>
        <v>0.14949999999999994</v>
      </c>
      <c r="AW39" s="45">
        <v>0</v>
      </c>
    </row>
    <row r="40" spans="1:49">
      <c r="A40" s="45"/>
      <c r="B40" s="45"/>
      <c r="C40" s="55">
        <f t="shared" si="8"/>
        <v>37742</v>
      </c>
      <c r="D40" s="56">
        <v>4.8017031576071699E-2</v>
      </c>
      <c r="E40" s="48">
        <v>3.94</v>
      </c>
      <c r="F40" s="48">
        <v>0.3175</v>
      </c>
      <c r="G40" s="48">
        <v>0.318</v>
      </c>
      <c r="H40" s="48">
        <v>0.318</v>
      </c>
      <c r="I40" s="48">
        <v>0.32700000000000001</v>
      </c>
      <c r="J40" s="48">
        <v>0.318</v>
      </c>
      <c r="K40" s="45">
        <v>0.318</v>
      </c>
      <c r="L40" s="48">
        <v>0.45</v>
      </c>
      <c r="M40" s="48">
        <v>0.4</v>
      </c>
      <c r="N40" s="48">
        <v>0.5</v>
      </c>
      <c r="O40" s="48">
        <v>0.45</v>
      </c>
      <c r="P40" s="48">
        <v>0.45</v>
      </c>
      <c r="Q40" s="56">
        <v>0.22500000000000001</v>
      </c>
      <c r="R40" s="56">
        <v>0</v>
      </c>
      <c r="S40" s="45">
        <v>-5.7500000000000002E-2</v>
      </c>
      <c r="T40" s="45">
        <v>0</v>
      </c>
      <c r="U40" s="45">
        <v>-0.09</v>
      </c>
      <c r="V40" s="45">
        <v>-0.01</v>
      </c>
      <c r="W40" s="45">
        <v>-0.09</v>
      </c>
      <c r="X40" s="45">
        <v>-0.01</v>
      </c>
      <c r="Y40" s="45">
        <v>0.16500000000000001</v>
      </c>
      <c r="Z40" s="45">
        <v>0</v>
      </c>
      <c r="AA40" s="45">
        <v>0.16500000000000001</v>
      </c>
      <c r="AB40" s="45">
        <v>0</v>
      </c>
      <c r="AC40" s="45">
        <v>0.185</v>
      </c>
      <c r="AD40" s="45">
        <v>0.01</v>
      </c>
      <c r="AE40" s="45">
        <v>0.09</v>
      </c>
      <c r="AF40" s="45">
        <v>5.0000000000000001E-3</v>
      </c>
      <c r="AG40" s="45">
        <v>0.26</v>
      </c>
      <c r="AH40" s="45">
        <v>0</v>
      </c>
      <c r="AI40" s="45">
        <v>0.20499999999999999</v>
      </c>
      <c r="AJ40" s="45">
        <v>0</v>
      </c>
      <c r="AK40" s="45">
        <v>-0.41</v>
      </c>
      <c r="AL40" s="45">
        <v>1.6945941744038E-3</v>
      </c>
      <c r="AM40" s="45">
        <v>0.14499999999999999</v>
      </c>
      <c r="AN40" s="45">
        <v>1.5558518610672398</v>
      </c>
      <c r="AO40" s="45">
        <v>0.318</v>
      </c>
      <c r="AP40" s="45">
        <v>0.19500000000000001</v>
      </c>
      <c r="AQ40" s="45">
        <v>0.19500000000000001</v>
      </c>
      <c r="AR40" s="45">
        <f t="shared" si="9"/>
        <v>0.64273471338977473</v>
      </c>
      <c r="AT40" s="217">
        <f t="shared" si="10"/>
        <v>9.8327561786673512E-2</v>
      </c>
      <c r="AU40" s="217">
        <f t="shared" si="11"/>
        <v>-0.30997784403892265</v>
      </c>
      <c r="AV40" s="45">
        <f>[10]Sheet1!AA31</f>
        <v>0.14949999999999994</v>
      </c>
      <c r="AW40" s="45">
        <v>0</v>
      </c>
    </row>
    <row r="41" spans="1:49">
      <c r="A41" s="45"/>
      <c r="B41" s="45"/>
      <c r="C41" s="55">
        <f t="shared" si="8"/>
        <v>37773</v>
      </c>
      <c r="D41" s="56">
        <v>4.8450349295752204E-2</v>
      </c>
      <c r="E41" s="48">
        <v>3.97</v>
      </c>
      <c r="F41" s="48">
        <v>0.3175</v>
      </c>
      <c r="G41" s="48">
        <v>0.318</v>
      </c>
      <c r="H41" s="48">
        <v>0.318</v>
      </c>
      <c r="I41" s="48">
        <v>0.32700000000000001</v>
      </c>
      <c r="J41" s="48">
        <v>0.318</v>
      </c>
      <c r="K41" s="45">
        <v>0.318</v>
      </c>
      <c r="L41" s="48">
        <v>0.45</v>
      </c>
      <c r="M41" s="48">
        <v>0.4</v>
      </c>
      <c r="N41" s="48">
        <v>0.5</v>
      </c>
      <c r="O41" s="48">
        <v>0.5</v>
      </c>
      <c r="P41" s="48">
        <v>0.5</v>
      </c>
      <c r="Q41" s="56">
        <v>0.22500000000000001</v>
      </c>
      <c r="R41" s="56">
        <v>0</v>
      </c>
      <c r="S41" s="45">
        <v>-5.7500000000000002E-2</v>
      </c>
      <c r="T41" s="45">
        <v>0</v>
      </c>
      <c r="U41" s="45">
        <v>-0.09</v>
      </c>
      <c r="V41" s="45">
        <v>-0.01</v>
      </c>
      <c r="W41" s="45">
        <v>-0.09</v>
      </c>
      <c r="X41" s="45">
        <v>-0.01</v>
      </c>
      <c r="Y41" s="45">
        <v>0.16500000000000001</v>
      </c>
      <c r="Z41" s="45">
        <v>0</v>
      </c>
      <c r="AA41" s="45">
        <v>0.16500000000000001</v>
      </c>
      <c r="AB41" s="45">
        <v>0</v>
      </c>
      <c r="AC41" s="45">
        <v>0.19500000000000001</v>
      </c>
      <c r="AD41" s="45">
        <v>1.2500000000000001E-2</v>
      </c>
      <c r="AE41" s="45">
        <v>0.09</v>
      </c>
      <c r="AF41" s="45">
        <v>5.0000000000000001E-3</v>
      </c>
      <c r="AG41" s="45">
        <v>0.26</v>
      </c>
      <c r="AH41" s="45">
        <v>0</v>
      </c>
      <c r="AI41" s="45">
        <v>0.20499999999999999</v>
      </c>
      <c r="AJ41" s="45">
        <v>0</v>
      </c>
      <c r="AK41" s="45">
        <v>-0.41</v>
      </c>
      <c r="AL41" s="45">
        <v>1.6946619692312999E-3</v>
      </c>
      <c r="AM41" s="45">
        <v>0.14499999999999999</v>
      </c>
      <c r="AN41" s="45">
        <v>1.5557896193279399</v>
      </c>
      <c r="AO41" s="45">
        <v>0.318</v>
      </c>
      <c r="AP41" s="45">
        <v>0.19500000000000001</v>
      </c>
      <c r="AQ41" s="45">
        <v>0.19500000000000001</v>
      </c>
      <c r="AR41" s="45">
        <f t="shared" si="9"/>
        <v>0.64276042697339353</v>
      </c>
      <c r="AT41" s="217">
        <f t="shared" si="10"/>
        <v>9.8331495530921895E-2</v>
      </c>
      <c r="AU41" s="217">
        <f t="shared" si="11"/>
        <v>-0.30997384249984677</v>
      </c>
      <c r="AV41" s="45">
        <f>[10]Sheet1!AA32</f>
        <v>0.14949999999999994</v>
      </c>
      <c r="AW41" s="45">
        <v>0</v>
      </c>
    </row>
    <row r="42" spans="1:49">
      <c r="A42" s="45"/>
      <c r="B42" s="45"/>
      <c r="C42" s="55">
        <f t="shared" si="8"/>
        <v>37803</v>
      </c>
      <c r="D42" s="56">
        <v>4.8857530038363406E-2</v>
      </c>
      <c r="E42" s="48">
        <v>4.01</v>
      </c>
      <c r="F42" s="48">
        <v>0.3175</v>
      </c>
      <c r="G42" s="48">
        <v>0.318</v>
      </c>
      <c r="H42" s="48">
        <v>0.318</v>
      </c>
      <c r="I42" s="48">
        <v>0.32700000000000001</v>
      </c>
      <c r="J42" s="48">
        <v>0.318</v>
      </c>
      <c r="K42" s="45">
        <v>0.318</v>
      </c>
      <c r="L42" s="48">
        <v>0.5</v>
      </c>
      <c r="M42" s="48">
        <v>0.4</v>
      </c>
      <c r="N42" s="48">
        <v>0.55000000000000004</v>
      </c>
      <c r="O42" s="48">
        <v>0.5</v>
      </c>
      <c r="P42" s="48">
        <v>0.5</v>
      </c>
      <c r="Q42" s="56">
        <v>0.22500000000000001</v>
      </c>
      <c r="R42" s="56">
        <v>0</v>
      </c>
      <c r="S42" s="45">
        <v>-5.7500000000000002E-2</v>
      </c>
      <c r="T42" s="45">
        <v>0</v>
      </c>
      <c r="U42" s="45">
        <v>-0.09</v>
      </c>
      <c r="V42" s="45">
        <v>-0.01</v>
      </c>
      <c r="W42" s="45">
        <v>-0.09</v>
      </c>
      <c r="X42" s="45">
        <v>-0.01</v>
      </c>
      <c r="Y42" s="45">
        <v>0.16500000000000001</v>
      </c>
      <c r="Z42" s="45">
        <v>0</v>
      </c>
      <c r="AA42" s="45">
        <v>0.16500000000000001</v>
      </c>
      <c r="AB42" s="45">
        <v>0</v>
      </c>
      <c r="AC42" s="45">
        <v>0.2</v>
      </c>
      <c r="AD42" s="45">
        <v>1.2500000000000001E-2</v>
      </c>
      <c r="AE42" s="45">
        <v>0.09</v>
      </c>
      <c r="AF42" s="45">
        <v>5.0000000000000001E-3</v>
      </c>
      <c r="AG42" s="45">
        <v>0.26</v>
      </c>
      <c r="AH42" s="45">
        <v>0</v>
      </c>
      <c r="AI42" s="45">
        <v>0.20499999999999999</v>
      </c>
      <c r="AJ42" s="45">
        <v>0</v>
      </c>
      <c r="AK42" s="45">
        <v>-0.41</v>
      </c>
      <c r="AL42" s="45">
        <v>1.6948475737133999E-3</v>
      </c>
      <c r="AM42" s="45">
        <v>0.14499999999999999</v>
      </c>
      <c r="AN42" s="45">
        <v>1.5556192432238898</v>
      </c>
      <c r="AO42" s="45">
        <v>0.318</v>
      </c>
      <c r="AP42" s="45">
        <v>0.19500000000000001</v>
      </c>
      <c r="AQ42" s="45">
        <v>0.19500000000000001</v>
      </c>
      <c r="AR42" s="45">
        <f t="shared" si="9"/>
        <v>0.64283082403093983</v>
      </c>
      <c r="AT42" s="217">
        <f t="shared" si="10"/>
        <v>9.834226509242415E-2</v>
      </c>
      <c r="AU42" s="217">
        <f t="shared" si="11"/>
        <v>-0.3099628873338624</v>
      </c>
      <c r="AV42" s="45">
        <f>[10]Sheet1!AA33</f>
        <v>0.14949999999999994</v>
      </c>
      <c r="AW42" s="45">
        <v>0</v>
      </c>
    </row>
    <row r="43" spans="1:49">
      <c r="A43" s="45"/>
      <c r="B43" s="45"/>
      <c r="C43" s="50">
        <f t="shared" si="8"/>
        <v>37834</v>
      </c>
      <c r="D43" s="56">
        <v>4.9260848185591802E-2</v>
      </c>
      <c r="E43" s="48">
        <v>4.056</v>
      </c>
      <c r="F43" s="48">
        <v>0.3175</v>
      </c>
      <c r="G43" s="48">
        <v>0.318</v>
      </c>
      <c r="H43" s="48">
        <v>0.318</v>
      </c>
      <c r="I43" s="48">
        <v>0.32700000000000001</v>
      </c>
      <c r="J43" s="48">
        <v>0.318</v>
      </c>
      <c r="K43" s="45">
        <v>0.318</v>
      </c>
      <c r="L43" s="48">
        <v>0.55000000000000004</v>
      </c>
      <c r="M43" s="48">
        <v>0.5</v>
      </c>
      <c r="N43" s="48">
        <v>0.6</v>
      </c>
      <c r="O43" s="48">
        <v>0.45</v>
      </c>
      <c r="P43" s="48">
        <v>0.55000000000000004</v>
      </c>
      <c r="Q43" s="56">
        <v>0.22500000000000001</v>
      </c>
      <c r="R43" s="56">
        <v>0</v>
      </c>
      <c r="S43" s="45">
        <v>-5.7500000000000002E-2</v>
      </c>
      <c r="T43" s="45">
        <v>0</v>
      </c>
      <c r="U43" s="45">
        <v>-0.09</v>
      </c>
      <c r="V43" s="45">
        <v>-0.01</v>
      </c>
      <c r="W43" s="45">
        <v>-0.09</v>
      </c>
      <c r="X43" s="45">
        <v>-0.01</v>
      </c>
      <c r="Y43" s="45">
        <v>0.16500000000000001</v>
      </c>
      <c r="Z43" s="45">
        <v>0</v>
      </c>
      <c r="AA43" s="45">
        <v>0.16500000000000001</v>
      </c>
      <c r="AB43" s="45">
        <v>0</v>
      </c>
      <c r="AC43" s="45">
        <v>0.21</v>
      </c>
      <c r="AD43" s="45">
        <v>1.2500000000000001E-2</v>
      </c>
      <c r="AE43" s="45">
        <v>0.09</v>
      </c>
      <c r="AF43" s="45">
        <v>5.0000000000000001E-3</v>
      </c>
      <c r="AG43" s="45">
        <v>0.26</v>
      </c>
      <c r="AH43" s="45">
        <v>0</v>
      </c>
      <c r="AI43" s="45">
        <v>0.20499999999999999</v>
      </c>
      <c r="AJ43" s="45">
        <v>0</v>
      </c>
      <c r="AK43" s="45">
        <v>-0.41</v>
      </c>
      <c r="AL43" s="45">
        <v>1.6950066692541E-3</v>
      </c>
      <c r="AM43" s="45">
        <v>0.14499999999999999</v>
      </c>
      <c r="AN43" s="45">
        <v>1.5554732307691199</v>
      </c>
      <c r="AO43" s="45">
        <v>0.318</v>
      </c>
      <c r="AP43" s="45">
        <v>0.19500000000000001</v>
      </c>
      <c r="AQ43" s="45">
        <v>0.19500000000000001</v>
      </c>
      <c r="AR43" s="45">
        <f t="shared" si="9"/>
        <v>0.64289116663585366</v>
      </c>
      <c r="AT43" s="217">
        <f t="shared" si="10"/>
        <v>9.835149649239279E-2</v>
      </c>
      <c r="AU43" s="217">
        <f t="shared" si="11"/>
        <v>-0.3099534968383531</v>
      </c>
      <c r="AV43" s="45">
        <f>[10]Sheet1!AA34</f>
        <v>0.14949999999999994</v>
      </c>
      <c r="AW43" s="45">
        <v>0</v>
      </c>
    </row>
    <row r="44" spans="1:49">
      <c r="A44" s="45"/>
      <c r="B44" s="45"/>
      <c r="C44" s="50">
        <f t="shared" si="8"/>
        <v>37865</v>
      </c>
      <c r="D44" s="56">
        <v>4.9664166387151501E-2</v>
      </c>
      <c r="E44" s="48">
        <v>4.0650000000000004</v>
      </c>
      <c r="F44" s="48">
        <v>0.3175</v>
      </c>
      <c r="G44" s="48">
        <v>0.318</v>
      </c>
      <c r="H44" s="48">
        <v>0.318</v>
      </c>
      <c r="I44" s="48">
        <v>0.32700000000000001</v>
      </c>
      <c r="J44" s="48">
        <v>0.318</v>
      </c>
      <c r="K44" s="45">
        <v>0.318</v>
      </c>
      <c r="L44" s="48">
        <v>0.55000000000000004</v>
      </c>
      <c r="M44" s="48">
        <v>0.55000000000000004</v>
      </c>
      <c r="N44" s="48">
        <v>0.6</v>
      </c>
      <c r="O44" s="48">
        <v>0.5</v>
      </c>
      <c r="P44" s="48">
        <v>0.6</v>
      </c>
      <c r="Q44" s="56">
        <v>0.22500000000000001</v>
      </c>
      <c r="R44" s="56">
        <v>0</v>
      </c>
      <c r="S44" s="45">
        <v>-5.7500000000000002E-2</v>
      </c>
      <c r="T44" s="45">
        <v>0</v>
      </c>
      <c r="U44" s="45">
        <v>-0.09</v>
      </c>
      <c r="V44" s="45">
        <v>-0.01</v>
      </c>
      <c r="W44" s="45">
        <v>-0.09</v>
      </c>
      <c r="X44" s="45">
        <v>-0.01</v>
      </c>
      <c r="Y44" s="45">
        <v>0.16500000000000001</v>
      </c>
      <c r="Z44" s="45">
        <v>0</v>
      </c>
      <c r="AA44" s="45">
        <v>0.16500000000000001</v>
      </c>
      <c r="AB44" s="45">
        <v>0</v>
      </c>
      <c r="AC44" s="45">
        <v>0.185</v>
      </c>
      <c r="AD44" s="45">
        <v>1.2500000000000001E-2</v>
      </c>
      <c r="AE44" s="45">
        <v>0.09</v>
      </c>
      <c r="AF44" s="45">
        <v>5.0000000000000001E-3</v>
      </c>
      <c r="AG44" s="45">
        <v>0.26</v>
      </c>
      <c r="AH44" s="45">
        <v>0</v>
      </c>
      <c r="AI44" s="45">
        <v>0.20499999999999999</v>
      </c>
      <c r="AJ44" s="45">
        <v>0</v>
      </c>
      <c r="AK44" s="45">
        <v>-0.41</v>
      </c>
      <c r="AL44" s="45">
        <v>1.6951925744965002E-3</v>
      </c>
      <c r="AM44" s="45">
        <v>0.14499999999999999</v>
      </c>
      <c r="AN44" s="45">
        <v>1.5553026480092</v>
      </c>
      <c r="AO44" s="45">
        <v>0.318</v>
      </c>
      <c r="AP44" s="45">
        <v>0.19500000000000001</v>
      </c>
      <c r="AQ44" s="45">
        <v>0.19500000000000001</v>
      </c>
      <c r="AR44" s="45">
        <f t="shared" si="9"/>
        <v>0.64296167776735158</v>
      </c>
      <c r="AT44" s="217">
        <f t="shared" si="10"/>
        <v>9.8362283505284073E-2</v>
      </c>
      <c r="AU44" s="217">
        <f t="shared" si="11"/>
        <v>-0.30994252392021937</v>
      </c>
      <c r="AV44" s="45">
        <f>[10]Sheet1!AA35</f>
        <v>0.14949999999999994</v>
      </c>
      <c r="AW44" s="45">
        <v>0</v>
      </c>
    </row>
    <row r="45" spans="1:49">
      <c r="A45" s="45"/>
      <c r="B45" s="45"/>
      <c r="C45" s="50">
        <f t="shared" si="8"/>
        <v>37895</v>
      </c>
      <c r="D45" s="56">
        <v>5.00370706847377E-2</v>
      </c>
      <c r="E45" s="48">
        <v>4.0860000000000003</v>
      </c>
      <c r="F45" s="48">
        <v>0.32</v>
      </c>
      <c r="G45" s="48">
        <v>0.32</v>
      </c>
      <c r="H45" s="48">
        <v>0.32</v>
      </c>
      <c r="I45" s="48">
        <v>0.33</v>
      </c>
      <c r="J45" s="48">
        <v>0.32</v>
      </c>
      <c r="K45" s="45">
        <v>0.32</v>
      </c>
      <c r="L45" s="48">
        <v>0.6</v>
      </c>
      <c r="M45" s="48">
        <v>0.55000000000000004</v>
      </c>
      <c r="N45" s="48">
        <v>0.65</v>
      </c>
      <c r="O45" s="48">
        <v>0.5</v>
      </c>
      <c r="P45" s="48">
        <v>0.65</v>
      </c>
      <c r="Q45" s="56">
        <v>0.22500000000000001</v>
      </c>
      <c r="R45" s="56">
        <v>0</v>
      </c>
      <c r="S45" s="45">
        <v>-5.7500000000000002E-2</v>
      </c>
      <c r="T45" s="45">
        <v>0</v>
      </c>
      <c r="U45" s="45">
        <v>-0.09</v>
      </c>
      <c r="V45" s="45">
        <v>-0.01</v>
      </c>
      <c r="W45" s="45">
        <v>-0.09</v>
      </c>
      <c r="X45" s="45">
        <v>-0.01</v>
      </c>
      <c r="Y45" s="45">
        <v>0.16500000000000001</v>
      </c>
      <c r="Z45" s="45">
        <v>0</v>
      </c>
      <c r="AA45" s="45">
        <v>0.16500000000000001</v>
      </c>
      <c r="AB45" s="45">
        <v>0</v>
      </c>
      <c r="AC45" s="45">
        <v>0.19500000000000001</v>
      </c>
      <c r="AD45" s="45">
        <v>1.2500000000000001E-2</v>
      </c>
      <c r="AE45" s="45">
        <v>0.09</v>
      </c>
      <c r="AF45" s="45">
        <v>5.0000000000000001E-3</v>
      </c>
      <c r="AG45" s="45">
        <v>0.26</v>
      </c>
      <c r="AH45" s="45">
        <v>0</v>
      </c>
      <c r="AI45" s="45">
        <v>0.20499999999999999</v>
      </c>
      <c r="AJ45" s="45">
        <v>0</v>
      </c>
      <c r="AK45" s="45">
        <v>-0.41</v>
      </c>
      <c r="AL45" s="45">
        <v>1.6953294398156999E-3</v>
      </c>
      <c r="AM45" s="45">
        <v>0.14499999999999999</v>
      </c>
      <c r="AN45" s="45">
        <v>1.55517708716634</v>
      </c>
      <c r="AO45" s="45">
        <v>0.32</v>
      </c>
      <c r="AP45" s="45">
        <v>0.19500000000000001</v>
      </c>
      <c r="AQ45" s="45">
        <v>0.19500000000000001</v>
      </c>
      <c r="AR45" s="45">
        <f t="shared" si="9"/>
        <v>0.64301358877533488</v>
      </c>
      <c r="AT45" s="217">
        <f t="shared" si="10"/>
        <v>9.83702250132477E-2</v>
      </c>
      <c r="AU45" s="217">
        <f t="shared" si="11"/>
        <v>-0.30993444554693655</v>
      </c>
      <c r="AV45" s="45">
        <f>[10]Sheet1!AA36</f>
        <v>0.14949999999999994</v>
      </c>
      <c r="AW45" s="45">
        <v>0</v>
      </c>
    </row>
    <row r="46" spans="1:49">
      <c r="A46" s="45"/>
      <c r="B46" s="45"/>
      <c r="C46" s="50">
        <f t="shared" si="8"/>
        <v>37926</v>
      </c>
      <c r="D46" s="56">
        <v>5.0400580759155197E-2</v>
      </c>
      <c r="E46" s="48">
        <v>4.1989999999999998</v>
      </c>
      <c r="F46" s="48">
        <v>0.32</v>
      </c>
      <c r="G46" s="48">
        <v>0.32</v>
      </c>
      <c r="H46" s="48">
        <v>0.32</v>
      </c>
      <c r="I46" s="48">
        <v>0.33</v>
      </c>
      <c r="J46" s="48">
        <v>0.32</v>
      </c>
      <c r="K46" s="45">
        <v>0.32</v>
      </c>
      <c r="L46" s="48">
        <v>0.8</v>
      </c>
      <c r="M46" s="48">
        <v>0.8</v>
      </c>
      <c r="N46" s="48">
        <v>0.8</v>
      </c>
      <c r="O46" s="48">
        <v>0.95</v>
      </c>
      <c r="P46" s="48">
        <v>0.85</v>
      </c>
      <c r="Q46" s="56">
        <v>0.32</v>
      </c>
      <c r="R46" s="56">
        <v>0</v>
      </c>
      <c r="S46" s="45">
        <v>-0.06</v>
      </c>
      <c r="T46" s="45">
        <v>5.0000000000000001E-3</v>
      </c>
      <c r="U46" s="45">
        <v>-0.1</v>
      </c>
      <c r="V46" s="45">
        <v>0.01</v>
      </c>
      <c r="W46" s="45">
        <v>-0.1</v>
      </c>
      <c r="X46" s="45">
        <v>0.01</v>
      </c>
      <c r="Y46" s="45">
        <v>0.22</v>
      </c>
      <c r="Z46" s="45">
        <v>0</v>
      </c>
      <c r="AA46" s="45">
        <v>0.22</v>
      </c>
      <c r="AB46" s="45">
        <v>0</v>
      </c>
      <c r="AC46" s="45">
        <v>0.28000000000000003</v>
      </c>
      <c r="AD46" s="45">
        <v>0.03</v>
      </c>
      <c r="AE46" s="45">
        <v>0.17</v>
      </c>
      <c r="AF46" s="45">
        <v>0.02</v>
      </c>
      <c r="AG46" s="45">
        <v>0.52</v>
      </c>
      <c r="AH46" s="45">
        <v>0</v>
      </c>
      <c r="AI46" s="45">
        <v>0.32</v>
      </c>
      <c r="AJ46" s="45">
        <v>0</v>
      </c>
      <c r="AK46" s="45">
        <v>-0.36</v>
      </c>
      <c r="AL46" s="45">
        <v>5.4252903870782004E-3</v>
      </c>
      <c r="AM46" s="45">
        <v>0.14000000000000001</v>
      </c>
      <c r="AN46" s="45">
        <v>1.5551093854984599</v>
      </c>
      <c r="AO46" s="45">
        <v>0.32</v>
      </c>
      <c r="AP46" s="45">
        <v>0.31</v>
      </c>
      <c r="AQ46" s="45">
        <v>0.31</v>
      </c>
      <c r="AR46" s="45">
        <f t="shared" si="9"/>
        <v>0.64304158236397602</v>
      </c>
      <c r="AT46" s="217">
        <f t="shared" si="10"/>
        <v>9.4982283161164999E-2</v>
      </c>
      <c r="AU46" s="217">
        <f t="shared" si="11"/>
        <v>-0.25959242645175684</v>
      </c>
      <c r="AV46" s="45">
        <f>[10]Sheet1!AA37</f>
        <v>0.19357142857142856</v>
      </c>
      <c r="AW46" s="45">
        <v>0</v>
      </c>
    </row>
    <row r="47" spans="1:49">
      <c r="A47" s="45"/>
      <c r="B47" s="45"/>
      <c r="C47" s="50">
        <f t="shared" si="8"/>
        <v>37956</v>
      </c>
      <c r="D47" s="56">
        <v>5.0752364744139501E-2</v>
      </c>
      <c r="E47" s="48">
        <v>4.3370000000000006</v>
      </c>
      <c r="F47" s="48">
        <v>0.32</v>
      </c>
      <c r="G47" s="48">
        <v>0.32</v>
      </c>
      <c r="H47" s="48">
        <v>0.32</v>
      </c>
      <c r="I47" s="48">
        <v>0.33</v>
      </c>
      <c r="J47" s="48">
        <v>0.32</v>
      </c>
      <c r="K47" s="45">
        <v>0.32</v>
      </c>
      <c r="L47" s="48">
        <v>1</v>
      </c>
      <c r="M47" s="48">
        <v>1</v>
      </c>
      <c r="N47" s="48">
        <v>1.1000000000000001</v>
      </c>
      <c r="O47" s="48">
        <v>1.35</v>
      </c>
      <c r="P47" s="48">
        <v>1.05</v>
      </c>
      <c r="Q47" s="56">
        <v>0.32</v>
      </c>
      <c r="R47" s="56">
        <v>0</v>
      </c>
      <c r="S47" s="45">
        <v>-0.06</v>
      </c>
      <c r="T47" s="45">
        <v>5.0000000000000001E-3</v>
      </c>
      <c r="U47" s="45">
        <v>-0.10249999999999999</v>
      </c>
      <c r="V47" s="45">
        <v>0.01</v>
      </c>
      <c r="W47" s="45">
        <v>-0.10249999999999999</v>
      </c>
      <c r="X47" s="45">
        <v>0.01</v>
      </c>
      <c r="Y47" s="45">
        <v>0.22</v>
      </c>
      <c r="Z47" s="45">
        <v>0</v>
      </c>
      <c r="AA47" s="45">
        <v>0.22</v>
      </c>
      <c r="AB47" s="45">
        <v>0</v>
      </c>
      <c r="AC47" s="45">
        <v>0.32</v>
      </c>
      <c r="AD47" s="45">
        <v>0.03</v>
      </c>
      <c r="AE47" s="45">
        <v>0.17</v>
      </c>
      <c r="AF47" s="45">
        <v>0.02</v>
      </c>
      <c r="AG47" s="45">
        <v>0.52</v>
      </c>
      <c r="AH47" s="45">
        <v>0</v>
      </c>
      <c r="AI47" s="45">
        <v>0.32</v>
      </c>
      <c r="AJ47" s="45">
        <v>0</v>
      </c>
      <c r="AK47" s="45">
        <v>-0.36</v>
      </c>
      <c r="AL47" s="45">
        <v>5.4255666311409005E-3</v>
      </c>
      <c r="AM47" s="45">
        <v>0.14000000000000001</v>
      </c>
      <c r="AN47" s="45">
        <v>1.5550302067206798</v>
      </c>
      <c r="AO47" s="45">
        <v>0.32</v>
      </c>
      <c r="AP47" s="45">
        <v>0.31</v>
      </c>
      <c r="AQ47" s="45">
        <v>0.31</v>
      </c>
      <c r="AR47" s="45">
        <f t="shared" si="9"/>
        <v>0.64307432465176773</v>
      </c>
      <c r="AT47" s="217">
        <f t="shared" si="10"/>
        <v>9.4987119453771376E-2</v>
      </c>
      <c r="AU47" s="217">
        <f t="shared" si="11"/>
        <v>-0.25958731391508771</v>
      </c>
      <c r="AV47" s="45">
        <f>[10]Sheet1!AA38</f>
        <v>0.19857142857142857</v>
      </c>
      <c r="AW47" s="45">
        <v>0</v>
      </c>
    </row>
    <row r="48" spans="1:49">
      <c r="A48" s="45"/>
      <c r="B48" s="45"/>
      <c r="C48" s="50">
        <f t="shared" si="8"/>
        <v>37987</v>
      </c>
      <c r="D48" s="56">
        <v>5.11068124325922E-2</v>
      </c>
      <c r="E48" s="48">
        <v>4.3940000000000001</v>
      </c>
      <c r="F48" s="48">
        <v>0.32250000000000001</v>
      </c>
      <c r="G48" s="48">
        <v>0.32300000000000001</v>
      </c>
      <c r="H48" s="48">
        <v>0.32300000000000001</v>
      </c>
      <c r="I48" s="48">
        <v>0.33200000000000002</v>
      </c>
      <c r="J48" s="48">
        <v>0.32300000000000001</v>
      </c>
      <c r="K48" s="45">
        <v>0.32300000000000001</v>
      </c>
      <c r="L48" s="48">
        <v>1</v>
      </c>
      <c r="M48" s="48">
        <v>1</v>
      </c>
      <c r="N48" s="48">
        <v>1.1000000000000001</v>
      </c>
      <c r="O48" s="48">
        <v>1.35</v>
      </c>
      <c r="P48" s="48">
        <v>1.05</v>
      </c>
      <c r="Q48" s="56">
        <v>0.32</v>
      </c>
      <c r="R48" s="56">
        <v>0</v>
      </c>
      <c r="S48" s="45">
        <v>-0.06</v>
      </c>
      <c r="T48" s="45">
        <v>5.0000000000000001E-3</v>
      </c>
      <c r="U48" s="45">
        <v>-0.105</v>
      </c>
      <c r="V48" s="45">
        <v>0.01</v>
      </c>
      <c r="W48" s="45">
        <v>-0.105</v>
      </c>
      <c r="X48" s="45">
        <v>0.01</v>
      </c>
      <c r="Y48" s="45">
        <v>0.22</v>
      </c>
      <c r="Z48" s="45">
        <v>0</v>
      </c>
      <c r="AA48" s="45">
        <v>0.22</v>
      </c>
      <c r="AB48" s="45">
        <v>0</v>
      </c>
      <c r="AC48" s="45">
        <v>0.32</v>
      </c>
      <c r="AD48" s="45">
        <v>0.03</v>
      </c>
      <c r="AE48" s="45">
        <v>0.17</v>
      </c>
      <c r="AF48" s="45">
        <v>0.02</v>
      </c>
      <c r="AG48" s="45">
        <v>0.52</v>
      </c>
      <c r="AH48" s="45">
        <v>0</v>
      </c>
      <c r="AI48" s="45">
        <v>0.32</v>
      </c>
      <c r="AJ48" s="45">
        <v>0</v>
      </c>
      <c r="AK48" s="45">
        <v>-0.36</v>
      </c>
      <c r="AL48" s="45">
        <v>5.4257750583288E-3</v>
      </c>
      <c r="AM48" s="45">
        <v>0.14000000000000001</v>
      </c>
      <c r="AN48" s="45">
        <v>1.5549704713705199</v>
      </c>
      <c r="AO48" s="45">
        <v>0.32300000000000001</v>
      </c>
      <c r="AP48" s="45">
        <v>0.31</v>
      </c>
      <c r="AQ48" s="45">
        <v>0.31</v>
      </c>
      <c r="AR48" s="45">
        <f t="shared" si="9"/>
        <v>0.64309902883147352</v>
      </c>
      <c r="AT48" s="217">
        <f t="shared" si="10"/>
        <v>9.4990768454794691E-2</v>
      </c>
      <c r="AU48" s="217">
        <f t="shared" si="11"/>
        <v>-0.25958345648687647</v>
      </c>
      <c r="AV48" s="45">
        <f>[10]Sheet1!AA39</f>
        <v>0.19857142857142857</v>
      </c>
      <c r="AW48" s="45">
        <v>0</v>
      </c>
    </row>
    <row r="49" spans="1:49">
      <c r="A49" s="45"/>
      <c r="B49" s="45"/>
      <c r="C49" s="50">
        <f t="shared" si="8"/>
        <v>38018</v>
      </c>
      <c r="D49" s="56">
        <v>5.1451593524248995E-2</v>
      </c>
      <c r="E49" s="48">
        <v>4.274</v>
      </c>
      <c r="F49" s="48">
        <v>0.31</v>
      </c>
      <c r="G49" s="48">
        <v>0.31</v>
      </c>
      <c r="H49" s="48">
        <v>0.31</v>
      </c>
      <c r="I49" s="48">
        <v>0.31900000000000001</v>
      </c>
      <c r="J49" s="48">
        <v>0.31</v>
      </c>
      <c r="K49" s="45">
        <v>0.31</v>
      </c>
      <c r="L49" s="48">
        <v>1</v>
      </c>
      <c r="M49" s="48">
        <v>1</v>
      </c>
      <c r="N49" s="48">
        <v>1.1000000000000001</v>
      </c>
      <c r="O49" s="48">
        <v>1.35</v>
      </c>
      <c r="P49" s="48">
        <v>1.05</v>
      </c>
      <c r="Q49" s="56">
        <v>0.32</v>
      </c>
      <c r="R49" s="56">
        <v>0</v>
      </c>
      <c r="S49" s="45">
        <v>-0.06</v>
      </c>
      <c r="T49" s="45">
        <v>5.0000000000000001E-3</v>
      </c>
      <c r="U49" s="45">
        <v>-9.7500000000000003E-2</v>
      </c>
      <c r="V49" s="45">
        <v>0.01</v>
      </c>
      <c r="W49" s="45">
        <v>-9.7500000000000003E-2</v>
      </c>
      <c r="X49" s="45">
        <v>0.01</v>
      </c>
      <c r="Y49" s="45">
        <v>0.22</v>
      </c>
      <c r="Z49" s="45">
        <v>0</v>
      </c>
      <c r="AA49" s="45">
        <v>0.22</v>
      </c>
      <c r="AB49" s="45">
        <v>0</v>
      </c>
      <c r="AC49" s="45">
        <v>0.3</v>
      </c>
      <c r="AD49" s="45">
        <v>0.03</v>
      </c>
      <c r="AE49" s="45">
        <v>0.17</v>
      </c>
      <c r="AF49" s="45">
        <v>0.02</v>
      </c>
      <c r="AG49" s="45">
        <v>0.52</v>
      </c>
      <c r="AH49" s="45">
        <v>0</v>
      </c>
      <c r="AI49" s="45">
        <v>0.32</v>
      </c>
      <c r="AJ49" s="45">
        <v>0</v>
      </c>
      <c r="AK49" s="45">
        <v>-0.36</v>
      </c>
      <c r="AL49" s="45">
        <v>5.4258864054566001E-3</v>
      </c>
      <c r="AM49" s="45">
        <v>0.14000000000000001</v>
      </c>
      <c r="AN49" s="45">
        <v>1.55493856110134</v>
      </c>
      <c r="AO49" s="45">
        <v>0.31</v>
      </c>
      <c r="AP49" s="45">
        <v>0.31</v>
      </c>
      <c r="AQ49" s="45">
        <v>0.31</v>
      </c>
      <c r="AR49" s="45">
        <f t="shared" si="9"/>
        <v>0.64311222643530996</v>
      </c>
      <c r="AT49" s="217">
        <f t="shared" si="10"/>
        <v>9.4992717844350538E-2</v>
      </c>
      <c r="AU49" s="217">
        <f t="shared" si="11"/>
        <v>-0.25958139575019284</v>
      </c>
      <c r="AV49" s="45">
        <f>[10]Sheet1!AA40</f>
        <v>0.19857142857142857</v>
      </c>
      <c r="AW49" s="45">
        <v>0</v>
      </c>
    </row>
    <row r="50" spans="1:49">
      <c r="A50" s="45"/>
      <c r="B50" s="45"/>
      <c r="C50" s="50">
        <f t="shared" si="8"/>
        <v>38047</v>
      </c>
      <c r="D50" s="56">
        <v>5.1774130710415402E-2</v>
      </c>
      <c r="E50" s="48">
        <v>4.1349999999999998</v>
      </c>
      <c r="F50" s="48">
        <v>0.30249999999999999</v>
      </c>
      <c r="G50" s="48">
        <v>0.30299999999999999</v>
      </c>
      <c r="H50" s="48">
        <v>0.30299999999999999</v>
      </c>
      <c r="I50" s="48">
        <v>0.312</v>
      </c>
      <c r="J50" s="48">
        <v>0.30299999999999999</v>
      </c>
      <c r="K50" s="45">
        <v>0.30299999999999999</v>
      </c>
      <c r="L50" s="48">
        <v>0.75</v>
      </c>
      <c r="M50" s="48">
        <v>0.75</v>
      </c>
      <c r="N50" s="48">
        <v>0.75</v>
      </c>
      <c r="O50" s="48">
        <v>0.95</v>
      </c>
      <c r="P50" s="48">
        <v>0.75</v>
      </c>
      <c r="Q50" s="56">
        <v>0.32</v>
      </c>
      <c r="R50" s="56">
        <v>0</v>
      </c>
      <c r="S50" s="45">
        <v>-0.06</v>
      </c>
      <c r="T50" s="45">
        <v>5.0000000000000001E-3</v>
      </c>
      <c r="U50" s="45">
        <v>-9.5000000000000001E-2</v>
      </c>
      <c r="V50" s="45">
        <v>0.01</v>
      </c>
      <c r="W50" s="45">
        <v>-9.5000000000000001E-2</v>
      </c>
      <c r="X50" s="45">
        <v>0.01</v>
      </c>
      <c r="Y50" s="45">
        <v>0.22</v>
      </c>
      <c r="Z50" s="45">
        <v>0</v>
      </c>
      <c r="AA50" s="45">
        <v>0.22</v>
      </c>
      <c r="AB50" s="45">
        <v>0</v>
      </c>
      <c r="AC50" s="45">
        <v>0.28000000000000003</v>
      </c>
      <c r="AD50" s="45">
        <v>0.03</v>
      </c>
      <c r="AE50" s="45">
        <v>0.17</v>
      </c>
      <c r="AF50" s="45">
        <v>0.02</v>
      </c>
      <c r="AG50" s="45">
        <v>0.52</v>
      </c>
      <c r="AH50" s="45">
        <v>0</v>
      </c>
      <c r="AI50" s="45">
        <v>0.32</v>
      </c>
      <c r="AJ50" s="45">
        <v>0</v>
      </c>
      <c r="AK50" s="45">
        <v>-0.36</v>
      </c>
      <c r="AL50" s="45">
        <v>5.4260207005821003E-3</v>
      </c>
      <c r="AM50" s="45">
        <v>0.14000000000000001</v>
      </c>
      <c r="AN50" s="45">
        <v>1.5549000760529499</v>
      </c>
      <c r="AO50" s="45">
        <v>0.30299999999999999</v>
      </c>
      <c r="AP50" s="45">
        <v>0.31</v>
      </c>
      <c r="AQ50" s="45">
        <v>0.31</v>
      </c>
      <c r="AR50" s="45">
        <f t="shared" si="9"/>
        <v>0.64312814398881435</v>
      </c>
      <c r="AT50" s="217">
        <f t="shared" si="10"/>
        <v>9.4995068991796758E-2</v>
      </c>
      <c r="AU50" s="217">
        <f t="shared" si="11"/>
        <v>-0.25957891030762109</v>
      </c>
      <c r="AV50" s="45">
        <f>[10]Sheet1!AA41</f>
        <v>0.19857142857142857</v>
      </c>
      <c r="AW50" s="45">
        <v>0</v>
      </c>
    </row>
    <row r="51" spans="1:49">
      <c r="A51" s="45"/>
      <c r="B51" s="45"/>
      <c r="C51" s="50">
        <f t="shared" si="8"/>
        <v>38078</v>
      </c>
      <c r="D51" s="56">
        <v>5.20912747206244E-2</v>
      </c>
      <c r="E51" s="48">
        <v>3.96</v>
      </c>
      <c r="F51" s="48">
        <v>0.28999999999999998</v>
      </c>
      <c r="G51" s="48">
        <v>0.28999999999999998</v>
      </c>
      <c r="H51" s="48">
        <v>0.28999999999999998</v>
      </c>
      <c r="I51" s="48">
        <v>0.29899999999999999</v>
      </c>
      <c r="J51" s="48">
        <v>0.28999999999999998</v>
      </c>
      <c r="K51" s="45">
        <v>0.28999999999999998</v>
      </c>
      <c r="L51" s="48">
        <v>0.4</v>
      </c>
      <c r="M51" s="48">
        <v>0.4</v>
      </c>
      <c r="N51" s="48">
        <v>0.45</v>
      </c>
      <c r="O51" s="48">
        <v>0.5</v>
      </c>
      <c r="P51" s="48">
        <v>0.45</v>
      </c>
      <c r="Q51" s="56">
        <v>0.215</v>
      </c>
      <c r="R51" s="56">
        <v>0</v>
      </c>
      <c r="S51" s="45">
        <v>-5.7500000000000002E-2</v>
      </c>
      <c r="T51" s="45">
        <v>0</v>
      </c>
      <c r="U51" s="45">
        <v>-0.1</v>
      </c>
      <c r="V51" s="45">
        <v>-0.01</v>
      </c>
      <c r="W51" s="45">
        <v>-0.1</v>
      </c>
      <c r="X51" s="45">
        <v>-0.01</v>
      </c>
      <c r="Y51" s="45">
        <v>0.155</v>
      </c>
      <c r="Z51" s="45">
        <v>0</v>
      </c>
      <c r="AA51" s="45">
        <v>0.155</v>
      </c>
      <c r="AB51" s="45">
        <v>0</v>
      </c>
      <c r="AC51" s="45">
        <v>0.19500000000000001</v>
      </c>
      <c r="AD51" s="45">
        <v>1.7500000000000002E-2</v>
      </c>
      <c r="AE51" s="45">
        <v>9.5000000000000001E-2</v>
      </c>
      <c r="AF51" s="45">
        <v>5.0000000000000001E-3</v>
      </c>
      <c r="AG51" s="45">
        <v>0.25</v>
      </c>
      <c r="AH51" s="45">
        <v>0</v>
      </c>
      <c r="AI51" s="45">
        <v>0.19500000000000001</v>
      </c>
      <c r="AJ51" s="45">
        <v>0</v>
      </c>
      <c r="AK51" s="45">
        <v>-0.44500000000000001</v>
      </c>
      <c r="AL51" s="45">
        <v>1.695554720938E-3</v>
      </c>
      <c r="AM51" s="45">
        <v>0.14000000000000001</v>
      </c>
      <c r="AN51" s="45">
        <v>1.5549704574213299</v>
      </c>
      <c r="AO51" s="45">
        <v>0.28999999999999998</v>
      </c>
      <c r="AP51" s="45">
        <v>0.185</v>
      </c>
      <c r="AQ51" s="45">
        <v>0.185</v>
      </c>
      <c r="AR51" s="45">
        <f t="shared" si="9"/>
        <v>0.64309903460052886</v>
      </c>
      <c r="AT51" s="217">
        <f t="shared" si="10"/>
        <v>9.4990769306929387E-2</v>
      </c>
      <c r="AU51" s="217">
        <f t="shared" si="11"/>
        <v>-0.34831367597213259</v>
      </c>
      <c r="AV51" s="45">
        <f>[10]Sheet1!AA42</f>
        <v>0.14949999999999994</v>
      </c>
      <c r="AW51" s="45">
        <v>0</v>
      </c>
    </row>
    <row r="52" spans="1:49">
      <c r="A52" s="45"/>
      <c r="B52" s="45"/>
      <c r="C52" s="50">
        <f t="shared" si="8"/>
        <v>38108</v>
      </c>
      <c r="D52" s="56">
        <v>5.2369659628739303E-2</v>
      </c>
      <c r="E52" s="48">
        <v>3.93</v>
      </c>
      <c r="F52" s="48">
        <v>0.28749999999999998</v>
      </c>
      <c r="G52" s="48">
        <v>0.28800000000000003</v>
      </c>
      <c r="H52" s="48">
        <v>0.28800000000000003</v>
      </c>
      <c r="I52" s="48">
        <v>0.29600000000000004</v>
      </c>
      <c r="J52" s="48">
        <v>0.28800000000000003</v>
      </c>
      <c r="K52" s="45">
        <v>0.28800000000000003</v>
      </c>
      <c r="L52" s="48">
        <v>0.45</v>
      </c>
      <c r="M52" s="48">
        <v>0.4</v>
      </c>
      <c r="N52" s="48">
        <v>0.5</v>
      </c>
      <c r="O52" s="48">
        <v>0.45</v>
      </c>
      <c r="P52" s="48">
        <v>0.45</v>
      </c>
      <c r="Q52" s="56">
        <v>0.215</v>
      </c>
      <c r="R52" s="56">
        <v>0</v>
      </c>
      <c r="S52" s="45">
        <v>-5.7500000000000002E-2</v>
      </c>
      <c r="T52" s="45">
        <v>0</v>
      </c>
      <c r="U52" s="45">
        <v>-0.1</v>
      </c>
      <c r="V52" s="45">
        <v>-0.01</v>
      </c>
      <c r="W52" s="45">
        <v>-0.1</v>
      </c>
      <c r="X52" s="45">
        <v>-0.01</v>
      </c>
      <c r="Y52" s="45">
        <v>0.155</v>
      </c>
      <c r="Z52" s="45">
        <v>0</v>
      </c>
      <c r="AA52" s="45">
        <v>0.155</v>
      </c>
      <c r="AB52" s="45">
        <v>0</v>
      </c>
      <c r="AC52" s="45">
        <v>0.185</v>
      </c>
      <c r="AD52" s="45">
        <v>0.01</v>
      </c>
      <c r="AE52" s="45">
        <v>9.5000000000000001E-2</v>
      </c>
      <c r="AF52" s="45">
        <v>5.0000000000000001E-3</v>
      </c>
      <c r="AG52" s="45">
        <v>0.25</v>
      </c>
      <c r="AH52" s="45">
        <v>0</v>
      </c>
      <c r="AI52" s="45">
        <v>0.19500000000000001</v>
      </c>
      <c r="AJ52" s="45">
        <v>0</v>
      </c>
      <c r="AK52" s="45">
        <v>-0.44500000000000001</v>
      </c>
      <c r="AL52" s="45">
        <v>1.6953432501728E-3</v>
      </c>
      <c r="AM52" s="45">
        <v>0.14000000000000001</v>
      </c>
      <c r="AN52" s="45">
        <v>1.5551644186103399</v>
      </c>
      <c r="AO52" s="45">
        <v>0.28800000000000003</v>
      </c>
      <c r="AP52" s="45">
        <v>0.185</v>
      </c>
      <c r="AQ52" s="45">
        <v>0.185</v>
      </c>
      <c r="AR52" s="45">
        <f t="shared" si="9"/>
        <v>0.64301882684120149</v>
      </c>
      <c r="AT52" s="217">
        <f t="shared" si="10"/>
        <v>9.4978921992047896E-2</v>
      </c>
      <c r="AU52" s="217">
        <f t="shared" si="11"/>
        <v>-0.34832573475777934</v>
      </c>
      <c r="AV52" s="45">
        <f>[10]Sheet1!AA43</f>
        <v>0.14949999999999994</v>
      </c>
      <c r="AW52" s="45">
        <v>0</v>
      </c>
    </row>
    <row r="53" spans="1:49">
      <c r="A53" s="45"/>
      <c r="B53" s="45"/>
      <c r="C53" s="50">
        <f t="shared" si="8"/>
        <v>38139</v>
      </c>
      <c r="D53" s="56">
        <v>5.2657324060943804E-2</v>
      </c>
      <c r="E53" s="48">
        <v>4</v>
      </c>
      <c r="F53" s="48">
        <v>0.28749999999999998</v>
      </c>
      <c r="G53" s="48">
        <v>0.28800000000000003</v>
      </c>
      <c r="H53" s="48">
        <v>0.28800000000000003</v>
      </c>
      <c r="I53" s="48">
        <v>0.29600000000000004</v>
      </c>
      <c r="J53" s="48">
        <v>0.28800000000000003</v>
      </c>
      <c r="K53" s="45">
        <v>0.28800000000000003</v>
      </c>
      <c r="L53" s="48">
        <v>0.45</v>
      </c>
      <c r="M53" s="48">
        <v>0.4</v>
      </c>
      <c r="N53" s="48">
        <v>0.5</v>
      </c>
      <c r="O53" s="48">
        <v>0.5</v>
      </c>
      <c r="P53" s="48">
        <v>0.5</v>
      </c>
      <c r="Q53" s="56">
        <v>0.215</v>
      </c>
      <c r="R53" s="56">
        <v>0</v>
      </c>
      <c r="S53" s="45">
        <v>-5.7500000000000002E-2</v>
      </c>
      <c r="T53" s="45">
        <v>0</v>
      </c>
      <c r="U53" s="45">
        <v>-0.1</v>
      </c>
      <c r="V53" s="45">
        <v>-0.01</v>
      </c>
      <c r="W53" s="45">
        <v>-0.1</v>
      </c>
      <c r="X53" s="45">
        <v>-0.01</v>
      </c>
      <c r="Y53" s="45">
        <v>0.155</v>
      </c>
      <c r="Z53" s="45">
        <v>0</v>
      </c>
      <c r="AA53" s="45">
        <v>0.155</v>
      </c>
      <c r="AB53" s="45">
        <v>0</v>
      </c>
      <c r="AC53" s="45">
        <v>0.19500000000000001</v>
      </c>
      <c r="AD53" s="45">
        <v>1.2500000000000001E-2</v>
      </c>
      <c r="AE53" s="45">
        <v>9.5000000000000001E-2</v>
      </c>
      <c r="AF53" s="45">
        <v>5.0000000000000001E-3</v>
      </c>
      <c r="AG53" s="45">
        <v>0.25</v>
      </c>
      <c r="AH53" s="45">
        <v>0</v>
      </c>
      <c r="AI53" s="45">
        <v>0.19500000000000001</v>
      </c>
      <c r="AJ53" s="45">
        <v>0</v>
      </c>
      <c r="AK53" s="45">
        <v>-0.44500000000000001</v>
      </c>
      <c r="AL53" s="45">
        <v>1.6954651968583E-3</v>
      </c>
      <c r="AM53" s="45">
        <v>0.14000000000000001</v>
      </c>
      <c r="AN53" s="45">
        <v>1.5550525630874099</v>
      </c>
      <c r="AO53" s="45">
        <v>0.28800000000000003</v>
      </c>
      <c r="AP53" s="45">
        <v>0.185</v>
      </c>
      <c r="AQ53" s="45">
        <v>0.185</v>
      </c>
      <c r="AR53" s="45">
        <f t="shared" si="9"/>
        <v>0.64306507943023772</v>
      </c>
      <c r="AT53" s="217">
        <f t="shared" si="10"/>
        <v>9.4985753862068853E-2</v>
      </c>
      <c r="AU53" s="217">
        <f t="shared" si="11"/>
        <v>-0.34831878094107283</v>
      </c>
      <c r="AV53" s="45">
        <f>[10]Sheet1!AA44</f>
        <v>0.14949999999999994</v>
      </c>
      <c r="AW53" s="45">
        <v>0</v>
      </c>
    </row>
    <row r="54" spans="1:49">
      <c r="A54" s="45"/>
      <c r="B54" s="45"/>
      <c r="C54" s="50">
        <f t="shared" si="8"/>
        <v>38169</v>
      </c>
      <c r="D54" s="56">
        <v>5.2924614150209305E-2</v>
      </c>
      <c r="E54" s="48">
        <v>4.0549999999999997</v>
      </c>
      <c r="F54" s="48">
        <v>0.28749999999999998</v>
      </c>
      <c r="G54" s="48">
        <v>0.28800000000000003</v>
      </c>
      <c r="H54" s="48">
        <v>0.28800000000000003</v>
      </c>
      <c r="I54" s="48">
        <v>0.29600000000000004</v>
      </c>
      <c r="J54" s="48">
        <v>0.28800000000000003</v>
      </c>
      <c r="K54" s="45">
        <v>0.28800000000000003</v>
      </c>
      <c r="L54" s="48">
        <v>0.5</v>
      </c>
      <c r="M54" s="48">
        <v>0.4</v>
      </c>
      <c r="N54" s="48">
        <v>0.55000000000000004</v>
      </c>
      <c r="O54" s="48">
        <v>0.5</v>
      </c>
      <c r="P54" s="48">
        <v>0.5</v>
      </c>
      <c r="Q54" s="56">
        <v>0.215</v>
      </c>
      <c r="R54" s="56">
        <v>0</v>
      </c>
      <c r="S54" s="45">
        <v>-5.7500000000000002E-2</v>
      </c>
      <c r="T54" s="45">
        <v>0</v>
      </c>
      <c r="U54" s="45">
        <v>-0.1</v>
      </c>
      <c r="V54" s="45">
        <v>-0.01</v>
      </c>
      <c r="W54" s="45">
        <v>-0.1</v>
      </c>
      <c r="X54" s="45">
        <v>-0.01</v>
      </c>
      <c r="Y54" s="45">
        <v>0.155</v>
      </c>
      <c r="Z54" s="45">
        <v>0</v>
      </c>
      <c r="AA54" s="45">
        <v>0.155</v>
      </c>
      <c r="AB54" s="45">
        <v>0</v>
      </c>
      <c r="AC54" s="45">
        <v>0.2</v>
      </c>
      <c r="AD54" s="45">
        <v>1.2500000000000001E-2</v>
      </c>
      <c r="AE54" s="45">
        <v>9.5000000000000001E-2</v>
      </c>
      <c r="AF54" s="45">
        <v>5.0000000000000001E-3</v>
      </c>
      <c r="AG54" s="45">
        <v>0.25</v>
      </c>
      <c r="AH54" s="45">
        <v>0</v>
      </c>
      <c r="AI54" s="45">
        <v>0.19500000000000001</v>
      </c>
      <c r="AJ54" s="45">
        <v>0</v>
      </c>
      <c r="AK54" s="45">
        <v>-0.44500000000000001</v>
      </c>
      <c r="AL54" s="45">
        <v>1.6957870780788999E-3</v>
      </c>
      <c r="AM54" s="45">
        <v>0.14000000000000001</v>
      </c>
      <c r="AN54" s="45">
        <v>1.55475739500662</v>
      </c>
      <c r="AO54" s="45">
        <v>0.28800000000000003</v>
      </c>
      <c r="AP54" s="45">
        <v>0.185</v>
      </c>
      <c r="AQ54" s="45">
        <v>0.185</v>
      </c>
      <c r="AR54" s="45">
        <f t="shared" si="9"/>
        <v>0.6431871642557726</v>
      </c>
      <c r="AT54" s="217">
        <f t="shared" si="10"/>
        <v>9.5003786747945393E-2</v>
      </c>
      <c r="AU54" s="217">
        <f t="shared" si="11"/>
        <v>-0.34830042617397572</v>
      </c>
      <c r="AV54" s="45">
        <f>[10]Sheet1!AA45</f>
        <v>0.14949999999999994</v>
      </c>
      <c r="AW54" s="45">
        <v>0</v>
      </c>
    </row>
    <row r="55" spans="1:49">
      <c r="A55" s="45"/>
      <c r="B55" s="45"/>
      <c r="C55" s="50">
        <f t="shared" si="8"/>
        <v>38200</v>
      </c>
      <c r="D55" s="56">
        <v>5.3188628869126599E-2</v>
      </c>
      <c r="E55" s="48">
        <v>4.1109999999999998</v>
      </c>
      <c r="F55" s="48">
        <v>0.28749999999999998</v>
      </c>
      <c r="G55" s="48">
        <v>0.28800000000000003</v>
      </c>
      <c r="H55" s="48">
        <v>0.28800000000000003</v>
      </c>
      <c r="I55" s="48">
        <v>0.29600000000000004</v>
      </c>
      <c r="J55" s="48">
        <v>0.28800000000000003</v>
      </c>
      <c r="K55" s="45">
        <v>0.28800000000000003</v>
      </c>
      <c r="L55" s="48">
        <v>0.55000000000000004</v>
      </c>
      <c r="M55" s="48">
        <v>0.5</v>
      </c>
      <c r="N55" s="48">
        <v>0.6</v>
      </c>
      <c r="O55" s="48">
        <v>0.45</v>
      </c>
      <c r="P55" s="48">
        <v>0.55000000000000004</v>
      </c>
      <c r="Q55" s="56">
        <v>0.215</v>
      </c>
      <c r="R55" s="56">
        <v>0</v>
      </c>
      <c r="S55" s="45">
        <v>-5.7500000000000002E-2</v>
      </c>
      <c r="T55" s="45">
        <v>0</v>
      </c>
      <c r="U55" s="45">
        <v>-0.1</v>
      </c>
      <c r="V55" s="45">
        <v>-0.01</v>
      </c>
      <c r="W55" s="45">
        <v>-0.1</v>
      </c>
      <c r="X55" s="45">
        <v>-0.01</v>
      </c>
      <c r="Y55" s="45">
        <v>0.155</v>
      </c>
      <c r="Z55" s="45">
        <v>0</v>
      </c>
      <c r="AA55" s="45">
        <v>0.155</v>
      </c>
      <c r="AB55" s="45">
        <v>0</v>
      </c>
      <c r="AC55" s="45">
        <v>0.21</v>
      </c>
      <c r="AD55" s="45">
        <v>1.2500000000000001E-2</v>
      </c>
      <c r="AE55" s="45">
        <v>9.5000000000000001E-2</v>
      </c>
      <c r="AF55" s="45">
        <v>5.0000000000000001E-3</v>
      </c>
      <c r="AG55" s="45">
        <v>0.25</v>
      </c>
      <c r="AH55" s="45">
        <v>0</v>
      </c>
      <c r="AI55" s="45">
        <v>0.19500000000000001</v>
      </c>
      <c r="AJ55" s="45">
        <v>0</v>
      </c>
      <c r="AK55" s="45">
        <v>-0.44500000000000001</v>
      </c>
      <c r="AL55" s="45">
        <v>1.6960788699794001E-3</v>
      </c>
      <c r="AM55" s="45">
        <v>0.14000000000000001</v>
      </c>
      <c r="AN55" s="45">
        <v>1.5544899159271</v>
      </c>
      <c r="AO55" s="45">
        <v>0.28800000000000003</v>
      </c>
      <c r="AP55" s="45">
        <v>0.185</v>
      </c>
      <c r="AQ55" s="45">
        <v>0.185</v>
      </c>
      <c r="AR55" s="45">
        <f t="shared" si="9"/>
        <v>0.64329783664347451</v>
      </c>
      <c r="AT55" s="217">
        <f t="shared" si="10"/>
        <v>9.5020133927280481E-2</v>
      </c>
      <c r="AU55" s="217">
        <f t="shared" si="11"/>
        <v>-0.34828378720274011</v>
      </c>
      <c r="AV55" s="45">
        <f>[10]Sheet1!AA46</f>
        <v>0.14949999999999994</v>
      </c>
      <c r="AW55" s="45">
        <v>0</v>
      </c>
    </row>
    <row r="56" spans="1:49">
      <c r="A56" s="45"/>
      <c r="B56" s="45"/>
      <c r="C56" s="50">
        <f t="shared" si="8"/>
        <v>38231</v>
      </c>
      <c r="D56" s="56">
        <v>5.3452643611280805E-2</v>
      </c>
      <c r="E56" s="48">
        <v>4.125</v>
      </c>
      <c r="F56" s="48">
        <v>0.28749999999999998</v>
      </c>
      <c r="G56" s="48">
        <v>0.28800000000000003</v>
      </c>
      <c r="H56" s="48">
        <v>0.28800000000000003</v>
      </c>
      <c r="I56" s="48">
        <v>0.29600000000000004</v>
      </c>
      <c r="J56" s="48">
        <v>0.28800000000000003</v>
      </c>
      <c r="K56" s="45">
        <v>0.28800000000000003</v>
      </c>
      <c r="L56" s="48">
        <v>0.55000000000000004</v>
      </c>
      <c r="M56" s="48">
        <v>0.55000000000000004</v>
      </c>
      <c r="N56" s="48">
        <v>0.6</v>
      </c>
      <c r="O56" s="48">
        <v>0.5</v>
      </c>
      <c r="P56" s="48">
        <v>0.6</v>
      </c>
      <c r="Q56" s="56">
        <v>0.215</v>
      </c>
      <c r="R56" s="56">
        <v>0</v>
      </c>
      <c r="S56" s="45">
        <v>-5.7500000000000002E-2</v>
      </c>
      <c r="T56" s="45">
        <v>0</v>
      </c>
      <c r="U56" s="45">
        <v>-0.1</v>
      </c>
      <c r="V56" s="45">
        <v>-0.01</v>
      </c>
      <c r="W56" s="45">
        <v>-0.1</v>
      </c>
      <c r="X56" s="45">
        <v>-0.01</v>
      </c>
      <c r="Y56" s="45">
        <v>0.155</v>
      </c>
      <c r="Z56" s="45">
        <v>0</v>
      </c>
      <c r="AA56" s="45">
        <v>0.155</v>
      </c>
      <c r="AB56" s="45">
        <v>0</v>
      </c>
      <c r="AC56" s="45">
        <v>0.185</v>
      </c>
      <c r="AD56" s="45">
        <v>1.2500000000000001E-2</v>
      </c>
      <c r="AE56" s="45">
        <v>9.5000000000000001E-2</v>
      </c>
      <c r="AF56" s="45">
        <v>5.0000000000000001E-3</v>
      </c>
      <c r="AG56" s="45">
        <v>0.25</v>
      </c>
      <c r="AH56" s="45">
        <v>0</v>
      </c>
      <c r="AI56" s="45">
        <v>0.19500000000000001</v>
      </c>
      <c r="AJ56" s="45">
        <v>0</v>
      </c>
      <c r="AK56" s="45">
        <v>-0.44500000000000001</v>
      </c>
      <c r="AL56" s="45">
        <v>1.6963915791265E-3</v>
      </c>
      <c r="AM56" s="45">
        <v>0.14000000000000001</v>
      </c>
      <c r="AN56" s="45">
        <v>1.55420336462501</v>
      </c>
      <c r="AO56" s="45">
        <v>0.28800000000000003</v>
      </c>
      <c r="AP56" s="45">
        <v>0.185</v>
      </c>
      <c r="AQ56" s="45">
        <v>0.185</v>
      </c>
      <c r="AR56" s="45">
        <f t="shared" si="9"/>
        <v>0.64341644263604769</v>
      </c>
      <c r="AT56" s="217">
        <f t="shared" si="10"/>
        <v>9.5037652962254526E-2</v>
      </c>
      <c r="AU56" s="217">
        <f t="shared" si="11"/>
        <v>-0.34826595545861899</v>
      </c>
      <c r="AV56" s="45">
        <f>[10]Sheet1!AA47</f>
        <v>0.14949999999999994</v>
      </c>
      <c r="AW56" s="45">
        <v>0</v>
      </c>
    </row>
    <row r="57" spans="1:49">
      <c r="A57" s="45"/>
      <c r="B57" s="45"/>
      <c r="C57" s="50">
        <f t="shared" si="8"/>
        <v>38261</v>
      </c>
      <c r="D57" s="56">
        <v>5.3698437004800599E-2</v>
      </c>
      <c r="E57" s="48">
        <v>4.1560000000000006</v>
      </c>
      <c r="F57" s="48">
        <v>0.28749999999999998</v>
      </c>
      <c r="G57" s="48">
        <v>0.28800000000000003</v>
      </c>
      <c r="H57" s="48">
        <v>0.28800000000000003</v>
      </c>
      <c r="I57" s="48">
        <v>0.29600000000000004</v>
      </c>
      <c r="J57" s="48">
        <v>0.28800000000000003</v>
      </c>
      <c r="K57" s="45">
        <v>0.28800000000000003</v>
      </c>
      <c r="L57" s="48">
        <v>0.6</v>
      </c>
      <c r="M57" s="48">
        <v>0.55000000000000004</v>
      </c>
      <c r="N57" s="48">
        <v>0.65</v>
      </c>
      <c r="O57" s="48">
        <v>0.5</v>
      </c>
      <c r="P57" s="48">
        <v>0.65</v>
      </c>
      <c r="Q57" s="56">
        <v>0.215</v>
      </c>
      <c r="R57" s="56">
        <v>0</v>
      </c>
      <c r="S57" s="45">
        <v>-5.7500000000000002E-2</v>
      </c>
      <c r="T57" s="45">
        <v>0</v>
      </c>
      <c r="U57" s="45">
        <v>-0.1</v>
      </c>
      <c r="V57" s="45">
        <v>-0.01</v>
      </c>
      <c r="W57" s="45">
        <v>-0.1</v>
      </c>
      <c r="X57" s="45">
        <v>-0.01</v>
      </c>
      <c r="Y57" s="45">
        <v>0.155</v>
      </c>
      <c r="Z57" s="45">
        <v>0</v>
      </c>
      <c r="AA57" s="45">
        <v>0.155</v>
      </c>
      <c r="AB57" s="45">
        <v>0</v>
      </c>
      <c r="AC57" s="45">
        <v>0.19500000000000001</v>
      </c>
      <c r="AD57" s="45">
        <v>1.2500000000000001E-2</v>
      </c>
      <c r="AE57" s="45">
        <v>9.5000000000000001E-2</v>
      </c>
      <c r="AF57" s="45">
        <v>5.0000000000000001E-3</v>
      </c>
      <c r="AG57" s="45">
        <v>0.25</v>
      </c>
      <c r="AH57" s="45">
        <v>0</v>
      </c>
      <c r="AI57" s="45">
        <v>0.19500000000000001</v>
      </c>
      <c r="AJ57" s="45">
        <v>0</v>
      </c>
      <c r="AK57" s="45">
        <v>-0.44500000000000001</v>
      </c>
      <c r="AL57" s="45">
        <v>1.6966598578125002E-3</v>
      </c>
      <c r="AM57" s="45">
        <v>0.14000000000000001</v>
      </c>
      <c r="AN57" s="45">
        <v>1.55395761139722</v>
      </c>
      <c r="AO57" s="45">
        <v>0.28800000000000003</v>
      </c>
      <c r="AP57" s="45">
        <v>0.185</v>
      </c>
      <c r="AQ57" s="45">
        <v>0.185</v>
      </c>
      <c r="AR57" s="45">
        <f t="shared" si="9"/>
        <v>0.64351819680645184</v>
      </c>
      <c r="AT57" s="217">
        <f t="shared" si="10"/>
        <v>9.50526828509759E-2</v>
      </c>
      <c r="AU57" s="217">
        <f t="shared" si="11"/>
        <v>-0.34825065729121163</v>
      </c>
      <c r="AV57" s="45">
        <f>[10]Sheet1!AA48</f>
        <v>0.14949999999999994</v>
      </c>
      <c r="AW57" s="45">
        <v>0</v>
      </c>
    </row>
    <row r="58" spans="1:49">
      <c r="A58" s="45"/>
      <c r="B58" s="45"/>
      <c r="C58" s="50">
        <f t="shared" si="8"/>
        <v>38292</v>
      </c>
      <c r="D58" s="56">
        <v>5.3943088568337808E-2</v>
      </c>
      <c r="E58" s="48">
        <v>4.2890000000000006</v>
      </c>
      <c r="F58" s="48">
        <v>0.28749999999999998</v>
      </c>
      <c r="G58" s="48">
        <v>0.28800000000000003</v>
      </c>
      <c r="H58" s="48">
        <v>0.28800000000000003</v>
      </c>
      <c r="I58" s="48">
        <v>0.29600000000000004</v>
      </c>
      <c r="J58" s="48">
        <v>0.28800000000000003</v>
      </c>
      <c r="K58" s="45">
        <v>0.28800000000000003</v>
      </c>
      <c r="L58" s="48">
        <v>0.8</v>
      </c>
      <c r="M58" s="48">
        <v>0.8</v>
      </c>
      <c r="N58" s="48">
        <v>0.8</v>
      </c>
      <c r="O58" s="48">
        <v>0.95</v>
      </c>
      <c r="P58" s="48">
        <v>0.85</v>
      </c>
      <c r="Q58" s="56">
        <v>0.31</v>
      </c>
      <c r="R58" s="56">
        <v>0</v>
      </c>
      <c r="S58" s="45">
        <v>-5.2499999999999998E-2</v>
      </c>
      <c r="T58" s="45">
        <v>5.0000000000000001E-3</v>
      </c>
      <c r="U58" s="45">
        <v>-0.1</v>
      </c>
      <c r="V58" s="45">
        <v>0.01</v>
      </c>
      <c r="W58" s="45">
        <v>-0.1</v>
      </c>
      <c r="X58" s="45">
        <v>0.01</v>
      </c>
      <c r="Y58" s="45">
        <v>0.21</v>
      </c>
      <c r="Z58" s="45">
        <v>0</v>
      </c>
      <c r="AA58" s="45">
        <v>0.21</v>
      </c>
      <c r="AB58" s="45">
        <v>0</v>
      </c>
      <c r="AC58" s="45">
        <v>0.28000000000000003</v>
      </c>
      <c r="AD58" s="45">
        <v>0.03</v>
      </c>
      <c r="AE58" s="45">
        <v>0.17</v>
      </c>
      <c r="AF58" s="45">
        <v>0.02</v>
      </c>
      <c r="AG58" s="45">
        <v>0.51</v>
      </c>
      <c r="AH58" s="45">
        <v>0</v>
      </c>
      <c r="AI58" s="45">
        <v>0.31</v>
      </c>
      <c r="AJ58" s="45">
        <v>0</v>
      </c>
      <c r="AK58" s="45">
        <v>-0.37</v>
      </c>
      <c r="AL58" s="45">
        <v>5.4300844415980003E-3</v>
      </c>
      <c r="AM58" s="45">
        <v>0.14000000000000001</v>
      </c>
      <c r="AN58" s="45">
        <v>1.55373642725842</v>
      </c>
      <c r="AO58" s="45">
        <v>0.28800000000000003</v>
      </c>
      <c r="AP58" s="45">
        <v>0.3</v>
      </c>
      <c r="AQ58" s="45">
        <v>0.3</v>
      </c>
      <c r="AR58" s="45">
        <f t="shared" si="9"/>
        <v>0.6436098056634405</v>
      </c>
      <c r="AT58" s="217">
        <f t="shared" si="10"/>
        <v>9.5066214197366578E-2</v>
      </c>
      <c r="AU58" s="217">
        <f t="shared" si="11"/>
        <v>-0.26950370136103541</v>
      </c>
      <c r="AV58" s="45">
        <f>[10]Sheet1!AA49</f>
        <v>0.20107142857142857</v>
      </c>
      <c r="AW58" s="45">
        <v>0</v>
      </c>
    </row>
    <row r="59" spans="1:49">
      <c r="A59" s="45"/>
      <c r="B59" s="45"/>
      <c r="C59" s="50">
        <f t="shared" si="8"/>
        <v>38322</v>
      </c>
      <c r="D59" s="56">
        <v>5.4179848164946302E-2</v>
      </c>
      <c r="E59" s="48">
        <v>4.4270000000000005</v>
      </c>
      <c r="F59" s="48">
        <v>0.28999999999999998</v>
      </c>
      <c r="G59" s="48">
        <v>0.28999999999999998</v>
      </c>
      <c r="H59" s="48">
        <v>0.28999999999999998</v>
      </c>
      <c r="I59" s="48">
        <v>0.29899999999999999</v>
      </c>
      <c r="J59" s="48">
        <v>0.28999999999999998</v>
      </c>
      <c r="K59" s="45">
        <v>0.28999999999999998</v>
      </c>
      <c r="L59" s="48">
        <v>1</v>
      </c>
      <c r="M59" s="48">
        <v>1</v>
      </c>
      <c r="N59" s="48">
        <v>1.1000000000000001</v>
      </c>
      <c r="O59" s="48">
        <v>1.35</v>
      </c>
      <c r="P59" s="48">
        <v>1.05</v>
      </c>
      <c r="Q59" s="56">
        <v>0.31</v>
      </c>
      <c r="R59" s="56">
        <v>0</v>
      </c>
      <c r="S59" s="45">
        <v>-5.2499999999999998E-2</v>
      </c>
      <c r="T59" s="45">
        <v>5.0000000000000001E-3</v>
      </c>
      <c r="U59" s="45">
        <v>-0.10249999999999999</v>
      </c>
      <c r="V59" s="45">
        <v>0.01</v>
      </c>
      <c r="W59" s="45">
        <v>-0.10249999999999999</v>
      </c>
      <c r="X59" s="45">
        <v>0.01</v>
      </c>
      <c r="Y59" s="45">
        <v>0.21</v>
      </c>
      <c r="Z59" s="45">
        <v>0</v>
      </c>
      <c r="AA59" s="45">
        <v>0.21</v>
      </c>
      <c r="AB59" s="45">
        <v>0</v>
      </c>
      <c r="AC59" s="45">
        <v>0.32</v>
      </c>
      <c r="AD59" s="45">
        <v>0.03</v>
      </c>
      <c r="AE59" s="45">
        <v>0.17</v>
      </c>
      <c r="AF59" s="45">
        <v>0.02</v>
      </c>
      <c r="AG59" s="45">
        <v>0.51</v>
      </c>
      <c r="AH59" s="45">
        <v>0</v>
      </c>
      <c r="AI59" s="45">
        <v>0.31</v>
      </c>
      <c r="AJ59" s="45">
        <v>0</v>
      </c>
      <c r="AK59" s="45">
        <v>-0.37</v>
      </c>
      <c r="AL59" s="45">
        <v>5.4308795926151995E-3</v>
      </c>
      <c r="AM59" s="45">
        <v>0.14000000000000001</v>
      </c>
      <c r="AN59" s="45">
        <v>1.5535089401489099</v>
      </c>
      <c r="AO59" s="45">
        <v>0.28999999999999998</v>
      </c>
      <c r="AP59" s="45">
        <v>0.3</v>
      </c>
      <c r="AQ59" s="45">
        <v>0.3</v>
      </c>
      <c r="AR59" s="45">
        <f t="shared" si="9"/>
        <v>0.64370405226258054</v>
      </c>
      <c r="AT59" s="217">
        <f t="shared" si="10"/>
        <v>9.5080135158952889E-2</v>
      </c>
      <c r="AU59" s="217">
        <f t="shared" si="11"/>
        <v>-0.2694889852484319</v>
      </c>
      <c r="AV59" s="45">
        <f>[10]Sheet1!AA50</f>
        <v>0.20607142857142857</v>
      </c>
      <c r="AW59" s="45">
        <v>0</v>
      </c>
    </row>
    <row r="60" spans="1:49">
      <c r="A60" s="45"/>
      <c r="B60" s="45"/>
      <c r="C60" s="50">
        <f t="shared" si="8"/>
        <v>38353</v>
      </c>
      <c r="D60" s="56">
        <v>5.4421390858332003E-2</v>
      </c>
      <c r="E60" s="48">
        <v>4.4140000000000006</v>
      </c>
      <c r="F60" s="48">
        <v>0.29249999999999998</v>
      </c>
      <c r="G60" s="48">
        <v>0.29300000000000004</v>
      </c>
      <c r="H60" s="48">
        <v>0.29300000000000004</v>
      </c>
      <c r="I60" s="48">
        <v>0.30099999999999999</v>
      </c>
      <c r="J60" s="48">
        <v>0.29300000000000004</v>
      </c>
      <c r="K60" s="45">
        <v>0.29300000000000004</v>
      </c>
      <c r="L60" s="48">
        <v>1</v>
      </c>
      <c r="M60" s="48">
        <v>1</v>
      </c>
      <c r="N60" s="48">
        <v>1.1000000000000001</v>
      </c>
      <c r="O60" s="48">
        <v>1.35</v>
      </c>
      <c r="P60" s="48">
        <v>1.05</v>
      </c>
      <c r="Q60" s="56">
        <v>0.31</v>
      </c>
      <c r="R60" s="56">
        <v>0</v>
      </c>
      <c r="S60" s="45">
        <v>-5.2499999999999998E-2</v>
      </c>
      <c r="T60" s="45">
        <v>5.0000000000000001E-3</v>
      </c>
      <c r="U60" s="45">
        <v>-0.105</v>
      </c>
      <c r="V60" s="45">
        <v>0.01</v>
      </c>
      <c r="W60" s="45">
        <v>-0.105</v>
      </c>
      <c r="X60" s="45">
        <v>0.01</v>
      </c>
      <c r="Y60" s="45">
        <v>0.21</v>
      </c>
      <c r="Z60" s="45">
        <v>0</v>
      </c>
      <c r="AA60" s="45">
        <v>0.21</v>
      </c>
      <c r="AB60" s="45">
        <v>0</v>
      </c>
      <c r="AC60" s="45">
        <v>0.32</v>
      </c>
      <c r="AD60" s="45">
        <v>0.03</v>
      </c>
      <c r="AE60" s="45">
        <v>0.17</v>
      </c>
      <c r="AF60" s="45">
        <v>0.02</v>
      </c>
      <c r="AG60" s="45">
        <v>0.51</v>
      </c>
      <c r="AH60" s="45">
        <v>0</v>
      </c>
      <c r="AI60" s="45">
        <v>0.31</v>
      </c>
      <c r="AJ60" s="45">
        <v>0</v>
      </c>
      <c r="AK60" s="45">
        <v>-0.37</v>
      </c>
      <c r="AL60" s="45">
        <v>5.4316902433390003E-3</v>
      </c>
      <c r="AM60" s="45">
        <v>0.14000000000000001</v>
      </c>
      <c r="AN60" s="45">
        <v>1.5532770872467001</v>
      </c>
      <c r="AO60" s="45">
        <v>0.29300000000000004</v>
      </c>
      <c r="AP60" s="45">
        <v>0.3</v>
      </c>
      <c r="AQ60" s="45">
        <v>0.3</v>
      </c>
      <c r="AR60" s="45">
        <f t="shared" si="9"/>
        <v>0.64380013599027253</v>
      </c>
      <c r="AT60" s="217">
        <f t="shared" si="10"/>
        <v>9.5094327478829413E-2</v>
      </c>
      <c r="AU60" s="217">
        <f t="shared" si="11"/>
        <v>-0.26947398227783159</v>
      </c>
      <c r="AV60" s="45">
        <f>[10]Sheet1!AA51</f>
        <v>0.20607142857142857</v>
      </c>
      <c r="AW60" s="45">
        <v>0</v>
      </c>
    </row>
    <row r="61" spans="1:49">
      <c r="A61" s="45"/>
      <c r="B61" s="45"/>
      <c r="C61" s="50">
        <f t="shared" si="8"/>
        <v>38384</v>
      </c>
      <c r="D61" s="56">
        <v>5.4660373292624097E-2</v>
      </c>
      <c r="E61" s="48">
        <v>4.2940000000000005</v>
      </c>
      <c r="F61" s="48">
        <v>0.28499999999999998</v>
      </c>
      <c r="G61" s="48">
        <v>0.28499999999999998</v>
      </c>
      <c r="H61" s="48">
        <v>0.28499999999999998</v>
      </c>
      <c r="I61" s="48">
        <v>0.29400000000000004</v>
      </c>
      <c r="J61" s="48">
        <v>0.28499999999999998</v>
      </c>
      <c r="K61" s="45">
        <v>0.28499999999999998</v>
      </c>
      <c r="L61" s="48">
        <v>1</v>
      </c>
      <c r="M61" s="48">
        <v>1</v>
      </c>
      <c r="N61" s="48">
        <v>1.1000000000000001</v>
      </c>
      <c r="O61" s="48">
        <v>1.35</v>
      </c>
      <c r="P61" s="48">
        <v>1.05</v>
      </c>
      <c r="Q61" s="56">
        <v>0.31</v>
      </c>
      <c r="R61" s="56">
        <v>0</v>
      </c>
      <c r="S61" s="45">
        <v>-5.2499999999999998E-2</v>
      </c>
      <c r="T61" s="45">
        <v>5.0000000000000001E-3</v>
      </c>
      <c r="U61" s="45">
        <v>-9.7500000000000003E-2</v>
      </c>
      <c r="V61" s="45">
        <v>0.01</v>
      </c>
      <c r="W61" s="45">
        <v>-9.7500000000000003E-2</v>
      </c>
      <c r="X61" s="45">
        <v>0.01</v>
      </c>
      <c r="Y61" s="45">
        <v>0.21</v>
      </c>
      <c r="Z61" s="45">
        <v>0</v>
      </c>
      <c r="AA61" s="45">
        <v>0.21</v>
      </c>
      <c r="AB61" s="45">
        <v>0</v>
      </c>
      <c r="AC61" s="45">
        <v>0.3</v>
      </c>
      <c r="AD61" s="45">
        <v>0.03</v>
      </c>
      <c r="AE61" s="45">
        <v>0.17</v>
      </c>
      <c r="AF61" s="45">
        <v>0.02</v>
      </c>
      <c r="AG61" s="45">
        <v>0.51</v>
      </c>
      <c r="AH61" s="45">
        <v>0</v>
      </c>
      <c r="AI61" s="45">
        <v>0.31</v>
      </c>
      <c r="AJ61" s="45">
        <v>0</v>
      </c>
      <c r="AK61" s="45">
        <v>-0.37</v>
      </c>
      <c r="AL61" s="45">
        <v>5.4324972974157002E-3</v>
      </c>
      <c r="AM61" s="45">
        <v>0.14000000000000001</v>
      </c>
      <c r="AN61" s="45">
        <v>1.55304633175123</v>
      </c>
      <c r="AO61" s="45">
        <v>0.28499999999999998</v>
      </c>
      <c r="AP61" s="45">
        <v>0.3</v>
      </c>
      <c r="AQ61" s="45">
        <v>0.3</v>
      </c>
      <c r="AR61" s="45">
        <f t="shared" si="9"/>
        <v>0.64389579341936976</v>
      </c>
      <c r="AT61" s="217">
        <f t="shared" si="10"/>
        <v>9.5108456831061325E-2</v>
      </c>
      <c r="AU61" s="217">
        <f t="shared" si="11"/>
        <v>-0.26945904587152297</v>
      </c>
      <c r="AV61" s="45">
        <f>[10]Sheet1!AA52</f>
        <v>0.20607142857142857</v>
      </c>
      <c r="AW61" s="45">
        <v>0</v>
      </c>
    </row>
    <row r="62" spans="1:49">
      <c r="A62" s="45"/>
      <c r="B62" s="45"/>
      <c r="C62" s="50">
        <f t="shared" si="8"/>
        <v>38412</v>
      </c>
      <c r="D62" s="56">
        <v>5.4876228410918805E-2</v>
      </c>
      <c r="E62" s="48">
        <v>4.1550000000000002</v>
      </c>
      <c r="F62" s="48">
        <v>0.28000000000000003</v>
      </c>
      <c r="G62" s="48">
        <v>0.28000000000000003</v>
      </c>
      <c r="H62" s="48">
        <v>0.28000000000000003</v>
      </c>
      <c r="I62" s="48">
        <v>0.28800000000000003</v>
      </c>
      <c r="J62" s="48">
        <v>0.28000000000000003</v>
      </c>
      <c r="K62" s="45">
        <v>0.28000000000000003</v>
      </c>
      <c r="L62" s="48">
        <v>0.75</v>
      </c>
      <c r="M62" s="48">
        <v>0.75</v>
      </c>
      <c r="N62" s="48">
        <v>0.75</v>
      </c>
      <c r="O62" s="48">
        <v>0.95</v>
      </c>
      <c r="P62" s="48">
        <v>0.75</v>
      </c>
      <c r="Q62" s="56">
        <v>0.31</v>
      </c>
      <c r="R62" s="56">
        <v>0</v>
      </c>
      <c r="S62" s="45">
        <v>-5.2499999999999998E-2</v>
      </c>
      <c r="T62" s="45">
        <v>5.0000000000000001E-3</v>
      </c>
      <c r="U62" s="45">
        <v>-9.5000000000000001E-2</v>
      </c>
      <c r="V62" s="45">
        <v>0.01</v>
      </c>
      <c r="W62" s="45">
        <v>-9.5000000000000001E-2</v>
      </c>
      <c r="X62" s="45">
        <v>0.01</v>
      </c>
      <c r="Y62" s="45">
        <v>0.21</v>
      </c>
      <c r="Z62" s="45">
        <v>0</v>
      </c>
      <c r="AA62" s="45">
        <v>0.21</v>
      </c>
      <c r="AB62" s="45">
        <v>0</v>
      </c>
      <c r="AC62" s="45">
        <v>0.28000000000000003</v>
      </c>
      <c r="AD62" s="45">
        <v>0.03</v>
      </c>
      <c r="AE62" s="45">
        <v>0.17</v>
      </c>
      <c r="AF62" s="45">
        <v>0.02</v>
      </c>
      <c r="AG62" s="45">
        <v>0.51</v>
      </c>
      <c r="AH62" s="45">
        <v>0</v>
      </c>
      <c r="AI62" s="45">
        <v>0.31</v>
      </c>
      <c r="AJ62" s="45">
        <v>0</v>
      </c>
      <c r="AK62" s="45">
        <v>-0.37</v>
      </c>
      <c r="AL62" s="45">
        <v>5.4332644826750008E-3</v>
      </c>
      <c r="AM62" s="45">
        <v>0.14000000000000001</v>
      </c>
      <c r="AN62" s="45">
        <v>1.5528270392326</v>
      </c>
      <c r="AO62" s="45">
        <v>0.28000000000000003</v>
      </c>
      <c r="AP62" s="45">
        <v>0.3</v>
      </c>
      <c r="AQ62" s="45">
        <v>0.3</v>
      </c>
      <c r="AR62" s="45">
        <f t="shared" si="9"/>
        <v>0.64398672533046264</v>
      </c>
      <c r="AT62" s="217">
        <f t="shared" si="10"/>
        <v>9.5121888187235937E-2</v>
      </c>
      <c r="AU62" s="217">
        <f t="shared" si="11"/>
        <v>-0.26944484733008905</v>
      </c>
      <c r="AV62" s="45">
        <f>[10]Sheet1!AA53</f>
        <v>0.20607142857142857</v>
      </c>
      <c r="AW62" s="45">
        <v>0</v>
      </c>
    </row>
    <row r="63" spans="1:49">
      <c r="A63" s="45"/>
      <c r="B63" s="45"/>
      <c r="C63" s="50">
        <f t="shared" si="8"/>
        <v>38443</v>
      </c>
      <c r="D63" s="56">
        <v>5.5097222981544305E-2</v>
      </c>
      <c r="E63" s="48">
        <v>3.98</v>
      </c>
      <c r="F63" s="48">
        <v>0.27</v>
      </c>
      <c r="G63" s="48">
        <v>0.27</v>
      </c>
      <c r="H63" s="48">
        <v>0.27</v>
      </c>
      <c r="I63" s="48">
        <v>0.27800000000000002</v>
      </c>
      <c r="J63" s="48">
        <v>0.27</v>
      </c>
      <c r="K63" s="45">
        <v>0.27</v>
      </c>
      <c r="L63" s="48">
        <v>0.4</v>
      </c>
      <c r="M63" s="48">
        <v>0.4</v>
      </c>
      <c r="N63" s="48">
        <v>0.45</v>
      </c>
      <c r="O63" s="48">
        <v>0.5</v>
      </c>
      <c r="P63" s="48">
        <v>0.45</v>
      </c>
      <c r="Q63" s="56">
        <v>0.215</v>
      </c>
      <c r="R63" s="56">
        <v>0</v>
      </c>
      <c r="S63" s="45">
        <v>-5.5E-2</v>
      </c>
      <c r="T63" s="45">
        <v>0</v>
      </c>
      <c r="U63" s="45">
        <v>-0.1</v>
      </c>
      <c r="V63" s="45">
        <v>-0.01</v>
      </c>
      <c r="W63" s="45">
        <v>-0.1</v>
      </c>
      <c r="X63" s="45">
        <v>-0.01</v>
      </c>
      <c r="Y63" s="45">
        <v>0.155</v>
      </c>
      <c r="Z63" s="45">
        <v>0</v>
      </c>
      <c r="AA63" s="45">
        <v>0.155</v>
      </c>
      <c r="AB63" s="45">
        <v>0</v>
      </c>
      <c r="AC63" s="45">
        <v>0.19500000000000001</v>
      </c>
      <c r="AD63" s="45">
        <v>1.7500000000000002E-2</v>
      </c>
      <c r="AE63" s="45">
        <v>9.5000000000000001E-2</v>
      </c>
      <c r="AF63" s="45">
        <v>5.0000000000000001E-3</v>
      </c>
      <c r="AG63" s="45">
        <v>0.23499999999999999</v>
      </c>
      <c r="AH63" s="45">
        <v>0</v>
      </c>
      <c r="AI63" s="45">
        <v>0.18</v>
      </c>
      <c r="AJ63" s="45">
        <v>0</v>
      </c>
      <c r="AK63" s="45">
        <v>-0.45500000000000002</v>
      </c>
      <c r="AL63" s="45">
        <v>1.6980584069266999E-3</v>
      </c>
      <c r="AM63" s="45">
        <v>0.14000000000000001</v>
      </c>
      <c r="AN63" s="45">
        <v>1.5526777460922698</v>
      </c>
      <c r="AO63" s="45">
        <v>0.27</v>
      </c>
      <c r="AP63" s="45">
        <v>0.17</v>
      </c>
      <c r="AQ63" s="45">
        <v>0.17</v>
      </c>
      <c r="AR63" s="45">
        <f t="shared" si="9"/>
        <v>0.64404864597098033</v>
      </c>
      <c r="AT63" s="217">
        <f t="shared" si="10"/>
        <v>9.5131034351298216E-2</v>
      </c>
      <c r="AU63" s="217">
        <f t="shared" si="11"/>
        <v>-0.35817090724177508</v>
      </c>
      <c r="AV63" s="45">
        <f>[10]Sheet1!AA54</f>
        <v>0.15199999999999994</v>
      </c>
      <c r="AW63" s="45">
        <v>0</v>
      </c>
    </row>
    <row r="64" spans="1:49">
      <c r="A64" s="45"/>
      <c r="B64" s="45"/>
      <c r="C64" s="50">
        <f t="shared" si="8"/>
        <v>38473</v>
      </c>
      <c r="D64" s="56">
        <v>5.5295320604624304E-2</v>
      </c>
      <c r="E64" s="48">
        <v>3.95</v>
      </c>
      <c r="F64" s="48">
        <v>0.26250000000000001</v>
      </c>
      <c r="G64" s="48">
        <v>0.26300000000000001</v>
      </c>
      <c r="H64" s="48">
        <v>0.26300000000000001</v>
      </c>
      <c r="I64" s="48">
        <v>0.27</v>
      </c>
      <c r="J64" s="48">
        <v>0.26300000000000001</v>
      </c>
      <c r="K64" s="45">
        <v>0.26300000000000001</v>
      </c>
      <c r="L64" s="48">
        <v>0.45</v>
      </c>
      <c r="M64" s="48">
        <v>0.4</v>
      </c>
      <c r="N64" s="48">
        <v>0.5</v>
      </c>
      <c r="O64" s="48">
        <v>0.45</v>
      </c>
      <c r="P64" s="48">
        <v>0.45</v>
      </c>
      <c r="Q64" s="56">
        <v>0.215</v>
      </c>
      <c r="R64" s="56">
        <v>0</v>
      </c>
      <c r="S64" s="45">
        <v>-5.5E-2</v>
      </c>
      <c r="T64" s="45">
        <v>0</v>
      </c>
      <c r="U64" s="45">
        <v>-0.1</v>
      </c>
      <c r="V64" s="45">
        <v>-0.01</v>
      </c>
      <c r="W64" s="45">
        <v>-0.1</v>
      </c>
      <c r="X64" s="45">
        <v>-0.01</v>
      </c>
      <c r="Y64" s="45">
        <v>0.155</v>
      </c>
      <c r="Z64" s="45">
        <v>0</v>
      </c>
      <c r="AA64" s="45">
        <v>0.155</v>
      </c>
      <c r="AB64" s="45">
        <v>0</v>
      </c>
      <c r="AC64" s="45">
        <v>0.185</v>
      </c>
      <c r="AD64" s="45">
        <v>0.01</v>
      </c>
      <c r="AE64" s="45">
        <v>9.5000000000000001E-2</v>
      </c>
      <c r="AF64" s="45">
        <v>5.0000000000000001E-3</v>
      </c>
      <c r="AG64" s="45">
        <v>0.23499999999999999</v>
      </c>
      <c r="AH64" s="45">
        <v>0</v>
      </c>
      <c r="AI64" s="45">
        <v>0.18</v>
      </c>
      <c r="AJ64" s="45">
        <v>0</v>
      </c>
      <c r="AK64" s="45">
        <v>-0.45500000000000002</v>
      </c>
      <c r="AL64" s="45">
        <v>1.6981215277104E-3</v>
      </c>
      <c r="AM64" s="45">
        <v>0.14000000000000001</v>
      </c>
      <c r="AN64" s="45">
        <v>1.55262003159147</v>
      </c>
      <c r="AO64" s="45">
        <v>0.26300000000000001</v>
      </c>
      <c r="AP64" s="45">
        <v>0.17</v>
      </c>
      <c r="AQ64" s="45">
        <v>0.17</v>
      </c>
      <c r="AR64" s="45">
        <f t="shared" si="9"/>
        <v>0.64407258675838275</v>
      </c>
      <c r="AT64" s="217">
        <f t="shared" si="10"/>
        <v>9.5134570593293333E-2</v>
      </c>
      <c r="AU64" s="217">
        <f t="shared" si="11"/>
        <v>-0.35816730787899631</v>
      </c>
      <c r="AV64" s="45">
        <f>[10]Sheet1!AA55</f>
        <v>0.15199999999999994</v>
      </c>
      <c r="AW64" s="45">
        <v>0</v>
      </c>
    </row>
    <row r="65" spans="1:49">
      <c r="A65" s="45"/>
      <c r="B65" s="45"/>
      <c r="C65" s="50">
        <f t="shared" si="8"/>
        <v>38504</v>
      </c>
      <c r="D65" s="56">
        <v>5.5500021495536803E-2</v>
      </c>
      <c r="E65" s="48">
        <v>4.0199999999999996</v>
      </c>
      <c r="F65" s="48">
        <v>0.25750000000000001</v>
      </c>
      <c r="G65" s="48">
        <v>0.25800000000000001</v>
      </c>
      <c r="H65" s="48">
        <v>0.25800000000000001</v>
      </c>
      <c r="I65" s="48">
        <v>0.26500000000000001</v>
      </c>
      <c r="J65" s="48">
        <v>0.25800000000000001</v>
      </c>
      <c r="K65" s="45">
        <v>0.25800000000000001</v>
      </c>
      <c r="L65" s="48">
        <v>0.45</v>
      </c>
      <c r="M65" s="48">
        <v>0.4</v>
      </c>
      <c r="N65" s="48">
        <v>0.5</v>
      </c>
      <c r="O65" s="48">
        <v>0.5</v>
      </c>
      <c r="P65" s="48">
        <v>0.5</v>
      </c>
      <c r="Q65" s="56">
        <v>0.215</v>
      </c>
      <c r="R65" s="56">
        <v>0</v>
      </c>
      <c r="S65" s="45">
        <v>-5.5E-2</v>
      </c>
      <c r="T65" s="45">
        <v>0</v>
      </c>
      <c r="U65" s="45">
        <v>-0.1</v>
      </c>
      <c r="V65" s="45">
        <v>-0.01</v>
      </c>
      <c r="W65" s="45">
        <v>-0.1</v>
      </c>
      <c r="X65" s="45">
        <v>-0.01</v>
      </c>
      <c r="Y65" s="45">
        <v>0.155</v>
      </c>
      <c r="Z65" s="45">
        <v>0</v>
      </c>
      <c r="AA65" s="45">
        <v>0.155</v>
      </c>
      <c r="AB65" s="45">
        <v>0</v>
      </c>
      <c r="AC65" s="45">
        <v>0.19500000000000001</v>
      </c>
      <c r="AD65" s="45">
        <v>1.2500000000000001E-2</v>
      </c>
      <c r="AE65" s="45">
        <v>9.5000000000000001E-2</v>
      </c>
      <c r="AF65" s="45">
        <v>5.0000000000000001E-3</v>
      </c>
      <c r="AG65" s="45">
        <v>0.23499999999999999</v>
      </c>
      <c r="AH65" s="45">
        <v>0</v>
      </c>
      <c r="AI65" s="45">
        <v>0.18</v>
      </c>
      <c r="AJ65" s="45">
        <v>0</v>
      </c>
      <c r="AK65" s="45">
        <v>-0.45500000000000002</v>
      </c>
      <c r="AL65" s="45">
        <v>1.698190972729E-3</v>
      </c>
      <c r="AM65" s="45">
        <v>0.14000000000000001</v>
      </c>
      <c r="AN65" s="45">
        <v>1.5525565394821599</v>
      </c>
      <c r="AO65" s="45">
        <v>0.25800000000000001</v>
      </c>
      <c r="AP65" s="45">
        <v>0.17</v>
      </c>
      <c r="AQ65" s="45">
        <v>0.17</v>
      </c>
      <c r="AR65" s="45">
        <f t="shared" si="9"/>
        <v>0.64409892623526632</v>
      </c>
      <c r="AT65" s="217">
        <f t="shared" si="10"/>
        <v>9.5138461140530525E-2</v>
      </c>
      <c r="AU65" s="217">
        <f t="shared" si="11"/>
        <v>-0.35816334788674048</v>
      </c>
      <c r="AV65" s="45">
        <f>[10]Sheet1!AA56</f>
        <v>0.15199999999999994</v>
      </c>
      <c r="AW65" s="45">
        <v>0</v>
      </c>
    </row>
    <row r="66" spans="1:49">
      <c r="A66" s="45"/>
      <c r="B66" s="45"/>
      <c r="C66" s="50">
        <f t="shared" si="8"/>
        <v>38534</v>
      </c>
      <c r="D66" s="56">
        <v>5.5703113216487597E-2</v>
      </c>
      <c r="E66" s="48">
        <v>4.0750000000000002</v>
      </c>
      <c r="F66" s="48">
        <v>0.25750000000000001</v>
      </c>
      <c r="G66" s="48">
        <v>0.25800000000000001</v>
      </c>
      <c r="H66" s="48">
        <v>0.25800000000000001</v>
      </c>
      <c r="I66" s="48">
        <v>0.26500000000000001</v>
      </c>
      <c r="J66" s="48">
        <v>0.25800000000000001</v>
      </c>
      <c r="K66" s="45">
        <v>0.25800000000000001</v>
      </c>
      <c r="L66" s="48">
        <v>0.5</v>
      </c>
      <c r="M66" s="48">
        <v>0.4</v>
      </c>
      <c r="N66" s="48">
        <v>0.55000000000000004</v>
      </c>
      <c r="O66" s="48">
        <v>0.5</v>
      </c>
      <c r="P66" s="48">
        <v>0.5</v>
      </c>
      <c r="Q66" s="56">
        <v>0.215</v>
      </c>
      <c r="R66" s="56">
        <v>0</v>
      </c>
      <c r="S66" s="45">
        <v>-5.5E-2</v>
      </c>
      <c r="T66" s="45">
        <v>0</v>
      </c>
      <c r="U66" s="45">
        <v>-0.1</v>
      </c>
      <c r="V66" s="45">
        <v>-0.01</v>
      </c>
      <c r="W66" s="45">
        <v>-0.1</v>
      </c>
      <c r="X66" s="45">
        <v>-0.01</v>
      </c>
      <c r="Y66" s="45">
        <v>0.155</v>
      </c>
      <c r="Z66" s="45">
        <v>0</v>
      </c>
      <c r="AA66" s="45">
        <v>0.155</v>
      </c>
      <c r="AB66" s="45">
        <v>0</v>
      </c>
      <c r="AC66" s="45">
        <v>0.2</v>
      </c>
      <c r="AD66" s="45">
        <v>1.2500000000000001E-2</v>
      </c>
      <c r="AE66" s="45">
        <v>9.5000000000000001E-2</v>
      </c>
      <c r="AF66" s="45">
        <v>5.0000000000000001E-3</v>
      </c>
      <c r="AG66" s="45">
        <v>0.23499999999999999</v>
      </c>
      <c r="AH66" s="45">
        <v>0</v>
      </c>
      <c r="AI66" s="45">
        <v>0.18</v>
      </c>
      <c r="AJ66" s="45">
        <v>0</v>
      </c>
      <c r="AK66" s="45">
        <v>-0.45500000000000002</v>
      </c>
      <c r="AL66" s="45">
        <v>1.6982963514719002E-3</v>
      </c>
      <c r="AM66" s="45">
        <v>0.14000000000000001</v>
      </c>
      <c r="AN66" s="45">
        <v>1.55246020384774</v>
      </c>
      <c r="AO66" s="45">
        <v>0.25800000000000001</v>
      </c>
      <c r="AP66" s="45">
        <v>0.17</v>
      </c>
      <c r="AQ66" s="45">
        <v>0.17</v>
      </c>
      <c r="AR66" s="45">
        <f t="shared" si="9"/>
        <v>0.64413889484672204</v>
      </c>
      <c r="AT66" s="217">
        <f t="shared" si="10"/>
        <v>9.5144364817796451E-2</v>
      </c>
      <c r="AU66" s="217">
        <f t="shared" si="11"/>
        <v>-0.35815733883073164</v>
      </c>
      <c r="AV66" s="45">
        <f>[10]Sheet1!AA57</f>
        <v>0.15199999999999994</v>
      </c>
      <c r="AW66" s="45">
        <v>0</v>
      </c>
    </row>
    <row r="67" spans="1:49">
      <c r="A67" s="45"/>
      <c r="B67" s="45"/>
      <c r="C67" s="50">
        <f t="shared" si="8"/>
        <v>38565</v>
      </c>
      <c r="D67" s="56">
        <v>5.5918135216608301E-2</v>
      </c>
      <c r="E67" s="48">
        <v>4.1310000000000002</v>
      </c>
      <c r="F67" s="48">
        <v>0.25750000000000001</v>
      </c>
      <c r="G67" s="48">
        <v>0.25800000000000001</v>
      </c>
      <c r="H67" s="48">
        <v>0.25800000000000001</v>
      </c>
      <c r="I67" s="48">
        <v>0.26500000000000001</v>
      </c>
      <c r="J67" s="48">
        <v>0.25800000000000001</v>
      </c>
      <c r="K67" s="45">
        <v>0.25800000000000001</v>
      </c>
      <c r="L67" s="48">
        <v>0.55000000000000004</v>
      </c>
      <c r="M67" s="48">
        <v>0.5</v>
      </c>
      <c r="N67" s="48">
        <v>0.6</v>
      </c>
      <c r="O67" s="48">
        <v>0.45</v>
      </c>
      <c r="P67" s="48">
        <v>0.55000000000000004</v>
      </c>
      <c r="Q67" s="56">
        <v>0.215</v>
      </c>
      <c r="R67" s="56">
        <v>0</v>
      </c>
      <c r="S67" s="45">
        <v>-5.5E-2</v>
      </c>
      <c r="T67" s="45">
        <v>0</v>
      </c>
      <c r="U67" s="45">
        <v>-0.1</v>
      </c>
      <c r="V67" s="45">
        <v>-0.01</v>
      </c>
      <c r="W67" s="45">
        <v>-0.1</v>
      </c>
      <c r="X67" s="45">
        <v>-0.01</v>
      </c>
      <c r="Y67" s="45">
        <v>0.155</v>
      </c>
      <c r="Z67" s="45">
        <v>0</v>
      </c>
      <c r="AA67" s="45">
        <v>0.155</v>
      </c>
      <c r="AB67" s="45">
        <v>0</v>
      </c>
      <c r="AC67" s="45">
        <v>0.21</v>
      </c>
      <c r="AD67" s="45">
        <v>1.2500000000000001E-2</v>
      </c>
      <c r="AE67" s="45">
        <v>9.5000000000000001E-2</v>
      </c>
      <c r="AF67" s="45">
        <v>5.0000000000000001E-3</v>
      </c>
      <c r="AG67" s="45">
        <v>0.23499999999999999</v>
      </c>
      <c r="AH67" s="45">
        <v>0</v>
      </c>
      <c r="AI67" s="45">
        <v>0.18</v>
      </c>
      <c r="AJ67" s="45">
        <v>0</v>
      </c>
      <c r="AK67" s="45">
        <v>-0.45500000000000002</v>
      </c>
      <c r="AL67" s="45">
        <v>1.6984468325145E-3</v>
      </c>
      <c r="AM67" s="45">
        <v>0.14000000000000001</v>
      </c>
      <c r="AN67" s="45">
        <v>1.55232265710465</v>
      </c>
      <c r="AO67" s="45">
        <v>0.25800000000000001</v>
      </c>
      <c r="AP67" s="45">
        <v>0.17</v>
      </c>
      <c r="AQ67" s="45">
        <v>0.17</v>
      </c>
      <c r="AR67" s="45">
        <f t="shared" si="9"/>
        <v>0.6441959700988793</v>
      </c>
      <c r="AT67" s="217">
        <f t="shared" si="10"/>
        <v>9.5152795280010055E-2</v>
      </c>
      <c r="AU67" s="217">
        <f t="shared" si="11"/>
        <v>-0.35814875788747547</v>
      </c>
      <c r="AV67" s="45">
        <f>[10]Sheet1!AA58</f>
        <v>0.15199999999999994</v>
      </c>
      <c r="AW67" s="45">
        <v>0</v>
      </c>
    </row>
    <row r="68" spans="1:49">
      <c r="A68" s="45"/>
      <c r="B68" s="45"/>
      <c r="C68" s="50">
        <f t="shared" si="8"/>
        <v>38596</v>
      </c>
      <c r="D68" s="56">
        <v>5.6133157232121499E-2</v>
      </c>
      <c r="E68" s="48">
        <v>4.1449999999999996</v>
      </c>
      <c r="F68" s="48">
        <v>0.25750000000000001</v>
      </c>
      <c r="G68" s="48">
        <v>0.25800000000000001</v>
      </c>
      <c r="H68" s="48">
        <v>0.25800000000000001</v>
      </c>
      <c r="I68" s="48">
        <v>0.26500000000000001</v>
      </c>
      <c r="J68" s="48">
        <v>0.25800000000000001</v>
      </c>
      <c r="K68" s="45">
        <v>0.25800000000000001</v>
      </c>
      <c r="L68" s="48">
        <v>0.55000000000000004</v>
      </c>
      <c r="M68" s="48">
        <v>0.55000000000000004</v>
      </c>
      <c r="N68" s="48">
        <v>0.6</v>
      </c>
      <c r="O68" s="48">
        <v>0.5</v>
      </c>
      <c r="P68" s="48">
        <v>0.6</v>
      </c>
      <c r="Q68" s="56">
        <v>0.215</v>
      </c>
      <c r="R68" s="56">
        <v>0</v>
      </c>
      <c r="S68" s="45">
        <v>-5.5E-2</v>
      </c>
      <c r="T68" s="45">
        <v>0</v>
      </c>
      <c r="U68" s="45">
        <v>-0.1</v>
      </c>
      <c r="V68" s="45">
        <v>-0.01</v>
      </c>
      <c r="W68" s="45">
        <v>-0.1</v>
      </c>
      <c r="X68" s="45">
        <v>-0.01</v>
      </c>
      <c r="Y68" s="45">
        <v>0.155</v>
      </c>
      <c r="Z68" s="45">
        <v>0</v>
      </c>
      <c r="AA68" s="45">
        <v>0.155</v>
      </c>
      <c r="AB68" s="45">
        <v>0</v>
      </c>
      <c r="AC68" s="45">
        <v>0.185</v>
      </c>
      <c r="AD68" s="45">
        <v>1.2500000000000001E-2</v>
      </c>
      <c r="AE68" s="45">
        <v>9.5000000000000001E-2</v>
      </c>
      <c r="AF68" s="45">
        <v>5.0000000000000001E-3</v>
      </c>
      <c r="AG68" s="45">
        <v>0.23499999999999999</v>
      </c>
      <c r="AH68" s="45">
        <v>0</v>
      </c>
      <c r="AI68" s="45">
        <v>0.18</v>
      </c>
      <c r="AJ68" s="45">
        <v>0</v>
      </c>
      <c r="AK68" s="45">
        <v>-0.45500000000000002</v>
      </c>
      <c r="AL68" s="45">
        <v>1.6986044910384001E-3</v>
      </c>
      <c r="AM68" s="45">
        <v>0.14000000000000001</v>
      </c>
      <c r="AN68" s="45">
        <v>1.5521785759486098</v>
      </c>
      <c r="AO68" s="45">
        <v>0.25800000000000001</v>
      </c>
      <c r="AP68" s="45">
        <v>0.17</v>
      </c>
      <c r="AQ68" s="45">
        <v>0.17</v>
      </c>
      <c r="AR68" s="45">
        <f t="shared" si="9"/>
        <v>0.64425576766439563</v>
      </c>
      <c r="AT68" s="217">
        <f t="shared" si="10"/>
        <v>9.5161627849249725E-2</v>
      </c>
      <c r="AU68" s="217">
        <f t="shared" si="11"/>
        <v>-0.35813976765971189</v>
      </c>
      <c r="AV68" s="45">
        <f>[10]Sheet1!AA59</f>
        <v>0.15199999999999994</v>
      </c>
      <c r="AW68" s="45">
        <v>0</v>
      </c>
    </row>
    <row r="69" spans="1:49">
      <c r="A69" s="45"/>
      <c r="B69" s="45"/>
      <c r="C69" s="50">
        <f t="shared" si="8"/>
        <v>38626</v>
      </c>
      <c r="D69" s="56">
        <v>5.6341243068240399E-2</v>
      </c>
      <c r="E69" s="48">
        <v>4.1760000000000002</v>
      </c>
      <c r="F69" s="48">
        <v>0.25750000000000001</v>
      </c>
      <c r="G69" s="48">
        <v>0.25800000000000001</v>
      </c>
      <c r="H69" s="48">
        <v>0.25800000000000001</v>
      </c>
      <c r="I69" s="48">
        <v>0.26500000000000001</v>
      </c>
      <c r="J69" s="48">
        <v>0.25800000000000001</v>
      </c>
      <c r="K69" s="45">
        <v>0.25800000000000001</v>
      </c>
      <c r="L69" s="48">
        <v>0.6</v>
      </c>
      <c r="M69" s="48">
        <v>0.55000000000000004</v>
      </c>
      <c r="N69" s="48">
        <v>0.65</v>
      </c>
      <c r="O69" s="48">
        <v>0.5</v>
      </c>
      <c r="P69" s="48">
        <v>0.65</v>
      </c>
      <c r="Q69" s="56">
        <v>0.215</v>
      </c>
      <c r="R69" s="56">
        <v>0</v>
      </c>
      <c r="S69" s="45">
        <v>-5.5E-2</v>
      </c>
      <c r="T69" s="45">
        <v>0</v>
      </c>
      <c r="U69" s="45">
        <v>-0.1</v>
      </c>
      <c r="V69" s="45">
        <v>-0.01</v>
      </c>
      <c r="W69" s="45">
        <v>-0.1</v>
      </c>
      <c r="X69" s="45">
        <v>-0.01</v>
      </c>
      <c r="Y69" s="45">
        <v>0.155</v>
      </c>
      <c r="Z69" s="45">
        <v>0</v>
      </c>
      <c r="AA69" s="45">
        <v>0.155</v>
      </c>
      <c r="AB69" s="45">
        <v>0</v>
      </c>
      <c r="AC69" s="45">
        <v>0.19500000000000001</v>
      </c>
      <c r="AD69" s="45">
        <v>1.2500000000000001E-2</v>
      </c>
      <c r="AE69" s="45">
        <v>9.5000000000000001E-2</v>
      </c>
      <c r="AF69" s="45">
        <v>5.0000000000000001E-3</v>
      </c>
      <c r="AG69" s="45">
        <v>0.23499999999999999</v>
      </c>
      <c r="AH69" s="45">
        <v>0</v>
      </c>
      <c r="AI69" s="45">
        <v>0.18</v>
      </c>
      <c r="AJ69" s="45">
        <v>0</v>
      </c>
      <c r="AK69" s="45">
        <v>-0.45500000000000002</v>
      </c>
      <c r="AL69" s="45">
        <v>1.6987638976119E-3</v>
      </c>
      <c r="AM69" s="45">
        <v>0.14000000000000001</v>
      </c>
      <c r="AN69" s="45">
        <v>1.5520329244730899</v>
      </c>
      <c r="AO69" s="45">
        <v>0.25800000000000001</v>
      </c>
      <c r="AP69" s="45">
        <v>0.17</v>
      </c>
      <c r="AQ69" s="45">
        <v>0.17</v>
      </c>
      <c r="AR69" s="45">
        <f t="shared" si="9"/>
        <v>0.64431622823948576</v>
      </c>
      <c r="AT69" s="217">
        <f t="shared" si="10"/>
        <v>9.5170558350201453E-2</v>
      </c>
      <c r="AU69" s="217">
        <f t="shared" si="11"/>
        <v>-0.35813067775218665</v>
      </c>
      <c r="AV69" s="45">
        <f>[10]Sheet1!AA60</f>
        <v>0.15199999999999994</v>
      </c>
      <c r="AW69" s="45">
        <v>0</v>
      </c>
    </row>
    <row r="70" spans="1:49">
      <c r="A70" s="45"/>
      <c r="B70" s="45"/>
      <c r="C70" s="50">
        <f t="shared" si="8"/>
        <v>38657</v>
      </c>
      <c r="D70" s="56">
        <v>5.6556265114037906E-2</v>
      </c>
      <c r="E70" s="48">
        <v>4.3090000000000002</v>
      </c>
      <c r="F70" s="48">
        <v>0.25750000000000001</v>
      </c>
      <c r="G70" s="48">
        <v>0.25800000000000001</v>
      </c>
      <c r="H70" s="48">
        <v>0.25800000000000001</v>
      </c>
      <c r="I70" s="48">
        <v>0.26500000000000001</v>
      </c>
      <c r="J70" s="48">
        <v>0.25800000000000001</v>
      </c>
      <c r="K70" s="45">
        <v>0.25800000000000001</v>
      </c>
      <c r="L70" s="48">
        <v>0.8</v>
      </c>
      <c r="M70" s="48">
        <v>0.8</v>
      </c>
      <c r="N70" s="48">
        <v>0.8</v>
      </c>
      <c r="O70" s="48">
        <v>0.95</v>
      </c>
      <c r="P70" s="48">
        <v>0.85</v>
      </c>
      <c r="Q70" s="56">
        <v>0.33500000000000002</v>
      </c>
      <c r="R70" s="56">
        <v>0</v>
      </c>
      <c r="S70" s="45">
        <v>-0.06</v>
      </c>
      <c r="T70" s="45">
        <v>5.0000000000000001E-3</v>
      </c>
      <c r="U70" s="45">
        <v>-0.1</v>
      </c>
      <c r="V70" s="45">
        <v>0.01</v>
      </c>
      <c r="W70" s="45">
        <v>-0.1</v>
      </c>
      <c r="X70" s="45">
        <v>0.01</v>
      </c>
      <c r="Y70" s="45">
        <v>0.23499999999999999</v>
      </c>
      <c r="Z70" s="45">
        <v>0</v>
      </c>
      <c r="AA70" s="45">
        <v>0.23499999999999999</v>
      </c>
      <c r="AB70" s="45">
        <v>0</v>
      </c>
      <c r="AC70" s="45">
        <v>0.28000000000000003</v>
      </c>
      <c r="AD70" s="45">
        <v>0.03</v>
      </c>
      <c r="AE70" s="45">
        <v>0.17499999999999999</v>
      </c>
      <c r="AF70" s="45">
        <v>0.02</v>
      </c>
      <c r="AG70" s="45">
        <v>0.53500000000000003</v>
      </c>
      <c r="AH70" s="45">
        <v>0</v>
      </c>
      <c r="AI70" s="45">
        <v>0.33500000000000002</v>
      </c>
      <c r="AJ70" s="45">
        <v>0</v>
      </c>
      <c r="AK70" s="45">
        <v>-0.37</v>
      </c>
      <c r="AL70" s="45">
        <v>5.4365941738061E-3</v>
      </c>
      <c r="AM70" s="45">
        <v>0.14000000000000001</v>
      </c>
      <c r="AN70" s="45">
        <v>1.5518759963084299</v>
      </c>
      <c r="AO70" s="45">
        <v>0.25800000000000001</v>
      </c>
      <c r="AP70" s="45">
        <v>0.32500000000000001</v>
      </c>
      <c r="AQ70" s="45">
        <v>0.32500000000000001</v>
      </c>
      <c r="AR70" s="45">
        <f t="shared" si="9"/>
        <v>0.64438138251946619</v>
      </c>
      <c r="AT70" s="217">
        <f t="shared" si="10"/>
        <v>9.5180182148164108E-2</v>
      </c>
      <c r="AU70" s="217">
        <f t="shared" si="11"/>
        <v>-0.2693832236780298</v>
      </c>
      <c r="AV70" s="45">
        <f>[10]Sheet1!AA61</f>
        <v>0.19357142857142856</v>
      </c>
      <c r="AW70" s="45">
        <v>0</v>
      </c>
    </row>
    <row r="71" spans="1:49">
      <c r="A71" s="45"/>
      <c r="B71" s="45"/>
      <c r="C71" s="50">
        <f t="shared" si="8"/>
        <v>38687</v>
      </c>
      <c r="D71" s="56">
        <v>5.67643509794604E-2</v>
      </c>
      <c r="E71" s="48">
        <v>4.4470000000000001</v>
      </c>
      <c r="F71" s="48">
        <v>0.26</v>
      </c>
      <c r="G71" s="48">
        <v>0.26</v>
      </c>
      <c r="H71" s="48">
        <v>0.26</v>
      </c>
      <c r="I71" s="48">
        <v>0.26800000000000002</v>
      </c>
      <c r="J71" s="48">
        <v>0.26</v>
      </c>
      <c r="K71" s="45">
        <v>0.26</v>
      </c>
      <c r="L71" s="48">
        <v>1</v>
      </c>
      <c r="M71" s="48">
        <v>1</v>
      </c>
      <c r="N71" s="48">
        <v>1.1000000000000001</v>
      </c>
      <c r="O71" s="48">
        <v>1.35</v>
      </c>
      <c r="P71" s="48">
        <v>1.05</v>
      </c>
      <c r="Q71" s="56">
        <v>0.33500000000000002</v>
      </c>
      <c r="R71" s="56">
        <v>0</v>
      </c>
      <c r="S71" s="45">
        <v>-0.06</v>
      </c>
      <c r="T71" s="45">
        <v>5.0000000000000001E-3</v>
      </c>
      <c r="U71" s="45">
        <v>-0.1</v>
      </c>
      <c r="V71" s="45">
        <v>0.01</v>
      </c>
      <c r="W71" s="45">
        <v>-0.1</v>
      </c>
      <c r="X71" s="45">
        <v>0.01</v>
      </c>
      <c r="Y71" s="45">
        <v>0.23499999999999999</v>
      </c>
      <c r="Z71" s="45">
        <v>0</v>
      </c>
      <c r="AA71" s="45">
        <v>0.23499999999999999</v>
      </c>
      <c r="AB71" s="45">
        <v>0</v>
      </c>
      <c r="AC71" s="45">
        <v>0.32</v>
      </c>
      <c r="AD71" s="45">
        <v>0.03</v>
      </c>
      <c r="AE71" s="45">
        <v>0.17499999999999999</v>
      </c>
      <c r="AF71" s="45">
        <v>0.02</v>
      </c>
      <c r="AG71" s="45">
        <v>0.53500000000000003</v>
      </c>
      <c r="AH71" s="45">
        <v>0</v>
      </c>
      <c r="AI71" s="45">
        <v>0.33500000000000002</v>
      </c>
      <c r="AJ71" s="45">
        <v>0</v>
      </c>
      <c r="AK71" s="45">
        <v>-0.37</v>
      </c>
      <c r="AL71" s="45">
        <v>5.4371480112456998E-3</v>
      </c>
      <c r="AM71" s="45">
        <v>0.14000000000000001</v>
      </c>
      <c r="AN71" s="45">
        <v>1.5517179194956201</v>
      </c>
      <c r="AO71" s="45">
        <v>0.26</v>
      </c>
      <c r="AP71" s="45">
        <v>0.32500000000000001</v>
      </c>
      <c r="AQ71" s="45">
        <v>0.32500000000000001</v>
      </c>
      <c r="AR71" s="45">
        <f t="shared" si="9"/>
        <v>0.64444702702476109</v>
      </c>
      <c r="AT71" s="217">
        <f t="shared" si="10"/>
        <v>9.5189878356249105E-2</v>
      </c>
      <c r="AU71" s="217">
        <f t="shared" si="11"/>
        <v>-0.26937297363250523</v>
      </c>
      <c r="AV71" s="45">
        <f>[10]Sheet1!AA62</f>
        <v>0.19857142857142857</v>
      </c>
      <c r="AW71" s="45">
        <v>0</v>
      </c>
    </row>
    <row r="72" spans="1:49">
      <c r="A72" s="45"/>
      <c r="B72" s="45"/>
      <c r="C72" s="50">
        <f t="shared" si="8"/>
        <v>38718</v>
      </c>
      <c r="D72" s="56">
        <v>5.6979373055535E-2</v>
      </c>
      <c r="E72" s="48">
        <v>4.444</v>
      </c>
      <c r="F72" s="48">
        <v>0.26250000000000001</v>
      </c>
      <c r="G72" s="48">
        <v>0.26300000000000001</v>
      </c>
      <c r="H72" s="48">
        <v>0.26300000000000001</v>
      </c>
      <c r="I72" s="48">
        <v>0.27</v>
      </c>
      <c r="J72" s="48">
        <v>0.26300000000000001</v>
      </c>
      <c r="K72" s="45">
        <v>0.26300000000000001</v>
      </c>
      <c r="L72" s="48">
        <v>1</v>
      </c>
      <c r="M72" s="48">
        <v>1</v>
      </c>
      <c r="N72" s="48">
        <v>1.1000000000000001</v>
      </c>
      <c r="O72" s="48">
        <v>1.35</v>
      </c>
      <c r="P72" s="48">
        <v>1.05</v>
      </c>
      <c r="Q72" s="56">
        <v>0.33500000000000002</v>
      </c>
      <c r="R72" s="56">
        <v>0</v>
      </c>
      <c r="S72" s="45">
        <v>-0.06</v>
      </c>
      <c r="T72" s="45">
        <v>5.0000000000000001E-3</v>
      </c>
      <c r="U72" s="45">
        <v>-0.1</v>
      </c>
      <c r="V72" s="45">
        <v>0.01</v>
      </c>
      <c r="W72" s="45">
        <v>-0.1</v>
      </c>
      <c r="X72" s="45">
        <v>0.01</v>
      </c>
      <c r="Y72" s="45">
        <v>0.23499999999999999</v>
      </c>
      <c r="Z72" s="45">
        <v>0</v>
      </c>
      <c r="AA72" s="45">
        <v>0.23499999999999999</v>
      </c>
      <c r="AB72" s="45">
        <v>0</v>
      </c>
      <c r="AC72" s="45">
        <v>0.32</v>
      </c>
      <c r="AD72" s="45">
        <v>0.03</v>
      </c>
      <c r="AE72" s="45">
        <v>0.17499999999999999</v>
      </c>
      <c r="AF72" s="45">
        <v>0.02</v>
      </c>
      <c r="AG72" s="45">
        <v>0.53500000000000003</v>
      </c>
      <c r="AH72" s="45">
        <v>0</v>
      </c>
      <c r="AI72" s="45">
        <v>0.33500000000000002</v>
      </c>
      <c r="AJ72" s="45">
        <v>0</v>
      </c>
      <c r="AK72" s="45">
        <v>-0.37</v>
      </c>
      <c r="AL72" s="45">
        <v>5.4377429076486999E-3</v>
      </c>
      <c r="AM72" s="45">
        <v>0.14000000000000001</v>
      </c>
      <c r="AN72" s="45">
        <v>1.5515481594638498</v>
      </c>
      <c r="AO72" s="45">
        <v>0.26300000000000001</v>
      </c>
      <c r="AP72" s="45">
        <v>0.32500000000000001</v>
      </c>
      <c r="AQ72" s="45">
        <v>0.32500000000000001</v>
      </c>
      <c r="AR72" s="45">
        <f t="shared" si="9"/>
        <v>0.64451753811209966</v>
      </c>
      <c r="AT72" s="217">
        <f t="shared" si="10"/>
        <v>9.5200293396655922E-2</v>
      </c>
      <c r="AU72" s="217">
        <f t="shared" si="11"/>
        <v>-0.26936196369569537</v>
      </c>
      <c r="AV72" s="45">
        <f>[10]Sheet1!AA63</f>
        <v>0.19857142857142857</v>
      </c>
      <c r="AW72" s="45">
        <v>0</v>
      </c>
    </row>
    <row r="73" spans="1:49">
      <c r="A73" s="45"/>
      <c r="B73" s="45"/>
      <c r="C73" s="50">
        <f t="shared" si="8"/>
        <v>38749</v>
      </c>
      <c r="D73" s="56">
        <v>5.7194395146995099E-2</v>
      </c>
      <c r="E73" s="48">
        <v>4.3239999999999998</v>
      </c>
      <c r="F73" s="48">
        <v>0.255</v>
      </c>
      <c r="G73" s="48">
        <v>0.255</v>
      </c>
      <c r="H73" s="48">
        <v>0.255</v>
      </c>
      <c r="I73" s="48">
        <v>0.26300000000000001</v>
      </c>
      <c r="J73" s="48">
        <v>0.255</v>
      </c>
      <c r="K73" s="45">
        <v>0.255</v>
      </c>
      <c r="L73" s="48">
        <v>1</v>
      </c>
      <c r="M73" s="48">
        <v>1</v>
      </c>
      <c r="N73" s="48">
        <v>1.1000000000000001</v>
      </c>
      <c r="O73" s="48">
        <v>1.35</v>
      </c>
      <c r="P73" s="48">
        <v>1.05</v>
      </c>
      <c r="Q73" s="56">
        <v>0.33500000000000002</v>
      </c>
      <c r="R73" s="56">
        <v>0</v>
      </c>
      <c r="S73" s="45">
        <v>-0.06</v>
      </c>
      <c r="T73" s="45">
        <v>5.0000000000000001E-3</v>
      </c>
      <c r="U73" s="45">
        <v>-0.1</v>
      </c>
      <c r="V73" s="45">
        <v>0.01</v>
      </c>
      <c r="W73" s="45">
        <v>-0.1</v>
      </c>
      <c r="X73" s="45">
        <v>0.01</v>
      </c>
      <c r="Y73" s="45">
        <v>0.23499999999999999</v>
      </c>
      <c r="Z73" s="45">
        <v>0</v>
      </c>
      <c r="AA73" s="45">
        <v>0.23499999999999999</v>
      </c>
      <c r="AB73" s="45">
        <v>0</v>
      </c>
      <c r="AC73" s="45">
        <v>0.3</v>
      </c>
      <c r="AD73" s="45">
        <v>0.03</v>
      </c>
      <c r="AE73" s="45">
        <v>0.17499999999999999</v>
      </c>
      <c r="AF73" s="45">
        <v>0.02</v>
      </c>
      <c r="AG73" s="45">
        <v>0.53500000000000003</v>
      </c>
      <c r="AH73" s="45">
        <v>0</v>
      </c>
      <c r="AI73" s="45">
        <v>0.33500000000000002</v>
      </c>
      <c r="AJ73" s="45">
        <v>0</v>
      </c>
      <c r="AK73" s="45">
        <v>-0.37</v>
      </c>
      <c r="AL73" s="45">
        <v>5.4383607729903E-3</v>
      </c>
      <c r="AM73" s="45">
        <v>0.14000000000000001</v>
      </c>
      <c r="AN73" s="45">
        <v>1.5513718843188999</v>
      </c>
      <c r="AO73" s="45">
        <v>0.255</v>
      </c>
      <c r="AP73" s="45">
        <v>0.32500000000000001</v>
      </c>
      <c r="AQ73" s="45">
        <v>0.32500000000000001</v>
      </c>
      <c r="AR73" s="45">
        <f t="shared" si="9"/>
        <v>0.64459077163115586</v>
      </c>
      <c r="AT73" s="217">
        <f t="shared" si="10"/>
        <v>9.5211110561571319E-2</v>
      </c>
      <c r="AU73" s="217">
        <f t="shared" si="11"/>
        <v>-0.26935052866543835</v>
      </c>
      <c r="AV73" s="45">
        <f>[10]Sheet1!AA64</f>
        <v>0.19857142857142857</v>
      </c>
      <c r="AW73" s="45">
        <v>0</v>
      </c>
    </row>
    <row r="74" spans="1:49">
      <c r="A74" s="45"/>
      <c r="B74" s="45"/>
      <c r="C74" s="50">
        <f t="shared" si="8"/>
        <v>38777</v>
      </c>
      <c r="D74" s="56">
        <v>5.73886086621802E-2</v>
      </c>
      <c r="E74" s="48">
        <v>4.1849999999999996</v>
      </c>
      <c r="F74" s="48">
        <v>0.25</v>
      </c>
      <c r="G74" s="48">
        <v>0.25</v>
      </c>
      <c r="H74" s="48">
        <v>0.25</v>
      </c>
      <c r="I74" s="48">
        <v>0.25800000000000001</v>
      </c>
      <c r="J74" s="48">
        <v>0.25</v>
      </c>
      <c r="K74" s="45">
        <v>0.25</v>
      </c>
      <c r="L74" s="48">
        <v>0.75</v>
      </c>
      <c r="M74" s="48">
        <v>0.75</v>
      </c>
      <c r="N74" s="48">
        <v>0.75</v>
      </c>
      <c r="O74" s="48">
        <v>0.95</v>
      </c>
      <c r="P74" s="48">
        <v>0.75</v>
      </c>
      <c r="Q74" s="56">
        <v>0.33500000000000002</v>
      </c>
      <c r="R74" s="56">
        <v>0</v>
      </c>
      <c r="S74" s="45">
        <v>-0.06</v>
      </c>
      <c r="T74" s="45">
        <v>5.0000000000000001E-3</v>
      </c>
      <c r="U74" s="45">
        <v>-0.1</v>
      </c>
      <c r="V74" s="45">
        <v>0.01</v>
      </c>
      <c r="W74" s="45">
        <v>-0.1</v>
      </c>
      <c r="X74" s="45">
        <v>0.01</v>
      </c>
      <c r="Y74" s="45">
        <v>0.23499999999999999</v>
      </c>
      <c r="Z74" s="45">
        <v>0</v>
      </c>
      <c r="AA74" s="45">
        <v>0.23499999999999999</v>
      </c>
      <c r="AB74" s="45">
        <v>0</v>
      </c>
      <c r="AC74" s="45">
        <v>0.28000000000000003</v>
      </c>
      <c r="AD74" s="45">
        <v>0.03</v>
      </c>
      <c r="AE74" s="45">
        <v>0.17499999999999999</v>
      </c>
      <c r="AF74" s="45">
        <v>0.02</v>
      </c>
      <c r="AG74" s="45">
        <v>0.53500000000000003</v>
      </c>
      <c r="AH74" s="45">
        <v>0</v>
      </c>
      <c r="AI74" s="45">
        <v>0.33500000000000002</v>
      </c>
      <c r="AJ74" s="45">
        <v>0</v>
      </c>
      <c r="AK74" s="45">
        <v>-0.37</v>
      </c>
      <c r="AL74" s="45">
        <v>5.4389385880847995E-3</v>
      </c>
      <c r="AM74" s="45">
        <v>0.14000000000000001</v>
      </c>
      <c r="AN74" s="45">
        <v>1.5512070716302599</v>
      </c>
      <c r="AO74" s="45">
        <v>0.25</v>
      </c>
      <c r="AP74" s="45">
        <v>0.32500000000000001</v>
      </c>
      <c r="AQ74" s="45">
        <v>0.32500000000000001</v>
      </c>
      <c r="AR74" s="45">
        <f t="shared" si="9"/>
        <v>0.64465925812795444</v>
      </c>
      <c r="AT74" s="217">
        <f t="shared" si="10"/>
        <v>9.5221226554082605E-2</v>
      </c>
      <c r="AU74" s="217">
        <f t="shared" si="11"/>
        <v>-0.26933983485783258</v>
      </c>
      <c r="AV74" s="45">
        <f>[10]Sheet1!AA65</f>
        <v>0.19857142857142857</v>
      </c>
      <c r="AW74" s="45">
        <v>0</v>
      </c>
    </row>
    <row r="75" spans="1:49">
      <c r="A75" s="45"/>
      <c r="B75" s="45"/>
      <c r="C75" s="50">
        <f t="shared" si="8"/>
        <v>38808</v>
      </c>
      <c r="D75" s="56">
        <v>5.7603630782915506E-2</v>
      </c>
      <c r="E75" s="48">
        <v>4.01</v>
      </c>
      <c r="F75" s="48">
        <v>0.245</v>
      </c>
      <c r="G75" s="48">
        <v>0.245</v>
      </c>
      <c r="H75" s="48">
        <v>0.245</v>
      </c>
      <c r="I75" s="48">
        <v>0.252</v>
      </c>
      <c r="J75" s="48">
        <v>0.245</v>
      </c>
      <c r="K75" s="45">
        <v>0.245</v>
      </c>
      <c r="L75" s="48">
        <v>0.4</v>
      </c>
      <c r="M75" s="48">
        <v>0.4</v>
      </c>
      <c r="N75" s="48">
        <v>0.45</v>
      </c>
      <c r="O75" s="48">
        <v>0.5</v>
      </c>
      <c r="P75" s="48">
        <v>0.45</v>
      </c>
      <c r="Q75" s="56">
        <v>0.21</v>
      </c>
      <c r="R75" s="56">
        <v>0</v>
      </c>
      <c r="S75" s="45">
        <v>-5.7500000000000002E-2</v>
      </c>
      <c r="T75" s="45">
        <v>0</v>
      </c>
      <c r="U75" s="45">
        <v>-0.1</v>
      </c>
      <c r="V75" s="45">
        <v>-0.01</v>
      </c>
      <c r="W75" s="45">
        <v>-0.1</v>
      </c>
      <c r="X75" s="45">
        <v>-0.01</v>
      </c>
      <c r="Y75" s="45">
        <v>0.15</v>
      </c>
      <c r="Z75" s="45">
        <v>0</v>
      </c>
      <c r="AA75" s="45">
        <v>0.15</v>
      </c>
      <c r="AB75" s="45">
        <v>0</v>
      </c>
      <c r="AC75" s="45">
        <v>0.19500000000000001</v>
      </c>
      <c r="AD75" s="45">
        <v>1.7500000000000002E-2</v>
      </c>
      <c r="AE75" s="45">
        <v>0.09</v>
      </c>
      <c r="AF75" s="45">
        <v>5.0000000000000001E-3</v>
      </c>
      <c r="AG75" s="45">
        <v>0.23499999999999999</v>
      </c>
      <c r="AH75" s="45">
        <v>0</v>
      </c>
      <c r="AI75" s="45">
        <v>0.18</v>
      </c>
      <c r="AJ75" s="45">
        <v>0</v>
      </c>
      <c r="AK75" s="45">
        <v>-0.47499999999999998</v>
      </c>
      <c r="AL75" s="45">
        <v>1.6998750536527001E-3</v>
      </c>
      <c r="AM75" s="45">
        <v>0.14000000000000001</v>
      </c>
      <c r="AN75" s="45">
        <v>1.5510184082851</v>
      </c>
      <c r="AO75" s="45">
        <v>0.245</v>
      </c>
      <c r="AP75" s="45">
        <v>0.17</v>
      </c>
      <c r="AQ75" s="45">
        <v>0.17</v>
      </c>
      <c r="AR75" s="45">
        <f t="shared" si="9"/>
        <v>0.64473767342688126</v>
      </c>
      <c r="AT75" s="217">
        <f t="shared" si="10"/>
        <v>9.5232809108510036E-2</v>
      </c>
      <c r="AU75" s="217">
        <f t="shared" si="11"/>
        <v>-0.37806731583783726</v>
      </c>
      <c r="AV75" s="45">
        <f>[10]Sheet1!AA66</f>
        <v>0.14949999999999994</v>
      </c>
      <c r="AW75" s="45">
        <v>0</v>
      </c>
    </row>
    <row r="76" spans="1:49">
      <c r="A76" s="45"/>
      <c r="B76" s="45"/>
      <c r="C76" s="50">
        <f t="shared" si="8"/>
        <v>38838</v>
      </c>
      <c r="D76" s="56">
        <v>5.78117167208516E-2</v>
      </c>
      <c r="E76" s="48">
        <v>3.98</v>
      </c>
      <c r="F76" s="48">
        <v>0.23749999999999999</v>
      </c>
      <c r="G76" s="48">
        <v>0.23800000000000002</v>
      </c>
      <c r="H76" s="48">
        <v>0.23800000000000002</v>
      </c>
      <c r="I76" s="48">
        <v>0.245</v>
      </c>
      <c r="J76" s="48">
        <v>0.23800000000000002</v>
      </c>
      <c r="K76" s="45">
        <v>0.23800000000000002</v>
      </c>
      <c r="L76" s="48">
        <v>0.45</v>
      </c>
      <c r="M76" s="48">
        <v>0.4</v>
      </c>
      <c r="N76" s="48">
        <v>0.5</v>
      </c>
      <c r="O76" s="48">
        <v>0.45</v>
      </c>
      <c r="P76" s="48">
        <v>0.45</v>
      </c>
      <c r="Q76" s="56">
        <v>0.21</v>
      </c>
      <c r="R76" s="56">
        <v>0</v>
      </c>
      <c r="S76" s="45">
        <v>-5.7500000000000002E-2</v>
      </c>
      <c r="T76" s="45">
        <v>0</v>
      </c>
      <c r="U76" s="45">
        <v>-0.1</v>
      </c>
      <c r="V76" s="45">
        <v>-0.01</v>
      </c>
      <c r="W76" s="45">
        <v>-0.1</v>
      </c>
      <c r="X76" s="45">
        <v>-0.01</v>
      </c>
      <c r="Y76" s="45">
        <v>0.15</v>
      </c>
      <c r="Z76" s="45">
        <v>0</v>
      </c>
      <c r="AA76" s="45">
        <v>0.15</v>
      </c>
      <c r="AB76" s="45">
        <v>0</v>
      </c>
      <c r="AC76" s="45">
        <v>0.185</v>
      </c>
      <c r="AD76" s="45">
        <v>0.01</v>
      </c>
      <c r="AE76" s="45">
        <v>0.09</v>
      </c>
      <c r="AF76" s="45">
        <v>5.0000000000000001E-3</v>
      </c>
      <c r="AG76" s="45">
        <v>0.23499999999999999</v>
      </c>
      <c r="AH76" s="45">
        <v>0</v>
      </c>
      <c r="AI76" s="45">
        <v>0.18</v>
      </c>
      <c r="AJ76" s="45">
        <v>0</v>
      </c>
      <c r="AK76" s="45">
        <v>-0.47499999999999998</v>
      </c>
      <c r="AL76" s="45">
        <v>1.7000819647080001E-3</v>
      </c>
      <c r="AM76" s="45">
        <v>0.14000000000000001</v>
      </c>
      <c r="AN76" s="45">
        <v>1.5508296392360801</v>
      </c>
      <c r="AO76" s="45">
        <v>0.23800000000000002</v>
      </c>
      <c r="AP76" s="45">
        <v>0.17</v>
      </c>
      <c r="AQ76" s="45">
        <v>0.17</v>
      </c>
      <c r="AR76" s="45">
        <f t="shared" si="9"/>
        <v>0.6448161517551263</v>
      </c>
      <c r="AT76" s="217">
        <f t="shared" si="10"/>
        <v>9.5244400972861923E-2</v>
      </c>
      <c r="AU76" s="217">
        <f t="shared" si="11"/>
        <v>-0.37805551706243007</v>
      </c>
      <c r="AV76" s="45">
        <f>[10]Sheet1!AA67</f>
        <v>0.14949999999999994</v>
      </c>
      <c r="AW76" s="45">
        <v>0</v>
      </c>
    </row>
    <row r="77" spans="1:49">
      <c r="A77" s="45"/>
      <c r="B77" s="45"/>
      <c r="C77" s="50">
        <f t="shared" si="8"/>
        <v>38869</v>
      </c>
      <c r="D77" s="56">
        <v>5.7981879251030495E-2</v>
      </c>
      <c r="E77" s="48">
        <v>4.05</v>
      </c>
      <c r="F77" s="48">
        <v>0.23749999999999999</v>
      </c>
      <c r="G77" s="48">
        <v>0.23800000000000002</v>
      </c>
      <c r="H77" s="48">
        <v>0.23800000000000002</v>
      </c>
      <c r="I77" s="48">
        <v>0.245</v>
      </c>
      <c r="J77" s="48">
        <v>0.23800000000000002</v>
      </c>
      <c r="K77" s="45">
        <v>0.23800000000000002</v>
      </c>
      <c r="L77" s="48">
        <v>0.45</v>
      </c>
      <c r="M77" s="48">
        <v>0.4</v>
      </c>
      <c r="N77" s="48">
        <v>0.5</v>
      </c>
      <c r="O77" s="48">
        <v>0.5</v>
      </c>
      <c r="P77" s="48">
        <v>0.5</v>
      </c>
      <c r="Q77" s="56">
        <v>0.21</v>
      </c>
      <c r="R77" s="56">
        <v>0</v>
      </c>
      <c r="S77" s="45">
        <v>-5.7500000000000002E-2</v>
      </c>
      <c r="T77" s="45">
        <v>0</v>
      </c>
      <c r="U77" s="45">
        <v>-0.1</v>
      </c>
      <c r="V77" s="45">
        <v>-0.01</v>
      </c>
      <c r="W77" s="45">
        <v>-0.1</v>
      </c>
      <c r="X77" s="45">
        <v>-0.01</v>
      </c>
      <c r="Y77" s="45">
        <v>0.15</v>
      </c>
      <c r="Z77" s="45">
        <v>0</v>
      </c>
      <c r="AA77" s="45">
        <v>0.15</v>
      </c>
      <c r="AB77" s="45">
        <v>0</v>
      </c>
      <c r="AC77" s="45">
        <v>0.19500000000000001</v>
      </c>
      <c r="AD77" s="45">
        <v>1.2500000000000001E-2</v>
      </c>
      <c r="AE77" s="45">
        <v>0.09</v>
      </c>
      <c r="AF77" s="45">
        <v>5.0000000000000001E-3</v>
      </c>
      <c r="AG77" s="45">
        <v>0.23499999999999999</v>
      </c>
      <c r="AH77" s="45">
        <v>0</v>
      </c>
      <c r="AI77" s="45">
        <v>0.18</v>
      </c>
      <c r="AJ77" s="45">
        <v>0</v>
      </c>
      <c r="AK77" s="45">
        <v>-0.47499999999999998</v>
      </c>
      <c r="AL77" s="45">
        <v>1.7003727824453001E-3</v>
      </c>
      <c r="AM77" s="45">
        <v>0.14000000000000001</v>
      </c>
      <c r="AN77" s="45">
        <v>1.5505643981246797</v>
      </c>
      <c r="AO77" s="45">
        <v>0.23800000000000002</v>
      </c>
      <c r="AP77" s="45">
        <v>0.17</v>
      </c>
      <c r="AQ77" s="45">
        <v>0.17</v>
      </c>
      <c r="AR77" s="45">
        <f t="shared" si="9"/>
        <v>0.644926454657055</v>
      </c>
      <c r="AT77" s="217">
        <f t="shared" si="10"/>
        <v>9.5260693576251554E-2</v>
      </c>
      <c r="AU77" s="217">
        <f t="shared" si="11"/>
        <v>-0.37803893364130314</v>
      </c>
      <c r="AV77" s="45">
        <f>[10]Sheet1!AA68</f>
        <v>0.14949999999999994</v>
      </c>
      <c r="AW77" s="45">
        <v>0</v>
      </c>
    </row>
    <row r="78" spans="1:49">
      <c r="A78" s="45"/>
      <c r="B78" s="45"/>
      <c r="C78" s="50">
        <f t="shared" si="8"/>
        <v>38899</v>
      </c>
      <c r="D78" s="56">
        <v>5.8105853422092797E-2</v>
      </c>
      <c r="E78" s="48">
        <v>4.1050000000000004</v>
      </c>
      <c r="F78" s="48">
        <v>0.23749999999999999</v>
      </c>
      <c r="G78" s="48">
        <v>0.23800000000000002</v>
      </c>
      <c r="H78" s="48">
        <v>0.23800000000000002</v>
      </c>
      <c r="I78" s="48">
        <v>0.245</v>
      </c>
      <c r="J78" s="48">
        <v>0.23800000000000002</v>
      </c>
      <c r="K78" s="45">
        <v>0.23800000000000002</v>
      </c>
      <c r="L78" s="48">
        <v>0.5</v>
      </c>
      <c r="M78" s="48">
        <v>0.4</v>
      </c>
      <c r="N78" s="48">
        <v>0.55000000000000004</v>
      </c>
      <c r="O78" s="48">
        <v>0.5</v>
      </c>
      <c r="P78" s="48">
        <v>0.5</v>
      </c>
      <c r="Q78" s="56">
        <v>0.21</v>
      </c>
      <c r="R78" s="56">
        <v>0</v>
      </c>
      <c r="S78" s="45">
        <v>-5.7500000000000002E-2</v>
      </c>
      <c r="T78" s="45">
        <v>0</v>
      </c>
      <c r="U78" s="45">
        <v>-0.1</v>
      </c>
      <c r="V78" s="45">
        <v>-0.01</v>
      </c>
      <c r="W78" s="45">
        <v>-0.1</v>
      </c>
      <c r="X78" s="45">
        <v>-0.01</v>
      </c>
      <c r="Y78" s="45">
        <v>0.15</v>
      </c>
      <c r="Z78" s="45">
        <v>0</v>
      </c>
      <c r="AA78" s="45">
        <v>0.15</v>
      </c>
      <c r="AB78" s="45">
        <v>0</v>
      </c>
      <c r="AC78" s="45">
        <v>0.2</v>
      </c>
      <c r="AD78" s="45">
        <v>1.2500000000000001E-2</v>
      </c>
      <c r="AE78" s="45">
        <v>0.09</v>
      </c>
      <c r="AF78" s="45">
        <v>5.0000000000000001E-3</v>
      </c>
      <c r="AG78" s="45">
        <v>0.23499999999999999</v>
      </c>
      <c r="AH78" s="45">
        <v>0</v>
      </c>
      <c r="AI78" s="45">
        <v>0.18</v>
      </c>
      <c r="AJ78" s="45">
        <v>0</v>
      </c>
      <c r="AK78" s="45">
        <v>-0.47499999999999998</v>
      </c>
      <c r="AL78" s="45">
        <v>1.7006780278925001E-3</v>
      </c>
      <c r="AM78" s="45">
        <v>0.14000000000000001</v>
      </c>
      <c r="AN78" s="45">
        <v>1.5502860957562699</v>
      </c>
      <c r="AO78" s="45">
        <v>0.23800000000000002</v>
      </c>
      <c r="AP78" s="45">
        <v>0.17</v>
      </c>
      <c r="AQ78" s="45">
        <v>0.17</v>
      </c>
      <c r="AR78" s="45">
        <f t="shared" si="9"/>
        <v>0.64504222977770698</v>
      </c>
      <c r="AT78" s="217">
        <f t="shared" si="10"/>
        <v>9.5277794469248778E-2</v>
      </c>
      <c r="AU78" s="217">
        <f t="shared" si="11"/>
        <v>-0.37802152750285872</v>
      </c>
      <c r="AV78" s="45">
        <f>[10]Sheet1!AA69</f>
        <v>0.14949999999999994</v>
      </c>
      <c r="AW78" s="45">
        <v>0</v>
      </c>
    </row>
    <row r="79" spans="1:49">
      <c r="A79" s="45"/>
      <c r="B79" s="45"/>
      <c r="C79" s="50">
        <f t="shared" si="8"/>
        <v>38930</v>
      </c>
      <c r="D79" s="56">
        <v>5.8233960070894299E-2</v>
      </c>
      <c r="E79" s="48">
        <v>4.1610000000000005</v>
      </c>
      <c r="F79" s="48">
        <v>0.23749999999999999</v>
      </c>
      <c r="G79" s="48">
        <v>0.23800000000000002</v>
      </c>
      <c r="H79" s="48">
        <v>0.23800000000000002</v>
      </c>
      <c r="I79" s="48">
        <v>0.245</v>
      </c>
      <c r="J79" s="48">
        <v>0.23800000000000002</v>
      </c>
      <c r="K79" s="45">
        <v>0.23800000000000002</v>
      </c>
      <c r="L79" s="48">
        <v>0.55000000000000004</v>
      </c>
      <c r="M79" s="48">
        <v>0.5</v>
      </c>
      <c r="N79" s="48">
        <v>0.6</v>
      </c>
      <c r="O79" s="48">
        <v>0.45</v>
      </c>
      <c r="P79" s="48">
        <v>0.55000000000000004</v>
      </c>
      <c r="Q79" s="56">
        <v>0.21</v>
      </c>
      <c r="R79" s="56">
        <v>0</v>
      </c>
      <c r="S79" s="45">
        <v>-5.7500000000000002E-2</v>
      </c>
      <c r="T79" s="45">
        <v>0</v>
      </c>
      <c r="U79" s="45">
        <v>-0.1</v>
      </c>
      <c r="V79" s="45">
        <v>-0.01</v>
      </c>
      <c r="W79" s="45">
        <v>-0.1</v>
      </c>
      <c r="X79" s="45">
        <v>-0.01</v>
      </c>
      <c r="Y79" s="45">
        <v>0.15</v>
      </c>
      <c r="Z79" s="45">
        <v>0</v>
      </c>
      <c r="AA79" s="45">
        <v>0.15</v>
      </c>
      <c r="AB79" s="45">
        <v>0</v>
      </c>
      <c r="AC79" s="45">
        <v>0.21</v>
      </c>
      <c r="AD79" s="45">
        <v>1.2500000000000001E-2</v>
      </c>
      <c r="AE79" s="45">
        <v>0.09</v>
      </c>
      <c r="AF79" s="45">
        <v>5.0000000000000001E-3</v>
      </c>
      <c r="AG79" s="45">
        <v>0.23499999999999999</v>
      </c>
      <c r="AH79" s="45">
        <v>0</v>
      </c>
      <c r="AI79" s="45">
        <v>0.18</v>
      </c>
      <c r="AJ79" s="45">
        <v>0</v>
      </c>
      <c r="AK79" s="45">
        <v>-0.47499999999999998</v>
      </c>
      <c r="AL79" s="45">
        <v>1.7010033617683999E-3</v>
      </c>
      <c r="AM79" s="45">
        <v>0.14000000000000001</v>
      </c>
      <c r="AN79" s="45">
        <v>1.5499895880622199</v>
      </c>
      <c r="AO79" s="45">
        <v>0.23800000000000002</v>
      </c>
      <c r="AP79" s="45">
        <v>0.17</v>
      </c>
      <c r="AQ79" s="45">
        <v>0.17</v>
      </c>
      <c r="AR79" s="45">
        <f t="shared" si="9"/>
        <v>0.64516562414473322</v>
      </c>
      <c r="AT79" s="217">
        <f t="shared" si="10"/>
        <v>9.5296020784670393E-2</v>
      </c>
      <c r="AU79" s="217">
        <f t="shared" si="11"/>
        <v>-0.37800297585356113</v>
      </c>
      <c r="AV79" s="45">
        <f>[10]Sheet1!AA70</f>
        <v>0.14949999999999994</v>
      </c>
      <c r="AW79" s="45">
        <v>0</v>
      </c>
    </row>
    <row r="80" spans="1:49">
      <c r="A80" s="45"/>
      <c r="B80" s="45"/>
      <c r="C80" s="50">
        <f t="shared" si="8"/>
        <v>38961</v>
      </c>
      <c r="D80" s="56">
        <v>5.8362066725153199E-2</v>
      </c>
      <c r="E80" s="48">
        <v>4.1749999999999998</v>
      </c>
      <c r="F80" s="48">
        <v>0.23749999999999999</v>
      </c>
      <c r="G80" s="48">
        <v>0.23800000000000002</v>
      </c>
      <c r="H80" s="48">
        <v>0.23800000000000002</v>
      </c>
      <c r="I80" s="48">
        <v>0.245</v>
      </c>
      <c r="J80" s="48">
        <v>0.23800000000000002</v>
      </c>
      <c r="K80" s="45">
        <v>0.23800000000000002</v>
      </c>
      <c r="L80" s="48">
        <v>0.55000000000000004</v>
      </c>
      <c r="M80" s="48">
        <v>0.55000000000000004</v>
      </c>
      <c r="N80" s="48">
        <v>0.6</v>
      </c>
      <c r="O80" s="48">
        <v>0.5</v>
      </c>
      <c r="P80" s="48">
        <v>0.6</v>
      </c>
      <c r="Q80" s="56">
        <v>0.21</v>
      </c>
      <c r="R80" s="56">
        <v>0</v>
      </c>
      <c r="S80" s="45">
        <v>-5.7500000000000002E-2</v>
      </c>
      <c r="T80" s="45">
        <v>0</v>
      </c>
      <c r="U80" s="45">
        <v>-0.1</v>
      </c>
      <c r="V80" s="45">
        <v>-0.01</v>
      </c>
      <c r="W80" s="45">
        <v>-0.1</v>
      </c>
      <c r="X80" s="45">
        <v>-0.01</v>
      </c>
      <c r="Y80" s="45">
        <v>0.15</v>
      </c>
      <c r="Z80" s="45">
        <v>0</v>
      </c>
      <c r="AA80" s="45">
        <v>0.15</v>
      </c>
      <c r="AB80" s="45">
        <v>0</v>
      </c>
      <c r="AC80" s="45">
        <v>0.185</v>
      </c>
      <c r="AD80" s="45">
        <v>1.2500000000000001E-2</v>
      </c>
      <c r="AE80" s="45">
        <v>0.09</v>
      </c>
      <c r="AF80" s="45">
        <v>5.0000000000000001E-3</v>
      </c>
      <c r="AG80" s="45">
        <v>0.23499999999999999</v>
      </c>
      <c r="AH80" s="45">
        <v>0</v>
      </c>
      <c r="AI80" s="45">
        <v>0.18</v>
      </c>
      <c r="AJ80" s="45">
        <v>0</v>
      </c>
      <c r="AK80" s="45">
        <v>-0.47499999999999998</v>
      </c>
      <c r="AL80" s="45">
        <v>1.7013387758511001E-3</v>
      </c>
      <c r="AM80" s="45">
        <v>0.14000000000000001</v>
      </c>
      <c r="AN80" s="45">
        <v>1.5496840120398199</v>
      </c>
      <c r="AO80" s="45">
        <v>0.23800000000000002</v>
      </c>
      <c r="AP80" s="45">
        <v>0.17</v>
      </c>
      <c r="AQ80" s="45">
        <v>0.17</v>
      </c>
      <c r="AR80" s="45">
        <f t="shared" si="9"/>
        <v>0.64529284178631929</v>
      </c>
      <c r="AT80" s="217">
        <f t="shared" si="10"/>
        <v>9.5314811827718962E-2</v>
      </c>
      <c r="AU80" s="217">
        <f t="shared" si="11"/>
        <v>-0.37798384939642993</v>
      </c>
      <c r="AV80" s="45">
        <f>[10]Sheet1!AA71</f>
        <v>0.14949999999999994</v>
      </c>
      <c r="AW80" s="45">
        <v>0</v>
      </c>
    </row>
    <row r="81" spans="1:49">
      <c r="A81" s="45"/>
      <c r="B81" s="45"/>
      <c r="C81" s="50">
        <f t="shared" si="8"/>
        <v>38991</v>
      </c>
      <c r="D81" s="56">
        <v>5.8486040911889706E-2</v>
      </c>
      <c r="E81" s="48">
        <v>4.2060000000000004</v>
      </c>
      <c r="F81" s="48">
        <v>0.23749999999999999</v>
      </c>
      <c r="G81" s="48">
        <v>0.23800000000000002</v>
      </c>
      <c r="H81" s="48">
        <v>0.23800000000000002</v>
      </c>
      <c r="I81" s="48">
        <v>0.245</v>
      </c>
      <c r="J81" s="48">
        <v>0.23800000000000002</v>
      </c>
      <c r="K81" s="45">
        <v>0.23800000000000002</v>
      </c>
      <c r="L81" s="48">
        <v>0.6</v>
      </c>
      <c r="M81" s="48">
        <v>0.55000000000000004</v>
      </c>
      <c r="N81" s="48">
        <v>0.65</v>
      </c>
      <c r="O81" s="48">
        <v>0.5</v>
      </c>
      <c r="P81" s="48">
        <v>0.65</v>
      </c>
      <c r="Q81" s="56">
        <v>0.21</v>
      </c>
      <c r="R81" s="56">
        <v>0</v>
      </c>
      <c r="S81" s="45">
        <v>-5.7500000000000002E-2</v>
      </c>
      <c r="T81" s="45">
        <v>0</v>
      </c>
      <c r="U81" s="45">
        <v>-0.1</v>
      </c>
      <c r="V81" s="45">
        <v>-0.01</v>
      </c>
      <c r="W81" s="45">
        <v>-0.1</v>
      </c>
      <c r="X81" s="45">
        <v>-0.01</v>
      </c>
      <c r="Y81" s="45">
        <v>0.15</v>
      </c>
      <c r="Z81" s="45">
        <v>0</v>
      </c>
      <c r="AA81" s="45">
        <v>0.15</v>
      </c>
      <c r="AB81" s="45">
        <v>0</v>
      </c>
      <c r="AC81" s="45">
        <v>0.19500000000000001</v>
      </c>
      <c r="AD81" s="45">
        <v>1.2500000000000001E-2</v>
      </c>
      <c r="AE81" s="45">
        <v>0.09</v>
      </c>
      <c r="AF81" s="45">
        <v>5.0000000000000001E-3</v>
      </c>
      <c r="AG81" s="45">
        <v>0.23499999999999999</v>
      </c>
      <c r="AH81" s="45">
        <v>0</v>
      </c>
      <c r="AI81" s="45">
        <v>0.18</v>
      </c>
      <c r="AJ81" s="45">
        <v>0</v>
      </c>
      <c r="AK81" s="45">
        <v>-0.47499999999999998</v>
      </c>
      <c r="AL81" s="45">
        <v>1.7016729719012999E-3</v>
      </c>
      <c r="AM81" s="45">
        <v>0.14000000000000001</v>
      </c>
      <c r="AN81" s="45">
        <v>1.5493796655030398</v>
      </c>
      <c r="AO81" s="45">
        <v>0.23800000000000002</v>
      </c>
      <c r="AP81" s="45">
        <v>0.17</v>
      </c>
      <c r="AQ81" s="45">
        <v>0.17</v>
      </c>
      <c r="AR81" s="45">
        <f t="shared" si="9"/>
        <v>0.64541959744600641</v>
      </c>
      <c r="AT81" s="217">
        <f t="shared" si="10"/>
        <v>9.5333534632419142E-2</v>
      </c>
      <c r="AU81" s="217">
        <f t="shared" si="11"/>
        <v>-0.37796479239567948</v>
      </c>
      <c r="AV81" s="45">
        <f>[10]Sheet1!AA72</f>
        <v>0.14949999999999994</v>
      </c>
      <c r="AW81" s="45">
        <v>0</v>
      </c>
    </row>
    <row r="82" spans="1:49">
      <c r="A82" s="45"/>
      <c r="B82" s="45"/>
      <c r="C82" s="50">
        <f t="shared" ref="C82:C145" si="12">NextMonth(C81)</f>
        <v>39022</v>
      </c>
      <c r="D82" s="56">
        <v>5.8614147576886204E-2</v>
      </c>
      <c r="E82" s="48">
        <v>4.3390000000000004</v>
      </c>
      <c r="F82" s="48">
        <v>0.24</v>
      </c>
      <c r="G82" s="48">
        <v>0.24</v>
      </c>
      <c r="H82" s="48">
        <v>0.24</v>
      </c>
      <c r="I82" s="48">
        <v>0.24700000000000003</v>
      </c>
      <c r="J82" s="48">
        <v>0.24</v>
      </c>
      <c r="K82" s="45">
        <v>0.24</v>
      </c>
      <c r="L82" s="48">
        <v>0.8</v>
      </c>
      <c r="M82" s="48">
        <v>0.8</v>
      </c>
      <c r="N82" s="48">
        <v>0.8</v>
      </c>
      <c r="O82" s="48">
        <v>0.95</v>
      </c>
      <c r="P82" s="48">
        <v>0.85</v>
      </c>
      <c r="Q82" s="56">
        <v>0.32500000000000001</v>
      </c>
      <c r="R82" s="56">
        <v>0</v>
      </c>
      <c r="S82" s="45">
        <v>-5.7500000000000002E-2</v>
      </c>
      <c r="T82" s="45">
        <v>5.0000000000000001E-3</v>
      </c>
      <c r="U82" s="45">
        <v>-0.1225</v>
      </c>
      <c r="V82" s="45">
        <v>0.01</v>
      </c>
      <c r="W82" s="45">
        <v>-0.1225</v>
      </c>
      <c r="X82" s="45">
        <v>0.01</v>
      </c>
      <c r="Y82" s="45">
        <v>0.22500000000000001</v>
      </c>
      <c r="Z82" s="45">
        <v>0</v>
      </c>
      <c r="AA82" s="45">
        <v>0.22500000000000001</v>
      </c>
      <c r="AB82" s="45">
        <v>0</v>
      </c>
      <c r="AC82" s="45">
        <v>0.24</v>
      </c>
      <c r="AD82" s="45">
        <v>0.03</v>
      </c>
      <c r="AE82" s="45">
        <v>0.17499999999999999</v>
      </c>
      <c r="AF82" s="45">
        <v>0.02</v>
      </c>
      <c r="AG82" s="45">
        <v>0.47499999999999998</v>
      </c>
      <c r="AH82" s="45">
        <v>0</v>
      </c>
      <c r="AI82" s="45">
        <v>0.27500000000000002</v>
      </c>
      <c r="AJ82" s="45">
        <v>0</v>
      </c>
      <c r="AK82" s="45">
        <v>-0.39500000000000002</v>
      </c>
      <c r="AL82" s="45">
        <v>5.4464903489301001E-3</v>
      </c>
      <c r="AM82" s="45">
        <v>0.14000000000000001</v>
      </c>
      <c r="AN82" s="45">
        <v>1.54905626550082</v>
      </c>
      <c r="AO82" s="45">
        <v>0.24</v>
      </c>
      <c r="AP82" s="45">
        <v>0.26500000000000001</v>
      </c>
      <c r="AQ82" s="45">
        <v>0.26500000000000001</v>
      </c>
      <c r="AR82" s="45">
        <f t="shared" ref="AR82:AR145" si="13">1/AN82</f>
        <v>0.64555434316434823</v>
      </c>
      <c r="AT82" s="217">
        <f t="shared" ref="AT82:AT145" si="14">AR82*AM82*$AT$6</f>
        <v>9.5353437631424648E-2</v>
      </c>
      <c r="AU82" s="217">
        <f t="shared" ref="AU82:AU145" si="15">AK82+AL82+AT82</f>
        <v>-0.29420007201964526</v>
      </c>
      <c r="AV82" s="45">
        <f>[10]Sheet1!AA73</f>
        <v>0.19607142857142856</v>
      </c>
      <c r="AW82" s="45">
        <v>0</v>
      </c>
    </row>
    <row r="83" spans="1:49">
      <c r="A83" s="45"/>
      <c r="B83" s="45"/>
      <c r="C83" s="50">
        <f t="shared" si="12"/>
        <v>39052</v>
      </c>
      <c r="D83" s="56">
        <v>5.8738121774014398E-2</v>
      </c>
      <c r="E83" s="48">
        <v>4.4770000000000003</v>
      </c>
      <c r="F83" s="48">
        <v>0.245</v>
      </c>
      <c r="G83" s="48">
        <v>0.245</v>
      </c>
      <c r="H83" s="48">
        <v>0.245</v>
      </c>
      <c r="I83" s="48">
        <v>0.252</v>
      </c>
      <c r="J83" s="48">
        <v>0.245</v>
      </c>
      <c r="K83" s="45">
        <v>0.245</v>
      </c>
      <c r="L83" s="48">
        <v>1</v>
      </c>
      <c r="M83" s="48">
        <v>1</v>
      </c>
      <c r="N83" s="48">
        <v>1.1000000000000001</v>
      </c>
      <c r="O83" s="48">
        <v>1.35</v>
      </c>
      <c r="P83" s="48">
        <v>1.05</v>
      </c>
      <c r="Q83" s="56">
        <v>0.32500000000000001</v>
      </c>
      <c r="R83" s="56">
        <v>0</v>
      </c>
      <c r="S83" s="45">
        <v>-5.7500000000000002E-2</v>
      </c>
      <c r="T83" s="45">
        <v>5.0000000000000001E-3</v>
      </c>
      <c r="U83" s="45">
        <v>-0.11749999999999999</v>
      </c>
      <c r="V83" s="45">
        <v>0.01</v>
      </c>
      <c r="W83" s="45">
        <v>-0.11749999999999999</v>
      </c>
      <c r="X83" s="45">
        <v>0.01</v>
      </c>
      <c r="Y83" s="45">
        <v>0.22500000000000001</v>
      </c>
      <c r="Z83" s="45">
        <v>0</v>
      </c>
      <c r="AA83" s="45">
        <v>0.22500000000000001</v>
      </c>
      <c r="AB83" s="45">
        <v>0</v>
      </c>
      <c r="AC83" s="45">
        <v>0.26</v>
      </c>
      <c r="AD83" s="45">
        <v>0.03</v>
      </c>
      <c r="AE83" s="45">
        <v>0.17499999999999999</v>
      </c>
      <c r="AF83" s="45">
        <v>0.02</v>
      </c>
      <c r="AG83" s="45">
        <v>0.47499999999999998</v>
      </c>
      <c r="AH83" s="45">
        <v>0</v>
      </c>
      <c r="AI83" s="45">
        <v>0.27500000000000002</v>
      </c>
      <c r="AJ83" s="45">
        <v>0</v>
      </c>
      <c r="AK83" s="45">
        <v>-0.39500000000000002</v>
      </c>
      <c r="AL83" s="45">
        <v>5.4476212687757999E-3</v>
      </c>
      <c r="AM83" s="45">
        <v>0.14000000000000001</v>
      </c>
      <c r="AN83" s="45">
        <v>1.5487346832199798</v>
      </c>
      <c r="AO83" s="45">
        <v>0.245</v>
      </c>
      <c r="AP83" s="45">
        <v>0.26500000000000001</v>
      </c>
      <c r="AQ83" s="45">
        <v>0.26500000000000001</v>
      </c>
      <c r="AR83" s="45">
        <f t="shared" si="13"/>
        <v>0.64568838732331901</v>
      </c>
      <c r="AT83" s="217">
        <f t="shared" si="14"/>
        <v>9.5373237004610839E-2</v>
      </c>
      <c r="AU83" s="217">
        <f t="shared" si="15"/>
        <v>-0.29417914172661341</v>
      </c>
      <c r="AV83" s="45">
        <f>[10]Sheet1!AA74</f>
        <v>0.20107142857142857</v>
      </c>
      <c r="AW83" s="45">
        <v>0</v>
      </c>
    </row>
    <row r="84" spans="1:49">
      <c r="A84" s="45"/>
      <c r="B84" s="45"/>
      <c r="C84" s="50">
        <f t="shared" si="12"/>
        <v>39083</v>
      </c>
      <c r="D84" s="56">
        <v>5.8866228449748106E-2</v>
      </c>
      <c r="E84" s="48">
        <v>4.484</v>
      </c>
      <c r="F84" s="48">
        <v>0.2475</v>
      </c>
      <c r="G84" s="48">
        <v>0.248</v>
      </c>
      <c r="H84" s="48">
        <v>0.248</v>
      </c>
      <c r="I84" s="48">
        <v>0.255</v>
      </c>
      <c r="J84" s="48">
        <v>0.248</v>
      </c>
      <c r="K84" s="45">
        <v>0.248</v>
      </c>
      <c r="L84" s="48">
        <v>1</v>
      </c>
      <c r="M84" s="48">
        <v>1</v>
      </c>
      <c r="N84" s="48">
        <v>1.1000000000000001</v>
      </c>
      <c r="O84" s="48">
        <v>1.35</v>
      </c>
      <c r="P84" s="48">
        <v>1.05</v>
      </c>
      <c r="Q84" s="56">
        <v>0.32500000000000001</v>
      </c>
      <c r="R84" s="56">
        <v>0</v>
      </c>
      <c r="S84" s="45">
        <v>-5.7500000000000002E-2</v>
      </c>
      <c r="T84" s="45">
        <v>5.0000000000000001E-3</v>
      </c>
      <c r="U84" s="45">
        <v>-0.11749999999999999</v>
      </c>
      <c r="V84" s="45">
        <v>0.01</v>
      </c>
      <c r="W84" s="45">
        <v>-0.11749999999999999</v>
      </c>
      <c r="X84" s="45">
        <v>0.01</v>
      </c>
      <c r="Y84" s="45">
        <v>0.22500000000000001</v>
      </c>
      <c r="Z84" s="45">
        <v>0</v>
      </c>
      <c r="AA84" s="45">
        <v>0.22500000000000001</v>
      </c>
      <c r="AB84" s="45">
        <v>0</v>
      </c>
      <c r="AC84" s="45">
        <v>0.27</v>
      </c>
      <c r="AD84" s="45">
        <v>0.03</v>
      </c>
      <c r="AE84" s="45">
        <v>0.17499999999999999</v>
      </c>
      <c r="AF84" s="45">
        <v>0.02</v>
      </c>
      <c r="AG84" s="45">
        <v>0.47499999999999998</v>
      </c>
      <c r="AH84" s="45">
        <v>0</v>
      </c>
      <c r="AI84" s="45">
        <v>0.27500000000000002</v>
      </c>
      <c r="AJ84" s="45">
        <v>0</v>
      </c>
      <c r="AK84" s="45">
        <v>-0.39500000000000002</v>
      </c>
      <c r="AL84" s="45">
        <v>5.4488216794042E-3</v>
      </c>
      <c r="AM84" s="45">
        <v>0.14000000000000001</v>
      </c>
      <c r="AN84" s="45">
        <v>1.5483934869607299</v>
      </c>
      <c r="AO84" s="45">
        <v>0.248</v>
      </c>
      <c r="AP84" s="45">
        <v>0.26500000000000001</v>
      </c>
      <c r="AQ84" s="45">
        <v>0.26500000000000001</v>
      </c>
      <c r="AR84" s="45">
        <f t="shared" si="13"/>
        <v>0.6458306679930913</v>
      </c>
      <c r="AT84" s="217">
        <f t="shared" si="14"/>
        <v>9.5394252975016663E-2</v>
      </c>
      <c r="AU84" s="217">
        <f t="shared" si="15"/>
        <v>-0.29415692534557913</v>
      </c>
      <c r="AV84" s="45">
        <f>[10]Sheet1!AA75</f>
        <v>0.20107142857142857</v>
      </c>
      <c r="AW84" s="45">
        <v>0</v>
      </c>
    </row>
    <row r="85" spans="1:49">
      <c r="A85" s="45"/>
      <c r="B85" s="45"/>
      <c r="C85" s="50">
        <f t="shared" si="12"/>
        <v>39114</v>
      </c>
      <c r="D85" s="56">
        <v>5.8994335130937402E-2</v>
      </c>
      <c r="E85" s="48">
        <v>4.3639999999999999</v>
      </c>
      <c r="F85" s="48">
        <v>0.23499999999999999</v>
      </c>
      <c r="G85" s="48">
        <v>0.23499999999999999</v>
      </c>
      <c r="H85" s="48">
        <v>0.23499999999999999</v>
      </c>
      <c r="I85" s="48">
        <v>0.24200000000000002</v>
      </c>
      <c r="J85" s="48">
        <v>0.23499999999999999</v>
      </c>
      <c r="K85" s="45">
        <v>0.23499999999999999</v>
      </c>
      <c r="L85" s="48">
        <v>1</v>
      </c>
      <c r="M85" s="48">
        <v>1</v>
      </c>
      <c r="N85" s="48">
        <v>1.1000000000000001</v>
      </c>
      <c r="O85" s="48">
        <v>1.35</v>
      </c>
      <c r="P85" s="48">
        <v>1.05</v>
      </c>
      <c r="Q85" s="56">
        <v>0.32500000000000001</v>
      </c>
      <c r="R85" s="56">
        <v>0</v>
      </c>
      <c r="S85" s="45">
        <v>-5.7500000000000002E-2</v>
      </c>
      <c r="T85" s="45">
        <v>5.0000000000000001E-3</v>
      </c>
      <c r="U85" s="45">
        <v>-0.12</v>
      </c>
      <c r="V85" s="45">
        <v>0.01</v>
      </c>
      <c r="W85" s="45">
        <v>-0.12</v>
      </c>
      <c r="X85" s="45">
        <v>0.01</v>
      </c>
      <c r="Y85" s="45">
        <v>0.22500000000000001</v>
      </c>
      <c r="Z85" s="45">
        <v>0</v>
      </c>
      <c r="AA85" s="45">
        <v>0.22500000000000001</v>
      </c>
      <c r="AB85" s="45">
        <v>0</v>
      </c>
      <c r="AC85" s="45">
        <v>0.27</v>
      </c>
      <c r="AD85" s="45">
        <v>0.03</v>
      </c>
      <c r="AE85" s="45">
        <v>0.17499999999999999</v>
      </c>
      <c r="AF85" s="45">
        <v>0.02</v>
      </c>
      <c r="AG85" s="45">
        <v>0.47499999999999998</v>
      </c>
      <c r="AH85" s="45">
        <v>0</v>
      </c>
      <c r="AI85" s="45">
        <v>0.27500000000000002</v>
      </c>
      <c r="AJ85" s="45">
        <v>0</v>
      </c>
      <c r="AK85" s="45">
        <v>-0.39500000000000002</v>
      </c>
      <c r="AL85" s="45">
        <v>5.4500544206268001E-3</v>
      </c>
      <c r="AM85" s="45">
        <v>0.14000000000000001</v>
      </c>
      <c r="AN85" s="45">
        <v>1.5480432577092698</v>
      </c>
      <c r="AO85" s="45">
        <v>0.23499999999999999</v>
      </c>
      <c r="AP85" s="45">
        <v>0.26500000000000001</v>
      </c>
      <c r="AQ85" s="45">
        <v>0.26500000000000001</v>
      </c>
      <c r="AR85" s="45">
        <f t="shared" si="13"/>
        <v>0.64597678070040399</v>
      </c>
      <c r="AT85" s="217">
        <f t="shared" si="14"/>
        <v>9.5415834967410365E-2</v>
      </c>
      <c r="AU85" s="217">
        <f t="shared" si="15"/>
        <v>-0.29413411061196287</v>
      </c>
      <c r="AV85" s="45">
        <f>[10]Sheet1!AA76</f>
        <v>0.20107142857142857</v>
      </c>
      <c r="AW85" s="45">
        <v>0</v>
      </c>
    </row>
    <row r="86" spans="1:49">
      <c r="A86" s="45"/>
      <c r="B86" s="45"/>
      <c r="C86" s="50">
        <f t="shared" si="12"/>
        <v>39142</v>
      </c>
      <c r="D86" s="56">
        <v>5.9110044396055703E-2</v>
      </c>
      <c r="E86" s="48">
        <v>4.2249999999999996</v>
      </c>
      <c r="F86" s="48">
        <v>0.22750000000000001</v>
      </c>
      <c r="G86" s="48">
        <v>0.22800000000000001</v>
      </c>
      <c r="H86" s="48">
        <v>0.22800000000000001</v>
      </c>
      <c r="I86" s="48">
        <v>0.23400000000000001</v>
      </c>
      <c r="J86" s="48">
        <v>0.22800000000000001</v>
      </c>
      <c r="K86" s="45">
        <v>0.22800000000000001</v>
      </c>
      <c r="L86" s="48">
        <v>0.75</v>
      </c>
      <c r="M86" s="48">
        <v>0.75</v>
      </c>
      <c r="N86" s="48">
        <v>0.75</v>
      </c>
      <c r="O86" s="48">
        <v>0.95</v>
      </c>
      <c r="P86" s="48">
        <v>0.75</v>
      </c>
      <c r="Q86" s="56">
        <v>0.32500000000000001</v>
      </c>
      <c r="R86" s="56">
        <v>0</v>
      </c>
      <c r="S86" s="45">
        <v>-5.7500000000000002E-2</v>
      </c>
      <c r="T86" s="45">
        <v>5.0000000000000001E-3</v>
      </c>
      <c r="U86" s="45">
        <v>-0.1225</v>
      </c>
      <c r="V86" s="45">
        <v>0.01</v>
      </c>
      <c r="W86" s="45">
        <v>-0.1225</v>
      </c>
      <c r="X86" s="45">
        <v>0.01</v>
      </c>
      <c r="Y86" s="45">
        <v>0.22500000000000001</v>
      </c>
      <c r="Z86" s="45">
        <v>0</v>
      </c>
      <c r="AA86" s="45">
        <v>0.22500000000000001</v>
      </c>
      <c r="AB86" s="45">
        <v>0</v>
      </c>
      <c r="AC86" s="45">
        <v>0.24</v>
      </c>
      <c r="AD86" s="45">
        <v>0.03</v>
      </c>
      <c r="AE86" s="45">
        <v>0.17499999999999999</v>
      </c>
      <c r="AF86" s="45">
        <v>0.02</v>
      </c>
      <c r="AG86" s="45">
        <v>0.47499999999999998</v>
      </c>
      <c r="AH86" s="45">
        <v>0</v>
      </c>
      <c r="AI86" s="45">
        <v>0.27500000000000002</v>
      </c>
      <c r="AJ86" s="45">
        <v>0</v>
      </c>
      <c r="AK86" s="45">
        <v>-0.39500000000000002</v>
      </c>
      <c r="AL86" s="45">
        <v>5.4511956670066997E-3</v>
      </c>
      <c r="AM86" s="45">
        <v>0.14000000000000001</v>
      </c>
      <c r="AN86" s="45">
        <v>1.5477191639009098</v>
      </c>
      <c r="AO86" s="45">
        <v>0.22800000000000001</v>
      </c>
      <c r="AP86" s="45">
        <v>0.26500000000000001</v>
      </c>
      <c r="AQ86" s="45">
        <v>0.26500000000000001</v>
      </c>
      <c r="AR86" s="45">
        <f t="shared" si="13"/>
        <v>0.64611204882904927</v>
      </c>
      <c r="AT86" s="217">
        <f t="shared" si="14"/>
        <v>9.5435815130513399E-2</v>
      </c>
      <c r="AU86" s="217">
        <f t="shared" si="15"/>
        <v>-0.29411298920247991</v>
      </c>
      <c r="AV86" s="45">
        <f>[10]Sheet1!AA77</f>
        <v>0.20107142857142857</v>
      </c>
      <c r="AW86" s="45">
        <v>0</v>
      </c>
    </row>
    <row r="87" spans="1:49">
      <c r="A87" s="45"/>
      <c r="B87" s="45"/>
      <c r="C87" s="50">
        <f t="shared" si="12"/>
        <v>39173</v>
      </c>
      <c r="D87" s="56">
        <v>5.9238151087627901E-2</v>
      </c>
      <c r="E87" s="48">
        <v>4.05</v>
      </c>
      <c r="F87" s="48">
        <v>0.22750000000000001</v>
      </c>
      <c r="G87" s="48">
        <v>0.22800000000000001</v>
      </c>
      <c r="H87" s="48">
        <v>0.22800000000000001</v>
      </c>
      <c r="I87" s="48">
        <v>0.23400000000000001</v>
      </c>
      <c r="J87" s="48">
        <v>0.22800000000000001</v>
      </c>
      <c r="K87" s="45">
        <v>0.22800000000000001</v>
      </c>
      <c r="L87" s="48">
        <v>0.4</v>
      </c>
      <c r="M87" s="48">
        <v>0.4</v>
      </c>
      <c r="N87" s="48">
        <v>0.45</v>
      </c>
      <c r="O87" s="48">
        <v>0.5</v>
      </c>
      <c r="P87" s="48">
        <v>0.45</v>
      </c>
      <c r="Q87" s="56">
        <v>0.21</v>
      </c>
      <c r="R87" s="56">
        <v>0</v>
      </c>
      <c r="S87" s="45">
        <v>-5.5E-2</v>
      </c>
      <c r="T87" s="45">
        <v>0</v>
      </c>
      <c r="U87" s="45">
        <v>-0.12</v>
      </c>
      <c r="V87" s="45">
        <v>-0.01</v>
      </c>
      <c r="W87" s="45">
        <v>-0.12</v>
      </c>
      <c r="X87" s="45">
        <v>-0.01</v>
      </c>
      <c r="Y87" s="45">
        <v>0.15</v>
      </c>
      <c r="Z87" s="45">
        <v>0</v>
      </c>
      <c r="AA87" s="45">
        <v>0.15</v>
      </c>
      <c r="AB87" s="45">
        <v>0</v>
      </c>
      <c r="AC87" s="45">
        <v>0.17</v>
      </c>
      <c r="AD87" s="45">
        <v>1.7500000000000002E-2</v>
      </c>
      <c r="AE87" s="45">
        <v>0.09</v>
      </c>
      <c r="AF87" s="45">
        <v>5.0000000000000001E-3</v>
      </c>
      <c r="AG87" s="45">
        <v>0.23499999999999999</v>
      </c>
      <c r="AH87" s="45">
        <v>0</v>
      </c>
      <c r="AI87" s="45">
        <v>0.18</v>
      </c>
      <c r="AJ87" s="45">
        <v>0</v>
      </c>
      <c r="AK87" s="45">
        <v>-0.5</v>
      </c>
      <c r="AL87" s="45">
        <v>1.7039031209995E-3</v>
      </c>
      <c r="AM87" s="45">
        <v>0.14000000000000001</v>
      </c>
      <c r="AN87" s="45">
        <v>1.54735176402125</v>
      </c>
      <c r="AO87" s="45">
        <v>0.22800000000000001</v>
      </c>
      <c r="AP87" s="45">
        <v>0.17</v>
      </c>
      <c r="AQ87" s="45">
        <v>0.17</v>
      </c>
      <c r="AR87" s="45">
        <f t="shared" si="13"/>
        <v>0.64626546028629261</v>
      </c>
      <c r="AT87" s="217">
        <f t="shared" si="14"/>
        <v>9.5458475205494067E-2</v>
      </c>
      <c r="AU87" s="217">
        <f t="shared" si="15"/>
        <v>-0.40283762167350645</v>
      </c>
      <c r="AV87" s="45">
        <f>[10]Sheet1!AA78</f>
        <v>0.15199999999999994</v>
      </c>
      <c r="AW87" s="45">
        <v>0</v>
      </c>
    </row>
    <row r="88" spans="1:49">
      <c r="A88" s="45"/>
      <c r="B88" s="45"/>
      <c r="C88" s="50">
        <f t="shared" si="12"/>
        <v>39203</v>
      </c>
      <c r="D88" s="56">
        <v>5.9362125310472406E-2</v>
      </c>
      <c r="E88" s="48">
        <v>4.0199999999999996</v>
      </c>
      <c r="F88" s="48">
        <v>0.22750000000000001</v>
      </c>
      <c r="G88" s="48">
        <v>0.22800000000000001</v>
      </c>
      <c r="H88" s="48">
        <v>0.22800000000000001</v>
      </c>
      <c r="I88" s="48">
        <v>0.23400000000000001</v>
      </c>
      <c r="J88" s="48">
        <v>0.22800000000000001</v>
      </c>
      <c r="K88" s="45">
        <v>0.22800000000000001</v>
      </c>
      <c r="L88" s="48">
        <v>0.45</v>
      </c>
      <c r="M88" s="48">
        <v>0.4</v>
      </c>
      <c r="N88" s="48">
        <v>0.5</v>
      </c>
      <c r="O88" s="48">
        <v>0.45</v>
      </c>
      <c r="P88" s="48">
        <v>0.45</v>
      </c>
      <c r="Q88" s="56">
        <v>0.21</v>
      </c>
      <c r="R88" s="56">
        <v>0</v>
      </c>
      <c r="S88" s="45">
        <v>-5.5E-2</v>
      </c>
      <c r="T88" s="45">
        <v>0</v>
      </c>
      <c r="U88" s="45">
        <v>-0.12</v>
      </c>
      <c r="V88" s="45">
        <v>-0.01</v>
      </c>
      <c r="W88" s="45">
        <v>-0.12</v>
      </c>
      <c r="X88" s="45">
        <v>-0.01</v>
      </c>
      <c r="Y88" s="45">
        <v>0.15</v>
      </c>
      <c r="Z88" s="45">
        <v>0</v>
      </c>
      <c r="AA88" s="45">
        <v>0.15</v>
      </c>
      <c r="AB88" s="45">
        <v>0</v>
      </c>
      <c r="AC88" s="45">
        <v>0.16500000000000001</v>
      </c>
      <c r="AD88" s="45">
        <v>0.01</v>
      </c>
      <c r="AE88" s="45">
        <v>0.09</v>
      </c>
      <c r="AF88" s="45">
        <v>5.0000000000000001E-3</v>
      </c>
      <c r="AG88" s="45">
        <v>0.23499999999999999</v>
      </c>
      <c r="AH88" s="45">
        <v>0</v>
      </c>
      <c r="AI88" s="45">
        <v>0.18</v>
      </c>
      <c r="AJ88" s="45">
        <v>0</v>
      </c>
      <c r="AK88" s="45">
        <v>-0.5</v>
      </c>
      <c r="AL88" s="45">
        <v>1.7043041829921E-3</v>
      </c>
      <c r="AM88" s="45">
        <v>0.14000000000000001</v>
      </c>
      <c r="AN88" s="45">
        <v>1.5469876365445698</v>
      </c>
      <c r="AO88" s="45">
        <v>0.22800000000000001</v>
      </c>
      <c r="AP88" s="45">
        <v>0.17</v>
      </c>
      <c r="AQ88" s="45">
        <v>0.17</v>
      </c>
      <c r="AR88" s="45">
        <f t="shared" si="13"/>
        <v>0.64641757721713333</v>
      </c>
      <c r="AT88" s="217">
        <f t="shared" si="14"/>
        <v>9.5480944068775997E-2</v>
      </c>
      <c r="AU88" s="217">
        <f t="shared" si="15"/>
        <v>-0.40281475174823189</v>
      </c>
      <c r="AV88" s="45">
        <f>[10]Sheet1!AA79</f>
        <v>0.15199999999999994</v>
      </c>
      <c r="AW88" s="45">
        <v>0</v>
      </c>
    </row>
    <row r="89" spans="1:49">
      <c r="A89" s="45"/>
      <c r="B89" s="45"/>
      <c r="C89" s="50">
        <f t="shared" si="12"/>
        <v>39234</v>
      </c>
      <c r="D89" s="56">
        <v>5.9490232012778095E-2</v>
      </c>
      <c r="E89" s="48">
        <v>4.09</v>
      </c>
      <c r="F89" s="48">
        <v>0.2175</v>
      </c>
      <c r="G89" s="48">
        <v>0.218</v>
      </c>
      <c r="H89" s="48">
        <v>0.218</v>
      </c>
      <c r="I89" s="48">
        <v>0.224</v>
      </c>
      <c r="J89" s="48">
        <v>0.218</v>
      </c>
      <c r="K89" s="45">
        <v>0.218</v>
      </c>
      <c r="L89" s="48">
        <v>0.45</v>
      </c>
      <c r="M89" s="48">
        <v>0.4</v>
      </c>
      <c r="N89" s="48">
        <v>0.5</v>
      </c>
      <c r="O89" s="48">
        <v>0.5</v>
      </c>
      <c r="P89" s="48">
        <v>0.5</v>
      </c>
      <c r="Q89" s="56">
        <v>0.21</v>
      </c>
      <c r="R89" s="56">
        <v>0</v>
      </c>
      <c r="S89" s="45">
        <v>-5.5E-2</v>
      </c>
      <c r="T89" s="45">
        <v>0</v>
      </c>
      <c r="U89" s="45">
        <v>-0.12</v>
      </c>
      <c r="V89" s="45">
        <v>-0.01</v>
      </c>
      <c r="W89" s="45">
        <v>-0.12</v>
      </c>
      <c r="X89" s="45">
        <v>-0.01</v>
      </c>
      <c r="Y89" s="45">
        <v>0.15</v>
      </c>
      <c r="Z89" s="45">
        <v>0</v>
      </c>
      <c r="AA89" s="45">
        <v>0.15</v>
      </c>
      <c r="AB89" s="45">
        <v>0</v>
      </c>
      <c r="AC89" s="45">
        <v>0.17</v>
      </c>
      <c r="AD89" s="45">
        <v>1.2500000000000001E-2</v>
      </c>
      <c r="AE89" s="45">
        <v>0.09</v>
      </c>
      <c r="AF89" s="45">
        <v>5.0000000000000001E-3</v>
      </c>
      <c r="AG89" s="45">
        <v>0.23499999999999999</v>
      </c>
      <c r="AH89" s="45">
        <v>0</v>
      </c>
      <c r="AI89" s="45">
        <v>0.18</v>
      </c>
      <c r="AJ89" s="45">
        <v>0</v>
      </c>
      <c r="AK89" s="45">
        <v>-0.5</v>
      </c>
      <c r="AL89" s="45">
        <v>1.7047285749584001E-3</v>
      </c>
      <c r="AM89" s="45">
        <v>0.14000000000000001</v>
      </c>
      <c r="AN89" s="45">
        <v>1.54660251416522</v>
      </c>
      <c r="AO89" s="45">
        <v>0.218</v>
      </c>
      <c r="AP89" s="45">
        <v>0.17</v>
      </c>
      <c r="AQ89" s="45">
        <v>0.17</v>
      </c>
      <c r="AR89" s="45">
        <f t="shared" si="13"/>
        <v>0.6465785428648102</v>
      </c>
      <c r="AT89" s="217">
        <f t="shared" si="14"/>
        <v>9.550471995690854E-2</v>
      </c>
      <c r="AU89" s="217">
        <f t="shared" si="15"/>
        <v>-0.40279055146813303</v>
      </c>
      <c r="AV89" s="45">
        <f>[10]Sheet1!AA80</f>
        <v>0.15199999999999994</v>
      </c>
      <c r="AW89" s="45">
        <v>0</v>
      </c>
    </row>
    <row r="90" spans="1:49">
      <c r="A90" s="45"/>
      <c r="B90" s="45"/>
      <c r="C90" s="50">
        <f t="shared" si="12"/>
        <v>39264</v>
      </c>
      <c r="D90" s="56">
        <v>5.9614206246009001E-2</v>
      </c>
      <c r="E90" s="48">
        <v>4.1449999999999996</v>
      </c>
      <c r="F90" s="48">
        <v>0.2175</v>
      </c>
      <c r="G90" s="48">
        <v>0.218</v>
      </c>
      <c r="H90" s="48">
        <v>0.218</v>
      </c>
      <c r="I90" s="48">
        <v>0.224</v>
      </c>
      <c r="J90" s="48">
        <v>0.218</v>
      </c>
      <c r="K90" s="45">
        <v>0.218</v>
      </c>
      <c r="L90" s="48">
        <v>0.5</v>
      </c>
      <c r="M90" s="48">
        <v>0.4</v>
      </c>
      <c r="N90" s="48">
        <v>0.55000000000000004</v>
      </c>
      <c r="O90" s="48">
        <v>0.5</v>
      </c>
      <c r="P90" s="48">
        <v>0.5</v>
      </c>
      <c r="Q90" s="56">
        <v>0.21</v>
      </c>
      <c r="R90" s="56">
        <v>0</v>
      </c>
      <c r="S90" s="45">
        <v>-5.5E-2</v>
      </c>
      <c r="T90" s="45">
        <v>0</v>
      </c>
      <c r="U90" s="45">
        <v>-0.12</v>
      </c>
      <c r="V90" s="45">
        <v>-0.01</v>
      </c>
      <c r="W90" s="45">
        <v>-0.12</v>
      </c>
      <c r="X90" s="45">
        <v>-0.01</v>
      </c>
      <c r="Y90" s="45">
        <v>0.15</v>
      </c>
      <c r="Z90" s="45">
        <v>0</v>
      </c>
      <c r="AA90" s="45">
        <v>0.15</v>
      </c>
      <c r="AB90" s="45">
        <v>0</v>
      </c>
      <c r="AC90" s="45">
        <v>0.17499999999999999</v>
      </c>
      <c r="AD90" s="45">
        <v>1.2500000000000001E-2</v>
      </c>
      <c r="AE90" s="45">
        <v>0.09</v>
      </c>
      <c r="AF90" s="45">
        <v>5.0000000000000001E-3</v>
      </c>
      <c r="AG90" s="45">
        <v>0.23499999999999999</v>
      </c>
      <c r="AH90" s="45">
        <v>0</v>
      </c>
      <c r="AI90" s="45">
        <v>0.18</v>
      </c>
      <c r="AJ90" s="45">
        <v>0</v>
      </c>
      <c r="AK90" s="45">
        <v>-0.5</v>
      </c>
      <c r="AL90" s="45">
        <v>1.7051489222723001E-3</v>
      </c>
      <c r="AM90" s="45">
        <v>0.14000000000000001</v>
      </c>
      <c r="AN90" s="45">
        <v>1.5462212511540498</v>
      </c>
      <c r="AO90" s="45">
        <v>0.218</v>
      </c>
      <c r="AP90" s="45">
        <v>0.17</v>
      </c>
      <c r="AQ90" s="45">
        <v>0.17</v>
      </c>
      <c r="AR90" s="45">
        <f t="shared" si="13"/>
        <v>0.64673797443518</v>
      </c>
      <c r="AT90" s="217">
        <f t="shared" si="14"/>
        <v>9.5528269249795669E-2</v>
      </c>
      <c r="AU90" s="217">
        <f t="shared" si="15"/>
        <v>-0.40276658182793201</v>
      </c>
      <c r="AV90" s="45">
        <f>[10]Sheet1!AA81</f>
        <v>0.15199999999999994</v>
      </c>
      <c r="AW90" s="45">
        <v>0</v>
      </c>
    </row>
    <row r="91" spans="1:49">
      <c r="A91" s="45"/>
      <c r="B91" s="45"/>
      <c r="C91" s="50">
        <f t="shared" si="12"/>
        <v>39295</v>
      </c>
      <c r="D91" s="56">
        <v>5.9742312959047097E-2</v>
      </c>
      <c r="E91" s="48">
        <v>4.2010000000000005</v>
      </c>
      <c r="F91" s="48">
        <v>0.2175</v>
      </c>
      <c r="G91" s="48">
        <v>0.218</v>
      </c>
      <c r="H91" s="48">
        <v>0.218</v>
      </c>
      <c r="I91" s="48">
        <v>0.224</v>
      </c>
      <c r="J91" s="48">
        <v>0.218</v>
      </c>
      <c r="K91" s="45">
        <v>0.218</v>
      </c>
      <c r="L91" s="48">
        <v>0.55000000000000004</v>
      </c>
      <c r="M91" s="48">
        <v>0.5</v>
      </c>
      <c r="N91" s="48">
        <v>0.6</v>
      </c>
      <c r="O91" s="48">
        <v>0.45</v>
      </c>
      <c r="P91" s="48">
        <v>0.55000000000000004</v>
      </c>
      <c r="Q91" s="56">
        <v>0.21</v>
      </c>
      <c r="R91" s="56">
        <v>0</v>
      </c>
      <c r="S91" s="45">
        <v>-5.5E-2</v>
      </c>
      <c r="T91" s="45">
        <v>0</v>
      </c>
      <c r="U91" s="45">
        <v>-0.12</v>
      </c>
      <c r="V91" s="45">
        <v>-0.01</v>
      </c>
      <c r="W91" s="45">
        <v>-0.12</v>
      </c>
      <c r="X91" s="45">
        <v>-0.01</v>
      </c>
      <c r="Y91" s="45">
        <v>0.15</v>
      </c>
      <c r="Z91" s="45">
        <v>0</v>
      </c>
      <c r="AA91" s="45">
        <v>0.15</v>
      </c>
      <c r="AB91" s="45">
        <v>0</v>
      </c>
      <c r="AC91" s="45">
        <v>0.17499999999999999</v>
      </c>
      <c r="AD91" s="45">
        <v>1.2500000000000001E-2</v>
      </c>
      <c r="AE91" s="45">
        <v>0.09</v>
      </c>
      <c r="AF91" s="45">
        <v>5.0000000000000001E-3</v>
      </c>
      <c r="AG91" s="45">
        <v>0.23499999999999999</v>
      </c>
      <c r="AH91" s="45">
        <v>0</v>
      </c>
      <c r="AI91" s="45">
        <v>0.18</v>
      </c>
      <c r="AJ91" s="45">
        <v>0</v>
      </c>
      <c r="AK91" s="45">
        <v>-0.5</v>
      </c>
      <c r="AL91" s="45">
        <v>1.7055932540065001E-3</v>
      </c>
      <c r="AM91" s="45">
        <v>0.14000000000000001</v>
      </c>
      <c r="AN91" s="45">
        <v>1.54581843813383</v>
      </c>
      <c r="AO91" s="45">
        <v>0.218</v>
      </c>
      <c r="AP91" s="45">
        <v>0.17</v>
      </c>
      <c r="AQ91" s="45">
        <v>0.17</v>
      </c>
      <c r="AR91" s="45">
        <f t="shared" si="13"/>
        <v>0.64690650294431573</v>
      </c>
      <c r="AT91" s="217">
        <f t="shared" si="14"/>
        <v>9.5553162231858529E-2</v>
      </c>
      <c r="AU91" s="217">
        <f t="shared" si="15"/>
        <v>-0.40274124451413496</v>
      </c>
      <c r="AV91" s="45">
        <f>[10]Sheet1!AA82</f>
        <v>0.15199999999999994</v>
      </c>
      <c r="AW91" s="45">
        <v>0</v>
      </c>
    </row>
    <row r="92" spans="1:49">
      <c r="A92" s="45"/>
      <c r="B92" s="45"/>
      <c r="C92" s="50">
        <f t="shared" si="12"/>
        <v>39326</v>
      </c>
      <c r="D92" s="56">
        <v>5.9870419677538596E-2</v>
      </c>
      <c r="E92" s="48">
        <v>4.2149999999999999</v>
      </c>
      <c r="F92" s="48">
        <v>0.2175</v>
      </c>
      <c r="G92" s="48">
        <v>0.218</v>
      </c>
      <c r="H92" s="48">
        <v>0.218</v>
      </c>
      <c r="I92" s="48">
        <v>0.224</v>
      </c>
      <c r="J92" s="48">
        <v>0.218</v>
      </c>
      <c r="K92" s="45">
        <v>0.218</v>
      </c>
      <c r="L92" s="48">
        <v>0.55000000000000004</v>
      </c>
      <c r="M92" s="48">
        <v>0.55000000000000004</v>
      </c>
      <c r="N92" s="48">
        <v>0.6</v>
      </c>
      <c r="O92" s="48">
        <v>0.5</v>
      </c>
      <c r="P92" s="48">
        <v>0.6</v>
      </c>
      <c r="Q92" s="56">
        <v>0.21</v>
      </c>
      <c r="R92" s="56">
        <v>0</v>
      </c>
      <c r="S92" s="45">
        <v>-5.5E-2</v>
      </c>
      <c r="T92" s="45">
        <v>0</v>
      </c>
      <c r="U92" s="45">
        <v>-0.12</v>
      </c>
      <c r="V92" s="45">
        <v>-0.01</v>
      </c>
      <c r="W92" s="45">
        <v>-0.12</v>
      </c>
      <c r="X92" s="45">
        <v>-0.01</v>
      </c>
      <c r="Y92" s="45">
        <v>0.15</v>
      </c>
      <c r="Z92" s="45">
        <v>0</v>
      </c>
      <c r="AA92" s="45">
        <v>0.15</v>
      </c>
      <c r="AB92" s="45">
        <v>0</v>
      </c>
      <c r="AC92" s="45">
        <v>0.16500000000000001</v>
      </c>
      <c r="AD92" s="45">
        <v>1.2500000000000001E-2</v>
      </c>
      <c r="AE92" s="45">
        <v>0.09</v>
      </c>
      <c r="AF92" s="45">
        <v>5.0000000000000001E-3</v>
      </c>
      <c r="AG92" s="45">
        <v>0.23499999999999999</v>
      </c>
      <c r="AH92" s="45">
        <v>0</v>
      </c>
      <c r="AI92" s="45">
        <v>0.18</v>
      </c>
      <c r="AJ92" s="45">
        <v>0</v>
      </c>
      <c r="AK92" s="45">
        <v>-0.5</v>
      </c>
      <c r="AL92" s="45">
        <v>1.7060477282643E-3</v>
      </c>
      <c r="AM92" s="45">
        <v>0.14000000000000001</v>
      </c>
      <c r="AN92" s="45">
        <v>1.5454066473757198</v>
      </c>
      <c r="AO92" s="45">
        <v>0.218</v>
      </c>
      <c r="AP92" s="45">
        <v>0.17</v>
      </c>
      <c r="AQ92" s="45">
        <v>0.17</v>
      </c>
      <c r="AR92" s="45">
        <f t="shared" si="13"/>
        <v>0.64707887836390265</v>
      </c>
      <c r="AT92" s="217">
        <f t="shared" si="14"/>
        <v>9.5578623432754792E-2</v>
      </c>
      <c r="AU92" s="217">
        <f t="shared" si="15"/>
        <v>-0.40271532883898087</v>
      </c>
      <c r="AV92" s="45">
        <f>[10]Sheet1!AA83</f>
        <v>0.15199999999999994</v>
      </c>
      <c r="AW92" s="45">
        <v>0</v>
      </c>
    </row>
    <row r="93" spans="1:49">
      <c r="A93" s="45"/>
      <c r="B93" s="45"/>
      <c r="C93" s="50">
        <f t="shared" si="12"/>
        <v>39356</v>
      </c>
      <c r="D93" s="56">
        <v>5.99943939264325E-2</v>
      </c>
      <c r="E93" s="48">
        <v>4.2460000000000004</v>
      </c>
      <c r="F93" s="48">
        <v>0.2175</v>
      </c>
      <c r="G93" s="48">
        <v>0.218</v>
      </c>
      <c r="H93" s="48">
        <v>0.218</v>
      </c>
      <c r="I93" s="48">
        <v>0.224</v>
      </c>
      <c r="J93" s="48">
        <v>0.218</v>
      </c>
      <c r="K93" s="45">
        <v>0.218</v>
      </c>
      <c r="L93" s="48">
        <v>0.6</v>
      </c>
      <c r="M93" s="48">
        <v>0.55000000000000004</v>
      </c>
      <c r="N93" s="48">
        <v>0.65</v>
      </c>
      <c r="O93" s="48">
        <v>0.5</v>
      </c>
      <c r="P93" s="48">
        <v>0.65</v>
      </c>
      <c r="Q93" s="56">
        <v>0.21</v>
      </c>
      <c r="R93" s="56">
        <v>0</v>
      </c>
      <c r="S93" s="45">
        <v>-5.5E-2</v>
      </c>
      <c r="T93" s="45">
        <v>0</v>
      </c>
      <c r="U93" s="45">
        <v>-0.12</v>
      </c>
      <c r="V93" s="45">
        <v>-0.01</v>
      </c>
      <c r="W93" s="45">
        <v>-0.12</v>
      </c>
      <c r="X93" s="45">
        <v>-0.01</v>
      </c>
      <c r="Y93" s="45">
        <v>0.15</v>
      </c>
      <c r="Z93" s="45">
        <v>0</v>
      </c>
      <c r="AA93" s="45">
        <v>0.15</v>
      </c>
      <c r="AB93" s="45">
        <v>0</v>
      </c>
      <c r="AC93" s="45">
        <v>0.17249999999999999</v>
      </c>
      <c r="AD93" s="45">
        <v>1.2500000000000001E-2</v>
      </c>
      <c r="AE93" s="45">
        <v>0.09</v>
      </c>
      <c r="AF93" s="45">
        <v>5.0000000000000001E-3</v>
      </c>
      <c r="AG93" s="45">
        <v>0.23499999999999999</v>
      </c>
      <c r="AH93" s="45">
        <v>0</v>
      </c>
      <c r="AI93" s="45">
        <v>0.18</v>
      </c>
      <c r="AJ93" s="45">
        <v>0</v>
      </c>
      <c r="AK93" s="45">
        <v>-0.5</v>
      </c>
      <c r="AL93" s="45">
        <v>1.7064972051571E-3</v>
      </c>
      <c r="AM93" s="45">
        <v>0.14000000000000001</v>
      </c>
      <c r="AN93" s="45">
        <v>1.5449996003698301</v>
      </c>
      <c r="AO93" s="45">
        <v>0.218</v>
      </c>
      <c r="AP93" s="45">
        <v>0.17</v>
      </c>
      <c r="AQ93" s="45">
        <v>0.17</v>
      </c>
      <c r="AR93" s="45">
        <f t="shared" si="13"/>
        <v>0.64724935835622721</v>
      </c>
      <c r="AT93" s="217">
        <f t="shared" si="14"/>
        <v>9.5603804664184278E-2</v>
      </c>
      <c r="AU93" s="217">
        <f t="shared" si="15"/>
        <v>-0.40268969813065864</v>
      </c>
      <c r="AV93" s="45">
        <f>[10]Sheet1!AA84</f>
        <v>0.15199999999999994</v>
      </c>
      <c r="AW93" s="45">
        <v>0</v>
      </c>
    </row>
    <row r="94" spans="1:49">
      <c r="A94" s="45"/>
      <c r="B94" s="45"/>
      <c r="C94" s="50">
        <f t="shared" si="12"/>
        <v>39387</v>
      </c>
      <c r="D94" s="56">
        <v>6.0122500655654505E-2</v>
      </c>
      <c r="E94" s="48">
        <v>4.3790000000000004</v>
      </c>
      <c r="F94" s="48">
        <v>0.2175</v>
      </c>
      <c r="G94" s="48">
        <v>0.218</v>
      </c>
      <c r="H94" s="48">
        <v>0.218</v>
      </c>
      <c r="I94" s="48">
        <v>0.224</v>
      </c>
      <c r="J94" s="48">
        <v>0.218</v>
      </c>
      <c r="K94" s="45">
        <v>0.218</v>
      </c>
      <c r="L94" s="48">
        <v>0.8</v>
      </c>
      <c r="M94" s="48">
        <v>0.8</v>
      </c>
      <c r="N94" s="48">
        <v>0.8</v>
      </c>
      <c r="O94" s="48">
        <v>0.95</v>
      </c>
      <c r="P94" s="48">
        <v>0.85</v>
      </c>
      <c r="Q94" s="56">
        <v>0.32500000000000001</v>
      </c>
      <c r="R94" s="56">
        <v>0</v>
      </c>
      <c r="S94" s="45">
        <v>-5.5E-2</v>
      </c>
      <c r="T94" s="45">
        <v>5.0000000000000001E-3</v>
      </c>
      <c r="U94" s="45">
        <v>-0.1225</v>
      </c>
      <c r="V94" s="45">
        <v>0.01</v>
      </c>
      <c r="W94" s="45">
        <v>-0.1225</v>
      </c>
      <c r="X94" s="45">
        <v>0.01</v>
      </c>
      <c r="Y94" s="45">
        <v>0.22500000000000001</v>
      </c>
      <c r="Z94" s="45">
        <v>0</v>
      </c>
      <c r="AA94" s="45">
        <v>0.22500000000000001</v>
      </c>
      <c r="AB94" s="45">
        <v>0</v>
      </c>
      <c r="AC94" s="45">
        <v>0.24</v>
      </c>
      <c r="AD94" s="45">
        <v>0.03</v>
      </c>
      <c r="AE94" s="45">
        <v>0.17499999999999999</v>
      </c>
      <c r="AF94" s="45">
        <v>0.02</v>
      </c>
      <c r="AG94" s="45">
        <v>0.45500000000000002</v>
      </c>
      <c r="AH94" s="45">
        <v>0</v>
      </c>
      <c r="AI94" s="45">
        <v>0.27500000000000002</v>
      </c>
      <c r="AJ94" s="45">
        <v>0</v>
      </c>
      <c r="AK94" s="45">
        <v>-0.435</v>
      </c>
      <c r="AL94" s="45">
        <v>5.4623092999936994E-3</v>
      </c>
      <c r="AM94" s="45">
        <v>0.13</v>
      </c>
      <c r="AN94" s="45">
        <v>1.5445701692523499</v>
      </c>
      <c r="AO94" s="45">
        <v>0.218</v>
      </c>
      <c r="AP94" s="45">
        <v>0.26500000000000001</v>
      </c>
      <c r="AQ94" s="45">
        <v>0.26500000000000001</v>
      </c>
      <c r="AR94" s="45">
        <f t="shared" si="13"/>
        <v>0.6474293106955773</v>
      </c>
      <c r="AT94" s="217">
        <f t="shared" si="14"/>
        <v>8.8799643247280291E-2</v>
      </c>
      <c r="AU94" s="217">
        <f t="shared" si="15"/>
        <v>-0.34073804745272601</v>
      </c>
      <c r="AV94" s="45">
        <f>[10]Sheet1!AA85</f>
        <v>0.19857142857142857</v>
      </c>
      <c r="AW94" s="45">
        <v>0</v>
      </c>
    </row>
    <row r="95" spans="1:49">
      <c r="A95" s="45"/>
      <c r="B95" s="45"/>
      <c r="C95" s="50">
        <f t="shared" si="12"/>
        <v>39417</v>
      </c>
      <c r="D95" s="56">
        <v>6.0246474914931604E-2</v>
      </c>
      <c r="E95" s="48">
        <v>4.5170000000000003</v>
      </c>
      <c r="F95" s="48">
        <v>0.2175</v>
      </c>
      <c r="G95" s="48">
        <v>0.218</v>
      </c>
      <c r="H95" s="48">
        <v>0.218</v>
      </c>
      <c r="I95" s="48">
        <v>0.224</v>
      </c>
      <c r="J95" s="48">
        <v>0.218</v>
      </c>
      <c r="K95" s="45">
        <v>0.218</v>
      </c>
      <c r="L95" s="48">
        <v>1</v>
      </c>
      <c r="M95" s="48">
        <v>1</v>
      </c>
      <c r="N95" s="48">
        <v>1.1000000000000001</v>
      </c>
      <c r="O95" s="48">
        <v>1.35</v>
      </c>
      <c r="P95" s="48">
        <v>1.05</v>
      </c>
      <c r="Q95" s="56">
        <v>0.32500000000000001</v>
      </c>
      <c r="R95" s="56">
        <v>0</v>
      </c>
      <c r="S95" s="45">
        <v>-5.5E-2</v>
      </c>
      <c r="T95" s="45">
        <v>5.0000000000000001E-3</v>
      </c>
      <c r="U95" s="45">
        <v>-0.11749999999999999</v>
      </c>
      <c r="V95" s="45">
        <v>0.01</v>
      </c>
      <c r="W95" s="45">
        <v>-0.11749999999999999</v>
      </c>
      <c r="X95" s="45">
        <v>0.01</v>
      </c>
      <c r="Y95" s="45">
        <v>0.22500000000000001</v>
      </c>
      <c r="Z95" s="45">
        <v>0</v>
      </c>
      <c r="AA95" s="45">
        <v>0.22500000000000001</v>
      </c>
      <c r="AB95" s="45">
        <v>0</v>
      </c>
      <c r="AC95" s="45">
        <v>0.26</v>
      </c>
      <c r="AD95" s="45">
        <v>0.03</v>
      </c>
      <c r="AE95" s="45">
        <v>0.17499999999999999</v>
      </c>
      <c r="AF95" s="45">
        <v>0.02</v>
      </c>
      <c r="AG95" s="45">
        <v>0.45500000000000002</v>
      </c>
      <c r="AH95" s="45">
        <v>0</v>
      </c>
      <c r="AI95" s="45">
        <v>0.27500000000000002</v>
      </c>
      <c r="AJ95" s="45">
        <v>0</v>
      </c>
      <c r="AK95" s="45">
        <v>-0.435</v>
      </c>
      <c r="AL95" s="45">
        <v>5.4638095299704001E-3</v>
      </c>
      <c r="AM95" s="45">
        <v>0.13</v>
      </c>
      <c r="AN95" s="45">
        <v>1.5441460676330701</v>
      </c>
      <c r="AO95" s="45">
        <v>0.218</v>
      </c>
      <c r="AP95" s="45">
        <v>0.26500000000000001</v>
      </c>
      <c r="AQ95" s="45">
        <v>0.26500000000000001</v>
      </c>
      <c r="AR95" s="45">
        <f t="shared" si="13"/>
        <v>0.64760712795314801</v>
      </c>
      <c r="AT95" s="217">
        <f t="shared" si="14"/>
        <v>8.8824032178665746E-2</v>
      </c>
      <c r="AU95" s="217">
        <f t="shared" si="15"/>
        <v>-0.34071215829136386</v>
      </c>
      <c r="AV95" s="45">
        <f>[10]Sheet1!AA86</f>
        <v>0.20357142857142857</v>
      </c>
      <c r="AW95" s="45">
        <v>0</v>
      </c>
    </row>
    <row r="96" spans="1:49">
      <c r="A96" s="45"/>
      <c r="B96" s="45"/>
      <c r="C96" s="50">
        <f t="shared" si="12"/>
        <v>39448</v>
      </c>
      <c r="D96" s="56">
        <v>6.0374581654882006E-2</v>
      </c>
      <c r="E96" s="48">
        <v>4.5339999999999998</v>
      </c>
      <c r="F96" s="48">
        <v>0.2175</v>
      </c>
      <c r="G96" s="48">
        <v>0.218</v>
      </c>
      <c r="H96" s="48">
        <v>0.218</v>
      </c>
      <c r="I96" s="48">
        <v>0.224</v>
      </c>
      <c r="J96" s="48">
        <v>0.218</v>
      </c>
      <c r="K96" s="45">
        <v>0.218</v>
      </c>
      <c r="L96" s="48">
        <v>1</v>
      </c>
      <c r="M96" s="48">
        <v>1</v>
      </c>
      <c r="N96" s="48">
        <v>1.1000000000000001</v>
      </c>
      <c r="O96" s="48">
        <v>1.35</v>
      </c>
      <c r="P96" s="48">
        <v>1.05</v>
      </c>
      <c r="Q96" s="56">
        <v>0.32500000000000001</v>
      </c>
      <c r="R96" s="56">
        <v>0</v>
      </c>
      <c r="S96" s="45">
        <v>-5.5E-2</v>
      </c>
      <c r="T96" s="45">
        <v>5.0000000000000001E-3</v>
      </c>
      <c r="U96" s="45">
        <v>-0.11749999999999999</v>
      </c>
      <c r="V96" s="45">
        <v>0.01</v>
      </c>
      <c r="W96" s="45">
        <v>-0.11749999999999999</v>
      </c>
      <c r="X96" s="45">
        <v>0.01</v>
      </c>
      <c r="Y96" s="45">
        <v>0.22500000000000001</v>
      </c>
      <c r="Z96" s="45">
        <v>0</v>
      </c>
      <c r="AA96" s="45">
        <v>0.22500000000000001</v>
      </c>
      <c r="AB96" s="45">
        <v>0</v>
      </c>
      <c r="AC96" s="45">
        <v>0.27</v>
      </c>
      <c r="AD96" s="45">
        <v>0.03</v>
      </c>
      <c r="AE96" s="45">
        <v>0.17499999999999999</v>
      </c>
      <c r="AF96" s="45">
        <v>0.02</v>
      </c>
      <c r="AG96" s="45">
        <v>0.45500000000000002</v>
      </c>
      <c r="AH96" s="45">
        <v>0</v>
      </c>
      <c r="AI96" s="45">
        <v>0.27500000000000002</v>
      </c>
      <c r="AJ96" s="45">
        <v>0</v>
      </c>
      <c r="AK96" s="45">
        <v>-0.435</v>
      </c>
      <c r="AL96" s="45">
        <v>5.4653917834659007E-3</v>
      </c>
      <c r="AM96" s="45">
        <v>0.13</v>
      </c>
      <c r="AN96" s="45">
        <v>1.5436990309685699</v>
      </c>
      <c r="AO96" s="45">
        <v>0.218</v>
      </c>
      <c r="AP96" s="45">
        <v>0.26500000000000001</v>
      </c>
      <c r="AQ96" s="45">
        <v>0.26500000000000001</v>
      </c>
      <c r="AR96" s="45">
        <f t="shared" si="13"/>
        <v>0.64779466718494061</v>
      </c>
      <c r="AT96" s="217">
        <f t="shared" si="14"/>
        <v>8.8849754549591722E-2</v>
      </c>
      <c r="AU96" s="217">
        <f t="shared" si="15"/>
        <v>-0.3406848536669424</v>
      </c>
      <c r="AV96" s="45">
        <f>[10]Sheet1!AA87</f>
        <v>0.20357142857142857</v>
      </c>
      <c r="AW96" s="45">
        <v>0</v>
      </c>
    </row>
    <row r="97" spans="1:49">
      <c r="A97" s="45"/>
      <c r="B97" s="45"/>
      <c r="C97" s="50">
        <f t="shared" si="12"/>
        <v>39479</v>
      </c>
      <c r="D97" s="56">
        <v>6.0502688400284804E-2</v>
      </c>
      <c r="E97" s="48">
        <v>4.4140000000000006</v>
      </c>
      <c r="F97" s="48">
        <v>0.2175</v>
      </c>
      <c r="G97" s="48">
        <v>0.218</v>
      </c>
      <c r="H97" s="48">
        <v>0.218</v>
      </c>
      <c r="I97" s="48">
        <v>0.224</v>
      </c>
      <c r="J97" s="48">
        <v>0.218</v>
      </c>
      <c r="K97" s="45">
        <v>0.218</v>
      </c>
      <c r="L97" s="48">
        <v>1</v>
      </c>
      <c r="M97" s="48">
        <v>1</v>
      </c>
      <c r="N97" s="48">
        <v>1.1000000000000001</v>
      </c>
      <c r="O97" s="48">
        <v>1.35</v>
      </c>
      <c r="P97" s="48">
        <v>1.05</v>
      </c>
      <c r="Q97" s="56">
        <v>0.32500000000000001</v>
      </c>
      <c r="R97" s="56">
        <v>0</v>
      </c>
      <c r="S97" s="45">
        <v>-5.5E-2</v>
      </c>
      <c r="T97" s="45">
        <v>5.0000000000000001E-3</v>
      </c>
      <c r="U97" s="45">
        <v>-0.12</v>
      </c>
      <c r="V97" s="45">
        <v>0.01</v>
      </c>
      <c r="W97" s="45">
        <v>-0.12</v>
      </c>
      <c r="X97" s="45">
        <v>0.01</v>
      </c>
      <c r="Y97" s="45">
        <v>0.22500000000000001</v>
      </c>
      <c r="Z97" s="45">
        <v>0</v>
      </c>
      <c r="AA97" s="45">
        <v>0.22500000000000001</v>
      </c>
      <c r="AB97" s="45">
        <v>0</v>
      </c>
      <c r="AC97" s="45">
        <v>0.27</v>
      </c>
      <c r="AD97" s="45">
        <v>0.03</v>
      </c>
      <c r="AE97" s="45">
        <v>0.17499999999999999</v>
      </c>
      <c r="AF97" s="45">
        <v>0.02</v>
      </c>
      <c r="AG97" s="45">
        <v>0.45500000000000002</v>
      </c>
      <c r="AH97" s="45">
        <v>0</v>
      </c>
      <c r="AI97" s="45">
        <v>0.27500000000000002</v>
      </c>
      <c r="AJ97" s="45">
        <v>0</v>
      </c>
      <c r="AK97" s="45">
        <v>-0.435</v>
      </c>
      <c r="AL97" s="45">
        <v>5.4670066002869009E-3</v>
      </c>
      <c r="AM97" s="45">
        <v>0.13</v>
      </c>
      <c r="AN97" s="45">
        <v>1.5432430609388899</v>
      </c>
      <c r="AO97" s="45">
        <v>0.218</v>
      </c>
      <c r="AP97" s="45">
        <v>0.26500000000000001</v>
      </c>
      <c r="AQ97" s="45">
        <v>0.26500000000000001</v>
      </c>
      <c r="AR97" s="45">
        <f t="shared" si="13"/>
        <v>0.64798606603914521</v>
      </c>
      <c r="AT97" s="217">
        <f t="shared" si="14"/>
        <v>8.8876006295829535E-2</v>
      </c>
      <c r="AU97" s="217">
        <f t="shared" si="15"/>
        <v>-0.34065698710388354</v>
      </c>
      <c r="AV97" s="45">
        <f>[10]Sheet1!AA88</f>
        <v>0.20357142857142857</v>
      </c>
      <c r="AW97" s="45">
        <v>0</v>
      </c>
    </row>
    <row r="98" spans="1:49">
      <c r="A98" s="45"/>
      <c r="B98" s="45"/>
      <c r="C98" s="50">
        <f t="shared" si="12"/>
        <v>39508</v>
      </c>
      <c r="D98" s="56">
        <v>6.06225301993066E-2</v>
      </c>
      <c r="E98" s="48">
        <v>4.2750000000000004</v>
      </c>
      <c r="F98" s="48">
        <v>0.20499999999999999</v>
      </c>
      <c r="G98" s="48">
        <v>0.20499999999999999</v>
      </c>
      <c r="H98" s="48">
        <v>0.20499999999999999</v>
      </c>
      <c r="I98" s="48">
        <v>0.21100000000000002</v>
      </c>
      <c r="J98" s="48">
        <v>0.20499999999999999</v>
      </c>
      <c r="K98" s="45">
        <v>0.20499999999999999</v>
      </c>
      <c r="L98" s="48">
        <v>0.75</v>
      </c>
      <c r="M98" s="48">
        <v>0.75</v>
      </c>
      <c r="N98" s="48">
        <v>0.75</v>
      </c>
      <c r="O98" s="48">
        <v>0.95</v>
      </c>
      <c r="P98" s="48">
        <v>0.75</v>
      </c>
      <c r="Q98" s="56">
        <v>0.32500000000000001</v>
      </c>
      <c r="R98" s="56">
        <v>0</v>
      </c>
      <c r="S98" s="45">
        <v>-5.5E-2</v>
      </c>
      <c r="T98" s="45">
        <v>5.0000000000000001E-3</v>
      </c>
      <c r="U98" s="45">
        <v>-0.1225</v>
      </c>
      <c r="V98" s="45">
        <v>0.01</v>
      </c>
      <c r="W98" s="45">
        <v>-0.1225</v>
      </c>
      <c r="X98" s="45">
        <v>0.01</v>
      </c>
      <c r="Y98" s="45">
        <v>0.22500000000000001</v>
      </c>
      <c r="Z98" s="45">
        <v>0</v>
      </c>
      <c r="AA98" s="45">
        <v>0.22500000000000001</v>
      </c>
      <c r="AB98" s="45">
        <v>0</v>
      </c>
      <c r="AC98" s="45">
        <v>0.24</v>
      </c>
      <c r="AD98" s="45">
        <v>0.03</v>
      </c>
      <c r="AE98" s="45">
        <v>0.17499999999999999</v>
      </c>
      <c r="AF98" s="45">
        <v>0.02</v>
      </c>
      <c r="AG98" s="45">
        <v>0.45500000000000002</v>
      </c>
      <c r="AH98" s="45">
        <v>0</v>
      </c>
      <c r="AI98" s="45">
        <v>0.27500000000000002</v>
      </c>
      <c r="AJ98" s="45">
        <v>0</v>
      </c>
      <c r="AK98" s="45">
        <v>-0.435</v>
      </c>
      <c r="AL98" s="45">
        <v>5.4685467359397999E-3</v>
      </c>
      <c r="AM98" s="45">
        <v>0.13</v>
      </c>
      <c r="AN98" s="45">
        <v>1.5428084292581099</v>
      </c>
      <c r="AO98" s="45">
        <v>0.20499999999999999</v>
      </c>
      <c r="AP98" s="45">
        <v>0.26500000000000001</v>
      </c>
      <c r="AQ98" s="45">
        <v>0.26500000000000001</v>
      </c>
      <c r="AR98" s="45">
        <f t="shared" si="13"/>
        <v>0.64816861318347208</v>
      </c>
      <c r="AT98" s="217">
        <f t="shared" si="14"/>
        <v>8.8901043965617169E-2</v>
      </c>
      <c r="AU98" s="217">
        <f t="shared" si="15"/>
        <v>-0.34063040929844302</v>
      </c>
      <c r="AV98" s="45">
        <f>[10]Sheet1!AA89</f>
        <v>0.20357142857142857</v>
      </c>
      <c r="AW98" s="45">
        <v>0</v>
      </c>
    </row>
    <row r="99" spans="1:49">
      <c r="A99" s="45"/>
      <c r="B99" s="45"/>
      <c r="C99" s="50">
        <f t="shared" si="12"/>
        <v>39539</v>
      </c>
      <c r="D99" s="56">
        <v>6.0750636955259701E-2</v>
      </c>
      <c r="E99" s="48">
        <v>4.0999999999999996</v>
      </c>
      <c r="F99" s="48">
        <v>0.20499999999999999</v>
      </c>
      <c r="G99" s="48">
        <v>0.20499999999999999</v>
      </c>
      <c r="H99" s="48">
        <v>0.20499999999999999</v>
      </c>
      <c r="I99" s="48">
        <v>0.21100000000000002</v>
      </c>
      <c r="J99" s="48">
        <v>0.20499999999999999</v>
      </c>
      <c r="K99" s="45">
        <v>0.20499999999999999</v>
      </c>
      <c r="L99" s="48">
        <v>0.4</v>
      </c>
      <c r="M99" s="48">
        <v>0.4</v>
      </c>
      <c r="N99" s="48">
        <v>0.45</v>
      </c>
      <c r="O99" s="48">
        <v>0.5</v>
      </c>
      <c r="P99" s="48">
        <v>0.45</v>
      </c>
      <c r="Q99" s="56">
        <v>0.21</v>
      </c>
      <c r="R99" s="56">
        <v>0</v>
      </c>
      <c r="S99" s="45">
        <v>-5.2499999999999998E-2</v>
      </c>
      <c r="T99" s="45">
        <v>0</v>
      </c>
      <c r="U99" s="45">
        <v>-0.12</v>
      </c>
      <c r="V99" s="45">
        <v>-0.01</v>
      </c>
      <c r="W99" s="45">
        <v>-0.12</v>
      </c>
      <c r="X99" s="45">
        <v>-0.01</v>
      </c>
      <c r="Y99" s="45">
        <v>0.15</v>
      </c>
      <c r="Z99" s="45">
        <v>0</v>
      </c>
      <c r="AA99" s="45">
        <v>0.15</v>
      </c>
      <c r="AB99" s="45">
        <v>0</v>
      </c>
      <c r="AC99" s="45">
        <v>0.17</v>
      </c>
      <c r="AD99" s="45">
        <v>1.7500000000000002E-2</v>
      </c>
      <c r="AE99" s="45">
        <v>0.09</v>
      </c>
      <c r="AF99" s="45">
        <v>5.0000000000000001E-3</v>
      </c>
      <c r="AG99" s="45">
        <v>0.23499999999999999</v>
      </c>
      <c r="AH99" s="45">
        <v>0</v>
      </c>
      <c r="AI99" s="45">
        <v>0.18</v>
      </c>
      <c r="AJ99" s="45">
        <v>0</v>
      </c>
      <c r="AK99" s="45">
        <v>-0.61</v>
      </c>
      <c r="AL99" s="45">
        <v>1.709445201767E-3</v>
      </c>
      <c r="AM99" s="45">
        <v>0.13</v>
      </c>
      <c r="AN99" s="45">
        <v>1.54233519581356</v>
      </c>
      <c r="AO99" s="45">
        <v>0.20499999999999999</v>
      </c>
      <c r="AP99" s="45">
        <v>0.17</v>
      </c>
      <c r="AQ99" s="45">
        <v>0.17</v>
      </c>
      <c r="AR99" s="45">
        <f t="shared" si="13"/>
        <v>0.64836749022803319</v>
      </c>
      <c r="AT99" s="217">
        <f t="shared" si="14"/>
        <v>8.8928321400103608E-2</v>
      </c>
      <c r="AU99" s="217">
        <f t="shared" si="15"/>
        <v>-0.51936223339812937</v>
      </c>
      <c r="AV99" s="45">
        <f>[10]Sheet1!AA90</f>
        <v>0.15449999999999994</v>
      </c>
      <c r="AW99" s="45">
        <v>0</v>
      </c>
    </row>
    <row r="100" spans="1:49">
      <c r="A100" s="45"/>
      <c r="B100" s="45"/>
      <c r="C100" s="50">
        <f t="shared" si="12"/>
        <v>39569</v>
      </c>
      <c r="D100" s="56">
        <v>6.0874611240405503E-2</v>
      </c>
      <c r="E100" s="48">
        <v>4.07</v>
      </c>
      <c r="F100" s="48">
        <v>0.20499999999999999</v>
      </c>
      <c r="G100" s="48">
        <v>0.20499999999999999</v>
      </c>
      <c r="H100" s="48">
        <v>0.20499999999999999</v>
      </c>
      <c r="I100" s="48">
        <v>0.21100000000000002</v>
      </c>
      <c r="J100" s="48">
        <v>0.20499999999999999</v>
      </c>
      <c r="K100" s="45">
        <v>0.20499999999999999</v>
      </c>
      <c r="L100" s="48">
        <v>0.45</v>
      </c>
      <c r="M100" s="48">
        <v>0.4</v>
      </c>
      <c r="N100" s="48">
        <v>0.5</v>
      </c>
      <c r="O100" s="48">
        <v>0.45</v>
      </c>
      <c r="P100" s="48">
        <v>0.45</v>
      </c>
      <c r="Q100" s="56">
        <v>0.21</v>
      </c>
      <c r="R100" s="56">
        <v>0</v>
      </c>
      <c r="S100" s="45">
        <v>-5.2499999999999998E-2</v>
      </c>
      <c r="T100" s="45">
        <v>0</v>
      </c>
      <c r="U100" s="45">
        <v>-0.12</v>
      </c>
      <c r="V100" s="45">
        <v>-0.01</v>
      </c>
      <c r="W100" s="45">
        <v>-0.12</v>
      </c>
      <c r="X100" s="45">
        <v>-0.01</v>
      </c>
      <c r="Y100" s="45">
        <v>0.15</v>
      </c>
      <c r="Z100" s="45">
        <v>0</v>
      </c>
      <c r="AA100" s="45">
        <v>0.15</v>
      </c>
      <c r="AB100" s="45">
        <v>0</v>
      </c>
      <c r="AC100" s="45">
        <v>0.16500000000000001</v>
      </c>
      <c r="AD100" s="45">
        <v>0.01</v>
      </c>
      <c r="AE100" s="45">
        <v>0.09</v>
      </c>
      <c r="AF100" s="45">
        <v>5.0000000000000001E-3</v>
      </c>
      <c r="AG100" s="45">
        <v>0.23499999999999999</v>
      </c>
      <c r="AH100" s="45">
        <v>0</v>
      </c>
      <c r="AI100" s="45">
        <v>0.18</v>
      </c>
      <c r="AJ100" s="45">
        <v>0</v>
      </c>
      <c r="AK100" s="45">
        <v>-0.61</v>
      </c>
      <c r="AL100" s="45">
        <v>1.7099623439676E-3</v>
      </c>
      <c r="AM100" s="45">
        <v>0.13</v>
      </c>
      <c r="AN100" s="45">
        <v>1.54186874892366</v>
      </c>
      <c r="AO100" s="45">
        <v>0.20499999999999999</v>
      </c>
      <c r="AP100" s="45">
        <v>0.17</v>
      </c>
      <c r="AQ100" s="45">
        <v>0.17</v>
      </c>
      <c r="AR100" s="45">
        <f t="shared" si="13"/>
        <v>0.64856363467907041</v>
      </c>
      <c r="AT100" s="217">
        <f t="shared" si="14"/>
        <v>8.8955224039494962E-2</v>
      </c>
      <c r="AU100" s="217">
        <f t="shared" si="15"/>
        <v>-0.51933481361653744</v>
      </c>
      <c r="AV100" s="45">
        <f>[10]Sheet1!AA91</f>
        <v>0.15449999999999994</v>
      </c>
      <c r="AW100" s="45">
        <v>0</v>
      </c>
    </row>
    <row r="101" spans="1:49">
      <c r="A101" s="45"/>
      <c r="B101" s="45"/>
      <c r="C101" s="50">
        <f t="shared" si="12"/>
        <v>39600</v>
      </c>
      <c r="D101" s="56">
        <v>6.0982023354836795E-2</v>
      </c>
      <c r="E101" s="48">
        <v>4.1399999999999997</v>
      </c>
      <c r="F101" s="48">
        <v>0.20499999999999999</v>
      </c>
      <c r="G101" s="48">
        <v>0.20499999999999999</v>
      </c>
      <c r="H101" s="48">
        <v>0.20499999999999999</v>
      </c>
      <c r="I101" s="48">
        <v>0.21100000000000002</v>
      </c>
      <c r="J101" s="48">
        <v>0.20499999999999999</v>
      </c>
      <c r="K101" s="45">
        <v>0.20499999999999999</v>
      </c>
      <c r="L101" s="48">
        <v>0.45</v>
      </c>
      <c r="M101" s="48">
        <v>0.4</v>
      </c>
      <c r="N101" s="48">
        <v>0.5</v>
      </c>
      <c r="O101" s="48">
        <v>0.5</v>
      </c>
      <c r="P101" s="48">
        <v>0.5</v>
      </c>
      <c r="Q101" s="56">
        <v>0.21</v>
      </c>
      <c r="R101" s="56">
        <v>0</v>
      </c>
      <c r="S101" s="45">
        <v>-5.2499999999999998E-2</v>
      </c>
      <c r="T101" s="45">
        <v>0</v>
      </c>
      <c r="U101" s="45">
        <v>-0.12</v>
      </c>
      <c r="V101" s="45">
        <v>-0.01</v>
      </c>
      <c r="W101" s="45">
        <v>-0.12</v>
      </c>
      <c r="X101" s="45">
        <v>-0.01</v>
      </c>
      <c r="Y101" s="45">
        <v>0.15</v>
      </c>
      <c r="Z101" s="45">
        <v>0</v>
      </c>
      <c r="AA101" s="45">
        <v>0.15</v>
      </c>
      <c r="AB101" s="45">
        <v>0</v>
      </c>
      <c r="AC101" s="45">
        <v>0.17</v>
      </c>
      <c r="AD101" s="45">
        <v>1.2500000000000001E-2</v>
      </c>
      <c r="AE101" s="45">
        <v>0.09</v>
      </c>
      <c r="AF101" s="45">
        <v>5.0000000000000001E-3</v>
      </c>
      <c r="AG101" s="45">
        <v>0.23499999999999999</v>
      </c>
      <c r="AH101" s="45">
        <v>0</v>
      </c>
      <c r="AI101" s="45">
        <v>0.18</v>
      </c>
      <c r="AJ101" s="45">
        <v>0</v>
      </c>
      <c r="AK101" s="45">
        <v>-0.61</v>
      </c>
      <c r="AL101" s="45">
        <v>1.7102646107263002E-3</v>
      </c>
      <c r="AM101" s="45">
        <v>0.13</v>
      </c>
      <c r="AN101" s="45">
        <v>1.5415962439170701</v>
      </c>
      <c r="AO101" s="45">
        <v>0.20499999999999999</v>
      </c>
      <c r="AP101" s="45">
        <v>0.17</v>
      </c>
      <c r="AQ101" s="45">
        <v>0.17</v>
      </c>
      <c r="AR101" s="45">
        <f t="shared" si="13"/>
        <v>0.64867828002686467</v>
      </c>
      <c r="AT101" s="217">
        <f t="shared" si="14"/>
        <v>8.8970948483563086E-2</v>
      </c>
      <c r="AU101" s="217">
        <f t="shared" si="15"/>
        <v>-0.51931878690571054</v>
      </c>
      <c r="AV101" s="45">
        <f>[10]Sheet1!AA92</f>
        <v>0.15449999999999994</v>
      </c>
      <c r="AW101" s="45">
        <v>0</v>
      </c>
    </row>
    <row r="102" spans="1:49">
      <c r="A102" s="45"/>
      <c r="B102" s="45"/>
      <c r="C102" s="50">
        <f t="shared" si="12"/>
        <v>39630</v>
      </c>
      <c r="D102" s="56">
        <v>6.1067195175330498E-2</v>
      </c>
      <c r="E102" s="48">
        <v>4.1950000000000003</v>
      </c>
      <c r="F102" s="48">
        <v>0.20250000000000001</v>
      </c>
      <c r="G102" s="48">
        <v>0.20300000000000001</v>
      </c>
      <c r="H102" s="48">
        <v>0.20300000000000001</v>
      </c>
      <c r="I102" s="48">
        <v>0.20900000000000002</v>
      </c>
      <c r="J102" s="48">
        <v>0.20300000000000001</v>
      </c>
      <c r="K102" s="45">
        <v>0.20300000000000001</v>
      </c>
      <c r="L102" s="48">
        <v>0.5</v>
      </c>
      <c r="M102" s="48">
        <v>0.4</v>
      </c>
      <c r="N102" s="48">
        <v>0.55000000000000004</v>
      </c>
      <c r="O102" s="48">
        <v>0.5</v>
      </c>
      <c r="P102" s="48">
        <v>0.5</v>
      </c>
      <c r="Q102" s="56">
        <v>0.21</v>
      </c>
      <c r="R102" s="56">
        <v>0</v>
      </c>
      <c r="S102" s="45">
        <v>-5.2499999999999998E-2</v>
      </c>
      <c r="T102" s="45">
        <v>0</v>
      </c>
      <c r="U102" s="45">
        <v>-0.12</v>
      </c>
      <c r="V102" s="45">
        <v>-0.01</v>
      </c>
      <c r="W102" s="45">
        <v>-0.12</v>
      </c>
      <c r="X102" s="45">
        <v>-0.01</v>
      </c>
      <c r="Y102" s="45">
        <v>0.15</v>
      </c>
      <c r="Z102" s="45">
        <v>0</v>
      </c>
      <c r="AA102" s="45">
        <v>0.15</v>
      </c>
      <c r="AB102" s="45">
        <v>0</v>
      </c>
      <c r="AC102" s="45">
        <v>0.17499999999999999</v>
      </c>
      <c r="AD102" s="45">
        <v>1.2500000000000001E-2</v>
      </c>
      <c r="AE102" s="45">
        <v>0.09</v>
      </c>
      <c r="AF102" s="45">
        <v>5.0000000000000001E-3</v>
      </c>
      <c r="AG102" s="45">
        <v>0.23499999999999999</v>
      </c>
      <c r="AH102" s="45">
        <v>0</v>
      </c>
      <c r="AI102" s="45">
        <v>0.18</v>
      </c>
      <c r="AJ102" s="45">
        <v>0</v>
      </c>
      <c r="AK102" s="45">
        <v>-0.61</v>
      </c>
      <c r="AL102" s="45">
        <v>1.7103389538294001E-3</v>
      </c>
      <c r="AM102" s="45">
        <v>0.13</v>
      </c>
      <c r="AN102" s="45">
        <v>1.5415292355335399</v>
      </c>
      <c r="AO102" s="45">
        <v>0.20300000000000001</v>
      </c>
      <c r="AP102" s="45">
        <v>0.17</v>
      </c>
      <c r="AQ102" s="45">
        <v>0.17</v>
      </c>
      <c r="AR102" s="45">
        <f t="shared" si="13"/>
        <v>0.64870647727539799</v>
      </c>
      <c r="AT102" s="217">
        <f t="shared" si="14"/>
        <v>8.8974815941475396E-2</v>
      </c>
      <c r="AU102" s="217">
        <f t="shared" si="15"/>
        <v>-0.51931484510469517</v>
      </c>
      <c r="AV102" s="45">
        <f>[10]Sheet1!AA93</f>
        <v>0.15449999999999994</v>
      </c>
      <c r="AW102" s="45">
        <v>0</v>
      </c>
    </row>
    <row r="103" spans="1:49">
      <c r="A103" s="45"/>
      <c r="B103" s="45"/>
      <c r="C103" s="50">
        <f t="shared" si="12"/>
        <v>39661</v>
      </c>
      <c r="D103" s="56">
        <v>6.1155206059038097E-2</v>
      </c>
      <c r="E103" s="48">
        <v>4.2510000000000003</v>
      </c>
      <c r="F103" s="48">
        <v>0.20250000000000001</v>
      </c>
      <c r="G103" s="48">
        <v>0.20300000000000001</v>
      </c>
      <c r="H103" s="48">
        <v>0.20300000000000001</v>
      </c>
      <c r="I103" s="48">
        <v>0.20900000000000002</v>
      </c>
      <c r="J103" s="48">
        <v>0.20300000000000001</v>
      </c>
      <c r="K103" s="45">
        <v>0.20300000000000001</v>
      </c>
      <c r="L103" s="48">
        <v>0.55000000000000004</v>
      </c>
      <c r="M103" s="48">
        <v>0.5</v>
      </c>
      <c r="N103" s="48">
        <v>0.6</v>
      </c>
      <c r="O103" s="48">
        <v>0.45</v>
      </c>
      <c r="P103" s="48">
        <v>0.55000000000000004</v>
      </c>
      <c r="Q103" s="56">
        <v>0.21</v>
      </c>
      <c r="R103" s="56">
        <v>0</v>
      </c>
      <c r="S103" s="45">
        <v>-5.2499999999999998E-2</v>
      </c>
      <c r="T103" s="45">
        <v>0</v>
      </c>
      <c r="U103" s="45">
        <v>-0.12</v>
      </c>
      <c r="V103" s="45">
        <v>-0.01</v>
      </c>
      <c r="W103" s="45">
        <v>-0.12</v>
      </c>
      <c r="X103" s="45">
        <v>-0.01</v>
      </c>
      <c r="Y103" s="45">
        <v>0.15</v>
      </c>
      <c r="Z103" s="45">
        <v>0</v>
      </c>
      <c r="AA103" s="45">
        <v>0.15</v>
      </c>
      <c r="AB103" s="45">
        <v>0</v>
      </c>
      <c r="AC103" s="45">
        <v>0.17499999999999999</v>
      </c>
      <c r="AD103" s="45">
        <v>1.2500000000000001E-2</v>
      </c>
      <c r="AE103" s="45">
        <v>0.09</v>
      </c>
      <c r="AF103" s="45">
        <v>5.0000000000000001E-3</v>
      </c>
      <c r="AG103" s="45">
        <v>0.23499999999999999</v>
      </c>
      <c r="AH103" s="45">
        <v>0</v>
      </c>
      <c r="AI103" s="45">
        <v>0.18</v>
      </c>
      <c r="AJ103" s="45">
        <v>0</v>
      </c>
      <c r="AK103" s="45">
        <v>-0.61</v>
      </c>
      <c r="AL103" s="45">
        <v>1.7104145873442001E-3</v>
      </c>
      <c r="AM103" s="45">
        <v>0.13</v>
      </c>
      <c r="AN103" s="45">
        <v>1.5414610700284499</v>
      </c>
      <c r="AO103" s="45">
        <v>0.20300000000000001</v>
      </c>
      <c r="AP103" s="45">
        <v>0.17</v>
      </c>
      <c r="AQ103" s="45">
        <v>0.17</v>
      </c>
      <c r="AR103" s="45">
        <f t="shared" si="13"/>
        <v>0.64873516395814235</v>
      </c>
      <c r="AT103" s="217">
        <f t="shared" si="14"/>
        <v>8.8978750528852832E-2</v>
      </c>
      <c r="AU103" s="217">
        <f t="shared" si="15"/>
        <v>-0.51931083488380292</v>
      </c>
      <c r="AV103" s="45">
        <f>[10]Sheet1!AA94</f>
        <v>0.15449999999999994</v>
      </c>
      <c r="AW103" s="45">
        <v>0</v>
      </c>
    </row>
    <row r="104" spans="1:49">
      <c r="A104" s="45"/>
      <c r="B104" s="45"/>
      <c r="C104" s="50">
        <f t="shared" si="12"/>
        <v>39692</v>
      </c>
      <c r="D104" s="56">
        <v>6.1243216945317897E-2</v>
      </c>
      <c r="E104" s="48">
        <v>4.2649999999999997</v>
      </c>
      <c r="F104" s="48">
        <v>0.20250000000000001</v>
      </c>
      <c r="G104" s="48">
        <v>0.20300000000000001</v>
      </c>
      <c r="H104" s="48">
        <v>0.20300000000000001</v>
      </c>
      <c r="I104" s="48">
        <v>0.20900000000000002</v>
      </c>
      <c r="J104" s="48">
        <v>0.20300000000000001</v>
      </c>
      <c r="K104" s="45">
        <v>0.20300000000000001</v>
      </c>
      <c r="L104" s="48">
        <v>0.55000000000000004</v>
      </c>
      <c r="M104" s="48">
        <v>0.55000000000000004</v>
      </c>
      <c r="N104" s="48">
        <v>0.6</v>
      </c>
      <c r="O104" s="48">
        <v>0.5</v>
      </c>
      <c r="P104" s="48">
        <v>0.6</v>
      </c>
      <c r="Q104" s="56">
        <v>0.21</v>
      </c>
      <c r="R104" s="56">
        <v>0</v>
      </c>
      <c r="S104" s="45">
        <v>-5.2499999999999998E-2</v>
      </c>
      <c r="T104" s="45">
        <v>0</v>
      </c>
      <c r="U104" s="45">
        <v>-0.12</v>
      </c>
      <c r="V104" s="45">
        <v>-0.01</v>
      </c>
      <c r="W104" s="45">
        <v>-0.12</v>
      </c>
      <c r="X104" s="45">
        <v>-0.01</v>
      </c>
      <c r="Y104" s="45">
        <v>0.15</v>
      </c>
      <c r="Z104" s="45">
        <v>0</v>
      </c>
      <c r="AA104" s="45">
        <v>0.15</v>
      </c>
      <c r="AB104" s="45">
        <v>0</v>
      </c>
      <c r="AC104" s="45">
        <v>0.16500000000000001</v>
      </c>
      <c r="AD104" s="45">
        <v>1.2500000000000001E-2</v>
      </c>
      <c r="AE104" s="45">
        <v>0.09</v>
      </c>
      <c r="AF104" s="45">
        <v>5.0000000000000001E-3</v>
      </c>
      <c r="AG104" s="45">
        <v>0.23499999999999999</v>
      </c>
      <c r="AH104" s="45">
        <v>0</v>
      </c>
      <c r="AI104" s="45">
        <v>0.18</v>
      </c>
      <c r="AJ104" s="45">
        <v>0</v>
      </c>
      <c r="AK104" s="45">
        <v>-0.61</v>
      </c>
      <c r="AL104" s="45">
        <v>1.7104890136953E-3</v>
      </c>
      <c r="AM104" s="45">
        <v>0.13</v>
      </c>
      <c r="AN104" s="45">
        <v>1.5413939983771501</v>
      </c>
      <c r="AO104" s="45">
        <v>0.20300000000000001</v>
      </c>
      <c r="AP104" s="45">
        <v>0.17</v>
      </c>
      <c r="AQ104" s="45">
        <v>0.17</v>
      </c>
      <c r="AR104" s="45">
        <f t="shared" si="13"/>
        <v>0.64876339278136907</v>
      </c>
      <c r="AT104" s="217">
        <f t="shared" si="14"/>
        <v>8.8982622317464219E-2</v>
      </c>
      <c r="AU104" s="217">
        <f t="shared" si="15"/>
        <v>-0.51930688866884045</v>
      </c>
      <c r="AV104" s="45">
        <f>[10]Sheet1!AA95</f>
        <v>0.15449999999999994</v>
      </c>
      <c r="AW104" s="45">
        <v>0</v>
      </c>
    </row>
    <row r="105" spans="1:49">
      <c r="A105" s="45"/>
      <c r="B105" s="45"/>
      <c r="C105" s="50">
        <f t="shared" si="12"/>
        <v>39722</v>
      </c>
      <c r="D105" s="56">
        <v>6.13283887731986E-2</v>
      </c>
      <c r="E105" s="48">
        <v>4.2960000000000003</v>
      </c>
      <c r="F105" s="48">
        <v>0.20250000000000001</v>
      </c>
      <c r="G105" s="48">
        <v>0.20300000000000001</v>
      </c>
      <c r="H105" s="48">
        <v>0.20300000000000001</v>
      </c>
      <c r="I105" s="48">
        <v>0.20900000000000002</v>
      </c>
      <c r="J105" s="48">
        <v>0.20300000000000001</v>
      </c>
      <c r="K105" s="45">
        <v>0.20300000000000001</v>
      </c>
      <c r="L105" s="48">
        <v>0.6</v>
      </c>
      <c r="M105" s="48">
        <v>0.55000000000000004</v>
      </c>
      <c r="N105" s="48">
        <v>0.65</v>
      </c>
      <c r="O105" s="48">
        <v>0.5</v>
      </c>
      <c r="P105" s="48">
        <v>0.65</v>
      </c>
      <c r="Q105" s="56">
        <v>0.21</v>
      </c>
      <c r="R105" s="56">
        <v>0</v>
      </c>
      <c r="S105" s="45">
        <v>-5.2499999999999998E-2</v>
      </c>
      <c r="T105" s="45">
        <v>0</v>
      </c>
      <c r="U105" s="45">
        <v>-0.12</v>
      </c>
      <c r="V105" s="45">
        <v>-0.01</v>
      </c>
      <c r="W105" s="45">
        <v>-0.12</v>
      </c>
      <c r="X105" s="45">
        <v>-0.01</v>
      </c>
      <c r="Y105" s="45">
        <v>0.15</v>
      </c>
      <c r="Z105" s="45">
        <v>0</v>
      </c>
      <c r="AA105" s="45">
        <v>0.15</v>
      </c>
      <c r="AB105" s="45">
        <v>0</v>
      </c>
      <c r="AC105" s="45">
        <v>0.17249999999999999</v>
      </c>
      <c r="AD105" s="45">
        <v>1.2500000000000001E-2</v>
      </c>
      <c r="AE105" s="45">
        <v>0.09</v>
      </c>
      <c r="AF105" s="45">
        <v>5.0000000000000001E-3</v>
      </c>
      <c r="AG105" s="45">
        <v>0.23499999999999999</v>
      </c>
      <c r="AH105" s="45">
        <v>0</v>
      </c>
      <c r="AI105" s="45">
        <v>0.18</v>
      </c>
      <c r="AJ105" s="45">
        <v>0</v>
      </c>
      <c r="AK105" s="45">
        <v>-0.61</v>
      </c>
      <c r="AL105" s="45">
        <v>1.7105598898163002E-3</v>
      </c>
      <c r="AM105" s="45">
        <v>0.13</v>
      </c>
      <c r="AN105" s="45">
        <v>1.5413301315530099</v>
      </c>
      <c r="AO105" s="45">
        <v>0.20300000000000001</v>
      </c>
      <c r="AP105" s="45">
        <v>0.17</v>
      </c>
      <c r="AQ105" s="45">
        <v>0.17</v>
      </c>
      <c r="AR105" s="45">
        <f t="shared" si="13"/>
        <v>0.64879027505445719</v>
      </c>
      <c r="AT105" s="217">
        <f t="shared" si="14"/>
        <v>8.8986309416921205E-2</v>
      </c>
      <c r="AU105" s="217">
        <f t="shared" si="15"/>
        <v>-0.5193031306932625</v>
      </c>
      <c r="AV105" s="45">
        <f>[10]Sheet1!AA96</f>
        <v>0.15449999999999994</v>
      </c>
      <c r="AW105" s="45">
        <v>0</v>
      </c>
    </row>
    <row r="106" spans="1:49">
      <c r="A106" s="45"/>
      <c r="B106" s="45"/>
      <c r="C106" s="50">
        <f t="shared" si="12"/>
        <v>39753</v>
      </c>
      <c r="D106" s="56">
        <v>6.1416399664539996E-2</v>
      </c>
      <c r="E106" s="48">
        <v>4.4290000000000003</v>
      </c>
      <c r="F106" s="48">
        <v>0.20250000000000001</v>
      </c>
      <c r="G106" s="48">
        <v>0.20300000000000001</v>
      </c>
      <c r="H106" s="48">
        <v>0.20300000000000001</v>
      </c>
      <c r="I106" s="48">
        <v>0.20900000000000002</v>
      </c>
      <c r="J106" s="48">
        <v>0.20300000000000001</v>
      </c>
      <c r="K106" s="45">
        <v>0.20300000000000001</v>
      </c>
      <c r="L106" s="48">
        <v>0.8</v>
      </c>
      <c r="M106" s="48">
        <v>0.8</v>
      </c>
      <c r="N106" s="48">
        <v>0.8</v>
      </c>
      <c r="O106" s="48">
        <v>0.95</v>
      </c>
      <c r="P106" s="48">
        <v>0.85</v>
      </c>
      <c r="Q106" s="56">
        <v>0.32500000000000001</v>
      </c>
      <c r="R106" s="56">
        <v>0</v>
      </c>
      <c r="S106" s="45">
        <v>-5.2499999999999998E-2</v>
      </c>
      <c r="T106" s="45">
        <v>5.0000000000000001E-3</v>
      </c>
      <c r="U106" s="45">
        <v>-0.14249999999999999</v>
      </c>
      <c r="V106" s="45">
        <v>0.01</v>
      </c>
      <c r="W106" s="45">
        <v>-0.14249999999999999</v>
      </c>
      <c r="X106" s="45">
        <v>0.01</v>
      </c>
      <c r="Y106" s="45">
        <v>0.22500000000000001</v>
      </c>
      <c r="Z106" s="45">
        <v>0</v>
      </c>
      <c r="AA106" s="45">
        <v>0.22500000000000001</v>
      </c>
      <c r="AB106" s="45">
        <v>0</v>
      </c>
      <c r="AC106" s="45">
        <v>0.24</v>
      </c>
      <c r="AD106" s="45">
        <v>0.03</v>
      </c>
      <c r="AE106" s="45">
        <v>0.17499999999999999</v>
      </c>
      <c r="AF106" s="45">
        <v>0.02</v>
      </c>
      <c r="AG106" s="45">
        <v>0.41499999999999998</v>
      </c>
      <c r="AH106" s="45">
        <v>0</v>
      </c>
      <c r="AI106" s="45">
        <v>0.27500000000000002</v>
      </c>
      <c r="AJ106" s="45">
        <v>0</v>
      </c>
      <c r="AK106" s="45">
        <v>-0.45500000000000002</v>
      </c>
      <c r="AL106" s="45">
        <v>5.4740222105138002E-3</v>
      </c>
      <c r="AM106" s="45">
        <v>0.13</v>
      </c>
      <c r="AN106" s="45">
        <v>1.5412652114920999</v>
      </c>
      <c r="AO106" s="45">
        <v>0.20300000000000001</v>
      </c>
      <c r="AP106" s="45">
        <v>0.27500000000000002</v>
      </c>
      <c r="AQ106" s="45">
        <v>0.27500000000000002</v>
      </c>
      <c r="AR106" s="45">
        <f t="shared" si="13"/>
        <v>0.64881760293019219</v>
      </c>
      <c r="AT106" s="217">
        <f t="shared" si="14"/>
        <v>8.8990057634025191E-2</v>
      </c>
      <c r="AU106" s="217">
        <f t="shared" si="15"/>
        <v>-0.36053592015546104</v>
      </c>
      <c r="AV106" s="45">
        <f>[10]Sheet1!AA97</f>
        <v>0.20107142857142857</v>
      </c>
      <c r="AW106" s="45">
        <v>0</v>
      </c>
    </row>
    <row r="107" spans="1:49">
      <c r="A107" s="45"/>
      <c r="B107" s="45"/>
      <c r="C107" s="50">
        <f t="shared" si="12"/>
        <v>39783</v>
      </c>
      <c r="D107" s="56">
        <v>6.1501571497318601E-2</v>
      </c>
      <c r="E107" s="48">
        <v>4.5670000000000002</v>
      </c>
      <c r="F107" s="48">
        <v>0.20499999999999999</v>
      </c>
      <c r="G107" s="48">
        <v>0.20499999999999999</v>
      </c>
      <c r="H107" s="48">
        <v>0.20499999999999999</v>
      </c>
      <c r="I107" s="48">
        <v>0.21100000000000002</v>
      </c>
      <c r="J107" s="48">
        <v>0.20499999999999999</v>
      </c>
      <c r="K107" s="45">
        <v>0.20499999999999999</v>
      </c>
      <c r="L107" s="48">
        <v>1</v>
      </c>
      <c r="M107" s="48">
        <v>1</v>
      </c>
      <c r="N107" s="48">
        <v>1.1000000000000001</v>
      </c>
      <c r="O107" s="48">
        <v>1.35</v>
      </c>
      <c r="P107" s="48">
        <v>1.05</v>
      </c>
      <c r="Q107" s="56">
        <v>0.32500000000000001</v>
      </c>
      <c r="R107" s="56">
        <v>0</v>
      </c>
      <c r="S107" s="45">
        <v>-5.2499999999999998E-2</v>
      </c>
      <c r="T107" s="45">
        <v>5.0000000000000001E-3</v>
      </c>
      <c r="U107" s="45">
        <v>-0.13750000000000001</v>
      </c>
      <c r="V107" s="45">
        <v>0.01</v>
      </c>
      <c r="W107" s="45">
        <v>-0.13750000000000001</v>
      </c>
      <c r="X107" s="45">
        <v>0.01</v>
      </c>
      <c r="Y107" s="45">
        <v>0.22500000000000001</v>
      </c>
      <c r="Z107" s="45">
        <v>0</v>
      </c>
      <c r="AA107" s="45">
        <v>0.22500000000000001</v>
      </c>
      <c r="AB107" s="45">
        <v>0</v>
      </c>
      <c r="AC107" s="45">
        <v>0.26</v>
      </c>
      <c r="AD107" s="45">
        <v>0.03</v>
      </c>
      <c r="AE107" s="45">
        <v>0.17499999999999999</v>
      </c>
      <c r="AF107" s="45">
        <v>0.02</v>
      </c>
      <c r="AG107" s="45">
        <v>0.41499999999999998</v>
      </c>
      <c r="AH107" s="45">
        <v>0</v>
      </c>
      <c r="AI107" s="45">
        <v>0.27500000000000002</v>
      </c>
      <c r="AJ107" s="45">
        <v>0</v>
      </c>
      <c r="AK107" s="45">
        <v>-0.45500000000000002</v>
      </c>
      <c r="AL107" s="45">
        <v>5.4742416581079001E-3</v>
      </c>
      <c r="AM107" s="45">
        <v>0.13</v>
      </c>
      <c r="AN107" s="45">
        <v>1.54120342632373</v>
      </c>
      <c r="AO107" s="45">
        <v>0.20499999999999999</v>
      </c>
      <c r="AP107" s="45">
        <v>0.27500000000000002</v>
      </c>
      <c r="AQ107" s="45">
        <v>0.27500000000000002</v>
      </c>
      <c r="AR107" s="45">
        <f t="shared" si="13"/>
        <v>0.64884361332191187</v>
      </c>
      <c r="AT107" s="217">
        <f t="shared" si="14"/>
        <v>8.899362514860519E-2</v>
      </c>
      <c r="AU107" s="217">
        <f t="shared" si="15"/>
        <v>-0.36053213319328692</v>
      </c>
      <c r="AV107" s="45">
        <f>[10]Sheet1!AA98</f>
        <v>0.20607142857142857</v>
      </c>
      <c r="AW107" s="45">
        <v>0</v>
      </c>
    </row>
    <row r="108" spans="1:49">
      <c r="A108" s="45"/>
      <c r="B108" s="45"/>
      <c r="C108" s="50">
        <f t="shared" si="12"/>
        <v>39814</v>
      </c>
      <c r="D108" s="56">
        <v>6.1589582393720498E-2</v>
      </c>
      <c r="E108" s="48">
        <v>4.5890000000000004</v>
      </c>
      <c r="F108" s="48">
        <v>0.20499999999999999</v>
      </c>
      <c r="G108" s="48">
        <v>0.20499999999999999</v>
      </c>
      <c r="H108" s="48">
        <v>0.20499999999999999</v>
      </c>
      <c r="I108" s="48">
        <v>0.21100000000000002</v>
      </c>
      <c r="J108" s="48">
        <v>0.20499999999999999</v>
      </c>
      <c r="K108" s="45">
        <v>0.20499999999999999</v>
      </c>
      <c r="L108" s="48">
        <v>1</v>
      </c>
      <c r="M108" s="48">
        <v>1</v>
      </c>
      <c r="N108" s="48">
        <v>1.1000000000000001</v>
      </c>
      <c r="O108" s="48">
        <v>1.35</v>
      </c>
      <c r="P108" s="48">
        <v>1.05</v>
      </c>
      <c r="Q108" s="56">
        <v>0.32500000000000001</v>
      </c>
      <c r="R108" s="56">
        <v>0</v>
      </c>
      <c r="S108" s="45">
        <v>-5.2499999999999998E-2</v>
      </c>
      <c r="T108" s="45">
        <v>5.0000000000000001E-3</v>
      </c>
      <c r="U108" s="45">
        <v>-0.13750000000000001</v>
      </c>
      <c r="V108" s="45">
        <v>0.01</v>
      </c>
      <c r="W108" s="45">
        <v>-0.13750000000000001</v>
      </c>
      <c r="X108" s="45">
        <v>0.01</v>
      </c>
      <c r="Y108" s="45">
        <v>0.22500000000000001</v>
      </c>
      <c r="Z108" s="45">
        <v>0</v>
      </c>
      <c r="AA108" s="45">
        <v>0.22500000000000001</v>
      </c>
      <c r="AB108" s="45">
        <v>0</v>
      </c>
      <c r="AC108" s="45">
        <v>0.27</v>
      </c>
      <c r="AD108" s="45">
        <v>0.03</v>
      </c>
      <c r="AE108" s="45">
        <v>0.17499999999999999</v>
      </c>
      <c r="AF108" s="45">
        <v>0.02</v>
      </c>
      <c r="AG108" s="45">
        <v>0.41499999999999998</v>
      </c>
      <c r="AH108" s="45">
        <v>0</v>
      </c>
      <c r="AI108" s="45">
        <v>0.27500000000000002</v>
      </c>
      <c r="AJ108" s="45">
        <v>0</v>
      </c>
      <c r="AK108" s="45">
        <v>-0.45500000000000002</v>
      </c>
      <c r="AL108" s="45">
        <v>5.4744646200605004E-3</v>
      </c>
      <c r="AM108" s="45">
        <v>0.13</v>
      </c>
      <c r="AN108" s="45">
        <v>1.5411406567655799</v>
      </c>
      <c r="AO108" s="45">
        <v>0.20499999999999999</v>
      </c>
      <c r="AP108" s="45">
        <v>0.27500000000000002</v>
      </c>
      <c r="AQ108" s="45">
        <v>0.27500000000000002</v>
      </c>
      <c r="AR108" s="45">
        <f t="shared" si="13"/>
        <v>0.648870040258829</v>
      </c>
      <c r="AT108" s="217">
        <f t="shared" si="14"/>
        <v>8.8997249795391475E-2</v>
      </c>
      <c r="AU108" s="217">
        <f t="shared" si="15"/>
        <v>-0.36052828558454802</v>
      </c>
      <c r="AV108" s="45">
        <f>[10]Sheet1!AA99</f>
        <v>0.20607142857142857</v>
      </c>
      <c r="AW108" s="45">
        <v>0</v>
      </c>
    </row>
    <row r="109" spans="1:49">
      <c r="A109" s="45"/>
      <c r="B109" s="45"/>
      <c r="C109" s="50">
        <f t="shared" si="12"/>
        <v>39845</v>
      </c>
      <c r="D109" s="56">
        <v>6.1677593292693601E-2</v>
      </c>
      <c r="E109" s="48">
        <v>4.4690000000000003</v>
      </c>
      <c r="F109" s="48">
        <v>0.20250000000000001</v>
      </c>
      <c r="G109" s="48">
        <v>0.20300000000000001</v>
      </c>
      <c r="H109" s="48">
        <v>0.20300000000000001</v>
      </c>
      <c r="I109" s="48">
        <v>0.20900000000000002</v>
      </c>
      <c r="J109" s="48">
        <v>0.20300000000000001</v>
      </c>
      <c r="K109" s="45">
        <v>0.20300000000000001</v>
      </c>
      <c r="L109" s="48">
        <v>1</v>
      </c>
      <c r="M109" s="48">
        <v>1</v>
      </c>
      <c r="N109" s="48">
        <v>1.1000000000000001</v>
      </c>
      <c r="O109" s="48">
        <v>1.35</v>
      </c>
      <c r="P109" s="48">
        <v>1.05</v>
      </c>
      <c r="Q109" s="56">
        <v>0.32500000000000001</v>
      </c>
      <c r="R109" s="56">
        <v>0</v>
      </c>
      <c r="S109" s="45">
        <v>-5.2499999999999998E-2</v>
      </c>
      <c r="T109" s="45">
        <v>5.0000000000000001E-3</v>
      </c>
      <c r="U109" s="45">
        <v>-0.14000000000000001</v>
      </c>
      <c r="V109" s="45">
        <v>0.01</v>
      </c>
      <c r="W109" s="45">
        <v>-0.14000000000000001</v>
      </c>
      <c r="X109" s="45">
        <v>0.01</v>
      </c>
      <c r="Y109" s="45">
        <v>0.22500000000000001</v>
      </c>
      <c r="Z109" s="45">
        <v>0</v>
      </c>
      <c r="AA109" s="45">
        <v>0.22500000000000001</v>
      </c>
      <c r="AB109" s="45">
        <v>0</v>
      </c>
      <c r="AC109" s="45">
        <v>0.27</v>
      </c>
      <c r="AD109" s="45">
        <v>0.03</v>
      </c>
      <c r="AE109" s="45">
        <v>0.17499999999999999</v>
      </c>
      <c r="AF109" s="45">
        <v>0.02</v>
      </c>
      <c r="AG109" s="45">
        <v>0.41499999999999998</v>
      </c>
      <c r="AH109" s="45">
        <v>0</v>
      </c>
      <c r="AI109" s="45">
        <v>0.27500000000000002</v>
      </c>
      <c r="AJ109" s="45">
        <v>0</v>
      </c>
      <c r="AK109" s="45">
        <v>-0.45500000000000002</v>
      </c>
      <c r="AL109" s="45">
        <v>5.4746837191822001E-3</v>
      </c>
      <c r="AM109" s="45">
        <v>0.13</v>
      </c>
      <c r="AN109" s="45">
        <v>1.5410789796748698</v>
      </c>
      <c r="AO109" s="45">
        <v>0.20300000000000001</v>
      </c>
      <c r="AP109" s="45">
        <v>0.27500000000000002</v>
      </c>
      <c r="AQ109" s="45">
        <v>0.27500000000000002</v>
      </c>
      <c r="AR109" s="45">
        <f t="shared" si="13"/>
        <v>0.64889600934727931</v>
      </c>
      <c r="AT109" s="217">
        <f t="shared" si="14"/>
        <v>8.9000811644927416E-2</v>
      </c>
      <c r="AU109" s="217">
        <f t="shared" si="15"/>
        <v>-0.36052450463589042</v>
      </c>
      <c r="AV109" s="45">
        <f>[10]Sheet1!AA100</f>
        <v>0.20607142857142857</v>
      </c>
      <c r="AW109" s="45">
        <v>0</v>
      </c>
    </row>
    <row r="110" spans="1:49">
      <c r="A110" s="45"/>
      <c r="B110" s="45"/>
      <c r="C110" s="50">
        <f t="shared" si="12"/>
        <v>39873</v>
      </c>
      <c r="D110" s="56">
        <v>6.17570870101058E-2</v>
      </c>
      <c r="E110" s="48">
        <v>4.33</v>
      </c>
      <c r="F110" s="48">
        <v>0.1925</v>
      </c>
      <c r="G110" s="48">
        <v>0.193</v>
      </c>
      <c r="H110" s="48">
        <v>0.193</v>
      </c>
      <c r="I110" s="48">
        <v>0.19800000000000001</v>
      </c>
      <c r="J110" s="48">
        <v>0.193</v>
      </c>
      <c r="K110" s="45">
        <v>0.193</v>
      </c>
      <c r="L110" s="48">
        <v>0.75</v>
      </c>
      <c r="M110" s="48">
        <v>0.75</v>
      </c>
      <c r="N110" s="48">
        <v>0.75</v>
      </c>
      <c r="O110" s="48">
        <v>0.95</v>
      </c>
      <c r="P110" s="48">
        <v>0.75</v>
      </c>
      <c r="Q110" s="56">
        <v>0.32500000000000001</v>
      </c>
      <c r="R110" s="56">
        <v>0</v>
      </c>
      <c r="S110" s="45">
        <v>-5.2499999999999998E-2</v>
      </c>
      <c r="T110" s="45">
        <v>5.0000000000000001E-3</v>
      </c>
      <c r="U110" s="45">
        <v>-0.14249999999999999</v>
      </c>
      <c r="V110" s="45">
        <v>0.01</v>
      </c>
      <c r="W110" s="45">
        <v>-0.14249999999999999</v>
      </c>
      <c r="X110" s="45">
        <v>0.01</v>
      </c>
      <c r="Y110" s="45">
        <v>0.22500000000000001</v>
      </c>
      <c r="Z110" s="45">
        <v>0</v>
      </c>
      <c r="AA110" s="45">
        <v>0.22500000000000001</v>
      </c>
      <c r="AB110" s="45">
        <v>0</v>
      </c>
      <c r="AC110" s="45">
        <v>0.24</v>
      </c>
      <c r="AD110" s="45">
        <v>0.03</v>
      </c>
      <c r="AE110" s="45">
        <v>0.17499999999999999</v>
      </c>
      <c r="AF110" s="45">
        <v>0.02</v>
      </c>
      <c r="AG110" s="45">
        <v>0.41499999999999998</v>
      </c>
      <c r="AH110" s="45">
        <v>0</v>
      </c>
      <c r="AI110" s="45">
        <v>0.27500000000000002</v>
      </c>
      <c r="AJ110" s="45">
        <v>0</v>
      </c>
      <c r="AK110" s="45">
        <v>-0.45500000000000002</v>
      </c>
      <c r="AL110" s="45">
        <v>5.4748782950133001E-3</v>
      </c>
      <c r="AM110" s="45">
        <v>0.13</v>
      </c>
      <c r="AN110" s="45">
        <v>1.54102421010611</v>
      </c>
      <c r="AO110" s="45">
        <v>0.193</v>
      </c>
      <c r="AP110" s="45">
        <v>0.27500000000000002</v>
      </c>
      <c r="AQ110" s="45">
        <v>0.27500000000000002</v>
      </c>
      <c r="AR110" s="45">
        <f t="shared" si="13"/>
        <v>0.6489190717718466</v>
      </c>
      <c r="AT110" s="217">
        <f t="shared" si="14"/>
        <v>8.9003974824351267E-2</v>
      </c>
      <c r="AU110" s="217">
        <f t="shared" si="15"/>
        <v>-0.36052114688063541</v>
      </c>
      <c r="AV110" s="45">
        <f>[10]Sheet1!AA101</f>
        <v>0.20607142857142857</v>
      </c>
      <c r="AW110" s="45">
        <v>0</v>
      </c>
    </row>
    <row r="111" spans="1:49">
      <c r="A111" s="45"/>
      <c r="B111" s="45"/>
      <c r="C111" s="50">
        <f t="shared" si="12"/>
        <v>39904</v>
      </c>
      <c r="D111" s="56">
        <v>6.1845097913973697E-2</v>
      </c>
      <c r="E111" s="48">
        <v>4.1550000000000002</v>
      </c>
      <c r="F111" s="48">
        <v>0.19</v>
      </c>
      <c r="G111" s="48">
        <v>0.19</v>
      </c>
      <c r="H111" s="48">
        <v>0.19</v>
      </c>
      <c r="I111" s="48">
        <v>0.19600000000000001</v>
      </c>
      <c r="J111" s="48">
        <v>0.19</v>
      </c>
      <c r="K111" s="45">
        <v>0.19</v>
      </c>
      <c r="L111" s="48">
        <v>0.4</v>
      </c>
      <c r="M111" s="48">
        <v>0.4</v>
      </c>
      <c r="N111" s="48">
        <v>0.45</v>
      </c>
      <c r="O111" s="48">
        <v>0.5</v>
      </c>
      <c r="P111" s="48">
        <v>0.45</v>
      </c>
      <c r="Q111" s="56">
        <v>0.21</v>
      </c>
      <c r="R111" s="56">
        <v>0</v>
      </c>
      <c r="S111" s="45">
        <v>-0.05</v>
      </c>
      <c r="T111" s="45">
        <v>0</v>
      </c>
      <c r="U111" s="45">
        <v>-0.14000000000000001</v>
      </c>
      <c r="V111" s="45">
        <v>-0.01</v>
      </c>
      <c r="W111" s="45">
        <v>-0.14000000000000001</v>
      </c>
      <c r="X111" s="45">
        <v>-0.01</v>
      </c>
      <c r="Y111" s="45">
        <v>0.15</v>
      </c>
      <c r="Z111" s="45">
        <v>0</v>
      </c>
      <c r="AA111" s="45">
        <v>0.15</v>
      </c>
      <c r="AB111" s="45">
        <v>0</v>
      </c>
      <c r="AC111" s="45">
        <v>0.17</v>
      </c>
      <c r="AD111" s="45">
        <v>1.7500000000000002E-2</v>
      </c>
      <c r="AE111" s="45">
        <v>0.09</v>
      </c>
      <c r="AF111" s="45">
        <v>5.0000000000000001E-3</v>
      </c>
      <c r="AG111" s="45">
        <v>0.23499999999999999</v>
      </c>
      <c r="AH111" s="45">
        <v>0</v>
      </c>
      <c r="AI111" s="45">
        <v>0.18</v>
      </c>
      <c r="AJ111" s="45">
        <v>0</v>
      </c>
      <c r="AK111" s="45">
        <v>-0.61</v>
      </c>
      <c r="AL111" s="45">
        <v>1.7109656382567002E-3</v>
      </c>
      <c r="AM111" s="45">
        <v>0.13</v>
      </c>
      <c r="AN111" s="45">
        <v>1.540964611473</v>
      </c>
      <c r="AO111" s="45">
        <v>0.19</v>
      </c>
      <c r="AP111" s="45">
        <v>0.18</v>
      </c>
      <c r="AQ111" s="45">
        <v>0.18</v>
      </c>
      <c r="AR111" s="45">
        <f t="shared" si="13"/>
        <v>0.64894416948621891</v>
      </c>
      <c r="AT111" s="217">
        <f t="shared" si="14"/>
        <v>8.9007417158588786E-2</v>
      </c>
      <c r="AU111" s="217">
        <f t="shared" si="15"/>
        <v>-0.51928161720315447</v>
      </c>
      <c r="AV111" s="45">
        <f>[10]Sheet1!AA102</f>
        <v>0.15699999999999992</v>
      </c>
      <c r="AW111" s="45">
        <v>0</v>
      </c>
    </row>
    <row r="112" spans="1:49">
      <c r="A112" s="45"/>
      <c r="B112" s="45"/>
      <c r="C112" s="50">
        <f t="shared" si="12"/>
        <v>39934</v>
      </c>
      <c r="D112" s="56">
        <v>6.1930269758874203E-2</v>
      </c>
      <c r="E112" s="48">
        <v>4.125</v>
      </c>
      <c r="F112" s="48">
        <v>0.19</v>
      </c>
      <c r="G112" s="48">
        <v>0.19</v>
      </c>
      <c r="H112" s="48">
        <v>0.19</v>
      </c>
      <c r="I112" s="48">
        <v>0.19600000000000001</v>
      </c>
      <c r="J112" s="48">
        <v>0.19</v>
      </c>
      <c r="K112" s="45">
        <v>0.19</v>
      </c>
      <c r="L112" s="48">
        <v>0.45</v>
      </c>
      <c r="M112" s="48">
        <v>0.4</v>
      </c>
      <c r="N112" s="48">
        <v>0.5</v>
      </c>
      <c r="O112" s="48">
        <v>0.45</v>
      </c>
      <c r="P112" s="48">
        <v>0.45</v>
      </c>
      <c r="Q112" s="56">
        <v>0.21</v>
      </c>
      <c r="R112" s="56">
        <v>0</v>
      </c>
      <c r="S112" s="45">
        <v>-0.05</v>
      </c>
      <c r="T112" s="45">
        <v>0</v>
      </c>
      <c r="U112" s="45">
        <v>-0.14000000000000001</v>
      </c>
      <c r="V112" s="45">
        <v>-0.01</v>
      </c>
      <c r="W112" s="45">
        <v>-0.14000000000000001</v>
      </c>
      <c r="X112" s="45">
        <v>-0.01</v>
      </c>
      <c r="Y112" s="45">
        <v>0.15</v>
      </c>
      <c r="Z112" s="45">
        <v>0</v>
      </c>
      <c r="AA112" s="45">
        <v>0.15</v>
      </c>
      <c r="AB112" s="45">
        <v>0</v>
      </c>
      <c r="AC112" s="45">
        <v>0.16500000000000001</v>
      </c>
      <c r="AD112" s="45">
        <v>0.01</v>
      </c>
      <c r="AE112" s="45">
        <v>0.09</v>
      </c>
      <c r="AF112" s="45">
        <v>5.0000000000000001E-3</v>
      </c>
      <c r="AG112" s="45">
        <v>0.23499999999999999</v>
      </c>
      <c r="AH112" s="45">
        <v>0</v>
      </c>
      <c r="AI112" s="45">
        <v>0.18</v>
      </c>
      <c r="AJ112" s="45">
        <v>0</v>
      </c>
      <c r="AK112" s="45">
        <v>-0.61</v>
      </c>
      <c r="AL112" s="45">
        <v>1.7110285254620999E-3</v>
      </c>
      <c r="AM112" s="45">
        <v>0.13</v>
      </c>
      <c r="AN112" s="45">
        <v>1.5409079748029499</v>
      </c>
      <c r="AO112" s="45">
        <v>0.19</v>
      </c>
      <c r="AP112" s="45">
        <v>0.18</v>
      </c>
      <c r="AQ112" s="45">
        <v>0.18</v>
      </c>
      <c r="AR112" s="45">
        <f t="shared" si="13"/>
        <v>0.64896802168077505</v>
      </c>
      <c r="AT112" s="217">
        <f t="shared" si="14"/>
        <v>8.9010688660716139E-2</v>
      </c>
      <c r="AU112" s="217">
        <f t="shared" si="15"/>
        <v>-0.51927828281382171</v>
      </c>
      <c r="AV112" s="45">
        <f>[10]Sheet1!AA103</f>
        <v>0.15699999999999992</v>
      </c>
      <c r="AW112" s="45">
        <v>0</v>
      </c>
    </row>
    <row r="113" spans="1:49">
      <c r="A113" s="45"/>
      <c r="B113" s="45"/>
      <c r="C113" s="50">
        <f t="shared" si="12"/>
        <v>39965</v>
      </c>
      <c r="D113" s="56">
        <v>6.2018280667802003E-2</v>
      </c>
      <c r="E113" s="48">
        <v>4.1950000000000003</v>
      </c>
      <c r="F113" s="48">
        <v>0.19</v>
      </c>
      <c r="G113" s="48">
        <v>0.19</v>
      </c>
      <c r="H113" s="48">
        <v>0.19</v>
      </c>
      <c r="I113" s="48">
        <v>0.19600000000000001</v>
      </c>
      <c r="J113" s="48">
        <v>0.19</v>
      </c>
      <c r="K113" s="45">
        <v>0.19</v>
      </c>
      <c r="L113" s="48">
        <v>0.45</v>
      </c>
      <c r="M113" s="48">
        <v>0.4</v>
      </c>
      <c r="N113" s="48">
        <v>0.5</v>
      </c>
      <c r="O113" s="48">
        <v>0.5</v>
      </c>
      <c r="P113" s="48">
        <v>0.5</v>
      </c>
      <c r="Q113" s="56">
        <v>0.21</v>
      </c>
      <c r="R113" s="56">
        <v>0</v>
      </c>
      <c r="S113" s="45">
        <v>-0.05</v>
      </c>
      <c r="T113" s="45">
        <v>0</v>
      </c>
      <c r="U113" s="45">
        <v>-0.14000000000000001</v>
      </c>
      <c r="V113" s="45">
        <v>-0.01</v>
      </c>
      <c r="W113" s="45">
        <v>-0.14000000000000001</v>
      </c>
      <c r="X113" s="45">
        <v>-0.01</v>
      </c>
      <c r="Y113" s="45">
        <v>0.15</v>
      </c>
      <c r="Z113" s="45">
        <v>0</v>
      </c>
      <c r="AA113" s="45">
        <v>0.15</v>
      </c>
      <c r="AB113" s="45">
        <v>0</v>
      </c>
      <c r="AC113" s="45">
        <v>0.17</v>
      </c>
      <c r="AD113" s="45">
        <v>1.2500000000000001E-2</v>
      </c>
      <c r="AE113" s="45">
        <v>0.09</v>
      </c>
      <c r="AF113" s="45">
        <v>5.0000000000000001E-3</v>
      </c>
      <c r="AG113" s="45">
        <v>0.23499999999999999</v>
      </c>
      <c r="AH113" s="45">
        <v>0</v>
      </c>
      <c r="AI113" s="45">
        <v>0.18</v>
      </c>
      <c r="AJ113" s="45">
        <v>0</v>
      </c>
      <c r="AK113" s="45">
        <v>-0.61</v>
      </c>
      <c r="AL113" s="45">
        <v>1.7110923213085E-3</v>
      </c>
      <c r="AM113" s="45">
        <v>0.13</v>
      </c>
      <c r="AN113" s="45">
        <v>1.5408505240580399</v>
      </c>
      <c r="AO113" s="45">
        <v>0.19</v>
      </c>
      <c r="AP113" s="45">
        <v>0.18</v>
      </c>
      <c r="AQ113" s="45">
        <v>0.18</v>
      </c>
      <c r="AR113" s="45">
        <f t="shared" si="13"/>
        <v>0.64899221850953048</v>
      </c>
      <c r="AT113" s="217">
        <f t="shared" si="14"/>
        <v>8.9014007431932857E-2</v>
      </c>
      <c r="AU113" s="217">
        <f t="shared" si="15"/>
        <v>-0.5192749002467586</v>
      </c>
      <c r="AV113" s="45">
        <f>[10]Sheet1!AA104</f>
        <v>0.15699999999999992</v>
      </c>
      <c r="AW113" s="45">
        <v>0</v>
      </c>
    </row>
    <row r="114" spans="1:49">
      <c r="A114" s="45"/>
      <c r="B114" s="45"/>
      <c r="C114" s="50">
        <f t="shared" si="12"/>
        <v>39995</v>
      </c>
      <c r="D114" s="56">
        <v>6.2103452517599002E-2</v>
      </c>
      <c r="E114" s="48">
        <v>4.25</v>
      </c>
      <c r="F114" s="48">
        <v>0.19</v>
      </c>
      <c r="G114" s="48">
        <v>0.19</v>
      </c>
      <c r="H114" s="48">
        <v>0.19</v>
      </c>
      <c r="I114" s="48">
        <v>0.19600000000000001</v>
      </c>
      <c r="J114" s="48">
        <v>0.19</v>
      </c>
      <c r="K114" s="45">
        <v>0.19</v>
      </c>
      <c r="L114" s="48">
        <v>0.5</v>
      </c>
      <c r="M114" s="48">
        <v>0.4</v>
      </c>
      <c r="N114" s="48">
        <v>0.55000000000000004</v>
      </c>
      <c r="O114" s="48">
        <v>0.5</v>
      </c>
      <c r="P114" s="48">
        <v>0.5</v>
      </c>
      <c r="Q114" s="56">
        <v>0.21</v>
      </c>
      <c r="R114" s="56">
        <v>0</v>
      </c>
      <c r="S114" s="45">
        <v>-0.05</v>
      </c>
      <c r="T114" s="45">
        <v>0</v>
      </c>
      <c r="U114" s="45">
        <v>-0.14000000000000001</v>
      </c>
      <c r="V114" s="45">
        <v>-0.01</v>
      </c>
      <c r="W114" s="45">
        <v>-0.14000000000000001</v>
      </c>
      <c r="X114" s="45">
        <v>-0.01</v>
      </c>
      <c r="Y114" s="45">
        <v>0.15</v>
      </c>
      <c r="Z114" s="45">
        <v>0</v>
      </c>
      <c r="AA114" s="45">
        <v>0.15</v>
      </c>
      <c r="AB114" s="45">
        <v>0</v>
      </c>
      <c r="AC114" s="45">
        <v>0.17499999999999999</v>
      </c>
      <c r="AD114" s="45">
        <v>1.2500000000000001E-2</v>
      </c>
      <c r="AE114" s="45">
        <v>0.09</v>
      </c>
      <c r="AF114" s="45">
        <v>5.0000000000000001E-3</v>
      </c>
      <c r="AG114" s="45">
        <v>0.23499999999999999</v>
      </c>
      <c r="AH114" s="45">
        <v>0</v>
      </c>
      <c r="AI114" s="45">
        <v>0.18</v>
      </c>
      <c r="AJ114" s="45">
        <v>0</v>
      </c>
      <c r="AK114" s="45">
        <v>-0.61</v>
      </c>
      <c r="AL114" s="45">
        <v>1.7111529099565999E-3</v>
      </c>
      <c r="AM114" s="45">
        <v>0.13</v>
      </c>
      <c r="AN114" s="45">
        <v>1.5407959654913799</v>
      </c>
      <c r="AO114" s="45">
        <v>0.19</v>
      </c>
      <c r="AP114" s="45">
        <v>0.18</v>
      </c>
      <c r="AQ114" s="45">
        <v>0.18</v>
      </c>
      <c r="AR114" s="45">
        <f t="shared" si="13"/>
        <v>0.64901519889499903</v>
      </c>
      <c r="AT114" s="217">
        <f t="shared" si="14"/>
        <v>8.9017159359097084E-2</v>
      </c>
      <c r="AU114" s="217">
        <f t="shared" si="15"/>
        <v>-0.51927168773094634</v>
      </c>
      <c r="AV114" s="45">
        <f>[10]Sheet1!AA105</f>
        <v>0.15699999999999992</v>
      </c>
      <c r="AW114" s="45">
        <v>0</v>
      </c>
    </row>
    <row r="115" spans="1:49">
      <c r="A115" s="45"/>
      <c r="B115" s="45"/>
      <c r="C115" s="50">
        <f t="shared" si="12"/>
        <v>40026</v>
      </c>
      <c r="D115" s="56">
        <v>6.2191463431585402E-2</v>
      </c>
      <c r="E115" s="48">
        <v>4.306</v>
      </c>
      <c r="F115" s="48">
        <v>0.19</v>
      </c>
      <c r="G115" s="48">
        <v>0.19</v>
      </c>
      <c r="H115" s="48">
        <v>0.19</v>
      </c>
      <c r="I115" s="48">
        <v>0.19600000000000001</v>
      </c>
      <c r="J115" s="48">
        <v>0.19</v>
      </c>
      <c r="K115" s="45">
        <v>0.19</v>
      </c>
      <c r="L115" s="48">
        <v>0.55000000000000004</v>
      </c>
      <c r="M115" s="48">
        <v>0.5</v>
      </c>
      <c r="N115" s="48">
        <v>0.6</v>
      </c>
      <c r="O115" s="48">
        <v>0.45</v>
      </c>
      <c r="P115" s="48">
        <v>0.55000000000000004</v>
      </c>
      <c r="Q115" s="56">
        <v>0.21</v>
      </c>
      <c r="R115" s="56">
        <v>0</v>
      </c>
      <c r="S115" s="45">
        <v>-0.05</v>
      </c>
      <c r="T115" s="45">
        <v>0</v>
      </c>
      <c r="U115" s="45">
        <v>-0.14000000000000001</v>
      </c>
      <c r="V115" s="45">
        <v>-0.01</v>
      </c>
      <c r="W115" s="45">
        <v>-0.14000000000000001</v>
      </c>
      <c r="X115" s="45">
        <v>-0.01</v>
      </c>
      <c r="Y115" s="45">
        <v>0.15</v>
      </c>
      <c r="Z115" s="45">
        <v>0</v>
      </c>
      <c r="AA115" s="45">
        <v>0.15</v>
      </c>
      <c r="AB115" s="45">
        <v>0</v>
      </c>
      <c r="AC115" s="45">
        <v>0.17499999999999999</v>
      </c>
      <c r="AD115" s="45">
        <v>1.2500000000000001E-2</v>
      </c>
      <c r="AE115" s="45">
        <v>0.09</v>
      </c>
      <c r="AF115" s="45">
        <v>5.0000000000000001E-3</v>
      </c>
      <c r="AG115" s="45">
        <v>0.23499999999999999</v>
      </c>
      <c r="AH115" s="45">
        <v>0</v>
      </c>
      <c r="AI115" s="45">
        <v>0.18</v>
      </c>
      <c r="AJ115" s="45">
        <v>0</v>
      </c>
      <c r="AK115" s="45">
        <v>-0.61</v>
      </c>
      <c r="AL115" s="45">
        <v>1.7112143306747E-3</v>
      </c>
      <c r="AM115" s="45">
        <v>0.13</v>
      </c>
      <c r="AN115" s="45">
        <v>1.54074066160982</v>
      </c>
      <c r="AO115" s="45">
        <v>0.19</v>
      </c>
      <c r="AP115" s="45">
        <v>0.18</v>
      </c>
      <c r="AQ115" s="45">
        <v>0.18</v>
      </c>
      <c r="AR115" s="45">
        <f t="shared" si="13"/>
        <v>0.64903849487243681</v>
      </c>
      <c r="AT115" s="217">
        <f t="shared" si="14"/>
        <v>8.9020354571997376E-2</v>
      </c>
      <c r="AU115" s="217">
        <f t="shared" si="15"/>
        <v>-0.5192684310973279</v>
      </c>
      <c r="AV115" s="45">
        <f>[10]Sheet1!AA106</f>
        <v>0.15699999999999992</v>
      </c>
      <c r="AW115" s="45">
        <v>0</v>
      </c>
    </row>
    <row r="116" spans="1:49">
      <c r="A116" s="45"/>
      <c r="B116" s="45"/>
      <c r="C116" s="50">
        <f t="shared" si="12"/>
        <v>40057</v>
      </c>
      <c r="D116" s="56">
        <v>6.2279474348143203E-2</v>
      </c>
      <c r="E116" s="48">
        <v>4.32</v>
      </c>
      <c r="F116" s="48">
        <v>0.19</v>
      </c>
      <c r="G116" s="48">
        <v>0.19</v>
      </c>
      <c r="H116" s="48">
        <v>0.19</v>
      </c>
      <c r="I116" s="48">
        <v>0.19600000000000001</v>
      </c>
      <c r="J116" s="48">
        <v>0.19</v>
      </c>
      <c r="K116" s="45">
        <v>0.19</v>
      </c>
      <c r="L116" s="48">
        <v>0.55000000000000004</v>
      </c>
      <c r="M116" s="48">
        <v>0.55000000000000004</v>
      </c>
      <c r="N116" s="48">
        <v>0.6</v>
      </c>
      <c r="O116" s="48">
        <v>0.5</v>
      </c>
      <c r="P116" s="48">
        <v>0.6</v>
      </c>
      <c r="Q116" s="56">
        <v>0.21</v>
      </c>
      <c r="R116" s="56">
        <v>0</v>
      </c>
      <c r="S116" s="45">
        <v>-0.05</v>
      </c>
      <c r="T116" s="45">
        <v>0</v>
      </c>
      <c r="U116" s="45">
        <v>-0.14000000000000001</v>
      </c>
      <c r="V116" s="45">
        <v>-0.01</v>
      </c>
      <c r="W116" s="45">
        <v>-0.14000000000000001</v>
      </c>
      <c r="X116" s="45">
        <v>-0.01</v>
      </c>
      <c r="Y116" s="45">
        <v>0.15</v>
      </c>
      <c r="Z116" s="45">
        <v>0</v>
      </c>
      <c r="AA116" s="45">
        <v>0.15</v>
      </c>
      <c r="AB116" s="45">
        <v>0</v>
      </c>
      <c r="AC116" s="45">
        <v>0.16500000000000001</v>
      </c>
      <c r="AD116" s="45">
        <v>1.2500000000000001E-2</v>
      </c>
      <c r="AE116" s="45">
        <v>0.09</v>
      </c>
      <c r="AF116" s="45">
        <v>5.0000000000000001E-3</v>
      </c>
      <c r="AG116" s="45">
        <v>0.23499999999999999</v>
      </c>
      <c r="AH116" s="45">
        <v>0</v>
      </c>
      <c r="AI116" s="45">
        <v>0.18</v>
      </c>
      <c r="AJ116" s="45">
        <v>0</v>
      </c>
      <c r="AK116" s="45">
        <v>-0.61</v>
      </c>
      <c r="AL116" s="45">
        <v>1.7112745444012999E-3</v>
      </c>
      <c r="AM116" s="45">
        <v>0.13</v>
      </c>
      <c r="AN116" s="45">
        <v>1.5406864483701701</v>
      </c>
      <c r="AO116" s="45">
        <v>0.19</v>
      </c>
      <c r="AP116" s="45">
        <v>0.18</v>
      </c>
      <c r="AQ116" s="45">
        <v>0.18</v>
      </c>
      <c r="AR116" s="45">
        <f t="shared" si="13"/>
        <v>0.64906133305570357</v>
      </c>
      <c r="AT116" s="217">
        <f t="shared" si="14"/>
        <v>8.9023486995094395E-2</v>
      </c>
      <c r="AU116" s="217">
        <f t="shared" si="15"/>
        <v>-0.51926523846050421</v>
      </c>
      <c r="AV116" s="45">
        <f>[10]Sheet1!AA107</f>
        <v>0.15699999999999992</v>
      </c>
      <c r="AW116" s="45">
        <v>0</v>
      </c>
    </row>
    <row r="117" spans="1:49">
      <c r="A117" s="45"/>
      <c r="B117" s="45"/>
      <c r="C117" s="50">
        <f t="shared" si="12"/>
        <v>40087</v>
      </c>
      <c r="D117" s="56">
        <v>6.2364646205324004E-2</v>
      </c>
      <c r="E117" s="48">
        <v>4.351</v>
      </c>
      <c r="F117" s="48">
        <v>0.19</v>
      </c>
      <c r="G117" s="48">
        <v>0.19</v>
      </c>
      <c r="H117" s="48">
        <v>0.19</v>
      </c>
      <c r="I117" s="48">
        <v>0.19600000000000001</v>
      </c>
      <c r="J117" s="48">
        <v>0.19</v>
      </c>
      <c r="K117" s="45">
        <v>0.19</v>
      </c>
      <c r="L117" s="48">
        <v>0.6</v>
      </c>
      <c r="M117" s="48">
        <v>0.55000000000000004</v>
      </c>
      <c r="N117" s="48">
        <v>0.65</v>
      </c>
      <c r="O117" s="48">
        <v>0.5</v>
      </c>
      <c r="P117" s="48">
        <v>0.65</v>
      </c>
      <c r="Q117" s="56">
        <v>0.21</v>
      </c>
      <c r="R117" s="56">
        <v>0</v>
      </c>
      <c r="S117" s="45">
        <v>-0.05</v>
      </c>
      <c r="T117" s="45">
        <v>0</v>
      </c>
      <c r="U117" s="45">
        <v>-0.14000000000000001</v>
      </c>
      <c r="V117" s="45">
        <v>-0.01</v>
      </c>
      <c r="W117" s="45">
        <v>-0.14000000000000001</v>
      </c>
      <c r="X117" s="45">
        <v>-0.01</v>
      </c>
      <c r="Y117" s="45">
        <v>0.15</v>
      </c>
      <c r="Z117" s="45">
        <v>0</v>
      </c>
      <c r="AA117" s="45">
        <v>0.15</v>
      </c>
      <c r="AB117" s="45">
        <v>0</v>
      </c>
      <c r="AC117" s="45">
        <v>0.17249999999999999</v>
      </c>
      <c r="AD117" s="45">
        <v>1.2500000000000001E-2</v>
      </c>
      <c r="AE117" s="45">
        <v>0.09</v>
      </c>
      <c r="AF117" s="45">
        <v>5.0000000000000001E-3</v>
      </c>
      <c r="AG117" s="45">
        <v>0.23499999999999999</v>
      </c>
      <c r="AH117" s="45">
        <v>0</v>
      </c>
      <c r="AI117" s="45">
        <v>0.18</v>
      </c>
      <c r="AJ117" s="45">
        <v>0</v>
      </c>
      <c r="AK117" s="45">
        <v>-0.61</v>
      </c>
      <c r="AL117" s="45">
        <v>1.7113316665621E-3</v>
      </c>
      <c r="AM117" s="45">
        <v>0.13</v>
      </c>
      <c r="AN117" s="45">
        <v>1.54063502213836</v>
      </c>
      <c r="AO117" s="45">
        <v>0.19</v>
      </c>
      <c r="AP117" s="45">
        <v>0.18</v>
      </c>
      <c r="AQ117" s="45">
        <v>0.18</v>
      </c>
      <c r="AR117" s="45">
        <f t="shared" si="13"/>
        <v>0.64908299865339092</v>
      </c>
      <c r="AT117" s="217">
        <f t="shared" si="14"/>
        <v>8.9026458589542765E-2</v>
      </c>
      <c r="AU117" s="217">
        <f t="shared" si="15"/>
        <v>-0.51926220974389514</v>
      </c>
      <c r="AV117" s="45">
        <f>[10]Sheet1!AA108</f>
        <v>0.15699999999999992</v>
      </c>
      <c r="AW117" s="45">
        <v>0</v>
      </c>
    </row>
    <row r="118" spans="1:49">
      <c r="A118" s="45"/>
      <c r="B118" s="45"/>
      <c r="C118" s="50">
        <f t="shared" si="12"/>
        <v>40118</v>
      </c>
      <c r="D118" s="56">
        <v>6.2452657126940404E-2</v>
      </c>
      <c r="E118" s="48">
        <v>4.484</v>
      </c>
      <c r="F118" s="48">
        <v>0.19</v>
      </c>
      <c r="G118" s="48">
        <v>0.19</v>
      </c>
      <c r="H118" s="48">
        <v>0.19</v>
      </c>
      <c r="I118" s="48">
        <v>0.19600000000000001</v>
      </c>
      <c r="J118" s="48">
        <v>0.19</v>
      </c>
      <c r="K118" s="45">
        <v>0.19</v>
      </c>
      <c r="L118" s="48">
        <v>0.8</v>
      </c>
      <c r="M118" s="48">
        <v>0.8</v>
      </c>
      <c r="N118" s="48">
        <v>0.8</v>
      </c>
      <c r="O118" s="48">
        <v>0.95</v>
      </c>
      <c r="P118" s="48">
        <v>0.85</v>
      </c>
      <c r="Q118" s="56">
        <v>0.32500000000000001</v>
      </c>
      <c r="R118" s="56">
        <v>0</v>
      </c>
      <c r="S118" s="45">
        <v>-4.9500000000000002E-2</v>
      </c>
      <c r="T118" s="45">
        <v>5.0000000000000001E-3</v>
      </c>
      <c r="U118" s="45">
        <v>-0.14249999999999999</v>
      </c>
      <c r="V118" s="45">
        <v>0.01</v>
      </c>
      <c r="W118" s="45">
        <v>-0.14249999999999999</v>
      </c>
      <c r="X118" s="45">
        <v>0.01</v>
      </c>
      <c r="Y118" s="45">
        <v>0.22500000000000001</v>
      </c>
      <c r="Z118" s="45">
        <v>0</v>
      </c>
      <c r="AA118" s="45">
        <v>0.22500000000000001</v>
      </c>
      <c r="AB118" s="45">
        <v>0</v>
      </c>
      <c r="AC118" s="45">
        <v>0.24</v>
      </c>
      <c r="AD118" s="45">
        <v>0.03</v>
      </c>
      <c r="AE118" s="45">
        <v>0.17499999999999999</v>
      </c>
      <c r="AF118" s="45">
        <v>0.02</v>
      </c>
      <c r="AG118" s="45">
        <v>0.42499999999999999</v>
      </c>
      <c r="AH118" s="45">
        <v>0</v>
      </c>
      <c r="AI118" s="45">
        <v>0.27500000000000002</v>
      </c>
      <c r="AJ118" s="45">
        <v>0</v>
      </c>
      <c r="AK118" s="45">
        <v>-0.56999999999999995</v>
      </c>
      <c r="AL118" s="45">
        <v>5.4764464170674997E-3</v>
      </c>
      <c r="AM118" s="45">
        <v>0.13</v>
      </c>
      <c r="AN118" s="45">
        <v>1.5405829542503999</v>
      </c>
      <c r="AO118" s="45">
        <v>0.19</v>
      </c>
      <c r="AP118" s="45">
        <v>0.27500000000000002</v>
      </c>
      <c r="AQ118" s="45">
        <v>0.27500000000000002</v>
      </c>
      <c r="AR118" s="45">
        <f t="shared" si="13"/>
        <v>0.64910493605102171</v>
      </c>
      <c r="AT118" s="217">
        <f t="shared" si="14"/>
        <v>8.9029467463332082E-2</v>
      </c>
      <c r="AU118" s="217">
        <f t="shared" si="15"/>
        <v>-0.47549408611960042</v>
      </c>
      <c r="AV118" s="45">
        <f>[10]Sheet1!AA109</f>
        <v>0.20407142857142857</v>
      </c>
      <c r="AW118" s="45">
        <v>0</v>
      </c>
    </row>
    <row r="119" spans="1:49">
      <c r="A119" s="45"/>
      <c r="B119" s="45"/>
      <c r="C119" s="50">
        <f t="shared" si="12"/>
        <v>40148</v>
      </c>
      <c r="D119" s="56">
        <v>6.2537828989016803E-2</v>
      </c>
      <c r="E119" s="48">
        <v>4.6219999999999999</v>
      </c>
      <c r="F119" s="48">
        <v>0.19</v>
      </c>
      <c r="G119" s="48">
        <v>0.19</v>
      </c>
      <c r="H119" s="48">
        <v>0.19</v>
      </c>
      <c r="I119" s="48">
        <v>0.19600000000000001</v>
      </c>
      <c r="J119" s="48">
        <v>0.19</v>
      </c>
      <c r="K119" s="45">
        <v>0.19</v>
      </c>
      <c r="L119" s="48">
        <v>1</v>
      </c>
      <c r="M119" s="48">
        <v>1</v>
      </c>
      <c r="N119" s="48">
        <v>1.1000000000000001</v>
      </c>
      <c r="O119" s="48">
        <v>1.35</v>
      </c>
      <c r="P119" s="48">
        <v>1.05</v>
      </c>
      <c r="Q119" s="56">
        <v>0.32500000000000001</v>
      </c>
      <c r="R119" s="56">
        <v>0</v>
      </c>
      <c r="S119" s="45">
        <v>-4.9500000000000002E-2</v>
      </c>
      <c r="T119" s="45">
        <v>5.0000000000000001E-3</v>
      </c>
      <c r="U119" s="45">
        <v>-0.13750000000000001</v>
      </c>
      <c r="V119" s="45">
        <v>0.01</v>
      </c>
      <c r="W119" s="45">
        <v>-0.13750000000000001</v>
      </c>
      <c r="X119" s="45">
        <v>0.01</v>
      </c>
      <c r="Y119" s="45">
        <v>0.22500000000000001</v>
      </c>
      <c r="Z119" s="45">
        <v>0</v>
      </c>
      <c r="AA119" s="45">
        <v>0.22500000000000001</v>
      </c>
      <c r="AB119" s="45">
        <v>0</v>
      </c>
      <c r="AC119" s="45">
        <v>0.26</v>
      </c>
      <c r="AD119" s="45">
        <v>0.03</v>
      </c>
      <c r="AE119" s="45">
        <v>0.17499999999999999</v>
      </c>
      <c r="AF119" s="45">
        <v>0.02</v>
      </c>
      <c r="AG119" s="45">
        <v>0.42499999999999999</v>
      </c>
      <c r="AH119" s="45">
        <v>0</v>
      </c>
      <c r="AI119" s="45">
        <v>0.27500000000000002</v>
      </c>
      <c r="AJ119" s="45">
        <v>0</v>
      </c>
      <c r="AK119" s="45">
        <v>-0.56999999999999995</v>
      </c>
      <c r="AL119" s="45">
        <v>5.4766218534902005E-3</v>
      </c>
      <c r="AM119" s="45">
        <v>0.13</v>
      </c>
      <c r="AN119" s="45">
        <v>1.5405336036891399</v>
      </c>
      <c r="AO119" s="45">
        <v>0.19</v>
      </c>
      <c r="AP119" s="45">
        <v>0.27500000000000002</v>
      </c>
      <c r="AQ119" s="45">
        <v>0.27500000000000002</v>
      </c>
      <c r="AR119" s="45">
        <f t="shared" si="13"/>
        <v>0.64912572994531526</v>
      </c>
      <c r="AT119" s="217">
        <f t="shared" si="14"/>
        <v>8.9032319497313994E-2</v>
      </c>
      <c r="AU119" s="217">
        <f t="shared" si="15"/>
        <v>-0.47549105864919577</v>
      </c>
      <c r="AV119" s="45">
        <f>[10]Sheet1!AA110</f>
        <v>0.20907142857142855</v>
      </c>
      <c r="AW119" s="45">
        <v>0</v>
      </c>
    </row>
    <row r="120" spans="1:49">
      <c r="A120" s="45"/>
      <c r="B120" s="45"/>
      <c r="C120" s="50">
        <f t="shared" si="12"/>
        <v>40179</v>
      </c>
      <c r="D120" s="56">
        <v>6.2625839915690901E-2</v>
      </c>
      <c r="E120" s="48">
        <v>4.649</v>
      </c>
      <c r="F120" s="48">
        <v>0.19</v>
      </c>
      <c r="G120" s="48">
        <v>0.19</v>
      </c>
      <c r="H120" s="48">
        <v>0.19</v>
      </c>
      <c r="I120" s="48">
        <v>0.19600000000000001</v>
      </c>
      <c r="J120" s="48">
        <v>0.19</v>
      </c>
      <c r="K120" s="45">
        <v>0.19</v>
      </c>
      <c r="L120" s="48">
        <v>1</v>
      </c>
      <c r="M120" s="48">
        <v>1</v>
      </c>
      <c r="N120" s="48">
        <v>1.1000000000000001</v>
      </c>
      <c r="O120" s="48">
        <v>1.35</v>
      </c>
      <c r="P120" s="48">
        <v>1.05</v>
      </c>
      <c r="Q120" s="56">
        <v>0.32500000000000001</v>
      </c>
      <c r="R120" s="56">
        <v>0</v>
      </c>
      <c r="S120" s="45">
        <v>-4.9500000000000002E-2</v>
      </c>
      <c r="T120" s="45">
        <v>5.0000000000000001E-3</v>
      </c>
      <c r="U120" s="45">
        <v>-0.13750000000000001</v>
      </c>
      <c r="V120" s="45">
        <v>0.01</v>
      </c>
      <c r="W120" s="45">
        <v>-0.13750000000000001</v>
      </c>
      <c r="X120" s="45">
        <v>0.01</v>
      </c>
      <c r="Y120" s="45">
        <v>0.22500000000000001</v>
      </c>
      <c r="Z120" s="45">
        <v>0</v>
      </c>
      <c r="AA120" s="45">
        <v>0.22500000000000001</v>
      </c>
      <c r="AB120" s="45">
        <v>0</v>
      </c>
      <c r="AC120" s="45">
        <v>0.27</v>
      </c>
      <c r="AD120" s="45">
        <v>0.03</v>
      </c>
      <c r="AE120" s="45">
        <v>0.17499999999999999</v>
      </c>
      <c r="AF120" s="45">
        <v>0.02</v>
      </c>
      <c r="AG120" s="45">
        <v>0.42499999999999999</v>
      </c>
      <c r="AH120" s="45">
        <v>0</v>
      </c>
      <c r="AI120" s="45">
        <v>0.27500000000000002</v>
      </c>
      <c r="AJ120" s="45">
        <v>0</v>
      </c>
      <c r="AK120" s="45">
        <v>-0.56999999999999995</v>
      </c>
      <c r="AL120" s="45">
        <v>5.4767993381480001E-3</v>
      </c>
      <c r="AM120" s="45">
        <v>0.13</v>
      </c>
      <c r="AN120" s="45">
        <v>1.5404836801731199</v>
      </c>
      <c r="AO120" s="45">
        <v>0.19</v>
      </c>
      <c r="AP120" s="45">
        <v>0.27500000000000002</v>
      </c>
      <c r="AQ120" s="45">
        <v>0.27500000000000002</v>
      </c>
      <c r="AR120" s="45">
        <f t="shared" si="13"/>
        <v>0.64914676661009474</v>
      </c>
      <c r="AT120" s="217">
        <f t="shared" si="14"/>
        <v>8.9035204829035416E-2</v>
      </c>
      <c r="AU120" s="217">
        <f t="shared" si="15"/>
        <v>-0.47548799583281648</v>
      </c>
      <c r="AV120" s="45">
        <f>[10]Sheet1!AA111</f>
        <v>0.20907142857142855</v>
      </c>
      <c r="AW120" s="45">
        <v>0</v>
      </c>
    </row>
    <row r="121" spans="1:49">
      <c r="A121" s="45"/>
      <c r="B121" s="45"/>
      <c r="C121" s="50">
        <f t="shared" si="12"/>
        <v>40210</v>
      </c>
      <c r="D121" s="56">
        <v>6.2713850844935901E-2</v>
      </c>
      <c r="E121" s="48">
        <v>4.5289999999999999</v>
      </c>
      <c r="F121" s="48">
        <v>0.185</v>
      </c>
      <c r="G121" s="48">
        <v>0.185</v>
      </c>
      <c r="H121" s="48">
        <v>0.185</v>
      </c>
      <c r="I121" s="48">
        <v>0.191</v>
      </c>
      <c r="J121" s="48">
        <v>0.185</v>
      </c>
      <c r="K121" s="45">
        <v>0.185</v>
      </c>
      <c r="L121" s="48">
        <v>1</v>
      </c>
      <c r="M121" s="48">
        <v>1</v>
      </c>
      <c r="N121" s="48">
        <v>1.1000000000000001</v>
      </c>
      <c r="O121" s="48">
        <v>1.35</v>
      </c>
      <c r="P121" s="48">
        <v>1.05</v>
      </c>
      <c r="Q121" s="56">
        <v>0.32500000000000001</v>
      </c>
      <c r="R121" s="56">
        <v>0</v>
      </c>
      <c r="S121" s="45">
        <v>-4.9500000000000002E-2</v>
      </c>
      <c r="T121" s="45">
        <v>5.0000000000000001E-3</v>
      </c>
      <c r="U121" s="45">
        <v>-0.14000000000000001</v>
      </c>
      <c r="V121" s="45">
        <v>0.01</v>
      </c>
      <c r="W121" s="45">
        <v>-0.14000000000000001</v>
      </c>
      <c r="X121" s="45">
        <v>0.01</v>
      </c>
      <c r="Y121" s="45">
        <v>0.22500000000000001</v>
      </c>
      <c r="Z121" s="45">
        <v>0</v>
      </c>
      <c r="AA121" s="45">
        <v>0.22500000000000001</v>
      </c>
      <c r="AB121" s="45">
        <v>0</v>
      </c>
      <c r="AC121" s="45">
        <v>0.27</v>
      </c>
      <c r="AD121" s="45">
        <v>0.03</v>
      </c>
      <c r="AE121" s="45">
        <v>0.17499999999999999</v>
      </c>
      <c r="AF121" s="45">
        <v>0.02</v>
      </c>
      <c r="AG121" s="45">
        <v>0.42499999999999999</v>
      </c>
      <c r="AH121" s="45">
        <v>0</v>
      </c>
      <c r="AI121" s="45">
        <v>0.27500000000000002</v>
      </c>
      <c r="AJ121" s="45">
        <v>0</v>
      </c>
      <c r="AK121" s="45">
        <v>-0.56999999999999995</v>
      </c>
      <c r="AL121" s="45">
        <v>5.4769729610004998E-3</v>
      </c>
      <c r="AM121" s="45">
        <v>0.13</v>
      </c>
      <c r="AN121" s="45">
        <v>1.54043484605019</v>
      </c>
      <c r="AO121" s="45">
        <v>0.185</v>
      </c>
      <c r="AP121" s="45">
        <v>0.27500000000000002</v>
      </c>
      <c r="AQ121" s="45">
        <v>0.27500000000000002</v>
      </c>
      <c r="AR121" s="45">
        <f t="shared" si="13"/>
        <v>0.64916734554797151</v>
      </c>
      <c r="AT121" s="217">
        <f t="shared" si="14"/>
        <v>8.9038027380179879E-2</v>
      </c>
      <c r="AU121" s="217">
        <f t="shared" si="15"/>
        <v>-0.47548499965881963</v>
      </c>
      <c r="AV121" s="45">
        <f>[10]Sheet1!AA112</f>
        <v>0.20907142857142855</v>
      </c>
      <c r="AW121" s="45">
        <v>0</v>
      </c>
    </row>
    <row r="122" spans="1:49">
      <c r="A122" s="45"/>
      <c r="B122" s="45"/>
      <c r="C122" s="50">
        <f t="shared" si="12"/>
        <v>40238</v>
      </c>
      <c r="D122" s="56">
        <v>6.2793344589688896E-2</v>
      </c>
      <c r="E122" s="48">
        <v>4.3899999999999997</v>
      </c>
      <c r="F122" s="48">
        <v>0.1825</v>
      </c>
      <c r="G122" s="48">
        <v>0.183</v>
      </c>
      <c r="H122" s="48">
        <v>0.183</v>
      </c>
      <c r="I122" s="48">
        <v>0.188</v>
      </c>
      <c r="J122" s="48">
        <v>0.183</v>
      </c>
      <c r="K122" s="45">
        <v>0.183</v>
      </c>
      <c r="L122" s="48">
        <v>0.75</v>
      </c>
      <c r="M122" s="48">
        <v>0.75</v>
      </c>
      <c r="N122" s="48">
        <v>0.75</v>
      </c>
      <c r="O122" s="48">
        <v>0.95</v>
      </c>
      <c r="P122" s="48">
        <v>0.75</v>
      </c>
      <c r="Q122" s="56">
        <v>0.32500000000000001</v>
      </c>
      <c r="R122" s="56">
        <v>0</v>
      </c>
      <c r="S122" s="45">
        <v>-4.9500000000000002E-2</v>
      </c>
      <c r="T122" s="45">
        <v>5.0000000000000001E-3</v>
      </c>
      <c r="U122" s="45">
        <v>-0.14249999999999999</v>
      </c>
      <c r="V122" s="45">
        <v>0.01</v>
      </c>
      <c r="W122" s="45">
        <v>-0.14249999999999999</v>
      </c>
      <c r="X122" s="45">
        <v>0.01</v>
      </c>
      <c r="Y122" s="45">
        <v>0.22500000000000001</v>
      </c>
      <c r="Z122" s="45">
        <v>0</v>
      </c>
      <c r="AA122" s="45">
        <v>0.22500000000000001</v>
      </c>
      <c r="AB122" s="45">
        <v>0</v>
      </c>
      <c r="AC122" s="45">
        <v>0.24</v>
      </c>
      <c r="AD122" s="45">
        <v>0.03</v>
      </c>
      <c r="AE122" s="45">
        <v>0.17499999999999999</v>
      </c>
      <c r="AF122" s="45">
        <v>0.02</v>
      </c>
      <c r="AG122" s="45">
        <v>0.42499999999999999</v>
      </c>
      <c r="AH122" s="45">
        <v>0</v>
      </c>
      <c r="AI122" s="45">
        <v>0.27500000000000002</v>
      </c>
      <c r="AJ122" s="45">
        <v>0</v>
      </c>
      <c r="AK122" s="45">
        <v>-0.56999999999999995</v>
      </c>
      <c r="AL122" s="45">
        <v>5.4771264624532004E-3</v>
      </c>
      <c r="AM122" s="45">
        <v>0.13</v>
      </c>
      <c r="AN122" s="45">
        <v>1.54039167396202</v>
      </c>
      <c r="AO122" s="45">
        <v>0.183</v>
      </c>
      <c r="AP122" s="45">
        <v>0.27500000000000002</v>
      </c>
      <c r="AQ122" s="45">
        <v>0.27500000000000002</v>
      </c>
      <c r="AR122" s="45">
        <f t="shared" si="13"/>
        <v>0.64918553956339808</v>
      </c>
      <c r="AT122" s="217">
        <f t="shared" si="14"/>
        <v>8.9040522821848073E-2</v>
      </c>
      <c r="AU122" s="217">
        <f t="shared" si="15"/>
        <v>-0.47548235071569867</v>
      </c>
      <c r="AV122" s="45">
        <f>[10]Sheet1!AA113</f>
        <v>0.20907142857142855</v>
      </c>
      <c r="AW122" s="45">
        <v>0</v>
      </c>
    </row>
    <row r="123" spans="1:49">
      <c r="A123" s="45"/>
      <c r="B123" s="45"/>
      <c r="C123" s="50">
        <f t="shared" si="12"/>
        <v>40269</v>
      </c>
      <c r="D123" s="56">
        <v>6.2881355523825497E-2</v>
      </c>
      <c r="E123" s="48">
        <v>4.2149999999999999</v>
      </c>
      <c r="F123" s="48">
        <v>0.1825</v>
      </c>
      <c r="G123" s="48">
        <v>0.183</v>
      </c>
      <c r="H123" s="48">
        <v>0.183</v>
      </c>
      <c r="I123" s="48">
        <v>0.188</v>
      </c>
      <c r="J123" s="48">
        <v>0.183</v>
      </c>
      <c r="K123" s="45">
        <v>0.183</v>
      </c>
      <c r="L123" s="48">
        <v>0.4</v>
      </c>
      <c r="M123" s="48">
        <v>0.4</v>
      </c>
      <c r="N123" s="48">
        <v>0.45</v>
      </c>
      <c r="O123" s="48">
        <v>0.5</v>
      </c>
      <c r="P123" s="48">
        <v>0.45</v>
      </c>
      <c r="Q123" s="56">
        <v>0.21</v>
      </c>
      <c r="R123" s="56">
        <v>0</v>
      </c>
      <c r="S123" s="45">
        <v>-4.7E-2</v>
      </c>
      <c r="T123" s="45">
        <v>0</v>
      </c>
      <c r="U123" s="45">
        <v>-0.14000000000000001</v>
      </c>
      <c r="V123" s="45">
        <v>-0.01</v>
      </c>
      <c r="W123" s="45">
        <v>-0.14000000000000001</v>
      </c>
      <c r="X123" s="45">
        <v>-0.01</v>
      </c>
      <c r="Y123" s="45">
        <v>0.15</v>
      </c>
      <c r="Z123" s="45">
        <v>0</v>
      </c>
      <c r="AA123" s="45">
        <v>0.15</v>
      </c>
      <c r="AB123" s="45">
        <v>0</v>
      </c>
      <c r="AC123" s="45">
        <v>0.17</v>
      </c>
      <c r="AD123" s="45">
        <v>1.7500000000000002E-2</v>
      </c>
      <c r="AE123" s="45">
        <v>0.09</v>
      </c>
      <c r="AF123" s="45">
        <v>5.0000000000000001E-3</v>
      </c>
      <c r="AG123" s="45">
        <v>0.23499999999999999</v>
      </c>
      <c r="AH123" s="45">
        <v>0</v>
      </c>
      <c r="AI123" s="45">
        <v>0.18</v>
      </c>
      <c r="AJ123" s="45">
        <v>0</v>
      </c>
      <c r="AK123" s="45">
        <v>-0.64</v>
      </c>
      <c r="AL123" s="45">
        <v>1.7116539799405001E-3</v>
      </c>
      <c r="AM123" s="45">
        <v>0.13</v>
      </c>
      <c r="AN123" s="45">
        <v>1.5403449125223199</v>
      </c>
      <c r="AO123" s="45">
        <v>0.183</v>
      </c>
      <c r="AP123" s="45">
        <v>0.18</v>
      </c>
      <c r="AQ123" s="45">
        <v>0.18</v>
      </c>
      <c r="AR123" s="45">
        <f t="shared" si="13"/>
        <v>0.64920524739001262</v>
      </c>
      <c r="AT123" s="217">
        <f t="shared" si="14"/>
        <v>8.9043225893741237E-2</v>
      </c>
      <c r="AU123" s="217">
        <f t="shared" si="15"/>
        <v>-0.54924512012631821</v>
      </c>
      <c r="AV123" s="45">
        <f>[10]Sheet1!AA114</f>
        <v>0.15999999999999992</v>
      </c>
      <c r="AW123" s="45">
        <v>0</v>
      </c>
    </row>
    <row r="124" spans="1:49">
      <c r="A124" s="45"/>
      <c r="B124" s="45"/>
      <c r="C124" s="50">
        <f t="shared" si="12"/>
        <v>40299</v>
      </c>
      <c r="D124" s="56">
        <v>6.2966527398018002E-2</v>
      </c>
      <c r="E124" s="48">
        <v>4.1849999999999996</v>
      </c>
      <c r="F124" s="48">
        <v>0.1825</v>
      </c>
      <c r="G124" s="48">
        <v>0.183</v>
      </c>
      <c r="H124" s="48">
        <v>0.183</v>
      </c>
      <c r="I124" s="48">
        <v>0.188</v>
      </c>
      <c r="J124" s="48">
        <v>0.183</v>
      </c>
      <c r="K124" s="45">
        <v>0.183</v>
      </c>
      <c r="L124" s="48">
        <v>0.45</v>
      </c>
      <c r="M124" s="48">
        <v>0.4</v>
      </c>
      <c r="N124" s="48">
        <v>0.5</v>
      </c>
      <c r="O124" s="48">
        <v>0.45</v>
      </c>
      <c r="P124" s="48">
        <v>0.45</v>
      </c>
      <c r="Q124" s="56">
        <v>0.21</v>
      </c>
      <c r="R124" s="56">
        <v>0</v>
      </c>
      <c r="S124" s="45">
        <v>-4.7E-2</v>
      </c>
      <c r="T124" s="45">
        <v>0</v>
      </c>
      <c r="U124" s="45">
        <v>-0.14000000000000001</v>
      </c>
      <c r="V124" s="45">
        <v>-0.01</v>
      </c>
      <c r="W124" s="45">
        <v>-0.14000000000000001</v>
      </c>
      <c r="X124" s="45">
        <v>-0.01</v>
      </c>
      <c r="Y124" s="45">
        <v>0.15</v>
      </c>
      <c r="Z124" s="45">
        <v>0</v>
      </c>
      <c r="AA124" s="45">
        <v>0.15</v>
      </c>
      <c r="AB124" s="45">
        <v>0</v>
      </c>
      <c r="AC124" s="45">
        <v>0.16500000000000001</v>
      </c>
      <c r="AD124" s="45">
        <v>0.01</v>
      </c>
      <c r="AE124" s="45">
        <v>0.09</v>
      </c>
      <c r="AF124" s="45">
        <v>5.0000000000000001E-3</v>
      </c>
      <c r="AG124" s="45">
        <v>0.23499999999999999</v>
      </c>
      <c r="AH124" s="45">
        <v>0</v>
      </c>
      <c r="AI124" s="45">
        <v>0.18</v>
      </c>
      <c r="AJ124" s="45">
        <v>0</v>
      </c>
      <c r="AK124" s="45">
        <v>-0.64</v>
      </c>
      <c r="AL124" s="45">
        <v>1.7117031153003001E-3</v>
      </c>
      <c r="AM124" s="45">
        <v>0.13</v>
      </c>
      <c r="AN124" s="45">
        <v>1.5403006960919998</v>
      </c>
      <c r="AO124" s="45">
        <v>0.183</v>
      </c>
      <c r="AP124" s="45">
        <v>0.18</v>
      </c>
      <c r="AQ124" s="45">
        <v>0.18</v>
      </c>
      <c r="AR124" s="45">
        <f t="shared" si="13"/>
        <v>0.6492238837112565</v>
      </c>
      <c r="AT124" s="217">
        <f t="shared" si="14"/>
        <v>8.9045782000872237E-2</v>
      </c>
      <c r="AU124" s="217">
        <f t="shared" si="15"/>
        <v>-0.54924251488382747</v>
      </c>
      <c r="AV124" s="45">
        <f>[10]Sheet1!AA115</f>
        <v>0.15999999999999992</v>
      </c>
      <c r="AW124" s="45">
        <v>0</v>
      </c>
    </row>
    <row r="125" spans="1:49">
      <c r="A125" s="45"/>
      <c r="B125" s="45"/>
      <c r="C125" s="50">
        <f t="shared" si="12"/>
        <v>40330</v>
      </c>
      <c r="D125" s="56">
        <v>6.3054538337211405E-2</v>
      </c>
      <c r="E125" s="48">
        <v>4.2549999999999999</v>
      </c>
      <c r="F125" s="48">
        <v>0.1825</v>
      </c>
      <c r="G125" s="48">
        <v>0.183</v>
      </c>
      <c r="H125" s="48">
        <v>0.183</v>
      </c>
      <c r="I125" s="48">
        <v>0.188</v>
      </c>
      <c r="J125" s="48">
        <v>0.183</v>
      </c>
      <c r="K125" s="45">
        <v>0.183</v>
      </c>
      <c r="L125" s="48">
        <v>0.45</v>
      </c>
      <c r="M125" s="48">
        <v>0.4</v>
      </c>
      <c r="N125" s="48">
        <v>0.5</v>
      </c>
      <c r="O125" s="48">
        <v>0.5</v>
      </c>
      <c r="P125" s="48">
        <v>0.5</v>
      </c>
      <c r="Q125" s="56">
        <v>0.21</v>
      </c>
      <c r="R125" s="56">
        <v>0</v>
      </c>
      <c r="S125" s="45">
        <v>-4.7E-2</v>
      </c>
      <c r="T125" s="45">
        <v>0</v>
      </c>
      <c r="U125" s="45">
        <v>-0.14000000000000001</v>
      </c>
      <c r="V125" s="45">
        <v>-0.01</v>
      </c>
      <c r="W125" s="45">
        <v>-0.14000000000000001</v>
      </c>
      <c r="X125" s="45">
        <v>-0.01</v>
      </c>
      <c r="Y125" s="45">
        <v>0.15</v>
      </c>
      <c r="Z125" s="45">
        <v>0</v>
      </c>
      <c r="AA125" s="45">
        <v>0.15</v>
      </c>
      <c r="AB125" s="45">
        <v>0</v>
      </c>
      <c r="AC125" s="45">
        <v>0.17</v>
      </c>
      <c r="AD125" s="45">
        <v>1.2500000000000001E-2</v>
      </c>
      <c r="AE125" s="45">
        <v>0.09</v>
      </c>
      <c r="AF125" s="45">
        <v>5.0000000000000001E-3</v>
      </c>
      <c r="AG125" s="45">
        <v>0.23499999999999999</v>
      </c>
      <c r="AH125" s="45">
        <v>0</v>
      </c>
      <c r="AI125" s="45">
        <v>0.18</v>
      </c>
      <c r="AJ125" s="45">
        <v>0</v>
      </c>
      <c r="AK125" s="45">
        <v>-0.64</v>
      </c>
      <c r="AL125" s="45">
        <v>1.7117527013362E-3</v>
      </c>
      <c r="AM125" s="45">
        <v>0.13</v>
      </c>
      <c r="AN125" s="45">
        <v>1.5402560766761799</v>
      </c>
      <c r="AO125" s="45">
        <v>0.183</v>
      </c>
      <c r="AP125" s="45">
        <v>0.18</v>
      </c>
      <c r="AQ125" s="45">
        <v>0.18</v>
      </c>
      <c r="AR125" s="45">
        <f t="shared" si="13"/>
        <v>0.64924269096731357</v>
      </c>
      <c r="AT125" s="217">
        <f t="shared" si="14"/>
        <v>8.9048361552957297E-2</v>
      </c>
      <c r="AU125" s="217">
        <f t="shared" si="15"/>
        <v>-0.54923988574570659</v>
      </c>
      <c r="AV125" s="45">
        <f>[10]Sheet1!AA116</f>
        <v>0.15999999999999992</v>
      </c>
      <c r="AW125" s="45">
        <v>0</v>
      </c>
    </row>
    <row r="126" spans="1:49">
      <c r="A126" s="45"/>
      <c r="B126" s="45"/>
      <c r="C126" s="50">
        <f t="shared" si="12"/>
        <v>40360</v>
      </c>
      <c r="D126" s="56">
        <v>6.3139710216297801E-2</v>
      </c>
      <c r="E126" s="48">
        <v>4.3099999999999996</v>
      </c>
      <c r="F126" s="48">
        <v>0.1825</v>
      </c>
      <c r="G126" s="48">
        <v>0.183</v>
      </c>
      <c r="H126" s="48">
        <v>0.183</v>
      </c>
      <c r="I126" s="48">
        <v>0.188</v>
      </c>
      <c r="J126" s="48">
        <v>0.183</v>
      </c>
      <c r="K126" s="45">
        <v>0.183</v>
      </c>
      <c r="L126" s="48">
        <v>0.5</v>
      </c>
      <c r="M126" s="48">
        <v>0.4</v>
      </c>
      <c r="N126" s="48">
        <v>0.55000000000000004</v>
      </c>
      <c r="O126" s="48">
        <v>0.5</v>
      </c>
      <c r="P126" s="48">
        <v>0.5</v>
      </c>
      <c r="Q126" s="56">
        <v>0.21</v>
      </c>
      <c r="R126" s="56">
        <v>0</v>
      </c>
      <c r="S126" s="45">
        <v>-4.7E-2</v>
      </c>
      <c r="T126" s="45">
        <v>0</v>
      </c>
      <c r="U126" s="45">
        <v>-0.14000000000000001</v>
      </c>
      <c r="V126" s="45">
        <v>-0.01</v>
      </c>
      <c r="W126" s="45">
        <v>-0.14000000000000001</v>
      </c>
      <c r="X126" s="45">
        <v>-0.01</v>
      </c>
      <c r="Y126" s="45">
        <v>0.15</v>
      </c>
      <c r="Z126" s="45">
        <v>0</v>
      </c>
      <c r="AA126" s="45">
        <v>0.15</v>
      </c>
      <c r="AB126" s="45">
        <v>0</v>
      </c>
      <c r="AC126" s="45">
        <v>0.17499999999999999</v>
      </c>
      <c r="AD126" s="45">
        <v>1.2500000000000001E-2</v>
      </c>
      <c r="AE126" s="45">
        <v>0.09</v>
      </c>
      <c r="AF126" s="45">
        <v>5.0000000000000001E-3</v>
      </c>
      <c r="AG126" s="45">
        <v>0.23499999999999999</v>
      </c>
      <c r="AH126" s="45">
        <v>0</v>
      </c>
      <c r="AI126" s="45">
        <v>0.18</v>
      </c>
      <c r="AJ126" s="45">
        <v>0</v>
      </c>
      <c r="AK126" s="45">
        <v>-0.64</v>
      </c>
      <c r="AL126" s="45">
        <v>1.7117995389987E-3</v>
      </c>
      <c r="AM126" s="45">
        <v>0.13</v>
      </c>
      <c r="AN126" s="45">
        <v>1.5402139327261</v>
      </c>
      <c r="AO126" s="45">
        <v>0.183</v>
      </c>
      <c r="AP126" s="45">
        <v>0.18</v>
      </c>
      <c r="AQ126" s="45">
        <v>0.18</v>
      </c>
      <c r="AR126" s="45">
        <f t="shared" si="13"/>
        <v>0.64926045580567571</v>
      </c>
      <c r="AT126" s="217">
        <f t="shared" si="14"/>
        <v>8.9050798129866687E-2</v>
      </c>
      <c r="AU126" s="217">
        <f t="shared" si="15"/>
        <v>-0.54923740233113461</v>
      </c>
      <c r="AV126" s="45">
        <f>[10]Sheet1!AA117</f>
        <v>0.15999999999999992</v>
      </c>
      <c r="AW126" s="45">
        <v>0</v>
      </c>
    </row>
    <row r="127" spans="1:49">
      <c r="A127" s="45"/>
      <c r="B127" s="45"/>
      <c r="C127" s="50">
        <f t="shared" si="12"/>
        <v>40391</v>
      </c>
      <c r="D127" s="56">
        <v>6.3227721160548506E-2</v>
      </c>
      <c r="E127" s="48">
        <v>4.3660000000000005</v>
      </c>
      <c r="F127" s="48">
        <v>0.1825</v>
      </c>
      <c r="G127" s="48">
        <v>0.183</v>
      </c>
      <c r="H127" s="48">
        <v>0.183</v>
      </c>
      <c r="I127" s="48">
        <v>0.188</v>
      </c>
      <c r="J127" s="48">
        <v>0.183</v>
      </c>
      <c r="K127" s="45">
        <v>0.183</v>
      </c>
      <c r="L127" s="48">
        <v>0.55000000000000004</v>
      </c>
      <c r="M127" s="48">
        <v>0.5</v>
      </c>
      <c r="N127" s="48">
        <v>0.6</v>
      </c>
      <c r="O127" s="48">
        <v>0.45</v>
      </c>
      <c r="P127" s="48">
        <v>0.55000000000000004</v>
      </c>
      <c r="Q127" s="56">
        <v>0.21</v>
      </c>
      <c r="R127" s="56">
        <v>0</v>
      </c>
      <c r="S127" s="45">
        <v>-4.7E-2</v>
      </c>
      <c r="T127" s="45">
        <v>0</v>
      </c>
      <c r="U127" s="45">
        <v>-0.14000000000000001</v>
      </c>
      <c r="V127" s="45">
        <v>-0.01</v>
      </c>
      <c r="W127" s="45">
        <v>-0.14000000000000001</v>
      </c>
      <c r="X127" s="45">
        <v>-0.01</v>
      </c>
      <c r="Y127" s="45">
        <v>0.15</v>
      </c>
      <c r="Z127" s="45">
        <v>0</v>
      </c>
      <c r="AA127" s="45">
        <v>0.15</v>
      </c>
      <c r="AB127" s="45">
        <v>0</v>
      </c>
      <c r="AC127" s="45">
        <v>0.17499999999999999</v>
      </c>
      <c r="AD127" s="45">
        <v>1.2500000000000001E-2</v>
      </c>
      <c r="AE127" s="45">
        <v>0.09</v>
      </c>
      <c r="AF127" s="45">
        <v>5.0000000000000001E-3</v>
      </c>
      <c r="AG127" s="45">
        <v>0.23499999999999999</v>
      </c>
      <c r="AH127" s="45">
        <v>0</v>
      </c>
      <c r="AI127" s="45">
        <v>0.18</v>
      </c>
      <c r="AJ127" s="45">
        <v>0</v>
      </c>
      <c r="AK127" s="45">
        <v>-0.64</v>
      </c>
      <c r="AL127" s="45">
        <v>1.7118467508531001E-3</v>
      </c>
      <c r="AM127" s="45">
        <v>0.13</v>
      </c>
      <c r="AN127" s="45">
        <v>1.54017145441672</v>
      </c>
      <c r="AO127" s="45">
        <v>0.183</v>
      </c>
      <c r="AP127" s="45">
        <v>0.18</v>
      </c>
      <c r="AQ127" s="45">
        <v>0.18</v>
      </c>
      <c r="AR127" s="45">
        <f t="shared" si="13"/>
        <v>0.64927836256951732</v>
      </c>
      <c r="AT127" s="217">
        <f t="shared" si="14"/>
        <v>8.9053254172888813E-2</v>
      </c>
      <c r="AU127" s="217">
        <f t="shared" si="15"/>
        <v>-0.54923489907625811</v>
      </c>
      <c r="AV127" s="45">
        <f>[10]Sheet1!AA118</f>
        <v>0.15999999999999992</v>
      </c>
      <c r="AW127" s="45">
        <v>0</v>
      </c>
    </row>
    <row r="128" spans="1:49">
      <c r="A128" s="45"/>
      <c r="B128" s="45"/>
      <c r="C128" s="50">
        <f t="shared" si="12"/>
        <v>40422</v>
      </c>
      <c r="D128" s="56">
        <v>6.3315732107368697E-2</v>
      </c>
      <c r="E128" s="48">
        <v>4.38</v>
      </c>
      <c r="F128" s="48">
        <v>0.1825</v>
      </c>
      <c r="G128" s="48">
        <v>0.183</v>
      </c>
      <c r="H128" s="48">
        <v>0.183</v>
      </c>
      <c r="I128" s="48">
        <v>0.188</v>
      </c>
      <c r="J128" s="48">
        <v>0.183</v>
      </c>
      <c r="K128" s="45">
        <v>0.183</v>
      </c>
      <c r="L128" s="48">
        <v>0.55000000000000004</v>
      </c>
      <c r="M128" s="48">
        <v>0.55000000000000004</v>
      </c>
      <c r="N128" s="48">
        <v>0.6</v>
      </c>
      <c r="O128" s="48">
        <v>0.5</v>
      </c>
      <c r="P128" s="48">
        <v>0.6</v>
      </c>
      <c r="Q128" s="56">
        <v>0.21</v>
      </c>
      <c r="R128" s="56">
        <v>0</v>
      </c>
      <c r="S128" s="45">
        <v>-4.7E-2</v>
      </c>
      <c r="T128" s="45">
        <v>0</v>
      </c>
      <c r="U128" s="45">
        <v>-0.14000000000000001</v>
      </c>
      <c r="V128" s="45">
        <v>-0.01</v>
      </c>
      <c r="W128" s="45">
        <v>-0.14000000000000001</v>
      </c>
      <c r="X128" s="45">
        <v>-0.01</v>
      </c>
      <c r="Y128" s="45">
        <v>0.15</v>
      </c>
      <c r="Z128" s="45">
        <v>0</v>
      </c>
      <c r="AA128" s="45">
        <v>0.15</v>
      </c>
      <c r="AB128" s="45">
        <v>0</v>
      </c>
      <c r="AC128" s="45">
        <v>0.16500000000000001</v>
      </c>
      <c r="AD128" s="45">
        <v>1.2500000000000001E-2</v>
      </c>
      <c r="AE128" s="45">
        <v>0.09</v>
      </c>
      <c r="AF128" s="45">
        <v>5.0000000000000001E-3</v>
      </c>
      <c r="AG128" s="45">
        <v>0.23499999999999999</v>
      </c>
      <c r="AH128" s="45">
        <v>0</v>
      </c>
      <c r="AI128" s="45">
        <v>0.18</v>
      </c>
      <c r="AJ128" s="45">
        <v>0</v>
      </c>
      <c r="AK128" s="45">
        <v>-0.64</v>
      </c>
      <c r="AL128" s="45">
        <v>1.7118927562416E-3</v>
      </c>
      <c r="AM128" s="45">
        <v>0.13</v>
      </c>
      <c r="AN128" s="45">
        <v>1.5401300638647599</v>
      </c>
      <c r="AO128" s="45">
        <v>0.183</v>
      </c>
      <c r="AP128" s="45">
        <v>0.18</v>
      </c>
      <c r="AQ128" s="45">
        <v>0.18</v>
      </c>
      <c r="AR128" s="45">
        <f t="shared" si="13"/>
        <v>0.64929581173854078</v>
      </c>
      <c r="AT128" s="217">
        <f t="shared" si="14"/>
        <v>8.9055647453450321E-2</v>
      </c>
      <c r="AU128" s="217">
        <f t="shared" si="15"/>
        <v>-0.5492324597903081</v>
      </c>
      <c r="AV128" s="45">
        <f>[10]Sheet1!AA119</f>
        <v>0.15999999999999992</v>
      </c>
      <c r="AW128" s="45">
        <v>0</v>
      </c>
    </row>
    <row r="129" spans="1:49">
      <c r="A129" s="45"/>
      <c r="B129" s="45"/>
      <c r="C129" s="50">
        <f t="shared" si="12"/>
        <v>40452</v>
      </c>
      <c r="D129" s="56">
        <v>6.3400903993834995E-2</v>
      </c>
      <c r="E129" s="48">
        <v>4.4110000000000005</v>
      </c>
      <c r="F129" s="48">
        <v>0.1825</v>
      </c>
      <c r="G129" s="48">
        <v>0.183</v>
      </c>
      <c r="H129" s="48">
        <v>0.183</v>
      </c>
      <c r="I129" s="48">
        <v>0.188</v>
      </c>
      <c r="J129" s="48">
        <v>0.183</v>
      </c>
      <c r="K129" s="45">
        <v>0.183</v>
      </c>
      <c r="L129" s="48">
        <v>0.6</v>
      </c>
      <c r="M129" s="48">
        <v>0.55000000000000004</v>
      </c>
      <c r="N129" s="48">
        <v>0.65</v>
      </c>
      <c r="O129" s="48">
        <v>0.5</v>
      </c>
      <c r="P129" s="48">
        <v>0.65</v>
      </c>
      <c r="Q129" s="56">
        <v>0.21</v>
      </c>
      <c r="R129" s="56">
        <v>0</v>
      </c>
      <c r="S129" s="45">
        <v>-4.7E-2</v>
      </c>
      <c r="T129" s="45">
        <v>0</v>
      </c>
      <c r="U129" s="45">
        <v>-0.14000000000000001</v>
      </c>
      <c r="V129" s="45">
        <v>-0.01</v>
      </c>
      <c r="W129" s="45">
        <v>-0.14000000000000001</v>
      </c>
      <c r="X129" s="45">
        <v>-0.01</v>
      </c>
      <c r="Y129" s="45">
        <v>0.15</v>
      </c>
      <c r="Z129" s="45">
        <v>0</v>
      </c>
      <c r="AA129" s="45">
        <v>0.15</v>
      </c>
      <c r="AB129" s="45">
        <v>0</v>
      </c>
      <c r="AC129" s="45">
        <v>0.17249999999999999</v>
      </c>
      <c r="AD129" s="45">
        <v>1.2500000000000001E-2</v>
      </c>
      <c r="AE129" s="45">
        <v>0.09</v>
      </c>
      <c r="AF129" s="45">
        <v>5.0000000000000001E-3</v>
      </c>
      <c r="AG129" s="45">
        <v>0.23499999999999999</v>
      </c>
      <c r="AH129" s="45">
        <v>0</v>
      </c>
      <c r="AI129" s="45">
        <v>0.18</v>
      </c>
      <c r="AJ129" s="45">
        <v>0</v>
      </c>
      <c r="AK129" s="45">
        <v>-0.64</v>
      </c>
      <c r="AL129" s="45">
        <v>1.7119361289263E-3</v>
      </c>
      <c r="AM129" s="45">
        <v>0.13</v>
      </c>
      <c r="AN129" s="45">
        <v>1.5400910439652</v>
      </c>
      <c r="AO129" s="45">
        <v>0.183</v>
      </c>
      <c r="AP129" s="45">
        <v>0.18</v>
      </c>
      <c r="AQ129" s="45">
        <v>0.18</v>
      </c>
      <c r="AR129" s="45">
        <f t="shared" si="13"/>
        <v>0.64931226236167638</v>
      </c>
      <c r="AT129" s="217">
        <f t="shared" si="14"/>
        <v>8.9057903776173911E-2</v>
      </c>
      <c r="AU129" s="217">
        <f t="shared" si="15"/>
        <v>-0.54923016009489978</v>
      </c>
      <c r="AV129" s="45">
        <f>[10]Sheet1!AA120</f>
        <v>0.15999999999999992</v>
      </c>
      <c r="AW129" s="45">
        <v>0</v>
      </c>
    </row>
    <row r="130" spans="1:49">
      <c r="A130" s="45"/>
      <c r="B130" s="45"/>
      <c r="C130" s="50">
        <f t="shared" si="12"/>
        <v>40483</v>
      </c>
      <c r="D130" s="56">
        <v>6.3488914945711197E-2</v>
      </c>
      <c r="E130" s="48">
        <v>4.5440000000000005</v>
      </c>
      <c r="F130" s="48">
        <v>0.1825</v>
      </c>
      <c r="G130" s="48">
        <v>0.183</v>
      </c>
      <c r="H130" s="48">
        <v>0.183</v>
      </c>
      <c r="I130" s="48">
        <v>0.188</v>
      </c>
      <c r="J130" s="48">
        <v>0.183</v>
      </c>
      <c r="K130" s="45">
        <v>0.183</v>
      </c>
      <c r="L130" s="48">
        <v>0.8</v>
      </c>
      <c r="M130" s="48">
        <v>0.8</v>
      </c>
      <c r="N130" s="48">
        <v>0.8</v>
      </c>
      <c r="O130" s="48">
        <v>0.95</v>
      </c>
      <c r="P130" s="48">
        <v>0.85</v>
      </c>
      <c r="Q130" s="56">
        <v>0.32500000000000001</v>
      </c>
      <c r="R130" s="56">
        <v>0</v>
      </c>
      <c r="S130" s="45">
        <v>-4.65E-2</v>
      </c>
      <c r="T130" s="45">
        <v>5.0000000000000001E-3</v>
      </c>
      <c r="U130" s="45">
        <v>-0.14249999999999999</v>
      </c>
      <c r="V130" s="45">
        <v>0.01</v>
      </c>
      <c r="W130" s="45">
        <v>-0.14249999999999999</v>
      </c>
      <c r="X130" s="45">
        <v>0.01</v>
      </c>
      <c r="Y130" s="45">
        <v>0.22500000000000001</v>
      </c>
      <c r="Z130" s="45">
        <v>0</v>
      </c>
      <c r="AA130" s="45">
        <v>0.22500000000000001</v>
      </c>
      <c r="AB130" s="45">
        <v>0</v>
      </c>
      <c r="AC130" s="45">
        <v>0.24</v>
      </c>
      <c r="AD130" s="45">
        <v>0.03</v>
      </c>
      <c r="AE130" s="45">
        <v>0.17499999999999999</v>
      </c>
      <c r="AF130" s="45">
        <v>0.02</v>
      </c>
      <c r="AG130" s="45">
        <v>0.42499999999999999</v>
      </c>
      <c r="AH130" s="45">
        <v>0</v>
      </c>
      <c r="AI130" s="45">
        <v>0.27500000000000002</v>
      </c>
      <c r="AJ130" s="45">
        <v>0</v>
      </c>
      <c r="AK130" s="45">
        <v>-0.6</v>
      </c>
      <c r="AL130" s="45">
        <v>5.4783352335408004E-3</v>
      </c>
      <c r="AM130" s="45">
        <v>0.13</v>
      </c>
      <c r="AN130" s="45">
        <v>1.5400517931698299</v>
      </c>
      <c r="AO130" s="45">
        <v>0.183</v>
      </c>
      <c r="AP130" s="45">
        <v>0.27500000000000002</v>
      </c>
      <c r="AQ130" s="45">
        <v>0.27500000000000002</v>
      </c>
      <c r="AR130" s="45">
        <f t="shared" si="13"/>
        <v>0.64932881117052443</v>
      </c>
      <c r="AT130" s="217">
        <f t="shared" si="14"/>
        <v>8.9060173565782746E-2</v>
      </c>
      <c r="AU130" s="217">
        <f t="shared" si="15"/>
        <v>-0.5054614912006764</v>
      </c>
      <c r="AV130" s="45">
        <f>[10]Sheet1!AA121</f>
        <v>0.20707142857142857</v>
      </c>
      <c r="AW130" s="45">
        <v>0</v>
      </c>
    </row>
    <row r="131" spans="1:49">
      <c r="A131" s="45"/>
      <c r="B131" s="45"/>
      <c r="C131" s="50">
        <f t="shared" si="12"/>
        <v>40513</v>
      </c>
      <c r="D131" s="56">
        <v>6.3574086837070401E-2</v>
      </c>
      <c r="E131" s="48">
        <v>4.6820000000000004</v>
      </c>
      <c r="F131" s="48">
        <v>0.1825</v>
      </c>
      <c r="G131" s="48">
        <v>0.183</v>
      </c>
      <c r="H131" s="48">
        <v>0.183</v>
      </c>
      <c r="I131" s="48">
        <v>0.188</v>
      </c>
      <c r="J131" s="48">
        <v>0.183</v>
      </c>
      <c r="K131" s="45">
        <v>0.183</v>
      </c>
      <c r="L131" s="48">
        <v>1</v>
      </c>
      <c r="M131" s="48">
        <v>1</v>
      </c>
      <c r="N131" s="48">
        <v>1.1000000000000001</v>
      </c>
      <c r="O131" s="48">
        <v>1.35</v>
      </c>
      <c r="P131" s="48">
        <v>1.05</v>
      </c>
      <c r="Q131" s="56">
        <v>0.32500000000000001</v>
      </c>
      <c r="R131" s="56">
        <v>0</v>
      </c>
      <c r="S131" s="45">
        <v>-4.65E-2</v>
      </c>
      <c r="T131" s="45">
        <v>5.0000000000000001E-3</v>
      </c>
      <c r="U131" s="45">
        <v>-0.13750000000000001</v>
      </c>
      <c r="V131" s="45">
        <v>0.01</v>
      </c>
      <c r="W131" s="45">
        <v>-0.13750000000000001</v>
      </c>
      <c r="X131" s="45">
        <v>0.01</v>
      </c>
      <c r="Y131" s="45">
        <v>0.22500000000000001</v>
      </c>
      <c r="Z131" s="45">
        <v>0</v>
      </c>
      <c r="AA131" s="45">
        <v>0.22500000000000001</v>
      </c>
      <c r="AB131" s="45">
        <v>0</v>
      </c>
      <c r="AC131" s="45">
        <v>0.26</v>
      </c>
      <c r="AD131" s="45">
        <v>0.03</v>
      </c>
      <c r="AE131" s="45">
        <v>0.17499999999999999</v>
      </c>
      <c r="AF131" s="45">
        <v>0.02</v>
      </c>
      <c r="AG131" s="45">
        <v>0.42499999999999999</v>
      </c>
      <c r="AH131" s="45">
        <v>0</v>
      </c>
      <c r="AI131" s="45">
        <v>0.27500000000000002</v>
      </c>
      <c r="AJ131" s="45">
        <v>0</v>
      </c>
      <c r="AK131" s="45">
        <v>-0.6</v>
      </c>
      <c r="AL131" s="45">
        <v>5.4784666752936998E-3</v>
      </c>
      <c r="AM131" s="45">
        <v>0.13</v>
      </c>
      <c r="AN131" s="45">
        <v>1.5400148435780499</v>
      </c>
      <c r="AO131" s="45">
        <v>0.183</v>
      </c>
      <c r="AP131" s="45">
        <v>0.27500000000000002</v>
      </c>
      <c r="AQ131" s="45">
        <v>0.27500000000000002</v>
      </c>
      <c r="AR131" s="45">
        <f t="shared" si="13"/>
        <v>0.64934439052328441</v>
      </c>
      <c r="AT131" s="217">
        <f t="shared" si="14"/>
        <v>8.9062310387431468E-2</v>
      </c>
      <c r="AU131" s="217">
        <f t="shared" si="15"/>
        <v>-0.50545922293727474</v>
      </c>
      <c r="AV131" s="45">
        <f>[10]Sheet1!AA122</f>
        <v>0.21207142857142855</v>
      </c>
      <c r="AW131" s="45">
        <v>0</v>
      </c>
    </row>
    <row r="132" spans="1:49">
      <c r="A132" s="45"/>
      <c r="B132" s="45"/>
      <c r="C132" s="50">
        <f t="shared" si="12"/>
        <v>40544</v>
      </c>
      <c r="D132" s="56">
        <v>6.3662097794002101E-2</v>
      </c>
      <c r="E132" s="48">
        <v>4.7140000000000004</v>
      </c>
      <c r="F132" s="48">
        <v>0.1825</v>
      </c>
      <c r="G132" s="48">
        <v>0.183</v>
      </c>
      <c r="H132" s="48">
        <v>0.183</v>
      </c>
      <c r="I132" s="48">
        <v>0.188</v>
      </c>
      <c r="J132" s="48">
        <v>0.183</v>
      </c>
      <c r="K132" s="45">
        <v>0.183</v>
      </c>
      <c r="L132" s="48">
        <v>1</v>
      </c>
      <c r="M132" s="48">
        <v>1</v>
      </c>
      <c r="N132" s="48">
        <v>1.1000000000000001</v>
      </c>
      <c r="O132" s="48">
        <v>1.35</v>
      </c>
      <c r="P132" s="48">
        <v>1.05</v>
      </c>
      <c r="Q132" s="56">
        <v>0.32500000000000001</v>
      </c>
      <c r="R132" s="56">
        <v>0</v>
      </c>
      <c r="S132" s="45">
        <v>-4.65E-2</v>
      </c>
      <c r="T132" s="45">
        <v>5.0000000000000001E-3</v>
      </c>
      <c r="U132" s="45">
        <v>-0.13750000000000001</v>
      </c>
      <c r="V132" s="45">
        <v>0.01</v>
      </c>
      <c r="W132" s="45">
        <v>-0.13750000000000001</v>
      </c>
      <c r="X132" s="45">
        <v>0.01</v>
      </c>
      <c r="Y132" s="45">
        <v>0.22500000000000001</v>
      </c>
      <c r="Z132" s="45">
        <v>0</v>
      </c>
      <c r="AA132" s="45">
        <v>0.22500000000000001</v>
      </c>
      <c r="AB132" s="45">
        <v>0</v>
      </c>
      <c r="AC132" s="45">
        <v>0.27</v>
      </c>
      <c r="AD132" s="45">
        <v>0.03</v>
      </c>
      <c r="AE132" s="45">
        <v>0.17499999999999999</v>
      </c>
      <c r="AF132" s="45">
        <v>0.02</v>
      </c>
      <c r="AG132" s="45">
        <v>0.42499999999999999</v>
      </c>
      <c r="AH132" s="45">
        <v>0</v>
      </c>
      <c r="AI132" s="45">
        <v>0.27500000000000002</v>
      </c>
      <c r="AJ132" s="45">
        <v>0</v>
      </c>
      <c r="AK132" s="45">
        <v>-0.6</v>
      </c>
      <c r="AL132" s="45">
        <v>5.4785987008195E-3</v>
      </c>
      <c r="AM132" s="45">
        <v>0.13</v>
      </c>
      <c r="AN132" s="45">
        <v>1.5399777316666599</v>
      </c>
      <c r="AO132" s="45">
        <v>0.183</v>
      </c>
      <c r="AP132" s="45">
        <v>0.27500000000000002</v>
      </c>
      <c r="AQ132" s="45">
        <v>0.27500000000000002</v>
      </c>
      <c r="AR132" s="45">
        <f t="shared" si="13"/>
        <v>0.64936003906870632</v>
      </c>
      <c r="AT132" s="217">
        <f t="shared" si="14"/>
        <v>8.9064456699357503E-2</v>
      </c>
      <c r="AU132" s="217">
        <f t="shared" si="15"/>
        <v>-0.50545694459982304</v>
      </c>
      <c r="AV132" s="45">
        <f>[10]Sheet1!AA123</f>
        <v>0.21207142857142855</v>
      </c>
      <c r="AW132" s="45">
        <v>0</v>
      </c>
    </row>
    <row r="133" spans="1:49">
      <c r="A133" s="45"/>
      <c r="B133" s="45"/>
      <c r="C133" s="50">
        <f t="shared" si="12"/>
        <v>40575</v>
      </c>
      <c r="D133" s="56">
        <v>6.3750108753503704E-2</v>
      </c>
      <c r="E133" s="48">
        <v>4.5940000000000003</v>
      </c>
      <c r="F133" s="48">
        <v>0.1825</v>
      </c>
      <c r="G133" s="48">
        <v>0.183</v>
      </c>
      <c r="H133" s="48">
        <v>0.183</v>
      </c>
      <c r="I133" s="48">
        <v>0.188</v>
      </c>
      <c r="J133" s="48">
        <v>0.183</v>
      </c>
      <c r="K133" s="45">
        <v>0.183</v>
      </c>
      <c r="L133" s="48">
        <v>1</v>
      </c>
      <c r="M133" s="48">
        <v>1</v>
      </c>
      <c r="N133" s="48">
        <v>1.1000000000000001</v>
      </c>
      <c r="O133" s="48">
        <v>1.35</v>
      </c>
      <c r="P133" s="48">
        <v>1.05</v>
      </c>
      <c r="Q133" s="56">
        <v>0.32500000000000001</v>
      </c>
      <c r="R133" s="56">
        <v>0</v>
      </c>
      <c r="S133" s="45">
        <v>-4.65E-2</v>
      </c>
      <c r="T133" s="45">
        <v>5.0000000000000001E-3</v>
      </c>
      <c r="U133" s="45">
        <v>-0.14000000000000001</v>
      </c>
      <c r="V133" s="45">
        <v>0.01</v>
      </c>
      <c r="W133" s="45">
        <v>-0.14000000000000001</v>
      </c>
      <c r="X133" s="45">
        <v>0.01</v>
      </c>
      <c r="Y133" s="45">
        <v>0.22500000000000001</v>
      </c>
      <c r="Z133" s="45">
        <v>0</v>
      </c>
      <c r="AA133" s="45">
        <v>0.22500000000000001</v>
      </c>
      <c r="AB133" s="45">
        <v>0</v>
      </c>
      <c r="AC133" s="45">
        <v>0.27</v>
      </c>
      <c r="AD133" s="45">
        <v>0.03</v>
      </c>
      <c r="AE133" s="45">
        <v>0.17499999999999999</v>
      </c>
      <c r="AF133" s="45">
        <v>0.02</v>
      </c>
      <c r="AG133" s="45">
        <v>0.42499999999999999</v>
      </c>
      <c r="AH133" s="45">
        <v>0</v>
      </c>
      <c r="AI133" s="45">
        <v>0.27500000000000002</v>
      </c>
      <c r="AJ133" s="45">
        <v>0</v>
      </c>
      <c r="AK133" s="45">
        <v>-0.6</v>
      </c>
      <c r="AL133" s="45">
        <v>5.4787268666950002E-3</v>
      </c>
      <c r="AM133" s="45">
        <v>0.13</v>
      </c>
      <c r="AN133" s="45">
        <v>1.53994170640038</v>
      </c>
      <c r="AO133" s="45">
        <v>0.183</v>
      </c>
      <c r="AP133" s="45">
        <v>0.27500000000000002</v>
      </c>
      <c r="AQ133" s="45">
        <v>0.27500000000000002</v>
      </c>
      <c r="AR133" s="45">
        <f t="shared" si="13"/>
        <v>0.64937523014264231</v>
      </c>
      <c r="AT133" s="217">
        <f t="shared" si="14"/>
        <v>8.9066540265738833E-2</v>
      </c>
      <c r="AU133" s="217">
        <f t="shared" si="15"/>
        <v>-0.50545473286756615</v>
      </c>
      <c r="AV133" s="45">
        <f>[10]Sheet1!AA124</f>
        <v>0.21207142857142855</v>
      </c>
      <c r="AW133" s="45">
        <v>0</v>
      </c>
    </row>
    <row r="134" spans="1:49">
      <c r="A134" s="45"/>
      <c r="B134" s="45"/>
      <c r="C134" s="50">
        <f t="shared" si="12"/>
        <v>40603</v>
      </c>
      <c r="D134" s="56">
        <v>6.3829602525583798E-2</v>
      </c>
      <c r="E134" s="48">
        <v>4.4550000000000001</v>
      </c>
      <c r="F134" s="48">
        <v>0.18</v>
      </c>
      <c r="G134" s="48">
        <v>0.18</v>
      </c>
      <c r="H134" s="48">
        <v>0.18</v>
      </c>
      <c r="I134" s="48">
        <v>0.185</v>
      </c>
      <c r="J134" s="48">
        <v>0.18</v>
      </c>
      <c r="K134" s="45">
        <v>0.18</v>
      </c>
      <c r="L134" s="48">
        <v>0.75</v>
      </c>
      <c r="M134" s="48">
        <v>0.75</v>
      </c>
      <c r="N134" s="48">
        <v>0.75</v>
      </c>
      <c r="O134" s="48">
        <v>0.95</v>
      </c>
      <c r="P134" s="48">
        <v>0.75</v>
      </c>
      <c r="Q134" s="56">
        <v>0.32500000000000001</v>
      </c>
      <c r="R134" s="56">
        <v>0</v>
      </c>
      <c r="S134" s="45">
        <v>-4.65E-2</v>
      </c>
      <c r="T134" s="45">
        <v>5.0000000000000001E-3</v>
      </c>
      <c r="U134" s="45">
        <v>-0.14249999999999999</v>
      </c>
      <c r="V134" s="45">
        <v>0.01</v>
      </c>
      <c r="W134" s="45">
        <v>-0.14249999999999999</v>
      </c>
      <c r="X134" s="45">
        <v>0.01</v>
      </c>
      <c r="Y134" s="45">
        <v>0.22500000000000001</v>
      </c>
      <c r="Z134" s="45">
        <v>0</v>
      </c>
      <c r="AA134" s="45">
        <v>0.22500000000000001</v>
      </c>
      <c r="AB134" s="45">
        <v>0</v>
      </c>
      <c r="AC134" s="45">
        <v>0.24</v>
      </c>
      <c r="AD134" s="45">
        <v>0.03</v>
      </c>
      <c r="AE134" s="45">
        <v>0.17499999999999999</v>
      </c>
      <c r="AF134" s="45">
        <v>0.02</v>
      </c>
      <c r="AG134" s="45">
        <v>0.42499999999999999</v>
      </c>
      <c r="AH134" s="45">
        <v>0</v>
      </c>
      <c r="AI134" s="45">
        <v>0.27500000000000002</v>
      </c>
      <c r="AJ134" s="45">
        <v>0</v>
      </c>
      <c r="AK134" s="45">
        <v>-0.6</v>
      </c>
      <c r="AL134" s="45">
        <v>5.4788393121645998E-3</v>
      </c>
      <c r="AM134" s="45">
        <v>0.13</v>
      </c>
      <c r="AN134" s="45">
        <v>1.53991010126314</v>
      </c>
      <c r="AO134" s="45">
        <v>0.18</v>
      </c>
      <c r="AP134" s="45">
        <v>0.27500000000000002</v>
      </c>
      <c r="AQ134" s="45">
        <v>0.27500000000000002</v>
      </c>
      <c r="AR134" s="45">
        <f t="shared" si="13"/>
        <v>0.64938855792927874</v>
      </c>
      <c r="AT134" s="217">
        <f t="shared" si="14"/>
        <v>8.9068368268702305E-2</v>
      </c>
      <c r="AU134" s="217">
        <f t="shared" si="15"/>
        <v>-0.50545279241913299</v>
      </c>
      <c r="AV134" s="45">
        <f>[10]Sheet1!AA125</f>
        <v>0.21207142857142855</v>
      </c>
      <c r="AW134" s="45">
        <v>0</v>
      </c>
    </row>
    <row r="135" spans="1:49">
      <c r="A135" s="45"/>
      <c r="B135" s="45"/>
      <c r="C135" s="50">
        <f t="shared" si="12"/>
        <v>40634</v>
      </c>
      <c r="D135" s="56">
        <v>6.3917613489973907E-2</v>
      </c>
      <c r="E135" s="48">
        <v>4.28</v>
      </c>
      <c r="F135" s="48">
        <v>0.18</v>
      </c>
      <c r="G135" s="48">
        <v>0.18</v>
      </c>
      <c r="H135" s="48">
        <v>0.18</v>
      </c>
      <c r="I135" s="48">
        <v>0.185</v>
      </c>
      <c r="J135" s="48">
        <v>0.18</v>
      </c>
      <c r="K135" s="45">
        <v>0.18</v>
      </c>
      <c r="L135" s="48">
        <v>0.4</v>
      </c>
      <c r="M135" s="48">
        <v>0.4</v>
      </c>
      <c r="N135" s="48">
        <v>0.45</v>
      </c>
      <c r="O135" s="48">
        <v>0.5</v>
      </c>
      <c r="P135" s="48">
        <v>0.45</v>
      </c>
      <c r="Q135" s="56">
        <v>0.21</v>
      </c>
      <c r="R135" s="56">
        <v>0</v>
      </c>
      <c r="S135" s="45">
        <v>-4.4000000000000004E-2</v>
      </c>
      <c r="T135" s="45">
        <v>0</v>
      </c>
      <c r="U135" s="45">
        <v>-0.14000000000000001</v>
      </c>
      <c r="V135" s="45">
        <v>-0.01</v>
      </c>
      <c r="W135" s="45">
        <v>-0.14000000000000001</v>
      </c>
      <c r="X135" s="45">
        <v>-0.01</v>
      </c>
      <c r="Y135" s="45">
        <v>0.15</v>
      </c>
      <c r="Z135" s="45">
        <v>0</v>
      </c>
      <c r="AA135" s="45">
        <v>0.15</v>
      </c>
      <c r="AB135" s="45">
        <v>0</v>
      </c>
      <c r="AC135" s="45">
        <v>0.17</v>
      </c>
      <c r="AD135" s="45">
        <v>1.7500000000000002E-2</v>
      </c>
      <c r="AE135" s="45">
        <v>0.09</v>
      </c>
      <c r="AF135" s="45">
        <v>5.0000000000000001E-3</v>
      </c>
      <c r="AG135" s="45">
        <v>0.23499999999999999</v>
      </c>
      <c r="AH135" s="45">
        <v>0</v>
      </c>
      <c r="AI135" s="45">
        <v>0.18</v>
      </c>
      <c r="AJ135" s="45">
        <v>0</v>
      </c>
      <c r="AK135" s="45">
        <v>-0.67800000000000005</v>
      </c>
      <c r="AL135" s="45">
        <v>1.7121750415341999E-3</v>
      </c>
      <c r="AM135" s="45">
        <v>0.13</v>
      </c>
      <c r="AN135" s="45">
        <v>1.5398761435264199</v>
      </c>
      <c r="AO135" s="45">
        <v>0.18</v>
      </c>
      <c r="AP135" s="45">
        <v>0.18</v>
      </c>
      <c r="AQ135" s="45">
        <v>0.18</v>
      </c>
      <c r="AR135" s="45">
        <f t="shared" si="13"/>
        <v>0.64940287840938482</v>
      </c>
      <c r="AT135" s="217">
        <f t="shared" si="14"/>
        <v>8.9070332426801957E-2</v>
      </c>
      <c r="AU135" s="217">
        <f t="shared" si="15"/>
        <v>-0.58721749253166389</v>
      </c>
      <c r="AV135" s="45">
        <f>[10]Sheet1!AA126</f>
        <v>0.16299999999999992</v>
      </c>
      <c r="AW135" s="45">
        <v>0</v>
      </c>
    </row>
    <row r="136" spans="1:49">
      <c r="A136" s="45"/>
      <c r="B136" s="45"/>
      <c r="C136" s="50">
        <f t="shared" si="12"/>
        <v>40664</v>
      </c>
      <c r="D136" s="56">
        <v>6.4002785393443104E-2</v>
      </c>
      <c r="E136" s="48">
        <v>4.25</v>
      </c>
      <c r="F136" s="48">
        <v>0.18</v>
      </c>
      <c r="G136" s="48">
        <v>0.18</v>
      </c>
      <c r="H136" s="48">
        <v>0.18</v>
      </c>
      <c r="I136" s="48">
        <v>0.185</v>
      </c>
      <c r="J136" s="48">
        <v>0.18</v>
      </c>
      <c r="K136" s="45">
        <v>0.18</v>
      </c>
      <c r="L136" s="48">
        <v>0.45</v>
      </c>
      <c r="M136" s="48">
        <v>0.4</v>
      </c>
      <c r="N136" s="48">
        <v>0.5</v>
      </c>
      <c r="O136" s="48">
        <v>0.45</v>
      </c>
      <c r="P136" s="48">
        <v>0.45</v>
      </c>
      <c r="Q136" s="56">
        <v>0.21</v>
      </c>
      <c r="R136" s="56">
        <v>0</v>
      </c>
      <c r="S136" s="45">
        <v>-4.4000000000000004E-2</v>
      </c>
      <c r="T136" s="45">
        <v>0</v>
      </c>
      <c r="U136" s="45">
        <v>-0.14000000000000001</v>
      </c>
      <c r="V136" s="45">
        <v>-0.01</v>
      </c>
      <c r="W136" s="45">
        <v>-0.14000000000000001</v>
      </c>
      <c r="X136" s="45">
        <v>-0.01</v>
      </c>
      <c r="Y136" s="45">
        <v>0.15</v>
      </c>
      <c r="Z136" s="45">
        <v>0</v>
      </c>
      <c r="AA136" s="45">
        <v>0.15</v>
      </c>
      <c r="AB136" s="45">
        <v>0</v>
      </c>
      <c r="AC136" s="45">
        <v>0.16500000000000001</v>
      </c>
      <c r="AD136" s="45">
        <v>0.01</v>
      </c>
      <c r="AE136" s="45">
        <v>0.09</v>
      </c>
      <c r="AF136" s="45">
        <v>5.0000000000000001E-3</v>
      </c>
      <c r="AG136" s="45">
        <v>0.23499999999999999</v>
      </c>
      <c r="AH136" s="45">
        <v>0</v>
      </c>
      <c r="AI136" s="45">
        <v>0.18</v>
      </c>
      <c r="AJ136" s="45">
        <v>0</v>
      </c>
      <c r="AK136" s="45">
        <v>-0.67800000000000005</v>
      </c>
      <c r="AL136" s="45">
        <v>1.7122104318682001E-3</v>
      </c>
      <c r="AM136" s="45">
        <v>0.13</v>
      </c>
      <c r="AN136" s="45">
        <v>1.53984431523599</v>
      </c>
      <c r="AO136" s="45">
        <v>0.18</v>
      </c>
      <c r="AP136" s="45">
        <v>0.18</v>
      </c>
      <c r="AQ136" s="45">
        <v>0.18</v>
      </c>
      <c r="AR136" s="45">
        <f t="shared" si="13"/>
        <v>0.6494163014439186</v>
      </c>
      <c r="AT136" s="217">
        <f t="shared" si="14"/>
        <v>8.9072173493707954E-2</v>
      </c>
      <c r="AU136" s="217">
        <f t="shared" si="15"/>
        <v>-0.58721561607442385</v>
      </c>
      <c r="AV136" s="45">
        <f>[10]Sheet1!AA127</f>
        <v>0.16299999999999992</v>
      </c>
      <c r="AW136" s="45">
        <v>0</v>
      </c>
    </row>
    <row r="137" spans="1:49">
      <c r="A137" s="45"/>
      <c r="B137" s="45"/>
      <c r="C137" s="50">
        <f t="shared" si="12"/>
        <v>40695</v>
      </c>
      <c r="D137" s="56">
        <v>6.4064266293219596E-2</v>
      </c>
      <c r="E137" s="48">
        <v>4.32</v>
      </c>
      <c r="F137" s="48">
        <v>0.18</v>
      </c>
      <c r="G137" s="48">
        <v>0.18</v>
      </c>
      <c r="H137" s="48">
        <v>0.18</v>
      </c>
      <c r="I137" s="48">
        <v>0.185</v>
      </c>
      <c r="J137" s="48">
        <v>0.18</v>
      </c>
      <c r="K137" s="45">
        <v>0.18</v>
      </c>
      <c r="L137" s="48">
        <v>0.45</v>
      </c>
      <c r="M137" s="48">
        <v>0.4</v>
      </c>
      <c r="N137" s="48">
        <v>0.5</v>
      </c>
      <c r="O137" s="48">
        <v>0.5</v>
      </c>
      <c r="P137" s="48">
        <v>0.5</v>
      </c>
      <c r="Q137" s="56">
        <v>0.21</v>
      </c>
      <c r="R137" s="56">
        <v>0</v>
      </c>
      <c r="S137" s="45">
        <v>-4.4000000000000004E-2</v>
      </c>
      <c r="T137" s="45">
        <v>0</v>
      </c>
      <c r="U137" s="45">
        <v>-0.14000000000000001</v>
      </c>
      <c r="V137" s="45">
        <v>-0.01</v>
      </c>
      <c r="W137" s="45">
        <v>-0.14000000000000001</v>
      </c>
      <c r="X137" s="45">
        <v>-0.01</v>
      </c>
      <c r="Y137" s="45">
        <v>0.15</v>
      </c>
      <c r="Z137" s="45">
        <v>0</v>
      </c>
      <c r="AA137" s="45">
        <v>0.15</v>
      </c>
      <c r="AB137" s="45">
        <v>0</v>
      </c>
      <c r="AC137" s="45">
        <v>0.17</v>
      </c>
      <c r="AD137" s="45">
        <v>1.2500000000000001E-2</v>
      </c>
      <c r="AE137" s="45">
        <v>0.09</v>
      </c>
      <c r="AF137" s="45">
        <v>5.0000000000000001E-3</v>
      </c>
      <c r="AG137" s="45">
        <v>0.23499999999999999</v>
      </c>
      <c r="AH137" s="45">
        <v>0</v>
      </c>
      <c r="AI137" s="45">
        <v>0.18</v>
      </c>
      <c r="AJ137" s="45">
        <v>0</v>
      </c>
      <c r="AK137" s="45">
        <v>-0.67800000000000005</v>
      </c>
      <c r="AL137" s="45">
        <v>1.7121899751411001E-3</v>
      </c>
      <c r="AM137" s="45">
        <v>0.13</v>
      </c>
      <c r="AN137" s="45">
        <v>1.5398627128292799</v>
      </c>
      <c r="AO137" s="45">
        <v>0.18</v>
      </c>
      <c r="AP137" s="45">
        <v>0.18</v>
      </c>
      <c r="AQ137" s="45">
        <v>0.18</v>
      </c>
      <c r="AR137" s="45">
        <f t="shared" si="13"/>
        <v>0.64940854250743008</v>
      </c>
      <c r="AT137" s="217">
        <f t="shared" si="14"/>
        <v>8.9071109299083503E-2</v>
      </c>
      <c r="AU137" s="217">
        <f t="shared" si="15"/>
        <v>-0.58721670072577548</v>
      </c>
      <c r="AV137" s="45">
        <f>[10]Sheet1!AA128</f>
        <v>0.16299999999999992</v>
      </c>
      <c r="AW137" s="45">
        <v>0</v>
      </c>
    </row>
    <row r="138" spans="1:49">
      <c r="A138" s="45"/>
      <c r="B138" s="45"/>
      <c r="C138" s="50">
        <f t="shared" si="12"/>
        <v>40725</v>
      </c>
      <c r="D138" s="56">
        <v>6.4099694319426095E-2</v>
      </c>
      <c r="E138" s="48">
        <v>4.375</v>
      </c>
      <c r="F138" s="48">
        <v>0.18</v>
      </c>
      <c r="G138" s="48">
        <v>0.18</v>
      </c>
      <c r="H138" s="48">
        <v>0.18</v>
      </c>
      <c r="I138" s="48">
        <v>0.185</v>
      </c>
      <c r="J138" s="48">
        <v>0.18</v>
      </c>
      <c r="K138" s="45">
        <v>0.18</v>
      </c>
      <c r="L138" s="48">
        <v>0.5</v>
      </c>
      <c r="M138" s="48">
        <v>0.4</v>
      </c>
      <c r="N138" s="48">
        <v>0.55000000000000004</v>
      </c>
      <c r="O138" s="48">
        <v>0.5</v>
      </c>
      <c r="P138" s="48">
        <v>0.5</v>
      </c>
      <c r="Q138" s="56">
        <v>0.21</v>
      </c>
      <c r="R138" s="56">
        <v>0</v>
      </c>
      <c r="S138" s="45">
        <v>-4.4000000000000004E-2</v>
      </c>
      <c r="T138" s="45">
        <v>0</v>
      </c>
      <c r="U138" s="45">
        <v>-0.14000000000000001</v>
      </c>
      <c r="V138" s="45">
        <v>-0.01</v>
      </c>
      <c r="W138" s="45">
        <v>-0.14000000000000001</v>
      </c>
      <c r="X138" s="45">
        <v>-0.01</v>
      </c>
      <c r="Y138" s="45">
        <v>0.15</v>
      </c>
      <c r="Z138" s="45">
        <v>0</v>
      </c>
      <c r="AA138" s="45">
        <v>0.15</v>
      </c>
      <c r="AB138" s="45">
        <v>0</v>
      </c>
      <c r="AC138" s="45">
        <v>0.17499999999999999</v>
      </c>
      <c r="AD138" s="45">
        <v>1.2500000000000001E-2</v>
      </c>
      <c r="AE138" s="45">
        <v>0.09</v>
      </c>
      <c r="AF138" s="45">
        <v>5.0000000000000001E-3</v>
      </c>
      <c r="AG138" s="45">
        <v>0.23499999999999999</v>
      </c>
      <c r="AH138" s="45">
        <v>0</v>
      </c>
      <c r="AI138" s="45">
        <v>0.18</v>
      </c>
      <c r="AJ138" s="45">
        <v>0</v>
      </c>
      <c r="AK138" s="45">
        <v>-0.67800000000000005</v>
      </c>
      <c r="AL138" s="45">
        <v>1.7121170589804999E-3</v>
      </c>
      <c r="AM138" s="45">
        <v>0.13</v>
      </c>
      <c r="AN138" s="45">
        <v>1.5399282929695499</v>
      </c>
      <c r="AO138" s="45">
        <v>0.18</v>
      </c>
      <c r="AP138" s="45">
        <v>0.18</v>
      </c>
      <c r="AQ138" s="45">
        <v>0.18</v>
      </c>
      <c r="AR138" s="45">
        <f t="shared" si="13"/>
        <v>0.64938088647727299</v>
      </c>
      <c r="AT138" s="217">
        <f t="shared" si="14"/>
        <v>8.9067316073211555E-2</v>
      </c>
      <c r="AU138" s="217">
        <f t="shared" si="15"/>
        <v>-0.5872205668678081</v>
      </c>
      <c r="AV138" s="45">
        <f>[10]Sheet1!AA129</f>
        <v>0.16299999999999992</v>
      </c>
      <c r="AW138" s="45">
        <v>0</v>
      </c>
    </row>
    <row r="139" spans="1:49">
      <c r="A139" s="45"/>
      <c r="B139" s="45"/>
      <c r="C139" s="50">
        <f t="shared" si="12"/>
        <v>40756</v>
      </c>
      <c r="D139" s="56">
        <v>6.4136303280276905E-2</v>
      </c>
      <c r="E139" s="48">
        <v>4.431</v>
      </c>
      <c r="F139" s="48">
        <v>0.18</v>
      </c>
      <c r="G139" s="48">
        <v>0.18</v>
      </c>
      <c r="H139" s="48">
        <v>0.18</v>
      </c>
      <c r="I139" s="48">
        <v>0.185</v>
      </c>
      <c r="J139" s="48">
        <v>0.18</v>
      </c>
      <c r="K139" s="45">
        <v>0.18</v>
      </c>
      <c r="L139" s="48">
        <v>0.55000000000000004</v>
      </c>
      <c r="M139" s="48">
        <v>0.5</v>
      </c>
      <c r="N139" s="48">
        <v>0.6</v>
      </c>
      <c r="O139" s="48">
        <v>0.45</v>
      </c>
      <c r="P139" s="48">
        <v>0.55000000000000004</v>
      </c>
      <c r="Q139" s="56">
        <v>0.21</v>
      </c>
      <c r="R139" s="56">
        <v>0</v>
      </c>
      <c r="S139" s="45">
        <v>-4.4000000000000004E-2</v>
      </c>
      <c r="T139" s="45">
        <v>0</v>
      </c>
      <c r="U139" s="45">
        <v>-0.14000000000000001</v>
      </c>
      <c r="V139" s="45">
        <v>-0.01</v>
      </c>
      <c r="W139" s="45">
        <v>-0.14000000000000001</v>
      </c>
      <c r="X139" s="45">
        <v>-0.01</v>
      </c>
      <c r="Y139" s="45">
        <v>0.15</v>
      </c>
      <c r="Z139" s="45">
        <v>0</v>
      </c>
      <c r="AA139" s="45">
        <v>0.15</v>
      </c>
      <c r="AB139" s="45">
        <v>0</v>
      </c>
      <c r="AC139" s="45">
        <v>0.17499999999999999</v>
      </c>
      <c r="AD139" s="45">
        <v>1.2500000000000001E-2</v>
      </c>
      <c r="AE139" s="45">
        <v>0.09</v>
      </c>
      <c r="AF139" s="45">
        <v>5.0000000000000001E-3</v>
      </c>
      <c r="AG139" s="45">
        <v>0.23499999999999999</v>
      </c>
      <c r="AH139" s="45">
        <v>0</v>
      </c>
      <c r="AI139" s="45">
        <v>0.18</v>
      </c>
      <c r="AJ139" s="45">
        <v>0</v>
      </c>
      <c r="AK139" s="45">
        <v>-0.67800000000000005</v>
      </c>
      <c r="AL139" s="45">
        <v>1.7120387318201001E-3</v>
      </c>
      <c r="AM139" s="45">
        <v>0.13</v>
      </c>
      <c r="AN139" s="45">
        <v>1.53999874593778</v>
      </c>
      <c r="AO139" s="45">
        <v>0.18</v>
      </c>
      <c r="AP139" s="45">
        <v>0.18</v>
      </c>
      <c r="AQ139" s="45">
        <v>0.18</v>
      </c>
      <c r="AR139" s="45">
        <f t="shared" si="13"/>
        <v>0.64935117813427279</v>
      </c>
      <c r="AT139" s="217">
        <f t="shared" si="14"/>
        <v>8.9063241357692322E-2</v>
      </c>
      <c r="AU139" s="217">
        <f t="shared" si="15"/>
        <v>-0.58722471991048764</v>
      </c>
      <c r="AV139" s="45">
        <f>[10]Sheet1!AA130</f>
        <v>0.16299999999999992</v>
      </c>
      <c r="AW139" s="45">
        <v>0</v>
      </c>
    </row>
    <row r="140" spans="1:49">
      <c r="A140" s="45"/>
      <c r="B140" s="45"/>
      <c r="C140" s="50">
        <f t="shared" si="12"/>
        <v>40787</v>
      </c>
      <c r="D140" s="56">
        <v>6.4172912241571706E-2</v>
      </c>
      <c r="E140" s="48">
        <v>4.4450000000000003</v>
      </c>
      <c r="F140" s="48">
        <v>0.18</v>
      </c>
      <c r="G140" s="48">
        <v>0.18</v>
      </c>
      <c r="H140" s="48">
        <v>0.18</v>
      </c>
      <c r="I140" s="48">
        <v>0.185</v>
      </c>
      <c r="J140" s="48">
        <v>0.18</v>
      </c>
      <c r="K140" s="45">
        <v>0.18</v>
      </c>
      <c r="L140" s="48">
        <v>0.55000000000000004</v>
      </c>
      <c r="M140" s="48">
        <v>0.55000000000000004</v>
      </c>
      <c r="N140" s="48">
        <v>0.6</v>
      </c>
      <c r="O140" s="48">
        <v>0.5</v>
      </c>
      <c r="P140" s="48">
        <v>0.6</v>
      </c>
      <c r="Q140" s="56">
        <v>0.21</v>
      </c>
      <c r="R140" s="56">
        <v>0</v>
      </c>
      <c r="S140" s="45">
        <v>-4.4000000000000004E-2</v>
      </c>
      <c r="T140" s="45">
        <v>0</v>
      </c>
      <c r="U140" s="45">
        <v>-0.14000000000000001</v>
      </c>
      <c r="V140" s="45">
        <v>-0.01</v>
      </c>
      <c r="W140" s="45">
        <v>-0.14000000000000001</v>
      </c>
      <c r="X140" s="45">
        <v>-0.01</v>
      </c>
      <c r="Y140" s="45">
        <v>0.15</v>
      </c>
      <c r="Z140" s="45">
        <v>0</v>
      </c>
      <c r="AA140" s="45">
        <v>0.15</v>
      </c>
      <c r="AB140" s="45">
        <v>0</v>
      </c>
      <c r="AC140" s="45">
        <v>0.16500000000000001</v>
      </c>
      <c r="AD140" s="45">
        <v>1.2500000000000001E-2</v>
      </c>
      <c r="AE140" s="45">
        <v>0.09</v>
      </c>
      <c r="AF140" s="45">
        <v>5.0000000000000001E-3</v>
      </c>
      <c r="AG140" s="45">
        <v>0.23499999999999999</v>
      </c>
      <c r="AH140" s="45">
        <v>0</v>
      </c>
      <c r="AI140" s="45">
        <v>0.18</v>
      </c>
      <c r="AJ140" s="45">
        <v>0</v>
      </c>
      <c r="AK140" s="45">
        <v>-0.67800000000000005</v>
      </c>
      <c r="AL140" s="45">
        <v>1.7119573759334001E-3</v>
      </c>
      <c r="AM140" s="45">
        <v>0.13</v>
      </c>
      <c r="AN140" s="45">
        <v>1.54007192998155</v>
      </c>
      <c r="AO140" s="45">
        <v>0.18</v>
      </c>
      <c r="AP140" s="45">
        <v>0.18</v>
      </c>
      <c r="AQ140" s="45">
        <v>0.18</v>
      </c>
      <c r="AR140" s="45">
        <f t="shared" si="13"/>
        <v>0.64932032103979709</v>
      </c>
      <c r="AT140" s="217">
        <f t="shared" si="14"/>
        <v>8.905900908254534E-2</v>
      </c>
      <c r="AU140" s="217">
        <f t="shared" si="15"/>
        <v>-0.58722903354152123</v>
      </c>
      <c r="AV140" s="45">
        <f>[10]Sheet1!AA131</f>
        <v>0.16299999999999992</v>
      </c>
      <c r="AW140" s="45">
        <v>0</v>
      </c>
    </row>
    <row r="141" spans="1:49">
      <c r="A141" s="45"/>
      <c r="B141" s="45"/>
      <c r="C141" s="50">
        <f t="shared" si="12"/>
        <v>40817</v>
      </c>
      <c r="D141" s="56">
        <v>6.4208340269054504E-2</v>
      </c>
      <c r="E141" s="48">
        <v>4.476</v>
      </c>
      <c r="F141" s="48">
        <v>0.18</v>
      </c>
      <c r="G141" s="48">
        <v>0.18</v>
      </c>
      <c r="H141" s="48">
        <v>0.18</v>
      </c>
      <c r="I141" s="48">
        <v>0.185</v>
      </c>
      <c r="J141" s="48">
        <v>0.18</v>
      </c>
      <c r="K141" s="45">
        <v>0.18</v>
      </c>
      <c r="L141" s="48">
        <v>0.6</v>
      </c>
      <c r="M141" s="48">
        <v>0.55000000000000004</v>
      </c>
      <c r="N141" s="48">
        <v>0.65</v>
      </c>
      <c r="O141" s="48">
        <v>0.5</v>
      </c>
      <c r="P141" s="48">
        <v>0.65</v>
      </c>
      <c r="Q141" s="56">
        <v>0.21</v>
      </c>
      <c r="R141" s="56">
        <v>0</v>
      </c>
      <c r="S141" s="45">
        <v>-4.4000000000000004E-2</v>
      </c>
      <c r="T141" s="45">
        <v>0</v>
      </c>
      <c r="U141" s="45">
        <v>-0.14000000000000001</v>
      </c>
      <c r="V141" s="45">
        <v>-0.01</v>
      </c>
      <c r="W141" s="45">
        <v>-0.14000000000000001</v>
      </c>
      <c r="X141" s="45">
        <v>-0.01</v>
      </c>
      <c r="Y141" s="45">
        <v>0.15</v>
      </c>
      <c r="Z141" s="45">
        <v>0</v>
      </c>
      <c r="AA141" s="45">
        <v>0.15</v>
      </c>
      <c r="AB141" s="45">
        <v>0</v>
      </c>
      <c r="AC141" s="45">
        <v>0.17249999999999999</v>
      </c>
      <c r="AD141" s="45">
        <v>1.2500000000000001E-2</v>
      </c>
      <c r="AE141" s="45">
        <v>0.09</v>
      </c>
      <c r="AF141" s="45">
        <v>5.0000000000000001E-3</v>
      </c>
      <c r="AG141" s="45">
        <v>0.23499999999999999</v>
      </c>
      <c r="AH141" s="45">
        <v>0</v>
      </c>
      <c r="AI141" s="45">
        <v>0.18</v>
      </c>
      <c r="AJ141" s="45">
        <v>0</v>
      </c>
      <c r="AK141" s="45">
        <v>-0.67800000000000005</v>
      </c>
      <c r="AL141" s="45">
        <v>1.7118757612604001E-3</v>
      </c>
      <c r="AM141" s="45">
        <v>0.13</v>
      </c>
      <c r="AN141" s="45">
        <v>1.54014535380698</v>
      </c>
      <c r="AO141" s="45">
        <v>0.18</v>
      </c>
      <c r="AP141" s="45">
        <v>0.18</v>
      </c>
      <c r="AQ141" s="45">
        <v>0.18</v>
      </c>
      <c r="AR141" s="45">
        <f t="shared" si="13"/>
        <v>0.64928936579146135</v>
      </c>
      <c r="AT141" s="217">
        <f t="shared" si="14"/>
        <v>8.9054763344881882E-2</v>
      </c>
      <c r="AU141" s="217">
        <f t="shared" si="15"/>
        <v>-0.5872333608938578</v>
      </c>
      <c r="AV141" s="45">
        <f>[10]Sheet1!AA132</f>
        <v>0.16299999999999992</v>
      </c>
      <c r="AW141" s="45">
        <v>0</v>
      </c>
    </row>
    <row r="142" spans="1:49">
      <c r="A142" s="45"/>
      <c r="B142" s="45"/>
      <c r="C142" s="50">
        <f t="shared" si="12"/>
        <v>40848</v>
      </c>
      <c r="D142" s="56">
        <v>6.4244949231224299E-2</v>
      </c>
      <c r="E142" s="48">
        <v>4.609</v>
      </c>
      <c r="F142" s="48">
        <v>0.18</v>
      </c>
      <c r="G142" s="48">
        <v>0.18</v>
      </c>
      <c r="H142" s="48">
        <v>0.18</v>
      </c>
      <c r="I142" s="48">
        <v>0.185</v>
      </c>
      <c r="J142" s="48">
        <v>0.18</v>
      </c>
      <c r="K142" s="45">
        <v>0.18</v>
      </c>
      <c r="L142" s="48">
        <v>0.8</v>
      </c>
      <c r="M142" s="48">
        <v>0.8</v>
      </c>
      <c r="N142" s="48">
        <v>0.8</v>
      </c>
      <c r="O142" s="48">
        <v>0.95</v>
      </c>
      <c r="P142" s="48">
        <v>0.85</v>
      </c>
      <c r="Q142" s="56">
        <v>0.32500000000000001</v>
      </c>
      <c r="R142" s="56">
        <v>0</v>
      </c>
      <c r="S142" s="45">
        <v>-4.3500000000000004E-2</v>
      </c>
      <c r="T142" s="45">
        <v>5.0000000000000001E-3</v>
      </c>
      <c r="U142" s="45">
        <v>-0.14249999999999999</v>
      </c>
      <c r="V142" s="45">
        <v>0.01</v>
      </c>
      <c r="W142" s="45">
        <v>-0.14249999999999999</v>
      </c>
      <c r="X142" s="45">
        <v>0.01</v>
      </c>
      <c r="Y142" s="45">
        <v>0.22500000000000001</v>
      </c>
      <c r="Z142" s="45">
        <v>0</v>
      </c>
      <c r="AA142" s="45">
        <v>0.22500000000000001</v>
      </c>
      <c r="AB142" s="45">
        <v>0</v>
      </c>
      <c r="AC142" s="45">
        <v>0.24</v>
      </c>
      <c r="AD142" s="45">
        <v>0.03</v>
      </c>
      <c r="AE142" s="45">
        <v>0.17499999999999999</v>
      </c>
      <c r="AF142" s="45">
        <v>0.02</v>
      </c>
      <c r="AG142" s="45">
        <v>0.42499999999999999</v>
      </c>
      <c r="AH142" s="45">
        <v>0</v>
      </c>
      <c r="AI142" s="45">
        <v>0.27500000000000002</v>
      </c>
      <c r="AJ142" s="45">
        <v>0</v>
      </c>
      <c r="AK142" s="45">
        <v>-0.61799999999999999</v>
      </c>
      <c r="AL142" s="45">
        <v>5.4777230318041005E-3</v>
      </c>
      <c r="AM142" s="45">
        <v>0.13</v>
      </c>
      <c r="AN142" s="45">
        <v>1.54022391256632</v>
      </c>
      <c r="AO142" s="45">
        <v>0.18</v>
      </c>
      <c r="AP142" s="45">
        <v>0.27500000000000002</v>
      </c>
      <c r="AQ142" s="45">
        <v>0.27500000000000002</v>
      </c>
      <c r="AR142" s="45">
        <f t="shared" si="13"/>
        <v>0.64925624893967571</v>
      </c>
      <c r="AT142" s="217">
        <f t="shared" si="14"/>
        <v>8.9050221127568802E-2</v>
      </c>
      <c r="AU142" s="217">
        <f t="shared" si="15"/>
        <v>-0.52347205584062717</v>
      </c>
      <c r="AV142" s="45">
        <f>[10]Sheet1!AA133</f>
        <v>0.21007142857142855</v>
      </c>
      <c r="AW142" s="45">
        <v>0</v>
      </c>
    </row>
    <row r="143" spans="1:49">
      <c r="A143" s="45"/>
      <c r="B143" s="45"/>
      <c r="C143" s="50">
        <f t="shared" si="12"/>
        <v>40878</v>
      </c>
      <c r="D143" s="56">
        <v>6.4280377259553503E-2</v>
      </c>
      <c r="E143" s="48">
        <v>4.7469999999999999</v>
      </c>
      <c r="F143" s="48">
        <v>0.18</v>
      </c>
      <c r="G143" s="48">
        <v>0.18</v>
      </c>
      <c r="H143" s="48">
        <v>0.18</v>
      </c>
      <c r="I143" s="48">
        <v>0.185</v>
      </c>
      <c r="J143" s="48">
        <v>0.18</v>
      </c>
      <c r="K143" s="45">
        <v>0.18</v>
      </c>
      <c r="L143" s="48">
        <v>1</v>
      </c>
      <c r="M143" s="48">
        <v>1</v>
      </c>
      <c r="N143" s="48">
        <v>1.1000000000000001</v>
      </c>
      <c r="O143" s="48">
        <v>1.35</v>
      </c>
      <c r="P143" s="48">
        <v>1.05</v>
      </c>
      <c r="Q143" s="56">
        <v>0.32500000000000001</v>
      </c>
      <c r="R143" s="56">
        <v>0</v>
      </c>
      <c r="S143" s="45">
        <v>-4.3500000000000004E-2</v>
      </c>
      <c r="T143" s="45">
        <v>5.0000000000000001E-3</v>
      </c>
      <c r="U143" s="45">
        <v>-0.13750000000000001</v>
      </c>
      <c r="V143" s="45">
        <v>0.01</v>
      </c>
      <c r="W143" s="45">
        <v>-0.13750000000000001</v>
      </c>
      <c r="X143" s="45">
        <v>0.01</v>
      </c>
      <c r="Y143" s="45">
        <v>0.22500000000000001</v>
      </c>
      <c r="Z143" s="45">
        <v>0</v>
      </c>
      <c r="AA143" s="45">
        <v>0.22500000000000001</v>
      </c>
      <c r="AB143" s="45">
        <v>0</v>
      </c>
      <c r="AC143" s="45">
        <v>0.26</v>
      </c>
      <c r="AD143" s="45">
        <v>0.03</v>
      </c>
      <c r="AE143" s="45">
        <v>0.17499999999999999</v>
      </c>
      <c r="AF143" s="45">
        <v>0.02</v>
      </c>
      <c r="AG143" s="45">
        <v>0.42499999999999999</v>
      </c>
      <c r="AH143" s="45">
        <v>0</v>
      </c>
      <c r="AI143" s="45">
        <v>0.27500000000000002</v>
      </c>
      <c r="AJ143" s="45">
        <v>0</v>
      </c>
      <c r="AK143" s="45">
        <v>-0.61799999999999999</v>
      </c>
      <c r="AL143" s="45">
        <v>5.4774434183125003E-3</v>
      </c>
      <c r="AM143" s="45">
        <v>0.13</v>
      </c>
      <c r="AN143" s="45">
        <v>1.5403025381865498</v>
      </c>
      <c r="AO143" s="45">
        <v>0.18</v>
      </c>
      <c r="AP143" s="45">
        <v>0.27500000000000002</v>
      </c>
      <c r="AQ143" s="45">
        <v>0.27500000000000002</v>
      </c>
      <c r="AR143" s="45">
        <f t="shared" si="13"/>
        <v>0.64922310728471155</v>
      </c>
      <c r="AT143" s="217">
        <f t="shared" si="14"/>
        <v>8.9045675508319225E-2</v>
      </c>
      <c r="AU143" s="217">
        <f t="shared" si="15"/>
        <v>-0.52347688107336832</v>
      </c>
      <c r="AV143" s="45">
        <f>[10]Sheet1!AA134</f>
        <v>0.21507142857142855</v>
      </c>
      <c r="AW143" s="45">
        <v>0</v>
      </c>
    </row>
    <row r="144" spans="1:49">
      <c r="A144" s="45"/>
      <c r="B144" s="45"/>
      <c r="C144" s="50">
        <f t="shared" si="12"/>
        <v>40909</v>
      </c>
      <c r="D144" s="56">
        <v>6.4316986222597197E-2</v>
      </c>
      <c r="E144" s="48">
        <v>4.7890000000000006</v>
      </c>
      <c r="F144" s="48">
        <v>0.18</v>
      </c>
      <c r="G144" s="48">
        <v>0.18</v>
      </c>
      <c r="H144" s="48">
        <v>0.18</v>
      </c>
      <c r="I144" s="48">
        <v>0.185</v>
      </c>
      <c r="J144" s="48">
        <v>0.18</v>
      </c>
      <c r="K144" s="45">
        <v>0.18</v>
      </c>
      <c r="L144" s="48">
        <v>1</v>
      </c>
      <c r="M144" s="48">
        <v>1</v>
      </c>
      <c r="N144" s="48">
        <v>1.1000000000000001</v>
      </c>
      <c r="O144" s="48">
        <v>1.35</v>
      </c>
      <c r="P144" s="48">
        <v>1.05</v>
      </c>
      <c r="Q144" s="56">
        <v>0.32500000000000001</v>
      </c>
      <c r="R144" s="56">
        <v>0</v>
      </c>
      <c r="S144" s="45">
        <v>-4.3500000000000004E-2</v>
      </c>
      <c r="T144" s="45">
        <v>5.0000000000000001E-3</v>
      </c>
      <c r="U144" s="45">
        <v>-0.13750000000000001</v>
      </c>
      <c r="V144" s="45">
        <v>0.01</v>
      </c>
      <c r="W144" s="45">
        <v>-0.13750000000000001</v>
      </c>
      <c r="X144" s="45">
        <v>0.01</v>
      </c>
      <c r="Y144" s="45">
        <v>0.22500000000000001</v>
      </c>
      <c r="Z144" s="45">
        <v>0</v>
      </c>
      <c r="AA144" s="45">
        <v>0.22500000000000001</v>
      </c>
      <c r="AB144" s="45">
        <v>0</v>
      </c>
      <c r="AC144" s="45">
        <v>0.27</v>
      </c>
      <c r="AD144" s="45">
        <v>0.03</v>
      </c>
      <c r="AE144" s="45">
        <v>0.17499999999999999</v>
      </c>
      <c r="AF144" s="45">
        <v>0.02</v>
      </c>
      <c r="AG144" s="45">
        <v>0.42499999999999999</v>
      </c>
      <c r="AH144" s="45">
        <v>0</v>
      </c>
      <c r="AI144" s="45">
        <v>0.27500000000000002</v>
      </c>
      <c r="AJ144" s="45">
        <v>0</v>
      </c>
      <c r="AK144" s="45">
        <v>-0.61799999999999999</v>
      </c>
      <c r="AL144" s="45">
        <v>5.4771449567281999E-3</v>
      </c>
      <c r="AM144" s="45">
        <v>0.13</v>
      </c>
      <c r="AN144" s="45">
        <v>1.5403864726340399</v>
      </c>
      <c r="AO144" s="45">
        <v>0.18</v>
      </c>
      <c r="AP144" s="45">
        <v>0.27500000000000002</v>
      </c>
      <c r="AQ144" s="45">
        <v>0.27500000000000002</v>
      </c>
      <c r="AR144" s="45">
        <f t="shared" si="13"/>
        <v>0.64918773162816312</v>
      </c>
      <c r="AT144" s="217">
        <f t="shared" si="14"/>
        <v>8.9040823479488829E-2</v>
      </c>
      <c r="AU144" s="217">
        <f t="shared" si="15"/>
        <v>-0.52348203156378292</v>
      </c>
      <c r="AV144" s="45">
        <f>[10]Sheet1!AA135</f>
        <v>0.21507142857142855</v>
      </c>
      <c r="AW144" s="45">
        <v>0</v>
      </c>
    </row>
    <row r="145" spans="1:49">
      <c r="A145" s="45"/>
      <c r="B145" s="45"/>
      <c r="C145" s="50">
        <f t="shared" si="12"/>
        <v>40940</v>
      </c>
      <c r="D145" s="56">
        <v>6.4353595186085799E-2</v>
      </c>
      <c r="E145" s="48">
        <v>4.6690000000000005</v>
      </c>
      <c r="F145" s="48">
        <v>0.17499999999999999</v>
      </c>
      <c r="G145" s="48">
        <v>0.17499999999999999</v>
      </c>
      <c r="H145" s="48">
        <v>0.17499999999999999</v>
      </c>
      <c r="I145" s="48">
        <v>0.18</v>
      </c>
      <c r="J145" s="48">
        <v>0.17499999999999999</v>
      </c>
      <c r="K145" s="45">
        <v>0.17499999999999999</v>
      </c>
      <c r="L145" s="48">
        <v>1</v>
      </c>
      <c r="M145" s="48">
        <v>1</v>
      </c>
      <c r="N145" s="48">
        <v>1.1000000000000001</v>
      </c>
      <c r="O145" s="48">
        <v>1.35</v>
      </c>
      <c r="P145" s="48">
        <v>1.05</v>
      </c>
      <c r="Q145" s="56">
        <v>0.32500000000000001</v>
      </c>
      <c r="R145" s="56">
        <v>0</v>
      </c>
      <c r="S145" s="45">
        <v>-4.3500000000000004E-2</v>
      </c>
      <c r="T145" s="45">
        <v>5.0000000000000001E-3</v>
      </c>
      <c r="U145" s="45">
        <v>-0.14000000000000001</v>
      </c>
      <c r="V145" s="45">
        <v>0.01</v>
      </c>
      <c r="W145" s="45">
        <v>-0.14000000000000001</v>
      </c>
      <c r="X145" s="45">
        <v>0.01</v>
      </c>
      <c r="Y145" s="45">
        <v>0.22500000000000001</v>
      </c>
      <c r="Z145" s="45">
        <v>0</v>
      </c>
      <c r="AA145" s="45">
        <v>0.22500000000000001</v>
      </c>
      <c r="AB145" s="45">
        <v>0</v>
      </c>
      <c r="AC145" s="45">
        <v>0.27</v>
      </c>
      <c r="AD145" s="45">
        <v>0.03</v>
      </c>
      <c r="AE145" s="45">
        <v>0.17499999999999999</v>
      </c>
      <c r="AF145" s="45">
        <v>0.02</v>
      </c>
      <c r="AG145" s="45">
        <v>0.42499999999999999</v>
      </c>
      <c r="AH145" s="45">
        <v>0</v>
      </c>
      <c r="AI145" s="45">
        <v>0.27500000000000002</v>
      </c>
      <c r="AJ145" s="45">
        <v>0</v>
      </c>
      <c r="AK145" s="45">
        <v>-0.61799999999999999</v>
      </c>
      <c r="AL145" s="45">
        <v>5.4768368134635002E-3</v>
      </c>
      <c r="AM145" s="45">
        <v>0.13</v>
      </c>
      <c r="AN145" s="45">
        <v>1.5404731393967699</v>
      </c>
      <c r="AO145" s="45">
        <v>0.17499999999999999</v>
      </c>
      <c r="AP145" s="45">
        <v>0.27500000000000002</v>
      </c>
      <c r="AQ145" s="45">
        <v>0.27500000000000002</v>
      </c>
      <c r="AR145" s="45">
        <f t="shared" si="13"/>
        <v>0.64915120843430452</v>
      </c>
      <c r="AT145" s="217">
        <f t="shared" si="14"/>
        <v>8.9035814057562265E-2</v>
      </c>
      <c r="AU145" s="217">
        <f t="shared" si="15"/>
        <v>-0.52348734912897432</v>
      </c>
      <c r="AV145" s="45">
        <f>[10]Sheet1!AA136</f>
        <v>0.21507142857142855</v>
      </c>
      <c r="AW145" s="45">
        <v>0</v>
      </c>
    </row>
    <row r="146" spans="1:49">
      <c r="A146" s="45"/>
      <c r="B146" s="45"/>
      <c r="C146" s="50">
        <f t="shared" ref="C146:C209" si="16">NextMonth(C145)</f>
        <v>40969</v>
      </c>
      <c r="D146" s="56">
        <v>6.4387842281364197E-2</v>
      </c>
      <c r="E146" s="48">
        <v>4.53</v>
      </c>
      <c r="F146" s="48">
        <v>0.17</v>
      </c>
      <c r="G146" s="48">
        <v>0.17</v>
      </c>
      <c r="H146" s="48">
        <v>0.17</v>
      </c>
      <c r="I146" s="48">
        <v>0.17499999999999999</v>
      </c>
      <c r="J146" s="48">
        <v>0.17</v>
      </c>
      <c r="K146" s="45">
        <v>0.17</v>
      </c>
      <c r="L146" s="48">
        <v>0.75</v>
      </c>
      <c r="M146" s="48">
        <v>0.75</v>
      </c>
      <c r="N146" s="48">
        <v>0.75</v>
      </c>
      <c r="O146" s="48">
        <v>0.95</v>
      </c>
      <c r="P146" s="48">
        <v>0.75</v>
      </c>
      <c r="Q146" s="56">
        <v>0.32500000000000001</v>
      </c>
      <c r="R146" s="56">
        <v>0</v>
      </c>
      <c r="S146" s="45">
        <v>-4.3500000000000004E-2</v>
      </c>
      <c r="T146" s="45">
        <v>5.0000000000000001E-3</v>
      </c>
      <c r="U146" s="45">
        <v>-0.14249999999999999</v>
      </c>
      <c r="V146" s="45">
        <v>0.01</v>
      </c>
      <c r="W146" s="45">
        <v>-0.14249999999999999</v>
      </c>
      <c r="X146" s="45">
        <v>0.01</v>
      </c>
      <c r="Y146" s="45">
        <v>0.22500000000000001</v>
      </c>
      <c r="Z146" s="45">
        <v>0</v>
      </c>
      <c r="AA146" s="45">
        <v>0.22500000000000001</v>
      </c>
      <c r="AB146" s="45">
        <v>0</v>
      </c>
      <c r="AC146" s="45">
        <v>0.24</v>
      </c>
      <c r="AD146" s="45">
        <v>0.03</v>
      </c>
      <c r="AE146" s="45">
        <v>0.17499999999999999</v>
      </c>
      <c r="AF146" s="45">
        <v>0.02</v>
      </c>
      <c r="AG146" s="45">
        <v>0.42499999999999999</v>
      </c>
      <c r="AH146" s="45">
        <v>0</v>
      </c>
      <c r="AI146" s="45">
        <v>0.27500000000000002</v>
      </c>
      <c r="AJ146" s="45">
        <v>0</v>
      </c>
      <c r="AK146" s="45">
        <v>-0.61799999999999999</v>
      </c>
      <c r="AL146" s="45">
        <v>5.4765397874890001E-3</v>
      </c>
      <c r="AM146" s="45">
        <v>0.13</v>
      </c>
      <c r="AN146" s="45">
        <v>1.54055668859994</v>
      </c>
      <c r="AO146" s="45">
        <v>0.17</v>
      </c>
      <c r="AP146" s="45">
        <v>0.27500000000000002</v>
      </c>
      <c r="AQ146" s="45">
        <v>0.27500000000000002</v>
      </c>
      <c r="AR146" s="45">
        <f t="shared" ref="AR146:AR209" si="17">1/AN146</f>
        <v>0.64911600293579674</v>
      </c>
      <c r="AT146" s="217">
        <f t="shared" ref="AT146:AT209" si="18">AR146*AM146*$AT$6</f>
        <v>8.9030985367145904E-2</v>
      </c>
      <c r="AU146" s="217">
        <f t="shared" ref="AU146:AU209" si="19">AK146+AL146+AT146</f>
        <v>-0.5234924748453651</v>
      </c>
      <c r="AV146" s="45">
        <f>[10]Sheet1!AA137</f>
        <v>0.21507142857142855</v>
      </c>
      <c r="AW146" s="45">
        <v>0</v>
      </c>
    </row>
    <row r="147" spans="1:49">
      <c r="A147" s="45"/>
      <c r="B147" s="45"/>
      <c r="C147" s="50">
        <f t="shared" si="16"/>
        <v>41000</v>
      </c>
      <c r="D147" s="56">
        <v>6.4424451245712597E-2</v>
      </c>
      <c r="E147" s="48">
        <v>4.3550000000000004</v>
      </c>
      <c r="F147" s="48">
        <v>0.17</v>
      </c>
      <c r="G147" s="48">
        <v>0.17</v>
      </c>
      <c r="H147" s="48">
        <v>0.17</v>
      </c>
      <c r="I147" s="48">
        <v>0.17499999999999999</v>
      </c>
      <c r="J147" s="48">
        <v>0.17</v>
      </c>
      <c r="K147" s="45">
        <v>0.17</v>
      </c>
      <c r="L147" s="48">
        <v>0.4</v>
      </c>
      <c r="M147" s="48">
        <v>0.4</v>
      </c>
      <c r="N147" s="48">
        <v>0.45</v>
      </c>
      <c r="O147" s="48">
        <v>0.5</v>
      </c>
      <c r="P147" s="48">
        <v>0.45</v>
      </c>
      <c r="Q147" s="56">
        <v>0.21</v>
      </c>
      <c r="R147" s="56">
        <v>0</v>
      </c>
      <c r="S147" s="45">
        <v>-4.1000000000000002E-2</v>
      </c>
      <c r="T147" s="45">
        <v>0</v>
      </c>
      <c r="U147" s="45">
        <v>-0.14000000000000001</v>
      </c>
      <c r="V147" s="45">
        <v>-0.01</v>
      </c>
      <c r="W147" s="45">
        <v>-0.14000000000000001</v>
      </c>
      <c r="X147" s="45">
        <v>-0.01</v>
      </c>
      <c r="Y147" s="45">
        <v>0.15</v>
      </c>
      <c r="Z147" s="45">
        <v>0</v>
      </c>
      <c r="AA147" s="45">
        <v>0.15</v>
      </c>
      <c r="AB147" s="45">
        <v>0</v>
      </c>
      <c r="AC147" s="45">
        <v>0.17</v>
      </c>
      <c r="AD147" s="45">
        <v>1.7500000000000002E-2</v>
      </c>
      <c r="AE147" s="45">
        <v>0.09</v>
      </c>
      <c r="AF147" s="45">
        <v>5.0000000000000001E-3</v>
      </c>
      <c r="AG147" s="45">
        <v>0.23499999999999999</v>
      </c>
      <c r="AH147" s="45">
        <v>0</v>
      </c>
      <c r="AI147" s="45">
        <v>0.18</v>
      </c>
      <c r="AJ147" s="45">
        <v>0</v>
      </c>
      <c r="AK147" s="45">
        <v>-0.71800000000000008</v>
      </c>
      <c r="AL147" s="45">
        <v>1.7113165349564999E-3</v>
      </c>
      <c r="AM147" s="45">
        <v>0.13</v>
      </c>
      <c r="AN147" s="45">
        <v>1.5406486445635299</v>
      </c>
      <c r="AO147" s="45">
        <v>0.17</v>
      </c>
      <c r="AP147" s="45">
        <v>0.18</v>
      </c>
      <c r="AQ147" s="45">
        <v>0.18</v>
      </c>
      <c r="AR147" s="45">
        <f t="shared" si="17"/>
        <v>0.64907725945736494</v>
      </c>
      <c r="AT147" s="217">
        <f t="shared" si="18"/>
        <v>8.9025671417026456E-2</v>
      </c>
      <c r="AU147" s="217">
        <f t="shared" si="19"/>
        <v>-0.62726301204801715</v>
      </c>
      <c r="AV147" s="45">
        <f>[10]Sheet1!AA138</f>
        <v>0.16599999999999993</v>
      </c>
      <c r="AW147" s="45">
        <v>0</v>
      </c>
    </row>
    <row r="148" spans="1:49">
      <c r="A148" s="45"/>
      <c r="B148" s="45"/>
      <c r="C148" s="50">
        <f t="shared" si="16"/>
        <v>41030</v>
      </c>
      <c r="D148" s="56">
        <v>6.4459879276149906E-2</v>
      </c>
      <c r="E148" s="48">
        <v>4.3250000000000002</v>
      </c>
      <c r="F148" s="48">
        <v>0.17</v>
      </c>
      <c r="G148" s="48">
        <v>0.17</v>
      </c>
      <c r="H148" s="48">
        <v>0.17</v>
      </c>
      <c r="I148" s="48">
        <v>0.17499999999999999</v>
      </c>
      <c r="J148" s="48">
        <v>0.17</v>
      </c>
      <c r="K148" s="45">
        <v>0.17</v>
      </c>
      <c r="L148" s="48">
        <v>0.45</v>
      </c>
      <c r="M148" s="48">
        <v>0.4</v>
      </c>
      <c r="N148" s="48">
        <v>0.5</v>
      </c>
      <c r="O148" s="48">
        <v>0.45</v>
      </c>
      <c r="P148" s="48">
        <v>0.45</v>
      </c>
      <c r="Q148" s="56">
        <v>0.21</v>
      </c>
      <c r="R148" s="56">
        <v>0</v>
      </c>
      <c r="S148" s="45">
        <v>-4.1000000000000002E-2</v>
      </c>
      <c r="T148" s="45">
        <v>0</v>
      </c>
      <c r="U148" s="45">
        <v>-0.14000000000000001</v>
      </c>
      <c r="V148" s="45">
        <v>-0.01</v>
      </c>
      <c r="W148" s="45">
        <v>-0.14000000000000001</v>
      </c>
      <c r="X148" s="45">
        <v>-0.01</v>
      </c>
      <c r="Y148" s="45">
        <v>0.15</v>
      </c>
      <c r="Z148" s="45">
        <v>0</v>
      </c>
      <c r="AA148" s="45">
        <v>0.15</v>
      </c>
      <c r="AB148" s="45">
        <v>0</v>
      </c>
      <c r="AC148" s="45">
        <v>0.16500000000000001</v>
      </c>
      <c r="AD148" s="45">
        <v>0.01</v>
      </c>
      <c r="AE148" s="45">
        <v>0.09</v>
      </c>
      <c r="AF148" s="45">
        <v>5.0000000000000001E-3</v>
      </c>
      <c r="AG148" s="45">
        <v>0.23499999999999999</v>
      </c>
      <c r="AH148" s="45">
        <v>0</v>
      </c>
      <c r="AI148" s="45">
        <v>0.18</v>
      </c>
      <c r="AJ148" s="45">
        <v>0</v>
      </c>
      <c r="AK148" s="45">
        <v>-0.71800000000000008</v>
      </c>
      <c r="AL148" s="45">
        <v>1.7112148027182E-3</v>
      </c>
      <c r="AM148" s="45">
        <v>0.13</v>
      </c>
      <c r="AN148" s="45">
        <v>1.5407402365920599</v>
      </c>
      <c r="AO148" s="45">
        <v>0.17</v>
      </c>
      <c r="AP148" s="45">
        <v>0.18</v>
      </c>
      <c r="AQ148" s="45">
        <v>0.18</v>
      </c>
      <c r="AR148" s="45">
        <f t="shared" si="17"/>
        <v>0.64903867391162895</v>
      </c>
      <c r="AT148" s="217">
        <f t="shared" si="18"/>
        <v>8.9020379128525978E-2</v>
      </c>
      <c r="AU148" s="217">
        <f t="shared" si="19"/>
        <v>-0.62726840606875589</v>
      </c>
      <c r="AV148" s="45">
        <f>[10]Sheet1!AA139</f>
        <v>0.16599999999999993</v>
      </c>
      <c r="AW148" s="45">
        <v>0</v>
      </c>
    </row>
    <row r="149" spans="1:49">
      <c r="A149" s="45"/>
      <c r="B149" s="45"/>
      <c r="C149" s="50">
        <f t="shared" si="16"/>
        <v>41061</v>
      </c>
      <c r="D149" s="56">
        <v>6.4496488241372801E-2</v>
      </c>
      <c r="E149" s="48">
        <v>4.3949999999999996</v>
      </c>
      <c r="F149" s="48">
        <v>0.17</v>
      </c>
      <c r="G149" s="48">
        <v>0.17</v>
      </c>
      <c r="H149" s="48">
        <v>0.17</v>
      </c>
      <c r="I149" s="48">
        <v>0.17499999999999999</v>
      </c>
      <c r="J149" s="48">
        <v>0.17</v>
      </c>
      <c r="K149" s="45">
        <v>0.17</v>
      </c>
      <c r="L149" s="48">
        <v>0.45</v>
      </c>
      <c r="M149" s="48">
        <v>0.4</v>
      </c>
      <c r="N149" s="48">
        <v>0.5</v>
      </c>
      <c r="O149" s="48">
        <v>0.5</v>
      </c>
      <c r="P149" s="48">
        <v>0.5</v>
      </c>
      <c r="Q149" s="56">
        <v>0.21</v>
      </c>
      <c r="R149" s="56">
        <v>0</v>
      </c>
      <c r="S149" s="45">
        <v>-4.1000000000000002E-2</v>
      </c>
      <c r="T149" s="45">
        <v>0</v>
      </c>
      <c r="U149" s="45">
        <v>-0.14000000000000001</v>
      </c>
      <c r="V149" s="45">
        <v>-0.01</v>
      </c>
      <c r="W149" s="45">
        <v>-0.14000000000000001</v>
      </c>
      <c r="X149" s="45">
        <v>-0.01</v>
      </c>
      <c r="Y149" s="45">
        <v>0.15</v>
      </c>
      <c r="Z149" s="45">
        <v>0</v>
      </c>
      <c r="AA149" s="45">
        <v>0.15</v>
      </c>
      <c r="AB149" s="45">
        <v>0</v>
      </c>
      <c r="AC149" s="45">
        <v>0.17</v>
      </c>
      <c r="AD149" s="45">
        <v>1.2500000000000001E-2</v>
      </c>
      <c r="AE149" s="45">
        <v>0.09</v>
      </c>
      <c r="AF149" s="45">
        <v>5.0000000000000001E-3</v>
      </c>
      <c r="AG149" s="45">
        <v>0.23499999999999999</v>
      </c>
      <c r="AH149" s="45">
        <v>0</v>
      </c>
      <c r="AI149" s="45">
        <v>0.18</v>
      </c>
      <c r="AJ149" s="45">
        <v>0</v>
      </c>
      <c r="AK149" s="45">
        <v>-0.71800000000000008</v>
      </c>
      <c r="AL149" s="45">
        <v>1.7111067054491E-3</v>
      </c>
      <c r="AM149" s="45">
        <v>0.13</v>
      </c>
      <c r="AN149" s="45">
        <v>1.5408375711483899</v>
      </c>
      <c r="AO149" s="45">
        <v>0.17</v>
      </c>
      <c r="AP149" s="45">
        <v>0.18</v>
      </c>
      <c r="AQ149" s="45">
        <v>0.18</v>
      </c>
      <c r="AR149" s="45">
        <f t="shared" si="17"/>
        <v>0.64899767420306187</v>
      </c>
      <c r="AT149" s="217">
        <f t="shared" si="18"/>
        <v>8.9014755720018129E-2</v>
      </c>
      <c r="AU149" s="217">
        <f t="shared" si="19"/>
        <v>-0.62727413757453288</v>
      </c>
      <c r="AV149" s="45">
        <f>[10]Sheet1!AA140</f>
        <v>0.16599999999999993</v>
      </c>
      <c r="AW149" s="45">
        <v>0</v>
      </c>
    </row>
    <row r="150" spans="1:49">
      <c r="A150" s="45"/>
      <c r="B150" s="45"/>
      <c r="C150" s="50">
        <f t="shared" si="16"/>
        <v>41091</v>
      </c>
      <c r="D150" s="56">
        <v>6.4531916272656503E-2</v>
      </c>
      <c r="E150" s="48">
        <v>4.45</v>
      </c>
      <c r="F150" s="48">
        <v>0.17</v>
      </c>
      <c r="G150" s="48">
        <v>0.17</v>
      </c>
      <c r="H150" s="48">
        <v>0.17</v>
      </c>
      <c r="I150" s="48">
        <v>0.17499999999999999</v>
      </c>
      <c r="J150" s="48">
        <v>0.17</v>
      </c>
      <c r="K150" s="45">
        <v>0.17</v>
      </c>
      <c r="L150" s="48">
        <v>0.5</v>
      </c>
      <c r="M150" s="48">
        <v>0.4</v>
      </c>
      <c r="N150" s="48">
        <v>0.55000000000000004</v>
      </c>
      <c r="O150" s="48">
        <v>0.5</v>
      </c>
      <c r="P150" s="48">
        <v>0.5</v>
      </c>
      <c r="Q150" s="56">
        <v>0.21</v>
      </c>
      <c r="R150" s="56">
        <v>0</v>
      </c>
      <c r="S150" s="45">
        <v>-4.1000000000000002E-2</v>
      </c>
      <c r="T150" s="45">
        <v>0</v>
      </c>
      <c r="U150" s="45">
        <v>-0.14000000000000001</v>
      </c>
      <c r="V150" s="45">
        <v>-0.01</v>
      </c>
      <c r="W150" s="45">
        <v>-0.14000000000000001</v>
      </c>
      <c r="X150" s="45">
        <v>-0.01</v>
      </c>
      <c r="Y150" s="45">
        <v>0.15</v>
      </c>
      <c r="Z150" s="45">
        <v>0</v>
      </c>
      <c r="AA150" s="45">
        <v>0.15</v>
      </c>
      <c r="AB150" s="45">
        <v>0</v>
      </c>
      <c r="AC150" s="45">
        <v>0.17499999999999999</v>
      </c>
      <c r="AD150" s="45">
        <v>1.2500000000000001E-2</v>
      </c>
      <c r="AE150" s="45">
        <v>0.09</v>
      </c>
      <c r="AF150" s="45">
        <v>5.0000000000000001E-3</v>
      </c>
      <c r="AG150" s="45">
        <v>0.23499999999999999</v>
      </c>
      <c r="AH150" s="45">
        <v>0</v>
      </c>
      <c r="AI150" s="45">
        <v>0.18</v>
      </c>
      <c r="AJ150" s="45">
        <v>0</v>
      </c>
      <c r="AK150" s="45">
        <v>-0.71800000000000008</v>
      </c>
      <c r="AL150" s="45">
        <v>1.7109992178731001E-3</v>
      </c>
      <c r="AM150" s="45">
        <v>0.13</v>
      </c>
      <c r="AN150" s="45">
        <v>1.54093436891069</v>
      </c>
      <c r="AO150" s="45">
        <v>0.17</v>
      </c>
      <c r="AP150" s="45">
        <v>0.18</v>
      </c>
      <c r="AQ150" s="45">
        <v>0.18</v>
      </c>
      <c r="AR150" s="45">
        <f t="shared" si="17"/>
        <v>0.64895690574214082</v>
      </c>
      <c r="AT150" s="217">
        <f t="shared" si="18"/>
        <v>8.9009164028808416E-2</v>
      </c>
      <c r="AU150" s="217">
        <f t="shared" si="19"/>
        <v>-0.62727983675331855</v>
      </c>
      <c r="AV150" s="45">
        <f>[10]Sheet1!AA141</f>
        <v>0.16599999999999993</v>
      </c>
      <c r="AW150" s="45">
        <v>0</v>
      </c>
    </row>
    <row r="151" spans="1:49">
      <c r="A151" s="45"/>
      <c r="B151" s="45"/>
      <c r="C151" s="50">
        <f t="shared" si="16"/>
        <v>41122</v>
      </c>
      <c r="D151" s="56">
        <v>6.4568525238753796E-2</v>
      </c>
      <c r="E151" s="48">
        <v>4.5060000000000002</v>
      </c>
      <c r="F151" s="48">
        <v>0.17</v>
      </c>
      <c r="G151" s="48">
        <v>0.17</v>
      </c>
      <c r="H151" s="48">
        <v>0.17</v>
      </c>
      <c r="I151" s="48">
        <v>0.17499999999999999</v>
      </c>
      <c r="J151" s="48">
        <v>0.17</v>
      </c>
      <c r="K151" s="45">
        <v>0.17</v>
      </c>
      <c r="L151" s="48">
        <v>0.55000000000000004</v>
      </c>
      <c r="M151" s="48">
        <v>0.5</v>
      </c>
      <c r="N151" s="48">
        <v>0.6</v>
      </c>
      <c r="O151" s="48">
        <v>0.45</v>
      </c>
      <c r="P151" s="48">
        <v>0.55000000000000004</v>
      </c>
      <c r="Q151" s="56">
        <v>0.21</v>
      </c>
      <c r="R151" s="56">
        <v>0</v>
      </c>
      <c r="S151" s="45">
        <v>-4.1000000000000002E-2</v>
      </c>
      <c r="T151" s="45">
        <v>0</v>
      </c>
      <c r="U151" s="45">
        <v>-0.14000000000000001</v>
      </c>
      <c r="V151" s="45">
        <v>-0.01</v>
      </c>
      <c r="W151" s="45">
        <v>-0.14000000000000001</v>
      </c>
      <c r="X151" s="45">
        <v>-0.01</v>
      </c>
      <c r="Y151" s="45">
        <v>0.15</v>
      </c>
      <c r="Z151" s="45">
        <v>0</v>
      </c>
      <c r="AA151" s="45">
        <v>0.15</v>
      </c>
      <c r="AB151" s="45">
        <v>0</v>
      </c>
      <c r="AC151" s="45">
        <v>0.17499999999999999</v>
      </c>
      <c r="AD151" s="45">
        <v>1.2500000000000001E-2</v>
      </c>
      <c r="AE151" s="45">
        <v>0.09</v>
      </c>
      <c r="AF151" s="45">
        <v>5.0000000000000001E-3</v>
      </c>
      <c r="AG151" s="45">
        <v>0.23499999999999999</v>
      </c>
      <c r="AH151" s="45">
        <v>0</v>
      </c>
      <c r="AI151" s="45">
        <v>0.18</v>
      </c>
      <c r="AJ151" s="45">
        <v>0</v>
      </c>
      <c r="AK151" s="45">
        <v>-0.71800000000000008</v>
      </c>
      <c r="AL151" s="45">
        <v>1.7108851749052E-3</v>
      </c>
      <c r="AM151" s="45">
        <v>0.13</v>
      </c>
      <c r="AN151" s="45">
        <v>1.54103708341858</v>
      </c>
      <c r="AO151" s="45">
        <v>0.17</v>
      </c>
      <c r="AP151" s="45">
        <v>0.18</v>
      </c>
      <c r="AQ151" s="45">
        <v>0.18</v>
      </c>
      <c r="AR151" s="45">
        <f t="shared" si="17"/>
        <v>0.64891365091723607</v>
      </c>
      <c r="AT151" s="217">
        <f t="shared" si="18"/>
        <v>8.9003231314677619E-2</v>
      </c>
      <c r="AU151" s="217">
        <f t="shared" si="19"/>
        <v>-0.62728588351041725</v>
      </c>
      <c r="AV151" s="45">
        <f>[10]Sheet1!AA142</f>
        <v>0.16599999999999993</v>
      </c>
      <c r="AW151" s="45">
        <v>0</v>
      </c>
    </row>
    <row r="152" spans="1:49">
      <c r="A152" s="45"/>
      <c r="B152" s="45"/>
      <c r="C152" s="50">
        <f t="shared" si="16"/>
        <v>41153</v>
      </c>
      <c r="D152" s="56">
        <v>6.4605134205295095E-2</v>
      </c>
      <c r="E152" s="48">
        <v>4.5199999999999996</v>
      </c>
      <c r="F152" s="48">
        <v>0.17</v>
      </c>
      <c r="G152" s="48">
        <v>0.17</v>
      </c>
      <c r="H152" s="48">
        <v>0.17</v>
      </c>
      <c r="I152" s="48">
        <v>0.17499999999999999</v>
      </c>
      <c r="J152" s="48">
        <v>0.17</v>
      </c>
      <c r="K152" s="45">
        <v>0.17</v>
      </c>
      <c r="L152" s="48">
        <v>0.55000000000000004</v>
      </c>
      <c r="M152" s="48">
        <v>0.55000000000000004</v>
      </c>
      <c r="N152" s="48">
        <v>0.6</v>
      </c>
      <c r="O152" s="48">
        <v>0.5</v>
      </c>
      <c r="P152" s="48">
        <v>0.6</v>
      </c>
      <c r="Q152" s="56">
        <v>0.21</v>
      </c>
      <c r="R152" s="56">
        <v>0</v>
      </c>
      <c r="S152" s="45">
        <v>-4.1000000000000002E-2</v>
      </c>
      <c r="T152" s="45">
        <v>0</v>
      </c>
      <c r="U152" s="45">
        <v>-0.14000000000000001</v>
      </c>
      <c r="V152" s="45">
        <v>-0.01</v>
      </c>
      <c r="W152" s="45">
        <v>-0.14000000000000001</v>
      </c>
      <c r="X152" s="45">
        <v>-0.01</v>
      </c>
      <c r="Y152" s="45">
        <v>0.15</v>
      </c>
      <c r="Z152" s="45">
        <v>0</v>
      </c>
      <c r="AA152" s="45">
        <v>0.15</v>
      </c>
      <c r="AB152" s="45">
        <v>0</v>
      </c>
      <c r="AC152" s="45">
        <v>0.16500000000000001</v>
      </c>
      <c r="AD152" s="45">
        <v>1.2500000000000001E-2</v>
      </c>
      <c r="AE152" s="45">
        <v>0.09</v>
      </c>
      <c r="AF152" s="45">
        <v>5.0000000000000001E-3</v>
      </c>
      <c r="AG152" s="45">
        <v>0.23499999999999999</v>
      </c>
      <c r="AH152" s="45">
        <v>0</v>
      </c>
      <c r="AI152" s="45">
        <v>0.18</v>
      </c>
      <c r="AJ152" s="45">
        <v>0</v>
      </c>
      <c r="AK152" s="45">
        <v>-0.71800000000000008</v>
      </c>
      <c r="AL152" s="45">
        <v>1.7107681115169E-3</v>
      </c>
      <c r="AM152" s="45">
        <v>0.13</v>
      </c>
      <c r="AN152" s="45">
        <v>1.5411425325563999</v>
      </c>
      <c r="AO152" s="45">
        <v>0.17</v>
      </c>
      <c r="AP152" s="45">
        <v>0.18</v>
      </c>
      <c r="AQ152" s="45">
        <v>0.18</v>
      </c>
      <c r="AR152" s="45">
        <f t="shared" si="17"/>
        <v>0.64886925049121236</v>
      </c>
      <c r="AT152" s="217">
        <f t="shared" si="18"/>
        <v>8.8997141473013353E-2</v>
      </c>
      <c r="AU152" s="217">
        <f t="shared" si="19"/>
        <v>-0.62729209041546974</v>
      </c>
      <c r="AV152" s="45">
        <f>[10]Sheet1!AA143</f>
        <v>0.16599999999999993</v>
      </c>
      <c r="AW152" s="45">
        <v>0</v>
      </c>
    </row>
    <row r="153" spans="1:49">
      <c r="A153" s="45"/>
      <c r="B153" s="45"/>
      <c r="C153" s="50">
        <f t="shared" si="16"/>
        <v>41183</v>
      </c>
      <c r="D153" s="56">
        <v>6.4640562237855206E-2</v>
      </c>
      <c r="E153" s="48">
        <v>4.5510000000000002</v>
      </c>
      <c r="F153" s="48">
        <v>0.17</v>
      </c>
      <c r="G153" s="48">
        <v>0.17</v>
      </c>
      <c r="H153" s="48">
        <v>0.17</v>
      </c>
      <c r="I153" s="48">
        <v>0.17499999999999999</v>
      </c>
      <c r="J153" s="48">
        <v>0.17</v>
      </c>
      <c r="K153" s="45">
        <v>0.17</v>
      </c>
      <c r="L153" s="48">
        <v>0.6</v>
      </c>
      <c r="M153" s="48">
        <v>0.55000000000000004</v>
      </c>
      <c r="N153" s="48">
        <v>0.65</v>
      </c>
      <c r="O153" s="48">
        <v>0.5</v>
      </c>
      <c r="P153" s="48">
        <v>0.65</v>
      </c>
      <c r="Q153" s="56">
        <v>0.21</v>
      </c>
      <c r="R153" s="56">
        <v>0</v>
      </c>
      <c r="S153" s="45">
        <v>-4.1000000000000002E-2</v>
      </c>
      <c r="T153" s="45">
        <v>0</v>
      </c>
      <c r="U153" s="45">
        <v>-0.14000000000000001</v>
      </c>
      <c r="V153" s="45">
        <v>-0.01</v>
      </c>
      <c r="W153" s="45">
        <v>-0.14000000000000001</v>
      </c>
      <c r="X153" s="45">
        <v>-0.01</v>
      </c>
      <c r="Y153" s="45">
        <v>0.15</v>
      </c>
      <c r="Z153" s="45">
        <v>0</v>
      </c>
      <c r="AA153" s="45">
        <v>0.15</v>
      </c>
      <c r="AB153" s="45">
        <v>0</v>
      </c>
      <c r="AC153" s="45">
        <v>0.17249999999999999</v>
      </c>
      <c r="AD153" s="45">
        <v>1.2500000000000001E-2</v>
      </c>
      <c r="AE153" s="45">
        <v>0.09</v>
      </c>
      <c r="AF153" s="45">
        <v>5.0000000000000001E-3</v>
      </c>
      <c r="AG153" s="45">
        <v>0.23499999999999999</v>
      </c>
      <c r="AH153" s="45">
        <v>0</v>
      </c>
      <c r="AI153" s="45">
        <v>0.18</v>
      </c>
      <c r="AJ153" s="45">
        <v>0</v>
      </c>
      <c r="AK153" s="45">
        <v>-0.71800000000000008</v>
      </c>
      <c r="AL153" s="45">
        <v>1.7106519492834E-3</v>
      </c>
      <c r="AM153" s="45">
        <v>0.13</v>
      </c>
      <c r="AN153" s="45">
        <v>1.5412471842120798</v>
      </c>
      <c r="AO153" s="45">
        <v>0.17</v>
      </c>
      <c r="AP153" s="45">
        <v>0.18</v>
      </c>
      <c r="AQ153" s="45">
        <v>0.18</v>
      </c>
      <c r="AR153" s="45">
        <f t="shared" si="17"/>
        <v>0.64882519185994325</v>
      </c>
      <c r="AT153" s="217">
        <f t="shared" si="18"/>
        <v>8.8991098510987965E-2</v>
      </c>
      <c r="AU153" s="217">
        <f t="shared" si="19"/>
        <v>-0.62729824953972868</v>
      </c>
      <c r="AV153" s="45">
        <f>[10]Sheet1!AA144</f>
        <v>0.16599999999999993</v>
      </c>
      <c r="AW153" s="45">
        <v>0</v>
      </c>
    </row>
    <row r="154" spans="1:49">
      <c r="A154" s="45"/>
      <c r="B154" s="45"/>
      <c r="C154" s="50">
        <f t="shared" si="16"/>
        <v>41214</v>
      </c>
      <c r="D154" s="56">
        <v>6.4677171205270903E-2</v>
      </c>
      <c r="E154" s="48">
        <v>4.6840000000000002</v>
      </c>
      <c r="F154" s="48">
        <v>0.17</v>
      </c>
      <c r="G154" s="48">
        <v>0.17</v>
      </c>
      <c r="H154" s="48">
        <v>0.17</v>
      </c>
      <c r="I154" s="48">
        <v>0.17499999999999999</v>
      </c>
      <c r="J154" s="48">
        <v>0.17</v>
      </c>
      <c r="K154" s="45">
        <v>0.17</v>
      </c>
      <c r="L154" s="48">
        <v>0.8</v>
      </c>
      <c r="M154" s="48">
        <v>0.8</v>
      </c>
      <c r="N154" s="48">
        <v>0.8</v>
      </c>
      <c r="O154" s="48">
        <v>0.95</v>
      </c>
      <c r="P154" s="48">
        <v>0.85</v>
      </c>
      <c r="Q154" s="56">
        <v>0.32500000000000001</v>
      </c>
      <c r="R154" s="56">
        <v>0</v>
      </c>
      <c r="S154" s="45">
        <v>-4.0500000000000001E-2</v>
      </c>
      <c r="T154" s="45">
        <v>5.0000000000000001E-3</v>
      </c>
      <c r="U154" s="45">
        <v>-0.14249999999999999</v>
      </c>
      <c r="V154" s="45">
        <v>0.01</v>
      </c>
      <c r="W154" s="45">
        <v>-0.14249999999999999</v>
      </c>
      <c r="X154" s="45">
        <v>0.01</v>
      </c>
      <c r="Y154" s="45">
        <v>0.22500000000000001</v>
      </c>
      <c r="Z154" s="45">
        <v>0</v>
      </c>
      <c r="AA154" s="45">
        <v>0.22500000000000001</v>
      </c>
      <c r="AB154" s="45">
        <v>0</v>
      </c>
      <c r="AC154" s="45">
        <v>0.24</v>
      </c>
      <c r="AD154" s="45">
        <v>0.03</v>
      </c>
      <c r="AE154" s="45">
        <v>0.17499999999999999</v>
      </c>
      <c r="AF154" s="45">
        <v>0.02</v>
      </c>
      <c r="AG154" s="45">
        <v>0.42499999999999999</v>
      </c>
      <c r="AH154" s="45">
        <v>0</v>
      </c>
      <c r="AI154" s="45">
        <v>0.27500000000000002</v>
      </c>
      <c r="AJ154" s="45">
        <v>0</v>
      </c>
      <c r="AK154" s="45">
        <v>-0.65800000000000003</v>
      </c>
      <c r="AL154" s="45">
        <v>5.4736926235363003E-3</v>
      </c>
      <c r="AM154" s="45">
        <v>0.13</v>
      </c>
      <c r="AN154" s="45">
        <v>1.5413580155601099</v>
      </c>
      <c r="AO154" s="45">
        <v>0.17</v>
      </c>
      <c r="AP154" s="45">
        <v>0.27500000000000002</v>
      </c>
      <c r="AQ154" s="45">
        <v>0.27500000000000002</v>
      </c>
      <c r="AR154" s="45">
        <f t="shared" si="17"/>
        <v>0.64877853808455577</v>
      </c>
      <c r="AT154" s="217">
        <f t="shared" si="18"/>
        <v>8.8984699606054082E-2</v>
      </c>
      <c r="AU154" s="217">
        <f t="shared" si="19"/>
        <v>-0.56354160777040974</v>
      </c>
      <c r="AV154" s="45">
        <f>[10]Sheet1!AA145</f>
        <v>0.21307142857142855</v>
      </c>
      <c r="AW154" s="45">
        <v>0</v>
      </c>
    </row>
    <row r="155" spans="1:49">
      <c r="A155" s="45"/>
      <c r="B155" s="45"/>
      <c r="C155" s="50">
        <f t="shared" si="16"/>
        <v>41244</v>
      </c>
      <c r="D155" s="56">
        <v>6.4712599238677004E-2</v>
      </c>
      <c r="E155" s="48">
        <v>4.8220000000000001</v>
      </c>
      <c r="F155" s="48">
        <v>0.17</v>
      </c>
      <c r="G155" s="48">
        <v>0.17</v>
      </c>
      <c r="H155" s="48">
        <v>0.17</v>
      </c>
      <c r="I155" s="48">
        <v>0.17499999999999999</v>
      </c>
      <c r="J155" s="48">
        <v>0.17</v>
      </c>
      <c r="K155" s="45">
        <v>0.17</v>
      </c>
      <c r="L155" s="48">
        <v>1</v>
      </c>
      <c r="M155" s="48">
        <v>1</v>
      </c>
      <c r="N155" s="48">
        <v>1.1000000000000001</v>
      </c>
      <c r="O155" s="48">
        <v>1.35</v>
      </c>
      <c r="P155" s="48">
        <v>1.05</v>
      </c>
      <c r="Q155" s="56">
        <v>0.32500000000000001</v>
      </c>
      <c r="R155" s="56">
        <v>0</v>
      </c>
      <c r="S155" s="45">
        <v>-4.0500000000000001E-2</v>
      </c>
      <c r="T155" s="45">
        <v>5.0000000000000001E-3</v>
      </c>
      <c r="U155" s="45">
        <v>-0.13750000000000001</v>
      </c>
      <c r="V155" s="45">
        <v>0.01</v>
      </c>
      <c r="W155" s="45">
        <v>-0.13750000000000001</v>
      </c>
      <c r="X155" s="45">
        <v>0.01</v>
      </c>
      <c r="Y155" s="45">
        <v>0.22500000000000001</v>
      </c>
      <c r="Z155" s="45">
        <v>0</v>
      </c>
      <c r="AA155" s="45">
        <v>0.22500000000000001</v>
      </c>
      <c r="AB155" s="45">
        <v>0</v>
      </c>
      <c r="AC155" s="45">
        <v>0.26</v>
      </c>
      <c r="AD155" s="45">
        <v>0.03</v>
      </c>
      <c r="AE155" s="45">
        <v>0.17499999999999999</v>
      </c>
      <c r="AF155" s="45">
        <v>0.02</v>
      </c>
      <c r="AG155" s="45">
        <v>0.42499999999999999</v>
      </c>
      <c r="AH155" s="45">
        <v>0</v>
      </c>
      <c r="AI155" s="45">
        <v>0.27500000000000002</v>
      </c>
      <c r="AJ155" s="45">
        <v>0</v>
      </c>
      <c r="AK155" s="45">
        <v>-0.65800000000000003</v>
      </c>
      <c r="AL155" s="45">
        <v>5.4733025113005004E-3</v>
      </c>
      <c r="AM155" s="45">
        <v>0.13</v>
      </c>
      <c r="AN155" s="45">
        <v>1.5414678765846699</v>
      </c>
      <c r="AO155" s="45">
        <v>0.17</v>
      </c>
      <c r="AP155" s="45">
        <v>0.27500000000000002</v>
      </c>
      <c r="AQ155" s="45">
        <v>0.27500000000000002</v>
      </c>
      <c r="AR155" s="45">
        <f t="shared" si="17"/>
        <v>0.64873229938183008</v>
      </c>
      <c r="AT155" s="217">
        <f t="shared" si="18"/>
        <v>8.8978357631357488E-2</v>
      </c>
      <c r="AU155" s="217">
        <f t="shared" si="19"/>
        <v>-0.56354833985734198</v>
      </c>
      <c r="AV155" s="45">
        <f>[10]Sheet1!AA146</f>
        <v>0.21807142857142855</v>
      </c>
      <c r="AW155" s="45">
        <v>0</v>
      </c>
    </row>
    <row r="156" spans="1:49">
      <c r="A156" s="45"/>
      <c r="B156" s="45"/>
      <c r="C156" s="50">
        <f t="shared" si="16"/>
        <v>41275</v>
      </c>
      <c r="D156" s="56">
        <v>6.4749208206966696E-2</v>
      </c>
      <c r="E156" s="48">
        <v>4.8690000000000007</v>
      </c>
      <c r="F156" s="48">
        <v>0.17</v>
      </c>
      <c r="G156" s="48">
        <v>0.17</v>
      </c>
      <c r="H156" s="48">
        <v>0.17</v>
      </c>
      <c r="I156" s="48">
        <v>0.17499999999999999</v>
      </c>
      <c r="J156" s="48">
        <v>0.17</v>
      </c>
      <c r="K156" s="45">
        <v>0.17</v>
      </c>
      <c r="L156" s="48">
        <v>1</v>
      </c>
      <c r="M156" s="48">
        <v>1</v>
      </c>
      <c r="N156" s="48">
        <v>1.1000000000000001</v>
      </c>
      <c r="O156" s="48">
        <v>1.35</v>
      </c>
      <c r="P156" s="48">
        <v>1.05</v>
      </c>
      <c r="Q156" s="56">
        <v>0.32500000000000001</v>
      </c>
      <c r="R156" s="56">
        <v>0</v>
      </c>
      <c r="S156" s="45">
        <v>-4.0500000000000001E-2</v>
      </c>
      <c r="T156" s="45">
        <v>5.0000000000000001E-3</v>
      </c>
      <c r="U156" s="45">
        <v>-0.13750000000000001</v>
      </c>
      <c r="V156" s="45">
        <v>0.01</v>
      </c>
      <c r="W156" s="45">
        <v>-0.13750000000000001</v>
      </c>
      <c r="X156" s="45">
        <v>0.01</v>
      </c>
      <c r="Y156" s="45">
        <v>0.22500000000000001</v>
      </c>
      <c r="Z156" s="45">
        <v>0</v>
      </c>
      <c r="AA156" s="45">
        <v>0.22500000000000001</v>
      </c>
      <c r="AB156" s="45">
        <v>0</v>
      </c>
      <c r="AC156" s="45">
        <v>0.27</v>
      </c>
      <c r="AD156" s="45">
        <v>0.03</v>
      </c>
      <c r="AE156" s="45">
        <v>0.17499999999999999</v>
      </c>
      <c r="AF156" s="45">
        <v>0.02</v>
      </c>
      <c r="AG156" s="45">
        <v>0.42499999999999999</v>
      </c>
      <c r="AH156" s="45">
        <v>0</v>
      </c>
      <c r="AI156" s="45">
        <v>0.27500000000000002</v>
      </c>
      <c r="AJ156" s="45">
        <v>0</v>
      </c>
      <c r="AK156" s="45">
        <v>-0.65800000000000003</v>
      </c>
      <c r="AL156" s="45">
        <v>5.4728898961729005E-3</v>
      </c>
      <c r="AM156" s="45">
        <v>0.13</v>
      </c>
      <c r="AN156" s="45">
        <v>1.54158409177932</v>
      </c>
      <c r="AO156" s="45">
        <v>0.17</v>
      </c>
      <c r="AP156" s="45">
        <v>0.27500000000000002</v>
      </c>
      <c r="AQ156" s="45">
        <v>0.27500000000000002</v>
      </c>
      <c r="AR156" s="45">
        <f t="shared" si="17"/>
        <v>0.64868339348636161</v>
      </c>
      <c r="AT156" s="217">
        <f t="shared" si="18"/>
        <v>8.8971649831759078E-2</v>
      </c>
      <c r="AU156" s="217">
        <f t="shared" si="19"/>
        <v>-0.56355546027206804</v>
      </c>
      <c r="AV156" s="45">
        <f>[10]Sheet1!AA147</f>
        <v>0.21807142857142855</v>
      </c>
      <c r="AW156" s="45">
        <v>0</v>
      </c>
    </row>
    <row r="157" spans="1:49">
      <c r="A157" s="45"/>
      <c r="B157" s="45"/>
      <c r="C157" s="50">
        <f t="shared" si="16"/>
        <v>41306</v>
      </c>
      <c r="D157" s="56">
        <v>6.4785817175701005E-2</v>
      </c>
      <c r="E157" s="48">
        <v>4.7490000000000006</v>
      </c>
      <c r="F157" s="48">
        <v>0.17</v>
      </c>
      <c r="G157" s="48">
        <v>0.17</v>
      </c>
      <c r="H157" s="48">
        <v>0.17</v>
      </c>
      <c r="I157" s="48">
        <v>0.17499999999999999</v>
      </c>
      <c r="J157" s="48">
        <v>0.17</v>
      </c>
      <c r="K157" s="45">
        <v>0.17</v>
      </c>
      <c r="L157" s="48">
        <v>1</v>
      </c>
      <c r="M157" s="48">
        <v>1</v>
      </c>
      <c r="N157" s="48">
        <v>1.1000000000000001</v>
      </c>
      <c r="O157" s="48">
        <v>1.35</v>
      </c>
      <c r="P157" s="48">
        <v>1.05</v>
      </c>
      <c r="Q157" s="56">
        <v>0.32500000000000001</v>
      </c>
      <c r="R157" s="56">
        <v>0</v>
      </c>
      <c r="S157" s="45">
        <v>-4.0500000000000001E-2</v>
      </c>
      <c r="T157" s="45">
        <v>5.0000000000000001E-3</v>
      </c>
      <c r="U157" s="45">
        <v>-0.14000000000000001</v>
      </c>
      <c r="V157" s="45">
        <v>0.01</v>
      </c>
      <c r="W157" s="45">
        <v>-0.14000000000000001</v>
      </c>
      <c r="X157" s="45">
        <v>0.01</v>
      </c>
      <c r="Y157" s="45">
        <v>0.22500000000000001</v>
      </c>
      <c r="Z157" s="45">
        <v>0</v>
      </c>
      <c r="AA157" s="45">
        <v>0.22500000000000001</v>
      </c>
      <c r="AB157" s="45">
        <v>0</v>
      </c>
      <c r="AC157" s="45">
        <v>0.27</v>
      </c>
      <c r="AD157" s="45">
        <v>0.03</v>
      </c>
      <c r="AE157" s="45">
        <v>0.17499999999999999</v>
      </c>
      <c r="AF157" s="45">
        <v>0.02</v>
      </c>
      <c r="AG157" s="45">
        <v>0.42499999999999999</v>
      </c>
      <c r="AH157" s="45">
        <v>0</v>
      </c>
      <c r="AI157" s="45">
        <v>0.27500000000000002</v>
      </c>
      <c r="AJ157" s="45">
        <v>0</v>
      </c>
      <c r="AK157" s="45">
        <v>-0.65800000000000003</v>
      </c>
      <c r="AL157" s="45">
        <v>5.4724676289201E-3</v>
      </c>
      <c r="AM157" s="45">
        <v>0.13</v>
      </c>
      <c r="AN157" s="45">
        <v>1.5417030436897798</v>
      </c>
      <c r="AO157" s="45">
        <v>0.17</v>
      </c>
      <c r="AP157" s="45">
        <v>0.27500000000000002</v>
      </c>
      <c r="AQ157" s="45">
        <v>0.27500000000000002</v>
      </c>
      <c r="AR157" s="45">
        <f t="shared" si="17"/>
        <v>0.64863334355667213</v>
      </c>
      <c r="AT157" s="217">
        <f t="shared" si="18"/>
        <v>8.8964785119538675E-2</v>
      </c>
      <c r="AU157" s="217">
        <f t="shared" si="19"/>
        <v>-0.56356274725154132</v>
      </c>
      <c r="AV157" s="45">
        <f>[10]Sheet1!AA148</f>
        <v>0.21807142857142855</v>
      </c>
      <c r="AW157" s="45">
        <v>0</v>
      </c>
    </row>
    <row r="158" spans="1:49">
      <c r="A158" s="45"/>
      <c r="B158" s="45"/>
      <c r="C158" s="50">
        <f t="shared" si="16"/>
        <v>41334</v>
      </c>
      <c r="D158" s="56">
        <v>6.4818883341391006E-2</v>
      </c>
      <c r="E158" s="48">
        <v>4.6100000000000003</v>
      </c>
      <c r="F158" s="48">
        <v>0.17</v>
      </c>
      <c r="G158" s="48">
        <v>0.17</v>
      </c>
      <c r="H158" s="48">
        <v>0.17</v>
      </c>
      <c r="I158" s="48">
        <v>0.17499999999999999</v>
      </c>
      <c r="J158" s="48">
        <v>0.17</v>
      </c>
      <c r="K158" s="45">
        <v>0.17</v>
      </c>
      <c r="L158" s="48">
        <v>0.75</v>
      </c>
      <c r="M158" s="48">
        <v>0.75</v>
      </c>
      <c r="N158" s="48">
        <v>0.75</v>
      </c>
      <c r="O158" s="48">
        <v>0.95</v>
      </c>
      <c r="P158" s="48">
        <v>0.75</v>
      </c>
      <c r="Q158" s="56">
        <v>0.32500000000000001</v>
      </c>
      <c r="R158" s="56">
        <v>0</v>
      </c>
      <c r="S158" s="45">
        <v>-4.0500000000000001E-2</v>
      </c>
      <c r="T158" s="45">
        <v>5.0000000000000001E-3</v>
      </c>
      <c r="U158" s="45">
        <v>-0.14249999999999999</v>
      </c>
      <c r="V158" s="45">
        <v>0.01</v>
      </c>
      <c r="W158" s="45">
        <v>-0.14249999999999999</v>
      </c>
      <c r="X158" s="45">
        <v>0.01</v>
      </c>
      <c r="Y158" s="45">
        <v>0.22500000000000001</v>
      </c>
      <c r="Z158" s="45">
        <v>0</v>
      </c>
      <c r="AA158" s="45">
        <v>0.22500000000000001</v>
      </c>
      <c r="AB158" s="45">
        <v>0</v>
      </c>
      <c r="AC158" s="45">
        <v>0.24</v>
      </c>
      <c r="AD158" s="45">
        <v>0.03</v>
      </c>
      <c r="AE158" s="45">
        <v>0.17499999999999999</v>
      </c>
      <c r="AF158" s="45">
        <v>0.02</v>
      </c>
      <c r="AG158" s="45">
        <v>0.42499999999999999</v>
      </c>
      <c r="AH158" s="45">
        <v>0</v>
      </c>
      <c r="AI158" s="45">
        <v>0.27500000000000002</v>
      </c>
      <c r="AJ158" s="45">
        <v>0</v>
      </c>
      <c r="AK158" s="45">
        <v>-0.65800000000000003</v>
      </c>
      <c r="AL158" s="45">
        <v>5.4720779323852E-3</v>
      </c>
      <c r="AM158" s="45">
        <v>0.13</v>
      </c>
      <c r="AN158" s="45">
        <v>1.5418128367777799</v>
      </c>
      <c r="AO158" s="45">
        <v>0.17</v>
      </c>
      <c r="AP158" s="45">
        <v>0.27500000000000002</v>
      </c>
      <c r="AQ158" s="45">
        <v>0.27500000000000002</v>
      </c>
      <c r="AR158" s="45">
        <f t="shared" si="17"/>
        <v>0.64858715412558798</v>
      </c>
      <c r="AT158" s="217">
        <f t="shared" si="18"/>
        <v>8.8958449902806422E-2</v>
      </c>
      <c r="AU158" s="217">
        <f t="shared" si="19"/>
        <v>-0.56356947216480835</v>
      </c>
      <c r="AV158" s="45">
        <f>[10]Sheet1!AA149</f>
        <v>0.21807142857142855</v>
      </c>
      <c r="AW158" s="45">
        <v>0</v>
      </c>
    </row>
    <row r="159" spans="1:49">
      <c r="A159" s="45"/>
      <c r="B159" s="45"/>
      <c r="C159" s="50">
        <f t="shared" si="16"/>
        <v>41365</v>
      </c>
      <c r="D159" s="56">
        <v>6.4855492310970805E-2</v>
      </c>
      <c r="E159" s="48">
        <v>4.4349999999999996</v>
      </c>
      <c r="F159" s="48">
        <v>0.17</v>
      </c>
      <c r="G159" s="48">
        <v>0.17</v>
      </c>
      <c r="H159" s="48">
        <v>0.17</v>
      </c>
      <c r="I159" s="48">
        <v>0.17499999999999999</v>
      </c>
      <c r="J159" s="48">
        <v>0.17</v>
      </c>
      <c r="K159" s="45">
        <v>0.17</v>
      </c>
      <c r="L159" s="48">
        <v>0.4</v>
      </c>
      <c r="M159" s="48">
        <v>0.4</v>
      </c>
      <c r="N159" s="48">
        <v>0.45</v>
      </c>
      <c r="O159" s="48">
        <v>0.5</v>
      </c>
      <c r="P159" s="48">
        <v>0.45</v>
      </c>
      <c r="Q159" s="56">
        <v>0.21</v>
      </c>
      <c r="R159" s="56">
        <v>0</v>
      </c>
      <c r="S159" s="45">
        <v>-3.7999999999999999E-2</v>
      </c>
      <c r="T159" s="45">
        <v>0</v>
      </c>
      <c r="U159" s="45">
        <v>-0.14000000000000001</v>
      </c>
      <c r="V159" s="45">
        <v>-0.01</v>
      </c>
      <c r="W159" s="45">
        <v>-0.14000000000000001</v>
      </c>
      <c r="X159" s="45">
        <v>-0.01</v>
      </c>
      <c r="Y159" s="45">
        <v>0.15</v>
      </c>
      <c r="Z159" s="45">
        <v>0</v>
      </c>
      <c r="AA159" s="45">
        <v>0.15</v>
      </c>
      <c r="AB159" s="45">
        <v>0</v>
      </c>
      <c r="AC159" s="45">
        <v>0.17</v>
      </c>
      <c r="AD159" s="45">
        <v>1.7500000000000002E-2</v>
      </c>
      <c r="AE159" s="45">
        <v>0.09</v>
      </c>
      <c r="AF159" s="45">
        <v>5.0000000000000001E-3</v>
      </c>
      <c r="AG159" s="45">
        <v>0.23499999999999999</v>
      </c>
      <c r="AH159" s="45">
        <v>0</v>
      </c>
      <c r="AI159" s="45">
        <v>0.18</v>
      </c>
      <c r="AJ159" s="45">
        <v>0</v>
      </c>
      <c r="AK159" s="45">
        <v>-0.75800000000000001</v>
      </c>
      <c r="AL159" s="45">
        <v>1.7098866571306E-3</v>
      </c>
      <c r="AM159" s="45">
        <v>0.13</v>
      </c>
      <c r="AN159" s="45">
        <v>1.54193699857527</v>
      </c>
      <c r="AO159" s="45">
        <v>0.17</v>
      </c>
      <c r="AP159" s="45">
        <v>0.18</v>
      </c>
      <c r="AQ159" s="45">
        <v>0.18</v>
      </c>
      <c r="AR159" s="45">
        <f t="shared" si="17"/>
        <v>0.64853492777200827</v>
      </c>
      <c r="AT159" s="217">
        <f t="shared" si="18"/>
        <v>8.8951286678205121E-2</v>
      </c>
      <c r="AU159" s="217">
        <f t="shared" si="19"/>
        <v>-0.66733882666466426</v>
      </c>
      <c r="AV159" s="45">
        <f>[10]Sheet1!AA150</f>
        <v>0.16899999999999993</v>
      </c>
      <c r="AW159" s="45">
        <v>0</v>
      </c>
    </row>
    <row r="160" spans="1:49">
      <c r="A160" s="45"/>
      <c r="B160" s="45"/>
      <c r="C160" s="50">
        <f t="shared" si="16"/>
        <v>41395</v>
      </c>
      <c r="D160" s="56">
        <v>6.4890920346471204E-2</v>
      </c>
      <c r="E160" s="48">
        <v>4.4050000000000002</v>
      </c>
      <c r="F160" s="48">
        <v>0.17</v>
      </c>
      <c r="G160" s="48">
        <v>0.17</v>
      </c>
      <c r="H160" s="48">
        <v>0.17</v>
      </c>
      <c r="I160" s="48">
        <v>0.17499999999999999</v>
      </c>
      <c r="J160" s="48">
        <v>0.17</v>
      </c>
      <c r="K160" s="45">
        <v>0.17</v>
      </c>
      <c r="L160" s="48">
        <v>0.45</v>
      </c>
      <c r="M160" s="48">
        <v>0.4</v>
      </c>
      <c r="N160" s="48">
        <v>0.5</v>
      </c>
      <c r="O160" s="48">
        <v>0.45</v>
      </c>
      <c r="P160" s="48">
        <v>0.45</v>
      </c>
      <c r="Q160" s="56">
        <v>0.21</v>
      </c>
      <c r="R160" s="56">
        <v>0</v>
      </c>
      <c r="S160" s="45">
        <v>-3.7999999999999999E-2</v>
      </c>
      <c r="T160" s="45">
        <v>0</v>
      </c>
      <c r="U160" s="45">
        <v>-0.14000000000000001</v>
      </c>
      <c r="V160" s="45">
        <v>-0.01</v>
      </c>
      <c r="W160" s="45">
        <v>-0.14000000000000001</v>
      </c>
      <c r="X160" s="45">
        <v>-0.01</v>
      </c>
      <c r="Y160" s="45">
        <v>0.15</v>
      </c>
      <c r="Z160" s="45">
        <v>0</v>
      </c>
      <c r="AA160" s="45">
        <v>0.15</v>
      </c>
      <c r="AB160" s="45">
        <v>0</v>
      </c>
      <c r="AC160" s="45">
        <v>0.16500000000000001</v>
      </c>
      <c r="AD160" s="45">
        <v>0.01</v>
      </c>
      <c r="AE160" s="45">
        <v>0.09</v>
      </c>
      <c r="AF160" s="45">
        <v>5.0000000000000001E-3</v>
      </c>
      <c r="AG160" s="45">
        <v>0.23499999999999999</v>
      </c>
      <c r="AH160" s="45">
        <v>0</v>
      </c>
      <c r="AI160" s="45">
        <v>0.18</v>
      </c>
      <c r="AJ160" s="45">
        <v>0</v>
      </c>
      <c r="AK160" s="45">
        <v>-0.75800000000000001</v>
      </c>
      <c r="AL160" s="45">
        <v>1.7097505327888E-3</v>
      </c>
      <c r="AM160" s="45">
        <v>0.13</v>
      </c>
      <c r="AN160" s="45">
        <v>1.54205976219203</v>
      </c>
      <c r="AO160" s="45">
        <v>0.17</v>
      </c>
      <c r="AP160" s="45">
        <v>0.18</v>
      </c>
      <c r="AQ160" s="45">
        <v>0.18</v>
      </c>
      <c r="AR160" s="45">
        <f t="shared" si="17"/>
        <v>0.6484832978058549</v>
      </c>
      <c r="AT160" s="217">
        <f t="shared" si="18"/>
        <v>8.8944205252481021E-2</v>
      </c>
      <c r="AU160" s="217">
        <f t="shared" si="19"/>
        <v>-0.66734604421473021</v>
      </c>
      <c r="AV160" s="45">
        <f>[10]Sheet1!AA151</f>
        <v>0.16899999999999993</v>
      </c>
      <c r="AW160" s="45">
        <v>0</v>
      </c>
    </row>
    <row r="161" spans="1:49">
      <c r="A161" s="45"/>
      <c r="B161" s="45"/>
      <c r="C161" s="50">
        <f t="shared" si="16"/>
        <v>41426</v>
      </c>
      <c r="D161" s="56">
        <v>6.4927529316924901E-2</v>
      </c>
      <c r="E161" s="48">
        <v>4.4749999999999996</v>
      </c>
      <c r="F161" s="48">
        <v>0.17</v>
      </c>
      <c r="G161" s="48">
        <v>0.17</v>
      </c>
      <c r="H161" s="48">
        <v>0.17</v>
      </c>
      <c r="I161" s="48">
        <v>0.17499999999999999</v>
      </c>
      <c r="J161" s="48">
        <v>0.17</v>
      </c>
      <c r="K161" s="45">
        <v>0.17</v>
      </c>
      <c r="L161" s="48">
        <v>0.45</v>
      </c>
      <c r="M161" s="48">
        <v>0.4</v>
      </c>
      <c r="N161" s="48">
        <v>0.5</v>
      </c>
      <c r="O161" s="48">
        <v>0.5</v>
      </c>
      <c r="P161" s="48">
        <v>0.5</v>
      </c>
      <c r="Q161" s="56">
        <v>0.21</v>
      </c>
      <c r="R161" s="56">
        <v>0</v>
      </c>
      <c r="S161" s="45">
        <v>-3.7999999999999999E-2</v>
      </c>
      <c r="T161" s="45">
        <v>0</v>
      </c>
      <c r="U161" s="45">
        <v>-0.14000000000000001</v>
      </c>
      <c r="V161" s="45">
        <v>-0.01</v>
      </c>
      <c r="W161" s="45">
        <v>-0.14000000000000001</v>
      </c>
      <c r="X161" s="45">
        <v>-0.01</v>
      </c>
      <c r="Y161" s="45">
        <v>0.15</v>
      </c>
      <c r="Z161" s="45">
        <v>0</v>
      </c>
      <c r="AA161" s="45">
        <v>0.15</v>
      </c>
      <c r="AB161" s="45">
        <v>0</v>
      </c>
      <c r="AC161" s="45">
        <v>0.17</v>
      </c>
      <c r="AD161" s="45">
        <v>1.2500000000000001E-2</v>
      </c>
      <c r="AE161" s="45">
        <v>0.09</v>
      </c>
      <c r="AF161" s="45">
        <v>5.0000000000000001E-3</v>
      </c>
      <c r="AG161" s="45">
        <v>0.23499999999999999</v>
      </c>
      <c r="AH161" s="45">
        <v>0</v>
      </c>
      <c r="AI161" s="45">
        <v>0.18</v>
      </c>
      <c r="AJ161" s="45">
        <v>0</v>
      </c>
      <c r="AK161" s="45">
        <v>-0.75800000000000001</v>
      </c>
      <c r="AL161" s="45">
        <v>1.7096069067937E-3</v>
      </c>
      <c r="AM161" s="45">
        <v>0.13</v>
      </c>
      <c r="AN161" s="45">
        <v>1.5421893123633899</v>
      </c>
      <c r="AO161" s="45">
        <v>0.17</v>
      </c>
      <c r="AP161" s="45">
        <v>0.18</v>
      </c>
      <c r="AQ161" s="45">
        <v>0.18</v>
      </c>
      <c r="AR161" s="45">
        <f t="shared" si="17"/>
        <v>0.6484288225727034</v>
      </c>
      <c r="AT161" s="217">
        <f t="shared" si="18"/>
        <v>8.8936733577674607E-2</v>
      </c>
      <c r="AU161" s="217">
        <f t="shared" si="19"/>
        <v>-0.66735365951553172</v>
      </c>
      <c r="AV161" s="45">
        <f>[10]Sheet1!AA152</f>
        <v>0.16899999999999993</v>
      </c>
      <c r="AW161" s="45">
        <v>0</v>
      </c>
    </row>
    <row r="162" spans="1:49">
      <c r="A162" s="45"/>
      <c r="B162" s="45"/>
      <c r="C162" s="50">
        <f t="shared" si="16"/>
        <v>41456</v>
      </c>
      <c r="D162" s="56">
        <v>6.4962957353270803E-2</v>
      </c>
      <c r="E162" s="48">
        <v>4.53</v>
      </c>
      <c r="F162" s="48">
        <v>0.17</v>
      </c>
      <c r="G162" s="48">
        <v>0.17</v>
      </c>
      <c r="H162" s="48">
        <v>0.17</v>
      </c>
      <c r="I162" s="48">
        <v>0.17499999999999999</v>
      </c>
      <c r="J162" s="48">
        <v>0.17</v>
      </c>
      <c r="K162" s="45">
        <v>0.17</v>
      </c>
      <c r="L162" s="48">
        <v>0.5</v>
      </c>
      <c r="M162" s="48">
        <v>0.4</v>
      </c>
      <c r="N162" s="48">
        <v>0.55000000000000004</v>
      </c>
      <c r="O162" s="48">
        <v>0.5</v>
      </c>
      <c r="P162" s="48">
        <v>0.5</v>
      </c>
      <c r="Q162" s="56">
        <v>0.21</v>
      </c>
      <c r="R162" s="56">
        <v>0</v>
      </c>
      <c r="S162" s="45">
        <v>-3.7999999999999999E-2</v>
      </c>
      <c r="T162" s="45">
        <v>0</v>
      </c>
      <c r="U162" s="45">
        <v>-0.14000000000000001</v>
      </c>
      <c r="V162" s="45">
        <v>-0.01</v>
      </c>
      <c r="W162" s="45">
        <v>-0.14000000000000001</v>
      </c>
      <c r="X162" s="45">
        <v>-0.01</v>
      </c>
      <c r="Y162" s="45">
        <v>0.15</v>
      </c>
      <c r="Z162" s="45">
        <v>0</v>
      </c>
      <c r="AA162" s="45">
        <v>0.15</v>
      </c>
      <c r="AB162" s="45">
        <v>0</v>
      </c>
      <c r="AC162" s="45">
        <v>0.17499999999999999</v>
      </c>
      <c r="AD162" s="45">
        <v>1.2500000000000001E-2</v>
      </c>
      <c r="AE162" s="45">
        <v>0.09</v>
      </c>
      <c r="AF162" s="45">
        <v>5.0000000000000001E-3</v>
      </c>
      <c r="AG162" s="45">
        <v>0.23499999999999999</v>
      </c>
      <c r="AH162" s="45">
        <v>0</v>
      </c>
      <c r="AI162" s="45">
        <v>0.18</v>
      </c>
      <c r="AJ162" s="45">
        <v>0</v>
      </c>
      <c r="AK162" s="45">
        <v>-0.75800000000000001</v>
      </c>
      <c r="AL162" s="45">
        <v>1.7094650462198E-3</v>
      </c>
      <c r="AM162" s="45">
        <v>0.13</v>
      </c>
      <c r="AN162" s="45">
        <v>1.54231729150013</v>
      </c>
      <c r="AO162" s="45">
        <v>0.17</v>
      </c>
      <c r="AP162" s="45">
        <v>0.18</v>
      </c>
      <c r="AQ162" s="45">
        <v>0.18</v>
      </c>
      <c r="AR162" s="45">
        <f t="shared" si="17"/>
        <v>0.64837501693789168</v>
      </c>
      <c r="AT162" s="217">
        <f t="shared" si="18"/>
        <v>8.8929353743155151E-2</v>
      </c>
      <c r="AU162" s="217">
        <f t="shared" si="19"/>
        <v>-0.66736118121062504</v>
      </c>
      <c r="AV162" s="45">
        <f>[10]Sheet1!AA153</f>
        <v>0.16899999999999993</v>
      </c>
      <c r="AW162" s="45">
        <v>0</v>
      </c>
    </row>
    <row r="163" spans="1:49">
      <c r="A163" s="45"/>
      <c r="B163" s="45"/>
      <c r="C163" s="50">
        <f t="shared" si="16"/>
        <v>41487</v>
      </c>
      <c r="D163" s="56">
        <v>6.4999566324598995E-2</v>
      </c>
      <c r="E163" s="48">
        <v>4.5860000000000003</v>
      </c>
      <c r="F163" s="48">
        <v>0.17</v>
      </c>
      <c r="G163" s="48">
        <v>0.17</v>
      </c>
      <c r="H163" s="48">
        <v>0.17</v>
      </c>
      <c r="I163" s="48">
        <v>0.17499999999999999</v>
      </c>
      <c r="J163" s="48">
        <v>0.17</v>
      </c>
      <c r="K163" s="45">
        <v>0.17</v>
      </c>
      <c r="L163" s="48">
        <v>0.55000000000000004</v>
      </c>
      <c r="M163" s="48">
        <v>0.5</v>
      </c>
      <c r="N163" s="48">
        <v>0.6</v>
      </c>
      <c r="O163" s="48">
        <v>0.45</v>
      </c>
      <c r="P163" s="48">
        <v>0.55000000000000004</v>
      </c>
      <c r="Q163" s="56">
        <v>0.21</v>
      </c>
      <c r="R163" s="56">
        <v>0</v>
      </c>
      <c r="S163" s="45">
        <v>-3.7999999999999999E-2</v>
      </c>
      <c r="T163" s="45">
        <v>0</v>
      </c>
      <c r="U163" s="45">
        <v>-0.14000000000000001</v>
      </c>
      <c r="V163" s="45">
        <v>-0.01</v>
      </c>
      <c r="W163" s="45">
        <v>-0.14000000000000001</v>
      </c>
      <c r="X163" s="45">
        <v>-0.01</v>
      </c>
      <c r="Y163" s="45">
        <v>0.15</v>
      </c>
      <c r="Z163" s="45">
        <v>0</v>
      </c>
      <c r="AA163" s="45">
        <v>0.15</v>
      </c>
      <c r="AB163" s="45">
        <v>0</v>
      </c>
      <c r="AC163" s="45">
        <v>0.17499999999999999</v>
      </c>
      <c r="AD163" s="45">
        <v>1.2500000000000001E-2</v>
      </c>
      <c r="AE163" s="45">
        <v>0.09</v>
      </c>
      <c r="AF163" s="45">
        <v>5.0000000000000001E-3</v>
      </c>
      <c r="AG163" s="45">
        <v>0.23499999999999999</v>
      </c>
      <c r="AH163" s="45">
        <v>0</v>
      </c>
      <c r="AI163" s="45">
        <v>0.18</v>
      </c>
      <c r="AJ163" s="45">
        <v>0</v>
      </c>
      <c r="AK163" s="45">
        <v>-0.75800000000000001</v>
      </c>
      <c r="AL163" s="45">
        <v>1.7093154946310001E-3</v>
      </c>
      <c r="AM163" s="45">
        <v>0.13</v>
      </c>
      <c r="AN163" s="45">
        <v>1.5424522320667799</v>
      </c>
      <c r="AO163" s="45">
        <v>0.17</v>
      </c>
      <c r="AP163" s="45">
        <v>0.18</v>
      </c>
      <c r="AQ163" s="45">
        <v>0.18</v>
      </c>
      <c r="AR163" s="45">
        <f t="shared" si="17"/>
        <v>0.64831829421392762</v>
      </c>
      <c r="AT163" s="217">
        <f t="shared" si="18"/>
        <v>8.8921573808622062E-2</v>
      </c>
      <c r="AU163" s="217">
        <f t="shared" si="19"/>
        <v>-0.66736911069674687</v>
      </c>
      <c r="AV163" s="45">
        <f>[10]Sheet1!AA154</f>
        <v>0.16899999999999993</v>
      </c>
      <c r="AW163" s="45">
        <v>0</v>
      </c>
    </row>
    <row r="164" spans="1:49">
      <c r="A164" s="45"/>
      <c r="B164" s="45"/>
      <c r="C164" s="50">
        <f t="shared" si="16"/>
        <v>41518</v>
      </c>
      <c r="D164" s="56">
        <v>6.5036175296371304E-2</v>
      </c>
      <c r="E164" s="48">
        <v>4.5999999999999996</v>
      </c>
      <c r="F164" s="48">
        <v>0.17</v>
      </c>
      <c r="G164" s="48">
        <v>0.17</v>
      </c>
      <c r="H164" s="48">
        <v>0.17</v>
      </c>
      <c r="I164" s="48">
        <v>0.17499999999999999</v>
      </c>
      <c r="J164" s="48">
        <v>0.17</v>
      </c>
      <c r="K164" s="45">
        <v>0.17</v>
      </c>
      <c r="L164" s="48">
        <v>0.55000000000000004</v>
      </c>
      <c r="M164" s="48">
        <v>0.55000000000000004</v>
      </c>
      <c r="N164" s="48">
        <v>0.6</v>
      </c>
      <c r="O164" s="48">
        <v>0.5</v>
      </c>
      <c r="P164" s="48">
        <v>0.6</v>
      </c>
      <c r="Q164" s="56">
        <v>0.21</v>
      </c>
      <c r="R164" s="56">
        <v>0</v>
      </c>
      <c r="S164" s="45">
        <v>-3.7999999999999999E-2</v>
      </c>
      <c r="T164" s="45">
        <v>0</v>
      </c>
      <c r="U164" s="45">
        <v>-0.14000000000000001</v>
      </c>
      <c r="V164" s="45">
        <v>-0.01</v>
      </c>
      <c r="W164" s="45">
        <v>-0.14000000000000001</v>
      </c>
      <c r="X164" s="45">
        <v>-0.01</v>
      </c>
      <c r="Y164" s="45">
        <v>0.15</v>
      </c>
      <c r="Z164" s="45">
        <v>0</v>
      </c>
      <c r="AA164" s="45">
        <v>0.15</v>
      </c>
      <c r="AB164" s="45">
        <v>0</v>
      </c>
      <c r="AC164" s="45">
        <v>0.16500000000000001</v>
      </c>
      <c r="AD164" s="45">
        <v>1.2500000000000001E-2</v>
      </c>
      <c r="AE164" s="45">
        <v>0.09</v>
      </c>
      <c r="AF164" s="45">
        <v>5.0000000000000001E-3</v>
      </c>
      <c r="AG164" s="45">
        <v>0.23499999999999999</v>
      </c>
      <c r="AH164" s="45">
        <v>0</v>
      </c>
      <c r="AI164" s="45">
        <v>0.18</v>
      </c>
      <c r="AJ164" s="45">
        <v>0</v>
      </c>
      <c r="AK164" s="45">
        <v>-0.75800000000000001</v>
      </c>
      <c r="AL164" s="45">
        <v>1.7091629331167E-3</v>
      </c>
      <c r="AM164" s="45">
        <v>0.13</v>
      </c>
      <c r="AN164" s="45">
        <v>1.5425899128248499</v>
      </c>
      <c r="AO164" s="45">
        <v>0.17</v>
      </c>
      <c r="AP164" s="45">
        <v>0.18</v>
      </c>
      <c r="AQ164" s="45">
        <v>0.18</v>
      </c>
      <c r="AR164" s="45">
        <f t="shared" si="17"/>
        <v>0.64826042986937571</v>
      </c>
      <c r="AT164" s="217">
        <f t="shared" si="18"/>
        <v>8.8913637292514336E-2</v>
      </c>
      <c r="AU164" s="217">
        <f t="shared" si="19"/>
        <v>-0.66737719977436893</v>
      </c>
      <c r="AV164" s="45">
        <f>[10]Sheet1!AA155</f>
        <v>0.16899999999999993</v>
      </c>
      <c r="AW164" s="45">
        <v>0</v>
      </c>
    </row>
    <row r="165" spans="1:49">
      <c r="A165" s="45"/>
      <c r="B165" s="45"/>
      <c r="C165" s="50">
        <f t="shared" si="16"/>
        <v>41548</v>
      </c>
      <c r="D165" s="56">
        <v>6.5071603333993505E-2</v>
      </c>
      <c r="E165" s="48">
        <v>4.6310000000000002</v>
      </c>
      <c r="F165" s="48">
        <v>0.17</v>
      </c>
      <c r="G165" s="48">
        <v>0.17</v>
      </c>
      <c r="H165" s="48">
        <v>0.17</v>
      </c>
      <c r="I165" s="48">
        <v>0.17499999999999999</v>
      </c>
      <c r="J165" s="48">
        <v>0.17</v>
      </c>
      <c r="K165" s="45">
        <v>0.17</v>
      </c>
      <c r="L165" s="48">
        <v>0.6</v>
      </c>
      <c r="M165" s="48">
        <v>0.55000000000000004</v>
      </c>
      <c r="N165" s="48">
        <v>0.65</v>
      </c>
      <c r="O165" s="48">
        <v>0.5</v>
      </c>
      <c r="P165" s="48">
        <v>0.65</v>
      </c>
      <c r="Q165" s="56">
        <v>0.21</v>
      </c>
      <c r="R165" s="56">
        <v>0</v>
      </c>
      <c r="S165" s="45">
        <v>-3.7999999999999999E-2</v>
      </c>
      <c r="T165" s="45">
        <v>0</v>
      </c>
      <c r="U165" s="45">
        <v>-0.14000000000000001</v>
      </c>
      <c r="V165" s="45">
        <v>-0.01</v>
      </c>
      <c r="W165" s="45">
        <v>-0.14000000000000001</v>
      </c>
      <c r="X165" s="45">
        <v>-0.01</v>
      </c>
      <c r="Y165" s="45">
        <v>0.15</v>
      </c>
      <c r="Z165" s="45">
        <v>0</v>
      </c>
      <c r="AA165" s="45">
        <v>0.15</v>
      </c>
      <c r="AB165" s="45">
        <v>0</v>
      </c>
      <c r="AC165" s="45">
        <v>0.17249999999999999</v>
      </c>
      <c r="AD165" s="45">
        <v>1.2500000000000001E-2</v>
      </c>
      <c r="AE165" s="45">
        <v>0.09</v>
      </c>
      <c r="AF165" s="45">
        <v>5.0000000000000001E-3</v>
      </c>
      <c r="AG165" s="45">
        <v>0.23499999999999999</v>
      </c>
      <c r="AH165" s="45">
        <v>0</v>
      </c>
      <c r="AI165" s="45">
        <v>0.18</v>
      </c>
      <c r="AJ165" s="45">
        <v>0</v>
      </c>
      <c r="AK165" s="45">
        <v>-0.75800000000000001</v>
      </c>
      <c r="AL165" s="45">
        <v>1.7090124280264001E-3</v>
      </c>
      <c r="AM165" s="45">
        <v>0.13</v>
      </c>
      <c r="AN165" s="45">
        <v>1.54272576182767</v>
      </c>
      <c r="AO165" s="45">
        <v>0.17</v>
      </c>
      <c r="AP165" s="45">
        <v>0.18</v>
      </c>
      <c r="AQ165" s="45">
        <v>0.18</v>
      </c>
      <c r="AR165" s="45">
        <f t="shared" si="17"/>
        <v>0.64820334549628456</v>
      </c>
      <c r="AT165" s="217">
        <f t="shared" si="18"/>
        <v>8.8905807755170638E-2</v>
      </c>
      <c r="AU165" s="217">
        <f t="shared" si="19"/>
        <v>-0.66738517981680301</v>
      </c>
      <c r="AV165" s="45">
        <f>[10]Sheet1!AA156</f>
        <v>0.16899999999999993</v>
      </c>
      <c r="AW165" s="45">
        <v>0</v>
      </c>
    </row>
    <row r="166" spans="1:49">
      <c r="A166" s="45"/>
      <c r="B166" s="45"/>
      <c r="C166" s="50">
        <f t="shared" si="16"/>
        <v>41579</v>
      </c>
      <c r="D166" s="56">
        <v>6.5108212306639796E-2</v>
      </c>
      <c r="E166" s="48">
        <v>4.7640000000000002</v>
      </c>
      <c r="F166" s="48">
        <v>0.17</v>
      </c>
      <c r="G166" s="48">
        <v>0.17</v>
      </c>
      <c r="H166" s="48">
        <v>0.17</v>
      </c>
      <c r="I166" s="48">
        <v>0.17499999999999999</v>
      </c>
      <c r="J166" s="48">
        <v>0.17</v>
      </c>
      <c r="K166" s="45">
        <v>0.17</v>
      </c>
      <c r="L166" s="48">
        <v>0.8</v>
      </c>
      <c r="M166" s="48">
        <v>0.8</v>
      </c>
      <c r="N166" s="48">
        <v>0.8</v>
      </c>
      <c r="O166" s="48">
        <v>0.95</v>
      </c>
      <c r="P166" s="48">
        <v>0.85</v>
      </c>
      <c r="Q166" s="56">
        <v>0.32500000000000001</v>
      </c>
      <c r="R166" s="56">
        <v>0</v>
      </c>
      <c r="S166" s="45">
        <v>-3.7499999999999999E-2</v>
      </c>
      <c r="T166" s="45">
        <v>5.0000000000000001E-3</v>
      </c>
      <c r="U166" s="45">
        <v>-0.14249999999999999</v>
      </c>
      <c r="V166" s="45">
        <v>0.01</v>
      </c>
      <c r="W166" s="45">
        <v>-0.14249999999999999</v>
      </c>
      <c r="X166" s="45">
        <v>0.01</v>
      </c>
      <c r="Y166" s="45">
        <v>0.22500000000000001</v>
      </c>
      <c r="Z166" s="45">
        <v>0</v>
      </c>
      <c r="AA166" s="45">
        <v>0.22500000000000001</v>
      </c>
      <c r="AB166" s="45">
        <v>0</v>
      </c>
      <c r="AC166" s="45">
        <v>0.24</v>
      </c>
      <c r="AD166" s="45">
        <v>0.03</v>
      </c>
      <c r="AE166" s="45">
        <v>0.17499999999999999</v>
      </c>
      <c r="AF166" s="45">
        <v>0.02</v>
      </c>
      <c r="AG166" s="45">
        <v>0.42499999999999999</v>
      </c>
      <c r="AH166" s="45">
        <v>0</v>
      </c>
      <c r="AI166" s="45">
        <v>0.27500000000000002</v>
      </c>
      <c r="AJ166" s="45">
        <v>0</v>
      </c>
      <c r="AK166" s="45">
        <v>-0.69800000000000006</v>
      </c>
      <c r="AL166" s="45">
        <v>5.4683326293397004E-3</v>
      </c>
      <c r="AM166" s="45">
        <v>0.13</v>
      </c>
      <c r="AN166" s="45">
        <v>1.54286883623953</v>
      </c>
      <c r="AO166" s="45">
        <v>0.17</v>
      </c>
      <c r="AP166" s="45">
        <v>0.27500000000000002</v>
      </c>
      <c r="AQ166" s="45">
        <v>0.27500000000000002</v>
      </c>
      <c r="AR166" s="45">
        <f t="shared" si="17"/>
        <v>0.64814323584195477</v>
      </c>
      <c r="AT166" s="217">
        <f t="shared" si="18"/>
        <v>8.8897563278481029E-2</v>
      </c>
      <c r="AU166" s="217">
        <f t="shared" si="19"/>
        <v>-0.60363410409217932</v>
      </c>
      <c r="AV166" s="45">
        <f>[10]Sheet1!AA157</f>
        <v>0.21607142857142855</v>
      </c>
      <c r="AW166" s="45">
        <v>0</v>
      </c>
    </row>
    <row r="167" spans="1:49">
      <c r="A167" s="45"/>
      <c r="B167" s="45"/>
      <c r="C167" s="50">
        <f t="shared" si="16"/>
        <v>41609</v>
      </c>
      <c r="D167" s="56">
        <v>6.5143640345108E-2</v>
      </c>
      <c r="E167" s="48">
        <v>4.9020000000000001</v>
      </c>
      <c r="F167" s="48">
        <v>0.17</v>
      </c>
      <c r="G167" s="48">
        <v>0.17</v>
      </c>
      <c r="H167" s="48">
        <v>0.17</v>
      </c>
      <c r="I167" s="48">
        <v>0.17499999999999999</v>
      </c>
      <c r="J167" s="48">
        <v>0.17</v>
      </c>
      <c r="K167" s="45">
        <v>0.17</v>
      </c>
      <c r="L167" s="48">
        <v>1</v>
      </c>
      <c r="M167" s="48">
        <v>1</v>
      </c>
      <c r="N167" s="48">
        <v>1.1000000000000001</v>
      </c>
      <c r="O167" s="48">
        <v>1.35</v>
      </c>
      <c r="P167" s="48">
        <v>1.05</v>
      </c>
      <c r="Q167" s="56">
        <v>0.32500000000000001</v>
      </c>
      <c r="R167" s="56">
        <v>0</v>
      </c>
      <c r="S167" s="45">
        <v>-3.7499999999999999E-2</v>
      </c>
      <c r="T167" s="45">
        <v>5.0000000000000001E-3</v>
      </c>
      <c r="U167" s="45">
        <v>-0.13750000000000001</v>
      </c>
      <c r="V167" s="45">
        <v>0.01</v>
      </c>
      <c r="W167" s="45">
        <v>-0.13750000000000001</v>
      </c>
      <c r="X167" s="45">
        <v>0.01</v>
      </c>
      <c r="Y167" s="45">
        <v>0.22500000000000001</v>
      </c>
      <c r="Z167" s="45">
        <v>0</v>
      </c>
      <c r="AA167" s="45">
        <v>0.22500000000000001</v>
      </c>
      <c r="AB167" s="45">
        <v>0</v>
      </c>
      <c r="AC167" s="45">
        <v>0.26</v>
      </c>
      <c r="AD167" s="45">
        <v>0.03</v>
      </c>
      <c r="AE167" s="45">
        <v>0.17499999999999999</v>
      </c>
      <c r="AF167" s="45">
        <v>0.02</v>
      </c>
      <c r="AG167" s="45">
        <v>0.42499999999999999</v>
      </c>
      <c r="AH167" s="45">
        <v>0</v>
      </c>
      <c r="AI167" s="45">
        <v>0.27500000000000002</v>
      </c>
      <c r="AJ167" s="45">
        <v>0</v>
      </c>
      <c r="AK167" s="45">
        <v>-0.69800000000000006</v>
      </c>
      <c r="AL167" s="45">
        <v>5.4678326867230002E-3</v>
      </c>
      <c r="AM167" s="45">
        <v>0.13</v>
      </c>
      <c r="AN167" s="45">
        <v>1.5430099060065499</v>
      </c>
      <c r="AO167" s="45">
        <v>0.17</v>
      </c>
      <c r="AP167" s="45">
        <v>0.27500000000000002</v>
      </c>
      <c r="AQ167" s="45">
        <v>0.27500000000000002</v>
      </c>
      <c r="AR167" s="45">
        <f t="shared" si="17"/>
        <v>0.64808397931034101</v>
      </c>
      <c r="AT167" s="217">
        <f t="shared" si="18"/>
        <v>8.8889435813782641E-2</v>
      </c>
      <c r="AU167" s="217">
        <f t="shared" si="19"/>
        <v>-0.60364273149949443</v>
      </c>
      <c r="AV167" s="45">
        <f>[10]Sheet1!AA158</f>
        <v>0.22107142857142856</v>
      </c>
      <c r="AW167" s="45">
        <v>0</v>
      </c>
    </row>
    <row r="168" spans="1:49">
      <c r="A168" s="45"/>
      <c r="B168" s="45"/>
      <c r="C168" s="50">
        <f t="shared" si="16"/>
        <v>41640</v>
      </c>
      <c r="D168" s="56">
        <v>6.5180249318628203E-2</v>
      </c>
      <c r="E168" s="48">
        <v>4.9540000000000006</v>
      </c>
      <c r="F168" s="48">
        <v>0.17</v>
      </c>
      <c r="G168" s="48">
        <v>0.17</v>
      </c>
      <c r="H168" s="48">
        <v>0.17</v>
      </c>
      <c r="I168" s="48">
        <v>0.17499999999999999</v>
      </c>
      <c r="J168" s="48">
        <v>0.17</v>
      </c>
      <c r="K168" s="45">
        <v>0.17</v>
      </c>
      <c r="L168" s="48">
        <v>1</v>
      </c>
      <c r="M168" s="48">
        <v>1</v>
      </c>
      <c r="N168" s="48">
        <v>1.1000000000000001</v>
      </c>
      <c r="O168" s="48">
        <v>1.35</v>
      </c>
      <c r="P168" s="48">
        <v>1.05</v>
      </c>
      <c r="Q168" s="56">
        <v>0.32500000000000001</v>
      </c>
      <c r="R168" s="56">
        <v>0</v>
      </c>
      <c r="S168" s="45">
        <v>-3.7499999999999999E-2</v>
      </c>
      <c r="T168" s="45">
        <v>5.0000000000000001E-3</v>
      </c>
      <c r="U168" s="45">
        <v>-0.13750000000000001</v>
      </c>
      <c r="V168" s="45">
        <v>0.01</v>
      </c>
      <c r="W168" s="45">
        <v>-0.13750000000000001</v>
      </c>
      <c r="X168" s="45">
        <v>0.01</v>
      </c>
      <c r="Y168" s="45">
        <v>0.22500000000000001</v>
      </c>
      <c r="Z168" s="45">
        <v>0</v>
      </c>
      <c r="AA168" s="45">
        <v>0.22500000000000001</v>
      </c>
      <c r="AB168" s="45">
        <v>0</v>
      </c>
      <c r="AC168" s="45">
        <v>0.27</v>
      </c>
      <c r="AD168" s="45">
        <v>0.03</v>
      </c>
      <c r="AE168" s="45">
        <v>0.17499999999999999</v>
      </c>
      <c r="AF168" s="45">
        <v>0.02</v>
      </c>
      <c r="AG168" s="45">
        <v>0.42499999999999999</v>
      </c>
      <c r="AH168" s="45">
        <v>0</v>
      </c>
      <c r="AI168" s="45">
        <v>0.27500000000000002</v>
      </c>
      <c r="AJ168" s="45">
        <v>0</v>
      </c>
      <c r="AK168" s="45">
        <v>-0.69800000000000006</v>
      </c>
      <c r="AL168" s="45">
        <v>5.4673066155632999E-3</v>
      </c>
      <c r="AM168" s="45">
        <v>0.13</v>
      </c>
      <c r="AN168" s="45">
        <v>1.5431583763718699</v>
      </c>
      <c r="AO168" s="45">
        <v>0.17</v>
      </c>
      <c r="AP168" s="45">
        <v>0.27500000000000002</v>
      </c>
      <c r="AQ168" s="45">
        <v>0.27500000000000002</v>
      </c>
      <c r="AR168" s="45">
        <f t="shared" si="17"/>
        <v>0.64802162584964662</v>
      </c>
      <c r="AT168" s="217">
        <f t="shared" si="18"/>
        <v>8.8880883582715231E-2</v>
      </c>
      <c r="AU168" s="217">
        <f t="shared" si="19"/>
        <v>-0.60365180980172162</v>
      </c>
      <c r="AV168" s="45">
        <f>[10]Sheet1!AA159</f>
        <v>0.22107142857142856</v>
      </c>
      <c r="AW168" s="45">
        <v>0</v>
      </c>
    </row>
    <row r="169" spans="1:49">
      <c r="A169" s="45"/>
      <c r="B169" s="45"/>
      <c r="C169" s="50">
        <f t="shared" si="16"/>
        <v>41671</v>
      </c>
      <c r="D169" s="56">
        <v>6.5216858292592897E-2</v>
      </c>
      <c r="E169" s="48">
        <v>4.8340000000000005</v>
      </c>
      <c r="F169" s="48">
        <v>0.17</v>
      </c>
      <c r="G169" s="48">
        <v>0.17</v>
      </c>
      <c r="H169" s="48">
        <v>0.17</v>
      </c>
      <c r="I169" s="48">
        <v>0.17499999999999999</v>
      </c>
      <c r="J169" s="48">
        <v>0.17</v>
      </c>
      <c r="K169" s="45">
        <v>0.17</v>
      </c>
      <c r="L169" s="48">
        <v>1</v>
      </c>
      <c r="M169" s="48">
        <v>1</v>
      </c>
      <c r="N169" s="48">
        <v>1.1000000000000001</v>
      </c>
      <c r="O169" s="48">
        <v>1.35</v>
      </c>
      <c r="P169" s="48">
        <v>1.05</v>
      </c>
      <c r="Q169" s="56">
        <v>0.32500000000000001</v>
      </c>
      <c r="R169" s="56">
        <v>0</v>
      </c>
      <c r="S169" s="45">
        <v>-3.7499999999999999E-2</v>
      </c>
      <c r="T169" s="45">
        <v>5.0000000000000001E-3</v>
      </c>
      <c r="U169" s="45">
        <v>-0.14000000000000001</v>
      </c>
      <c r="V169" s="45">
        <v>0.01</v>
      </c>
      <c r="W169" s="45">
        <v>-0.14000000000000001</v>
      </c>
      <c r="X169" s="45">
        <v>0.01</v>
      </c>
      <c r="Y169" s="45">
        <v>0.22500000000000001</v>
      </c>
      <c r="Z169" s="45">
        <v>0</v>
      </c>
      <c r="AA169" s="45">
        <v>0.22500000000000001</v>
      </c>
      <c r="AB169" s="45">
        <v>0</v>
      </c>
      <c r="AC169" s="45">
        <v>0.27</v>
      </c>
      <c r="AD169" s="45">
        <v>0.03</v>
      </c>
      <c r="AE169" s="45">
        <v>0.17499999999999999</v>
      </c>
      <c r="AF169" s="45">
        <v>0.02</v>
      </c>
      <c r="AG169" s="45">
        <v>0.42499999999999999</v>
      </c>
      <c r="AH169" s="45">
        <v>0</v>
      </c>
      <c r="AI169" s="45">
        <v>0.27500000000000002</v>
      </c>
      <c r="AJ169" s="45">
        <v>0</v>
      </c>
      <c r="AK169" s="45">
        <v>-0.69800000000000006</v>
      </c>
      <c r="AL169" s="45">
        <v>5.4667709288099995E-3</v>
      </c>
      <c r="AM169" s="45">
        <v>0.13</v>
      </c>
      <c r="AN169" s="45">
        <v>1.5433095898599298</v>
      </c>
      <c r="AO169" s="45">
        <v>0.17</v>
      </c>
      <c r="AP169" s="45">
        <v>0.27500000000000002</v>
      </c>
      <c r="AQ169" s="45">
        <v>0.27500000000000002</v>
      </c>
      <c r="AR169" s="45">
        <f t="shared" si="17"/>
        <v>0.64795813268468039</v>
      </c>
      <c r="AT169" s="217">
        <f t="shared" si="18"/>
        <v>8.8872175032909867E-2</v>
      </c>
      <c r="AU169" s="217">
        <f t="shared" si="19"/>
        <v>-0.60366105403828019</v>
      </c>
      <c r="AV169" s="45">
        <f>[10]Sheet1!AA160</f>
        <v>0.22107142857142856</v>
      </c>
      <c r="AW169" s="45">
        <v>0</v>
      </c>
    </row>
    <row r="170" spans="1:49">
      <c r="A170" s="45"/>
      <c r="B170" s="45"/>
      <c r="C170" s="50">
        <f t="shared" si="16"/>
        <v>41699</v>
      </c>
      <c r="D170" s="56">
        <v>6.5249924463007605E-2</v>
      </c>
      <c r="E170" s="48">
        <v>4.6950000000000003</v>
      </c>
      <c r="F170" s="48">
        <v>0.17</v>
      </c>
      <c r="G170" s="48">
        <v>0.17</v>
      </c>
      <c r="H170" s="48">
        <v>0.17</v>
      </c>
      <c r="I170" s="48">
        <v>0.17499999999999999</v>
      </c>
      <c r="J170" s="48">
        <v>0.17</v>
      </c>
      <c r="K170" s="45">
        <v>0.17</v>
      </c>
      <c r="L170" s="48">
        <v>0.75</v>
      </c>
      <c r="M170" s="48">
        <v>0.75</v>
      </c>
      <c r="N170" s="48">
        <v>0.75</v>
      </c>
      <c r="O170" s="48">
        <v>0.95</v>
      </c>
      <c r="P170" s="48">
        <v>0.75</v>
      </c>
      <c r="Q170" s="56">
        <v>0.32500000000000001</v>
      </c>
      <c r="R170" s="56">
        <v>0</v>
      </c>
      <c r="S170" s="45">
        <v>-3.7499999999999999E-2</v>
      </c>
      <c r="T170" s="45">
        <v>5.0000000000000001E-3</v>
      </c>
      <c r="U170" s="45">
        <v>-0.14249999999999999</v>
      </c>
      <c r="V170" s="45">
        <v>0.01</v>
      </c>
      <c r="W170" s="45">
        <v>-0.14249999999999999</v>
      </c>
      <c r="X170" s="45">
        <v>0.01</v>
      </c>
      <c r="Y170" s="45">
        <v>0.22500000000000001</v>
      </c>
      <c r="Z170" s="45">
        <v>0</v>
      </c>
      <c r="AA170" s="45">
        <v>0.22500000000000001</v>
      </c>
      <c r="AB170" s="45">
        <v>0</v>
      </c>
      <c r="AC170" s="45">
        <v>0.24</v>
      </c>
      <c r="AD170" s="45">
        <v>0.03</v>
      </c>
      <c r="AE170" s="45">
        <v>0.17499999999999999</v>
      </c>
      <c r="AF170" s="45">
        <v>0.02</v>
      </c>
      <c r="AG170" s="45">
        <v>0.42499999999999999</v>
      </c>
      <c r="AH170" s="45">
        <v>0</v>
      </c>
      <c r="AI170" s="45">
        <v>0.27500000000000002</v>
      </c>
      <c r="AJ170" s="45">
        <v>0</v>
      </c>
      <c r="AK170" s="45">
        <v>-0.69800000000000006</v>
      </c>
      <c r="AL170" s="45">
        <v>5.4662788207508004E-3</v>
      </c>
      <c r="AM170" s="45">
        <v>0.13</v>
      </c>
      <c r="AN170" s="45">
        <v>1.54344852808682</v>
      </c>
      <c r="AO170" s="45">
        <v>0.17</v>
      </c>
      <c r="AP170" s="45">
        <v>0.27500000000000002</v>
      </c>
      <c r="AQ170" s="45">
        <v>0.27500000000000002</v>
      </c>
      <c r="AR170" s="45">
        <f t="shared" si="17"/>
        <v>0.64789980475704556</v>
      </c>
      <c r="AT170" s="217">
        <f t="shared" si="18"/>
        <v>8.8864174933007439E-2</v>
      </c>
      <c r="AU170" s="217">
        <f t="shared" si="19"/>
        <v>-0.60366954624624181</v>
      </c>
      <c r="AV170" s="45">
        <f>[10]Sheet1!AA161</f>
        <v>0.22107142857142856</v>
      </c>
      <c r="AW170" s="45">
        <v>0</v>
      </c>
    </row>
    <row r="171" spans="1:49">
      <c r="A171" s="45"/>
      <c r="B171" s="45"/>
      <c r="C171" s="50">
        <f t="shared" si="16"/>
        <v>41730</v>
      </c>
      <c r="D171" s="56">
        <v>6.5286533437817401E-2</v>
      </c>
      <c r="E171" s="48">
        <v>4.5199999999999996</v>
      </c>
      <c r="F171" s="48">
        <v>0.17</v>
      </c>
      <c r="G171" s="48">
        <v>0.17</v>
      </c>
      <c r="H171" s="48">
        <v>0.17</v>
      </c>
      <c r="I171" s="48">
        <v>0.17499999999999999</v>
      </c>
      <c r="J171" s="48">
        <v>0.17</v>
      </c>
      <c r="K171" s="45">
        <v>0.17</v>
      </c>
      <c r="L171" s="48">
        <v>0.4</v>
      </c>
      <c r="M171" s="48">
        <v>0.4</v>
      </c>
      <c r="N171" s="48">
        <v>0.45</v>
      </c>
      <c r="O171" s="48">
        <v>0.5</v>
      </c>
      <c r="P171" s="48">
        <v>0.45</v>
      </c>
      <c r="Q171" s="56">
        <v>0.21</v>
      </c>
      <c r="R171" s="56">
        <v>0</v>
      </c>
      <c r="S171" s="45">
        <v>-3.5000000000000003E-2</v>
      </c>
      <c r="T171" s="45">
        <v>0</v>
      </c>
      <c r="U171" s="45">
        <v>-0.14000000000000001</v>
      </c>
      <c r="V171" s="45">
        <v>-0.01</v>
      </c>
      <c r="W171" s="45">
        <v>-0.14000000000000001</v>
      </c>
      <c r="X171" s="45">
        <v>-0.01</v>
      </c>
      <c r="Y171" s="45">
        <v>0.15</v>
      </c>
      <c r="Z171" s="45">
        <v>0</v>
      </c>
      <c r="AA171" s="45">
        <v>0.15</v>
      </c>
      <c r="AB171" s="45">
        <v>0</v>
      </c>
      <c r="AC171" s="45">
        <v>0.17</v>
      </c>
      <c r="AD171" s="45">
        <v>1.7500000000000002E-2</v>
      </c>
      <c r="AE171" s="45">
        <v>0.09</v>
      </c>
      <c r="AF171" s="45">
        <v>5.0000000000000001E-3</v>
      </c>
      <c r="AG171" s="45">
        <v>0.23499999999999999</v>
      </c>
      <c r="AH171" s="45">
        <v>0</v>
      </c>
      <c r="AI171" s="45">
        <v>0.18</v>
      </c>
      <c r="AJ171" s="45">
        <v>0</v>
      </c>
      <c r="AK171" s="45">
        <v>-0.79800000000000004</v>
      </c>
      <c r="AL171" s="45">
        <v>1.708039013393E-3</v>
      </c>
      <c r="AM171" s="45">
        <v>0.13</v>
      </c>
      <c r="AN171" s="45">
        <v>1.5436049641293199</v>
      </c>
      <c r="AO171" s="45">
        <v>0.17</v>
      </c>
      <c r="AP171" s="45">
        <v>0.18</v>
      </c>
      <c r="AQ171" s="45">
        <v>0.18</v>
      </c>
      <c r="AR171" s="45">
        <f t="shared" si="17"/>
        <v>0.64783414360425839</v>
      </c>
      <c r="AT171" s="217">
        <f t="shared" si="18"/>
        <v>8.885516902788948E-2</v>
      </c>
      <c r="AU171" s="217">
        <f t="shared" si="19"/>
        <v>-0.70743679195871756</v>
      </c>
      <c r="AV171" s="45">
        <f>[10]Sheet1!AA162</f>
        <v>0.17199999999999993</v>
      </c>
      <c r="AW171" s="45">
        <v>0</v>
      </c>
    </row>
    <row r="172" spans="1:49">
      <c r="A172" s="45"/>
      <c r="B172" s="45"/>
      <c r="C172" s="50">
        <f t="shared" si="16"/>
        <v>41760</v>
      </c>
      <c r="D172" s="56">
        <v>6.5321961478379098E-2</v>
      </c>
      <c r="E172" s="48">
        <v>4.49</v>
      </c>
      <c r="F172" s="48">
        <v>0.17</v>
      </c>
      <c r="G172" s="48">
        <v>0.17</v>
      </c>
      <c r="H172" s="48">
        <v>0.17</v>
      </c>
      <c r="I172" s="48">
        <v>0.17499999999999999</v>
      </c>
      <c r="J172" s="48">
        <v>0.17</v>
      </c>
      <c r="K172" s="45">
        <v>0.17</v>
      </c>
      <c r="L172" s="48">
        <v>0.45</v>
      </c>
      <c r="M172" s="48">
        <v>0.4</v>
      </c>
      <c r="N172" s="48">
        <v>0.5</v>
      </c>
      <c r="O172" s="48">
        <v>0.45</v>
      </c>
      <c r="P172" s="48">
        <v>0.45</v>
      </c>
      <c r="Q172" s="56">
        <v>0.21</v>
      </c>
      <c r="R172" s="56">
        <v>0</v>
      </c>
      <c r="S172" s="45">
        <v>-3.5000000000000003E-2</v>
      </c>
      <c r="T172" s="45">
        <v>0</v>
      </c>
      <c r="U172" s="45">
        <v>-0.14000000000000001</v>
      </c>
      <c r="V172" s="45">
        <v>-0.01</v>
      </c>
      <c r="W172" s="45">
        <v>-0.14000000000000001</v>
      </c>
      <c r="X172" s="45">
        <v>-0.01</v>
      </c>
      <c r="Y172" s="45">
        <v>0.15</v>
      </c>
      <c r="Z172" s="45">
        <v>0</v>
      </c>
      <c r="AA172" s="45">
        <v>0.15</v>
      </c>
      <c r="AB172" s="45">
        <v>0</v>
      </c>
      <c r="AC172" s="45">
        <v>0.16500000000000001</v>
      </c>
      <c r="AD172" s="45">
        <v>0.01</v>
      </c>
      <c r="AE172" s="45">
        <v>0.09</v>
      </c>
      <c r="AF172" s="45">
        <v>5.0000000000000001E-3</v>
      </c>
      <c r="AG172" s="45">
        <v>0.23499999999999999</v>
      </c>
      <c r="AH172" s="45">
        <v>0</v>
      </c>
      <c r="AI172" s="45">
        <v>0.18</v>
      </c>
      <c r="AJ172" s="45">
        <v>0</v>
      </c>
      <c r="AK172" s="45">
        <v>-0.79800000000000004</v>
      </c>
      <c r="AL172" s="45">
        <v>1.7078686217059001E-3</v>
      </c>
      <c r="AM172" s="45">
        <v>0.13</v>
      </c>
      <c r="AN172" s="45">
        <v>1.5437589674587999</v>
      </c>
      <c r="AO172" s="45">
        <v>0.17</v>
      </c>
      <c r="AP172" s="45">
        <v>0.18</v>
      </c>
      <c r="AQ172" s="45">
        <v>0.18</v>
      </c>
      <c r="AR172" s="45">
        <f t="shared" si="17"/>
        <v>0.64776951653671166</v>
      </c>
      <c r="AT172" s="217">
        <f t="shared" si="18"/>
        <v>8.8846304955090397E-2</v>
      </c>
      <c r="AU172" s="217">
        <f t="shared" si="19"/>
        <v>-0.70744582642320375</v>
      </c>
      <c r="AV172" s="45">
        <f>[10]Sheet1!AA163</f>
        <v>0.17199999999999993</v>
      </c>
      <c r="AW172" s="45">
        <v>0</v>
      </c>
    </row>
    <row r="173" spans="1:49">
      <c r="A173" s="45"/>
      <c r="B173" s="45"/>
      <c r="C173" s="50">
        <f t="shared" si="16"/>
        <v>41791</v>
      </c>
      <c r="D173" s="56">
        <v>6.5358570454063403E-2</v>
      </c>
      <c r="E173" s="48">
        <v>4.5599999999999996</v>
      </c>
      <c r="F173" s="48">
        <v>0.17</v>
      </c>
      <c r="G173" s="48">
        <v>0.17</v>
      </c>
      <c r="H173" s="48">
        <v>0.17</v>
      </c>
      <c r="I173" s="48">
        <v>0.17499999999999999</v>
      </c>
      <c r="J173" s="48">
        <v>0.17</v>
      </c>
      <c r="K173" s="45">
        <v>0.17</v>
      </c>
      <c r="L173" s="48">
        <v>0.45</v>
      </c>
      <c r="M173" s="48">
        <v>0.4</v>
      </c>
      <c r="N173" s="48">
        <v>0.5</v>
      </c>
      <c r="O173" s="48">
        <v>0.5</v>
      </c>
      <c r="P173" s="48">
        <v>0.5</v>
      </c>
      <c r="Q173" s="56">
        <v>0.21</v>
      </c>
      <c r="R173" s="56">
        <v>0</v>
      </c>
      <c r="S173" s="45">
        <v>-3.5000000000000003E-2</v>
      </c>
      <c r="T173" s="45">
        <v>0</v>
      </c>
      <c r="U173" s="45">
        <v>-0.14000000000000001</v>
      </c>
      <c r="V173" s="45">
        <v>-0.01</v>
      </c>
      <c r="W173" s="45">
        <v>-0.14000000000000001</v>
      </c>
      <c r="X173" s="45">
        <v>-0.01</v>
      </c>
      <c r="Y173" s="45">
        <v>0.15</v>
      </c>
      <c r="Z173" s="45">
        <v>0</v>
      </c>
      <c r="AA173" s="45">
        <v>0.15</v>
      </c>
      <c r="AB173" s="45">
        <v>0</v>
      </c>
      <c r="AC173" s="45">
        <v>0.17</v>
      </c>
      <c r="AD173" s="45">
        <v>1.2500000000000001E-2</v>
      </c>
      <c r="AE173" s="45">
        <v>0.09</v>
      </c>
      <c r="AF173" s="45">
        <v>5.0000000000000001E-3</v>
      </c>
      <c r="AG173" s="45">
        <v>0.23499999999999999</v>
      </c>
      <c r="AH173" s="45">
        <v>0</v>
      </c>
      <c r="AI173" s="45">
        <v>0.18</v>
      </c>
      <c r="AJ173" s="45">
        <v>0</v>
      </c>
      <c r="AK173" s="45">
        <v>-0.79800000000000004</v>
      </c>
      <c r="AL173" s="45">
        <v>1.7076895980636E-3</v>
      </c>
      <c r="AM173" s="45">
        <v>0.13</v>
      </c>
      <c r="AN173" s="45">
        <v>1.54392080562506</v>
      </c>
      <c r="AO173" s="45">
        <v>0.17</v>
      </c>
      <c r="AP173" s="45">
        <v>0.18</v>
      </c>
      <c r="AQ173" s="45">
        <v>0.18</v>
      </c>
      <c r="AR173" s="45">
        <f t="shared" si="17"/>
        <v>0.64770161549519867</v>
      </c>
      <c r="AT173" s="217">
        <f t="shared" si="18"/>
        <v>8.8836991832927314E-2</v>
      </c>
      <c r="AU173" s="217">
        <f t="shared" si="19"/>
        <v>-0.70745531856900912</v>
      </c>
      <c r="AV173" s="45">
        <f>[10]Sheet1!AA164</f>
        <v>0.17199999999999993</v>
      </c>
      <c r="AW173" s="45">
        <v>0</v>
      </c>
    </row>
    <row r="174" spans="1:49">
      <c r="A174" s="45"/>
      <c r="B174" s="45"/>
      <c r="C174" s="50">
        <f t="shared" si="16"/>
        <v>41821</v>
      </c>
      <c r="D174" s="56">
        <v>6.5393998495470604E-2</v>
      </c>
      <c r="E174" s="48">
        <v>4.6150000000000002</v>
      </c>
      <c r="F174" s="48">
        <v>0.17</v>
      </c>
      <c r="G174" s="48">
        <v>0.17</v>
      </c>
      <c r="H174" s="48">
        <v>0.17</v>
      </c>
      <c r="I174" s="48">
        <v>0.17499999999999999</v>
      </c>
      <c r="J174" s="48">
        <v>0.17</v>
      </c>
      <c r="K174" s="45">
        <v>0.17</v>
      </c>
      <c r="L174" s="48">
        <v>0.5</v>
      </c>
      <c r="M174" s="48">
        <v>0.4</v>
      </c>
      <c r="N174" s="48">
        <v>0.55000000000000004</v>
      </c>
      <c r="O174" s="48">
        <v>0.5</v>
      </c>
      <c r="P174" s="48">
        <v>0.5</v>
      </c>
      <c r="Q174" s="56">
        <v>0.21</v>
      </c>
      <c r="R174" s="56">
        <v>0</v>
      </c>
      <c r="S174" s="45">
        <v>-3.5000000000000003E-2</v>
      </c>
      <c r="T174" s="45">
        <v>0</v>
      </c>
      <c r="U174" s="45">
        <v>-0.14000000000000001</v>
      </c>
      <c r="V174" s="45">
        <v>-0.01</v>
      </c>
      <c r="W174" s="45">
        <v>-0.14000000000000001</v>
      </c>
      <c r="X174" s="45">
        <v>-0.01</v>
      </c>
      <c r="Y174" s="45">
        <v>0.15</v>
      </c>
      <c r="Z174" s="45">
        <v>0</v>
      </c>
      <c r="AA174" s="45">
        <v>0.15</v>
      </c>
      <c r="AB174" s="45">
        <v>0</v>
      </c>
      <c r="AC174" s="45">
        <v>0.17499999999999999</v>
      </c>
      <c r="AD174" s="45">
        <v>1.2500000000000001E-2</v>
      </c>
      <c r="AE174" s="45">
        <v>0.09</v>
      </c>
      <c r="AF174" s="45">
        <v>5.0000000000000001E-3</v>
      </c>
      <c r="AG174" s="45">
        <v>0.23499999999999999</v>
      </c>
      <c r="AH174" s="45">
        <v>0</v>
      </c>
      <c r="AI174" s="45">
        <v>0.18</v>
      </c>
      <c r="AJ174" s="45">
        <v>0</v>
      </c>
      <c r="AK174" s="45">
        <v>-0.79800000000000004</v>
      </c>
      <c r="AL174" s="45">
        <v>1.7075134934328E-3</v>
      </c>
      <c r="AM174" s="45">
        <v>0.13</v>
      </c>
      <c r="AN174" s="45">
        <v>1.5440800381023099</v>
      </c>
      <c r="AO174" s="45">
        <v>0.17</v>
      </c>
      <c r="AP174" s="45">
        <v>0.18</v>
      </c>
      <c r="AQ174" s="45">
        <v>0.18</v>
      </c>
      <c r="AR174" s="45">
        <f t="shared" si="17"/>
        <v>0.64763482159189767</v>
      </c>
      <c r="AT174" s="217">
        <f t="shared" si="18"/>
        <v>8.8827830562829946E-2</v>
      </c>
      <c r="AU174" s="217">
        <f t="shared" si="19"/>
        <v>-0.70746465594373731</v>
      </c>
      <c r="AV174" s="45">
        <f>[10]Sheet1!AA165</f>
        <v>0.17199999999999993</v>
      </c>
      <c r="AW174" s="45">
        <v>0</v>
      </c>
    </row>
    <row r="175" spans="1:49">
      <c r="A175" s="45"/>
      <c r="B175" s="45"/>
      <c r="C175" s="50">
        <f t="shared" si="16"/>
        <v>41852</v>
      </c>
      <c r="D175" s="56">
        <v>6.5430607472028307E-2</v>
      </c>
      <c r="E175" s="48">
        <v>4.6710000000000003</v>
      </c>
      <c r="F175" s="48">
        <v>0.17</v>
      </c>
      <c r="G175" s="48">
        <v>0.17</v>
      </c>
      <c r="H175" s="48">
        <v>0.17</v>
      </c>
      <c r="I175" s="48">
        <v>0.17499999999999999</v>
      </c>
      <c r="J175" s="48">
        <v>0.17</v>
      </c>
      <c r="K175" s="45">
        <v>0.17</v>
      </c>
      <c r="L175" s="48">
        <v>0.55000000000000004</v>
      </c>
      <c r="M175" s="48">
        <v>0.5</v>
      </c>
      <c r="N175" s="48">
        <v>0.6</v>
      </c>
      <c r="O175" s="48">
        <v>0.45</v>
      </c>
      <c r="P175" s="48">
        <v>0.55000000000000004</v>
      </c>
      <c r="Q175" s="56">
        <v>0.21</v>
      </c>
      <c r="R175" s="56">
        <v>0</v>
      </c>
      <c r="S175" s="45">
        <v>-3.5000000000000003E-2</v>
      </c>
      <c r="T175" s="45">
        <v>0</v>
      </c>
      <c r="U175" s="45">
        <v>-0.14000000000000001</v>
      </c>
      <c r="V175" s="45">
        <v>-0.01</v>
      </c>
      <c r="W175" s="45">
        <v>-0.14000000000000001</v>
      </c>
      <c r="X175" s="45">
        <v>-0.01</v>
      </c>
      <c r="Y175" s="45">
        <v>0.15</v>
      </c>
      <c r="Z175" s="45">
        <v>0</v>
      </c>
      <c r="AA175" s="45">
        <v>0.15</v>
      </c>
      <c r="AB175" s="45">
        <v>0</v>
      </c>
      <c r="AC175" s="45">
        <v>0.17499999999999999</v>
      </c>
      <c r="AD175" s="45">
        <v>1.2500000000000001E-2</v>
      </c>
      <c r="AE175" s="45">
        <v>0.09</v>
      </c>
      <c r="AF175" s="45">
        <v>5.0000000000000001E-3</v>
      </c>
      <c r="AG175" s="45">
        <v>0.23499999999999999</v>
      </c>
      <c r="AH175" s="45">
        <v>0</v>
      </c>
      <c r="AI175" s="45">
        <v>0.18</v>
      </c>
      <c r="AJ175" s="45">
        <v>0</v>
      </c>
      <c r="AK175" s="45">
        <v>-0.79800000000000004</v>
      </c>
      <c r="AL175" s="45">
        <v>1.7073285686209001E-3</v>
      </c>
      <c r="AM175" s="45">
        <v>0.13</v>
      </c>
      <c r="AN175" s="45">
        <v>1.54424728107813</v>
      </c>
      <c r="AO175" s="45">
        <v>0.17</v>
      </c>
      <c r="AP175" s="45">
        <v>0.18</v>
      </c>
      <c r="AQ175" s="45">
        <v>0.18</v>
      </c>
      <c r="AR175" s="45">
        <f t="shared" si="17"/>
        <v>0.64756468232331355</v>
      </c>
      <c r="AT175" s="217">
        <f t="shared" si="18"/>
        <v>8.881821045152978E-2</v>
      </c>
      <c r="AU175" s="217">
        <f t="shared" si="19"/>
        <v>-0.70747446097984934</v>
      </c>
      <c r="AV175" s="45">
        <f>[10]Sheet1!AA166</f>
        <v>0.17199999999999993</v>
      </c>
      <c r="AW175" s="45">
        <v>0</v>
      </c>
    </row>
    <row r="176" spans="1:49">
      <c r="A176" s="45"/>
      <c r="B176" s="45"/>
      <c r="C176" s="50">
        <f t="shared" si="16"/>
        <v>41883</v>
      </c>
      <c r="D176" s="56">
        <v>6.5467216449030599E-2</v>
      </c>
      <c r="E176" s="48">
        <v>4.6849999999999996</v>
      </c>
      <c r="F176" s="48">
        <v>0.17</v>
      </c>
      <c r="G176" s="48">
        <v>0.17</v>
      </c>
      <c r="H176" s="48">
        <v>0.17</v>
      </c>
      <c r="I176" s="48">
        <v>0.17499999999999999</v>
      </c>
      <c r="J176" s="48">
        <v>0.17</v>
      </c>
      <c r="K176" s="45">
        <v>0.17</v>
      </c>
      <c r="L176" s="48">
        <v>0.55000000000000004</v>
      </c>
      <c r="M176" s="48">
        <v>0.55000000000000004</v>
      </c>
      <c r="N176" s="48">
        <v>0.6</v>
      </c>
      <c r="O176" s="48">
        <v>0.5</v>
      </c>
      <c r="P176" s="48">
        <v>0.6</v>
      </c>
      <c r="Q176" s="56">
        <v>0.21</v>
      </c>
      <c r="R176" s="56">
        <v>0</v>
      </c>
      <c r="S176" s="45">
        <v>-3.5000000000000003E-2</v>
      </c>
      <c r="T176" s="45">
        <v>0</v>
      </c>
      <c r="U176" s="45">
        <v>-0.14000000000000001</v>
      </c>
      <c r="V176" s="45">
        <v>-0.01</v>
      </c>
      <c r="W176" s="45">
        <v>-0.14000000000000001</v>
      </c>
      <c r="X176" s="45">
        <v>-0.01</v>
      </c>
      <c r="Y176" s="45">
        <v>0.15</v>
      </c>
      <c r="Z176" s="45">
        <v>0</v>
      </c>
      <c r="AA176" s="45">
        <v>0.15</v>
      </c>
      <c r="AB176" s="45">
        <v>0</v>
      </c>
      <c r="AC176" s="45">
        <v>0.16500000000000001</v>
      </c>
      <c r="AD176" s="45">
        <v>1.2500000000000001E-2</v>
      </c>
      <c r="AE176" s="45">
        <v>0.09</v>
      </c>
      <c r="AF176" s="45">
        <v>5.0000000000000001E-3</v>
      </c>
      <c r="AG176" s="45">
        <v>0.23499999999999999</v>
      </c>
      <c r="AH176" s="45">
        <v>0</v>
      </c>
      <c r="AI176" s="45">
        <v>0.18</v>
      </c>
      <c r="AJ176" s="45">
        <v>0</v>
      </c>
      <c r="AK176" s="45">
        <v>-0.79800000000000004</v>
      </c>
      <c r="AL176" s="45">
        <v>1.7071406465713999E-3</v>
      </c>
      <c r="AM176" s="45">
        <v>0.13</v>
      </c>
      <c r="AN176" s="45">
        <v>1.5444172718253399</v>
      </c>
      <c r="AO176" s="45">
        <v>0.17</v>
      </c>
      <c r="AP176" s="45">
        <v>0.18</v>
      </c>
      <c r="AQ176" s="45">
        <v>0.18</v>
      </c>
      <c r="AR176" s="45">
        <f t="shared" si="17"/>
        <v>0.64749340624642482</v>
      </c>
      <c r="AT176" s="217">
        <f t="shared" si="18"/>
        <v>8.880843441869464E-2</v>
      </c>
      <c r="AU176" s="217">
        <f t="shared" si="19"/>
        <v>-0.70748442493473396</v>
      </c>
      <c r="AV176" s="45">
        <f>[10]Sheet1!AA167</f>
        <v>0.17199999999999993</v>
      </c>
      <c r="AW176" s="45">
        <v>0</v>
      </c>
    </row>
    <row r="177" spans="1:49">
      <c r="A177" s="45"/>
      <c r="B177" s="45"/>
      <c r="C177" s="50">
        <f t="shared" si="16"/>
        <v>41913</v>
      </c>
      <c r="D177" s="56">
        <v>6.5502644491713696E-2</v>
      </c>
      <c r="E177" s="48">
        <v>4.7160000000000002</v>
      </c>
      <c r="F177" s="48">
        <v>0.17</v>
      </c>
      <c r="G177" s="48">
        <v>0.17</v>
      </c>
      <c r="H177" s="48">
        <v>0.17</v>
      </c>
      <c r="I177" s="48">
        <v>0.17499999999999999</v>
      </c>
      <c r="J177" s="48">
        <v>0.17</v>
      </c>
      <c r="K177" s="45">
        <v>0.17</v>
      </c>
      <c r="L177" s="48">
        <v>0.6</v>
      </c>
      <c r="M177" s="48">
        <v>0.55000000000000004</v>
      </c>
      <c r="N177" s="48">
        <v>0.65</v>
      </c>
      <c r="O177" s="48">
        <v>0.5</v>
      </c>
      <c r="P177" s="48">
        <v>0.65</v>
      </c>
      <c r="Q177" s="56">
        <v>0.21</v>
      </c>
      <c r="R177" s="56">
        <v>0</v>
      </c>
      <c r="S177" s="45">
        <v>-3.5000000000000003E-2</v>
      </c>
      <c r="T177" s="45">
        <v>0</v>
      </c>
      <c r="U177" s="45">
        <v>-0.14000000000000001</v>
      </c>
      <c r="V177" s="45">
        <v>-0.01</v>
      </c>
      <c r="W177" s="45">
        <v>-0.14000000000000001</v>
      </c>
      <c r="X177" s="45">
        <v>-0.01</v>
      </c>
      <c r="Y177" s="45">
        <v>0.15</v>
      </c>
      <c r="Z177" s="45">
        <v>0</v>
      </c>
      <c r="AA177" s="45">
        <v>0.15</v>
      </c>
      <c r="AB177" s="45">
        <v>0</v>
      </c>
      <c r="AC177" s="45">
        <v>0.17249999999999999</v>
      </c>
      <c r="AD177" s="45">
        <v>1.2500000000000001E-2</v>
      </c>
      <c r="AE177" s="45">
        <v>0.09</v>
      </c>
      <c r="AF177" s="45">
        <v>5.0000000000000001E-3</v>
      </c>
      <c r="AG177" s="45">
        <v>0.23499999999999999</v>
      </c>
      <c r="AH177" s="45">
        <v>0</v>
      </c>
      <c r="AI177" s="45">
        <v>0.18</v>
      </c>
      <c r="AJ177" s="45">
        <v>0</v>
      </c>
      <c r="AK177" s="45">
        <v>-0.79800000000000004</v>
      </c>
      <c r="AL177" s="45">
        <v>1.7069559338633001E-3</v>
      </c>
      <c r="AM177" s="45">
        <v>0.13</v>
      </c>
      <c r="AN177" s="45">
        <v>1.54458439593849</v>
      </c>
      <c r="AO177" s="45">
        <v>0.17</v>
      </c>
      <c r="AP177" s="45">
        <v>0.18</v>
      </c>
      <c r="AQ177" s="45">
        <v>0.18</v>
      </c>
      <c r="AR177" s="45">
        <f t="shared" si="17"/>
        <v>0.64742334742570007</v>
      </c>
      <c r="AT177" s="217">
        <f t="shared" si="18"/>
        <v>8.8798825341404028E-2</v>
      </c>
      <c r="AU177" s="217">
        <f t="shared" si="19"/>
        <v>-0.70749421872473273</v>
      </c>
      <c r="AV177" s="45">
        <f>[10]Sheet1!AA168</f>
        <v>0.17199999999999993</v>
      </c>
      <c r="AW177" s="45">
        <v>0</v>
      </c>
    </row>
    <row r="178" spans="1:49">
      <c r="A178" s="45"/>
      <c r="B178" s="45"/>
      <c r="C178" s="50">
        <f t="shared" si="16"/>
        <v>41944</v>
      </c>
      <c r="D178" s="56">
        <v>6.5539253469589595E-2</v>
      </c>
      <c r="E178" s="48">
        <v>4.8490000000000002</v>
      </c>
      <c r="F178" s="48">
        <v>0.17</v>
      </c>
      <c r="G178" s="48">
        <v>0.17</v>
      </c>
      <c r="H178" s="48">
        <v>0.17</v>
      </c>
      <c r="I178" s="48">
        <v>0.17499999999999999</v>
      </c>
      <c r="J178" s="48">
        <v>0.17</v>
      </c>
      <c r="K178" s="45">
        <v>0.17</v>
      </c>
      <c r="L178" s="48">
        <v>0.8</v>
      </c>
      <c r="M178" s="48">
        <v>0.8</v>
      </c>
      <c r="N178" s="48">
        <v>0.8</v>
      </c>
      <c r="O178" s="48">
        <v>0.95</v>
      </c>
      <c r="P178" s="48">
        <v>0.85</v>
      </c>
      <c r="Q178" s="56">
        <v>0.1</v>
      </c>
      <c r="R178" s="56">
        <v>0</v>
      </c>
      <c r="S178" s="45">
        <v>-3.4500000000000003E-2</v>
      </c>
      <c r="T178" s="45">
        <v>5.0000000000000001E-3</v>
      </c>
      <c r="U178" s="45">
        <v>-0.14249999999999999</v>
      </c>
      <c r="V178" s="45">
        <v>0.01</v>
      </c>
      <c r="W178" s="45">
        <v>-0.14249999999999999</v>
      </c>
      <c r="X178" s="45">
        <v>0.01</v>
      </c>
      <c r="Y178" s="45">
        <v>0</v>
      </c>
      <c r="Z178" s="45">
        <v>0</v>
      </c>
      <c r="AA178" s="45">
        <v>0</v>
      </c>
      <c r="AB178" s="45">
        <v>0</v>
      </c>
      <c r="AC178" s="45">
        <v>0.24</v>
      </c>
      <c r="AD178" s="45">
        <v>0.03</v>
      </c>
      <c r="AE178" s="45">
        <v>0</v>
      </c>
      <c r="AF178" s="45">
        <v>0.02</v>
      </c>
      <c r="AG178" s="45">
        <v>0</v>
      </c>
      <c r="AH178" s="45">
        <v>0</v>
      </c>
      <c r="AI178" s="45">
        <v>0</v>
      </c>
      <c r="AJ178" s="45">
        <v>0</v>
      </c>
      <c r="AK178" s="45">
        <v>-0.73799999999999999</v>
      </c>
      <c r="AL178" s="45">
        <v>5.4616387759294002E-3</v>
      </c>
      <c r="AM178" s="45">
        <v>0.13</v>
      </c>
      <c r="AN178" s="45">
        <v>1.5447597957563899</v>
      </c>
      <c r="AO178" s="45">
        <v>0.17</v>
      </c>
      <c r="AP178" s="45">
        <v>0</v>
      </c>
      <c r="AQ178" s="45">
        <v>0</v>
      </c>
      <c r="AR178" s="45">
        <f t="shared" si="17"/>
        <v>0.64734983571368199</v>
      </c>
      <c r="AT178" s="217">
        <f t="shared" si="18"/>
        <v>8.8788742674935472E-2</v>
      </c>
      <c r="AU178" s="217">
        <f t="shared" si="19"/>
        <v>-0.64374961854913515</v>
      </c>
      <c r="AV178" s="45">
        <f>[10]Sheet1!AA169</f>
        <v>0.21907142857142856</v>
      </c>
      <c r="AW178" s="45">
        <v>0</v>
      </c>
    </row>
    <row r="179" spans="1:49">
      <c r="A179" s="45"/>
      <c r="B179" s="45"/>
      <c r="C179" s="50">
        <f t="shared" si="16"/>
        <v>41974</v>
      </c>
      <c r="D179" s="56">
        <v>6.5574681513118196E-2</v>
      </c>
      <c r="E179" s="48">
        <v>4.9870000000000001</v>
      </c>
      <c r="F179" s="48">
        <v>0.17</v>
      </c>
      <c r="G179" s="48">
        <v>0.17</v>
      </c>
      <c r="H179" s="48">
        <v>0.17</v>
      </c>
      <c r="I179" s="48">
        <v>0.17499999999999999</v>
      </c>
      <c r="J179" s="48">
        <v>0.17</v>
      </c>
      <c r="K179" s="45">
        <v>0.17</v>
      </c>
      <c r="L179" s="48">
        <v>1</v>
      </c>
      <c r="M179" s="48">
        <v>1</v>
      </c>
      <c r="N179" s="48">
        <v>1.1000000000000001</v>
      </c>
      <c r="O179" s="48">
        <v>1.35</v>
      </c>
      <c r="P179" s="48">
        <v>1.05</v>
      </c>
      <c r="Q179" s="56">
        <v>0.1</v>
      </c>
      <c r="R179" s="56">
        <v>0</v>
      </c>
      <c r="S179" s="45">
        <v>-3.4500000000000003E-2</v>
      </c>
      <c r="T179" s="45">
        <v>5.0000000000000001E-3</v>
      </c>
      <c r="U179" s="45">
        <v>-0.13750000000000001</v>
      </c>
      <c r="V179" s="45">
        <v>0.01</v>
      </c>
      <c r="W179" s="45">
        <v>-0.13750000000000001</v>
      </c>
      <c r="X179" s="45">
        <v>0.01</v>
      </c>
      <c r="Y179" s="45">
        <v>0</v>
      </c>
      <c r="Z179" s="45">
        <v>0</v>
      </c>
      <c r="AA179" s="45">
        <v>0</v>
      </c>
      <c r="AB179" s="45">
        <v>0</v>
      </c>
      <c r="AC179" s="45">
        <v>0.26</v>
      </c>
      <c r="AD179" s="45">
        <v>0.03</v>
      </c>
      <c r="AE179" s="45">
        <v>0</v>
      </c>
      <c r="AF179" s="45">
        <v>0.02</v>
      </c>
      <c r="AG179" s="45">
        <v>0</v>
      </c>
      <c r="AH179" s="45">
        <v>0</v>
      </c>
      <c r="AI179" s="45">
        <v>0</v>
      </c>
      <c r="AJ179" s="45">
        <v>0</v>
      </c>
      <c r="AK179" s="45">
        <v>-0.73799999999999999</v>
      </c>
      <c r="AL179" s="45">
        <v>5.4610294490378998E-3</v>
      </c>
      <c r="AM179" s="45">
        <v>0.13</v>
      </c>
      <c r="AN179" s="45">
        <v>1.5449321558751699</v>
      </c>
      <c r="AO179" s="45">
        <v>0.17</v>
      </c>
      <c r="AP179" s="45">
        <v>0</v>
      </c>
      <c r="AQ179" s="45">
        <v>0</v>
      </c>
      <c r="AR179" s="45">
        <f t="shared" si="17"/>
        <v>0.64727761422864694</v>
      </c>
      <c r="AT179" s="217">
        <f t="shared" si="18"/>
        <v>8.8778836972490519E-2</v>
      </c>
      <c r="AU179" s="217">
        <f t="shared" si="19"/>
        <v>-0.64376013357847151</v>
      </c>
      <c r="AV179" s="45">
        <f>[10]Sheet1!AA170</f>
        <v>0.22407142857142856</v>
      </c>
      <c r="AW179" s="45">
        <v>0</v>
      </c>
    </row>
    <row r="180" spans="1:49">
      <c r="A180" s="45"/>
      <c r="B180" s="45"/>
      <c r="C180" s="50">
        <f t="shared" si="16"/>
        <v>42005</v>
      </c>
      <c r="D180" s="56">
        <v>6.5611290491868396E-2</v>
      </c>
      <c r="E180" s="48">
        <v>5.0440000000000005</v>
      </c>
      <c r="F180" s="48">
        <v>0.17</v>
      </c>
      <c r="G180" s="48">
        <v>0.17</v>
      </c>
      <c r="H180" s="48">
        <v>0.17</v>
      </c>
      <c r="I180" s="48">
        <v>0.17499999999999999</v>
      </c>
      <c r="J180" s="48">
        <v>0.17</v>
      </c>
      <c r="K180" s="45">
        <v>0.17</v>
      </c>
      <c r="L180" s="48">
        <v>1</v>
      </c>
      <c r="M180" s="48">
        <v>1</v>
      </c>
      <c r="N180" s="48">
        <v>1.1000000000000001</v>
      </c>
      <c r="O180" s="48">
        <v>1.35</v>
      </c>
      <c r="P180" s="48">
        <v>1.05</v>
      </c>
      <c r="Q180" s="56">
        <v>0.1</v>
      </c>
      <c r="R180" s="56">
        <v>0</v>
      </c>
      <c r="S180" s="45">
        <v>-3.2500000000000001E-2</v>
      </c>
      <c r="T180" s="45">
        <v>5.0000000000000001E-3</v>
      </c>
      <c r="U180" s="45">
        <v>-0.13750000000000001</v>
      </c>
      <c r="V180" s="45">
        <v>0.01</v>
      </c>
      <c r="W180" s="45">
        <v>-0.13750000000000001</v>
      </c>
      <c r="X180" s="45">
        <v>0.01</v>
      </c>
      <c r="Y180" s="45">
        <v>0</v>
      </c>
      <c r="Z180" s="45">
        <v>0</v>
      </c>
      <c r="AA180" s="45">
        <v>0</v>
      </c>
      <c r="AB180" s="45">
        <v>0</v>
      </c>
      <c r="AC180" s="45">
        <v>0.27</v>
      </c>
      <c r="AD180" s="45">
        <v>0.03</v>
      </c>
      <c r="AE180" s="45">
        <v>0</v>
      </c>
      <c r="AF180" s="45">
        <v>0.02</v>
      </c>
      <c r="AG180" s="45">
        <v>0</v>
      </c>
      <c r="AH180" s="45">
        <v>0</v>
      </c>
      <c r="AI180" s="45">
        <v>0</v>
      </c>
      <c r="AJ180" s="45">
        <v>0</v>
      </c>
      <c r="AN180" s="45">
        <v>1.5451129677286999</v>
      </c>
      <c r="AO180" s="45">
        <v>0.17</v>
      </c>
      <c r="AP180" s="45">
        <v>0</v>
      </c>
      <c r="AQ180" s="45">
        <v>0</v>
      </c>
      <c r="AR180" s="45">
        <f t="shared" si="17"/>
        <v>0.64720186865688512</v>
      </c>
      <c r="AT180" s="217">
        <f t="shared" si="18"/>
        <v>0</v>
      </c>
      <c r="AU180" s="217">
        <f t="shared" si="19"/>
        <v>0</v>
      </c>
      <c r="AV180" s="45">
        <f>[10]Sheet1!AA171</f>
        <v>0.22607142857142856</v>
      </c>
      <c r="AW180" s="45">
        <v>0</v>
      </c>
    </row>
    <row r="181" spans="1:49">
      <c r="A181" s="45"/>
      <c r="B181" s="45"/>
      <c r="C181" s="50">
        <f t="shared" si="16"/>
        <v>42036</v>
      </c>
      <c r="D181" s="56">
        <v>6.5647899471062296E-2</v>
      </c>
      <c r="E181" s="48">
        <v>4.9240000000000004</v>
      </c>
      <c r="F181" s="48">
        <v>0.17</v>
      </c>
      <c r="G181" s="48">
        <v>0.17</v>
      </c>
      <c r="H181" s="48">
        <v>0.17</v>
      </c>
      <c r="I181" s="48">
        <v>0.17499999999999999</v>
      </c>
      <c r="J181" s="48">
        <v>0.17</v>
      </c>
      <c r="K181" s="45">
        <v>0.17</v>
      </c>
      <c r="L181" s="48">
        <v>1</v>
      </c>
      <c r="M181" s="48">
        <v>1</v>
      </c>
      <c r="N181" s="48">
        <v>1.1000000000000001</v>
      </c>
      <c r="O181" s="48">
        <v>1.35</v>
      </c>
      <c r="P181" s="48">
        <v>1.05</v>
      </c>
      <c r="Q181" s="56">
        <v>0.1</v>
      </c>
      <c r="R181" s="56">
        <v>0</v>
      </c>
      <c r="S181" s="45">
        <v>-3.2500000000000001E-2</v>
      </c>
      <c r="T181" s="45">
        <v>5.0000000000000001E-3</v>
      </c>
      <c r="U181" s="45">
        <v>-0.14000000000000001</v>
      </c>
      <c r="V181" s="45">
        <v>0.01</v>
      </c>
      <c r="W181" s="45">
        <v>-0.14000000000000001</v>
      </c>
      <c r="X181" s="45">
        <v>0.01</v>
      </c>
      <c r="Y181" s="45">
        <v>0</v>
      </c>
      <c r="Z181" s="45">
        <v>0</v>
      </c>
      <c r="AA181" s="45">
        <v>0</v>
      </c>
      <c r="AB181" s="45">
        <v>0</v>
      </c>
      <c r="AC181" s="45">
        <v>0.27</v>
      </c>
      <c r="AD181" s="45">
        <v>0.03</v>
      </c>
      <c r="AE181" s="45">
        <v>0</v>
      </c>
      <c r="AF181" s="45">
        <v>0.02</v>
      </c>
      <c r="AG181" s="45">
        <v>0</v>
      </c>
      <c r="AH181" s="45">
        <v>0</v>
      </c>
      <c r="AI181" s="45">
        <v>0</v>
      </c>
      <c r="AJ181" s="45">
        <v>0</v>
      </c>
      <c r="AN181" s="45">
        <v>1.5452965311329598</v>
      </c>
      <c r="AO181" s="45">
        <v>0.17</v>
      </c>
      <c r="AP181" s="45">
        <v>0</v>
      </c>
      <c r="AQ181" s="45">
        <v>0</v>
      </c>
      <c r="AR181" s="45">
        <f t="shared" si="17"/>
        <v>0.64712498853979394</v>
      </c>
      <c r="AT181" s="217">
        <f t="shared" si="18"/>
        <v>0</v>
      </c>
      <c r="AU181" s="217">
        <f t="shared" si="19"/>
        <v>0</v>
      </c>
      <c r="AV181" s="45">
        <f>[10]Sheet1!AA172</f>
        <v>0.22607142857142856</v>
      </c>
      <c r="AW181" s="45">
        <v>0</v>
      </c>
    </row>
    <row r="182" spans="1:49">
      <c r="A182" s="45"/>
      <c r="B182" s="45"/>
      <c r="C182" s="50">
        <f t="shared" si="16"/>
        <v>42064</v>
      </c>
      <c r="D182" s="56">
        <v>6.5680965646200296E-2</v>
      </c>
      <c r="E182" s="48">
        <v>4.7850000000000001</v>
      </c>
      <c r="F182" s="48">
        <v>0.17</v>
      </c>
      <c r="G182" s="48">
        <v>0.17</v>
      </c>
      <c r="H182" s="48">
        <v>0.17</v>
      </c>
      <c r="I182" s="48">
        <v>0.17499999999999999</v>
      </c>
      <c r="J182" s="48">
        <v>0.17</v>
      </c>
      <c r="K182" s="45">
        <v>0.17</v>
      </c>
      <c r="L182" s="48">
        <v>0.75</v>
      </c>
      <c r="M182" s="48">
        <v>0.75</v>
      </c>
      <c r="N182" s="48">
        <v>0.75</v>
      </c>
      <c r="O182" s="48">
        <v>0.95</v>
      </c>
      <c r="P182" s="48">
        <v>0.75</v>
      </c>
      <c r="Q182" s="56">
        <v>0.1</v>
      </c>
      <c r="R182" s="56">
        <v>0</v>
      </c>
      <c r="S182" s="45">
        <v>-3.2500000000000001E-2</v>
      </c>
      <c r="T182" s="45">
        <v>5.0000000000000001E-3</v>
      </c>
      <c r="U182" s="45">
        <v>-0.14249999999999999</v>
      </c>
      <c r="V182" s="45">
        <v>0.01</v>
      </c>
      <c r="W182" s="45">
        <v>-0.14249999999999999</v>
      </c>
      <c r="X182" s="45">
        <v>0.01</v>
      </c>
      <c r="Y182" s="45">
        <v>0</v>
      </c>
      <c r="Z182" s="45">
        <v>0</v>
      </c>
      <c r="AA182" s="45">
        <v>0</v>
      </c>
      <c r="AB182" s="45">
        <v>0</v>
      </c>
      <c r="AC182" s="45">
        <v>0.24</v>
      </c>
      <c r="AD182" s="45">
        <v>0.03</v>
      </c>
      <c r="AE182" s="45">
        <v>0</v>
      </c>
      <c r="AF182" s="45">
        <v>0.02</v>
      </c>
      <c r="AG182" s="45">
        <v>0</v>
      </c>
      <c r="AH182" s="45">
        <v>0</v>
      </c>
      <c r="AI182" s="45">
        <v>0</v>
      </c>
      <c r="AJ182" s="45">
        <v>0</v>
      </c>
      <c r="AN182" s="45">
        <v>1.5454646960261</v>
      </c>
      <c r="AO182" s="45">
        <v>0.17</v>
      </c>
      <c r="AP182" s="45">
        <v>0</v>
      </c>
      <c r="AQ182" s="45">
        <v>0</v>
      </c>
      <c r="AR182" s="45">
        <f t="shared" si="17"/>
        <v>0.64705457366404429</v>
      </c>
      <c r="AT182" s="217">
        <f t="shared" si="18"/>
        <v>0</v>
      </c>
      <c r="AU182" s="217">
        <f t="shared" si="19"/>
        <v>0</v>
      </c>
      <c r="AV182" s="45">
        <f>[10]Sheet1!AA173</f>
        <v>0.22607142857142856</v>
      </c>
      <c r="AW182" s="45">
        <v>0</v>
      </c>
    </row>
    <row r="183" spans="1:49">
      <c r="A183" s="45"/>
      <c r="B183" s="45"/>
      <c r="C183" s="50">
        <f t="shared" si="16"/>
        <v>42095</v>
      </c>
      <c r="D183" s="56">
        <v>6.57175746262397E-2</v>
      </c>
      <c r="E183" s="48">
        <v>4.6100000000000003</v>
      </c>
      <c r="F183" s="48">
        <v>0.17</v>
      </c>
      <c r="G183" s="48">
        <v>0.17</v>
      </c>
      <c r="H183" s="48">
        <v>0.17</v>
      </c>
      <c r="I183" s="48">
        <v>0.17499999999999999</v>
      </c>
      <c r="J183" s="48">
        <v>0.17</v>
      </c>
      <c r="K183" s="45">
        <v>0.17</v>
      </c>
      <c r="L183" s="48">
        <v>0.4</v>
      </c>
      <c r="M183" s="48">
        <v>0.4</v>
      </c>
      <c r="N183" s="48">
        <v>0.45</v>
      </c>
      <c r="O183" s="48">
        <v>0.5</v>
      </c>
      <c r="P183" s="48">
        <v>0.45</v>
      </c>
      <c r="Q183" s="56">
        <v>0.06</v>
      </c>
      <c r="R183" s="56">
        <v>0</v>
      </c>
      <c r="S183" s="45">
        <v>-0.03</v>
      </c>
      <c r="T183" s="45">
        <v>0</v>
      </c>
      <c r="U183" s="45">
        <v>-0.14000000000000001</v>
      </c>
      <c r="V183" s="45">
        <v>-0.01</v>
      </c>
      <c r="W183" s="45">
        <v>-0.14000000000000001</v>
      </c>
      <c r="X183" s="45">
        <v>-0.01</v>
      </c>
      <c r="Y183" s="45">
        <v>0</v>
      </c>
      <c r="Z183" s="45">
        <v>0</v>
      </c>
      <c r="AA183" s="45">
        <v>0</v>
      </c>
      <c r="AB183" s="45">
        <v>0</v>
      </c>
      <c r="AC183" s="45">
        <v>0.17</v>
      </c>
      <c r="AD183" s="45">
        <v>1.7500000000000002E-2</v>
      </c>
      <c r="AE183" s="45">
        <v>0</v>
      </c>
      <c r="AF183" s="45">
        <v>5.0000000000000001E-3</v>
      </c>
      <c r="AG183" s="45">
        <v>0</v>
      </c>
      <c r="AH183" s="45">
        <v>0</v>
      </c>
      <c r="AI183" s="45">
        <v>0</v>
      </c>
      <c r="AJ183" s="45">
        <v>0</v>
      </c>
      <c r="AN183" s="45">
        <v>1.5456534985003598</v>
      </c>
      <c r="AO183" s="45">
        <v>0.17</v>
      </c>
      <c r="AP183" s="45">
        <v>0</v>
      </c>
      <c r="AQ183" s="45">
        <v>0</v>
      </c>
      <c r="AR183" s="45">
        <f t="shared" si="17"/>
        <v>0.64697553557134924</v>
      </c>
      <c r="AT183" s="217">
        <f t="shared" si="18"/>
        <v>0</v>
      </c>
      <c r="AU183" s="217">
        <f t="shared" si="19"/>
        <v>0</v>
      </c>
      <c r="AV183" s="45">
        <f>[10]Sheet1!AA174</f>
        <v>0.17699999999999994</v>
      </c>
      <c r="AW183" s="45">
        <v>0</v>
      </c>
    </row>
    <row r="184" spans="1:49">
      <c r="A184" s="45"/>
      <c r="B184" s="45"/>
      <c r="C184" s="50">
        <f t="shared" si="16"/>
        <v>42125</v>
      </c>
      <c r="D184" s="56">
        <v>6.5753002671861807E-2</v>
      </c>
      <c r="E184" s="48">
        <v>4.58</v>
      </c>
      <c r="F184" s="48">
        <v>0.17</v>
      </c>
      <c r="G184" s="48">
        <v>0.17</v>
      </c>
      <c r="H184" s="48">
        <v>0.17</v>
      </c>
      <c r="I184" s="48">
        <v>0.17499999999999999</v>
      </c>
      <c r="J184" s="48">
        <v>0.17</v>
      </c>
      <c r="K184" s="45">
        <v>0.17</v>
      </c>
      <c r="L184" s="48">
        <v>0.45</v>
      </c>
      <c r="M184" s="48">
        <v>0.4</v>
      </c>
      <c r="N184" s="48">
        <v>0.5</v>
      </c>
      <c r="O184" s="48">
        <v>0.45</v>
      </c>
      <c r="P184" s="48">
        <v>0.45</v>
      </c>
      <c r="Q184" s="56">
        <v>0.06</v>
      </c>
      <c r="R184" s="56">
        <v>0</v>
      </c>
      <c r="S184" s="45">
        <v>-0.03</v>
      </c>
      <c r="T184" s="45">
        <v>0</v>
      </c>
      <c r="U184" s="45">
        <v>-0.14000000000000001</v>
      </c>
      <c r="V184" s="45">
        <v>-0.01</v>
      </c>
      <c r="W184" s="45">
        <v>-0.14000000000000001</v>
      </c>
      <c r="X184" s="45">
        <v>-0.01</v>
      </c>
      <c r="Y184" s="45">
        <v>0</v>
      </c>
      <c r="Z184" s="45">
        <v>0</v>
      </c>
      <c r="AA184" s="45">
        <v>0</v>
      </c>
      <c r="AB184" s="45">
        <v>0</v>
      </c>
      <c r="AC184" s="45">
        <v>0.16500000000000001</v>
      </c>
      <c r="AD184" s="45">
        <v>0.01</v>
      </c>
      <c r="AE184" s="45">
        <v>0</v>
      </c>
      <c r="AF184" s="45">
        <v>5.0000000000000001E-3</v>
      </c>
      <c r="AG184" s="45">
        <v>0</v>
      </c>
      <c r="AH184" s="45">
        <v>0</v>
      </c>
      <c r="AI184" s="45">
        <v>0</v>
      </c>
      <c r="AJ184" s="45">
        <v>0</v>
      </c>
      <c r="AN184" s="45">
        <v>1.54583883268156</v>
      </c>
      <c r="AO184" s="45">
        <v>0.17</v>
      </c>
      <c r="AP184" s="45">
        <v>0</v>
      </c>
      <c r="AQ184" s="45">
        <v>0</v>
      </c>
      <c r="AR184" s="45">
        <f t="shared" si="17"/>
        <v>0.6468979681829472</v>
      </c>
      <c r="AT184" s="217">
        <f t="shared" si="18"/>
        <v>0</v>
      </c>
      <c r="AU184" s="217">
        <f t="shared" si="19"/>
        <v>0</v>
      </c>
      <c r="AV184" s="45">
        <f>[10]Sheet1!AA175</f>
        <v>0.17699999999999994</v>
      </c>
      <c r="AW184" s="45">
        <v>0</v>
      </c>
    </row>
    <row r="185" spans="1:49">
      <c r="A185" s="45"/>
      <c r="B185" s="45"/>
      <c r="C185" s="50">
        <f t="shared" si="16"/>
        <v>42156</v>
      </c>
      <c r="D185" s="56">
        <v>6.5789611652774305E-2</v>
      </c>
      <c r="E185" s="48">
        <v>4.6500000000000004</v>
      </c>
      <c r="F185" s="48">
        <v>0.17</v>
      </c>
      <c r="G185" s="48">
        <v>0.17</v>
      </c>
      <c r="H185" s="48">
        <v>0.17</v>
      </c>
      <c r="I185" s="48">
        <v>0.17499999999999999</v>
      </c>
      <c r="J185" s="48">
        <v>0.17</v>
      </c>
      <c r="K185" s="45">
        <v>0.17</v>
      </c>
      <c r="L185" s="48">
        <v>0.45</v>
      </c>
      <c r="M185" s="48">
        <v>0.4</v>
      </c>
      <c r="N185" s="48">
        <v>0.5</v>
      </c>
      <c r="O185" s="48">
        <v>0.5</v>
      </c>
      <c r="P185" s="48">
        <v>0.5</v>
      </c>
      <c r="Q185" s="56">
        <v>0.06</v>
      </c>
      <c r="R185" s="56">
        <v>0</v>
      </c>
      <c r="S185" s="45">
        <v>-0.03</v>
      </c>
      <c r="T185" s="45">
        <v>0</v>
      </c>
      <c r="U185" s="45">
        <v>-0.14000000000000001</v>
      </c>
      <c r="V185" s="45">
        <v>-0.01</v>
      </c>
      <c r="W185" s="45">
        <v>-0.14000000000000001</v>
      </c>
      <c r="X185" s="45">
        <v>-0.01</v>
      </c>
      <c r="Y185" s="45">
        <v>0</v>
      </c>
      <c r="Z185" s="45">
        <v>0</v>
      </c>
      <c r="AA185" s="45">
        <v>0</v>
      </c>
      <c r="AB185" s="45">
        <v>0</v>
      </c>
      <c r="AC185" s="45">
        <v>0.17</v>
      </c>
      <c r="AD185" s="45">
        <v>1.2500000000000001E-2</v>
      </c>
      <c r="AE185" s="45">
        <v>0</v>
      </c>
      <c r="AF185" s="45">
        <v>5.0000000000000001E-3</v>
      </c>
      <c r="AG185" s="45">
        <v>0</v>
      </c>
      <c r="AH185" s="45">
        <v>0</v>
      </c>
      <c r="AI185" s="45">
        <v>0</v>
      </c>
      <c r="AJ185" s="45">
        <v>0</v>
      </c>
      <c r="AN185" s="45">
        <v>1.5460330550104699</v>
      </c>
      <c r="AO185" s="45">
        <v>0.17</v>
      </c>
      <c r="AP185" s="45">
        <v>0</v>
      </c>
      <c r="AQ185" s="45">
        <v>0</v>
      </c>
      <c r="AR185" s="45">
        <f t="shared" si="17"/>
        <v>0.64681670081965215</v>
      </c>
      <c r="AT185" s="217">
        <f t="shared" si="18"/>
        <v>0</v>
      </c>
      <c r="AU185" s="217">
        <f t="shared" si="19"/>
        <v>0</v>
      </c>
      <c r="AV185" s="45">
        <f>[10]Sheet1!AA176</f>
        <v>0.17699999999999994</v>
      </c>
      <c r="AW185" s="45">
        <v>0</v>
      </c>
    </row>
    <row r="186" spans="1:49">
      <c r="A186" s="45"/>
      <c r="B186" s="45"/>
      <c r="C186" s="50">
        <f t="shared" si="16"/>
        <v>42186</v>
      </c>
      <c r="D186" s="56">
        <v>6.5825039699242402E-2</v>
      </c>
      <c r="E186" s="48">
        <v>4.7050000000000001</v>
      </c>
      <c r="F186" s="48">
        <v>0.17</v>
      </c>
      <c r="G186" s="48">
        <v>0.17</v>
      </c>
      <c r="H186" s="48">
        <v>0.17</v>
      </c>
      <c r="I186" s="48">
        <v>0.17499999999999999</v>
      </c>
      <c r="J186" s="48">
        <v>0.17</v>
      </c>
      <c r="K186" s="45">
        <v>0.17</v>
      </c>
      <c r="L186" s="48">
        <v>0.5</v>
      </c>
      <c r="M186" s="48">
        <v>0.4</v>
      </c>
      <c r="N186" s="48">
        <v>0.55000000000000004</v>
      </c>
      <c r="O186" s="48">
        <v>0.5</v>
      </c>
      <c r="P186" s="48">
        <v>0.5</v>
      </c>
      <c r="Q186" s="56">
        <v>0.06</v>
      </c>
      <c r="R186" s="56">
        <v>0</v>
      </c>
      <c r="S186" s="45">
        <v>-0.03</v>
      </c>
      <c r="T186" s="45">
        <v>0</v>
      </c>
      <c r="U186" s="45">
        <v>-0.14000000000000001</v>
      </c>
      <c r="V186" s="45">
        <v>-0.01</v>
      </c>
      <c r="W186" s="45">
        <v>-0.14000000000000001</v>
      </c>
      <c r="X186" s="45">
        <v>-0.01</v>
      </c>
      <c r="Y186" s="45">
        <v>0</v>
      </c>
      <c r="Z186" s="45">
        <v>0</v>
      </c>
      <c r="AA186" s="45">
        <v>0</v>
      </c>
      <c r="AB186" s="45">
        <v>0</v>
      </c>
      <c r="AC186" s="45">
        <v>0.17499999999999999</v>
      </c>
      <c r="AD186" s="45">
        <v>1.2500000000000001E-2</v>
      </c>
      <c r="AE186" s="45">
        <v>0</v>
      </c>
      <c r="AF186" s="45">
        <v>5.0000000000000001E-3</v>
      </c>
      <c r="AG186" s="45">
        <v>0</v>
      </c>
      <c r="AH186" s="45">
        <v>0</v>
      </c>
      <c r="AI186" s="45">
        <v>0</v>
      </c>
      <c r="AJ186" s="45">
        <v>0</v>
      </c>
      <c r="AN186" s="45">
        <v>1.54622363582093</v>
      </c>
      <c r="AO186" s="45">
        <v>0.17</v>
      </c>
      <c r="AP186" s="45">
        <v>0</v>
      </c>
      <c r="AQ186" s="45">
        <v>0</v>
      </c>
      <c r="AR186" s="45">
        <f t="shared" si="17"/>
        <v>0.64673697700208432</v>
      </c>
      <c r="AT186" s="217">
        <f t="shared" si="18"/>
        <v>0</v>
      </c>
      <c r="AU186" s="217">
        <f t="shared" si="19"/>
        <v>0</v>
      </c>
      <c r="AV186" s="45">
        <f>[10]Sheet1!AA177</f>
        <v>0.17699999999999994</v>
      </c>
      <c r="AW186" s="45">
        <v>0</v>
      </c>
    </row>
    <row r="187" spans="1:49">
      <c r="A187" s="45"/>
      <c r="B187" s="45"/>
      <c r="C187" s="50">
        <f t="shared" si="16"/>
        <v>42217</v>
      </c>
      <c r="D187" s="56">
        <v>6.5861648681029297E-2</v>
      </c>
      <c r="E187" s="48">
        <v>4.7610000000000001</v>
      </c>
      <c r="F187" s="48">
        <v>0.17</v>
      </c>
      <c r="G187" s="48">
        <v>0.17</v>
      </c>
      <c r="H187" s="48">
        <v>0.17</v>
      </c>
      <c r="I187" s="48">
        <v>0.17499999999999999</v>
      </c>
      <c r="J187" s="48">
        <v>0.17</v>
      </c>
      <c r="K187" s="45">
        <v>0.17</v>
      </c>
      <c r="L187" s="48">
        <v>0.55000000000000004</v>
      </c>
      <c r="M187" s="48">
        <v>0.5</v>
      </c>
      <c r="N187" s="48">
        <v>0.6</v>
      </c>
      <c r="O187" s="48">
        <v>0.45</v>
      </c>
      <c r="P187" s="48">
        <v>0.55000000000000004</v>
      </c>
      <c r="Q187" s="56">
        <v>0.06</v>
      </c>
      <c r="R187" s="56">
        <v>0</v>
      </c>
      <c r="S187" s="45">
        <v>-0.03</v>
      </c>
      <c r="T187" s="45">
        <v>0</v>
      </c>
      <c r="U187" s="45">
        <v>-0.14000000000000001</v>
      </c>
      <c r="V187" s="45">
        <v>-0.01</v>
      </c>
      <c r="W187" s="45">
        <v>-0.14000000000000001</v>
      </c>
      <c r="X187" s="45">
        <v>-0.01</v>
      </c>
      <c r="Y187" s="45">
        <v>0</v>
      </c>
      <c r="Z187" s="45">
        <v>0</v>
      </c>
      <c r="AA187" s="45">
        <v>0</v>
      </c>
      <c r="AB187" s="45">
        <v>0</v>
      </c>
      <c r="AC187" s="45">
        <v>0.17499999999999999</v>
      </c>
      <c r="AD187" s="45">
        <v>1.2500000000000001E-2</v>
      </c>
      <c r="AE187" s="45">
        <v>0</v>
      </c>
      <c r="AF187" s="45">
        <v>5.0000000000000001E-3</v>
      </c>
      <c r="AG187" s="45">
        <v>0</v>
      </c>
      <c r="AH187" s="45">
        <v>0</v>
      </c>
      <c r="AI187" s="45">
        <v>0</v>
      </c>
      <c r="AJ187" s="45">
        <v>0</v>
      </c>
      <c r="AN187" s="45">
        <v>1.54642328135709</v>
      </c>
      <c r="AO187" s="45">
        <v>0.17</v>
      </c>
      <c r="AP187" s="45">
        <v>0</v>
      </c>
      <c r="AQ187" s="45">
        <v>0</v>
      </c>
      <c r="AR187" s="45">
        <f t="shared" si="17"/>
        <v>0.64665348230041719</v>
      </c>
      <c r="AT187" s="217">
        <f t="shared" si="18"/>
        <v>0</v>
      </c>
      <c r="AU187" s="217">
        <f t="shared" si="19"/>
        <v>0</v>
      </c>
      <c r="AV187" s="45">
        <f>[10]Sheet1!AA178</f>
        <v>0.17699999999999994</v>
      </c>
      <c r="AW187" s="45">
        <v>0</v>
      </c>
    </row>
    <row r="188" spans="1:49">
      <c r="A188" s="45"/>
      <c r="B188" s="45"/>
      <c r="C188" s="50">
        <f t="shared" si="16"/>
        <v>42248</v>
      </c>
      <c r="D188" s="56">
        <v>6.5898257663259796E-2</v>
      </c>
      <c r="E188" s="48">
        <v>4.7750000000000004</v>
      </c>
      <c r="F188" s="48">
        <v>0.17</v>
      </c>
      <c r="G188" s="48">
        <v>0.17</v>
      </c>
      <c r="H188" s="48">
        <v>0.17</v>
      </c>
      <c r="I188" s="48">
        <v>0.17499999999999999</v>
      </c>
      <c r="J188" s="48">
        <v>0.17</v>
      </c>
      <c r="K188" s="45">
        <v>0.17</v>
      </c>
      <c r="L188" s="48">
        <v>0.55000000000000004</v>
      </c>
      <c r="M188" s="48">
        <v>0.55000000000000004</v>
      </c>
      <c r="N188" s="48">
        <v>0.6</v>
      </c>
      <c r="O188" s="48">
        <v>0.5</v>
      </c>
      <c r="P188" s="48">
        <v>0.6</v>
      </c>
      <c r="Q188" s="56">
        <v>0.06</v>
      </c>
      <c r="R188" s="56">
        <v>0</v>
      </c>
      <c r="S188" s="45">
        <v>0</v>
      </c>
      <c r="T188" s="45">
        <v>0</v>
      </c>
      <c r="U188" s="45">
        <v>-0.14000000000000001</v>
      </c>
      <c r="V188" s="45">
        <v>-0.01</v>
      </c>
      <c r="W188" s="45">
        <v>-0.14000000000000001</v>
      </c>
      <c r="X188" s="45">
        <v>-0.01</v>
      </c>
      <c r="Y188" s="45">
        <v>0</v>
      </c>
      <c r="Z188" s="45">
        <v>0</v>
      </c>
      <c r="AA188" s="45">
        <v>0</v>
      </c>
      <c r="AB188" s="45">
        <v>0</v>
      </c>
      <c r="AC188" s="45">
        <v>0.16500000000000001</v>
      </c>
      <c r="AD188" s="45">
        <v>1.2500000000000001E-2</v>
      </c>
      <c r="AE188" s="45">
        <v>0</v>
      </c>
      <c r="AF188" s="45">
        <v>5.0000000000000001E-3</v>
      </c>
      <c r="AG188" s="45">
        <v>0</v>
      </c>
      <c r="AH188" s="45">
        <v>0</v>
      </c>
      <c r="AI188" s="45">
        <v>0</v>
      </c>
      <c r="AJ188" s="45">
        <v>0</v>
      </c>
      <c r="AN188" s="45">
        <v>1.5466256842700299</v>
      </c>
      <c r="AO188" s="45">
        <v>0.17</v>
      </c>
      <c r="AP188" s="45">
        <v>0</v>
      </c>
      <c r="AQ188" s="45">
        <v>0</v>
      </c>
      <c r="AR188" s="45">
        <f t="shared" si="17"/>
        <v>0.64656885642758222</v>
      </c>
      <c r="AT188" s="217">
        <f t="shared" si="18"/>
        <v>0</v>
      </c>
      <c r="AU188" s="217">
        <f t="shared" si="19"/>
        <v>0</v>
      </c>
      <c r="AV188" s="45">
        <f>[10]Sheet1!AA179</f>
        <v>0.20699999999999993</v>
      </c>
      <c r="AW188" s="45">
        <v>0</v>
      </c>
    </row>
    <row r="189" spans="1:49">
      <c r="A189" s="45"/>
      <c r="B189" s="45"/>
      <c r="C189" s="50">
        <f t="shared" si="16"/>
        <v>42278</v>
      </c>
      <c r="D189" s="56">
        <v>6.5933685711002901E-2</v>
      </c>
      <c r="E189" s="48">
        <v>4.806</v>
      </c>
      <c r="F189" s="48">
        <v>0.17</v>
      </c>
      <c r="G189" s="48">
        <v>0.17</v>
      </c>
      <c r="H189" s="48">
        <v>0.17</v>
      </c>
      <c r="I189" s="48">
        <v>0.17499999999999999</v>
      </c>
      <c r="J189" s="48">
        <v>0.17</v>
      </c>
      <c r="K189" s="45">
        <v>0.17</v>
      </c>
      <c r="L189" s="48">
        <v>0.6</v>
      </c>
      <c r="M189" s="48">
        <v>0.55000000000000004</v>
      </c>
      <c r="N189" s="48">
        <v>0.65</v>
      </c>
      <c r="O189" s="48">
        <v>0.5</v>
      </c>
      <c r="P189" s="48">
        <v>0.65</v>
      </c>
      <c r="Q189" s="56">
        <v>0.06</v>
      </c>
      <c r="R189" s="56">
        <v>0</v>
      </c>
      <c r="S189" s="45">
        <v>0</v>
      </c>
      <c r="T189" s="45">
        <v>0</v>
      </c>
      <c r="U189" s="45">
        <v>-0.14000000000000001</v>
      </c>
      <c r="V189" s="45">
        <v>-0.01</v>
      </c>
      <c r="W189" s="45">
        <v>-0.14000000000000001</v>
      </c>
      <c r="X189" s="45">
        <v>-0.01</v>
      </c>
      <c r="Y189" s="45">
        <v>0</v>
      </c>
      <c r="Z189" s="45">
        <v>0</v>
      </c>
      <c r="AA189" s="45">
        <v>0</v>
      </c>
      <c r="AB189" s="45">
        <v>0</v>
      </c>
      <c r="AC189" s="45">
        <v>0.17249999999999999</v>
      </c>
      <c r="AD189" s="45">
        <v>1.2500000000000001E-2</v>
      </c>
      <c r="AE189" s="45">
        <v>0</v>
      </c>
      <c r="AF189" s="45">
        <v>5.0000000000000001E-3</v>
      </c>
      <c r="AG189" s="45">
        <v>0</v>
      </c>
      <c r="AH189" s="45">
        <v>0</v>
      </c>
      <c r="AI189" s="45">
        <v>0</v>
      </c>
      <c r="AJ189" s="45">
        <v>0</v>
      </c>
      <c r="AN189" s="45">
        <v>1.5468241843031398</v>
      </c>
      <c r="AO189" s="45">
        <v>0.17</v>
      </c>
      <c r="AP189" s="45">
        <v>0</v>
      </c>
      <c r="AQ189" s="45">
        <v>0</v>
      </c>
      <c r="AR189" s="45">
        <f t="shared" si="17"/>
        <v>0.64648588388247252</v>
      </c>
      <c r="AT189" s="217">
        <f t="shared" si="18"/>
        <v>0</v>
      </c>
      <c r="AU189" s="217">
        <f t="shared" si="19"/>
        <v>0</v>
      </c>
      <c r="AV189" s="45">
        <f>[10]Sheet1!AA180</f>
        <v>0.20699999999999993</v>
      </c>
      <c r="AW189" s="45">
        <v>0</v>
      </c>
    </row>
    <row r="190" spans="1:49">
      <c r="A190" s="45"/>
      <c r="B190" s="45"/>
      <c r="C190" s="50">
        <f t="shared" si="16"/>
        <v>42309</v>
      </c>
      <c r="D190" s="56">
        <v>6.5970294694107395E-2</v>
      </c>
      <c r="E190" s="48">
        <v>4.9390000000000001</v>
      </c>
      <c r="F190" s="48">
        <v>0.17</v>
      </c>
      <c r="G190" s="48">
        <v>0.17</v>
      </c>
      <c r="H190" s="48">
        <v>0.17</v>
      </c>
      <c r="I190" s="48">
        <v>0.17499999999999999</v>
      </c>
      <c r="J190" s="48">
        <v>0.17</v>
      </c>
      <c r="K190" s="45">
        <v>0.17</v>
      </c>
      <c r="L190" s="48">
        <v>0.8</v>
      </c>
      <c r="M190" s="48">
        <v>0.8</v>
      </c>
      <c r="N190" s="48">
        <v>0.8</v>
      </c>
      <c r="O190" s="48">
        <v>0.95</v>
      </c>
      <c r="P190" s="48">
        <v>0.85</v>
      </c>
      <c r="Q190" s="56">
        <v>3.5000000000000003E-2</v>
      </c>
      <c r="R190" s="56">
        <v>0</v>
      </c>
      <c r="S190" s="45">
        <v>0</v>
      </c>
      <c r="T190" s="45">
        <v>0</v>
      </c>
      <c r="U190" s="45">
        <v>-0.14249999999999999</v>
      </c>
      <c r="V190" s="45">
        <v>0.01</v>
      </c>
      <c r="W190" s="45">
        <v>-0.14249999999999999</v>
      </c>
      <c r="X190" s="45">
        <v>0.01</v>
      </c>
      <c r="Y190" s="45">
        <v>0</v>
      </c>
      <c r="Z190" s="45">
        <v>0</v>
      </c>
      <c r="AA190" s="45">
        <v>0</v>
      </c>
      <c r="AB190" s="45">
        <v>0</v>
      </c>
      <c r="AC190" s="45">
        <v>0.24</v>
      </c>
      <c r="AD190" s="45">
        <v>0.03</v>
      </c>
      <c r="AE190" s="45">
        <v>0</v>
      </c>
      <c r="AF190" s="45">
        <v>0.02</v>
      </c>
      <c r="AG190" s="45">
        <v>0</v>
      </c>
      <c r="AH190" s="45">
        <v>0</v>
      </c>
      <c r="AI190" s="45">
        <v>0</v>
      </c>
      <c r="AJ190" s="45">
        <v>0</v>
      </c>
      <c r="AN190" s="45">
        <v>1.5470320156911099</v>
      </c>
      <c r="AO190" s="45">
        <v>0.17</v>
      </c>
      <c r="AP190" s="45">
        <v>0</v>
      </c>
      <c r="AQ190" s="45">
        <v>0</v>
      </c>
      <c r="AR190" s="45">
        <f t="shared" si="17"/>
        <v>0.6463990336704617</v>
      </c>
      <c r="AT190" s="217">
        <f t="shared" si="18"/>
        <v>0</v>
      </c>
      <c r="AU190" s="217">
        <f t="shared" si="19"/>
        <v>0</v>
      </c>
      <c r="AV190" s="45">
        <f>[10]Sheet1!AA181</f>
        <v>0.25357142857142856</v>
      </c>
      <c r="AW190" s="45">
        <v>0</v>
      </c>
    </row>
    <row r="191" spans="1:49">
      <c r="A191" s="45"/>
      <c r="B191" s="45"/>
      <c r="C191" s="50">
        <f t="shared" si="16"/>
        <v>42339</v>
      </c>
      <c r="D191" s="56">
        <v>6.6005722742696005E-2</v>
      </c>
      <c r="E191" s="48">
        <v>5.077</v>
      </c>
      <c r="F191" s="48">
        <v>0.17</v>
      </c>
      <c r="G191" s="48">
        <v>0.17</v>
      </c>
      <c r="H191" s="48">
        <v>0.17</v>
      </c>
      <c r="I191" s="48">
        <v>0.17499999999999999</v>
      </c>
      <c r="J191" s="48">
        <v>0.17</v>
      </c>
      <c r="K191" s="45">
        <v>0.17</v>
      </c>
      <c r="L191" s="48">
        <v>1</v>
      </c>
      <c r="M191" s="48">
        <v>1</v>
      </c>
      <c r="N191" s="48">
        <v>1.1000000000000001</v>
      </c>
      <c r="O191" s="48">
        <v>1.35</v>
      </c>
      <c r="P191" s="48">
        <v>1.05</v>
      </c>
      <c r="Q191" s="56">
        <v>3.5000000000000003E-2</v>
      </c>
      <c r="R191" s="56">
        <v>0</v>
      </c>
      <c r="S191" s="45">
        <v>0</v>
      </c>
      <c r="T191" s="45">
        <v>0</v>
      </c>
      <c r="U191" s="45">
        <v>-0.13750000000000001</v>
      </c>
      <c r="V191" s="45">
        <v>0.01</v>
      </c>
      <c r="W191" s="45">
        <v>-0.13750000000000001</v>
      </c>
      <c r="X191" s="45">
        <v>0.01</v>
      </c>
      <c r="Y191" s="45">
        <v>0</v>
      </c>
      <c r="Z191" s="45">
        <v>0</v>
      </c>
      <c r="AA191" s="45">
        <v>0</v>
      </c>
      <c r="AB191" s="45">
        <v>0</v>
      </c>
      <c r="AC191" s="45">
        <v>0.26</v>
      </c>
      <c r="AD191" s="45">
        <v>0.03</v>
      </c>
      <c r="AE191" s="45">
        <v>0</v>
      </c>
      <c r="AF191" s="45">
        <v>0.02</v>
      </c>
      <c r="AG191" s="45">
        <v>0</v>
      </c>
      <c r="AH191" s="45">
        <v>0</v>
      </c>
      <c r="AI191" s="45">
        <v>0</v>
      </c>
      <c r="AJ191" s="45">
        <v>0</v>
      </c>
      <c r="AN191" s="45">
        <v>1.5472357708314999</v>
      </c>
      <c r="AO191" s="45">
        <v>0.17</v>
      </c>
      <c r="AP191" s="45">
        <v>0</v>
      </c>
      <c r="AQ191" s="45">
        <v>0</v>
      </c>
      <c r="AR191" s="45">
        <f t="shared" si="17"/>
        <v>0.64631390952303935</v>
      </c>
      <c r="AT191" s="217">
        <f t="shared" si="18"/>
        <v>0</v>
      </c>
      <c r="AU191" s="217">
        <f t="shared" si="19"/>
        <v>0</v>
      </c>
      <c r="AV191" s="45">
        <f>[10]Sheet1!AA182</f>
        <v>0.25357142857142856</v>
      </c>
      <c r="AW191" s="45">
        <v>0</v>
      </c>
    </row>
    <row r="192" spans="1:49">
      <c r="A192" s="45"/>
      <c r="B192" s="45"/>
      <c r="C192" s="50">
        <f t="shared" si="16"/>
        <v>42370</v>
      </c>
      <c r="D192" s="56">
        <v>6.6042331726674106E-2</v>
      </c>
      <c r="E192" s="48">
        <v>5.1340000000000003</v>
      </c>
      <c r="F192" s="48">
        <v>0.17</v>
      </c>
      <c r="G192" s="48">
        <v>0.17</v>
      </c>
      <c r="H192" s="48">
        <v>0.17</v>
      </c>
      <c r="I192" s="48">
        <v>0.17499999999999999</v>
      </c>
      <c r="J192" s="48">
        <v>0.17</v>
      </c>
      <c r="K192" s="45">
        <v>0.17</v>
      </c>
      <c r="L192" s="48">
        <v>1</v>
      </c>
      <c r="M192" s="48">
        <v>1</v>
      </c>
      <c r="N192" s="48">
        <v>1.1000000000000001</v>
      </c>
      <c r="O192" s="48">
        <v>1.35</v>
      </c>
      <c r="P192" s="48">
        <v>1.05</v>
      </c>
      <c r="Q192" s="56">
        <v>3.5000000000000003E-2</v>
      </c>
      <c r="R192" s="56">
        <v>0</v>
      </c>
      <c r="S192" s="45">
        <v>0</v>
      </c>
      <c r="T192" s="45">
        <v>0</v>
      </c>
      <c r="U192" s="45">
        <v>-0.13750000000000001</v>
      </c>
      <c r="V192" s="45">
        <v>0.01</v>
      </c>
      <c r="W192" s="45">
        <v>-0.13750000000000001</v>
      </c>
      <c r="X192" s="45">
        <v>0.01</v>
      </c>
      <c r="Y192" s="45">
        <v>0</v>
      </c>
      <c r="Z192" s="45">
        <v>0</v>
      </c>
      <c r="AA192" s="45">
        <v>0</v>
      </c>
      <c r="AB192" s="45">
        <v>0</v>
      </c>
      <c r="AC192" s="45">
        <v>0.27</v>
      </c>
      <c r="AD192" s="45">
        <v>0.03</v>
      </c>
      <c r="AE192" s="45">
        <v>0</v>
      </c>
      <c r="AF192" s="45">
        <v>0.02</v>
      </c>
      <c r="AG192" s="45">
        <v>0</v>
      </c>
      <c r="AH192" s="45">
        <v>0</v>
      </c>
      <c r="AI192" s="45">
        <v>0</v>
      </c>
      <c r="AJ192" s="45">
        <v>0</v>
      </c>
      <c r="AN192" s="45">
        <v>1.5474490343276099</v>
      </c>
      <c r="AO192" s="45">
        <v>0.17</v>
      </c>
      <c r="AP192" s="45">
        <v>0</v>
      </c>
      <c r="AQ192" s="45">
        <v>0</v>
      </c>
      <c r="AR192" s="45">
        <f t="shared" si="17"/>
        <v>0.64622483701669386</v>
      </c>
      <c r="AT192" s="217">
        <f t="shared" si="18"/>
        <v>0</v>
      </c>
      <c r="AU192" s="217">
        <f t="shared" si="19"/>
        <v>0</v>
      </c>
      <c r="AV192" s="45">
        <f>[10]Sheet1!AA183</f>
        <v>0.25357142857142856</v>
      </c>
      <c r="AW192" s="45">
        <v>0</v>
      </c>
    </row>
    <row r="193" spans="1:49">
      <c r="A193" s="45"/>
      <c r="B193" s="45"/>
      <c r="C193" s="50">
        <f t="shared" si="16"/>
        <v>42401</v>
      </c>
      <c r="D193" s="56">
        <v>6.6078940711096698E-2</v>
      </c>
      <c r="E193" s="48">
        <v>5.0140000000000002</v>
      </c>
      <c r="F193" s="48">
        <v>0.17</v>
      </c>
      <c r="G193" s="48">
        <v>0.17</v>
      </c>
      <c r="H193" s="48">
        <v>0.17</v>
      </c>
      <c r="I193" s="48">
        <v>0.17499999999999999</v>
      </c>
      <c r="J193" s="48">
        <v>0.17</v>
      </c>
      <c r="K193" s="45">
        <v>0.17</v>
      </c>
      <c r="L193" s="48">
        <v>1</v>
      </c>
      <c r="M193" s="48">
        <v>1</v>
      </c>
      <c r="N193" s="48">
        <v>1.1000000000000001</v>
      </c>
      <c r="O193" s="48">
        <v>1.35</v>
      </c>
      <c r="P193" s="48">
        <v>1.05</v>
      </c>
      <c r="Q193" s="56">
        <v>3.5000000000000003E-2</v>
      </c>
      <c r="R193" s="56">
        <v>0</v>
      </c>
      <c r="S193" s="45">
        <v>0</v>
      </c>
      <c r="T193" s="45">
        <v>0</v>
      </c>
      <c r="U193" s="45">
        <v>-0.14000000000000001</v>
      </c>
      <c r="V193" s="45">
        <v>0.01</v>
      </c>
      <c r="W193" s="45">
        <v>-0.14000000000000001</v>
      </c>
      <c r="X193" s="45">
        <v>0.01</v>
      </c>
      <c r="Y193" s="45">
        <v>0</v>
      </c>
      <c r="Z193" s="45">
        <v>0</v>
      </c>
      <c r="AA193" s="45">
        <v>0</v>
      </c>
      <c r="AB193" s="45">
        <v>0</v>
      </c>
      <c r="AC193" s="45">
        <v>0.27</v>
      </c>
      <c r="AD193" s="45">
        <v>0.03</v>
      </c>
      <c r="AE193" s="45">
        <v>0</v>
      </c>
      <c r="AF193" s="45">
        <v>0.02</v>
      </c>
      <c r="AG193" s="45">
        <v>0</v>
      </c>
      <c r="AH193" s="45">
        <v>0</v>
      </c>
      <c r="AI193" s="45">
        <v>0</v>
      </c>
      <c r="AJ193" s="45">
        <v>0</v>
      </c>
      <c r="AN193" s="45">
        <v>1.5476650598314499</v>
      </c>
      <c r="AO193" s="45">
        <v>0.17</v>
      </c>
      <c r="AP193" s="45">
        <v>0</v>
      </c>
      <c r="AQ193" s="45">
        <v>0</v>
      </c>
      <c r="AR193" s="45">
        <f t="shared" si="17"/>
        <v>0.64613463594565224</v>
      </c>
      <c r="AT193" s="217">
        <f t="shared" si="18"/>
        <v>0</v>
      </c>
      <c r="AU193" s="217">
        <f t="shared" si="19"/>
        <v>0</v>
      </c>
      <c r="AV193" s="45">
        <f>[10]Sheet1!AA184</f>
        <v>0.25357142857142856</v>
      </c>
      <c r="AW193" s="45">
        <v>0</v>
      </c>
    </row>
    <row r="194" spans="1:49">
      <c r="A194" s="45"/>
      <c r="B194" s="45"/>
      <c r="C194" s="50">
        <f t="shared" si="16"/>
        <v>42430</v>
      </c>
      <c r="D194" s="56">
        <v>6.6113187825958E-2</v>
      </c>
      <c r="E194" s="48">
        <v>4.875</v>
      </c>
      <c r="F194" s="48">
        <v>0.17</v>
      </c>
      <c r="G194" s="48">
        <v>0.17</v>
      </c>
      <c r="H194" s="48">
        <v>0.17</v>
      </c>
      <c r="I194" s="48">
        <v>0.17499999999999999</v>
      </c>
      <c r="J194" s="48">
        <v>0.17</v>
      </c>
      <c r="K194" s="45">
        <v>0.17</v>
      </c>
      <c r="L194" s="48">
        <v>0.75</v>
      </c>
      <c r="M194" s="48">
        <v>0.75</v>
      </c>
      <c r="N194" s="48">
        <v>0.75</v>
      </c>
      <c r="O194" s="48">
        <v>0.95</v>
      </c>
      <c r="P194" s="48">
        <v>0.75</v>
      </c>
      <c r="Q194" s="56">
        <v>3.5000000000000003E-2</v>
      </c>
      <c r="R194" s="56">
        <v>0</v>
      </c>
      <c r="S194" s="45">
        <v>0</v>
      </c>
      <c r="T194" s="45">
        <v>0</v>
      </c>
      <c r="U194" s="45">
        <v>-0.14249999999999999</v>
      </c>
      <c r="V194" s="45">
        <v>0.01</v>
      </c>
      <c r="W194" s="45">
        <v>-0.14249999999999999</v>
      </c>
      <c r="X194" s="45">
        <v>0.01</v>
      </c>
      <c r="Y194" s="45">
        <v>0</v>
      </c>
      <c r="Z194" s="45">
        <v>0</v>
      </c>
      <c r="AA194" s="45">
        <v>0</v>
      </c>
      <c r="AB194" s="45">
        <v>0</v>
      </c>
      <c r="AC194" s="45">
        <v>0.24</v>
      </c>
      <c r="AD194" s="45">
        <v>0.03</v>
      </c>
      <c r="AE194" s="45">
        <v>0</v>
      </c>
      <c r="AF194" s="45">
        <v>0.02</v>
      </c>
      <c r="AG194" s="45">
        <v>0</v>
      </c>
      <c r="AH194" s="45">
        <v>0</v>
      </c>
      <c r="AI194" s="45">
        <v>0</v>
      </c>
      <c r="AJ194" s="45">
        <v>0</v>
      </c>
      <c r="AN194" s="45">
        <v>1.54786964954048</v>
      </c>
      <c r="AO194" s="45">
        <v>0.17</v>
      </c>
      <c r="AP194" s="45">
        <v>0</v>
      </c>
      <c r="AQ194" s="45">
        <v>0</v>
      </c>
      <c r="AR194" s="45">
        <f t="shared" si="17"/>
        <v>0.646049233084241</v>
      </c>
      <c r="AT194" s="217">
        <f t="shared" si="18"/>
        <v>0</v>
      </c>
      <c r="AU194" s="217">
        <f t="shared" si="19"/>
        <v>0</v>
      </c>
      <c r="AV194" s="45">
        <f>[10]Sheet1!AA185</f>
        <v>0.25357142857142856</v>
      </c>
      <c r="AW194" s="45">
        <v>0</v>
      </c>
    </row>
    <row r="195" spans="1:49">
      <c r="A195" s="45"/>
      <c r="B195" s="45"/>
      <c r="C195" s="50">
        <f t="shared" si="16"/>
        <v>42461</v>
      </c>
      <c r="D195" s="56">
        <v>6.6149796811239905E-2</v>
      </c>
      <c r="E195" s="48">
        <v>4.7</v>
      </c>
      <c r="F195" s="48">
        <v>0.17</v>
      </c>
      <c r="G195" s="48">
        <v>0.17</v>
      </c>
      <c r="H195" s="48">
        <v>0.17</v>
      </c>
      <c r="I195" s="48">
        <v>0.17499999999999999</v>
      </c>
      <c r="J195" s="48">
        <v>0.17</v>
      </c>
      <c r="K195" s="45">
        <v>0.17</v>
      </c>
      <c r="L195" s="48">
        <v>0.4</v>
      </c>
      <c r="M195" s="48">
        <v>0.4</v>
      </c>
      <c r="N195" s="48">
        <v>0.45</v>
      </c>
      <c r="O195" s="48">
        <v>0.5</v>
      </c>
      <c r="P195" s="48">
        <v>0.45</v>
      </c>
      <c r="Q195" s="56">
        <v>3.5000000000000003E-2</v>
      </c>
      <c r="R195" s="56">
        <v>0</v>
      </c>
      <c r="S195" s="45">
        <v>0</v>
      </c>
      <c r="T195" s="45">
        <v>0</v>
      </c>
      <c r="U195" s="45">
        <v>-0.14000000000000001</v>
      </c>
      <c r="V195" s="45">
        <v>-0.01</v>
      </c>
      <c r="W195" s="45">
        <v>-0.14000000000000001</v>
      </c>
      <c r="X195" s="45">
        <v>-0.01</v>
      </c>
      <c r="Y195" s="45">
        <v>0</v>
      </c>
      <c r="Z195" s="45">
        <v>0</v>
      </c>
      <c r="AA195" s="45">
        <v>0</v>
      </c>
      <c r="AB195" s="45">
        <v>0</v>
      </c>
      <c r="AC195" s="45">
        <v>0.17</v>
      </c>
      <c r="AD195" s="45">
        <v>1.7500000000000002E-2</v>
      </c>
      <c r="AE195" s="45">
        <v>0</v>
      </c>
      <c r="AF195" s="45">
        <v>5.0000000000000001E-3</v>
      </c>
      <c r="AG195" s="45">
        <v>0</v>
      </c>
      <c r="AH195" s="45">
        <v>0</v>
      </c>
      <c r="AI195" s="45">
        <v>0</v>
      </c>
      <c r="AJ195" s="45">
        <v>0</v>
      </c>
      <c r="AN195" s="45">
        <v>1.5480910236682099</v>
      </c>
      <c r="AO195" s="45">
        <v>0.17</v>
      </c>
      <c r="AP195" s="45">
        <v>0</v>
      </c>
      <c r="AQ195" s="45">
        <v>0</v>
      </c>
      <c r="AR195" s="45">
        <f t="shared" si="17"/>
        <v>0.64595684924940311</v>
      </c>
      <c r="AT195" s="217">
        <f t="shared" si="18"/>
        <v>0</v>
      </c>
      <c r="AU195" s="217">
        <f t="shared" si="19"/>
        <v>0</v>
      </c>
      <c r="AV195" s="45">
        <f>[10]Sheet1!AA186</f>
        <v>0.20699999999999993</v>
      </c>
      <c r="AW195" s="45">
        <v>0</v>
      </c>
    </row>
    <row r="196" spans="1:49">
      <c r="A196" s="45"/>
      <c r="B196" s="45"/>
      <c r="C196" s="50">
        <f t="shared" si="16"/>
        <v>42491</v>
      </c>
      <c r="D196" s="56">
        <v>6.6185224861935205E-2</v>
      </c>
      <c r="E196" s="48">
        <v>4.67</v>
      </c>
      <c r="F196" s="48">
        <v>0.17</v>
      </c>
      <c r="G196" s="48">
        <v>0.17</v>
      </c>
      <c r="H196" s="48">
        <v>0.17</v>
      </c>
      <c r="I196" s="48">
        <v>0.17499999999999999</v>
      </c>
      <c r="J196" s="48">
        <v>0.17</v>
      </c>
      <c r="K196" s="45">
        <v>0.17</v>
      </c>
      <c r="L196" s="48">
        <v>0.45</v>
      </c>
      <c r="M196" s="48">
        <v>0.4</v>
      </c>
      <c r="N196" s="48">
        <v>0.5</v>
      </c>
      <c r="O196" s="48">
        <v>0.45</v>
      </c>
      <c r="P196" s="48">
        <v>0.45</v>
      </c>
      <c r="Q196" s="56">
        <v>3.5000000000000003E-2</v>
      </c>
      <c r="R196" s="56">
        <v>0</v>
      </c>
      <c r="S196" s="45">
        <v>0</v>
      </c>
      <c r="T196" s="45">
        <v>0</v>
      </c>
      <c r="U196" s="45">
        <v>0</v>
      </c>
      <c r="V196" s="45">
        <v>0</v>
      </c>
      <c r="W196" s="45">
        <v>0</v>
      </c>
      <c r="X196" s="45">
        <v>0</v>
      </c>
      <c r="Y196" s="45">
        <v>0</v>
      </c>
      <c r="Z196" s="45">
        <v>0</v>
      </c>
      <c r="AA196" s="45">
        <v>0</v>
      </c>
      <c r="AB196" s="45">
        <v>0</v>
      </c>
      <c r="AC196" s="45">
        <v>0.16500000000000001</v>
      </c>
      <c r="AD196" s="45">
        <v>0.01</v>
      </c>
      <c r="AE196" s="45">
        <v>0</v>
      </c>
      <c r="AF196" s="45">
        <v>5.0000000000000001E-3</v>
      </c>
      <c r="AG196" s="45">
        <v>0</v>
      </c>
      <c r="AH196" s="45">
        <v>0</v>
      </c>
      <c r="AI196" s="45">
        <v>0</v>
      </c>
      <c r="AJ196" s="45">
        <v>0</v>
      </c>
      <c r="AN196" s="45">
        <v>1.5483078892680999</v>
      </c>
      <c r="AO196" s="45">
        <v>0.17</v>
      </c>
      <c r="AP196" s="45">
        <v>0</v>
      </c>
      <c r="AQ196" s="45">
        <v>0</v>
      </c>
      <c r="AR196" s="45">
        <f t="shared" si="17"/>
        <v>0.64586637252924528</v>
      </c>
      <c r="AT196" s="217">
        <f t="shared" si="18"/>
        <v>0</v>
      </c>
      <c r="AU196" s="217">
        <f t="shared" si="19"/>
        <v>0</v>
      </c>
      <c r="AV196" s="45">
        <f>[10]Sheet1!AA187</f>
        <v>0.20699999999999993</v>
      </c>
      <c r="AW196" s="45">
        <v>0</v>
      </c>
    </row>
    <row r="197" spans="1:49">
      <c r="A197" s="45"/>
      <c r="B197" s="45"/>
      <c r="C197" s="50">
        <f t="shared" si="16"/>
        <v>42522</v>
      </c>
      <c r="D197" s="56">
        <v>6.6221833848090203E-2</v>
      </c>
      <c r="E197" s="48">
        <v>4.74</v>
      </c>
      <c r="F197" s="48">
        <v>0.17</v>
      </c>
      <c r="G197" s="48">
        <v>0.17</v>
      </c>
      <c r="H197" s="48">
        <v>0.17</v>
      </c>
      <c r="I197" s="48">
        <v>0.17499999999999999</v>
      </c>
      <c r="J197" s="48">
        <v>0.17</v>
      </c>
      <c r="K197" s="45">
        <v>0.17</v>
      </c>
      <c r="L197" s="48">
        <v>0.45</v>
      </c>
      <c r="M197" s="48">
        <v>0.4</v>
      </c>
      <c r="N197" s="48">
        <v>0.5</v>
      </c>
      <c r="O197" s="48">
        <v>0.5</v>
      </c>
      <c r="P197" s="48">
        <v>0.5</v>
      </c>
      <c r="Q197" s="56">
        <v>0</v>
      </c>
      <c r="R197" s="56">
        <v>0</v>
      </c>
      <c r="S197" s="45">
        <v>0</v>
      </c>
      <c r="T197" s="45">
        <v>0</v>
      </c>
      <c r="U197" s="45">
        <v>0</v>
      </c>
      <c r="V197" s="45">
        <v>0</v>
      </c>
      <c r="W197" s="45">
        <v>0</v>
      </c>
      <c r="X197" s="45">
        <v>0</v>
      </c>
      <c r="Y197" s="45">
        <v>0</v>
      </c>
      <c r="Z197" s="45">
        <v>0</v>
      </c>
      <c r="AA197" s="45">
        <v>0</v>
      </c>
      <c r="AB197" s="45">
        <v>0</v>
      </c>
      <c r="AC197" s="45">
        <v>0.17</v>
      </c>
      <c r="AD197" s="45">
        <v>1.2500000000000001E-2</v>
      </c>
      <c r="AE197" s="45">
        <v>0</v>
      </c>
      <c r="AF197" s="45">
        <v>5.0000000000000001E-3</v>
      </c>
      <c r="AG197" s="45">
        <v>0</v>
      </c>
      <c r="AH197" s="45">
        <v>0</v>
      </c>
      <c r="AI197" s="45">
        <v>0</v>
      </c>
      <c r="AJ197" s="45">
        <v>0</v>
      </c>
      <c r="AN197" s="45">
        <v>1.5481673775712999</v>
      </c>
      <c r="AO197" s="45">
        <v>0.17</v>
      </c>
      <c r="AP197" s="45">
        <v>0</v>
      </c>
      <c r="AQ197" s="45">
        <v>0</v>
      </c>
      <c r="AR197" s="45">
        <f t="shared" si="17"/>
        <v>0.64592499137190074</v>
      </c>
      <c r="AT197" s="217">
        <f t="shared" si="18"/>
        <v>0</v>
      </c>
      <c r="AU197" s="217">
        <f t="shared" si="19"/>
        <v>0</v>
      </c>
      <c r="AV197" s="45">
        <f>[10]Sheet1!AA188</f>
        <v>0</v>
      </c>
      <c r="AW197" s="45">
        <v>0</v>
      </c>
    </row>
    <row r="198" spans="1:49">
      <c r="A198" s="45"/>
      <c r="B198" s="45"/>
      <c r="C198" s="50">
        <f t="shared" si="16"/>
        <v>42552</v>
      </c>
      <c r="D198" s="56">
        <v>6.6257261899631104E-2</v>
      </c>
      <c r="E198" s="48">
        <v>4.7949999999999999</v>
      </c>
      <c r="F198" s="48">
        <v>0.17</v>
      </c>
      <c r="G198" s="48">
        <v>0.17</v>
      </c>
      <c r="H198" s="48">
        <v>0.17</v>
      </c>
      <c r="I198" s="48">
        <v>0.17499999999999999</v>
      </c>
      <c r="J198" s="48">
        <v>0.17</v>
      </c>
      <c r="K198" s="45">
        <v>0.17</v>
      </c>
      <c r="L198" s="48">
        <v>0.5</v>
      </c>
      <c r="M198" s="48">
        <v>0.4</v>
      </c>
      <c r="N198" s="48">
        <v>0.55000000000000004</v>
      </c>
      <c r="O198" s="48">
        <v>0.5</v>
      </c>
      <c r="P198" s="48">
        <v>0.5</v>
      </c>
      <c r="Q198" s="56">
        <v>0</v>
      </c>
      <c r="R198" s="56">
        <v>0</v>
      </c>
      <c r="S198" s="45">
        <v>0</v>
      </c>
      <c r="T198" s="45">
        <v>0</v>
      </c>
      <c r="U198" s="45">
        <v>0</v>
      </c>
      <c r="V198" s="45">
        <v>0</v>
      </c>
      <c r="W198" s="45">
        <v>0</v>
      </c>
      <c r="X198" s="45">
        <v>0</v>
      </c>
      <c r="Y198" s="45">
        <v>0</v>
      </c>
      <c r="Z198" s="45">
        <v>0</v>
      </c>
      <c r="AA198" s="45">
        <v>0</v>
      </c>
      <c r="AB198" s="45">
        <v>0</v>
      </c>
      <c r="AC198" s="45">
        <v>0.17499999999999999</v>
      </c>
      <c r="AD198" s="45">
        <v>1.2500000000000001E-2</v>
      </c>
      <c r="AE198" s="45">
        <v>0</v>
      </c>
      <c r="AF198" s="45">
        <v>0</v>
      </c>
      <c r="AG198" s="45">
        <v>0</v>
      </c>
      <c r="AH198" s="45">
        <v>0</v>
      </c>
      <c r="AI198" s="45">
        <v>0</v>
      </c>
      <c r="AJ198" s="45">
        <v>0</v>
      </c>
      <c r="AN198" s="45">
        <v>1.54769511021341</v>
      </c>
      <c r="AO198" s="45">
        <v>0.17</v>
      </c>
      <c r="AP198" s="45">
        <v>0</v>
      </c>
      <c r="AQ198" s="45">
        <v>0</v>
      </c>
      <c r="AR198" s="45">
        <f t="shared" si="17"/>
        <v>0.64612209045624691</v>
      </c>
      <c r="AT198" s="217">
        <f t="shared" si="18"/>
        <v>0</v>
      </c>
      <c r="AU198" s="217">
        <f t="shared" si="19"/>
        <v>0</v>
      </c>
      <c r="AV198" s="45">
        <f>[10]Sheet1!AA189</f>
        <v>0</v>
      </c>
      <c r="AW198" s="45">
        <v>0</v>
      </c>
    </row>
    <row r="199" spans="1:49">
      <c r="A199" s="45"/>
      <c r="B199" s="45"/>
      <c r="C199" s="50">
        <f t="shared" si="16"/>
        <v>42583</v>
      </c>
      <c r="D199" s="56">
        <v>6.6293870886660097E-2</v>
      </c>
      <c r="E199" s="48">
        <v>4.851</v>
      </c>
      <c r="F199" s="48">
        <v>0.17</v>
      </c>
      <c r="G199" s="48">
        <v>0.17</v>
      </c>
      <c r="H199" s="48">
        <v>0.17</v>
      </c>
      <c r="I199" s="48">
        <v>0.17499999999999999</v>
      </c>
      <c r="J199" s="48">
        <v>0.17</v>
      </c>
      <c r="K199" s="45">
        <v>0.17</v>
      </c>
      <c r="L199" s="48">
        <v>0.55000000000000004</v>
      </c>
      <c r="M199" s="48">
        <v>0.5</v>
      </c>
      <c r="N199" s="48">
        <v>0.6</v>
      </c>
      <c r="O199" s="48">
        <v>0.45</v>
      </c>
      <c r="P199" s="48">
        <v>0.55000000000000004</v>
      </c>
      <c r="Q199" s="56">
        <v>0</v>
      </c>
      <c r="R199" s="56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0.17499999999999999</v>
      </c>
      <c r="AD199" s="45">
        <v>1.2500000000000001E-2</v>
      </c>
      <c r="AE199" s="45">
        <v>0</v>
      </c>
      <c r="AF199" s="45">
        <v>0</v>
      </c>
      <c r="AG199" s="45">
        <v>0</v>
      </c>
      <c r="AH199" s="45">
        <v>0</v>
      </c>
      <c r="AI199" s="45">
        <v>0</v>
      </c>
      <c r="AJ199" s="45">
        <v>0</v>
      </c>
      <c r="AN199" s="45">
        <v>1.5472020687205599</v>
      </c>
      <c r="AO199" s="45">
        <v>0.17</v>
      </c>
      <c r="AP199" s="45">
        <v>0</v>
      </c>
      <c r="AQ199" s="45">
        <v>0</v>
      </c>
      <c r="AR199" s="45">
        <f t="shared" si="17"/>
        <v>0.64632798793174961</v>
      </c>
      <c r="AT199" s="217">
        <f t="shared" si="18"/>
        <v>0</v>
      </c>
      <c r="AU199" s="217">
        <f t="shared" si="19"/>
        <v>0</v>
      </c>
      <c r="AV199" s="45">
        <f>[10]Sheet1!AA190</f>
        <v>0</v>
      </c>
      <c r="AW199" s="45">
        <v>0</v>
      </c>
    </row>
    <row r="200" spans="1:49">
      <c r="A200" s="45"/>
      <c r="B200" s="45"/>
      <c r="C200" s="50">
        <f t="shared" si="16"/>
        <v>42614</v>
      </c>
      <c r="D200" s="56">
        <v>6.6330479874132597E-2</v>
      </c>
      <c r="E200" s="48">
        <v>4.8650000000000002</v>
      </c>
      <c r="F200" s="48">
        <v>0.17</v>
      </c>
      <c r="G200" s="48">
        <v>0.17</v>
      </c>
      <c r="H200" s="48">
        <v>0.17</v>
      </c>
      <c r="I200" s="48">
        <v>0.17499999999999999</v>
      </c>
      <c r="J200" s="48">
        <v>0.17</v>
      </c>
      <c r="K200" s="45">
        <v>0.17</v>
      </c>
      <c r="L200" s="48">
        <v>0.55000000000000004</v>
      </c>
      <c r="M200" s="48">
        <v>0.55000000000000004</v>
      </c>
      <c r="N200" s="48">
        <v>0.6</v>
      </c>
      <c r="O200" s="48">
        <v>0.5</v>
      </c>
      <c r="P200" s="48">
        <v>0.6</v>
      </c>
      <c r="Q200" s="56">
        <v>0</v>
      </c>
      <c r="R200" s="56">
        <v>0</v>
      </c>
      <c r="S200" s="45">
        <v>0</v>
      </c>
      <c r="T200" s="45">
        <v>0</v>
      </c>
      <c r="U200" s="45">
        <v>0</v>
      </c>
      <c r="V200" s="45">
        <v>0</v>
      </c>
      <c r="W200" s="45">
        <v>0</v>
      </c>
      <c r="X200" s="45">
        <v>0</v>
      </c>
      <c r="Y200" s="45">
        <v>0</v>
      </c>
      <c r="Z200" s="45">
        <v>0</v>
      </c>
      <c r="AA200" s="45">
        <v>0</v>
      </c>
      <c r="AB200" s="45">
        <v>0</v>
      </c>
      <c r="AC200" s="45">
        <v>0.16500000000000001</v>
      </c>
      <c r="AD200" s="45">
        <v>1.2500000000000001E-2</v>
      </c>
      <c r="AE200" s="45">
        <v>0</v>
      </c>
      <c r="AF200" s="45">
        <v>0</v>
      </c>
      <c r="AG200" s="45">
        <v>0</v>
      </c>
      <c r="AH200" s="45">
        <v>0</v>
      </c>
      <c r="AI200" s="45">
        <v>0</v>
      </c>
      <c r="AJ200" s="45">
        <v>0</v>
      </c>
      <c r="AN200" s="45">
        <v>1.54670391797934</v>
      </c>
      <c r="AO200" s="45">
        <v>0.17</v>
      </c>
      <c r="AP200" s="45">
        <v>0</v>
      </c>
      <c r="AQ200" s="45">
        <v>0</v>
      </c>
      <c r="AR200" s="45">
        <f t="shared" si="17"/>
        <v>0.64653615237907314</v>
      </c>
      <c r="AT200" s="217">
        <f t="shared" si="18"/>
        <v>0</v>
      </c>
      <c r="AU200" s="217">
        <f t="shared" si="19"/>
        <v>0</v>
      </c>
      <c r="AV200" s="45">
        <f>[10]Sheet1!AA191</f>
        <v>0</v>
      </c>
      <c r="AW200" s="45">
        <v>0</v>
      </c>
    </row>
    <row r="201" spans="1:49">
      <c r="A201" s="45"/>
      <c r="B201" s="45"/>
      <c r="C201" s="50">
        <f t="shared" si="16"/>
        <v>42644</v>
      </c>
      <c r="D201" s="56">
        <v>6.6365907926948506E-2</v>
      </c>
      <c r="E201" s="48">
        <v>4.8959999999999999</v>
      </c>
      <c r="F201" s="48">
        <v>0.17</v>
      </c>
      <c r="G201" s="48">
        <v>0.17</v>
      </c>
      <c r="H201" s="48">
        <v>0.17</v>
      </c>
      <c r="I201" s="48">
        <v>0.17499999999999999</v>
      </c>
      <c r="J201" s="48">
        <v>0.17</v>
      </c>
      <c r="K201" s="45">
        <v>0.17</v>
      </c>
      <c r="L201" s="48">
        <v>0.6</v>
      </c>
      <c r="M201" s="48">
        <v>0.55000000000000004</v>
      </c>
      <c r="N201" s="48">
        <v>0.65</v>
      </c>
      <c r="O201" s="48">
        <v>0.5</v>
      </c>
      <c r="P201" s="48">
        <v>0.65</v>
      </c>
      <c r="Q201" s="56">
        <v>0</v>
      </c>
      <c r="R201" s="56">
        <v>0</v>
      </c>
      <c r="S201" s="45">
        <v>0</v>
      </c>
      <c r="T201" s="45">
        <v>0</v>
      </c>
      <c r="U201" s="45">
        <v>0</v>
      </c>
      <c r="V201" s="45">
        <v>0</v>
      </c>
      <c r="W201" s="45">
        <v>0</v>
      </c>
      <c r="X201" s="45">
        <v>0</v>
      </c>
      <c r="Y201" s="45">
        <v>0</v>
      </c>
      <c r="Z201" s="45">
        <v>0</v>
      </c>
      <c r="AA201" s="45">
        <v>0</v>
      </c>
      <c r="AB201" s="45">
        <v>0</v>
      </c>
      <c r="AC201" s="45">
        <v>0.17249999999999999</v>
      </c>
      <c r="AD201" s="45">
        <v>1.2500000000000001E-2</v>
      </c>
      <c r="AE201" s="45">
        <v>0</v>
      </c>
      <c r="AF201" s="45">
        <v>0</v>
      </c>
      <c r="AG201" s="45">
        <v>0</v>
      </c>
      <c r="AH201" s="45">
        <v>0</v>
      </c>
      <c r="AI201" s="45">
        <v>0</v>
      </c>
      <c r="AJ201" s="45">
        <v>0</v>
      </c>
      <c r="AN201" s="45">
        <v>1.54621697686422</v>
      </c>
      <c r="AO201" s="45">
        <v>0.17</v>
      </c>
      <c r="AP201" s="45">
        <v>0</v>
      </c>
      <c r="AQ201" s="45">
        <v>0</v>
      </c>
      <c r="AR201" s="45">
        <f t="shared" si="17"/>
        <v>0.64673976224736174</v>
      </c>
      <c r="AT201" s="217">
        <f t="shared" si="18"/>
        <v>0</v>
      </c>
      <c r="AU201" s="217">
        <f t="shared" si="19"/>
        <v>0</v>
      </c>
      <c r="AV201" s="45">
        <f>[10]Sheet1!AA192</f>
        <v>0</v>
      </c>
      <c r="AW201" s="45">
        <v>0</v>
      </c>
    </row>
    <row r="202" spans="1:49">
      <c r="A202" s="45"/>
      <c r="B202" s="45"/>
      <c r="C202" s="50">
        <f t="shared" si="16"/>
        <v>42675</v>
      </c>
      <c r="D202" s="56">
        <v>6.6402516915295098E-2</v>
      </c>
      <c r="E202" s="48">
        <v>5.0289999999999999</v>
      </c>
      <c r="F202" s="48">
        <v>0.17</v>
      </c>
      <c r="G202" s="48">
        <v>0.17</v>
      </c>
      <c r="H202" s="48">
        <v>0.17</v>
      </c>
      <c r="I202" s="48">
        <v>0.17499999999999999</v>
      </c>
      <c r="J202" s="48">
        <v>0.17</v>
      </c>
      <c r="K202" s="45">
        <v>0.17</v>
      </c>
      <c r="L202" s="48">
        <v>0.8</v>
      </c>
      <c r="M202" s="48">
        <v>0.8</v>
      </c>
      <c r="N202" s="48">
        <v>0.8</v>
      </c>
      <c r="O202" s="48">
        <v>0.95</v>
      </c>
      <c r="P202" s="48">
        <v>0.85</v>
      </c>
      <c r="Q202" s="56">
        <v>0</v>
      </c>
      <c r="R202" s="56">
        <v>0</v>
      </c>
      <c r="S202" s="45">
        <v>0</v>
      </c>
      <c r="T202" s="45">
        <v>0</v>
      </c>
      <c r="U202" s="45">
        <v>0</v>
      </c>
      <c r="V202" s="45">
        <v>0</v>
      </c>
      <c r="W202" s="45">
        <v>0</v>
      </c>
      <c r="X202" s="45">
        <v>0</v>
      </c>
      <c r="Y202" s="45">
        <v>0</v>
      </c>
      <c r="Z202" s="45">
        <v>0</v>
      </c>
      <c r="AA202" s="45">
        <v>0</v>
      </c>
      <c r="AB202" s="45">
        <v>0</v>
      </c>
      <c r="AC202" s="45">
        <v>0.24</v>
      </c>
      <c r="AD202" s="45">
        <v>0.03</v>
      </c>
      <c r="AE202" s="45">
        <v>0</v>
      </c>
      <c r="AF202" s="45">
        <v>0</v>
      </c>
      <c r="AG202" s="45">
        <v>0</v>
      </c>
      <c r="AH202" s="45">
        <v>0</v>
      </c>
      <c r="AI202" s="45">
        <v>0</v>
      </c>
      <c r="AJ202" s="45">
        <v>0</v>
      </c>
      <c r="AN202" s="45">
        <v>1.54570878777941</v>
      </c>
      <c r="AO202" s="45">
        <v>0.17</v>
      </c>
      <c r="AP202" s="45">
        <v>0</v>
      </c>
      <c r="AQ202" s="45">
        <v>0</v>
      </c>
      <c r="AR202" s="45">
        <f t="shared" si="17"/>
        <v>0.64695239355960188</v>
      </c>
      <c r="AT202" s="217">
        <f t="shared" si="18"/>
        <v>0</v>
      </c>
      <c r="AU202" s="217">
        <f t="shared" si="19"/>
        <v>0</v>
      </c>
      <c r="AV202" s="45">
        <f>[10]Sheet1!AA193</f>
        <v>0.20699999999999993</v>
      </c>
      <c r="AW202" s="45">
        <v>0</v>
      </c>
    </row>
    <row r="203" spans="1:49">
      <c r="A203" s="45"/>
      <c r="B203" s="45"/>
      <c r="C203" s="50">
        <f t="shared" si="16"/>
        <v>42705</v>
      </c>
      <c r="D203" s="56">
        <v>6.6437944968956497E-2</v>
      </c>
      <c r="E203" s="48">
        <v>5.1669999999999998</v>
      </c>
      <c r="F203" s="48">
        <v>0.17</v>
      </c>
      <c r="G203" s="48">
        <v>0.17</v>
      </c>
      <c r="H203" s="48">
        <v>0.17</v>
      </c>
      <c r="I203" s="48">
        <v>0.17499999999999999</v>
      </c>
      <c r="J203" s="48">
        <v>0.17</v>
      </c>
      <c r="K203" s="45">
        <v>0.17</v>
      </c>
      <c r="L203" s="48">
        <v>1</v>
      </c>
      <c r="M203" s="48">
        <v>1</v>
      </c>
      <c r="N203" s="48">
        <v>1.1000000000000001</v>
      </c>
      <c r="O203" s="48">
        <v>1.35</v>
      </c>
      <c r="P203" s="48">
        <v>1.05</v>
      </c>
      <c r="Q203" s="56">
        <v>0</v>
      </c>
      <c r="R203" s="56">
        <v>0</v>
      </c>
      <c r="S203" s="45">
        <v>0</v>
      </c>
      <c r="T203" s="45">
        <v>0</v>
      </c>
      <c r="U203" s="45">
        <v>0</v>
      </c>
      <c r="V203" s="45">
        <v>0</v>
      </c>
      <c r="W203" s="45">
        <v>0</v>
      </c>
      <c r="X203" s="45">
        <v>0</v>
      </c>
      <c r="Y203" s="45">
        <v>0</v>
      </c>
      <c r="Z203" s="45">
        <v>0</v>
      </c>
      <c r="AA203" s="45">
        <v>0</v>
      </c>
      <c r="AB203" s="45">
        <v>0</v>
      </c>
      <c r="AC203" s="45">
        <v>0.26</v>
      </c>
      <c r="AD203" s="45">
        <v>0.03</v>
      </c>
      <c r="AE203" s="45">
        <v>0</v>
      </c>
      <c r="AF203" s="45">
        <v>0</v>
      </c>
      <c r="AG203" s="45">
        <v>0</v>
      </c>
      <c r="AH203" s="45">
        <v>0</v>
      </c>
      <c r="AI203" s="45">
        <v>0</v>
      </c>
      <c r="AJ203" s="45">
        <v>0</v>
      </c>
      <c r="AN203" s="45">
        <v>1.5452121420886</v>
      </c>
      <c r="AO203" s="45">
        <v>0.17</v>
      </c>
      <c r="AP203" s="45">
        <v>0</v>
      </c>
      <c r="AQ203" s="45">
        <v>0</v>
      </c>
      <c r="AR203" s="45">
        <f t="shared" si="17"/>
        <v>0.64716033013327279</v>
      </c>
      <c r="AT203" s="217">
        <f t="shared" si="18"/>
        <v>0</v>
      </c>
      <c r="AU203" s="217">
        <f t="shared" si="19"/>
        <v>0</v>
      </c>
      <c r="AV203" s="45">
        <f>[10]Sheet1!AA194</f>
        <v>0.25357142857142856</v>
      </c>
      <c r="AW203" s="45">
        <v>0</v>
      </c>
    </row>
    <row r="204" spans="1:49">
      <c r="A204" s="45"/>
      <c r="B204" s="45"/>
      <c r="C204" s="50">
        <f t="shared" si="16"/>
        <v>42736</v>
      </c>
      <c r="D204" s="56">
        <v>6.64745539581761E-2</v>
      </c>
      <c r="E204" s="48">
        <v>5.2240000000000002</v>
      </c>
      <c r="F204" s="48">
        <v>0.17</v>
      </c>
      <c r="G204" s="48">
        <v>0.17</v>
      </c>
      <c r="H204" s="48">
        <v>0.17</v>
      </c>
      <c r="I204" s="48">
        <v>0.17499999999999999</v>
      </c>
      <c r="J204" s="48">
        <v>0.17</v>
      </c>
      <c r="K204" s="45">
        <v>0.17</v>
      </c>
      <c r="L204" s="48">
        <v>1</v>
      </c>
      <c r="M204" s="48">
        <v>1</v>
      </c>
      <c r="N204" s="48">
        <v>1.1000000000000001</v>
      </c>
      <c r="O204" s="48">
        <v>1.35</v>
      </c>
      <c r="P204" s="48">
        <v>1.05</v>
      </c>
      <c r="Q204" s="56">
        <v>0</v>
      </c>
      <c r="R204" s="56">
        <v>0</v>
      </c>
      <c r="S204" s="45">
        <v>0</v>
      </c>
      <c r="T204" s="45">
        <v>0</v>
      </c>
      <c r="U204" s="45">
        <v>0</v>
      </c>
      <c r="V204" s="45">
        <v>0</v>
      </c>
      <c r="W204" s="45">
        <v>0</v>
      </c>
      <c r="X204" s="45">
        <v>0</v>
      </c>
      <c r="Y204" s="45">
        <v>0</v>
      </c>
      <c r="Z204" s="45">
        <v>0</v>
      </c>
      <c r="AA204" s="45">
        <v>0</v>
      </c>
      <c r="AB204" s="45">
        <v>0</v>
      </c>
      <c r="AC204" s="45">
        <v>0.27</v>
      </c>
      <c r="AD204" s="45">
        <v>0.03</v>
      </c>
      <c r="AE204" s="45">
        <v>0</v>
      </c>
      <c r="AF204" s="45">
        <v>0</v>
      </c>
      <c r="AG204" s="45">
        <v>0</v>
      </c>
      <c r="AH204" s="45">
        <v>0</v>
      </c>
      <c r="AI204" s="45">
        <v>0</v>
      </c>
      <c r="AJ204" s="45">
        <v>0</v>
      </c>
      <c r="AN204" s="45">
        <v>1.5446939353201898</v>
      </c>
      <c r="AO204" s="45">
        <v>0.17</v>
      </c>
      <c r="AP204" s="45">
        <v>0</v>
      </c>
      <c r="AQ204" s="45">
        <v>0</v>
      </c>
      <c r="AR204" s="45">
        <f t="shared" si="17"/>
        <v>0.64737743648402191</v>
      </c>
      <c r="AT204" s="217">
        <f t="shared" si="18"/>
        <v>0</v>
      </c>
      <c r="AU204" s="217">
        <f t="shared" si="19"/>
        <v>0</v>
      </c>
      <c r="AV204" s="45">
        <f>[10]Sheet1!AA195</f>
        <v>25</v>
      </c>
      <c r="AW204" s="45">
        <v>0</v>
      </c>
    </row>
    <row r="205" spans="1:49">
      <c r="A205" s="45"/>
      <c r="B205" s="45"/>
      <c r="C205" s="50">
        <f t="shared" si="16"/>
        <v>42767</v>
      </c>
      <c r="D205" s="56">
        <v>6.6511162947839902E-2</v>
      </c>
      <c r="E205" s="48">
        <v>5.1040000000000001</v>
      </c>
      <c r="F205" s="48">
        <v>0.17</v>
      </c>
      <c r="G205" s="48">
        <v>0.17</v>
      </c>
      <c r="H205" s="48">
        <v>0.17</v>
      </c>
      <c r="I205" s="48">
        <v>0.17499999999999999</v>
      </c>
      <c r="J205" s="48">
        <v>0.17</v>
      </c>
      <c r="K205" s="45">
        <v>0.17</v>
      </c>
      <c r="L205" s="48">
        <v>1</v>
      </c>
      <c r="M205" s="48">
        <v>1</v>
      </c>
      <c r="N205" s="48">
        <v>1.1000000000000001</v>
      </c>
      <c r="O205" s="48">
        <v>1.35</v>
      </c>
      <c r="P205" s="48">
        <v>1.05</v>
      </c>
      <c r="Q205" s="56">
        <v>0</v>
      </c>
      <c r="R205" s="56">
        <v>0</v>
      </c>
      <c r="S205" s="45">
        <v>0</v>
      </c>
      <c r="T205" s="45">
        <v>0</v>
      </c>
      <c r="U205" s="45">
        <v>0</v>
      </c>
      <c r="V205" s="45">
        <v>0</v>
      </c>
      <c r="W205" s="45">
        <v>0</v>
      </c>
      <c r="X205" s="45">
        <v>0</v>
      </c>
      <c r="Y205" s="45">
        <v>0</v>
      </c>
      <c r="Z205" s="45">
        <v>0</v>
      </c>
      <c r="AA205" s="45">
        <v>0</v>
      </c>
      <c r="AB205" s="45">
        <v>0</v>
      </c>
      <c r="AC205" s="45">
        <v>0.27</v>
      </c>
      <c r="AD205" s="45">
        <v>0.03</v>
      </c>
      <c r="AE205" s="45">
        <v>0</v>
      </c>
      <c r="AF205" s="45">
        <v>0</v>
      </c>
      <c r="AG205" s="45">
        <v>0</v>
      </c>
      <c r="AH205" s="45">
        <v>0</v>
      </c>
      <c r="AI205" s="45">
        <v>0</v>
      </c>
      <c r="AJ205" s="45">
        <v>0</v>
      </c>
      <c r="AN205" s="45">
        <v>1.54417064563746</v>
      </c>
      <c r="AO205" s="45">
        <v>0.17</v>
      </c>
      <c r="AP205" s="45">
        <v>0</v>
      </c>
      <c r="AQ205" s="45">
        <v>0</v>
      </c>
      <c r="AR205" s="45">
        <f t="shared" si="17"/>
        <v>0.64759682022525622</v>
      </c>
      <c r="AT205" s="217">
        <f t="shared" si="18"/>
        <v>0</v>
      </c>
      <c r="AU205" s="217">
        <f t="shared" si="19"/>
        <v>0</v>
      </c>
      <c r="AV205" s="45">
        <f>[10]Sheet1!AA196</f>
        <v>25</v>
      </c>
      <c r="AW205" s="45">
        <v>0</v>
      </c>
    </row>
    <row r="206" spans="1:49">
      <c r="A206" s="45"/>
      <c r="B206" s="45"/>
      <c r="C206" s="50">
        <f t="shared" si="16"/>
        <v>42795</v>
      </c>
      <c r="D206" s="56">
        <v>6.6544229132433796E-2</v>
      </c>
      <c r="E206" s="48">
        <v>4.9649999999999999</v>
      </c>
      <c r="F206" s="48">
        <v>0.17</v>
      </c>
      <c r="G206" s="48">
        <v>0.17</v>
      </c>
      <c r="H206" s="48">
        <v>0.17</v>
      </c>
      <c r="I206" s="48">
        <v>0.17499999999999999</v>
      </c>
      <c r="J206" s="48">
        <v>0.17</v>
      </c>
      <c r="K206" s="45">
        <v>0.17</v>
      </c>
      <c r="L206" s="48">
        <v>0.75</v>
      </c>
      <c r="M206" s="48">
        <v>0.75</v>
      </c>
      <c r="N206" s="48">
        <v>0.75</v>
      </c>
      <c r="O206" s="48">
        <v>0.95</v>
      </c>
      <c r="P206" s="48">
        <v>0.75</v>
      </c>
      <c r="Q206" s="56">
        <v>0</v>
      </c>
      <c r="R206" s="56">
        <v>0</v>
      </c>
      <c r="S206" s="45">
        <v>0</v>
      </c>
      <c r="T206" s="45">
        <v>0</v>
      </c>
      <c r="U206" s="45">
        <v>0</v>
      </c>
      <c r="V206" s="45">
        <v>0</v>
      </c>
      <c r="W206" s="45">
        <v>0</v>
      </c>
      <c r="X206" s="45">
        <v>0</v>
      </c>
      <c r="Y206" s="45">
        <v>0</v>
      </c>
      <c r="Z206" s="45">
        <v>0</v>
      </c>
      <c r="AA206" s="45">
        <v>0</v>
      </c>
      <c r="AB206" s="45">
        <v>0</v>
      </c>
      <c r="AC206" s="45">
        <v>0.24</v>
      </c>
      <c r="AD206" s="45">
        <v>0.03</v>
      </c>
      <c r="AE206" s="45">
        <v>0</v>
      </c>
      <c r="AF206" s="45">
        <v>0</v>
      </c>
      <c r="AG206" s="45">
        <v>0</v>
      </c>
      <c r="AH206" s="45">
        <v>0</v>
      </c>
      <c r="AI206" s="45">
        <v>0</v>
      </c>
      <c r="AJ206" s="45">
        <v>0</v>
      </c>
      <c r="AN206" s="45">
        <v>1.5436936325790098</v>
      </c>
      <c r="AO206" s="45">
        <v>0.17</v>
      </c>
      <c r="AP206" s="45">
        <v>0</v>
      </c>
      <c r="AQ206" s="45">
        <v>0</v>
      </c>
      <c r="AR206" s="45">
        <f t="shared" si="17"/>
        <v>0.64779693256188753</v>
      </c>
      <c r="AT206" s="217">
        <f t="shared" si="18"/>
        <v>0</v>
      </c>
      <c r="AU206" s="217">
        <f t="shared" si="19"/>
        <v>0</v>
      </c>
      <c r="AV206" s="45">
        <f>[10]Sheet1!AA197</f>
        <v>0</v>
      </c>
      <c r="AW206" s="45">
        <v>0</v>
      </c>
    </row>
    <row r="207" spans="1:49">
      <c r="A207" s="45"/>
      <c r="B207" s="45"/>
      <c r="C207" s="50">
        <f t="shared" si="16"/>
        <v>42826</v>
      </c>
      <c r="D207" s="56">
        <v>6.6580838122942701E-2</v>
      </c>
      <c r="E207" s="48">
        <v>4.79</v>
      </c>
      <c r="F207" s="48">
        <v>0.17</v>
      </c>
      <c r="G207" s="48">
        <v>0.17</v>
      </c>
      <c r="H207" s="48">
        <v>0.17</v>
      </c>
      <c r="I207" s="48">
        <v>0.17499999999999999</v>
      </c>
      <c r="J207" s="48">
        <v>0.17</v>
      </c>
      <c r="K207" s="45">
        <v>0.17</v>
      </c>
      <c r="L207" s="48">
        <v>0.4</v>
      </c>
      <c r="M207" s="48">
        <v>0.4</v>
      </c>
      <c r="N207" s="48">
        <v>0.45</v>
      </c>
      <c r="O207" s="48">
        <v>0.5</v>
      </c>
      <c r="P207" s="48">
        <v>0.45</v>
      </c>
      <c r="Q207" s="56">
        <v>0</v>
      </c>
      <c r="R207" s="56">
        <v>0</v>
      </c>
      <c r="S207" s="45">
        <v>0</v>
      </c>
      <c r="T207" s="45">
        <v>0</v>
      </c>
      <c r="U207" s="45">
        <v>0</v>
      </c>
      <c r="V207" s="45">
        <v>0</v>
      </c>
      <c r="W207" s="45">
        <v>0</v>
      </c>
      <c r="X207" s="45">
        <v>0</v>
      </c>
      <c r="Y207" s="45">
        <v>0</v>
      </c>
      <c r="Z207" s="45">
        <v>0</v>
      </c>
      <c r="AA207" s="45">
        <v>0</v>
      </c>
      <c r="AB207" s="45">
        <v>0</v>
      </c>
      <c r="AC207" s="45">
        <v>0.17</v>
      </c>
      <c r="AD207" s="45">
        <v>1.7500000000000002E-2</v>
      </c>
      <c r="AE207" s="45">
        <v>0</v>
      </c>
      <c r="AF207" s="45">
        <v>0</v>
      </c>
      <c r="AG207" s="45">
        <v>0</v>
      </c>
      <c r="AH207" s="45">
        <v>0</v>
      </c>
      <c r="AI207" s="45">
        <v>0</v>
      </c>
      <c r="AJ207" s="45">
        <v>0</v>
      </c>
      <c r="AN207" s="45">
        <v>1.5431606841548</v>
      </c>
      <c r="AO207" s="45">
        <v>0.17</v>
      </c>
      <c r="AP207" s="45">
        <v>0</v>
      </c>
      <c r="AQ207" s="45">
        <v>0</v>
      </c>
      <c r="AR207" s="45">
        <f t="shared" si="17"/>
        <v>0.6480206567391309</v>
      </c>
      <c r="AT207" s="217">
        <f t="shared" si="18"/>
        <v>0</v>
      </c>
      <c r="AU207" s="217">
        <f t="shared" si="19"/>
        <v>0</v>
      </c>
      <c r="AV207" s="45" t="str">
        <f>[10]Sheet1!AA198</f>
        <v>Fake Chippawa</v>
      </c>
      <c r="AW207" s="45">
        <v>0</v>
      </c>
    </row>
    <row r="208" spans="1:49">
      <c r="A208" s="45"/>
      <c r="B208" s="45"/>
      <c r="C208" s="50">
        <f t="shared" si="16"/>
        <v>42856</v>
      </c>
      <c r="D208" s="56">
        <v>6.6616266178696204E-2</v>
      </c>
      <c r="E208" s="48">
        <v>4.76</v>
      </c>
      <c r="F208" s="48">
        <v>0.17</v>
      </c>
      <c r="G208" s="48">
        <v>0.17</v>
      </c>
      <c r="H208" s="48">
        <v>0.17</v>
      </c>
      <c r="I208" s="48">
        <v>0.17499999999999999</v>
      </c>
      <c r="J208" s="48">
        <v>0.17</v>
      </c>
      <c r="K208" s="45">
        <v>0.17</v>
      </c>
      <c r="L208" s="48">
        <v>0.45</v>
      </c>
      <c r="M208" s="48">
        <v>0.4</v>
      </c>
      <c r="N208" s="48">
        <v>0.5</v>
      </c>
      <c r="O208" s="48">
        <v>0.45</v>
      </c>
      <c r="P208" s="48">
        <v>0.45</v>
      </c>
      <c r="Q208" s="56">
        <v>0</v>
      </c>
      <c r="R208" s="56">
        <v>0</v>
      </c>
      <c r="S208" s="45">
        <v>0</v>
      </c>
      <c r="T208" s="45">
        <v>0</v>
      </c>
      <c r="U208" s="45">
        <v>0</v>
      </c>
      <c r="V208" s="45">
        <v>0</v>
      </c>
      <c r="W208" s="45">
        <v>0</v>
      </c>
      <c r="X208" s="45">
        <v>0</v>
      </c>
      <c r="Y208" s="45">
        <v>0</v>
      </c>
      <c r="Z208" s="45">
        <v>0</v>
      </c>
      <c r="AA208" s="45">
        <v>0</v>
      </c>
      <c r="AB208" s="45">
        <v>0</v>
      </c>
      <c r="AC208" s="45">
        <v>0.16500000000000001</v>
      </c>
      <c r="AD208" s="45">
        <v>0.01</v>
      </c>
      <c r="AE208" s="45">
        <v>0</v>
      </c>
      <c r="AF208" s="45">
        <v>0</v>
      </c>
      <c r="AG208" s="45">
        <v>0</v>
      </c>
      <c r="AH208" s="45">
        <v>0</v>
      </c>
      <c r="AI208" s="45">
        <v>0</v>
      </c>
      <c r="AJ208" s="45">
        <v>0</v>
      </c>
      <c r="AN208" s="45">
        <v>1.54264010323626</v>
      </c>
      <c r="AO208" s="45">
        <v>0.17</v>
      </c>
      <c r="AP208" s="45">
        <v>0</v>
      </c>
      <c r="AQ208" s="45">
        <v>0</v>
      </c>
      <c r="AR208" s="45">
        <f t="shared" si="17"/>
        <v>0.64823933845757609</v>
      </c>
      <c r="AT208" s="217">
        <f t="shared" si="18"/>
        <v>0</v>
      </c>
      <c r="AU208" s="217">
        <f t="shared" si="19"/>
        <v>0</v>
      </c>
      <c r="AV208" s="45">
        <f>[10]Sheet1!AA199</f>
        <v>0.12199999999999993</v>
      </c>
      <c r="AW208" s="45">
        <v>0</v>
      </c>
    </row>
    <row r="209" spans="1:49">
      <c r="A209" s="45"/>
      <c r="B209" s="45"/>
      <c r="C209" s="50">
        <f t="shared" si="16"/>
        <v>42887</v>
      </c>
      <c r="D209" s="56">
        <v>6.6652875170078105E-2</v>
      </c>
      <c r="E209" s="48">
        <v>4.83</v>
      </c>
      <c r="F209" s="48">
        <v>0.17</v>
      </c>
      <c r="G209" s="48">
        <v>0.17</v>
      </c>
      <c r="H209" s="48">
        <v>0.17</v>
      </c>
      <c r="I209" s="48">
        <v>0.17499999999999999</v>
      </c>
      <c r="J209" s="48">
        <v>0.17</v>
      </c>
      <c r="K209" s="45">
        <v>0.17</v>
      </c>
      <c r="L209" s="48">
        <v>0.45</v>
      </c>
      <c r="M209" s="48">
        <v>0.4</v>
      </c>
      <c r="N209" s="48">
        <v>0.5</v>
      </c>
      <c r="O209" s="48">
        <v>0.5</v>
      </c>
      <c r="P209" s="48">
        <v>0.5</v>
      </c>
      <c r="Q209" s="56">
        <v>0</v>
      </c>
      <c r="R209" s="56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0.17</v>
      </c>
      <c r="AD209" s="45">
        <v>1.2500000000000001E-2</v>
      </c>
      <c r="AE209" s="45">
        <v>0</v>
      </c>
      <c r="AF209" s="45">
        <v>0</v>
      </c>
      <c r="AG209" s="45">
        <v>0</v>
      </c>
      <c r="AH209" s="45">
        <v>0</v>
      </c>
      <c r="AI209" s="45">
        <v>0</v>
      </c>
      <c r="AJ209" s="45">
        <v>0</v>
      </c>
      <c r="AN209" s="45">
        <v>1.5420971899059099</v>
      </c>
      <c r="AO209" s="45">
        <v>0.17</v>
      </c>
      <c r="AP209" s="45">
        <v>0</v>
      </c>
      <c r="AQ209" s="45">
        <v>0</v>
      </c>
      <c r="AR209" s="45">
        <f t="shared" si="17"/>
        <v>0.64846755868935491</v>
      </c>
      <c r="AT209" s="217">
        <f t="shared" si="18"/>
        <v>0</v>
      </c>
      <c r="AU209" s="217">
        <f t="shared" si="19"/>
        <v>0</v>
      </c>
      <c r="AV209" s="45">
        <f>[10]Sheet1!AA200</f>
        <v>0.12199999999999993</v>
      </c>
      <c r="AW209" s="45">
        <v>0</v>
      </c>
    </row>
    <row r="210" spans="1:49">
      <c r="A210" s="45"/>
      <c r="B210" s="45"/>
      <c r="C210" s="50">
        <f t="shared" ref="C210:C273" si="20">NextMonth(C209)</f>
        <v>42917</v>
      </c>
      <c r="D210" s="56">
        <v>6.6688303226677195E-2</v>
      </c>
      <c r="E210" s="48">
        <v>4.8849999999999998</v>
      </c>
      <c r="F210" s="48">
        <v>0.17</v>
      </c>
      <c r="G210" s="48">
        <v>0.17</v>
      </c>
      <c r="H210" s="48">
        <v>0.17</v>
      </c>
      <c r="I210" s="48">
        <v>0.17499999999999999</v>
      </c>
      <c r="J210" s="48">
        <v>0.17</v>
      </c>
      <c r="K210" s="45">
        <v>0.17</v>
      </c>
      <c r="L210" s="48">
        <v>0.5</v>
      </c>
      <c r="M210" s="48">
        <v>0.4</v>
      </c>
      <c r="N210" s="48">
        <v>0.55000000000000004</v>
      </c>
      <c r="O210" s="48">
        <v>0.5</v>
      </c>
      <c r="P210" s="48">
        <v>0.5</v>
      </c>
      <c r="Q210" s="56">
        <v>0</v>
      </c>
      <c r="R210" s="56">
        <v>0</v>
      </c>
      <c r="S210" s="45">
        <v>0</v>
      </c>
      <c r="T210" s="45">
        <v>0</v>
      </c>
      <c r="U210" s="45">
        <v>0</v>
      </c>
      <c r="V210" s="45">
        <v>0</v>
      </c>
      <c r="W210" s="45">
        <v>0</v>
      </c>
      <c r="X210" s="45">
        <v>0</v>
      </c>
      <c r="Y210" s="45">
        <v>0</v>
      </c>
      <c r="Z210" s="45">
        <v>0</v>
      </c>
      <c r="AA210" s="45">
        <v>0</v>
      </c>
      <c r="AB210" s="45">
        <v>0</v>
      </c>
      <c r="AC210" s="45">
        <v>0.17499999999999999</v>
      </c>
      <c r="AD210" s="45">
        <v>1.2500000000000001E-2</v>
      </c>
      <c r="AE210" s="45">
        <v>0</v>
      </c>
      <c r="AF210" s="45">
        <v>0</v>
      </c>
      <c r="AG210" s="45">
        <v>0</v>
      </c>
      <c r="AH210" s="45">
        <v>0</v>
      </c>
      <c r="AI210" s="45">
        <v>0</v>
      </c>
      <c r="AJ210" s="45">
        <v>0</v>
      </c>
      <c r="AN210" s="45">
        <v>1.5415669761183599</v>
      </c>
      <c r="AO210" s="45">
        <v>0.17</v>
      </c>
      <c r="AP210" s="45">
        <v>0</v>
      </c>
      <c r="AQ210" s="45">
        <v>0</v>
      </c>
      <c r="AR210" s="45">
        <f t="shared" ref="AR210:AR272" si="21">1/AN210</f>
        <v>0.64869059566778176</v>
      </c>
      <c r="AT210" s="217">
        <f t="shared" ref="AT210:AT272" si="22">AR210*AM210*$AT$6</f>
        <v>0</v>
      </c>
      <c r="AU210" s="217">
        <f t="shared" ref="AU210:AU273" si="23">AK210+AL210+AT210</f>
        <v>0</v>
      </c>
      <c r="AV210" s="45">
        <f>[10]Sheet1!AA201</f>
        <v>0.12199999999999993</v>
      </c>
      <c r="AW210" s="45">
        <v>0</v>
      </c>
    </row>
    <row r="211" spans="1:49">
      <c r="A211" s="45"/>
      <c r="B211" s="45"/>
      <c r="C211" s="50">
        <f t="shared" si="20"/>
        <v>42948</v>
      </c>
      <c r="D211" s="56">
        <v>6.6724912218932605E-2</v>
      </c>
      <c r="E211" s="48">
        <v>4.9409999999999998</v>
      </c>
      <c r="F211" s="48">
        <v>0.17</v>
      </c>
      <c r="G211" s="48">
        <v>0.17</v>
      </c>
      <c r="H211" s="48">
        <v>0.17</v>
      </c>
      <c r="I211" s="48">
        <v>0.17499999999999999</v>
      </c>
      <c r="J211" s="48">
        <v>0.17</v>
      </c>
      <c r="K211" s="45">
        <v>0.17</v>
      </c>
      <c r="L211" s="48">
        <v>0.55000000000000004</v>
      </c>
      <c r="M211" s="48">
        <v>0.5</v>
      </c>
      <c r="N211" s="48">
        <v>0.6</v>
      </c>
      <c r="O211" s="48">
        <v>0.45</v>
      </c>
      <c r="P211" s="48">
        <v>0.55000000000000004</v>
      </c>
      <c r="Q211" s="56">
        <v>0</v>
      </c>
      <c r="R211" s="56">
        <v>0</v>
      </c>
      <c r="S211" s="45">
        <v>0</v>
      </c>
      <c r="T211" s="45">
        <v>0</v>
      </c>
      <c r="U211" s="45">
        <v>0</v>
      </c>
      <c r="V211" s="45">
        <v>0</v>
      </c>
      <c r="W211" s="45">
        <v>0</v>
      </c>
      <c r="X211" s="45">
        <v>0</v>
      </c>
      <c r="Y211" s="45">
        <v>0</v>
      </c>
      <c r="Z211" s="45">
        <v>0</v>
      </c>
      <c r="AA211" s="45">
        <v>0</v>
      </c>
      <c r="AB211" s="45">
        <v>0</v>
      </c>
      <c r="AC211" s="45">
        <v>0.17499999999999999</v>
      </c>
      <c r="AD211" s="45">
        <v>1.2500000000000001E-2</v>
      </c>
      <c r="AE211" s="45">
        <v>0</v>
      </c>
      <c r="AF211" s="45">
        <v>0</v>
      </c>
      <c r="AG211" s="45">
        <v>0</v>
      </c>
      <c r="AH211" s="45">
        <v>0</v>
      </c>
      <c r="AI211" s="45">
        <v>0</v>
      </c>
      <c r="AJ211" s="45">
        <v>0</v>
      </c>
      <c r="AN211" s="45">
        <v>1.5410141198595599</v>
      </c>
      <c r="AO211" s="45">
        <v>0.17</v>
      </c>
      <c r="AP211" s="45">
        <v>0</v>
      </c>
      <c r="AQ211" s="45">
        <v>0</v>
      </c>
      <c r="AR211" s="45">
        <f t="shared" si="21"/>
        <v>0.64892332076174286</v>
      </c>
      <c r="AT211" s="217">
        <f t="shared" si="22"/>
        <v>0</v>
      </c>
      <c r="AU211" s="217">
        <f t="shared" si="23"/>
        <v>0</v>
      </c>
      <c r="AV211" s="45">
        <f>[10]Sheet1!AA202</f>
        <v>0.12199999999999993</v>
      </c>
      <c r="AW211" s="45">
        <v>0</v>
      </c>
    </row>
    <row r="212" spans="1:49">
      <c r="A212" s="45"/>
      <c r="B212" s="45"/>
      <c r="C212" s="50">
        <f t="shared" si="20"/>
        <v>42979</v>
      </c>
      <c r="D212" s="56">
        <v>6.6761521211632202E-2</v>
      </c>
      <c r="E212" s="48">
        <v>4.9550000000000001</v>
      </c>
      <c r="F212" s="48">
        <v>0.17</v>
      </c>
      <c r="G212" s="48">
        <v>0.17</v>
      </c>
      <c r="H212" s="48">
        <v>0.17</v>
      </c>
      <c r="I212" s="48">
        <v>0.17499999999999999</v>
      </c>
      <c r="J212" s="48">
        <v>0.17</v>
      </c>
      <c r="K212" s="45">
        <v>0.17</v>
      </c>
      <c r="L212" s="48">
        <v>0.55000000000000004</v>
      </c>
      <c r="M212" s="48">
        <v>0.55000000000000004</v>
      </c>
      <c r="N212" s="48">
        <v>0.6</v>
      </c>
      <c r="O212" s="48">
        <v>0.5</v>
      </c>
      <c r="P212" s="48">
        <v>0.6</v>
      </c>
      <c r="Q212" s="56">
        <v>0</v>
      </c>
      <c r="R212" s="56">
        <v>0</v>
      </c>
      <c r="S212" s="45">
        <v>0</v>
      </c>
      <c r="T212" s="45">
        <v>0</v>
      </c>
      <c r="U212" s="45">
        <v>0</v>
      </c>
      <c r="V212" s="45">
        <v>0</v>
      </c>
      <c r="W212" s="45">
        <v>0</v>
      </c>
      <c r="X212" s="45">
        <v>0</v>
      </c>
      <c r="Y212" s="45">
        <v>0</v>
      </c>
      <c r="Z212" s="45">
        <v>0</v>
      </c>
      <c r="AA212" s="45">
        <v>0</v>
      </c>
      <c r="AB212" s="45">
        <v>0</v>
      </c>
      <c r="AC212" s="45">
        <v>0.16500000000000001</v>
      </c>
      <c r="AD212" s="45">
        <v>1.2500000000000001E-2</v>
      </c>
      <c r="AE212" s="45">
        <v>0</v>
      </c>
      <c r="AF212" s="45">
        <v>0</v>
      </c>
      <c r="AG212" s="45">
        <v>0</v>
      </c>
      <c r="AH212" s="45">
        <v>0</v>
      </c>
      <c r="AI212" s="45">
        <v>0</v>
      </c>
      <c r="AJ212" s="45">
        <v>0</v>
      </c>
      <c r="AN212" s="45">
        <v>1.5404562191801299</v>
      </c>
      <c r="AO212" s="45">
        <v>0.17</v>
      </c>
      <c r="AP212" s="45">
        <v>0</v>
      </c>
      <c r="AQ212" s="45">
        <v>0</v>
      </c>
      <c r="AR212" s="45">
        <f t="shared" si="21"/>
        <v>0.64915833864608341</v>
      </c>
      <c r="AT212" s="217">
        <f t="shared" si="22"/>
        <v>0</v>
      </c>
      <c r="AU212" s="217">
        <f t="shared" si="23"/>
        <v>0</v>
      </c>
      <c r="AV212" s="45">
        <f>[10]Sheet1!AA203</f>
        <v>0.12199999999999993</v>
      </c>
      <c r="AW212" s="45">
        <v>0</v>
      </c>
    </row>
    <row r="213" spans="1:49">
      <c r="A213" s="45"/>
      <c r="B213" s="45"/>
      <c r="C213" s="50">
        <f t="shared" si="20"/>
        <v>43009</v>
      </c>
      <c r="D213" s="56">
        <v>6.6796949269505801E-2</v>
      </c>
      <c r="E213" s="48">
        <v>4.9860000000000007</v>
      </c>
      <c r="F213" s="48">
        <v>0.17</v>
      </c>
      <c r="G213" s="48">
        <v>0.17</v>
      </c>
      <c r="H213" s="48">
        <v>0.17</v>
      </c>
      <c r="I213" s="48">
        <v>0.17499999999999999</v>
      </c>
      <c r="J213" s="48">
        <v>0.17</v>
      </c>
      <c r="K213" s="45">
        <v>0.17</v>
      </c>
      <c r="L213" s="48">
        <v>0.6</v>
      </c>
      <c r="M213" s="48">
        <v>0.55000000000000004</v>
      </c>
      <c r="N213" s="48">
        <v>0.65</v>
      </c>
      <c r="O213" s="48">
        <v>0.5</v>
      </c>
      <c r="P213" s="48">
        <v>0.65</v>
      </c>
      <c r="Q213" s="56">
        <v>0</v>
      </c>
      <c r="R213" s="56">
        <v>0</v>
      </c>
      <c r="S213" s="45">
        <v>0</v>
      </c>
      <c r="T213" s="45">
        <v>0</v>
      </c>
      <c r="U213" s="45">
        <v>0</v>
      </c>
      <c r="V213" s="45">
        <v>0</v>
      </c>
      <c r="W213" s="45">
        <v>0</v>
      </c>
      <c r="X213" s="45">
        <v>0</v>
      </c>
      <c r="Y213" s="45">
        <v>0</v>
      </c>
      <c r="Z213" s="45">
        <v>0</v>
      </c>
      <c r="AA213" s="45">
        <v>0</v>
      </c>
      <c r="AB213" s="45">
        <v>0</v>
      </c>
      <c r="AC213" s="45">
        <v>0.17249999999999999</v>
      </c>
      <c r="AD213" s="45">
        <v>1.2500000000000001E-2</v>
      </c>
      <c r="AE213" s="45">
        <v>0</v>
      </c>
      <c r="AF213" s="45">
        <v>0</v>
      </c>
      <c r="AG213" s="45">
        <v>0</v>
      </c>
      <c r="AH213" s="45">
        <v>0</v>
      </c>
      <c r="AI213" s="45">
        <v>0</v>
      </c>
      <c r="AJ213" s="45">
        <v>0</v>
      </c>
      <c r="AN213" s="45">
        <v>1.5399115178201499</v>
      </c>
      <c r="AO213" s="45">
        <v>0.17</v>
      </c>
      <c r="AP213" s="45">
        <v>0</v>
      </c>
      <c r="AQ213" s="45">
        <v>0</v>
      </c>
      <c r="AR213" s="45">
        <f t="shared" si="21"/>
        <v>0.6493879605599473</v>
      </c>
      <c r="AT213" s="217">
        <f t="shared" si="22"/>
        <v>0</v>
      </c>
      <c r="AU213" s="217">
        <f t="shared" si="23"/>
        <v>0</v>
      </c>
      <c r="AV213" s="45">
        <f>[10]Sheet1!AA204</f>
        <v>0.17107142857142854</v>
      </c>
      <c r="AW213" s="45">
        <v>0</v>
      </c>
    </row>
    <row r="214" spans="1:49">
      <c r="A214" s="45"/>
      <c r="B214" s="45"/>
      <c r="C214" s="50">
        <f t="shared" si="20"/>
        <v>43040</v>
      </c>
      <c r="D214" s="56">
        <v>6.6833558263078408E-2</v>
      </c>
      <c r="E214" s="48">
        <v>5.1190000000000007</v>
      </c>
      <c r="F214" s="48">
        <v>0.17</v>
      </c>
      <c r="G214" s="48">
        <v>0.17</v>
      </c>
      <c r="H214" s="48">
        <v>0.17</v>
      </c>
      <c r="I214" s="48">
        <v>0.17499999999999999</v>
      </c>
      <c r="J214" s="48">
        <v>0.17</v>
      </c>
      <c r="K214" s="45">
        <v>0.17</v>
      </c>
      <c r="L214" s="48">
        <v>0.8</v>
      </c>
      <c r="M214" s="48">
        <v>0.8</v>
      </c>
      <c r="N214" s="48">
        <v>0.8</v>
      </c>
      <c r="O214" s="48">
        <v>0.95</v>
      </c>
      <c r="P214" s="48">
        <v>0.85</v>
      </c>
      <c r="Q214" s="56"/>
      <c r="R214" s="56"/>
      <c r="AC214" s="45">
        <v>0.24</v>
      </c>
      <c r="AD214" s="45">
        <v>0.03</v>
      </c>
      <c r="AN214" s="45">
        <v>1.5393437080694399</v>
      </c>
      <c r="AO214" s="45">
        <v>0.17</v>
      </c>
      <c r="AR214" s="45">
        <f t="shared" si="21"/>
        <v>0.64962749693773392</v>
      </c>
      <c r="AT214" s="217">
        <f t="shared" si="22"/>
        <v>0</v>
      </c>
      <c r="AU214" s="217">
        <f t="shared" si="23"/>
        <v>0</v>
      </c>
      <c r="AV214" s="45">
        <f>[10]Sheet1!AA205</f>
        <v>0.17607142857142855</v>
      </c>
      <c r="AW214" s="45">
        <v>0</v>
      </c>
    </row>
    <row r="215" spans="1:49">
      <c r="A215" s="45"/>
      <c r="B215" s="45"/>
      <c r="C215" s="50">
        <f t="shared" si="20"/>
        <v>43070</v>
      </c>
      <c r="D215" s="56">
        <v>6.6868986321797497E-2</v>
      </c>
      <c r="E215" s="48">
        <v>5.2570000000000006</v>
      </c>
      <c r="F215" s="48">
        <v>0.17</v>
      </c>
      <c r="G215" s="48">
        <v>0.17</v>
      </c>
      <c r="H215" s="48">
        <v>0.17</v>
      </c>
      <c r="I215" s="48">
        <v>0.17499999999999999</v>
      </c>
      <c r="J215" s="48">
        <v>0.17</v>
      </c>
      <c r="K215" s="45">
        <v>0.17</v>
      </c>
      <c r="L215" s="48">
        <v>1</v>
      </c>
      <c r="M215" s="48">
        <v>1</v>
      </c>
      <c r="N215" s="48">
        <v>1.1000000000000001</v>
      </c>
      <c r="O215" s="48">
        <v>1.35</v>
      </c>
      <c r="P215" s="48">
        <v>1.05</v>
      </c>
      <c r="Q215" s="56"/>
      <c r="R215" s="56"/>
      <c r="AC215" s="45">
        <v>0.26</v>
      </c>
      <c r="AD215" s="45">
        <v>0.03</v>
      </c>
      <c r="AN215" s="45">
        <v>1.5387894283294898</v>
      </c>
      <c r="AO215" s="45">
        <v>0.17</v>
      </c>
      <c r="AR215" s="45">
        <f t="shared" si="21"/>
        <v>0.64986149604991783</v>
      </c>
      <c r="AT215" s="217">
        <f t="shared" si="22"/>
        <v>0</v>
      </c>
      <c r="AU215" s="217">
        <f t="shared" si="23"/>
        <v>0</v>
      </c>
      <c r="AV215" s="45">
        <f>[10]Sheet1!AA206</f>
        <v>0.17607142857142855</v>
      </c>
      <c r="AW215" s="45">
        <v>0</v>
      </c>
    </row>
    <row r="216" spans="1:49">
      <c r="A216" s="45"/>
      <c r="B216" s="45"/>
      <c r="C216" s="50">
        <f t="shared" si="20"/>
        <v>43101</v>
      </c>
      <c r="D216" s="56">
        <v>6.6905595316243599E-2</v>
      </c>
      <c r="E216" s="48">
        <v>5.3140000000000001</v>
      </c>
      <c r="F216" s="48">
        <v>0.17</v>
      </c>
      <c r="G216" s="48">
        <v>0.17</v>
      </c>
      <c r="H216" s="48">
        <v>0.17</v>
      </c>
      <c r="I216" s="48">
        <v>0.17499999999999999</v>
      </c>
      <c r="J216" s="48">
        <v>0.17</v>
      </c>
      <c r="K216" s="45">
        <v>0.17</v>
      </c>
      <c r="L216" s="48">
        <v>1</v>
      </c>
      <c r="M216" s="48">
        <v>1</v>
      </c>
      <c r="N216" s="48">
        <v>1.1000000000000001</v>
      </c>
      <c r="O216" s="48">
        <v>1.35</v>
      </c>
      <c r="P216" s="48">
        <v>1.05</v>
      </c>
      <c r="Q216" s="56"/>
      <c r="R216" s="56"/>
      <c r="AC216" s="45">
        <v>0.27</v>
      </c>
      <c r="AD216" s="45">
        <v>0.03</v>
      </c>
      <c r="AN216" s="45">
        <v>1.5382117324252</v>
      </c>
      <c r="AO216" s="45">
        <v>0.17</v>
      </c>
      <c r="AR216" s="45">
        <f t="shared" si="21"/>
        <v>0.6501055601905753</v>
      </c>
      <c r="AT216" s="217">
        <f t="shared" si="22"/>
        <v>0</v>
      </c>
      <c r="AU216" s="217">
        <f t="shared" si="23"/>
        <v>0</v>
      </c>
      <c r="AV216" s="45">
        <f>[10]Sheet1!AA207</f>
        <v>0.17607142857142855</v>
      </c>
      <c r="AW216" s="45">
        <v>0</v>
      </c>
    </row>
    <row r="217" spans="1:49">
      <c r="A217" s="45"/>
      <c r="B217" s="45"/>
      <c r="C217" s="50">
        <f t="shared" si="20"/>
        <v>43132</v>
      </c>
      <c r="D217" s="56">
        <v>6.6942204311133402E-2</v>
      </c>
      <c r="E217" s="48">
        <v>5.194</v>
      </c>
      <c r="F217" s="48">
        <v>0.17</v>
      </c>
      <c r="G217" s="48">
        <v>0.17</v>
      </c>
      <c r="H217" s="48">
        <v>0.17</v>
      </c>
      <c r="I217" s="48">
        <v>0.17499999999999999</v>
      </c>
      <c r="J217" s="48">
        <v>0.17</v>
      </c>
      <c r="K217" s="45">
        <v>0.17</v>
      </c>
      <c r="L217" s="48">
        <v>1</v>
      </c>
      <c r="M217" s="48">
        <v>1</v>
      </c>
      <c r="N217" s="48">
        <v>1.1000000000000001</v>
      </c>
      <c r="O217" s="48">
        <v>1.35</v>
      </c>
      <c r="P217" s="48">
        <v>1.05</v>
      </c>
      <c r="Q217" s="56"/>
      <c r="R217" s="56"/>
      <c r="AC217" s="45">
        <v>0.27</v>
      </c>
      <c r="AD217" s="45">
        <v>0.03</v>
      </c>
      <c r="AN217" s="45">
        <v>1.53762902131209</v>
      </c>
      <c r="AO217" s="45">
        <v>0.17</v>
      </c>
      <c r="AR217" s="45">
        <f t="shared" si="21"/>
        <v>0.65035192893711102</v>
      </c>
      <c r="AT217" s="217">
        <f t="shared" si="22"/>
        <v>0</v>
      </c>
      <c r="AU217" s="217">
        <f t="shared" si="23"/>
        <v>0</v>
      </c>
      <c r="AV217" s="45">
        <f>[10]Sheet1!AA208</f>
        <v>0.17607142857142855</v>
      </c>
      <c r="AW217" s="45">
        <v>0</v>
      </c>
    </row>
    <row r="218" spans="1:49">
      <c r="A218" s="45"/>
      <c r="B218" s="45"/>
      <c r="C218" s="50">
        <f t="shared" si="20"/>
        <v>43160</v>
      </c>
      <c r="D218" s="56">
        <v>6.6975270500447603E-2</v>
      </c>
      <c r="E218" s="48">
        <v>5.0549999999999997</v>
      </c>
      <c r="F218" s="48">
        <v>0.17</v>
      </c>
      <c r="G218" s="48">
        <v>0.17</v>
      </c>
      <c r="H218" s="48">
        <v>0.17</v>
      </c>
      <c r="I218" s="48">
        <v>0.17499999999999999</v>
      </c>
      <c r="J218" s="48">
        <v>0.17</v>
      </c>
      <c r="K218" s="45">
        <v>0.17</v>
      </c>
      <c r="L218" s="48">
        <v>0.75</v>
      </c>
      <c r="M218" s="48">
        <v>0.75</v>
      </c>
      <c r="N218" s="48">
        <v>0.75</v>
      </c>
      <c r="O218" s="48">
        <v>0.95</v>
      </c>
      <c r="P218" s="48">
        <v>0.75</v>
      </c>
      <c r="Q218" s="56"/>
      <c r="R218" s="56"/>
      <c r="AC218" s="45">
        <v>0.24</v>
      </c>
      <c r="AD218" s="45">
        <v>0.03</v>
      </c>
      <c r="AN218" s="45">
        <v>1.5370983959607398</v>
      </c>
      <c r="AO218" s="45">
        <v>0.17</v>
      </c>
      <c r="AR218" s="45">
        <f t="shared" si="21"/>
        <v>0.65057643845563007</v>
      </c>
      <c r="AT218" s="217">
        <f t="shared" si="22"/>
        <v>0</v>
      </c>
      <c r="AU218" s="217">
        <f t="shared" si="23"/>
        <v>0</v>
      </c>
      <c r="AV218" s="45">
        <f>[10]Sheet1!AA209</f>
        <v>0.13199999999999995</v>
      </c>
      <c r="AW218" s="45">
        <v>0</v>
      </c>
    </row>
    <row r="219" spans="1:49">
      <c r="A219" s="45"/>
      <c r="B219" s="45"/>
      <c r="C219" s="50">
        <f t="shared" si="20"/>
        <v>43191</v>
      </c>
      <c r="D219" s="56">
        <v>6.7011879496181995E-2</v>
      </c>
      <c r="E219" s="48">
        <v>4.88</v>
      </c>
      <c r="F219" s="48">
        <v>0.17</v>
      </c>
      <c r="G219" s="48">
        <v>0.17</v>
      </c>
      <c r="H219" s="48">
        <v>0.17</v>
      </c>
      <c r="I219" s="48">
        <v>0.17499999999999999</v>
      </c>
      <c r="J219" s="48">
        <v>0.17</v>
      </c>
      <c r="K219" s="45">
        <v>0.17</v>
      </c>
      <c r="L219" s="48">
        <v>0.4</v>
      </c>
      <c r="M219" s="48">
        <v>0.4</v>
      </c>
      <c r="N219" s="48">
        <v>0.45</v>
      </c>
      <c r="O219" s="48">
        <v>0.5</v>
      </c>
      <c r="P219" s="48">
        <v>0.45</v>
      </c>
      <c r="Q219" s="56"/>
      <c r="R219" s="56"/>
      <c r="AC219" s="45">
        <v>0.17</v>
      </c>
      <c r="AD219" s="45">
        <v>1.7500000000000002E-2</v>
      </c>
      <c r="AN219" s="45">
        <v>1.5365061565653899</v>
      </c>
      <c r="AO219" s="45">
        <v>0.17</v>
      </c>
      <c r="AR219" s="45">
        <f t="shared" si="21"/>
        <v>0.65082720022114171</v>
      </c>
      <c r="AT219" s="217">
        <f t="shared" si="22"/>
        <v>0</v>
      </c>
      <c r="AU219" s="217">
        <f t="shared" si="23"/>
        <v>0</v>
      </c>
      <c r="AV219" s="45">
        <f>[10]Sheet1!AA210</f>
        <v>0.13199999999999995</v>
      </c>
      <c r="AW219" s="45">
        <v>0</v>
      </c>
    </row>
    <row r="220" spans="1:49">
      <c r="A220" s="45"/>
      <c r="B220" s="45"/>
      <c r="C220" s="50">
        <f t="shared" si="20"/>
        <v>43221</v>
      </c>
      <c r="D220" s="56">
        <v>6.70473075569928E-2</v>
      </c>
      <c r="E220" s="48">
        <v>4.8499999999999996</v>
      </c>
      <c r="F220" s="48">
        <v>0.17</v>
      </c>
      <c r="G220" s="48">
        <v>0.17</v>
      </c>
      <c r="H220" s="48">
        <v>0.17</v>
      </c>
      <c r="I220" s="48">
        <v>0.17499999999999999</v>
      </c>
      <c r="J220" s="48">
        <v>0.17</v>
      </c>
      <c r="K220" s="45">
        <v>0.17</v>
      </c>
      <c r="L220" s="48">
        <v>0.45</v>
      </c>
      <c r="M220" s="48">
        <v>0.4</v>
      </c>
      <c r="N220" s="48">
        <v>0.5</v>
      </c>
      <c r="O220" s="48">
        <v>0.45</v>
      </c>
      <c r="P220" s="48">
        <v>0.45</v>
      </c>
      <c r="Q220" s="56"/>
      <c r="R220" s="56"/>
      <c r="AC220" s="45">
        <v>0.16500000000000001</v>
      </c>
      <c r="AD220" s="45">
        <v>0.01</v>
      </c>
      <c r="AN220" s="45">
        <v>1.53592826334554</v>
      </c>
      <c r="AO220" s="45">
        <v>0.17</v>
      </c>
      <c r="AR220" s="45">
        <f t="shared" si="21"/>
        <v>0.65107207404453404</v>
      </c>
      <c r="AT220" s="217">
        <f t="shared" si="22"/>
        <v>0</v>
      </c>
      <c r="AU220" s="217">
        <f t="shared" si="23"/>
        <v>0</v>
      </c>
      <c r="AV220" s="45">
        <f>[10]Sheet1!AA211</f>
        <v>0.13199999999999995</v>
      </c>
      <c r="AW220" s="45">
        <v>0</v>
      </c>
    </row>
    <row r="221" spans="1:49">
      <c r="A221" s="45"/>
      <c r="B221" s="45"/>
      <c r="C221" s="50">
        <f t="shared" si="20"/>
        <v>43252</v>
      </c>
      <c r="D221" s="56">
        <v>6.70839165536012E-2</v>
      </c>
      <c r="E221" s="48">
        <v>4.92</v>
      </c>
      <c r="F221" s="48">
        <v>0.17</v>
      </c>
      <c r="G221" s="48">
        <v>0.17</v>
      </c>
      <c r="H221" s="48">
        <v>0.17</v>
      </c>
      <c r="I221" s="48">
        <v>0.17499999999999999</v>
      </c>
      <c r="J221" s="48">
        <v>0.17</v>
      </c>
      <c r="K221" s="45">
        <v>0.17</v>
      </c>
      <c r="L221" s="48">
        <v>0.45</v>
      </c>
      <c r="M221" s="48">
        <v>0.4</v>
      </c>
      <c r="N221" s="48">
        <v>0.5</v>
      </c>
      <c r="O221" s="48">
        <v>0.5</v>
      </c>
      <c r="P221" s="48">
        <v>0.5</v>
      </c>
      <c r="Q221" s="56"/>
      <c r="R221" s="56"/>
      <c r="AC221" s="45">
        <v>0.17</v>
      </c>
      <c r="AD221" s="45">
        <v>1.2500000000000001E-2</v>
      </c>
      <c r="AN221" s="45">
        <v>1.53532619612443</v>
      </c>
      <c r="AO221" s="45">
        <v>0.17</v>
      </c>
      <c r="AR221" s="45">
        <f t="shared" si="21"/>
        <v>0.65132738731630113</v>
      </c>
      <c r="AT221" s="217">
        <f t="shared" si="22"/>
        <v>0</v>
      </c>
      <c r="AU221" s="217">
        <f t="shared" si="23"/>
        <v>0</v>
      </c>
      <c r="AV221" s="45">
        <f>[10]Sheet1!AA212</f>
        <v>0.13199999999999995</v>
      </c>
      <c r="AW221" s="45">
        <v>0</v>
      </c>
    </row>
    <row r="222" spans="1:49">
      <c r="A222" s="45"/>
      <c r="B222" s="45"/>
      <c r="C222" s="50">
        <f t="shared" si="20"/>
        <v>43282</v>
      </c>
      <c r="D222" s="56">
        <v>6.7119344615257204E-2</v>
      </c>
      <c r="E222" s="48">
        <v>4.9749999999999996</v>
      </c>
      <c r="F222" s="48">
        <v>0.17</v>
      </c>
      <c r="L222" s="48">
        <v>0.5</v>
      </c>
      <c r="M222" s="48">
        <v>0.4</v>
      </c>
      <c r="N222" s="48">
        <v>0.55000000000000004</v>
      </c>
      <c r="O222" s="48">
        <v>0.5</v>
      </c>
      <c r="P222" s="48">
        <v>0.5</v>
      </c>
      <c r="Q222" s="56"/>
      <c r="R222" s="56"/>
      <c r="AC222" s="45">
        <v>0.17499999999999999</v>
      </c>
      <c r="AD222" s="45">
        <v>1.2500000000000001E-2</v>
      </c>
      <c r="AN222" s="45">
        <v>1.5347388037723999</v>
      </c>
      <c r="AR222" s="45">
        <f t="shared" si="21"/>
        <v>0.65157667059827529</v>
      </c>
      <c r="AT222" s="217">
        <f t="shared" si="22"/>
        <v>0</v>
      </c>
      <c r="AU222" s="217">
        <f t="shared" si="23"/>
        <v>0</v>
      </c>
      <c r="AV222" s="45">
        <f>[10]Sheet1!AA213</f>
        <v>0.13199999999999995</v>
      </c>
      <c r="AW222" s="45">
        <v>0</v>
      </c>
    </row>
    <row r="223" spans="1:49">
      <c r="A223" s="45"/>
      <c r="B223" s="45"/>
      <c r="C223" s="50">
        <f t="shared" si="20"/>
        <v>43313</v>
      </c>
      <c r="D223" s="56">
        <v>6.7155953612737698E-2</v>
      </c>
      <c r="E223" s="48">
        <v>5.0310000000000006</v>
      </c>
      <c r="F223" s="48">
        <v>0.17</v>
      </c>
      <c r="L223" s="48">
        <v>0.55000000000000004</v>
      </c>
      <c r="M223" s="48">
        <v>0.5</v>
      </c>
      <c r="N223" s="48">
        <v>0.6</v>
      </c>
      <c r="O223" s="48">
        <v>0.45</v>
      </c>
      <c r="P223" s="48">
        <v>0.55000000000000004</v>
      </c>
      <c r="Q223" s="56"/>
      <c r="R223" s="56"/>
      <c r="AC223" s="45">
        <v>0.17499999999999999</v>
      </c>
      <c r="AD223" s="45">
        <v>1.2500000000000001E-2</v>
      </c>
      <c r="AN223" s="45">
        <v>1.5341269329295799</v>
      </c>
      <c r="AR223" s="45">
        <f t="shared" si="21"/>
        <v>0.65183654529185064</v>
      </c>
      <c r="AT223" s="217">
        <f t="shared" si="22"/>
        <v>0</v>
      </c>
      <c r="AU223" s="217">
        <f t="shared" si="23"/>
        <v>0</v>
      </c>
      <c r="AV223" s="45">
        <f>[10]Sheet1!AA214</f>
        <v>0.13199999999999995</v>
      </c>
      <c r="AW223" s="45">
        <v>0</v>
      </c>
    </row>
    <row r="224" spans="1:49">
      <c r="A224" s="45"/>
      <c r="B224" s="45"/>
      <c r="C224" s="50">
        <f t="shared" si="20"/>
        <v>43344</v>
      </c>
      <c r="D224" s="56">
        <v>6.7192562610662906E-2</v>
      </c>
      <c r="E224" s="48">
        <v>5.0449999999999999</v>
      </c>
      <c r="F224" s="48">
        <v>0.17</v>
      </c>
      <c r="L224" s="48">
        <v>0.55000000000000004</v>
      </c>
      <c r="M224" s="48">
        <v>0.55000000000000004</v>
      </c>
      <c r="N224" s="48">
        <v>0.6</v>
      </c>
      <c r="O224" s="48">
        <v>0.5</v>
      </c>
      <c r="P224" s="48">
        <v>0.6</v>
      </c>
      <c r="Q224" s="56"/>
      <c r="R224" s="56"/>
      <c r="AC224" s="45">
        <v>0.16500000000000001</v>
      </c>
      <c r="AD224" s="45">
        <v>1.2500000000000001E-2</v>
      </c>
      <c r="AN224" s="45">
        <v>1.5335100893115599</v>
      </c>
      <c r="AR224" s="45">
        <f t="shared" si="21"/>
        <v>0.65209874194497863</v>
      </c>
      <c r="AT224" s="217">
        <f t="shared" si="22"/>
        <v>0</v>
      </c>
      <c r="AU224" s="217">
        <f t="shared" si="23"/>
        <v>0</v>
      </c>
      <c r="AV224" s="45">
        <f>[10]Sheet1!AA215</f>
        <v>0.13199999999999995</v>
      </c>
      <c r="AW224" s="45">
        <v>0</v>
      </c>
    </row>
    <row r="225" spans="1:49">
      <c r="A225" s="45"/>
      <c r="B225" s="45"/>
      <c r="C225" s="50">
        <f t="shared" si="20"/>
        <v>43374</v>
      </c>
      <c r="D225" s="56">
        <v>6.7227990673593307E-2</v>
      </c>
      <c r="E225" s="48">
        <v>5.0760000000000005</v>
      </c>
      <c r="F225" s="48">
        <v>0.17</v>
      </c>
      <c r="L225" s="48">
        <v>0.6</v>
      </c>
      <c r="M225" s="48">
        <v>0.55000000000000004</v>
      </c>
      <c r="N225" s="48">
        <v>0.65</v>
      </c>
      <c r="O225" s="48">
        <v>0.5</v>
      </c>
      <c r="P225" s="48">
        <v>0.65</v>
      </c>
      <c r="Q225" s="56"/>
      <c r="R225" s="56"/>
      <c r="AC225" s="45">
        <v>0.17249999999999999</v>
      </c>
      <c r="AD225" s="45">
        <v>1.2500000000000001E-2</v>
      </c>
      <c r="AN225" s="45">
        <v>1.5329084151522698</v>
      </c>
      <c r="AR225" s="45">
        <f t="shared" si="21"/>
        <v>0.6523546939369278</v>
      </c>
      <c r="AT225" s="217">
        <f t="shared" si="22"/>
        <v>0</v>
      </c>
      <c r="AU225" s="217">
        <f t="shared" si="23"/>
        <v>0</v>
      </c>
      <c r="AV225" s="45">
        <f>[10]Sheet1!AA216</f>
        <v>0.18357142857142855</v>
      </c>
      <c r="AW225" s="45">
        <v>0</v>
      </c>
    </row>
    <row r="226" spans="1:49">
      <c r="A226" s="45"/>
      <c r="B226" s="45"/>
      <c r="C226" s="50">
        <f t="shared" si="20"/>
        <v>43405</v>
      </c>
      <c r="D226" s="56">
        <v>6.7264599672391095E-2</v>
      </c>
      <c r="E226" s="48">
        <v>5.2090000000000005</v>
      </c>
      <c r="F226" s="48">
        <v>0.17</v>
      </c>
      <c r="L226" s="48">
        <v>0.8</v>
      </c>
      <c r="M226" s="48">
        <v>0.8</v>
      </c>
      <c r="N226" s="48">
        <v>0.8</v>
      </c>
      <c r="O226" s="48">
        <v>0.95</v>
      </c>
      <c r="P226" s="48">
        <v>0.85</v>
      </c>
      <c r="Q226" s="56"/>
      <c r="R226" s="56"/>
      <c r="AC226" s="45">
        <v>0.24</v>
      </c>
      <c r="AD226" s="45">
        <v>0.03</v>
      </c>
      <c r="AN226" s="45">
        <v>1.5322818051098199</v>
      </c>
      <c r="AR226" s="45">
        <f t="shared" si="21"/>
        <v>0.65262146732097304</v>
      </c>
      <c r="AT226" s="217">
        <f t="shared" si="22"/>
        <v>0</v>
      </c>
      <c r="AU226" s="217">
        <f t="shared" si="23"/>
        <v>0</v>
      </c>
      <c r="AV226" s="45">
        <f>[10]Sheet1!AA217</f>
        <v>0.18857142857142856</v>
      </c>
      <c r="AW226" s="45">
        <v>0</v>
      </c>
    </row>
    <row r="227" spans="1:49">
      <c r="A227" s="45"/>
      <c r="B227" s="45"/>
      <c r="C227" s="50">
        <f t="shared" si="20"/>
        <v>43435</v>
      </c>
      <c r="D227" s="56">
        <v>6.7300027736166598E-2</v>
      </c>
      <c r="E227" s="48">
        <v>5.3470000000000004</v>
      </c>
      <c r="F227" s="48">
        <v>0.17</v>
      </c>
      <c r="L227" s="48">
        <v>1</v>
      </c>
      <c r="M227" s="48">
        <v>1</v>
      </c>
      <c r="N227" s="48">
        <v>1.1000000000000001</v>
      </c>
      <c r="O227" s="48">
        <v>1.35</v>
      </c>
      <c r="P227" s="48">
        <v>1.05</v>
      </c>
      <c r="Q227" s="56"/>
      <c r="R227" s="56"/>
      <c r="AC227" s="45">
        <v>0.26</v>
      </c>
      <c r="AD227" s="45">
        <v>0.03</v>
      </c>
      <c r="AN227" s="45">
        <v>1.53167069168287</v>
      </c>
      <c r="AR227" s="45">
        <f t="shared" si="21"/>
        <v>0.65288185341020322</v>
      </c>
      <c r="AT227" s="217">
        <f t="shared" si="22"/>
        <v>0</v>
      </c>
      <c r="AU227" s="217">
        <f t="shared" si="23"/>
        <v>0</v>
      </c>
      <c r="AV227" s="45">
        <f>[10]Sheet1!AA218</f>
        <v>0.18857142857142856</v>
      </c>
      <c r="AW227" s="45">
        <v>0</v>
      </c>
    </row>
    <row r="228" spans="1:49">
      <c r="A228" s="45"/>
      <c r="B228" s="45"/>
      <c r="C228" s="50">
        <f t="shared" si="20"/>
        <v>43466</v>
      </c>
      <c r="D228" s="56">
        <v>6.7336636735837896E-2</v>
      </c>
      <c r="E228" s="48">
        <v>5.4039999999999999</v>
      </c>
      <c r="F228" s="48">
        <v>0.17</v>
      </c>
      <c r="L228" s="48">
        <v>1</v>
      </c>
      <c r="M228" s="48">
        <v>1</v>
      </c>
      <c r="N228" s="48">
        <v>1.1000000000000001</v>
      </c>
      <c r="O228" s="48">
        <v>1.35</v>
      </c>
      <c r="P228" s="48">
        <v>1.05</v>
      </c>
      <c r="Q228" s="56"/>
      <c r="R228" s="56"/>
      <c r="AC228" s="45">
        <v>0.27</v>
      </c>
      <c r="AD228" s="45">
        <v>0.03</v>
      </c>
      <c r="AN228" s="45">
        <v>1.53103434033632</v>
      </c>
      <c r="AR228" s="45">
        <f t="shared" si="21"/>
        <v>0.65315321391179992</v>
      </c>
      <c r="AT228" s="217">
        <f t="shared" si="22"/>
        <v>0</v>
      </c>
      <c r="AU228" s="217">
        <f t="shared" si="23"/>
        <v>0</v>
      </c>
      <c r="AV228" s="45">
        <f>[10]Sheet1!AA219</f>
        <v>0.18857142857142856</v>
      </c>
      <c r="AW228" s="45">
        <v>0</v>
      </c>
    </row>
    <row r="229" spans="1:49">
      <c r="A229" s="45"/>
      <c r="B229" s="45"/>
      <c r="C229" s="50">
        <f t="shared" si="20"/>
        <v>43497</v>
      </c>
      <c r="D229" s="56">
        <v>6.7373245735952797E-2</v>
      </c>
      <c r="E229" s="48">
        <v>5.2840000000000007</v>
      </c>
      <c r="F229" s="48">
        <v>0.17</v>
      </c>
      <c r="L229" s="48">
        <v>1</v>
      </c>
      <c r="M229" s="48">
        <v>1</v>
      </c>
      <c r="N229" s="48">
        <v>1.1000000000000001</v>
      </c>
      <c r="O229" s="48">
        <v>1.35</v>
      </c>
      <c r="P229" s="48">
        <v>1.05</v>
      </c>
      <c r="Q229" s="56"/>
      <c r="R229" s="56"/>
      <c r="AC229" s="45">
        <v>0.27</v>
      </c>
      <c r="AD229" s="45">
        <v>0.03</v>
      </c>
      <c r="AN229" s="45">
        <v>1.53039304823404</v>
      </c>
      <c r="AR229" s="45">
        <f t="shared" si="21"/>
        <v>0.6534269096124854</v>
      </c>
      <c r="AT229" s="217">
        <f t="shared" si="22"/>
        <v>0</v>
      </c>
      <c r="AU229" s="217">
        <f t="shared" si="23"/>
        <v>0</v>
      </c>
      <c r="AV229" s="45">
        <f>[10]Sheet1!AA220</f>
        <v>0.18857142857142856</v>
      </c>
      <c r="AW229" s="45">
        <v>0</v>
      </c>
    </row>
    <row r="230" spans="1:49">
      <c r="A230" s="45"/>
      <c r="B230" s="45"/>
      <c r="C230" s="50">
        <f t="shared" si="20"/>
        <v>43525</v>
      </c>
      <c r="D230" s="56">
        <v>6.7406311929986404E-2</v>
      </c>
      <c r="E230" s="48">
        <v>5.1449999999999996</v>
      </c>
      <c r="F230" s="48">
        <v>0.17</v>
      </c>
      <c r="L230" s="48">
        <v>0.75</v>
      </c>
      <c r="M230" s="48">
        <v>0.75</v>
      </c>
      <c r="N230" s="48">
        <v>0.75</v>
      </c>
      <c r="O230" s="48">
        <v>0.95</v>
      </c>
      <c r="P230" s="48">
        <v>0.75</v>
      </c>
      <c r="Q230" s="56"/>
      <c r="R230" s="56"/>
      <c r="AC230" s="45">
        <v>0.24</v>
      </c>
      <c r="AD230" s="45">
        <v>0.03</v>
      </c>
      <c r="AN230" s="45">
        <v>1.5298095754856</v>
      </c>
      <c r="AR230" s="45">
        <f t="shared" si="21"/>
        <v>0.65367612807795039</v>
      </c>
      <c r="AT230" s="217">
        <f t="shared" si="22"/>
        <v>0</v>
      </c>
      <c r="AU230" s="217">
        <f t="shared" si="23"/>
        <v>0</v>
      </c>
      <c r="AV230" s="45">
        <f>[10]Sheet1!AA221</f>
        <v>0.14949999999999994</v>
      </c>
      <c r="AW230" s="45">
        <v>0</v>
      </c>
    </row>
    <row r="231" spans="1:49">
      <c r="A231" s="45"/>
      <c r="B231" s="45"/>
      <c r="C231" s="50">
        <f t="shared" si="20"/>
        <v>43556</v>
      </c>
      <c r="D231" s="56">
        <v>6.7442920930946004E-2</v>
      </c>
      <c r="E231" s="48">
        <v>4.97</v>
      </c>
      <c r="F231" s="48">
        <v>0.17</v>
      </c>
      <c r="L231" s="48">
        <v>0.4</v>
      </c>
      <c r="M231" s="48">
        <v>0.4</v>
      </c>
      <c r="N231" s="48">
        <v>0.45</v>
      </c>
      <c r="O231" s="48">
        <v>0.5</v>
      </c>
      <c r="P231" s="48">
        <v>0.45</v>
      </c>
      <c r="Q231" s="56"/>
      <c r="R231" s="56"/>
      <c r="AC231" s="45">
        <v>0.17</v>
      </c>
      <c r="AD231" s="45">
        <v>1.7500000000000002E-2</v>
      </c>
      <c r="AN231" s="45">
        <v>1.5291588983622699</v>
      </c>
      <c r="AR231" s="45">
        <f t="shared" si="21"/>
        <v>0.65395427582509613</v>
      </c>
      <c r="AT231" s="217">
        <f t="shared" si="22"/>
        <v>0</v>
      </c>
      <c r="AU231" s="217">
        <f t="shared" si="23"/>
        <v>0</v>
      </c>
      <c r="AV231" s="45">
        <f>[10]Sheet1!AA222</f>
        <v>0.14949999999999994</v>
      </c>
      <c r="AW231" s="45">
        <v>0</v>
      </c>
    </row>
    <row r="232" spans="1:49">
      <c r="A232" s="45"/>
      <c r="B232" s="45"/>
      <c r="C232" s="50">
        <f t="shared" si="20"/>
        <v>43586</v>
      </c>
      <c r="D232" s="56">
        <v>6.7478348996813195E-2</v>
      </c>
      <c r="E232" s="48">
        <v>4.9400000000000004</v>
      </c>
      <c r="F232" s="48">
        <v>0.17</v>
      </c>
      <c r="L232" s="48">
        <v>0.45</v>
      </c>
      <c r="M232" s="48">
        <v>0.4</v>
      </c>
      <c r="N232" s="48">
        <v>0.5</v>
      </c>
      <c r="O232" s="48">
        <v>0.45</v>
      </c>
      <c r="P232" s="48">
        <v>0.45</v>
      </c>
      <c r="Q232" s="56"/>
      <c r="R232" s="56"/>
      <c r="AC232" s="45">
        <v>0.16500000000000001</v>
      </c>
      <c r="AD232" s="45">
        <v>0.01</v>
      </c>
      <c r="AN232" s="45">
        <v>1.5285245249446</v>
      </c>
      <c r="AR232" s="45">
        <f t="shared" si="21"/>
        <v>0.65422568214026144</v>
      </c>
      <c r="AT232" s="217">
        <f t="shared" si="22"/>
        <v>0</v>
      </c>
      <c r="AU232" s="217">
        <f t="shared" si="23"/>
        <v>0</v>
      </c>
      <c r="AV232" s="45">
        <f>[10]Sheet1!AA223</f>
        <v>0.14949999999999994</v>
      </c>
      <c r="AW232" s="45">
        <v>0</v>
      </c>
    </row>
    <row r="233" spans="1:49">
      <c r="A233" s="45"/>
      <c r="B233" s="45"/>
      <c r="C233" s="50">
        <f t="shared" si="20"/>
        <v>43617</v>
      </c>
      <c r="D233" s="56">
        <v>6.7514957998645403E-2</v>
      </c>
      <c r="E233" s="48">
        <v>5.01</v>
      </c>
      <c r="F233" s="48">
        <v>0.17</v>
      </c>
      <c r="L233" s="48">
        <v>0.45</v>
      </c>
      <c r="M233" s="48">
        <v>0.4</v>
      </c>
      <c r="N233" s="48">
        <v>0.5</v>
      </c>
      <c r="O233" s="48">
        <v>0.5</v>
      </c>
      <c r="P233" s="48">
        <v>0.5</v>
      </c>
      <c r="Q233" s="56"/>
      <c r="R233" s="56"/>
      <c r="AC233" s="45">
        <v>0.17</v>
      </c>
      <c r="AD233" s="45">
        <v>1.2500000000000001E-2</v>
      </c>
      <c r="AN233" s="45">
        <v>1.5278641702556799</v>
      </c>
      <c r="AR233" s="45">
        <f t="shared" si="21"/>
        <v>0.65450844353045823</v>
      </c>
      <c r="AT233" s="217">
        <f t="shared" si="22"/>
        <v>0</v>
      </c>
      <c r="AU233" s="217">
        <f t="shared" si="23"/>
        <v>0</v>
      </c>
      <c r="AV233" s="45">
        <f>[10]Sheet1!AA224</f>
        <v>0.14949999999999994</v>
      </c>
      <c r="AW233" s="45">
        <v>0</v>
      </c>
    </row>
    <row r="234" spans="1:49">
      <c r="A234" s="45"/>
      <c r="B234" s="45"/>
      <c r="C234" s="50">
        <f t="shared" si="20"/>
        <v>43647</v>
      </c>
      <c r="D234" s="56">
        <v>6.7550386065357695E-2</v>
      </c>
      <c r="E234" s="48">
        <v>5.0650000000000004</v>
      </c>
      <c r="F234" s="48">
        <v>0.17</v>
      </c>
      <c r="L234" s="48">
        <v>0.5</v>
      </c>
      <c r="M234" s="48">
        <v>0.4</v>
      </c>
      <c r="N234" s="48">
        <v>0.55000000000000004</v>
      </c>
      <c r="O234" s="48">
        <v>0.5</v>
      </c>
      <c r="P234" s="48">
        <v>0.5</v>
      </c>
      <c r="Q234" s="56"/>
      <c r="R234" s="56"/>
      <c r="AC234" s="45">
        <v>0.17499999999999999</v>
      </c>
      <c r="AD234" s="45">
        <v>1.2500000000000001E-2</v>
      </c>
      <c r="AN234" s="45">
        <v>1.5272204441694099</v>
      </c>
      <c r="AR234" s="45">
        <f t="shared" si="21"/>
        <v>0.65478431998326037</v>
      </c>
      <c r="AT234" s="217">
        <f t="shared" si="22"/>
        <v>0</v>
      </c>
      <c r="AU234" s="217">
        <f t="shared" si="23"/>
        <v>0</v>
      </c>
      <c r="AV234" s="45">
        <f>[10]Sheet1!AA225</f>
        <v>0.14949999999999994</v>
      </c>
      <c r="AW234" s="45">
        <v>0</v>
      </c>
    </row>
    <row r="235" spans="1:49">
      <c r="A235" s="45"/>
      <c r="B235" s="45"/>
      <c r="C235" s="50">
        <f t="shared" si="20"/>
        <v>43678</v>
      </c>
      <c r="D235" s="56">
        <v>6.7586995068063399E-2</v>
      </c>
      <c r="E235" s="48">
        <v>5.1210000000000004</v>
      </c>
      <c r="F235" s="48">
        <v>0.17</v>
      </c>
      <c r="L235" s="48">
        <v>0.55000000000000004</v>
      </c>
      <c r="M235" s="48">
        <v>0.5</v>
      </c>
      <c r="N235" s="48">
        <v>0.6</v>
      </c>
      <c r="O235" s="48">
        <v>0.45</v>
      </c>
      <c r="P235" s="48">
        <v>0.55000000000000004</v>
      </c>
      <c r="Q235" s="56"/>
      <c r="R235" s="56"/>
      <c r="AC235" s="45">
        <v>0.17499999999999999</v>
      </c>
      <c r="AD235" s="45">
        <v>1.2500000000000001E-2</v>
      </c>
      <c r="AN235" s="45">
        <v>1.5265504382874</v>
      </c>
      <c r="AR235" s="45">
        <f t="shared" si="21"/>
        <v>0.65507170606290333</v>
      </c>
      <c r="AT235" s="217">
        <f t="shared" si="22"/>
        <v>0</v>
      </c>
      <c r="AU235" s="217">
        <f t="shared" si="23"/>
        <v>0</v>
      </c>
      <c r="AV235" s="45">
        <f>[10]Sheet1!AA226</f>
        <v>0.14949999999999994</v>
      </c>
      <c r="AW235" s="45">
        <v>0</v>
      </c>
    </row>
    <row r="236" spans="1:49">
      <c r="A236" s="45"/>
      <c r="B236" s="45"/>
      <c r="C236" s="50">
        <f t="shared" si="20"/>
        <v>43709</v>
      </c>
      <c r="D236" s="56">
        <v>6.7623604071212401E-2</v>
      </c>
      <c r="E236" s="48">
        <v>5.1349999999999998</v>
      </c>
      <c r="F236" s="48">
        <v>0.17</v>
      </c>
      <c r="L236" s="48">
        <v>0.55000000000000004</v>
      </c>
      <c r="M236" s="48">
        <v>0.55000000000000004</v>
      </c>
      <c r="N236" s="48">
        <v>0.6</v>
      </c>
      <c r="O236" s="48">
        <v>0.5</v>
      </c>
      <c r="P236" s="48">
        <v>0.6</v>
      </c>
      <c r="Q236" s="56"/>
      <c r="R236" s="56"/>
      <c r="AC236" s="45">
        <v>0.16500000000000001</v>
      </c>
      <c r="AD236" s="45">
        <v>1.2500000000000001E-2</v>
      </c>
      <c r="AN236" s="45">
        <v>1.5258755379217799</v>
      </c>
      <c r="AR236" s="45">
        <f t="shared" si="21"/>
        <v>0.65536144668914831</v>
      </c>
      <c r="AT236" s="217">
        <f t="shared" si="22"/>
        <v>0</v>
      </c>
      <c r="AU236" s="217">
        <f t="shared" si="23"/>
        <v>0</v>
      </c>
      <c r="AV236" s="45">
        <f>[10]Sheet1!AA227</f>
        <v>0.14949999999999994</v>
      </c>
      <c r="AW236" s="45">
        <v>0</v>
      </c>
    </row>
    <row r="237" spans="1:49">
      <c r="A237" s="45"/>
      <c r="B237" s="45"/>
      <c r="C237" s="50">
        <f t="shared" si="20"/>
        <v>43739</v>
      </c>
      <c r="D237" s="56">
        <v>6.76590321391983E-2</v>
      </c>
      <c r="E237" s="48">
        <v>5.1660000000000004</v>
      </c>
      <c r="F237" s="48">
        <v>0.17</v>
      </c>
      <c r="L237" s="48">
        <v>0.6</v>
      </c>
      <c r="M237" s="48">
        <v>0.55000000000000004</v>
      </c>
      <c r="N237" s="48">
        <v>0.65</v>
      </c>
      <c r="O237" s="48">
        <v>0.5</v>
      </c>
      <c r="P237" s="48">
        <v>0.65</v>
      </c>
      <c r="Q237" s="56"/>
      <c r="R237" s="56"/>
      <c r="AC237" s="45">
        <v>0.17249999999999999</v>
      </c>
      <c r="AD237" s="45">
        <v>1.2500000000000001E-2</v>
      </c>
      <c r="AN237" s="45">
        <v>1.52521775488092</v>
      </c>
      <c r="AR237" s="45">
        <f t="shared" si="21"/>
        <v>0.65564408544278585</v>
      </c>
      <c r="AT237" s="217">
        <f t="shared" si="22"/>
        <v>0</v>
      </c>
      <c r="AU237" s="217">
        <f t="shared" si="23"/>
        <v>0</v>
      </c>
      <c r="AV237" s="45">
        <f>[10]Sheet1!AA228</f>
        <v>0.19357142857142856</v>
      </c>
      <c r="AW237" s="45">
        <v>0</v>
      </c>
    </row>
    <row r="238" spans="1:49">
      <c r="A238" s="45"/>
      <c r="B238" s="45"/>
      <c r="C238" s="50">
        <f t="shared" si="20"/>
        <v>43770</v>
      </c>
      <c r="D238" s="56">
        <v>6.7695641143220797E-2</v>
      </c>
      <c r="E238" s="48">
        <v>5.2990000000000004</v>
      </c>
      <c r="F238" s="48">
        <v>0.17</v>
      </c>
      <c r="L238" s="48">
        <v>0.8</v>
      </c>
      <c r="M238" s="48">
        <v>0.8</v>
      </c>
      <c r="N238" s="48">
        <v>0.8</v>
      </c>
      <c r="O238" s="48">
        <v>0.95</v>
      </c>
      <c r="P238" s="48">
        <v>0.85</v>
      </c>
      <c r="Q238" s="56"/>
      <c r="R238" s="56"/>
      <c r="AC238" s="45">
        <v>0.24</v>
      </c>
      <c r="AD238" s="45">
        <v>0.03</v>
      </c>
      <c r="AN238" s="45">
        <v>1.5245332437707699</v>
      </c>
      <c r="AR238" s="45">
        <f t="shared" si="21"/>
        <v>0.65593846778087106</v>
      </c>
      <c r="AT238" s="217">
        <f t="shared" si="22"/>
        <v>0</v>
      </c>
      <c r="AU238" s="217">
        <f t="shared" si="23"/>
        <v>0</v>
      </c>
      <c r="AV238" s="45">
        <f>[10]Sheet1!AA229</f>
        <v>0.19857142857142857</v>
      </c>
      <c r="AW238" s="45">
        <v>0</v>
      </c>
    </row>
    <row r="239" spans="1:49">
      <c r="A239" s="45"/>
      <c r="B239" s="45"/>
      <c r="C239" s="50">
        <f t="shared" si="20"/>
        <v>43800</v>
      </c>
      <c r="D239" s="56">
        <v>6.7731069212051798E-2</v>
      </c>
      <c r="E239" s="48">
        <v>5.4370000000000003</v>
      </c>
      <c r="F239" s="48">
        <v>0.17</v>
      </c>
      <c r="L239" s="48">
        <v>1</v>
      </c>
      <c r="M239" s="48">
        <v>1</v>
      </c>
      <c r="N239" s="48">
        <v>1.1000000000000001</v>
      </c>
      <c r="O239" s="48">
        <v>1.35</v>
      </c>
      <c r="P239" s="48">
        <v>1.05</v>
      </c>
      <c r="Q239" s="56"/>
      <c r="R239" s="56"/>
      <c r="AC239" s="45">
        <v>0.26</v>
      </c>
      <c r="AD239" s="45">
        <v>0.03</v>
      </c>
      <c r="AN239" s="45">
        <v>1.52386617315836</v>
      </c>
      <c r="AR239" s="45">
        <f t="shared" si="21"/>
        <v>0.65622560406823871</v>
      </c>
      <c r="AT239" s="217">
        <f t="shared" si="22"/>
        <v>0</v>
      </c>
      <c r="AU239" s="217">
        <f t="shared" si="23"/>
        <v>0</v>
      </c>
      <c r="AV239" s="45">
        <f>[10]Sheet1!AA230</f>
        <v>0.19857142857142857</v>
      </c>
      <c r="AW239" s="45">
        <v>0</v>
      </c>
    </row>
    <row r="240" spans="1:49">
      <c r="A240" s="45"/>
      <c r="B240" s="45"/>
      <c r="C240" s="50">
        <f t="shared" si="20"/>
        <v>43831</v>
      </c>
      <c r="D240" s="56">
        <v>6.7767678216947E-2</v>
      </c>
      <c r="E240" s="48">
        <v>5.4940000000000007</v>
      </c>
      <c r="F240" s="48">
        <v>0.17</v>
      </c>
      <c r="L240" s="48">
        <v>1</v>
      </c>
      <c r="M240" s="48">
        <v>1</v>
      </c>
      <c r="N240" s="48">
        <v>1.1000000000000001</v>
      </c>
      <c r="O240" s="48">
        <v>1.35</v>
      </c>
      <c r="P240" s="48">
        <v>1.05</v>
      </c>
      <c r="Q240" s="56"/>
      <c r="R240" s="56"/>
      <c r="AC240" s="45">
        <v>0.27</v>
      </c>
      <c r="AD240" s="45">
        <v>0.03</v>
      </c>
      <c r="AN240" s="45">
        <v>1.5231720785668799</v>
      </c>
      <c r="AR240" s="45">
        <f t="shared" si="21"/>
        <v>0.65652463964601993</v>
      </c>
      <c r="AT240" s="217">
        <f t="shared" si="22"/>
        <v>0</v>
      </c>
      <c r="AU240" s="217">
        <f t="shared" si="23"/>
        <v>0</v>
      </c>
      <c r="AV240" s="45">
        <f>[10]Sheet1!AA231</f>
        <v>0.19857142857142857</v>
      </c>
      <c r="AW240" s="45">
        <v>0</v>
      </c>
    </row>
    <row r="241" spans="1:49">
      <c r="A241" s="45"/>
      <c r="B241" s="45"/>
      <c r="C241" s="50">
        <f t="shared" si="20"/>
        <v>43862</v>
      </c>
      <c r="D241" s="56">
        <v>6.7804287222285695E-2</v>
      </c>
      <c r="E241" s="48">
        <v>5.3740000000000006</v>
      </c>
      <c r="F241" s="48">
        <v>0.17</v>
      </c>
      <c r="L241" s="48">
        <v>1</v>
      </c>
      <c r="M241" s="48">
        <v>1</v>
      </c>
      <c r="N241" s="48">
        <v>1.1000000000000001</v>
      </c>
      <c r="O241" s="48">
        <v>1.35</v>
      </c>
      <c r="P241" s="48">
        <v>1.05</v>
      </c>
      <c r="Q241" s="56"/>
      <c r="R241" s="56"/>
      <c r="AC241" s="45">
        <v>0.27</v>
      </c>
      <c r="AD241" s="45">
        <v>0.03</v>
      </c>
      <c r="AN241" s="45">
        <v>1.52247312424249</v>
      </c>
      <c r="AR241" s="45">
        <f t="shared" si="21"/>
        <v>0.65682604446469439</v>
      </c>
      <c r="AT241" s="217">
        <f t="shared" si="22"/>
        <v>0</v>
      </c>
      <c r="AU241" s="217">
        <f t="shared" si="23"/>
        <v>0</v>
      </c>
      <c r="AV241" s="45">
        <f>[10]Sheet1!AA232</f>
        <v>0.19857142857142857</v>
      </c>
      <c r="AW241" s="45">
        <v>0</v>
      </c>
    </row>
    <row r="242" spans="1:49">
      <c r="A242" s="45"/>
      <c r="B242" s="45"/>
      <c r="C242" s="50">
        <f t="shared" si="20"/>
        <v>43891</v>
      </c>
      <c r="D242" s="56">
        <v>6.7838534356713998E-2</v>
      </c>
      <c r="E242" s="48">
        <v>5.2350000000000003</v>
      </c>
      <c r="F242" s="48">
        <v>0.17</v>
      </c>
      <c r="L242" s="48">
        <v>0.75</v>
      </c>
      <c r="M242" s="48">
        <v>0.75</v>
      </c>
      <c r="N242" s="48">
        <v>0.75</v>
      </c>
      <c r="O242" s="48">
        <v>0.95</v>
      </c>
      <c r="P242" s="48">
        <v>0.75</v>
      </c>
      <c r="Q242" s="56"/>
      <c r="R242" s="56"/>
      <c r="AC242" s="45">
        <v>0.24</v>
      </c>
      <c r="AD242" s="45">
        <v>0.03</v>
      </c>
      <c r="AN242" s="45">
        <v>1.5218148705533299</v>
      </c>
      <c r="AR242" s="45">
        <f t="shared" si="21"/>
        <v>0.6571101514052109</v>
      </c>
      <c r="AT242" s="217">
        <f t="shared" si="22"/>
        <v>0</v>
      </c>
      <c r="AU242" s="217">
        <f t="shared" si="23"/>
        <v>0</v>
      </c>
      <c r="AV242" s="45">
        <f>[10]Sheet1!AA233</f>
        <v>0.14949999999999994</v>
      </c>
      <c r="AW242" s="45">
        <v>0</v>
      </c>
    </row>
    <row r="243" spans="1:49">
      <c r="A243" s="45"/>
      <c r="B243" s="45"/>
      <c r="C243" s="50">
        <f t="shared" si="20"/>
        <v>43922</v>
      </c>
      <c r="D243" s="56">
        <v>6.78751433629117E-2</v>
      </c>
      <c r="E243" s="48">
        <v>5.0599999999999996</v>
      </c>
      <c r="F243" s="48">
        <v>0.17</v>
      </c>
      <c r="L243" s="48">
        <v>0.4</v>
      </c>
      <c r="M243" s="48">
        <v>0.4</v>
      </c>
      <c r="N243" s="48">
        <v>0.45</v>
      </c>
      <c r="O243" s="48">
        <v>0.5</v>
      </c>
      <c r="P243" s="48">
        <v>0.45</v>
      </c>
      <c r="Q243" s="56"/>
      <c r="R243" s="56"/>
      <c r="AC243" s="45">
        <v>0.17</v>
      </c>
      <c r="AD243" s="45">
        <v>1.7500000000000002E-2</v>
      </c>
      <c r="AN243" s="45">
        <v>1.5211065307262299</v>
      </c>
      <c r="AR243" s="45">
        <f t="shared" si="21"/>
        <v>0.65741615054572455</v>
      </c>
      <c r="AT243" s="217">
        <f t="shared" si="22"/>
        <v>0</v>
      </c>
      <c r="AU243" s="217">
        <f t="shared" si="23"/>
        <v>0</v>
      </c>
      <c r="AV243" s="45">
        <f>[10]Sheet1!AA234</f>
        <v>0.14949999999999994</v>
      </c>
      <c r="AW243" s="45">
        <v>0</v>
      </c>
    </row>
    <row r="244" spans="1:49">
      <c r="A244" s="45"/>
      <c r="B244" s="45"/>
      <c r="C244" s="50">
        <f t="shared" si="20"/>
        <v>43952</v>
      </c>
      <c r="D244" s="56">
        <v>6.7910571433847697E-2</v>
      </c>
      <c r="E244" s="48">
        <v>5.03</v>
      </c>
      <c r="F244" s="48">
        <v>0.17</v>
      </c>
      <c r="L244" s="48">
        <v>0.45</v>
      </c>
      <c r="M244" s="48">
        <v>0.4</v>
      </c>
      <c r="N244" s="48">
        <v>0.5</v>
      </c>
      <c r="O244" s="48">
        <v>0.45</v>
      </c>
      <c r="P244" s="48">
        <v>0.45</v>
      </c>
      <c r="Q244" s="56"/>
      <c r="R244" s="56"/>
      <c r="AC244" s="45">
        <v>0.16500000000000001</v>
      </c>
      <c r="AD244" s="45">
        <v>0.01</v>
      </c>
      <c r="AN244" s="45">
        <v>1.52041643356961</v>
      </c>
      <c r="AR244" s="45">
        <f t="shared" si="21"/>
        <v>0.65771454314803457</v>
      </c>
      <c r="AT244" s="217">
        <f t="shared" si="22"/>
        <v>0</v>
      </c>
      <c r="AU244" s="217">
        <f t="shared" si="23"/>
        <v>0</v>
      </c>
      <c r="AV244" s="45">
        <f>[10]Sheet1!AA235</f>
        <v>0.14949999999999994</v>
      </c>
      <c r="AW244" s="45">
        <v>0</v>
      </c>
    </row>
    <row r="245" spans="1:49">
      <c r="A245" s="45"/>
      <c r="B245" s="45"/>
      <c r="C245" s="50">
        <f t="shared" si="20"/>
        <v>43983</v>
      </c>
      <c r="D245" s="56">
        <v>6.7947180440918006E-2</v>
      </c>
      <c r="E245" s="48">
        <v>5.0999999999999996</v>
      </c>
      <c r="F245" s="48">
        <v>0.17</v>
      </c>
      <c r="L245" s="48">
        <v>0.45</v>
      </c>
      <c r="M245" s="48">
        <v>0.4</v>
      </c>
      <c r="N245" s="48">
        <v>0.5</v>
      </c>
      <c r="O245" s="48">
        <v>0.5</v>
      </c>
      <c r="P245" s="48">
        <v>0.5</v>
      </c>
      <c r="Q245" s="56"/>
      <c r="R245" s="56"/>
      <c r="AC245" s="45">
        <v>0.17</v>
      </c>
      <c r="AD245" s="45">
        <v>1.2500000000000001E-2</v>
      </c>
      <c r="AN245" s="45">
        <v>1.51969857972274</v>
      </c>
      <c r="AR245" s="45">
        <f t="shared" si="21"/>
        <v>0.6580252250959161</v>
      </c>
      <c r="AT245" s="217">
        <f t="shared" si="22"/>
        <v>0</v>
      </c>
      <c r="AU245" s="217">
        <f t="shared" si="23"/>
        <v>0</v>
      </c>
      <c r="AV245" s="45">
        <f>[10]Sheet1!AA236</f>
        <v>0.14949999999999994</v>
      </c>
      <c r="AW245" s="45">
        <v>0</v>
      </c>
    </row>
    <row r="246" spans="1:49">
      <c r="A246" s="45"/>
      <c r="B246" s="45"/>
      <c r="C246" s="50">
        <f t="shared" si="20"/>
        <v>44013</v>
      </c>
      <c r="D246" s="56">
        <v>6.7982608512698703E-2</v>
      </c>
      <c r="E246" s="48">
        <v>5.1550000000000002</v>
      </c>
      <c r="F246" s="48">
        <v>0.17</v>
      </c>
      <c r="L246" s="48">
        <v>0.5</v>
      </c>
      <c r="M246" s="48">
        <v>0.4</v>
      </c>
      <c r="N246" s="48">
        <v>0.55000000000000004</v>
      </c>
      <c r="O246" s="48">
        <v>0.5</v>
      </c>
      <c r="P246" s="48">
        <v>0.5</v>
      </c>
      <c r="Q246" s="56"/>
      <c r="R246" s="56"/>
      <c r="AC246" s="45">
        <v>0.17499999999999999</v>
      </c>
      <c r="AD246" s="45">
        <v>1.2500000000000001E-2</v>
      </c>
      <c r="AN246" s="45">
        <v>1.5189992891906898</v>
      </c>
      <c r="AR246" s="45">
        <f t="shared" si="21"/>
        <v>0.6583281553296787</v>
      </c>
      <c r="AT246" s="217">
        <f t="shared" si="22"/>
        <v>0</v>
      </c>
      <c r="AU246" s="217">
        <f t="shared" si="23"/>
        <v>0</v>
      </c>
      <c r="AV246" s="45">
        <f>[10]Sheet1!AA237</f>
        <v>0.14949999999999994</v>
      </c>
      <c r="AW246" s="45">
        <v>0</v>
      </c>
    </row>
    <row r="247" spans="1:49">
      <c r="A247" s="45"/>
      <c r="B247" s="45"/>
      <c r="C247" s="50">
        <f t="shared" si="20"/>
        <v>44044</v>
      </c>
      <c r="D247" s="56">
        <v>6.8019217520641995E-2</v>
      </c>
      <c r="E247" s="48">
        <v>5.2110000000000003</v>
      </c>
      <c r="F247" s="48">
        <v>0.17</v>
      </c>
      <c r="L247" s="48">
        <v>0.55000000000000004</v>
      </c>
      <c r="M247" s="48">
        <v>0.5</v>
      </c>
      <c r="N247" s="48">
        <v>0.6</v>
      </c>
      <c r="O247" s="48">
        <v>0.45</v>
      </c>
      <c r="P247" s="48">
        <v>0.55000000000000004</v>
      </c>
      <c r="Q247" s="56"/>
      <c r="R247" s="56"/>
      <c r="AC247" s="45">
        <v>0.17499999999999999</v>
      </c>
      <c r="AD247" s="45">
        <v>1.2500000000000001E-2</v>
      </c>
      <c r="AN247" s="45">
        <v>1.5182719498081099</v>
      </c>
      <c r="AR247" s="45">
        <f t="shared" si="21"/>
        <v>0.65864353229102812</v>
      </c>
      <c r="AT247" s="217">
        <f t="shared" si="22"/>
        <v>0</v>
      </c>
      <c r="AU247" s="217">
        <f t="shared" si="23"/>
        <v>0</v>
      </c>
      <c r="AV247" s="45">
        <f>[10]Sheet1!AA238</f>
        <v>0.14949999999999994</v>
      </c>
      <c r="AW247" s="45">
        <v>0</v>
      </c>
    </row>
    <row r="248" spans="1:49">
      <c r="A248" s="45"/>
      <c r="B248" s="45"/>
      <c r="C248" s="50">
        <f t="shared" si="20"/>
        <v>44075</v>
      </c>
      <c r="D248" s="56">
        <v>6.8055826529029001E-2</v>
      </c>
      <c r="E248" s="48">
        <v>5.2249999999999996</v>
      </c>
      <c r="F248" s="48">
        <v>0.17</v>
      </c>
      <c r="L248" s="48">
        <v>0.55000000000000004</v>
      </c>
      <c r="M248" s="48">
        <v>0.55000000000000004</v>
      </c>
      <c r="N248" s="48">
        <v>0.6</v>
      </c>
      <c r="O248" s="48">
        <v>0.5</v>
      </c>
      <c r="P248" s="48">
        <v>0.6</v>
      </c>
      <c r="Q248" s="56"/>
      <c r="R248" s="56"/>
      <c r="AC248" s="45">
        <v>0.16500000000000001</v>
      </c>
      <c r="AD248" s="45">
        <v>1.2500000000000001E-2</v>
      </c>
      <c r="AN248" s="45">
        <v>1.5175398009341099</v>
      </c>
      <c r="AR248" s="45">
        <f t="shared" si="21"/>
        <v>0.65896129998333997</v>
      </c>
      <c r="AT248" s="217">
        <f t="shared" si="22"/>
        <v>0</v>
      </c>
      <c r="AU248" s="217">
        <f t="shared" si="23"/>
        <v>0</v>
      </c>
      <c r="AV248" s="45">
        <f>[10]Sheet1!AA239</f>
        <v>0.14949999999999994</v>
      </c>
      <c r="AW248" s="45">
        <v>0</v>
      </c>
    </row>
    <row r="249" spans="1:49">
      <c r="A249" s="45"/>
      <c r="B249" s="45"/>
      <c r="C249" s="50">
        <f t="shared" si="20"/>
        <v>44105</v>
      </c>
      <c r="D249" s="56">
        <v>6.8091254602083803E-2</v>
      </c>
      <c r="E249" s="48">
        <v>5.2560000000000002</v>
      </c>
      <c r="F249" s="48">
        <v>0.17</v>
      </c>
      <c r="L249" s="48">
        <v>0.6</v>
      </c>
      <c r="M249" s="48">
        <v>0.55000000000000004</v>
      </c>
      <c r="N249" s="48">
        <v>0.65</v>
      </c>
      <c r="O249" s="48">
        <v>0.5</v>
      </c>
      <c r="P249" s="48">
        <v>0.65</v>
      </c>
      <c r="Q249" s="56"/>
      <c r="R249" s="56"/>
      <c r="AC249" s="45">
        <v>0.17249999999999999</v>
      </c>
      <c r="AD249" s="45">
        <v>1.2500000000000001E-2</v>
      </c>
      <c r="AN249" s="45">
        <v>1.5168266975445299</v>
      </c>
      <c r="AR249" s="45">
        <f t="shared" si="21"/>
        <v>0.65927109644023307</v>
      </c>
      <c r="AT249" s="217">
        <f t="shared" si="22"/>
        <v>0</v>
      </c>
      <c r="AU249" s="217">
        <f t="shared" si="23"/>
        <v>0</v>
      </c>
      <c r="AV249" s="45">
        <f>[10]Sheet1!AA240</f>
        <v>0.20107142857142857</v>
      </c>
      <c r="AW249" s="45">
        <v>0</v>
      </c>
    </row>
    <row r="250" spans="1:49">
      <c r="A250" s="45"/>
      <c r="B250" s="45"/>
      <c r="C250" s="50">
        <f t="shared" si="20"/>
        <v>44136</v>
      </c>
      <c r="D250" s="56">
        <v>6.8127863611343403E-2</v>
      </c>
      <c r="E250" s="48">
        <v>5.3890000000000002</v>
      </c>
      <c r="F250" s="48">
        <v>0.17</v>
      </c>
      <c r="L250" s="48">
        <v>0.8</v>
      </c>
      <c r="M250" s="48">
        <v>0.8</v>
      </c>
      <c r="N250" s="48">
        <v>0.8</v>
      </c>
      <c r="O250" s="48">
        <v>0.95</v>
      </c>
      <c r="P250" s="48">
        <v>0.85</v>
      </c>
      <c r="Q250" s="56"/>
      <c r="R250" s="56"/>
      <c r="AC250" s="45">
        <v>0.24</v>
      </c>
      <c r="AD250" s="45">
        <v>0.03</v>
      </c>
      <c r="AN250" s="45">
        <v>1.5160851067472598</v>
      </c>
      <c r="AR250" s="45">
        <f t="shared" si="21"/>
        <v>0.65959357792616702</v>
      </c>
      <c r="AT250" s="217">
        <f t="shared" si="22"/>
        <v>0</v>
      </c>
      <c r="AU250" s="217">
        <f t="shared" si="23"/>
        <v>0</v>
      </c>
      <c r="AV250" s="45">
        <f>[10]Sheet1!AA241</f>
        <v>0.20607142857142857</v>
      </c>
      <c r="AW250" s="45">
        <v>0</v>
      </c>
    </row>
    <row r="251" spans="1:49">
      <c r="A251" s="45"/>
      <c r="B251" s="45"/>
      <c r="C251" s="50">
        <f t="shared" si="20"/>
        <v>44166</v>
      </c>
      <c r="D251" s="56">
        <v>6.8163291685242808E-2</v>
      </c>
      <c r="E251" s="48">
        <v>5.5270000000000001</v>
      </c>
      <c r="F251" s="48">
        <v>0.17</v>
      </c>
      <c r="L251" s="48">
        <v>1</v>
      </c>
      <c r="M251" s="48">
        <v>1</v>
      </c>
      <c r="N251" s="48">
        <v>1.1000000000000001</v>
      </c>
      <c r="O251" s="48">
        <v>1.35</v>
      </c>
      <c r="P251" s="48">
        <v>1.05</v>
      </c>
      <c r="Q251" s="56"/>
      <c r="R251" s="56"/>
      <c r="AC251" s="45">
        <v>0.26</v>
      </c>
      <c r="AD251" s="45">
        <v>0.03</v>
      </c>
      <c r="AN251" s="45">
        <v>1.51536288017118</v>
      </c>
      <c r="AR251" s="45">
        <f t="shared" si="21"/>
        <v>0.65990794223957561</v>
      </c>
      <c r="AT251" s="217">
        <f t="shared" si="22"/>
        <v>0</v>
      </c>
      <c r="AU251" s="217">
        <f t="shared" si="23"/>
        <v>0</v>
      </c>
      <c r="AV251" s="45">
        <f>[10]Sheet1!AA242</f>
        <v>0.20607142857142857</v>
      </c>
      <c r="AW251" s="45">
        <v>0</v>
      </c>
    </row>
    <row r="252" spans="1:49">
      <c r="A252" s="45"/>
      <c r="B252" s="45"/>
      <c r="C252" s="50">
        <f t="shared" si="20"/>
        <v>44197</v>
      </c>
      <c r="D252" s="56">
        <v>6.8199900695375099E-2</v>
      </c>
      <c r="E252" s="48">
        <v>5.5840000000000005</v>
      </c>
      <c r="F252" s="48">
        <v>0.17</v>
      </c>
      <c r="L252" s="48">
        <v>1</v>
      </c>
      <c r="M252" s="48">
        <v>1</v>
      </c>
      <c r="N252" s="48">
        <v>1.1000000000000001</v>
      </c>
      <c r="O252" s="48">
        <v>1.35</v>
      </c>
      <c r="P252" s="48">
        <v>1.05</v>
      </c>
      <c r="Q252" s="56"/>
      <c r="R252" s="56"/>
      <c r="AC252" s="45">
        <v>0.27</v>
      </c>
      <c r="AD252" s="45">
        <v>0.03</v>
      </c>
      <c r="AN252" s="45">
        <v>1.51461187679766</v>
      </c>
      <c r="AR252" s="45">
        <f t="shared" si="21"/>
        <v>0.66023515021835</v>
      </c>
      <c r="AT252" s="217">
        <f t="shared" si="22"/>
        <v>0</v>
      </c>
      <c r="AU252" s="217">
        <f t="shared" si="23"/>
        <v>0</v>
      </c>
      <c r="AV252" s="45">
        <f>[10]Sheet1!AA243</f>
        <v>0.20607142857142857</v>
      </c>
      <c r="AW252" s="45">
        <v>0</v>
      </c>
    </row>
    <row r="253" spans="1:49">
      <c r="A253" s="45"/>
      <c r="B253" s="45"/>
      <c r="C253" s="50">
        <f t="shared" si="20"/>
        <v>44228</v>
      </c>
      <c r="D253" s="56">
        <v>6.8236509705951395E-2</v>
      </c>
      <c r="E253" s="48">
        <v>5.4640000000000004</v>
      </c>
      <c r="F253" s="48">
        <v>0.17</v>
      </c>
      <c r="L253" s="48">
        <v>1</v>
      </c>
      <c r="M253" s="48">
        <v>1</v>
      </c>
      <c r="N253" s="48">
        <v>1.1000000000000001</v>
      </c>
      <c r="O253" s="48">
        <v>1.35</v>
      </c>
      <c r="P253" s="48">
        <v>1.05</v>
      </c>
      <c r="Q253" s="56"/>
      <c r="R253" s="56"/>
      <c r="AC253" s="45">
        <v>0.27</v>
      </c>
      <c r="AD253" s="45">
        <v>0.03</v>
      </c>
      <c r="AN253" s="45">
        <v>1.5138561013395999</v>
      </c>
      <c r="AR253" s="45">
        <f t="shared" si="21"/>
        <v>0.66056476511546081</v>
      </c>
      <c r="AT253" s="217">
        <f t="shared" si="22"/>
        <v>0</v>
      </c>
      <c r="AU253" s="217">
        <f t="shared" si="23"/>
        <v>0</v>
      </c>
      <c r="AV253" s="45">
        <f>[10]Sheet1!AA244</f>
        <v>0.20607142857142857</v>
      </c>
      <c r="AW253" s="45">
        <v>0</v>
      </c>
    </row>
    <row r="254" spans="1:49">
      <c r="A254" s="45"/>
      <c r="B254" s="45"/>
      <c r="C254" s="50">
        <f t="shared" si="20"/>
        <v>44256</v>
      </c>
      <c r="D254" s="56">
        <v>6.8269575909432903E-2</v>
      </c>
      <c r="E254" s="48">
        <v>5.3250000000000002</v>
      </c>
      <c r="F254" s="48">
        <v>0.17</v>
      </c>
      <c r="L254" s="48">
        <v>0.75</v>
      </c>
      <c r="M254" s="48">
        <v>0.75</v>
      </c>
      <c r="N254" s="48">
        <v>0.75</v>
      </c>
      <c r="O254" s="48">
        <v>0.95</v>
      </c>
      <c r="P254" s="48">
        <v>0.75</v>
      </c>
      <c r="Q254" s="56"/>
      <c r="R254" s="56"/>
      <c r="AC254" s="45">
        <v>0.24</v>
      </c>
      <c r="AD254" s="45">
        <v>0.03</v>
      </c>
      <c r="AN254" s="45">
        <v>1.5131693701473399</v>
      </c>
      <c r="AR254" s="45">
        <f t="shared" si="21"/>
        <v>0.66086455338613437</v>
      </c>
      <c r="AT254" s="217">
        <f t="shared" si="22"/>
        <v>0</v>
      </c>
      <c r="AU254" s="217">
        <f t="shared" si="23"/>
        <v>0</v>
      </c>
      <c r="AV254" s="45">
        <f>[10]Sheet1!AA245</f>
        <v>0.15199999999999994</v>
      </c>
      <c r="AW254" s="45">
        <v>0</v>
      </c>
    </row>
    <row r="255" spans="1:49">
      <c r="A255" s="45"/>
      <c r="B255" s="45"/>
      <c r="C255" s="50">
        <f t="shared" si="20"/>
        <v>44287</v>
      </c>
      <c r="D255" s="56">
        <v>6.8306184920853497E-2</v>
      </c>
      <c r="E255" s="48">
        <v>5.15</v>
      </c>
      <c r="F255" s="48">
        <v>0.17</v>
      </c>
      <c r="L255" s="48">
        <v>0.4</v>
      </c>
      <c r="M255" s="48">
        <v>0.4</v>
      </c>
      <c r="N255" s="48">
        <v>0.45</v>
      </c>
      <c r="O255" s="48">
        <v>0.5</v>
      </c>
      <c r="P255" s="48">
        <v>0.45</v>
      </c>
      <c r="Q255" s="56"/>
      <c r="R255" s="56"/>
      <c r="AC255" s="45">
        <v>0.17</v>
      </c>
      <c r="AD255" s="45">
        <v>1.7500000000000002E-2</v>
      </c>
      <c r="AN255" s="45">
        <v>1.51240453367761</v>
      </c>
      <c r="AR255" s="45">
        <f t="shared" si="21"/>
        <v>0.66119875848849041</v>
      </c>
      <c r="AT255" s="217">
        <f t="shared" si="22"/>
        <v>0</v>
      </c>
      <c r="AU255" s="217">
        <f t="shared" si="23"/>
        <v>0</v>
      </c>
      <c r="AV255" s="45">
        <f>[10]Sheet1!AA246</f>
        <v>0.15199999999999994</v>
      </c>
      <c r="AW255" s="45">
        <v>0</v>
      </c>
    </row>
    <row r="256" spans="1:49">
      <c r="A256" s="45"/>
      <c r="B256" s="45"/>
      <c r="C256" s="50">
        <f t="shared" si="20"/>
        <v>44317</v>
      </c>
      <c r="D256" s="56">
        <v>6.8341612996843701E-2</v>
      </c>
      <c r="E256" s="48">
        <v>5.12</v>
      </c>
      <c r="F256" s="48">
        <v>0.17</v>
      </c>
      <c r="L256" s="48">
        <v>0.45</v>
      </c>
      <c r="M256" s="48">
        <v>0.4</v>
      </c>
      <c r="N256" s="48">
        <v>0.5</v>
      </c>
      <c r="O256" s="48">
        <v>0.45</v>
      </c>
      <c r="P256" s="48">
        <v>0.45</v>
      </c>
      <c r="Q256" s="56"/>
      <c r="R256" s="56"/>
      <c r="AC256" s="45">
        <v>0.16500000000000001</v>
      </c>
      <c r="AD256" s="45">
        <v>0.01</v>
      </c>
      <c r="AN256" s="45">
        <v>1.5116598470459299</v>
      </c>
      <c r="AR256" s="45">
        <f t="shared" si="21"/>
        <v>0.66152448380116047</v>
      </c>
      <c r="AT256" s="217">
        <f t="shared" si="22"/>
        <v>0</v>
      </c>
      <c r="AU256" s="217">
        <f t="shared" si="23"/>
        <v>0</v>
      </c>
      <c r="AV256" s="45">
        <f>[10]Sheet1!AA247</f>
        <v>0.15199999999999994</v>
      </c>
      <c r="AW256" s="45">
        <v>0</v>
      </c>
    </row>
    <row r="257" spans="1:49">
      <c r="A257" s="45"/>
      <c r="B257" s="45"/>
      <c r="C257" s="50">
        <f t="shared" si="20"/>
        <v>44348</v>
      </c>
      <c r="D257" s="56">
        <v>6.83578538801628E-2</v>
      </c>
      <c r="E257" s="48">
        <v>5.19</v>
      </c>
      <c r="F257" s="48">
        <v>0.17</v>
      </c>
      <c r="L257" s="48">
        <v>0.45</v>
      </c>
      <c r="M257" s="48">
        <v>0.4</v>
      </c>
      <c r="N257" s="48">
        <v>0.5</v>
      </c>
      <c r="O257" s="48">
        <v>0.5</v>
      </c>
      <c r="P257" s="48">
        <v>0.5</v>
      </c>
      <c r="Q257" s="56"/>
      <c r="R257" s="56"/>
      <c r="AC257" s="45">
        <v>0.17</v>
      </c>
      <c r="AD257" s="45">
        <v>1.2500000000000001E-2</v>
      </c>
      <c r="AN257" s="45">
        <v>1.51106122024672</v>
      </c>
      <c r="AR257" s="45">
        <f t="shared" si="21"/>
        <v>0.66178655543600284</v>
      </c>
      <c r="AT257" s="217">
        <f t="shared" si="22"/>
        <v>0</v>
      </c>
      <c r="AU257" s="217">
        <f t="shared" si="23"/>
        <v>0</v>
      </c>
      <c r="AV257" s="45">
        <f>[10]Sheet1!AA248</f>
        <v>0.15199999999999994</v>
      </c>
      <c r="AW257" s="45">
        <v>0</v>
      </c>
    </row>
    <row r="258" spans="1:49">
      <c r="A258" s="45"/>
      <c r="B258" s="45"/>
      <c r="C258" s="50">
        <f t="shared" si="20"/>
        <v>44378</v>
      </c>
      <c r="D258" s="56">
        <v>6.8352545698745298E-2</v>
      </c>
      <c r="E258" s="48">
        <v>5.2450000000000001</v>
      </c>
      <c r="F258" s="48">
        <v>0.17</v>
      </c>
      <c r="L258" s="48">
        <v>0.5</v>
      </c>
      <c r="M258" s="48">
        <v>0.4</v>
      </c>
      <c r="N258" s="48">
        <v>0.55000000000000004</v>
      </c>
      <c r="O258" s="48">
        <v>0.5</v>
      </c>
      <c r="P258" s="48">
        <v>0.5</v>
      </c>
      <c r="Q258" s="56"/>
      <c r="R258" s="56"/>
      <c r="AC258" s="45">
        <v>0.17499999999999999</v>
      </c>
      <c r="AD258" s="45">
        <v>1.2500000000000001E-2</v>
      </c>
      <c r="AN258" s="45">
        <v>1.5108014664371299</v>
      </c>
      <c r="AR258" s="45">
        <f t="shared" si="21"/>
        <v>0.66190033714903984</v>
      </c>
      <c r="AT258" s="217">
        <f t="shared" si="22"/>
        <v>0</v>
      </c>
      <c r="AU258" s="217">
        <f t="shared" si="23"/>
        <v>0</v>
      </c>
      <c r="AV258" s="45">
        <f>[10]Sheet1!AA249</f>
        <v>0.15199999999999994</v>
      </c>
      <c r="AW258" s="45">
        <v>0</v>
      </c>
    </row>
    <row r="259" spans="1:49">
      <c r="A259" s="45"/>
      <c r="B259" s="45"/>
      <c r="C259" s="50">
        <f t="shared" si="20"/>
        <v>44409</v>
      </c>
      <c r="D259" s="56">
        <v>6.8347060577957003E-2</v>
      </c>
      <c r="E259" s="48">
        <v>5.3010000000000002</v>
      </c>
      <c r="F259" s="48">
        <v>0.17</v>
      </c>
      <c r="L259" s="48">
        <v>0.55000000000000004</v>
      </c>
      <c r="M259" s="48">
        <v>0.5</v>
      </c>
      <c r="N259" s="48">
        <v>0.6</v>
      </c>
      <c r="O259" s="48">
        <v>0.45</v>
      </c>
      <c r="P259" s="48">
        <v>0.55000000000000004</v>
      </c>
      <c r="Q259" s="56"/>
      <c r="R259" s="56"/>
      <c r="AC259" s="45">
        <v>0.17499999999999999</v>
      </c>
      <c r="AD259" s="45">
        <v>1.2500000000000001E-2</v>
      </c>
      <c r="AN259" s="45">
        <v>1.5105322649783</v>
      </c>
      <c r="AR259" s="45">
        <f t="shared" si="21"/>
        <v>0.66201829857263317</v>
      </c>
      <c r="AT259" s="217">
        <f t="shared" si="22"/>
        <v>0</v>
      </c>
      <c r="AU259" s="217">
        <f t="shared" si="23"/>
        <v>0</v>
      </c>
      <c r="AV259" s="45">
        <f>[10]Sheet1!AA250</f>
        <v>0.15199999999999994</v>
      </c>
      <c r="AW259" s="45">
        <v>0</v>
      </c>
    </row>
    <row r="260" spans="1:49">
      <c r="A260" s="45"/>
      <c r="B260" s="45"/>
      <c r="C260" s="50">
        <f t="shared" si="20"/>
        <v>44440</v>
      </c>
      <c r="D260" s="56">
        <v>6.8341575457179005E-2</v>
      </c>
      <c r="E260" s="48">
        <v>5.3150000000000004</v>
      </c>
      <c r="F260" s="48">
        <v>0.17</v>
      </c>
      <c r="L260" s="48">
        <v>0.55000000000000004</v>
      </c>
      <c r="M260" s="48">
        <v>0.55000000000000004</v>
      </c>
      <c r="N260" s="48">
        <v>0.6</v>
      </c>
      <c r="O260" s="48">
        <v>0.5</v>
      </c>
      <c r="P260" s="48">
        <v>0.6</v>
      </c>
      <c r="Q260" s="56"/>
      <c r="R260" s="56"/>
      <c r="AC260" s="45">
        <v>0.16500000000000001</v>
      </c>
      <c r="AD260" s="45">
        <v>1.2500000000000001E-2</v>
      </c>
      <c r="AN260" s="45">
        <v>1.5102622618252899</v>
      </c>
      <c r="AR260" s="45">
        <f t="shared" si="21"/>
        <v>0.66213665353155859</v>
      </c>
      <c r="AT260" s="217">
        <f t="shared" si="22"/>
        <v>0</v>
      </c>
      <c r="AU260" s="217">
        <f t="shared" si="23"/>
        <v>0</v>
      </c>
      <c r="AV260" s="45">
        <f>[10]Sheet1!AA251</f>
        <v>0.15199999999999994</v>
      </c>
      <c r="AW260" s="45">
        <v>0</v>
      </c>
    </row>
    <row r="261" spans="1:49">
      <c r="A261" s="45"/>
      <c r="B261" s="45"/>
      <c r="C261" s="50">
        <f t="shared" si="20"/>
        <v>44470</v>
      </c>
      <c r="D261" s="56">
        <v>6.8336267275789897E-2</v>
      </c>
      <c r="E261" s="48">
        <v>5.3460000000000001</v>
      </c>
      <c r="F261" s="48">
        <v>0.17</v>
      </c>
      <c r="L261" s="48">
        <v>0.6</v>
      </c>
      <c r="M261" s="48">
        <v>0.55000000000000004</v>
      </c>
      <c r="N261" s="48">
        <v>0.65</v>
      </c>
      <c r="O261" s="48">
        <v>0.5</v>
      </c>
      <c r="P261" s="48">
        <v>0.65</v>
      </c>
      <c r="Q261" s="56"/>
      <c r="R261" s="56"/>
      <c r="AC261" s="45">
        <v>0.17249999999999999</v>
      </c>
      <c r="AD261" s="45">
        <v>1.2500000000000001E-2</v>
      </c>
      <c r="AN261" s="45">
        <v>1.5100002055444999</v>
      </c>
      <c r="AR261" s="45">
        <f t="shared" si="21"/>
        <v>0.6622515654820087</v>
      </c>
      <c r="AT261" s="217">
        <f t="shared" si="22"/>
        <v>0</v>
      </c>
      <c r="AU261" s="217">
        <f t="shared" si="23"/>
        <v>0</v>
      </c>
      <c r="AV261" s="45">
        <f>[10]Sheet1!AA252</f>
        <v>0.19357142857142856</v>
      </c>
      <c r="AW261" s="45">
        <v>0</v>
      </c>
    </row>
    <row r="262" spans="1:49">
      <c r="A262" s="45"/>
      <c r="B262" s="45"/>
      <c r="C262" s="50">
        <f t="shared" si="20"/>
        <v>44501</v>
      </c>
      <c r="D262" s="56">
        <v>6.8330782155031397E-2</v>
      </c>
      <c r="E262" s="48">
        <v>5.4790000000000001</v>
      </c>
      <c r="F262" s="48">
        <v>0.17</v>
      </c>
      <c r="L262" s="48">
        <v>0.8</v>
      </c>
      <c r="M262" s="48">
        <v>0.8</v>
      </c>
      <c r="N262" s="48">
        <v>0.8</v>
      </c>
      <c r="O262" s="48">
        <v>0.95</v>
      </c>
      <c r="P262" s="48">
        <v>0.85</v>
      </c>
      <c r="Q262" s="56"/>
      <c r="R262" s="56"/>
      <c r="AC262" s="45">
        <v>0.24</v>
      </c>
      <c r="AD262" s="45">
        <v>0.03</v>
      </c>
      <c r="AN262" s="45">
        <v>1.5097286261449498</v>
      </c>
      <c r="AR262" s="45">
        <f t="shared" si="21"/>
        <v>0.6623706954232379</v>
      </c>
      <c r="AT262" s="217">
        <f t="shared" si="22"/>
        <v>0</v>
      </c>
      <c r="AU262" s="217">
        <f t="shared" si="23"/>
        <v>0</v>
      </c>
      <c r="AV262" s="45">
        <f>[10]Sheet1!AA253</f>
        <v>0.19857142857142857</v>
      </c>
      <c r="AW262" s="45">
        <v>0</v>
      </c>
    </row>
    <row r="263" spans="1:49">
      <c r="A263" s="45"/>
      <c r="B263" s="45"/>
      <c r="C263" s="50">
        <f t="shared" si="20"/>
        <v>44531</v>
      </c>
      <c r="D263" s="56">
        <v>6.8325473973661399E-2</v>
      </c>
      <c r="E263" s="48">
        <v>5.617</v>
      </c>
      <c r="F263" s="48">
        <v>0.17</v>
      </c>
      <c r="L263" s="48">
        <v>1</v>
      </c>
      <c r="M263" s="48">
        <v>1</v>
      </c>
      <c r="N263" s="48">
        <v>1.1000000000000001</v>
      </c>
      <c r="O263" s="48">
        <v>1.35</v>
      </c>
      <c r="P263" s="48">
        <v>1.05</v>
      </c>
      <c r="Q263" s="56"/>
      <c r="R263" s="56"/>
      <c r="AC263" s="45">
        <v>0.26</v>
      </c>
      <c r="AD263" s="45">
        <v>0.03</v>
      </c>
      <c r="AN263" s="45">
        <v>1.5094650452888498</v>
      </c>
      <c r="AR263" s="45">
        <f t="shared" si="21"/>
        <v>0.66248635774711895</v>
      </c>
      <c r="AT263" s="217">
        <f t="shared" si="22"/>
        <v>0</v>
      </c>
      <c r="AU263" s="217">
        <f t="shared" si="23"/>
        <v>0</v>
      </c>
      <c r="AV263" s="45">
        <f>[10]Sheet1!AA254</f>
        <v>0.19857142857142857</v>
      </c>
      <c r="AW263" s="45">
        <v>0</v>
      </c>
    </row>
    <row r="264" spans="1:49">
      <c r="A264" s="45"/>
      <c r="B264" s="45"/>
      <c r="C264" s="50">
        <f t="shared" si="20"/>
        <v>44562</v>
      </c>
      <c r="D264" s="56">
        <v>6.8319988852922398E-2</v>
      </c>
      <c r="E264" s="48">
        <v>5.6740000000000004</v>
      </c>
      <c r="F264" s="48">
        <v>0.17</v>
      </c>
      <c r="L264" s="48">
        <v>0</v>
      </c>
      <c r="M264" s="48">
        <v>1</v>
      </c>
      <c r="N264" s="48">
        <v>1.1000000000000001</v>
      </c>
      <c r="O264" s="48">
        <v>1.35</v>
      </c>
      <c r="P264" s="48">
        <v>1.05</v>
      </c>
      <c r="Q264" s="56"/>
      <c r="R264" s="56"/>
      <c r="AC264" s="45">
        <v>0.27</v>
      </c>
      <c r="AD264" s="45">
        <v>0.03</v>
      </c>
      <c r="AN264" s="45">
        <v>1.5091918913492599</v>
      </c>
      <c r="AR264" s="45">
        <f t="shared" si="21"/>
        <v>0.66260626347917362</v>
      </c>
      <c r="AT264" s="217">
        <f t="shared" si="22"/>
        <v>0</v>
      </c>
      <c r="AU264" s="217">
        <f t="shared" si="23"/>
        <v>0</v>
      </c>
      <c r="AV264" s="45">
        <f>[10]Sheet1!AA255</f>
        <v>0.19857142857142857</v>
      </c>
      <c r="AW264" s="45">
        <v>0</v>
      </c>
    </row>
    <row r="265" spans="1:49">
      <c r="A265" s="45"/>
      <c r="B265" s="45"/>
      <c r="C265" s="50">
        <f t="shared" si="20"/>
        <v>44593</v>
      </c>
      <c r="D265" s="56">
        <v>6.8314503732193305E-2</v>
      </c>
      <c r="E265" s="48">
        <v>5.5540000000000003</v>
      </c>
      <c r="F265" s="48">
        <v>0.17</v>
      </c>
      <c r="L265" s="48">
        <v>0</v>
      </c>
      <c r="M265" s="48">
        <v>1</v>
      </c>
      <c r="N265" s="48">
        <v>1.1000000000000001</v>
      </c>
      <c r="O265" s="48">
        <v>1.35</v>
      </c>
      <c r="P265" s="48">
        <v>1.05</v>
      </c>
      <c r="Q265" s="56"/>
      <c r="R265" s="56"/>
      <c r="AC265" s="45">
        <v>0.27</v>
      </c>
      <c r="AD265" s="45">
        <v>0.03</v>
      </c>
      <c r="AN265" s="45">
        <v>1.5089179378907098</v>
      </c>
      <c r="AR265" s="45">
        <f t="shared" si="21"/>
        <v>0.66272656377714123</v>
      </c>
      <c r="AT265" s="217">
        <f t="shared" si="22"/>
        <v>0</v>
      </c>
      <c r="AU265" s="217">
        <f t="shared" si="23"/>
        <v>0</v>
      </c>
      <c r="AV265" s="45">
        <f>[10]Sheet1!AA256</f>
        <v>0.19857142857142857</v>
      </c>
      <c r="AW265" s="45">
        <v>0</v>
      </c>
    </row>
    <row r="266" spans="1:49">
      <c r="A266" s="45"/>
      <c r="B266" s="45"/>
      <c r="C266" s="50">
        <f t="shared" si="20"/>
        <v>44621</v>
      </c>
      <c r="D266" s="56">
        <v>6.8309549429608207E-2</v>
      </c>
      <c r="E266" s="48">
        <v>5.415</v>
      </c>
      <c r="F266" s="48">
        <v>0.17</v>
      </c>
      <c r="L266" s="48">
        <v>0</v>
      </c>
      <c r="M266" s="48">
        <v>0.75</v>
      </c>
      <c r="N266" s="48">
        <v>0.75</v>
      </c>
      <c r="O266" s="48">
        <v>0.95</v>
      </c>
      <c r="P266" s="48">
        <v>0.75</v>
      </c>
      <c r="Q266" s="56"/>
      <c r="R266" s="56"/>
      <c r="AC266" s="45">
        <v>0.24</v>
      </c>
      <c r="AD266" s="45">
        <v>0.03</v>
      </c>
      <c r="AN266" s="45">
        <v>1.50866980922324</v>
      </c>
      <c r="AR266" s="45">
        <f t="shared" si="21"/>
        <v>0.66283556142404954</v>
      </c>
      <c r="AT266" s="217">
        <f t="shared" si="22"/>
        <v>0</v>
      </c>
      <c r="AU266" s="217">
        <f t="shared" si="23"/>
        <v>0</v>
      </c>
      <c r="AV266" s="45">
        <f>[10]Sheet1!AA257</f>
        <v>0.14949999999999994</v>
      </c>
      <c r="AW266" s="45">
        <v>0</v>
      </c>
    </row>
    <row r="267" spans="1:49">
      <c r="A267" s="45"/>
      <c r="B267" s="45"/>
      <c r="C267" s="50">
        <f t="shared" si="20"/>
        <v>44652</v>
      </c>
      <c r="D267" s="56">
        <v>6.8304064308897697E-2</v>
      </c>
      <c r="E267" s="48">
        <v>5.24</v>
      </c>
      <c r="F267" s="48">
        <v>0.17</v>
      </c>
      <c r="L267" s="48">
        <v>0</v>
      </c>
      <c r="M267" s="48">
        <v>0.4</v>
      </c>
      <c r="N267" s="48">
        <v>0.45</v>
      </c>
      <c r="O267" s="48">
        <v>0.5</v>
      </c>
      <c r="P267" s="48">
        <v>0.45</v>
      </c>
      <c r="Q267" s="56"/>
      <c r="R267" s="56"/>
      <c r="AC267" s="45">
        <v>0.17</v>
      </c>
      <c r="AD267" s="45">
        <v>1.7500000000000002E-2</v>
      </c>
      <c r="AN267" s="45">
        <v>1.50839433532866</v>
      </c>
      <c r="AR267" s="45">
        <f t="shared" si="21"/>
        <v>0.66295661325333255</v>
      </c>
      <c r="AT267" s="217">
        <f t="shared" si="22"/>
        <v>0</v>
      </c>
      <c r="AU267" s="217">
        <f t="shared" si="23"/>
        <v>0</v>
      </c>
      <c r="AV267" s="45">
        <f>[10]Sheet1!AA258</f>
        <v>0.14949999999999994</v>
      </c>
      <c r="AW267" s="45">
        <v>0</v>
      </c>
    </row>
    <row r="268" spans="1:49">
      <c r="A268" s="45"/>
      <c r="B268" s="45"/>
      <c r="C268" s="50">
        <f t="shared" si="20"/>
        <v>44682</v>
      </c>
      <c r="D268" s="56">
        <v>6.8298756127575203E-2</v>
      </c>
      <c r="E268" s="48">
        <v>5.21</v>
      </c>
      <c r="F268" s="48">
        <v>0.17</v>
      </c>
      <c r="L268" s="48">
        <v>0</v>
      </c>
      <c r="M268" s="48">
        <v>0.4</v>
      </c>
      <c r="N268" s="48">
        <v>0.5</v>
      </c>
      <c r="O268" s="48">
        <v>0.45</v>
      </c>
      <c r="P268" s="48">
        <v>0.45</v>
      </c>
      <c r="Q268" s="56"/>
      <c r="R268" s="56"/>
      <c r="AC268" s="45">
        <v>0.16500000000000001</v>
      </c>
      <c r="AD268" s="45">
        <v>0.01</v>
      </c>
      <c r="AN268" s="45">
        <v>1.50812698766766</v>
      </c>
      <c r="AR268" s="45">
        <f t="shared" si="21"/>
        <v>0.66307413644690116</v>
      </c>
      <c r="AT268" s="217">
        <f t="shared" si="22"/>
        <v>0</v>
      </c>
      <c r="AU268" s="217">
        <f t="shared" si="23"/>
        <v>0</v>
      </c>
      <c r="AV268" s="45">
        <f>[10]Sheet1!AA259</f>
        <v>0.14949999999999994</v>
      </c>
      <c r="AW268" s="45">
        <v>0</v>
      </c>
    </row>
    <row r="269" spans="1:49">
      <c r="A269" s="45"/>
      <c r="B269" s="45"/>
      <c r="C269" s="50">
        <f t="shared" si="20"/>
        <v>44713</v>
      </c>
      <c r="D269" s="56">
        <v>6.8293271006884204E-2</v>
      </c>
      <c r="E269" s="48">
        <v>5.28</v>
      </c>
      <c r="F269" s="48">
        <v>0.17</v>
      </c>
      <c r="L269" s="48">
        <v>0</v>
      </c>
      <c r="M269" s="48">
        <v>0.4</v>
      </c>
      <c r="N269" s="48">
        <v>0.5</v>
      </c>
      <c r="O269" s="48">
        <v>0.5</v>
      </c>
      <c r="P269" s="48">
        <v>0.5</v>
      </c>
      <c r="Q269" s="56"/>
      <c r="R269" s="56"/>
      <c r="AC269" s="45">
        <v>0.17</v>
      </c>
      <c r="AD269" s="45">
        <v>1.2500000000000001E-2</v>
      </c>
      <c r="AN269" s="45">
        <v>1.5078499434991</v>
      </c>
      <c r="AR269" s="45">
        <f t="shared" si="21"/>
        <v>0.66319596609156684</v>
      </c>
      <c r="AT269" s="217">
        <f t="shared" si="22"/>
        <v>0</v>
      </c>
      <c r="AU269" s="217">
        <f t="shared" si="23"/>
        <v>0</v>
      </c>
      <c r="AV269" s="45">
        <f>[10]Sheet1!AA260</f>
        <v>0.14949999999999994</v>
      </c>
      <c r="AW269" s="45">
        <v>0</v>
      </c>
    </row>
    <row r="270" spans="1:49">
      <c r="A270" s="45"/>
      <c r="B270" s="45"/>
      <c r="C270" s="50">
        <f t="shared" si="20"/>
        <v>44743</v>
      </c>
      <c r="D270" s="56">
        <v>6.8287962825580806E-2</v>
      </c>
      <c r="E270" s="48">
        <v>5.335</v>
      </c>
      <c r="F270" s="48">
        <v>0.17</v>
      </c>
      <c r="L270" s="48">
        <v>0</v>
      </c>
      <c r="M270" s="48">
        <v>0.4</v>
      </c>
      <c r="N270" s="48">
        <v>0.55000000000000004</v>
      </c>
      <c r="O270" s="48">
        <v>0.5</v>
      </c>
      <c r="P270" s="48">
        <v>0.5</v>
      </c>
      <c r="Q270" s="56"/>
      <c r="R270" s="56"/>
      <c r="AC270" s="45">
        <v>0.17499999999999999</v>
      </c>
      <c r="AD270" s="45">
        <v>1.2500000000000001E-2</v>
      </c>
      <c r="AN270" s="45">
        <v>1.5075810770589899</v>
      </c>
      <c r="AR270" s="45">
        <f t="shared" si="21"/>
        <v>0.66331424240931303</v>
      </c>
      <c r="AT270" s="217">
        <f t="shared" si="22"/>
        <v>0</v>
      </c>
      <c r="AU270" s="217">
        <f t="shared" si="23"/>
        <v>0</v>
      </c>
      <c r="AV270" s="45">
        <f>[10]Sheet1!AA261</f>
        <v>0.14949999999999994</v>
      </c>
      <c r="AW270" s="45">
        <v>0</v>
      </c>
    </row>
    <row r="271" spans="1:49">
      <c r="A271" s="45"/>
      <c r="B271" s="45"/>
      <c r="C271" s="50">
        <f t="shared" si="20"/>
        <v>44774</v>
      </c>
      <c r="D271" s="56">
        <v>6.8282477704909403E-2</v>
      </c>
      <c r="E271" s="48">
        <v>5.391</v>
      </c>
      <c r="F271" s="48">
        <v>0.17</v>
      </c>
      <c r="L271" s="48">
        <v>0</v>
      </c>
      <c r="M271" s="48">
        <v>0.5</v>
      </c>
      <c r="N271" s="48">
        <v>0.6</v>
      </c>
      <c r="O271" s="48">
        <v>0.45</v>
      </c>
      <c r="P271" s="48">
        <v>0.55000000000000004</v>
      </c>
      <c r="Q271" s="56"/>
      <c r="R271" s="56"/>
      <c r="AC271" s="45">
        <v>0.17499999999999999</v>
      </c>
      <c r="AD271" s="45">
        <v>1.2500000000000001E-2</v>
      </c>
      <c r="AN271" s="45">
        <v>1.5073024643566499</v>
      </c>
      <c r="AR271" s="45">
        <f t="shared" si="21"/>
        <v>0.66343685069659997</v>
      </c>
      <c r="AT271" s="217">
        <f t="shared" si="22"/>
        <v>0</v>
      </c>
      <c r="AU271" s="217">
        <f t="shared" si="23"/>
        <v>0</v>
      </c>
      <c r="AV271" s="45">
        <f>[10]Sheet1!AA262</f>
        <v>0.14949999999999994</v>
      </c>
      <c r="AW271" s="45">
        <v>0</v>
      </c>
    </row>
    <row r="272" spans="1:49">
      <c r="A272" s="45"/>
      <c r="B272" s="45"/>
      <c r="C272" s="50">
        <f t="shared" si="20"/>
        <v>44805</v>
      </c>
      <c r="D272" s="56">
        <v>6.8276992584248603E-2</v>
      </c>
      <c r="E272" s="48">
        <v>5.4050000000000002</v>
      </c>
      <c r="F272" s="48">
        <v>0.17</v>
      </c>
      <c r="L272" s="48">
        <v>0</v>
      </c>
      <c r="M272" s="48">
        <v>0.55000000000000004</v>
      </c>
      <c r="N272" s="48">
        <v>0.6</v>
      </c>
      <c r="O272" s="48">
        <v>0.5</v>
      </c>
      <c r="P272" s="48">
        <v>0.6</v>
      </c>
      <c r="Q272" s="56"/>
      <c r="R272" s="56"/>
      <c r="AC272" s="45">
        <v>0.16500000000000001</v>
      </c>
      <c r="AD272" s="45">
        <v>1.2500000000000001E-2</v>
      </c>
      <c r="AN272" s="45">
        <v>1.5070230552005699</v>
      </c>
      <c r="AR272" s="45">
        <f t="shared" si="21"/>
        <v>0.66355985500627257</v>
      </c>
      <c r="AT272" s="217">
        <f t="shared" si="22"/>
        <v>0</v>
      </c>
      <c r="AU272" s="217">
        <f t="shared" si="23"/>
        <v>0</v>
      </c>
      <c r="AV272" s="45">
        <f>[10]Sheet1!AA263</f>
        <v>0.14949999999999994</v>
      </c>
      <c r="AW272" s="45">
        <v>0</v>
      </c>
    </row>
    <row r="273" spans="1:49">
      <c r="A273" s="45"/>
      <c r="B273" s="45"/>
      <c r="C273" s="50">
        <f t="shared" si="20"/>
        <v>44835</v>
      </c>
      <c r="Q273" s="56"/>
      <c r="R273" s="56"/>
      <c r="AU273" s="217">
        <f t="shared" si="23"/>
        <v>0</v>
      </c>
      <c r="AV273" s="45">
        <f>[10]Sheet1!AA264</f>
        <v>0.19607142857142856</v>
      </c>
      <c r="AW273" s="45">
        <v>0</v>
      </c>
    </row>
    <row r="274" spans="1:49">
      <c r="A274" s="45"/>
      <c r="B274" s="45"/>
      <c r="C274" s="50">
        <f t="shared" ref="C274:C337" si="24">NextMonth(C273)</f>
        <v>44866</v>
      </c>
      <c r="Q274" s="56"/>
      <c r="R274" s="56"/>
      <c r="AU274" s="217">
        <f t="shared" ref="AU274:AU337" si="25">AK274+AL274+AT274</f>
        <v>0</v>
      </c>
      <c r="AV274" s="45">
        <f>[10]Sheet1!AA265</f>
        <v>0.20107142857142857</v>
      </c>
      <c r="AW274" s="45">
        <v>0</v>
      </c>
    </row>
    <row r="275" spans="1:49">
      <c r="A275" s="45"/>
      <c r="B275" s="45"/>
      <c r="C275" s="50">
        <f t="shared" si="24"/>
        <v>44896</v>
      </c>
      <c r="Q275" s="56"/>
      <c r="R275" s="56"/>
      <c r="AU275" s="217">
        <f t="shared" si="25"/>
        <v>0</v>
      </c>
      <c r="AV275" s="45">
        <f>[10]Sheet1!AA266</f>
        <v>0.20107142857142857</v>
      </c>
      <c r="AW275" s="45">
        <v>0</v>
      </c>
    </row>
    <row r="276" spans="1:49">
      <c r="A276" s="45"/>
      <c r="B276" s="45"/>
      <c r="C276" s="50">
        <f t="shared" si="24"/>
        <v>44927</v>
      </c>
      <c r="Q276" s="56"/>
      <c r="R276" s="56"/>
      <c r="AU276" s="217">
        <f t="shared" si="25"/>
        <v>0</v>
      </c>
      <c r="AV276" s="45">
        <f>[10]Sheet1!AA267</f>
        <v>0.20107142857142857</v>
      </c>
      <c r="AW276" s="45">
        <v>0</v>
      </c>
    </row>
    <row r="277" spans="1:49">
      <c r="A277" s="45"/>
      <c r="B277" s="45"/>
      <c r="C277" s="50">
        <f t="shared" si="24"/>
        <v>44958</v>
      </c>
      <c r="Q277" s="56"/>
      <c r="R277" s="56"/>
      <c r="AU277" s="217">
        <f t="shared" si="25"/>
        <v>0</v>
      </c>
      <c r="AV277" s="45">
        <f>[10]Sheet1!AA268</f>
        <v>0.20107142857142857</v>
      </c>
      <c r="AW277" s="45">
        <v>0</v>
      </c>
    </row>
    <row r="278" spans="1:49">
      <c r="A278" s="45"/>
      <c r="B278" s="45"/>
      <c r="C278" s="50">
        <f t="shared" si="24"/>
        <v>44986</v>
      </c>
      <c r="Q278" s="56"/>
      <c r="R278" s="56"/>
      <c r="AU278" s="217">
        <f t="shared" si="25"/>
        <v>0</v>
      </c>
      <c r="AV278" s="45">
        <f>[10]Sheet1!AA269</f>
        <v>0.15199999999999994</v>
      </c>
      <c r="AW278" s="45">
        <v>0</v>
      </c>
    </row>
    <row r="279" spans="1:49">
      <c r="A279" s="45"/>
      <c r="B279" s="45"/>
      <c r="C279" s="50">
        <f t="shared" si="24"/>
        <v>45017</v>
      </c>
      <c r="AU279" s="217">
        <f t="shared" si="25"/>
        <v>0</v>
      </c>
      <c r="AV279" s="45">
        <f>[10]Sheet1!AA270</f>
        <v>0.15199999999999994</v>
      </c>
      <c r="AW279" s="45">
        <v>0</v>
      </c>
    </row>
    <row r="280" spans="1:49">
      <c r="A280" s="45"/>
      <c r="B280" s="45"/>
      <c r="C280" s="50">
        <f t="shared" si="24"/>
        <v>45047</v>
      </c>
      <c r="AU280" s="217">
        <f t="shared" si="25"/>
        <v>0</v>
      </c>
      <c r="AV280" s="45">
        <f>[10]Sheet1!AA271</f>
        <v>0.15199999999999994</v>
      </c>
      <c r="AW280" s="45">
        <v>0</v>
      </c>
    </row>
    <row r="281" spans="1:49">
      <c r="A281" s="45"/>
      <c r="B281" s="45"/>
      <c r="C281" s="50">
        <f t="shared" si="24"/>
        <v>45078</v>
      </c>
      <c r="AU281" s="217">
        <f t="shared" si="25"/>
        <v>0</v>
      </c>
      <c r="AV281" s="45">
        <f>[10]Sheet1!AA272</f>
        <v>0.15199999999999994</v>
      </c>
      <c r="AW281" s="45">
        <v>0</v>
      </c>
    </row>
    <row r="282" spans="1:49">
      <c r="A282" s="45"/>
      <c r="B282" s="45"/>
      <c r="C282" s="50">
        <f t="shared" si="24"/>
        <v>45108</v>
      </c>
      <c r="AU282" s="217">
        <f t="shared" si="25"/>
        <v>0</v>
      </c>
      <c r="AV282" s="45">
        <f>[10]Sheet1!AA273</f>
        <v>0.15199999999999994</v>
      </c>
      <c r="AW282" s="45">
        <v>0</v>
      </c>
    </row>
    <row r="283" spans="1:49">
      <c r="A283" s="45"/>
      <c r="B283" s="45"/>
      <c r="C283" s="50">
        <f t="shared" si="24"/>
        <v>45139</v>
      </c>
      <c r="AU283" s="217">
        <f t="shared" si="25"/>
        <v>0</v>
      </c>
      <c r="AV283" s="45">
        <f>[10]Sheet1!AA274</f>
        <v>0.15199999999999994</v>
      </c>
      <c r="AW283" s="45">
        <v>0</v>
      </c>
    </row>
    <row r="284" spans="1:49">
      <c r="A284" s="45"/>
      <c r="B284" s="45"/>
      <c r="C284" s="50">
        <f t="shared" si="24"/>
        <v>45170</v>
      </c>
      <c r="AU284" s="217">
        <f t="shared" si="25"/>
        <v>0</v>
      </c>
      <c r="AV284" s="45">
        <f>[10]Sheet1!AA275</f>
        <v>0.15199999999999994</v>
      </c>
      <c r="AW284" s="45">
        <v>0</v>
      </c>
    </row>
    <row r="285" spans="1:49">
      <c r="A285" s="45"/>
      <c r="B285" s="45"/>
      <c r="C285" s="50">
        <f t="shared" si="24"/>
        <v>45200</v>
      </c>
      <c r="AU285" s="217">
        <f t="shared" si="25"/>
        <v>0</v>
      </c>
      <c r="AV285" s="45">
        <f>[10]Sheet1!AA276</f>
        <v>0.19857142857142857</v>
      </c>
      <c r="AW285" s="45">
        <v>0</v>
      </c>
    </row>
    <row r="286" spans="1:49">
      <c r="A286" s="45"/>
      <c r="B286" s="45"/>
      <c r="C286" s="50">
        <f t="shared" si="24"/>
        <v>45231</v>
      </c>
      <c r="AU286" s="217">
        <f t="shared" si="25"/>
        <v>0</v>
      </c>
      <c r="AV286" s="45">
        <f>[10]Sheet1!AA277</f>
        <v>0.20357142857142857</v>
      </c>
      <c r="AW286" s="45">
        <v>0</v>
      </c>
    </row>
    <row r="287" spans="1:49">
      <c r="A287" s="45"/>
      <c r="B287" s="45"/>
      <c r="C287" s="50">
        <f t="shared" si="24"/>
        <v>45261</v>
      </c>
      <c r="AU287" s="217">
        <f t="shared" si="25"/>
        <v>0</v>
      </c>
      <c r="AV287" s="45">
        <f>[10]Sheet1!AA278</f>
        <v>0.20357142857142857</v>
      </c>
      <c r="AW287" s="45">
        <v>0</v>
      </c>
    </row>
    <row r="288" spans="1:49">
      <c r="A288" s="45"/>
      <c r="B288" s="45"/>
      <c r="C288" s="50">
        <f t="shared" si="24"/>
        <v>45292</v>
      </c>
      <c r="AU288" s="217">
        <f t="shared" si="25"/>
        <v>0</v>
      </c>
      <c r="AV288" s="45">
        <f>[10]Sheet1!AA279</f>
        <v>0.20357142857142857</v>
      </c>
      <c r="AW288" s="45">
        <v>0</v>
      </c>
    </row>
    <row r="289" spans="1:49">
      <c r="A289" s="45"/>
      <c r="B289" s="45"/>
      <c r="C289" s="50">
        <f t="shared" si="24"/>
        <v>45323</v>
      </c>
      <c r="AU289" s="217">
        <f t="shared" si="25"/>
        <v>0</v>
      </c>
      <c r="AV289" s="45">
        <f>[10]Sheet1!AA280</f>
        <v>0.20357142857142857</v>
      </c>
      <c r="AW289" s="45">
        <v>0</v>
      </c>
    </row>
    <row r="290" spans="1:49">
      <c r="A290" s="45"/>
      <c r="B290" s="45"/>
      <c r="C290" s="50">
        <f t="shared" si="24"/>
        <v>45352</v>
      </c>
      <c r="AU290" s="217">
        <f t="shared" si="25"/>
        <v>0</v>
      </c>
      <c r="AV290" s="45">
        <f>[10]Sheet1!AA281</f>
        <v>0.15449999999999994</v>
      </c>
      <c r="AW290" s="45">
        <v>0</v>
      </c>
    </row>
    <row r="291" spans="1:49">
      <c r="A291" s="45"/>
      <c r="B291" s="45"/>
      <c r="C291" s="50">
        <f t="shared" si="24"/>
        <v>45383</v>
      </c>
      <c r="AU291" s="217">
        <f t="shared" si="25"/>
        <v>0</v>
      </c>
      <c r="AV291" s="45">
        <f>[10]Sheet1!AA282</f>
        <v>0.15449999999999994</v>
      </c>
      <c r="AW291" s="45">
        <v>0</v>
      </c>
    </row>
    <row r="292" spans="1:49">
      <c r="A292" s="45"/>
      <c r="B292" s="45"/>
      <c r="C292" s="50">
        <f t="shared" si="24"/>
        <v>45413</v>
      </c>
      <c r="AU292" s="217">
        <f t="shared" si="25"/>
        <v>0</v>
      </c>
      <c r="AV292" s="45">
        <f>[10]Sheet1!AA283</f>
        <v>0.15449999999999994</v>
      </c>
      <c r="AW292" s="45">
        <v>0</v>
      </c>
    </row>
    <row r="293" spans="1:49">
      <c r="A293" s="45"/>
      <c r="B293" s="45"/>
      <c r="C293" s="50">
        <f t="shared" si="24"/>
        <v>45444</v>
      </c>
      <c r="AU293" s="217">
        <f t="shared" si="25"/>
        <v>0</v>
      </c>
      <c r="AV293" s="45">
        <f>[10]Sheet1!AA284</f>
        <v>0.15449999999999994</v>
      </c>
      <c r="AW293" s="45">
        <v>0</v>
      </c>
    </row>
    <row r="294" spans="1:49">
      <c r="A294" s="45"/>
      <c r="B294" s="45"/>
      <c r="C294" s="50">
        <f t="shared" si="24"/>
        <v>45474</v>
      </c>
      <c r="AU294" s="217">
        <f t="shared" si="25"/>
        <v>0</v>
      </c>
      <c r="AV294" s="45">
        <f>[10]Sheet1!AA285</f>
        <v>0.15449999999999994</v>
      </c>
      <c r="AW294" s="45">
        <v>0</v>
      </c>
    </row>
    <row r="295" spans="1:49">
      <c r="A295" s="45"/>
      <c r="B295" s="45"/>
      <c r="C295" s="50">
        <f t="shared" si="24"/>
        <v>45505</v>
      </c>
      <c r="AU295" s="217">
        <f t="shared" si="25"/>
        <v>0</v>
      </c>
      <c r="AV295" s="45">
        <f>[10]Sheet1!AA286</f>
        <v>0.15449999999999994</v>
      </c>
      <c r="AW295" s="45">
        <v>0</v>
      </c>
    </row>
    <row r="296" spans="1:49">
      <c r="A296" s="45"/>
      <c r="B296" s="45"/>
      <c r="C296" s="50">
        <f t="shared" si="24"/>
        <v>45536</v>
      </c>
      <c r="AU296" s="217">
        <f t="shared" si="25"/>
        <v>0</v>
      </c>
      <c r="AV296" s="45">
        <f>[10]Sheet1!AA287</f>
        <v>0.15449999999999994</v>
      </c>
      <c r="AW296" s="45">
        <v>0</v>
      </c>
    </row>
    <row r="297" spans="1:49">
      <c r="A297" s="45"/>
      <c r="B297" s="45"/>
      <c r="C297" s="50">
        <f t="shared" si="24"/>
        <v>45566</v>
      </c>
      <c r="AU297" s="217">
        <f t="shared" si="25"/>
        <v>0</v>
      </c>
      <c r="AV297" s="45">
        <f>[10]Sheet1!AA288</f>
        <v>0.20107142857142857</v>
      </c>
      <c r="AW297" s="45">
        <v>0</v>
      </c>
    </row>
    <row r="298" spans="1:49">
      <c r="A298" s="45"/>
      <c r="B298" s="45"/>
      <c r="C298" s="50">
        <f t="shared" si="24"/>
        <v>45597</v>
      </c>
      <c r="AU298" s="217">
        <f t="shared" si="25"/>
        <v>0</v>
      </c>
      <c r="AV298" s="45">
        <f>[10]Sheet1!AA289</f>
        <v>0.20607142857142857</v>
      </c>
      <c r="AW298" s="45">
        <v>0</v>
      </c>
    </row>
    <row r="299" spans="1:49">
      <c r="A299" s="45"/>
      <c r="B299" s="45"/>
      <c r="C299" s="50">
        <f t="shared" si="24"/>
        <v>45627</v>
      </c>
      <c r="AU299" s="217">
        <f t="shared" si="25"/>
        <v>0</v>
      </c>
      <c r="AV299" s="45">
        <f>[10]Sheet1!AA290</f>
        <v>0.20607142857142857</v>
      </c>
      <c r="AW299" s="45">
        <v>0</v>
      </c>
    </row>
    <row r="300" spans="1:49">
      <c r="A300" s="45"/>
      <c r="B300" s="45"/>
      <c r="C300" s="50">
        <f t="shared" si="24"/>
        <v>45658</v>
      </c>
      <c r="AU300" s="217">
        <f t="shared" si="25"/>
        <v>0</v>
      </c>
      <c r="AV300" s="45">
        <f>[10]Sheet1!AA291</f>
        <v>0.20607142857142857</v>
      </c>
      <c r="AW300" s="45">
        <v>0</v>
      </c>
    </row>
    <row r="301" spans="1:49">
      <c r="A301" s="45"/>
      <c r="B301" s="45"/>
      <c r="C301" s="50">
        <f t="shared" si="24"/>
        <v>45689</v>
      </c>
      <c r="AU301" s="217">
        <f t="shared" si="25"/>
        <v>0</v>
      </c>
      <c r="AV301" s="45">
        <f>[10]Sheet1!AA292</f>
        <v>0.20607142857142857</v>
      </c>
      <c r="AW301" s="45">
        <v>0</v>
      </c>
    </row>
    <row r="302" spans="1:49">
      <c r="A302" s="45"/>
      <c r="B302" s="45"/>
      <c r="C302" s="50">
        <f t="shared" si="24"/>
        <v>45717</v>
      </c>
      <c r="AU302" s="217">
        <f t="shared" si="25"/>
        <v>0</v>
      </c>
      <c r="AV302" s="45">
        <f>[10]Sheet1!AA293</f>
        <v>0.15699999999999992</v>
      </c>
      <c r="AW302" s="45">
        <v>0</v>
      </c>
    </row>
    <row r="303" spans="1:49">
      <c r="A303" s="45"/>
      <c r="B303" s="45"/>
      <c r="C303" s="50">
        <f t="shared" si="24"/>
        <v>45748</v>
      </c>
      <c r="AU303" s="217">
        <f t="shared" si="25"/>
        <v>0</v>
      </c>
      <c r="AV303" s="45">
        <f>[10]Sheet1!AA294</f>
        <v>0.15699999999999992</v>
      </c>
      <c r="AW303" s="45">
        <v>0</v>
      </c>
    </row>
    <row r="304" spans="1:49">
      <c r="A304" s="45"/>
      <c r="B304" s="45"/>
      <c r="C304" s="50">
        <f t="shared" si="24"/>
        <v>45778</v>
      </c>
      <c r="AU304" s="217">
        <f t="shared" si="25"/>
        <v>0</v>
      </c>
      <c r="AV304" s="45">
        <f>[10]Sheet1!AA295</f>
        <v>0.15699999999999992</v>
      </c>
      <c r="AW304" s="45">
        <v>0</v>
      </c>
    </row>
    <row r="305" spans="1:49">
      <c r="A305" s="45"/>
      <c r="B305" s="45"/>
      <c r="C305" s="50">
        <f t="shared" si="24"/>
        <v>45809</v>
      </c>
      <c r="AU305" s="217">
        <f t="shared" si="25"/>
        <v>0</v>
      </c>
      <c r="AV305" s="45">
        <f>[10]Sheet1!AA296</f>
        <v>0.15699999999999992</v>
      </c>
      <c r="AW305" s="45">
        <v>0</v>
      </c>
    </row>
    <row r="306" spans="1:49">
      <c r="A306" s="45"/>
      <c r="B306" s="45"/>
      <c r="C306" s="50">
        <f t="shared" si="24"/>
        <v>45839</v>
      </c>
      <c r="AU306" s="217">
        <f t="shared" si="25"/>
        <v>0</v>
      </c>
      <c r="AV306" s="45">
        <f>[10]Sheet1!AA297</f>
        <v>0.15699999999999992</v>
      </c>
      <c r="AW306" s="45">
        <v>0</v>
      </c>
    </row>
    <row r="307" spans="1:49">
      <c r="A307" s="45"/>
      <c r="B307" s="45"/>
      <c r="C307" s="50">
        <f t="shared" si="24"/>
        <v>45870</v>
      </c>
      <c r="AU307" s="217">
        <f t="shared" si="25"/>
        <v>0</v>
      </c>
      <c r="AV307" s="45">
        <f>[10]Sheet1!AA298</f>
        <v>0.15699999999999992</v>
      </c>
      <c r="AW307" s="45">
        <v>0</v>
      </c>
    </row>
    <row r="308" spans="1:49">
      <c r="A308" s="45"/>
      <c r="B308" s="45"/>
      <c r="C308" s="50">
        <f t="shared" si="24"/>
        <v>45901</v>
      </c>
      <c r="AU308" s="217">
        <f t="shared" si="25"/>
        <v>0</v>
      </c>
      <c r="AV308" s="45">
        <f>[10]Sheet1!AA299</f>
        <v>0.15699999999999992</v>
      </c>
      <c r="AW308" s="45">
        <v>0</v>
      </c>
    </row>
    <row r="309" spans="1:49">
      <c r="A309" s="45"/>
      <c r="B309" s="45"/>
      <c r="C309" s="50">
        <f t="shared" si="24"/>
        <v>45931</v>
      </c>
      <c r="AU309" s="217">
        <f t="shared" si="25"/>
        <v>0</v>
      </c>
      <c r="AV309" s="45">
        <f>[10]Sheet1!AA300</f>
        <v>0.20407142857142857</v>
      </c>
      <c r="AW309" s="45">
        <v>0</v>
      </c>
    </row>
    <row r="310" spans="1:49">
      <c r="A310" s="45"/>
      <c r="B310" s="45"/>
      <c r="C310" s="50">
        <f t="shared" si="24"/>
        <v>45962</v>
      </c>
      <c r="AU310" s="217">
        <f t="shared" si="25"/>
        <v>0</v>
      </c>
      <c r="AV310" s="45">
        <f>[10]Sheet1!AA301</f>
        <v>0.20907142857142855</v>
      </c>
      <c r="AW310" s="45">
        <v>0</v>
      </c>
    </row>
    <row r="311" spans="1:49">
      <c r="A311" s="45"/>
      <c r="B311" s="45"/>
      <c r="C311" s="50">
        <f t="shared" si="24"/>
        <v>45992</v>
      </c>
      <c r="AU311" s="217">
        <f t="shared" si="25"/>
        <v>0</v>
      </c>
      <c r="AV311" s="45">
        <f>[10]Sheet1!AA302</f>
        <v>0.20907142857142855</v>
      </c>
      <c r="AW311" s="45">
        <v>0</v>
      </c>
    </row>
    <row r="312" spans="1:49">
      <c r="A312" s="45"/>
      <c r="B312" s="45"/>
      <c r="C312" s="50">
        <f t="shared" si="24"/>
        <v>46023</v>
      </c>
      <c r="AU312" s="217">
        <f t="shared" si="25"/>
        <v>0</v>
      </c>
      <c r="AV312" s="45">
        <f>[10]Sheet1!AA303</f>
        <v>0.20907142857142855</v>
      </c>
      <c r="AW312" s="45">
        <v>0</v>
      </c>
    </row>
    <row r="313" spans="1:49">
      <c r="A313" s="45"/>
      <c r="B313" s="45"/>
      <c r="C313" s="50">
        <f t="shared" si="24"/>
        <v>46054</v>
      </c>
      <c r="AU313" s="217">
        <f t="shared" si="25"/>
        <v>0</v>
      </c>
      <c r="AV313" s="45">
        <f>[10]Sheet1!AA304</f>
        <v>0.20907142857142855</v>
      </c>
      <c r="AW313" s="45">
        <v>0</v>
      </c>
    </row>
    <row r="314" spans="1:49">
      <c r="A314" s="45"/>
      <c r="B314" s="45"/>
      <c r="C314" s="50">
        <f t="shared" si="24"/>
        <v>46082</v>
      </c>
      <c r="AU314" s="217">
        <f t="shared" si="25"/>
        <v>0</v>
      </c>
      <c r="AV314" s="45">
        <f>[10]Sheet1!AA305</f>
        <v>0.15999999999999992</v>
      </c>
      <c r="AW314" s="45">
        <v>0</v>
      </c>
    </row>
    <row r="315" spans="1:49">
      <c r="A315" s="45"/>
      <c r="B315" s="45"/>
      <c r="C315" s="50">
        <f t="shared" si="24"/>
        <v>46113</v>
      </c>
      <c r="AU315" s="217">
        <f t="shared" si="25"/>
        <v>0</v>
      </c>
      <c r="AV315" s="45">
        <f>[10]Sheet1!AA306</f>
        <v>0.15999999999999992</v>
      </c>
      <c r="AW315" s="45">
        <v>0</v>
      </c>
    </row>
    <row r="316" spans="1:49">
      <c r="A316" s="45"/>
      <c r="B316" s="45"/>
      <c r="C316" s="50">
        <f t="shared" si="24"/>
        <v>46143</v>
      </c>
      <c r="AU316" s="217">
        <f t="shared" si="25"/>
        <v>0</v>
      </c>
      <c r="AV316" s="45">
        <f>[10]Sheet1!AA307</f>
        <v>0.15999999999999992</v>
      </c>
      <c r="AW316" s="45">
        <v>0</v>
      </c>
    </row>
    <row r="317" spans="1:49">
      <c r="A317" s="45"/>
      <c r="B317" s="45"/>
      <c r="C317" s="50">
        <f t="shared" si="24"/>
        <v>46174</v>
      </c>
      <c r="AU317" s="217">
        <f t="shared" si="25"/>
        <v>0</v>
      </c>
      <c r="AV317" s="45">
        <f>[10]Sheet1!AA308</f>
        <v>0.15999999999999992</v>
      </c>
      <c r="AW317" s="45">
        <v>0</v>
      </c>
    </row>
    <row r="318" spans="1:49">
      <c r="A318" s="45"/>
      <c r="B318" s="45"/>
      <c r="C318" s="50">
        <f t="shared" si="24"/>
        <v>46204</v>
      </c>
      <c r="AU318" s="217">
        <f t="shared" si="25"/>
        <v>0</v>
      </c>
      <c r="AV318" s="45">
        <f>[10]Sheet1!AA309</f>
        <v>0.15999999999999992</v>
      </c>
      <c r="AW318" s="45">
        <v>0</v>
      </c>
    </row>
    <row r="319" spans="1:49">
      <c r="A319" s="45"/>
      <c r="B319" s="45"/>
      <c r="C319" s="50">
        <f t="shared" si="24"/>
        <v>46235</v>
      </c>
      <c r="AU319" s="217">
        <f t="shared" si="25"/>
        <v>0</v>
      </c>
      <c r="AV319" s="45">
        <f>[10]Sheet1!AA310</f>
        <v>0.15999999999999992</v>
      </c>
      <c r="AW319" s="45">
        <v>0</v>
      </c>
    </row>
    <row r="320" spans="1:49">
      <c r="A320" s="45"/>
      <c r="B320" s="45"/>
      <c r="C320" s="50">
        <f t="shared" si="24"/>
        <v>46266</v>
      </c>
      <c r="AU320" s="217">
        <f t="shared" si="25"/>
        <v>0</v>
      </c>
      <c r="AV320" s="45">
        <f>[10]Sheet1!AA311</f>
        <v>0.15999999999999992</v>
      </c>
      <c r="AW320" s="45">
        <v>0</v>
      </c>
    </row>
    <row r="321" spans="1:49">
      <c r="A321" s="45"/>
      <c r="B321" s="45"/>
      <c r="C321" s="50">
        <f t="shared" si="24"/>
        <v>46296</v>
      </c>
      <c r="AU321" s="217">
        <f t="shared" si="25"/>
        <v>0</v>
      </c>
      <c r="AV321" s="45">
        <f>[10]Sheet1!AA312</f>
        <v>0.20707142857142857</v>
      </c>
      <c r="AW321" s="45">
        <v>0</v>
      </c>
    </row>
    <row r="322" spans="1:49">
      <c r="A322" s="45"/>
      <c r="B322" s="45"/>
      <c r="C322" s="50">
        <f t="shared" si="24"/>
        <v>46327</v>
      </c>
      <c r="AU322" s="217">
        <f t="shared" si="25"/>
        <v>0</v>
      </c>
      <c r="AV322" s="45">
        <f>[10]Sheet1!AA313</f>
        <v>0.21207142857142855</v>
      </c>
      <c r="AW322" s="45">
        <v>0</v>
      </c>
    </row>
    <row r="323" spans="1:49">
      <c r="A323" s="45"/>
      <c r="B323" s="45"/>
      <c r="C323" s="50">
        <f t="shared" si="24"/>
        <v>46357</v>
      </c>
      <c r="AU323" s="217">
        <f t="shared" si="25"/>
        <v>0</v>
      </c>
      <c r="AV323" s="45">
        <f>[10]Sheet1!AA314</f>
        <v>0.21207142857142855</v>
      </c>
      <c r="AW323" s="45">
        <v>0</v>
      </c>
    </row>
    <row r="324" spans="1:49">
      <c r="A324" s="45"/>
      <c r="B324" s="45"/>
      <c r="C324" s="50">
        <f t="shared" si="24"/>
        <v>46388</v>
      </c>
      <c r="AU324" s="217">
        <f t="shared" si="25"/>
        <v>0</v>
      </c>
      <c r="AV324" s="45">
        <f>[10]Sheet1!AA315</f>
        <v>0.21207142857142855</v>
      </c>
      <c r="AW324" s="45">
        <v>0</v>
      </c>
    </row>
    <row r="325" spans="1:49">
      <c r="A325" s="45"/>
      <c r="B325" s="45"/>
      <c r="C325" s="50">
        <f t="shared" si="24"/>
        <v>46419</v>
      </c>
      <c r="AU325" s="217">
        <f t="shared" si="25"/>
        <v>0</v>
      </c>
      <c r="AV325" s="45">
        <f>[10]Sheet1!AA316</f>
        <v>0.21207142857142855</v>
      </c>
      <c r="AW325" s="45">
        <v>0</v>
      </c>
    </row>
    <row r="326" spans="1:49">
      <c r="A326" s="45"/>
      <c r="B326" s="45"/>
      <c r="C326" s="50">
        <f t="shared" si="24"/>
        <v>46447</v>
      </c>
      <c r="AU326" s="217">
        <f t="shared" si="25"/>
        <v>0</v>
      </c>
      <c r="AV326" s="45">
        <f>[10]Sheet1!AA317</f>
        <v>0.16299999999999992</v>
      </c>
      <c r="AW326" s="45">
        <v>0</v>
      </c>
    </row>
    <row r="327" spans="1:49">
      <c r="A327" s="45"/>
      <c r="B327" s="45"/>
      <c r="C327" s="50">
        <f t="shared" si="24"/>
        <v>46478</v>
      </c>
      <c r="AU327" s="217">
        <f t="shared" si="25"/>
        <v>0</v>
      </c>
      <c r="AV327" s="45">
        <f>[10]Sheet1!AA318</f>
        <v>0.16299999999999992</v>
      </c>
      <c r="AW327" s="45">
        <v>0</v>
      </c>
    </row>
    <row r="328" spans="1:49">
      <c r="A328" s="45"/>
      <c r="B328" s="45"/>
      <c r="C328" s="50">
        <f t="shared" si="24"/>
        <v>46508</v>
      </c>
      <c r="AU328" s="217">
        <f t="shared" si="25"/>
        <v>0</v>
      </c>
      <c r="AV328" s="45">
        <f>[10]Sheet1!AA319</f>
        <v>0.16299999999999992</v>
      </c>
      <c r="AW328" s="45">
        <v>0</v>
      </c>
    </row>
    <row r="329" spans="1:49">
      <c r="A329" s="45"/>
      <c r="B329" s="45"/>
      <c r="C329" s="50">
        <f t="shared" si="24"/>
        <v>46539</v>
      </c>
      <c r="AU329" s="217">
        <f t="shared" si="25"/>
        <v>0</v>
      </c>
      <c r="AV329" s="45">
        <f>[10]Sheet1!AA320</f>
        <v>0.16299999999999992</v>
      </c>
      <c r="AW329" s="45">
        <v>0</v>
      </c>
    </row>
    <row r="330" spans="1:49">
      <c r="A330" s="45"/>
      <c r="B330" s="45"/>
      <c r="C330" s="50">
        <f t="shared" si="24"/>
        <v>46569</v>
      </c>
      <c r="AU330" s="217">
        <f t="shared" si="25"/>
        <v>0</v>
      </c>
      <c r="AV330" s="45">
        <f>[10]Sheet1!AA321</f>
        <v>0.16299999999999992</v>
      </c>
      <c r="AW330" s="45">
        <v>0</v>
      </c>
    </row>
    <row r="331" spans="1:49">
      <c r="A331" s="45"/>
      <c r="B331" s="45"/>
      <c r="C331" s="50">
        <f t="shared" si="24"/>
        <v>46600</v>
      </c>
      <c r="AU331" s="217">
        <f t="shared" si="25"/>
        <v>0</v>
      </c>
      <c r="AV331" s="45">
        <f>[10]Sheet1!AA322</f>
        <v>0.16299999999999992</v>
      </c>
      <c r="AW331" s="45">
        <v>0</v>
      </c>
    </row>
    <row r="332" spans="1:49">
      <c r="A332" s="45"/>
      <c r="B332" s="45"/>
      <c r="C332" s="50">
        <f t="shared" si="24"/>
        <v>46631</v>
      </c>
      <c r="AU332" s="217">
        <f t="shared" si="25"/>
        <v>0</v>
      </c>
      <c r="AV332" s="45">
        <f>[10]Sheet1!AA323</f>
        <v>0.16299999999999992</v>
      </c>
      <c r="AW332" s="45">
        <v>0</v>
      </c>
    </row>
    <row r="333" spans="1:49">
      <c r="A333" s="45"/>
      <c r="B333" s="45"/>
      <c r="C333" s="50">
        <f t="shared" si="24"/>
        <v>46661</v>
      </c>
      <c r="AU333" s="217">
        <f t="shared" si="25"/>
        <v>0</v>
      </c>
      <c r="AV333" s="45">
        <f>[10]Sheet1!AA324</f>
        <v>0.21007142857142855</v>
      </c>
      <c r="AW333" s="45">
        <v>0</v>
      </c>
    </row>
    <row r="334" spans="1:49">
      <c r="A334" s="45"/>
      <c r="B334" s="45"/>
      <c r="C334" s="50">
        <f t="shared" si="24"/>
        <v>46692</v>
      </c>
      <c r="AU334" s="217">
        <f t="shared" si="25"/>
        <v>0</v>
      </c>
      <c r="AV334" s="45">
        <f>[10]Sheet1!AA325</f>
        <v>0.21507142857142855</v>
      </c>
      <c r="AW334" s="45">
        <v>0</v>
      </c>
    </row>
    <row r="335" spans="1:49">
      <c r="A335" s="45"/>
      <c r="B335" s="45"/>
      <c r="C335" s="50">
        <f t="shared" si="24"/>
        <v>46722</v>
      </c>
      <c r="AU335" s="217">
        <f t="shared" si="25"/>
        <v>0</v>
      </c>
      <c r="AV335" s="45">
        <f>[10]Sheet1!AA326</f>
        <v>0.21507142857142855</v>
      </c>
      <c r="AW335" s="45">
        <v>0</v>
      </c>
    </row>
    <row r="336" spans="1:49">
      <c r="A336" s="45"/>
      <c r="B336" s="45"/>
      <c r="C336" s="50">
        <f t="shared" si="24"/>
        <v>46753</v>
      </c>
      <c r="AU336" s="217">
        <f t="shared" si="25"/>
        <v>0</v>
      </c>
      <c r="AV336" s="45">
        <f>[10]Sheet1!AA327</f>
        <v>0.21507142857142855</v>
      </c>
      <c r="AW336" s="45">
        <v>0</v>
      </c>
    </row>
    <row r="337" spans="1:49">
      <c r="A337" s="45"/>
      <c r="B337" s="45"/>
      <c r="C337" s="50">
        <f t="shared" si="24"/>
        <v>46784</v>
      </c>
      <c r="AU337" s="217">
        <f t="shared" si="25"/>
        <v>0</v>
      </c>
      <c r="AV337" s="45">
        <f>[10]Sheet1!AA328</f>
        <v>0.21507142857142855</v>
      </c>
      <c r="AW337" s="45">
        <v>0</v>
      </c>
    </row>
    <row r="338" spans="1:49">
      <c r="A338" s="45"/>
      <c r="B338" s="45"/>
      <c r="C338" s="50">
        <f t="shared" ref="C338:C377" si="26">NextMonth(C337)</f>
        <v>46813</v>
      </c>
      <c r="AU338" s="217">
        <f t="shared" ref="AU338:AU377" si="27">AK338+AL338+AT338</f>
        <v>0</v>
      </c>
      <c r="AV338" s="45">
        <f>[10]Sheet1!AA329</f>
        <v>0.16599999999999993</v>
      </c>
      <c r="AW338" s="45">
        <v>0</v>
      </c>
    </row>
    <row r="339" spans="1:49">
      <c r="A339" s="45"/>
      <c r="B339" s="45"/>
      <c r="C339" s="50">
        <f t="shared" si="26"/>
        <v>46844</v>
      </c>
      <c r="AU339" s="217">
        <f t="shared" si="27"/>
        <v>0</v>
      </c>
      <c r="AV339" s="45">
        <f>[10]Sheet1!AA330</f>
        <v>0.16599999999999993</v>
      </c>
      <c r="AW339" s="45">
        <v>0</v>
      </c>
    </row>
    <row r="340" spans="1:49">
      <c r="A340" s="45"/>
      <c r="B340" s="45"/>
      <c r="C340" s="50">
        <f t="shared" si="26"/>
        <v>46874</v>
      </c>
      <c r="AU340" s="217">
        <f t="shared" si="27"/>
        <v>0</v>
      </c>
      <c r="AV340" s="45">
        <f>[10]Sheet1!AA331</f>
        <v>0.16599999999999993</v>
      </c>
      <c r="AW340" s="45">
        <v>0</v>
      </c>
    </row>
    <row r="341" spans="1:49">
      <c r="A341" s="45"/>
      <c r="B341" s="45"/>
      <c r="C341" s="50">
        <f t="shared" si="26"/>
        <v>46905</v>
      </c>
      <c r="AU341" s="217">
        <f t="shared" si="27"/>
        <v>0</v>
      </c>
      <c r="AV341" s="45">
        <f>[10]Sheet1!AA332</f>
        <v>0.16599999999999993</v>
      </c>
      <c r="AW341" s="45">
        <v>0</v>
      </c>
    </row>
    <row r="342" spans="1:49">
      <c r="A342" s="45"/>
      <c r="B342" s="45"/>
      <c r="C342" s="50">
        <f t="shared" si="26"/>
        <v>46935</v>
      </c>
      <c r="AU342" s="217">
        <f t="shared" si="27"/>
        <v>0</v>
      </c>
      <c r="AV342" s="45">
        <f>[10]Sheet1!AA333</f>
        <v>0.16599999999999993</v>
      </c>
      <c r="AW342" s="45">
        <v>0</v>
      </c>
    </row>
    <row r="343" spans="1:49">
      <c r="A343" s="45"/>
      <c r="B343" s="45"/>
      <c r="C343" s="50">
        <f t="shared" si="26"/>
        <v>46966</v>
      </c>
      <c r="AU343" s="217">
        <f t="shared" si="27"/>
        <v>0</v>
      </c>
      <c r="AV343" s="45">
        <f>[10]Sheet1!AA334</f>
        <v>0.16599999999999993</v>
      </c>
      <c r="AW343" s="45">
        <v>0</v>
      </c>
    </row>
    <row r="344" spans="1:49">
      <c r="A344" s="45"/>
      <c r="B344" s="45"/>
      <c r="C344" s="50">
        <f t="shared" si="26"/>
        <v>46997</v>
      </c>
      <c r="AU344" s="217">
        <f t="shared" si="27"/>
        <v>0</v>
      </c>
      <c r="AV344" s="45">
        <f>[10]Sheet1!AA335</f>
        <v>0.16599999999999993</v>
      </c>
      <c r="AW344" s="45">
        <v>0</v>
      </c>
    </row>
    <row r="345" spans="1:49">
      <c r="A345" s="45"/>
      <c r="B345" s="45"/>
      <c r="C345" s="50">
        <f t="shared" si="26"/>
        <v>47027</v>
      </c>
      <c r="AU345" s="217">
        <f t="shared" si="27"/>
        <v>0</v>
      </c>
      <c r="AV345" s="45">
        <f>[10]Sheet1!AA336</f>
        <v>0.21307142857142855</v>
      </c>
      <c r="AW345" s="45">
        <v>0</v>
      </c>
    </row>
    <row r="346" spans="1:49">
      <c r="A346" s="45"/>
      <c r="B346" s="45"/>
      <c r="C346" s="50">
        <f t="shared" si="26"/>
        <v>47058</v>
      </c>
      <c r="AU346" s="217">
        <f t="shared" si="27"/>
        <v>0</v>
      </c>
      <c r="AV346" s="45">
        <f>[10]Sheet1!AA337</f>
        <v>0.21807142857142855</v>
      </c>
      <c r="AW346" s="45">
        <v>0</v>
      </c>
    </row>
    <row r="347" spans="1:49">
      <c r="A347" s="45"/>
      <c r="B347" s="45"/>
      <c r="C347" s="50">
        <f t="shared" si="26"/>
        <v>47088</v>
      </c>
      <c r="AU347" s="217">
        <f t="shared" si="27"/>
        <v>0</v>
      </c>
      <c r="AV347" s="45">
        <f>[10]Sheet1!AA338</f>
        <v>0.21807142857142855</v>
      </c>
      <c r="AW347" s="45">
        <v>0</v>
      </c>
    </row>
    <row r="348" spans="1:49">
      <c r="A348" s="45"/>
      <c r="B348" s="45"/>
      <c r="C348" s="50">
        <f t="shared" si="26"/>
        <v>47119</v>
      </c>
      <c r="AU348" s="217">
        <f t="shared" si="27"/>
        <v>0</v>
      </c>
      <c r="AV348" s="45">
        <f>[10]Sheet1!AA339</f>
        <v>0.21807142857142855</v>
      </c>
      <c r="AW348" s="45">
        <v>0</v>
      </c>
    </row>
    <row r="349" spans="1:49">
      <c r="A349" s="45"/>
      <c r="B349" s="45"/>
      <c r="C349" s="50">
        <f t="shared" si="26"/>
        <v>47150</v>
      </c>
      <c r="AU349" s="217">
        <f t="shared" si="27"/>
        <v>0</v>
      </c>
      <c r="AV349" s="45">
        <f>[10]Sheet1!AA340</f>
        <v>0.21807142857142855</v>
      </c>
      <c r="AW349" s="45">
        <v>0</v>
      </c>
    </row>
    <row r="350" spans="1:49">
      <c r="A350" s="45"/>
      <c r="B350" s="45"/>
      <c r="C350" s="50">
        <f t="shared" si="26"/>
        <v>47178</v>
      </c>
      <c r="AU350" s="217">
        <f t="shared" si="27"/>
        <v>0</v>
      </c>
      <c r="AV350" s="45">
        <f>[10]Sheet1!AA341</f>
        <v>0.16899999999999993</v>
      </c>
      <c r="AW350" s="45">
        <v>0</v>
      </c>
    </row>
    <row r="351" spans="1:49">
      <c r="A351" s="45"/>
      <c r="B351" s="45"/>
      <c r="C351" s="50">
        <f t="shared" si="26"/>
        <v>47209</v>
      </c>
      <c r="AU351" s="217">
        <f t="shared" si="27"/>
        <v>0</v>
      </c>
      <c r="AV351" s="45">
        <f>[10]Sheet1!AA342</f>
        <v>0.16899999999999993</v>
      </c>
      <c r="AW351" s="45">
        <v>0</v>
      </c>
    </row>
    <row r="352" spans="1:49">
      <c r="A352" s="45"/>
      <c r="B352" s="45"/>
      <c r="C352" s="50">
        <f t="shared" si="26"/>
        <v>47239</v>
      </c>
      <c r="AU352" s="217">
        <f t="shared" si="27"/>
        <v>0</v>
      </c>
      <c r="AV352" s="45">
        <f>[10]Sheet1!AA343</f>
        <v>0.16899999999999993</v>
      </c>
      <c r="AW352" s="45">
        <v>0</v>
      </c>
    </row>
    <row r="353" spans="1:49">
      <c r="A353" s="45"/>
      <c r="B353" s="45"/>
      <c r="C353" s="50">
        <f t="shared" si="26"/>
        <v>47270</v>
      </c>
      <c r="AU353" s="217">
        <f t="shared" si="27"/>
        <v>0</v>
      </c>
      <c r="AV353" s="45">
        <f>[10]Sheet1!AA344</f>
        <v>0.16899999999999993</v>
      </c>
      <c r="AW353" s="45">
        <v>0</v>
      </c>
    </row>
    <row r="354" spans="1:49">
      <c r="A354" s="45"/>
      <c r="B354" s="45"/>
      <c r="C354" s="50">
        <f t="shared" si="26"/>
        <v>47300</v>
      </c>
      <c r="AU354" s="217">
        <f t="shared" si="27"/>
        <v>0</v>
      </c>
      <c r="AV354" s="45">
        <f>[10]Sheet1!AA345</f>
        <v>0.16899999999999993</v>
      </c>
      <c r="AW354" s="45">
        <v>0</v>
      </c>
    </row>
    <row r="355" spans="1:49">
      <c r="A355" s="45"/>
      <c r="B355" s="45"/>
      <c r="C355" s="50">
        <f t="shared" si="26"/>
        <v>47331</v>
      </c>
      <c r="AU355" s="217">
        <f t="shared" si="27"/>
        <v>0</v>
      </c>
      <c r="AV355" s="45">
        <f>[10]Sheet1!AA346</f>
        <v>0.16899999999999993</v>
      </c>
      <c r="AW355" s="45">
        <v>0</v>
      </c>
    </row>
    <row r="356" spans="1:49">
      <c r="A356" s="45"/>
      <c r="B356" s="45"/>
      <c r="C356" s="50">
        <f t="shared" si="26"/>
        <v>47362</v>
      </c>
      <c r="AU356" s="217">
        <f t="shared" si="27"/>
        <v>0</v>
      </c>
      <c r="AV356" s="45">
        <f>[10]Sheet1!AA347</f>
        <v>0.16899999999999993</v>
      </c>
      <c r="AW356" s="45">
        <v>0</v>
      </c>
    </row>
    <row r="357" spans="1:49">
      <c r="A357" s="45"/>
      <c r="B357" s="45"/>
      <c r="C357" s="50">
        <f t="shared" si="26"/>
        <v>47392</v>
      </c>
      <c r="AU357" s="217">
        <f t="shared" si="27"/>
        <v>0</v>
      </c>
      <c r="AV357" s="45">
        <f>[10]Sheet1!AA348</f>
        <v>0.21607142857142855</v>
      </c>
      <c r="AW357" s="45">
        <v>0</v>
      </c>
    </row>
    <row r="358" spans="1:49">
      <c r="A358" s="45"/>
      <c r="B358" s="45"/>
      <c r="C358" s="50">
        <f t="shared" si="26"/>
        <v>47423</v>
      </c>
      <c r="AU358" s="217">
        <f t="shared" si="27"/>
        <v>0</v>
      </c>
      <c r="AV358" s="45">
        <f>[10]Sheet1!AA349</f>
        <v>0.22107142857142856</v>
      </c>
      <c r="AW358" s="45">
        <v>0</v>
      </c>
    </row>
    <row r="359" spans="1:49">
      <c r="A359" s="45"/>
      <c r="B359" s="45"/>
      <c r="C359" s="50">
        <f t="shared" si="26"/>
        <v>47453</v>
      </c>
      <c r="AU359" s="217">
        <f t="shared" si="27"/>
        <v>0</v>
      </c>
      <c r="AV359" s="45">
        <f>[10]Sheet1!AA350</f>
        <v>0.22107142857142856</v>
      </c>
      <c r="AW359" s="45">
        <v>0</v>
      </c>
    </row>
    <row r="360" spans="1:49">
      <c r="A360" s="45"/>
      <c r="B360" s="45"/>
      <c r="C360" s="50">
        <f t="shared" si="26"/>
        <v>47484</v>
      </c>
      <c r="AU360" s="217">
        <f t="shared" si="27"/>
        <v>0</v>
      </c>
      <c r="AV360" s="45">
        <f>[10]Sheet1!AA351</f>
        <v>0.22107142857142856</v>
      </c>
      <c r="AW360" s="45">
        <v>0</v>
      </c>
    </row>
    <row r="361" spans="1:49">
      <c r="A361" s="45"/>
      <c r="B361" s="45"/>
      <c r="C361" s="50">
        <f t="shared" si="26"/>
        <v>47515</v>
      </c>
      <c r="AU361" s="217">
        <f t="shared" si="27"/>
        <v>0</v>
      </c>
      <c r="AV361" s="45">
        <f>[10]Sheet1!AA352</f>
        <v>0.22107142857142856</v>
      </c>
      <c r="AW361" s="45">
        <v>0</v>
      </c>
    </row>
    <row r="362" spans="1:49">
      <c r="A362" s="45"/>
      <c r="B362" s="45"/>
      <c r="C362" s="50">
        <f t="shared" si="26"/>
        <v>47543</v>
      </c>
      <c r="AU362" s="217">
        <f t="shared" si="27"/>
        <v>0</v>
      </c>
      <c r="AV362" s="45">
        <f>[10]Sheet1!AA353</f>
        <v>0.17199999999999993</v>
      </c>
      <c r="AW362" s="45">
        <v>0</v>
      </c>
    </row>
    <row r="363" spans="1:49">
      <c r="A363" s="45"/>
      <c r="B363" s="45"/>
      <c r="C363" s="50">
        <f t="shared" si="26"/>
        <v>47574</v>
      </c>
      <c r="AU363" s="217">
        <f t="shared" si="27"/>
        <v>0</v>
      </c>
      <c r="AV363" s="45">
        <f>[10]Sheet1!AA354</f>
        <v>0.17199999999999993</v>
      </c>
      <c r="AW363" s="45">
        <v>0</v>
      </c>
    </row>
    <row r="364" spans="1:49">
      <c r="A364" s="45"/>
      <c r="B364" s="45"/>
      <c r="C364" s="50">
        <f t="shared" si="26"/>
        <v>47604</v>
      </c>
      <c r="AU364" s="217">
        <f t="shared" si="27"/>
        <v>0</v>
      </c>
      <c r="AV364" s="45">
        <f>[10]Sheet1!AA355</f>
        <v>0.17199999999999993</v>
      </c>
      <c r="AW364" s="45">
        <v>0</v>
      </c>
    </row>
    <row r="365" spans="1:49">
      <c r="A365" s="45"/>
      <c r="B365" s="45"/>
      <c r="C365" s="50">
        <f t="shared" si="26"/>
        <v>47635</v>
      </c>
      <c r="AU365" s="217">
        <f t="shared" si="27"/>
        <v>0</v>
      </c>
      <c r="AV365" s="45">
        <f>[10]Sheet1!AA356</f>
        <v>0.17199999999999993</v>
      </c>
      <c r="AW365" s="45">
        <v>0</v>
      </c>
    </row>
    <row r="366" spans="1:49">
      <c r="A366" s="45"/>
      <c r="B366" s="45"/>
      <c r="C366" s="50">
        <f t="shared" si="26"/>
        <v>47665</v>
      </c>
      <c r="AU366" s="217">
        <f t="shared" si="27"/>
        <v>0</v>
      </c>
      <c r="AV366" s="45">
        <f>[10]Sheet1!AA357</f>
        <v>0.17199999999999993</v>
      </c>
      <c r="AW366" s="45">
        <v>0</v>
      </c>
    </row>
    <row r="367" spans="1:49">
      <c r="A367" s="45"/>
      <c r="B367" s="45"/>
      <c r="C367" s="50">
        <f t="shared" si="26"/>
        <v>47696</v>
      </c>
      <c r="AU367" s="217">
        <f t="shared" si="27"/>
        <v>0</v>
      </c>
      <c r="AV367" s="45">
        <f>[10]Sheet1!AA358</f>
        <v>0.17199999999999993</v>
      </c>
      <c r="AW367" s="45">
        <v>0</v>
      </c>
    </row>
    <row r="368" spans="1:49">
      <c r="A368" s="45"/>
      <c r="B368" s="45"/>
      <c r="C368" s="50">
        <f t="shared" si="26"/>
        <v>47727</v>
      </c>
      <c r="AU368" s="217">
        <f t="shared" si="27"/>
        <v>0</v>
      </c>
      <c r="AV368" s="45">
        <f>[10]Sheet1!AA359</f>
        <v>0.17199999999999993</v>
      </c>
      <c r="AW368" s="45">
        <v>0</v>
      </c>
    </row>
    <row r="369" spans="1:49">
      <c r="A369" s="45"/>
      <c r="B369" s="45"/>
      <c r="C369" s="50">
        <f t="shared" si="26"/>
        <v>47757</v>
      </c>
      <c r="AU369" s="217">
        <f t="shared" si="27"/>
        <v>0</v>
      </c>
      <c r="AV369" s="45">
        <f>[10]Sheet1!AA360</f>
        <v>0.21907142857142856</v>
      </c>
      <c r="AW369" s="45">
        <v>0</v>
      </c>
    </row>
    <row r="370" spans="1:49">
      <c r="A370" s="45"/>
      <c r="B370" s="45"/>
      <c r="C370" s="50">
        <f t="shared" si="26"/>
        <v>47788</v>
      </c>
      <c r="AU370" s="217">
        <f t="shared" si="27"/>
        <v>0</v>
      </c>
      <c r="AV370" s="45">
        <f>[10]Sheet1!AA361</f>
        <v>0.22407142857142856</v>
      </c>
      <c r="AW370" s="45">
        <v>0</v>
      </c>
    </row>
    <row r="371" spans="1:49">
      <c r="A371" s="45"/>
      <c r="B371" s="45"/>
      <c r="C371" s="50">
        <f t="shared" si="26"/>
        <v>47818</v>
      </c>
      <c r="AU371" s="217">
        <f t="shared" si="27"/>
        <v>0</v>
      </c>
      <c r="AV371" s="45">
        <f>[10]Sheet1!AA362</f>
        <v>0.22607142857142856</v>
      </c>
      <c r="AW371" s="45">
        <v>0</v>
      </c>
    </row>
    <row r="372" spans="1:49">
      <c r="A372" s="45"/>
      <c r="B372" s="45"/>
      <c r="C372" s="50">
        <f t="shared" si="26"/>
        <v>47849</v>
      </c>
      <c r="AU372" s="217">
        <f t="shared" si="27"/>
        <v>0</v>
      </c>
      <c r="AV372" s="45">
        <f>[10]Sheet1!AA363</f>
        <v>0.22607142857142856</v>
      </c>
      <c r="AW372" s="45">
        <v>0</v>
      </c>
    </row>
    <row r="373" spans="1:49">
      <c r="A373" s="45"/>
      <c r="B373" s="45"/>
      <c r="C373" s="50">
        <f t="shared" si="26"/>
        <v>47880</v>
      </c>
      <c r="AU373" s="217">
        <f t="shared" si="27"/>
        <v>0</v>
      </c>
      <c r="AV373" s="45">
        <f>[10]Sheet1!AA364</f>
        <v>0.22607142857142856</v>
      </c>
      <c r="AW373" s="45">
        <v>0</v>
      </c>
    </row>
    <row r="374" spans="1:49">
      <c r="A374" s="45"/>
      <c r="B374" s="45"/>
      <c r="C374" s="50">
        <f t="shared" si="26"/>
        <v>47908</v>
      </c>
      <c r="AU374" s="217">
        <f t="shared" si="27"/>
        <v>0</v>
      </c>
      <c r="AV374" s="45">
        <f>[10]Sheet1!AA365</f>
        <v>0.17699999999999994</v>
      </c>
      <c r="AW374" s="45">
        <v>0</v>
      </c>
    </row>
    <row r="375" spans="1:49">
      <c r="A375" s="45"/>
      <c r="B375" s="45"/>
      <c r="C375" s="50">
        <f t="shared" si="26"/>
        <v>47939</v>
      </c>
      <c r="AU375" s="217">
        <f t="shared" si="27"/>
        <v>0</v>
      </c>
      <c r="AV375" s="45">
        <f>[10]Sheet1!AA366</f>
        <v>0.17699999999999994</v>
      </c>
      <c r="AW375" s="45">
        <v>0</v>
      </c>
    </row>
    <row r="376" spans="1:49">
      <c r="A376" s="45"/>
      <c r="B376" s="45"/>
      <c r="C376" s="50">
        <f t="shared" si="26"/>
        <v>47969</v>
      </c>
      <c r="AU376" s="217">
        <f t="shared" si="27"/>
        <v>0</v>
      </c>
      <c r="AV376" s="45">
        <f>[10]Sheet1!AA367</f>
        <v>0.17699999999999994</v>
      </c>
      <c r="AW376" s="45">
        <v>0</v>
      </c>
    </row>
    <row r="377" spans="1:49">
      <c r="C377" s="50">
        <f t="shared" si="26"/>
        <v>48000</v>
      </c>
      <c r="AU377" s="217">
        <f t="shared" si="27"/>
        <v>0</v>
      </c>
      <c r="AV377" s="45">
        <f>[10]Sheet1!AA368</f>
        <v>0.17699999999999994</v>
      </c>
      <c r="AW377" s="45">
        <v>0</v>
      </c>
    </row>
  </sheetData>
  <phoneticPr fontId="13" type="noConversion"/>
  <pageMargins left="0.75" right="0.7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LoadInTheCurves">
                <anchor moveWithCells="1" sizeWithCells="1">
                  <from>
                    <xdr:col>0</xdr:col>
                    <xdr:colOff>638175</xdr:colOff>
                    <xdr:row>10</xdr:row>
                    <xdr:rowOff>9525</xdr:rowOff>
                  </from>
                  <to>
                    <xdr:col>1</xdr:col>
                    <xdr:colOff>923925</xdr:colOff>
                    <xdr:row>14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AN373"/>
  <sheetViews>
    <sheetView workbookViewId="0"/>
  </sheetViews>
  <sheetFormatPr defaultRowHeight="12.75"/>
  <cols>
    <col min="1" max="1" width="2.140625" style="139" customWidth="1"/>
    <col min="2" max="2" width="3.140625" customWidth="1"/>
    <col min="3" max="3" width="23.7109375" customWidth="1"/>
    <col min="4" max="4" width="20.5703125" customWidth="1"/>
    <col min="5" max="5" width="1.7109375" customWidth="1"/>
    <col min="6" max="6" width="34.7109375" customWidth="1"/>
    <col min="7" max="7" width="14.42578125" customWidth="1"/>
    <col min="8" max="8" width="1.42578125" style="139" customWidth="1"/>
    <col min="9" max="13" width="9.140625" style="139"/>
    <col min="14" max="19" width="0" style="139" hidden="1" customWidth="1"/>
    <col min="20" max="20" width="12.5703125" style="139" hidden="1" customWidth="1"/>
    <col min="21" max="24" width="0" style="139" hidden="1" customWidth="1"/>
    <col min="25" max="25" width="3.140625" style="40" hidden="1" customWidth="1"/>
    <col min="26" max="26" width="0" style="40" hidden="1" customWidth="1"/>
    <col min="27" max="27" width="25.7109375" style="40" hidden="1" customWidth="1"/>
    <col min="28" max="28" width="32.85546875" style="40" hidden="1" customWidth="1"/>
    <col min="29" max="29" width="3.85546875" style="40" hidden="1" customWidth="1"/>
    <col min="30" max="30" width="0" style="40" hidden="1" customWidth="1"/>
    <col min="31" max="31" width="16.42578125" style="40" hidden="1" customWidth="1"/>
    <col min="32" max="32" width="24.42578125" style="40" hidden="1" customWidth="1"/>
    <col min="33" max="33" width="0" style="139" hidden="1" customWidth="1"/>
    <col min="34" max="40" width="9.140625" style="139"/>
  </cols>
  <sheetData>
    <row r="1" spans="1:32" ht="12" customHeight="1" thickBot="1">
      <c r="B1" s="139"/>
      <c r="C1" s="139"/>
      <c r="D1" s="139"/>
      <c r="E1" s="139"/>
      <c r="F1" s="139"/>
      <c r="G1" s="139"/>
      <c r="Y1" s="140" t="s">
        <v>122</v>
      </c>
    </row>
    <row r="2" spans="1:32" ht="26.25" customHeight="1" thickBot="1">
      <c r="A2" s="141"/>
      <c r="B2" s="333" t="s">
        <v>97</v>
      </c>
      <c r="C2" s="334"/>
      <c r="D2" s="334"/>
      <c r="E2" s="334"/>
      <c r="F2" s="334"/>
      <c r="G2" s="335"/>
    </row>
    <row r="3" spans="1:32" ht="11.25" customHeight="1" thickBot="1">
      <c r="B3" s="128"/>
      <c r="C3" s="129"/>
      <c r="D3" s="129"/>
      <c r="E3" s="129"/>
      <c r="F3" s="129"/>
      <c r="G3" s="130"/>
      <c r="Z3" s="142" t="s">
        <v>120</v>
      </c>
      <c r="AA3" s="143"/>
      <c r="AB3" s="144"/>
      <c r="AD3" s="142" t="s">
        <v>121</v>
      </c>
      <c r="AE3" s="143"/>
      <c r="AF3" s="144"/>
    </row>
    <row r="4" spans="1:32" ht="9.75" customHeight="1">
      <c r="B4" s="128"/>
      <c r="C4" s="129"/>
      <c r="D4" s="129"/>
      <c r="E4" s="129"/>
      <c r="F4" s="129"/>
      <c r="G4" s="130"/>
      <c r="Z4" s="145"/>
      <c r="AA4" s="146"/>
      <c r="AB4" s="147"/>
      <c r="AD4" s="145"/>
      <c r="AE4" s="146"/>
      <c r="AF4" s="147"/>
    </row>
    <row r="5" spans="1:32" ht="9.75" customHeight="1">
      <c r="B5" s="128"/>
      <c r="C5" s="129"/>
      <c r="D5" s="129"/>
      <c r="E5" s="129"/>
      <c r="F5" s="129"/>
      <c r="G5" s="130"/>
      <c r="T5" s="139" t="s">
        <v>107</v>
      </c>
      <c r="U5" s="139" t="s">
        <v>112</v>
      </c>
      <c r="V5" s="139" t="s">
        <v>113</v>
      </c>
      <c r="Z5" s="148">
        <f>[7]CurveList!B5</f>
        <v>1</v>
      </c>
      <c r="AA5" s="14" t="str">
        <f>[7]CurveList!C5</f>
        <v>GCHO</v>
      </c>
      <c r="AB5" s="149" t="str">
        <f>[7]CurveList!D5</f>
        <v>#2 Oil Gulf Coast</v>
      </c>
      <c r="AD5" s="148">
        <f>[7]CurveList!F5</f>
        <v>1</v>
      </c>
      <c r="AE5" s="14" t="str">
        <f>[7]CurveList!G5</f>
        <v>NG_OMICRON_9</v>
      </c>
      <c r="AF5" s="149" t="str">
        <f>[7]CurveList!H5</f>
        <v>Omi Vol - Alberta/Sumas</v>
      </c>
    </row>
    <row r="6" spans="1:32" ht="21" thickBot="1">
      <c r="B6" s="131" t="s">
        <v>61</v>
      </c>
      <c r="C6" s="129"/>
      <c r="D6" s="129"/>
      <c r="E6" s="129"/>
      <c r="F6" s="129"/>
      <c r="G6" s="130"/>
      <c r="S6" s="139" t="s">
        <v>23</v>
      </c>
      <c r="T6" s="139">
        <v>33</v>
      </c>
      <c r="U6" s="139">
        <v>9</v>
      </c>
      <c r="V6" s="139">
        <v>27</v>
      </c>
      <c r="Z6" s="148">
        <f>[7]CurveList!B6</f>
        <v>2</v>
      </c>
      <c r="AA6" s="14" t="str">
        <f>[7]CurveList!C6</f>
        <v>NXHO</v>
      </c>
      <c r="AB6" s="149" t="str">
        <f>[7]CurveList!D6</f>
        <v>#2 Oil New York</v>
      </c>
      <c r="AD6" s="148">
        <f>[7]CurveList!F6</f>
        <v>2</v>
      </c>
      <c r="AE6" s="14" t="str">
        <f>[7]CurveList!G6</f>
        <v>NG_OMICRON_7</v>
      </c>
      <c r="AF6" s="149" t="str">
        <f>[7]CurveList!H6</f>
        <v>Omi Vol - Appalachia</v>
      </c>
    </row>
    <row r="7" spans="1:32" ht="16.5" thickBot="1">
      <c r="B7" s="132"/>
      <c r="C7" s="126" t="s">
        <v>72</v>
      </c>
      <c r="D7" s="332" t="s">
        <v>127</v>
      </c>
      <c r="E7" s="332"/>
      <c r="F7" s="332"/>
      <c r="G7" s="127"/>
      <c r="S7" s="139" t="s">
        <v>106</v>
      </c>
      <c r="T7" s="139">
        <v>76</v>
      </c>
      <c r="U7" s="139">
        <v>6</v>
      </c>
      <c r="V7" s="139">
        <v>118</v>
      </c>
      <c r="Z7" s="148">
        <f>[7]CurveList!B7</f>
        <v>3</v>
      </c>
      <c r="AA7" s="14" t="str">
        <f>[7]CurveList!C7</f>
        <v>61GC</v>
      </c>
      <c r="AB7" s="149" t="str">
        <f>[7]CurveList!D7</f>
        <v>#6 Oil 1%S Gulf coast</v>
      </c>
      <c r="AD7" s="148">
        <f>[7]CurveList!F7</f>
        <v>3</v>
      </c>
      <c r="AE7" s="14" t="str">
        <f>[7]CurveList!G7</f>
        <v>NG_OMICRON_11</v>
      </c>
      <c r="AF7" s="149" t="str">
        <f>[7]CurveList!H7</f>
        <v>Omi Vol - Chicago</v>
      </c>
    </row>
    <row r="8" spans="1:32">
      <c r="B8" s="132"/>
      <c r="C8" s="92" t="s">
        <v>73</v>
      </c>
      <c r="D8" s="93" t="s">
        <v>75</v>
      </c>
      <c r="E8" s="94"/>
      <c r="F8" s="94" t="s">
        <v>78</v>
      </c>
      <c r="G8" s="95">
        <v>1</v>
      </c>
      <c r="Z8" s="148">
        <f>[7]CurveList!B8</f>
        <v>4</v>
      </c>
      <c r="AA8" s="14" t="str">
        <f>[7]CurveList!C8</f>
        <v>61NY</v>
      </c>
      <c r="AB8" s="149" t="str">
        <f>[7]CurveList!D8</f>
        <v>#6 Oil 1%S New York</v>
      </c>
      <c r="AD8" s="148">
        <f>[7]CurveList!F8</f>
        <v>4</v>
      </c>
      <c r="AE8" s="14" t="str">
        <f>[7]CurveList!G8</f>
        <v>NG_OMICRON_12</v>
      </c>
      <c r="AF8" s="149" t="str">
        <f>[7]CurveList!H8</f>
        <v>Omi Vol - FGT</v>
      </c>
    </row>
    <row r="9" spans="1:32">
      <c r="B9" s="132"/>
      <c r="C9" s="96" t="s">
        <v>74</v>
      </c>
      <c r="D9" s="97"/>
      <c r="E9" s="98"/>
      <c r="F9" s="98" t="s">
        <v>66</v>
      </c>
      <c r="G9" s="99">
        <v>15100</v>
      </c>
      <c r="Z9" s="148">
        <f>[7]CurveList!B9</f>
        <v>5</v>
      </c>
      <c r="AA9" s="14" t="str">
        <f>[7]CurveList!C9</f>
        <v>62NY</v>
      </c>
      <c r="AB9" s="149" t="str">
        <f>[7]CurveList!D9</f>
        <v>#6 Oil 2%S New York</v>
      </c>
      <c r="AD9" s="148">
        <f>[7]CurveList!F9</f>
        <v>5</v>
      </c>
      <c r="AE9" s="14" t="str">
        <f>[7]CurveList!G9</f>
        <v>NG_OMICRON_2</v>
      </c>
      <c r="AF9" s="149" t="str">
        <f>[7]CurveList!H9</f>
        <v>Omi Vol - HSC/Katy/ETX</v>
      </c>
    </row>
    <row r="10" spans="1:32">
      <c r="B10" s="128"/>
      <c r="C10" s="96" t="s">
        <v>63</v>
      </c>
      <c r="D10" s="100">
        <f ca="1">TODAY()</f>
        <v>37026</v>
      </c>
      <c r="E10" s="98"/>
      <c r="F10" s="98" t="s">
        <v>118</v>
      </c>
      <c r="G10" s="101">
        <f>R13</f>
        <v>1</v>
      </c>
      <c r="N10" s="139" t="str">
        <f>"Nymex and Basis Differential (" &amp; D14 &amp;" - " &amp;D15 &amp;")"</f>
        <v>Nymex and Basis Differential (IF-CNG/APPALACH - IF-TGT/ZSL)</v>
      </c>
      <c r="Z10" s="148">
        <f>[7]CurveList!B10</f>
        <v>6</v>
      </c>
      <c r="AA10" s="14" t="str">
        <f>[7]CurveList!C10</f>
        <v>63GC</v>
      </c>
      <c r="AB10" s="149" t="str">
        <f>[7]CurveList!D10</f>
        <v>#6 Oil 3%S Gulf coast</v>
      </c>
      <c r="AD10" s="148">
        <f>[7]CurveList!F10</f>
        <v>6</v>
      </c>
      <c r="AE10" s="14" t="str">
        <f>[7]CurveList!G10</f>
        <v>NG_OMICRON_1</v>
      </c>
      <c r="AF10" s="149" t="str">
        <f>[7]CurveList!H10</f>
        <v>Omi Vol - LA/Offshore South</v>
      </c>
    </row>
    <row r="11" spans="1:32" ht="16.5" customHeight="1">
      <c r="B11" s="128"/>
      <c r="C11" s="96" t="s">
        <v>16</v>
      </c>
      <c r="D11" s="100">
        <v>36929</v>
      </c>
      <c r="E11" s="98"/>
      <c r="F11" s="98" t="s">
        <v>119</v>
      </c>
      <c r="G11" s="101">
        <f>R16</f>
        <v>1</v>
      </c>
      <c r="N11" s="139" t="str">
        <f>"Basis Differential (" &amp; D14 &amp;" - " &amp; D15 &amp;") ($/mmbtu)"</f>
        <v>Basis Differential (IF-CNG/APPALACH - IF-TGT/ZSL) ($/mmbtu)</v>
      </c>
      <c r="Z11" s="148">
        <f>[7]CurveList!B11</f>
        <v>7</v>
      </c>
      <c r="AA11" s="14" t="str">
        <f>[7]CurveList!C11</f>
        <v>CGPR-AECO/BASIS</v>
      </c>
      <c r="AB11" s="149" t="str">
        <f>[7]CurveList!D11</f>
        <v>Alberta Aeco Basis</v>
      </c>
      <c r="AD11" s="148">
        <f>[7]CurveList!F11</f>
        <v>7</v>
      </c>
      <c r="AE11" s="14" t="str">
        <f>[7]CurveList!G11</f>
        <v>NG_OMICRON_6</v>
      </c>
      <c r="AF11" s="149" t="str">
        <f>[7]CurveList!H11</f>
        <v>Omi Vol - NE Market Area</v>
      </c>
    </row>
    <row r="12" spans="1:32" ht="15.75" customHeight="1">
      <c r="B12" s="128"/>
      <c r="C12" s="96" t="s">
        <v>65</v>
      </c>
      <c r="D12" s="102">
        <f>VLOOKUP(S13,S14:T373,2,1)</f>
        <v>36982</v>
      </c>
      <c r="E12" s="98"/>
      <c r="F12" s="98" t="s">
        <v>67</v>
      </c>
      <c r="G12" s="103">
        <v>0</v>
      </c>
      <c r="Z12" s="148">
        <f>[7]CurveList!B12</f>
        <v>8</v>
      </c>
      <c r="AA12" s="14" t="str">
        <f>[7]CurveList!C12</f>
        <v>CAD/USD</v>
      </c>
      <c r="AB12" s="149" t="str">
        <f>[7]CurveList!D12</f>
        <v>Canada/US Dollar</v>
      </c>
      <c r="AD12" s="148">
        <f>[7]CurveList!F12</f>
        <v>8</v>
      </c>
      <c r="AE12" s="14" t="str">
        <f>[7]CurveList!G12</f>
        <v>NG_OMICRON_5</v>
      </c>
      <c r="AF12" s="149" t="str">
        <f>[7]CurveList!H12</f>
        <v>Omi Vol - NNG Demrc/Vent</v>
      </c>
    </row>
    <row r="13" spans="1:32">
      <c r="B13" s="128"/>
      <c r="C13" s="96" t="s">
        <v>64</v>
      </c>
      <c r="D13" s="102">
        <f>EOMONTH(VLOOKUP(T13,S14:T374,2,1),0)</f>
        <v>37346</v>
      </c>
      <c r="E13" s="98"/>
      <c r="F13" s="98" t="str">
        <f>"Basis Spread at " &amp; D14 &amp; " ($/mmbtu)"</f>
        <v>Basis Spread at IF-CNG/APPALACH ($/mmbtu)</v>
      </c>
      <c r="G13" s="104">
        <v>0</v>
      </c>
      <c r="R13" s="139">
        <v>1</v>
      </c>
      <c r="S13" s="139">
        <v>7</v>
      </c>
      <c r="T13" s="139">
        <v>18</v>
      </c>
      <c r="Z13" s="148">
        <f>[7]CurveList!B13</f>
        <v>9</v>
      </c>
      <c r="AA13" s="14" t="str">
        <f>[7]CurveList!C13</f>
        <v>CGPR-CHIPPAWA</v>
      </c>
      <c r="AB13" s="149" t="str">
        <f>[7]CurveList!D13</f>
        <v>CGPR-Chippawa</v>
      </c>
      <c r="AD13" s="148">
        <f>[7]CurveList!F13</f>
        <v>9</v>
      </c>
      <c r="AE13" s="14" t="str">
        <f>[7]CurveList!G13</f>
        <v>NG_OMICRON_3</v>
      </c>
      <c r="AF13" s="149" t="str">
        <f>[7]CurveList!H13</f>
        <v>Omi Vol - OK/Mid Continent</v>
      </c>
    </row>
    <row r="14" spans="1:32" ht="20.25" customHeight="1">
      <c r="B14" s="128"/>
      <c r="C14" s="96" t="s">
        <v>68</v>
      </c>
      <c r="D14" s="105" t="str">
        <f>VLOOKUP($T$6,$Z$5:$AB$268,2,FALSE)</f>
        <v>IF-CNG/APPALACH</v>
      </c>
      <c r="E14" s="98"/>
      <c r="F14" s="98" t="str">
        <f>"Basis Spread at " &amp; D15 &amp; " ($/mmbtu)"</f>
        <v>Basis Spread at IF-TGT/ZSL ($/mmbtu)</v>
      </c>
      <c r="G14" s="104">
        <v>0</v>
      </c>
      <c r="Q14" s="139">
        <v>1</v>
      </c>
      <c r="R14" s="139" t="s">
        <v>114</v>
      </c>
      <c r="S14" s="139">
        <f>1</f>
        <v>1</v>
      </c>
      <c r="T14" s="150">
        <v>36800</v>
      </c>
      <c r="Z14" s="148">
        <f>[7]CurveList!B14</f>
        <v>10</v>
      </c>
      <c r="AA14" s="14" t="str">
        <f>[7]CurveList!C14</f>
        <v>CGPR-CORNWALL</v>
      </c>
      <c r="AB14" s="149" t="str">
        <f>[7]CurveList!D14</f>
        <v>CGPR-Cornwall</v>
      </c>
      <c r="AD14" s="148">
        <f>[7]CurveList!F14</f>
        <v>10</v>
      </c>
      <c r="AE14" s="14" t="str">
        <f>[7]CurveList!G14</f>
        <v>NG_OMICRON_4</v>
      </c>
      <c r="AF14" s="149" t="str">
        <f>[7]CurveList!H14</f>
        <v>Omi Vol - Permian/San Juan</v>
      </c>
    </row>
    <row r="15" spans="1:32" ht="20.25" customHeight="1">
      <c r="B15" s="128"/>
      <c r="C15" s="96" t="s">
        <v>69</v>
      </c>
      <c r="D15" s="105" t="str">
        <f>VLOOKUP($T$7,$Z$5:$AB$268,2,FALSE)</f>
        <v>IF-TGT/ZSL</v>
      </c>
      <c r="E15" s="98"/>
      <c r="F15" s="98" t="str">
        <f>"Index Spread at " &amp; D14 &amp; " ($/mmbtu)"</f>
        <v>Index Spread at IF-CNG/APPALACH ($/mmbtu)</v>
      </c>
      <c r="G15" s="104">
        <v>0</v>
      </c>
      <c r="Q15" s="139">
        <v>2</v>
      </c>
      <c r="R15" s="139" t="s">
        <v>115</v>
      </c>
      <c r="S15" s="139">
        <f>S14+1</f>
        <v>2</v>
      </c>
      <c r="T15" s="150">
        <v>36831</v>
      </c>
      <c r="Z15" s="148">
        <f>[7]CurveList!B15</f>
        <v>11</v>
      </c>
      <c r="AA15" s="14" t="str">
        <f>[7]CurveList!C15</f>
        <v>CGPR-DAWN</v>
      </c>
      <c r="AB15" s="149" t="str">
        <f>[7]CurveList!D15</f>
        <v>CGPR-Dawn</v>
      </c>
      <c r="AD15" s="148">
        <f>[7]CurveList!F15</f>
        <v>11</v>
      </c>
      <c r="AE15" s="14" t="str">
        <f>[7]CurveList!G15</f>
        <v>NG_OMICRON_8</v>
      </c>
      <c r="AF15" s="149" t="str">
        <f>[7]CurveList!H15</f>
        <v>Omi Vol - Rocky Mountains</v>
      </c>
    </row>
    <row r="16" spans="1:32" ht="20.25" customHeight="1">
      <c r="B16" s="128"/>
      <c r="C16" s="96" t="str">
        <f>"Dly Vol at " &amp;D14</f>
        <v>Dly Vol at IF-CNG/APPALACH</v>
      </c>
      <c r="D16" s="106" t="str">
        <f>VLOOKUP($U$6,$AD$5:$AF$24,2,FALSE)</f>
        <v>NG_OMICRON_3</v>
      </c>
      <c r="E16" s="98"/>
      <c r="F16" s="98" t="str">
        <f>"Index Spread at " &amp; D15 &amp; " ($/mmbtu)"</f>
        <v>Index Spread at IF-TGT/ZSL ($/mmbtu)</v>
      </c>
      <c r="G16" s="104">
        <v>0</v>
      </c>
      <c r="R16" s="139">
        <v>1</v>
      </c>
      <c r="S16" s="139">
        <f t="shared" ref="S16:S79" si="0">S15+1</f>
        <v>3</v>
      </c>
      <c r="T16" s="150">
        <v>36861</v>
      </c>
      <c r="Z16" s="148">
        <f>[7]CurveList!B16</f>
        <v>12</v>
      </c>
      <c r="AA16" s="14" t="str">
        <f>[7]CurveList!C16</f>
        <v>CGPR-EMPRESS-US</v>
      </c>
      <c r="AB16" s="149" t="str">
        <f>[7]CurveList!D16</f>
        <v>CGPR-Empress</v>
      </c>
      <c r="AD16" s="148">
        <f>[7]CurveList!F16</f>
        <v>12</v>
      </c>
      <c r="AE16" s="14" t="str">
        <f>[7]CurveList!G16</f>
        <v>NG_OMICRON_10</v>
      </c>
      <c r="AF16" s="149" t="str">
        <f>[7]CurveList!H16</f>
        <v>Omi Vol - Sithe (ANR/LA)</v>
      </c>
    </row>
    <row r="17" spans="2:32" ht="20.25" customHeight="1">
      <c r="B17" s="128"/>
      <c r="C17" s="96" t="str">
        <f>"Dly Vol at " &amp;D15</f>
        <v>Dly Vol at IF-TGT/ZSL</v>
      </c>
      <c r="D17" s="106" t="str">
        <f>VLOOKUP($U$7,$AD$5:$AF$24,2,FALSE)</f>
        <v>NG_OMICRON_1</v>
      </c>
      <c r="E17" s="98"/>
      <c r="F17" s="107" t="str">
        <f>"Volatility Spread at " &amp; D14 &amp; " (%)"</f>
        <v>Volatility Spread at IF-CNG/APPALACH (%)</v>
      </c>
      <c r="G17" s="108">
        <v>0</v>
      </c>
      <c r="Q17" s="139">
        <v>1</v>
      </c>
      <c r="R17" s="139" t="s">
        <v>116</v>
      </c>
      <c r="S17" s="139">
        <f>S16+1</f>
        <v>4</v>
      </c>
      <c r="T17" s="150">
        <v>36892</v>
      </c>
      <c r="Z17" s="148">
        <f>[7]CurveList!B17</f>
        <v>13</v>
      </c>
      <c r="AA17" s="14" t="str">
        <f>[7]CurveList!C17</f>
        <v>CGPR-NIAGARA</v>
      </c>
      <c r="AB17" s="149" t="str">
        <f>[7]CurveList!D17</f>
        <v>CGPR-Niagara</v>
      </c>
      <c r="AD17" s="148">
        <f>[7]CurveList!F17</f>
        <v>13</v>
      </c>
      <c r="AE17" s="14" t="str">
        <f>[7]CurveList!G17</f>
        <v>NG_OMICRON_13</v>
      </c>
      <c r="AF17" s="149" t="str">
        <f>[7]CurveList!H17</f>
        <v>Omi Vol - Transco Zn 6</v>
      </c>
    </row>
    <row r="18" spans="2:32" ht="20.25" customHeight="1">
      <c r="B18" s="128"/>
      <c r="C18" s="109" t="str">
        <f>"Mthly Vol at " &amp;D14</f>
        <v>Mthly Vol at IF-CNG/APPALACH</v>
      </c>
      <c r="D18" s="110" t="str">
        <f>VLOOKUP($V$6,$Z$5:$AB$268,2,FALSE)</f>
        <v>IF-ANR/LA_ONSHO</v>
      </c>
      <c r="E18" s="98"/>
      <c r="F18" s="107" t="str">
        <f>"Volatility Spread at " &amp; D15 &amp; " (%)"</f>
        <v>Volatility Spread at IF-TGT/ZSL (%)</v>
      </c>
      <c r="G18" s="108">
        <v>0</v>
      </c>
      <c r="Q18" s="139">
        <v>2</v>
      </c>
      <c r="R18" s="139" t="s">
        <v>117</v>
      </c>
      <c r="S18" s="139">
        <f t="shared" si="0"/>
        <v>5</v>
      </c>
      <c r="T18" s="150">
        <v>36923</v>
      </c>
      <c r="Z18" s="148">
        <f>[7]CurveList!B18</f>
        <v>14</v>
      </c>
      <c r="AA18" s="14" t="str">
        <f>[7]CurveList!C18</f>
        <v>CGPR-OJIBWAY</v>
      </c>
      <c r="AB18" s="149" t="str">
        <f>[7]CurveList!D18</f>
        <v>CGPR-Ojibway</v>
      </c>
      <c r="AD18" s="148">
        <f>[7]CurveList!F18</f>
        <v>14</v>
      </c>
      <c r="AE18" s="14">
        <f>[7]CurveList!G18</f>
        <v>0</v>
      </c>
      <c r="AF18" s="149">
        <f>[7]CurveList!H18</f>
        <v>0</v>
      </c>
    </row>
    <row r="19" spans="2:32" ht="20.25" customHeight="1">
      <c r="B19" s="128"/>
      <c r="C19" s="109" t="str">
        <f>"Mthly Vol at " &amp;D15</f>
        <v>Mthly Vol at IF-TGT/ZSL</v>
      </c>
      <c r="D19" s="111" t="str">
        <f>VLOOKUP($V$7,$Z$5:$AB$268,2,FALSE)</f>
        <v>NG</v>
      </c>
      <c r="E19" s="98"/>
      <c r="F19" s="98" t="s">
        <v>94</v>
      </c>
      <c r="G19" s="104">
        <v>0</v>
      </c>
      <c r="S19" s="139">
        <f t="shared" si="0"/>
        <v>6</v>
      </c>
      <c r="T19" s="150">
        <v>36951</v>
      </c>
      <c r="Z19" s="148">
        <f>[7]CurveList!B19</f>
        <v>15</v>
      </c>
      <c r="AA19" s="14" t="str">
        <f>[7]CurveList!C19</f>
        <v>CGPR-STCLAIR</v>
      </c>
      <c r="AB19" s="149" t="str">
        <f>[7]CurveList!D19</f>
        <v>CGPR-St. Clair</v>
      </c>
      <c r="AD19" s="148">
        <f>[7]CurveList!F19</f>
        <v>15</v>
      </c>
      <c r="AE19" s="14">
        <f>[7]CurveList!G19</f>
        <v>0</v>
      </c>
      <c r="AF19" s="149">
        <f>[7]CurveList!H19</f>
        <v>0</v>
      </c>
    </row>
    <row r="20" spans="2:32">
      <c r="B20" s="128"/>
      <c r="C20" s="96"/>
      <c r="D20" s="112"/>
      <c r="E20" s="98"/>
      <c r="F20" s="98" t="s">
        <v>105</v>
      </c>
      <c r="G20" s="104">
        <v>3.1199999999999999E-2</v>
      </c>
      <c r="S20" s="139">
        <f t="shared" si="0"/>
        <v>7</v>
      </c>
      <c r="T20" s="150">
        <v>36982</v>
      </c>
      <c r="Z20" s="148">
        <f>[7]CurveList!B20</f>
        <v>16</v>
      </c>
      <c r="AA20" s="14" t="str">
        <f>[7]CurveList!C20</f>
        <v>NAT/FUEL/LEIDY</v>
      </c>
      <c r="AB20" s="149" t="str">
        <f>[7]CurveList!D20</f>
        <v>CNG LEIDY</v>
      </c>
      <c r="AD20" s="148">
        <f>[7]CurveList!F20</f>
        <v>16</v>
      </c>
      <c r="AE20" s="14">
        <f>[7]CurveList!G20</f>
        <v>0</v>
      </c>
      <c r="AF20" s="149">
        <f>[7]CurveList!H20</f>
        <v>0</v>
      </c>
    </row>
    <row r="21" spans="2:32">
      <c r="B21" s="128"/>
      <c r="C21" s="96"/>
      <c r="D21" s="112"/>
      <c r="E21" s="98"/>
      <c r="F21" s="98" t="s">
        <v>124</v>
      </c>
      <c r="G21" s="108">
        <v>2.9600000000000001E-2</v>
      </c>
      <c r="S21" s="139">
        <f t="shared" si="0"/>
        <v>8</v>
      </c>
      <c r="T21" s="150">
        <v>37012</v>
      </c>
      <c r="Z21" s="148">
        <f>[7]CurveList!B21</f>
        <v>17</v>
      </c>
      <c r="AA21" s="14" t="str">
        <f>[7]CurveList!C21</f>
        <v>C2CN</v>
      </c>
      <c r="AB21" s="149" t="str">
        <f>[7]CurveList!D21</f>
        <v>Conway Ethane</v>
      </c>
      <c r="AD21" s="148">
        <f>[7]CurveList!F21</f>
        <v>17</v>
      </c>
      <c r="AE21" s="14">
        <f>[7]CurveList!G21</f>
        <v>0</v>
      </c>
      <c r="AF21" s="149">
        <f>[7]CurveList!H21</f>
        <v>0</v>
      </c>
    </row>
    <row r="22" spans="2:32" ht="15" customHeight="1" thickBot="1">
      <c r="B22" s="128"/>
      <c r="C22" s="113" t="s">
        <v>86</v>
      </c>
      <c r="D22" s="114">
        <v>0.99</v>
      </c>
      <c r="E22" s="115"/>
      <c r="F22" s="115" t="s">
        <v>123</v>
      </c>
      <c r="G22" s="116">
        <v>3.27E-2</v>
      </c>
      <c r="S22" s="139">
        <f t="shared" si="0"/>
        <v>9</v>
      </c>
      <c r="T22" s="150">
        <v>37043</v>
      </c>
      <c r="Z22" s="148">
        <f>[7]CurveList!B22</f>
        <v>18</v>
      </c>
      <c r="AA22" s="14" t="str">
        <f>[7]CurveList!C22</f>
        <v>IBCN</v>
      </c>
      <c r="AB22" s="149" t="str">
        <f>[7]CurveList!D22</f>
        <v>Conway Iso-Butane</v>
      </c>
      <c r="AD22" s="148">
        <f>[7]CurveList!F22</f>
        <v>18</v>
      </c>
      <c r="AE22" s="14">
        <f>[7]CurveList!G22</f>
        <v>0</v>
      </c>
      <c r="AF22" s="149">
        <f>[7]CurveList!H22</f>
        <v>0</v>
      </c>
    </row>
    <row r="23" spans="2:32">
      <c r="B23" s="128"/>
      <c r="C23" s="129"/>
      <c r="D23" s="129"/>
      <c r="E23" s="129"/>
      <c r="F23" s="129"/>
      <c r="G23" s="130"/>
      <c r="S23" s="139">
        <f t="shared" si="0"/>
        <v>10</v>
      </c>
      <c r="T23" s="150">
        <v>37073</v>
      </c>
      <c r="Z23" s="148">
        <f>[7]CurveList!B23</f>
        <v>19</v>
      </c>
      <c r="AA23" s="14" t="str">
        <f>[7]CurveList!C23</f>
        <v>C5CN</v>
      </c>
      <c r="AB23" s="149" t="str">
        <f>[7]CurveList!D23</f>
        <v>Conway Nat Gasoline</v>
      </c>
      <c r="AD23" s="148">
        <f>[7]CurveList!F23</f>
        <v>19</v>
      </c>
      <c r="AE23" s="14">
        <f>[7]CurveList!G23</f>
        <v>0</v>
      </c>
      <c r="AF23" s="149">
        <f>[7]CurveList!H23</f>
        <v>0</v>
      </c>
    </row>
    <row r="24" spans="2:32" ht="17.25" customHeight="1" thickBot="1">
      <c r="B24" s="128"/>
      <c r="C24" s="129"/>
      <c r="D24" s="129"/>
      <c r="E24" s="129"/>
      <c r="F24" s="129"/>
      <c r="G24" s="130"/>
      <c r="S24" s="139">
        <f t="shared" si="0"/>
        <v>11</v>
      </c>
      <c r="T24" s="150">
        <v>37104</v>
      </c>
      <c r="Z24" s="148">
        <f>[7]CurveList!B24</f>
        <v>20</v>
      </c>
      <c r="AA24" s="14" t="str">
        <f>[7]CurveList!C24</f>
        <v>NBCN</v>
      </c>
      <c r="AB24" s="149" t="str">
        <f>[7]CurveList!D24</f>
        <v>Conway N-Butane</v>
      </c>
      <c r="AD24" s="151">
        <f>[7]CurveList!F24</f>
        <v>20</v>
      </c>
      <c r="AE24" s="152">
        <f>[7]CurveList!G24</f>
        <v>0</v>
      </c>
      <c r="AF24" s="153">
        <f>[7]CurveList!H24</f>
        <v>0</v>
      </c>
    </row>
    <row r="25" spans="2:32" ht="20.25">
      <c r="B25" s="131" t="s">
        <v>71</v>
      </c>
      <c r="C25" s="129"/>
      <c r="D25" s="129"/>
      <c r="E25" s="129"/>
      <c r="F25" s="129"/>
      <c r="G25" s="130"/>
      <c r="S25" s="139">
        <f t="shared" si="0"/>
        <v>12</v>
      </c>
      <c r="T25" s="150">
        <v>37135</v>
      </c>
      <c r="Z25" s="148">
        <f>[7]CurveList!B25</f>
        <v>21</v>
      </c>
      <c r="AA25" s="14" t="str">
        <f>[7]CurveList!C25</f>
        <v>C3CN</v>
      </c>
      <c r="AB25" s="149" t="str">
        <f>[7]CurveList!D25</f>
        <v>Conway Propane</v>
      </c>
      <c r="AD25" s="154"/>
      <c r="AE25" s="154"/>
    </row>
    <row r="26" spans="2:32">
      <c r="B26" s="128"/>
      <c r="C26" s="117" t="s">
        <v>98</v>
      </c>
      <c r="D26" s="118">
        <f ca="1">'ANR OK vs ML7'!AL8</f>
        <v>0.15750419879514063</v>
      </c>
      <c r="E26" s="119"/>
      <c r="F26" s="119" t="s">
        <v>101</v>
      </c>
      <c r="G26" s="133">
        <f ca="1">'ANR OK vs ML7'!AW8</f>
        <v>31261433.376859512</v>
      </c>
      <c r="S26" s="139">
        <f t="shared" si="0"/>
        <v>13</v>
      </c>
      <c r="T26" s="150">
        <v>37165</v>
      </c>
      <c r="Z26" s="148">
        <f>[7]CurveList!B26</f>
        <v>22</v>
      </c>
      <c r="AA26" s="14" t="str">
        <f>[7]CurveList!C26</f>
        <v>DJ/BASIN/CIG</v>
      </c>
      <c r="AB26" s="149" t="str">
        <f>[7]CurveList!D26</f>
        <v xml:space="preserve">DJ BASIN </v>
      </c>
      <c r="AD26" s="154"/>
      <c r="AE26" s="154"/>
    </row>
    <row r="27" spans="2:32">
      <c r="B27" s="128"/>
      <c r="C27" s="120" t="s">
        <v>103</v>
      </c>
      <c r="D27" s="121">
        <f ca="1">'ANR OK vs ML7'!AM8</f>
        <v>0.14231534375180202</v>
      </c>
      <c r="E27" s="107"/>
      <c r="F27" s="107" t="s">
        <v>99</v>
      </c>
      <c r="G27" s="134">
        <f>'ANR OK vs ML7'!AX8</f>
        <v>29257086.369390525</v>
      </c>
      <c r="S27" s="139">
        <f t="shared" si="0"/>
        <v>14</v>
      </c>
      <c r="T27" s="150">
        <v>37196</v>
      </c>
      <c r="Z27" s="148">
        <f>[7]CurveList!B27</f>
        <v>23</v>
      </c>
      <c r="AA27" s="14" t="str">
        <f>[7]CurveList!C27</f>
        <v>IF-FGT/MKTAREA</v>
      </c>
      <c r="AB27" s="149" t="str">
        <f>[7]CurveList!D27</f>
        <v>FGT City Gate</v>
      </c>
      <c r="AD27" s="154"/>
      <c r="AE27" s="154"/>
    </row>
    <row r="28" spans="2:32">
      <c r="B28" s="128"/>
      <c r="C28" s="120" t="s">
        <v>104</v>
      </c>
      <c r="D28" s="121">
        <f ca="1">'ANR OK vs ML7'!AN8</f>
        <v>1.0098483512036389E-2</v>
      </c>
      <c r="E28" s="107"/>
      <c r="F28" s="107" t="s">
        <v>100</v>
      </c>
      <c r="G28" s="134">
        <f ca="1">'ANR OK vs ML7'!AY8</f>
        <v>2004347.0074689824</v>
      </c>
      <c r="S28" s="139">
        <f t="shared" si="0"/>
        <v>15</v>
      </c>
      <c r="T28" s="150">
        <v>37226</v>
      </c>
      <c r="Z28" s="148">
        <f>[7]CurveList!B28</f>
        <v>24</v>
      </c>
      <c r="AA28" s="14" t="str">
        <f>[7]CurveList!C28</f>
        <v>IF-FGT/MKTAREA</v>
      </c>
      <c r="AB28" s="149" t="str">
        <f>[7]CurveList!D28</f>
        <v>FGT Market Area Transport Cost</v>
      </c>
      <c r="AD28" s="154"/>
      <c r="AE28" s="154"/>
    </row>
    <row r="29" spans="2:32">
      <c r="B29" s="128"/>
      <c r="C29" s="120" t="s">
        <v>109</v>
      </c>
      <c r="D29" s="122">
        <f ca="1">'ANR OK vs ML7'!F8</f>
        <v>109899631.8676282</v>
      </c>
      <c r="E29" s="107"/>
      <c r="F29" s="107" t="s">
        <v>126</v>
      </c>
      <c r="G29" s="134">
        <f ca="1">'ANR OK vs ML7'!BA8</f>
        <v>0</v>
      </c>
      <c r="S29" s="139">
        <f t="shared" si="0"/>
        <v>16</v>
      </c>
      <c r="T29" s="150">
        <v>37257</v>
      </c>
      <c r="Z29" s="148">
        <f>[7]CurveList!B29</f>
        <v>25</v>
      </c>
      <c r="AA29" s="14" t="str">
        <f>[7]CurveList!C29</f>
        <v>IF-AGUA DULCE</v>
      </c>
      <c r="AB29" s="149" t="str">
        <f>[7]CurveList!D29</f>
        <v>IF Agua Dulce</v>
      </c>
      <c r="AD29" s="154"/>
      <c r="AE29" s="154"/>
    </row>
    <row r="30" spans="2:32">
      <c r="B30" s="128"/>
      <c r="C30" s="123" t="s">
        <v>108</v>
      </c>
      <c r="D30" s="124">
        <f>'ANR OK vs ML7'!E8</f>
        <v>198480000</v>
      </c>
      <c r="E30" s="125"/>
      <c r="F30" s="125" t="s">
        <v>110</v>
      </c>
      <c r="G30" s="135">
        <f ca="1">G26-G29</f>
        <v>31261433.376859512</v>
      </c>
      <c r="S30" s="139">
        <f t="shared" si="0"/>
        <v>17</v>
      </c>
      <c r="T30" s="150">
        <v>37288</v>
      </c>
      <c r="Z30" s="148">
        <f>[7]CurveList!B30</f>
        <v>26</v>
      </c>
      <c r="AA30" s="14" t="str">
        <f>[7]CurveList!C30</f>
        <v>IF-ANR/LA</v>
      </c>
      <c r="AB30" s="149" t="str">
        <f>[7]CurveList!D30</f>
        <v>IF ANR Louisiana</v>
      </c>
      <c r="AD30" s="154"/>
      <c r="AE30" s="154"/>
    </row>
    <row r="31" spans="2:32">
      <c r="B31" s="128"/>
      <c r="C31" s="129"/>
      <c r="D31" s="129"/>
      <c r="E31" s="129"/>
      <c r="F31" s="129"/>
      <c r="G31" s="130"/>
      <c r="S31" s="139">
        <f t="shared" si="0"/>
        <v>18</v>
      </c>
      <c r="T31" s="150">
        <v>37316</v>
      </c>
      <c r="Z31" s="148">
        <f>[7]CurveList!B31</f>
        <v>27</v>
      </c>
      <c r="AA31" s="14" t="str">
        <f>[7]CurveList!C31</f>
        <v>IF-ANR/LA_ONSHO</v>
      </c>
      <c r="AB31" s="149" t="str">
        <f>[7]CurveList!D31</f>
        <v>IF ANR Onshore</v>
      </c>
      <c r="AD31" s="154"/>
      <c r="AE31" s="154"/>
    </row>
    <row r="32" spans="2:32">
      <c r="B32" s="128"/>
      <c r="C32" s="129"/>
      <c r="D32" s="129"/>
      <c r="E32" s="129"/>
      <c r="F32" s="129"/>
      <c r="G32" s="130"/>
      <c r="S32" s="139">
        <f t="shared" si="0"/>
        <v>19</v>
      </c>
      <c r="T32" s="150">
        <v>37347</v>
      </c>
      <c r="Z32" s="148">
        <f>[7]CurveList!B32</f>
        <v>28</v>
      </c>
      <c r="AA32" s="14" t="str">
        <f>[7]CurveList!C32</f>
        <v>IF-ANR/OK</v>
      </c>
      <c r="AB32" s="149" t="str">
        <f>[7]CurveList!D32</f>
        <v>IF ANR Oklahoma</v>
      </c>
      <c r="AD32" s="154"/>
      <c r="AE32" s="154"/>
    </row>
    <row r="33" spans="2:31">
      <c r="B33" s="128"/>
      <c r="C33" s="129"/>
      <c r="D33" s="129"/>
      <c r="E33" s="129"/>
      <c r="F33" s="129"/>
      <c r="G33" s="130"/>
      <c r="S33" s="139">
        <f t="shared" si="0"/>
        <v>20</v>
      </c>
      <c r="T33" s="150">
        <v>37377</v>
      </c>
      <c r="Z33" s="148">
        <f>[7]CurveList!B33</f>
        <v>29</v>
      </c>
      <c r="AA33" s="14" t="str">
        <f>[7]CurveList!C33</f>
        <v>IF-ARKLA/ARK-OK</v>
      </c>
      <c r="AB33" s="149" t="str">
        <f>[7]CurveList!D33</f>
        <v>IF Arkla/Ark,OK-50%</v>
      </c>
      <c r="AD33" s="154"/>
      <c r="AE33" s="154"/>
    </row>
    <row r="34" spans="2:31">
      <c r="B34" s="128"/>
      <c r="C34" s="129"/>
      <c r="D34" s="129"/>
      <c r="E34" s="129"/>
      <c r="F34" s="129"/>
      <c r="G34" s="130"/>
      <c r="S34" s="139">
        <f t="shared" si="0"/>
        <v>21</v>
      </c>
      <c r="T34" s="150">
        <v>37408</v>
      </c>
      <c r="Z34" s="148">
        <f>[7]CurveList!B34</f>
        <v>30</v>
      </c>
      <c r="AA34" s="14" t="str">
        <f>[7]CurveList!C34</f>
        <v>IF-CARTHAGE</v>
      </c>
      <c r="AB34" s="149" t="str">
        <f>[7]CurveList!D34</f>
        <v>IF Carthage</v>
      </c>
      <c r="AD34" s="154"/>
      <c r="AE34" s="154"/>
    </row>
    <row r="35" spans="2:31">
      <c r="B35" s="128"/>
      <c r="C35" s="129"/>
      <c r="D35" s="129"/>
      <c r="E35" s="129"/>
      <c r="F35" s="129"/>
      <c r="G35" s="130"/>
      <c r="S35" s="139">
        <f t="shared" si="0"/>
        <v>22</v>
      </c>
      <c r="T35" s="150">
        <v>37438</v>
      </c>
      <c r="Z35" s="148">
        <f>[7]CurveList!B35</f>
        <v>31</v>
      </c>
      <c r="AA35" s="14" t="str">
        <f>[7]CurveList!C35</f>
        <v>IF-CIG/RKYMTN</v>
      </c>
      <c r="AB35" s="149" t="str">
        <f>[7]CurveList!D35</f>
        <v>IF CIG Rocky Mountains</v>
      </c>
      <c r="AD35" s="154"/>
      <c r="AE35" s="154"/>
    </row>
    <row r="36" spans="2:31">
      <c r="B36" s="128"/>
      <c r="C36" s="129"/>
      <c r="D36" s="129"/>
      <c r="E36" s="129"/>
      <c r="F36" s="129"/>
      <c r="G36" s="130"/>
      <c r="S36" s="139">
        <f t="shared" si="0"/>
        <v>23</v>
      </c>
      <c r="T36" s="150">
        <v>37469</v>
      </c>
      <c r="Z36" s="148">
        <f>[7]CurveList!B36</f>
        <v>32</v>
      </c>
      <c r="AA36" s="14" t="str">
        <f>[7]CurveList!C36</f>
        <v>IF-CIG/WINDRVR</v>
      </c>
      <c r="AB36" s="149" t="str">
        <f>[7]CurveList!D36</f>
        <v>IF CIG Wind River</v>
      </c>
      <c r="AD36" s="154"/>
      <c r="AE36" s="154"/>
    </row>
    <row r="37" spans="2:31">
      <c r="B37" s="128"/>
      <c r="C37" s="129"/>
      <c r="D37" s="129"/>
      <c r="E37" s="129"/>
      <c r="F37" s="129"/>
      <c r="G37" s="130"/>
      <c r="S37" s="139">
        <f t="shared" si="0"/>
        <v>24</v>
      </c>
      <c r="T37" s="150">
        <v>37500</v>
      </c>
      <c r="Z37" s="148">
        <f>[7]CurveList!B37</f>
        <v>33</v>
      </c>
      <c r="AA37" s="14" t="str">
        <f>[7]CurveList!C37</f>
        <v>IF-CNG/APPALACH</v>
      </c>
      <c r="AB37" s="149" t="str">
        <f>[7]CurveList!D37</f>
        <v>IF CNG Appalachia</v>
      </c>
      <c r="AD37" s="154"/>
      <c r="AE37" s="154"/>
    </row>
    <row r="38" spans="2:31">
      <c r="B38" s="128"/>
      <c r="C38" s="129"/>
      <c r="D38" s="129"/>
      <c r="E38" s="129"/>
      <c r="F38" s="129"/>
      <c r="G38" s="130"/>
      <c r="S38" s="139">
        <f t="shared" si="0"/>
        <v>25</v>
      </c>
      <c r="T38" s="150">
        <v>37530</v>
      </c>
      <c r="Z38" s="148">
        <f>[7]CurveList!B38</f>
        <v>34</v>
      </c>
      <c r="AA38" s="14" t="str">
        <f>[7]CurveList!C38</f>
        <v>IF-CGT/APPALAC</v>
      </c>
      <c r="AB38" s="149" t="str">
        <f>[7]CurveList!D38</f>
        <v>IF Columbia Gas Appalachia</v>
      </c>
      <c r="AD38" s="154"/>
      <c r="AE38" s="154"/>
    </row>
    <row r="39" spans="2:31">
      <c r="B39" s="128"/>
      <c r="C39" s="129"/>
      <c r="D39" s="129"/>
      <c r="E39" s="129"/>
      <c r="F39" s="129"/>
      <c r="G39" s="130"/>
      <c r="S39" s="139">
        <f t="shared" si="0"/>
        <v>26</v>
      </c>
      <c r="T39" s="150">
        <v>37561</v>
      </c>
      <c r="Z39" s="148">
        <f>[7]CurveList!B39</f>
        <v>35</v>
      </c>
      <c r="AA39" s="14" t="str">
        <f>[7]CurveList!C39</f>
        <v>IF-CGT/CITYGATE</v>
      </c>
      <c r="AB39" s="149" t="str">
        <f>[7]CurveList!D39</f>
        <v>IF Columbia Gas City Gate</v>
      </c>
      <c r="AD39" s="154"/>
      <c r="AE39" s="154"/>
    </row>
    <row r="40" spans="2:31">
      <c r="B40" s="128"/>
      <c r="C40" s="129"/>
      <c r="D40" s="129"/>
      <c r="E40" s="129"/>
      <c r="F40" s="129"/>
      <c r="G40" s="130"/>
      <c r="S40" s="139">
        <f t="shared" si="0"/>
        <v>27</v>
      </c>
      <c r="T40" s="150">
        <v>37591</v>
      </c>
      <c r="Z40" s="148">
        <f>[7]CurveList!B40</f>
        <v>36</v>
      </c>
      <c r="AA40" s="14" t="str">
        <f>[7]CurveList!C40</f>
        <v>IF-COLGULF/LA</v>
      </c>
      <c r="AB40" s="149" t="str">
        <f>[7]CurveList!D40</f>
        <v>IF Columbia Gulf Louisiana</v>
      </c>
      <c r="AD40" s="154"/>
      <c r="AE40" s="154"/>
    </row>
    <row r="41" spans="2:31">
      <c r="B41" s="128"/>
      <c r="C41" s="129"/>
      <c r="D41" s="129"/>
      <c r="E41" s="129"/>
      <c r="F41" s="129"/>
      <c r="G41" s="130"/>
      <c r="S41" s="139">
        <f t="shared" si="0"/>
        <v>28</v>
      </c>
      <c r="T41" s="150">
        <v>37622</v>
      </c>
      <c r="Z41" s="148">
        <f>[7]CurveList!B41</f>
        <v>37</v>
      </c>
      <c r="AA41" s="14" t="str">
        <f>[7]CurveList!C41</f>
        <v>IF-COLGUL/RAYNE</v>
      </c>
      <c r="AB41" s="149" t="str">
        <f>[7]CurveList!D41</f>
        <v>IF Columbia Gulf Rayne</v>
      </c>
      <c r="AD41" s="154"/>
      <c r="AE41" s="154"/>
    </row>
    <row r="42" spans="2:31">
      <c r="B42" s="128"/>
      <c r="C42" s="129"/>
      <c r="D42" s="129"/>
      <c r="E42" s="129"/>
      <c r="F42" s="129"/>
      <c r="G42" s="130"/>
      <c r="S42" s="139">
        <f t="shared" si="0"/>
        <v>29</v>
      </c>
      <c r="T42" s="150">
        <v>37653</v>
      </c>
      <c r="Z42" s="148">
        <f>[7]CurveList!B42</f>
        <v>38</v>
      </c>
      <c r="AA42" s="14" t="str">
        <f>[7]CurveList!C42</f>
        <v>IF/ELPO/ANADARK</v>
      </c>
      <c r="AB42" s="149" t="str">
        <f>[7]CurveList!D42</f>
        <v>IF EL Paso Anadarko</v>
      </c>
      <c r="AD42" s="154"/>
      <c r="AE42" s="154"/>
    </row>
    <row r="43" spans="2:31">
      <c r="B43" s="128"/>
      <c r="C43" s="129"/>
      <c r="D43" s="129"/>
      <c r="E43" s="129"/>
      <c r="F43" s="129"/>
      <c r="G43" s="130"/>
      <c r="S43" s="139">
        <f t="shared" si="0"/>
        <v>30</v>
      </c>
      <c r="T43" s="150">
        <v>37681</v>
      </c>
      <c r="Z43" s="148">
        <f>[7]CurveList!B43</f>
        <v>39</v>
      </c>
      <c r="AA43" s="14" t="str">
        <f>[7]CurveList!C43</f>
        <v>IF-ELPO/PERMIAN</v>
      </c>
      <c r="AB43" s="149" t="str">
        <f>[7]CurveList!D43</f>
        <v>IF EL Paso Permian</v>
      </c>
      <c r="AD43" s="154"/>
      <c r="AE43" s="154"/>
    </row>
    <row r="44" spans="2:31">
      <c r="B44" s="128"/>
      <c r="C44" s="129"/>
      <c r="D44" s="129"/>
      <c r="E44" s="129"/>
      <c r="F44" s="129"/>
      <c r="G44" s="130"/>
      <c r="S44" s="139">
        <f t="shared" si="0"/>
        <v>31</v>
      </c>
      <c r="T44" s="150">
        <v>37712</v>
      </c>
      <c r="Z44" s="148">
        <f>[7]CurveList!B44</f>
        <v>40</v>
      </c>
      <c r="AA44" s="14" t="str">
        <f>[7]CurveList!C44</f>
        <v>IF-ELPO/SJ</v>
      </c>
      <c r="AB44" s="149" t="str">
        <f>[7]CurveList!D44</f>
        <v>IF EL Paso San Juan</v>
      </c>
      <c r="AD44" s="154"/>
      <c r="AE44" s="154"/>
    </row>
    <row r="45" spans="2:31">
      <c r="B45" s="128"/>
      <c r="C45" s="129"/>
      <c r="D45" s="129"/>
      <c r="E45" s="129"/>
      <c r="F45" s="129"/>
      <c r="G45" s="130"/>
      <c r="S45" s="139">
        <f t="shared" si="0"/>
        <v>32</v>
      </c>
      <c r="T45" s="150">
        <v>37742</v>
      </c>
      <c r="Z45" s="148">
        <f>[7]CurveList!B45</f>
        <v>41</v>
      </c>
      <c r="AA45" s="14" t="str">
        <f>[7]CurveList!C45</f>
        <v>IF-FGT/Z1</v>
      </c>
      <c r="AB45" s="149" t="str">
        <f>[7]CurveList!D45</f>
        <v>IF FGT Zone 1</v>
      </c>
      <c r="AD45" s="154"/>
      <c r="AE45" s="154"/>
    </row>
    <row r="46" spans="2:31">
      <c r="B46" s="128"/>
      <c r="C46" s="129"/>
      <c r="D46" s="129"/>
      <c r="E46" s="129"/>
      <c r="F46" s="129"/>
      <c r="G46" s="130"/>
      <c r="S46" s="139">
        <f t="shared" si="0"/>
        <v>33</v>
      </c>
      <c r="T46" s="150">
        <v>37773</v>
      </c>
      <c r="Z46" s="148">
        <f>[7]CurveList!B46</f>
        <v>42</v>
      </c>
      <c r="AA46" s="14" t="str">
        <f>[7]CurveList!C46</f>
        <v>IF-FGT/Z2</v>
      </c>
      <c r="AB46" s="149" t="str">
        <f>[7]CurveList!D46</f>
        <v>IF FGT Zone 2</v>
      </c>
      <c r="AD46" s="154"/>
      <c r="AE46" s="154"/>
    </row>
    <row r="47" spans="2:31">
      <c r="B47" s="128"/>
      <c r="C47" s="129"/>
      <c r="D47" s="129"/>
      <c r="E47" s="129"/>
      <c r="F47" s="129"/>
      <c r="G47" s="130"/>
      <c r="S47" s="139">
        <f t="shared" si="0"/>
        <v>34</v>
      </c>
      <c r="T47" s="150">
        <v>37803</v>
      </c>
      <c r="Z47" s="148">
        <f>[7]CurveList!B47</f>
        <v>43</v>
      </c>
      <c r="AA47" s="14" t="str">
        <f>[7]CurveList!C47</f>
        <v>IF-FGT/Z3</v>
      </c>
      <c r="AB47" s="149" t="str">
        <f>[7]CurveList!D47</f>
        <v>IF FGT Zone 3</v>
      </c>
      <c r="AD47" s="154"/>
      <c r="AE47" s="154"/>
    </row>
    <row r="48" spans="2:31">
      <c r="B48" s="128"/>
      <c r="C48" s="129"/>
      <c r="D48" s="129"/>
      <c r="E48" s="129"/>
      <c r="F48" s="129"/>
      <c r="G48" s="130"/>
      <c r="S48" s="139">
        <f t="shared" si="0"/>
        <v>35</v>
      </c>
      <c r="T48" s="150">
        <v>37834</v>
      </c>
      <c r="Z48" s="148">
        <f>[7]CurveList!B48</f>
        <v>44</v>
      </c>
      <c r="AA48" s="14" t="str">
        <f>[7]CurveList!C48</f>
        <v>IF-HEHUB</v>
      </c>
      <c r="AB48" s="149" t="str">
        <f>[7]CurveList!D48</f>
        <v>IF Henry Hub</v>
      </c>
      <c r="AD48" s="154"/>
      <c r="AE48" s="154"/>
    </row>
    <row r="49" spans="2:31">
      <c r="B49" s="128"/>
      <c r="C49" s="129"/>
      <c r="D49" s="129"/>
      <c r="E49" s="129"/>
      <c r="F49" s="129"/>
      <c r="G49" s="130"/>
      <c r="S49" s="139">
        <f t="shared" si="0"/>
        <v>36</v>
      </c>
      <c r="T49" s="150">
        <v>37865</v>
      </c>
      <c r="Z49" s="148">
        <f>[7]CurveList!B49</f>
        <v>45</v>
      </c>
      <c r="AA49" s="14" t="str">
        <f>[7]CurveList!C49</f>
        <v>IF-HPL/SHPCHAN</v>
      </c>
      <c r="AB49" s="149" t="str">
        <f>[7]CurveList!D49</f>
        <v>IF HPL Ship Channel</v>
      </c>
      <c r="AD49" s="154"/>
      <c r="AE49" s="154"/>
    </row>
    <row r="50" spans="2:31" ht="13.5" thickBot="1">
      <c r="B50" s="136"/>
      <c r="C50" s="137"/>
      <c r="D50" s="137"/>
      <c r="E50" s="137"/>
      <c r="F50" s="137"/>
      <c r="G50" s="138"/>
      <c r="S50" s="139">
        <f t="shared" si="0"/>
        <v>37</v>
      </c>
      <c r="T50" s="150">
        <v>37895</v>
      </c>
      <c r="Z50" s="148">
        <f>[7]CurveList!B50</f>
        <v>46</v>
      </c>
      <c r="AA50" s="14" t="str">
        <f>[7]CurveList!C50</f>
        <v>IF-KATY</v>
      </c>
      <c r="AB50" s="149" t="str">
        <f>[7]CurveList!D50</f>
        <v>IF KATY Hub East Texas</v>
      </c>
      <c r="AD50" s="154"/>
      <c r="AE50" s="154"/>
    </row>
    <row r="51" spans="2:31">
      <c r="B51" s="91"/>
      <c r="C51" s="91"/>
      <c r="D51" s="91"/>
      <c r="E51" s="91"/>
      <c r="F51" s="91"/>
      <c r="G51" s="91"/>
      <c r="S51" s="139">
        <f t="shared" si="0"/>
        <v>38</v>
      </c>
      <c r="T51" s="150">
        <v>37926</v>
      </c>
      <c r="Z51" s="148">
        <f>[7]CurveList!B51</f>
        <v>47</v>
      </c>
      <c r="AA51" s="14" t="str">
        <f>[7]CurveList!C51</f>
        <v>IF-KERN/RIVER</v>
      </c>
      <c r="AB51" s="149" t="str">
        <f>[7]CurveList!D51</f>
        <v>IF Kern River Wyoming</v>
      </c>
      <c r="AD51" s="154"/>
      <c r="AE51" s="154"/>
    </row>
    <row r="52" spans="2:31">
      <c r="B52" s="91"/>
      <c r="C52" s="91"/>
      <c r="D52" s="91"/>
      <c r="E52" s="91"/>
      <c r="F52" s="91"/>
      <c r="G52" s="91"/>
      <c r="S52" s="139">
        <f t="shared" si="0"/>
        <v>39</v>
      </c>
      <c r="T52" s="150">
        <v>37956</v>
      </c>
      <c r="Z52" s="148">
        <f>[7]CurveList!B52</f>
        <v>48</v>
      </c>
      <c r="AA52" s="14" t="str">
        <f>[7]CurveList!C52</f>
        <v>IF-KOCH/LA</v>
      </c>
      <c r="AB52" s="149" t="str">
        <f>[7]CurveList!D52</f>
        <v>IF Koch Louisiana</v>
      </c>
      <c r="AD52" s="154"/>
      <c r="AE52" s="154"/>
    </row>
    <row r="53" spans="2:31">
      <c r="B53" s="91"/>
      <c r="C53" s="91"/>
      <c r="D53" s="91"/>
      <c r="E53" s="91"/>
      <c r="F53" s="91"/>
      <c r="G53" s="91"/>
      <c r="S53" s="139">
        <f t="shared" si="0"/>
        <v>40</v>
      </c>
      <c r="T53" s="150">
        <v>37987</v>
      </c>
      <c r="Z53" s="148">
        <f>[7]CurveList!B53</f>
        <v>49</v>
      </c>
      <c r="AA53" s="14" t="str">
        <f>[7]CurveList!C53</f>
        <v>IF-KOCH/TX</v>
      </c>
      <c r="AB53" s="149" t="str">
        <f>[7]CurveList!D53</f>
        <v>IF Koch Texas</v>
      </c>
      <c r="AD53" s="154"/>
      <c r="AE53" s="154"/>
    </row>
    <row r="54" spans="2:31">
      <c r="B54" s="91"/>
      <c r="C54" s="91"/>
      <c r="D54" s="91"/>
      <c r="E54" s="91"/>
      <c r="F54" s="91"/>
      <c r="G54" s="91"/>
      <c r="S54" s="139">
        <f t="shared" si="0"/>
        <v>41</v>
      </c>
      <c r="T54" s="150">
        <v>38018</v>
      </c>
      <c r="Z54" s="148">
        <f>[7]CurveList!B54</f>
        <v>50</v>
      </c>
      <c r="AA54" s="14" t="str">
        <f>[7]CurveList!C54</f>
        <v>IF-NGPL/HARPER</v>
      </c>
      <c r="AB54" s="149" t="str">
        <f>[7]CurveList!D54</f>
        <v>IF NGPL Harper</v>
      </c>
      <c r="AD54" s="154"/>
      <c r="AE54" s="154"/>
    </row>
    <row r="55" spans="2:31">
      <c r="B55" s="91"/>
      <c r="C55" s="91"/>
      <c r="D55" s="91"/>
      <c r="E55" s="91"/>
      <c r="F55" s="91"/>
      <c r="G55" s="91"/>
      <c r="S55" s="139">
        <f t="shared" si="0"/>
        <v>42</v>
      </c>
      <c r="T55" s="150">
        <v>38047</v>
      </c>
      <c r="Z55" s="148">
        <f>[7]CurveList!B55</f>
        <v>51</v>
      </c>
      <c r="AA55" s="14" t="str">
        <f>[7]CurveList!C55</f>
        <v>IF-NGPL/LA</v>
      </c>
      <c r="AB55" s="149" t="str">
        <f>[7]CurveList!D55</f>
        <v>IF NGPL Louisiana</v>
      </c>
      <c r="AD55" s="154"/>
      <c r="AE55" s="154"/>
    </row>
    <row r="56" spans="2:31">
      <c r="B56" s="91"/>
      <c r="C56" s="91"/>
      <c r="D56" s="91"/>
      <c r="E56" s="91"/>
      <c r="F56" s="91"/>
      <c r="G56" s="91"/>
      <c r="S56" s="139">
        <f t="shared" si="0"/>
        <v>43</v>
      </c>
      <c r="T56" s="150">
        <v>38078</v>
      </c>
      <c r="Z56" s="148">
        <f>[7]CurveList!B56</f>
        <v>52</v>
      </c>
      <c r="AA56" s="14" t="str">
        <f>[7]CurveList!C56</f>
        <v>IF-NGPL/MIDCON</v>
      </c>
      <c r="AB56" s="149" t="str">
        <f>[7]CurveList!D56</f>
        <v>IF NGPL Mid Continent</v>
      </c>
      <c r="AD56" s="155"/>
      <c r="AE56" s="154"/>
    </row>
    <row r="57" spans="2:31">
      <c r="B57" s="91"/>
      <c r="C57" s="91"/>
      <c r="D57" s="91"/>
      <c r="E57" s="91"/>
      <c r="F57" s="91"/>
      <c r="G57" s="91"/>
      <c r="S57" s="139">
        <f t="shared" si="0"/>
        <v>44</v>
      </c>
      <c r="T57" s="150">
        <v>38108</v>
      </c>
      <c r="Z57" s="148">
        <f>[7]CurveList!B57</f>
        <v>53</v>
      </c>
      <c r="AA57" s="14" t="str">
        <f>[7]CurveList!C57</f>
        <v>IF-NGPL/OK-NW</v>
      </c>
      <c r="AB57" s="149" t="str">
        <f>[7]CurveList!D57</f>
        <v>IF NGPL OK NW ( GAGE)</v>
      </c>
      <c r="AD57" s="155"/>
      <c r="AE57" s="154"/>
    </row>
    <row r="58" spans="2:31">
      <c r="B58" s="91"/>
      <c r="C58" s="91"/>
      <c r="D58" s="91"/>
      <c r="E58" s="91"/>
      <c r="F58" s="91"/>
      <c r="G58" s="91"/>
      <c r="S58" s="139">
        <f t="shared" si="0"/>
        <v>45</v>
      </c>
      <c r="T58" s="150">
        <v>38139</v>
      </c>
      <c r="Z58" s="148">
        <f>[7]CurveList!B58</f>
        <v>54</v>
      </c>
      <c r="AA58" s="14" t="str">
        <f>[7]CurveList!C58</f>
        <v>IF-NGPL/TX</v>
      </c>
      <c r="AB58" s="149" t="str">
        <f>[7]CurveList!D58</f>
        <v>IF NGPL South Texas</v>
      </c>
      <c r="AD58" s="155"/>
      <c r="AE58" s="154"/>
    </row>
    <row r="59" spans="2:31">
      <c r="B59" s="91"/>
      <c r="C59" s="91"/>
      <c r="D59" s="91"/>
      <c r="E59" s="91"/>
      <c r="F59" s="91"/>
      <c r="G59" s="91"/>
      <c r="S59" s="139">
        <f t="shared" si="0"/>
        <v>46</v>
      </c>
      <c r="T59" s="150">
        <v>38169</v>
      </c>
      <c r="Z59" s="148">
        <f>[7]CurveList!B59</f>
        <v>55</v>
      </c>
      <c r="AA59" s="14" t="str">
        <f>[7]CurveList!C59</f>
        <v>IF-NGPLTXOK</v>
      </c>
      <c r="AB59" s="149" t="str">
        <f>[7]CurveList!D59</f>
        <v>IF NGPL TX-OK</v>
      </c>
      <c r="AD59" s="155"/>
      <c r="AE59" s="154"/>
    </row>
    <row r="60" spans="2:31">
      <c r="B60" s="91"/>
      <c r="C60" s="91"/>
      <c r="D60" s="91"/>
      <c r="E60" s="91"/>
      <c r="F60" s="91"/>
      <c r="G60" s="91"/>
      <c r="S60" s="139">
        <f t="shared" si="0"/>
        <v>47</v>
      </c>
      <c r="T60" s="150">
        <v>38200</v>
      </c>
      <c r="Z60" s="148">
        <f>[7]CurveList!B60</f>
        <v>56</v>
      </c>
      <c r="AA60" s="14" t="str">
        <f>[7]CurveList!C60</f>
        <v>IF-NNG/DEMARCAT</v>
      </c>
      <c r="AB60" s="149" t="str">
        <f>[7]CurveList!D60</f>
        <v>IF NNG Demarcation</v>
      </c>
      <c r="AD60" s="154"/>
      <c r="AE60" s="154"/>
    </row>
    <row r="61" spans="2:31">
      <c r="B61" s="91"/>
      <c r="C61" s="91"/>
      <c r="D61" s="91"/>
      <c r="E61" s="91"/>
      <c r="F61" s="91"/>
      <c r="G61" s="91"/>
      <c r="S61" s="139">
        <f t="shared" si="0"/>
        <v>48</v>
      </c>
      <c r="T61" s="150">
        <v>38231</v>
      </c>
      <c r="Z61" s="148">
        <f>[7]CurveList!B61</f>
        <v>57</v>
      </c>
      <c r="AA61" s="14" t="str">
        <f>[7]CurveList!C61</f>
        <v>IF-NNG/TOK</v>
      </c>
      <c r="AB61" s="149" t="str">
        <f>[7]CurveList!D61</f>
        <v>IF NNG TX-OK-KS</v>
      </c>
      <c r="AD61" s="154"/>
      <c r="AE61" s="154"/>
    </row>
    <row r="62" spans="2:31">
      <c r="B62" s="91"/>
      <c r="C62" s="91"/>
      <c r="D62" s="91"/>
      <c r="E62" s="91"/>
      <c r="F62" s="91"/>
      <c r="G62" s="91"/>
      <c r="S62" s="139">
        <f t="shared" si="0"/>
        <v>49</v>
      </c>
      <c r="T62" s="150">
        <v>38261</v>
      </c>
      <c r="Z62" s="148">
        <f>[7]CurveList!B62</f>
        <v>58</v>
      </c>
      <c r="AA62" s="14" t="str">
        <f>[7]CurveList!C62</f>
        <v>IF-NNG/VENT</v>
      </c>
      <c r="AB62" s="149" t="str">
        <f>[7]CurveList!D62</f>
        <v>IF NNG Ventura</v>
      </c>
      <c r="AD62" s="154"/>
      <c r="AE62" s="154"/>
    </row>
    <row r="63" spans="2:31">
      <c r="B63" s="91"/>
      <c r="C63" s="91"/>
      <c r="D63" s="91"/>
      <c r="E63" s="91"/>
      <c r="F63" s="91"/>
      <c r="G63" s="91"/>
      <c r="S63" s="139">
        <f t="shared" si="0"/>
        <v>50</v>
      </c>
      <c r="T63" s="150">
        <v>38292</v>
      </c>
      <c r="Z63" s="148">
        <f>[7]CurveList!B63</f>
        <v>59</v>
      </c>
      <c r="AA63" s="14" t="str">
        <f>[7]CurveList!C63</f>
        <v>IF-NORAM/EAST</v>
      </c>
      <c r="AB63" s="149" t="str">
        <f>[7]CurveList!D63</f>
        <v>IF NorAm East</v>
      </c>
      <c r="AD63" s="154"/>
      <c r="AE63" s="154"/>
    </row>
    <row r="64" spans="2:31">
      <c r="B64" s="91"/>
      <c r="C64" s="91"/>
      <c r="D64" s="91"/>
      <c r="E64" s="91"/>
      <c r="F64" s="91"/>
      <c r="G64" s="91"/>
      <c r="S64" s="139">
        <f t="shared" si="0"/>
        <v>51</v>
      </c>
      <c r="T64" s="150">
        <v>38322</v>
      </c>
      <c r="Z64" s="148">
        <f>[7]CurveList!B64</f>
        <v>60</v>
      </c>
      <c r="AA64" s="14" t="str">
        <f>[7]CurveList!C64</f>
        <v>IF-NORAM/WEST</v>
      </c>
      <c r="AB64" s="149" t="str">
        <f>[7]CurveList!D64</f>
        <v>IF NorAm West</v>
      </c>
      <c r="AD64" s="154"/>
      <c r="AE64" s="154"/>
    </row>
    <row r="65" spans="2:31">
      <c r="B65" s="91"/>
      <c r="C65" s="91"/>
      <c r="D65" s="91"/>
      <c r="E65" s="91"/>
      <c r="F65" s="91"/>
      <c r="G65" s="91"/>
      <c r="S65" s="139">
        <f t="shared" si="0"/>
        <v>52</v>
      </c>
      <c r="T65" s="150">
        <v>38353</v>
      </c>
      <c r="Z65" s="148">
        <f>[7]CurveList!B65</f>
        <v>61</v>
      </c>
      <c r="AA65" s="14" t="str">
        <f>[7]CurveList!C65</f>
        <v>IF-NTHWST/CANBR</v>
      </c>
      <c r="AB65" s="149" t="str">
        <f>[7]CurveList!D65</f>
        <v>IF NWPL Canadian Border</v>
      </c>
      <c r="AD65" s="154"/>
      <c r="AE65" s="154"/>
    </row>
    <row r="66" spans="2:31">
      <c r="B66" s="91"/>
      <c r="C66" s="91"/>
      <c r="D66" s="91"/>
      <c r="E66" s="91"/>
      <c r="F66" s="91"/>
      <c r="G66" s="91"/>
      <c r="S66" s="139">
        <f t="shared" si="0"/>
        <v>53</v>
      </c>
      <c r="T66" s="150">
        <v>38384</v>
      </c>
      <c r="Z66" s="148">
        <f>[7]CurveList!B66</f>
        <v>62</v>
      </c>
      <c r="AA66" s="14" t="str">
        <f>[7]CurveList!C66</f>
        <v>IF-NWPL_ROCKY_M</v>
      </c>
      <c r="AB66" s="149" t="str">
        <f>[7]CurveList!D66</f>
        <v>IF NWPL Rocky Mountains</v>
      </c>
      <c r="AD66" s="154"/>
      <c r="AE66" s="154"/>
    </row>
    <row r="67" spans="2:31">
      <c r="B67" s="91"/>
      <c r="C67" s="91"/>
      <c r="D67" s="91"/>
      <c r="E67" s="91"/>
      <c r="F67" s="91"/>
      <c r="G67" s="91"/>
      <c r="S67" s="139">
        <f t="shared" si="0"/>
        <v>54</v>
      </c>
      <c r="T67" s="150">
        <v>38412</v>
      </c>
      <c r="Z67" s="148">
        <f>[7]CurveList!B67</f>
        <v>63</v>
      </c>
      <c r="AA67" s="14" t="str">
        <f>[7]CurveList!C67</f>
        <v>IF-ONG/OKLAHOMA</v>
      </c>
      <c r="AB67" s="149" t="str">
        <f>[7]CurveList!D67</f>
        <v>IF ONG Oklahoma</v>
      </c>
      <c r="AD67" s="154"/>
      <c r="AE67" s="154"/>
    </row>
    <row r="68" spans="2:31">
      <c r="B68" s="91"/>
      <c r="C68" s="91"/>
      <c r="D68" s="91"/>
      <c r="E68" s="91"/>
      <c r="F68" s="91"/>
      <c r="G68" s="91"/>
      <c r="S68" s="139">
        <f t="shared" si="0"/>
        <v>55</v>
      </c>
      <c r="T68" s="150">
        <v>38443</v>
      </c>
      <c r="Z68" s="148">
        <f>[7]CurveList!B68</f>
        <v>64</v>
      </c>
      <c r="AA68" s="14" t="str">
        <f>[7]CurveList!C68</f>
        <v>IF-PAN/TX/OK</v>
      </c>
      <c r="AB68" s="149" t="str">
        <f>[7]CurveList!D68</f>
        <v>IF PEPL TX-OK</v>
      </c>
      <c r="AD68" s="154"/>
      <c r="AE68" s="154"/>
    </row>
    <row r="69" spans="2:31">
      <c r="B69" s="91"/>
      <c r="C69" s="91"/>
      <c r="D69" s="91"/>
      <c r="E69" s="91"/>
      <c r="F69" s="91"/>
      <c r="G69" s="91"/>
      <c r="S69" s="139">
        <f t="shared" si="0"/>
        <v>56</v>
      </c>
      <c r="T69" s="150">
        <v>38473</v>
      </c>
      <c r="Z69" s="148">
        <f>[7]CurveList!B69</f>
        <v>65</v>
      </c>
      <c r="AA69" s="14" t="str">
        <f>[7]CurveList!C69</f>
        <v>IF-QUESTAR</v>
      </c>
      <c r="AB69" s="149" t="str">
        <f>[7]CurveList!D69</f>
        <v>IF Questar Rocky Mountains</v>
      </c>
      <c r="AD69" s="154"/>
      <c r="AE69" s="154"/>
    </row>
    <row r="70" spans="2:31">
      <c r="B70" s="91"/>
      <c r="C70" s="91"/>
      <c r="D70" s="91"/>
      <c r="E70" s="91"/>
      <c r="F70" s="91"/>
      <c r="G70" s="91"/>
      <c r="S70" s="139">
        <f t="shared" si="0"/>
        <v>57</v>
      </c>
      <c r="T70" s="150">
        <v>38504</v>
      </c>
      <c r="Z70" s="148">
        <f>[7]CurveList!B70</f>
        <v>66</v>
      </c>
      <c r="AA70" s="14" t="str">
        <f>[7]CurveList!C70</f>
        <v>IF-SONAT/LA</v>
      </c>
      <c r="AB70" s="149" t="str">
        <f>[7]CurveList!D70</f>
        <v>IF Sonat Louisiana</v>
      </c>
      <c r="AD70" s="154"/>
      <c r="AE70" s="154"/>
    </row>
    <row r="71" spans="2:31">
      <c r="B71" s="91"/>
      <c r="C71" s="91"/>
      <c r="D71" s="91"/>
      <c r="E71" s="91"/>
      <c r="F71" s="91"/>
      <c r="G71" s="91"/>
      <c r="S71" s="139">
        <f t="shared" si="0"/>
        <v>58</v>
      </c>
      <c r="T71" s="150">
        <v>38534</v>
      </c>
      <c r="Z71" s="148">
        <f>[7]CurveList!B71</f>
        <v>67</v>
      </c>
      <c r="AA71" s="14" t="str">
        <f>[7]CurveList!C71</f>
        <v>IF-TENN/LA</v>
      </c>
      <c r="AB71" s="149" t="str">
        <f>[7]CurveList!D71</f>
        <v>IF Tenn LA Zone 1 (500 Line)</v>
      </c>
      <c r="AD71" s="154"/>
      <c r="AE71" s="154"/>
    </row>
    <row r="72" spans="2:31">
      <c r="B72" s="91"/>
      <c r="C72" s="91"/>
      <c r="D72" s="91"/>
      <c r="E72" s="91"/>
      <c r="F72" s="91"/>
      <c r="G72" s="91"/>
      <c r="S72" s="139">
        <f t="shared" si="0"/>
        <v>59</v>
      </c>
      <c r="T72" s="150">
        <v>38565</v>
      </c>
      <c r="Z72" s="148">
        <f>[7]CurveList!B72</f>
        <v>68</v>
      </c>
      <c r="AA72" s="14" t="str">
        <f>[7]CurveList!C72</f>
        <v>IF-TENN/LA_OFF</v>
      </c>
      <c r="AB72" s="149" t="str">
        <f>[7]CurveList!D72</f>
        <v>IF Tenn LA Zone 1 (800 Line)</v>
      </c>
      <c r="AD72" s="154"/>
      <c r="AE72" s="154"/>
    </row>
    <row r="73" spans="2:31">
      <c r="B73" s="91"/>
      <c r="C73" s="91"/>
      <c r="D73" s="91"/>
      <c r="E73" s="91"/>
      <c r="F73" s="91"/>
      <c r="G73" s="91"/>
      <c r="S73" s="139">
        <f t="shared" si="0"/>
        <v>60</v>
      </c>
      <c r="T73" s="150">
        <v>38596</v>
      </c>
      <c r="Z73" s="148">
        <f>[7]CurveList!B73</f>
        <v>69</v>
      </c>
      <c r="AA73" s="14" t="str">
        <f>[7]CurveList!C73</f>
        <v>IF-TENN/TX</v>
      </c>
      <c r="AB73" s="149" t="str">
        <f>[7]CurveList!D73</f>
        <v>IF Tenn TX Zone 0 (100 Line)</v>
      </c>
      <c r="AD73" s="154"/>
      <c r="AE73" s="154"/>
    </row>
    <row r="74" spans="2:31">
      <c r="B74" s="91"/>
      <c r="C74" s="91"/>
      <c r="D74" s="91"/>
      <c r="E74" s="91"/>
      <c r="F74" s="91"/>
      <c r="G74" s="91"/>
      <c r="S74" s="139">
        <f t="shared" si="0"/>
        <v>61</v>
      </c>
      <c r="T74" s="150">
        <v>38626</v>
      </c>
      <c r="Z74" s="148">
        <f>[7]CurveList!B74</f>
        <v>70</v>
      </c>
      <c r="AA74" s="14" t="str">
        <f>[7]CurveList!C74</f>
        <v>IF-TETCO/ELA</v>
      </c>
      <c r="AB74" s="149" t="str">
        <f>[7]CurveList!D74</f>
        <v>IF TETCO East Louisiana</v>
      </c>
      <c r="AD74" s="154"/>
      <c r="AE74" s="154"/>
    </row>
    <row r="75" spans="2:31">
      <c r="B75" s="91"/>
      <c r="C75" s="91"/>
      <c r="D75" s="91"/>
      <c r="E75" s="91"/>
      <c r="F75" s="91"/>
      <c r="G75" s="91"/>
      <c r="S75" s="139">
        <f t="shared" si="0"/>
        <v>62</v>
      </c>
      <c r="T75" s="150">
        <v>38657</v>
      </c>
      <c r="Z75" s="148">
        <f>[7]CurveList!B75</f>
        <v>71</v>
      </c>
      <c r="AA75" s="14" t="str">
        <f>[7]CurveList!C75</f>
        <v>IF-TETCO/ETX</v>
      </c>
      <c r="AB75" s="149" t="str">
        <f>[7]CurveList!D75</f>
        <v>IF TETCO East Texas</v>
      </c>
      <c r="AD75" s="154"/>
      <c r="AE75" s="154"/>
    </row>
    <row r="76" spans="2:31">
      <c r="B76" s="91"/>
      <c r="C76" s="91"/>
      <c r="D76" s="91"/>
      <c r="E76" s="91"/>
      <c r="F76" s="91"/>
      <c r="G76" s="91"/>
      <c r="S76" s="139">
        <f t="shared" si="0"/>
        <v>63</v>
      </c>
      <c r="T76" s="150">
        <v>38687</v>
      </c>
      <c r="Z76" s="148">
        <f>[7]CurveList!B76</f>
        <v>72</v>
      </c>
      <c r="AA76" s="14" t="str">
        <f>[7]CurveList!C76</f>
        <v>IF-TETCO/STX</v>
      </c>
      <c r="AB76" s="149" t="str">
        <f>[7]CurveList!D76</f>
        <v>IF TETCO South Texas</v>
      </c>
      <c r="AD76" s="154"/>
      <c r="AE76" s="154"/>
    </row>
    <row r="77" spans="2:31">
      <c r="B77" s="91"/>
      <c r="C77" s="91"/>
      <c r="D77" s="91"/>
      <c r="E77" s="91"/>
      <c r="F77" s="91"/>
      <c r="G77" s="91"/>
      <c r="S77" s="139">
        <f t="shared" si="0"/>
        <v>64</v>
      </c>
      <c r="T77" s="150">
        <v>38718</v>
      </c>
      <c r="Z77" s="148">
        <f>[7]CurveList!B77</f>
        <v>73</v>
      </c>
      <c r="AA77" s="14" t="str">
        <f>[7]CurveList!C77</f>
        <v>IF-TETCO/WLA</v>
      </c>
      <c r="AB77" s="149" t="str">
        <f>[7]CurveList!D77</f>
        <v>IF TETCO West Louisiana</v>
      </c>
      <c r="AD77" s="154"/>
      <c r="AE77" s="154"/>
    </row>
    <row r="78" spans="2:31">
      <c r="B78" s="91"/>
      <c r="C78" s="91"/>
      <c r="D78" s="91"/>
      <c r="E78" s="91"/>
      <c r="F78" s="91"/>
      <c r="G78" s="91"/>
      <c r="S78" s="139">
        <f t="shared" si="0"/>
        <v>65</v>
      </c>
      <c r="T78" s="150">
        <v>38749</v>
      </c>
      <c r="Z78" s="148">
        <f>[7]CurveList!B78</f>
        <v>74</v>
      </c>
      <c r="AA78" s="14" t="str">
        <f>[7]CurveList!C78</f>
        <v>IF-TETCO/M1</v>
      </c>
      <c r="AB78" s="149" t="str">
        <f>[7]CurveList!D78</f>
        <v>IF TETCO Zone M1</v>
      </c>
      <c r="AD78" s="154"/>
      <c r="AE78" s="154"/>
    </row>
    <row r="79" spans="2:31">
      <c r="B79" s="91"/>
      <c r="C79" s="91"/>
      <c r="D79" s="91"/>
      <c r="E79" s="91"/>
      <c r="F79" s="91"/>
      <c r="G79" s="91"/>
      <c r="S79" s="139">
        <f t="shared" si="0"/>
        <v>66</v>
      </c>
      <c r="T79" s="150">
        <v>38777</v>
      </c>
      <c r="Z79" s="148">
        <f>[7]CurveList!B79</f>
        <v>75</v>
      </c>
      <c r="AA79" s="14" t="str">
        <f>[7]CurveList!C79</f>
        <v>IF-TETCO/M3</v>
      </c>
      <c r="AB79" s="149" t="str">
        <f>[7]CurveList!D79</f>
        <v>IF TETCO Zone M3 (Market)</v>
      </c>
      <c r="AD79" s="154"/>
      <c r="AE79" s="154"/>
    </row>
    <row r="80" spans="2:31">
      <c r="B80" s="91"/>
      <c r="C80" s="91"/>
      <c r="D80" s="91"/>
      <c r="E80" s="91"/>
      <c r="F80" s="91"/>
      <c r="G80" s="91"/>
      <c r="S80" s="139">
        <f t="shared" ref="S80:S143" si="1">S79+1</f>
        <v>67</v>
      </c>
      <c r="T80" s="150">
        <v>38808</v>
      </c>
      <c r="Z80" s="148">
        <f>[7]CurveList!B80</f>
        <v>76</v>
      </c>
      <c r="AA80" s="14" t="str">
        <f>[7]CurveList!C80</f>
        <v>IF-TGT/ZSL</v>
      </c>
      <c r="AB80" s="149" t="str">
        <f>[7]CurveList!D80</f>
        <v>IF TGT South Louisiana</v>
      </c>
      <c r="AD80" s="154"/>
      <c r="AE80" s="154"/>
    </row>
    <row r="81" spans="2:31">
      <c r="B81" s="91"/>
      <c r="C81" s="91"/>
      <c r="D81" s="91"/>
      <c r="E81" s="91"/>
      <c r="F81" s="91"/>
      <c r="G81" s="91"/>
      <c r="S81" s="139">
        <f t="shared" si="1"/>
        <v>68</v>
      </c>
      <c r="T81" s="150">
        <v>38838</v>
      </c>
      <c r="Z81" s="148">
        <f>[7]CurveList!B81</f>
        <v>77</v>
      </c>
      <c r="AA81" s="14" t="str">
        <f>[7]CurveList!C81</f>
        <v>IF-TGT/Z1</v>
      </c>
      <c r="AB81" s="149" t="str">
        <f>[7]CurveList!D81</f>
        <v>IF TGT Zone 1</v>
      </c>
      <c r="AD81" s="154"/>
      <c r="AE81" s="154"/>
    </row>
    <row r="82" spans="2:31">
      <c r="B82" s="91"/>
      <c r="C82" s="91"/>
      <c r="D82" s="91"/>
      <c r="E82" s="91"/>
      <c r="F82" s="91"/>
      <c r="G82" s="91"/>
      <c r="S82" s="139">
        <f t="shared" si="1"/>
        <v>69</v>
      </c>
      <c r="T82" s="150">
        <v>38869</v>
      </c>
      <c r="Z82" s="148">
        <f>[7]CurveList!B82</f>
        <v>78</v>
      </c>
      <c r="AA82" s="14" t="str">
        <f>[7]CurveList!C82</f>
        <v>IF-TRANSCO/Z4</v>
      </c>
      <c r="AB82" s="149" t="str">
        <f>[7]CurveList!D82</f>
        <v>IF Transco Miss/Ala  (85)</v>
      </c>
      <c r="AD82" s="154"/>
      <c r="AE82" s="154"/>
    </row>
    <row r="83" spans="2:31">
      <c r="B83" s="91"/>
      <c r="C83" s="91"/>
      <c r="D83" s="91"/>
      <c r="E83" s="91"/>
      <c r="F83" s="91"/>
      <c r="G83" s="91"/>
      <c r="S83" s="139">
        <f t="shared" si="1"/>
        <v>70</v>
      </c>
      <c r="T83" s="150">
        <v>38899</v>
      </c>
      <c r="Z83" s="148">
        <f>[7]CurveList!B83</f>
        <v>79</v>
      </c>
      <c r="AA83" s="14" t="str">
        <f>[7]CurveList!C83</f>
        <v>IF-TRANSCO/Z1</v>
      </c>
      <c r="AB83" s="149" t="str">
        <f>[7]CurveList!D83</f>
        <v>IF Transco Zone 1  (30)</v>
      </c>
      <c r="AD83" s="154"/>
      <c r="AE83" s="154"/>
    </row>
    <row r="84" spans="2:31">
      <c r="B84" s="91"/>
      <c r="C84" s="91"/>
      <c r="D84" s="91"/>
      <c r="E84" s="91"/>
      <c r="F84" s="91"/>
      <c r="G84" s="91"/>
      <c r="S84" s="139">
        <f t="shared" si="1"/>
        <v>71</v>
      </c>
      <c r="T84" s="150">
        <v>38930</v>
      </c>
      <c r="Z84" s="148">
        <f>[7]CurveList!B84</f>
        <v>80</v>
      </c>
      <c r="AA84" s="14" t="str">
        <f>[7]CurveList!C84</f>
        <v>IF-TRANSCO/Z2</v>
      </c>
      <c r="AB84" s="149" t="str">
        <f>[7]CurveList!D84</f>
        <v>IF Transco Zone 2  (45)</v>
      </c>
      <c r="AD84" s="154"/>
      <c r="AE84" s="154"/>
    </row>
    <row r="85" spans="2:31">
      <c r="B85" s="91"/>
      <c r="C85" s="91"/>
      <c r="D85" s="91"/>
      <c r="E85" s="91"/>
      <c r="F85" s="91"/>
      <c r="G85" s="91"/>
      <c r="S85" s="139">
        <f t="shared" si="1"/>
        <v>72</v>
      </c>
      <c r="T85" s="150">
        <v>38961</v>
      </c>
      <c r="Z85" s="148">
        <f>[7]CurveList!B85</f>
        <v>81</v>
      </c>
      <c r="AA85" s="14" t="str">
        <f>[7]CurveList!C85</f>
        <v>IF-TRANSCO/Z3</v>
      </c>
      <c r="AB85" s="149" t="str">
        <f>[7]CurveList!D85</f>
        <v>IF Transco Zone 3  (50,62,65)</v>
      </c>
      <c r="AD85" s="154"/>
      <c r="AE85" s="154"/>
    </row>
    <row r="86" spans="2:31">
      <c r="B86" s="91"/>
      <c r="C86" s="91"/>
      <c r="D86" s="91"/>
      <c r="E86" s="91"/>
      <c r="F86" s="91"/>
      <c r="G86" s="91"/>
      <c r="S86" s="139">
        <f t="shared" si="1"/>
        <v>73</v>
      </c>
      <c r="T86" s="150">
        <v>38991</v>
      </c>
      <c r="Z86" s="148">
        <f>[7]CurveList!B86</f>
        <v>82</v>
      </c>
      <c r="AA86" s="14" t="str">
        <f>[7]CurveList!C86</f>
        <v>IF-TRANSCO/Z6</v>
      </c>
      <c r="AB86" s="149" t="str">
        <f>[7]CurveList!D86</f>
        <v>IF Transco Zone 6 (Market)</v>
      </c>
      <c r="AD86" s="154"/>
      <c r="AE86" s="154"/>
    </row>
    <row r="87" spans="2:31">
      <c r="B87" s="91"/>
      <c r="C87" s="91"/>
      <c r="D87" s="91"/>
      <c r="E87" s="91"/>
      <c r="F87" s="91"/>
      <c r="G87" s="91"/>
      <c r="S87" s="139">
        <f t="shared" si="1"/>
        <v>74</v>
      </c>
      <c r="T87" s="150">
        <v>39022</v>
      </c>
      <c r="Z87" s="148">
        <f>[7]CurveList!B87</f>
        <v>83</v>
      </c>
      <c r="AA87" s="14" t="str">
        <f>[7]CurveList!C87</f>
        <v>IF-TRUNKL/LA</v>
      </c>
      <c r="AB87" s="149" t="str">
        <f>[7]CurveList!D87</f>
        <v>IF Trunkline Louisiana</v>
      </c>
    </row>
    <row r="88" spans="2:31">
      <c r="B88" s="91"/>
      <c r="C88" s="91"/>
      <c r="D88" s="91"/>
      <c r="E88" s="91"/>
      <c r="F88" s="91"/>
      <c r="G88" s="91"/>
      <c r="S88" s="139">
        <f t="shared" si="1"/>
        <v>75</v>
      </c>
      <c r="T88" s="150">
        <v>39052</v>
      </c>
      <c r="Z88" s="148">
        <f>[7]CurveList!B88</f>
        <v>84</v>
      </c>
      <c r="AA88" s="14" t="str">
        <f>[7]CurveList!C88</f>
        <v>IF-TRUNKL/TX</v>
      </c>
      <c r="AB88" s="149" t="str">
        <f>[7]CurveList!D88</f>
        <v>IF Trunkline Texas</v>
      </c>
    </row>
    <row r="89" spans="2:31">
      <c r="B89" s="91"/>
      <c r="C89" s="91"/>
      <c r="D89" s="91"/>
      <c r="E89" s="91"/>
      <c r="F89" s="91"/>
      <c r="G89" s="91"/>
      <c r="S89" s="139">
        <f t="shared" si="1"/>
        <v>76</v>
      </c>
      <c r="T89" s="150">
        <v>39083</v>
      </c>
      <c r="Z89" s="148">
        <f>[7]CurveList!B89</f>
        <v>85</v>
      </c>
      <c r="AA89" s="14" t="str">
        <f>[7]CurveList!C89</f>
        <v>IF-TW/PERMIAN</v>
      </c>
      <c r="AB89" s="149" t="str">
        <f>[7]CurveList!D89</f>
        <v>IF TW Permian</v>
      </c>
    </row>
    <row r="90" spans="2:31">
      <c r="B90" s="91"/>
      <c r="C90" s="91"/>
      <c r="D90" s="91"/>
      <c r="E90" s="91"/>
      <c r="F90" s="91"/>
      <c r="G90" s="91"/>
      <c r="S90" s="139">
        <f t="shared" si="1"/>
        <v>77</v>
      </c>
      <c r="T90" s="150">
        <v>39114</v>
      </c>
      <c r="Z90" s="148">
        <f>[7]CurveList!B90</f>
        <v>86</v>
      </c>
      <c r="AA90" s="14" t="str">
        <f>[7]CurveList!C90</f>
        <v>IF-VALERO/TX</v>
      </c>
      <c r="AB90" s="149" t="str">
        <f>[7]CurveList!D90</f>
        <v>IF Valero Texas</v>
      </c>
    </row>
    <row r="91" spans="2:31">
      <c r="B91" s="91"/>
      <c r="C91" s="91"/>
      <c r="D91" s="91"/>
      <c r="E91" s="91"/>
      <c r="F91" s="91"/>
      <c r="G91" s="91"/>
      <c r="S91" s="139">
        <f t="shared" si="1"/>
        <v>78</v>
      </c>
      <c r="T91" s="150">
        <v>39142</v>
      </c>
      <c r="Z91" s="148">
        <f>[7]CurveList!B91</f>
        <v>87</v>
      </c>
      <c r="AA91" s="14" t="str">
        <f>[7]CurveList!C91</f>
        <v>IF-WNG/TOK</v>
      </c>
      <c r="AB91" s="149" t="str">
        <f>[7]CurveList!D91</f>
        <v>IF Williams TX-OK-KS</v>
      </c>
    </row>
    <row r="92" spans="2:31">
      <c r="B92" s="91"/>
      <c r="C92" s="91"/>
      <c r="D92" s="91"/>
      <c r="E92" s="91"/>
      <c r="F92" s="91"/>
      <c r="G92" s="91"/>
      <c r="S92" s="139">
        <f t="shared" si="1"/>
        <v>79</v>
      </c>
      <c r="T92" s="150">
        <v>39173</v>
      </c>
      <c r="Z92" s="148">
        <f>[7]CurveList!B92</f>
        <v>88</v>
      </c>
      <c r="AA92" s="14" t="str">
        <f>[7]CurveList!C92</f>
        <v>IF-CNG/NORTH</v>
      </c>
      <c r="AB92" s="149" t="str">
        <f>[7]CurveList!D92</f>
        <v>IF-CNG/NORTH</v>
      </c>
    </row>
    <row r="93" spans="2:31">
      <c r="B93" s="91"/>
      <c r="C93" s="91"/>
      <c r="D93" s="91"/>
      <c r="E93" s="91"/>
      <c r="F93" s="91"/>
      <c r="G93" s="91"/>
      <c r="S93" s="139">
        <f t="shared" si="1"/>
        <v>80</v>
      </c>
      <c r="T93" s="150">
        <v>39203</v>
      </c>
      <c r="Z93" s="148">
        <f>[7]CurveList!B93</f>
        <v>89</v>
      </c>
      <c r="AA93" s="14" t="str">
        <f>[7]CurveList!C93</f>
        <v>IF-CNG/N_CITYGA</v>
      </c>
      <c r="AB93" s="149" t="str">
        <f>[7]CurveList!D93</f>
        <v>IF-CNG/NORTH CITYGATE</v>
      </c>
    </row>
    <row r="94" spans="2:31">
      <c r="B94" s="91"/>
      <c r="C94" s="91"/>
      <c r="D94" s="91"/>
      <c r="E94" s="91"/>
      <c r="F94" s="91"/>
      <c r="G94" s="91"/>
      <c r="S94" s="139">
        <f t="shared" si="1"/>
        <v>81</v>
      </c>
      <c r="T94" s="150">
        <v>39234</v>
      </c>
      <c r="Z94" s="148">
        <f>[7]CurveList!B94</f>
        <v>90</v>
      </c>
      <c r="AA94" s="14" t="str">
        <f>[7]CurveList!C94</f>
        <v>IF-TENN/Z5</v>
      </c>
      <c r="AB94" s="149" t="str">
        <f>[7]CurveList!D94</f>
        <v>IF-TENN/Z5</v>
      </c>
    </row>
    <row r="95" spans="2:31">
      <c r="B95" s="91"/>
      <c r="C95" s="91"/>
      <c r="D95" s="91"/>
      <c r="E95" s="91"/>
      <c r="F95" s="91"/>
      <c r="G95" s="91"/>
      <c r="S95" s="139">
        <f t="shared" si="1"/>
        <v>82</v>
      </c>
      <c r="T95" s="150">
        <v>39264</v>
      </c>
      <c r="Z95" s="148">
        <f>[7]CurveList!B95</f>
        <v>91</v>
      </c>
      <c r="AA95" s="14" t="str">
        <f>[7]CurveList!C95</f>
        <v>IF-TENN/Z6</v>
      </c>
      <c r="AB95" s="149" t="str">
        <f>[7]CurveList!D95</f>
        <v>IF-TENN/Z6</v>
      </c>
    </row>
    <row r="96" spans="2:31">
      <c r="B96" s="91"/>
      <c r="C96" s="91"/>
      <c r="D96" s="91"/>
      <c r="E96" s="91"/>
      <c r="F96" s="91"/>
      <c r="G96" s="91"/>
      <c r="S96" s="139">
        <f t="shared" si="1"/>
        <v>83</v>
      </c>
      <c r="T96" s="150">
        <v>39295</v>
      </c>
      <c r="Z96" s="148">
        <f>[7]CurveList!B96</f>
        <v>92</v>
      </c>
      <c r="AA96" s="14" t="str">
        <f>[7]CurveList!C96</f>
        <v>IF-TRANSCO/Z5</v>
      </c>
      <c r="AB96" s="149" t="str">
        <f>[7]CurveList!D96</f>
        <v>IF-TRANSCO/Z5</v>
      </c>
    </row>
    <row r="97" spans="2:28">
      <c r="B97" s="91"/>
      <c r="C97" s="91"/>
      <c r="D97" s="91"/>
      <c r="E97" s="91"/>
      <c r="F97" s="91"/>
      <c r="G97" s="91"/>
      <c r="S97" s="139">
        <f t="shared" si="1"/>
        <v>84</v>
      </c>
      <c r="T97" s="150">
        <v>39326</v>
      </c>
      <c r="Z97" s="148">
        <f>[7]CurveList!B97</f>
        <v>93</v>
      </c>
      <c r="AA97" s="14" t="str">
        <f>[7]CurveList!C97</f>
        <v>KERO-NYPHY</v>
      </c>
      <c r="AB97" s="149" t="str">
        <f>[7]CurveList!D97</f>
        <v>KERO-NYPHY</v>
      </c>
    </row>
    <row r="98" spans="2:28">
      <c r="B98" s="91"/>
      <c r="C98" s="91"/>
      <c r="D98" s="91"/>
      <c r="E98" s="91"/>
      <c r="F98" s="91"/>
      <c r="G98" s="91"/>
      <c r="S98" s="139">
        <f t="shared" si="1"/>
        <v>85</v>
      </c>
      <c r="T98" s="150">
        <v>39356</v>
      </c>
      <c r="Z98" s="148">
        <f>[7]CurveList!B98</f>
        <v>94</v>
      </c>
      <c r="AA98" s="14" t="str">
        <f>[7]CurveList!C98</f>
        <v>INT</v>
      </c>
      <c r="AB98" s="149" t="str">
        <f>[7]CurveList!D98</f>
        <v>Libor AA Interest Rate</v>
      </c>
    </row>
    <row r="99" spans="2:28">
      <c r="B99" s="91"/>
      <c r="C99" s="91"/>
      <c r="D99" s="91"/>
      <c r="E99" s="91"/>
      <c r="F99" s="91"/>
      <c r="G99" s="91"/>
      <c r="S99" s="139">
        <f t="shared" si="1"/>
        <v>86</v>
      </c>
      <c r="T99" s="150">
        <v>39387</v>
      </c>
      <c r="Z99" s="148">
        <f>[7]CurveList!B99</f>
        <v>95</v>
      </c>
      <c r="AA99" s="14" t="str">
        <f>[7]CurveList!C99</f>
        <v>C2GC</v>
      </c>
      <c r="AB99" s="149" t="str">
        <f>[7]CurveList!D99</f>
        <v>MB Ethane</v>
      </c>
    </row>
    <row r="100" spans="2:28">
      <c r="B100" s="91"/>
      <c r="C100" s="91"/>
      <c r="D100" s="91"/>
      <c r="E100" s="91"/>
      <c r="F100" s="91"/>
      <c r="G100" s="91"/>
      <c r="S100" s="139">
        <f t="shared" si="1"/>
        <v>87</v>
      </c>
      <c r="T100" s="150">
        <v>39417</v>
      </c>
      <c r="Z100" s="148">
        <f>[7]CurveList!B100</f>
        <v>96</v>
      </c>
      <c r="AA100" s="14" t="str">
        <f>[7]CurveList!C100</f>
        <v>EPMX</v>
      </c>
      <c r="AB100" s="149" t="str">
        <f>[7]CurveList!D100</f>
        <v>MB Ethane/Propane Mix</v>
      </c>
    </row>
    <row r="101" spans="2:28">
      <c r="B101" s="91"/>
      <c r="C101" s="91"/>
      <c r="D101" s="91"/>
      <c r="E101" s="91"/>
      <c r="F101" s="91"/>
      <c r="G101" s="91"/>
      <c r="S101" s="139">
        <f t="shared" si="1"/>
        <v>88</v>
      </c>
      <c r="T101" s="150">
        <v>39448</v>
      </c>
      <c r="Z101" s="148">
        <f>[7]CurveList!B101</f>
        <v>97</v>
      </c>
      <c r="AA101" s="14" t="str">
        <f>[7]CurveList!C101</f>
        <v>IBXT</v>
      </c>
      <c r="AB101" s="149" t="str">
        <f>[7]CurveList!D101</f>
        <v>MB NTET Iso-Butane</v>
      </c>
    </row>
    <row r="102" spans="2:28">
      <c r="B102" s="91"/>
      <c r="C102" s="91"/>
      <c r="D102" s="91"/>
      <c r="E102" s="91"/>
      <c r="F102" s="91"/>
      <c r="G102" s="91"/>
      <c r="S102" s="139">
        <f t="shared" si="1"/>
        <v>89</v>
      </c>
      <c r="T102" s="150">
        <v>39479</v>
      </c>
      <c r="Z102" s="148">
        <f>[7]CurveList!B102</f>
        <v>98</v>
      </c>
      <c r="AA102" s="14" t="str">
        <f>[7]CurveList!C102</f>
        <v>C5XT</v>
      </c>
      <c r="AB102" s="149" t="str">
        <f>[7]CurveList!D102</f>
        <v>MB NTET Nat Gasoline</v>
      </c>
    </row>
    <row r="103" spans="2:28">
      <c r="B103" s="91"/>
      <c r="C103" s="91"/>
      <c r="D103" s="91"/>
      <c r="E103" s="91"/>
      <c r="F103" s="91"/>
      <c r="G103" s="91"/>
      <c r="S103" s="139">
        <f t="shared" si="1"/>
        <v>90</v>
      </c>
      <c r="T103" s="150">
        <v>39508</v>
      </c>
      <c r="Z103" s="148">
        <f>[7]CurveList!B103</f>
        <v>99</v>
      </c>
      <c r="AA103" s="14" t="str">
        <f>[7]CurveList!C103</f>
        <v>NBXT</v>
      </c>
      <c r="AB103" s="149" t="str">
        <f>[7]CurveList!D103</f>
        <v>MB NTET N-Butane</v>
      </c>
    </row>
    <row r="104" spans="2:28">
      <c r="B104" s="91"/>
      <c r="C104" s="91"/>
      <c r="D104" s="91"/>
      <c r="E104" s="91"/>
      <c r="F104" s="91"/>
      <c r="G104" s="91"/>
      <c r="S104" s="139">
        <f t="shared" si="1"/>
        <v>91</v>
      </c>
      <c r="T104" s="150">
        <v>39539</v>
      </c>
      <c r="Z104" s="148">
        <f>[7]CurveList!B104</f>
        <v>100</v>
      </c>
      <c r="AA104" s="14" t="str">
        <f>[7]CurveList!C104</f>
        <v>C3XT</v>
      </c>
      <c r="AB104" s="149" t="str">
        <f>[7]CurveList!D104</f>
        <v>MB NTET Propane</v>
      </c>
    </row>
    <row r="105" spans="2:28">
      <c r="B105" s="91"/>
      <c r="C105" s="91"/>
      <c r="D105" s="91"/>
      <c r="E105" s="91"/>
      <c r="F105" s="91"/>
      <c r="G105" s="91"/>
      <c r="S105" s="139">
        <f t="shared" si="1"/>
        <v>92</v>
      </c>
      <c r="T105" s="150">
        <v>39569</v>
      </c>
      <c r="Z105" s="148">
        <f>[7]CurveList!B105</f>
        <v>101</v>
      </c>
      <c r="AA105" s="14" t="str">
        <f>[7]CurveList!C105</f>
        <v>IC4</v>
      </c>
      <c r="AB105" s="149" t="str">
        <f>[7]CurveList!D105</f>
        <v>MB TET Iso-Butane</v>
      </c>
    </row>
    <row r="106" spans="2:28">
      <c r="B106" s="91"/>
      <c r="C106" s="91"/>
      <c r="D106" s="91"/>
      <c r="E106" s="91"/>
      <c r="F106" s="91"/>
      <c r="G106" s="91"/>
      <c r="S106" s="139">
        <f t="shared" si="1"/>
        <v>93</v>
      </c>
      <c r="T106" s="150">
        <v>39600</v>
      </c>
      <c r="Z106" s="148">
        <f>[7]CurveList!B106</f>
        <v>102</v>
      </c>
      <c r="AA106" s="14" t="str">
        <f>[7]CurveList!C106</f>
        <v>C5+</v>
      </c>
      <c r="AB106" s="149" t="str">
        <f>[7]CurveList!D106</f>
        <v>MB TET Nat Gasoline</v>
      </c>
    </row>
    <row r="107" spans="2:28">
      <c r="B107" s="91"/>
      <c r="C107" s="91"/>
      <c r="D107" s="91"/>
      <c r="E107" s="91"/>
      <c r="F107" s="91"/>
      <c r="G107" s="91"/>
      <c r="S107" s="139">
        <f t="shared" si="1"/>
        <v>94</v>
      </c>
      <c r="T107" s="150">
        <v>39630</v>
      </c>
      <c r="Z107" s="148">
        <f>[7]CurveList!B107</f>
        <v>103</v>
      </c>
      <c r="AA107" s="14" t="str">
        <f>[7]CurveList!C107</f>
        <v>NC4</v>
      </c>
      <c r="AB107" s="149" t="str">
        <f>[7]CurveList!D107</f>
        <v>MB TET N-Butane</v>
      </c>
    </row>
    <row r="108" spans="2:28">
      <c r="B108" s="91"/>
      <c r="C108" s="91"/>
      <c r="D108" s="91"/>
      <c r="E108" s="91"/>
      <c r="F108" s="91"/>
      <c r="G108" s="91"/>
      <c r="S108" s="139">
        <f t="shared" si="1"/>
        <v>95</v>
      </c>
      <c r="T108" s="150">
        <v>39661</v>
      </c>
      <c r="Z108" s="148">
        <f>[7]CurveList!B108</f>
        <v>104</v>
      </c>
      <c r="AA108" s="14" t="str">
        <f>[7]CurveList!C108</f>
        <v>C3GC</v>
      </c>
      <c r="AB108" s="149" t="str">
        <f>[7]CurveList!D108</f>
        <v>MB TET Propane</v>
      </c>
    </row>
    <row r="109" spans="2:28">
      <c r="B109" s="91"/>
      <c r="C109" s="91"/>
      <c r="D109" s="91"/>
      <c r="E109" s="91"/>
      <c r="F109" s="91"/>
      <c r="G109" s="91"/>
      <c r="S109" s="139">
        <f t="shared" si="1"/>
        <v>96</v>
      </c>
      <c r="T109" s="150">
        <v>39692</v>
      </c>
      <c r="Z109" s="148">
        <f>[7]CurveList!B109</f>
        <v>105</v>
      </c>
      <c r="AA109" s="14" t="str">
        <f>[7]CurveList!C109</f>
        <v>GD-LOW_IROQUOIS</v>
      </c>
      <c r="AB109" s="149" t="str">
        <f>[7]CurveList!D109</f>
        <v>GD Low Iroquois</v>
      </c>
    </row>
    <row r="110" spans="2:28">
      <c r="B110" s="91"/>
      <c r="C110" s="91"/>
      <c r="D110" s="91"/>
      <c r="E110" s="91"/>
      <c r="F110" s="91"/>
      <c r="G110" s="91"/>
      <c r="S110" s="139">
        <f t="shared" si="1"/>
        <v>97</v>
      </c>
      <c r="T110" s="150">
        <v>39722</v>
      </c>
      <c r="Z110" s="148">
        <f>[7]CurveList!B110</f>
        <v>106</v>
      </c>
      <c r="AA110" s="14" t="str">
        <f>[7]CurveList!C110</f>
        <v>MEOH</v>
      </c>
      <c r="AB110" s="149" t="str">
        <f>[7]CurveList!D110</f>
        <v>Methanol Gulf Coast</v>
      </c>
    </row>
    <row r="111" spans="2:28">
      <c r="B111" s="91"/>
      <c r="C111" s="91"/>
      <c r="D111" s="91"/>
      <c r="E111" s="91"/>
      <c r="F111" s="91"/>
      <c r="G111" s="91"/>
      <c r="S111" s="139">
        <f t="shared" si="1"/>
        <v>98</v>
      </c>
      <c r="T111" s="150">
        <v>39753</v>
      </c>
      <c r="Z111" s="148">
        <f>[7]CurveList!B111</f>
        <v>107</v>
      </c>
      <c r="AA111" s="14" t="str">
        <f>[7]CurveList!C111</f>
        <v>MICH/CONS</v>
      </c>
      <c r="AB111" s="149" t="str">
        <f>[7]CurveList!D111</f>
        <v>MichCon Consumers</v>
      </c>
    </row>
    <row r="112" spans="2:28">
      <c r="B112" s="91"/>
      <c r="C112" s="91"/>
      <c r="D112" s="91"/>
      <c r="E112" s="91"/>
      <c r="F112" s="91"/>
      <c r="G112" s="91"/>
      <c r="S112" s="139">
        <f t="shared" si="1"/>
        <v>99</v>
      </c>
      <c r="T112" s="150">
        <v>39783</v>
      </c>
      <c r="Z112" s="148">
        <f>[7]CurveList!B112</f>
        <v>108</v>
      </c>
      <c r="AA112" s="14" t="str">
        <f>[7]CurveList!C112</f>
        <v>ML7/CG</v>
      </c>
      <c r="AB112" s="149" t="str">
        <f>[7]CurveList!D112</f>
        <v>ML7 CITYGATE (CRYSTAL FALLS)</v>
      </c>
    </row>
    <row r="113" spans="2:28">
      <c r="B113" s="91"/>
      <c r="C113" s="91"/>
      <c r="D113" s="91"/>
      <c r="E113" s="91"/>
      <c r="F113" s="91"/>
      <c r="G113" s="91"/>
      <c r="S113" s="139">
        <f t="shared" si="1"/>
        <v>100</v>
      </c>
      <c r="T113" s="150">
        <v>39814</v>
      </c>
      <c r="Z113" s="148">
        <f>[7]CurveList!B113</f>
        <v>109</v>
      </c>
      <c r="AA113" s="14" t="str">
        <f>[7]CurveList!C113</f>
        <v>MTBE</v>
      </c>
      <c r="AB113" s="149" t="str">
        <f>[7]CurveList!D113</f>
        <v>MTBE Gulf coast</v>
      </c>
    </row>
    <row r="114" spans="2:28">
      <c r="B114" s="91"/>
      <c r="C114" s="91"/>
      <c r="D114" s="91"/>
      <c r="E114" s="91"/>
      <c r="F114" s="91"/>
      <c r="G114" s="91"/>
      <c r="S114" s="139">
        <f t="shared" si="1"/>
        <v>101</v>
      </c>
      <c r="T114" s="150">
        <v>39845</v>
      </c>
      <c r="Z114" s="148">
        <f>[7]CurveList!B114</f>
        <v>110</v>
      </c>
      <c r="AA114" s="14" t="str">
        <f>[7]CurveList!C114</f>
        <v>NGI/CHI. GATE</v>
      </c>
      <c r="AB114" s="149" t="str">
        <f>[7]CurveList!D114</f>
        <v>NGI Chicago City Gate</v>
      </c>
    </row>
    <row r="115" spans="2:28">
      <c r="B115" s="91"/>
      <c r="C115" s="91"/>
      <c r="D115" s="91"/>
      <c r="E115" s="91"/>
      <c r="F115" s="91"/>
      <c r="G115" s="91"/>
      <c r="S115" s="139">
        <f t="shared" si="1"/>
        <v>102</v>
      </c>
      <c r="T115" s="150">
        <v>39873</v>
      </c>
      <c r="Z115" s="148">
        <f>[7]CurveList!B115</f>
        <v>111</v>
      </c>
      <c r="AA115" s="14" t="str">
        <f>[7]CurveList!C115</f>
        <v>NGI-MALIN</v>
      </c>
      <c r="AB115" s="149" t="str">
        <f>[7]CurveList!D115</f>
        <v>NGI Malin (North Cal Border)</v>
      </c>
    </row>
    <row r="116" spans="2:28">
      <c r="B116" s="91"/>
      <c r="C116" s="91"/>
      <c r="D116" s="91"/>
      <c r="E116" s="91"/>
      <c r="F116" s="91"/>
      <c r="G116" s="91"/>
      <c r="S116" s="139">
        <f t="shared" si="1"/>
        <v>103</v>
      </c>
      <c r="T116" s="150">
        <v>39904</v>
      </c>
      <c r="Z116" s="148">
        <f>[7]CurveList!B116</f>
        <v>112</v>
      </c>
      <c r="AA116" s="14" t="str">
        <f>[7]CurveList!C116</f>
        <v>NGI-MICH_CG</v>
      </c>
      <c r="AB116" s="149" t="str">
        <f>[7]CurveList!D116</f>
        <v>NGI Michigan ConsoIidated</v>
      </c>
    </row>
    <row r="117" spans="2:28">
      <c r="B117" s="91"/>
      <c r="C117" s="91"/>
      <c r="D117" s="91"/>
      <c r="E117" s="91"/>
      <c r="F117" s="91"/>
      <c r="G117" s="91"/>
      <c r="S117" s="139">
        <f t="shared" si="1"/>
        <v>104</v>
      </c>
      <c r="T117" s="150">
        <v>39934</v>
      </c>
      <c r="Z117" s="148">
        <f>[7]CurveList!B117</f>
        <v>113</v>
      </c>
      <c r="AA117" s="14" t="str">
        <f>[7]CurveList!C117</f>
        <v>NGI-PGE/CG</v>
      </c>
      <c r="AB117" s="149" t="str">
        <f>[7]CurveList!D117</f>
        <v>NGI PGE City Gate</v>
      </c>
    </row>
    <row r="118" spans="2:28">
      <c r="B118" s="91"/>
      <c r="C118" s="91"/>
      <c r="D118" s="91"/>
      <c r="E118" s="91"/>
      <c r="F118" s="91"/>
      <c r="G118" s="91"/>
      <c r="S118" s="139">
        <f t="shared" si="1"/>
        <v>105</v>
      </c>
      <c r="T118" s="150">
        <v>39965</v>
      </c>
      <c r="Z118" s="148">
        <f>[7]CurveList!B118</f>
        <v>114</v>
      </c>
      <c r="AA118" s="14" t="str">
        <f>[7]CurveList!C118</f>
        <v>NGI-SOCAL</v>
      </c>
      <c r="AB118" s="149" t="str">
        <f>[7]CurveList!D118</f>
        <v>NGI Socal (South Cal Border)</v>
      </c>
    </row>
    <row r="119" spans="2:28">
      <c r="B119" s="91"/>
      <c r="C119" s="91"/>
      <c r="D119" s="91"/>
      <c r="E119" s="91"/>
      <c r="F119" s="91"/>
      <c r="G119" s="91"/>
      <c r="S119" s="139">
        <f t="shared" si="1"/>
        <v>106</v>
      </c>
      <c r="T119" s="150">
        <v>39995</v>
      </c>
      <c r="Z119" s="148">
        <f>[7]CurveList!B119</f>
        <v>115</v>
      </c>
      <c r="AA119" s="14" t="str">
        <f>[7]CurveList!C119</f>
        <v>NGW-ALGO/CITY</v>
      </c>
      <c r="AB119" s="149" t="str">
        <f>[7]CurveList!D119</f>
        <v>NGW Algonquin City Gate</v>
      </c>
    </row>
    <row r="120" spans="2:28">
      <c r="B120" s="91"/>
      <c r="C120" s="91"/>
      <c r="D120" s="91"/>
      <c r="E120" s="91"/>
      <c r="F120" s="91"/>
      <c r="G120" s="91"/>
      <c r="S120" s="139">
        <f t="shared" si="1"/>
        <v>107</v>
      </c>
      <c r="T120" s="150">
        <v>40026</v>
      </c>
      <c r="Z120" s="148">
        <f>[7]CurveList!B120</f>
        <v>116</v>
      </c>
      <c r="AA120" s="14" t="str">
        <f>[7]CurveList!C120</f>
        <v>NGW-ALGONQUIN</v>
      </c>
      <c r="AB120" s="149" t="str">
        <f>[7]CurveList!D120</f>
        <v xml:space="preserve">NGW Algonquin </v>
      </c>
    </row>
    <row r="121" spans="2:28">
      <c r="B121" s="91"/>
      <c r="C121" s="91"/>
      <c r="D121" s="91"/>
      <c r="E121" s="91"/>
      <c r="F121" s="91"/>
      <c r="G121" s="91"/>
      <c r="S121" s="139">
        <f t="shared" si="1"/>
        <v>108</v>
      </c>
      <c r="T121" s="150">
        <v>40057</v>
      </c>
      <c r="Z121" s="148">
        <f>[7]CurveList!B121</f>
        <v>117</v>
      </c>
      <c r="AA121" s="14" t="str">
        <f>[7]CurveList!C121</f>
        <v>NGW-IROQ/WADD</v>
      </c>
      <c r="AB121" s="149" t="str">
        <f>[7]CurveList!D121</f>
        <v>NGW Iroquois/Waddington</v>
      </c>
    </row>
    <row r="122" spans="2:28">
      <c r="B122" s="91"/>
      <c r="C122" s="91"/>
      <c r="D122" s="91"/>
      <c r="E122" s="91"/>
      <c r="F122" s="91"/>
      <c r="G122" s="91"/>
      <c r="S122" s="139">
        <f t="shared" si="1"/>
        <v>109</v>
      </c>
      <c r="T122" s="150">
        <v>40087</v>
      </c>
      <c r="Z122" s="148">
        <f>[7]CurveList!B122</f>
        <v>118</v>
      </c>
      <c r="AA122" s="14" t="str">
        <f>[7]CurveList!C122</f>
        <v>NG</v>
      </c>
      <c r="AB122" s="149" t="str">
        <f>[7]CurveList!D122</f>
        <v>Nymex Natural Gas</v>
      </c>
    </row>
    <row r="123" spans="2:28">
      <c r="B123" s="91"/>
      <c r="C123" s="91"/>
      <c r="D123" s="91"/>
      <c r="E123" s="91"/>
      <c r="F123" s="91"/>
      <c r="G123" s="91"/>
      <c r="S123" s="139">
        <f t="shared" si="1"/>
        <v>110</v>
      </c>
      <c r="T123" s="150">
        <v>40118</v>
      </c>
      <c r="Z123" s="148">
        <f>[7]CurveList!B123</f>
        <v>119</v>
      </c>
      <c r="AA123" s="14" t="str">
        <f>[7]CurveList!C123</f>
        <v>HU</v>
      </c>
      <c r="AB123" s="149" t="str">
        <f>[7]CurveList!D123</f>
        <v>Unleaded Gasoline</v>
      </c>
    </row>
    <row r="124" spans="2:28">
      <c r="B124" s="91"/>
      <c r="C124" s="91"/>
      <c r="D124" s="91"/>
      <c r="E124" s="91"/>
      <c r="F124" s="91"/>
      <c r="G124" s="91"/>
      <c r="S124" s="139">
        <f t="shared" si="1"/>
        <v>111</v>
      </c>
      <c r="T124" s="150">
        <v>40148</v>
      </c>
      <c r="Z124" s="148">
        <f>[7]CurveList!B124</f>
        <v>120</v>
      </c>
      <c r="AA124" s="14" t="str">
        <f>[7]CurveList!C124</f>
        <v>WAHA KCBT</v>
      </c>
      <c r="AB124" s="149" t="str">
        <f>[7]CurveList!D124</f>
        <v>Waha Hub West Texas</v>
      </c>
    </row>
    <row r="125" spans="2:28">
      <c r="B125" s="91"/>
      <c r="C125" s="91"/>
      <c r="D125" s="91"/>
      <c r="E125" s="91"/>
      <c r="F125" s="91"/>
      <c r="G125" s="91"/>
      <c r="S125" s="139">
        <f t="shared" si="1"/>
        <v>112</v>
      </c>
      <c r="T125" s="150">
        <v>40179</v>
      </c>
      <c r="Z125" s="148">
        <f>[7]CurveList!B125</f>
        <v>121</v>
      </c>
      <c r="AA125" s="14" t="str">
        <f>[7]CurveList!C125</f>
        <v>WTI</v>
      </c>
      <c r="AB125" s="149" t="str">
        <f>[7]CurveList!D125</f>
        <v>WTI Crude Oil</v>
      </c>
    </row>
    <row r="126" spans="2:28">
      <c r="B126" s="91"/>
      <c r="C126" s="91"/>
      <c r="D126" s="91"/>
      <c r="E126" s="91"/>
      <c r="F126" s="91"/>
      <c r="G126" s="91"/>
      <c r="S126" s="139">
        <f t="shared" si="1"/>
        <v>113</v>
      </c>
      <c r="T126" s="150">
        <v>40210</v>
      </c>
      <c r="Z126" s="148">
        <f>[7]CurveList!B126</f>
        <v>122</v>
      </c>
      <c r="AA126" s="14">
        <f>[7]CurveList!C126</f>
        <v>0</v>
      </c>
      <c r="AB126" s="149" t="str">
        <f>[7]CurveList!D126</f>
        <v>Open</v>
      </c>
    </row>
    <row r="127" spans="2:28">
      <c r="B127" s="91"/>
      <c r="C127" s="91"/>
      <c r="D127" s="91"/>
      <c r="E127" s="91"/>
      <c r="F127" s="91"/>
      <c r="G127" s="91"/>
      <c r="S127" s="139">
        <f t="shared" si="1"/>
        <v>114</v>
      </c>
      <c r="T127" s="150">
        <v>40238</v>
      </c>
      <c r="Z127" s="148">
        <f>[7]CurveList!B127</f>
        <v>123</v>
      </c>
      <c r="AA127" s="14">
        <f>[7]CurveList!C127</f>
        <v>0</v>
      </c>
      <c r="AB127" s="149" t="str">
        <f>[7]CurveList!D127</f>
        <v>Open</v>
      </c>
    </row>
    <row r="128" spans="2:28">
      <c r="B128" s="91"/>
      <c r="C128" s="91"/>
      <c r="D128" s="91"/>
      <c r="E128" s="91"/>
      <c r="F128" s="91"/>
      <c r="G128" s="91"/>
      <c r="S128" s="139">
        <f t="shared" si="1"/>
        <v>115</v>
      </c>
      <c r="T128" s="150">
        <v>40269</v>
      </c>
      <c r="Z128" s="148">
        <f>[7]CurveList!B128</f>
        <v>124</v>
      </c>
      <c r="AA128" s="14">
        <f>[7]CurveList!C128</f>
        <v>0</v>
      </c>
      <c r="AB128" s="149" t="str">
        <f>[7]CurveList!D128</f>
        <v>Open</v>
      </c>
    </row>
    <row r="129" spans="2:28">
      <c r="B129" s="91"/>
      <c r="C129" s="91"/>
      <c r="D129" s="91"/>
      <c r="E129" s="91"/>
      <c r="F129" s="91"/>
      <c r="G129" s="91"/>
      <c r="S129" s="139">
        <f t="shared" si="1"/>
        <v>116</v>
      </c>
      <c r="T129" s="150">
        <v>40299</v>
      </c>
      <c r="Z129" s="148">
        <f>[7]CurveList!B129</f>
        <v>125</v>
      </c>
      <c r="AA129" s="14">
        <f>[7]CurveList!C129</f>
        <v>0</v>
      </c>
      <c r="AB129" s="149" t="str">
        <f>[7]CurveList!D129</f>
        <v>Open</v>
      </c>
    </row>
    <row r="130" spans="2:28">
      <c r="B130" s="91"/>
      <c r="C130" s="91"/>
      <c r="D130" s="91"/>
      <c r="E130" s="91"/>
      <c r="F130" s="91"/>
      <c r="G130" s="91"/>
      <c r="S130" s="139">
        <f t="shared" si="1"/>
        <v>117</v>
      </c>
      <c r="T130" s="150">
        <v>40330</v>
      </c>
      <c r="Z130" s="148">
        <f>[7]CurveList!B130</f>
        <v>126</v>
      </c>
      <c r="AA130" s="14">
        <f>[7]CurveList!C130</f>
        <v>0</v>
      </c>
      <c r="AB130" s="149" t="str">
        <f>[7]CurveList!D130</f>
        <v>Open</v>
      </c>
    </row>
    <row r="131" spans="2:28">
      <c r="B131" s="91"/>
      <c r="C131" s="91"/>
      <c r="D131" s="91"/>
      <c r="E131" s="91"/>
      <c r="F131" s="91"/>
      <c r="G131" s="91"/>
      <c r="S131" s="139">
        <f t="shared" si="1"/>
        <v>118</v>
      </c>
      <c r="T131" s="150">
        <v>40360</v>
      </c>
      <c r="Z131" s="148">
        <f>[7]CurveList!B131</f>
        <v>127</v>
      </c>
      <c r="AA131" s="14">
        <f>[7]CurveList!C131</f>
        <v>0</v>
      </c>
      <c r="AB131" s="149" t="str">
        <f>[7]CurveList!D131</f>
        <v>Open</v>
      </c>
    </row>
    <row r="132" spans="2:28">
      <c r="B132" s="91"/>
      <c r="C132" s="91"/>
      <c r="D132" s="91"/>
      <c r="E132" s="91"/>
      <c r="F132" s="91"/>
      <c r="G132" s="91"/>
      <c r="S132" s="139">
        <f t="shared" si="1"/>
        <v>119</v>
      </c>
      <c r="T132" s="150">
        <v>40391</v>
      </c>
      <c r="Z132" s="148">
        <f>[7]CurveList!B132</f>
        <v>128</v>
      </c>
      <c r="AA132" s="14">
        <f>[7]CurveList!C132</f>
        <v>0</v>
      </c>
      <c r="AB132" s="149" t="str">
        <f>[7]CurveList!D132</f>
        <v>Open</v>
      </c>
    </row>
    <row r="133" spans="2:28">
      <c r="B133" s="91"/>
      <c r="C133" s="91"/>
      <c r="D133" s="91"/>
      <c r="E133" s="91"/>
      <c r="F133" s="91"/>
      <c r="G133" s="91"/>
      <c r="S133" s="139">
        <f t="shared" si="1"/>
        <v>120</v>
      </c>
      <c r="T133" s="150">
        <v>40422</v>
      </c>
      <c r="Z133" s="148">
        <f>[7]CurveList!B133</f>
        <v>129</v>
      </c>
      <c r="AA133" s="14">
        <f>[7]CurveList!C133</f>
        <v>0</v>
      </c>
      <c r="AB133" s="149" t="str">
        <f>[7]CurveList!D133</f>
        <v>Open</v>
      </c>
    </row>
    <row r="134" spans="2:28">
      <c r="B134" s="91"/>
      <c r="C134" s="91"/>
      <c r="D134" s="91"/>
      <c r="E134" s="91"/>
      <c r="F134" s="91"/>
      <c r="G134" s="91"/>
      <c r="S134" s="139">
        <f t="shared" si="1"/>
        <v>121</v>
      </c>
      <c r="T134" s="150">
        <v>40452</v>
      </c>
      <c r="Z134" s="148">
        <f>[7]CurveList!B134</f>
        <v>130</v>
      </c>
      <c r="AA134" s="14">
        <f>[7]CurveList!C134</f>
        <v>0</v>
      </c>
      <c r="AB134" s="149" t="str">
        <f>[7]CurveList!D134</f>
        <v>Open</v>
      </c>
    </row>
    <row r="135" spans="2:28">
      <c r="B135" s="91"/>
      <c r="C135" s="91"/>
      <c r="D135" s="91"/>
      <c r="E135" s="91"/>
      <c r="F135" s="91"/>
      <c r="G135" s="91"/>
      <c r="S135" s="139">
        <f t="shared" si="1"/>
        <v>122</v>
      </c>
      <c r="T135" s="150">
        <v>40483</v>
      </c>
      <c r="Z135" s="148">
        <f>[7]CurveList!B135</f>
        <v>131</v>
      </c>
      <c r="AA135" s="14">
        <f>[7]CurveList!C135</f>
        <v>0</v>
      </c>
      <c r="AB135" s="149" t="str">
        <f>[7]CurveList!D135</f>
        <v>Open</v>
      </c>
    </row>
    <row r="136" spans="2:28">
      <c r="B136" s="91"/>
      <c r="C136" s="91"/>
      <c r="D136" s="91"/>
      <c r="E136" s="91"/>
      <c r="F136" s="91"/>
      <c r="G136" s="91"/>
      <c r="S136" s="139">
        <f t="shared" si="1"/>
        <v>123</v>
      </c>
      <c r="T136" s="150">
        <v>40513</v>
      </c>
      <c r="Z136" s="148">
        <f>[7]CurveList!B136</f>
        <v>132</v>
      </c>
      <c r="AA136" s="14">
        <f>[7]CurveList!C136</f>
        <v>0</v>
      </c>
      <c r="AB136" s="149" t="str">
        <f>[7]CurveList!D136</f>
        <v>Open</v>
      </c>
    </row>
    <row r="137" spans="2:28">
      <c r="B137" s="91"/>
      <c r="C137" s="91"/>
      <c r="D137" s="91"/>
      <c r="E137" s="91"/>
      <c r="F137" s="91"/>
      <c r="G137" s="91"/>
      <c r="S137" s="139">
        <f t="shared" si="1"/>
        <v>124</v>
      </c>
      <c r="T137" s="150">
        <v>40544</v>
      </c>
      <c r="Z137" s="148">
        <f>[7]CurveList!B137</f>
        <v>133</v>
      </c>
      <c r="AA137" s="14">
        <f>[7]CurveList!C137</f>
        <v>0</v>
      </c>
      <c r="AB137" s="149" t="str">
        <f>[7]CurveList!D137</f>
        <v>Open</v>
      </c>
    </row>
    <row r="138" spans="2:28">
      <c r="B138" s="91"/>
      <c r="C138" s="91"/>
      <c r="D138" s="91"/>
      <c r="E138" s="91"/>
      <c r="F138" s="91"/>
      <c r="G138" s="91"/>
      <c r="S138" s="139">
        <f t="shared" si="1"/>
        <v>125</v>
      </c>
      <c r="T138" s="150">
        <v>40575</v>
      </c>
      <c r="Z138" s="148">
        <f>[7]CurveList!B138</f>
        <v>134</v>
      </c>
      <c r="AA138" s="14">
        <f>[7]CurveList!C138</f>
        <v>0</v>
      </c>
      <c r="AB138" s="149" t="str">
        <f>[7]CurveList!D138</f>
        <v>Open</v>
      </c>
    </row>
    <row r="139" spans="2:28">
      <c r="B139" s="91"/>
      <c r="C139" s="91"/>
      <c r="D139" s="91"/>
      <c r="E139" s="91"/>
      <c r="F139" s="91"/>
      <c r="G139" s="91"/>
      <c r="S139" s="139">
        <f t="shared" si="1"/>
        <v>126</v>
      </c>
      <c r="T139" s="150">
        <v>40603</v>
      </c>
      <c r="Z139" s="148">
        <f>[7]CurveList!B139</f>
        <v>135</v>
      </c>
      <c r="AA139" s="14">
        <f>[7]CurveList!C139</f>
        <v>0</v>
      </c>
      <c r="AB139" s="149" t="str">
        <f>[7]CurveList!D139</f>
        <v>Open</v>
      </c>
    </row>
    <row r="140" spans="2:28">
      <c r="B140" s="91"/>
      <c r="C140" s="91"/>
      <c r="D140" s="91"/>
      <c r="E140" s="91"/>
      <c r="F140" s="91"/>
      <c r="G140" s="91"/>
      <c r="S140" s="139">
        <f t="shared" si="1"/>
        <v>127</v>
      </c>
      <c r="T140" s="150">
        <v>40634</v>
      </c>
      <c r="Z140" s="148">
        <f>[7]CurveList!B140</f>
        <v>136</v>
      </c>
      <c r="AA140" s="14">
        <f>[7]CurveList!C140</f>
        <v>0</v>
      </c>
      <c r="AB140" s="149" t="str">
        <f>[7]CurveList!D140</f>
        <v>Open</v>
      </c>
    </row>
    <row r="141" spans="2:28">
      <c r="B141" s="91"/>
      <c r="C141" s="91"/>
      <c r="D141" s="91"/>
      <c r="E141" s="91"/>
      <c r="F141" s="91"/>
      <c r="G141" s="91"/>
      <c r="S141" s="139">
        <f t="shared" si="1"/>
        <v>128</v>
      </c>
      <c r="T141" s="150">
        <v>40664</v>
      </c>
      <c r="Z141" s="148">
        <f>[7]CurveList!B141</f>
        <v>137</v>
      </c>
      <c r="AA141" s="14">
        <f>[7]CurveList!C141</f>
        <v>0</v>
      </c>
      <c r="AB141" s="149" t="str">
        <f>[7]CurveList!D141</f>
        <v>Open</v>
      </c>
    </row>
    <row r="142" spans="2:28">
      <c r="B142" s="91"/>
      <c r="C142" s="91"/>
      <c r="D142" s="91"/>
      <c r="E142" s="91"/>
      <c r="F142" s="91"/>
      <c r="G142" s="91"/>
      <c r="S142" s="139">
        <f t="shared" si="1"/>
        <v>129</v>
      </c>
      <c r="T142" s="150">
        <v>40695</v>
      </c>
      <c r="Z142" s="148">
        <f>[7]CurveList!B142</f>
        <v>138</v>
      </c>
      <c r="AA142" s="14">
        <f>[7]CurveList!C142</f>
        <v>0</v>
      </c>
      <c r="AB142" s="149" t="str">
        <f>[7]CurveList!D142</f>
        <v>Open</v>
      </c>
    </row>
    <row r="143" spans="2:28">
      <c r="B143" s="91"/>
      <c r="C143" s="91"/>
      <c r="D143" s="91"/>
      <c r="E143" s="91"/>
      <c r="F143" s="91"/>
      <c r="G143" s="91"/>
      <c r="S143" s="139">
        <f t="shared" si="1"/>
        <v>130</v>
      </c>
      <c r="T143" s="150">
        <v>40725</v>
      </c>
      <c r="Z143" s="148">
        <f>[7]CurveList!B143</f>
        <v>139</v>
      </c>
      <c r="AA143" s="14">
        <f>[7]CurveList!C143</f>
        <v>0</v>
      </c>
      <c r="AB143" s="149" t="str">
        <f>[7]CurveList!D143</f>
        <v>Open</v>
      </c>
    </row>
    <row r="144" spans="2:28">
      <c r="B144" s="91"/>
      <c r="C144" s="91"/>
      <c r="D144" s="91"/>
      <c r="E144" s="91"/>
      <c r="F144" s="91"/>
      <c r="G144" s="91"/>
      <c r="S144" s="139">
        <f t="shared" ref="S144:S207" si="2">S143+1</f>
        <v>131</v>
      </c>
      <c r="T144" s="150">
        <v>40756</v>
      </c>
      <c r="Z144" s="148">
        <f>[7]CurveList!B144</f>
        <v>140</v>
      </c>
      <c r="AA144" s="14">
        <f>[7]CurveList!C144</f>
        <v>0</v>
      </c>
      <c r="AB144" s="149" t="str">
        <f>[7]CurveList!D144</f>
        <v>Open</v>
      </c>
    </row>
    <row r="145" spans="2:28">
      <c r="B145" s="91"/>
      <c r="C145" s="91"/>
      <c r="D145" s="91"/>
      <c r="E145" s="91"/>
      <c r="F145" s="91"/>
      <c r="G145" s="91"/>
      <c r="S145" s="139">
        <f t="shared" si="2"/>
        <v>132</v>
      </c>
      <c r="T145" s="150">
        <v>40787</v>
      </c>
      <c r="Z145" s="148">
        <f>[7]CurveList!B145</f>
        <v>141</v>
      </c>
      <c r="AA145" s="14">
        <f>[7]CurveList!C145</f>
        <v>0</v>
      </c>
      <c r="AB145" s="149" t="str">
        <f>[7]CurveList!D145</f>
        <v>Open</v>
      </c>
    </row>
    <row r="146" spans="2:28">
      <c r="B146" s="91"/>
      <c r="C146" s="91"/>
      <c r="D146" s="91"/>
      <c r="E146" s="91"/>
      <c r="F146" s="91"/>
      <c r="G146" s="91"/>
      <c r="S146" s="139">
        <f t="shared" si="2"/>
        <v>133</v>
      </c>
      <c r="T146" s="150">
        <v>40817</v>
      </c>
      <c r="Z146" s="148">
        <f>[7]CurveList!B146</f>
        <v>142</v>
      </c>
      <c r="AA146" s="14">
        <f>[7]CurveList!C146</f>
        <v>0</v>
      </c>
      <c r="AB146" s="149" t="str">
        <f>[7]CurveList!D146</f>
        <v>Open</v>
      </c>
    </row>
    <row r="147" spans="2:28">
      <c r="B147" s="91"/>
      <c r="C147" s="91"/>
      <c r="D147" s="91"/>
      <c r="E147" s="91"/>
      <c r="F147" s="91"/>
      <c r="G147" s="91"/>
      <c r="S147" s="139">
        <f t="shared" si="2"/>
        <v>134</v>
      </c>
      <c r="T147" s="150">
        <v>40848</v>
      </c>
      <c r="Z147" s="148">
        <f>[7]CurveList!B147</f>
        <v>143</v>
      </c>
      <c r="AA147" s="14">
        <f>[7]CurveList!C147</f>
        <v>0</v>
      </c>
      <c r="AB147" s="149" t="str">
        <f>[7]CurveList!D147</f>
        <v>Open</v>
      </c>
    </row>
    <row r="148" spans="2:28">
      <c r="B148" s="91"/>
      <c r="C148" s="91"/>
      <c r="D148" s="91"/>
      <c r="E148" s="91"/>
      <c r="F148" s="91"/>
      <c r="G148" s="91"/>
      <c r="S148" s="139">
        <f t="shared" si="2"/>
        <v>135</v>
      </c>
      <c r="T148" s="150">
        <v>40878</v>
      </c>
      <c r="Z148" s="148">
        <f>[7]CurveList!B148</f>
        <v>144</v>
      </c>
      <c r="AA148" s="14">
        <f>[7]CurveList!C148</f>
        <v>0</v>
      </c>
      <c r="AB148" s="149" t="str">
        <f>[7]CurveList!D148</f>
        <v>Open</v>
      </c>
    </row>
    <row r="149" spans="2:28">
      <c r="B149" s="91"/>
      <c r="C149" s="91"/>
      <c r="D149" s="91"/>
      <c r="E149" s="91"/>
      <c r="F149" s="91"/>
      <c r="G149" s="91"/>
      <c r="S149" s="139">
        <f t="shared" si="2"/>
        <v>136</v>
      </c>
      <c r="T149" s="150">
        <v>40909</v>
      </c>
      <c r="Z149" s="148">
        <f>[7]CurveList!B149</f>
        <v>145</v>
      </c>
      <c r="AA149" s="14">
        <f>[7]CurveList!C149</f>
        <v>0</v>
      </c>
      <c r="AB149" s="149">
        <f>[7]CurveList!D149</f>
        <v>0</v>
      </c>
    </row>
    <row r="150" spans="2:28">
      <c r="B150" s="91"/>
      <c r="C150" s="91"/>
      <c r="D150" s="91"/>
      <c r="E150" s="91"/>
      <c r="F150" s="91"/>
      <c r="G150" s="91"/>
      <c r="S150" s="139">
        <f t="shared" si="2"/>
        <v>137</v>
      </c>
      <c r="T150" s="150">
        <v>40940</v>
      </c>
      <c r="Z150" s="148">
        <f>[7]CurveList!B150</f>
        <v>146</v>
      </c>
      <c r="AA150" s="14">
        <f>[7]CurveList!C150</f>
        <v>0</v>
      </c>
      <c r="AB150" s="149">
        <f>[7]CurveList!D150</f>
        <v>0</v>
      </c>
    </row>
    <row r="151" spans="2:28">
      <c r="B151" s="91"/>
      <c r="C151" s="91"/>
      <c r="D151" s="91"/>
      <c r="E151" s="91"/>
      <c r="F151" s="91"/>
      <c r="G151" s="91"/>
      <c r="S151" s="139">
        <f t="shared" si="2"/>
        <v>138</v>
      </c>
      <c r="T151" s="150">
        <v>40969</v>
      </c>
      <c r="Z151" s="148">
        <f>[7]CurveList!B151</f>
        <v>147</v>
      </c>
      <c r="AA151" s="14">
        <f>[7]CurveList!C151</f>
        <v>0</v>
      </c>
      <c r="AB151" s="149">
        <f>[7]CurveList!D151</f>
        <v>0</v>
      </c>
    </row>
    <row r="152" spans="2:28">
      <c r="B152" s="91"/>
      <c r="C152" s="91"/>
      <c r="D152" s="91"/>
      <c r="E152" s="91"/>
      <c r="F152" s="91"/>
      <c r="G152" s="91"/>
      <c r="S152" s="139">
        <f t="shared" si="2"/>
        <v>139</v>
      </c>
      <c r="T152" s="150">
        <v>41000</v>
      </c>
      <c r="Z152" s="148">
        <f>[7]CurveList!B152</f>
        <v>148</v>
      </c>
      <c r="AA152" s="14">
        <f>[7]CurveList!C152</f>
        <v>0</v>
      </c>
      <c r="AB152" s="149">
        <f>[7]CurveList!D152</f>
        <v>0</v>
      </c>
    </row>
    <row r="153" spans="2:28">
      <c r="B153" s="91"/>
      <c r="C153" s="91"/>
      <c r="D153" s="91"/>
      <c r="E153" s="91"/>
      <c r="F153" s="91"/>
      <c r="G153" s="91"/>
      <c r="S153" s="139">
        <f t="shared" si="2"/>
        <v>140</v>
      </c>
      <c r="T153" s="150">
        <v>41030</v>
      </c>
      <c r="Z153" s="148">
        <f>[7]CurveList!B153</f>
        <v>149</v>
      </c>
      <c r="AA153" s="14">
        <f>[7]CurveList!C153</f>
        <v>0</v>
      </c>
      <c r="AB153" s="149">
        <f>[7]CurveList!D153</f>
        <v>0</v>
      </c>
    </row>
    <row r="154" spans="2:28">
      <c r="B154" s="91"/>
      <c r="C154" s="91"/>
      <c r="D154" s="91"/>
      <c r="E154" s="91"/>
      <c r="F154" s="91"/>
      <c r="G154" s="91"/>
      <c r="S154" s="139">
        <f t="shared" si="2"/>
        <v>141</v>
      </c>
      <c r="T154" s="150">
        <v>41061</v>
      </c>
      <c r="Z154" s="148">
        <f>[7]CurveList!B154</f>
        <v>150</v>
      </c>
      <c r="AA154" s="14">
        <f>[7]CurveList!C154</f>
        <v>0</v>
      </c>
      <c r="AB154" s="149">
        <f>[7]CurveList!D154</f>
        <v>0</v>
      </c>
    </row>
    <row r="155" spans="2:28">
      <c r="B155" s="91"/>
      <c r="C155" s="91"/>
      <c r="D155" s="91"/>
      <c r="E155" s="91"/>
      <c r="F155" s="91"/>
      <c r="G155" s="91"/>
      <c r="S155" s="139">
        <f t="shared" si="2"/>
        <v>142</v>
      </c>
      <c r="T155" s="150">
        <v>41091</v>
      </c>
      <c r="Z155" s="148">
        <f>[7]CurveList!B155</f>
        <v>151</v>
      </c>
      <c r="AA155" s="14">
        <f>[7]CurveList!C155</f>
        <v>0</v>
      </c>
      <c r="AB155" s="149">
        <f>[7]CurveList!D155</f>
        <v>0</v>
      </c>
    </row>
    <row r="156" spans="2:28">
      <c r="B156" s="91"/>
      <c r="C156" s="91"/>
      <c r="D156" s="91"/>
      <c r="E156" s="91"/>
      <c r="F156" s="91"/>
      <c r="G156" s="91"/>
      <c r="S156" s="139">
        <f t="shared" si="2"/>
        <v>143</v>
      </c>
      <c r="T156" s="150">
        <v>41122</v>
      </c>
      <c r="Z156" s="148">
        <f>[7]CurveList!B156</f>
        <v>152</v>
      </c>
      <c r="AA156" s="14">
        <f>[7]CurveList!C156</f>
        <v>0</v>
      </c>
      <c r="AB156" s="149">
        <f>[7]CurveList!D156</f>
        <v>0</v>
      </c>
    </row>
    <row r="157" spans="2:28">
      <c r="B157" s="91"/>
      <c r="C157" s="91"/>
      <c r="D157" s="91"/>
      <c r="E157" s="91"/>
      <c r="F157" s="91"/>
      <c r="G157" s="91"/>
      <c r="S157" s="139">
        <f t="shared" si="2"/>
        <v>144</v>
      </c>
      <c r="T157" s="150">
        <v>41153</v>
      </c>
      <c r="Z157" s="148">
        <f>[7]CurveList!B157</f>
        <v>153</v>
      </c>
      <c r="AA157" s="14">
        <f>[7]CurveList!C157</f>
        <v>0</v>
      </c>
      <c r="AB157" s="149">
        <f>[7]CurveList!D157</f>
        <v>0</v>
      </c>
    </row>
    <row r="158" spans="2:28">
      <c r="B158" s="91"/>
      <c r="C158" s="91"/>
      <c r="D158" s="91"/>
      <c r="E158" s="91"/>
      <c r="F158" s="91"/>
      <c r="G158" s="91"/>
      <c r="S158" s="139">
        <f t="shared" si="2"/>
        <v>145</v>
      </c>
      <c r="T158" s="150">
        <v>41183</v>
      </c>
      <c r="Z158" s="148">
        <f>[7]CurveList!B158</f>
        <v>154</v>
      </c>
      <c r="AA158" s="14">
        <f>[7]CurveList!C158</f>
        <v>0</v>
      </c>
      <c r="AB158" s="149">
        <f>[7]CurveList!D158</f>
        <v>0</v>
      </c>
    </row>
    <row r="159" spans="2:28">
      <c r="B159" s="91"/>
      <c r="C159" s="91"/>
      <c r="D159" s="91"/>
      <c r="E159" s="91"/>
      <c r="F159" s="91"/>
      <c r="G159" s="91"/>
      <c r="S159" s="139">
        <f t="shared" si="2"/>
        <v>146</v>
      </c>
      <c r="T159" s="150">
        <v>41214</v>
      </c>
      <c r="Z159" s="148">
        <f>[7]CurveList!B159</f>
        <v>155</v>
      </c>
      <c r="AA159" s="14">
        <f>[7]CurveList!C159</f>
        <v>0</v>
      </c>
      <c r="AB159" s="149">
        <f>[7]CurveList!D159</f>
        <v>0</v>
      </c>
    </row>
    <row r="160" spans="2:28">
      <c r="B160" s="91"/>
      <c r="C160" s="91"/>
      <c r="D160" s="91"/>
      <c r="E160" s="91"/>
      <c r="F160" s="91"/>
      <c r="G160" s="91"/>
      <c r="S160" s="139">
        <f t="shared" si="2"/>
        <v>147</v>
      </c>
      <c r="T160" s="150">
        <v>41244</v>
      </c>
      <c r="Z160" s="148">
        <f>[7]CurveList!B160</f>
        <v>156</v>
      </c>
      <c r="AA160" s="14">
        <f>[7]CurveList!C160</f>
        <v>0</v>
      </c>
      <c r="AB160" s="149">
        <f>[7]CurveList!D160</f>
        <v>0</v>
      </c>
    </row>
    <row r="161" spans="2:28">
      <c r="B161" s="91"/>
      <c r="C161" s="91"/>
      <c r="D161" s="91"/>
      <c r="E161" s="91"/>
      <c r="F161" s="91"/>
      <c r="G161" s="91"/>
      <c r="S161" s="139">
        <f t="shared" si="2"/>
        <v>148</v>
      </c>
      <c r="T161" s="150">
        <v>41275</v>
      </c>
      <c r="Z161" s="148">
        <f>[7]CurveList!B161</f>
        <v>157</v>
      </c>
      <c r="AA161" s="14">
        <f>[7]CurveList!C161</f>
        <v>0</v>
      </c>
      <c r="AB161" s="149">
        <f>[7]CurveList!D161</f>
        <v>0</v>
      </c>
    </row>
    <row r="162" spans="2:28">
      <c r="B162" s="91"/>
      <c r="C162" s="91"/>
      <c r="D162" s="91"/>
      <c r="E162" s="91"/>
      <c r="F162" s="91"/>
      <c r="G162" s="91"/>
      <c r="S162" s="139">
        <f t="shared" si="2"/>
        <v>149</v>
      </c>
      <c r="T162" s="150">
        <v>41306</v>
      </c>
      <c r="Z162" s="148">
        <f>[7]CurveList!B162</f>
        <v>158</v>
      </c>
      <c r="AA162" s="14">
        <f>[7]CurveList!C162</f>
        <v>0</v>
      </c>
      <c r="AB162" s="149">
        <f>[7]CurveList!D162</f>
        <v>0</v>
      </c>
    </row>
    <row r="163" spans="2:28">
      <c r="B163" s="91"/>
      <c r="C163" s="91"/>
      <c r="D163" s="91"/>
      <c r="E163" s="91"/>
      <c r="F163" s="91"/>
      <c r="G163" s="91"/>
      <c r="S163" s="139">
        <f t="shared" si="2"/>
        <v>150</v>
      </c>
      <c r="T163" s="150">
        <v>41334</v>
      </c>
      <c r="Z163" s="148">
        <f>[7]CurveList!B163</f>
        <v>159</v>
      </c>
      <c r="AA163" s="14">
        <f>[7]CurveList!C163</f>
        <v>0</v>
      </c>
      <c r="AB163" s="149">
        <f>[7]CurveList!D163</f>
        <v>0</v>
      </c>
    </row>
    <row r="164" spans="2:28">
      <c r="B164" s="91"/>
      <c r="C164" s="91"/>
      <c r="D164" s="91"/>
      <c r="E164" s="91"/>
      <c r="F164" s="91"/>
      <c r="G164" s="91"/>
      <c r="S164" s="139">
        <f t="shared" si="2"/>
        <v>151</v>
      </c>
      <c r="T164" s="150">
        <v>41365</v>
      </c>
      <c r="Z164" s="148">
        <f>[7]CurveList!B164</f>
        <v>160</v>
      </c>
      <c r="AA164" s="14">
        <f>[7]CurveList!C164</f>
        <v>0</v>
      </c>
      <c r="AB164" s="149">
        <f>[7]CurveList!D164</f>
        <v>0</v>
      </c>
    </row>
    <row r="165" spans="2:28">
      <c r="B165" s="91"/>
      <c r="C165" s="91"/>
      <c r="D165" s="91"/>
      <c r="E165" s="91"/>
      <c r="F165" s="91"/>
      <c r="G165" s="91"/>
      <c r="S165" s="139">
        <f t="shared" si="2"/>
        <v>152</v>
      </c>
      <c r="T165" s="150">
        <v>41395</v>
      </c>
      <c r="Z165" s="148">
        <f>[7]CurveList!B165</f>
        <v>161</v>
      </c>
      <c r="AA165" s="14">
        <f>[7]CurveList!C165</f>
        <v>0</v>
      </c>
      <c r="AB165" s="149">
        <f>[7]CurveList!D165</f>
        <v>0</v>
      </c>
    </row>
    <row r="166" spans="2:28">
      <c r="B166" s="91"/>
      <c r="C166" s="91"/>
      <c r="D166" s="91"/>
      <c r="E166" s="91"/>
      <c r="F166" s="91"/>
      <c r="G166" s="91"/>
      <c r="S166" s="139">
        <f t="shared" si="2"/>
        <v>153</v>
      </c>
      <c r="T166" s="150">
        <v>41426</v>
      </c>
      <c r="Z166" s="148">
        <f>[7]CurveList!B166</f>
        <v>162</v>
      </c>
      <c r="AA166" s="14">
        <f>[7]CurveList!C166</f>
        <v>0</v>
      </c>
      <c r="AB166" s="149">
        <f>[7]CurveList!D166</f>
        <v>0</v>
      </c>
    </row>
    <row r="167" spans="2:28">
      <c r="B167" s="91"/>
      <c r="C167" s="91"/>
      <c r="D167" s="91"/>
      <c r="E167" s="91"/>
      <c r="F167" s="91"/>
      <c r="G167" s="91"/>
      <c r="S167" s="139">
        <f t="shared" si="2"/>
        <v>154</v>
      </c>
      <c r="T167" s="150">
        <v>41456</v>
      </c>
      <c r="Z167" s="148">
        <f>[7]CurveList!B167</f>
        <v>163</v>
      </c>
      <c r="AA167" s="14">
        <f>[7]CurveList!C167</f>
        <v>0</v>
      </c>
      <c r="AB167" s="149">
        <f>[7]CurveList!D167</f>
        <v>0</v>
      </c>
    </row>
    <row r="168" spans="2:28">
      <c r="B168" s="91"/>
      <c r="C168" s="91"/>
      <c r="D168" s="91"/>
      <c r="E168" s="91"/>
      <c r="F168" s="91"/>
      <c r="G168" s="91"/>
      <c r="S168" s="139">
        <f t="shared" si="2"/>
        <v>155</v>
      </c>
      <c r="T168" s="150">
        <v>41487</v>
      </c>
      <c r="Z168" s="148">
        <f>[7]CurveList!B168</f>
        <v>164</v>
      </c>
      <c r="AA168" s="14">
        <f>[7]CurveList!C168</f>
        <v>0</v>
      </c>
      <c r="AB168" s="149">
        <f>[7]CurveList!D168</f>
        <v>0</v>
      </c>
    </row>
    <row r="169" spans="2:28">
      <c r="B169" s="91"/>
      <c r="C169" s="91"/>
      <c r="D169" s="91"/>
      <c r="E169" s="91"/>
      <c r="F169" s="91"/>
      <c r="G169" s="91"/>
      <c r="S169" s="139">
        <f t="shared" si="2"/>
        <v>156</v>
      </c>
      <c r="T169" s="150">
        <v>41518</v>
      </c>
      <c r="Z169" s="148">
        <f>[7]CurveList!B169</f>
        <v>165</v>
      </c>
      <c r="AA169" s="14">
        <f>[7]CurveList!C169</f>
        <v>0</v>
      </c>
      <c r="AB169" s="149">
        <f>[7]CurveList!D169</f>
        <v>0</v>
      </c>
    </row>
    <row r="170" spans="2:28">
      <c r="B170" s="91"/>
      <c r="C170" s="91"/>
      <c r="D170" s="91"/>
      <c r="E170" s="91"/>
      <c r="F170" s="91"/>
      <c r="G170" s="91"/>
      <c r="S170" s="139">
        <f t="shared" si="2"/>
        <v>157</v>
      </c>
      <c r="T170" s="150">
        <v>41548</v>
      </c>
      <c r="Z170" s="148">
        <f>[7]CurveList!B170</f>
        <v>166</v>
      </c>
      <c r="AA170" s="14">
        <f>[7]CurveList!C170</f>
        <v>0</v>
      </c>
      <c r="AB170" s="149">
        <f>[7]CurveList!D170</f>
        <v>0</v>
      </c>
    </row>
    <row r="171" spans="2:28">
      <c r="B171" s="91"/>
      <c r="C171" s="91"/>
      <c r="D171" s="91"/>
      <c r="E171" s="91"/>
      <c r="F171" s="91"/>
      <c r="G171" s="91"/>
      <c r="S171" s="139">
        <f t="shared" si="2"/>
        <v>158</v>
      </c>
      <c r="T171" s="150">
        <v>41579</v>
      </c>
      <c r="Z171" s="148">
        <f>[7]CurveList!B171</f>
        <v>167</v>
      </c>
      <c r="AA171" s="14">
        <f>[7]CurveList!C171</f>
        <v>0</v>
      </c>
      <c r="AB171" s="149">
        <f>[7]CurveList!D171</f>
        <v>0</v>
      </c>
    </row>
    <row r="172" spans="2:28">
      <c r="B172" s="91"/>
      <c r="C172" s="91"/>
      <c r="D172" s="91"/>
      <c r="E172" s="91"/>
      <c r="F172" s="91"/>
      <c r="G172" s="91"/>
      <c r="S172" s="139">
        <f t="shared" si="2"/>
        <v>159</v>
      </c>
      <c r="T172" s="150">
        <v>41609</v>
      </c>
      <c r="Z172" s="148">
        <f>[7]CurveList!B172</f>
        <v>168</v>
      </c>
      <c r="AA172" s="14">
        <f>[7]CurveList!C172</f>
        <v>0</v>
      </c>
      <c r="AB172" s="149">
        <f>[7]CurveList!D172</f>
        <v>0</v>
      </c>
    </row>
    <row r="173" spans="2:28">
      <c r="B173" s="91"/>
      <c r="C173" s="91"/>
      <c r="D173" s="91"/>
      <c r="E173" s="91"/>
      <c r="F173" s="91"/>
      <c r="G173" s="91"/>
      <c r="S173" s="139">
        <f t="shared" si="2"/>
        <v>160</v>
      </c>
      <c r="T173" s="150">
        <v>41640</v>
      </c>
      <c r="Z173" s="148">
        <f>[7]CurveList!B173</f>
        <v>169</v>
      </c>
      <c r="AA173" s="14">
        <f>[7]CurveList!C173</f>
        <v>0</v>
      </c>
      <c r="AB173" s="149">
        <f>[7]CurveList!D173</f>
        <v>0</v>
      </c>
    </row>
    <row r="174" spans="2:28">
      <c r="B174" s="91"/>
      <c r="C174" s="91"/>
      <c r="D174" s="91"/>
      <c r="E174" s="91"/>
      <c r="F174" s="91"/>
      <c r="G174" s="91"/>
      <c r="S174" s="139">
        <f t="shared" si="2"/>
        <v>161</v>
      </c>
      <c r="T174" s="150">
        <v>41671</v>
      </c>
      <c r="Z174" s="148">
        <f>[7]CurveList!B174</f>
        <v>170</v>
      </c>
      <c r="AA174" s="14">
        <f>[7]CurveList!C174</f>
        <v>0</v>
      </c>
      <c r="AB174" s="149">
        <f>[7]CurveList!D174</f>
        <v>0</v>
      </c>
    </row>
    <row r="175" spans="2:28">
      <c r="B175" s="91"/>
      <c r="C175" s="91"/>
      <c r="D175" s="91"/>
      <c r="E175" s="91"/>
      <c r="F175" s="91"/>
      <c r="G175" s="91"/>
      <c r="S175" s="139">
        <f t="shared" si="2"/>
        <v>162</v>
      </c>
      <c r="T175" s="150">
        <v>41699</v>
      </c>
      <c r="Z175" s="148">
        <f>[7]CurveList!B175</f>
        <v>171</v>
      </c>
      <c r="AA175" s="14">
        <f>[7]CurveList!C175</f>
        <v>0</v>
      </c>
      <c r="AB175" s="149">
        <f>[7]CurveList!D175</f>
        <v>0</v>
      </c>
    </row>
    <row r="176" spans="2:28">
      <c r="B176" s="91"/>
      <c r="C176" s="91"/>
      <c r="D176" s="91"/>
      <c r="E176" s="91"/>
      <c r="F176" s="91"/>
      <c r="G176" s="91"/>
      <c r="S176" s="139">
        <f t="shared" si="2"/>
        <v>163</v>
      </c>
      <c r="T176" s="150">
        <v>41730</v>
      </c>
      <c r="Z176" s="148">
        <f>[7]CurveList!B176</f>
        <v>172</v>
      </c>
      <c r="AA176" s="14">
        <f>[7]CurveList!C176</f>
        <v>0</v>
      </c>
      <c r="AB176" s="149">
        <f>[7]CurveList!D176</f>
        <v>0</v>
      </c>
    </row>
    <row r="177" spans="2:28">
      <c r="B177" s="91"/>
      <c r="C177" s="91"/>
      <c r="D177" s="91"/>
      <c r="E177" s="91"/>
      <c r="F177" s="91"/>
      <c r="G177" s="91"/>
      <c r="S177" s="139">
        <f t="shared" si="2"/>
        <v>164</v>
      </c>
      <c r="T177" s="150">
        <v>41760</v>
      </c>
      <c r="Z177" s="148">
        <f>[7]CurveList!B177</f>
        <v>173</v>
      </c>
      <c r="AA177" s="14">
        <f>[7]CurveList!C177</f>
        <v>0</v>
      </c>
      <c r="AB177" s="149">
        <f>[7]CurveList!D177</f>
        <v>0</v>
      </c>
    </row>
    <row r="178" spans="2:28">
      <c r="B178" s="91"/>
      <c r="C178" s="91"/>
      <c r="D178" s="91"/>
      <c r="E178" s="91"/>
      <c r="F178" s="91"/>
      <c r="G178" s="91"/>
      <c r="S178" s="139">
        <f t="shared" si="2"/>
        <v>165</v>
      </c>
      <c r="T178" s="150">
        <v>41791</v>
      </c>
      <c r="Z178" s="148">
        <f>[7]CurveList!B178</f>
        <v>174</v>
      </c>
      <c r="AA178" s="14">
        <f>[7]CurveList!C178</f>
        <v>0</v>
      </c>
      <c r="AB178" s="149">
        <f>[7]CurveList!D178</f>
        <v>0</v>
      </c>
    </row>
    <row r="179" spans="2:28">
      <c r="B179" s="91"/>
      <c r="C179" s="91"/>
      <c r="D179" s="91"/>
      <c r="E179" s="91"/>
      <c r="F179" s="91"/>
      <c r="G179" s="91"/>
      <c r="S179" s="139">
        <f t="shared" si="2"/>
        <v>166</v>
      </c>
      <c r="T179" s="150">
        <v>41821</v>
      </c>
      <c r="Z179" s="148">
        <f>[7]CurveList!B179</f>
        <v>175</v>
      </c>
      <c r="AA179" s="14">
        <f>[7]CurveList!C179</f>
        <v>0</v>
      </c>
      <c r="AB179" s="149">
        <f>[7]CurveList!D179</f>
        <v>0</v>
      </c>
    </row>
    <row r="180" spans="2:28">
      <c r="B180" s="91"/>
      <c r="C180" s="91"/>
      <c r="D180" s="91"/>
      <c r="E180" s="91"/>
      <c r="F180" s="91"/>
      <c r="G180" s="91"/>
      <c r="S180" s="139">
        <f t="shared" si="2"/>
        <v>167</v>
      </c>
      <c r="T180" s="150">
        <v>41852</v>
      </c>
      <c r="Z180" s="148">
        <f>[7]CurveList!B180</f>
        <v>176</v>
      </c>
      <c r="AA180" s="14">
        <f>[7]CurveList!C180</f>
        <v>0</v>
      </c>
      <c r="AB180" s="149">
        <f>[7]CurveList!D180</f>
        <v>0</v>
      </c>
    </row>
    <row r="181" spans="2:28">
      <c r="B181" s="91"/>
      <c r="C181" s="91"/>
      <c r="D181" s="91"/>
      <c r="E181" s="91"/>
      <c r="F181" s="91"/>
      <c r="G181" s="91"/>
      <c r="S181" s="139">
        <f t="shared" si="2"/>
        <v>168</v>
      </c>
      <c r="T181" s="150">
        <v>41883</v>
      </c>
      <c r="Z181" s="148">
        <f>[7]CurveList!B181</f>
        <v>177</v>
      </c>
      <c r="AA181" s="14">
        <f>[7]CurveList!C181</f>
        <v>0</v>
      </c>
      <c r="AB181" s="149">
        <f>[7]CurveList!D181</f>
        <v>0</v>
      </c>
    </row>
    <row r="182" spans="2:28">
      <c r="B182" s="91"/>
      <c r="C182" s="91"/>
      <c r="D182" s="91"/>
      <c r="E182" s="91"/>
      <c r="F182" s="91"/>
      <c r="G182" s="91"/>
      <c r="S182" s="139">
        <f t="shared" si="2"/>
        <v>169</v>
      </c>
      <c r="T182" s="150">
        <v>41913</v>
      </c>
      <c r="Z182" s="148">
        <f>[7]CurveList!B182</f>
        <v>178</v>
      </c>
      <c r="AA182" s="14">
        <f>[7]CurveList!C182</f>
        <v>0</v>
      </c>
      <c r="AB182" s="149">
        <f>[7]CurveList!D182</f>
        <v>0</v>
      </c>
    </row>
    <row r="183" spans="2:28">
      <c r="B183" s="91"/>
      <c r="C183" s="91"/>
      <c r="D183" s="91"/>
      <c r="E183" s="91"/>
      <c r="F183" s="91"/>
      <c r="G183" s="91"/>
      <c r="S183" s="139">
        <f t="shared" si="2"/>
        <v>170</v>
      </c>
      <c r="T183" s="150">
        <v>41944</v>
      </c>
      <c r="Z183" s="148">
        <f>[7]CurveList!B183</f>
        <v>179</v>
      </c>
      <c r="AA183" s="14">
        <f>[7]CurveList!C183</f>
        <v>0</v>
      </c>
      <c r="AB183" s="149">
        <f>[7]CurveList!D183</f>
        <v>0</v>
      </c>
    </row>
    <row r="184" spans="2:28">
      <c r="B184" s="91"/>
      <c r="C184" s="91"/>
      <c r="D184" s="91"/>
      <c r="E184" s="91"/>
      <c r="F184" s="91"/>
      <c r="G184" s="91"/>
      <c r="S184" s="139">
        <f t="shared" si="2"/>
        <v>171</v>
      </c>
      <c r="T184" s="150">
        <v>41974</v>
      </c>
      <c r="Z184" s="148">
        <f>[7]CurveList!B184</f>
        <v>180</v>
      </c>
      <c r="AA184" s="14">
        <f>[7]CurveList!C184</f>
        <v>0</v>
      </c>
      <c r="AB184" s="149">
        <f>[7]CurveList!D184</f>
        <v>0</v>
      </c>
    </row>
    <row r="185" spans="2:28">
      <c r="B185" s="91"/>
      <c r="C185" s="91"/>
      <c r="D185" s="91"/>
      <c r="E185" s="91"/>
      <c r="F185" s="91"/>
      <c r="G185" s="91"/>
      <c r="S185" s="139">
        <f t="shared" si="2"/>
        <v>172</v>
      </c>
      <c r="T185" s="150">
        <v>42005</v>
      </c>
      <c r="Z185" s="148">
        <f>[7]CurveList!B185</f>
        <v>181</v>
      </c>
      <c r="AA185" s="14">
        <f>[7]CurveList!C185</f>
        <v>0</v>
      </c>
      <c r="AB185" s="149">
        <f>[7]CurveList!D185</f>
        <v>0</v>
      </c>
    </row>
    <row r="186" spans="2:28">
      <c r="B186" s="91"/>
      <c r="C186" s="91"/>
      <c r="D186" s="91"/>
      <c r="E186" s="91"/>
      <c r="F186" s="91"/>
      <c r="G186" s="91"/>
      <c r="S186" s="139">
        <f t="shared" si="2"/>
        <v>173</v>
      </c>
      <c r="T186" s="150">
        <v>42036</v>
      </c>
      <c r="Z186" s="148">
        <f>[7]CurveList!B186</f>
        <v>182</v>
      </c>
      <c r="AA186" s="14">
        <f>[7]CurveList!C186</f>
        <v>0</v>
      </c>
      <c r="AB186" s="149">
        <f>[7]CurveList!D186</f>
        <v>0</v>
      </c>
    </row>
    <row r="187" spans="2:28">
      <c r="B187" s="91"/>
      <c r="C187" s="91"/>
      <c r="D187" s="91"/>
      <c r="E187" s="91"/>
      <c r="F187" s="91"/>
      <c r="G187" s="91"/>
      <c r="S187" s="139">
        <f t="shared" si="2"/>
        <v>174</v>
      </c>
      <c r="T187" s="150">
        <v>42064</v>
      </c>
      <c r="Z187" s="148">
        <f>[7]CurveList!B187</f>
        <v>183</v>
      </c>
      <c r="AA187" s="14">
        <f>[7]CurveList!C187</f>
        <v>0</v>
      </c>
      <c r="AB187" s="149">
        <f>[7]CurveList!D187</f>
        <v>0</v>
      </c>
    </row>
    <row r="188" spans="2:28">
      <c r="B188" s="91"/>
      <c r="C188" s="91"/>
      <c r="D188" s="91"/>
      <c r="E188" s="91"/>
      <c r="F188" s="91"/>
      <c r="G188" s="91"/>
      <c r="S188" s="139">
        <f t="shared" si="2"/>
        <v>175</v>
      </c>
      <c r="T188" s="150">
        <v>42095</v>
      </c>
      <c r="Z188" s="148">
        <f>[7]CurveList!B188</f>
        <v>184</v>
      </c>
      <c r="AA188" s="14">
        <f>[7]CurveList!C188</f>
        <v>0</v>
      </c>
      <c r="AB188" s="149">
        <f>[7]CurveList!D188</f>
        <v>0</v>
      </c>
    </row>
    <row r="189" spans="2:28">
      <c r="B189" s="91"/>
      <c r="C189" s="91"/>
      <c r="D189" s="91"/>
      <c r="E189" s="91"/>
      <c r="F189" s="91"/>
      <c r="G189" s="91"/>
      <c r="S189" s="139">
        <f t="shared" si="2"/>
        <v>176</v>
      </c>
      <c r="T189" s="150">
        <v>42125</v>
      </c>
      <c r="Z189" s="148">
        <f>[7]CurveList!B189</f>
        <v>185</v>
      </c>
      <c r="AA189" s="14">
        <f>[7]CurveList!C189</f>
        <v>0</v>
      </c>
      <c r="AB189" s="149">
        <f>[7]CurveList!D189</f>
        <v>0</v>
      </c>
    </row>
    <row r="190" spans="2:28">
      <c r="B190" s="91"/>
      <c r="C190" s="91"/>
      <c r="D190" s="91"/>
      <c r="E190" s="91"/>
      <c r="F190" s="91"/>
      <c r="G190" s="91"/>
      <c r="S190" s="139">
        <f t="shared" si="2"/>
        <v>177</v>
      </c>
      <c r="T190" s="150">
        <v>42156</v>
      </c>
      <c r="Z190" s="148">
        <f>[7]CurveList!B190</f>
        <v>186</v>
      </c>
      <c r="AA190" s="14">
        <f>[7]CurveList!C190</f>
        <v>0</v>
      </c>
      <c r="AB190" s="149">
        <f>[7]CurveList!D190</f>
        <v>0</v>
      </c>
    </row>
    <row r="191" spans="2:28">
      <c r="B191" s="91"/>
      <c r="C191" s="91"/>
      <c r="D191" s="91"/>
      <c r="E191" s="91"/>
      <c r="F191" s="91"/>
      <c r="G191" s="91"/>
      <c r="S191" s="139">
        <f t="shared" si="2"/>
        <v>178</v>
      </c>
      <c r="T191" s="150">
        <v>42186</v>
      </c>
      <c r="Z191" s="148">
        <f>[7]CurveList!B191</f>
        <v>187</v>
      </c>
      <c r="AA191" s="14">
        <f>[7]CurveList!C191</f>
        <v>0</v>
      </c>
      <c r="AB191" s="149">
        <f>[7]CurveList!D191</f>
        <v>0</v>
      </c>
    </row>
    <row r="192" spans="2:28">
      <c r="B192" s="91"/>
      <c r="C192" s="91"/>
      <c r="D192" s="91"/>
      <c r="E192" s="91"/>
      <c r="F192" s="91"/>
      <c r="G192" s="91"/>
      <c r="S192" s="139">
        <f t="shared" si="2"/>
        <v>179</v>
      </c>
      <c r="T192" s="150">
        <v>42217</v>
      </c>
      <c r="Z192" s="148">
        <f>[7]CurveList!B192</f>
        <v>188</v>
      </c>
      <c r="AA192" s="14">
        <f>[7]CurveList!C192</f>
        <v>0</v>
      </c>
      <c r="AB192" s="149">
        <f>[7]CurveList!D192</f>
        <v>0</v>
      </c>
    </row>
    <row r="193" spans="2:28">
      <c r="B193" s="91"/>
      <c r="C193" s="91"/>
      <c r="D193" s="91"/>
      <c r="E193" s="91"/>
      <c r="F193" s="91"/>
      <c r="G193" s="91"/>
      <c r="S193" s="139">
        <f t="shared" si="2"/>
        <v>180</v>
      </c>
      <c r="T193" s="150">
        <v>42248</v>
      </c>
      <c r="Z193" s="148">
        <f>[7]CurveList!B193</f>
        <v>189</v>
      </c>
      <c r="AA193" s="14">
        <f>[7]CurveList!C193</f>
        <v>0</v>
      </c>
      <c r="AB193" s="149">
        <f>[7]CurveList!D193</f>
        <v>0</v>
      </c>
    </row>
    <row r="194" spans="2:28">
      <c r="B194" s="91"/>
      <c r="C194" s="91"/>
      <c r="D194" s="91"/>
      <c r="E194" s="91"/>
      <c r="F194" s="91"/>
      <c r="G194" s="91"/>
      <c r="S194" s="139">
        <f t="shared" si="2"/>
        <v>181</v>
      </c>
      <c r="T194" s="150">
        <v>42278</v>
      </c>
      <c r="Z194" s="148">
        <f>[7]CurveList!B194</f>
        <v>190</v>
      </c>
      <c r="AA194" s="14">
        <f>[7]CurveList!C194</f>
        <v>0</v>
      </c>
      <c r="AB194" s="149">
        <f>[7]CurveList!D194</f>
        <v>0</v>
      </c>
    </row>
    <row r="195" spans="2:28">
      <c r="B195" s="91"/>
      <c r="C195" s="91"/>
      <c r="D195" s="91"/>
      <c r="E195" s="91"/>
      <c r="F195" s="91"/>
      <c r="G195" s="91"/>
      <c r="S195" s="139">
        <f t="shared" si="2"/>
        <v>182</v>
      </c>
      <c r="T195" s="150">
        <v>42309</v>
      </c>
      <c r="Z195" s="148">
        <f>[7]CurveList!B195</f>
        <v>191</v>
      </c>
      <c r="AA195" s="14">
        <f>[7]CurveList!C195</f>
        <v>0</v>
      </c>
      <c r="AB195" s="149">
        <f>[7]CurveList!D195</f>
        <v>0</v>
      </c>
    </row>
    <row r="196" spans="2:28">
      <c r="B196" s="91"/>
      <c r="C196" s="91"/>
      <c r="D196" s="91"/>
      <c r="E196" s="91"/>
      <c r="F196" s="91"/>
      <c r="G196" s="91"/>
      <c r="S196" s="139">
        <f t="shared" si="2"/>
        <v>183</v>
      </c>
      <c r="T196" s="150">
        <v>42339</v>
      </c>
      <c r="Z196" s="148">
        <f>[7]CurveList!B196</f>
        <v>192</v>
      </c>
      <c r="AA196" s="14">
        <f>[7]CurveList!C196</f>
        <v>0</v>
      </c>
      <c r="AB196" s="149">
        <f>[7]CurveList!D196</f>
        <v>0</v>
      </c>
    </row>
    <row r="197" spans="2:28">
      <c r="B197" s="91"/>
      <c r="C197" s="91"/>
      <c r="D197" s="91"/>
      <c r="E197" s="91"/>
      <c r="F197" s="91"/>
      <c r="G197" s="91"/>
      <c r="S197" s="139">
        <f t="shared" si="2"/>
        <v>184</v>
      </c>
      <c r="T197" s="150">
        <v>42370</v>
      </c>
      <c r="Z197" s="148">
        <f>[7]CurveList!B197</f>
        <v>193</v>
      </c>
      <c r="AA197" s="14">
        <f>[7]CurveList!C197</f>
        <v>0</v>
      </c>
      <c r="AB197" s="149">
        <f>[7]CurveList!D197</f>
        <v>0</v>
      </c>
    </row>
    <row r="198" spans="2:28">
      <c r="B198" s="91"/>
      <c r="C198" s="91"/>
      <c r="D198" s="91"/>
      <c r="E198" s="91"/>
      <c r="F198" s="91"/>
      <c r="G198" s="91"/>
      <c r="S198" s="139">
        <f t="shared" si="2"/>
        <v>185</v>
      </c>
      <c r="T198" s="150">
        <v>42401</v>
      </c>
      <c r="Z198" s="148">
        <f>[7]CurveList!B198</f>
        <v>194</v>
      </c>
      <c r="AA198" s="14">
        <f>[7]CurveList!C198</f>
        <v>0</v>
      </c>
      <c r="AB198" s="149">
        <f>[7]CurveList!D198</f>
        <v>0</v>
      </c>
    </row>
    <row r="199" spans="2:28">
      <c r="B199" s="91"/>
      <c r="C199" s="91"/>
      <c r="D199" s="91"/>
      <c r="E199" s="91"/>
      <c r="F199" s="91"/>
      <c r="G199" s="91"/>
      <c r="S199" s="139">
        <f t="shared" si="2"/>
        <v>186</v>
      </c>
      <c r="T199" s="150">
        <v>42430</v>
      </c>
      <c r="Z199" s="148">
        <f>[7]CurveList!B199</f>
        <v>195</v>
      </c>
      <c r="AA199" s="14">
        <f>[7]CurveList!C199</f>
        <v>0</v>
      </c>
      <c r="AB199" s="149">
        <f>[7]CurveList!D199</f>
        <v>0</v>
      </c>
    </row>
    <row r="200" spans="2:28">
      <c r="B200" s="91"/>
      <c r="C200" s="91"/>
      <c r="D200" s="91"/>
      <c r="E200" s="91"/>
      <c r="F200" s="91"/>
      <c r="G200" s="91"/>
      <c r="S200" s="139">
        <f t="shared" si="2"/>
        <v>187</v>
      </c>
      <c r="T200" s="150">
        <v>42461</v>
      </c>
      <c r="Z200" s="148">
        <f>[7]CurveList!B200</f>
        <v>196</v>
      </c>
      <c r="AA200" s="14">
        <f>[7]CurveList!C200</f>
        <v>0</v>
      </c>
      <c r="AB200" s="149">
        <f>[7]CurveList!D200</f>
        <v>0</v>
      </c>
    </row>
    <row r="201" spans="2:28">
      <c r="B201" s="91"/>
      <c r="C201" s="91"/>
      <c r="D201" s="91"/>
      <c r="E201" s="91"/>
      <c r="F201" s="91"/>
      <c r="G201" s="91"/>
      <c r="S201" s="139">
        <f t="shared" si="2"/>
        <v>188</v>
      </c>
      <c r="T201" s="150">
        <v>42491</v>
      </c>
      <c r="Z201" s="148">
        <f>[7]CurveList!B201</f>
        <v>197</v>
      </c>
      <c r="AA201" s="14">
        <f>[7]CurveList!C201</f>
        <v>0</v>
      </c>
      <c r="AB201" s="149">
        <f>[7]CurveList!D201</f>
        <v>0</v>
      </c>
    </row>
    <row r="202" spans="2:28">
      <c r="B202" s="91"/>
      <c r="C202" s="91"/>
      <c r="D202" s="91"/>
      <c r="E202" s="91"/>
      <c r="F202" s="91"/>
      <c r="G202" s="91"/>
      <c r="S202" s="139">
        <f t="shared" si="2"/>
        <v>189</v>
      </c>
      <c r="T202" s="150">
        <v>42522</v>
      </c>
      <c r="Z202" s="148">
        <f>[7]CurveList!B202</f>
        <v>198</v>
      </c>
      <c r="AA202" s="14">
        <f>[7]CurveList!C202</f>
        <v>0</v>
      </c>
      <c r="AB202" s="149">
        <f>[7]CurveList!D202</f>
        <v>0</v>
      </c>
    </row>
    <row r="203" spans="2:28">
      <c r="B203" s="91"/>
      <c r="C203" s="91"/>
      <c r="D203" s="91"/>
      <c r="E203" s="91"/>
      <c r="F203" s="91"/>
      <c r="G203" s="91"/>
      <c r="S203" s="139">
        <f t="shared" si="2"/>
        <v>190</v>
      </c>
      <c r="T203" s="150">
        <v>42552</v>
      </c>
      <c r="Z203" s="148">
        <f>[7]CurveList!B203</f>
        <v>199</v>
      </c>
      <c r="AA203" s="14">
        <f>[7]CurveList!C203</f>
        <v>0</v>
      </c>
      <c r="AB203" s="149">
        <f>[7]CurveList!D203</f>
        <v>0</v>
      </c>
    </row>
    <row r="204" spans="2:28">
      <c r="B204" s="91"/>
      <c r="C204" s="91"/>
      <c r="D204" s="91"/>
      <c r="E204" s="91"/>
      <c r="F204" s="91"/>
      <c r="G204" s="91"/>
      <c r="S204" s="139">
        <f t="shared" si="2"/>
        <v>191</v>
      </c>
      <c r="T204" s="150">
        <v>42583</v>
      </c>
      <c r="Z204" s="148">
        <f>[7]CurveList!B204</f>
        <v>200</v>
      </c>
      <c r="AA204" s="14">
        <f>[7]CurveList!C204</f>
        <v>0</v>
      </c>
      <c r="AB204" s="149">
        <f>[7]CurveList!D204</f>
        <v>0</v>
      </c>
    </row>
    <row r="205" spans="2:28">
      <c r="B205" s="91"/>
      <c r="C205" s="91"/>
      <c r="D205" s="91"/>
      <c r="E205" s="91"/>
      <c r="F205" s="91"/>
      <c r="G205" s="91"/>
      <c r="S205" s="139">
        <f t="shared" si="2"/>
        <v>192</v>
      </c>
      <c r="T205" s="150">
        <v>42614</v>
      </c>
      <c r="Z205" s="148">
        <f>[7]CurveList!B205</f>
        <v>201</v>
      </c>
      <c r="AA205" s="14">
        <f>[7]CurveList!C205</f>
        <v>0</v>
      </c>
      <c r="AB205" s="149">
        <f>[7]CurveList!D205</f>
        <v>0</v>
      </c>
    </row>
    <row r="206" spans="2:28">
      <c r="B206" s="91"/>
      <c r="C206" s="91"/>
      <c r="D206" s="91"/>
      <c r="E206" s="91"/>
      <c r="F206" s="91"/>
      <c r="G206" s="91"/>
      <c r="S206" s="139">
        <f t="shared" si="2"/>
        <v>193</v>
      </c>
      <c r="T206" s="150">
        <v>42644</v>
      </c>
      <c r="Z206" s="148">
        <f>[7]CurveList!B206</f>
        <v>202</v>
      </c>
      <c r="AA206" s="14">
        <f>[7]CurveList!C206</f>
        <v>0</v>
      </c>
      <c r="AB206" s="149">
        <f>[7]CurveList!D206</f>
        <v>0</v>
      </c>
    </row>
    <row r="207" spans="2:28">
      <c r="B207" s="91"/>
      <c r="C207" s="91"/>
      <c r="D207" s="91"/>
      <c r="E207" s="91"/>
      <c r="F207" s="91"/>
      <c r="G207" s="91"/>
      <c r="S207" s="139">
        <f t="shared" si="2"/>
        <v>194</v>
      </c>
      <c r="T207" s="150">
        <v>42675</v>
      </c>
      <c r="Z207" s="148">
        <f>[7]CurveList!B207</f>
        <v>203</v>
      </c>
      <c r="AA207" s="14">
        <f>[7]CurveList!C207</f>
        <v>0</v>
      </c>
      <c r="AB207" s="149">
        <f>[7]CurveList!D207</f>
        <v>0</v>
      </c>
    </row>
    <row r="208" spans="2:28">
      <c r="B208" s="91"/>
      <c r="C208" s="91"/>
      <c r="D208" s="91"/>
      <c r="E208" s="91"/>
      <c r="F208" s="91"/>
      <c r="G208" s="91"/>
      <c r="S208" s="139">
        <f t="shared" ref="S208:S271" si="3">S207+1</f>
        <v>195</v>
      </c>
      <c r="T208" s="150">
        <v>42705</v>
      </c>
      <c r="Z208" s="148">
        <f>[7]CurveList!B208</f>
        <v>204</v>
      </c>
      <c r="AA208" s="14">
        <f>[7]CurveList!C208</f>
        <v>0</v>
      </c>
      <c r="AB208" s="149">
        <f>[7]CurveList!D208</f>
        <v>0</v>
      </c>
    </row>
    <row r="209" spans="2:28">
      <c r="B209" s="91"/>
      <c r="C209" s="91"/>
      <c r="D209" s="91"/>
      <c r="E209" s="91"/>
      <c r="F209" s="91"/>
      <c r="G209" s="91"/>
      <c r="S209" s="139">
        <f t="shared" si="3"/>
        <v>196</v>
      </c>
      <c r="T209" s="150">
        <v>42736</v>
      </c>
      <c r="Z209" s="148">
        <f>[7]CurveList!B209</f>
        <v>205</v>
      </c>
      <c r="AA209" s="14">
        <f>[7]CurveList!C209</f>
        <v>0</v>
      </c>
      <c r="AB209" s="149">
        <f>[7]CurveList!D209</f>
        <v>0</v>
      </c>
    </row>
    <row r="210" spans="2:28">
      <c r="B210" s="91"/>
      <c r="C210" s="91"/>
      <c r="D210" s="91"/>
      <c r="E210" s="91"/>
      <c r="F210" s="91"/>
      <c r="G210" s="91"/>
      <c r="S210" s="139">
        <f t="shared" si="3"/>
        <v>197</v>
      </c>
      <c r="T210" s="150">
        <v>42767</v>
      </c>
      <c r="Z210" s="148">
        <f>[7]CurveList!B210</f>
        <v>206</v>
      </c>
      <c r="AA210" s="14">
        <f>[7]CurveList!C210</f>
        <v>0</v>
      </c>
      <c r="AB210" s="149">
        <f>[7]CurveList!D210</f>
        <v>0</v>
      </c>
    </row>
    <row r="211" spans="2:28">
      <c r="B211" s="91"/>
      <c r="C211" s="91"/>
      <c r="D211" s="91"/>
      <c r="E211" s="91"/>
      <c r="F211" s="91"/>
      <c r="G211" s="91"/>
      <c r="S211" s="139">
        <f t="shared" si="3"/>
        <v>198</v>
      </c>
      <c r="T211" s="150">
        <v>42795</v>
      </c>
      <c r="Z211" s="148">
        <f>[7]CurveList!B211</f>
        <v>207</v>
      </c>
      <c r="AA211" s="14">
        <f>[7]CurveList!C211</f>
        <v>0</v>
      </c>
      <c r="AB211" s="149">
        <f>[7]CurveList!D211</f>
        <v>0</v>
      </c>
    </row>
    <row r="212" spans="2:28">
      <c r="B212" s="91"/>
      <c r="C212" s="91"/>
      <c r="D212" s="91"/>
      <c r="E212" s="91"/>
      <c r="F212" s="91"/>
      <c r="G212" s="91"/>
      <c r="S212" s="139">
        <f t="shared" si="3"/>
        <v>199</v>
      </c>
      <c r="T212" s="150">
        <v>42826</v>
      </c>
      <c r="Z212" s="148">
        <f>[7]CurveList!B212</f>
        <v>208</v>
      </c>
      <c r="AA212" s="14">
        <f>[7]CurveList!C212</f>
        <v>0</v>
      </c>
      <c r="AB212" s="149">
        <f>[7]CurveList!D212</f>
        <v>0</v>
      </c>
    </row>
    <row r="213" spans="2:28">
      <c r="B213" s="91"/>
      <c r="C213" s="91"/>
      <c r="D213" s="91"/>
      <c r="E213" s="91"/>
      <c r="F213" s="91"/>
      <c r="G213" s="91"/>
      <c r="S213" s="139">
        <f t="shared" si="3"/>
        <v>200</v>
      </c>
      <c r="T213" s="150">
        <v>42856</v>
      </c>
      <c r="Z213" s="148">
        <f>[7]CurveList!B213</f>
        <v>209</v>
      </c>
      <c r="AA213" s="14">
        <f>[7]CurveList!C213</f>
        <v>0</v>
      </c>
      <c r="AB213" s="149">
        <f>[7]CurveList!D213</f>
        <v>0</v>
      </c>
    </row>
    <row r="214" spans="2:28">
      <c r="B214" s="91"/>
      <c r="C214" s="91"/>
      <c r="D214" s="91"/>
      <c r="E214" s="91"/>
      <c r="F214" s="91"/>
      <c r="G214" s="91"/>
      <c r="S214" s="139">
        <f t="shared" si="3"/>
        <v>201</v>
      </c>
      <c r="T214" s="150">
        <v>42887</v>
      </c>
      <c r="Z214" s="148">
        <f>[7]CurveList!B214</f>
        <v>210</v>
      </c>
      <c r="AA214" s="14">
        <f>[7]CurveList!C214</f>
        <v>0</v>
      </c>
      <c r="AB214" s="149">
        <f>[7]CurveList!D214</f>
        <v>0</v>
      </c>
    </row>
    <row r="215" spans="2:28">
      <c r="B215" s="91"/>
      <c r="C215" s="91"/>
      <c r="D215" s="91"/>
      <c r="E215" s="91"/>
      <c r="F215" s="91"/>
      <c r="G215" s="91"/>
      <c r="S215" s="139">
        <f t="shared" si="3"/>
        <v>202</v>
      </c>
      <c r="T215" s="150">
        <v>42917</v>
      </c>
      <c r="Z215" s="148">
        <f>[7]CurveList!B215</f>
        <v>211</v>
      </c>
      <c r="AA215" s="14">
        <f>[7]CurveList!C215</f>
        <v>0</v>
      </c>
      <c r="AB215" s="149">
        <f>[7]CurveList!D215</f>
        <v>0</v>
      </c>
    </row>
    <row r="216" spans="2:28">
      <c r="B216" s="91"/>
      <c r="C216" s="91"/>
      <c r="D216" s="91"/>
      <c r="E216" s="91"/>
      <c r="F216" s="91"/>
      <c r="G216" s="91"/>
      <c r="S216" s="139">
        <f t="shared" si="3"/>
        <v>203</v>
      </c>
      <c r="T216" s="150">
        <v>42948</v>
      </c>
      <c r="Z216" s="148">
        <f>[7]CurveList!B216</f>
        <v>212</v>
      </c>
      <c r="AA216" s="14">
        <f>[7]CurveList!C216</f>
        <v>0</v>
      </c>
      <c r="AB216" s="149">
        <f>[7]CurveList!D216</f>
        <v>0</v>
      </c>
    </row>
    <row r="217" spans="2:28">
      <c r="B217" s="91"/>
      <c r="C217" s="91"/>
      <c r="D217" s="91"/>
      <c r="E217" s="91"/>
      <c r="F217" s="91"/>
      <c r="G217" s="91"/>
      <c r="S217" s="139">
        <f t="shared" si="3"/>
        <v>204</v>
      </c>
      <c r="T217" s="150">
        <v>42979</v>
      </c>
      <c r="Z217" s="148">
        <f>[7]CurveList!B217</f>
        <v>213</v>
      </c>
      <c r="AA217" s="14">
        <f>[7]CurveList!C217</f>
        <v>0</v>
      </c>
      <c r="AB217" s="149">
        <f>[7]CurveList!D217</f>
        <v>0</v>
      </c>
    </row>
    <row r="218" spans="2:28">
      <c r="B218" s="91"/>
      <c r="C218" s="91"/>
      <c r="D218" s="91"/>
      <c r="E218" s="91"/>
      <c r="F218" s="91"/>
      <c r="G218" s="91"/>
      <c r="S218" s="139">
        <f t="shared" si="3"/>
        <v>205</v>
      </c>
      <c r="T218" s="150">
        <v>43009</v>
      </c>
      <c r="Z218" s="148">
        <f>[7]CurveList!B218</f>
        <v>214</v>
      </c>
      <c r="AA218" s="14">
        <f>[7]CurveList!C218</f>
        <v>0</v>
      </c>
      <c r="AB218" s="149">
        <f>[7]CurveList!D218</f>
        <v>0</v>
      </c>
    </row>
    <row r="219" spans="2:28">
      <c r="B219" s="91"/>
      <c r="C219" s="91"/>
      <c r="D219" s="91"/>
      <c r="E219" s="91"/>
      <c r="F219" s="91"/>
      <c r="G219" s="91"/>
      <c r="S219" s="139">
        <f t="shared" si="3"/>
        <v>206</v>
      </c>
      <c r="T219" s="150">
        <v>43040</v>
      </c>
      <c r="Z219" s="148">
        <f>[7]CurveList!B219</f>
        <v>215</v>
      </c>
      <c r="AA219" s="14">
        <f>[7]CurveList!C219</f>
        <v>0</v>
      </c>
      <c r="AB219" s="149">
        <f>[7]CurveList!D219</f>
        <v>0</v>
      </c>
    </row>
    <row r="220" spans="2:28">
      <c r="B220" s="91"/>
      <c r="C220" s="91"/>
      <c r="D220" s="91"/>
      <c r="E220" s="91"/>
      <c r="F220" s="91"/>
      <c r="G220" s="91"/>
      <c r="S220" s="139">
        <f t="shared" si="3"/>
        <v>207</v>
      </c>
      <c r="T220" s="150">
        <v>43070</v>
      </c>
      <c r="Z220" s="148">
        <f>[7]CurveList!B220</f>
        <v>216</v>
      </c>
      <c r="AA220" s="14">
        <f>[7]CurveList!C220</f>
        <v>0</v>
      </c>
      <c r="AB220" s="149">
        <f>[7]CurveList!D220</f>
        <v>0</v>
      </c>
    </row>
    <row r="221" spans="2:28">
      <c r="B221" s="91"/>
      <c r="C221" s="91"/>
      <c r="D221" s="91"/>
      <c r="E221" s="91"/>
      <c r="F221" s="91"/>
      <c r="G221" s="91"/>
      <c r="S221" s="139">
        <f t="shared" si="3"/>
        <v>208</v>
      </c>
      <c r="T221" s="150">
        <v>43101</v>
      </c>
      <c r="Z221" s="148">
        <f>[7]CurveList!B221</f>
        <v>217</v>
      </c>
      <c r="AA221" s="14">
        <f>[7]CurveList!C221</f>
        <v>0</v>
      </c>
      <c r="AB221" s="149">
        <f>[7]CurveList!D221</f>
        <v>0</v>
      </c>
    </row>
    <row r="222" spans="2:28">
      <c r="B222" s="91"/>
      <c r="C222" s="91"/>
      <c r="D222" s="91"/>
      <c r="E222" s="91"/>
      <c r="F222" s="91"/>
      <c r="G222" s="91"/>
      <c r="S222" s="139">
        <f t="shared" si="3"/>
        <v>209</v>
      </c>
      <c r="T222" s="150">
        <v>43132</v>
      </c>
      <c r="Z222" s="148">
        <f>[7]CurveList!B222</f>
        <v>218</v>
      </c>
      <c r="AA222" s="14">
        <f>[7]CurveList!C222</f>
        <v>0</v>
      </c>
      <c r="AB222" s="149">
        <f>[7]CurveList!D222</f>
        <v>0</v>
      </c>
    </row>
    <row r="223" spans="2:28">
      <c r="B223" s="91"/>
      <c r="C223" s="91"/>
      <c r="D223" s="91"/>
      <c r="E223" s="91"/>
      <c r="F223" s="91"/>
      <c r="G223" s="91"/>
      <c r="S223" s="139">
        <f t="shared" si="3"/>
        <v>210</v>
      </c>
      <c r="T223" s="150">
        <v>43160</v>
      </c>
      <c r="Z223" s="148">
        <f>[7]CurveList!B223</f>
        <v>219</v>
      </c>
      <c r="AA223" s="14">
        <f>[7]CurveList!C223</f>
        <v>0</v>
      </c>
      <c r="AB223" s="149">
        <f>[7]CurveList!D223</f>
        <v>0</v>
      </c>
    </row>
    <row r="224" spans="2:28">
      <c r="B224" s="91"/>
      <c r="C224" s="91"/>
      <c r="D224" s="91"/>
      <c r="E224" s="91"/>
      <c r="F224" s="91"/>
      <c r="G224" s="91"/>
      <c r="S224" s="139">
        <f t="shared" si="3"/>
        <v>211</v>
      </c>
      <c r="T224" s="150">
        <v>43191</v>
      </c>
      <c r="Z224" s="148">
        <f>[7]CurveList!B224</f>
        <v>220</v>
      </c>
      <c r="AA224" s="14">
        <f>[7]CurveList!C224</f>
        <v>0</v>
      </c>
      <c r="AB224" s="149">
        <f>[7]CurveList!D224</f>
        <v>0</v>
      </c>
    </row>
    <row r="225" spans="2:28">
      <c r="B225" s="91"/>
      <c r="C225" s="91"/>
      <c r="D225" s="91"/>
      <c r="E225" s="91"/>
      <c r="F225" s="91"/>
      <c r="G225" s="91"/>
      <c r="S225" s="139">
        <f t="shared" si="3"/>
        <v>212</v>
      </c>
      <c r="T225" s="150">
        <v>43221</v>
      </c>
      <c r="Z225" s="148">
        <f>[7]CurveList!B225</f>
        <v>221</v>
      </c>
      <c r="AA225" s="14">
        <f>[7]CurveList!C225</f>
        <v>0</v>
      </c>
      <c r="AB225" s="149">
        <f>[7]CurveList!D225</f>
        <v>0</v>
      </c>
    </row>
    <row r="226" spans="2:28">
      <c r="B226" s="91"/>
      <c r="C226" s="91"/>
      <c r="D226" s="91"/>
      <c r="E226" s="91"/>
      <c r="F226" s="91"/>
      <c r="G226" s="91"/>
      <c r="S226" s="139">
        <f t="shared" si="3"/>
        <v>213</v>
      </c>
      <c r="T226" s="150">
        <v>43252</v>
      </c>
      <c r="Z226" s="148">
        <f>[7]CurveList!B226</f>
        <v>222</v>
      </c>
      <c r="AA226" s="14">
        <f>[7]CurveList!C226</f>
        <v>0</v>
      </c>
      <c r="AB226" s="149">
        <f>[7]CurveList!D226</f>
        <v>0</v>
      </c>
    </row>
    <row r="227" spans="2:28">
      <c r="B227" s="91"/>
      <c r="C227" s="91"/>
      <c r="D227" s="91"/>
      <c r="E227" s="91"/>
      <c r="F227" s="91"/>
      <c r="G227" s="91"/>
      <c r="S227" s="139">
        <f t="shared" si="3"/>
        <v>214</v>
      </c>
      <c r="T227" s="150">
        <v>43282</v>
      </c>
      <c r="Z227" s="148">
        <f>[7]CurveList!B227</f>
        <v>223</v>
      </c>
      <c r="AA227" s="14">
        <f>[7]CurveList!C227</f>
        <v>0</v>
      </c>
      <c r="AB227" s="149">
        <f>[7]CurveList!D227</f>
        <v>0</v>
      </c>
    </row>
    <row r="228" spans="2:28">
      <c r="B228" s="91"/>
      <c r="C228" s="91"/>
      <c r="D228" s="91"/>
      <c r="E228" s="91"/>
      <c r="F228" s="91"/>
      <c r="G228" s="91"/>
      <c r="S228" s="139">
        <f t="shared" si="3"/>
        <v>215</v>
      </c>
      <c r="T228" s="150">
        <v>43313</v>
      </c>
      <c r="Z228" s="148">
        <f>[7]CurveList!B228</f>
        <v>224</v>
      </c>
      <c r="AA228" s="14">
        <f>[7]CurveList!C228</f>
        <v>0</v>
      </c>
      <c r="AB228" s="149">
        <f>[7]CurveList!D228</f>
        <v>0</v>
      </c>
    </row>
    <row r="229" spans="2:28">
      <c r="S229" s="139">
        <f t="shared" si="3"/>
        <v>216</v>
      </c>
      <c r="T229" s="150">
        <v>43344</v>
      </c>
      <c r="Z229" s="148">
        <f>[7]CurveList!B229</f>
        <v>225</v>
      </c>
      <c r="AA229" s="14">
        <f>[7]CurveList!C229</f>
        <v>0</v>
      </c>
      <c r="AB229" s="149">
        <f>[7]CurveList!D229</f>
        <v>0</v>
      </c>
    </row>
    <row r="230" spans="2:28">
      <c r="S230" s="139">
        <f t="shared" si="3"/>
        <v>217</v>
      </c>
      <c r="T230" s="150">
        <v>43374</v>
      </c>
      <c r="Z230" s="148">
        <f>[7]CurveList!B230</f>
        <v>226</v>
      </c>
      <c r="AA230" s="14">
        <f>[7]CurveList!C230</f>
        <v>0</v>
      </c>
      <c r="AB230" s="149">
        <f>[7]CurveList!D230</f>
        <v>0</v>
      </c>
    </row>
    <row r="231" spans="2:28">
      <c r="S231" s="139">
        <f t="shared" si="3"/>
        <v>218</v>
      </c>
      <c r="T231" s="150">
        <v>43405</v>
      </c>
      <c r="Z231" s="148">
        <f>[7]CurveList!B231</f>
        <v>227</v>
      </c>
      <c r="AA231" s="14">
        <f>[7]CurveList!C231</f>
        <v>0</v>
      </c>
      <c r="AB231" s="149">
        <f>[7]CurveList!D231</f>
        <v>0</v>
      </c>
    </row>
    <row r="232" spans="2:28">
      <c r="S232" s="139">
        <f t="shared" si="3"/>
        <v>219</v>
      </c>
      <c r="T232" s="150">
        <v>43435</v>
      </c>
      <c r="Z232" s="148">
        <f>[7]CurveList!B232</f>
        <v>228</v>
      </c>
      <c r="AA232" s="14">
        <f>[7]CurveList!C232</f>
        <v>0</v>
      </c>
      <c r="AB232" s="149">
        <f>[7]CurveList!D232</f>
        <v>0</v>
      </c>
    </row>
    <row r="233" spans="2:28">
      <c r="S233" s="139">
        <f t="shared" si="3"/>
        <v>220</v>
      </c>
      <c r="T233" s="150">
        <v>43466</v>
      </c>
      <c r="Z233" s="148">
        <f>[7]CurveList!B233</f>
        <v>229</v>
      </c>
      <c r="AA233" s="14">
        <f>[7]CurveList!C233</f>
        <v>0</v>
      </c>
      <c r="AB233" s="149">
        <f>[7]CurveList!D233</f>
        <v>0</v>
      </c>
    </row>
    <row r="234" spans="2:28">
      <c r="S234" s="139">
        <f t="shared" si="3"/>
        <v>221</v>
      </c>
      <c r="T234" s="150">
        <v>43497</v>
      </c>
      <c r="Z234" s="148">
        <f>[7]CurveList!B234</f>
        <v>230</v>
      </c>
      <c r="AA234" s="14">
        <f>[7]CurveList!C234</f>
        <v>0</v>
      </c>
      <c r="AB234" s="149">
        <f>[7]CurveList!D234</f>
        <v>0</v>
      </c>
    </row>
    <row r="235" spans="2:28">
      <c r="S235" s="139">
        <f t="shared" si="3"/>
        <v>222</v>
      </c>
      <c r="T235" s="150">
        <v>43525</v>
      </c>
      <c r="Z235" s="148">
        <f>[7]CurveList!B235</f>
        <v>231</v>
      </c>
      <c r="AA235" s="14">
        <f>[7]CurveList!C235</f>
        <v>0</v>
      </c>
      <c r="AB235" s="149">
        <f>[7]CurveList!D235</f>
        <v>0</v>
      </c>
    </row>
    <row r="236" spans="2:28">
      <c r="S236" s="139">
        <f t="shared" si="3"/>
        <v>223</v>
      </c>
      <c r="T236" s="150">
        <v>43556</v>
      </c>
      <c r="Z236" s="148">
        <f>[7]CurveList!B236</f>
        <v>232</v>
      </c>
      <c r="AA236" s="14">
        <f>[7]CurveList!C236</f>
        <v>0</v>
      </c>
      <c r="AB236" s="149">
        <f>[7]CurveList!D236</f>
        <v>0</v>
      </c>
    </row>
    <row r="237" spans="2:28">
      <c r="S237" s="139">
        <f t="shared" si="3"/>
        <v>224</v>
      </c>
      <c r="T237" s="150">
        <v>43586</v>
      </c>
      <c r="Z237" s="148">
        <f>[7]CurveList!B237</f>
        <v>233</v>
      </c>
      <c r="AA237" s="14">
        <f>[7]CurveList!C237</f>
        <v>0</v>
      </c>
      <c r="AB237" s="149">
        <f>[7]CurveList!D237</f>
        <v>0</v>
      </c>
    </row>
    <row r="238" spans="2:28">
      <c r="S238" s="139">
        <f t="shared" si="3"/>
        <v>225</v>
      </c>
      <c r="T238" s="150">
        <v>43617</v>
      </c>
      <c r="Z238" s="148">
        <f>[7]CurveList!B238</f>
        <v>234</v>
      </c>
      <c r="AA238" s="14">
        <f>[7]CurveList!C238</f>
        <v>0</v>
      </c>
      <c r="AB238" s="149">
        <f>[7]CurveList!D238</f>
        <v>0</v>
      </c>
    </row>
    <row r="239" spans="2:28">
      <c r="S239" s="139">
        <f t="shared" si="3"/>
        <v>226</v>
      </c>
      <c r="T239" s="150">
        <v>43647</v>
      </c>
      <c r="Z239" s="148">
        <f>[7]CurveList!B239</f>
        <v>235</v>
      </c>
      <c r="AA239" s="14">
        <f>[7]CurveList!C239</f>
        <v>0</v>
      </c>
      <c r="AB239" s="149">
        <f>[7]CurveList!D239</f>
        <v>0</v>
      </c>
    </row>
    <row r="240" spans="2:28">
      <c r="S240" s="139">
        <f t="shared" si="3"/>
        <v>227</v>
      </c>
      <c r="T240" s="150">
        <v>43678</v>
      </c>
      <c r="Z240" s="148">
        <f>[7]CurveList!B240</f>
        <v>236</v>
      </c>
      <c r="AA240" s="14">
        <f>[7]CurveList!C240</f>
        <v>0</v>
      </c>
      <c r="AB240" s="149">
        <f>[7]CurveList!D240</f>
        <v>0</v>
      </c>
    </row>
    <row r="241" spans="19:28">
      <c r="S241" s="139">
        <f t="shared" si="3"/>
        <v>228</v>
      </c>
      <c r="T241" s="150">
        <v>43709</v>
      </c>
      <c r="Z241" s="148">
        <f>[7]CurveList!B241</f>
        <v>237</v>
      </c>
      <c r="AA241" s="14">
        <f>[7]CurveList!C241</f>
        <v>0</v>
      </c>
      <c r="AB241" s="149">
        <f>[7]CurveList!D241</f>
        <v>0</v>
      </c>
    </row>
    <row r="242" spans="19:28">
      <c r="S242" s="139">
        <f t="shared" si="3"/>
        <v>229</v>
      </c>
      <c r="T242" s="150">
        <v>43739</v>
      </c>
      <c r="Z242" s="148">
        <f>[7]CurveList!B242</f>
        <v>238</v>
      </c>
      <c r="AA242" s="14">
        <f>[7]CurveList!C242</f>
        <v>0</v>
      </c>
      <c r="AB242" s="149">
        <f>[7]CurveList!D242</f>
        <v>0</v>
      </c>
    </row>
    <row r="243" spans="19:28">
      <c r="S243" s="139">
        <f t="shared" si="3"/>
        <v>230</v>
      </c>
      <c r="T243" s="150">
        <v>43770</v>
      </c>
      <c r="Z243" s="148">
        <f>[7]CurveList!B243</f>
        <v>239</v>
      </c>
      <c r="AA243" s="14">
        <f>[7]CurveList!C243</f>
        <v>0</v>
      </c>
      <c r="AB243" s="149">
        <f>[7]CurveList!D243</f>
        <v>0</v>
      </c>
    </row>
    <row r="244" spans="19:28">
      <c r="S244" s="139">
        <f t="shared" si="3"/>
        <v>231</v>
      </c>
      <c r="T244" s="150">
        <v>43800</v>
      </c>
      <c r="Z244" s="148">
        <f>[7]CurveList!B244</f>
        <v>240</v>
      </c>
      <c r="AA244" s="14">
        <f>[7]CurveList!C244</f>
        <v>0</v>
      </c>
      <c r="AB244" s="149">
        <f>[7]CurveList!D244</f>
        <v>0</v>
      </c>
    </row>
    <row r="245" spans="19:28">
      <c r="S245" s="139">
        <f t="shared" si="3"/>
        <v>232</v>
      </c>
      <c r="T245" s="150">
        <v>43831</v>
      </c>
      <c r="Z245" s="148">
        <f>[7]CurveList!B245</f>
        <v>241</v>
      </c>
      <c r="AA245" s="14">
        <f>[7]CurveList!C245</f>
        <v>0</v>
      </c>
      <c r="AB245" s="149">
        <f>[7]CurveList!D245</f>
        <v>0</v>
      </c>
    </row>
    <row r="246" spans="19:28">
      <c r="S246" s="139">
        <f t="shared" si="3"/>
        <v>233</v>
      </c>
      <c r="T246" s="150">
        <v>43862</v>
      </c>
      <c r="Z246" s="148">
        <f>[7]CurveList!B246</f>
        <v>242</v>
      </c>
      <c r="AA246" s="14">
        <f>[7]CurveList!C246</f>
        <v>0</v>
      </c>
      <c r="AB246" s="149">
        <f>[7]CurveList!D246</f>
        <v>0</v>
      </c>
    </row>
    <row r="247" spans="19:28">
      <c r="S247" s="139">
        <f t="shared" si="3"/>
        <v>234</v>
      </c>
      <c r="T247" s="150">
        <v>43891</v>
      </c>
      <c r="Z247" s="148">
        <f>[7]CurveList!B247</f>
        <v>243</v>
      </c>
      <c r="AA247" s="14">
        <f>[7]CurveList!C247</f>
        <v>0</v>
      </c>
      <c r="AB247" s="149">
        <f>[7]CurveList!D247</f>
        <v>0</v>
      </c>
    </row>
    <row r="248" spans="19:28">
      <c r="S248" s="139">
        <f t="shared" si="3"/>
        <v>235</v>
      </c>
      <c r="T248" s="150">
        <v>43922</v>
      </c>
      <c r="Z248" s="148">
        <f>[7]CurveList!B248</f>
        <v>244</v>
      </c>
      <c r="AA248" s="14">
        <f>[7]CurveList!C248</f>
        <v>0</v>
      </c>
      <c r="AB248" s="149">
        <f>[7]CurveList!D248</f>
        <v>0</v>
      </c>
    </row>
    <row r="249" spans="19:28">
      <c r="S249" s="139">
        <f t="shared" si="3"/>
        <v>236</v>
      </c>
      <c r="T249" s="150">
        <v>43952</v>
      </c>
      <c r="Z249" s="148">
        <f>[7]CurveList!B249</f>
        <v>245</v>
      </c>
      <c r="AA249" s="14">
        <f>[7]CurveList!C249</f>
        <v>0</v>
      </c>
      <c r="AB249" s="149">
        <f>[7]CurveList!D249</f>
        <v>0</v>
      </c>
    </row>
    <row r="250" spans="19:28">
      <c r="S250" s="139">
        <f t="shared" si="3"/>
        <v>237</v>
      </c>
      <c r="T250" s="150">
        <v>43983</v>
      </c>
      <c r="Z250" s="148">
        <f>[7]CurveList!B250</f>
        <v>246</v>
      </c>
      <c r="AA250" s="14">
        <f>[7]CurveList!C250</f>
        <v>0</v>
      </c>
      <c r="AB250" s="149">
        <f>[7]CurveList!D250</f>
        <v>0</v>
      </c>
    </row>
    <row r="251" spans="19:28">
      <c r="S251" s="139">
        <f t="shared" si="3"/>
        <v>238</v>
      </c>
      <c r="T251" s="150">
        <v>44013</v>
      </c>
      <c r="Z251" s="148">
        <f>[7]CurveList!B251</f>
        <v>247</v>
      </c>
      <c r="AA251" s="14">
        <f>[7]CurveList!C251</f>
        <v>0</v>
      </c>
      <c r="AB251" s="149">
        <f>[7]CurveList!D251</f>
        <v>0</v>
      </c>
    </row>
    <row r="252" spans="19:28">
      <c r="S252" s="139">
        <f t="shared" si="3"/>
        <v>239</v>
      </c>
      <c r="T252" s="150">
        <v>44044</v>
      </c>
      <c r="Z252" s="148">
        <f>[7]CurveList!B252</f>
        <v>248</v>
      </c>
      <c r="AA252" s="14">
        <f>[7]CurveList!C252</f>
        <v>0</v>
      </c>
      <c r="AB252" s="149">
        <f>[7]CurveList!D252</f>
        <v>0</v>
      </c>
    </row>
    <row r="253" spans="19:28">
      <c r="S253" s="139">
        <f t="shared" si="3"/>
        <v>240</v>
      </c>
      <c r="T253" s="150">
        <v>44075</v>
      </c>
      <c r="Z253" s="148">
        <f>[7]CurveList!B253</f>
        <v>249</v>
      </c>
      <c r="AA253" s="14">
        <f>[7]CurveList!C253</f>
        <v>0</v>
      </c>
      <c r="AB253" s="149">
        <f>[7]CurveList!D253</f>
        <v>0</v>
      </c>
    </row>
    <row r="254" spans="19:28">
      <c r="S254" s="139">
        <f t="shared" si="3"/>
        <v>241</v>
      </c>
      <c r="T254" s="150">
        <v>44105</v>
      </c>
      <c r="Z254" s="148">
        <f>[7]CurveList!B254</f>
        <v>250</v>
      </c>
      <c r="AA254" s="14">
        <f>[7]CurveList!C254</f>
        <v>0</v>
      </c>
      <c r="AB254" s="149">
        <f>[7]CurveList!D254</f>
        <v>0</v>
      </c>
    </row>
    <row r="255" spans="19:28">
      <c r="S255" s="139">
        <f t="shared" si="3"/>
        <v>242</v>
      </c>
      <c r="T255" s="150">
        <v>44136</v>
      </c>
      <c r="Z255" s="148">
        <f>[7]CurveList!B255</f>
        <v>251</v>
      </c>
      <c r="AA255" s="14">
        <f>[7]CurveList!C255</f>
        <v>0</v>
      </c>
      <c r="AB255" s="149">
        <f>[7]CurveList!D255</f>
        <v>0</v>
      </c>
    </row>
    <row r="256" spans="19:28">
      <c r="S256" s="139">
        <f t="shared" si="3"/>
        <v>243</v>
      </c>
      <c r="T256" s="150">
        <v>44166</v>
      </c>
      <c r="Z256" s="148">
        <f>[7]CurveList!B256</f>
        <v>252</v>
      </c>
      <c r="AA256" s="14">
        <f>[7]CurveList!C256</f>
        <v>0</v>
      </c>
      <c r="AB256" s="149">
        <f>[7]CurveList!D256</f>
        <v>0</v>
      </c>
    </row>
    <row r="257" spans="19:28">
      <c r="S257" s="139">
        <f t="shared" si="3"/>
        <v>244</v>
      </c>
      <c r="T257" s="150">
        <v>44197</v>
      </c>
      <c r="Z257" s="148">
        <f>[7]CurveList!B257</f>
        <v>253</v>
      </c>
      <c r="AA257" s="14">
        <f>[7]CurveList!C257</f>
        <v>0</v>
      </c>
      <c r="AB257" s="149">
        <f>[7]CurveList!D257</f>
        <v>0</v>
      </c>
    </row>
    <row r="258" spans="19:28">
      <c r="S258" s="139">
        <f t="shared" si="3"/>
        <v>245</v>
      </c>
      <c r="T258" s="150">
        <v>44228</v>
      </c>
      <c r="Z258" s="148">
        <f>[7]CurveList!B258</f>
        <v>254</v>
      </c>
      <c r="AA258" s="14">
        <f>[7]CurveList!C258</f>
        <v>0</v>
      </c>
      <c r="AB258" s="149">
        <f>[7]CurveList!D258</f>
        <v>0</v>
      </c>
    </row>
    <row r="259" spans="19:28">
      <c r="S259" s="139">
        <f t="shared" si="3"/>
        <v>246</v>
      </c>
      <c r="T259" s="150">
        <v>44256</v>
      </c>
      <c r="Z259" s="148">
        <f>[7]CurveList!B259</f>
        <v>255</v>
      </c>
      <c r="AA259" s="14">
        <f>[7]CurveList!C259</f>
        <v>0</v>
      </c>
      <c r="AB259" s="149">
        <f>[7]CurveList!D259</f>
        <v>0</v>
      </c>
    </row>
    <row r="260" spans="19:28">
      <c r="S260" s="139">
        <f t="shared" si="3"/>
        <v>247</v>
      </c>
      <c r="T260" s="150">
        <v>44287</v>
      </c>
      <c r="Z260" s="148">
        <f>[7]CurveList!B260</f>
        <v>256</v>
      </c>
      <c r="AA260" s="14">
        <f>[7]CurveList!C260</f>
        <v>0</v>
      </c>
      <c r="AB260" s="149">
        <f>[7]CurveList!D260</f>
        <v>0</v>
      </c>
    </row>
    <row r="261" spans="19:28">
      <c r="S261" s="139">
        <f t="shared" si="3"/>
        <v>248</v>
      </c>
      <c r="T261" s="150">
        <v>44317</v>
      </c>
      <c r="Z261" s="148">
        <f>[7]CurveList!B261</f>
        <v>257</v>
      </c>
      <c r="AA261" s="14">
        <f>[7]CurveList!C261</f>
        <v>0</v>
      </c>
      <c r="AB261" s="149">
        <f>[7]CurveList!D261</f>
        <v>0</v>
      </c>
    </row>
    <row r="262" spans="19:28">
      <c r="S262" s="139">
        <f t="shared" si="3"/>
        <v>249</v>
      </c>
      <c r="T262" s="150">
        <v>44348</v>
      </c>
      <c r="Z262" s="148">
        <f>[7]CurveList!B262</f>
        <v>258</v>
      </c>
      <c r="AA262" s="14">
        <f>[7]CurveList!C262</f>
        <v>0</v>
      </c>
      <c r="AB262" s="149">
        <f>[7]CurveList!D262</f>
        <v>0</v>
      </c>
    </row>
    <row r="263" spans="19:28">
      <c r="S263" s="139">
        <f t="shared" si="3"/>
        <v>250</v>
      </c>
      <c r="T263" s="150">
        <v>44378</v>
      </c>
      <c r="Z263" s="148">
        <f>[7]CurveList!B263</f>
        <v>259</v>
      </c>
      <c r="AA263" s="14">
        <f>[7]CurveList!C263</f>
        <v>0</v>
      </c>
      <c r="AB263" s="149">
        <f>[7]CurveList!D263</f>
        <v>0</v>
      </c>
    </row>
    <row r="264" spans="19:28">
      <c r="S264" s="139">
        <f t="shared" si="3"/>
        <v>251</v>
      </c>
      <c r="T264" s="150">
        <v>44409</v>
      </c>
      <c r="Z264" s="148">
        <f>[7]CurveList!B264</f>
        <v>260</v>
      </c>
      <c r="AA264" s="14">
        <f>[7]CurveList!C264</f>
        <v>0</v>
      </c>
      <c r="AB264" s="149">
        <f>[7]CurveList!D264</f>
        <v>0</v>
      </c>
    </row>
    <row r="265" spans="19:28">
      <c r="S265" s="139">
        <f t="shared" si="3"/>
        <v>252</v>
      </c>
      <c r="T265" s="150">
        <v>44440</v>
      </c>
      <c r="Z265" s="148">
        <f>[7]CurveList!B265</f>
        <v>261</v>
      </c>
      <c r="AA265" s="14">
        <f>[7]CurveList!C265</f>
        <v>0</v>
      </c>
      <c r="AB265" s="149">
        <f>[7]CurveList!D265</f>
        <v>0</v>
      </c>
    </row>
    <row r="266" spans="19:28">
      <c r="S266" s="139">
        <f t="shared" si="3"/>
        <v>253</v>
      </c>
      <c r="T266" s="150">
        <v>44470</v>
      </c>
      <c r="Z266" s="148">
        <f>[7]CurveList!B266</f>
        <v>262</v>
      </c>
      <c r="AA266" s="14">
        <f>[7]CurveList!C266</f>
        <v>0</v>
      </c>
      <c r="AB266" s="149">
        <f>[7]CurveList!D266</f>
        <v>0</v>
      </c>
    </row>
    <row r="267" spans="19:28">
      <c r="S267" s="139">
        <f t="shared" si="3"/>
        <v>254</v>
      </c>
      <c r="T267" s="150">
        <v>44501</v>
      </c>
      <c r="Z267" s="148">
        <f>[7]CurveList!B267</f>
        <v>263</v>
      </c>
      <c r="AA267" s="14">
        <f>[7]CurveList!C267</f>
        <v>0</v>
      </c>
      <c r="AB267" s="149">
        <f>[7]CurveList!D267</f>
        <v>0</v>
      </c>
    </row>
    <row r="268" spans="19:28" ht="13.5" thickBot="1">
      <c r="S268" s="139">
        <f t="shared" si="3"/>
        <v>255</v>
      </c>
      <c r="T268" s="150">
        <v>44531</v>
      </c>
      <c r="Z268" s="151">
        <f>[7]CurveList!B268</f>
        <v>264</v>
      </c>
      <c r="AA268" s="152">
        <f>[7]CurveList!C268</f>
        <v>0</v>
      </c>
      <c r="AB268" s="153">
        <f>[7]CurveList!D268</f>
        <v>0</v>
      </c>
    </row>
    <row r="269" spans="19:28">
      <c r="S269" s="139">
        <f t="shared" si="3"/>
        <v>256</v>
      </c>
      <c r="T269" s="150">
        <v>44562</v>
      </c>
    </row>
    <row r="270" spans="19:28">
      <c r="S270" s="139">
        <f t="shared" si="3"/>
        <v>257</v>
      </c>
      <c r="T270" s="150">
        <v>44593</v>
      </c>
    </row>
    <row r="271" spans="19:28">
      <c r="S271" s="139">
        <f t="shared" si="3"/>
        <v>258</v>
      </c>
      <c r="T271" s="150">
        <v>44621</v>
      </c>
    </row>
    <row r="272" spans="19:28">
      <c r="S272" s="139">
        <f t="shared" ref="S272:S335" si="4">S271+1</f>
        <v>259</v>
      </c>
      <c r="T272" s="150">
        <v>44652</v>
      </c>
    </row>
    <row r="273" spans="19:20">
      <c r="S273" s="139">
        <f t="shared" si="4"/>
        <v>260</v>
      </c>
      <c r="T273" s="150">
        <v>44682</v>
      </c>
    </row>
    <row r="274" spans="19:20">
      <c r="S274" s="139">
        <f t="shared" si="4"/>
        <v>261</v>
      </c>
      <c r="T274" s="150">
        <v>44713</v>
      </c>
    </row>
    <row r="275" spans="19:20">
      <c r="S275" s="139">
        <f t="shared" si="4"/>
        <v>262</v>
      </c>
      <c r="T275" s="150">
        <v>44743</v>
      </c>
    </row>
    <row r="276" spans="19:20">
      <c r="S276" s="139">
        <f t="shared" si="4"/>
        <v>263</v>
      </c>
      <c r="T276" s="150">
        <v>44774</v>
      </c>
    </row>
    <row r="277" spans="19:20">
      <c r="S277" s="139">
        <f t="shared" si="4"/>
        <v>264</v>
      </c>
      <c r="T277" s="150">
        <v>44805</v>
      </c>
    </row>
    <row r="278" spans="19:20">
      <c r="S278" s="139">
        <f t="shared" si="4"/>
        <v>265</v>
      </c>
      <c r="T278" s="150">
        <v>44835</v>
      </c>
    </row>
    <row r="279" spans="19:20">
      <c r="S279" s="139">
        <f t="shared" si="4"/>
        <v>266</v>
      </c>
      <c r="T279" s="150">
        <v>44866</v>
      </c>
    </row>
    <row r="280" spans="19:20">
      <c r="S280" s="139">
        <f t="shared" si="4"/>
        <v>267</v>
      </c>
      <c r="T280" s="150">
        <v>44896</v>
      </c>
    </row>
    <row r="281" spans="19:20">
      <c r="S281" s="139">
        <f t="shared" si="4"/>
        <v>268</v>
      </c>
      <c r="T281" s="150">
        <v>44927</v>
      </c>
    </row>
    <row r="282" spans="19:20">
      <c r="S282" s="139">
        <f t="shared" si="4"/>
        <v>269</v>
      </c>
      <c r="T282" s="150">
        <v>44958</v>
      </c>
    </row>
    <row r="283" spans="19:20">
      <c r="S283" s="139">
        <f t="shared" si="4"/>
        <v>270</v>
      </c>
      <c r="T283" s="150">
        <v>44986</v>
      </c>
    </row>
    <row r="284" spans="19:20">
      <c r="S284" s="139">
        <f t="shared" si="4"/>
        <v>271</v>
      </c>
      <c r="T284" s="150">
        <v>45017</v>
      </c>
    </row>
    <row r="285" spans="19:20">
      <c r="S285" s="139">
        <f t="shared" si="4"/>
        <v>272</v>
      </c>
      <c r="T285" s="150">
        <v>45047</v>
      </c>
    </row>
    <row r="286" spans="19:20">
      <c r="S286" s="139">
        <f t="shared" si="4"/>
        <v>273</v>
      </c>
      <c r="T286" s="150">
        <v>45078</v>
      </c>
    </row>
    <row r="287" spans="19:20">
      <c r="S287" s="139">
        <f t="shared" si="4"/>
        <v>274</v>
      </c>
      <c r="T287" s="150">
        <v>45108</v>
      </c>
    </row>
    <row r="288" spans="19:20">
      <c r="S288" s="139">
        <f t="shared" si="4"/>
        <v>275</v>
      </c>
      <c r="T288" s="150">
        <v>45139</v>
      </c>
    </row>
    <row r="289" spans="19:20">
      <c r="S289" s="139">
        <f t="shared" si="4"/>
        <v>276</v>
      </c>
      <c r="T289" s="150">
        <v>45170</v>
      </c>
    </row>
    <row r="290" spans="19:20">
      <c r="S290" s="139">
        <f t="shared" si="4"/>
        <v>277</v>
      </c>
      <c r="T290" s="150">
        <v>45200</v>
      </c>
    </row>
    <row r="291" spans="19:20">
      <c r="S291" s="139">
        <f t="shared" si="4"/>
        <v>278</v>
      </c>
      <c r="T291" s="150">
        <v>45231</v>
      </c>
    </row>
    <row r="292" spans="19:20">
      <c r="S292" s="139">
        <f t="shared" si="4"/>
        <v>279</v>
      </c>
      <c r="T292" s="150">
        <v>45261</v>
      </c>
    </row>
    <row r="293" spans="19:20">
      <c r="S293" s="139">
        <f t="shared" si="4"/>
        <v>280</v>
      </c>
      <c r="T293" s="150">
        <v>45292</v>
      </c>
    </row>
    <row r="294" spans="19:20">
      <c r="S294" s="139">
        <f t="shared" si="4"/>
        <v>281</v>
      </c>
      <c r="T294" s="150">
        <v>45323</v>
      </c>
    </row>
    <row r="295" spans="19:20">
      <c r="S295" s="139">
        <f t="shared" si="4"/>
        <v>282</v>
      </c>
      <c r="T295" s="150">
        <v>45352</v>
      </c>
    </row>
    <row r="296" spans="19:20">
      <c r="S296" s="139">
        <f t="shared" si="4"/>
        <v>283</v>
      </c>
      <c r="T296" s="150">
        <v>45383</v>
      </c>
    </row>
    <row r="297" spans="19:20">
      <c r="S297" s="139">
        <f t="shared" si="4"/>
        <v>284</v>
      </c>
      <c r="T297" s="150">
        <v>45413</v>
      </c>
    </row>
    <row r="298" spans="19:20">
      <c r="S298" s="139">
        <f t="shared" si="4"/>
        <v>285</v>
      </c>
      <c r="T298" s="150">
        <v>45444</v>
      </c>
    </row>
    <row r="299" spans="19:20">
      <c r="S299" s="139">
        <f t="shared" si="4"/>
        <v>286</v>
      </c>
      <c r="T299" s="150">
        <v>45474</v>
      </c>
    </row>
    <row r="300" spans="19:20">
      <c r="S300" s="139">
        <f t="shared" si="4"/>
        <v>287</v>
      </c>
      <c r="T300" s="150">
        <v>45505</v>
      </c>
    </row>
    <row r="301" spans="19:20">
      <c r="S301" s="139">
        <f t="shared" si="4"/>
        <v>288</v>
      </c>
      <c r="T301" s="150">
        <v>45536</v>
      </c>
    </row>
    <row r="302" spans="19:20">
      <c r="S302" s="139">
        <f t="shared" si="4"/>
        <v>289</v>
      </c>
      <c r="T302" s="150">
        <v>45566</v>
      </c>
    </row>
    <row r="303" spans="19:20">
      <c r="S303" s="139">
        <f t="shared" si="4"/>
        <v>290</v>
      </c>
      <c r="T303" s="150">
        <v>45597</v>
      </c>
    </row>
    <row r="304" spans="19:20">
      <c r="S304" s="139">
        <f t="shared" si="4"/>
        <v>291</v>
      </c>
      <c r="T304" s="150">
        <v>45627</v>
      </c>
    </row>
    <row r="305" spans="19:20">
      <c r="S305" s="139">
        <f t="shared" si="4"/>
        <v>292</v>
      </c>
      <c r="T305" s="150">
        <v>45658</v>
      </c>
    </row>
    <row r="306" spans="19:20">
      <c r="S306" s="139">
        <f t="shared" si="4"/>
        <v>293</v>
      </c>
      <c r="T306" s="150">
        <v>45689</v>
      </c>
    </row>
    <row r="307" spans="19:20">
      <c r="S307" s="139">
        <f t="shared" si="4"/>
        <v>294</v>
      </c>
      <c r="T307" s="150">
        <v>45717</v>
      </c>
    </row>
    <row r="308" spans="19:20">
      <c r="S308" s="139">
        <f t="shared" si="4"/>
        <v>295</v>
      </c>
      <c r="T308" s="150">
        <v>45748</v>
      </c>
    </row>
    <row r="309" spans="19:20">
      <c r="S309" s="139">
        <f t="shared" si="4"/>
        <v>296</v>
      </c>
      <c r="T309" s="150">
        <v>45778</v>
      </c>
    </row>
    <row r="310" spans="19:20">
      <c r="S310" s="139">
        <f t="shared" si="4"/>
        <v>297</v>
      </c>
      <c r="T310" s="150">
        <v>45809</v>
      </c>
    </row>
    <row r="311" spans="19:20">
      <c r="S311" s="139">
        <f t="shared" si="4"/>
        <v>298</v>
      </c>
      <c r="T311" s="150">
        <v>45839</v>
      </c>
    </row>
    <row r="312" spans="19:20">
      <c r="S312" s="139">
        <f t="shared" si="4"/>
        <v>299</v>
      </c>
      <c r="T312" s="150">
        <v>45870</v>
      </c>
    </row>
    <row r="313" spans="19:20">
      <c r="S313" s="139">
        <f t="shared" si="4"/>
        <v>300</v>
      </c>
      <c r="T313" s="150">
        <v>45901</v>
      </c>
    </row>
    <row r="314" spans="19:20">
      <c r="S314" s="139">
        <f t="shared" si="4"/>
        <v>301</v>
      </c>
      <c r="T314" s="150">
        <v>45931</v>
      </c>
    </row>
    <row r="315" spans="19:20">
      <c r="S315" s="139">
        <f t="shared" si="4"/>
        <v>302</v>
      </c>
      <c r="T315" s="150">
        <v>45962</v>
      </c>
    </row>
    <row r="316" spans="19:20">
      <c r="S316" s="139">
        <f t="shared" si="4"/>
        <v>303</v>
      </c>
      <c r="T316" s="150">
        <v>45992</v>
      </c>
    </row>
    <row r="317" spans="19:20">
      <c r="S317" s="139">
        <f t="shared" si="4"/>
        <v>304</v>
      </c>
      <c r="T317" s="150">
        <v>46023</v>
      </c>
    </row>
    <row r="318" spans="19:20">
      <c r="S318" s="139">
        <f t="shared" si="4"/>
        <v>305</v>
      </c>
      <c r="T318" s="150">
        <v>46054</v>
      </c>
    </row>
    <row r="319" spans="19:20">
      <c r="S319" s="139">
        <f t="shared" si="4"/>
        <v>306</v>
      </c>
      <c r="T319" s="150">
        <v>46082</v>
      </c>
    </row>
    <row r="320" spans="19:20">
      <c r="S320" s="139">
        <f t="shared" si="4"/>
        <v>307</v>
      </c>
      <c r="T320" s="150">
        <v>46113</v>
      </c>
    </row>
    <row r="321" spans="19:20">
      <c r="S321" s="139">
        <f t="shared" si="4"/>
        <v>308</v>
      </c>
      <c r="T321" s="150">
        <v>46143</v>
      </c>
    </row>
    <row r="322" spans="19:20">
      <c r="S322" s="139">
        <f t="shared" si="4"/>
        <v>309</v>
      </c>
      <c r="T322" s="150">
        <v>46174</v>
      </c>
    </row>
    <row r="323" spans="19:20">
      <c r="S323" s="139">
        <f t="shared" si="4"/>
        <v>310</v>
      </c>
      <c r="T323" s="150">
        <v>46204</v>
      </c>
    </row>
    <row r="324" spans="19:20">
      <c r="S324" s="139">
        <f t="shared" si="4"/>
        <v>311</v>
      </c>
      <c r="T324" s="150">
        <v>46235</v>
      </c>
    </row>
    <row r="325" spans="19:20">
      <c r="S325" s="139">
        <f t="shared" si="4"/>
        <v>312</v>
      </c>
      <c r="T325" s="150">
        <v>46266</v>
      </c>
    </row>
    <row r="326" spans="19:20">
      <c r="S326" s="139">
        <f t="shared" si="4"/>
        <v>313</v>
      </c>
      <c r="T326" s="150">
        <v>46296</v>
      </c>
    </row>
    <row r="327" spans="19:20">
      <c r="S327" s="139">
        <f t="shared" si="4"/>
        <v>314</v>
      </c>
      <c r="T327" s="150">
        <v>46327</v>
      </c>
    </row>
    <row r="328" spans="19:20">
      <c r="S328" s="139">
        <f t="shared" si="4"/>
        <v>315</v>
      </c>
      <c r="T328" s="150">
        <v>46357</v>
      </c>
    </row>
    <row r="329" spans="19:20">
      <c r="S329" s="139">
        <f t="shared" si="4"/>
        <v>316</v>
      </c>
      <c r="T329" s="150">
        <v>46388</v>
      </c>
    </row>
    <row r="330" spans="19:20">
      <c r="S330" s="139">
        <f t="shared" si="4"/>
        <v>317</v>
      </c>
      <c r="T330" s="150">
        <v>46419</v>
      </c>
    </row>
    <row r="331" spans="19:20">
      <c r="S331" s="139">
        <f t="shared" si="4"/>
        <v>318</v>
      </c>
      <c r="T331" s="150">
        <v>46447</v>
      </c>
    </row>
    <row r="332" spans="19:20">
      <c r="S332" s="139">
        <f t="shared" si="4"/>
        <v>319</v>
      </c>
      <c r="T332" s="150">
        <v>46478</v>
      </c>
    </row>
    <row r="333" spans="19:20">
      <c r="S333" s="139">
        <f t="shared" si="4"/>
        <v>320</v>
      </c>
      <c r="T333" s="150">
        <v>46508</v>
      </c>
    </row>
    <row r="334" spans="19:20">
      <c r="S334" s="139">
        <f t="shared" si="4"/>
        <v>321</v>
      </c>
      <c r="T334" s="150">
        <v>46539</v>
      </c>
    </row>
    <row r="335" spans="19:20">
      <c r="S335" s="139">
        <f t="shared" si="4"/>
        <v>322</v>
      </c>
      <c r="T335" s="150">
        <v>46569</v>
      </c>
    </row>
    <row r="336" spans="19:20">
      <c r="S336" s="139">
        <f t="shared" ref="S336:S373" si="5">S335+1</f>
        <v>323</v>
      </c>
      <c r="T336" s="150">
        <v>46600</v>
      </c>
    </row>
    <row r="337" spans="19:20">
      <c r="S337" s="139">
        <f t="shared" si="5"/>
        <v>324</v>
      </c>
      <c r="T337" s="150">
        <v>46631</v>
      </c>
    </row>
    <row r="338" spans="19:20">
      <c r="S338" s="139">
        <f t="shared" si="5"/>
        <v>325</v>
      </c>
      <c r="T338" s="150">
        <v>46661</v>
      </c>
    </row>
    <row r="339" spans="19:20">
      <c r="S339" s="139">
        <f t="shared" si="5"/>
        <v>326</v>
      </c>
      <c r="T339" s="150">
        <v>46692</v>
      </c>
    </row>
    <row r="340" spans="19:20">
      <c r="S340" s="139">
        <f t="shared" si="5"/>
        <v>327</v>
      </c>
      <c r="T340" s="150">
        <v>46722</v>
      </c>
    </row>
    <row r="341" spans="19:20">
      <c r="S341" s="139">
        <f t="shared" si="5"/>
        <v>328</v>
      </c>
      <c r="T341" s="150">
        <v>46753</v>
      </c>
    </row>
    <row r="342" spans="19:20">
      <c r="S342" s="139">
        <f t="shared" si="5"/>
        <v>329</v>
      </c>
      <c r="T342" s="150">
        <v>46784</v>
      </c>
    </row>
    <row r="343" spans="19:20">
      <c r="S343" s="139">
        <f t="shared" si="5"/>
        <v>330</v>
      </c>
      <c r="T343" s="150">
        <v>46813</v>
      </c>
    </row>
    <row r="344" spans="19:20">
      <c r="S344" s="139">
        <f t="shared" si="5"/>
        <v>331</v>
      </c>
      <c r="T344" s="150">
        <v>46844</v>
      </c>
    </row>
    <row r="345" spans="19:20">
      <c r="S345" s="139">
        <f t="shared" si="5"/>
        <v>332</v>
      </c>
      <c r="T345" s="150">
        <v>46874</v>
      </c>
    </row>
    <row r="346" spans="19:20">
      <c r="S346" s="139">
        <f t="shared" si="5"/>
        <v>333</v>
      </c>
      <c r="T346" s="150">
        <v>46905</v>
      </c>
    </row>
    <row r="347" spans="19:20">
      <c r="S347" s="139">
        <f t="shared" si="5"/>
        <v>334</v>
      </c>
      <c r="T347" s="150">
        <v>46935</v>
      </c>
    </row>
    <row r="348" spans="19:20">
      <c r="S348" s="139">
        <f t="shared" si="5"/>
        <v>335</v>
      </c>
      <c r="T348" s="150">
        <v>46966</v>
      </c>
    </row>
    <row r="349" spans="19:20">
      <c r="S349" s="139">
        <f t="shared" si="5"/>
        <v>336</v>
      </c>
      <c r="T349" s="150">
        <v>46997</v>
      </c>
    </row>
    <row r="350" spans="19:20">
      <c r="S350" s="139">
        <f t="shared" si="5"/>
        <v>337</v>
      </c>
      <c r="T350" s="150">
        <v>47027</v>
      </c>
    </row>
    <row r="351" spans="19:20">
      <c r="S351" s="139">
        <f t="shared" si="5"/>
        <v>338</v>
      </c>
      <c r="T351" s="150">
        <v>47058</v>
      </c>
    </row>
    <row r="352" spans="19:20">
      <c r="S352" s="139">
        <f t="shared" si="5"/>
        <v>339</v>
      </c>
      <c r="T352" s="150">
        <v>47088</v>
      </c>
    </row>
    <row r="353" spans="19:20">
      <c r="S353" s="139">
        <f t="shared" si="5"/>
        <v>340</v>
      </c>
      <c r="T353" s="150">
        <v>47119</v>
      </c>
    </row>
    <row r="354" spans="19:20">
      <c r="S354" s="139">
        <f t="shared" si="5"/>
        <v>341</v>
      </c>
      <c r="T354" s="150">
        <v>47150</v>
      </c>
    </row>
    <row r="355" spans="19:20">
      <c r="S355" s="139">
        <f t="shared" si="5"/>
        <v>342</v>
      </c>
      <c r="T355" s="150">
        <v>47178</v>
      </c>
    </row>
    <row r="356" spans="19:20">
      <c r="S356" s="139">
        <f t="shared" si="5"/>
        <v>343</v>
      </c>
      <c r="T356" s="150">
        <v>47209</v>
      </c>
    </row>
    <row r="357" spans="19:20">
      <c r="S357" s="139">
        <f t="shared" si="5"/>
        <v>344</v>
      </c>
      <c r="T357" s="150">
        <v>47239</v>
      </c>
    </row>
    <row r="358" spans="19:20">
      <c r="S358" s="139">
        <f t="shared" si="5"/>
        <v>345</v>
      </c>
      <c r="T358" s="150">
        <v>47270</v>
      </c>
    </row>
    <row r="359" spans="19:20">
      <c r="S359" s="139">
        <f t="shared" si="5"/>
        <v>346</v>
      </c>
      <c r="T359" s="150">
        <v>47300</v>
      </c>
    </row>
    <row r="360" spans="19:20">
      <c r="S360" s="139">
        <f t="shared" si="5"/>
        <v>347</v>
      </c>
      <c r="T360" s="150">
        <v>47331</v>
      </c>
    </row>
    <row r="361" spans="19:20">
      <c r="S361" s="139">
        <f t="shared" si="5"/>
        <v>348</v>
      </c>
      <c r="T361" s="150">
        <v>47362</v>
      </c>
    </row>
    <row r="362" spans="19:20">
      <c r="S362" s="139">
        <f t="shared" si="5"/>
        <v>349</v>
      </c>
      <c r="T362" s="150">
        <v>47392</v>
      </c>
    </row>
    <row r="363" spans="19:20">
      <c r="S363" s="139">
        <f t="shared" si="5"/>
        <v>350</v>
      </c>
      <c r="T363" s="150">
        <v>47423</v>
      </c>
    </row>
    <row r="364" spans="19:20">
      <c r="S364" s="139">
        <f t="shared" si="5"/>
        <v>351</v>
      </c>
      <c r="T364" s="150">
        <v>47453</v>
      </c>
    </row>
    <row r="365" spans="19:20">
      <c r="S365" s="139">
        <f t="shared" si="5"/>
        <v>352</v>
      </c>
      <c r="T365" s="150">
        <v>47484</v>
      </c>
    </row>
    <row r="366" spans="19:20">
      <c r="S366" s="139">
        <f t="shared" si="5"/>
        <v>353</v>
      </c>
      <c r="T366" s="150">
        <v>47515</v>
      </c>
    </row>
    <row r="367" spans="19:20">
      <c r="S367" s="139">
        <f t="shared" si="5"/>
        <v>354</v>
      </c>
      <c r="T367" s="150">
        <v>47543</v>
      </c>
    </row>
    <row r="368" spans="19:20">
      <c r="S368" s="139">
        <f t="shared" si="5"/>
        <v>355</v>
      </c>
      <c r="T368" s="150">
        <v>47574</v>
      </c>
    </row>
    <row r="369" spans="19:20">
      <c r="S369" s="139">
        <f t="shared" si="5"/>
        <v>356</v>
      </c>
      <c r="T369" s="150">
        <v>47604</v>
      </c>
    </row>
    <row r="370" spans="19:20">
      <c r="S370" s="139">
        <f t="shared" si="5"/>
        <v>357</v>
      </c>
      <c r="T370" s="150">
        <v>47635</v>
      </c>
    </row>
    <row r="371" spans="19:20">
      <c r="S371" s="139">
        <f t="shared" si="5"/>
        <v>358</v>
      </c>
      <c r="T371" s="150">
        <v>47665</v>
      </c>
    </row>
    <row r="372" spans="19:20">
      <c r="S372" s="139">
        <f t="shared" si="5"/>
        <v>359</v>
      </c>
      <c r="T372" s="150">
        <v>47696</v>
      </c>
    </row>
    <row r="373" spans="19:20">
      <c r="S373" s="139">
        <f t="shared" si="5"/>
        <v>360</v>
      </c>
      <c r="T373" s="150">
        <v>47727</v>
      </c>
    </row>
  </sheetData>
  <mergeCells count="2">
    <mergeCell ref="D7:F7"/>
    <mergeCell ref="B2:G2"/>
  </mergeCells>
  <phoneticPr fontId="13" type="noConversion"/>
  <pageMargins left="0.75" right="0.75" top="1" bottom="1" header="0.5" footer="0.5"/>
  <pageSetup scale="89" orientation="portrait" verticalDpi="0" r:id="rId1"/>
  <headerFooter alignWithMargins="0">
    <oddHeader>&amp;R&amp;"Arial,Bold"Commodity Structuring</oddHeader>
    <oddFooter>&amp;R&amp;F &amp;D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FetchCurvesAndCalculateBasisSwapPrice">
                <anchor moveWithCells="1" sizeWithCells="1">
                  <from>
                    <xdr:col>5</xdr:col>
                    <xdr:colOff>9525</xdr:colOff>
                    <xdr:row>22</xdr:row>
                    <xdr:rowOff>133350</xdr:rowOff>
                  </from>
                  <to>
                    <xdr:col>6</xdr:col>
                    <xdr:colOff>933450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5" name="Drop Down 4">
              <controlPr defaultSize="0" autoFill="0" autoLine="0" autoPict="0">
                <anchor moveWithCells="1">
                  <from>
                    <xdr:col>3</xdr:col>
                    <xdr:colOff>409575</xdr:colOff>
                    <xdr:row>11</xdr:row>
                    <xdr:rowOff>0</xdr:rowOff>
                  </from>
                  <to>
                    <xdr:col>3</xdr:col>
                    <xdr:colOff>1362075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6" name="Drop Down 5">
              <controlPr defaultSize="0" autoFill="0" autoLine="0" autoPict="0">
                <anchor moveWithCells="1">
                  <from>
                    <xdr:col>3</xdr:col>
                    <xdr:colOff>390525</xdr:colOff>
                    <xdr:row>12</xdr:row>
                    <xdr:rowOff>9525</xdr:rowOff>
                  </from>
                  <to>
                    <xdr:col>3</xdr:col>
                    <xdr:colOff>1343025</xdr:colOff>
                    <xdr:row>13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7" name="Drop Down 15">
              <controlPr defaultSize="0" autoFill="0" autoLine="0" autoPict="0">
                <anchor moveWithCells="1">
                  <from>
                    <xdr:col>2</xdr:col>
                    <xdr:colOff>1428750</xdr:colOff>
                    <xdr:row>13</xdr:row>
                    <xdr:rowOff>47625</xdr:rowOff>
                  </from>
                  <to>
                    <xdr:col>3</xdr:col>
                    <xdr:colOff>1352550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" name="Drop Down 16">
              <controlPr defaultSize="0" autoFill="0" autoLine="0" autoPict="0">
                <anchor moveWithCells="1">
                  <from>
                    <xdr:col>2</xdr:col>
                    <xdr:colOff>1428750</xdr:colOff>
                    <xdr:row>14</xdr:row>
                    <xdr:rowOff>47625</xdr:rowOff>
                  </from>
                  <to>
                    <xdr:col>3</xdr:col>
                    <xdr:colOff>1352550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9" name="Drop Down 17">
              <controlPr defaultSize="0" autoFill="0" autoLine="0" autoPict="0">
                <anchor moveWithCells="1">
                  <from>
                    <xdr:col>2</xdr:col>
                    <xdr:colOff>1428750</xdr:colOff>
                    <xdr:row>15</xdr:row>
                    <xdr:rowOff>38100</xdr:rowOff>
                  </from>
                  <to>
                    <xdr:col>3</xdr:col>
                    <xdr:colOff>1362075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0" name="Drop Down 18">
              <controlPr defaultSize="0" autoFill="0" autoLine="0" autoPict="0">
                <anchor moveWithCells="1">
                  <from>
                    <xdr:col>2</xdr:col>
                    <xdr:colOff>1438275</xdr:colOff>
                    <xdr:row>16</xdr:row>
                    <xdr:rowOff>47625</xdr:rowOff>
                  </from>
                  <to>
                    <xdr:col>3</xdr:col>
                    <xdr:colOff>1352550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1" name="Drop Down 20">
              <controlPr defaultSize="0" autoFill="0" autoLine="0" autoPict="0">
                <anchor moveWithCells="1">
                  <from>
                    <xdr:col>2</xdr:col>
                    <xdr:colOff>1438275</xdr:colOff>
                    <xdr:row>17</xdr:row>
                    <xdr:rowOff>47625</xdr:rowOff>
                  </from>
                  <to>
                    <xdr:col>3</xdr:col>
                    <xdr:colOff>1352550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2" name="Drop Down 22">
              <controlPr defaultSize="0" autoFill="0" autoLine="0" autoPict="0">
                <anchor moveWithCells="1">
                  <from>
                    <xdr:col>2</xdr:col>
                    <xdr:colOff>1428750</xdr:colOff>
                    <xdr:row>18</xdr:row>
                    <xdr:rowOff>38100</xdr:rowOff>
                  </from>
                  <to>
                    <xdr:col>3</xdr:col>
                    <xdr:colOff>1352550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3" name="Drop Down 25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142875</xdr:rowOff>
                  </from>
                  <to>
                    <xdr:col>6</xdr:col>
                    <xdr:colOff>952500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4" name="Drop Down 26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9525</xdr:rowOff>
                  </from>
                  <to>
                    <xdr:col>6</xdr:col>
                    <xdr:colOff>952500</xdr:colOff>
                    <xdr:row>11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37</vt:i4>
      </vt:variant>
    </vt:vector>
  </HeadingPairs>
  <TitlesOfParts>
    <vt:vector size="49" baseType="lpstr">
      <vt:lpstr>Escalating commodity</vt:lpstr>
      <vt:lpstr>Summary</vt:lpstr>
      <vt:lpstr>ANR OK vs ML7</vt:lpstr>
      <vt:lpstr>ANR LA vs ML7</vt:lpstr>
      <vt:lpstr>PEPL vs Dawn</vt:lpstr>
      <vt:lpstr>ML7 vs St. Clair</vt:lpstr>
      <vt:lpstr>St.Clair vs Chippawa</vt:lpstr>
      <vt:lpstr>Ojibway vs Dawn</vt:lpstr>
      <vt:lpstr>Empress vs Chippewa</vt:lpstr>
      <vt:lpstr>Dawn vs Chippewa</vt:lpstr>
      <vt:lpstr>Curves</vt:lpstr>
      <vt:lpstr>InputOutputSheet</vt:lpstr>
      <vt:lpstr>ColGasCurve</vt:lpstr>
      <vt:lpstr>ColGulfCurve</vt:lpstr>
      <vt:lpstr>CurveCodes</vt:lpstr>
      <vt:lpstr>CurveMonth</vt:lpstr>
      <vt:lpstr>CurveRange</vt:lpstr>
      <vt:lpstr>Curves</vt:lpstr>
      <vt:lpstr>CurveTable</vt:lpstr>
      <vt:lpstr>CurveType</vt:lpstr>
      <vt:lpstr>CurveValues</vt:lpstr>
      <vt:lpstr>CurveValuesExtra</vt:lpstr>
      <vt:lpstr>DBase</vt:lpstr>
      <vt:lpstr>'ANR LA vs ML7'!mthbeg</vt:lpstr>
      <vt:lpstr>'Dawn vs Chippewa'!mthbeg</vt:lpstr>
      <vt:lpstr>'Empress vs Chippewa'!mthbeg</vt:lpstr>
      <vt:lpstr>'ML7 vs St. Clair'!mthbeg</vt:lpstr>
      <vt:lpstr>'Ojibway vs Dawn'!mthbeg</vt:lpstr>
      <vt:lpstr>'PEPL vs Dawn'!mthbeg</vt:lpstr>
      <vt:lpstr>'St.Clair vs Chippawa'!mthbeg</vt:lpstr>
      <vt:lpstr>mthbeg</vt:lpstr>
      <vt:lpstr>'ANR LA vs ML7'!mthend</vt:lpstr>
      <vt:lpstr>'Dawn vs Chippewa'!mthend</vt:lpstr>
      <vt:lpstr>'Empress vs Chippewa'!mthend</vt:lpstr>
      <vt:lpstr>'ML7 vs St. Clair'!mthend</vt:lpstr>
      <vt:lpstr>'Ojibway vs Dawn'!mthend</vt:lpstr>
      <vt:lpstr>'PEPL vs Dawn'!mthend</vt:lpstr>
      <vt:lpstr>'St.Clair vs Chippawa'!mthend</vt:lpstr>
      <vt:lpstr>mthend</vt:lpstr>
      <vt:lpstr>Password</vt:lpstr>
      <vt:lpstr>'ANR OK vs ML7'!Print_Area</vt:lpstr>
      <vt:lpstr>'Escalating commodity'!Print_Area</vt:lpstr>
      <vt:lpstr>InputOutputSheet!Print_Area</vt:lpstr>
      <vt:lpstr>Summary!Print_Area</vt:lpstr>
      <vt:lpstr>'Escalating commodity'!Print_Titles</vt:lpstr>
      <vt:lpstr>Table</vt:lpstr>
      <vt:lpstr>today</vt:lpstr>
      <vt:lpstr>UpperLeftOfCurveTable</vt:lpstr>
      <vt:lpstr>UserName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2001-05-15T19:21:58Z</cp:lastPrinted>
  <dcterms:created xsi:type="dcterms:W3CDTF">1998-02-25T20:12:16Z</dcterms:created>
  <dcterms:modified xsi:type="dcterms:W3CDTF">2023-09-17T13:37:03Z</dcterms:modified>
</cp:coreProperties>
</file>